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50" windowWidth="16900" windowHeight="6980" firstSheet="1" activeTab="2"/>
  </bookViews>
  <sheets>
    <sheet name="By Title" sheetId="2" r:id="rId1"/>
    <sheet name="By Library" sheetId="3" r:id="rId2"/>
    <sheet name="By Library and Title" sheetId="4" r:id="rId3"/>
    <sheet name="By Publisher" sheetId="6" r:id="rId4"/>
    <sheet name="By Date" sheetId="7" r:id="rId5"/>
    <sheet name="By UserID" sheetId="8" r:id="rId6"/>
    <sheet name="NY3R Usage" sheetId="1" r:id="rId7"/>
  </sheets>
  <definedNames>
    <definedName name="_xlnm._FilterDatabase" localSheetId="6" hidden="1">'NY3R Usage'!$A$1:$V$9452</definedName>
  </definedNames>
  <calcPr calcId="145621"/>
  <pivotCaches>
    <pivotCache cacheId="0" r:id="rId8"/>
  </pivotCaches>
</workbook>
</file>

<file path=xl/calcChain.xml><?xml version="1.0" encoding="utf-8"?>
<calcChain xmlns="http://schemas.openxmlformats.org/spreadsheetml/2006/main">
  <c r="J2" i="1" l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</calcChain>
</file>

<file path=xl/sharedStrings.xml><?xml version="1.0" encoding="utf-8"?>
<sst xmlns="http://schemas.openxmlformats.org/spreadsheetml/2006/main" count="112513" uniqueCount="13116">
  <si>
    <t>Date</t>
  </si>
  <si>
    <t>Duration</t>
  </si>
  <si>
    <t>UserId</t>
  </si>
  <si>
    <t>Library</t>
  </si>
  <si>
    <t>Site ID</t>
  </si>
  <si>
    <t>Title</t>
  </si>
  <si>
    <t>Document ID</t>
  </si>
  <si>
    <t>Publisher</t>
  </si>
  <si>
    <t>Subject</t>
  </si>
  <si>
    <t>eISBN</t>
  </si>
  <si>
    <t>Browsed</t>
  </si>
  <si>
    <t>Total Pages Read</t>
  </si>
  <si>
    <t>Copied</t>
  </si>
  <si>
    <t>Printed</t>
  </si>
  <si>
    <t>Downloaded</t>
  </si>
  <si>
    <t>Type</t>
  </si>
  <si>
    <t>LoanStart</t>
  </si>
  <si>
    <t>LoanDays</t>
  </si>
  <si>
    <t>IP</t>
  </si>
  <si>
    <t>LCC</t>
  </si>
  <si>
    <t>Dewey</t>
  </si>
  <si>
    <t>PublicationDate</t>
  </si>
  <si>
    <t>QhcXdzWDJlJWgW6wafkWKw==</t>
  </si>
  <si>
    <t>University at Buffalo</t>
  </si>
  <si>
    <t>Buffalo</t>
  </si>
  <si>
    <t>English Phonetics and Phonology : An Introduction</t>
  </si>
  <si>
    <t>Wiley</t>
  </si>
  <si>
    <t>Language/Linguistics</t>
  </si>
  <si>
    <t>Yes</t>
  </si>
  <si>
    <t>Owned Loan</t>
  </si>
  <si>
    <t>No</t>
  </si>
  <si>
    <t>128.205.114.91</t>
  </si>
  <si>
    <t>PE1133 .C34 2012</t>
  </si>
  <si>
    <t>,1,2,3</t>
  </si>
  <si>
    <t>OJc/WqW/otw=</t>
  </si>
  <si>
    <t>College at Brockport</t>
  </si>
  <si>
    <t>brockport</t>
  </si>
  <si>
    <t>Launching and Leading Change Initiatives in Health Care Organizations : Managing Successful Projects</t>
  </si>
  <si>
    <t>Health; Social Science</t>
  </si>
  <si>
    <t>,11,13,14,15,12,20,9</t>
  </si>
  <si>
    <t>137.21.7.121</t>
  </si>
  <si>
    <t>RA971 -- .S56 2014eb</t>
  </si>
  <si>
    <t>Owned Browse</t>
  </si>
  <si>
    <t>T1h7LCqlVxNByrJtaCwJCA==</t>
  </si>
  <si>
    <t>Ecological Approaches to Early Modern English Texts : A Field Guide to Reading and Teaching</t>
  </si>
  <si>
    <t>Ashgate Publishing Ltd</t>
  </si>
  <si>
    <t>,56,57,58,59,60,61,62,63,64,65,66,67</t>
  </si>
  <si>
    <t>Unowned Loan</t>
  </si>
  <si>
    <t>820.9''36</t>
  </si>
  <si>
    <t>,1,56,57,58,54,55,2</t>
  </si>
  <si>
    <t>Unowned Browse</t>
  </si>
  <si>
    <t>kF2JgePQ67g8HZ3gGiYpYA==</t>
  </si>
  <si>
    <t>APA Style Simplified : Writing in Psychology, Education, Nursing, and Sociology</t>
  </si>
  <si>
    <t>Literature; Psychology</t>
  </si>
  <si>
    <t>,105,83,73</t>
  </si>
  <si>
    <t>BF76.7 -- .B447 2012eb</t>
  </si>
  <si>
    <t>808.06/615</t>
  </si>
  <si>
    <t>,1,2,3,23,24,25,21,22,35,36,37,33,34,83,84,85,81,82,73,74,75,71,72,114,115,116,112,113,105,106,107,103,104</t>
  </si>
  <si>
    <t>WJXWf6YO2vM=</t>
  </si>
  <si>
    <t>,17,18,19,20,18,19,20,15,14,13,25,26,27,23,24,28,29,30,31,32,33,34,37,38,39,35,36,41,40,43,42,9,6,7,44,1,3,45,46,47,48,49,50,51,52,53,54,55,56</t>
  </si>
  <si>
    <t>M+d4rcdSdBvP9F+pT0yL+g==</t>
  </si>
  <si>
    <t>Pattern Classification</t>
  </si>
  <si>
    <t>Science; Computer Science/IT</t>
  </si>
  <si>
    <t>,2,2</t>
  </si>
  <si>
    <t>Q327 -- .D83 2001eb</t>
  </si>
  <si>
    <t>,1,2,3,2,1,3</t>
  </si>
  <si>
    <t>MtcL0BSx2GM=</t>
  </si>
  <si>
    <t>Administrator's Guide to School-Community Relations, The</t>
  </si>
  <si>
    <t>Taylor and Francis</t>
  </si>
  <si>
    <t>Education</t>
  </si>
  <si>
    <t>,300,301,302,304,305,306,307,308,309,310,311,312,313,314,315,316,317,318,319,320,321,322,323,324,325,326,327,328,329,330,331,332,333,334,335,336,337,338,339,340,341,342,343,344,345,346,347,348,349,350,351,352,353,354,355,356,357,358,359,360,361,362,364,365,366,367,369,370,356,346,330,316,310,312,308,309,306,307,301,299,300,297,298,296,295,294,293,292,288,289,290,291,298,299,300,301,302,303,304,305,306,307,308,309,310,311,312,313,314,315</t>
  </si>
  <si>
    <t>,295</t>
  </si>
  <si>
    <t>LC221 -- .P39 2013eb</t>
  </si>
  <si>
    <t>,1,2,2,3,3,1</t>
  </si>
  <si>
    <t>,1,2,3,13,14,15,11,12,16,17,18,19,20,31,32,33,30,29,35,36,37,38,39,40,41,42,43,34,13,14,15,11,12,16</t>
  </si>
  <si>
    <t>,1,2,3,78,79,77,76,80,81,82,320,321,322,319,318,317,316,314,313,301,302,303,299,300,298,297,296,295,294,293</t>
  </si>
  <si>
    <t>,1,2,3,25,26,27,23,24,625,626,627,623,624</t>
  </si>
  <si>
    <t>YEOxEFUWvpAJMXAFp4hqkw==</t>
  </si>
  <si>
    <t>LSAT For Dummies</t>
  </si>
  <si>
    <t>Law</t>
  </si>
  <si>
    <t>,1,2,3,96,97,98,94,95,99,123,124,125,121,122,126,127,128,100,101,121,129,130,131,132,133</t>
  </si>
  <si>
    <t>KF285.Z9 -- H38 2014eb</t>
  </si>
  <si>
    <t>j//FetVb8jAv/rwDEP/KNw==</t>
  </si>
  <si>
    <t>Immigrant America : A Portrait</t>
  </si>
  <si>
    <t>University of California Press</t>
  </si>
  <si>
    <t>Political Science; Social Science</t>
  </si>
  <si>
    <t>,1,2,3,4,5</t>
  </si>
  <si>
    <t>JV6450 -- .P67 2014eb</t>
  </si>
  <si>
    <t>304.8/73</t>
  </si>
  <si>
    <t>Y9n/ZNozLY5gs9U4/mJ/IA==</t>
  </si>
  <si>
    <t>Selecting the Right Analyses for Your Data : Quantitative, Qualitative, and Mixed Methods</t>
  </si>
  <si>
    <t>Guilford Publications</t>
  </si>
  <si>
    <t>General Works/Reference; Social Science</t>
  </si>
  <si>
    <t>,1,144,145,146,142,143,2,147,148,149,150,151,152,153,154,155,156,157,158,159,127,128,129,125,126,130,131,132,133,134,135,136,137,138,139,140,141,142,143,144,145,146,147,148,149,150,151,152,153,395,396,397,393,394</t>
  </si>
  <si>
    <t>H62 -- .S454 2014eb</t>
  </si>
  <si>
    <t>FiJKBds6PKIw925SC54p6A==</t>
  </si>
  <si>
    <t>Lean Auditing : Driving Added Value and Efficiency in Internal Audit</t>
  </si>
  <si>
    <t>Business/Management</t>
  </si>
  <si>
    <t>,1,2,3,4,5,6,7</t>
  </si>
  <si>
    <t>HF5668.25 -- .P367 2015eb</t>
  </si>
  <si>
    <t>657/.458</t>
  </si>
  <si>
    <t>b40N7wvclg4=</t>
  </si>
  <si>
    <t>,1,1,2,3,2,3,2,2,4,4,5,5,6,6,7,7,8,8,9,9,11,11,12,13,12,10,13,10,14,14,15,15,16,16,17,17,18,18,19,19,20,20,21,21,22,22,23,23,24,24,25,25,26,26,27,27,28,28,29,29,30,30,31,31,32,32,33,33,34,34,35,35,36,36,37,37,38,38,39,39,40,40,35,34,33,32,31,30,29,34,35,36,31,36,37,38,39,40,41,41,42,42,37,36,41,42,43,43,44,44,45,45,46,46,47,47,48,48,49,49,50,50,45,44,43,42,41,46,47,48,49,50,51,51,52,52,53,53,54,54,55,55,56,56,25,26,27,23,24,79,79,80,80,81,81,77,78,78,59,59,60,61,60,61,57,58,58,62,62,50,51,52,48,49,53,54,55,56,57,52,51,50,55,56,57</t>
  </si>
  <si>
    <t>cd5+vZPqEck=</t>
  </si>
  <si>
    <t>,5,6,7,11,12,13,19,20,21,26,27,28,24,25,29,30</t>
  </si>
  <si>
    <t>,1</t>
  </si>
  <si>
    <t>x9f/9rJPU8w=</t>
  </si>
  <si>
    <t>The Handbook of Technical Analysis + Test Bank : The Practitioner's Comprehensive Guide to Technical Analysis</t>
  </si>
  <si>
    <t>Business/Management; Economics</t>
  </si>
  <si>
    <t>HG4529 -- .L56 2016eb</t>
  </si>
  <si>
    <t>s/7cYmNUux4=</t>
  </si>
  <si>
    <t>Meggs' History of Graphic Design</t>
  </si>
  <si>
    <t>Engineering: Manufacturing; General Works/Reference; Engineering</t>
  </si>
  <si>
    <t>,1,2,3,38,39,40,41,42,43,44,45,46,47,48,49,50,47,48,49,45,46,50,51,52,53,54,55,56,57,58,59,60,61,62,63</t>
  </si>
  <si>
    <t>Z246 -- .M43 2012eb</t>
  </si>
  <si>
    <t>686.2/209</t>
  </si>
  <si>
    <t>KdQz4HwXbmFceGRL/ltJyA==</t>
  </si>
  <si>
    <t>Hilbert College</t>
  </si>
  <si>
    <t>hilbert</t>
  </si>
  <si>
    <t>Forensic Ballistics in Court : Interpretation and Presentation of Firearms Evidence</t>
  </si>
  <si>
    <t>Social Science</t>
  </si>
  <si>
    <t>72.45.217.43</t>
  </si>
  <si>
    <t>HV8077 -- .H4293 2013eb</t>
  </si>
  <si>
    <t>363.25/62</t>
  </si>
  <si>
    <t>ima47CLYnLc2+KLLRmbE0A==</t>
  </si>
  <si>
    <t>SUNY Canton</t>
  </si>
  <si>
    <t>canton</t>
  </si>
  <si>
    <t>,30,31,32,33,34,35,36,37,38,39,40,41,42,80,81,82,78,83,79,84,85,86,87,88,89,90,91,92,93,94,95,96,97,114,115,116,112,113,117,118,156,157,158,154,159,155,160,161,162,163,164,165,166,167,50,51,62,63,64,60,61,65,66,67,68,69,70,71,72,73,74,75,76,77,78,79,80,81,84,85,86,82,83,87</t>
  </si>
  <si>
    <t>137.37.33.33</t>
  </si>
  <si>
    <t>Countdown to the Principalship : How Successful Principals Begin Their School Year</t>
  </si>
  <si>
    <t>,1,2,3,365,366,363,364,368,369,370,371,372,373,374,367</t>
  </si>
  <si>
    <t>,1,2,3,22,23,24,20,21,25,23,24,22,25,21,23,20,25,1,3,2,7,8,9,5,6,10,4,26,27,28,29</t>
  </si>
  <si>
    <t>,372,373,374,375,403,404,405,401,402,406,376,377,378,379,380,381,382,359,360,361,357,358,355,356,353,354,362,363,327,328,329,325,326,330,331,332,333,334,335,336,337,338,339,344,345,347,348,349,346,362,363,364,360,361,365,366,367,368,369,370,371,372,373,374</t>
  </si>
  <si>
    <t>,1,2,3,25,26,27,23,24,28,29,30,31,32,33,34,35,36,37,38,39,40,41,42,43,44,45,187,188,189,186,190,191,192,193,194,327,328,329,325,326,330,332,333,365,366,367,363,364,368,369,370,371</t>
  </si>
  <si>
    <t>Digital Signal Processing Using the ARM Cortex M4</t>
  </si>
  <si>
    <t>,1,2,3,4,6,15,16,17,14,13,17,13,14,18</t>
  </si>
  <si>
    <t>,1,2,3,4,5,6,7,8,9,10,11,12,13,14,15,16,2,1,3,1,2,3,1,2,3,1,2,3,4,19,20,21,13,14,15,11,12,16,1,2,3,1,2,3,4,13,14,15,11,12,16,17,18,1,2,3,1,2,3,4,5,13,14,15,11,12,16,17,18,1,3,2</t>
  </si>
  <si>
    <t>/qDb7thB7o12jL4DI9NsWw==</t>
  </si>
  <si>
    <t>Geisha of a Different Kind : Race and Sexuality in Gaysian America</t>
  </si>
  <si>
    <t>NYU Press</t>
  </si>
  <si>
    <t>,1,2,3,16,17,18,14,15,19</t>
  </si>
  <si>
    <t>HQ76.2.U5 -- .H36 2015eb</t>
  </si>
  <si>
    <t>306.76089/95073</t>
  </si>
  <si>
    <t>,16,16</t>
  </si>
  <si>
    <t>,1,2,1,2,3,3,2,2,19,20,19,20,21,21,17,18,18,11,11,12,12,13,13,9,10,10,14,14,15,15</t>
  </si>
  <si>
    <t>gcmonroe</t>
  </si>
  <si>
    <t>Monroe 2-Orleans BOCES</t>
  </si>
  <si>
    <t>monroe2boces</t>
  </si>
  <si>
    <t>Hayao Miyazaki : Japan's Premier Anime Storyteller</t>
  </si>
  <si>
    <t>Infobase Publishing</t>
  </si>
  <si>
    <t>Fine Arts</t>
  </si>
  <si>
    <t>,1,2,3,79,80,81,77,78,82</t>
  </si>
  <si>
    <t>104.229.32.13</t>
  </si>
  <si>
    <t>PN1998.3.M577 -- L46 2012eb</t>
  </si>
  <si>
    <t>791.4302/33092; B</t>
  </si>
  <si>
    <t>,1,2,3,25,26,27,23,24,25,2</t>
  </si>
  <si>
    <t>,1,2,3,25,26,27,23,24,28,29,30</t>
  </si>
  <si>
    <t>bHwyQAwu0nJi6fjmz1T0Rw==</t>
  </si>
  <si>
    <t>Erie Community College</t>
  </si>
  <si>
    <t>erie</t>
  </si>
  <si>
    <t>Fundamentals of Physics Extended</t>
  </si>
  <si>
    <t>Science; Science: Physics</t>
  </si>
  <si>
    <t>,1,2,3,35,36,37,33,34,35</t>
  </si>
  <si>
    <t>199.29.6.54</t>
  </si>
  <si>
    <t>QC21.3 -- .H35 2014eb</t>
  </si>
  <si>
    <t>FMTdlSqCybzsIXpKTWEoeA==</t>
  </si>
  <si>
    <t>Age in America : The Colonial Era to the Present</t>
  </si>
  <si>
    <t>,1,2,3,4,5,32,33,34,35,36,37,38,39,40,41,42,43,44,45,46,47,48,49,50,51,52,53,54,55</t>
  </si>
  <si>
    <t>HN90.S6 -- .A345 2015eb</t>
  </si>
  <si>
    <t>,1,2,3,32,33,34,30,31,32,56</t>
  </si>
  <si>
    <t>oVfgvqFoHt8=</t>
  </si>
  <si>
    <t>A History of Germany 1918-2014 : The Divided Nation</t>
  </si>
  <si>
    <t>History</t>
  </si>
  <si>
    <t>,38</t>
  </si>
  <si>
    <t>DD17</t>
  </si>
  <si>
    <t>,1,2,3,7,8,9,5,6,31,32,33,29,30,34,35,36,37</t>
  </si>
  <si>
    <t>,1,2,3,16,17,18,14,15</t>
  </si>
  <si>
    <t>,1,2,3,93,94,95,96,97,113,114,115,111,112,116,98,99,103,104,105,106,107,108,102,109,110,111,121,122,123,119,120,124,125,100,101,117,118,126,127,128,129,130,131</t>
  </si>
  <si>
    <t>Essentials of Organic Chemistry : For Students of Pharmacy, Medicinal Chemistry and Biological Chemistry</t>
  </si>
  <si>
    <t>Science; Science: Chemistry</t>
  </si>
  <si>
    <t>QD251.3 -- .D49 2006eb</t>
  </si>
  <si>
    <t>,1,2,3,22,23,24,20,21,31,32,33,29,30,19,25,26,27,28,29,34,35,36,37,38,39,40,41,42,43,93,94,95,91,92,96,97,98,99,100,103,104,105,106,101,107,108,109,110,101,102,111,112,113</t>
  </si>
  <si>
    <t>,19</t>
  </si>
  <si>
    <t>,1,2,3,16,17,10,11,12,8,9,13,14,15,16,17,18</t>
  </si>
  <si>
    <t>eSkvHDL9ZKGsEjU5nDI7dQ==</t>
  </si>
  <si>
    <t>Animal Machines</t>
  </si>
  <si>
    <t>CABI</t>
  </si>
  <si>
    <t>Agriculture</t>
  </si>
  <si>
    <t>,1,2,3,47,48,49,45,46,50,51,52,53,54,16,17,18,14,15,19,20,21,22,23,24,25,26,45,46</t>
  </si>
  <si>
    <t>Exploring BeagleBone : Tools and Techniques for Building with Embedded Linux</t>
  </si>
  <si>
    <t>Engineering; Computer Science/IT; Engineering: Electrical</t>
  </si>
  <si>
    <t>,1,3,2,71,72,73,69,70,74,75,79,80,81,82,83,172,173,169</t>
  </si>
  <si>
    <t>TK7895 .E42</t>
  </si>
  <si>
    <t>006.2; 006.22</t>
  </si>
  <si>
    <t>,6,5,4,7</t>
  </si>
  <si>
    <t>8Da9bRNKKB8=</t>
  </si>
  <si>
    <t>,1,2,3,4,38,39,36,40,37</t>
  </si>
  <si>
    <t>,1,2,3,38,39,40,36,37</t>
  </si>
  <si>
    <t>FFGLwI3PjbE+h8UgFC6ojg==</t>
  </si>
  <si>
    <t>Site Analysis : Informing Context-Sensitive and Sustainable Site Planning and Design</t>
  </si>
  <si>
    <t>Architecture</t>
  </si>
  <si>
    <t>NA2540.5 -- .L34 2013eb</t>
  </si>
  <si>
    <t>,1,2,3,1</t>
  </si>
  <si>
    <t>WiOQva3yP9c=</t>
  </si>
  <si>
    <t>,5,6,7,8,9,10,11,5,6,7,8,10</t>
  </si>
  <si>
    <t>The Creative Edge : 17 Biographies of Cultural Icons</t>
  </si>
  <si>
    <t>Social Science; History; Psychology</t>
  </si>
  <si>
    <t>BF411 .T39</t>
  </si>
  <si>
    <t>306; 920.02</t>
  </si>
  <si>
    <t>,1,2,3,4</t>
  </si>
  <si>
    <t>SeV4XknLE8A=</t>
  </si>
  <si>
    <t>St. John Fisher College</t>
  </si>
  <si>
    <t>sjfc</t>
  </si>
  <si>
    <t>,1,2,3,17,18,19,15,16,114,115,116,112,113,119,120,121,117,118,122,123,124,117,126</t>
  </si>
  <si>
    <t>149.69.254.57</t>
  </si>
  <si>
    <t>Rediscovering Interlanguage</t>
  </si>
  <si>
    <t>,13,14,15,16,17,18,4,3,1,5,6,7,8,9,10,11,12,13,14,15,16,17,18,19,20</t>
  </si>
  <si>
    <t>,1,2,3,4,5,6,7,8,9,10,11,12</t>
  </si>
  <si>
    <t>Positive Psychology in Practice : Promoting Human Flourishing in Work, Health, Education, and Everyday Life</t>
  </si>
  <si>
    <t>Psychology</t>
  </si>
  <si>
    <t>BF204.6 -- .P675 2015eb</t>
  </si>
  <si>
    <t>150.19/88</t>
  </si>
  <si>
    <t>MIoL3uhj7ROD0GHSCXxn2g==</t>
  </si>
  <si>
    <t>GRE For Dummies : with Online Practice Tests</t>
  </si>
  <si>
    <t>,4</t>
  </si>
  <si>
    <t>LB2367.4 .G743 2015</t>
  </si>
  <si>
    <t>GRE For Dummies</t>
  </si>
  <si>
    <t>LB2367.4</t>
  </si>
  <si>
    <t>,1,5,6,7,3,4,8,9,10,11,12,13,2,14,15,16,17,18,19,20</t>
  </si>
  <si>
    <t>,1,2,3,12,13,14,25,26,27,23,24,28,29,66,67,68,64,65,79,80,81,77,78,82,83,80</t>
  </si>
  <si>
    <t>,1,2,3,38,39,40,36,37,38,39,40,36,37,41,42,43,44,45,46,47,48,49,50,51,52</t>
  </si>
  <si>
    <t>,1,2,3,42,44,43,40,41,45,46,47,48,49,50,51,52,53,54</t>
  </si>
  <si>
    <t>,40</t>
  </si>
  <si>
    <t>,1,2,3,40,41,42,38,39</t>
  </si>
  <si>
    <t>pK5iU5iEiHC2TiNN6/OvSg==</t>
  </si>
  <si>
    <t>Introducing Physical Geography</t>
  </si>
  <si>
    <t>Wiley Textbooks</t>
  </si>
  <si>
    <t>Science; Science: Geology</t>
  </si>
  <si>
    <t>,30,31,32,28,29,43,36,18,30,31</t>
  </si>
  <si>
    <t>GB54.5</t>
  </si>
  <si>
    <t>,1,2,3,4,5,6,7,8,9,10,11,12,13,14</t>
  </si>
  <si>
    <t>ZBl3JQd50NKv31svgInTCA==</t>
  </si>
  <si>
    <t>AutoCAD 2015 and AutoCAD LT 2015 : No Experience Required:Autodesk Official Press</t>
  </si>
  <si>
    <t>Computer Science/IT; Engineering; Engineering: General</t>
  </si>
  <si>
    <t>T385 -- .G533 2014eb</t>
  </si>
  <si>
    <t>cnG5Caljeh0=</t>
  </si>
  <si>
    <t>DSM-5® Made Easy : The Clinician's Guide to Diagnosis</t>
  </si>
  <si>
    <t>Medicine</t>
  </si>
  <si>
    <t>,1,2,3,4,5,6,7,8,9,31,32,33,29,30,34</t>
  </si>
  <si>
    <t>RC469 -- .M677 2014eb</t>
  </si>
  <si>
    <t>F4/HC+EqDIEn5kHr2+wZSA==</t>
  </si>
  <si>
    <t>Reliability, Maintainability, and Supportability : Best Practices for Systems Engineers</t>
  </si>
  <si>
    <t>Engineering; Engineering: General; Engineering: Civil</t>
  </si>
  <si>
    <t>,1,2,3,27,28,29,25,26,180,181,177,178</t>
  </si>
  <si>
    <t>TA169 -- .T676 2015eb</t>
  </si>
  <si>
    <t>620/.00452</t>
  </si>
  <si>
    <t>fytAgNLHY0JRVYQqOwwz2w==</t>
  </si>
  <si>
    <t>Second Language Acquisition : An Introductory Course</t>
  </si>
  <si>
    <t>,15</t>
  </si>
  <si>
    <t>P118.2 -- .S424 2013eb</t>
  </si>
  <si>
    <t>s/zZomhDraovM8YCVQeQeQ==</t>
  </si>
  <si>
    <t>SUNY Oneonta</t>
  </si>
  <si>
    <t>oneonta</t>
  </si>
  <si>
    <t>Skeletal Trauma Analysis : Case Studies in Context</t>
  </si>
  <si>
    <t>137.141.13.2</t>
  </si>
  <si>
    <t>,1,2,3,4,5,6,7,8,9,10,11,12,13,14,15,16,17,18,19,20,2</t>
  </si>
  <si>
    <t>Cold Intimacies : The Making of Emotional Capitalism</t>
  </si>
  <si>
    <t>Social Science; Business/Management</t>
  </si>
  <si>
    <t>,2,2,7,7,9,9,8,5,8,6,6,10,10,11,11</t>
  </si>
  <si>
    <t>HB501 .I565</t>
  </si>
  <si>
    <t>q0d385y6aEfHc/peKUb/Rg==</t>
  </si>
  <si>
    <t>,1,2,3,4,5,6,7,8,9,10,11,12,13,14,15,16,17,18,19,20,21,22,23,24,25,26,27</t>
  </si>
  <si>
    <t>ac6+JVueQB4=</t>
  </si>
  <si>
    <t>,1,2,2,3,3,1,57,58,57,59,58,59,55,56,56,54,59,2,1,2,2,3,3,4,4,1,58,59,58,60,59,60,56,57,57,2,55,60,61,61,62,63,62,63,58,63,64,64,65,65,59,58,57,56,55,60,55,60,61,62,57,56,61,62,63,64,65,66,66,67,67,62,67,68,68,69,69,100,101,100,102,101,102,98,99,99,97,96,95,40,41,40,42,41,38,42,39,39,43,43,44,44,45,45,46,46,47,47,48,48,49,49,50,45,50,51,51,52,52,53,53,54,54,55,56,57,58,59,60,61,62,63,64,65,66,67,68,69,70,70,71,71,72,72,73,73,74,74,75,75,70,75,76,76,77,77,78,78,79,79,80,80,81,81,82,82,83,78,83,83,84,84,85,85,86,86,87,87,88,88,89,89,91,91,92,92,93,93,94,95,94,96,97,98,99,100,101,102,97,96,101,96,95,94,93,92,91,90,89,94,95,96,97,92,91,90,89,88,87,86,91,85,84,83,82,81,80,79,78,77,76,81,82,83,84,85,86,87,88,89,90,91,92,93,93,94</t>
  </si>
  <si>
    <t>,1,2,3,121,122,123,119,120,124,125,126,127,128,129,119,130,131,132,133</t>
  </si>
  <si>
    <t>CISSP (ISC)2 Certified Information Systems Security Professional Official Study Guide</t>
  </si>
  <si>
    <t>Computer Science/IT</t>
  </si>
  <si>
    <t>QA76.9.A25 -- .S749 2015eb</t>
  </si>
  <si>
    <t>,1,2,3,4,5,6,7,8,9,10,11,12,13,14,15,16,17,18,19,20,21</t>
  </si>
  <si>
    <t>Unity 4 Fundamentals : Get Started at Making Games with Unity</t>
  </si>
  <si>
    <t>Computer Science/IT; Sport &amp; Recreation</t>
  </si>
  <si>
    <t>,1,28,29,30,26,27,2,31,1,45,46,47,44,43,2,48,49</t>
  </si>
  <si>
    <t>QA76.76.C672 -- .T498 2014eb</t>
  </si>
  <si>
    <t>csJ+nb6hjB4=</t>
  </si>
  <si>
    <t>Brown Boys and Rice Queens : Spellbinding Performance in the Asias</t>
  </si>
  <si>
    <t>,214,214,215,216,212,213,217,218,219,220,223,229,236,239,241,242,243,244,240,238</t>
  </si>
  <si>
    <t>,8,9,10,11,12,13,14,15,16,17,18,19,20,21,22,23,24,25,26,27,28,29,30,31,32,33,34,35,36,37,38,39,40,41,42,43,44,45,46,47,48,49,50,51,52,53,54,55,56,57,58,59,60,61,62,63,190,191,192,193,194,195,196,197,198,199,200,201,202,203,204,205,206,207,208,209,210,211,212,213,214,215,216,217,218,240,241,242</t>
  </si>
  <si>
    <t>HQ76.3.A78 -- L56 2014eb</t>
  </si>
  <si>
    <t>,1,2,3,4,5,6,7,8,2,9,10,11,12,13,14,15,16,17,18,19,20,21,22,23,24,25,26,27,28,29,30,31,32,33,34,35,36,37,38,39,40,41,42,43,44,45,46,47,48,49,47</t>
  </si>
  <si>
    <t>vLC+OLfEN0ezPqFUl8tm3Q==</t>
  </si>
  <si>
    <t>Russia, America and the Cold War : 1949-1991 (Revised 2nd Edition)</t>
  </si>
  <si>
    <t>History; Political Science</t>
  </si>
  <si>
    <t>,98,98,93,98,99,99,94,99,100,100,101,101,102,102,103,103,104,104,105,105,106,106,107,107,108,108,109,109,110,110,111,111,112,112,107,106,105,104,103,102,101,100,99,98,97,96,95,94,93,98,99,100,101,102</t>
  </si>
  <si>
    <t>E183.8.S65 -- M33 2013eb</t>
  </si>
  <si>
    <t>,1,2,3,3,2,1,2,2,94,94,95,96,95,92,96,93,93,73,74,73,75,71,74,75,72,72,76,76,94,95,94,95,92,96,96,93,93,97,97</t>
  </si>
  <si>
    <t>,1,2,3,4,5,6,7,8,9,10,11,20,21,22,18,23,19,24,25,26,2,27,28</t>
  </si>
  <si>
    <t>Applied Bayesian Modelling</t>
  </si>
  <si>
    <t>Mathematics</t>
  </si>
  <si>
    <t>,1,3,4,5,2,111,112,113,109,110,114,115</t>
  </si>
  <si>
    <t>QA279.5 -- .C649 2014eb</t>
  </si>
  <si>
    <t>519.5/42</t>
  </si>
  <si>
    <t>Bayesian Statistics : An Introduction</t>
  </si>
  <si>
    <t>QA279.5 -- .L44 2012eb</t>
  </si>
  <si>
    <t>m4HSBOtuQ2YxO5ADS0WBQQ==</t>
  </si>
  <si>
    <t>Handbook of Health Psychology and Behavioral Medicine</t>
  </si>
  <si>
    <t>,138,139,140,141,142,143,144,145,146,147,148,149,150,21,22,23,24,25,26,27,28,29,30,31,32,33,34,35,36,37,38,39,40,41,42,43,44,45,46</t>
  </si>
  <si>
    <t>R726.7 -- .H365 2010eb</t>
  </si>
  <si>
    <t>,1,2,3,4,5,4,6,7,8,9,10,11,12,13,14,16,15,17,138,139,140,136,137,141,134</t>
  </si>
  <si>
    <t>O5cS0BVZ27gJE26raixLHQ==</t>
  </si>
  <si>
    <t>Innovations of Antiquity</t>
  </si>
  <si>
    <t>Literature</t>
  </si>
  <si>
    <t>,1,2,3,417,418,419,415,416,518,519,520,517,515,516,514,513,420</t>
  </si>
  <si>
    <t>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501,502,503,504,505,506,507,508,509,510,511,512,513,514,515,516,517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501,502,503,504,505,506,507,508,509,510,511,512,513,514,515,516,517</t>
  </si>
  <si>
    <t>PA3003.I56</t>
  </si>
  <si>
    <t>,1,2,3,4,94,95,96,92,93,94,95,96,92,93</t>
  </si>
  <si>
    <t>,13,14,15,11,12,16,17,18,19,20,21,16,15,14,13,19,20,21,25,26,27,23,24,28,29,30,31,32,33,30,28,31,29,30,31,27,28,32,33,34,35,36,37,38,39,40,41,42,43,44,45,40,41,42,40,41,42,38,39,37,36,35,34,33,32,31,30,29,28,27,26,25,31,32,33,34,35,36,37,38,39,40,41,42,43,44,45,46,47,48,49,50,51,52,53,54,55,56,57,58,59,60,61,62,63,64,65,66,67,68,69,70,71,72,73,74,75,76,77,78,79,80,81,82,83,84,85,86,87,88,89,90,91,92,93,94,95,96,97,98,99,100,101,102,103,104,105,106,107,100,99,97,19,1,2,3</t>
  </si>
  <si>
    <t>,13,13,14,14,15,16,17,18,26,27</t>
  </si>
  <si>
    <t>,1,2,3,13,14,15,11,12,16,15,16,12,13</t>
  </si>
  <si>
    <t>,14</t>
  </si>
  <si>
    <t>,1,2,2,3,1,3,40,41,40,42,41,42,38,39,39,2,40,40,43,43,38,43,44,44,45,45,46,46,47,48,47,48,43,42,41,46,47,48,43,48,49,49,50,50,51,51,46,51,51,46,51,46,51,52,52,53,53,54,54,55,55,56,56</t>
  </si>
  <si>
    <t>4fL/ADuNzAqNeQhi2DfmXw==</t>
  </si>
  <si>
    <t>Heating, Cooling, Lighting : Sustainable Design Methods for Architects</t>
  </si>
  <si>
    <t>Engineering: Construction; Engineering</t>
  </si>
  <si>
    <t>,86,87,95,96,97,93,94,98,99,100,101,102,549,550,551,547,548,552,553,554,555,556,557,558,559,560,561,562,563,564,565,566,567,568,569,570,571,572,573,574,575,576,577,578,579,580,581,582,583,584,585,586,587,588,589,590,591,592,593,594,595,596,597,598,542,541,540,538,539,537,535,536</t>
  </si>
  <si>
    <t>TH7222 -- .L33 2015eb</t>
  </si>
  <si>
    <t>,1,2,3,92,93,94,90,91,89,88,87,86,84,85,83,81,82</t>
  </si>
  <si>
    <t>jbef1bdYKOA=</t>
  </si>
  <si>
    <t>Yoga For Dummies</t>
  </si>
  <si>
    <t>Social Science; Health</t>
  </si>
  <si>
    <t>,76,77,78,79,80,81,82,83,84,85,86,87,88,89,90,91,92,93,94,95,96,97,73,74,75,71,72,76,76</t>
  </si>
  <si>
    <t>,73,74,75,76,77,78,79,80,81,82,83,84,85,86,87,88,89,90,91,92,93,94</t>
  </si>
  <si>
    <t>RA781.7 -- .P396 2014eb</t>
  </si>
  <si>
    <t>,1,2,3,73,74,75,71,72,76,2,71,71,72</t>
  </si>
  <si>
    <t>,1,2,3,4,5,6,7,8,9,40,41,42,38,39,37,2,43</t>
  </si>
  <si>
    <t>yEymmQguE/0qL72G1H+mlQ==</t>
  </si>
  <si>
    <t>Niagara County Community College</t>
  </si>
  <si>
    <t>niagaracc</t>
  </si>
  <si>
    <t>Addiction Treatment Planner : Includes DSM-5 Updates</t>
  </si>
  <si>
    <t>Health; Social Science; Medicine</t>
  </si>
  <si>
    <t>,1,2,3,4,5,6,7,8,9,10,11,12,13,14,15,16,17,18</t>
  </si>
  <si>
    <t>132.174.254.37</t>
  </si>
  <si>
    <t>RC564.15 -- .P47 2014eb</t>
  </si>
  <si>
    <t>oWirUV5cgcunxZOI1E2SPw==</t>
  </si>
  <si>
    <t>Soil Science Simplified</t>
  </si>
  <si>
    <t>,1,2,3,88,85</t>
  </si>
  <si>
    <t>S591 -- .S655 2016eb</t>
  </si>
  <si>
    <t>O/d4f9ItR0M=</t>
  </si>
  <si>
    <t>Negotiating Corruption : NGOs, Governance and Hybridity in West Africa</t>
  </si>
  <si>
    <t>Political Science</t>
  </si>
  <si>
    <t>mFeSQy8faEc=</t>
  </si>
  <si>
    <t>The Syntax of Possession in Japanese</t>
  </si>
  <si>
    <t>PL629.P66 -- T78 2013eb</t>
  </si>
  <si>
    <t>Fundamental Aspects of Operational Risk and Insurance Analytics : A Handbook of Operational Risk</t>
  </si>
  <si>
    <t>HD61 -- .C778 2015eb</t>
  </si>
  <si>
    <t>658.15/5</t>
  </si>
  <si>
    <t>,1,2,3,4,5,6,7,8</t>
  </si>
  <si>
    <t>The Wiley Handbook of Contextual Behavioral Science</t>
  </si>
  <si>
    <t>,1,2,3,38,39,40,36,37,41,39,40,41,42</t>
  </si>
  <si>
    <t>lqQBOiRzf1I=</t>
  </si>
  <si>
    <t>cAix1dzfSU7XZ1FbAtmBWA==</t>
  </si>
  <si>
    <t>Trocaire College</t>
  </si>
  <si>
    <t>trocaire</t>
  </si>
  <si>
    <t>Test Validity</t>
  </si>
  <si>
    <t>173.225.62.67</t>
  </si>
  <si>
    <t>LB3060.7.T</t>
  </si>
  <si>
    <t>xlCMMkUptX2V59L7uViaNg==</t>
  </si>
  <si>
    <t>Fundamentals of Amorphous Solids : Structure and Properties</t>
  </si>
  <si>
    <t>QC176.8.A44 -- .S733 2015eb</t>
  </si>
  <si>
    <t>,1,2,3,76,77,78,74,75,76</t>
  </si>
  <si>
    <t>,1,8,9,10,6,7,3,4,5,2,40,41,42,100,101,102,139,140,175,176,177,173,174,190,191,192,168,142,138,136,137</t>
  </si>
  <si>
    <t>iR/DWhtKE6Ok/SRW6rqeqA==</t>
  </si>
  <si>
    <t>Learning Personalized : The Evolution of the Contemporary Classroom</t>
  </si>
  <si>
    <t>,185,186,187,183,184,188,189,190</t>
  </si>
  <si>
    <t>LB1031 -- .Z583 2015eb</t>
  </si>
  <si>
    <t>,1,2,3,81,82,83,79,80,84,70,85,86,87,88,117,118,119,115,116,120,122,121,124,123,125,126,127,128,129,130,131,132,133,134,135,136,137,138,139,174,175,176,172,173</t>
  </si>
  <si>
    <t>,1,2,3,15,12,9,1,9,10,11,7,8</t>
  </si>
  <si>
    <t>looNERB1L6A=</t>
  </si>
  <si>
    <t>Disability Rights and Wrongs Revisited</t>
  </si>
  <si>
    <t>,1,2,3,8,9,10,6,7,11</t>
  </si>
  <si>
    <t>HV1568.2 -- .S53 2014eb</t>
  </si>
  <si>
    <t>Uk2r2+jfMBF9kcRfzSFHLA==</t>
  </si>
  <si>
    <t>A Primer of GIS, Second Edition : Fundamental Geographic and Cartographic Concepts</t>
  </si>
  <si>
    <t>Geography/Travel</t>
  </si>
  <si>
    <t>G70.212 -- .H38 2015eb</t>
  </si>
  <si>
    <t>3Dbfquw/AJXITimp++/4Mg==</t>
  </si>
  <si>
    <t>Counseling Addicted Families : An Integrated Assessment and Treatment Model</t>
  </si>
  <si>
    <t>Medicine; Health; Social Science</t>
  </si>
  <si>
    <t>RC564 -- .J83 2006eb</t>
  </si>
  <si>
    <t>+MlLn2fL2kCjY6xV/8Tqxw==</t>
  </si>
  <si>
    <t>Republic : The Influential Classic</t>
  </si>
  <si>
    <t>Political Science; Literature; Fiction</t>
  </si>
  <si>
    <t>,1,2,3,4,33,34,35,31,36,32,37,38,39,40,41,42,43,44,45,46,47,48,49,50,51,52,53,54</t>
  </si>
  <si>
    <t>PA4279 -- .R4 2012eb</t>
  </si>
  <si>
    <t>321.07; 321/.07</t>
  </si>
  <si>
    <t>,1,2,3,1,9,5,4,4,5,330,72</t>
  </si>
  <si>
    <t>kjVkQwUzEacsVgqCNlf9Tw==</t>
  </si>
  <si>
    <t>Treatment of Complex Trauma : A Sequenced, Relationship-Based Approach</t>
  </si>
  <si>
    <t>,1,2,3,4,5,27,28,29,25,26,52,53,54,50,51,112,144,145,113,114,110,111,146,142,143,147,148,149,150,151,152,153,154,20,23,24,25,26,22,27,28,29,30,31,32,34,35,36,37,33</t>
  </si>
  <si>
    <t>RC552.P67 -- C69 2012eb</t>
  </si>
  <si>
    <t>,1,2,3,4,5,6,7,6,7,8,9,10,11,12,13,14,15,16,17,4,1,3,5,6,7,8,9,10,54,55,56,52,53,57,58,59,60,61,62,63,64,65,66,67,68,69,70,71,72,73,74,75,76,1,3</t>
  </si>
  <si>
    <t>,4,5,1</t>
  </si>
  <si>
    <t>,40,41,40,39,17,17,40,41,42,41,40</t>
  </si>
  <si>
    <t>,1,2,1,2,3,3,2,2,203,204,203,204,205,205,202,201,202,206,206,200,201,417,418,417,418,419,419,415,416,416,420,420,421,421,422,422,423,423,424,424,425,425,426,426,427,427,428,428,429,429,430,430,431,431,432,432,433,433,434,434,435,435,430,430,430,430,430,417</t>
  </si>
  <si>
    <t>,1,2,3,1,20,21,22,38,39</t>
  </si>
  <si>
    <t>1XGfMmcdO7/lD5YsvqfBRA==</t>
  </si>
  <si>
    <t>Introduction to Computation and Modeling for Differential Equations</t>
  </si>
  <si>
    <t>,18,19</t>
  </si>
  <si>
    <t>QA371.5.D37 E37 2013</t>
  </si>
  <si>
    <t>515.350285; 515/.350285</t>
  </si>
  <si>
    <t>,33,34,35,36,37,38</t>
  </si>
  <si>
    <t>QA371.5.D37 -- .E37 2016eb</t>
  </si>
  <si>
    <t>515/.350285</t>
  </si>
  <si>
    <t>,1,2,3,12,13,14,10,11,15,16,17,18,19,20,21,22,23,24,25,26,27,28,29,30,31,32</t>
  </si>
  <si>
    <t>,1,2,3,14,15,16,12,13,17</t>
  </si>
  <si>
    <t>,4,5</t>
  </si>
  <si>
    <t>jolu8gGXUTxPWoceKVKm5g==</t>
  </si>
  <si>
    <t>Handbook of Military Social Work</t>
  </si>
  <si>
    <t>Military Science; Social Science</t>
  </si>
  <si>
    <t>,73,74</t>
  </si>
  <si>
    <t>UH755 -- .H36 2013eb</t>
  </si>
  <si>
    <t>355.345; 362.8</t>
  </si>
  <si>
    <t>,1,2,3,11,12,13,9,10,65,66,67,63,64,68,69,70,71,72,73,68,67,66,65,70,71,72</t>
  </si>
  <si>
    <t>caitlin.tobolski</t>
  </si>
  <si>
    <t>Daemen College</t>
  </si>
  <si>
    <t>daemen</t>
  </si>
  <si>
    <t>Scientific and Pastoral Perspectives on Intercessory Prayer : An Exchange Between Larry Dossey, MD, and Health Care Chaplains</t>
  </si>
  <si>
    <t>Religion</t>
  </si>
  <si>
    <t>,1,2,2,3,3,1,2,2,16,17,16,17,18,18,14,15,15,19,19,20,20,21,21,21,22,22,23,23,24,24,25,25,26,26,27,27,54,54,55,56,55,56,52,53,53,57,57,98,98,94,95,95,99,99,100,100,101,101,103,103,104,104,105,105,132,132,133,133,134,134,130</t>
  </si>
  <si>
    <t>38.123.35.150</t>
  </si>
  <si>
    <t>BV220 -- .S354 2012eb</t>
  </si>
  <si>
    <t>,1,2,3,470,471,472,468,473,474,475,476,477,478,479,480</t>
  </si>
  <si>
    <t>,4,5,6,7,8,9,10,11,12,13,14,15,16,16,17</t>
  </si>
  <si>
    <t>,13,13,14,17</t>
  </si>
  <si>
    <t>AmVrRqegSdZLpQ7TtnK0Lw==</t>
  </si>
  <si>
    <t>Handbook of Practical Program Evaluation</t>
  </si>
  <si>
    <t>Business/Management; Social Science</t>
  </si>
  <si>
    <t>,104,105,106,107,108,109,110,111,112,113,114,115,116,117,118,119,120,121,122,123,124,125,126,127,128,129,104,105,106,107,108,109,110,111,112,113,114,115,116,117,118,119,120,121,122,123,124,125,126,127,128,129</t>
  </si>
  <si>
    <t>H97</t>
  </si>
  <si>
    <t>,104,105,106,102,1,103,2,107,108,109,110,111,112,113,114,115,116,117,118,119,120,121,122,123,124,125,126,127,128,129,130,131,132,127,125,126,124,123,121,120,118,117,115,114,113,112,110,111,109,108,107,106,105,104,103,102</t>
  </si>
  <si>
    <t>Introductory Phonology</t>
  </si>
  <si>
    <t>John Wiley &amp; Sons</t>
  </si>
  <si>
    <t>,20,21,22,23,24,25,26,27,28,29,30,31,32,33,34,35,36,37,38,39,40,41,36,12,13,14,30,29,28,26,31,27,25,24,23,22,21,20,19,18,17,16,15,11,10,32,326,327,328,324,325,329,330,58,59,57,55,56,54,53,52,51,50,49</t>
  </si>
  <si>
    <t>P217 -- .H346 2009eb</t>
  </si>
  <si>
    <t>,1,2,3,4,5,6,7,8,9,10,11,12,13,14,15,16,17,18,19</t>
  </si>
  <si>
    <t>Real Estate License Exams For Dummies</t>
  </si>
  <si>
    <t>Economics; Business/Management</t>
  </si>
  <si>
    <t>,1,2,3,4,5,6,7,8,9,10,11,12,13,14,15,16,17,18,19,23,45,46,47,43,44</t>
  </si>
  <si>
    <t>HD278 -- .Y644 2013eb</t>
  </si>
  <si>
    <t>N/dCjz1XY5iGxdmbMU5JTg==</t>
  </si>
  <si>
    <t>NMR Spectroscopy : Basic Principles, Concepts and Applications in Chemistry</t>
  </si>
  <si>
    <t>Science: Chemistry; Science</t>
  </si>
  <si>
    <t>QD96.N8 -- .G68 2013eb</t>
  </si>
  <si>
    <t>l+WBSHidqB0=</t>
  </si>
  <si>
    <t>,1,2,3,25,26,27,21,22,23,5,6,7,8,9,11,12,13,14,15,2,16,17,18,19,20,21,16</t>
  </si>
  <si>
    <t>,1,2,3,43,16</t>
  </si>
  <si>
    <t>blqU7cQC6mXAxAn9K7+Wlg==</t>
  </si>
  <si>
    <t>One-Dimensional Man : Studies in the Ideology of Advanced Industrial Society</t>
  </si>
  <si>
    <t>,2,9,8,8,8,6,11,11,11,12,12,13,13,14,14,15,15</t>
  </si>
  <si>
    <t>HM101.M268</t>
  </si>
  <si>
    <t>,1,2,2,1,3,3,4,4,5,5,6,6,7,7,8,8,10,10,9,9,11,11</t>
  </si>
  <si>
    <t>,35</t>
  </si>
  <si>
    <t>s3gGEP5YzyzQLc0VjpCV5A==</t>
  </si>
  <si>
    <t>MATLAB For Dummies</t>
  </si>
  <si>
    <t>,1,2,3,4,5,6,7,8,9</t>
  </si>
  <si>
    <t>QA297 -- .S59 2015eb</t>
  </si>
  <si>
    <t>jcG+35siuPxMsWzudE3fKg==</t>
  </si>
  <si>
    <t>Fourier Transforms : Principles and Applications</t>
  </si>
  <si>
    <t>Mathematics; Engineering; Engineering: Electrical</t>
  </si>
  <si>
    <t>TK5102.9 -- .H365 2014eb</t>
  </si>
  <si>
    <t>515/.723</t>
  </si>
  <si>
    <t>,1,2,3,4,5,6,7,8,9,10,11,12,18,25,26,27,23,24,21,19,17,13,14,15,11,12,10,7,8,9,5,6,11,12,14,15,16,17,18,19,20,21,22,23,24,25,26,27,28,29,31,34,35,36,32,37,33,38,39,40,41,42,43,44,45,46,47,48,51,52,53,54,55,395,404,440,441,442,443,439,497,533,683,735,736,733,734,722,675,676,627,628,629,455,109</t>
  </si>
  <si>
    <t>/4aUkItjzzAQmyDNrQaE4g==</t>
  </si>
  <si>
    <t>Wiley CPA Examination Review 2013-2014, Problems and Solutions</t>
  </si>
  <si>
    <t>HF5659 .W384 2013</t>
  </si>
  <si>
    <t>cdmr9Zk8jKsJRspyXSxUiA==</t>
  </si>
  <si>
    <t>Music Production: Recording</t>
  </si>
  <si>
    <t>,71,128,129,126,127,130,106,124,126,125,122,123,431,432,433,429,430,434,435,436,437,438,439,440,376,377,378,374,375,379,380,381</t>
  </si>
  <si>
    <t>ML3790 -- .F49 2013eb</t>
  </si>
  <si>
    <t>,1,2,3,29,30,31,27,28</t>
  </si>
  <si>
    <t>kR/UME7JGiKOU6gqFUtTOA==</t>
  </si>
  <si>
    <t>Food and Society : Principles and Paradoxes</t>
  </si>
  <si>
    <t>,48,49,50,51,52,53,54,55,56,57,58,59,60,61,62,63,64,65,66,67,68,69,70,71,72,73,74,75,76,77,78,79,80,81,82,83,84,85,86,87,88,89,90,91,92,93,94,95,96,97,98,99,100,101,102,103,104,105,106,107,108,109,110,111,112,113,114,115,116,117,118,119,120,121,122,123,124,125,126,127,128,129</t>
  </si>
  <si>
    <t>GT2855 .G868 2013</t>
  </si>
  <si>
    <t>,1,2,3,1,3,2,4,4,5,5,6,6,7,7,8,8,2,9,9,10,11,11,10,12,12,13,13,14,14,15,15,16,16,17,17,18,18,19,19,20,20,21,21,22,22,23,23,24,24,25,25,26,26,27,27,28,28,29,29,30,30,31,31,32,32,33,33,34,34,29,34,29,19,20,21,17,18,22,23,24,25,26,27,27,22,27,22,27,22,27,22,27</t>
  </si>
  <si>
    <t>,1,2,3,48,49,50,46,47</t>
  </si>
  <si>
    <t>l17fsstZwl0=</t>
  </si>
  <si>
    <t>Electron Flow in Organic Chemistry : A Decision-Based Guide to Organic Mechanisms</t>
  </si>
  <si>
    <t>QD251.3 -- .S38 2013eb</t>
  </si>
  <si>
    <t>547/.128</t>
  </si>
  <si>
    <t>,37</t>
  </si>
  <si>
    <t>Ih5oJK3jaP/ZeziuItsZ0A==</t>
  </si>
  <si>
    <t>The 1970s : A New Global History from Civil Rights to Economic Inequality</t>
  </si>
  <si>
    <t>Princeton University Press</t>
  </si>
  <si>
    <t>History; Geography/Travel</t>
  </si>
  <si>
    <t>,1,2,3,51,52,53,49,50,47,48,46,45,44,2,43,41,42,39,40,38,37,36,35,34,40,41,42,37,42,43,44,45,47,48,49,46,50,51,52,53,45,44,49,50,51,52,53,54,55,56,57,58,59,60,51,52,49,50,48,47,46,51,48,53,48,46,47,51,52,53,54,48,49,46,47,51</t>
  </si>
  <si>
    <t>E839 -- .B59 2012eb</t>
  </si>
  <si>
    <t>909.82/7</t>
  </si>
  <si>
    <t>Wiley CPAexcel Exam Review 2015 Study Guide July : Auditing and Attestation</t>
  </si>
  <si>
    <t>,1,2,3,497,498,499,495,496,499,500,501,496,495,500,500,501,502,503,504,505,506,497,496,502,503,497,496,503,504,505,499,498,497</t>
  </si>
  <si>
    <t>,497,498,497,497</t>
  </si>
  <si>
    <t>HF5661</t>
  </si>
  <si>
    <t>,1,2,3,34,35,36,32,33</t>
  </si>
  <si>
    <t>A Taste for Brown Bodies : Gay Modernity and Cosmopolitan Desire</t>
  </si>
  <si>
    <t>enHsPR+mab8=</t>
  </si>
  <si>
    <t>The Mindful Way through Stress : The Proven 8-Week Path to Health, Happiness, and Well-Being</t>
  </si>
  <si>
    <t>,173,174,175,171,172,176,177,178,179,180,181,182,183,184,185,186,187,188,189,190,191,192,193,194,195,196,197,198,199,200,251,252,253,249,250,254,255,256,257,258,259,260,261</t>
  </si>
  <si>
    <t>,97,98,99,100,101,102,103,104,105,106,107,108,109,110,111,112,113,114,115,116,117,118,119,120,121,122,123,180,181,182,183,184,185,186</t>
  </si>
  <si>
    <t>RA785 -- .A43 2015eb</t>
  </si>
  <si>
    <t>,66,67,63,64,90,95,96,97,98,94,99,68,69,70,71,72,73,74,75,76,77,78,79,100,101</t>
  </si>
  <si>
    <t>LB4qv9MjILtwVhmnp2F4CA==</t>
  </si>
  <si>
    <t>Rise and Fall of American Art, 1940sâ€“1980s : A Geopolitics of Western Art Worlds</t>
  </si>
  <si>
    <t>,1,2,3,71,72,73,69,70,76,75,74,75,93,83,62,1,3,7,9,11</t>
  </si>
  <si>
    <t>N72.S6 D67 2015</t>
  </si>
  <si>
    <t>709.04''5</t>
  </si>
  <si>
    <t>,1,2,3,54,55,56,52,53,57,58,59,60,61,65,66,67,63,64,68,69,70,71,72,73,74,337,338,335,336</t>
  </si>
  <si>
    <t>ABC of Anxiety and Depression</t>
  </si>
  <si>
    <t>,13,13,13</t>
  </si>
  <si>
    <t>RC537 -- .A236 2014eb</t>
  </si>
  <si>
    <t>616.85/27</t>
  </si>
  <si>
    <t>,1,2,3,13,14,15,11,12</t>
  </si>
  <si>
    <t>TQhhSxk9WtitXnbpeC0lCQ==</t>
  </si>
  <si>
    <t>Day Trading For Dummies</t>
  </si>
  <si>
    <t>,1,2,3,115,116,117,113,114,118,119,120,120,121</t>
  </si>
  <si>
    <t>HG4515.95 -- .L648 2014eb</t>
  </si>
  <si>
    <t>brmonroe</t>
  </si>
  <si>
    <t>Wandering Mind : What the Brain Does When You're Not Looking</t>
  </si>
  <si>
    <t>University of Chicago Press</t>
  </si>
  <si>
    <t>,1,3,2,76,62,46,47,44,45,2</t>
  </si>
  <si>
    <t>216.226.102.163</t>
  </si>
  <si>
    <t>BF201 -- .C67 2015eb</t>
  </si>
  <si>
    <t>,1,2,3,4,5,6,62,63,64,61,66</t>
  </si>
  <si>
    <t>yVecPBSlpoOn39Q+F7Katw==</t>
  </si>
  <si>
    <t>Gamification of Learning and Instruction : Game-based Methods and Strategies for Training and Education</t>
  </si>
  <si>
    <t>Business/Management; Education</t>
  </si>
  <si>
    <t>LB1029.G3 -- K364 2012eb</t>
  </si>
  <si>
    <t>371.33/4; 371.334; 658.312404</t>
  </si>
  <si>
    <t>,1,2,2,3,3,1,2,2</t>
  </si>
  <si>
    <t>,4,5,6,7,8,9,10,11,12,13,14,15,16,17,18,19,20,21</t>
  </si>
  <si>
    <t>3rcywKqbPdn6Il3Cf7588Q==</t>
  </si>
  <si>
    <t>Child Development, Third Edition : A Practitioner's Guide</t>
  </si>
  <si>
    <t>,79,80,81,77,78,82,83,84,85,86,81,80,79,78,77,100,76,74,70,71,72,79,96,115,116,117,113,114,118,119,120,121,122,123,124,125,126,127,128,129,130,131,132,133,134,135,136,137,138,139,140,141,142,143,144,145,146,140</t>
  </si>
  <si>
    <t>HQ767.9 -- .D38 2011eb</t>
  </si>
  <si>
    <t>,1,2,3,4,5,16,17,18,14,15,19,20,21</t>
  </si>
  <si>
    <t>Z8CXbePguXg=</t>
  </si>
  <si>
    <t>Consciousness : An Introduction</t>
  </si>
  <si>
    <t>Psychology; Philosophy</t>
  </si>
  <si>
    <t>,377,378,379,380,381,382,383,384,385,386,387,388,389,390,391,392,393,394,395,396,397,398,399,400,401,402,403,404,405,406,407,408,409,410,411,412,413,414,415,416,417,418,419,420,421,422,423,424,425,426,427,428,429,430,431,432,433,434,435,436,437,438,439,440,441,442,443,444,445,446,447,448,449,450,451,452</t>
  </si>
  <si>
    <t>B808.9 .B528 2010</t>
  </si>
  <si>
    <t>sAW5HBhtYDwAD1Mj8vXhYQ==</t>
  </si>
  <si>
    <t>,305,306,307,308,309,310,311,312,313,314,315,316,317,318,319,320,321,322,323,324,325,326,327,328,329,330,331,332,333,334,335,336,337,338,339,340,341,342,343,344,345,346,347,348,349,350,351,352,353,354,355,356,357,358,359,360,361,362,363,364,365,366,367,368,369,370,371,372,373,374,375,376</t>
  </si>
  <si>
    <t>K1FhT4AXKIjASagkvMdpBQ==</t>
  </si>
  <si>
    <t>jaxUUeOoWLI=</t>
  </si>
  <si>
    <t>,1,2,3,22,23,24,20,21,25</t>
  </si>
  <si>
    <t>4z3j+2Go2j0=</t>
  </si>
  <si>
    <t>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</t>
  </si>
  <si>
    <t>+8gCxaqtWP9COBamlV7x3w==</t>
  </si>
  <si>
    <t>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</t>
  </si>
  <si>
    <t>,28,29,30,31,32,33,34,35,36,37,38,39,40,41,42,43,44,45,46,47,48,49,50,51,52,53,54,55,56,57,58,59,60,61,62,113,114,115,111,112,116,117</t>
  </si>
  <si>
    <t>gu6fp6Z3BhY02939spxVIg==</t>
  </si>
  <si>
    <t>Profiting from Weekly Options : How to Earn Consistent Income Trading Weekly Option Serials</t>
  </si>
  <si>
    <t>HG6024.A3 -- .S454 2015eb</t>
  </si>
  <si>
    <t>332.64/53</t>
  </si>
  <si>
    <t>,1,2,3,18,19,20,16,17,21,22,23,24,5,6,7,4,25,26,27</t>
  </si>
  <si>
    <t>,1,3,2,23,24,22,25,21,38,39,40,37,36,35,34,33,31,32,30,29,28,27,166,164,167,165,168,169,186,187,188,185,184,183</t>
  </si>
  <si>
    <t>f1Gh+yoAJEaZ9Zw0MOS1Pg==</t>
  </si>
  <si>
    <t>Readings in Planning Theory</t>
  </si>
  <si>
    <t>,121,122</t>
  </si>
  <si>
    <t>HT165.5 -- .R433 2016eb</t>
  </si>
  <si>
    <t>,1,2,3,11,12,13,4,118,119,120,116,117</t>
  </si>
  <si>
    <t>,1,16,17,18,19,20,21,22,23,24,25,26,27,28,29,30,31,32,33,34,35,36,37,38</t>
  </si>
  <si>
    <t>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</t>
  </si>
  <si>
    <t>kjHPlDNmbc8=</t>
  </si>
  <si>
    <t>Drunken Monkey : Why We Drink and Abuse Alcohol</t>
  </si>
  <si>
    <t>,1,2,3,4,5,6,7,8,97,98,99,95,96,100,101,134,135,136,132,133,137,11,9,10,12,13,14,15</t>
  </si>
  <si>
    <t>GT2884 -- .D84 2014eb</t>
  </si>
  <si>
    <t>394.1/3</t>
  </si>
  <si>
    <t>B4B0evnTwfI=</t>
  </si>
  <si>
    <t>Making and Managing Public Policy</t>
  </si>
  <si>
    <t>Social Science; Political Science</t>
  </si>
  <si>
    <t>,1,69,70,71,67,68,2,72,73,74,75,76,77,78,79,80,81,82,83,84,85,86,87,88,89,90,91,92,93,94,95,96,97,98,99,100,101,102</t>
  </si>
  <si>
    <t>H97 -- .M54 2014eb</t>
  </si>
  <si>
    <t>,1,2,3,34,35,36,32,33,31,30,29,28,27,26,1,27,26,28,24,25,35,36,34,32,33,2,37,38,39,40</t>
  </si>
  <si>
    <t>,1,2,3,113,114,115,111,112,1,112,113,114,110,111,115,2,116,1,116,117,118,114,115,2,119,120,121,122,123,124,125,126,127,128,129,130,131,132,133,113</t>
  </si>
  <si>
    <t>,1,2,3,23,25,24,22,21,27,26,28,29,30,31,32,33,34,35</t>
  </si>
  <si>
    <t>/yDQmHFtMbt26jVX1PIouA==</t>
  </si>
  <si>
    <t>Growing Older : Perspectives on LGBT Aging</t>
  </si>
  <si>
    <t>,1,3,2,4,5,6,7,8,9,10</t>
  </si>
  <si>
    <t>,1,2,3,103,104,105,101,102,106,107,108,109,110,111,112</t>
  </si>
  <si>
    <t>,4,5,10,11,12,13,9,14,15,16,17,25,23,24,21,22,20,18,19,26,27,28,29,30,31,32,33,34,35,38,39,40,41,42,37,36</t>
  </si>
  <si>
    <t>,1,3,2,18,20,19,22,23,24,21</t>
  </si>
  <si>
    <t>QuickBooks 2013 For Dummies</t>
  </si>
  <si>
    <t>74.39.196.130</t>
  </si>
  <si>
    <t>HF5679</t>
  </si>
  <si>
    <t>Photoshop CC Digital Classroom</t>
  </si>
  <si>
    <t>,1,2,3,61,62,63,59,60,64,65,37,38,39,35,36</t>
  </si>
  <si>
    <t>T385 -- .S658 2013eb</t>
  </si>
  <si>
    <t>ki63svglFJpNPDl/j1k+LA==</t>
  </si>
  <si>
    <t>SUNY Cobleskill</t>
  </si>
  <si>
    <t>cobleskill</t>
  </si>
  <si>
    <t>,1,169,170,171,167,168,172,173,2,167,174,175,176,177,178,179,180,181,182,183,184,185,186,187,188,201,202,203,199,200,198,197,196,195,194,193,192,191,190,188,189,187,161,162,163,159,160,158,167</t>
  </si>
  <si>
    <t>137.36.32.34</t>
  </si>
  <si>
    <t>,105,106,107,42,43,41,40,500,501,502,498,499,503,504,505,506,505,506,507,508</t>
  </si>
  <si>
    <t>,1,2,3,4,5,6,7,8,9,10,11,12,13,7,13,14,15,16,17,18,19,625,626,627,623,624,628,629,630,631,632,633,634,635,636,637,638,639,640,641,642,643,644,645,646,647,648,649,650,651,652,653,654,655,656,657,658,659,660,661,44,45,46,42,43,47,48,49,50,51,52,53,54,55,56,57,58,59,60,61,62,63,64,65,66,67,68,69,70,71,72,73,74,75,76,77,78,79,80,81,82,83,84,85,86,87,88,89,90,91,92,93,94,95,96,97,98,99,100,101,102,103,104</t>
  </si>
  <si>
    <t>m86Wdr9qn2k=</t>
  </si>
  <si>
    <t>ADA Practical Guide to Patients with Medical Conditions</t>
  </si>
  <si>
    <t>,1,2,3,85,86,87,83,84,88,89</t>
  </si>
  <si>
    <t>RK56</t>
  </si>
  <si>
    <t>V4504ATLGtm4iXJOp8Y6EQ==</t>
  </si>
  <si>
    <t>,67,67,68,68,63,62,60,61,65,58,59,55,54,56,57</t>
  </si>
  <si>
    <t>,1,56,57,54,56,57,58,55,1,58,55,59,59,61,63,56,2,2,61,62,63,62,60,60,64,66,65,65,66,64</t>
  </si>
  <si>
    <t>F6ZGAfmpGBeldfusCH1AqQ==</t>
  </si>
  <si>
    <t>,1,3,2</t>
  </si>
  <si>
    <t>Henry Wallace's 1948 Presidential Campaign and the Future of Postwar Liberalism</t>
  </si>
  <si>
    <t>The University of North Carolina Press</t>
  </si>
  <si>
    <t>,13,14,15,16</t>
  </si>
  <si>
    <t>E748.W23 -- D48 2013eb</t>
  </si>
  <si>
    <t>,1,2,3,4,2,5,6,7,8,9,10,11,12</t>
  </si>
  <si>
    <t>XcfeSj4XoFzScwlcJ2FL+g==</t>
  </si>
  <si>
    <t>Evidence-Based Neurology : Management of Neurological Disorders</t>
  </si>
  <si>
    <t>RC346 -- .E953 2015eb</t>
  </si>
  <si>
    <t>stEuCRysMkM=</t>
  </si>
  <si>
    <t>,1,2,1,3,3,2</t>
  </si>
  <si>
    <t>RWXnI2+xxT6p3lh6lUYqXA==</t>
  </si>
  <si>
    <t>SUNY Potsdam</t>
  </si>
  <si>
    <t>potsdam</t>
  </si>
  <si>
    <t>Introduction to Sociological Theory : Theorists, Concepts, and their Applicability to the Twenty-First Century</t>
  </si>
  <si>
    <t>,1,2,3,53,54,55,51,52,56,57,58</t>
  </si>
  <si>
    <t>137.143.104.94</t>
  </si>
  <si>
    <t>HM585 -- .D555 2014eb</t>
  </si>
  <si>
    <t>Adorno and the Ends of Philosophy</t>
  </si>
  <si>
    <t>Philosophy</t>
  </si>
  <si>
    <t>,25,26</t>
  </si>
  <si>
    <t>B3199.A34 -- B69 2013eb</t>
  </si>
  <si>
    <t>3HWLl5Wyd2M=</t>
  </si>
  <si>
    <t>,1,2,3,4,5,6,7,8,9,10,11,12,13,14,15,16,17,18,19,20,21,22,23,24</t>
  </si>
  <si>
    <t>,1,2,3,457,458,459,455,460,461,462,463,464,2,465,466,467,468,469,470,471,472,473,474,475,476,477,478,470,478,479,480,481,482,483,484,485,486,487,488,489,490,491,492,493,494,495,496,497,498,499</t>
  </si>
  <si>
    <t>,473,475,476,476,478,483</t>
  </si>
  <si>
    <t>,4,5,6,7,8,9,10,11,12,13,14,15,16,17,18,19,20,21,22,23,24,25,26,27,28,29,30,31</t>
  </si>
  <si>
    <t>,25,24,23,22,21,27,28,29,23,22,20,26,25,21,14,13,18,29,21,22,23,24,20,25,26,27,28,29,30,31,32,33,27,26,25,24,23,22,21,20</t>
  </si>
  <si>
    <t>,23</t>
  </si>
  <si>
    <t>lpyZHu18dBOqOAk13ag3XA==</t>
  </si>
  <si>
    <t>A Companion to American Gothic</t>
  </si>
  <si>
    <t>,33,34,35,36,43,44,45,41,42,46,47,48,49,50,52,57,58,55,56,60,61</t>
  </si>
  <si>
    <t>,26,17,11,7,5,2,1,3,18,19,20,16,17,22,23,24,21,35,36,25,26,38,37,35,33,31,29,28,27,22,21,26,27,28,29,30,31,32,33,18,20,23,25,28,27,26,47,42,40,38,36,34,32,35,39,37,34,28,34,35,35,39,40,38,37,36,37,38,39,40,40,41,42,43,44,45,46,47,48,49,50,51,52,43,42,41,40,46,47,48,49,50,44</t>
  </si>
  <si>
    <t>,23,1,23,24,25,23,24,25,27,28,31,31,32,34,35,37</t>
  </si>
  <si>
    <t>,1,2,3,12,13,7,5,22,23,24,20,21,25</t>
  </si>
  <si>
    <t>,1,2,3,5,6,7,4,8,9,10,11,12,13,15,17,18,19,20,22,23,24,25,26,27,28,29,30,31,32</t>
  </si>
  <si>
    <t>H4pfO1i5i3A=</t>
  </si>
  <si>
    <t>,1,1</t>
  </si>
  <si>
    <t>,1,3,2,22,23,24,20,21,55,62,46,35,36,37,38,34,39,40,41,42,43,44,45,46,47,48,49,50,51,52,19,16,5,4,6,22,23,24,20,21,27,19,8,1,5,13,4,3,15,16,9,19,26,28,29,30,27</t>
  </si>
  <si>
    <t>,1,2,3,1,1,3,3,5,5,6,6,7,7,11,11,13,13,1,1</t>
  </si>
  <si>
    <t>t1NxeZ0Ik2wkhJEN/1MCcA==</t>
  </si>
  <si>
    <t>Psychoanalytic Diagnosis, Second Edition : Understanding Personality Structure in the Clinical Process</t>
  </si>
  <si>
    <t>,1,2,3,4,5,6,7,8,10,11,9,12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8,189,187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80,279,281,282,283,284,286,285,287,288,289,290,291,292,293,294,295,296,297,298,299,300,301,302,303,304,306,307,308,305,305,1,2,3,1,2,3</t>
  </si>
  <si>
    <t>RC489.T95 -- M38 2011eb</t>
  </si>
  <si>
    <t>0FV8PMxJk7JeAUpxam2iuA==</t>
  </si>
  <si>
    <t>,21,27,27,28</t>
  </si>
  <si>
    <t>,239,239,240,240,241,242,243,244,245,246,247,248,248,249,250,251,251,252,253,254,255,256,257,258,259,259,260,261,262,263,264,265,266,267,268,269,270,271,272,273,274,275,276,277,277,278,279,280,280,281,282,283,284,285,286,287,288</t>
  </si>
  <si>
    <t>,25,25,25,26,27,28,29,30,31,32,33,33,33,34,35,36,37,38,38,38,39,39,39,40,40,40,41,41,41,41,42,43,44,44,45,46,47,48,49,50,51,52,53,53,54,55,56,57,58,59,60,60,61,62,63,64,65,66,67,68,69,70,70,71,72,72,73,74,75,76,77,78,78,79,80,81,82,83,84,85,86,87,87,88,89,90,91,92,93,94,95,96,97,98,99,100,101,102,103,104,105,106,107,108,108,109,109,110,111,112,112,113,114,115,115,116,116,117,118,119,119,120,121,122,123,124,125,126,126,127,128,129,130,131,131,132,133,134,135,136,137,138,139,140,141,142,143,144,145,146,147,148,149,150,151,152,152,153,153,154,155,156,157,158,159,160,161,162,163,163,164,165,166,167,168,169,170,171,172,173,174,175,176,177,178,179,180,181,182,183,184,185,185,185,186,187,188,189,190,191,191,192,192,193,194,195,196,197,198,198,199,200,201,201,202,203,204,204,205,206,207,208,209,210,211,211,212,213,214,215,216,217,218,219,220,221,222,223,224,225,226,227,228,229,230,231,232,233,234,235,236,237,238</t>
  </si>
  <si>
    <t>m2monroe</t>
  </si>
  <si>
    <t>Lions in the Balance : Man-Eaters, Manes, and Men with Guns</t>
  </si>
  <si>
    <t>Science; Science: Zoology</t>
  </si>
  <si>
    <t>,1,2,3,65,66,67,63,64,68,69,70,71,72,73,74</t>
  </si>
  <si>
    <t>QL737.C23 -- P32 2015eb</t>
  </si>
  <si>
    <t>599.75709678/27</t>
  </si>
  <si>
    <t>,1,2,3,7,8,4,5,6,7,8,9,23,24,25,21,22,26,27,28,26</t>
  </si>
  <si>
    <t>,25,25,25,26,27,28,29,30,31,32,33,33,33,34,35,36,37,38,38,38,39,39,39,40,40,40,41,41,41,41,42,43,44,44,45,46,47,48,49,50,51,52,53,53,54,55,56,57,58,59,60,60,61,62,63,64,65,66,67,68,69,70,70,71,72,72,73,74,75,76,77,78,78,79,80,81,82,83,84,85,86,87,87,88,89,90,91,92,93,94,95,96,97,98,99,100,101,102,103,104,105,106,107,108,108,109,109,110,111,112,112,113,114,115,115,116,116,117,118,119,119,120,121,122,123,124,125,126,126,127,128,129,130,131,131,132,133,134,135,136,137,138,139,140,141,142,143,144,145,146,147,148,149,150,151,152,152,153,153,154,155,156,157,158,159,160,161,162,163,163,164,165,166,167,168,169,170,171,172,173,174,175,176,177,178,179,180,181,182,183,184</t>
  </si>
  <si>
    <t>,1,2,3,9,19,25,211,218,237,238,239,240,241,243,5,1,25,25,26,27,23,24,29,39,40,1,2,3</t>
  </si>
  <si>
    <t>,1,2,3,457,458,459,460,461,2,462,463,464,465,466,467,468,469,470,471,472,473,474,475,476,477,478,472,471,470,469,469,475,476,477,478,473,472,471,470,469,468,467</t>
  </si>
  <si>
    <t>,472,472,472</t>
  </si>
  <si>
    <t>/kuqTDDRewVsnd1KveTRhw==</t>
  </si>
  <si>
    <t>,43,44,45,46,47,48,49,50,51,52,53,54,55,56,57,58,59,60,61,62,63,64,65,66,67,68,69,70,71,72,73,74,75,76,77,78,79,80,81,82,83,84,85,86,87,88,89,90,91,92,93,94,95,96,97,98,99,100,101,102</t>
  </si>
  <si>
    <t>Big Bang Theory and Philosophy : Rock, Paper, Scissors, Aristotle, Locke</t>
  </si>
  <si>
    <t>,1,2,3,19,20,21,17,18</t>
  </si>
  <si>
    <t>PN1992.77.B485 -- B54 2012eb</t>
  </si>
  <si>
    <t>791.45/72</t>
  </si>
  <si>
    <t>,1,2,3,40,41,42,38,39,100,101,102</t>
  </si>
  <si>
    <t>Czcl6sOmZ+FQkrFhHrbdXA==</t>
  </si>
  <si>
    <t>Film Analysis : A Casebook</t>
  </si>
  <si>
    <t>,1,2,3,13,14,15,11,12,16,17,18</t>
  </si>
  <si>
    <t>PN1995 -- .C3529 2015eb</t>
  </si>
  <si>
    <t>791.43/75</t>
  </si>
  <si>
    <t>,1,16,17,18,14,15,2,19,13,15,16,17,17,18</t>
  </si>
  <si>
    <t>,1,2,3,22,23,24,22,23,22,22,22,22,16,16,16</t>
  </si>
  <si>
    <t>,21,22,23,24,25</t>
  </si>
  <si>
    <t>kktrMuJQ/wHNU1jrgk9Dew==</t>
  </si>
  <si>
    <t>,13,14,13,14,15,11,15</t>
  </si>
  <si>
    <t>,1,2,3,2,3,1,2,2,4,5,6,4,5,6,7,8,7,8,10,9,10,9,11,12,11,12</t>
  </si>
  <si>
    <t>,1,2,3,2,3,2,1,2,4,4</t>
  </si>
  <si>
    <t>,1,3,2,16,18,17,14,15,19,20</t>
  </si>
  <si>
    <t>daj5vzNcleYQBtjOeyZfog==</t>
  </si>
  <si>
    <t>Bellies and Babies : The Business of Maternity and Newborn Photography</t>
  </si>
  <si>
    <t>,1,2,3,4,5,6,7,8,9,10,2,11,12,13,14,15,16,17,174,175,176,172,173,177,178,179,180,181,182,183</t>
  </si>
  <si>
    <t>TR681.P67 .P384 2013</t>
  </si>
  <si>
    <t>0ABMLmvm2/om3k8eTUmThQ==</t>
  </si>
  <si>
    <t>,1,2,3,4,7,12,13,14,10,11,15,16,17,18,19,14,20,21,22,23,24,25,26,27,28,29,30,31,31</t>
  </si>
  <si>
    <t>,22,12,16</t>
  </si>
  <si>
    <t>vjkfXeEeQWQW/sea7oxZ8w==</t>
  </si>
  <si>
    <t>Urban Planning For Dummies</t>
  </si>
  <si>
    <t>HT166 -- .Y565 2012eb</t>
  </si>
  <si>
    <t>307.1/216; 307.1216; 307.1416</t>
  </si>
  <si>
    <t>dP9PPa+hTpFr/QPSZHHanw==</t>
  </si>
  <si>
    <t>Modern Art : A Critical Introduction</t>
  </si>
  <si>
    <t>,308,309,310,307,306,311,312,313,314,261,262,263,259,260</t>
  </si>
  <si>
    <t>,261,262,263,264,308,309,310,311,312,313,314,315</t>
  </si>
  <si>
    <t>N6494.M64 -- M44 2005eb</t>
  </si>
  <si>
    <t>CQMRdNdzFrSRPj0d7aJ7ZQ==</t>
  </si>
  <si>
    <t>Nanomaterials for Environmental Protection</t>
  </si>
  <si>
    <t>Engineering: Environmental; Engineering</t>
  </si>
  <si>
    <t>,1,2,3,27,28,29,25,26,30,31,32,33,34,35,36,37,38,39,40,41</t>
  </si>
  <si>
    <t>TD192 -- .N354 2014eb</t>
  </si>
  <si>
    <t>628.028/4</t>
  </si>
  <si>
    <t>,1,2,3,1,2,16,17,18,19,20,21,22,23,24,25,26,27,28,29</t>
  </si>
  <si>
    <t>Theory for Art History : Adapted from Theory for Religious Studies, by William E. Deal and Timothy K. Beal</t>
  </si>
  <si>
    <t>N7480 -- .E46 2005eb</t>
  </si>
  <si>
    <t>rsrkz9MRIFZ/NumClZf8iw==</t>
  </si>
  <si>
    <t>,1,2,3,4,5,6,7,8,9,10,11,24,34,35,36,32,33,37,1411,1412,1413,1410,1409,1408,1407,38</t>
  </si>
  <si>
    <t>,1,2,3,4,5,6,7,5,6,7,1,4,5,6,2,3,1,3,4,5,2</t>
  </si>
  <si>
    <t>,1,2,3,1,3,4,5,2</t>
  </si>
  <si>
    <t>,1,2,3,1,90</t>
  </si>
  <si>
    <t>DSM-5® Diagnosis in the Schools</t>
  </si>
  <si>
    <t>NIkyJszWz5RVRT6pfcAikw==</t>
  </si>
  <si>
    <t>,1,2,3,1,2</t>
  </si>
  <si>
    <t>zYzH17VOmtOnZbggSlhI9Q==</t>
  </si>
  <si>
    <t>College Counseling for Admissions Professionals : Improving Access and Retention</t>
  </si>
  <si>
    <t>,6,7,8,9,10,11,12,13,14,15,17,18,19,13,20</t>
  </si>
  <si>
    <t>,3,16</t>
  </si>
  <si>
    <t>LB1620.5 -- .D83 2014eb</t>
  </si>
  <si>
    <t>Colonizer and the Colonized</t>
  </si>
  <si>
    <t>,1,2,3,4,5,6,8,9,10,11,7</t>
  </si>
  <si>
    <t>JV51 -- .M46 2003eb</t>
  </si>
  <si>
    <t>325.3; 325/.3</t>
  </si>
  <si>
    <t>,44,45,46,47,48,49,50,51,52,53,54,55,56,57,58,58,1,59,60,56,57,61,2,62,63,64,65,66,67,68,69,70,71,72,73,74,75</t>
  </si>
  <si>
    <t>Wiley-Blackwell Companion to Economic Geography</t>
  </si>
  <si>
    <t>HF1025 -- .W582 2012eb</t>
  </si>
  <si>
    <t>,1,2,3,33,34,35,31,32,36,37,38,39,40,41,42,43</t>
  </si>
  <si>
    <t>rTV+rsCXGt0=</t>
  </si>
  <si>
    <t>,1,2,2,3,1,3</t>
  </si>
  <si>
    <t>0M1xLg52jZ7mPqhYdddgdA==</t>
  </si>
  <si>
    <t>,1,2,3,1,237</t>
  </si>
  <si>
    <t>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</t>
  </si>
  <si>
    <t>,5,6,7,8,9,10,11,12,13,14,15,16,17,18,19,20,21,22,23,24,25,25,25,26,27,28,29,30,31,32,33,33,33,34,35,36,37,38,38,38,39,39,39,40,40,40,41,41,41,41,42,43</t>
  </si>
  <si>
    <t>,1,2,3,1,5</t>
  </si>
  <si>
    <t>,27,28,29,30,31,32,33,34,35,36,37,38,39,40</t>
  </si>
  <si>
    <t>eavzpa5X00Bu5Hg2F9WETQ==</t>
  </si>
  <si>
    <t>Architectural Research Methods</t>
  </si>
  <si>
    <t>,325,325,326,327,328,328,329,330,330,331,332,333,334,335,335,336,337,338,339,340,341,341,342,343,344,345,346,347,348,349,350,351,352,353,354,355,356,357,358,359,360,361,361,362,362,363,364,365,366,367,368,368,368,369,370,371,372,372,373,374,375,375,376,377,378,379,380,381,382,383,384,385,386,387,388,389,390</t>
  </si>
  <si>
    <t>NA2000 -- .G76 2013eb</t>
  </si>
  <si>
    <t>v6oIy4vJqd5PNXqGRpFtdA==</t>
  </si>
  <si>
    <t>How Fashion Works : Couture, Ready-to-Wear and Mass Production</t>
  </si>
  <si>
    <t>Social Science; Fine Arts</t>
  </si>
  <si>
    <t>,1,2,1,2,3,3,2,2,4,4</t>
  </si>
  <si>
    <t>TT497 -- .W33 2004eb</t>
  </si>
  <si>
    <t>,1,2,3,22,23,24,20,21,22,23,24,20,21,25,26</t>
  </si>
  <si>
    <t>uCtwSY1L9IY=</t>
  </si>
  <si>
    <t>The Turn to Ethics</t>
  </si>
  <si>
    <t>,44</t>
  </si>
  <si>
    <t>,44,45,46,47,48,49,50,51,52,53,54,55,56,57,58,59,60,61</t>
  </si>
  <si>
    <t>BJ19 -- .T87 2000eb</t>
  </si>
  <si>
    <t>,1,2,2,1,3,3,44,44,45,46,45,46,42,43,43,6,6,7,7,8,8,4,5,5,2,9,9,10,11,11,10,12,12,10,44</t>
  </si>
  <si>
    <t>Signatures of the Visible</t>
  </si>
  <si>
    <t>PN1994 -- .J36 2012eb</t>
  </si>
  <si>
    <t>sNyfhktWqk0gtGmElTeeoQ==</t>
  </si>
  <si>
    <t>Barrio Rising : Urban Popular Politics and the Making of Modern Venezuela</t>
  </si>
  <si>
    <t>,1,2,3,4,5,6,7,8,9,10,11,12,13,14,15,16,17,18,19,20,21,22,23,24,25,26,27,28,29,30,31,32,33,34,35,36,37,38,39,40,41,42,43,44,45,46,47,48,49,50,52,53,54,55,56,57,58,59,60,248,249,250,251,252,253,254,255,256,257,258,259,260,261,262,263,264,265,266,267,268</t>
  </si>
  <si>
    <t>F2341.C257</t>
  </si>
  <si>
    <t>Feminists Theorize the Political</t>
  </si>
  <si>
    <t>,1,404,405,406,402,403</t>
  </si>
  <si>
    <t>HQ1190 -- .F48 1992eb</t>
  </si>
  <si>
    <t>305.42/01</t>
  </si>
  <si>
    <t>RqZmm1JtzaNt35BUBR2RbQ==</t>
  </si>
  <si>
    <t>The Complete Family Guide to Schizophrenia : Helping Your Loved One Get the Most Out of Life</t>
  </si>
  <si>
    <t>,1,2,3,105,106,107,103,104</t>
  </si>
  <si>
    <t>RC514 -- .M84 2006eb</t>
  </si>
  <si>
    <t>Grmonroe</t>
  </si>
  <si>
    <t>Minecraft Recipes For Dummies</t>
  </si>
  <si>
    <t>Sport &amp; Recreation</t>
  </si>
  <si>
    <t>,1,1,2,2,3,3</t>
  </si>
  <si>
    <t>216.226.127.171</t>
  </si>
  <si>
    <t>GV1469.35.M535 -- .S739 2015eb</t>
  </si>
  <si>
    <t>,1,2,3,4,5,18,19,20,16,17,21</t>
  </si>
  <si>
    <t>0lr1R3ahIpV6OH1sld76gQ==</t>
  </si>
  <si>
    <t>The Liberation of Painting : Modernism and Anarchism in Avant-Guerre Paris</t>
  </si>
  <si>
    <t>,1,2,3,4,12,13,14,10,11,15,16,17,18,19,8,9,10,36,37,38,34,35</t>
  </si>
  <si>
    <t>ND550</t>
  </si>
  <si>
    <t>759.4/36109041</t>
  </si>
  <si>
    <t>,1,2,2,1,3,3</t>
  </si>
  <si>
    <t>,1,2,3,103,104,105,101,102</t>
  </si>
  <si>
    <t>,329,391,392,393,390,388,389,387,361,362,363,359,360</t>
  </si>
  <si>
    <t>,1,2,3,27,28,29,25,26,30,33,34,35,31,32,36,37,38,113,114,115,111,112,116,325,326,327,323,324,328</t>
  </si>
  <si>
    <t>b4benkXz76U=</t>
  </si>
  <si>
    <t>,1,2,2,3,3,1,2,2,22,23,24,20,21,23,21,22,24,25,25,26,27,28,27,28,29,30,31,31,29,26,30,32,33,32,34,34,35,35,36,37,38,38,33,7,8,7,37,5,9,6,6,8,9,36,22,23,24,20,21,25,26,27,28,23,28,23,28,29,30,31,26,31,32,33,27,26,28,31,26,31,32,33,28,33,34,35,36,37,38,39,40,35,34,40,39,33,32,37,38,39,40,34,39,40,41,42,41,42,44,43,45,45,43,44,46,47,47,46,48,48,49,50,50,51,49,51,52,47,46,45,40,34,52,35,36,37,38,39,40,41,42,37,42,43,44,45,39,44,45,46,47,48,49,50,51,46,45,43,44,42,41,46,47,42,41,46,47,48,49,50,45,44,49,44,49,44,49,50,51,52,46,51,46,51,52,53,54,48,49,53</t>
  </si>
  <si>
    <t>xF43gIo4WxS7IJg2Jm6D+Q==</t>
  </si>
  <si>
    <t>,1,23,7,22,23,23,38,23,24,24,24,24</t>
  </si>
  <si>
    <t>,1,2,3,457,458,459,455,456,460,461,462,463,464,465,466,467,468,462,467,467,462,467,468,468,469,470,471,472,473,474,475,476,477,478,473,472,471,470,469,468,467,466,465,471,471,472,473,468,474,475,468,474,475,476,477,478,469,468,467,473,474,475,476,477,478</t>
  </si>
  <si>
    <t>,464,469,469,471</t>
  </si>
  <si>
    <t>Wiley CPA Exam Review 2013, Auditing and Attestation</t>
  </si>
  <si>
    <t>HF5667 .C67 2012</t>
  </si>
  <si>
    <t>FklNgPSOcUmsdmJXYDIjyQ==</t>
  </si>
  <si>
    <t>Designing and Conducting Survey Research : A Comprehensive Guide</t>
  </si>
  <si>
    <t>Mathematics; Social Science</t>
  </si>
  <si>
    <t>,1,2,3,185,186,187,183,184</t>
  </si>
  <si>
    <t>HA31.2 .R43 2014</t>
  </si>
  <si>
    <t>519.5; 519.52</t>
  </si>
  <si>
    <t>,1,2,3,1,2,3,103,104,103,105,104,105,101,102,102,2,106,106,107,107,102,107</t>
  </si>
  <si>
    <t>JRv1QCnYrua0jmH7j1mt1A==</t>
  </si>
  <si>
    <t>Child Psychopathology, Third Edition</t>
  </si>
  <si>
    <t>,1,11,12,13,9,10</t>
  </si>
  <si>
    <t>RJ499 -- .C455 2014eb</t>
  </si>
  <si>
    <t>ccmonroe</t>
  </si>
  <si>
    <t>Puppies For Dummies</t>
  </si>
  <si>
    <t>,1,2,3,4,5,6,9,10,11,7,8,23,24,25,21,26,22,27,28,29,30,31,33,34,35,36,37,38</t>
  </si>
  <si>
    <t>24.103.152.138</t>
  </si>
  <si>
    <t>SF427 -- .H754 2012eb</t>
  </si>
  <si>
    <t>636.7/07; 636.707</t>
  </si>
  <si>
    <t>,1,2,3,4,5,6,10,11,7,8,9,14,15,16,17,13,18,19,20,12,5,6,7,8,9,10,11,12</t>
  </si>
  <si>
    <t>,1,2,3,4,5,6,7,3,1,2,3,4,5,6,7,8,9,10,11</t>
  </si>
  <si>
    <t>,1,2,3,40,41,42,38,39,43,44,45,46,47,48,49,50,51,52,53,54,55,56,57,58,59,60,61,100,101,102,99,97,98,95,94,91</t>
  </si>
  <si>
    <t>DzFsm+zKYAvLhZkjhnkHXw==</t>
  </si>
  <si>
    <t>Assessment of Childhood Disorders, Fourth Edition</t>
  </si>
  <si>
    <t>,1,2,3,16,17,18,14,15,19,20,21,22,23,24,27,28,29,30,26,31,2,32,33,34,35,36,31,37,38,39,40,41,42,43,44,45,46,47,48,49,50,51,52,53,54</t>
  </si>
  <si>
    <t>RJ503.5 -- .B43 2007eb</t>
  </si>
  <si>
    <t>PQrZiMVVkKms+riOK85Osg==</t>
  </si>
  <si>
    <t>Business Ethics</t>
  </si>
  <si>
    <t>Business/Management; Philosophy</t>
  </si>
  <si>
    <t>,1,2,3,4,326</t>
  </si>
  <si>
    <t>HF5387 .B86626 2013</t>
  </si>
  <si>
    <t>,1,2,3,4,6,5</t>
  </si>
  <si>
    <t>BJYp6arqOuxzufcjL7+PrA==</t>
  </si>
  <si>
    <t>Reinforced Concrete Beams, Columns and Frames : Mechanics and Design</t>
  </si>
  <si>
    <t>Engineering: Civil; Engineering</t>
  </si>
  <si>
    <t>,1,2,3,4,19,20,21,17,18,22,23,24,269,270,271,267,268,272</t>
  </si>
  <si>
    <t>TA683.2 -- .C37 2013eb</t>
  </si>
  <si>
    <t>,6,7,8,9,10,11,12,13,14,15,16,17,18,19,20,21,22,23</t>
  </si>
  <si>
    <t>,3</t>
  </si>
  <si>
    <t>,1,3,2,4,5</t>
  </si>
  <si>
    <t>,12,16,17,18,14,15,22,12,4,13,7,9,19,10,11,8,20,21,23,24,22,23,24,21,20,16,17,18,14,15</t>
  </si>
  <si>
    <t>,22</t>
  </si>
  <si>
    <t>,1,23,7,22,16,38</t>
  </si>
  <si>
    <t>LdSfUcdIPsTI2oFpUAzimg==</t>
  </si>
  <si>
    <t>ASVAB For Dummies, Premier Plus (with Free Online Practice Tests)</t>
  </si>
  <si>
    <t>Military Science</t>
  </si>
  <si>
    <t>U408.5 .P384 2013</t>
  </si>
  <si>
    <t>,1,4,7,12,16,22,23,38,24</t>
  </si>
  <si>
    <t>,34,35,36,37,38,39,40,41,1,41,42,43,39,40</t>
  </si>
  <si>
    <t>,1,2,3,4,5,6,7,8,9,10,11,12,13,14,15,16,17,18,19,20,21,22,23,24,25,26,27,28,29,30,31,32,33</t>
  </si>
  <si>
    <t>eLYC/Iw9EE0=</t>
  </si>
  <si>
    <t>,1,4,5,6,7,8,9,10,11,13,12,14,15,16,17,18,19,20,21,22,23,24,25,26,27,28,29,30,31,32,33,34,35,36,37,38,39,40,41,42</t>
  </si>
  <si>
    <t>f5zGOgvk/t6guXxHRvop2g==</t>
  </si>
  <si>
    <t>Dentist's Quick Guide to Medical Conditions</t>
  </si>
  <si>
    <t>Science; Medicine; Science: Anatomy/Physiology</t>
  </si>
  <si>
    <t>,109,111,110,108,107,112,113,114,115,116,117,118,119,120,121,122,123,124</t>
  </si>
  <si>
    <t>RK51 -- .D468 2015eb</t>
  </si>
  <si>
    <t>,19,20,21,22,23,24,25,26,27,28,29,30,31,32,33</t>
  </si>
  <si>
    <t>,1,2,3,16,17,18,15,14</t>
  </si>
  <si>
    <t>Structural Concrete : Theory and Design</t>
  </si>
  <si>
    <t>Engineering; Engineering: Civil</t>
  </si>
  <si>
    <t>,1,2,3,915,916,917,913,914,918,912,919,921,920</t>
  </si>
  <si>
    <t>TA683.2 -- .H365 2012eb</t>
  </si>
  <si>
    <t>624.1/8341</t>
  </si>
  <si>
    <t>vz0tiKcNqGcyUx16fYfjDg==</t>
  </si>
  <si>
    <t>Fundamentals of Building Construction : Materials and Methods</t>
  </si>
  <si>
    <t>,1,2,3,327,328,329,325,326,330</t>
  </si>
  <si>
    <t>TH145 -- .A417 2013eb</t>
  </si>
  <si>
    <t>OL4S0zQJ/NA=</t>
  </si>
  <si>
    <t>rilDeAF2B+M=</t>
  </si>
  <si>
    <t>F6MW3g+I0P4JJOPj93+OrQ==</t>
  </si>
  <si>
    <t>,1,2,3,4,5,6,7,8,9,10</t>
  </si>
  <si>
    <t>,1,2,3,93,94,95,91,92,96,97,98,99,100,101,102,103,104,105</t>
  </si>
  <si>
    <t>GFSBG1xjD0I=</t>
  </si>
  <si>
    <t>Courtroom as a Space of Resistance : Reflections on the Legacy of the Rivonia Trial</t>
  </si>
  <si>
    <t>,1,2,3,76,77,94,95,96,92,93,97</t>
  </si>
  <si>
    <t>KTL42.R58 C68 2015</t>
  </si>
  <si>
    <t>345.68''0231</t>
  </si>
  <si>
    <t>noNUPwKhJtABLDxx5ky3Dg==</t>
  </si>
  <si>
    <t>Principles of Object-Oriented Modeling and Simulation with Modelica 3.3 : A Cyber-Physical Approach</t>
  </si>
  <si>
    <t>,37,38,39,35,40,41,36,34,42,43</t>
  </si>
  <si>
    <t>QA76.64 -- .F758 2015eb</t>
  </si>
  <si>
    <t>005.1/17</t>
  </si>
  <si>
    <t>sQW33/VEf7Qeo5p7I2IbBQ==</t>
  </si>
  <si>
    <t>,1,25,27,26,23,24,2</t>
  </si>
  <si>
    <t>/VCgVM/ev4U=</t>
  </si>
  <si>
    <t>Traumatic Brain Injury</t>
  </si>
  <si>
    <t>,1,3,2,186,187,188,184,185,189</t>
  </si>
  <si>
    <t>RC387.5 -- .T73 2015eb</t>
  </si>
  <si>
    <t>617.4/81044</t>
  </si>
  <si>
    <t>,76,77,78,79,80,81,82,83,84,85,86,87,88,89,90,91,92</t>
  </si>
  <si>
    <t>Mechanical and Electrical Equipment for Buildings</t>
  </si>
  <si>
    <t>Engineering; Engineering: Construction</t>
  </si>
  <si>
    <t>,1,2,3,4,5,6</t>
  </si>
  <si>
    <t>TH6010 -- .G766 2015eb</t>
  </si>
  <si>
    <t>Early Intervention for Reading Difficulties : The Interactive Strategies Approach</t>
  </si>
  <si>
    <t>,23,24,25,26,83,84,85,86,87,88,89</t>
  </si>
  <si>
    <t>LB1050.5 -- .S228 2010eb</t>
  </si>
  <si>
    <t>,1,2,3,17,18,19,20,21,22,23,24</t>
  </si>
  <si>
    <t>,1,2,3,31,32,33,29,30,31,34,35,33,34,35,36,31,32,33,29,34,30,35,51,52,53,49,50,54,55,56,57,58,59,60,61,62,63,64,65,66,67,68,69,70,71,72,73,74,75</t>
  </si>
  <si>
    <t>,464,465,464,465,466,466,467,468,467,468,469,469,470,470,471,471,472,472,473,473,474,475,476,471,475,22,23,24,476,20,474,21,25,19,18,17,22,17,22,23,24</t>
  </si>
  <si>
    <t>,2,3,1,3,2,1,2,2,4,4,4,4,5,6,5,6,7,8,7,8,3,2,1,4,4,5,6,7,8,9,9,22,23,21,20,22,21,24,23,24,25,20,25,19,18,23,24,25,26,26,27,28,27,23,28,406,408,407,408,405,406,407,404,405,409,410,409,411,411,412,410,411,412,452,454,453,452,451,454,451,453,450,455,455,456,456,457,458,457,452,449,458,449,450,451,447,448,448,452,453,454,455,456,457,458,459,459,460,460,461,461,462,462,463,463</t>
  </si>
  <si>
    <t>Social Neuroscience : Key Readings</t>
  </si>
  <si>
    <t>Science: Biology/Natural History; Psychology; Science</t>
  </si>
  <si>
    <t>,1,44,45,46,42,43</t>
  </si>
  <si>
    <t>QP360 -- .S595 2005eb</t>
  </si>
  <si>
    <t>VbE4wMm7InhsVZo80sIveg==</t>
  </si>
  <si>
    <t>Excommunication : Three Inquiries in Media and Mediation</t>
  </si>
  <si>
    <t>,175</t>
  </si>
  <si>
    <t>HM1166 -- .E93 2013eb</t>
  </si>
  <si>
    <t>,1,2,3,158,159,160,156,157,161,162,163,164,165,166,167,168,169,170,171,172,173,171,172,173,169,170,174</t>
  </si>
  <si>
    <t>Introduction to Quantum Mechanics</t>
  </si>
  <si>
    <t>,1,2,3,15,16,17,18,20,24,25,26,22,16,17,13,14,106,107,108,104,105,109</t>
  </si>
  <si>
    <t>QC173.96</t>
  </si>
  <si>
    <t>TvHRE2oSQ6xp0HDNs5RM9g==</t>
  </si>
  <si>
    <t>Professional AngularJS</t>
  </si>
  <si>
    <t>Computer Science/IT; General Works/Reference</t>
  </si>
  <si>
    <t>,1,2,3,87,88,89,85,86</t>
  </si>
  <si>
    <t>QA76.76.76.A54 -- .K377 2015eb</t>
  </si>
  <si>
    <t>,1,2,3,47,48,49,45,46,47,48,49,46,45,42,43,44,40,41,39</t>
  </si>
  <si>
    <t>J9/C6acZJR0=</t>
  </si>
  <si>
    <t>The Universe in Zero Words : The Story of Mathematics as Told through Equations</t>
  </si>
  <si>
    <t>QA211 -- .M16 2012eb</t>
  </si>
  <si>
    <t>,1,2,3,4,5,6,114,115,116,112,113,30,31,32,28,29,33,34,35,36,37,38,39,40,41,2,42,43,44,45,46,47,48,49,50,51,52,53,54,55,56,57,58,59,60,12,11,13,14,10,9,8,7,6,5,4,3,2,1,12,44,54,57,52,55,56,57,58,53,54,55,59,60</t>
  </si>
  <si>
    <t>,4,1</t>
  </si>
  <si>
    <t>,12,13,14,15,16,17,18,19,20,21,22,23,24,25,26,27,28,29,30,31,32,33,34,35,36,37,38,39,40,41,42,43,44,45,46,47,48,49,50,51,52,53,54,55,56,57</t>
  </si>
  <si>
    <t>JR2MdS7OD++gMzHXcUhVfw==</t>
  </si>
  <si>
    <t>,160,159,158,157,166,167</t>
  </si>
  <si>
    <t>,1,2,3,1,4,5,6,7,8,9,10,11,12,13,14,15,16,17,18,19,20</t>
  </si>
  <si>
    <t>,8</t>
  </si>
  <si>
    <t>,1,2,3,1,2,3,2,149,150,151,147,148,152,153,154,155,156,157,158,159,160,161,163,164,165,165,166,164,1,163,2,149,150,151,147,157,158,159,155,156,154,160,161,162</t>
  </si>
  <si>
    <t>,1,2,1,2,3,4</t>
  </si>
  <si>
    <t>33hy6Yxn5qrXUwSBsAcniw==</t>
  </si>
  <si>
    <t>Hammer and Hoe : Alabama Communists during the Great Depression</t>
  </si>
  <si>
    <t>Social Science; Military Science</t>
  </si>
  <si>
    <t>,1,2,3,391,392,393,389,390,388,193,194,195,191,192,196,392,393,389,163,164,165,161,162</t>
  </si>
  <si>
    <t>HX91.A2 -- .K455 2015eb</t>
  </si>
  <si>
    <t>,1,2,2,1,3,3,4,4,5,5,6,6,7,7,8,9,8,10,10,11,9,11,12,12,7,2</t>
  </si>
  <si>
    <t>,4,5,6,7,8,9,10,11,12,13,14,15,16,17,18,19,20,21,22,14,13,12,11,10,9,8,7,5,6,3,4,1</t>
  </si>
  <si>
    <t>,1,2,3,1,1</t>
  </si>
  <si>
    <t>,1,2,3,23,24,21,22,25,26,27,28,29,30,31,32,33,34,35,36,37,38,39,40,41,42,43,44,45,46,47,48,49,50,51,52,53,54,55,56,57,58,59,60,61,62,63,64,65,66,67,68,69,70,71,72,73,74,75,76,77,78,79,80,81,82,83,84,85,86,87,88</t>
  </si>
  <si>
    <t>,463,464,464,465,466,467,468,460,465,466</t>
  </si>
  <si>
    <t>,461,462,463</t>
  </si>
  <si>
    <t>Typological Studies : Word Order and Relative Clauses</t>
  </si>
  <si>
    <t>,1,2,3,12,13,14,10,11,15,17,18,19,20,21,16,11,10,8,9,6,7,5,3,4,22,20,21,23,25,26,27</t>
  </si>
  <si>
    <t>P204 -- .C56 2013eb</t>
  </si>
  <si>
    <t>,1,2,3,497,498,499,495,496,457,459,458,2,455,456,460,461,461,462,463</t>
  </si>
  <si>
    <t>,1,2,3,185,186,187,183,184,188,189,190,191,192,193,194,195,196,197,198,199,200,201,185,186,187,265,267,264,266,263,262,261,268,269</t>
  </si>
  <si>
    <t>,185,186,187,188,189,190,191,192,193,194,195,196,197,198</t>
  </si>
  <si>
    <t>,1,1,2,3,2,3,46,46,48,48,44,47,45,45,47,2,42,43,43,41,46,47,48,43,48,43,48,49,50,50,49,77,78,78,79,79,77,75,76,76</t>
  </si>
  <si>
    <t>nKqsaGU236c4+v/Y9MVIOA==</t>
  </si>
  <si>
    <t>Blended : Using Disruptive Innovation to Improve Schools</t>
  </si>
  <si>
    <t>LB1028.5 -- .H676 2015eb</t>
  </si>
  <si>
    <t>,1,2,3,121,119,120,124,125</t>
  </si>
  <si>
    <t>LYtZZ8FYtpJwvV6DrflDKA==</t>
  </si>
  <si>
    <t>,1,314,315,316,312,313,2</t>
  </si>
  <si>
    <t>,314,314,314,315,316,316,316,317,318,318</t>
  </si>
  <si>
    <t>tlfKwp1Ol64=</t>
  </si>
  <si>
    <t>,1,2,3,69,70,69,71,67,68,72,73</t>
  </si>
  <si>
    <t>Play Therapy : A Comprehensive Guide to Theory and Practice</t>
  </si>
  <si>
    <t>,1,2,3,37,33</t>
  </si>
  <si>
    <t>RJ505.P6 -- .P539 2015eb</t>
  </si>
  <si>
    <t>Short-Selling with the O'Neil Disciples : Turn to the Dark Side of Trading</t>
  </si>
  <si>
    <t>HG6041 -- .M673 2015eb</t>
  </si>
  <si>
    <t>332.63/228</t>
  </si>
  <si>
    <t>How to Beat the Market Makers at Their Own Game : Uncovering the Mysteries of Day Trading</t>
  </si>
  <si>
    <t>HG4521 -- .P898 2014eb</t>
  </si>
  <si>
    <t>332.64/2</t>
  </si>
  <si>
    <t>New Trading for a Living : Psychology, Discipline, Trading Tools and Systems, Risk Control, Trade Management</t>
  </si>
  <si>
    <t>HD61 -- .E434 2014eb</t>
  </si>
  <si>
    <t>,4,5,1,2,3,4,5,6,7,8,8,9,10,11,11,13,12,9,10,8,11,1,2,3,4,5</t>
  </si>
  <si>
    <t>,1,2,3,114,115,116,112,113,111,110,109,108,107,117,118,119,120,121,122,123,124</t>
  </si>
  <si>
    <t>4olMrb9xLAHdqpq/17jKtg==</t>
  </si>
  <si>
    <t>Physiologically-Based Pharmacokinetic (PBPK) Modeling and Simulations : Principles, Methods, and Applications in the Pharmaceutical Industry</t>
  </si>
  <si>
    <t>Medicine; Pharmacy</t>
  </si>
  <si>
    <t>,39,40,41,42,43,44,45,46,47,48,49,50,51,52,53,54,55,56,57,58,59,60,61,62,63,64,65,66,67,68,69,70,71,72,73,74,75,76,77,78,79,80,81,82,83,84,85,86,87,88,89,90,91,92,93,94,96,97,102,100,103,104,106,105,107,108,109,110,111,112,113,114,115,116,117,118</t>
  </si>
  <si>
    <t>,33</t>
  </si>
  <si>
    <t>RM301.5 -- .P48 2011eb</t>
  </si>
  <si>
    <t>615/.7</t>
  </si>
  <si>
    <t>,1,2,3,4,5,6,36,37,38,35,33,34,32,31</t>
  </si>
  <si>
    <t>YtOhxjTC8dMoxCPWcKwjUQ==</t>
  </si>
  <si>
    <t>Early Cinema in Russia and its Cultural Reception</t>
  </si>
  <si>
    <t>,172,173,174,175,176,177,178,179,180,181,182,183,184,185,186,187,188</t>
  </si>
  <si>
    <t>PN1993.5.R9 -- T7513 2014eb</t>
  </si>
  <si>
    <t>,1,2,3,160,161,162,158,159,163,164,165,166,167,168,169,170,171</t>
  </si>
  <si>
    <t>u1mFdgKRLdGa3tc4iFcFCQ==</t>
  </si>
  <si>
    <t>The Iliad : A New Translation by Peter Green</t>
  </si>
  <si>
    <t>PA4025.A2 -- .H664 2015eb</t>
  </si>
  <si>
    <t>,1,2,3,10,11,12,8,9</t>
  </si>
  <si>
    <t>ik0AYmAuJbAawTPV6bZtow==</t>
  </si>
  <si>
    <t>Counseling the Culturally Diverse : Theory and Practice</t>
  </si>
  <si>
    <t>BF637.C6 -- S85 2013eb</t>
  </si>
  <si>
    <t>lOwVp8FtHXqPukXbUlbZTA==</t>
  </si>
  <si>
    <t>Mindfulness and Acceptance : Expanding the Cognitive-Behavioral Tradition</t>
  </si>
  <si>
    <t>,1,2,3,5,6,7,4,74,95,123,133,142,155,165,166,167,168,164,169,170,168,169,170,166,167,171,172,173,174,175,176,177,178,179,180,181</t>
  </si>
  <si>
    <t>RC489.C63 -- M55 2004eb</t>
  </si>
  <si>
    <t>JOGqmLExpIk=</t>
  </si>
  <si>
    <t>,1,2,3,13,37,41,56,57,58,122,153,171,174,178,179,180,181,177,176,175,182,183,184,185,186,187,188,189,190,191,192,193,194,195,196,197,198,199,200,201,202,409,306,214,215,216,213,212,186,205,206,207,203,204,265,266,267,263,264,268,269,270,271,272,273,274,275,276,277,278,279,280,281,282,283,284,285,286,287,288,289,290,291,292,293,294,295,296,297,298,299,300,301,302,303,304,305,307,308,309,310,311,312,313,314,315,316,317,318,319,320,321,322,323,324,325,326,327,328,329,330,331,332,333,334,335,336,337,338,339,340,341,342,343,344,345,346,347,348,349,350,351,352,353,354,355</t>
  </si>
  <si>
    <t>Eew11cu9JKBpIYh1WaQ2bQ==</t>
  </si>
  <si>
    <t>,1,2,3,4,5,6,7,8,9,11,10,12,13,14,15,16,17,18,19,20,21,23,22,24,25,26,27,28,85,84,81,83,82,86,87,88,89,90,91,92</t>
  </si>
  <si>
    <t>XR1L6PgbmqNC5m6QbJMkig==</t>
  </si>
  <si>
    <t>Keywords for Asian American Studies</t>
  </si>
  <si>
    <t>History; Social Science</t>
  </si>
  <si>
    <t>,1,2,3,6,7,8,4,5</t>
  </si>
  <si>
    <t>E184.A75 -- .K499 2015eb</t>
  </si>
  <si>
    <t>305.895/073</t>
  </si>
  <si>
    <t>,1,2,3,4,5,6,7,8,9,10,11,12,160,161,162,158,159,163,170,171,172,169,173,174,175,176,177,178,179,180</t>
  </si>
  <si>
    <t>/ZGNADg1xFk=</t>
  </si>
  <si>
    <t>,1,2,3,177,178,179,175,181,182,183,180,184,185,186,187,275,277,276,274,273,177,178,179,175,176,9,10,11,7,8,256,257,258,254,255,145,146,147,143,144,331,354,355,356,352,353</t>
  </si>
  <si>
    <t>K6WY0zAlGg9G/Yolx4igbg==</t>
  </si>
  <si>
    <t>SAT For Dummies</t>
  </si>
  <si>
    <t>,1,2,3,4,5,6,7,8,9,10,11,12,13,14,15,16,17,18,19,20,21,22,23,24,25,26</t>
  </si>
  <si>
    <t>LB2353.57 .W384 2015</t>
  </si>
  <si>
    <t>QmIDFD4kB0Sv45wX9IpNGA==</t>
  </si>
  <si>
    <t>The Sexuality of History : Modernity and the Sapphic, 1565-1830</t>
  </si>
  <si>
    <t>,16,16,17,17,18,18,19,19,20,20,21,21,22,22</t>
  </si>
  <si>
    <t>PN56</t>
  </si>
  <si>
    <t>809/.9335206643</t>
  </si>
  <si>
    <t>,1,2,2,1,3,3,2,2,4,5,4,5,6,6,7,7,8,9,8,9,3,8,9,10,10,11,11,12,13,12,14,15,13,14,15,15</t>
  </si>
  <si>
    <t>,1,2,3,28,29,30,26,27,31,38,28,29,31,32,33,35,37,34,341,342,343,339,340,408,409,410,406,407,35,36,37,33,344,339</t>
  </si>
  <si>
    <t>wDF3HlZzEA22K4O6gWgAVg==</t>
  </si>
  <si>
    <t>Kripke</t>
  </si>
  <si>
    <t>,15,16,17,18,25,33,34,35,31,32</t>
  </si>
  <si>
    <t>B945.K794 B874 2013</t>
  </si>
  <si>
    <t>95qO2OaFvgJrdB/PRUxZcQ==</t>
  </si>
  <si>
    <t>,1,2,3,4,5,76,77,78,74,75,73,6,7</t>
  </si>
  <si>
    <t>,1,2,3,53,54,55,51,52</t>
  </si>
  <si>
    <t>,53,53</t>
  </si>
  <si>
    <t>sS/3rMP/E83OS7hCCpHh8g==</t>
  </si>
  <si>
    <t>Data Analysis for Continuous School Improvement</t>
  </si>
  <si>
    <t>,1,2,3,4,5,6,26,27,28,24,25,29,30,31,32,33,34,35,36</t>
  </si>
  <si>
    <t>LB1028.46 -- .B47 2013eb</t>
  </si>
  <si>
    <t>,1,169,170,171,167,168,172,181,182,183,179,189,195,196,197,2,203,204,205,201,202,207,208,209,206,210,211,212,198,173,150,157,163,174,175,174</t>
  </si>
  <si>
    <t>,1,2,3,9,10,11,7,8,5,3,4,5,6,7,8,9,10,11,12,13</t>
  </si>
  <si>
    <t>,1,2,3,158,159,160,156,157,161,162,163,165,163,161,164,162,166,167,168,169</t>
  </si>
  <si>
    <t>g4q6A4QS54YMTEzexPnTpw==</t>
  </si>
  <si>
    <t>Multivariate Density Estimation : Theory, Practice, and Visualization</t>
  </si>
  <si>
    <t>,70,71,72,73,157,159,155,156,56,57,58,54,55,59,60,61,62,63,64,66,67,68,65,67,64,63,62,60,61,68,69,70,67,71,72</t>
  </si>
  <si>
    <t>QA276.8 -- .S368 2015eb</t>
  </si>
  <si>
    <t>519.5/35</t>
  </si>
  <si>
    <t>,1,2,3,4,56,57,58,54,59,55,60,61,62,63,64,65,66,67,68,69</t>
  </si>
  <si>
    <t>aNYIBF6c8jI=</t>
  </si>
  <si>
    <t>Machine Learning in Python : Essential Techniques for Predictive Analysis</t>
  </si>
  <si>
    <t>,28,29,29,35,36,37,33,34,32,31,30,29,28,27,28,27,37,38,39,40</t>
  </si>
  <si>
    <t>TK5105.888 .B384 2015</t>
  </si>
  <si>
    <t>,1,2,3,1,19,20,21,17,18,19,35,36,37,33,34,35,19,25,19,20,25,25,26,27,24,23,25,26,27,23,24,32,31,10,1,2,3,26,27</t>
  </si>
  <si>
    <t>euQgI4tzyPWdJvP48zjUew==</t>
  </si>
  <si>
    <t>,1,2,3,4,5,8,9,10</t>
  </si>
  <si>
    <t>,1,2,3,4,5,3</t>
  </si>
  <si>
    <t>WPOolrkVT6c=</t>
  </si>
  <si>
    <t>American English : Dialects and Variation</t>
  </si>
  <si>
    <t>PE2841 -- .W654 2016eb</t>
  </si>
  <si>
    <t>427/.973</t>
  </si>
  <si>
    <t>,1,2,3,4,1</t>
  </si>
  <si>
    <t>Kuo93sgWo1TRNPe6ie138A==</t>
  </si>
  <si>
    <t>Universal Design : Creating Inclusive Environments</t>
  </si>
  <si>
    <t>,1,2,3,21,22,23,19,20,24,25,26,27,28,29,30,31,32,33,34,35,36,37,38,39</t>
  </si>
  <si>
    <t>NA2547 -- .S74 2012eb</t>
  </si>
  <si>
    <t>QWEHnhgPuc0=</t>
  </si>
  <si>
    <t>Loss Models : From Data to Decisions</t>
  </si>
  <si>
    <t>,31,32,33,34,35</t>
  </si>
  <si>
    <t>HG8781 -- .K583 2008eb</t>
  </si>
  <si>
    <t>368/.01</t>
  </si>
  <si>
    <t>,1,2,3,7,8,9,5,6,10,11,12,13,14,15,16,17,18,19,20,21,22,25,26,23,24,27,28,29,30</t>
  </si>
  <si>
    <t>Fundamentals of Actuarial Mathematics</t>
  </si>
  <si>
    <t>,308,309,310,311,312,313,314,315,316,317,318,319,320,321,323,324,325,322</t>
  </si>
  <si>
    <t>HG8781 -- .P76 2015eb</t>
  </si>
  <si>
    <t>,1,2,3,9,10,11,7,8,12,13,14,15,16,17,18,19,20,21,22,305,306,307,303,304</t>
  </si>
  <si>
    <t>Statistics : 1,001 Practice Problems For Dummies (+ Free Online Practice)</t>
  </si>
  <si>
    <t>,1,7,8,9,5,6,2,10,11,12,13,14,17,18,19,16,15,20,18,19,20,17,16,22,21,45,46,47,43,44,48</t>
  </si>
  <si>
    <t>QA139 -- .S73 2014eb</t>
  </si>
  <si>
    <t>lhwlybsVU+dll9w8AMW5zQ==</t>
  </si>
  <si>
    <t>,1,26,27,28,24,25,2,29,31,32,33,30,34,35,36,37,38,39,40,41,42,43,44,45,46,47,50,51,52,49,48,79,77,78,75,87,88,89,85,86,123,122,124,121,120,125</t>
  </si>
  <si>
    <t>,1,2,3,4,11,12,13,14,10,30,31,32,36,37,38,34,35,39,40,41,42,43,44,1,44,45,46,42,43,40,41,39,38,2</t>
  </si>
  <si>
    <t>,1,2,3,4,5,6,7,8,9,10,11,12,13,14,15,16,17,18,19,20,21,22,23,24,25,26,27,28,29,30,31,32,33,34,35,36,37,38,39,40,41,42,43,44,45,46</t>
  </si>
  <si>
    <t>,1,2,3,24,25,26,22,23,27,21,20,22,22</t>
  </si>
  <si>
    <t>Developing Analytic Talent : Becoming a Data Scientist</t>
  </si>
  <si>
    <t>,1,2,3,4,5,6,7,8,9,10,11,12,13,14,15,16,17,18,19,20,21,22,23,24,25</t>
  </si>
  <si>
    <t>QA76.9 .D343</t>
  </si>
  <si>
    <t>006.3; 006.312</t>
  </si>
  <si>
    <t>/uUI0zV+buhQJqcf7tJM2g==</t>
  </si>
  <si>
    <t>Contemporary Debates in Applied Ethics</t>
  </si>
  <si>
    <t>,72,73,74,74,1,76,75,72,73,2,71,70,69,68,67,66,65</t>
  </si>
  <si>
    <t>BJ1031 -- .C668 2014eb</t>
  </si>
  <si>
    <t>,1,2,3,4,67,68,69,65,66,70,71</t>
  </si>
  <si>
    <t>J9LxLsQIciQ=</t>
  </si>
  <si>
    <t>Cyber Security Management : A Governance, Risk and Compliance Framework</t>
  </si>
  <si>
    <t>,1,18,19,20,16,17,21,22,2</t>
  </si>
  <si>
    <t>HF5548.37 -- .T74 2014eb</t>
  </si>
  <si>
    <t>658.4/78</t>
  </si>
  <si>
    <t>Nationalism</t>
  </si>
  <si>
    <t>JC311</t>
  </si>
  <si>
    <t>,108,107,109,106,105,110,111,113,114,115,116,117,118,119,120,121,122,123,124,125,126,127,128,129,130,131,132,133,134,135,140,141,142,143,139,144,148,149,150,146,147,151,152,153,154,155,156,157,158,159,160,161,162,163,164,165,166,167,168,169,170,171,172,173,174,175,176,182,187,190,191,192,188,189,186,185,184,183,181,180,179,178,177,114,30,1,2,3</t>
  </si>
  <si>
    <t>,1,2,3,26,88,153,154,155,112,84,75,76,77,73,74,79,80,81,82,78,83,85,86,87,89,90,91,92,93,94,95,96,97,98,99,100,101,102,103,104</t>
  </si>
  <si>
    <t>2suvpIbhPgI=</t>
  </si>
  <si>
    <t>Voice-Over for Animation</t>
  </si>
  <si>
    <t>PN1995.9.V63 -- W75 2009eb</t>
  </si>
  <si>
    <t>778.5/347</t>
  </si>
  <si>
    <t>,1,56,57,58,54,55,59,2,53</t>
  </si>
  <si>
    <t>,162,163,164,165,166,167,168,169</t>
  </si>
  <si>
    <t>,1,2,3,158,159,160,156,157,158,159,160,156,157,161</t>
  </si>
  <si>
    <t>,1,2,3,2,53,54,55,51,52,1,2</t>
  </si>
  <si>
    <t>Te8VuIISRs8=</t>
  </si>
  <si>
    <t>Smashing WordPress : Beyond the Blog</t>
  </si>
  <si>
    <t>John Wiley &amp; Sons, Incorporated</t>
  </si>
  <si>
    <t>,58,57,56</t>
  </si>
  <si>
    <t>TK5105.8885.W66 -- H43 2014eb</t>
  </si>
  <si>
    <t>SltvVtbsd3+br242UD8+zg==</t>
  </si>
  <si>
    <t>The Transgender Studies Reader</t>
  </si>
  <si>
    <t>,1,3,2,6,7,8,4,5,9,10,11</t>
  </si>
  <si>
    <t>HQ77.9 -- .T72 2006eb</t>
  </si>
  <si>
    <t>qLLYqEspe/xGUEf7IKh6HA==</t>
  </si>
  <si>
    <t>Helping Children Cope With Grief</t>
  </si>
  <si>
    <t>,1,2,3,2,3,1,2,2</t>
  </si>
  <si>
    <t>BF723.G75W</t>
  </si>
  <si>
    <t>Bereavement : Studies of Grief in Adult Life, Fourth Edition</t>
  </si>
  <si>
    <t>,1,1,2,3,2,3,2,2,188,188,189,190,190,186,189,187,187,191,191,172,172,173,174,173,174,170,175,175,171,176,176</t>
  </si>
  <si>
    <t>BF575.G7 -- P37 2010eb</t>
  </si>
  <si>
    <t>,1,2,3,21,22,23,19,20,41,42,43,39,40,44,45,46,39,41,42,43,44,47,53,57</t>
  </si>
  <si>
    <t>Professional WordPress : Design and Development</t>
  </si>
  <si>
    <t>TK5105.8885.W66 -- W55 2015eb</t>
  </si>
  <si>
    <t>,1,2,1,3,2,3,2,2</t>
  </si>
  <si>
    <t>,1,2,3,68,69,70,66,67,65,63,64,61,62,60,2,59,58,57,56,55,54,53,51,52,50,49,48,47,46,52,53,54,55,50,56,57,58,59,60,61,62,63,65,64,64,65,66,67,1,2,3,4,5,6,7,8,9,10,11,12,13,299,297,298,65,66,67,63,64,68,69,70,1,2,3</t>
  </si>
  <si>
    <t>,59,59,60,60,60,60,61,61,63,63,65,65</t>
  </si>
  <si>
    <t>tkur54lIMUv4Zn9yhJlRdw==</t>
  </si>
  <si>
    <t>ESL / ELL Teacher's Survival Guide : Ready-to-Use Strategies, Tools, and Activities for Teaching English Language Learners of All Levels</t>
  </si>
  <si>
    <t>,22,23,22,23,24,24,25,25,26,26,27,27,28,28,29,29</t>
  </si>
  <si>
    <t>PE1128.A2 -- F455 2012eb</t>
  </si>
  <si>
    <t>,1,3,2,2,3,2,2,1,5,6,4,4,5,6,8,7,8,9,7,9,10,12,11,12,10,11,13,15,14,14,13,15,16,17,19,18,16,17,18,19,20,20,21,21</t>
  </si>
  <si>
    <t>Bzu6rgV/TZA=</t>
  </si>
  <si>
    <t>Religion and Legal Pluralism</t>
  </si>
  <si>
    <t>K3280 .R4285 2015</t>
  </si>
  <si>
    <t>342.08/52; 342.08''52</t>
  </si>
  <si>
    <t>Religion, Politics and Law in the European Union</t>
  </si>
  <si>
    <t>Nmp7JbKuiu8=</t>
  </si>
  <si>
    <t>Making Cognitive-Behavioral Therapy Work, Second Edition : Clinical Process for New Practitioners</t>
  </si>
  <si>
    <t>,1,2,3,4,5,6,7,8,9,10,11,12,13,14,15,16,17,18,19,20,21,22,23,24,25,26,27,28,29,30,31,32,33,34,35,36,37,38</t>
  </si>
  <si>
    <t>RC489.C63 -- L44 2010eb</t>
  </si>
  <si>
    <t>Human Bonding : The Science of Affectional Ties</t>
  </si>
  <si>
    <t>,299,300,301,302,303,304,305,306,307,308,309,310,311,312,313,314,315,316,317,318,319,320,321,322,323,324,325,326,327,328,329,330,331,299,300,301,302,303,304,305,306,307,308,309,310,311,312,313,314,315,316,317,318,319,320,321,322,323,324,325,326,327,328,329,330,331</t>
  </si>
  <si>
    <t>BF575.F66 -- H84 2013eb</t>
  </si>
  <si>
    <t>,1,2,3,299,300,301,297,298,302,303,304</t>
  </si>
  <si>
    <t>,1,2,3,49,50,51,47,48</t>
  </si>
  <si>
    <t>Integrative CBT for Anxiety Disorders : An Evidence-Based Approach to Enhancing Cognitive Behavioural Therapy with Mindfulness and Hypnotherapy</t>
  </si>
  <si>
    <t>,1,2,3,4,5,6,7,8,9,10,11,14,15,16,17,18,21,26,32,39,46,47,48,44,45,49,50,51,52,53,54,55</t>
  </si>
  <si>
    <t>RC531 -- .A43 2016eb</t>
  </si>
  <si>
    <t>616.85/2206</t>
  </si>
  <si>
    <t>eRrc6d+SJUJajFC4oz9pdw==</t>
  </si>
  <si>
    <t>Getting a Big Data Job For Dummies</t>
  </si>
  <si>
    <t>,1,2,3,1,1,4,5,6,7,8,9,5,6,7,3,4,5,6,7,3,8,9,4,10,11,12,13,14,15,16,17,18</t>
  </si>
  <si>
    <t>QA76.9.D32 -- .W555 2015eb</t>
  </si>
  <si>
    <t>BwFS9wllXVzzry1efKf+pA==</t>
  </si>
  <si>
    <t>Mentors and Mentoring : A Special Issue of the peabody Journal of Education</t>
  </si>
  <si>
    <t>,4,5,6,7,8,9,10,11,12,13,14,15,16,17,18,19,20,21,22,23,24,25,26,27,28,29,30,31,32,33,34,35,36,37,118,119,120,116,117,121,122</t>
  </si>
  <si>
    <t>LB1731.4 -- .M467 2010eb</t>
  </si>
  <si>
    <t>,1,2,3,68,69,70,66,67,65,63,64,62,61,59,60,58,57,56,55,54,53,52,51,50,49,48,47,45,46,44</t>
  </si>
  <si>
    <t>,51,51,51,51</t>
  </si>
  <si>
    <t>YR6BqrXMHsY=</t>
  </si>
  <si>
    <t>Animal Abuse : Helping Animals and People</t>
  </si>
  <si>
    <t>Agriculture; Social Science</t>
  </si>
  <si>
    <t>,1,2,3,5,20,21,19,22,13,8</t>
  </si>
  <si>
    <t>HV4708 -- .T57 2013eb</t>
  </si>
  <si>
    <t>,1,1,1,19,24</t>
  </si>
  <si>
    <t>,1,2,3,7,10</t>
  </si>
  <si>
    <t>FAXmdC9mRlo=</t>
  </si>
  <si>
    <t>It's Not Like I'm Poor : How Working Families Make Ends Meet in a Post-Welfare World</t>
  </si>
  <si>
    <t>HD8072.5 -- .I87 2014eb</t>
  </si>
  <si>
    <t>332.0240086/9420973</t>
  </si>
  <si>
    <t>,1,2,3,37,38,39,35,36,2</t>
  </si>
  <si>
    <t>,1,2,2,3,3,1,48,50,56,50,48,56,57,49,58,55,54,58,57,55,49,68,68,70,69,70,69,67,66,67,64,65,2</t>
  </si>
  <si>
    <t>,1,2,3,1,2,3,80,81,80,81,82,79,82,78,79,2,83,84,83,84,85,85,86,86,87,87,88,88,90,90,91,89,86,89,91,70,71,70,72,71,68,72,69,69,73,74,73,74,75,75,76,76,77,78,77,79,80,81,82,77,56,56,57,58,54,58,57,55,55,1,2,3</t>
  </si>
  <si>
    <t>,27,27,28,28,29,29,30,30,31,31,26,31,32,32,33,33,34,34,35,35,36,37,36,38,37,38,56,57,56,57,54,55,58,55,58,59,59,60,60,61,61,62,62,63,63,64,64,65,65,66,66,67,67,68,68,69,69,56,57,58,54,55,59,60,61,62,63,64,65,66,67,68,69,116,261,261,262,263,262,274,275,263,273,274,275,273,272,268,265,268,263,265,267,261,267,205,137,205,137,138,138,135,139,136,139,136,134,133,131,74,131,75,74,72,76,75</t>
  </si>
  <si>
    <t>,1,2,3,2,3,1,2,2,100,101,102,100,101,98,102,99,99,103,103,104,105,104,105,106,106,107,107,108,108,109,109,110,110,111,111,118,118,120,119,116,120,119,117,117,174,175,174,172,176,175,173,176,173,177,177,178,178,179,179,180,180,181,181,182,182,183,183,184,184,185,185,186,186,187,187,20,22,21,18,20,19,22,21,19,23,24,23,24,25,25,26,26</t>
  </si>
  <si>
    <t>vFI1ZiVncXGA3mTD2l7WwA==</t>
  </si>
  <si>
    <t>,1,2,3,25,26,27,23,24</t>
  </si>
  <si>
    <t>bbibbee</t>
  </si>
  <si>
    <t>Emotional Intelligence in Action : Training and Coaching Activities for Leaders, Managers, and Teams</t>
  </si>
  <si>
    <t>HD30.4 -- .H84 2012eb</t>
  </si>
  <si>
    <t>658.31243; 658.4/071245</t>
  </si>
  <si>
    <t>,1,2,3,27,28,29,25,26</t>
  </si>
  <si>
    <t>,1,2,3,457,458,459,455,456,460,461,462</t>
  </si>
  <si>
    <t>Wiley CPAexcel Exam Review 2016 Study Guide January : Auditing and Attestation</t>
  </si>
  <si>
    <t>Wiley CPAexcel Exam Review January 2016 Course Outline : Auditing and Attestation</t>
  </si>
  <si>
    <t>,1,2,3,4,5,6,7,8,9,10,11,12,13,14,15,16,17,18,19,20,21,22,23,24,25,26,27,29,30,31</t>
  </si>
  <si>
    <t>Wiley CPAexcel Exam Review 2016 Focus Notes : Auditing and Attestation</t>
  </si>
  <si>
    <t>,1,2,3,106,107,108,105,104,109,110,111,112,113,114,115</t>
  </si>
  <si>
    <t>Wiley CPAexcel Exam Review 2014 Study Guide, Auditing and Attestation</t>
  </si>
  <si>
    <t>HF5661 -- .W384 2014eb</t>
  </si>
  <si>
    <t>ogcfxAsf1Wth4e842pwKKw==</t>
  </si>
  <si>
    <t>,20,21</t>
  </si>
  <si>
    <t>,1,2,3,17,18,19,15,16,13,14,11,12</t>
  </si>
  <si>
    <t>Policing Twentieth Century Ireland : A History of An Garda Síochána</t>
  </si>
  <si>
    <t>,1,94,95,96,92,93,97,98,2,99,100,101,102,103,104,105,106,107,108,109,110</t>
  </si>
  <si>
    <t>HV8198.A2 -- .C663 2014eb</t>
  </si>
  <si>
    <t>EcpaguSjREmyWTOiI+8zMw==</t>
  </si>
  <si>
    <t>R Data Analysis without Programming</t>
  </si>
  <si>
    <t>,11,12,13,14,15,16,17</t>
  </si>
  <si>
    <t>QA276.45.R3 -- G46 2014eb</t>
  </si>
  <si>
    <t>Vx8cjukmuX8p4IvVgq3MWg==</t>
  </si>
  <si>
    <t>,1,2,3,7,13,14,15,11,12</t>
  </si>
  <si>
    <t>Applying Emotional Intelligence : A Practitioner's Guide</t>
  </si>
  <si>
    <t>,1,2,2,1,3,3,2,2</t>
  </si>
  <si>
    <t>BF576 -- .I47 2007eb</t>
  </si>
  <si>
    <t>FGyIRRz1hbbsk9LLbbmjuw==</t>
  </si>
  <si>
    <t>First Person Accounts of Mental Illness and Recovery</t>
  </si>
  <si>
    <t>,1,2,3,27,28,29,25,26,30,31,32,87,88,89,85,86,90,91,92,142,143,144,140,141,145,146,147,148,194,195,196,176,177,178,174,175,192,193,197,198,199,200,201,202,203,204,205,206,207</t>
  </si>
  <si>
    <t>RA790.A1; RC489.R46</t>
  </si>
  <si>
    <t>,1,2,3,4,5,6,7,8,9,10,11,12,13,14,15,16,17</t>
  </si>
  <si>
    <t>XSDVS+2O4s+UMrsUKLiORw==</t>
  </si>
  <si>
    <t>Living Out Islam : Voices of Gay, Lesbian, and Transgender Muslims</t>
  </si>
  <si>
    <t>,19,20,21,22,23,24,25,26,27,28,29,30,31,32,33,34,35,36,37,38,39,40,41,42,43,44,45,46,47,48,49,50,51,52,53,54,55</t>
  </si>
  <si>
    <t>BP188.14.H65 -- K84 2013eb</t>
  </si>
  <si>
    <t>,1,2,3,457,458,459,455,456,460,460,461,462,463,464,465,466,467,468,461,460,459,458,457,456,461,456,462,463,462,463,457,463,458,458,457</t>
  </si>
  <si>
    <t>,457,458,458</t>
  </si>
  <si>
    <t>Post-Holocaust France and the Jews, 1945-1955</t>
  </si>
  <si>
    <t>Social Science; History</t>
  </si>
  <si>
    <t>DS135.F83 P67 2015</t>
  </si>
  <si>
    <t>French Historical Revolution : The Annales School 1929 - 2014</t>
  </si>
  <si>
    <t>,1,2,3,4,5,6,7,8,9,10,11,13,16,18,20,22,23,24,25,26,28,29,31,30,32,33,34,35,367,368,369,365,366,370,371,372,374,375,376,373,377,378,380,381,382,379,383</t>
  </si>
  <si>
    <t>D16; DC36.9</t>
  </si>
  <si>
    <t>Creative Economies, Creative Communities : Rethinking Place, Policy and Practice</t>
  </si>
  <si>
    <t>,1,2,3,4,7,6,5</t>
  </si>
  <si>
    <t>HD9999.C9472 C736 2015</t>
  </si>
  <si>
    <t>,1,2,3,4,5,8,9,10,11,7,12,14,15,16,17,13,20,19,21,18,50,51,52,48,49</t>
  </si>
  <si>
    <t>,1,2,3,131,128,120,121,122,118,119,117,115,116</t>
  </si>
  <si>
    <t>Z7n3PGgLclKPB5h5N2jeJg==</t>
  </si>
  <si>
    <t>Buffalo State College</t>
  </si>
  <si>
    <t>buffalostate</t>
  </si>
  <si>
    <t>Hidden History of Film Style : Cinematographers, Directors, and the Collaborative Process</t>
  </si>
  <si>
    <t>,80,81,82,83,84,85,86,87,88,89,90,91,92,93,94,95,96,97,98,99,100,101,102,103,104,105,106,107,108,109,110,111,112,113,114,115,116,117,118,119</t>
  </si>
  <si>
    <t>136.183.11.43</t>
  </si>
  <si>
    <t>PN1993.5.U6 -- .B34 2015eb</t>
  </si>
  <si>
    <t>791.4302/3</t>
  </si>
  <si>
    <t>,1,2,3,81,82,78,79,56,57,58,54,80</t>
  </si>
  <si>
    <t>Y0H/AYaHRYE=</t>
  </si>
  <si>
    <t>Mentoring and Coaching Tips : How Educators Can Help Each Other</t>
  </si>
  <si>
    <t>,7,8,9,18,19,20,17,16,21,22,15,13,12,11</t>
  </si>
  <si>
    <t>LB1731.4 -- .W38 2013eb</t>
  </si>
  <si>
    <t>vU9akvXFefO3z2N9mpmPeA==</t>
  </si>
  <si>
    <t>Video Production Handbook</t>
  </si>
  <si>
    <t>Engineering; Engineering: Electrical; Fine Arts</t>
  </si>
  <si>
    <t>TK6655.V5 -- .M555 2001eb</t>
  </si>
  <si>
    <t>VrUhMMt9I40=</t>
  </si>
  <si>
    <t>,1,2,3,1,2,3</t>
  </si>
  <si>
    <t>,181,182</t>
  </si>
  <si>
    <t>,1,2,3,172,173,174,170,171,107,108,109,105,106,175,176,177,178,179,180</t>
  </si>
  <si>
    <t>,46</t>
  </si>
  <si>
    <t>,1,2,3,49,50,51,47,48,52</t>
  </si>
  <si>
    <t>jYfxJ0BfKq2TXiG0UiP0Xw==</t>
  </si>
  <si>
    <t>Aircraft Control and Simulation : Dynamics, Controls Design, and Autonomous Systems</t>
  </si>
  <si>
    <t>Engineering: Mechanical; Engineering: General; Engineering</t>
  </si>
  <si>
    <t>,1,4,301,303,299,300,401,399,403,498,500,501,600,601,700,701,800,801,843,842,841</t>
  </si>
  <si>
    <t>,601,602,603,604,605,606,607,608,609,610,611,612,613,614,615,616,617,618,619,620,621,622,623,624,625,626,627,628,629,630,631,632,633,634,635,636,637,638,639,640,641,642,643,644,645,646,647,648,649,650,651,652,653,654,655,656,657,658,659,660,661,662,663,664,665,666,667,668,669,670,671,672,673,674,675,676,677,678,679,680,681,682,683,684,685,686,687,688,689,690,691,692,693,694,695,696,697,698,699,700,701,702,703,704,705,706,707,708,709,710,711,712,713,714,715,716,717,718,719,720,721,722,723,724,725,726,727,728,729,730,731,732,733,734,735,736,737,738,739,740,741,742,743,744,745,746,747,748,749,750,751,752,753,754,755,756,757,758,759,760,761,762,763,764,765,766,767,768,769,770,771,772,773,774,775,776,777,778,779,780,781,782,783,784,785,786,787,788,789,790,791,792,793,794,795,796,797,798,799,800,801,802,803,804,805,806,807,808,809,810,811,812,813,814,815,816,817,818,819,820,821,822,823,824,825,826,827,828,829,830,831,832,833,834,835,836,837,838,839,840,841,842,843,844,845</t>
  </si>
  <si>
    <t>TL678 -- .S748 2016eb</t>
  </si>
  <si>
    <t>ovR32TaMJhc=</t>
  </si>
  <si>
    <t>,301,302,303,304,305,306,307,308,309,310,311,312,313,314,315,316,317,318,319,320,321,322,323,324,325,326,327,328,329,330,331,332,333,334,335,336,337,338,339,340,341,342,343,344,345,346,347,348,349,350,351,352,353,354,355,356,357,358,359,360,361,362,363,364,365,366,367,368,369,370,371,372,373,374,375,376,377,378,379,380,381,382,383,384,385,386,387,388,389,390,391,392,393,394,395,396,397,398,399,400,401,402,403,404,405,406,407,408,409,410,411,412,413,414,415,416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401,402,403,404,405,406,407,408,409,410,411,412,413,414,415,416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501,502,503,504,505,506,507,508,509,510,511,512,513,514,515,516,517,518,519,520,521,522,523,524,525,526,527,528,529,530,531,532,533,534,535,536,537,538,539,540,541,542,543,544,545,546,547,548,549,550,551,552,553,554,555,556,557,558,559,560,561,562,563,564,565,566,567,568,569,570,571,572,573,574,575,576,577,578,579,580,581,582,583,584,585,586,587,588,589,590,591,592,593,594,595,596,597,598,599,600</t>
  </si>
  <si>
    <t>,1,2,3,4,5,6,7,8,9,10,11,12,13,14,15,16,17,34,35,36,32,33,37,38,39,40,1,3,4,5,6,7,11,36,1,15,23,18,6,7,8,9,37,38,39,35,36,34,51,52,53,32,33,29,30,31,26,27,28,24,25,23,1,3,4,5,6,7,8,9,10,11,12,13,14,15,16,17,18,19,20,21,22,40,41,42,43,44,45,46,47,48,49,60,61,62,58,59,57,56,55,54,50,48,48,63,64,65,66,67,68,69,70,71,72,73,74,75,79,80,81,78,76,77,82,83,84,85,86,87,88,89,90,91,105,106,107,103,104</t>
  </si>
  <si>
    <t>,26,26,27,27,37,37,47,47,48,48,53,53,53,53,63,63,64,64,73,73,74,74,73,73,79,79</t>
  </si>
  <si>
    <t>CBT For Anxiety Disorders : A Practitioner Book</t>
  </si>
  <si>
    <t>,1,2,3,69,70,71,68,67,72,74,75,84,102,119,135,138,139,140,137,134,136,132,133</t>
  </si>
  <si>
    <t>,69,70,71,72,73,74,75,76,77,78,79,80,81,82,83,84,85,86,87,88,89,90,91,92,93,94,95,96,97</t>
  </si>
  <si>
    <t>RC531 -- .C42 2013eb</t>
  </si>
  <si>
    <t>616.85/22</t>
  </si>
  <si>
    <t>Forensic Psychologists Casebook : Psychological profiling and criminal investigation</t>
  </si>
  <si>
    <t>,1,2,3,32,33,34,30,31</t>
  </si>
  <si>
    <t>RA1148</t>
  </si>
  <si>
    <t>,67,65,66,67,73,74,75,76,77,78,79,80,81,82,83,84,85,86,87,88,89,90,91,92,93,94,95,96,97,98,99,100,101</t>
  </si>
  <si>
    <t>j3Jg5Bh5cBooyGwaKwoqrA==</t>
  </si>
  <si>
    <t>Message Not Received : Why Business Communication Is Broken and How to Fix It</t>
  </si>
  <si>
    <t>,17,18,149,150,154,144,146,142,143,147,158,159,175,178,174,173,179,180,181,182,176,177,183,184,185,186,188,189,234,235,236,233,203,204,205</t>
  </si>
  <si>
    <t>HF5718 -- .S565 2015eb</t>
  </si>
  <si>
    <t>,1,14,15,16,12,13,2</t>
  </si>
  <si>
    <t>,1,2,3,69,70,71,67,68,72</t>
  </si>
  <si>
    <t>3O6lc+Ic3GI=</t>
  </si>
  <si>
    <t>,63</t>
  </si>
  <si>
    <t>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</t>
  </si>
  <si>
    <t>,1,2,3,67,9,1,2,3,4,5,6,7,8,9,10,11,12,13,14,15,16,17,18,19,20,21,22,23,24,25,26,27,28,29,30,31,32,33,34,35,36,37,38,39,40,41,42,43,44,45,46,47,48,49,50,51,52,53,54,55,56,57,58,59,60,61,63,65</t>
  </si>
  <si>
    <t>pPlvmB2sGocOGMGcq+Tf1w==</t>
  </si>
  <si>
    <t>Dude, You're a Fag : Masculinity and Sexuality in High School</t>
  </si>
  <si>
    <t>HQ797 -- .P37 2012eb</t>
  </si>
  <si>
    <t>306.76; 306.76/40835109794</t>
  </si>
  <si>
    <t>,159,160,161,162,163,164,165,166,167,168,169,170</t>
  </si>
  <si>
    <t>,1,1,2,3</t>
  </si>
  <si>
    <t>,1,2,3,1,2,3,4,5,6,12,13,14,64,81,102,108,123,137,141,148,149,150,147,146,145,151,152,153,154,155,156,157,158</t>
  </si>
  <si>
    <t>vPB72hR515cdAoQCypo/qA==</t>
  </si>
  <si>
    <t>Secret Agents : The Rosenberg Case, McCarthyism and Fifties America</t>
  </si>
  <si>
    <t>,1,2,3,268,269,270,266,267,271</t>
  </si>
  <si>
    <t>HX84.R578S</t>
  </si>
  <si>
    <t>Xagvx3edyDToIgVdMLN/Ng==</t>
  </si>
  <si>
    <t>Of Bread, Blood and The Hunger Games : Critical Essays on the Suzanne Collins Trilogy</t>
  </si>
  <si>
    <t>McFarland &amp; Company, Inc., Publishers</t>
  </si>
  <si>
    <t>,58,59,60,61,62,63,64,65,66,67</t>
  </si>
  <si>
    <t>PS3603.O4558 -- Z84 2012eb</t>
  </si>
  <si>
    <t>813/.6</t>
  </si>
  <si>
    <t>,1,2,3,58,59,60,57,56</t>
  </si>
  <si>
    <t>WLZJRiwFfr1oAoLfkuTtYQ==</t>
  </si>
  <si>
    <t>Molecular Catalysts : Structure and Functional Design</t>
  </si>
  <si>
    <t>Engineering: Chemical; Engineering</t>
  </si>
  <si>
    <t>,1,2,3,31,32,33,29,30,34,35</t>
  </si>
  <si>
    <t>TP159.C3 -- .M654 2014eb</t>
  </si>
  <si>
    <t>,82</t>
  </si>
  <si>
    <t>216.226.127.140</t>
  </si>
  <si>
    <t>,1,2,3,4,5,6,7,8,9,10,45,46,47,43,44,42,41,25,19,20,21,22,18,23,24,26,27,28,29,30,31,32,33,34,35,36,37,38,39,40,41,42,43,44,45,46,47,48,49,50,52,53,54,55,56,57,59,60,63,61,1</t>
  </si>
  <si>
    <t>,1,2,3,4,26,74,101,110,111,113,114,110,112,98,39,1,1,2,3,1,3,2,12,13,14,10,11,15,16,17,18,19,20,21,14,13,12,11,10,79,80,81,77,78,82</t>
  </si>
  <si>
    <t>,1,2</t>
  </si>
  <si>
    <t>Queering Teen Culture : All-American Boys and Same-Sex Desire in Film and Television</t>
  </si>
  <si>
    <t>,1,2,3,282,283,284,280,281,285,286,287,288,289</t>
  </si>
  <si>
    <t>PN1995.9.Y6 -- D45 2008eb</t>
  </si>
  <si>
    <t>,1,2,3,14,15,16,12,13,17,18,25,26,27,23,24,14,15,16,12,13,17,11,9,7,1,2,3,4,5,6,18,19,20,13,12,19,20,21</t>
  </si>
  <si>
    <t>,23,24,25,21,22,26,27,28,29</t>
  </si>
  <si>
    <t>NyX+A5dm6ua7PSC2VrAZUA==</t>
  </si>
  <si>
    <t>,1,2,3,55,56,57,53,54,58,59</t>
  </si>
  <si>
    <t>Metatheory for the Twenty-First Century : Critical Realism and Integral Theory in Dialogue</t>
  </si>
  <si>
    <t>,2</t>
  </si>
  <si>
    <t>HM571</t>
  </si>
  <si>
    <t>,1,2,3,425,426,427,423,424,424,1,425,426,422,423,427,428,429,430,2,431,432,433,434,435,436,437,438,439,440,441,442,443,444,432,431,430,429,428,427,443,444,445,446,447,448,449,451,452,453,454,455,456,457,458,459,460,461,462,463,464,465,467,468</t>
  </si>
  <si>
    <t>,429,430</t>
  </si>
  <si>
    <t>,19,19,20,21,20,17,21,18,18,16,15,14,13,12,17,18,19,20,15,14,13,12,11,16</t>
  </si>
  <si>
    <t>,1,2,3,4,5,6,7,8,9,10,11,14,15,16,12,13,17,18,19,20</t>
  </si>
  <si>
    <t>,1,2,2,3,1,3,2,2</t>
  </si>
  <si>
    <t>Vaccinology : An Essential Guide</t>
  </si>
  <si>
    <t>Medicine; Pharmacy; Health; Social Science</t>
  </si>
  <si>
    <t>,347,348,349,345,346,361,368,369,370,366,367,365,363,364,356,355,357,354,353</t>
  </si>
  <si>
    <t>,366,355</t>
  </si>
  <si>
    <t>,347,347,348,348,349,350,350,351,351,352,352,352,353,353,353,354,355,356,357,358,359,360,361,361,362,362,362,363,364,364,365,365,366,367,368,369</t>
  </si>
  <si>
    <t>RA638 -- .V33 2015eb</t>
  </si>
  <si>
    <t>615.3/72</t>
  </si>
  <si>
    <t>VfeMY1oRnvnEVp6az7m/Ww==</t>
  </si>
  <si>
    <t>Motivating Substance Abusers to Enter Treatment : Working with Family Members</t>
  </si>
  <si>
    <t>Health; Medicine; Social Science</t>
  </si>
  <si>
    <t>,1,1,2,2,3,3,2,2</t>
  </si>
  <si>
    <t>RC564 -- .S566 2004eb</t>
  </si>
  <si>
    <t>Eu6ud/5VFiQRPNQwxSX9tA==</t>
  </si>
  <si>
    <t>Rescued from the Nation : Anagarika Dharmapala and the Buddhist World</t>
  </si>
  <si>
    <t>,19,20,21,22,23,24,25,26,27,28,29,30,31,32,33,34,35,36,37,252,253,254,250,251,255,256,257,258,259,260,261,262,263,264,265,266,267,268,269,270,271,272,273,274,275,276,277,278,279,280,281,282,283,285,286,287,288,289,290,291,292,293,294,295,296,297,298,299,300,301,302,303,304,305,306,307,308,309,310,311,313,314,315,316,317,318,319,127,128,129,125,126,130,131,132,133,134,135,136,137,138,139,140,141,142,143,144,145,146,147,148,149,150,151,152,153,154,155,156,157,159,160,161,162,163,164,165,166,167,168,169,170,171,172,173,174,175,176,177,178,179,197,198,199,195,196,200,201,202,203,204,205,206,207,208,209,210,211,212,63,64,65,62,61,66,67,68,69,70,71,72,73,74,387,388,389,386,384,385,383,381,382,320,321,322,323,324,325,326,327,328,329,330,331,332,333,334,335,336,337,338,339,340,341,342,343,344</t>
  </si>
  <si>
    <t>BQ950</t>
  </si>
  <si>
    <t>,1,2,3,8,9,10,6,7,12,13,14,11,15,16,17,18</t>
  </si>
  <si>
    <t>37OC735HJm4=</t>
  </si>
  <si>
    <t>Source : Music of the Avant-garde, 1966–1973</t>
  </si>
  <si>
    <t>ML197 .S695 2011</t>
  </si>
  <si>
    <t>,1,2,3,1,8,12,18,26,28,34</t>
  </si>
  <si>
    <t>So6hrk/X4lu/IZNVABv0JA==</t>
  </si>
  <si>
    <t>,1,3,4,5,2,6,7,5,24</t>
  </si>
  <si>
    <t>,1,3,4,5,2</t>
  </si>
  <si>
    <t>,1,2,3,425,427,423,424,426,428,429,430,431,432,433,434,435,436,437,438,439,440,441,442,443,444</t>
  </si>
  <si>
    <t>H3c96b/DQNmw46kexPKGYA==</t>
  </si>
  <si>
    <t>,1,2,3,58,59,60,56,57,61,62,63,64,65,66,67,61,60,59,58,68,69,70,71,67,72</t>
  </si>
  <si>
    <t>,1,2,3,340,341,342,339,338,348,346,349,347,350,340,343,344,345,351,29,30,31,27,28,340,338,327,328,329,330,326,331,332,333,334,335,336,337,338,340,340</t>
  </si>
  <si>
    <t>Organic Mechanisms : Reactions, Methodology, and Biological Applications</t>
  </si>
  <si>
    <t>,1,3,2,191,192,189,190,194,195,196,197,198</t>
  </si>
  <si>
    <t>QD502.5 -- .S86 2013eb</t>
  </si>
  <si>
    <t>547/.139</t>
  </si>
  <si>
    <t>Reactions and Syntheses : In the Organic Chemistry Laboratory</t>
  </si>
  <si>
    <t>QD261 .T384 2015</t>
  </si>
  <si>
    <t>Cut Adrift : Families in Insecure Times</t>
  </si>
  <si>
    <t>,1,2,3,4,5,6,7,8,9,10,2,11,12,13,14</t>
  </si>
  <si>
    <t>HM821 -- .C676 2014eb</t>
  </si>
  <si>
    <t>Body Language : It's What You Don't Say That Matters</t>
  </si>
  <si>
    <t>Social Science; Psychology</t>
  </si>
  <si>
    <t>,1,2,3,4,5,6,7,8,9,10,11,12,13,2,14,15,16,17,18,19</t>
  </si>
  <si>
    <t>BF637.N66 -- P44 2012eb</t>
  </si>
  <si>
    <t>153; 302.222</t>
  </si>
  <si>
    <t>,1,2,3,4,5,6,7,8,9,10,11,12,2,1,5,7,17,19,20,23,21,4,5,6</t>
  </si>
  <si>
    <t>,350,351,352,353,354,355,356,357,358,359,360,361,362,363,391,392,393</t>
  </si>
  <si>
    <t>,335,336,337,338,339,340,341,342,343,344,345,346,347,348,349,350,351,352,353,354,355,356,357,358,359,360,361,362,363,364,365,366,367,368,369,347,348,349,350,351,352,353,354,355,356,357,358,359,360,361,362,363,364,365,366,367,368,369</t>
  </si>
  <si>
    <t>,1,2,3,5,6,9,10,11,12,8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2,203,204,205,206,208,209,210,211,212,213,214,215,216,217,219,221,222,223,220,224,225,226,227,228,229,230,231,232,233,234,235,236,237,238,239,240,241,242,243,244,245,246,247,248,249,250,251,252,253,254,255,259,260,261,257,262,263,264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40,341,342,343,344,345,346,347,348,349</t>
  </si>
  <si>
    <t>uof481re5Rg=</t>
  </si>
  <si>
    <t>,1,2,3,4,5,6,36,37,38,34,35,36,39</t>
  </si>
  <si>
    <t>Complete Guide to Strength Training</t>
  </si>
  <si>
    <t>Bloomsbury Publishing</t>
  </si>
  <si>
    <t>Health; Sport &amp; Recreation</t>
  </si>
  <si>
    <t>,21,22,23,19,20,24,25,26,18,17,24,25,25,26,27,28,27,28,29,30,31,32,33,34,35,36,37,23,29,32,33,34,31,30,35,36,37,38</t>
  </si>
  <si>
    <t>,6,7,8,9,10,11,12,13,14,15,16,21,22,24,26,27,28,29,30,31,32,33,34</t>
  </si>
  <si>
    <t>GV546</t>
  </si>
  <si>
    <t>,1,2,3,4,5,6,7,8,14,15,16,575,576,573,574,572,571,569,570,567,568,566,551,552,553,549,550,21,22,23,19,20,6,7,8,4,5,9,10,11,12,13,14,15,16,17,18,24,470,471,472,468,469,473,14,15,16,12,6,7,8,4,5,9,35,36,37,33,17,18,19,20</t>
  </si>
  <si>
    <t>Y+DTNb+FK4glSJk9Z86ixw==</t>
  </si>
  <si>
    <t>,1,2,3,40,41,42,38,39,43,44,45,46,47,48,49,50,51,52,53,54,55,56,57,58,59,60,61,100,101,102,98,103,104,105,106,107,108,139,140,138,136,137,141,142,134,135</t>
  </si>
  <si>
    <t>Approaching the Hunger Games Trilogy : A Literary and Cultural Analysis</t>
  </si>
  <si>
    <t>,186,187,188,184,185,196,197,198,194,195</t>
  </si>
  <si>
    <t>,51,52,53,54,55,56,57,58,59,60,61,62,63,64,65,66,67,68,69</t>
  </si>
  <si>
    <t>PS3603.O4558 -- Z6845 2012eb</t>
  </si>
  <si>
    <t>,1,2,3,51,52,53,49,50</t>
  </si>
  <si>
    <t>,1,2,3,29,59,73,76,145,146,147,143,144,2,142,141,140,139,138,119,102,96,97,98,95,93,94,92,91,98,99</t>
  </si>
  <si>
    <t>Statistics I &amp; II For Dummies 2 eBook Bundle : Statistics For Dummies &amp; Statistics II For Dummies</t>
  </si>
  <si>
    <t>Social Science; Mathematics</t>
  </si>
  <si>
    <t>HA29</t>
  </si>
  <si>
    <t>NwkdcEVbYz8=</t>
  </si>
  <si>
    <t>Treating Complex Traumatic Stress Disorders in Children and Adolescents : Scientific Foundations and Therapeutic Models</t>
  </si>
  <si>
    <t>,243,246,244,247,248,333,334,335,331,332,347,348,349</t>
  </si>
  <si>
    <t>,243</t>
  </si>
  <si>
    <t>,243,244,245,246,247,248,249,250,251,252,253,254,255,256,257,258,259,260,261,262,263,264</t>
  </si>
  <si>
    <t>RJ506.P66 -- T743 2013eb</t>
  </si>
  <si>
    <t>,1,243,244,245,241,242,246,2,243,243,243</t>
  </si>
  <si>
    <t>n5qBj5eHRCkXCeIRsp7E7Q==</t>
  </si>
  <si>
    <t>,274,275,276,277,278,279,280,281,282,283,284,285,286,287,288,289,290,291,292,293,294,295,296,297</t>
  </si>
  <si>
    <t>,1,2,3,274,275,276,272,273,274,294,295</t>
  </si>
  <si>
    <t>,1,2,3,194,192,193,197,134,135,133,132,242,239,240,196,197,195,199,200,201,202,203,204,205,284,300,297,295,296,293,294,298,299,301,281,272,270,269,271,268,266,267,265,264,263</t>
  </si>
  <si>
    <t>zIiKRLze58uC96Ug4fwnOg==</t>
  </si>
  <si>
    <t>DBT® Skills Manual for Adolescents</t>
  </si>
  <si>
    <t>,1,2,3,297,298,299,300,301,302,303,304,305,306,307,308,309,310,297,298,296,295,300,301,302,303,309,310,311,312,313,314,315,316,317,318</t>
  </si>
  <si>
    <t>,303,306</t>
  </si>
  <si>
    <t>RC489.B4 -- .R36 2015eb</t>
  </si>
  <si>
    <t>616.89/142</t>
  </si>
  <si>
    <t>/GS8SRgh04I=</t>
  </si>
  <si>
    <t>,1,41,42,43,39,40,2,99,100,101,97,98,102,103,104,105,106,107,108,103,100,101,97,98,109,110,111,107,108,112,113,108,103,104,105,101,102,107</t>
  </si>
  <si>
    <t>,99,100,101,102,103,104,105,106,109,110,111,112,113,114,115,116,117,118,119,120,121,122,123,124,125,126,127,128,129,130,131,132,151,152,153,154,155,156,157,158,159,160,161,162,163,164,165,166,167,168,169,170,171,172,173,174,175,176,177,178,179,180,181,182,183,184,185,186,187,188,189,190,191,192,306,307,308,309,310,311,312,313,314,315,316,317,318,319,320,321,322,323,324,325,326,327,328,329,330,331,332,333,334,335,336,337,338,339,340,341,342,343,344,345,346,347,348,349,350,351,352,353,354</t>
  </si>
  <si>
    <t>,297,298,299,300,296,295,301,302,303,304,305,306</t>
  </si>
  <si>
    <t>,299,300</t>
  </si>
  <si>
    <t>,1,2,3,21,22,23,19,20</t>
  </si>
  <si>
    <t>asulliv1</t>
  </si>
  <si>
    <t>Biology Essentials For Dummies</t>
  </si>
  <si>
    <t>Science; Science: Biology/Natural History</t>
  </si>
  <si>
    <t>,116,117,118,114,115,116,11,12,13,9,10</t>
  </si>
  <si>
    <t>38.123.32.158</t>
  </si>
  <si>
    <t>QH307.2 .K73 2011</t>
  </si>
  <si>
    <t>S2hwzVcqDus=</t>
  </si>
  <si>
    <t>,185,166,167,168,164,165,182,183,184,185,186,187,188,189,190,191,192,193,194,195,196,188,186,185,184,183,182,181,226,227,228,224,225,306,307,308,304,305,309,310,311,312,313,314,315,316,317,318,319,320,321,322,323,324,325,326,327,328,329,330,331,332,333,334,335,338,339,337,336,340,341,342,343,344,345,346,347,336,337,338,334,339,335,340,348,349,350,351,352,353,354,355,356,357,182,183,184,180,181,191,186,187,188,185,183,181,180</t>
  </si>
  <si>
    <t>,54,55,56,57,58,59,60,61,62,63,64,65,66,67,68,69,70,71,72</t>
  </si>
  <si>
    <t>,1,51,52,53,49,50,54,48,46,40,33,24,25,26,2,22,23</t>
  </si>
  <si>
    <t>,54,55,56,57,58,59,60,61,62,63,64,65,66,67,68,69,70,71,72,51,52,53,49,50,54,55,59,62,63,64,65,66,67,68,69,70</t>
  </si>
  <si>
    <t>,51,69,51,51</t>
  </si>
  <si>
    <t>,54,55,56,57,58,59,60,61,62,63,64,65,66,67,68,69,70,71,72,51,52,53,49,50</t>
  </si>
  <si>
    <t>,51,66</t>
  </si>
  <si>
    <t>,377,376,374,375,378,373,372,362,363,361,359,360,364,365,366,367,368,369,370,371,357,353,349,350,351,347,348,346,345,344</t>
  </si>
  <si>
    <t>,347,348,349,350,351,352,353,354,355,356,357,358,359,360,361,362,363,364,365,366,367,368,369</t>
  </si>
  <si>
    <t>JFv8PECg6MApl/lIKOoPSQ==</t>
  </si>
  <si>
    <t>Introduction to Probability and Statistics</t>
  </si>
  <si>
    <t>Mathematics; Engineering: Civil; Engineering</t>
  </si>
  <si>
    <t>,1,2,2,3,3,1,91,92,91,92,93,89,93,94,94,95,95,104,2,104,101,101,102,102,103,99,103,100,100,104,105,105,106,106,107,107,102,107,108,108,109,109,110,110,105,110,111,111,112,112,107,106,111,106,111,112,113,113,108,113,108,113,114,114,109,114,115,115,110,111,109,111,112,113,114,110,115,110,115,116,116,110,109,108,107,106,111,112,113,113,114,115,110,115,116,111,116,117,117,118,118,119,119,120,120,121,121,122,122,123,118,123,123,118,123,118</t>
  </si>
  <si>
    <t>TA340</t>
  </si>
  <si>
    <t>,1,2,3,425,426,427,423,424,428,428,428,429,430,430,431,432,433,434,412,413,414,411,409,410,425,426,427,423,424,428,429,430,1,2,3,425,426,427,423,424,428,429,430,431,432,433,434,435,436,437,438,439,440,441,442,443,444,445,446,447,448,449,450,451,452,453,454,455,456,457,458,459,460,461,462,463,464,465,466,467,468,469,470</t>
  </si>
  <si>
    <t>,426,426,426,427,427,427,1,427,428</t>
  </si>
  <si>
    <t>,369</t>
  </si>
  <si>
    <t>,347,348,349,346,345,351,352,353,350,354,355,356,357,358,359,360,361,362,363,364,365,366,367,368,369,370,371,372</t>
  </si>
  <si>
    <t>,1,2,3,224,226,223,225,222,228,227,229,230,231,232,234,235,236,237</t>
  </si>
  <si>
    <t>,1,2,3,40,47,36,37,38,34,35,213,214,215,211,212,177,178,179,175,176,180,181,182,176,175,174,173</t>
  </si>
  <si>
    <t>1ovxNBqxOIUfTUYH4WWeHQ==</t>
  </si>
  <si>
    <t>Why Washington Won't Work : Polarization, Political Trust, and the Governing Crisis</t>
  </si>
  <si>
    <t>Political Science; History</t>
  </si>
  <si>
    <t>,14,15</t>
  </si>
  <si>
    <t>E893 -- .H48 2015eb</t>
  </si>
  <si>
    <t>,1,2,3,1,14</t>
  </si>
  <si>
    <t>,1,2,3,4,5,6,7,8,9,10,11,12,13,14,15,16</t>
  </si>
  <si>
    <t>KM1+gG//Gux2iPeCU98kNQ==</t>
  </si>
  <si>
    <t>Life of William Shakespeare : A Critical Biography</t>
  </si>
  <si>
    <t>PR2894 -- .P68 2012eb</t>
  </si>
  <si>
    <t>822.3/3; B</t>
  </si>
  <si>
    <t>Sophocles' 'Oedipus the King' : A Reader's Guide</t>
  </si>
  <si>
    <t>,164,165,166,162,163,56,57,58,54,55,59,60,61,62,63,64,65,102,104,103,105,100,101,98,99,97,95,96,94,92,93</t>
  </si>
  <si>
    <t>66.66.205.64</t>
  </si>
  <si>
    <t>PA4413.O7 -- S54 2012eb</t>
  </si>
  <si>
    <t>/nM6LtudzKe4REpoK7gl8g==</t>
  </si>
  <si>
    <t>,25,29,28,27,26</t>
  </si>
  <si>
    <t>,1,2,3,32,33,34,30,31,35,36,29,28,27,26</t>
  </si>
  <si>
    <t>,98,99,100,101</t>
  </si>
  <si>
    <t>,1,2,3,91,92,93,90,89,94,95,96,97</t>
  </si>
  <si>
    <t>,35,35,36,37,38,39,40,41,42,43,44,45,46,47,48,49,50,51,52,53,54,55,56,57,58,59</t>
  </si>
  <si>
    <t>,1,2,3,25,26,27,23,24,35,36,37,33,34</t>
  </si>
  <si>
    <t>v3sTEeVlO5+3fGn+kpz/8Q==</t>
  </si>
  <si>
    <t>,1,1,1,2,2,3,3,5,5,6,6,4,4,92,92,93,93,2,304,304,305,305,306,306,302,303,303,307,307,308,308,309,309</t>
  </si>
  <si>
    <t>,28,20,16,17,18,14,15,50,51,52,48,49,47,45,46,44,42,43,36,37,38,34,35,27,23,24</t>
  </si>
  <si>
    <t>,25,26,27,28,29,30,30,31,32,33,34,35,36,37,38,39,40,41,42,43,44,45,46,47,48,49,50,50,51,51,52,52,53,53,54,54,54,55,55,56,57</t>
  </si>
  <si>
    <t>,1,2,3,25,26,27,23,24,28,42,72,102,115,21</t>
  </si>
  <si>
    <t>rqPcJH7151+HthiJP+24sQ==</t>
  </si>
  <si>
    <t>Discover Your True North</t>
  </si>
  <si>
    <t>,1,41,42,43,39,40</t>
  </si>
  <si>
    <t>HD57.7 .G45814 2015</t>
  </si>
  <si>
    <t>658.4/092</t>
  </si>
  <si>
    <t>bIK3hGttp2aipKuMbZAF1g==</t>
  </si>
  <si>
    <t>,1,2,3,16,17,18,14,15,13,12,18,19,20,21,22,23,24,25,26,28,29,37,39,36,35,40,41,43,44,45,46,47,49,50,52,53,54,1,54,55,53,52,56,2</t>
  </si>
  <si>
    <t>,357,357,358,355,355,351,351,352,353,353,349,352,350,350,348,348,347,346,347,344,344,99,1,99,2,3,4,5,6,1,4,4,5</t>
  </si>
  <si>
    <t>,1,1,1,2,3,2,3,4,6,4,6,5,7,5,7,8,3,8,9,4,9,2,1,3,2,2,4,5,11,15,11,15,65,65,79,79,383,384,383,384,382,381,382,380,378,375,370,375,369,370,369,371,367,371,368,366,368,369,365,363,364,362,361,360,362,359,356,356</t>
  </si>
  <si>
    <t>FeiELGGzVnQzC7L/pPcu2A==</t>
  </si>
  <si>
    <t>,39,1,41,40,37,38,42,43,2,44,45,46,47,48,49</t>
  </si>
  <si>
    <t>Grief : Difficult Times, Simple Steps</t>
  </si>
  <si>
    <t>,1,76,77,78,74,75,79,81,2,82,38,39,40,36,37,41,42,43,44,47,48,12,13,14,11,10,15,16,17,18,19,20,21,22,23,24,25,26,27</t>
  </si>
  <si>
    <t>BF575.G7W3</t>
  </si>
  <si>
    <t>Advertising to Children : New Directions, New Media</t>
  </si>
  <si>
    <t>Palgrave Macmillan</t>
  </si>
  <si>
    <t>,1,2,3,4,5,32,33,34,30,31,2,35,30,29,28,27,25,26,24,22,23,21,19,20,18,17,16</t>
  </si>
  <si>
    <t>HF5415.32 -- .A384 2014eb</t>
  </si>
  <si>
    <t>Cyberbullying : Bullying in the Digital Age</t>
  </si>
  <si>
    <t>,1,2,3,4,5,70,71,72,68,69</t>
  </si>
  <si>
    <t>HV6773 -- .K69 2012eb</t>
  </si>
  <si>
    <t>302.34/3</t>
  </si>
  <si>
    <t>ZOASoyRRytHPYp9PGOEzb38PTADIPsaE</t>
  </si>
  <si>
    <t>Houghton College</t>
  </si>
  <si>
    <t>houghton</t>
  </si>
  <si>
    <t>Celtic Myth and Religion : A Study of Traditional Belief, with Newly Translated Prayers, Poems and Songs</t>
  </si>
  <si>
    <t>96.43.64.169</t>
  </si>
  <si>
    <t>BL900 -- .M447 2012eb</t>
  </si>
  <si>
    <t>299/.16</t>
  </si>
  <si>
    <t>,66,67</t>
  </si>
  <si>
    <t>,1,2,3,63,61,62,66,65</t>
  </si>
  <si>
    <t>,4,5,6,7,8,9,11,12,13</t>
  </si>
  <si>
    <t>TgVXcUVV64Y=</t>
  </si>
  <si>
    <t>The Mestizo Mind : The Intellectual Dynamics of Colonization and Globalization</t>
  </si>
  <si>
    <t>,14,15,16,17,18,19,20,21,18</t>
  </si>
  <si>
    <t>,14,15,16,17,20,21,22,23,24,25,26,27,28,29,30,31,32,33,34,35,36,37,38,39,40,41,42,43,44,45,120,121,122,123,124,125,126,127,128,129,130,131,132,133</t>
  </si>
  <si>
    <t>F1408.3 -- .G7813 2002eb</t>
  </si>
  <si>
    <t>QK2Gq6NElfm9QIk6O/mwVQ==</t>
  </si>
  <si>
    <t>Financial Accounting  (RLE Accounting) : An Introduction</t>
  </si>
  <si>
    <t>,15,32,33,34,30,31,35,19,20,21,17,18,22,23,24,25,26,27,28,29,31,32,33,34</t>
  </si>
  <si>
    <t>HF5635 -- .B535 2014eb</t>
  </si>
  <si>
    <t>,1,3,2,11,12,13,9,10,14</t>
  </si>
  <si>
    <t>5nDUC/gGpslG2I850s5r6A==</t>
  </si>
  <si>
    <t>Buddhist Psychology and Cognitive-Behavioral Therapy : A Clinician's Guide</t>
  </si>
  <si>
    <t>,1,2,3,25,26,27,23,24,41,42,43,40,39,47,48,49,45,46,66,64,65</t>
  </si>
  <si>
    <t>,1,2,3,18,19,20,16,17,21,22,23,24,25,26,27,28,29,30,31,32,33,34</t>
  </si>
  <si>
    <t>,1,2,3,1,2,3,4,5,6,7,8,9,46,84,101,110,131,144,147,148,149,146,145,150,151,152,153,154,155,156,157,158,159,218,242,250,251,91,28,95,123,164,165,163,161,162,160,310,311,312,308,309,335,336,334,333,332,331,330,329,328,327,326,325,324,323,321,322,320,318</t>
  </si>
  <si>
    <t>,1,3,2,4,5,6,7,8,9,10,11,18,19,20,16,17,21,22,23,24,25,26,27,28,29,30,31,32,33,34</t>
  </si>
  <si>
    <t>,38,40,37,39,36,18,19,20,16,17,21,22,23,24,24,25,26,27,28,29,30,31,32,33,34,35,36,1,2,3,4,5,6,7,8,9,10,11,12,13,14,15,16,17,18,19,20,21,25,29</t>
  </si>
  <si>
    <t>,1,2,3,4,5,6,7,8,9,10,11,715,716,717,713,714</t>
  </si>
  <si>
    <t>crc6UF1bCrMt3X47r5u9Gg==</t>
  </si>
  <si>
    <t>Applied Meta-Analysis for Social Science Research</t>
  </si>
  <si>
    <t>,1,34,35,36,32,33,2,37,38</t>
  </si>
  <si>
    <t>HA29 -- .C286 2012eb</t>
  </si>
  <si>
    <t>T5igcEat3aLY1ylX8/ydjw==</t>
  </si>
  <si>
    <t>Piano and Keyboard All-in-One For Dummies</t>
  </si>
  <si>
    <t>MT220 -- .D39 2014eb</t>
  </si>
  <si>
    <t>,19,20,21,19,20,21,22,22,23,24,23,25,24,25,26,22,27,26,27,29,28,24,28,29,29,30,31,32,31,30,32,33,34,35,34,33,35,36,37,36,38,37,38,39,40,39,41,40,42,41,43,42,43,44,44,45,46,47,45,46,47,48,1,3,2,48,1,2,4,5,6,7,119,120,119,117,121,120,118,121,118,122,123,122,123,124,124,125,125,126,126</t>
  </si>
  <si>
    <t>,4,4,4,5,6,2,3,5,6,3,7,8,3,7,8,6,7,8,6,4,5,7,8,5,3,8,9,10,9,10,11,11,12,12,13,14,13,14,15,15,16,16,17,17,18,18</t>
  </si>
  <si>
    <t>,1,2,3,1,3,2,2,4,2,5,4,1,4,5,6,2,3,2,2</t>
  </si>
  <si>
    <t>Crescent City Girls : The Lives of Young Black Women in Segregated New Orleans</t>
  </si>
  <si>
    <t>,1,2,3,4,5,6,7,8,9,10,11,12,13,14,15,16,17,18,19,20</t>
  </si>
  <si>
    <t>F379.N59 -- .S566 2015eb</t>
  </si>
  <si>
    <t>305.48/896073076335</t>
  </si>
  <si>
    <t>,369,370,371,372,373,369,370,364,371,372,373,365,370,365,371,371,372,373,373,365,366,369,370,371,364,359,361,357,358,360,347,348,349,345,346,350,351,340,341,342,338,339,335,336,337,331,332,329,330,333,457,458,459,455,425,426,427,423,424,503,504,505,501,502,506,508,509,510,507,511,512,513,514,515,516,517,518,519,521,520,522,524,525,526,527,523</t>
  </si>
  <si>
    <t>,366,366,366,523,523</t>
  </si>
  <si>
    <t>,1,2,3,327,328,329,325,326,330,331,332,333,334,335,336,337,338,339,340,341,342,343,344,345,346,347,348,343,342,349,350,351,352,353,354,355,356,357,358,359,360,361,362,363,364,366,367,368,369,370,371,372,373,367,366,364,365,370,364,363</t>
  </si>
  <si>
    <t>,1,2,3,425,426,427,428,429</t>
  </si>
  <si>
    <t>,12,13,14,17,18,19,20,16,18</t>
  </si>
  <si>
    <t>,5,11,12,13,14,15,16,17,18,19,20,21,13,12,11,9,10,7,8,6,11</t>
  </si>
  <si>
    <t>,1,8,9,10,22,23,24,25,26,27,28,29,30,31,32,33,34,35,36,37,38,39,40,41,42,43,44,45,46,47,48,49,50,51,52,53,54,55,56,57,58,59,60,61,62,63,64,65,66,1,8,9,10,22,23,24,25,26,27,28,29,30,31,32,33,34,35,36,37,38,39,67,68,69,70,71,72,73,74,75,76,77,78,79,80,81,82,83,84,85,86,87,88,89,90,91,92,93,94,95,96,97,98,99,100,101,102,103,104,105,106,107,108,109,110,111,112,113,114,115,116,117,118,119,120,121,122,123,124,125,126,127,128,129</t>
  </si>
  <si>
    <t>AwhSY+kwwfRymvhCgkvtew==</t>
  </si>
  <si>
    <t>Introduction to Cosmology</t>
  </si>
  <si>
    <t>Science: Astronomy; Science</t>
  </si>
  <si>
    <t>,1,2,3,4,23,24,22,21,25,26,27,28,29,30,31,32,33,34</t>
  </si>
  <si>
    <t>QB981 -- .R667 2015eb</t>
  </si>
  <si>
    <t>An Introduction to Modern Cosmology</t>
  </si>
  <si>
    <t>Science; Science: Astronomy</t>
  </si>
  <si>
    <t>QB981 -- .L533 2015eb</t>
  </si>
  <si>
    <t>T/DGh0FZ5+4=</t>
  </si>
  <si>
    <t>Performing Afro-Cuba : Image, Voice, Spectacle in the Making of Race and History</t>
  </si>
  <si>
    <t>,1,234,235,236,232,233,2,237,238,60,61,62,58,59,63,64,65,66,64</t>
  </si>
  <si>
    <t>F1789.N3 -- .W57 2014eb</t>
  </si>
  <si>
    <t>305.896/07291</t>
  </si>
  <si>
    <t>xyNaP+P6G6w=</t>
  </si>
  <si>
    <t>The Korean War</t>
  </si>
  <si>
    <t>,1,2,3,4,5,6,7,8,9,10,123,124,125,126,122,127,208,205,206,207,204</t>
  </si>
  <si>
    <t>DS918 -- .L44 2013eb</t>
  </si>
  <si>
    <t>Cognitive Behavior Therapy : Core Principles for Practice</t>
  </si>
  <si>
    <t>RC489.C63 -- C64 2012eb</t>
  </si>
  <si>
    <t>616.89/1425</t>
  </si>
  <si>
    <t>I/9e34jOCz8kDsIi3I8teA==</t>
  </si>
  <si>
    <t>Appraising Personality : The Use of Psychological Tests in the Practice of Medicine</t>
  </si>
  <si>
    <t>,1,2,3,61,62,63,59,67,64</t>
  </si>
  <si>
    <t>RC467 -- .H37 2001eb</t>
  </si>
  <si>
    <t>dTiHhFljQjU=</t>
  </si>
  <si>
    <t>,1,2,3,167,168,169,165,166,170</t>
  </si>
  <si>
    <t>,1,2,3,4,5,6,1,7,8,9,10,226,353,354,355,352,351</t>
  </si>
  <si>
    <t>8oqnwi2KnjA=</t>
  </si>
  <si>
    <t>EdosXJ+5QmIGwixkgk5+SA==</t>
  </si>
  <si>
    <t>,1,2,3,4,1,2,3,213,214,215,211,212,216,217,2,218</t>
  </si>
  <si>
    <t>,1,2,3,4,39,55,65,92,105,145,146,144,142,143,141,2,140,139,138,137,136,133,134,132,130,131,128,129,127,126,125,124,126,128,127,124,125,123,129,130,131,132,133,134,135,136,137,138,139,140,141,142,143,144,145,146,147,148,149</t>
  </si>
  <si>
    <t>,1,25,26,27,23,24,28,2,29,30,31,32,33,34,35,36,37,38,39,40,41,42,51,52,53,49,50,54,55,56,57,58,59,60,61,60,61,62,63,62,63,64,65,66,67,68,69,70,65,71,72,73,74,75,73,74,75,71,72,73,74,75,71,72,76,77,78,79,80,81,82,83,84,85,86,87,88,89,90,91,92,93,94,95,96,83,84,85,81,82,73,74,75,71,72,29,30,31,27,28,327,328,329,325,326,330,331,332,333,334,335,336,336,337,338,339,340,334,333,332,331,330,336,337,337,338,339,340,341,342,343,336,335,334,333,332,331,336,336,337,338,339,340,341,342,343,335,335</t>
  </si>
  <si>
    <t>,73,73,338</t>
  </si>
  <si>
    <t>i05HucXp/kw=</t>
  </si>
  <si>
    <t>,1,2,3,107,108,109,105,106,110,112,111,125,126,127,123,124,128,129,130,131,132,133,134,135,151,152,153,149,150,154,155,156,157,158,159,160,161,162,163,164,165,166,167,168,169,170,171,172,173,174,175,176,177,178,179,180,181,182,183,184,185,186,187,188,189,190,191,192,193,194,195,196,197,198,199,201,202,208,213,214,215,219,224,225,227,226,223,228,229,233,238,243,246,247,248,244,245,249,250,251,283,284,285,281,282,305,306,307,303,304,302,308,309,310,311,312,313,314,315,316,317,318,319,320,321,322,323,324,325,326,327,328,329,330,331,332,333</t>
  </si>
  <si>
    <t>,1,2,3,125,126,127,123,124,128,129,130</t>
  </si>
  <si>
    <t>zreWgYLCJfM=</t>
  </si>
  <si>
    <t>,1,3,2,41,42,43,39,40,44,45,73,74,75,71,72,76,77,78,79,178,179,180,177,176,182,183,184,181,185,186,187,331,332,333,329,330,334,335,336,337</t>
  </si>
  <si>
    <t>,31,32</t>
  </si>
  <si>
    <t>,1,25,26,27,23,24,28,29,21,22,20,19,2,30</t>
  </si>
  <si>
    <t>iv5sA9fl62ACV+RjaCvuFQ==</t>
  </si>
  <si>
    <t>The Secular Commedia : Comic Mimesis in Late Eighteenth-Century Music</t>
  </si>
  <si>
    <t>,1,67,68,65,66,70,71,2</t>
  </si>
  <si>
    <t>ML195 -- .A45 2014eb</t>
  </si>
  <si>
    <t>7D/u9TZ+8MvkqSI5UYivyA==</t>
  </si>
  <si>
    <t>,1,2,3,347,348,349,350,351,352,353,355,356,357,354,358,359,360,361,362</t>
  </si>
  <si>
    <t>,1,2,3,51,52,53,54,50,63,64,65,61,62,66,31,32,33,29,30,34,67,68,69,70,71,72,73,74,75,76,77</t>
  </si>
  <si>
    <t>,121,122,123,124,125,126,127,128,129</t>
  </si>
  <si>
    <t>,1,2,3,97,98,99,95,96,106,101,100,102,103,104,105,106,107,108,109,110,111,112,113,114,115,116,117,118,119,120</t>
  </si>
  <si>
    <t>Penny Stocks For Dummies</t>
  </si>
  <si>
    <t>,1,2,3,137,138,139,135,136,140,141,142,143,138,144,145,146,147,149,150,150,1,151,152,148,149,147,146,2,151,152,153,154,155,156,157,158,159,161,162,160</t>
  </si>
  <si>
    <t>HG6041 -- .L44 2013eb</t>
  </si>
  <si>
    <t>,1,2,3,127,128,129,125,126,130,124,130,131,132,133,134,135,136,137,138,139,140,141</t>
  </si>
  <si>
    <t>cc0HE9jvG9bfuc9U8HE3Bg==</t>
  </si>
  <si>
    <t>Cisco Networking Essentials</t>
  </si>
  <si>
    <t>TK5105.5 -- .M36 2012eb</t>
  </si>
  <si>
    <t>,376</t>
  </si>
  <si>
    <t>,1,2,3,375,376,377,373,374,378</t>
  </si>
  <si>
    <t>uULLLejg1Ks=</t>
  </si>
  <si>
    <t>162 Keys to School Success : Be the Best, Hire the Best, Train, Inspire and Retain the Best</t>
  </si>
  <si>
    <t>LB2835.25 -- .S33 2010eb</t>
  </si>
  <si>
    <t>saLXuibJVIJqH7EClG4nSA==</t>
  </si>
  <si>
    <t>Java : Der Sprachkurs für Einsteiger und Individualisten</t>
  </si>
  <si>
    <t>QA76.73 .J38</t>
  </si>
  <si>
    <t>005.13; 005.133</t>
  </si>
  <si>
    <t>reDp58lnPsTnha0pfdonTQ==</t>
  </si>
  <si>
    <t>,1,2,3,241,242,243,239,240,244,245,246,247,248,250,251,252,253,249,254,255,256,257,258,259,260,261,262,263,264,265,266,267,268,269,270,271,272,273,274,275,276,277,278</t>
  </si>
  <si>
    <t>,1,2,3,21,22,23,19,20,35,36,37,33,34,38,32,39,40,41,42,11,6,7,8,4,5</t>
  </si>
  <si>
    <t>,5,8,7,9,11,12,13,14,15,16,17,18,19,20,25,26,27,23,24,28,29,30,31,32</t>
  </si>
  <si>
    <t>a1tBJt384/w=</t>
  </si>
  <si>
    <t>Migration Across Boundaries : Linking Research to Practice and Experience</t>
  </si>
  <si>
    <t>,180,180,181,182,178,179,222,220,221,183,184,185,186,187,188,189,190,191,192,193,194,195,196,197,198,199</t>
  </si>
  <si>
    <t>,46,47,48,49,50,51,52,53,54,55,56,57,58,59,60,61,62,63,64,65,180,181,182,183,184,185,186,187,188,189,190,191,192,193,194,195,196,197,198,199</t>
  </si>
  <si>
    <t>JV6013.5 .M53 2015</t>
  </si>
  <si>
    <t>,1,2,3,46,47,48,44,45,49,50,51,52,53,54,55,56,57,58,59,60,61,62,63,64,65,66,64</t>
  </si>
  <si>
    <t>,35,36,37,38,39,40,41,42,43,44,46,45,47,48,49,50,51,52,53,54,55,56,57,58,59,60,61,62,63,64,65,66,67,68,69,70,71,72,73,74,75,76,77,78,79,80,81,82,83,84,85,86,87,88,89,90,91,92,93,94,95,96</t>
  </si>
  <si>
    <t>,1,2,3,4,5,6,7,8,9,10,11,12,13,14,15,16,17,18,19,20,21,22,23,24,25,26,27,28,29,30,31,32,33,34</t>
  </si>
  <si>
    <t>Immunology : A Short Course</t>
  </si>
  <si>
    <t>Medicine; Science; Science: Biology/Natural History</t>
  </si>
  <si>
    <t>,5,6,7,8,9,1,10,9,7,11,8,12,13,14,15,2,13</t>
  </si>
  <si>
    <t>QR181</t>
  </si>
  <si>
    <t>,1,2,3,4,5,6,7,8,9,1,2</t>
  </si>
  <si>
    <t>SEQlYEYibH9OEjTY75llQQ==</t>
  </si>
  <si>
    <t>A Practical Introduction to Computer Vision with OpenCV</t>
  </si>
  <si>
    <t>Engineering: Civil; Computer Science/IT; Engineering</t>
  </si>
  <si>
    <t>,1,2,2,1,3,3,4,4,32,33,32,34,34,30,33,31,54,55,54,56,55,52,31,56,53,53,130,131,132,130,132,131,128,129,2,129</t>
  </si>
  <si>
    <t>TA1634 .D396 2014</t>
  </si>
  <si>
    <t>006.3/7; 006.37</t>
  </si>
  <si>
    <t>Time Series Analysis : Forecasting and Control</t>
  </si>
  <si>
    <t>Engineering; Mathematics; Engineering: Mechanical</t>
  </si>
  <si>
    <t>TJ216</t>
  </si>
  <si>
    <t>,1,2,2,3</t>
  </si>
  <si>
    <t>w+QK4hYzsHzUh34IZNY7tQ==</t>
  </si>
  <si>
    <t>How To Pass The CPA Exam : The IPassTheCPAExam.com Guide for International Candidates</t>
  </si>
  <si>
    <t>b9jJ5BrayfXbnP1oprzmeg==</t>
  </si>
  <si>
    <t>,1,2,3,4,5,6,7,8,9,10,11,12,13,14,15,16,17,18,19,20,21,22,23,24,25,26,27,28,29,30,31,32,33,34,35,36,37,38,39,40,41,42,43,44,45,46,47,48,49,50,51,52,53,54,55,56,57,58,59,60,61,62,63,64,65,66,67,68,69,70,71,72,73,74,75,76,77,78,79,80,81,82,83,84,85,86,87,88,89,90,91,92,93,177,178,179,175,180,176,181,182,183,184,185,186,481,482,483,479,484,485</t>
  </si>
  <si>
    <t>Xl4EwuTSRkKZAtOT5bTvtw==</t>
  </si>
  <si>
    <t>The Encyclopedia of the Novel</t>
  </si>
  <si>
    <t>,298,299,300,301,302,303,304,305,306,307,308,309</t>
  </si>
  <si>
    <t>PN41 .E488 2014</t>
  </si>
  <si>
    <t>809.3/003</t>
  </si>
  <si>
    <t>,1,298,299,298,300,299,300,1,297,296,297,301,301,302,2,302,2,303,303,304,304,305,305,306,306,307,307,308,308,309,309,310,310,311,311,312,312,307</t>
  </si>
  <si>
    <t>rnYeK3p5Ea4=</t>
  </si>
  <si>
    <t>Escape to Prison : Penal Tourism and the Pull of Punishment</t>
  </si>
  <si>
    <t>Geography/Travel; Social Science</t>
  </si>
  <si>
    <t>,1,3,2,108,110,107,106,15,16,17,13,14</t>
  </si>
  <si>
    <t>G156.5.D37 -- .W45 2015eb</t>
  </si>
  <si>
    <t>,418,419,383,384,5,6,7,4,41,42,43,39,381,372,1,372,373,374,370,371,7,8,9,5,6,10,11,12,2,13,549,550,551,547,548,552,553,554,555,556,557,558,559,560,561,562,563,564,565,566,567,569,582,583,584,581,580,585,586,587,588,589,590,591,592,593,594,595,596,597,598,599</t>
  </si>
  <si>
    <t>,1,2,3,21,22,23,24,20,25,26,27,28,29,30,31,32,33,385,386,387,383,384,388,389,390,391,392,393,395,394,396,397,398,399,400,401,402,403,404,405,406,407,408,409,410,411,412,413,414,415,416,417</t>
  </si>
  <si>
    <t>Gender Communication Handbook : Conquering Conversational Collisions between Men and Women</t>
  </si>
  <si>
    <t>,58,75,76,77,78,79,80,81</t>
  </si>
  <si>
    <t>HM1166 -- .N448 2012eb</t>
  </si>
  <si>
    <t>NmfP+X2k/4BezoeBM6iByg==</t>
  </si>
  <si>
    <t>What Makes Life Worth Living : On Pharmacology</t>
  </si>
  <si>
    <t>Literature; Religion</t>
  </si>
  <si>
    <t>,1,2,3,37,38,39,35,36,40,41,42,43,44,45,45,1,46,47,43,44,2,144,145,146,142,143,147,148,149,150,151,152,1,151,153,152,149,150,2,37,38,39,35,36,40,41,42,43,44,45,46,47,48,49,153,50,51,154,52,53,54</t>
  </si>
  <si>
    <t>PQ2643.A26 -- .S754 2013eb</t>
  </si>
  <si>
    <t>,1,2,3,74,75,76,72,73,61,62,63,59,60,64,65,66,67,68,69,70,71,72,73,75,59</t>
  </si>
  <si>
    <t>Mq+akACbH6fI4cWRFNLGHg==</t>
  </si>
  <si>
    <t>Drama Trauma : Specters of Race and Sexuality in Performance, Video and Art</t>
  </si>
  <si>
    <t>Literature; Fine Arts</t>
  </si>
  <si>
    <t>,1,2,3,4,5,6,7,8,9,10,11</t>
  </si>
  <si>
    <t>PS338.S63 -- M86 1997eb</t>
  </si>
  <si>
    <t>CRJjVmUbvRQ=</t>
  </si>
  <si>
    <t>,1,2,3,309,310,311,307,308,312,313,314,315,316,317,318,319,320,321,322,323,324,325,326,327,328,329,330,331,332,333,334,335,336,337,338,339,340,341,342,343,344,345,346,347,348,349,350,351,352,353,354,355,356</t>
  </si>
  <si>
    <t>kOt55ZU9lW8=</t>
  </si>
  <si>
    <t>Internet Addiction and Online Gaming</t>
  </si>
  <si>
    <t>RC569.5.I54 -- M37 2012eb</t>
  </si>
  <si>
    <t>616.85/84</t>
  </si>
  <si>
    <t>Yoga All-In-One For Dummies</t>
  </si>
  <si>
    <t>RA781.7 -- .Y643 2015eb</t>
  </si>
  <si>
    <t>BGd3AECZ3AE=</t>
  </si>
  <si>
    <t>Military Flight Aptitude Tests For Dummies</t>
  </si>
  <si>
    <t>,1,2,3,90,92,88,89,93,94,87,85,86,1,91,92,93,89,90,2,94,95,96,99,100,101,97,98,86,87,88,84,85</t>
  </si>
  <si>
    <t>CUJvoG5Eh3IROnrxWFknMA==</t>
  </si>
  <si>
    <t>Scientific Bases of Human Anatomy</t>
  </si>
  <si>
    <t>,4,5,6,7,8,21,22,23,19,20,24,25,26,33,34,35,31,32,36,37</t>
  </si>
  <si>
    <t>QP34.5</t>
  </si>
  <si>
    <t>Social Media Marketing All-in-One For Dummies</t>
  </si>
  <si>
    <t>HF5414 -- .Z566 2015eb</t>
  </si>
  <si>
    <t>Ilmg05i8oWA4BlYvMSgVng==</t>
  </si>
  <si>
    <t>Lighting Up : The Rise of Social Smoking on College Campuses</t>
  </si>
  <si>
    <t>,1,16,1,16,18,17,18,14,17,15,19,2,20,37,38,39,36,35,40,161,162,163,159,160,164,165,166,167,168,169,170,171,172,173,174,175,176,182,183,184,180,181,1,16,17</t>
  </si>
  <si>
    <t>HV5760 -- .N53 2015eb</t>
  </si>
  <si>
    <t>362.29/608420973</t>
  </si>
  <si>
    <t>5QeC9ZuA3RrKf0XSZ/Babw==</t>
  </si>
  <si>
    <t>The Study of Music Therapy: Current Issues and Concepts</t>
  </si>
  <si>
    <t>Fine Arts; Medicine</t>
  </si>
  <si>
    <t>,1,2,3,4,5,56,58,57,54,55,59,60</t>
  </si>
  <si>
    <t>ML3920 -- .A173 2014eb</t>
  </si>
  <si>
    <t>B1so8oBitsk=</t>
  </si>
  <si>
    <t>,1,2,3,127,141,199,209,245,251,252,267,275,280,297,298,299,295,296,290,283,284,285,281,282,292,305,307,308,309,312,315,316,317,318,314,319,320,321,322,323,324,325,326,327,328,329,330,331,332,333,334,335,336,337,338,339,340,341,342,343,344,345,346,347,348,349,350,351,352,353,354,355,356,357,313,311,310,306,304,303</t>
  </si>
  <si>
    <t>,1,2,2,3,3,1,2,2,4,4,5,5,6,6,7,7,8,8,9,9,10,10,11,11,12,12,13,13,14,14,15,15,16,16</t>
  </si>
  <si>
    <t>,1,2,3,4,5,6,7,8,2</t>
  </si>
  <si>
    <t>,1,2,3,4,5,7,6,8,67,87,106,122,120,119,118,117,115,116,114,113,115,116,117,113,114,118,119,120,121,122,123,124,125,126,127,128</t>
  </si>
  <si>
    <t>,147,148,28,149,29,30,31,150,32,33,34,35,36,1,36,151,37,38,34,35,2,39,40,41</t>
  </si>
  <si>
    <t>,1,2,3,1,3,4,5,2,19,20,18,21,17,22,23,24,25,26,1,26,27,28,25,24,2,144,145,142,27,143,146</t>
  </si>
  <si>
    <t>,75,75,78,75,75,75,78,75,75,76,78,79,80,81,87,88,89,85,86,101,102,103,99,100,97,177,178,179,175,176,82,83,84,86,87,88,89,94,95,96,97,98,99,100</t>
  </si>
  <si>
    <t>,1,2,3,9,51,52,53,49,50,54,55,56,57,58,59,60,61,62,63,64,65,66,67,68,69,75,77,73,74</t>
  </si>
  <si>
    <t>nhOmFyFf6AlFyjx+25ZmfA==</t>
  </si>
  <si>
    <t>James J. Kilpatrick : Salesman for Segregation</t>
  </si>
  <si>
    <t>Journalism</t>
  </si>
  <si>
    <t>,1,2,3,268,269,270,266,267,271,273,274,281,283,284</t>
  </si>
  <si>
    <t>PN4874.K5355 -- H87 2013eb</t>
  </si>
  <si>
    <t>070/.92/4; B</t>
  </si>
  <si>
    <t>Situating the Self : Gender, Community and Postmodernism in Contemporary Ethics</t>
  </si>
  <si>
    <t>BJ1012 -- .B46 1992eb</t>
  </si>
  <si>
    <t>GAjXbxdOaPLGyXzRXTqULQ==</t>
  </si>
  <si>
    <t>Student Loan Mess : How Good Intentions Created a Trillion-Dollar Problem</t>
  </si>
  <si>
    <t>,1,1,2,1,2,3,3,4,4,5,5,9,9,10,10,11,11,13,12,12,2,14,13,14,15,15,10,15,16,16,17,17,19,19,24,24,25,25,26,26,22,27,27,28,28,29,30,31,29,30,31,32,32</t>
  </si>
  <si>
    <t>LB2340.2 -- .B478 2014eb</t>
  </si>
  <si>
    <t>378.3/62</t>
  </si>
  <si>
    <t>kP4iAL65xHEEGOyp+ki6cA==</t>
  </si>
  <si>
    <t>Transforming Youth Serving Organizations to Support Healthy Youth Development : New Directions for Youth Development, Number 139</t>
  </si>
  <si>
    <t>,1,2,3,4,13,14,15,11,12,16,17,18,19,20,21,22,23,28,29,30,31,32,33,34,35,36,37</t>
  </si>
  <si>
    <t>HV1421 -- .T736 2013eb</t>
  </si>
  <si>
    <t>,1,2,3,327,328,329,325,326,330,331,332,333,334,335,336,337,338,339,340,330,328,329,326,327,331,332,333,334,335,336,337,338,339,340,341,342,343,344,345,346,347,348,349,350,351,352,353,354,355,357,358,359,360,361,362,363,364,365,366,367,369,370,371,372,373,374,375,376,377,378,380,405,406,403,404,425,426,423,424,427,457,458,459,455,456,460,461,497,498,499,495,496,500,501,502,503,504,505,506,507,508,509,510,511,512,513,514,515,516,517,518,519,520,521,522,525,526,527,523,524,528,529,530,531,532,533</t>
  </si>
  <si>
    <t>P6jBNOXOLuI=</t>
  </si>
  <si>
    <t>Revoking Citizenship : Expatriation in America from the Colonial Era to the War on Terror</t>
  </si>
  <si>
    <t>Law; Political Science</t>
  </si>
  <si>
    <t>,1,2,2,3,3,4,4,1,12,13,13,12,14,10,14,11,11,2</t>
  </si>
  <si>
    <t>KF4715 .H47 2015</t>
  </si>
  <si>
    <t>323.6/40973; 323.640973</t>
  </si>
  <si>
    <t>0rJO3K6JIkmPK3b68I7cPg==</t>
  </si>
  <si>
    <t>Secure the Soul : Christian Piety and Gang Prevention in Guatemala</t>
  </si>
  <si>
    <t>,123,124,125,121,127,128,129,126</t>
  </si>
  <si>
    <t>HV6439.G92 -- .G923 2015eb</t>
  </si>
  <si>
    <t>xQOF0oCiGlc=</t>
  </si>
  <si>
    <t>,1,2,3,125,126,127,123,124,197,198,199,195,233,234,235,231,232,305,306,307,303,304,308,309,310,311,312,313,314,315,316,317,318,319,320,321,322,323,324,325,326,327,328,329,330,331,332,333,334,335,336,337,338,339,340,341,342,343,344,345,346,347,348,349,350,351,352,353,354,355,356</t>
  </si>
  <si>
    <t>,1,2,3,169,170,171,167,168,172,173,174,175,176,177,178,179,180,181,182,183,184,185,186,187,188,189,190,191,192,193,194,195,151,152,153,149,150,154,155,156,157,158,159,160,167,173,174,175,182,183,184,180,181,185,186,187,188,180,179,178,177,176,162,163,164,161,160,165</t>
  </si>
  <si>
    <t>,1,2,3,37,38,39,35,36,40</t>
  </si>
  <si>
    <t>,1,2,3,4,2</t>
  </si>
  <si>
    <t>BOB5tEcs2tk=</t>
  </si>
  <si>
    <t>Traumatic Stress : The Effects of Overwhelming Experience on Mind, Body, and Society</t>
  </si>
  <si>
    <t>Social Science; Medicine; Health</t>
  </si>
  <si>
    <t>RC552.P67 -- T758 1996eb</t>
  </si>
  <si>
    <t>mfAeoes6xhc=</t>
  </si>
  <si>
    <t>,1,2,3,177,178,179,175,176</t>
  </si>
  <si>
    <t>xm9sk6hDIDtTGCeCnVkL3w==</t>
  </si>
  <si>
    <t>Starting a Business All-In-One For Dummies</t>
  </si>
  <si>
    <t>,137,138,139</t>
  </si>
  <si>
    <t>HD30.4 .S384 2015</t>
  </si>
  <si>
    <t>,1,2,3,2,3,1,4,4,2,2,2,5,27,31,34,35,36</t>
  </si>
  <si>
    <t>,1,2,3,4,5,6,7,8,9,10,11,12,13,14,15,16,17,18,19,20,21,22,23,24,25,26,30,35,37,38,39,40,36,41,51,125,359,512,621,622,623,624,620,625,626,627,628,479,362,248,21,1,2,3</t>
  </si>
  <si>
    <t>,1,2,3,4,5,9,10,11,7,8,12,13,14,15,16,17,18,19,20,21,22,121,122,123,119,120,124,125,127,128,129,130,131,132,133,134,135,136</t>
  </si>
  <si>
    <t>ZvPRA3ngvLixBJ9VlGfRQw==</t>
  </si>
  <si>
    <t>Children’s Food Practices in Families and Institutions</t>
  </si>
  <si>
    <t>,1,2,3,8,9,10,6,7,11,5</t>
  </si>
  <si>
    <t>Gender</t>
  </si>
  <si>
    <t>,10</t>
  </si>
  <si>
    <t>HQ1075 -- .B73 2013eb</t>
  </si>
  <si>
    <t>,1,2,3,7,8,9,5,6</t>
  </si>
  <si>
    <t>Gender : In World Perspective</t>
  </si>
  <si>
    <t>,1,2,3,9,11,10,7,8,12,13,14,15,17,18</t>
  </si>
  <si>
    <t>9ttIxYUb5AGR9Xglr+UdcQ==</t>
  </si>
  <si>
    <t>,1,2,3,271,272,273,269,270,274,275,276,456,457,458,454,455</t>
  </si>
  <si>
    <t>Stuff</t>
  </si>
  <si>
    <t>,1,2,3,8,9,16,34,23,24,25,26,27,28,29,30,31,32,33,34</t>
  </si>
  <si>
    <t>GN406.M55 2010</t>
  </si>
  <si>
    <t>,1,2,3,327,328,329,325,326,330,331,332,333,334,335,336,337,338,339,340,341,342,338,1,336,337,338,334,339,340,341,2,342,343,342,343,342,342,1,343,344,340,341,1,341,342,343,339,340,1,341,342,343,339,340</t>
  </si>
  <si>
    <t>,335,335,336,339,342</t>
  </si>
  <si>
    <t>QUYhn7JzHCCzBd9CgBL/Cw==</t>
  </si>
  <si>
    <t>History of Roman Art</t>
  </si>
  <si>
    <t>,241,242,243,239,240,244,245,246,247,251,252,253,249,250,254,255,256,257,258,259,260,261,262,263,252,251,250,249,261,262,293,294,295,291,292,296,298,315,316,317,313,314,318,319,320,321,322,356,357,354,355,359,360,198,196,201,188,189,186,160,161,162,158,159,163,164,165,166,167,168,169,176,177,178,174,175,179,116,117,118,114,115,119,120,121,106,108,104,109,81,82,83,79,80,173,174,179,203,204,205,201,202</t>
  </si>
  <si>
    <t>N5740 -- .T83 2015eb</t>
  </si>
  <si>
    <t>ydeICHUz0hw=</t>
  </si>
  <si>
    <t>,1,2,3,97,98,99,95,96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51,152,153,149,150,154,155,156,157</t>
  </si>
  <si>
    <t>,1,2,3,10,11,12,8,9,13,14,15,54,55,56,52,53,176,177,178,174,175,179,204,203,205,201,206,207,208,209,202,216,217</t>
  </si>
  <si>
    <t>A Companion to Roman Art</t>
  </si>
  <si>
    <t>N5760 -- .C667 2015eb</t>
  </si>
  <si>
    <t>WfTcEq9ks5A=</t>
  </si>
  <si>
    <t>Esophageal Cancer and Barrett's Esophagus</t>
  </si>
  <si>
    <t>,449,454,455,456,457,458,459,460,461,462,463,464,456,455,454,453,451,452,449,450,447,448,446,445,444,443,442,1,441,442,443,439,440,2,438,437,436,434,435,433,218,219,220,221,217,216,214,215</t>
  </si>
  <si>
    <t>RC280.E8 -- .S537 2015eb</t>
  </si>
  <si>
    <t>616.99/432</t>
  </si>
  <si>
    <t>,1,2,3,4,5,6,7,8,9,10,11,12,13,14,15,16,17,101,102,103,99,100,104,105,106,107,108,109,109,453,454,450,451</t>
  </si>
  <si>
    <t>,1,2,3,19,20,21,17,18,25,26,27,28,24,29,30,31,32,33,34,35,36,37,38,39,40,41,42,43,44,45,46,47,48,49,50,51,52,53,54,55,56,57,58,59,11,12,13,9,10,14,15,16,17,18,19,20,21,22,23</t>
  </si>
  <si>
    <t>,1,2,3,73,74,75,71,72,76,151,152,153,149,150,141,142,143,139,140,133,134,135,131,132,98,99,100,96,97,101,102,103,177,178,179,175,176,180,181,182,183,184,185,186,187,188,189,190,191,192,193,194,195,196,197,198,199,200,233,234,235,231,232,236,237,238,239,240,241,242,243,244,245,249,252,253,254,255,251,256,283,284,285,281,282,286,287,288,289,290,291,292,293,294,295,296,297,298,299,300,301,302,303,304,305,306,307,308,309,310,311,312,313,314,315,316,317,318,319,320,321,322,323,324,325,326,327,328,329,330,331,332,333,334,335,336,337</t>
  </si>
  <si>
    <t>,1,2,3,10,17,18,19,15,16,20,21,22,23,24,25,26,27,28,49,47,46,42,43,44,40,41,39,38,37,36,35,34,33,32,31,30,29</t>
  </si>
  <si>
    <t>,1,2,3,60,61,62,58,59,63,67,65,66,64,68,69,70,71,72,73,76,77,78,75,74,79,80,81,82,83,84,85,86,87,88,89,90,98,96,97,94,95,93,92,91,99</t>
  </si>
  <si>
    <t>,1,2,3,77,127,149,155,156,157,167,175,191,268,300,301,302,298,299,303,304,305,306,307,308,309,1,309,310,311,307,308,2,306,305,304,303,312,313,314,315,316,317,318,319,320,321,322,323,324,325,326,327,328,329,330,331,332</t>
  </si>
  <si>
    <t>aJcAcdX8foxdt0bqgEtANg==</t>
  </si>
  <si>
    <t>,1,2,3,6,24,21,4,7,8,9,5,195,196,197,193,194</t>
  </si>
  <si>
    <t>Handbook of Socialization, Second Edition : Theory and Research</t>
  </si>
  <si>
    <t>,321,322,323,324,325,326,327,328,329,330,331,332,333,334,335,336,337,338,339,340,341,342</t>
  </si>
  <si>
    <t>HM686 -- .H36 2015eb</t>
  </si>
  <si>
    <t>303.3/2</t>
  </si>
  <si>
    <t>,342,343,344,345</t>
  </si>
  <si>
    <t>,1,23,24,25,21,22,32,39,40,41,42,38,2,178,179,180,176,177,181,182,321,322,323,319,320,324,325,326,327,328,329,330,331,332,333,334,335,337,336,338,339,340,341</t>
  </si>
  <si>
    <t>,1,2,3,7,264,265,266,336,334,335,332,333,331,330,329,327,328,326,325,323,324,322,133,125,113,114,115,116,112,117,115,116,117,113,114,118,119,120,121,122,123,124,125,126,127,128,129,130,131,132,133,134,135,136,137,138</t>
  </si>
  <si>
    <t>AMy1034zpbg=</t>
  </si>
  <si>
    <t>Renaissance in the Classroom : Arts Integration and Meaningful Learning</t>
  </si>
  <si>
    <t>NX280 -- .R46 2001eb</t>
  </si>
  <si>
    <t>700.71073; 700/.71/073</t>
  </si>
  <si>
    <t>,105,106,107,108,109,110,111,112,113,114,115,116,117</t>
  </si>
  <si>
    <t>,1,2,3,13,37,71,125,132,115,113,108,105,103,99,97,98,100,96,101,102,101,102,103,99,100,104</t>
  </si>
  <si>
    <t>98DnJU+TiNEEo20TMggEYQ==</t>
  </si>
  <si>
    <t>Developing Reading Comprehension : Effective Instruction for All Students in PreK-2</t>
  </si>
  <si>
    <t>,1,2,3,19,20,21,17,18,22,23,24,25,26,27,28,29,124,125,122,126,123,127,128,121,120,114,115,116,112,100,101,102,98,99,103,137,138,139,140,136,160,161,162,158,159,163</t>
  </si>
  <si>
    <t>LB1573.7 -- .S734 2015eb</t>
  </si>
  <si>
    <t>Reading Instruction That Works, Fourth Edition : The Case for Balanced Teaching</t>
  </si>
  <si>
    <t>,1,2,3,9,10,11,7,8,287,288,289,285,286,290</t>
  </si>
  <si>
    <t>LB1573 -- .P72 2015eb</t>
  </si>
  <si>
    <t>,1,2,3,636,637,638,635,634,633,632,681,682,683,679,680,684,685</t>
  </si>
  <si>
    <t>in9AVovKSWg=</t>
  </si>
  <si>
    <t>Graphic Design as Communication</t>
  </si>
  <si>
    <t>,102,103,104,105,106,107,112,113</t>
  </si>
  <si>
    <t>NC997 -- .B28 2005eb</t>
  </si>
  <si>
    <t>,1,2,3,4,5,6,7,8,9,10,11,12,13,14,15,16,17,18,19,20,21,22,23,24,25,26,27,28,29,30,31,32,33,34,35,36,37,38,39,40,41,42,43,44,45,46,108,109,110,111,98,65,64,63,66,67,68,69,71,72,73,74,70,75,91,101,100</t>
  </si>
  <si>
    <t>jyqh389NoLlegHaSIldA5A==</t>
  </si>
  <si>
    <t>,366,367,369,370,371,372,373,374</t>
  </si>
  <si>
    <t>,1,2,3,355,356,357,353,354,358,360,361,362,363,365</t>
  </si>
  <si>
    <t>Small Animal Anesthesia Techniques</t>
  </si>
  <si>
    <t>Agriculture; Medicine</t>
  </si>
  <si>
    <t>,62,67,68,63</t>
  </si>
  <si>
    <t>SF914 -- .S545 2014eb</t>
  </si>
  <si>
    <t>b9G9rZ3lUs8=</t>
  </si>
  <si>
    <t>,1,2,3,109,110,111,107,108,112,2,113,114,237,238,239,240,241,275,276,277,278,274,279,311,312,313,314,315,27,28,29,30,31,10,11,12,8,9,32,33,34,115,116,114,115,116,112,115,114,116,112,113,47,48,49,45,46,50,44,51,52,53,47,56,57,58,54,55,124,125,126,122,123,127,121,120,119,128,129,130,131,132,133</t>
  </si>
  <si>
    <t>,1,2,2,3,3,1,4,4,5,5,6,6,7,8,8,2,7,9,9,10,10,10,5,7,10,11,11,12,12,6,5,106,107,107,108,104,106,105,108,105,109,109,110,110,111,111,112,112,114,113,115,113,115,114,116,116,117,117,112,109,107,106,105,104,103,103,101,102,102,100,99,98,96,97,97,95,94,97,93,92,91,90,88,89,89,86,85,82,85,82,81,81,83,83,80,79,80,77,77,76,76,75,75,73,74,74,72,71,68,67,67,68,71,69,69,66,66,64,65,63</t>
  </si>
  <si>
    <t>RYmP7OXLEHU=</t>
  </si>
  <si>
    <t>,32,33,34,35,36,1,36,37,38,34,35,2</t>
  </si>
  <si>
    <t>,157,158,109,110,111,112,108,113,114,115,116,117,118,119,1,2,3,217,218,219,215,216,382,383,384,380,381,266,267,268,264,265,50,51,52,48,49,53,54,55,56,224,225,226,222,223,227,228,229,407,38,39,40,36,37</t>
  </si>
  <si>
    <t>,1,2,3,26,25,27,24,23,28,29,30,31,25,24,23,22,28,29,30</t>
  </si>
  <si>
    <t>,1,2,3,153,154,155,156,152</t>
  </si>
  <si>
    <t>101 Ready-to-Use Excel Formulas</t>
  </si>
  <si>
    <t>,1,221,223,222,219,220,224,225,226,227,228,229,230,2,21,22,23,19,20,24,25,81,82,83,80,79,77,78,51,52,53,49,50,44,45,41,42,40,46,22,23,24,20,21,25,26,27,28,29,30,31,32,33,34,35,36,37,38,39,43,44,45,46</t>
  </si>
  <si>
    <t>QD39.3.S67 -- .A449 2014eb</t>
  </si>
  <si>
    <t>,1,3,2,114,116,113,112,115,117,118,119,120,121,122,123,124,125,126,127,128,129,130,131,132,133</t>
  </si>
  <si>
    <t>L4iIRFaJgT7d5hkXfHwPdg==</t>
  </si>
  <si>
    <t>,1,2,3,10,11,12,8,9,26,27,28,24,25,23,35,36,37,33,34,77,78,79,75,76,80,81,76,75</t>
  </si>
  <si>
    <t>PwtYfV7NTRqunAZKiCFW3Q==</t>
  </si>
  <si>
    <t>Handbook of Research Methods for Studying Daily Life</t>
  </si>
  <si>
    <t>,5,33,34,35,36,37,38,39,40,41,42,43,44,45,46,47,48,49,50,51,52,53,54,55,56,57,58,59,60,61,62,63,64,65,66,67,68,69,70,71,72</t>
  </si>
  <si>
    <t>BF199 -- .H364 2012eb</t>
  </si>
  <si>
    <t>,1,2,3,33,34,35,31,32,33</t>
  </si>
  <si>
    <t>bPPduvIQRWk=</t>
  </si>
  <si>
    <t>Creating Robust Vocabulary : Frequently Asked Questions and Extended Examples</t>
  </si>
  <si>
    <t>Language/Linguistics; Education</t>
  </si>
  <si>
    <t>,1,2,3,15,16,17,13,14,18,9,10,11,8,7,12</t>
  </si>
  <si>
    <t>LB1574.5 .B44 2015</t>
  </si>
  <si>
    <t>,115,116,117,118,119,120,121,122,123,124,125,126,127,128,129,130,131,132,133,134,135,151,152,153,149,150,154,155,156,157,158,159,160,161,162,125,126,127,123,124,130,132,133,134,131</t>
  </si>
  <si>
    <t>,1,2,3,97,98,99,95,96,100,101,102,103,104,105,106,107,108,109,110,111,112,113,114</t>
  </si>
  <si>
    <t>XYiMc173yu+lb9Z/WNDEtw==</t>
  </si>
  <si>
    <t>Teaching the Common Core Math Standards with Hands-On Activities, Grades 3-5</t>
  </si>
  <si>
    <t>,87,88,89,90,91,92</t>
  </si>
  <si>
    <t>QA135.6 -- .M87 2014eb</t>
  </si>
  <si>
    <t>,1,2,3,88,85,86,92</t>
  </si>
  <si>
    <t>,1,2,3,327,328,329,325,330,331,332,333,334,329,335,337,338,339,342,343,344,340,341,345,347,348,349,346</t>
  </si>
  <si>
    <t>,1,2,3,73,74,75,71,72,80,76,77,78,65,66,67,64,63,68,69,70</t>
  </si>
  <si>
    <t>bmgWSF58cVg=</t>
  </si>
  <si>
    <t>,1,2,3,27,28,29,25,26,30,31,32,33,34,25,26,39,40,41,37,38</t>
  </si>
  <si>
    <t>Beginning Programming with Python For Dummies</t>
  </si>
  <si>
    <t>QA76.73.P98 -- .M845 2014eb</t>
  </si>
  <si>
    <t>,1,1,2,3,3,2,2,2,40,41,40,42,41,42,43,43,39,44,44</t>
  </si>
  <si>
    <t>,1,2,3,51,52,53,49,50,54,55,56,57,58,59,60,61,42,43,44,40,41,46,47,48,45,49,50,51,52,53</t>
  </si>
  <si>
    <t>,1,2,3,4,5,1,10,20,203,138</t>
  </si>
  <si>
    <t>,1,2,3,185,186,187,183,184,188,189,190,191,192,193,194,195,196,197,198,199</t>
  </si>
  <si>
    <t>,1,2,3,114,115,116,113,117,118,119,120,121,122,123</t>
  </si>
  <si>
    <t>,1,2,114,115,116,113,117,118,119,120,121,122</t>
  </si>
  <si>
    <t>,1,2,3,57,59,55,56,58,60,61,73,62,63,64,65,66,67,68,69,70,71,72</t>
  </si>
  <si>
    <t>kk3IXHtlLS4eNTFUexntrA==</t>
  </si>
  <si>
    <t>Math In Plain English : Literacy Strategies for the Mathematics Classroom</t>
  </si>
  <si>
    <t>,36,46,47,44,45,48,49,50,51,52,53,54,55,56,57,58,59,60,61,62,63,64,65,66,67,68,69,70,71,72,73,74,75,76,78,79,80,81,82,83,84,85,86,87,88,95,90,89,91,92,93,94,96,97,98,99,100,101,102,103,104,105</t>
  </si>
  <si>
    <t>,1,2,3,4,5,6,7,8,9,10,11,12,13,14,15,16,17,18,19,20,21,22,23,24,25,26,27,28,29,30,31,32,33,34,35</t>
  </si>
  <si>
    <t>+jzO/qe/VtMtL4Q2dVNbUQ==</t>
  </si>
  <si>
    <t>Java Programming 24-Hour Trainer</t>
  </si>
  <si>
    <t>QA76.73 .J38 F34 2015</t>
  </si>
  <si>
    <t>005.2; 005.2762</t>
  </si>
  <si>
    <t>,397,398,399,395,396</t>
  </si>
  <si>
    <t>,1,2,3,25,26,27,23,24,28,29,30,31,32,33,7,8,9,5,6,10,59,60,61,57,58,62,63,64</t>
  </si>
  <si>
    <t>,1,2,3,4,55,65,67,68,69,66,70,100,105,106,107,104,166,167,168,211,212,213,202,195,194,193,191,192,189,184,185,186,183,182,187,181,180,179,178,177,176,175,188,190,196,197</t>
  </si>
  <si>
    <t>YNi/y/R3OPsMUioMUAX3jQ==</t>
  </si>
  <si>
    <t>The Advertising Handbook</t>
  </si>
  <si>
    <t>,1,2,3,4,6,7,8,5,59,60,61,57,58,62,63,64,65,66</t>
  </si>
  <si>
    <t>HF5823 -- .B7273 2009eb</t>
  </si>
  <si>
    <t>,1,2,3,54,55,56,52,53,51,43,44,45,41,66,68,69,70,63,42,39,40,61,63,56,57,60,58,59,80,76,77,78,74,75,62,46</t>
  </si>
  <si>
    <t>kdjEfQmWNlXZ9NJNqzm+qg==</t>
  </si>
  <si>
    <t>Emergency Triage : Telephone Triage and Advice</t>
  </si>
  <si>
    <t>,1,2,3,21,22,23,19,20,24,175,127,26,7,2,8,3,4,22,23,24,20,21,25,26,19,27,28,29,30,31,32,33,34,35,36,37,47,48,49,50,46,51,154,155,156,152,153,157,158,159,160,161,162,163,164</t>
  </si>
  <si>
    <t>RC86.7 .E384 2015</t>
  </si>
  <si>
    <t>NZsiDGxe1iicUSZMhDfzeA==</t>
  </si>
  <si>
    <t>Guide to the LEED Green Associate V4 Exam</t>
  </si>
  <si>
    <t>Engineering: Construction; Architecture; Engineering</t>
  </si>
  <si>
    <t>,230,231,232,233,234,235,236,237,238,239,240,241,242,243,244,245,246,247,248,249,250,251,252,253,254,255,256,257,258,259,260,261,262,263,264,265,266,267,268,269,270,271,272,273,274,275,276,277,278,279,280,281,282,283,284,285,286,287</t>
  </si>
  <si>
    <t>TH880 .C68 2014</t>
  </si>
  <si>
    <t>r0VeN/hVC3s=</t>
  </si>
  <si>
    <t>The Discourse of Slavery : From Aphra Behn to Toni Morrison</t>
  </si>
  <si>
    <t>,206</t>
  </si>
  <si>
    <t>PR408.S57 -- .D573 2013eb</t>
  </si>
  <si>
    <t>,1,212,213,214,210,211,215,216,217,2,218</t>
  </si>
  <si>
    <t>Es1nMT011MLOYz3Ne2zO3A==</t>
  </si>
  <si>
    <t>Treatment of Substance Use Disorders</t>
  </si>
  <si>
    <t>,14,17,18,19,20,21,22,23,24,25,26,27,28,29,30,31,32,33,34,35,36,37,38,39,40,41,42,43,44,45</t>
  </si>
  <si>
    <t>RC564.T745</t>
  </si>
  <si>
    <t>,1,2,3,12,13,14,11,10,8,9,2,15,16</t>
  </si>
  <si>
    <t>Ck3XRMadrfY=</t>
  </si>
  <si>
    <t>Female Rebellion in Young Adult Dystopian Fiction</t>
  </si>
  <si>
    <t>,107,113,117,120,121,122,123,119,118,116,114,115</t>
  </si>
  <si>
    <t>,110</t>
  </si>
  <si>
    <t>,110,111,112,113,114,115,116,117,118,119,120,121</t>
  </si>
  <si>
    <t>PS374.Y57 -- .F46 2014eb</t>
  </si>
  <si>
    <t>813.009/9283</t>
  </si>
  <si>
    <t>,1,2,3,110,111,112,108,109</t>
  </si>
  <si>
    <t>DpnqW3ShOS4=</t>
  </si>
  <si>
    <t>,1,2,3,91,92,93,89,90,94,95,2,96,90,1</t>
  </si>
  <si>
    <t>gKwl7SwgKDM0QuhLMGusHg==</t>
  </si>
  <si>
    <t>Perfect Meal : The Multisensory Science of Food and Dining</t>
  </si>
  <si>
    <t>Health; Home Economics</t>
  </si>
  <si>
    <t>,1,2,3,4,5,6,7,8,9,10,11,12,13,15,14,16,17,18,19,20,21,27,28,25,26,29,38,40,39,37,36,60,61,62,59,58,63</t>
  </si>
  <si>
    <t>TX631 -- .S646 2014eb</t>
  </si>
  <si>
    <t>641.01/3</t>
  </si>
  <si>
    <t>,1,2,3,25,26,27,23,24,28,29,30,31,32,33,34,35,36,37,38,39,40,41,50,57,58,59,55,56</t>
  </si>
  <si>
    <t>,1,2,3,64,65,66,62,63,67,62,67,68,69,70,71,72,73,73,74,74,75,76,77,78,79,74,80,81,82,83,84,85,85,86,87,88,89,89,84,90,91,86,86,92,93,94,95,90,90,91,2,90,94,93,92,91,95,96,90</t>
  </si>
  <si>
    <t>,92</t>
  </si>
  <si>
    <t>qilF4561Ncs=</t>
  </si>
  <si>
    <t>,476,492,493,494,490,516,534,543,545,554,527,518,519,520,517,522,523,537,538,539,535,536,548,549,550,546,547,544,542,540,541,530,528,529,531,532,533,507,486,476,497,478,477,457,447,412,366,344,314,290,272,189,111,42,1,2,3,115,498,499,495,496,487,480,481,482,479</t>
  </si>
  <si>
    <t>,473,473,474,475,475</t>
  </si>
  <si>
    <t>,473</t>
  </si>
  <si>
    <t>,1,473,475,474,471,472,2</t>
  </si>
  <si>
    <t>,2,3,1,327,329,325,326,330,331,332,333,334,335,336,337</t>
  </si>
  <si>
    <t>,331</t>
  </si>
  <si>
    <t>Q6f/h1V7OnFwCxjZPk/fsw==</t>
  </si>
  <si>
    <t>Rhetoric, Cultural Studies, and Literacy : Selected Papers From the 1994 Conference of the Rhetoric Society of America</t>
  </si>
  <si>
    <t>Language/Linguistics; Literature</t>
  </si>
  <si>
    <t>,1,3,2,6,7,8,4,5,9,10,202,203,204,205,206,207,208,174,175,171,172</t>
  </si>
  <si>
    <t>P301 -- .R4714 1995eb</t>
  </si>
  <si>
    <t>A Theory of Contemporary Rhetoric</t>
  </si>
  <si>
    <t>,181,182,183,179,209,210,211,207,208</t>
  </si>
  <si>
    <t>P301 -- .T48 2014eb</t>
  </si>
  <si>
    <t>,1,3,2,216,217,218,214,215,219,220,221,222,223,224,42,43,44,40,41,39,38,36,37,42,43,44,206,207,208,204,205,209,210,216,217,218,214,215,219,220,221,222,223,224</t>
  </si>
  <si>
    <t>,1,2,3,25,26,27,23,24,28,29,30,31,32,33,34,35,36,37,38,39,40,40,41,42,43,44,45,46,47,48,49,50,51,52,53,54,55</t>
  </si>
  <si>
    <t>Wb0tvgkbaYqj7TAO3ZS+Yg==</t>
  </si>
  <si>
    <t>Introducción a la sociolingüística hispánica</t>
  </si>
  <si>
    <t>,1,2,3,28,29,30,26,27,28</t>
  </si>
  <si>
    <t>PC4074.75 -- .D53 2014eb</t>
  </si>
  <si>
    <t>460.01/9</t>
  </si>
  <si>
    <t>The Hidden Holocaust? : Gay and Lesbian Persecution in Germany 1933-45</t>
  </si>
  <si>
    <t>Social Science; Environmental Studies; Economics</t>
  </si>
  <si>
    <t>,38,39</t>
  </si>
  <si>
    <t>HQ76.3.G4 -- H6613 1995eb</t>
  </si>
  <si>
    <t>,1,2,3,4,5,8,9,10,7,6,11,12,13,14,15,16,17,18,19,20,21,22,23,24,25,26,27,28,29,30,31,32,33,34,35,36,37</t>
  </si>
  <si>
    <t>2+g6+tHHxylpGocftghT4Q==</t>
  </si>
  <si>
    <t>Food in the USA : A Reader</t>
  </si>
  <si>
    <t>Home Economics; Social Science</t>
  </si>
  <si>
    <t>GT2853.U5 -- F663 2002eb</t>
  </si>
  <si>
    <t>,1,2,3,387,389,388,386,385,390,392,391,393,394,395</t>
  </si>
  <si>
    <t>,1,2,3,151,152,153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334,278,278,278,278,278,278,279,280,281,282,283,284,285,286,287,288,289,290,291,292,293,294,295,296,297,298,299,300,301,302,303,304,305,306,307,308,309,310,311,312,313,314,315,316,317,318,319,320,321,322,323,324,325,326,327,328,329,330,331,332,333,334</t>
  </si>
  <si>
    <t>,1,2,3,128,129,130,126,127,128,150,150,150,150,150,150,150,150,150,150,150,150,150</t>
  </si>
  <si>
    <t>,103,104</t>
  </si>
  <si>
    <t>,1,2,3,88,90,89,86,87,125,126,127,123,124,128,129,126,127,128,129,130,131,132,133,134,135,136,137,138,139,140,141,142,143,144,145,146,147,148,149,150,149</t>
  </si>
  <si>
    <t>,171,172,173,174,175,176,177,178,179,95,79,80,81,77,78,82,83,84,85,86,91,92,93,94</t>
  </si>
  <si>
    <t>,1,2,3,4,5,37,43,49,76,89,100,101,102,99,97,98,96,95,94,93,92,91,90</t>
  </si>
  <si>
    <t>,15,15,16,1,17,13,14,2,1,2,3,4,4,1,5,6,2,3,144,145,146,142,143,147,16,17,18,19,20,21,22,23,24,148,25,26,1,26,28,27,24,25,2,29,149</t>
  </si>
  <si>
    <t>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</t>
  </si>
  <si>
    <t>,1,2,3,6,17,18,19,20,16,23,45,46,47,48,49,50,69,87,88,89,90,137,138,139,140,141,136,103,98,97,99,100,96,101,102,104,105,106,107,108,109,110,111,112,113,114,115,116,117,118,119,120,121,122,123,124,125,126,127,128,129,130,131,132,133,134,135,142,143,144,145,146,147,148,149,150,151,152,153,154,155,156,157,158,159,160,161,162,163,164,165,166,167,168,169,170</t>
  </si>
  <si>
    <t>,1,2,3,4,5,6,7,8,9,10,11,48,50,68,71,77,76,80,83,82,78,79,81,84,85,86,87,88,89,90,91,92,93</t>
  </si>
  <si>
    <t>AhT6jBbqBE6IRRIHdZDadA==</t>
  </si>
  <si>
    <t>Healthy Eating and Physical Activity in Out-of-School Time Settings : New Directions for Youth Development, Number 143</t>
  </si>
  <si>
    <t>Psychology; Health</t>
  </si>
  <si>
    <t>,1,2,3,53,54,55,51,52,56,58,59,60,57,61</t>
  </si>
  <si>
    <t>TX364 -- .H43 2014eb</t>
  </si>
  <si>
    <t>004mGMQqOA2dqK3sxtm1kQ==</t>
  </si>
  <si>
    <t>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</t>
  </si>
  <si>
    <t>,1,2,3,4,5,6,7,8,9,10,11,9,1</t>
  </si>
  <si>
    <t>9J2p6Brb3KE=</t>
  </si>
  <si>
    <t>,1,2,3,98,99,100,96,97,101,102,103,104,73,74,75,71,72,76,77,78,79,80,81,82,83,84,85,86,99,100,96,97,101,102,103,104,105,106,107,108,342,343,344,340,341,51,52,53,49,50,54,27,28,29,25,26,30,31,36,26,16,17,18,15,14,13,18,19,25,26,32,33,34,35,36,37,38,39,40,41,42,43,44,45,46,47,331,332,333,329,330,334,335,336,337,338,339,342,343,341</t>
  </si>
  <si>
    <t>F0xhjC3f2CeZ5+fSgQwz5w==</t>
  </si>
  <si>
    <t>,1,2,3,101,99,100,104,21,22,23,19,20,73,74,75,71,72,133,134,135,131,132,127,128,129,125,130,126,133,134,135,136,138,139</t>
  </si>
  <si>
    <t>,101,102,103,104,105,106,107,108,109,110,111,112,113,114,115</t>
  </si>
  <si>
    <t>,20</t>
  </si>
  <si>
    <t>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</t>
  </si>
  <si>
    <t>,1,2,3,4,5,6,7,8,9,10,11,12,13,14,15,16,14,21,21,22,23,19,20,18,20</t>
  </si>
  <si>
    <t>Insect Histology : Practical Laboratory Techniques</t>
  </si>
  <si>
    <t>QL464 -- .B34 2015eb</t>
  </si>
  <si>
    <t>,1,2,3,4,5,6,7,8,9,10,11,12,13,14,15,16,17,18,19,20,21,22</t>
  </si>
  <si>
    <t>DMOp6L6kZv/xMHKqWvlzRQ==</t>
  </si>
  <si>
    <t>Meta-Analysis : A Structural Equation Modeling Approach</t>
  </si>
  <si>
    <t>General Works/Reference; Mathematics</t>
  </si>
  <si>
    <t>,1,2,3,337,338,339,335,336,340,341,342,343,344,345,346,347,348,349,350,351,352,353,354,355,356,357,358,359,360,361,362,363,364,365,366,367,368</t>
  </si>
  <si>
    <t>QA278.4 -- .C44 2015eb</t>
  </si>
  <si>
    <t>001.4/22</t>
  </si>
  <si>
    <t>1vSiQEYKP/vrMy5lt41bhQ==</t>
  </si>
  <si>
    <t>Macs All-in-One For Dummies</t>
  </si>
  <si>
    <t>,1,2,3,606,604,605,245,246,243,248,250,252,343,345,341,342,346,1,183,184,367,364,365,363,361,362,369,370,733,732,299,301,297,298,302,303,304,305,306,307,308,309,310,311,312,313,315,316,310,4,5,6,3,7,8,9,10,11,12,14,15,16,12,13,27,28,29,25,26,30,31</t>
  </si>
  <si>
    <t>QA76.8</t>
  </si>
  <si>
    <t>,1,2,3,22,83,156,169,170,171,168,166,167,49,50,51,47,48,52,53,54,55,56,57,58,59,60,61,55,54,53,60,61</t>
  </si>
  <si>
    <t>04sOXE3TV0k=</t>
  </si>
  <si>
    <t>,95,95,93,94,98,97,96,92,92,91,96,91,90,93,89,88,93,94,95,96,97,98,99,100,101,102,103,104,102,103,104,100,101,105,106,107,108,109,110,111,112,113,114,114,115,115,116,116,117,117,118,118</t>
  </si>
  <si>
    <t>,1,2,3,374,375,376,372,373,396,397,398,394,395,374,375,376,372,373,374,375,376,372,373</t>
  </si>
  <si>
    <t>,374</t>
  </si>
  <si>
    <t>,1,2,3,3,1,2,41,42,43,41,43,42,39,44,44,45,46,45,46,47,2,47,95,96,95,96,93,97,94,97,94,98,98,99,99,100,100,101,102,101,102,103,103,104,104,105,105,106,107,108,107,106,108,109,109,110,111,110,111,113,112,108,112,113,110</t>
  </si>
  <si>
    <t>,1,2,3,84,85,86,82,83,87,88,89,90,91,92,93,94,95,96,97,98,99,100,101,102,103,104,105,106,101,107,108,109,110,111,112,113,114,115,116,117,118,118,118,119,119,120,121,122,123,124,113,112</t>
  </si>
  <si>
    <t>,331,331,1,3</t>
  </si>
  <si>
    <t>,1,2,3,321,322,323,319,320,324,325,326,327,328,329,330,331,332,333,334,335,336</t>
  </si>
  <si>
    <t>,1,2,3,327,328,329,325,326,330,331,332,333,326,325,330,325,325,325,331,332,333,331,332,327,333,332,333,328,327,334,372,371,369,370,396,397,396,397,398,1,398,396,397</t>
  </si>
  <si>
    <t>,328</t>
  </si>
  <si>
    <t>NOo6sflJLqvZEbgyxTsDGw==</t>
  </si>
  <si>
    <t>Paying with Their Bodies : American War and the Problem of the Disabled Veteran</t>
  </si>
  <si>
    <t>,16,15,16,11,17,18,12,19,20,21,22,17,23,24,25,26,27,28,29,30,128,129,130,126,127,131,132,160,161,162,158,159,163,164,165,166,167,168,197,198,199,195,196,200,201,202,203,268,269,270,266,267,271,272,273,274,275,276,277,278,279,280,281,295,296,297,293,294,298,299,300,301,303,302,304,305,306,307,308,309,310,311,312,313,314,315</t>
  </si>
  <si>
    <t>,13,14,15,20,128,299,309,310</t>
  </si>
  <si>
    <t>UB363 -- .K56 2015eb</t>
  </si>
  <si>
    <t>362.4086/970973</t>
  </si>
  <si>
    <t>,1,2,3,12,13,14,10,11,15</t>
  </si>
  <si>
    <t>1,001 ASVAB Practice Questions For Dummies (+ Free Online Practice)</t>
  </si>
  <si>
    <t>,1,2,3,1,2,3,124,125,126,122,123,155,156,157,153,154,191,224,225,226,227,223,228,229,230,231,243,302,299,300,301,297,298,296,292,290,284,282,283,280,279,272,273,274,270,271,267,265,121,266,263,264,268,269,270,271,120,119,118,117,273,274,275,276,277,127,278,279,128,129,280,130,281,131</t>
  </si>
  <si>
    <t>U408.5 -- .P69 2013eb</t>
  </si>
  <si>
    <t>,1,2,3,115,116,117,113,118,114,1,2,3,153,154,155,156,157,200,208,207,209,210,211,212,213,231,257,258,259,260,261,262,263,264,124,125,126,122,123,128,129,130,131,127,132,133,134,57,54,265,119,266,267,268,269,120,270,271,272,273,274,275</t>
  </si>
  <si>
    <t>,1,2,3,77,78,79,75,76,80,81,82,83,84,85,86,87</t>
  </si>
  <si>
    <t>,1,2,3,97,98,99,95,96,103,100,2,1,3,97,98,99,95,96</t>
  </si>
  <si>
    <t>DfKE0KX60V9H2+PuWOZtkw==</t>
  </si>
  <si>
    <t>Disability Incarcerated : Imprisonment and Disability in the United States and Canada</t>
  </si>
  <si>
    <t>,1,2,3,20,30</t>
  </si>
  <si>
    <t>HV1568 -- .D5688 2014eb</t>
  </si>
  <si>
    <t>365/.60870973</t>
  </si>
  <si>
    <t>Literary Studies : A Practical Guide</t>
  </si>
  <si>
    <t>,1,2,3,6,7,8,4,5,9,10,11</t>
  </si>
  <si>
    <t>PR33 -- .P84 2014eb</t>
  </si>
  <si>
    <t>820.71/1</t>
  </si>
  <si>
    <t>ASVAB For Dummies Premier PLUS</t>
  </si>
  <si>
    <t>,1,2,3,79,80,81,77,78,82,83,84,85,93,94,98,99,96,100,97,102,103,101,105,1,105,106,107,103,104,2,79,80,81,77,78,98,102,100,101,108,109,110,111,112,113,114,115,116,117,119,120,121,118,122,123,124,125,126,127,128,129,130,131,132,133,134,135,136,137,138,139,140,141,142,143,144,153,154,155,151,152,145,147,146,1,146,147,148,144,145,149,2,150,151,152,153,154,155,157,1,157,158,159,155,156,2,160,161,162,163,164,165,171,172,169,170,174,175,1,175,173,174,2</t>
  </si>
  <si>
    <t>U408.5 -- .P694 2013eb</t>
  </si>
  <si>
    <t>,83,1,83,81,82,84,85,2,1,2,3,4,1,4,5,6,2,3,1,3,4,5,2</t>
  </si>
  <si>
    <t>,1,2,3,5,6,77,78,79,80,76,82</t>
  </si>
  <si>
    <t>,1,2,3,1,3,2,15,14,53,54,55,51,52,87,88,89,85,86,87,88,89,85,86,155,156,157,153,154,158,159,160,196,208,209,210,90,206,211,212,213,214,215,216,217,218,219,220,221,222,223,224,225,226,227,228,229,230,231,232,233,234,235,236,237,238,239,240,241</t>
  </si>
  <si>
    <t>MvaSD8uUs1SKARXdl2fPlA==</t>
  </si>
  <si>
    <t>Video Art Theory : A Comparative Approach</t>
  </si>
  <si>
    <t>,1,2,3,4,5,6,7,8,9,10,11,12,13,14,15,16,17,18,19,20,21,22,23,24,25,26,27,28,29,30,31,32,33,34,35,36,37,38,39,40,41,42</t>
  </si>
  <si>
    <t>N6494.V53 -- .W47 2016eb</t>
  </si>
  <si>
    <t>,1,2,3,97,98,99,95,96,100,101,102,103,104,105,106,107,108,109,110,111,112,113,114,115,116,117,118,119,120,121,122,123,124,125,126,127,151,152,153,149,150,154,155,156,157,158,159,160,161,162,163,164,165,166,167,168,169,170,171,172,173,174,175,176,177,178,179</t>
  </si>
  <si>
    <t>,1,2,3,4,5,6,7,8,9,10,11,12,13,14,15,16,17,18,19,20,21,22,23,24,25,26,27,28,29,30,31</t>
  </si>
  <si>
    <t>GoBvY13nXV4=</t>
  </si>
  <si>
    <t>,103,104,105,106,107,108,109,104,110,111,112,113,114,115,116,117,118,119,120,121,122,123,124,125,126,127,128,129,130,131,132</t>
  </si>
  <si>
    <t>,1,2,3,97,98,99,95,96,100,101,102</t>
  </si>
  <si>
    <t>2015 / 2016 ASVAB For Dummies</t>
  </si>
  <si>
    <t>,1,2,3,255,256,257,253,254,258,269,270,271,272,268,274,275,276,273,274,275,262,1,3,2,255,256,257,253,254,258,276,277,278,279,224,225,226,222,223,301,302,303,299,300,304,305,306,280,281,282,1,282,283,284,280,281,285,2,286,307,279,288,289,290,291,292,293,294,309,310,311,308,295,287</t>
  </si>
  <si>
    <t>U408.5</t>
  </si>
  <si>
    <t>Teaching English Literature 16–19 : An essential guide</t>
  </si>
  <si>
    <t>,2,2,45,18,49,49,49,49,49,49,50,51,52,53,54,55</t>
  </si>
  <si>
    <t>PR33 -- .A84 2013eb</t>
  </si>
  <si>
    <t>,1,2,1,2,3,3,1</t>
  </si>
  <si>
    <t>,255,256,257,253,254,270,271,272,268,269</t>
  </si>
  <si>
    <t>,224,270</t>
  </si>
  <si>
    <t>,1,2,3,224,225,226,222,223</t>
  </si>
  <si>
    <t>,1,2,3,4,21,101,123,90,69,70,71,67,68,72,73,74,75,76,77,78,79,80,81,82,83,84,85,86,87,88,89,90,91,92,93,94,95,96,97,98,99,20,8,9,10,11,12,31,38,44,45,46,42,43,40,41,39,38,37,36,35,33,34,32,31,30,29,28,27,26,25,24,23,32,33,34,35,36,37,38,39,40,98,166,173,182,186,193,194,195,191,192,196,148,86,87,88,89,126,144,145,146,143,142,140,133,132,131,130,129,127,128,124,122,121,123,120,118,108,109,110,106,107,105,104,103,101,102,100,99,98,97,96,95,100,101,102,103,104,105,106,107,108,109,94,102,103,104,105,106,107,108,109,110,111,112,113,114</t>
  </si>
  <si>
    <t>,27,28,29,25,26,36,37,38,34,35</t>
  </si>
  <si>
    <t>2015 / 2016 ASVAB For Dummies with Online Practice</t>
  </si>
  <si>
    <t>,227</t>
  </si>
  <si>
    <t>U408.5 -- .P694 2015eb</t>
  </si>
  <si>
    <t>,1,2,3,28,29,30,26,27,31,32,33,34,35,57,58,59,55,56,92,93,94,90,91,115,116,117,113,114,165,166,167,163,164,168,196,197,198,199,195,223,224,225,221,222,226</t>
  </si>
  <si>
    <t>,1,2,3,40,41,42,38,39,43,51,52,53,50,49,54,55,56,57,58,59,60,61,62,63,64,65,66,67,68,69,70,71,72,73,74,75,76,77,78,79,80,81,82,83,84,85,86,87,88,89,90,91,92,93,94,95,96,97,7,8,9,5,6,10,11,12,13,14,15,16,17,18,9,8,5,6,27,28,29,25,26,30,31,332,333,334,330,331,335,336,337,338,339,27,28,29,25,26,30,31,332,333,334,330,331</t>
  </si>
  <si>
    <t>FIdEBFQj230=</t>
  </si>
  <si>
    <t>New and Old Wars : Organised Violence in a Global Era</t>
  </si>
  <si>
    <t>,119,119,120,120,121,121,122,122,123,123,124,124,125,125,126,126,127,127,128,128,129,129,130,130,131,131,132,132,133,133,134,134,135,135,135,1,135,137,136,137,133,136,134,1,134,138,138,2,2,139,139,140,140,141,141,142,142,143,143,144,144,145,145,146,146,147,147,148,148,149,149,150,150,151,151,152,152,153,153,154,154,155,155,156,156,157,157,158,158,159,159,160,160,161,161,162,162,163,163,164,164,165,165,166,166,167,167,168,168,169,169,170,170,171,171,172,172,173,173,174,174,175,175,176,176,177,177,178,178,179,179,180,180,181,181,182,182,183,183,184,184,185,185,186,186,187,187,188,188,189,189,190,190,191,191,192,192,193,193,194,194,195,195,196,196,197,197,198,198,199,199,200,200,201,201,202,202,203,203,204,204,205,205,206,206,207,207,208,208,209,209,210,210,211,211,212,212,213,213,214,214,215,215,216,216,217,217,218,218,219,219,220,220,221,221,222,222,223,223,224,224,225,225,226,226,227,227,228,228,229,229,230,230,231,231,232,232,233,233,234,234,235,235,236,236,237,237,238,238</t>
  </si>
  <si>
    <t>U240 .K34</t>
  </si>
  <si>
    <t>,1,2,2,3,3,1,85,86,85,87,86,87,83,84,84,108,109,108,110,109,110,106,107,107,2,111,111,112,112,113,113,114,114,115,115,116,116,117,117,118,118</t>
  </si>
  <si>
    <t>,1,3</t>
  </si>
  <si>
    <t>,1,2,3,97,98,99,95,96,107,108,109,105,106,151,152,153,149,150,154,101,102,103,104,100</t>
  </si>
  <si>
    <t>O9LZd0uQ8yg=</t>
  </si>
  <si>
    <t>Housing and Mortgage Markets in Historical Perspective</t>
  </si>
  <si>
    <t>HD7293</t>
  </si>
  <si>
    <t>333.33/80973</t>
  </si>
  <si>
    <t>,1,2,3,155,156,157,153,159,199,200,201,197,198,1,2,3,81,82,83,79,80,84,85,86,87,88,202,208,209,213,214,215,211,212,236,237,238,234,235,239,240,241</t>
  </si>
  <si>
    <t>vs5c6PwSDXoQLI9sGu++/Q==</t>
  </si>
  <si>
    <t>Common Stocks and Uncommon Profits and Other Writings</t>
  </si>
  <si>
    <t>HG4661 -- .F574 2003eb</t>
  </si>
  <si>
    <t>,1,2,3,4,5,6,30,31,93,304,43</t>
  </si>
  <si>
    <t>,1,2,3,4,5,6,7,8,9,10,11,12,314,320,321,318,319,1,2,3</t>
  </si>
  <si>
    <t>,1,2,3,37,39,35,36,38,34,33,32</t>
  </si>
  <si>
    <t>,1,2,3,81,82,83,79,84,80,85,88,91,89,87,86</t>
  </si>
  <si>
    <t>,1,2,3,155,156,157,153,154,152,183,236,237,238,232,229,230,231,228,233,234,235</t>
  </si>
  <si>
    <t>,1,2,3,9,14,15,16,12,13</t>
  </si>
  <si>
    <t>,52,53,54,50,51,60,61,62,58,59,63,64,65,66,67,57,56,55</t>
  </si>
  <si>
    <t>eEE9/CUMrAjVvZjjbjw2Ow==</t>
  </si>
  <si>
    <t>Mastering Autodesk Inventor 2015 and Autodesk Inventor LT 2015 : Autodesk Official Press</t>
  </si>
  <si>
    <t>Engineering: General; Engineering: Civil; Engineering</t>
  </si>
  <si>
    <t>,1,2,3,4,15,16,17,13,14,18,19,20,21,22,23,24,25,26,27,28,29,30</t>
  </si>
  <si>
    <t>TA177 -- .W34 2014eb</t>
  </si>
  <si>
    <t>,1,2,3,153,154,155,151,152,156,157,158,204,213,222,233,234,235,231,232,236,250,251,252,253,248,242,239,237,238,235,236,234,233,232,231,230,229,227,228,225,226,224,220,219,221,217,218,222,223,224,225,226,1,226,227,228,224,225,229,2,230,231,232</t>
  </si>
  <si>
    <t>,1,2,3,77,78,79,75,76,80,81,83,84,85,86,87,88,89,90,81,82,83,80</t>
  </si>
  <si>
    <t>MPN5YHtBJxFD3egzZwSmKw==</t>
  </si>
  <si>
    <t>Television and the Meaning of 'Live' : An Enquiry into the Human Situation</t>
  </si>
  <si>
    <t>Engineering: Electrical; Engineering; Social Science</t>
  </si>
  <si>
    <t>TK6630 -- .S336 2014eb</t>
  </si>
  <si>
    <t>,1,2,3,4,5,6,7,8,30,31,32,28,29,33,34,35,36</t>
  </si>
  <si>
    <t>Cracking the Tech Career : Insider Advice on Landing a Job at Google, Microsoft, Apple, or any Top Tech Company</t>
  </si>
  <si>
    <t>,19,20,21,27,28,1,28,29,30,26,27,24,25,22,2,23,1,23,24,25,21,22,27,28,29,26,2,30,31,32,33,34,35,36,37,38,39,40,41,42,43,47,51,55,59,63,67,71,76,80,84,88,17,21,25,50,54,58,62,66,75,79,83,87,91,1,8,12,16,20,1,20,21,22,18,19,2,40,41,42,38,39,43,44,45,46,47,48,49,50,51,52,53,54,55,56,57,58,59,60,61,62,63,64,65,66,67,68,69</t>
  </si>
  <si>
    <t>QA76.25 -- .M336 2014eb</t>
  </si>
  <si>
    <t>,1,2,3,13,14,15,11,12,22,23,8,10,9,18,16,7,26,24,25,17</t>
  </si>
  <si>
    <t>,4,5,6,7,8,9</t>
  </si>
  <si>
    <t>,1,2,3,30,31,32,28,29,33,34,35,36,37,332,333,334,330,331,335,336,337,338</t>
  </si>
  <si>
    <t>,1,2,3,1,2,3,155,156,157,153,154,158,159,162,163,164,160,161,165,166,167,168,169,170,171,172,181,182,183,184,180,72,73,74,70,71,75,76,77,78,79,155,156,157,153,154,158,159,160,161,162,163,205,203,202,204,198,199,206,211,220,219,221,217,218,216,215,214,213,212,217,218,1,218,219,220,216,217,221,2</t>
  </si>
  <si>
    <t>,19,19,20,20,21,21,22,22,23,23,24,24,25,25,26,26,27,27,28,28,29,29,30,30,31,31,32,32,33,33,34,34,35,35,36,36,37,37,38,38,39,39,40,40,41,41,42,42,43,43,44,44,45,45,46,46,47,47,48,48,49,49,50,50,51,51,52,52,53,53,54,54,55,55,56,56,57,57,58,58,59,59,60,60,61,61,62,62,63,63,64,64,65,65,66,66,67,67,68,68,69,69,70,70,71,71,72,72,73,73,74,74,75,75,1,75,76,75,77,76,77,73,74,74,1,78,78,2,2,79,79,80,80,81,81,82,82,83,83,84,84,85,85,86,86,87,87,88,88,89,89,90,90,91,91,92,92,93,93,94,94,95,95,96,96,97,97,98,98,99,99,100,100,101,101,102,102,103,103,104,104,105,105,106,106,107,107,108,108,109,109,110,110</t>
  </si>
  <si>
    <t>,1,2,2,3,3,1,4,2,4,2,5,5,6,6,7,7,8,8,9,9,10,10,11,11,12,12,13,13,14,14,15,15,16,16,17,17,18,18</t>
  </si>
  <si>
    <t>chLFW6pMZDTNBeD+UFazUA==</t>
  </si>
  <si>
    <t>Introduction to Time Series Analysis and Forecasting</t>
  </si>
  <si>
    <t>QA280 -- .M668 2015eb</t>
  </si>
  <si>
    <t>,1,2,3,155,156,157,153,154,160,189,191,187,179,180,181,177,178,182,183,184,185,186,188,190,192,193,194,195,196,197,198,199,200,201,202,203,204,205,206,207,208,209,210,211,212,213,1,213,214,215,211,212,2,216,217,218</t>
  </si>
  <si>
    <t>,1,2,3,72,73,74,71,69,70,75,76,77,78,79,71,72,69,70,89,90,91,88,86,87,85</t>
  </si>
  <si>
    <t>,26,27,28,29,30,31,32,33,34,35,36,37,38,39,40,41,42,43,44,45,46,49,50,51,47,48,52,53,54,55,56</t>
  </si>
  <si>
    <t>,1,2,3,4,6,5,7,8,9,10,11,12,13,14,16,15,17,18,19,20,21,22,23,24,25</t>
  </si>
  <si>
    <t>Personality and Psychopathology</t>
  </si>
  <si>
    <t>Medicine; Psychology</t>
  </si>
  <si>
    <t>,85,86,87,88,89,90,91,92,93,416,415,94,95,96,98,97,99,100,101,102,103,104,105,106,107,108,109,110,111,112,113,114,115</t>
  </si>
  <si>
    <t>RC554</t>
  </si>
  <si>
    <t>,1,2,3,85,86,87,83,84,85,86,87,86,87,83,84</t>
  </si>
  <si>
    <t>,1,2,3,61,62,63,59,60,1,2,3,155,156,157,153,154,158,159,160,161,162,163,164,165,166,167,168,169,170,171,172,173,174,179,180,181,182,183,184,185,186,187,188,189,190,191,192,193,194,195,196,197,198,199,200,201,202,203,204,155,156,157,158,159,160,161,162,169,210,208,209,207,206,205,202,199,197,195,194,193,189,187,185,179,178,177,176,175,174,180,181,182,183,184,186,188,190,64,65,66,67,1,66,68,67,68,64,65,155,156,157,153,158,159,181,199,2,200,201,197,198,202,69,203,70,204,71,72,205,205,1,207,206,203,204,65,66,67,63,64,68,69,70,71,72,2,73,74,114,126,121,122,123,119,120,81,82,83,79,80,84,85,86,87,88,206,207,208,75,209,210,211,76,212</t>
  </si>
  <si>
    <t>LSAT For Dummies (with Free Online Practice Tests)</t>
  </si>
  <si>
    <t>KF285.Z9 -- .H383 2014eb</t>
  </si>
  <si>
    <t>,330,331,325,330,331,332,333,334</t>
  </si>
  <si>
    <t>,327,328</t>
  </si>
  <si>
    <t>,1,2,3,111,112,113,109,110,114,115,116,241,242,243,239,240,327,328,329,325,326</t>
  </si>
  <si>
    <t>hLmuJDt2PMKgcp5/BjGvHg==</t>
  </si>
  <si>
    <t>Blender For Dummies</t>
  </si>
  <si>
    <t>TR897.72.B55 -- .V36 2015eb</t>
  </si>
  <si>
    <t>,1,2,3,4,1,5,4</t>
  </si>
  <si>
    <t>,1,2,3,20,21,22,18,19,2,3,4,1,8,9,10,6,7,11,12,13,14,15,20,21,22,18,19,32,33,34,35,36,45,46,47,43,44,98,99,100</t>
  </si>
  <si>
    <t>,1,2,3,4,5,6,7,8,40,41,42,38,39,78,79,80,76,77,81,75,73,74,72,70,68,69,67</t>
  </si>
  <si>
    <t>,216,217,218,214,215,219,214,220,221,215,216,168,165,170,165,164,2,3,4,1,1566,1567,1568,1564,1565,1403,1404,1405,1401,1402</t>
  </si>
  <si>
    <t>,1,2,3,40,41,38,81,77,78,161,162,163,159,160,214,219,220,1,220,221,218,219,222,161,162,163,159,160,216,217,218,214,215,2,219,220,221,222,223,224,225,227,228</t>
  </si>
  <si>
    <t>gAEBkyGJMhgaTizJDpXQFQ==</t>
  </si>
  <si>
    <t>,7,8,1,2,3,4</t>
  </si>
  <si>
    <t>,11</t>
  </si>
  <si>
    <t>,1,2,3,4,8,8,14,14,14,14,1,2,3,4,5,6,7,13,14,15,11,12,10,9</t>
  </si>
  <si>
    <t>H5O2bnhKVZI=</t>
  </si>
  <si>
    <t>Hyaluronic Acid : Production, Properties, Application in Biology and Medicine</t>
  </si>
  <si>
    <t>Science: Anatomy/Physiology; Science; Science: Biology/Natural History</t>
  </si>
  <si>
    <t>,1,202,204,200,2,199,197</t>
  </si>
  <si>
    <t>QP702.H8 -- .S459 2015eb</t>
  </si>
  <si>
    <t>+K1/r6NvJVmUcS4wFOCIJQ==</t>
  </si>
  <si>
    <t>Health and Environmental Impact Assessment : An Integrated Approach</t>
  </si>
  <si>
    <t>RA566.29 .H32 2013</t>
  </si>
  <si>
    <t>BWoIWuqEDt0MFzjl1Nf1hw==</t>
  </si>
  <si>
    <t>Sounding New Media : Immersion and Embodiment in the Arts and Culture</t>
  </si>
  <si>
    <t>Philosophy; Fine Arts; Social Science</t>
  </si>
  <si>
    <t>,14,15,16,17,18,19,20,21,22,23,24,25,26,27,28,29,30</t>
  </si>
  <si>
    <t>BD331; NX650</t>
  </si>
  <si>
    <t>,1,2,3,149,150,151,147,148,152,14,15,16,12,13,17,18</t>
  </si>
  <si>
    <t>Breaking the Book : Print Humanities in the Digital Age</t>
  </si>
  <si>
    <t>General Works/Reference</t>
  </si>
  <si>
    <t>,2,13,14,14,14,14,14,15,16,12,13,17,15,18,19,61,63,59,60</t>
  </si>
  <si>
    <t>Z1003 -- .M363 2015eb</t>
  </si>
  <si>
    <t>Ga3b8mIzO5blgwAj+mJwMA==</t>
  </si>
  <si>
    <t>Official Guide for GMAT Review</t>
  </si>
  <si>
    <t>Education; Business/Management</t>
  </si>
  <si>
    <t>,13,14,15,16,17,18,19,20,21,22,23,24,25,26,27,28,48,49,50,46,47,45,51</t>
  </si>
  <si>
    <t>HF1118 .O33; LB2367.3 .O34</t>
  </si>
  <si>
    <t>,1,2,3,3,2,1,3,1,2,5,7,9,20,50,19</t>
  </si>
  <si>
    <t>,4,5,6,7,8,9,10,11,12,13,14,15</t>
  </si>
  <si>
    <t>,1,12,13,13</t>
  </si>
  <si>
    <t>,1,3,2,4,5,6,7,8,9,10,11,12,13,14,15,2,16,17,3,2,1</t>
  </si>
  <si>
    <t>,29,31,32,33,30</t>
  </si>
  <si>
    <t>,1,2,3,25,26,27,23,24,28,33,20,21,28</t>
  </si>
  <si>
    <t>wkXjUdMviIQ=</t>
  </si>
  <si>
    <t>Media Education : Literacy, Learning and Contemporary Culture</t>
  </si>
  <si>
    <t>,1,2,3,25,26,27,23,25,25,23,25,27,28,29,24,21,22,30,31,32,33,34,35,36,37</t>
  </si>
  <si>
    <t>,1,2,3,77,78,79,75,76,80,81,82,83,84</t>
  </si>
  <si>
    <t>,1,2,3,77,73,74,75,72,71,76,78,79</t>
  </si>
  <si>
    <t>,1,2,3,73,74,75,71,72,76,77,78,78</t>
  </si>
  <si>
    <t>JxH/diOrI+QX3LN+Y/Qk1w==</t>
  </si>
  <si>
    <t>Violent Geographies : Fear, Terror, and Political Violence</t>
  </si>
  <si>
    <t>,12,13,14</t>
  </si>
  <si>
    <t>,1,8,9,10,6,7,2,11</t>
  </si>
  <si>
    <t>,1,2,3,155,156,157,153,154,72,73,74,70,71,61,62,63,59,60,1,2,3,155,156,157,153,165,224,225,226,222,223,177,178,179,175,176,180,181,182,183,184,185,186,187,188,189,190,191,192,193,194,64,195,196,197,65,66,198</t>
  </si>
  <si>
    <t>Y2Ulqxw8a1c=</t>
  </si>
  <si>
    <t>Kinesiology For Dummies</t>
  </si>
  <si>
    <t>QP303 -- .G537 2014eb</t>
  </si>
  <si>
    <t>,1,3,2,1,4,5</t>
  </si>
  <si>
    <t>,1,2,3,59,60,61,57,58,62,56,55,63,64,65,66,67,68,69,70,71,72,73,74,75,76,77,78,79,80,81,82,83,84,85,86,87,88,89,90,91,92,93,94,95,96,97,98,99</t>
  </si>
  <si>
    <t>pUzJjc5U7vJlzgsCD/Pwxg==</t>
  </si>
  <si>
    <t>Lives in the Balance : Asylum Adjudication by the Department of Homeland Security</t>
  </si>
  <si>
    <t>,1,2,3,58,59,60,56,57,61,8,9,10,6,7,11,12,13</t>
  </si>
  <si>
    <t>KF4836 -- .S35 2014eb</t>
  </si>
  <si>
    <t>342.7308/3</t>
  </si>
  <si>
    <t>2PNd7DXoyrGqCH6E2pyQHQ==</t>
  </si>
  <si>
    <t>,114,115,116,112,113,117,118,119,120,121,122,123,124,185,186,187,184,188,189,190,191,192,193</t>
  </si>
  <si>
    <t>,1,2,3,4,30,31,32,28,29,33,34,49,50,51,47,48,52,53,54</t>
  </si>
  <si>
    <t>,1,2,3,155,156,157,153,154,158,159,160,161,181,207,208,206,211,212,210,209,205,198,196,182,170,171,172,173,169,174,175,176,177,178,179,180,54,183,57,184,58,185,186,59,187,60,188,189,61,190,191,62,69,70,71,68,66,67,65,64,63</t>
  </si>
  <si>
    <t>,33,34,35,36,37,38,39,40,41,42,43,44,45,46,47,48,49,50,51,52,53,54,55,56,57,58,59,60,61,62,63,64,65,66,67,68,69,70,71,72,73,74,75,76,77,78,79,80</t>
  </si>
  <si>
    <t>,1,2,3,53,54,55,51,52,56</t>
  </si>
  <si>
    <t>,1,2,3,4,5,6,7,8,9,10,11,12,13,14,15,16,17,18,19,20,21,22,23,24,25,26,27,28,29,30,31,32</t>
  </si>
  <si>
    <t>EBhlwL3EmlI=</t>
  </si>
  <si>
    <t>Jack London : A Writer's Fight for a Better America</t>
  </si>
  <si>
    <t>PS3523.O46 -- Z884 2015eb</t>
  </si>
  <si>
    <t>813/.52</t>
  </si>
  <si>
    <t>,1,2,3,16,17,18,14,15,19,20</t>
  </si>
  <si>
    <t>,34,35,36,37,35,15,38,39,40,41,42</t>
  </si>
  <si>
    <t>A Companion to Creative Writing</t>
  </si>
  <si>
    <t>,1,2,3,84,85,86,87,83,88,39,40,41,37,38,42,43,44,45,46,47,48,49,50,51</t>
  </si>
  <si>
    <t>Creative Writing Exercises For Dummies</t>
  </si>
  <si>
    <t>,1,2,3,24,25,26,22,23,27</t>
  </si>
  <si>
    <t>PN189 -- .M34 2014eb</t>
  </si>
  <si>
    <t>vC1kXMKmqRgPHZuXXwPccA==</t>
  </si>
  <si>
    <t>Spatial Analysis in Health Geography</t>
  </si>
  <si>
    <t>,10,4,108,109,110,106,108,107,111,112,113,114,115,116,117,118,119,117,120,121,122,104,105,1,2,3</t>
  </si>
  <si>
    <t>RA652.2.M3 .P384 2015</t>
  </si>
  <si>
    <t>614.4027; 614.4''2</t>
  </si>
  <si>
    <t>9uIi74lggdTgRXU1Bc/OuA==</t>
  </si>
  <si>
    <t>,27,28,29,30,31,32,33,34,76,80,77,48,60,67,68,69,65,66,70</t>
  </si>
  <si>
    <t>,1,2,3,24,25,26,22,23</t>
  </si>
  <si>
    <t>,1,2,3,4,5,6,7,8,9,10,329,330,327,328,325,326,331,332,333,334,335,25,26,27,23,24,28,29,30,33,34,334,335,336,337,338,339</t>
  </si>
  <si>
    <t>QVSci6FLdUzh+hBZE1hGNw==</t>
  </si>
  <si>
    <t>Handbook of PTSD, Second Edition : Science and Practice</t>
  </si>
  <si>
    <t>,202,203,389,390,391,387,392,388,393,394,395,396,397,398,399,400,401,402,403,404,405</t>
  </si>
  <si>
    <t>,186,187,188,189,190,191,192,193,194,195,196,197,198,199,200,201,202,203,204,389,390,391,392,393,394,395,396,397,398,399,400,401,402,403,404,405,406,407,408,409,410</t>
  </si>
  <si>
    <t>RC552.P67 -- .H353 2014eb</t>
  </si>
  <si>
    <t>616.85/21</t>
  </si>
  <si>
    <t>,1,2,3,389,390,391,387,388,392,393,394,395,396,397,398,399,400,2,401,402,403,404,405,406,407,186,187,188,184,189,185,190,191,192,193,194,195,196,197,198,199,200,201</t>
  </si>
  <si>
    <t>,329,330,331,327,328,332,333,334,335,336,337,338,339</t>
  </si>
  <si>
    <t>,1,2,3,27,28,29,25,26,30,31</t>
  </si>
  <si>
    <t>Atpy7yYkdfCkEmLtd0iIIg==</t>
  </si>
  <si>
    <t>The Student EQ Edge : Emotional Intelligence and Your Academic and Personal Success</t>
  </si>
  <si>
    <t>,15,16,17,13,18,19,32,7,8,6,4,5,3,2,1,9,30,31,32,28,29,33,34,35,36,37,38,39,40,33,34,36,37,38,35</t>
  </si>
  <si>
    <t>,5,6,16,17,18,19,20,21,22,5,6,16,17,18,19,20,21,22,6,5,6,16,17,18,19,20,21,22,30,31,32,33,34,35,36</t>
  </si>
  <si>
    <t>BF576 .S737 2013</t>
  </si>
  <si>
    <t>152.4; 152.4024378198</t>
  </si>
  <si>
    <t>,1,2,3,30,31,32,28,29,27</t>
  </si>
  <si>
    <t>,1,2,3,41,42,43,39,44,40,45,46,47,48,49,50,51,52,53,54,55,56,389,390,391,387,392,388,393,394,395,396,397,398,399,400,401,402,403,404,405,406,407</t>
  </si>
  <si>
    <t>Literary Theory : An Introduction</t>
  </si>
  <si>
    <t>,1,2,3,4,5,6,7,8,9,45,46,2,47,62,75,76,77,78,79,80,81,82,83,84,85,86,87</t>
  </si>
  <si>
    <t>PN94 -- .E2 2008eb</t>
  </si>
  <si>
    <t>801/.950904</t>
  </si>
  <si>
    <t>8cpeeqWKBOc=</t>
  </si>
  <si>
    <t>,29,30,31,25,31,32,33</t>
  </si>
  <si>
    <t>,1,2,3,4,7,9,10,13,17,18,19,15,16,20,21,22,25,26,27,23,24,32,33,34,30,31,29,28,28</t>
  </si>
  <si>
    <t>,1,2,3,38,50,84,86,74,75,76,72,73,71,70,2,69,77,78,79,80,81,82,83,84,1,2,3,17,18,19,15,16,6,8,5,4,7,9,5,10,11,12,13,14,15,3,2,18,19,16,93,184,282,278,279,280,276,277,281,282,283,284,285,286,287,288,289,290,291,292,293,294,295,296,297,298,299,300,301,302,303,304,305,306,307,308,309,310,311,176,144,60,50,52,68,80,83,84,85,81,86,87,88,89,90,91,92,93,94</t>
  </si>
  <si>
    <t>,1,2,3,25,26,27,24,23,28</t>
  </si>
  <si>
    <t>,1,2,3,42,38,39,2,100,101,98,99,103,40,41,102,175,176,177,173,174</t>
  </si>
  <si>
    <t>,1,2,3,237,238,239,235,236,240,241,242,243,244,245,246,247,248,249,250,252,251,253,254,255,256,257,259,258,260,261,262,263,264,265,266,69,70,71,67,68,66,71,72,73,74,75,74,75</t>
  </si>
  <si>
    <t>,1,2,3,15,16,17,13,14,18,2,19,480,481,482,478,479,483,484,485,486,487,488,489,490,491</t>
  </si>
  <si>
    <t>,4,5,7,8,10,11,12,13,14,15,16,17,18,19,20,21,22,23,24,25,26,27,28,29,30,31</t>
  </si>
  <si>
    <t>Essentials of Cognitive Neuroscience</t>
  </si>
  <si>
    <t>Science: Anatomy/Physiology; Science: Biology/Natural History; Science</t>
  </si>
  <si>
    <t>,349,348,349,347,347,350,350,346</t>
  </si>
  <si>
    <t>QP360 -- .P675 2015eb</t>
  </si>
  <si>
    <t>612.8/23342</t>
  </si>
  <si>
    <t>,1,2,2,3,1,3,2,2,82,83,82,84,83,80,84,81,81,85,85,86,86,87,87,23,23,21,22,22,348</t>
  </si>
  <si>
    <t>spmonroe</t>
  </si>
  <si>
    <t>Android Phones For Dummies</t>
  </si>
  <si>
    <t>216.226.109.96</t>
  </si>
  <si>
    <t>TK5105.885.G66 -- G66 2012eb</t>
  </si>
  <si>
    <t>,1,2,3,4,5,6,7,8,9,10,5,2,11,12,13,14,15,16,17,18,19,20,21,22,23,24,25,26,27,28,29,35,36,38,39,40,41,42,43,44,47,45,46</t>
  </si>
  <si>
    <t>,1,2,3,4,5,6,7,39,40,42,38</t>
  </si>
  <si>
    <t>sg4nhnOrlho=</t>
  </si>
  <si>
    <t>Discover Your True North Fieldbook : A Personal Guide to Finding Your Authentic Leadership</t>
  </si>
  <si>
    <t>,1,27,28,27,1,29,28,29,25,26,26,2,2,79,80,79,80,81,81,82,82,83,83</t>
  </si>
  <si>
    <t>,27</t>
  </si>
  <si>
    <t>HD57.7 .C384 2015</t>
  </si>
  <si>
    <t>,27,39,27</t>
  </si>
  <si>
    <t>,27,27</t>
  </si>
  <si>
    <t>,1,2,2,1,3,3,4,4,5,5,41,42,41,43,42,43,39,40,40,44,2,44,143,143,145,144,145,144,141,142,142,203,204,203,204,205,205,201,206,206,207,208,207,208,209,209,210,211,211,210,212,212,213,213,214,215,214,215,236,236,237,237,238,238,235,235,234,234,233,231,232,236,237,238,239,239,240,240,241,241,242,242,243,243,249,249,250,251,250,251,252,252,253,253,27,28,28,29,29,27,25,26,26,30,30,31,31,29,32,32,27,26,25</t>
  </si>
  <si>
    <t>23EJ2/7a0DQ=</t>
  </si>
  <si>
    <t>Corporate Governance and Banking in China</t>
  </si>
  <si>
    <t>HG3334 -- .T46 2013eb</t>
  </si>
  <si>
    <t>,1,2,3,51,52,53,50,49,54,55,56,57,58,59,60,61,62,63,64,65,66,67,68,69</t>
  </si>
  <si>
    <t>,41,42,43,39,40,44,46,47,48,45</t>
  </si>
  <si>
    <t>,1,2,3,25,26,27,23,24,28,29,27,28,29,25,26,27,28,29,25,30,31,32,33</t>
  </si>
  <si>
    <t>,1,2,3,25,26,27,23,24,28,29,30,31,32,33,34,61,60,62,58,59</t>
  </si>
  <si>
    <t>,1,2,3,1,2,3,155,156,157,153,154,149,150,151,148,147,152,158,253,272,280,283,284,285,286,287,288,289,290,291,292,293,294,295,296,297</t>
  </si>
  <si>
    <t>PVA4N08oD7w=</t>
  </si>
  <si>
    <t>Universal Design for Learning in the Classroom : Practical Applications</t>
  </si>
  <si>
    <t>,33,35,34,31,32,36,37,38,39,40,41,42,43,44,45,46,47,48,49,50,51,52,53,54,55,56,57,58,73,74,75,71,72</t>
  </si>
  <si>
    <t>,43</t>
  </si>
  <si>
    <t>LB1031 -- .U52 2012eb</t>
  </si>
  <si>
    <t>,29,30,31,32,33,34,35,36,37,38,39</t>
  </si>
  <si>
    <t>,1,3,2,23,24,25,21,22,26,27</t>
  </si>
  <si>
    <t>,1,2,3,19,20,21,17,18,22,23,24,25,26,27,28,16</t>
  </si>
  <si>
    <t>sRe59uYeMnMABZXoMWMbVQ==</t>
  </si>
  <si>
    <t>How to Succeed at Medical School : An Essential Guide to Learning</t>
  </si>
  <si>
    <t>R737</t>
  </si>
  <si>
    <t>610.71/1</t>
  </si>
  <si>
    <t>,29,30,31,32,33,34,35,36,37,38,39,40,41,42,51,52,53,49,50,54,55,56,57,58,59,60,61,62,63,64,65,66,67,68,69,70,71,72,73,74,75,76,77,78,79,80,81,82,83,84,85,86,87,88,89,90,91,92,93,94,95,96,97,98,99</t>
  </si>
  <si>
    <t>NRFCDIX8Vcu/QeiLkHw+NA==</t>
  </si>
  <si>
    <t>RSMeans Cost Data</t>
  </si>
  <si>
    <t>TH435 -- .R76 2012eb</t>
  </si>
  <si>
    <t>,1,2,3,5,6,7,4,9,8,10,11,12,13,14,15,16,17,18,19,20,21,22,23,24,25,26,27,28</t>
  </si>
  <si>
    <t>,4,5,6,7,8,9,10,11,12,13,37,38,39,35,36,40,41,42</t>
  </si>
  <si>
    <t>,40,1,2,3</t>
  </si>
  <si>
    <t>,39,37,40</t>
  </si>
  <si>
    <t>,405,406,407,408,409,410,41,42,43,39,40,44,45,46,47,48,49,50,51,52,53,54,55,56,166,167,168,164,186,187,188,184,185,58,59,60,57,61,62,63,64,65,66,67,68,69,70,71,72,73,74,75,76,77,78,47</t>
  </si>
  <si>
    <t>,1,2,3,389,390,391,387,388,392,393,394,395,396,397,398,399,400,401,402,403,404</t>
  </si>
  <si>
    <t>,1,2,3,4,5,7,6,8,8,9,10,11</t>
  </si>
  <si>
    <t>2yczmM0p/c0=</t>
  </si>
  <si>
    <t>Darkness Visible : A Study of Vergil's "Aeneid"</t>
  </si>
  <si>
    <t>,1,2,3,185,186,187,183,184,142,143,144,140,141,145,146,147,148,142,141,140,139,148,149,143,27,28,29,25,26,30</t>
  </si>
  <si>
    <t>PA6825</t>
  </si>
  <si>
    <t>873/.01</t>
  </si>
  <si>
    <t>LW4QZ/kgaIc=</t>
  </si>
  <si>
    <t>,1,62,63,64,60,61,2,65,62,1,63,64,60,61,46,47,48,44,45,49,2,65,62,1,63,64,60,61,46,47,48,44,45,49,2,47,48,49,45,46,62,63,64,60,61,65,40,41,42,38,39,44,50,51,66</t>
  </si>
  <si>
    <t>,1,2,3,43,44,45,41,42,46,47,48,47,48,49,50,51,52,53,54,55,56,57</t>
  </si>
  <si>
    <t>odEvP1ueFVs=</t>
  </si>
  <si>
    <t>Technological Innovation, Industrial Evolution, and Economic Growth</t>
  </si>
  <si>
    <t>,1,2,3,18,19,20,16,17,2,15,14,13</t>
  </si>
  <si>
    <t>HC79.T4 -- P36 2013eb</t>
  </si>
  <si>
    <t>Economics of Industrial Innovation</t>
  </si>
  <si>
    <t>,1,2,3,4,5,6,12,13,14,10,11</t>
  </si>
  <si>
    <t>HD45 -- .F725 2004eb</t>
  </si>
  <si>
    <t>338/.06</t>
  </si>
  <si>
    <t>,1,2,3,27,25,26,24,23,28</t>
  </si>
  <si>
    <t>,1,46,48,47,44,45,2</t>
  </si>
  <si>
    <t>,43,23,24,25,21,22,19,20,17,18,46,47,48,44,45</t>
  </si>
  <si>
    <t>,1,41,42,43,39,40,2,59,60,61,57,58,62,37,38,42</t>
  </si>
  <si>
    <t>Ax06Rkl8vojG6ZjVAxGjzQ==</t>
  </si>
  <si>
    <t>Food and Gender</t>
  </si>
  <si>
    <t>,15,16,17,18,19,20,21,22,23,24</t>
  </si>
  <si>
    <t>GT2860 -- .F66 2004eb</t>
  </si>
  <si>
    <t>,1,2,3,12,13,14,10,11</t>
  </si>
  <si>
    <t>,39,40,41,42,17,18,19,15,16,20,21,22,23,24,25,26,27,25,28,29,30,31,32,33,35,36,37,38,34,27,25,24,23,22,21,23</t>
  </si>
  <si>
    <t>,30,31,32,33,34,35,36,23,24,27,28</t>
  </si>
  <si>
    <t>,1,2,3,30,31,32,28,29,33,34,35,36,37,38,39,40,41,42,43,35,34,33,32,31,30,29,27,28,26</t>
  </si>
  <si>
    <t>,3,1,5,2,4,12,13,14,10,11,2,18,19,20,16,17</t>
  </si>
  <si>
    <t>,1,219,220,221,217,218,222,223,224,225,226,2,120,121,122,118,119,117,116,115,114,113,112,110,111,109,107,108,106,104,105</t>
  </si>
  <si>
    <t>,1,2,3,45,46</t>
  </si>
  <si>
    <t>tHergsZE+YbubyLmxiiStg==</t>
  </si>
  <si>
    <t>Stressaholic : 5 Steps to Transform Your Relationship with Stress</t>
  </si>
  <si>
    <t>,26,27,28,29,30,31</t>
  </si>
  <si>
    <t>BF575.S75 .H375 2013</t>
  </si>
  <si>
    <t>Z8bM0YiIPGBYZkYr6sMFaQ==</t>
  </si>
  <si>
    <t>Kurt Schwitters : Space, Image, Exile</t>
  </si>
  <si>
    <t>,27,28,29,30,31,32,34,33,35,36</t>
  </si>
  <si>
    <t>N6888.S42 -- .L85 2014eb</t>
  </si>
  <si>
    <t>,1,25,27,26,23,24,28,29,30,31,32,2,33,34,35</t>
  </si>
  <si>
    <t>LB2367.4 -- .W65 2012eb</t>
  </si>
  <si>
    <t>,1,2,3,4,5,6,7,8,9,10,11,12,14,15,13,16,17,18,26,49,50,51,52,48,53,54,55,56,57,58,59,60,61,62,63,64,65,66,67,68,69,70,71,72,73,74,75</t>
  </si>
  <si>
    <t>,1,2,3,4,8,26,29,30,31,32,28,33,34,35,36,37,38,39,40,41,42,43,44,45,46,47,48,49,50,51,52,53,54</t>
  </si>
  <si>
    <t>,1,22,23,24,20,21,2,25</t>
  </si>
  <si>
    <t>,1,2,3,4,5,6,7,70,71,72,100,89,77,75,68,69,67,73,74</t>
  </si>
  <si>
    <t>,1,15,16,17,13,14,18,19,20,21,2,22,23,24,25</t>
  </si>
  <si>
    <t>B/UBrT6OBFtOWMsaxM13hg==</t>
  </si>
  <si>
    <t>"Radical Academia" Understanding the Climates for Campus Activists : New Directions for Higher Education, Number 167</t>
  </si>
  <si>
    <t>,37,38,39,35,36,40,41,42,43,44,45,46,47,48,49</t>
  </si>
  <si>
    <t>,9,7,8,9,10,11,12,13,14,15,16,17,18,19,20,21,37,38,39,40,41,42,43,44,45,46,47</t>
  </si>
  <si>
    <t>LA229 -- .R33 2014eb</t>
  </si>
  <si>
    <t>,1,2,3,4,5,6,7,8,9,10,11,12,13,14,15,16,17,18,19,20,21,22,23</t>
  </si>
  <si>
    <t>,27,28,29,30,25,24,23,22,21,20,19,18,17,16,15,14,19,20,21,22,23,24,25,26,27,28,29,30</t>
  </si>
  <si>
    <t>,1,2,3,4,5,6,7,8,9,10,11,12,13,14,15,16,17,18,19,20,21,22,23,24,25,26,27,28,29,30,31,32,33,34,25,24,23,22,21,20,19,18,17,27,28,29,25,26,30,31</t>
  </si>
  <si>
    <t>L4gwa8BFVLmXlKHTHtHuUw==</t>
  </si>
  <si>
    <t>Incompressible Flow</t>
  </si>
  <si>
    <t>Science: Physics; Engineering: Civil; Science; Engineering</t>
  </si>
  <si>
    <t>TA357 -- .P368 2013eb</t>
  </si>
  <si>
    <t>532/.051</t>
  </si>
  <si>
    <t>Interior Lighting for Designers</t>
  </si>
  <si>
    <t>Engineering; Engineering: Electrical; Architecture</t>
  </si>
  <si>
    <t>TK4175 -- .G67 2014eb</t>
  </si>
  <si>
    <t>729/.28</t>
  </si>
  <si>
    <t>Introduction to Police Work</t>
  </si>
  <si>
    <t>,1,2,3,6,5,7,4</t>
  </si>
  <si>
    <t>HV8195.A2 -- I58 2007eb</t>
  </si>
  <si>
    <t>Sound and Music for the Theatre : The Art &amp; Technique of Design</t>
  </si>
  <si>
    <t>,1,2,3,5,6,7,4</t>
  </si>
  <si>
    <t>PN2091.S6 -- K3 2009eb</t>
  </si>
  <si>
    <t>792.02/4; 792.024</t>
  </si>
  <si>
    <t>The Social Psychology of Gender : How Power and Intimacy Shape Gender Relations</t>
  </si>
  <si>
    <t>,1,2,3,15,16,17,13,14</t>
  </si>
  <si>
    <t>HM1106 -- .R83 2008eb</t>
  </si>
  <si>
    <t>Personality Disorders and Eating Disorders : Exploring the Frontier</t>
  </si>
  <si>
    <t>RC554 -- .P471 2006eb</t>
  </si>
  <si>
    <t>616.85/26</t>
  </si>
  <si>
    <t>Parenting Beliefs, Behaviors, and Parent-Child Relations : A Cross-Cultural Perspective</t>
  </si>
  <si>
    <t>HQ755.8 -- .P379128 2006eb</t>
  </si>
  <si>
    <t>Transpacific Antiracism : Afro-Asian Solidarity in 20th-Century Black America, Japan, and Okinawa</t>
  </si>
  <si>
    <t>E185.625 -- .O55 2013eb</t>
  </si>
  <si>
    <t>305.896/073052</t>
  </si>
  <si>
    <t>,1,2,3,23,24,25,21,22,26</t>
  </si>
  <si>
    <t>,1,2,3,4,5,6,7,8,9,10,11,12,13</t>
  </si>
  <si>
    <t>Not Your Mama's Knitting : The Cool and Creative Way to Pick up Sticks</t>
  </si>
  <si>
    <t>,1,2,3,6,7,8,9,5,10,11,12,13,14,111,112,109,110,114,116,120,129,131,127,132,128</t>
  </si>
  <si>
    <t>TT825 -- .D48 2006eb</t>
  </si>
  <si>
    <t>746.43/2</t>
  </si>
  <si>
    <t>080ZuifoWvlN8AP5UzbivA==</t>
  </si>
  <si>
    <t>DASH Diet For Dummies</t>
  </si>
  <si>
    <t>,32,33,34,35,36,37,38,39,40,41,42,43,44,45,46,47,48,49,50,51,52,53,54,55,56,57,58,59,60,61,62,63,64,65,66,67,68,69,70,71,72,73,74,75,76,77,78,79,80,81,82,83,84,85,86,87,88,89,90,91,93,94,95,97,99,100,102,103,104,105,107,109,110,112,115,116,118,119,120,121,122,123,124,125,126,127,128,132,133,135,136,137,138,140,141,142,144,146,145,146,147,148,149,150,152,153,154,156,158,159,160,161,162,163,161,162,164,165,166,167,168,169,170,171,172,173,174,176,178,179,182,183,184,185,186,188,189,190,191,192,193,194,195,196,197,198,199,200,201,202,203,204,205,200,206,207,208,209,210,211,212,213,214,215,216,217,218,219,220,221,222,224,218,217,216,212,223,224,225,226,229,230,231,233,235,236,237,238,239,241,242,243,246,247,248,249,250,252,253,254,255,256,257,251,258,259,260,254,261,262,265,266,267,268,269,270,271,272,273,274,275,276,277,278,279,280,281,282,283,284,285,286,287,288,289,290,291,292,293,294,295,296,297,298,302,303,304,305,307,308,309,310,311,312,313,314,316,317,318,319,321,322,323,324,326,329,331,332</t>
  </si>
  <si>
    <t>,161,162,161,162,163,164,165,166,167,168,169,170,214,214,215,216,217,218,219,220,221,222,249,250,251,252,253,254,255,256,257,258,259,260,261,262,263,264,265,266,267,268,269,270,271,272,273,274,275,276,277,278,279,280,281,282</t>
  </si>
  <si>
    <t>RM217 -- .S263 2014eb</t>
  </si>
  <si>
    <t>,1,2,3,4,5,6,7,8,9,10,11,12,13,14,15,16,17,18,19,20,21,22,23,24,25,26,27,28,29,30,30,31</t>
  </si>
  <si>
    <t>,1,2,3,25,26,27,23,24,28,29,30,31,32,33,33,34,35,36,37,38,33,38,39,40,41,42,37,43,44,45,46</t>
  </si>
  <si>
    <t>Unsettled States : Nineteenth-Century American Literary Studies</t>
  </si>
  <si>
    <t>PS201 -- .U57 2014eb</t>
  </si>
  <si>
    <t>810.9/003</t>
  </si>
  <si>
    <t>HqgCOQFWuie7G7UB23SYAA==</t>
  </si>
  <si>
    <t>Companion to Forensic Anthropology</t>
  </si>
  <si>
    <t>Social Science; Science: Biology/Natural History; Science</t>
  </si>
  <si>
    <t>,1,2,3,7,8,9,5,6,10,11</t>
  </si>
  <si>
    <t>GN69.8 -- .C659 2012eb</t>
  </si>
  <si>
    <t>H16nyTKtX45NGDnEdQOuRQ==</t>
  </si>
  <si>
    <t>/koowUlB0SZG98Zqr9iNfg==</t>
  </si>
  <si>
    <t>Measuring Public Space : The Star Model</t>
  </si>
  <si>
    <t>,1,2,3,4,5,6,7,22,22,23,24,25,26,27,28,29,30,31,32,33,34,35,36,36,37,38,39,40,41,42,43,44,45,46,47,48,49,50,51,52,53,54,55,56,57,58,59,60,61,62,63,64,65,66,67,68,69,70,71,72,73,74,75,76,77,78,79,80,1,1,1,1,1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99,100,101</t>
  </si>
  <si>
    <t>HT185 -- .V37 2014eb</t>
  </si>
  <si>
    <t>DlxoByOI+a4=</t>
  </si>
  <si>
    <t>,9,10,11,12,13,14,15,16,17,18,19,20,52,125,150,151,155,156,157,153,154</t>
  </si>
  <si>
    <t>,61,62,63,64,65,66,67,68,69,70,71,72,73,74,75,76,455,456,457,458,459,460,461,462,463,464,465,466,467,468,469,470,471,472,473,474,475,476,477,478,479,480,481,482,483,484,485,486,487,488,489,490,491,492,493,494,495,496,497,498,499,500,501,502,503,504,505,506,507,508,509,510,511,512,513,514,515,516,517,518,519,520,521,522,523,524,525,526,527,528,529,530,531,532,533,534,535,536,537,538,539,540,541,542,543,544,545,546,547,548,549,550,551,552,553</t>
  </si>
  <si>
    <t>,81,82,83,84,85,86,87,88,89,90,91,92,93,94,95,96,97,98,99,100,101,102,103,103,104,105,106,107,108,109,110,111,112,113,114</t>
  </si>
  <si>
    <t>,1,2,3,4,5,6,7,8,9,10,11,12,13,14,15,16,11,60,61,62,59,63,64,65,67,66,68,69,70,71,72,73,74,75,76,77,78,79,80</t>
  </si>
  <si>
    <t>zXZI1QSrGjw=</t>
  </si>
  <si>
    <t>Supply Chain Metrics that Matter</t>
  </si>
  <si>
    <t>HD38.5 -- .C345 2015eb</t>
  </si>
  <si>
    <t>ing5xJB0x6c=</t>
  </si>
  <si>
    <t>,35,36,37,33,34,32,31,38,39,40,41,42,43,45,46,47,48,44,49,50,51,52,53,54,55,56,57,58,59,60,61</t>
  </si>
  <si>
    <t>,1,2,3,4,5,6,7,8,9,10,11,12,13,14,15,16,17,18,19,20,21,22,23,24,25,26,27,28,29,30</t>
  </si>
  <si>
    <t>,1,2,3,29,53,54,55,51,52,56,65,66,67,64,63,68,69,70,71,72,73</t>
  </si>
  <si>
    <t>,2,3,1,155,156,157,154,153,158,164,165,166,167,163</t>
  </si>
  <si>
    <t>Eof0SqJuD7AZgDlv7b1+TQ==</t>
  </si>
  <si>
    <t>Photography Business Secrets : The Savvy Photographer's Guide to Sales, Marketing, and More</t>
  </si>
  <si>
    <t>,1,2,3,52,53,54,50,132,133,134,130,131,128,129,127,135,139,137,138,142</t>
  </si>
  <si>
    <t>TR581 -- .W45 2013eb</t>
  </si>
  <si>
    <t>,1,22,23,24,20,21,19,2,25,26,27,28,29,30,31,32,33,34,35,36,37,38,39,40,41,42,43</t>
  </si>
  <si>
    <t>,5,6</t>
  </si>
  <si>
    <t>,1,2,3,4,5,6,7,8,9,10,11,12,13,14,15,23,24,25,21,22,26,27,29,30,31,28,32,33,34,35,36,26,25,24,22,21,20,19,18,17,16,22</t>
  </si>
  <si>
    <t>,1,2,3,144,145,146,182,183,184,185,181,145,146,142,143,147,148,149,150</t>
  </si>
  <si>
    <t>,1,2,3,124,125,126,122,123,1,2,3,153,154,155,151,152,173,176,190,221,222,223,250,271,270,272,268,269,274,304,302,298,296,297,295,278,275,276,273,277,278,279,280,281,282,283,284,285,286,287,288,289,290,291,127,142,143,144,141,140,139,138,144,292,146,293,147,149,150,294,295,296</t>
  </si>
  <si>
    <t>,1,2,3,11,18,31,35,38,43,68,76,77,59,54,55,56,53,57,58,59,60,61,62,63,64,65,66,67,68,69,70,71,72,73</t>
  </si>
  <si>
    <t>d9rK9LaVhjM=</t>
  </si>
  <si>
    <t>The Body in Society : An Introduction</t>
  </si>
  <si>
    <t>,1,24,24,24,25,26,24,25,22,26,23,23,27,27,28,28,29,29,30,30,31,31,32,32,33,33,34,34,7,8,9,5,6,4,3,2,1,4,5,3,6,7,8,9,24,24,24,24,25,25,25,24,266,26,26,27,27</t>
  </si>
  <si>
    <t>,24</t>
  </si>
  <si>
    <t>GT495 .H69</t>
  </si>
  <si>
    <t>,1,2,2,3,3,1,4,4,7,7,9,8,9,8,5,6,6,2,10,10,4,5,3,2,4,7,8,1,2,3,1</t>
  </si>
  <si>
    <t>6ZhD6s2UzVA=</t>
  </si>
  <si>
    <t>,1,2,3,2,3,1,4,4,2,2,5,5</t>
  </si>
  <si>
    <t>qdmzuuumOjdEYIBAN/Q42g==</t>
  </si>
  <si>
    <t>Taking Charge of ADHD, Third Edition : The Complete, Authoritative Guide for Parents</t>
  </si>
  <si>
    <t>RJ506.H9 -- B373 2013eb</t>
  </si>
  <si>
    <t>,270,266</t>
  </si>
  <si>
    <t>,1,2,3,4,10,203,204,205,206,207,208,209,210,211,212,213,214,215,216,217,218,219,220,221,222,223,224,225,226,227,228,229,230,231</t>
  </si>
  <si>
    <t>BEBrIS9rad0=</t>
  </si>
  <si>
    <t>Multilevel Analysis for Applied Research : It's Just Regression!</t>
  </si>
  <si>
    <t>,1,2,3,30,31,32,28,29,33</t>
  </si>
  <si>
    <t>H61.25 -- .B53 2007eb</t>
  </si>
  <si>
    <t>,1,2,3,4,5,6,7,8,9,13,14,15,11,12,203,204,205,201,202,206,207,208,209,210,211,212,213,214,215,216,217,218,219,232,233,234,230,231,229,204,200,205,248,249,250,268,269,271,272,273,274,275,277,279,280,281,278,285,286,287,283,284,282</t>
  </si>
  <si>
    <t>Stock Investing For Dummies</t>
  </si>
  <si>
    <t>,1,2,3,37,38,39,35,36,40,40,41,42,43,44,38,44,45,46,47,48,49,50,51,52,53,54,55,56,57,58,59,60,61</t>
  </si>
  <si>
    <t>HG4910 -- .M53 2013eb</t>
  </si>
  <si>
    <t>332.63/22</t>
  </si>
  <si>
    <t>,1,2,3,133,134,135,131,132,136,1,2,3,153,154,155,151,152,160,234,239,244,253,254,255,251,252,2,268,270,277,278,279,280,276,281,282,283,284,285,144,145,146,142,152,151,153,139,138,140,141,143,145,146,147,148,149,150,131,137,286,138,287,139,288,140,289,141,290,142,145,146,143,147,149,150</t>
  </si>
  <si>
    <t>lbdB+qccMFk=</t>
  </si>
  <si>
    <t>8SjB/68KiGA=</t>
  </si>
  <si>
    <t>Human Impact on the Natural Environment : Past, Present, and Future</t>
  </si>
  <si>
    <t>Social Science; Environmental Studies</t>
  </si>
  <si>
    <t>,228,230,229,226,227,225,230,231,232,1,3,4,5,6,7,8,8</t>
  </si>
  <si>
    <t>,234,230</t>
  </si>
  <si>
    <t>GF75 -- .G68 2013eb</t>
  </si>
  <si>
    <t>,1,2,3,234,235,236,232,233,231,230,236</t>
  </si>
  <si>
    <t>JUNOYow0LerwvE34KaAk9A==</t>
  </si>
  <si>
    <t>Applied Logistic Regression</t>
  </si>
  <si>
    <t>,19,20,21,17,22,24,18,16,17,20,21,323,324,325,321,326,327,328,329,330,331,332,333,322,317,313,303,297,293,19,20,21,17,18</t>
  </si>
  <si>
    <t>,19,329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</t>
  </si>
  <si>
    <t>QA278.2 .H67 2013</t>
  </si>
  <si>
    <t>,1,2,3,4,5,6,7,2</t>
  </si>
  <si>
    <t>Part-Time on the Tenure Track, AEHE Volume 40 Number 5</t>
  </si>
  <si>
    <t>,6,5,4</t>
  </si>
  <si>
    <t>,11,12,13,14,147,148,149,150,151,152,153,154,155,156,157,158,159,160,161,162,163,164,165,166</t>
  </si>
  <si>
    <t>LB2335.7 -- .H473 2014eb</t>
  </si>
  <si>
    <t>RlTzTTO3nvhohJ1mxpCGZw==</t>
  </si>
  <si>
    <t>,1,2,3,50,51,52,48,49,53,54</t>
  </si>
  <si>
    <t>,1,2,3,19,20,21,17,23,24,18,45,46,47,43,44,48,49,50,51,52,53,54,481,482,483,479,480,484,485,486,487,488,489,490,491,492,493,494,495</t>
  </si>
  <si>
    <t>,1,2,3,1,22,19,18,19,20,21,22</t>
  </si>
  <si>
    <t>,1,2,3,4,59,60,61,57,58,62,1,62,63,64,61,60,2,25,26,27,23,24,28,409,410,21,22,29,30,31,32,33,33,1,34,35,31,32,2,36,37,38,39,40,41,42,43,44,45,46,47,48,49,50,51,52,53,54</t>
  </si>
  <si>
    <t>,411,411</t>
  </si>
  <si>
    <t>Churchill : Plays One</t>
  </si>
  <si>
    <t>,1,2,3,258,259,260,256,257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</t>
  </si>
  <si>
    <t>PR6053.H786 -- A19 1985eb</t>
  </si>
  <si>
    <t>,1,2,3,4,5,6,7,8,9,10,11,12,13,14,15,17,18,19,20,21,22</t>
  </si>
  <si>
    <t>rmorace</t>
  </si>
  <si>
    <t>Global Creative Industries</t>
  </si>
  <si>
    <t>108.17.26.12</t>
  </si>
  <si>
    <t>HD9999.C9472 -- F54 2013eb</t>
  </si>
  <si>
    <t>Creative Industries and Urban Development : Creative Cities in the 21st Century</t>
  </si>
  <si>
    <t>,1,2,3,4,5,6,9,12,16,17,19,22,24,26,28,30,31,33,38,37,39,35,36,34</t>
  </si>
  <si>
    <t>,36,36</t>
  </si>
  <si>
    <t>,1,2,3,155,156,157,153,154,210,262,263,264,260,261,265,269,270,271,267,268,272,273,274,275,276,277,278,279,280,281,282,283,284</t>
  </si>
  <si>
    <t>,1,2,3,25,26,27,23,24,32,33,34,30,31</t>
  </si>
  <si>
    <t>Cognitive Styles and Learning Strategies : Understanding Style Differences in Learning and Behavior</t>
  </si>
  <si>
    <t>gfv6i3Azwtg+o8sLZtJAKQ==</t>
  </si>
  <si>
    <t>Basic Russian : A Grammar and Workbook</t>
  </si>
  <si>
    <t>PG2112 -- .B375 2013eb</t>
  </si>
  <si>
    <t>491.782/421</t>
  </si>
  <si>
    <t>,1,2,3,119,120,121,117,118,1,2,3,155,156,157,153,154,203,204,240,241,245,249,250,251,259,266,267,268,264,265,269,270,122,123,124,125,126,130,131,132,133,134,129,128,127</t>
  </si>
  <si>
    <t>,1,2,3,4,23,24,25,21,22,26,46,47,48,44,45,49,50,51,52</t>
  </si>
  <si>
    <t>TkMLyObepyUkALI5jguwqg==</t>
  </si>
  <si>
    <t>,1,2,3,177,178,179,175,176,180,181,182,183,184,143,144,145,141,142,146,147,148,149,150,185,186,187,188,189,190,191,192,194,193,195,196,197,198,199,200,201,202,203,204,205,160,116,117,118,114,115,110,111,112,108,109,113,106,107,105,119,165,166,167,163,164,168,169,170,171</t>
  </si>
  <si>
    <t>ASjr7aBPssyATvplwVFubw==</t>
  </si>
  <si>
    <t>Digital Literacy For Dummies</t>
  </si>
  <si>
    <t>QA76.9.C64 -- .W467 2015eb</t>
  </si>
  <si>
    <t>,30,31,32,33,34,35,36,37,38,39,40,41,42,43,44,45,46,47,48,49,50,51,52,53,54,55,56,57,58,59,60,61,62,63,64,77,79,78,75,76,73,74,71,72,70,69,68,67,66,65</t>
  </si>
  <si>
    <t>,1,2,3,4,25,26,27,23,24,25,26,27,23,24,28,26,27,28,3,4,5,1,2,25,26,27,28,23,24,29</t>
  </si>
  <si>
    <t>,1,2,3,144,146,145,142,143,141,140,147</t>
  </si>
  <si>
    <t>,1,2,3,155,156,157,153,154,158,159,163,164,167,187,190,195,197,207,208,209,206,230,231,232,228,233,229,239,240,241,244,245,246,247,248,249,250,251,252,259,268,270,269,271,267,266,265,264,270,271,272</t>
  </si>
  <si>
    <t>,1,2,3,116,117,118,114,119,120,121,2,122,123,124,125,126,127,128,129,130,131,132,133,134,135,129,128,127,125,126,124,122,123,114,115</t>
  </si>
  <si>
    <t>,1,2,3,153,154,155,151,152,156,157,158,159,160,161,162,163,164,165,193,204,225,233,234,235,236,255,256,257,253,254,252,257,258,259,260,261,262,263,264,265,266,267,268</t>
  </si>
  <si>
    <t>,1,2,3,35,36,37,33,34,38,39,40,41,42,43</t>
  </si>
  <si>
    <t>,1,2,3,31,32,103,175,154,123,109,99,93,79,72,64,54,51,37,33,34,35,36,37,38,39,40,41,42,43,44,45,46,47,48,38,34,33,32,31,40,41,32,30,31,29,28,27,26,25,24,41,42,43,44,45,47,48,42,334,335,336,333,332,330,331,329,327,328,326,325,323,324,322,320,321,278,256,248,92,79,68,59,53,55,50,49,42,43,41,47,48,51,52</t>
  </si>
  <si>
    <t>,1,2,3,115,116,117,113,114,118,1,2,3,115,116,117,113,114,118,153,154,155,151,156,157,177,178,179,180,176,181,182,183,184,185,186,187,188,189,191,190,192,193,195,197,198,199,200,202,215,214,216,212,213,211,223,230,231,232,233,235,234,236,279,280,281,278,276,277,274,275,279,280,270,269,268,266,267,264,265,263,262,261,260</t>
  </si>
  <si>
    <t>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</t>
  </si>
  <si>
    <t>,5,6,7,8,9,10,11,12,13,14,15,16,17,18,19,20,21,22,23,24,25,26,27,28,29,30,31,32,33,34,35,36,37,38,39,40,41,42,43,44,45,46,47,48,49,50,51,52,53,54,55,56,57,58,59,60,61,62,63,64,65,66,67,68,69,70,16,17,18,14,15,37,33,34,38,39,156,157,158,154,155,159,160,161,162,163,164,165,166,167,168,169,170,171,172,173,174,175,176,177,178,179,180,181,182,183,184,185,186,187,188,189,190,192,193,244,245,246,242,243,247,248,249,250,251,252,253,254,255,256,257,258,259,260,261,262,263,264,265,266,267,268,269,270,271,272,273,274,275,276,278,279,280,277</t>
  </si>
  <si>
    <t>,26,27,28,29,30,31,32,33,34,35,36,37</t>
  </si>
  <si>
    <t>FLxn0XMiskqM19haIZkDJQ==</t>
  </si>
  <si>
    <t>Professional C++</t>
  </si>
  <si>
    <t>,1,85,86,87,83,84,88,89,2,90,91,92,93,94</t>
  </si>
  <si>
    <t>QA76.73.C153 -- .G744 2014eb</t>
  </si>
  <si>
    <t>,1,2,3,155,156,157,153,154,158,161,188,189,190,219,220,221,222,223,227,228,229,225,233,238,239,244,245,246,255,259,260,258,256,261,257,254,1,2,3,106,107,108,104,105,109,110,111,112,149,150,147,148,151,152,99,100,101,97,98,165,169,175,176,177,178,174,179,180,181,182,183,184,185,186,187,203,204,201,205,202,247,240,253,262,263,113,114,115,116,264</t>
  </si>
  <si>
    <t>gQESaiaO5wP1StRkzKWWxg==</t>
  </si>
  <si>
    <t>QuickBooks Online For Dummies</t>
  </si>
  <si>
    <t>,4,5,6,7,8,9,10,11,12,13,14,15,16,17,18,19,20,21,22,23,24,25,26,27,28,29,30,31,32,33,34,35,36,37,38,39,40,41,42,43,44,45,46,47,48,49,50,51,52,53,54,55,56,57,58,59,60,61,62,63,64,65,66,67,68,69,70,71,72,73,74,75,77,76,79,78,80,81,82,83,84,85,86,87,88,89,90,91,92,93,94,95,96,97,98,99,100,101,102,103,104,105,106,107,108,109,110,111,113,112,114,115,116,117,118,119,120,121,122,123,124,125,126,127,128,129,131,130,132,133,134,135,136,137,138,139,140,141,142,144,143,145,146,147,148,149,150,151,152,153,154,155,156,157,158,159,160,161,162,163,164,165,166,167,168,169,170,171,172,173,174,175,176,177,178,179,180,181,182,183,184,185,186,187,188,189,190,191,192,193,194,195,196,197,198,199,200,201,202,203,204,205,206,208,207,209,210,211,212,213,214,215,216,217,218,219,220,221,222,223,224,225,226,227,228,229,230,231,232,233,234,235,236,237,238,239,240,241,242,243,244,245,246,247,248,250,249,251,252,253,255,254,256,257,258,259,260,56,57,58,54,55</t>
  </si>
  <si>
    <t>HF5679 -- .M376 2015eb</t>
  </si>
  <si>
    <t>YCY4c8E0NfeZz6rPf4G8NA==</t>
  </si>
  <si>
    <t>Music Theory For Dummies</t>
  </si>
  <si>
    <t>,34,35,36,37,38,39,40,56,57,58,59,60,61,63,62,64,65,66,67,68,153,200,81</t>
  </si>
  <si>
    <t>MT6 -- .P55 2015eb</t>
  </si>
  <si>
    <t>,1,19,20,21,17,18,22,24,23,25,53,54,55,52,50,2,51,49,48,47,46,45,43,44,41,42,26,27,28,29,30,31,32,33</t>
  </si>
  <si>
    <t>,1,2,3,153,154,155,156,157,174,197,219,272,274,256,257,250,251,252,248,249,253,254,255,256,257</t>
  </si>
  <si>
    <t>,68,69,70,71,72,73,83,84,85,86,87,88,89,90,91,92,93,94,95,96,97,98,99,100,112,113,114,115,116,117,118,119,120,121,122,150,151,152,153,154,155,156,157,158,159,160,161,162,163,164,165,174,175,176,177,178,179,180,181,182,183,184,185,186,194,195,196,197,198,199,200,201,202,203,204,205,206,207,208,209,210,211,212,213,214,215,216,217</t>
  </si>
  <si>
    <t>,1,68,69,68,1,69,70,66,70,67,67,71,71,2,2,72,72,73,73,74,74,75,75,76,76,77,77,78,78,79,79,80,80,81,81,82,82,83,83,84,84,82,82,83,84,84,84,84,85,86</t>
  </si>
  <si>
    <t>,103,104,105,106,107,108,115,116,117,113,114,97,109,110,111,113,112,114,115,116,117,106,108</t>
  </si>
  <si>
    <t>,1,2,3,155,156,157,153,154,160,161,162,159,158,163,164,165,166,167,168,169,170,171,181,182,183,179,180,156,157,154,155,174,175,176,172,173,171</t>
  </si>
  <si>
    <t>,1,2,3,65,66,67,63,64,97,98,99,95,96,100,101,153,154,155,151,152,168,173,231,232,240,254,255,256,252,253,251,250,248,249,247,246,245,243,244,101,102</t>
  </si>
  <si>
    <t>frQKZ/Qq1feZrK9v/xGsrA==</t>
  </si>
  <si>
    <t>,78</t>
  </si>
  <si>
    <t>Lighting for Video</t>
  </si>
  <si>
    <t>,1,19,20,21,17,18,22,2,23,24</t>
  </si>
  <si>
    <t>TK6643 .M537 2013</t>
  </si>
  <si>
    <t>778.59/92; 778.5992</t>
  </si>
  <si>
    <t>,1,25,26,27,23,24,28,2,29,33,12,13,14,10,11,45,46,47,44,43,42,48,49,50,51,52,53,54,81,82,83,80,79</t>
  </si>
  <si>
    <t>Assessing and Improving Student Writing in College : A Guide for Institutions, General Education, Departments, and Classrooms</t>
  </si>
  <si>
    <t>Literature; Language/Linguistics</t>
  </si>
  <si>
    <t>,1,2,3,9,10,11,7,8</t>
  </si>
  <si>
    <t>PE1404 -- .W34 2014eb</t>
  </si>
  <si>
    <t>808/.0420711</t>
  </si>
  <si>
    <t>,1,2,3,92,93,94,90,91,95,96,1,96,97,98,94,95,99,2,1,96,97,98,94,95,155,156,157,153,154,204,2,252,253,254,251,249,250,239,224,222,221,223,219,220,225,226,227,228,229,230,236,247,258,248,249,246,247,232,228,250,229,230,226,227,231,233,234,235,236,237,238,239,240,241,247,245,248,249,246,244,243,242</t>
  </si>
  <si>
    <t>mtpyKSpLbRI5tWK1g7/6nUQKSnVCBwIloxuGApopPI8=</t>
  </si>
  <si>
    <t>Morrisville State College</t>
  </si>
  <si>
    <t>morrisville</t>
  </si>
  <si>
    <t>American Literature : A History</t>
  </si>
  <si>
    <t>,1,2,3,355,356,357,353,354,365,366,367,363,364,362,361,360,366</t>
  </si>
  <si>
    <t>136.204.32.68</t>
  </si>
  <si>
    <t>PS121 -- .B517 2014eb</t>
  </si>
  <si>
    <t>kAWNyEePiX+C3wl22Sj5BQ==</t>
  </si>
  <si>
    <t>27 Challenges Managers Face : Step-by-Step Solutions to (Nearly) All of Your Management Problems</t>
  </si>
  <si>
    <t>,165,166</t>
  </si>
  <si>
    <t>HD30.3 -- .T85 2014eb</t>
  </si>
  <si>
    <t>,1,2,3,4,32,33,34,30,31,35,89,90,91,87,88,92,142,143,144,141,140,145,146,147,148,149,150,151,152,153,160,162,161,159,158,163,164</t>
  </si>
  <si>
    <t>i6LtArKWTFLUF4DJc4pcEA==</t>
  </si>
  <si>
    <t>Functional Analysis</t>
  </si>
  <si>
    <t>QA320.L345 2001</t>
  </si>
  <si>
    <t>,1,2,3,253,254,255,251,252</t>
  </si>
  <si>
    <t>,200,201,202,203,204,205,206,207,208,209,210,253,254,255,256,257,258,259,260,253,254,255,256,257,258,259,260,200,201,202,203,204,205,206,207,208,209,210,437,438,439,440,441,442,443,444,445,446,447,448,449,450,618,619,620,621,622,623,624,625,626,627,628,629,630,631,632,633,634,635,636,637,200,201,202,203,204,205,206,207,208,209,210,618,619,620,621,622,623,624,625,626,627,628,629,630,631,632,633,634,635,636,637,200,201,202,203,204,205,206,207,208,209,210,238,239,240,241,242,243,244,245,246,247,248,249,250,251,252,618,619,620,621,622,623,624,625,626,627,628,629,630,631,632,633,634,635,636,637,238,239,240,241,242,243,244,245,246,247,248,249,250,251,252,618,619,620,621,622,623,624,625,626,627,628,629,630,631,632,633,634,635,636,637,569,570,571,572,573,574,575,576,577,578,579,580,581</t>
  </si>
  <si>
    <t>,1,2,3,88,89,90,86,87,91,92,93,94,1,2,3,155,156,157,154,153,158,159,164,174,180,182,183,184,185,181,2,220,227,228,229,230,234,233,236,240,241,258,259,257,255,219,225,226,231,232,233,239,240,241,236,238,237,242,243,244,245,246</t>
  </si>
  <si>
    <t>,1,2,3,253,254,255,251,252,2,253,437,200,238,618,569</t>
  </si>
  <si>
    <t>umcRVv6DcFxy+givSddiGg==</t>
  </si>
  <si>
    <t>,1,2,3,3,2,1,2,2,341,342,341,343,342,343,339,340,340,344,344,345,345</t>
  </si>
  <si>
    <t>+eYasozB5Es=</t>
  </si>
  <si>
    <t>Pediatric Urology : Surgical Complications and Management</t>
  </si>
  <si>
    <t>,18</t>
  </si>
  <si>
    <t>RJ466</t>
  </si>
  <si>
    <t>618.92/6</t>
  </si>
  <si>
    <t>,1,2,3,4,5,6,7,8,9,1,18</t>
  </si>
  <si>
    <t>,35,36,37,38,39,40,41,42,43,43,44</t>
  </si>
  <si>
    <t>,1,2,3,87,88,89,85,86,90,91,92,93,94,95,96,97,98,99,92,93,94,95,96,97,98,99,144,145,142,143,138,139,140,136,137,133,134,135,131,132,90,91,92,93,94,95,96,97,98,99,1,2,3,155,156,157,153,158,159,162,2,163,164,160,161,174,178,179,180,197,203,208,209,210,211,207,216,217,218,219,221,225,230,246,250,249,251,247,248,245,244,243,241,242,240,239,237,238</t>
  </si>
  <si>
    <t>OLvR2CjNe1iePsC8Hoc90Q==</t>
  </si>
  <si>
    <t>Knowledge As Design</t>
  </si>
  <si>
    <t>,1,2,3,4,5,6,7,8,9,10,11,12,13,22,23,24,20,21,25,26,27,28,26,26</t>
  </si>
  <si>
    <t>LB1590.3 -- .P47 1986eb</t>
  </si>
  <si>
    <t>370.15/2</t>
  </si>
  <si>
    <t>,253,254,255,256,257,258,259,260,437,438,439,440,441,442,443,444,445,446,447,448,449,450</t>
  </si>
  <si>
    <t>,12,13,14,15,16,17,18,31,32,33,34,35,36,37,38,39,40,41,42,43,44,45,46,47,48,49,50,51,52,53,54,55,56,57,58,59,60,61,62,63,64,65,66,67,68,69,70,71,72,73,74,75,76,77,78,79,80,81,82,83,84,85,86,87,88,89,90,91,92,93,94,95,96,97,98,99,100,101,341,342,343,339,340</t>
  </si>
  <si>
    <t>,1,2,3,4,5,6,7,8,9,10,11,12,13,14,15,16,17,18,19,20,21,22,23,24,19,25,26,27,28,29,30,31,32,11,7,1,3,4,5,6,8,9,10,11</t>
  </si>
  <si>
    <t>+QOnkeP/wG8skm8vn4zVHw==</t>
  </si>
  <si>
    <t>cvIzCMefiSHLA9Y9ANndCQ==</t>
  </si>
  <si>
    <t>The Tempest : Critical Essays</t>
  </si>
  <si>
    <t>,1,2,2,3,1,3,8,9,8,9,10,6,10,7,7,2,11,11,12,12,13,13,14,14</t>
  </si>
  <si>
    <t>PR2833 -- .T465 2001eb</t>
  </si>
  <si>
    <t>NYxZUt5w0fellxLkTK/ByQ==</t>
  </si>
  <si>
    <t>How the Financial Crisis and Great Recession Affected Higher Education</t>
  </si>
  <si>
    <t>,130,131,132,133,134,135</t>
  </si>
  <si>
    <t>,127</t>
  </si>
  <si>
    <t>LB2342</t>
  </si>
  <si>
    <t>379.1/180973</t>
  </si>
  <si>
    <t>,1,112,114,110,111,2,115,116,117,118,119,120,121,122,123,124,125,126,127,128,129</t>
  </si>
  <si>
    <t>pvid2Orvsf5NBsqQYxtUQw==</t>
  </si>
  <si>
    <t>,1,2,3,93,94,95,91,92,96,97,98,99,100,101,102,103,104,179,180,181,182,183,184,185,186,187,188,189,190,191,223,224,225,221,222,200,201,202,198,199,69,70,71,67,72,68,73,74,75</t>
  </si>
  <si>
    <t>,1,2,3,87,88,89,85,86,90,1,2,3,155,156,157,153,154,193,196,198,203,207,210,212,213,214,216,217,218,219,220,221,222,223,224,225,226,227,229,230,231,232,228,233,234,235,236,237,238,239,240,241,242</t>
  </si>
  <si>
    <t>,1,2,3,31,32,33,29,30,34,35,36,37,38,33,34,35,31,32,36,37</t>
  </si>
  <si>
    <t>The Student EQ Edge : Emotional Intelligence and Your Academic and Personal Success: Student Workbook</t>
  </si>
  <si>
    <t>The Student EQ Edge : Emotional Intelligence and Your Academic and Personal Success: Facilitation and Activity Guide</t>
  </si>
  <si>
    <t>,1,2,3,19,20,21,17,23,24,25,22,18,26,27,28</t>
  </si>
  <si>
    <t>,30,31,32,33,34,35,36,37,38,39</t>
  </si>
  <si>
    <t>,1,2,3,8,4,5,6,7,8,9,10,11,12,13,14,15,16,17,18,19,20,21,22,23,24,25,26,27,28,29,27,28,29,25,26,24</t>
  </si>
  <si>
    <t>5DpQFjENmHTUAmbAgc3+EA==</t>
  </si>
  <si>
    <t>Getting Started in Stock Investing and Trading</t>
  </si>
  <si>
    <t>,1,2,3,102,103,104,100,101,102,100</t>
  </si>
  <si>
    <t>HG4910 .T48 2013</t>
  </si>
  <si>
    <t>332.63/220973; 332.6322</t>
  </si>
  <si>
    <t>kTF3DU6RmrU=</t>
  </si>
  <si>
    <t>,1,2,3,36,37,38,34,35</t>
  </si>
  <si>
    <t>Investing for Dummies</t>
  </si>
  <si>
    <t>HG4521 -- .L484 2015eb</t>
  </si>
  <si>
    <t>,20,21,22,23,24,25,26</t>
  </si>
  <si>
    <t>,1,2,3,12,17,13,14,15,11,16,18,19</t>
  </si>
  <si>
    <t>5UuDiEutEYsr5Cv/RGjvvQ==</t>
  </si>
  <si>
    <t>The Virtue Ethics of Hume and Nietzsche</t>
  </si>
  <si>
    <t>,158,159,160,138,139,140,136,137,141,142,143,144,145,216,217,218,214,215,219,220,221</t>
  </si>
  <si>
    <t>B1499 .E8 S93 2015</t>
  </si>
  <si>
    <t>,21,22,23,24,25,26,57,58,59,55,56,60,61,62,63,31,32,33,29,30,34,28,35,36,37,38,39,40</t>
  </si>
  <si>
    <t>,1,2,3,129,130,131,127,128,150,151,152,149,148,153,154,155,156,157</t>
  </si>
  <si>
    <t>,1,2,3,17,18,19,16,15,20,319,320,321,318,317</t>
  </si>
  <si>
    <t>,1,2,3,53,54,55,51,52,58,56,57,59,60,61,62,63,64,65,66,67,68,69,70,71,81,82,83,79,80,72,73,74,1,2,3,153,154,155,151,152,156,157,158,159,160,161,162,163,164,165,166,167,168,169,170,171,172,173,174,175,176,177,178,179,180,181,182,183,184,185,186,187,188,189,191,192,193,194,195,196,197,198,199,200,201,202,203,204,205,206,207,72,208,75,209</t>
  </si>
  <si>
    <t>yd5jbM5DT3KBph+1DAy16Q==</t>
  </si>
  <si>
    <t>Internet, Phone, Mail, and Mixed-Mode Surveys : The Tailored Design Method</t>
  </si>
  <si>
    <t>,1,2,3,5,6,7,4,8,9,10,11</t>
  </si>
  <si>
    <t>HM538 -- .D55 2014eb</t>
  </si>
  <si>
    <t>300.72/3</t>
  </si>
  <si>
    <t>,156,157,153,154,158,19,158,159,20,21,22,151,152,159,160,161,53,54,55,51,52</t>
  </si>
  <si>
    <t>,1,2,3,94,95,96,92,93,89,90,91,87,88,53,54,55,58,59,60,56,57,10,11,12,13,15,16,17,14,18,116,117,118,114,115,119,120,155,156,157,153,154,158,159,160,161,162,163,164,207,208,206,205,202,198,197,199,195,196,10,11,12,8,9,16,17,13,14,18</t>
  </si>
  <si>
    <t>Y4aUxvhotGGL/HTqVV4BUg==</t>
  </si>
  <si>
    <t>Fundamentals of Anatomy and Physiology for Student Nurses</t>
  </si>
  <si>
    <t>Science; Science: Biology/Natural History; Science: Anatomy/Physiology</t>
  </si>
  <si>
    <t>,31,32,33,34,35,36,37,1,3,43,44,45,42,40,41,39,38,37,36,35,33,34,32,31,37,37,38,39,40,41,42,42,43,44,45,46,47,48,49,50,51,52,53,54,55,56,57,58,59,60,61,56,55,62,63,57,64,65,66,58,57,56,55,54,53,61,62,63,63,64,65,66,67,68,69,70,71,72,73,74,75,76,77,78,79,80,81,82,83,84,85,86,87,88,89,90,91,92,93,94,95,96,97,98,99</t>
  </si>
  <si>
    <t>,28</t>
  </si>
  <si>
    <t>QP34.5 .F862 2011</t>
  </si>
  <si>
    <t>,1,2,3,4,5,6,15,22,9,1,7,8,7,8,9,10,11,12,13,14,15,16,17,18,19,20,21,22,23,24,25,26,27,28,29,30</t>
  </si>
  <si>
    <t>,1,2,3,164,165,166,162,163,160,161,158,159</t>
  </si>
  <si>
    <t>ASVAB AFQT For Dummies, with Online Practice Tests</t>
  </si>
  <si>
    <t>,171,172,169,170,180,181,182,178,179,183,186,187,188,184,185,187,177,206,207,214,215,211,212,189,190,188,205,203,204,208,209,210,213,215,216,217,214,218,219,221,222,223,239,240,241,237,238,242,243,244,245,246,247,249,250,251,248,252,254,255,256,253,273,274,275,271,272,276,277,278,279,281,283,285,286,287,288,290</t>
  </si>
  <si>
    <t>,171,172,173,174,175,180,181,182,183,184,205,206,207,208,209,210,211,215,216,217,218,219,239,240,241,242,243,244,245,249,250,251,252,253,273,274,275,276,277,278,279,283,284,285,286,287</t>
  </si>
  <si>
    <t>U408.5 -- .P694 2014eb</t>
  </si>
  <si>
    <t>,1,2,3,143,144,153,154,155,151,152,171,172,176,177,178,174,175,173,169,170,174,175,177,178</t>
  </si>
  <si>
    <t>,12,13,8,7,6,5,1554,1552,1553,9,10,11,7,8,12,13,14,15,16,17,18,19,20,21,22,23,24,25,26,27,28,29,30,28,23,28,29,30,31,32,33,34,35</t>
  </si>
  <si>
    <t>,1,2,3,4,171,172,173,169,170,174,157,158,159,155,156,157,157,180,181,182,178,179,167,168,169,165,166,170</t>
  </si>
  <si>
    <t>,157</t>
  </si>
  <si>
    <t>,1,2,3,4,5,6,7,8,9,10,11,12,13,7,8</t>
  </si>
  <si>
    <t>x4NhMztHWWr8c925+HF91Q==</t>
  </si>
  <si>
    <t>Adolescent Mental Health : Prevention and intervention</t>
  </si>
  <si>
    <t>RJ503 -- .O44 2014eb</t>
  </si>
  <si>
    <t>,144,145,146,142,143,147,148,149,150,151,152,153,154,157,156,158,155,159,160,161,162,163,164,165,166,167</t>
  </si>
  <si>
    <t>,156,157,158,159,160,1,160,161,162,158,159,172,173,169,174,2,169,167,168,175,176,177,178,171,170,155,156,157</t>
  </si>
  <si>
    <t>,1,2,3,19,20,21,17,47,48,49,45,46,89,90,87,88,153,154,155,152</t>
  </si>
  <si>
    <t>,1,2,3,4,23,24,25,21,22,59,60,61,57,58</t>
  </si>
  <si>
    <t>,59</t>
  </si>
  <si>
    <t>,19,20,21,22,23,24,25,26,27,28,29,30,31,32,33,34,35,36,37,38,39,51,52,53,54,55,56,57,58,99,100,101,102,103,104,105,106,107,108,109,110,111,112,113,114,115,116,117,118,119,120,121,122,123,124,125,126,127,128,129,130,131,132,151,152,153,154,155,156,157,158,159,160,161,162,163,164,165,166,167,168,169,170,171,172,173,174,175,176,177,178,179,180,181,182,183,184,185,186,187,188,189,190,191,192,306,307,308,309,310,311,312,313,314,315,316,317,318,319,320,321,322,323,324,325,326,327,328,329,330,331,332,333,334,335,336,337,338,339,340,341,342,343,344,345,346,347,348,349,350,351,352,353,354</t>
  </si>
  <si>
    <t>tqg2s7HA1DY=</t>
  </si>
  <si>
    <t>,23,24,25,21,22,26,27,28,29,30,25,24,23,22,21,20,19,18,17,16,14,15,1</t>
  </si>
  <si>
    <t>ddZDCEU2V8I=</t>
  </si>
  <si>
    <t>Coaching and Mentoring First-Year and Student Teachers</t>
  </si>
  <si>
    <t>LB1731.4 .P63 2013</t>
  </si>
  <si>
    <t>,1,2,3,7,23,24,25,21,22,26,2,26,27,28,29,30,31,32,33,20,18,19,17</t>
  </si>
  <si>
    <t>Assembling Culture</t>
  </si>
  <si>
    <t>,22,23,24,25,26,27,28,29,30,31</t>
  </si>
  <si>
    <t>,1,2,3,4,5,6,7,8,9,10,11,12,13,14,15,19,21,20,22,23,24,25,26,27,28,29,31</t>
  </si>
  <si>
    <t>,1,2,3,6,7,8,4,5,9,32,33,34,30,31,29,28,35,36,37,38,39,12,13,14,10,11,15,16,17,18,19,20,21</t>
  </si>
  <si>
    <t>,1,2,3,5,6,7,4,8</t>
  </si>
  <si>
    <t>,1,2,3,341,342,343,339,336,337,338,334,335,333,332,331,330,329,328,326,327,332,333,334,335,336,337,338,339,340,341,342,343,344,345,346,347,348,349,350,351,352,224,225,226,222,223,305,306,307,303,304,308,309,310,311,312,313,314,315,316,317,318,319,320,321,322,323,324,325,326,327,328,329,330,331,332,333,334,335,336,337,338,339,340,341,342,343,344,345,346,347,233,234,235,231,232</t>
  </si>
  <si>
    <t>The Dialectics of Inquiry Across the Historical Social Sciences</t>
  </si>
  <si>
    <t>,1,2,3,38,40,36,37</t>
  </si>
  <si>
    <t>H61.15 -- .B37 2014eb</t>
  </si>
  <si>
    <t>M4DiRdNGHsnPLeuTuhl1Ow==</t>
  </si>
  <si>
    <t>A Woman's Dilemma : Mercy Otis Warren and the American Revolution</t>
  </si>
  <si>
    <t>History; Literature</t>
  </si>
  <si>
    <t>,1,2,3,4,5,6,7,8,9,10,11,9,12,13,14,15,16,17,18,19,20,21,22,23,24,25,26,27,28,29,30,31,32,33,34,35,36,37,38,39,40,41,42,43,44,45,46,46,47,47,48,48,49,49,50,50,51,51,52,52,53,53,54,54,55,55,56,56,57,57,58,58,59,59,60,60,61,61,59,60,61,57,58,62,62,60,61,62,58,59,63,63,64,64,65,65,66,66,64,65,66,62,63,67,67,65,66,67,63,64,68,68,66,67,68,64,65,69,69,70,70,71,71,72,72,73,73,74,74,75,75,76,76,77,77,78,78,79,79,80,80,81,81,82,82,83,83,84,84,85,85,86,86,87,87,88,88,89,89,90,90,91,91,92,92,93,93,94,94,92,93,94,90,91,89,94,92,93,94,90,91,92,93,94,90,91,95,95,96,96,97,97,98,98,99,99,97,98,99,95,96,100,100,101,101,102,102,195,196,196,197,197,193,194,194,198,198,193,192,191,190,195,196,191,196,197,198,199,199,200,200,201,201,202,202,203,203,204,204,205,205,206,206,207,207,208,208,209,209,210,210,211,211,212,212,213,213,208,17,18,19,15,16,99,100,101,97,98,9,99,100,101,97,98,102,103,103,101,102,103,99,100,101,102,103,99,100,104,104,102,103,104,100,101,102,103,104,100,101,105,105,103,104,105,101,102,106,106,104,105,106,102,103,104,105,106,102,103,104,105,106,102,103,107,107,105,106,107,103,104,105,106,107,103,104,108,108,109,109,104,109,107,108,109,105,106,107,108,109,105,106,107,108,109,105,106,110,110,108,109,110,106,107,111,111,109,110,111,107,108,112,112,113,113,111,112,113,109,110,111,112,113,109,110,114,114,115,115,116,116,117,117,118,118,119,119,120,120,121,121,122,122,123,123,124,124,125,125,126,126,127,127,128,128,129,129,130,130,131,131,126,131,132,132,133,133,131,132,133,129,130,128,133,134,134,135,135,136,136,137,137,138,138,139,139,140,140,141,141,142,142,143,143,144,144,145,145,146,146,147,147,142,147,148,148,149,149,150,150,151,151,152,152,153,153,154,154,155,155,156,156,157,157,158,158,159,159,160,160,161,161,162,162,163,163,164,164,165,165,166,166,161,166,167,167,168,168,169,169,170,170,171,171,169,170,171,167,168,172,172,172,173,173,174,174,175,175,176,176,177,177,178,178,179,179,180,180,181,181,182,182,183,183,184,184,185,185,186,186,187,187,188,188,189,189,190,191,192,193,191,192,193,189,190,194,195,196,197,198,196,197,198,195,196,197,193,194,198,199,200,195,193,192,191,189,190,1,2,3</t>
  </si>
  <si>
    <t>PS858.W8</t>
  </si>
  <si>
    <t>hIRoW6PlMkRqOtGI0Zq2yQ==</t>
  </si>
  <si>
    <t>The Aztecs</t>
  </si>
  <si>
    <t>,1,2,3,4,5,3,9,12,23,24,25</t>
  </si>
  <si>
    <t>F1219.73 .S58 2013</t>
  </si>
  <si>
    <t>o101stZE7LcBIF94aJQLUw==</t>
  </si>
  <si>
    <t>,1,2,3,4,5,6,8,7,9,10,11,12,13,14,15,18,19,20,21,23,24,26,27,28,34,35,87,88,89,86,85</t>
  </si>
  <si>
    <t>Manual of Minor Oral Surgery for the General Dentist</t>
  </si>
  <si>
    <t>RK529</t>
  </si>
  <si>
    <t>,1,2,3,4,1,15,15,16,13,17,14,51,54,57,58,59,60,62</t>
  </si>
  <si>
    <t>,16,17,18,19,20,21</t>
  </si>
  <si>
    <t>n3ie3hI+o4CFunNr8if9lw==</t>
  </si>
  <si>
    <t>Friendship in Medieval Iberia : Historical, Legal and Literary Perspectives</t>
  </si>
  <si>
    <t>,1,2,3,139,140,141,137,138,142,143,144,145,146,147</t>
  </si>
  <si>
    <t>BJ1533.F8 -- .S37 2014eb</t>
  </si>
  <si>
    <t>177/.620941</t>
  </si>
  <si>
    <t>,1,2,3,4,5,6,7,8,9,10,11,12,13,14,15</t>
  </si>
  <si>
    <t>DsCouOKg+O0grLLRgtPwaw==</t>
  </si>
  <si>
    <t>Preaching Bondage : John Chrysostom and the Discourse of Slavery in Early Christianity</t>
  </si>
  <si>
    <t>,97,98,99,95,96,336,337,338,334,335,339,340,329,324,13,16,18,14,15,60,61,62,58,59</t>
  </si>
  <si>
    <t>BR65.C46 D4 2015</t>
  </si>
  <si>
    <t>241/.67509015</t>
  </si>
  <si>
    <t>,1,2,3,4,5,6,7,2,8,14,43,106,107,108,109,105,120,121,122,118,123,119,124,125,126,127,128,129,130,131,132,133,134,135,136,137,138,139,140,141,142,143,144,145,146,147,148,149,150,151,152,153,154,155,156,157,158,159,160,161,162,163,164,165,166,167,168,169,170,171,172,173,174,175,176,166,127,46,6,33,1,2,3,4,5,7,8,9,10,11,12,13,14,19,76,77,78,74,75,79,80,73,72,71,81,82,83,84,85,86,17</t>
  </si>
  <si>
    <t>,51,52,51,52,53,50,49,50,53,54,54,55,55,37,38,37,39,38,39,35,36,36,34</t>
  </si>
  <si>
    <t>,39,38,36,37,396,397,398,394,395,3,4,5,1,2,23,24,25,21,22,396,397,398,394,395</t>
  </si>
  <si>
    <t>,1,2,3,3,2,1,25,26,25,26,23,27,24,27,24,2</t>
  </si>
  <si>
    <t>,1,2,3,41,42,43,39,40,44,38,37,36,42,43,44</t>
  </si>
  <si>
    <t>Q9jtc0WL32c=</t>
  </si>
  <si>
    <t>A History of Modernist Literature</t>
  </si>
  <si>
    <t>,1,2,2,3,3,1,2,2,4,4,5,5,160,161,162,162,160,158,161,159,159,321,321,322,322,323,323,319,320,320,324,324,325,325,326,326,327,327,328,328</t>
  </si>
  <si>
    <t>PR478.M6 -- .G375 2015eb</t>
  </si>
  <si>
    <t>820.9/112</t>
  </si>
  <si>
    <t>CgF4seSY83HUQb1f8PhhDw==</t>
  </si>
  <si>
    <t>The Social Lives of Forests : Past, Present, and Future of Woodland Resurgence</t>
  </si>
  <si>
    <t>Agriculture; Science; Science: Biology/Natural History</t>
  </si>
  <si>
    <t>,188,189,190,191,192,193,194,195,196,197,198,199,200,201,202,203,204</t>
  </si>
  <si>
    <t>SD387</t>
  </si>
  <si>
    <t>,1,2,3,490,491,492,489,493,488,494,176,177,178,174,175,179,180,163,164,165,161,162,158,159,160,156,157,188,189,190,186,187</t>
  </si>
  <si>
    <t>Reproducing the British Caribbean : Sex, Gender, and Population Politics after Slavery</t>
  </si>
  <si>
    <t>,1,2,3,240,241,242,243,244,245,246</t>
  </si>
  <si>
    <t>HC155.5.A5 -- .D43 2014eb</t>
  </si>
  <si>
    <t>304.6/320972909171241</t>
  </si>
  <si>
    <t>,119,120,121,122,121,122,121,120,121,122,123,124,125,126,127,128,129,130,131,132,133,148,149,150,151,152,153,154,156,156,156,157,158,159,160,161,162,163,164,165,166,167,168,169,170,171,172,175,176,177,178</t>
  </si>
  <si>
    <t>,1,2,3,116,117,118,114,115,116,314,116,117,118,146,117,118,118,117,117,118,118</t>
  </si>
  <si>
    <t>X/feo4Bv822suWj3DcF62Q==</t>
  </si>
  <si>
    <t>Sociologist and the Historian</t>
  </si>
  <si>
    <t>,36,37,38,34,35</t>
  </si>
  <si>
    <t>,7,36</t>
  </si>
  <si>
    <t>,60,61,62,63,64,65,66,67,68,69,70,71,72,73,74,75,76,77,78,79,80,81,82,83,84,85,86,87,88,89,90</t>
  </si>
  <si>
    <t>HM479.B68 A513 2015</t>
  </si>
  <si>
    <t>,1,2,3,7,8,9,5,6,75,76,77,73,74,78,79,80,60,61,62,58,59,4,63,4,25,26,27,23,24,28,107,105,106,91,92,75,76</t>
  </si>
  <si>
    <t>Art &amp; Science of Technical Analysis : Market Structure, Price Action &amp; Trading Strategies</t>
  </si>
  <si>
    <t>HG4529 -- .G75 2012eb</t>
  </si>
  <si>
    <t>332.63/2042</t>
  </si>
  <si>
    <t>PL6grnNInrY=</t>
  </si>
  <si>
    <t>The Archaeology of Iberia : The Dynamics of Change</t>
  </si>
  <si>
    <t>,1,38,39,40,36,37,2</t>
  </si>
  <si>
    <t>DP44.A694</t>
  </si>
  <si>
    <t>9ODaouYFGUmmnuWs2mipow==</t>
  </si>
  <si>
    <t>,1,2,3,143,144,145,141,142,146,147,148,149,150,151,152,153,154,155,156,157,158</t>
  </si>
  <si>
    <t>IUKwwY1X3HB4BAopOTlsHw==</t>
  </si>
  <si>
    <t>Android Game Programming For Dummies</t>
  </si>
  <si>
    <t>,21,21,24,22,22,25,26,24,25,26,22,23</t>
  </si>
  <si>
    <t>,21,21</t>
  </si>
  <si>
    <t>QA76.76.C672 -- J36 2013eb</t>
  </si>
  <si>
    <t>794.81526; 794.815268</t>
  </si>
  <si>
    <t>,1,2,3,4,5,6,7,8,9,10,13,14,15,11,12,46,44,43,45,41,42,43</t>
  </si>
  <si>
    <t>WOkZelQZX4MSkofcHdZvWw==</t>
  </si>
  <si>
    <t>Anarchy, State, and Utopia : An Advanced Guide</t>
  </si>
  <si>
    <t>,1,2,3,4,5,6,7,8,11,12,13,9,10,14,15</t>
  </si>
  <si>
    <t>xsE7S+Mp5lk=</t>
  </si>
  <si>
    <t>Arts-Based Research in Education : Foundations for Practice</t>
  </si>
  <si>
    <t>,156,157,158,155</t>
  </si>
  <si>
    <t>,155</t>
  </si>
  <si>
    <t>,1,2,3,4,5,6,7,8,9,10,35,36,37,34,33,38,70,71,72,68,70,74,88,91,94,97,98,144,122,139,141,140,22,20</t>
  </si>
  <si>
    <t>,49</t>
  </si>
  <si>
    <t>,65</t>
  </si>
  <si>
    <t>,1,2,3,62,63,64,60,61</t>
  </si>
  <si>
    <t>,1,2,3,35,36,37,33,34,46,47,48,44,45,46,47,48,44,45,46,47,48,44,45</t>
  </si>
  <si>
    <t>,1,2,3,263,264,265,261,262,266,267,268,249,260,258,259,257,247,248,245,246,252,253,254,251,250,274,275,271,272,273,269,270,276</t>
  </si>
  <si>
    <t>,1,2,3,247,248,249,245,246,271,272,273,269,270,255,256,257,253,254,258,259,257,258,259,255,256,260,261,247,248,249,245,246,250,251,252,253,254,262</t>
  </si>
  <si>
    <t>,1,2,3,252,253,254,250,251,274,275,276,272,273,271,269,270,278,277,279,280</t>
  </si>
  <si>
    <t>vW6UBZPfHPQ=</t>
  </si>
  <si>
    <t>,528</t>
  </si>
  <si>
    <t>,1,3,2,527,528,529,526,525,530</t>
  </si>
  <si>
    <t>UHmVoZ7GBXK+VJ5aY8Fbjg==</t>
  </si>
  <si>
    <t>Clothing : A Global History</t>
  </si>
  <si>
    <t>,1,2,3,2,3,1,2,2,4,4,5,5,6,6,7,7,8,8,9,9,10,10,11,11,12,13,12,13,14,14,15,15,16,17,16,18,19,17,18,19,22,23,22,24,23,20,24,21,21</t>
  </si>
  <si>
    <t>GT525 -- .R67 2008eb</t>
  </si>
  <si>
    <t>0tjTYeJtZcrw2jKyk5zmyg==</t>
  </si>
  <si>
    <t>Later Derrida : Reading the Recent Work</t>
  </si>
  <si>
    <t>B2430.D484 -- .R37 2011eb</t>
  </si>
  <si>
    <t>,1,2,1,3,2,3,2,2,252,252,253,253,255,256,255,254,256,257,254,257,258,258,259,259,260,260,261,261,266,266,267,267,268,268,264,265,265,255,256,257,253,254,252,250,251,251,252,253,252,253,254,254,250,251,251,252,253,252,254,253,250,251,254,251,252,252,253,253,254,254,250,251,251,255,255,256,256,251,250,255,256,257,258,259</t>
  </si>
  <si>
    <t>,1,2,3,46,47,48,44,45</t>
  </si>
  <si>
    <t>,1,2,1,3,3,2,37,37,39,38,38,35,39,40,40,41,41,2,42,42,33,33,34,34,35,32,31,32,37,39,40,41,38,46,46,47,47,48,48,44,45,45,49,49,50,50,51,51,62,62,64,64,60,63,61,61,63</t>
  </si>
  <si>
    <t>94OAYKfSFXKLLCuNMnjNSg==</t>
  </si>
  <si>
    <t>Modernism</t>
  </si>
  <si>
    <t>NX456.5.M64 -- W35 2013eb</t>
  </si>
  <si>
    <t>,1,2,3,4,5,6,7,8,9,10,11,12,13,14,15,16,17,18,19,20,21,22,23,24,25,26,27,28,29,30,31,32,33,34,35,36</t>
  </si>
  <si>
    <t>,1,2,3,260,261,262,258,252,253,241,242,243,239,240,237,238,244,245,246,247,248,249,250,251,252,253,254,255,256,257,258,259,260,261,262,263,264,265,259,257,254,251,266,267,268,264,265,278,279,280,276,277,269,270,271,272</t>
  </si>
  <si>
    <t>,1,2,3,43,44,45,41,42,139,140,141,137,138,142,143,144,145,146,147,140,139,138,204,205,206,202,203,201,207,208,231,232,215,216,217,213,214,202,208,209,210,211,212,213,217,218,219,216,220,221,222,223,224,225,226,227,228,229,230,231,232,233,234,235,236,237,238,239,240,229,227,212,213,214,227,229,238,239,240,241,242,243,137,138</t>
  </si>
  <si>
    <t>,1,2,3,4,5,30,31,32,29,28,33,34,35,36,37,38,39,40,41,42,43,44</t>
  </si>
  <si>
    <t>UawMLMSgDG4jSlsXfZhWEg==</t>
  </si>
  <si>
    <t>Food Industry Design, Technology and Innovation</t>
  </si>
  <si>
    <t>Engineering; Engineering: Chemical</t>
  </si>
  <si>
    <t>,1,2,1,2,3,3</t>
  </si>
  <si>
    <t>TP374 -- .T73 2015eb</t>
  </si>
  <si>
    <t>664/.09</t>
  </si>
  <si>
    <t>,24,22,33,28,27,33,34,26,28,24,25,29,30,31,32,33,34,35,36,37,38,33,38,39,40,41,42,43,44,45,46,47,48,49,50,51,52,53,54,55,56,57,58,59,60,61</t>
  </si>
  <si>
    <t>,1,2,3,23,24,25,21,22,26,2,27,28,29,30,31,26,31,32,27,26,31,32</t>
  </si>
  <si>
    <t>,1,2,3,69,70,71,67,68,72,73,74,75,76,77,78,79,80,81,82,83,84,85,86,87,88,89,90,91,92,93,95,98,99,100,96,97,94,93,92,91,90,85,84,83,81,80,78,79,77,76,75,74,73,79,80,81,139,140,141,133,134,135,131,132,136,137,138,139,140,141,142,143,144,145,146,147,149,150,151,152,148,153,154,155,156,157,158,159,160,161,162,163,164,165,166,167,168,167,168,169,170,171,172,173,174,175,176,177,178,179,180,181,182,183,184,185,186,187,188,189,190,191,193,195,197,198,199,200,201,202,205,206,207,203,204,121,122,123,119,120,141,141,142</t>
  </si>
  <si>
    <t>,84,135,136,137,133,134,138,139,39,40,41,37,38,42,43,139,140,141,137,138,142,143,144,145,146,147</t>
  </si>
  <si>
    <t>,1,2,3,12,13,14,10,11,252,253,254,250,251,255,256,257,258,259,12,13,14,10,11,15,16,17,18,19,20,21,22,23,24,25,26,27,28,29,30,31,32,33,254,250,251,122,123,124,120,121,109,110,111,105,106,107,103,104,1,2,3,79,80,81,77,78,82,83</t>
  </si>
  <si>
    <t>QVDtXP5+38o=</t>
  </si>
  <si>
    <t>On Tyranny : Corrected and Expanded Edition, Including the Strauss-Kojève Correspondence</t>
  </si>
  <si>
    <t>Literature; Political Science</t>
  </si>
  <si>
    <t>,177,178</t>
  </si>
  <si>
    <t>PA4494.H6 -- S8 2013eb</t>
  </si>
  <si>
    <t>,1,2,3,168,169,170,166,167,171,172,173,174,175,176</t>
  </si>
  <si>
    <t>fIC1wNzSkf5vripEQyx6sg==</t>
  </si>
  <si>
    <t>Multiple Sclerosis and CNS Inflammatory Disorders</t>
  </si>
  <si>
    <t>,169,120,121,26,25</t>
  </si>
  <si>
    <t>RC377 -- .M858 2014eb</t>
  </si>
  <si>
    <t>616.8/34</t>
  </si>
  <si>
    <t>,1,2,3,6,1</t>
  </si>
  <si>
    <t>,1,2,3,65,66,67,68,69,70,71,72,73,74,75,76,77,80,81,82,83,79,84,85,86,87,88,89,90,91,92,93,94,95,96,98,97,99,100,101,102,103,104,105,106,107,108,109,78</t>
  </si>
  <si>
    <t>,1,3,2,69,70,71,67,55,56,57,54,53,58,59,60,61,62,63,64,65,66,68,70</t>
  </si>
  <si>
    <t>riEpvH7SNQs=</t>
  </si>
  <si>
    <t>Make Better Decisions More Often: 30 Minute Reads</t>
  </si>
  <si>
    <t>,1,3,2,5,6,7,4,8,9,10</t>
  </si>
  <si>
    <t>HD30.23</t>
  </si>
  <si>
    <t>658.4; 658.4038028557</t>
  </si>
  <si>
    <t>,131,133,132,130,129,134,135,203,204,205,201,206,202,207,208,209,210,211,212,215,216,217,218,220,219,246,247,260,261,262,258,259,263,264,265,266,267,268,269,270,271,272,273,310,331,153,87,55,56,57,54,53,170,171,172,168,169,173,136,137,138,139,140,141,142,143,144,145,146,147,148,149,150,151,152,154,155,156,157,158,160,159,161,162,163,164,165,166,167,174,175,176,177,178,179,180,181,182,183,184,185,186,187,188,189,190,191,192,193,194,195,196,197,198,199,200,213,214,221,222,223</t>
  </si>
  <si>
    <t>,1,2,3,3,2,1,1,2,2,3,3</t>
  </si>
  <si>
    <t>jNHD1tdAA7PehG78UvySrw==</t>
  </si>
  <si>
    <t>Moral Blindness : The Loss of Sensitivity in Liquid Modernity</t>
  </si>
  <si>
    <t>Religion; Philosophy</t>
  </si>
  <si>
    <t>,1,2,3,102,103,104,100,101</t>
  </si>
  <si>
    <t>BL1138.26</t>
  </si>
  <si>
    <t>Teach Yourself VISUALLY PowerPoint 2016</t>
  </si>
  <si>
    <t>,1,2,3,2,3,1</t>
  </si>
  <si>
    <t>rD5UdEdiuJYAh4Jr0qJSWQ==</t>
  </si>
  <si>
    <t>,78,79,80,88,89,90,86,87,121,122,123,119,120,124,125,126,127,227,228,229,225,226,230,231,232,1,232,233,234,230,231,2,427,428,429,425,426,430,431,432,433,434,435,436,437,438,439,440,441,442</t>
  </si>
  <si>
    <t>,1,2,3,37,38,39,35,36,40,41,75,76,77,73,74</t>
  </si>
  <si>
    <t>,1,2,3,22,23,24,20,21,25,26,27,28,29,30,31,1,31,32,33,30,29,2,34,35,1,35,36,37,33,34,2,38,39,31,32</t>
  </si>
  <si>
    <t>,1,2,3,169,170,171,167,168,172,173,174,175,176,177,2,189,190,191,187,192,188,193,194,195,203,204,205,201,202,206,241,242,243,239,240,244,245,246,247,248,249,250,251,252,253,254,255,263,264,265,261,262,266,354,355,356,352,353,357,358,359,360,361,362,363,364,365,366,369,368,370,367,371,372,373,375,376,379,380,337,142,128,129,130,204,205,206,202,203,107,108,109,110,111,121,122,123,124,125,126,127,121,120,118,119,128,129,130,65,66,67,63,64,68,69,130,131,132,133</t>
  </si>
  <si>
    <t>slLkq9sEtdoWINHyTXCqsQ==</t>
  </si>
  <si>
    <t>Women in the Middle East and North Africa : Agents of Change</t>
  </si>
  <si>
    <t>,1,2,3,120,121,122,118,119,123,124,125,126,127,128,129,130,131,132,133,134,135,136,137,138,139,140,141,142,143,144,145,146,147,148,149,150,151,152,153,154,155,156,157,158,159,160,162,161,163,164,165,166,167,168,169,170,171,172,173,174,175,176,1,176,177,178,174,175,179,2,180,181,182,183,184,185,186,187,188,189,190,191,192,193,194,195,196,197,198,199,200,201,202,203,204,205,206,230,231,232,229,228,227,233,247,248,249,245,246,250,263,264,265,261,262,266,267,268,269,270,271,272,273,274,275,276</t>
  </si>
  <si>
    <t>HQ1115 -- .W59 2011eb</t>
  </si>
  <si>
    <t>,1,449,450,451,447,448,2,463,464,465,461,462</t>
  </si>
  <si>
    <t>,450,451,452,453,454,455,456,457,458,459,460,461,462,463</t>
  </si>
  <si>
    <t>,1,2,3,4,118,119,120,121,123,122,116,117,124,125,126</t>
  </si>
  <si>
    <t>,1,2,1,2,3,3,2,2</t>
  </si>
  <si>
    <t>,117,118,119,120,121,122,123,124,122,126,127,128,124,125,113</t>
  </si>
  <si>
    <t>,1,2,3,112,113,114,110,111,115,116</t>
  </si>
  <si>
    <t>,1,2,3,9</t>
  </si>
  <si>
    <t>,6</t>
  </si>
  <si>
    <t>,1,2,3,35,36,37,33,34,38,39,40,41,42,43,44,45,46,47,48,49,50,51,52,53,54,55,56,57,58,59,60,61,62,63,49,63,64,65,62,286,287,288,284,289,290,291,64,65,61,66,62,67,68,69,70,71,72,73,74,75,76,77,78,79,80,81,82,83,84,85,86,87,88,89,90,91,92,93,94,95,96,97,98,99,100,101,102,103,104,105,106,107,108,109,110,111,112,113,114,115,116,117,118,119,120,287,290,293,294,295,291,296,292,297,299,300,302,303,304,301,118,119,120,117</t>
  </si>
  <si>
    <t>GXyQcB6A6xYysnhA8KhXXw==</t>
  </si>
  <si>
    <t>Marketing with Social Media : 10 Easy Steps to Success for Business</t>
  </si>
  <si>
    <t>,7,8,9,10,30,31,32,28,29,33,34,35,36,37,38,39,40,41,42,43,44,45,46,47,48,49,50,51,19,20,21,17,18,22,23,24,25,26,27</t>
  </si>
  <si>
    <t>HM742 -- .C654 2015eb</t>
  </si>
  <si>
    <t>nZLXac4MuWk=</t>
  </si>
  <si>
    <t>Principles Of Biopsychology</t>
  </si>
  <si>
    <t>,11,12,13,9,10,7,8,48,49,46,47,32,33,34,30,31</t>
  </si>
  <si>
    <t>QP360 -- .G733 1994eb</t>
  </si>
  <si>
    <t>,1,2,3,4,5,6,7,8,9,11,10,12,13,1</t>
  </si>
  <si>
    <t>,19,20,21,22,23,24,25,26,27,28,29,30,31,32,33,34,35</t>
  </si>
  <si>
    <t>,1,2,3,8,9,10,6,7,11,12,13,14,16,17,18,15</t>
  </si>
  <si>
    <t>,1,2,3,8,9,10,6,7,11,12,16,17,18,14,15</t>
  </si>
  <si>
    <t>dPMf/MC62aBmiFXPCbvl5Q==</t>
  </si>
  <si>
    <t>The Wiley Blackwell Companion to Political Geography</t>
  </si>
  <si>
    <t>,1,2,3,663,664,661,662,704,705,706,736,737,738,734,735,733,731,732,730,728,729,727,726,725,724,723,721,722,720,719,717,718,716,715,714,713,711,712,709,710,708,707,43,44,45,41,42,63,64,65,61,62</t>
  </si>
  <si>
    <t>JC319 -- .W554 2015eb</t>
  </si>
  <si>
    <t>320.1/2</t>
  </si>
  <si>
    <t>,1,2,3,4,5,6,7,143,144,145,141,142,33,34,35,31,32,37,38,39,36,49,50,51,52,53,55,56,57,54,58,59,60,61,62,63,64,65</t>
  </si>
  <si>
    <t>,454,455,456,453,451,469,469,470,467,471,470,471,460,458,460,459,456,459,457,455,454,453,452,451,456,451,456,457,457,1,459,455,458,457,458,459,456,456,1,1,2,2,3,3,2,2,1,2,2,4,3,3,4,1,1,4,6,4,2,5,6,3,5,3,3,1,3,5,2,5,2,4,4,4,1,5,4,6,5,2,6,3,3,3,1,1,4,1,3,5,4,3,2,4,5,5,3,2,2,4,5,2,1,1,2,2,3,3,1,2,2,1,2,3,2,4,3,4,1,1,2,2,3,3,1,3,2,3,4,2,2,5,2,4,5,1,5,5,6,4,6,4,3,7,7,7,1,7,9,8,5,9,8,6,1,6,1,2,2,2,2</t>
  </si>
  <si>
    <t>,1,449,449,450,450,451,447,451,448,448,1,2,2,456,456,457,458,457,458,455,455,454,453,452,451,450,449,448,447,446,451,458,455,448,451,452,453,449,450,448</t>
  </si>
  <si>
    <t>zNi2+jME4m/6RkcRtXsb4Q==</t>
  </si>
  <si>
    <t>Essential Haematology</t>
  </si>
  <si>
    <t>,21,22,23,24,25,26</t>
  </si>
  <si>
    <t>RB145</t>
  </si>
  <si>
    <t>616.1/5; 616.15</t>
  </si>
  <si>
    <t>,1,2,3,4,6,7,8,9,10,11,12,13,14,15,16,17,18,19,20</t>
  </si>
  <si>
    <t>,126,127,128,129,130</t>
  </si>
  <si>
    <t>,1,2,3,4,5,6,7,8,9,10,11,12,13,107,108,109,105,121,122,123,119,120,124,125</t>
  </si>
  <si>
    <t>7rgcd98GX1cNAZS1yR3K+A==</t>
  </si>
  <si>
    <t>Millionaire Dropout : Fire Your Boss. Do What You Love. Reclaim Your Life!</t>
  </si>
  <si>
    <t>Psychology; Business/Management</t>
  </si>
  <si>
    <t>BF637.S8 -- .S687 2013eb</t>
  </si>
  <si>
    <t>J0OHPd+fz8jnbA3fxkDw+Q==</t>
  </si>
  <si>
    <t>The 1848 Revolutions</t>
  </si>
  <si>
    <t>,1,2,3,77,78,79,75,76,80,81,82,83,84,85,76,77,78,75,74</t>
  </si>
  <si>
    <t>D387.J66 1</t>
  </si>
  <si>
    <t>,1,243,244,243,245,244,241,245,242,242,1,2,2,246,247,248,246,247,249,248,249,252,254,252,256,255,256,254,257,255,258,257,259,258,259,262,263,262,264,263,264,267,268,269,270,267,269,271,270,272,273,272,274,268,271,274,273,269,268,266,267,265,264,263,261,262,261,260,257,258,255,256,254,259,253,251,252,250,249,247,253,248,246,245,244,243,242,241,267,268,269,265,266,270,273,278,278,279,280,279,280,283,283,284,285,284,281,285,282,282,286,286,287,288,287,289,288,289,290,290,291,292,291,292,293,293,294,294,295,295,296,297,296,297,320,320,350,350,351,352,351,352,348,349,349,346,347,347,331,331,332,333,332,330,329,330,333,342,342,343,344,343,344,340,341,341,339,338,343,344,345,345,346,347,348,349,295,296,297,293,294,401,402,401,403,402,399,403,400,400,398,397,395,396,394,393,392,390,391,389,412,413,412,413,414,410,414,411,411,415,415,449,450,449,451,450,451,447,448,448,472,473,472,474,473,474,470,471,471,475,475,1,475,476,477,475,477,473,476,474,474,1,1,3,3,2,2,1,2,2,1,2,2,3,3,4,4,1,1,2,2,3,3,1,3,3,4,4,2,2,5,1,5,2,2,1,2,2,3,3,4,4,1,2,2,1,2,2,3,3,4,4</t>
  </si>
  <si>
    <t>,243,244,245,246,247,248,249,250,251,252,253,254,255,256,257,258,259,260,261,262,263,264,265,266,267,268,269,270,271,272,273,274,275,276,277,278,279,280,281,282,283,284,285,286,287,288,289,290,291,292,293,295,296,297,298,299,300,301,302,303,304,305,306,307,308,309,310,311,312,313,314,315,316,317,318,319,320,321,322,323,324,325,326,327,328,329,330,331,332,333,334,335,336,337,338,339,340,341,342,343,344,345,346,347,391,392,393,394,395,396,397,398,399,400,401,402,403,404,405,406,407,408,409,410,411,412,413</t>
  </si>
  <si>
    <t>,1,243,244,245,241,242,2,246</t>
  </si>
  <si>
    <t>,1,2,3,73,74,75,71,72,76,77,78,79,80,81,82,83,84,85,105,106,107,103,104,108,109,110,111</t>
  </si>
  <si>
    <t>,76,77,78,79,80</t>
  </si>
  <si>
    <t>,1,2,3,73,74,75,71,72,36,37,38,34,35</t>
  </si>
  <si>
    <t>,10,1,11,12,8,9</t>
  </si>
  <si>
    <t>,1,2,3,21,22,23,19,20,17,18,16,15,13,14,12,11,10</t>
  </si>
  <si>
    <t>,1,2,3,96,97,98,94,95,99,100,101,102</t>
  </si>
  <si>
    <t>,1,202,203,202,203,200,201,204,201,204,1,216,212,216,212,207,202,2,2,207,216,217,218,217,218,215,214,215,213,212,211,210,209,208,207,212,213,214,215,216,217,218,220,221,222,221,222,219,220,223,223,224,225,226,225,227,226,224,227,228,228,229,229,230,231,230,231,232,232,233,233,234,234,235,235,236,236,237,238,237,239,238,239,240,240,241,241,242,243,242,243,244,244,245,245</t>
  </si>
  <si>
    <t>,209,210,211,212,213,214,215,216,217,218,219,220,221,222,223,224,225,226,227,228,229,230,231,232,233,234,235,236,237,238,239,240,241,242</t>
  </si>
  <si>
    <t>,1,23,24,25,24,23,25,22,21,22,1,2,2,26,27,26,28,27,28,34,35,34,35,33,32,33,36,36,53,54,55,54,53,55,52,52,51,56,57,56,57,177,178,179,178,177,175,179,176,176,197,197,201,201,202,203,199,202,204,203,204,206,206,216,216,217,218,217,214,218,215,215,205,205,206,207,203,204,207,208,208,209,209,210,210,205,204,203,202,201,200,198,199,200,197,198,196,195,196,193,194,195,192,191,190,189,188,187,185,186,185,184,183,182,181,180,179,178,177,176</t>
  </si>
  <si>
    <t>,178,179,180,181,182,183,184,185,186,187,188,189,190,191,192,193,194,195,196,197,198,199,200,201,202,203,204,205,206,207,208</t>
  </si>
  <si>
    <t>,23,1,24,25,21,24,25,22,23,22,1,26,2,2,27,28,27,28,26,29,29,30,30,31,32,31,32,35,35,36,37,36,37,34,33,34,38,39,38,39,40,41,40,41,42,42,43,43,44,44,45,45,46,46,47,47,48,49,48,49,50,50,51,52,52,51,53,53,54,54</t>
  </si>
  <si>
    <t>,27,28,29,30,31,32,33,34,35,36,37,38,39,40,41,42,43,44,45,46,47,48,49,50,51,52</t>
  </si>
  <si>
    <t>,1,24,25,24,23,25,21,23,22,22,1,2,2,26,26,27,27,28,29,28,29,30,30,31,32,31,32,33,34,33,34,35,36,35,36,27,26,18,18,19,20,19,20,16,17,17,21,22,23,24,25,26,27,21,29,38,35,38,36,37,33,37,29,31,27,24,25,26,22,23,27,28,29,24,22,23,12,12,13,14,13,14,10,11,11,15,17,15,18,19,16,20,21,22,27,28,29,25,26,24,22,23,21,26,27,28,23</t>
  </si>
  <si>
    <t>,25</t>
  </si>
  <si>
    <t>,26,26</t>
  </si>
  <si>
    <t>,1,13,14,13,15,14,11,15,12,12,1,2,2,17,17,40,40,41,42,41,42,38,39,39,29,29,30,31,30,31,27,28,28,26,21,21,22,22,23,19,23,20,20,24,24,19,10,14,10,21,22,23,20,24,25,25,26,27,28</t>
  </si>
  <si>
    <t>wg9OXBxMnHkqEvuX/ymrcw==</t>
  </si>
  <si>
    <t>Art of Value Investing : How the World's Best Investors Beat the Market</t>
  </si>
  <si>
    <t>,4,5,6,7,8,9,10,11,12,13</t>
  </si>
  <si>
    <t>HG4521 -- .H495 2013eb</t>
  </si>
  <si>
    <t>,1,2,3,111,112,108,109,110,111,112,111,112,113,107,108,109,110,109,108,107,108</t>
  </si>
  <si>
    <t>xz+LYNMZd/4=</t>
  </si>
  <si>
    <t>,21,22,23,24,25,26,27</t>
  </si>
  <si>
    <t>,1,2,3,4,5,6,16,17,18,14,15,19,20</t>
  </si>
  <si>
    <t>TwDBSviZr17UiAYgqXUJZw==</t>
  </si>
  <si>
    <t>Gay and Lesbian Youth</t>
  </si>
  <si>
    <t>,1,2,3,20,21,22,18,19,23</t>
  </si>
  <si>
    <t>HQ76.25.G3</t>
  </si>
  <si>
    <t>H3paz7ssYT1SgS/RxtsVmg==</t>
  </si>
  <si>
    <t>Encyclopedia of Pseudoscience : From Alien Abductions to Zone Therapy</t>
  </si>
  <si>
    <t>Science; General Works/Reference</t>
  </si>
  <si>
    <t>,1,2,3,4,5,6,7,8,9,10,11,12,13,14,15,16,17,18,19,20,21,22,23,24,25,28,29,30,26,27</t>
  </si>
  <si>
    <t>Q172.5.P77 E57 2013</t>
  </si>
  <si>
    <t>Building Intimate Relationships : Bridging Treatment, Education, and Enrichment Through the PAIRS Program</t>
  </si>
  <si>
    <t>Social Science; Medicine</t>
  </si>
  <si>
    <t>,1,2,3,4,5,194,195,196,192,193,2,197,198,199,200,201</t>
  </si>
  <si>
    <t>HQ10 -- .B84 2003eb</t>
  </si>
  <si>
    <t>,1,2,3,91,92,93,89,90,95,96,96,94,97,98,91,96,91,93,90,92,91,92,93,94,95,96,97,96,97,98,99,100,101,102,103,104,105,106,107,107,107,108,109,110,111,112,113,114,115,116,117</t>
  </si>
  <si>
    <t>,1,2,3,91,92,93,89,90,88,94,95,96,97,98,100,101,102,103,104,105,106,98,99,97,96,95,94,93,94,88,92,93,94,90,91,95,92,93,90,91,95,96,97,98,99,100,101,102,103,104,105,106,107,108,109,110,111,112,113,114,115,116,117,118,119,120,122,123,132,133,134,130,131,135,75,13,30,31,32,29,28,27,19,20,21,18,17,22</t>
  </si>
  <si>
    <t>,318,319,320,321,322,323,324,325,326,327,328,329,330,331,332,333,334,335,336,337,338,339,339,340,341,342,343,344,345,346,347,348,349,350,351,352,353,354,355,356,357,358,359,360</t>
  </si>
  <si>
    <t>,1,2,3,315,316,317,313,314</t>
  </si>
  <si>
    <t>The Dilemmas of Intimacy : Conceptualization, Assessment, and Treatment</t>
  </si>
  <si>
    <t>,75,76,71,76,77,78,79,80,75,80,81,82,82,83,78,84,85,86,87,88,89,90,91,92,93,111,112,113,109,110,114,115</t>
  </si>
  <si>
    <t>BF575.I5 -- .P727 2014eb</t>
  </si>
  <si>
    <t>,1,2,3,4,70,71,72,68,69,2,73,74,75</t>
  </si>
  <si>
    <t>bNr/IvcOnQs=</t>
  </si>
  <si>
    <t>Climate Wars : What People Will Be Killed For in the 21st Century</t>
  </si>
  <si>
    <t>Science; Science: Physics; Environmental Studies</t>
  </si>
  <si>
    <t>,100,96,97,101,102,103,104,105,106</t>
  </si>
  <si>
    <t>QC981.8.C5 W4513 2015</t>
  </si>
  <si>
    <t>363.738/746</t>
  </si>
  <si>
    <t>Clinician's Guide to Bipolar Disorder : Integrating Pharmacology and Psychotherapy</t>
  </si>
  <si>
    <t>,1,2,3,103,104,105,101,102,106,107,107,108</t>
  </si>
  <si>
    <t>RC516 -- .M555 2014eb</t>
  </si>
  <si>
    <t>,1,43,44,45,41,42,46,47,48,2,61,62,63,59,60,64,65,98,99</t>
  </si>
  <si>
    <t>The Psychology of Reading</t>
  </si>
  <si>
    <t>Language/Linguistics; Psychology</t>
  </si>
  <si>
    <t>,459,460,461,462,457,462,463,458,463,458,463,464,465,466,468,469,470,467,471,472,473,474,475,476,477</t>
  </si>
  <si>
    <t>BF456.R2 -- R39 1989eb</t>
  </si>
  <si>
    <t>,1,2,3,455,456,457,454,453,458</t>
  </si>
  <si>
    <t>,1,2,3,455,457,453,454,458,459,454,459,460,455,454,453,459,454</t>
  </si>
  <si>
    <t>jExyqSUnVxG6P867y2inJw==</t>
  </si>
  <si>
    <t>Achievement Now! : How to Assure No Child Is Left Behind</t>
  </si>
  <si>
    <t>,1,2,3,129,130,131,127,128</t>
  </si>
  <si>
    <t>LB1062.6 -- .F54 2013eb</t>
  </si>
  <si>
    <t>Elementary School Scheduling : Enhacing Instruction for Student Achievement</t>
  </si>
  <si>
    <t>From Rigorous Standards to Student Achievement</t>
  </si>
  <si>
    <t>LB3060.83 -- .F76 2013eb</t>
  </si>
  <si>
    <t>Student Achievement Goal Setting : Using Data to Improve Teaching and Learning</t>
  </si>
  <si>
    <t>,1,2,3,4,5,6,7,30,31,32,28,29,33,34,35,36,37</t>
  </si>
  <si>
    <t>LB3051 -- .S883 2009eb</t>
  </si>
  <si>
    <t>Effective Teachers=Student Achievement : What the Research Says</t>
  </si>
  <si>
    <t>,33,34,35,36,37,38,4,5,6,7,8,9,10,11,12,13,14,15,18</t>
  </si>
  <si>
    <t>LB1025.3 -- .S7886 2010eb</t>
  </si>
  <si>
    <t>,1,2,3,18,19,20,17,16,21,22,23,24,25,26,27,28,29,30,31,32</t>
  </si>
  <si>
    <t>jwhdDZEltMHLmVc2xYnIpA==</t>
  </si>
  <si>
    <t>Group Dynamics and Team Interventions : Understanding and Improving Team Performance</t>
  </si>
  <si>
    <t>HM716 -- .F73 2012eb</t>
  </si>
  <si>
    <t>,1,2,3,91,92,93,89,90,88,94,95,96,92</t>
  </si>
  <si>
    <t>The Anti-Anxiety Workbook : Proven Strategies to Overcome Worry, Phobias, Panic, and Obsessions</t>
  </si>
  <si>
    <t>,1,2,3,137,138,139,135,136,140,141,142,143,144,145,146,147,148,149,150,151,152,153,160,161,162,158,159,163,164,165,166,167,168,169,170,171,172,173,174,175,176,177,178,172,179,233,234,235,231,232,236,237,238,240,241</t>
  </si>
  <si>
    <t>RC531 -- .A586 2009eb</t>
  </si>
  <si>
    <t>,1,2,3,93,89,90</t>
  </si>
  <si>
    <t>YmPzFZaTJ+5v78Y6E5oJSQ==</t>
  </si>
  <si>
    <t>,1,2,3,8,14,5,6,108,109,110,106,107,126,102,96,99,111,114,112,113</t>
  </si>
  <si>
    <t>,1,2,3,70,71,72,68,69,73,74,75,76,77,78,79,80,76,81,82,83,84,85,86,87,88</t>
  </si>
  <si>
    <t>,1,2,3,70,71,72,68,69</t>
  </si>
  <si>
    <t>GQ2TXin0XQ8rSORRENj9Tw==</t>
  </si>
  <si>
    <t>,4,5,6,7,8,9,10,11,12,13,14,19,11,15,16,17,18,19,20,21,22,23,138,134,135,12,13,14,10,11,4,5,6,3</t>
  </si>
  <si>
    <t>,12,13,14,15,16,17,18,19,20,21,136,137,138,139,140,141,142,143,144,145,146,147,148,149,150,151,152,153,154,155,4,5</t>
  </si>
  <si>
    <t>Signage and Wayfinding Design : A Complete Guide to Creating Environmental Graphic Design Systems</t>
  </si>
  <si>
    <t>Computer Science/IT; Fine Arts; Engineering: General; Engineering</t>
  </si>
  <si>
    <t>,115,117,116,113,114,118</t>
  </si>
  <si>
    <t>T385 .C351 2015</t>
  </si>
  <si>
    <t>,1,2,3,19,20,21,17,18,22,23</t>
  </si>
  <si>
    <t>,2,3</t>
  </si>
  <si>
    <t>,1,2,3,53,54,55,51,52,56,57,58,59,60,61,62,63,64,65,66,67,68,69,70,71,72,73</t>
  </si>
  <si>
    <t>PqXIW/4ol9syz3FoQTMmXQ==</t>
  </si>
  <si>
    <t>CliffsNotes Praxis II : Social Studies Content Knowledge (0081)</t>
  </si>
  <si>
    <t>Social Science; Education</t>
  </si>
  <si>
    <t>,1,2,3,25,26,27,23,24,28</t>
  </si>
  <si>
    <t>H62.5.U6 -- P38 2012eb</t>
  </si>
  <si>
    <t>300; 300.76; 371.20076</t>
  </si>
  <si>
    <t>hOPJJ4UCysRKQa+MKbYt8Q==</t>
  </si>
  <si>
    <t>Bas Jan Ader : Death Is Elsewhere</t>
  </si>
  <si>
    <t>NX512</t>
  </si>
  <si>
    <t>,1,2,3,4,5,6,7,8,9,10,11,12,13,14,15,16,17,18,19,20,21,22,63,112,113,114,115,111,110,109,108,106,107,105,104,103,102,101,100,99,98,97,95,96,35,30,31,32,29,27,28,33,34,53,54,55,51,52,49,50,54,55,56,57,58,59,60,61,62,63,64</t>
  </si>
  <si>
    <t>Searching Skills Toolkit : Finding the Evidence</t>
  </si>
  <si>
    <t>,1,2,3,15,16,13,14,17,18,19,57,58,59,55,56,60,61,50,51,52,48,49,53,54,52,53,54,50,51,55</t>
  </si>
  <si>
    <t>R853.S94D4 2013</t>
  </si>
  <si>
    <t>rl84zS0mN9AP8txQSlqQ4A==</t>
  </si>
  <si>
    <t>,1,1,3,3,2,2,2,2</t>
  </si>
  <si>
    <t>,1,1,2,3,3,2,65,66,65,67,63,67,66,64,55,64,55,56,57,2,57,53,54,54,56,58,59,60,61,58,63,62,53,59,65,66,67,64,54,56,55,57,60,61,62,58,53,58,59,60,61,62,57,62,57,62,57,62,57,62,63</t>
  </si>
  <si>
    <t>kemonroe</t>
  </si>
  <si>
    <t>Fast-Forward Family : Home, Work, and Relationships in Middle-Class America</t>
  </si>
  <si>
    <t>,1,2,3,323,321,35,36,33,34,38,39</t>
  </si>
  <si>
    <t>72.43.69.30</t>
  </si>
  <si>
    <t>HQ536 -- .F388 2013eb</t>
  </si>
  <si>
    <t>7M1xlk3Gvjg=</t>
  </si>
  <si>
    <t>,1,2,3,218,219,220,216,221,222,217,223,224,225,226,79,69,238,237,239,235,236,240,241,242,243,244,245,246,247,248,249,250,251,252,253,254,255,256,257,258</t>
  </si>
  <si>
    <t>,224,218</t>
  </si>
  <si>
    <t>,1,2,3,9,10,30,32,33,34,35,31,36,37,38,39,40,41,42,43,44,45,46,47,48,49,50,51,52,53,54,55,56,57,58,59,60,61</t>
  </si>
  <si>
    <t>Z/QCwYaE3ngIo43ZMz/yag==</t>
  </si>
  <si>
    <t>Distrusting Educational Technology : Critical Questions for Changing Times</t>
  </si>
  <si>
    <t>,1,14,15,16,12,13,2,17,18,19,20</t>
  </si>
  <si>
    <t>LB1028.3 -- .S38882 2014eb</t>
  </si>
  <si>
    <t>,1,2,3,4,6,30,31,32,29,28,33,34,35,36,37,38,39,40,41,33,29,28,27</t>
  </si>
  <si>
    <t>0hPU++Sm6zU=</t>
  </si>
  <si>
    <t>,52,53,54,55,56,57,58,59,60,61,62,63,64,65,66,67,52</t>
  </si>
  <si>
    <t>,1,2,47,48,49,45,46,50,51</t>
  </si>
  <si>
    <t>,1,2,3,21,22,23,19,20,24,25,26,27,59,60,61,57,58,62,63,64,40,41,42,38,39,43,44,45,46,47,48,49,50,217,218,219,215,216</t>
  </si>
  <si>
    <t>,191,192,190,190,190,193,194,188,195,196,191,189,188,187,186,188,191,192,54,55,56,52,53,57,58</t>
  </si>
  <si>
    <t>,192,190,190,190,190,188,188</t>
  </si>
  <si>
    <t>,188,188,188,189,186,187</t>
  </si>
  <si>
    <t>,188,188,188,188,188</t>
  </si>
  <si>
    <t>,1,490,491,492,488,489,493,494,2,70,71,72,68,69,129,130,131,127,128,132,144,146,142,143,147,148,150,158,159,160,156,157,161,162,163,188,189,190,186,187,191,192,193,194,192,188,188,188,188</t>
  </si>
  <si>
    <t>605WGYIgrb0=</t>
  </si>
  <si>
    <t>Building Type Basics for College and University Facilities</t>
  </si>
  <si>
    <t>NA6600 -- .N48 2013eb</t>
  </si>
  <si>
    <t>727/.3</t>
  </si>
  <si>
    <t>keb1bsZ5eqo=</t>
  </si>
  <si>
    <t>Piano For Dummies, Book + Online Video &amp; Audio Instruction</t>
  </si>
  <si>
    <t>MT248 -- .P536 2014eb</t>
  </si>
  <si>
    <t>,1,2,3,4,5,7,8,9,6,12,13,14,15,11,16,17,18,19,20,22,21,23,24,25,26,27,28,29,30,31,32,33,34,35,36,37,34,1,34,35,36,32,33,2</t>
  </si>
  <si>
    <t>,1,2,3,4,5,6,7,8,9,10,241,242,243,244,240,245,246,247,241,240,246,247,241,247</t>
  </si>
  <si>
    <t>,243,243</t>
  </si>
  <si>
    <t>,244</t>
  </si>
  <si>
    <t>,241,242</t>
  </si>
  <si>
    <t>,1,2,3,241,242,243,239,240</t>
  </si>
  <si>
    <t>Office 2016 at Work For Dummies</t>
  </si>
  <si>
    <t>,1,2,3,226,229</t>
  </si>
  <si>
    <t>,1,3,2,4,5,6,7,8,9,10,11,12,13,14,15,16,17,18,19,20,21,22,23,24,25,26,26,27,28,29,1,29,30,31,27,28,2,32</t>
  </si>
  <si>
    <t>Cultural Politics of Emotion</t>
  </si>
  <si>
    <t>Edinburgh University Press</t>
  </si>
  <si>
    <t>,94</t>
  </si>
  <si>
    <t>BF531 -- .A585 2014eb</t>
  </si>
  <si>
    <t>,1,2,3,91,92,93,89,90</t>
  </si>
  <si>
    <t>LEbnk1AhfDM=</t>
  </si>
  <si>
    <t>A Companion to Ancient Egyptian Art</t>
  </si>
  <si>
    <t>,1,19,20,21,17,18,2</t>
  </si>
  <si>
    <t>,677,679,678,683,684,685,686,687,689,734,735,736,751,752,753,749,750,748,754,755,756,757,758,759,760,761,762,763,764,765,766,767,768,769,770,771,772,773,774,590,592,588,589,593,594,595,596,449,451,447,448,445,9,10,11,12,13,14,15,16,17,18,19,20,21</t>
  </si>
  <si>
    <t>,1,2,3,4,5,6,7,8,217,218,219,215,216</t>
  </si>
  <si>
    <t>,7,8,9,5,10,6,11,12,13,14,15,4,16,17,18,19,20,21,22,23,24,25</t>
  </si>
  <si>
    <t>3GpvURE7HS8=</t>
  </si>
  <si>
    <t>Pompeii and Herculaneum : A Sourcebook</t>
  </si>
  <si>
    <t>,1,2,3,4,5,6,7,8,9,10,11,12,13,14,16,17,18,19,20,22,21,23,24,25,26,27,29,30,31,32,33,34,35,36,37,38,39,40,41,42,43,44,45,46,47,48,49,50,51,52,53,54,55,56,57,58,59,60,61,62</t>
  </si>
  <si>
    <t>DG70.P7 C628 2013</t>
  </si>
  <si>
    <t>iPump9giOJ0=</t>
  </si>
  <si>
    <t>Ghosts of Jim Crow : Ending Racism in Post-Racial America</t>
  </si>
  <si>
    <t>,1,2,3,152,153,154,150,151,155,156,154</t>
  </si>
  <si>
    <t>E185.61 -- .H58 2013eb</t>
  </si>
  <si>
    <t>305.896/073</t>
  </si>
  <si>
    <t>fsUGVwV0TzJHaaWAf2MoHg==</t>
  </si>
  <si>
    <t>Using Excel for Business Analysis : A Guide to Financial Modelling Fundamentals</t>
  </si>
  <si>
    <t>,1,2,3,7,8,9,5,6,11,14,15,16,12,13,17,26,55,56,16,17,18,14,15,11,4,5</t>
  </si>
  <si>
    <t>HF5548.4.M523 -- F35 2015eb</t>
  </si>
  <si>
    <t>,1,2,3,217,218,219,215,216,220,221,222,223,224,225</t>
  </si>
  <si>
    <t>nLRLFf/+vTdcKjv+abVBug==</t>
  </si>
  <si>
    <t>Freshwater Algae : Identification, Enumeration and Use as Bioindicators</t>
  </si>
  <si>
    <t>Science: Botany; Science: Biology/Natural History; Science</t>
  </si>
  <si>
    <t>QK570.25 -- .B45 2015eb</t>
  </si>
  <si>
    <t>579.8/176</t>
  </si>
  <si>
    <t>,132,131,130,128,129,126,127,124,125,123,122,121,120,119,118,117,116,115,114,113,112,110,111,109,108,114,115,116,117</t>
  </si>
  <si>
    <t>,1,2,3,23,210,309,337,302,265,371,372,370,368,369</t>
  </si>
  <si>
    <t>,1,2,3,4,5,7,8,9,10,6</t>
  </si>
  <si>
    <t>,1,2,3,217,218,219,215,216,220,214,220,221</t>
  </si>
  <si>
    <t>,1,2,3,4,5,6,7,8,9,10,11,12,13,14,15,16,17,18,19,20,21,22,23,24,25,26,27,28,29,30,31,32,33,34,35,36,37,38,39,40,41,42,44,45,46,47,48,49,50,51,52,53,54,55,56,57</t>
  </si>
  <si>
    <t>,1,5,6,7,4,3,2</t>
  </si>
  <si>
    <t>,1,2,3,1,2,3,4,217,9,5,6,217,217,218,219,215,220,216,209,210,211,207,208</t>
  </si>
  <si>
    <t>,58,59,60,61,62,63,64,65,66,67,68,69</t>
  </si>
  <si>
    <t>,1,2,3,4,5,6,7,8,9,10,11,12,13,15,16,20,21,22,23,24,25,26,27,28,29,30,31,32,33,34,35,36,37,38,39,40,41,42,43,44,45,46,47,48,49,50,51,52,53,54,55,56,57</t>
  </si>
  <si>
    <t>f7Ges51X+OXZUCMcHIl9rA==</t>
  </si>
  <si>
    <t>The Walking Dead and Philosophy : Shotgun. Machete. Reason.</t>
  </si>
  <si>
    <t>,1,33,34,35,31,32,13,14,15,11,12,2,16,17,18,19,20,21,22,23,24,25,26,27,28,29,30,8,7,36,10,33,1,35,34,31,32,5,6,7,3,4,2,29,30,27,28,1,33,34,35,31,32,2,3,4,5,6,7,8,115,116,117,113,114,11,12,13,9,10,14</t>
  </si>
  <si>
    <t>PN6727.K586 W39 2012</t>
  </si>
  <si>
    <t>K88X6B4ed38dTMx4EDcHvw==</t>
  </si>
  <si>
    <t>The Video Game Theory Reader</t>
  </si>
  <si>
    <t>,110,111,112,108,109,113,114,126,127,128,124,125,129,152,153,154,150,151,155,59,160,163,164,165,194,195,196,192,193,197,326,327,328,324,325,332,329,298,299,300,296,297,301,302,303,180,178,179,183,218,219,220,216,217</t>
  </si>
  <si>
    <t>GV1469.3 \</t>
  </si>
  <si>
    <t>,1,2,3,4,13,15,29,30,31,27,28,32,33</t>
  </si>
  <si>
    <t>,1,2,3,4,90,91,92,88,89,93,94,95,96,88,89,87,101,102,96,86</t>
  </si>
  <si>
    <t>u2pmlpQ2IOvev3EPWIOS7g==</t>
  </si>
  <si>
    <t>,4,5,8,9,10,6,7,11,12,13,14,15,16</t>
  </si>
  <si>
    <t>Acoustic Particle Velocity Measurements Using Laser : Principles, Signal Processing and Applications</t>
  </si>
  <si>
    <t>Engineering: General; Engineering</t>
  </si>
  <si>
    <t>,2,1,3</t>
  </si>
  <si>
    <t>XLrLCB6LxVM=</t>
  </si>
  <si>
    <t>,1,2,3,20,21,22,19,18,23,24</t>
  </si>
  <si>
    <t>yVTv50Qd83eiEaZJiVKAFA==</t>
  </si>
  <si>
    <t>Introduction to Soil Mechanics</t>
  </si>
  <si>
    <t>,35,36,37,33,34,38</t>
  </si>
  <si>
    <t>TA710 -- .B617 2013eb</t>
  </si>
  <si>
    <t>624.1/5136</t>
  </si>
  <si>
    <t>,1,2,3,7,8,9,5,6,10</t>
  </si>
  <si>
    <t>o57susBBCzoCU9ekZ3VTNQ==</t>
  </si>
  <si>
    <t>Human Genetics and Genomics</t>
  </si>
  <si>
    <t>Science: Biology/Natural History; Science</t>
  </si>
  <si>
    <t>,1,2,3,149,150,151,147,148,152,153,154,155,156,157,158,159,160,161,162,163,154,152,157,157</t>
  </si>
  <si>
    <t>QH371 .K384 2012</t>
  </si>
  <si>
    <t>The Stress Less Workbook : Simple Strategies to Relieve Pressure, Manage Commitments, and Minimize Conflicts</t>
  </si>
  <si>
    <t>,1,2,3,19,20,21,17,18,22,23,24,25,23</t>
  </si>
  <si>
    <t>BF575.S75 -- A27 2012eb</t>
  </si>
  <si>
    <t>The Mindful Way Workbook : An 8-Week Program to Free Yourself from Depression and Emotional Distress</t>
  </si>
  <si>
    <t>,1,2,3,4,5,6,7,8,9,10,11,12,13,14,15,16,17,18,19,20,21,22,23,24,25,26,27,28,29,30,31,32,33,55,56,57,53,54,58,59,60,61</t>
  </si>
  <si>
    <t>RC537 -- .T42 2014eb</t>
  </si>
  <si>
    <t>On Becoming a Teen Mom : Life before Pregnancy</t>
  </si>
  <si>
    <t>,23,24,25,21,22</t>
  </si>
  <si>
    <t>,15,16,17,18,19,20,21,22,23,24,25,26,27,28,29,30,31,32,33,34,35,36,37,38,39,40,41,42,43,44,45,46,47,48,49,50,51,52,53,54,55,56,57,58,59,60,61,62</t>
  </si>
  <si>
    <t>HQ759.4 -- .E736 2015eb</t>
  </si>
  <si>
    <t>,1,2,3,173,174,175,171,172,176,177,178,179,180,181,182,183,184,185,186,187,188,189,190,191,192,193,194,195,196,197,198,199,200,201,202,203,204,205,199,198,197,196,195,194,193,199,200,201,202,203,204,201,201,202,203,204,205,205,206,207</t>
  </si>
  <si>
    <t>,202</t>
  </si>
  <si>
    <t>himonroe</t>
  </si>
  <si>
    <t>,1,2,3,4,5,6,7,8,18,19,20,16,17,21,22,23,24,25</t>
  </si>
  <si>
    <t>199.190.223.190</t>
  </si>
  <si>
    <t>,60,55,60,55,60,55,60,61</t>
  </si>
  <si>
    <t>,1,2,3,2,1,3,2,2,4,5,4,5,4,5,6,7,8,6,7,8,9,10,9,10,5,4,9,10,11,11,47,48,47,49,48,49,45,46,46,50,51,50,51,52,52,53,53,54,54,55,55,57,58,56,57,59,58,56,59,60,60,61,56,61,56,51,52,49,50,53,54,55,56,57,58,59,59,59</t>
  </si>
  <si>
    <t>P2pijrEEXxg=</t>
  </si>
  <si>
    <t>,31,32,33,34,35,36,37,38,39,40,41,42,43,44,45,46,47,48</t>
  </si>
  <si>
    <t>,1,28,29,30,26,27,28,29,30,26,27,2</t>
  </si>
  <si>
    <t>,1,2,3,28,29,30,26,27</t>
  </si>
  <si>
    <t>,222,223,224,225,226,227,228,229,230,227,228,229,231,232,233,234,235,236,237</t>
  </si>
  <si>
    <t>,219,220,221,222,223,224,224,225,226,227</t>
  </si>
  <si>
    <t>,1,218,219,220,216,217,221</t>
  </si>
  <si>
    <t>Predictive Analytics For Dummies</t>
  </si>
  <si>
    <t>,28,29,30,31,32,33,34,35,57,58,59,55,56,60,67,68,69,65,66,70,71,72,73,78,79,80,76,77,81,82,83,84,85,86,87,88</t>
  </si>
  <si>
    <t>HF5548.2 -- .B375 2014eb</t>
  </si>
  <si>
    <t>,1,2,3,19,20,21,17,18,22,23,24,25,26,27</t>
  </si>
  <si>
    <t>kWSmyaydwAM=</t>
  </si>
  <si>
    <t>Bioethics : An Anthology</t>
  </si>
  <si>
    <t>Medicine; Philosophy</t>
  </si>
  <si>
    <t>,26,317,318,319,315,316,357,358,359,356,355</t>
  </si>
  <si>
    <t>R724 -- .B564 2016eb</t>
  </si>
  <si>
    <t>174/.957</t>
  </si>
  <si>
    <t>5pPOy+yYkPCUYtD5gLHPFA==</t>
  </si>
  <si>
    <t>Handbook for Developing Supportive Learning Environments, The</t>
  </si>
  <si>
    <t>,1,2,3,65,66,67,63,64</t>
  </si>
  <si>
    <t>LB2822.8 -- .F73 2013eb</t>
  </si>
  <si>
    <t>Designing for the Theatre</t>
  </si>
  <si>
    <t>,1,2,3,11,12,13,9,10</t>
  </si>
  <si>
    <t>PN2091.S8 -- R45 2011eb</t>
  </si>
  <si>
    <t>BIgrNL1e+0Pn8rEQF+DqXQ==</t>
  </si>
  <si>
    <t>Romanticism : An Anthology</t>
  </si>
  <si>
    <t>,1,2,3,271,272,273,269,270,274,275,276</t>
  </si>
  <si>
    <t>PR1139 -- .R66 2012eb</t>
  </si>
  <si>
    <t>820.8/0145</t>
  </si>
  <si>
    <t>Zizek and Media Studies : A Reader</t>
  </si>
  <si>
    <t>,20,20</t>
  </si>
  <si>
    <t>B4870.Z594 -- .Z57 2014eb</t>
  </si>
  <si>
    <t>199/.4973</t>
  </si>
  <si>
    <t>IwCpvHN/l9CgcMrQY5SHDw==</t>
  </si>
  <si>
    <t>,1,551,552,553,549,550,2</t>
  </si>
  <si>
    <t>,1,2,1,3,3,2,4,4,5,5,6,6,7,7,8,8,9,9,10,10,11,11,12,12,13,13,14,14,15,15,16,16,17,17,2,18,19,18,19</t>
  </si>
  <si>
    <t>Genetically Modified and non-Genetically Modified Food Supply Chains : Co-Existence and Traceability</t>
  </si>
  <si>
    <t>,27,27,27,27,27,27,28,29</t>
  </si>
  <si>
    <t>TP248.65.F66 -- G4573 2012eb</t>
  </si>
  <si>
    <t>Z+vlDqtDL70NOHEY/jPGZg==</t>
  </si>
  <si>
    <t>,1,2,3,117,118,119,115,116,120,121,122,123,124,125,126,127,119,118,117,116,115,114,113,112</t>
  </si>
  <si>
    <t>,1,2,3,27,28,29,25,26,30</t>
  </si>
  <si>
    <t>,1,5,6,7,3,4,2,8,9,10,11,12,13,14,15,16,17,18,19,20,21,16,15,14,13,12,11,10,9,8,7,6,5,4,3,2,1,7,8,9,10,11,12,7,12,13,14,15,16,17,18,19,20,21,22,23,1,2,3,338,339,340,336,337,278,262,261,159,99,30,23,11,95,111,71,48,32,33,34,17,18,19,15,16,20,21,22,23,24,25,26,27,28,29,30,31,32,33</t>
  </si>
  <si>
    <t>,3,4,5,6,7,8,9</t>
  </si>
  <si>
    <t>,1,206,208,207,204,205,203,2,201,202,199,200,197,198,195,196,194,193,192,191,190,189,188,187,186,185,184,183,182,181,180,179,178,177,176,175,174,173,172,171,170,169,168,167,166,165,164,163,162,161,160,159,158,156,157,96,4,1,2</t>
  </si>
  <si>
    <t>,1,206,207,208,204,205,2,203,202,201,200,199,198,197,195,196,193,194,192,190,191,189,187,188,186,185,183,184,182,181,180,179</t>
  </si>
  <si>
    <t>NkE607/M7Wz1nzO70G7LCw==</t>
  </si>
  <si>
    <t>Basic Concepts of X-Ray Diffraction</t>
  </si>
  <si>
    <t>Science: Physics; Science: Chemistry; Science</t>
  </si>
  <si>
    <t>,1,2,3,19,20,21,17,18,22,17,22,23,17,22,23,24,25,26,26,27,28,23,29,30,31,32,47,48,49,45,46,44,49,50,51,52,35,36,37,33,34,25,26,27,23,24,28,29,30,31,32,33,28,33,34,34,35,36,37,135,136,137,133,134,138,139,140,141,153,154,155,151,152,156,157,158,159,160,161,162,163,157,162,163,164,165,166,167,168,169,170,171,175,176,177,173,174,178,179,173,179,180,181,182,183,153,154,155,151,156,152,157,158,159,160,159,160,155</t>
  </si>
  <si>
    <t>QC482.D5 -- Z65 2014eb</t>
  </si>
  <si>
    <t>xxlt9QQE7Hi6lJFtrDGf1w==</t>
  </si>
  <si>
    <t>Fundamentals of Palliative Care for Student Nurses</t>
  </si>
  <si>
    <t>,1,12,13,14,10,11</t>
  </si>
  <si>
    <t>R726.8 -- .R677 2014eb</t>
  </si>
  <si>
    <t>Unlocking Medical Law and Ethics</t>
  </si>
  <si>
    <t>,4,1,5,6,2,3,7,8,9,2,10,11</t>
  </si>
  <si>
    <t>KD3395 -- .C373 2012eb</t>
  </si>
  <si>
    <t>A Companion to Bioethics</t>
  </si>
  <si>
    <t>,2,1,3,4,5,6</t>
  </si>
  <si>
    <t>R724.C616 2012</t>
  </si>
  <si>
    <t>,1,7,8,9,5,6,2</t>
  </si>
  <si>
    <t>,1,7,8,9,5,6,2,17,18,19,15,16,20,21,22,16,15,20,21</t>
  </si>
  <si>
    <t>,1,2,3,65,66,67,63,64,68,69,70,71,72,73,74,75,67,68,65,66,64,63,62,61,60,59,58,57,64,65,66,67,68,69,70,71,72,73,74,75,70,69,68,67,66,65,64,62,63,61,60,67,60,59,58,112,113,114,115,111,116</t>
  </si>
  <si>
    <t>lLIjsjbzaJA=</t>
  </si>
  <si>
    <t>Assessing Critical Thinking in Middle and High Schools : Meeting the Common Core</t>
  </si>
  <si>
    <t>,23,23,24,24,25,25,21,22,22,142,168,169,168,166,169,170,170,171,167,171,172,172,173,173,174,174,175,175,176,176,263,263,264,264,265,265,261,262,262,259,260,260</t>
  </si>
  <si>
    <t>LB1590.3 -- .S763 2013eb</t>
  </si>
  <si>
    <t>,1,2,1,2,3,3,144,144,145,145,146,146,142,143,143,147,147,148,148,149,149,150,150,151,151,152,152,153,153,154,154,155,155,156,156,157,157,158,159,158,159,160,160,161,161,162,162,139,140,140,141,141,139,137,138,138,136,136,135,134,133,135,134,132,133,131,130,129,128,127,128,126,124,125,16,16,17,17,18,18,14,15,15,19,19,14</t>
  </si>
  <si>
    <t>s8TisBF+exJXW+fZLPzPdg==</t>
  </si>
  <si>
    <t>Bridging the Gap : Connecting Users to Digital Contents</t>
  </si>
  <si>
    <t>Library Science</t>
  </si>
  <si>
    <t>,1,2,3,15,16,17,13,14,18,113,114,111,112,115,116</t>
  </si>
  <si>
    <t>,11,12,13</t>
  </si>
  <si>
    <t>,1,2,3,4,1,1,2,3,4,5,6,7,8,9,9,10</t>
  </si>
  <si>
    <t>,1,2,3,4,5,65,66,67,63,64,62,69,2,71,70,68,72,73,74,75,69,68,40,41,42,38,39,43,44,45,46,39,38,37,36,35,34,33,32,31,30,59,60,61,57,58,62,63,64,65,66,66</t>
  </si>
  <si>
    <t>,1,2,3,4,173,174,175,171,172,176,177,2,178,179,180,181,171,172,179,180,181,182,183,184,185,186,187,188,189,190,191,192,193,194,195,196,197,198,199,200,201,202,203,204,205,206,207,208,209,210,211,212,213,214,215,216,217,218,219,220,221,222,241,242,243,239,240,238,173,174,175,171,172,176,177,178,179,180,181,182,183,184,185,186,187,188,189,190,191,192,193,194,195,189,196,196,196,197,198,199,200,201,202,203,211,210,209,208,206,205,207,203,204,202,201,200,199,198,197,196,195,194,193,192,191,197,197,198,199,200,201,202,203,204</t>
  </si>
  <si>
    <t>,190,191,192,193</t>
  </si>
  <si>
    <t>Fabricated : The New World of 3D Printing</t>
  </si>
  <si>
    <t>Engineering; Engineering: Electrical; Computer Science/IT</t>
  </si>
  <si>
    <t>TK7887.7 .L384 2012</t>
  </si>
  <si>
    <t>tdxRTcDBfw1IsYaz8HnPNw==</t>
  </si>
  <si>
    <t>Theatre Arts on Acting</t>
  </si>
  <si>
    <t>,1,2,3,25,26,97,123,124,120,121,1,2,3,4,5,6,16,17,10,11,12,9,7,8,2,8</t>
  </si>
  <si>
    <t>PN2061 -- .T47 2008eb</t>
  </si>
  <si>
    <t>Fsvij0/f1J3OAoSWC4hM1w==</t>
  </si>
  <si>
    <t>K-Pop : Popular Music, Cultural Amnesia, and Economic Innovation in South Korea</t>
  </si>
  <si>
    <t>,2,3,5,6,7,4,8,11,12,13,14,18,19,20,22,23,25,26,28,29,30,31,32,33,34,35,36,37,38,39,40,59,60,61,62,63,64,66,122,123,124,125,126,128,129,131,132,134,135,136,137,139,140,141,142,143</t>
  </si>
  <si>
    <t>ML3502.K6 -- .L54 2015eb</t>
  </si>
  <si>
    <t>4Mk9b9YXGKc=</t>
  </si>
  <si>
    <t>Beckett and Musicality</t>
  </si>
  <si>
    <t>,1,2,3,64,65,66,62,63,67,68,69,70,71,72,73,74,75,76,77,78,79,80,81</t>
  </si>
  <si>
    <t>ML80.B42 -- .B43 2014eb</t>
  </si>
  <si>
    <t>EqscFKC2VQzvZDYm+uvjhw==</t>
  </si>
  <si>
    <t>Alexander the Great and His Empire : A Short Introduction</t>
  </si>
  <si>
    <t>,1,2,3,47,48,49,45,46,50,51,52,53,54,55,56</t>
  </si>
  <si>
    <t>DF234.37 -- .B7413 2010eb</t>
  </si>
  <si>
    <t>938/.07092</t>
  </si>
  <si>
    <t>Alexander the Great : Themes and Issues</t>
  </si>
  <si>
    <t>,182,183,173,168,172,169,171,175,176,174,170,167,166,165,164,163,162,161,160,159,158,157,156,154,155,153,152,262,263,264,260,261,265,266,267,268</t>
  </si>
  <si>
    <t>,179,263</t>
  </si>
  <si>
    <t>DF234 .A67 2012</t>
  </si>
  <si>
    <t>938.07092; 938/.07092</t>
  </si>
  <si>
    <t>,1,2,3,33,34,35,31,32,40,37,25,19,10,13,18,27,29,38,39,36,179,180,181,177,178</t>
  </si>
  <si>
    <t>sA4C0dhWSHA4vNjdZ+6e6A==</t>
  </si>
  <si>
    <t>Fundamentals of Photonics</t>
  </si>
  <si>
    <t>Engineering; Engineering: Electrical; Engineering: Civil</t>
  </si>
  <si>
    <t>TA1520 -- .S24 2007eb</t>
  </si>
  <si>
    <t>The Actress : Hollywood Acting and the Female Star</t>
  </si>
  <si>
    <t>PN1998.2 -- .H627 2006eb</t>
  </si>
  <si>
    <t>,1,2,3,64,65,66,62,63,67,68,69,70,71,72,73,74,75,76,77,78,79,80,81,82,61,4,5,6,7,8</t>
  </si>
  <si>
    <t>Gm/OsHZ31eyW43GPsgmdBQ==</t>
  </si>
  <si>
    <t>Clinical Practice of Cognitive Therapy with Children and Adolescents, Second Edition : The Nuts and Bolts</t>
  </si>
  <si>
    <t>,140,141,343,344,345,341,342,438,443,444,445,446,447,448,449,412,413,414,410,411,415,416,417,418,419,420,421,422,423,424,425,404,405,406,402,403,407,408,409,412,401,1,2,3,199,200,201,198,197,217,218,219,215,216,191,192,193,189,190,194,195,196,199,202,203,204</t>
  </si>
  <si>
    <t>RJ505.C63 -- .F754 2015eb</t>
  </si>
  <si>
    <t>,1,2,3,119,120,121,117,118,438,439,440,436,437,435,441,442,464,465,466,463,462,365,366,367,363,364,368,369,76,77,78,74,75,137,138,139,135,136</t>
  </si>
  <si>
    <t>,6,7,8,9,10,23,25,24,22,21,29,30,31,28,27,32,374,375,376,373,372</t>
  </si>
  <si>
    <t>Acting Out: The Workbook</t>
  </si>
  <si>
    <t>,1,2,3,12,15,7,5,8,6,9,10,4</t>
  </si>
  <si>
    <t>RJ505.P89A</t>
  </si>
  <si>
    <t>6Erx78EIi4WtbjS8obJoyA==</t>
  </si>
  <si>
    <t>,1,2,3,532,533,534,530,531,535,536,537</t>
  </si>
  <si>
    <t>AKo/Le1ojho=</t>
  </si>
  <si>
    <t>Deadly Injustice : Trayvon Martin, Race, and the Criminal Justice System</t>
  </si>
  <si>
    <t>,1,2,3,10,24,25,26,22,23,27,14,13,5,8</t>
  </si>
  <si>
    <t>HV9950 -- .D425 2015eb</t>
  </si>
  <si>
    <t>364.973089/97073</t>
  </si>
  <si>
    <t>elATMJN6VyTFAjeefNzZw1WgoiuN2Zbb</t>
  </si>
  <si>
    <t>Causes of Structural Unemployment : Four Factors that Keep People from the Jobs they Deserve</t>
  </si>
  <si>
    <t>,107,108</t>
  </si>
  <si>
    <t>HD5708.46 -- .J366 2014eb</t>
  </si>
  <si>
    <t>,1,2,3,20,21,19,18,17,16,23,22,24,102,103,104,100,101,105,106</t>
  </si>
  <si>
    <t>2dATvugi2/k=</t>
  </si>
  <si>
    <t>,1,2,3,573,574,575,571,572,576,577,578,579,580,581,1,581,582,583,579,580,551,2,552,553,549,550,573,574,575,571,572,576,577,578</t>
  </si>
  <si>
    <t>A Companion to Roman Architecture</t>
  </si>
  <si>
    <t>MtgJArhVVULiA7Q7RmM6yQ==</t>
  </si>
  <si>
    <t>Black Power Movement : Rethinking the Civil Rights-Black Power Era</t>
  </si>
  <si>
    <t>,122,121</t>
  </si>
  <si>
    <t>E185.61 -- .B6 2006eb</t>
  </si>
  <si>
    <t>323.1196/07309046</t>
  </si>
  <si>
    <t>,1,2,3,118,119,120,116,117,121,122,123,124,125,126,127,128,129,130,131,132,133,134,118,119,120,116,117,121,122,123,124,125,126,129,130</t>
  </si>
  <si>
    <t>,1,2,3,2,3,1,573,574,573,575,574,571,572,575,572,2,576,576,577,577,578,578,579,580,579,580,580,581,581</t>
  </si>
  <si>
    <t>4t1LRDQaNhvRBwfDO00ARg==</t>
  </si>
  <si>
    <t>Monster of the Twentieth Century : Kotoku Shusui and Japan's First Anti-Imperialist Movement</t>
  </si>
  <si>
    <t>,1,2,3,142,143,144,140,141,170,171,172,168,169,158,159,160,156,157,120,122,118,119,173,174,175,171,172,88,89,90,86,67,68,69,65,66,121,118,119,158,159,160,156,157,161,162,163,195,196,193,197,194,198,170,168,169,167,165,166,161,155,156,157,153,154,103,68,70,66,67,104,105,101,102,70,71,72,68,69,153,154,155,151,152,150,161,162,163,159,160</t>
  </si>
  <si>
    <t>HX413.8.K68</t>
  </si>
  <si>
    <t>RQnRnXZWxsCeAbqu3Cfe8A==</t>
  </si>
  <si>
    <t>Site Engineering for Landscape Architects</t>
  </si>
  <si>
    <t>Engineering: Civil; Engineering: Construction; Engineering</t>
  </si>
  <si>
    <t>,49,1,50,51,47,48,5,6,7,8,9,10,11,12,2,15,17,18,19,20,21,22,71,131,152,139,96,78,77,76,75,73,63,62,64,65,61,60,59,58,57,56,55,53,54,52,51,50,48,47,45,46,44,43,58,59,60,61,62,63,64,65,66,67,68,69,70,71,72</t>
  </si>
  <si>
    <t>TH375 -- .S77 2013eb</t>
  </si>
  <si>
    <t>Diversity in Disney Films : Critical Essays on Race, Ethnicity, Gender, Sexuality and Disability</t>
  </si>
  <si>
    <t>,124,125,126,127,128,129,130,131,132,133,134,135</t>
  </si>
  <si>
    <t>PN1999.W27 -- D58 2013eb</t>
  </si>
  <si>
    <t>791.43/6552; 791.436552</t>
  </si>
  <si>
    <t>,1,2,3,124,125,126,123,121,122,127,128,123,122,129,130,131,132,133,134,135,136,137,130,129,128,127,126,124,125,123,122,124,125,126,122,123</t>
  </si>
  <si>
    <t>,1,2,3,4,5,6,7,8,9,10,11,12,13,14,15,16,17,18,19,20,21,22,23,24,26,25,27,28,29,30,31,32,34,33,35,36,37,38,39,40,41,35,40,42,43,44,45,46,47,48,49</t>
  </si>
  <si>
    <t>WsftZRXlETEW0eVr6XYDUQ==</t>
  </si>
  <si>
    <t>Clinical Practice of Pediatric Psychology</t>
  </si>
  <si>
    <t>,242,243,244,240,241,239,237,238,43,44,45,41,42,250,248,252,224,225,226,223,222,238,239,236,298,299,292,293,294,290,291,273,274,275,280,281,282,278,279,97,98,99,95,96,287,288,289,285,286</t>
  </si>
  <si>
    <t>RJ499.3 060 -- .C556 2014eb</t>
  </si>
  <si>
    <t>,1,2,3,66,67,68,64,65,69,71,70,72,73,74,159,160,161,158,157,162,163,164,165,166,167,168,169,248,249,246,247,250,251</t>
  </si>
  <si>
    <t>XTVzSBCtnks=</t>
  </si>
  <si>
    <t>Controlling Tropical Deforestation</t>
  </si>
  <si>
    <t>Agriculture; Environmental Studies; Economics</t>
  </si>
  <si>
    <t>,54,56,55,52,53,57,58,151,153,150,152,149,154,59,60,61,62,63,64,65,66,67</t>
  </si>
  <si>
    <t>SD418.3.T76 -- G73 2009eb</t>
  </si>
  <si>
    <t>Imkxvn74zVq4zRieOEyFJw==</t>
  </si>
  <si>
    <t>Sustainability</t>
  </si>
  <si>
    <t>,13,14,15,16,17,18,19,20,21,22,23,24,25,26,27,28,29,30,31,32,33,34,35,36,37,38,39,40,41,42,43,44,45,46,47,48,49,50,51,52,53,54,55,56,57,58,59,60,61,62,63,64,65,66,67,68,69,70,71,72,73,74,75,76</t>
  </si>
  <si>
    <t>HC79.E5 -- T45 2013eb</t>
  </si>
  <si>
    <t>,1,51,52,53,49,50,2,54,55,56,57,58,59,60,61,62,63,64,65,66,67,68,69,70,71,72,73,74,72</t>
  </si>
  <si>
    <t>Circulation of Knowledge in Early Modern English Literature</t>
  </si>
  <si>
    <t>,212,213,214,215,216,217,218,219,220</t>
  </si>
  <si>
    <t>PR428.K66 C57 2015</t>
  </si>
  <si>
    <t>820.9''003</t>
  </si>
  <si>
    <t>,1,1,2,2,3,3,2,2,182,182,183,184,184,185,183,185,186,186,212,212,213,213,214,214,210,211,211,222,222,221,221,223,223,220,220,218,219,217</t>
  </si>
  <si>
    <t>GPOQuWetBem8VMf6Aq7mdw==</t>
  </si>
  <si>
    <t>Children and Media : A Global Perspective</t>
  </si>
  <si>
    <t>,1,2,3,31,32,33,29,30,34,35,36</t>
  </si>
  <si>
    <t>HQ784.M3 -- .L46 2015eb</t>
  </si>
  <si>
    <t>nr+aK1n7inf5fhPWQZldeA==</t>
  </si>
  <si>
    <t>The Travels of a T-Shirt in the Global Economy : An Economist Examines the Markets, Power, and Politics of World Trade. New Preface and Epilogue with Updates on Economic Issues and Main Characters</t>
  </si>
  <si>
    <t>HD9969.S6 .R384 2014</t>
  </si>
  <si>
    <t>,1,2,3,173,174,175,171,172,176,177,178,179,180,181,182,183,184,185,179,186,187,188,187,188,189,190,191,193,186,185,184,183,182,188,189,190,191,192,187,186,185,184,183,189,190,191,192,193,194,195,198,199,194,193,200,201,202,203,204,205,200,199,198,196,194,195,193,192,191,190,189,188,187,186,185,190,190,191,192,191,192,191,192,192,192,192,186,185,192,192,193,194,195,196,197,198,199</t>
  </si>
  <si>
    <t>,187,188,189,189,189</t>
  </si>
  <si>
    <t>,1,3,3,1,2,2,2,2,4,4,5,5,6,7,6,7,8,8,107,108,107,108,109,105,109,106,106,110,110,111,112,111,112,113,113,114,114,115,115,115,1,116,115,117,1,116,114,113,114,117,112,111,110,115,2,2,24,25,24,25,26,22,26,23,23,109,110,109,111,107,112,108,113,111,111,113,113,109,112,110,112,110,114,114,115,115,116,116</t>
  </si>
  <si>
    <t>Weight of Images : Affect, Body Image and Fat in the Media</t>
  </si>
  <si>
    <t>RC569.5.B65 -- K97 2014eb</t>
  </si>
  <si>
    <t>306.4/613</t>
  </si>
  <si>
    <t>An Introduction to the Archaeology of Ancient Egypt</t>
  </si>
  <si>
    <t>,1,2,3,2,184,185,186,182,183,437,438,439,435,436,184,160,161,162,159,158,163,164,42,44,40,41,86,87,88,84,85,89,83,129,130,131,127,128,132,133,163,165,61,62,63,59,60,88,90,86,87,88,84,85</t>
  </si>
  <si>
    <t>DT60 .B373 2014</t>
  </si>
  <si>
    <t>Pv42QqkpciA=</t>
  </si>
  <si>
    <t>History of Modern Africa : 1800 to the Present</t>
  </si>
  <si>
    <t>,17,18,19,15,16,12,13,9,10</t>
  </si>
  <si>
    <t>DT20 -- .R45 2012eb</t>
  </si>
  <si>
    <t>kgktnnI57i4YpxUjo9LM2w==</t>
  </si>
  <si>
    <t>Common Core Literacy Lesson Plans : Ready-to-Use Resources, K-5</t>
  </si>
  <si>
    <t>,1,2,3,87,88,89,85,86,90</t>
  </si>
  <si>
    <t>LB1576 -- .C5786 2013eb</t>
  </si>
  <si>
    <t>mKTxALWLuhyVUTbz4U2HGA==</t>
  </si>
  <si>
    <t>Biodiversity in a Changing Climate : Linking Science and Management in Conservation</t>
  </si>
  <si>
    <t>Science; Science: Biology/Natural History; Economics; Environmental Studies</t>
  </si>
  <si>
    <t>,1,2,3,42,43,44,40,41,45,46,47,48,49,50</t>
  </si>
  <si>
    <t>QH105.C2 B55 2015</t>
  </si>
  <si>
    <t>,1,2,3,11,12,13,9,10,385,386,387,383,384</t>
  </si>
  <si>
    <t>TGj96Gw0G5k=</t>
  </si>
  <si>
    <t>The Holocaust : The Third Reich and the Jews</t>
  </si>
  <si>
    <t>D804.3 -- .E54 2013eb</t>
  </si>
  <si>
    <t>Successful Group Work : A Practical Guide for Students in Further and Higher Education</t>
  </si>
  <si>
    <t>LB1032 -- .R64 2012eb</t>
  </si>
  <si>
    <t>378.1/795</t>
  </si>
  <si>
    <t>,1,2,3,1,706,704,706,707,708,709,710,711,712,713,714,715,716,717,718,719,720</t>
  </si>
  <si>
    <t>csiGu/TKc5grXvo555L4GQ==</t>
  </si>
  <si>
    <t>,1,2,3,30,31,32,28,29,33,35,36,37,34</t>
  </si>
  <si>
    <t>LMBF3MzkpaQPsfNMDrFanA==</t>
  </si>
  <si>
    <t>A World More Concrete : Real Estate and the Remaking of Jim Crow South Florida</t>
  </si>
  <si>
    <t>,1,3,2,56,57,58,55,54,53,59,60,61,62</t>
  </si>
  <si>
    <t>HD268</t>
  </si>
  <si>
    <t>363.5/99960730759381</t>
  </si>
  <si>
    <t>,12,13,14,10,11</t>
  </si>
  <si>
    <t>e1n0ZvTAVfrnpuAb0vu5FA==</t>
  </si>
  <si>
    <t>Spanish Idioms in Practice : Understanding Language and Culture</t>
  </si>
  <si>
    <t>,1,2,3,4,25,26,27,23,24,215,216,213,214,214,1,215,216</t>
  </si>
  <si>
    <t>PC4460 -- .M86 2014eb</t>
  </si>
  <si>
    <t>MyxBlU1nGTfbEA1fEKCAmg==</t>
  </si>
  <si>
    <t>Exploited Earth : Britain's aid and the environment</t>
  </si>
  <si>
    <t>HC60 -- .H378 2009eb</t>
  </si>
  <si>
    <t>,1,2,3,10,7,5,4,6,8,9,11,12</t>
  </si>
  <si>
    <t>,43,44,45,46,46,47,47,48,43,405,403,404,306,307,308,304,305,309,310,311,312,313,314,315,316,317,318,319,34,36,35,32,33,45,46,47,44,49,50,51,52,53,54,55</t>
  </si>
  <si>
    <t>,1,2,2,3,3,1,1,2,3,2,3,1,2,2,43,44,45,43,42,41,44,45,42,40,45,40,39,37,38,36,38,41,42</t>
  </si>
  <si>
    <t>,97,98,99,95,96,57,58,59,55,56</t>
  </si>
  <si>
    <t>,1,2,1,2,3,3,2,2,917,917,919,919,915,916,916,920,920,915,920,921,921,922,922,923,923,918,917,916,915,920,573,574,573,575,575,574,572,577,576,577,576,579,579,578,578</t>
  </si>
  <si>
    <t>w0eWjy1M7f26ntSAGBNSrA==</t>
  </si>
  <si>
    <t>TXalqH/AKQW4UceQ7EGqHQ==</t>
  </si>
  <si>
    <t>Climate Change : Past, Present, and Future</t>
  </si>
  <si>
    <t>Science: Physics; Science: Geology; Science</t>
  </si>
  <si>
    <t>QC902.9 -- .M455 2015eb</t>
  </si>
  <si>
    <t>NY/POVGJYX8=</t>
  </si>
  <si>
    <t>God, Schools, and Government Funding : First Amendment Conundrums</t>
  </si>
  <si>
    <t>,84</t>
  </si>
  <si>
    <t>KF4124 -- .W56 2015eb</t>
  </si>
  <si>
    <t>344.73/072</t>
  </si>
  <si>
    <t>,1,2,3,10,8,4,5,6,7,9,10,11,12,13,14,15,16,17,18,19,20,3,6,7,4,79,80,81,77,78,82,83</t>
  </si>
  <si>
    <t>XZsWFdbC4k+L9yB/+41axQ==</t>
  </si>
  <si>
    <t>,1,2,3,14,15,16,12,13,31,32,33,29,30,16,17,18,117,118,119,115,116,120,121,122,123,117,124,125,126,127,128,124,124,129,128,130,126,131,127,125</t>
  </si>
  <si>
    <t>,117,118,119,120,121,122,123,124,125,126</t>
  </si>
  <si>
    <t>TkQ8BlA0eNU=</t>
  </si>
  <si>
    <t>,1,2,3,533,534,535,531,532,536,467,453,454,455,456,452,457,469,521,522,523,519,520,524,525,526,527,528</t>
  </si>
  <si>
    <t>hLa80ROcd5y5UkESmjQ3xg==</t>
  </si>
  <si>
    <t>Microbiology For Dummies</t>
  </si>
  <si>
    <t>,159,160,161,162,157,156,1,364,365,363,361,362,2,366,367,368,369,370,25,26,27,23,24,63,64,65,61,135,123,124,125,126,122,127,128,129</t>
  </si>
  <si>
    <t>QR41.2 -- .S74 2015eb</t>
  </si>
  <si>
    <t>The Birth of Theory</t>
  </si>
  <si>
    <t>,1,2,3,47,48,49,45,46</t>
  </si>
  <si>
    <t>B2949</t>
  </si>
  <si>
    <t>,363,364,1,365,361,362,2,366,367,368,369,370,371,25,27,23,24,28,45,46,47,43,44,210,211,212,208,189,190,191,187,157,156,153,140,185,152,150,151,155,157,158,158</t>
  </si>
  <si>
    <t>,1,2,3,66,67,68,64,65,63</t>
  </si>
  <si>
    <t>Biology and Ecology of Giant Kelp Forests</t>
  </si>
  <si>
    <t>Science: Botany; Science; Science: Biology/Natural History</t>
  </si>
  <si>
    <t>,1,1,1,1,3,3,2,2,2,2,302,302,304,303,300,304,303,301,301</t>
  </si>
  <si>
    <t>QK569.L53 -- .S35 2015eb</t>
  </si>
  <si>
    <t>Wetlands</t>
  </si>
  <si>
    <t>,573,574,575,576,577,578,579,580,581,582,583,584,585,586,587,588,589,590,591,592,593,594,595,596,597,598,599,600</t>
  </si>
  <si>
    <t>QH104 -- .M587 2015eb</t>
  </si>
  <si>
    <t>,573,573,574,575,576,577,578,579,580,581,582,583,584,585,586,587,588,589,590,591,592,593,594,595,596,597,598,599,600</t>
  </si>
  <si>
    <t>,1,2,2,3,1,3,2,2,573,573,575,574,571,575,574,572,572,589,589,591,591,587,573,574,575,571,572,576,577,576,577,571,572,589,590,591,587,588,588,601,602,601,603,602,603,599,600,600</t>
  </si>
  <si>
    <t>,1,2,3,173,174,175,171,172,176,177,178,179,174,173,172,171,180,176,181,182,184,185,186,186,180,180,181,1,182,178,179,183,2,184,185,186,180,186,181,275,276,271,269,270,267,268</t>
  </si>
  <si>
    <t>XOrp0fq14yuEjNB9Ce9jXw==</t>
  </si>
  <si>
    <t>DBT® Skills Training Manual, Second Edition</t>
  </si>
  <si>
    <t>,1,2,3,69,70,71,51,52,29,30,31,27,28,477,478,479,492,493,494,495,496,497,498,499,500,501,515,516,517,513,514,518,519,6,7,8,4,19,20,21,17,18,22,23,27,28,29,25,26,30,31</t>
  </si>
  <si>
    <t>RC489.D48 -- L56 2015eb</t>
  </si>
  <si>
    <t>,107,112,113,113</t>
  </si>
  <si>
    <t>,1,1,3,3,2,2,4,4,5,6,7,6,7,5,8,8,9,9,10,11,10,11,12,13,12,13,14,14,16,16,17,17,19,19,18,15,18,20,15,2,20,21,21,22,22,23,23,45,46,45,46,47,47,48,48,49,49,50,51,50,51,52,53,52,53,48,53,54,54,55,55,56,56,57,57,58,58,53,58,59,59,60,60,61,61,62,63,62,63,64,64,65,65,66,66,67,67,68,69,68,69,70,71,70,72,71,72,73,73,74,74,79,80,81,79,80,77,81,78,78,109,110,109,111,110,107,111,108,108,112,112,112</t>
  </si>
  <si>
    <t>lJOxZUCx68G+Nt8buvXiiQ==</t>
  </si>
  <si>
    <t>Marketing Performance Blueprint : Strategies and Technologies to Build and Measure Business Success</t>
  </si>
  <si>
    <t>HF5415 -- .R5666 2014eb</t>
  </si>
  <si>
    <t>658.8/02</t>
  </si>
  <si>
    <t>7X/ufCXo9ywxpbvLTxRz0Q==</t>
  </si>
  <si>
    <t>,1,2,3,4,5,6,7,8,9,10,11,12,13,14,15,16,17,18,19,20,21,22,23,24,25,26,27,28,29,30,31,32,33,34,35,36,37,38,39,40,41,42,43</t>
  </si>
  <si>
    <t>sFp3GPJmAe8=</t>
  </si>
  <si>
    <t>Masculinity in the Contemporary Romantic Comedy : Gender as Genre</t>
  </si>
  <si>
    <t>,4,5,6,7,9,14,23,24,15,12,16,13,17</t>
  </si>
  <si>
    <t>PN1995.9.C55 -- A35 2013eb</t>
  </si>
  <si>
    <t>Artificial Intelligence</t>
  </si>
  <si>
    <t>Computer Science/IT; Science</t>
  </si>
  <si>
    <t>,1,2,3,74,75,76,72,73,77,78,79,80,81,82,83</t>
  </si>
  <si>
    <t>Q335.4 -- .K37 2012eb</t>
  </si>
  <si>
    <t>,1,2,3,4,35,36,37,33,34</t>
  </si>
  <si>
    <t>,1,2,3,4,5,7,8,9,10,6,551,552,553,549,550</t>
  </si>
  <si>
    <t>IzzAEUZE3hvbYPwCJypiyQ==</t>
  </si>
  <si>
    <t>The Book of Yokai : Mysterious Creatures of Japanese Folklore</t>
  </si>
  <si>
    <t>,1,26,27,28,24,25,29,30,31,32,2,33,34,35,36,37,45,54,55,56,52,53,57,58,59</t>
  </si>
  <si>
    <t>,26</t>
  </si>
  <si>
    <t>GR340 -- .F66 2015eb</t>
  </si>
  <si>
    <t>,1,2,3,1,3,4,5,2,6,7,8,9,10,11,12,13,14,15,16,17,18,19,20,21,22,23,24,25,26,27,28</t>
  </si>
  <si>
    <t>,55,551,552,553,549,550,554,555,556,558,559,560</t>
  </si>
  <si>
    <t>,551,552,553,554,555,556,557,558,559,560,561,562,563,564,565,566,567,568,569,570,571,572</t>
  </si>
  <si>
    <t>m0EZqbZpCNhzmFq/+ArzmA==</t>
  </si>
  <si>
    <t>Bananas, Beaches and Bases : Making Feminist Sense of International Politics</t>
  </si>
  <si>
    <t>,115,116,114,115,116,112,113,117,118,119</t>
  </si>
  <si>
    <t>HQ1236 -- .E55 2014eb</t>
  </si>
  <si>
    <t>,1,2,3,52,53,50</t>
  </si>
  <si>
    <t>,1,2,3,4,5,6,7,10,11,12,8,9,112,113,114,110,111</t>
  </si>
  <si>
    <t>,1,2,3,228,229,230,226,227,231,232,224,10,11,12,22,24,21,20,19,23,25,26</t>
  </si>
  <si>
    <t>,1,2,3,8,9,10,6,7,136,137,138,134,135,139,64,65,66,62,63,67</t>
  </si>
  <si>
    <t>,196,197,198,199,200,201,202,203,204,205</t>
  </si>
  <si>
    <t>zs61p1tKWms=</t>
  </si>
  <si>
    <t>,1,2,3,491,492,493,489,490,651,649,650,494,495,491,496,497,498,499,500,501,502,503,504,505,506,507,508,479,480,481,477,478</t>
  </si>
  <si>
    <t>u9Eyk9f0t08=</t>
  </si>
  <si>
    <t>Professional Services Marketing : How the Best Firms Build Premier Brands, Thriving Lead Generation Engines, and Cultures of Business Development Success</t>
  </si>
  <si>
    <t>,102,103,104,105,106,107,165,166,163,164,168,169</t>
  </si>
  <si>
    <t>HD9980.5 -- .S357 2013eb</t>
  </si>
  <si>
    <t>,88,89,92,93,76,74,70,71</t>
  </si>
  <si>
    <t>,1,2,3,25,26,27,23,24,28,29,97,98,99,101</t>
  </si>
  <si>
    <t>,1,186,187,188,184,185,189,190,191,192,193,194,195,2</t>
  </si>
  <si>
    <t>,1,2,3,156,157,158,155,154,153,159,160,161,162,163,164,165,166,152</t>
  </si>
  <si>
    <t>,1,2,3,74,75,76,72,73,77,78,79,80,81,82,83,84,85,86,87,88,89,90,91,92,93</t>
  </si>
  <si>
    <t>8GCKHnJmYQI=</t>
  </si>
  <si>
    <t>Reality Therapy For the 21st Century</t>
  </si>
  <si>
    <t>,33,13,9,10,11,7,8</t>
  </si>
  <si>
    <t>RC489.R37</t>
  </si>
  <si>
    <t>PVnRAUzscFdJoOXp8fMrwg==</t>
  </si>
  <si>
    <t>,1,2,3,19,20,21,17,18,22,23,24,25,26,27,28,29,30,31,32</t>
  </si>
  <si>
    <t>MchGRSsNdSeUrLSOvCJamA==</t>
  </si>
  <si>
    <t>,1,266,267,268,264,265,263,2,7,8,9,5,6,10,11,12,13,53,54,55,51,52,56,261,262,259,260,260,1,261,262,258,259,269,270,271,272,283,284,285,281,286,282,2,287,288,289,290,291,292,293,294,295,279,278,275,267,274,277,273,276,280,317,318,319,315,316,320,321,322,323,324,325,326,327,1,327,328,329,325,326,324,330,2,331,332,333,334,335,1,335,336,337,333,334,338,339,340,2,341,342,129,130,131,127,128,132,133,134,135,136,137,138,150,151,152,148,149,153,154,155,156,157,356,357,358,354,355,325,326,327,323,324,330,331,332,328,329</t>
  </si>
  <si>
    <t>,1,2,3,149,150,151,147,148,152,153,154,155,156</t>
  </si>
  <si>
    <t>BCzRK2qu3Z0=</t>
  </si>
  <si>
    <t>,1,2,3,4,5,6,7,8,127,128,129,125,126</t>
  </si>
  <si>
    <t>,1,2,3,4,5,6,7,8,129,130,131,127,128,263,264,265,261,262,267,266</t>
  </si>
  <si>
    <t>6tI0yllAVDE=</t>
  </si>
  <si>
    <t>Successful Outsourcing and Multi-Sourcing</t>
  </si>
  <si>
    <t>,1,2,3,18,19,20,16,17</t>
  </si>
  <si>
    <t>HD2365 -- .P35 2014eb</t>
  </si>
  <si>
    <t>gywGAlrrip3wxZKVfDaiEg==</t>
  </si>
  <si>
    <t>Bulimia</t>
  </si>
  <si>
    <t>,14,1,14,2,3,21,22,23,19,20,24,25,26,26,1,27,28,24,25</t>
  </si>
  <si>
    <t>RC552.B84B</t>
  </si>
  <si>
    <t>,1,2,3,2,3,1,21,22,23,19,21,20,22,23,20,24,2,24,25,20,25,25,20,31,31,200,200,217,217,218,218,219,219,215,216,216,13,10,13,10,11,12,11,8,9,12,9,13,23,24,25,26,22,21,26,20</t>
  </si>
  <si>
    <t>,1,2,3,53,54,55,51,52,59,60,61,57,56,58,58,59,60,61,62,63,64,65,66,67,68,69,70,71,72,73,74,75,76,77,78,79,68,67,66,80,81,82,79,94,95,96,92,93,97,98,84,85,81,82,83,79,80,86,87,88,89,90</t>
  </si>
  <si>
    <t>,1,2,3,5,4,5,6,7,8,9,10,11,12,13,14,15,16,17</t>
  </si>
  <si>
    <t>NNFaF++vEup1q63r9/AECg==</t>
  </si>
  <si>
    <t>The Nativist Movement in America : Religious Conflict in the 19th Century</t>
  </si>
  <si>
    <t>Religion; History</t>
  </si>
  <si>
    <t>,32,33,34,35,36,37,38,39,41</t>
  </si>
  <si>
    <t>BR525 -- .O99 2013eb</t>
  </si>
  <si>
    <t>,1,3,4,5,6,7,8,9,51,52,53,49,54,55,56,57</t>
  </si>
  <si>
    <t>piPk1VAPfZg=</t>
  </si>
  <si>
    <t>,1,2,3,52,51,53,49,50</t>
  </si>
  <si>
    <t>,1,2,3,4,22,23,24,25,26,27,28,29,30,31,32,33,124,125,126,127,123,142,143,141,139,140,138,122,137,135,136,75,76,77,73,74,11,12,13,9,10,135,136,137,136,135,134,129,130,131,128,132,133</t>
  </si>
  <si>
    <t>,199,200,201,197,198,130,131,132,133,134,135,136,137,138</t>
  </si>
  <si>
    <t>,127,128,129,130,131,132,133,134,135,136</t>
  </si>
  <si>
    <t>nzHNfcDZ0ofTIwddxRtOQw==</t>
  </si>
  <si>
    <t>Purging the Poorest : Public Housing and the Design Politics of Twice-Cleared Communities</t>
  </si>
  <si>
    <t>,172,173,174,170,171,175,8,9,10,6,7,210,212,213,208,209,213,214,214,215,216,217,218,220,221,226,227,223,224</t>
  </si>
  <si>
    <t>HD7288</t>
  </si>
  <si>
    <t>363.5/850977311</t>
  </si>
  <si>
    <t>,1,2,3,18,19,20,16,17,21,22,23,24,25,26,8,9,10,6,7,42,43,44,40,41,45,11,26,27,28,29,30,31</t>
  </si>
  <si>
    <t>,1,2,3,89,90,91,87,88,127,128,129,126,125</t>
  </si>
  <si>
    <t>,1,2,3,136,137,138,134,135,1,2,3,4,5,6,7</t>
  </si>
  <si>
    <t>Grammar of the Seneca Language</t>
  </si>
  <si>
    <t>,45,51,1,51,52,49,50,2,3,4,5,6,7</t>
  </si>
  <si>
    <t>PM2296 -- .W35 2015eb</t>
  </si>
  <si>
    <t>,1,2,3,50,51,47,48,48,1,49,50,46,47</t>
  </si>
  <si>
    <t>,1,2,2,3,3,1,359,359,360,361,357,358,360,361,358,2</t>
  </si>
  <si>
    <t>,1,2,3,111,112,113,109,110,140,202,203,204,200,201,205,199,197,198,196,195,193,194,191,192,190,189,187,188,184,185,112,113,109,110,114,115,116,117,118,119,120,121,122,123,124,125,126,127,128,129,130,131,132,133,134,135,136,138,139,140,137,203,204,205,201,202,173,174,175,171,172,176,177,178,179,205,206,207,203,204,217,218,219,215,216,231,232,233,229,230,234,235,236,237,238</t>
  </si>
  <si>
    <t>,133,134,134,134,175</t>
  </si>
  <si>
    <t>Preventing Sexual Violence : Interdisciplinary Approaches to Overcoming a Rape Culture</t>
  </si>
  <si>
    <t>,79</t>
  </si>
  <si>
    <t>HV6556 -- .P748 2014eb</t>
  </si>
  <si>
    <t>,1,2,3,7,8,9,5,6,10,11,12,13,14,15,16,6,5,3,4,2,655,575,567,598,709,710,707,708,544,241</t>
  </si>
  <si>
    <t>,1,2,3,79,80,81,77,78</t>
  </si>
  <si>
    <t>+aQ7vxKaFYhHihxROFu2yw==</t>
  </si>
  <si>
    <t>,164,165,166,162,163,167,1,167,168,169,165,166,178,179,180,176,181,177,182,183,184,2,185,191,192,193,189,190,194,195,196,197,198,227,228,229,225,226,230,266,267,268,264,265,269,48,48,1,49,50,46,47,2,51,75,76,77,74,73,78,101,102,103,99,100,104,80,81,82,79,83,84,85,86,164,166,165,162,163,178,179,180,177,176,181,182,174,183,184,191,192,193,189,190,194,195,196,197,227,228,229,225,226,224,223,230,266,267,268,264,265,262,263,260,261,232,233,234,231,235</t>
  </si>
  <si>
    <t>,1,2,3,48,49,50,47,46,51,52,53,75,76,77,73,74,78,79,80,101,102,103,99,100,104,105,106,107</t>
  </si>
  <si>
    <t>uvXbB1BCueI=</t>
  </si>
  <si>
    <t>Poor Tom : Living "King Lear"</t>
  </si>
  <si>
    <t>,1,2,3,45,46,47,43,44,56,57,58,54,55,59,60,61,62,63,64,65,66,67,68,69,70,71,72,73,74,67,66,65,64,63,62,61,60,59,58,57,56,54,55,66,73,59,60,61,62,65,67,68,69,70,71,72,73</t>
  </si>
  <si>
    <t>,65,70</t>
  </si>
  <si>
    <t>PR2819</t>
  </si>
  <si>
    <t>822.3/3</t>
  </si>
  <si>
    <t>FWPuL340DRDZOi+0ta2SdA==</t>
  </si>
  <si>
    <t>Same-Sex Marriage</t>
  </si>
  <si>
    <t>Marshall Cavendish</t>
  </si>
  <si>
    <t>,1,2,3,4,5,6,7,8,109,110,111,107,108,121,122,123,119,120</t>
  </si>
  <si>
    <t>HQ1034.U5</t>
  </si>
  <si>
    <t>,1,2,3,4,5,6,7,8,9,10,11,111,112,113,109,110,114,115,116,117,118,119,120,121,122,123,124,125,126,127,128,129,122,121,120,119,118,123,124,125,126,127,128,119,125,126,126,126,127,128,129,130,165,166,151,152,149,150,173,174,175,171,172,170,169,165,166,167,163</t>
  </si>
  <si>
    <t>,120,122,123,123</t>
  </si>
  <si>
    <t>,80,79,81,77,78,76,75,74,70,71,72,68,69,73,74,75,76,77,78,79,80,80,81,82,83,84,85,86,87,88,89,90,91,92,114,115,152,154,155,156,153,157,150,151,149,148,147,146,145,144,143,142,141,140,139,138,137,136,134,135,139,140,141,142,143,144</t>
  </si>
  <si>
    <t>il/YRRhg2/r4GMKMyF05YA==</t>
  </si>
  <si>
    <t>The Italian Risorgimento</t>
  </si>
  <si>
    <t>,1,3,2,62,63,64,60,61,65,66,67</t>
  </si>
  <si>
    <t>DG552 -- .C53 2013eb</t>
  </si>
  <si>
    <t>,1,3,2,292,293,294,290,291,295,296,297</t>
  </si>
  <si>
    <t>,1,1,3,2,3,2,79,80,79,80,81,77,81,78,78,2,47,48,47,48,49,45,49,46,46,50,50,51,51,52,52,53,53,54,54,49,48,53,54,55,55,50,55,56,56,57,57</t>
  </si>
  <si>
    <t>,1,2,3,5,9,13,17,21,23,24,27,31,35,39,43,47,49,50,51,48,42,44,40,41,49,45,46,50,51,52,53,54,45,46</t>
  </si>
  <si>
    <t>IC9pra8CIL1AR/L2jxnouw==</t>
  </si>
  <si>
    <t>Country of Football : Soccer and the Making of Modern Brazil</t>
  </si>
  <si>
    <t>,31,30,29,28,26,27,37,38,1,38,39,40,36,37,70,71,72,68,69,2,110,111,112,18,11,12,13,9,10,73,74,108,109,113,114,115,116,117,118,119,75,1</t>
  </si>
  <si>
    <t>GV944.B7 -- .K57 2014eb</t>
  </si>
  <si>
    <t>,1,2,3,4,5,6,7,8,9,10,11,18,19,20,16,17,29,30,31,28,27,32,33,34,35,36</t>
  </si>
  <si>
    <t>Jepgyv+9+RzALWsMFdlNPw==</t>
  </si>
  <si>
    <t>Augustus</t>
  </si>
  <si>
    <t>,1,2,3,4,5,6,7,369,370,371,367,368,372,373,374,375,376,139,140,141,137,138</t>
  </si>
  <si>
    <t>DG279 -- .S68 2014eb</t>
  </si>
  <si>
    <t>d+2nWt9MD/WNBqNLDmTZKw==</t>
  </si>
  <si>
    <t>Poverty in America : A Handbook</t>
  </si>
  <si>
    <t>,1,2,3,26,27,28,25,24,37,38,39,35,36,40,41,42,43,44,45,46,47,48,49,50,51,53,52,54,55</t>
  </si>
  <si>
    <t>HC110.P6 -- I25 2013eb</t>
  </si>
  <si>
    <t>339.4/60973</t>
  </si>
  <si>
    <t>Nn+NsL2mU1Y=</t>
  </si>
  <si>
    <t>,1,2,3,4,5,3,4,5,6,7</t>
  </si>
  <si>
    <t>yNommIjyw3UzHSpXoBakcQ==</t>
  </si>
  <si>
    <t>Pageants, Parlors, and Pretty Women : Race and Beauty in the Twentieth-Century South</t>
  </si>
  <si>
    <t>,164,165,166,162,163,167,168,161,169,170,207,208,209,205,206,210,211</t>
  </si>
  <si>
    <t>E185.615 -- .R522 2014eb</t>
  </si>
  <si>
    <t>323.1196/07300904</t>
  </si>
  <si>
    <t>WMz8JjbXzmPHQ+1J/12iuw==</t>
  </si>
  <si>
    <t>,32,33,34,36,37,38,39,40,41,42,43,44,45,46,47,48,49,50,51,52,53,54,55</t>
  </si>
  <si>
    <t>,56,57,58,54,55,45,46,47,43,44,48</t>
  </si>
  <si>
    <t>,1,2,3,4,108,106,107,104,105,103,94,69,35,10,11,12,8,9,7,6,13,14,15,16,17,18,19,20,21,22,23,24,25,26,27,28,29,30,31</t>
  </si>
  <si>
    <t>Ancient Rome : A Sourcebook</t>
  </si>
  <si>
    <t>,585,586,583,584,582,587,588,589,590,591,592,593,594,595,596,597,598,599,600,601,602,603,604,605,606,607,608,609,610,611,612,613,614,615,616,617,618,619,620,621,664,665,666,662,667,669,670,671,672,668,676,677,678,680,682,683,684,685,681,686,687,679,675</t>
  </si>
  <si>
    <t>DG77 -- .D55 2005eb</t>
  </si>
  <si>
    <t>937/.6</t>
  </si>
  <si>
    <t>XENVpXpf6jahNNjgItgXcg==</t>
  </si>
  <si>
    <t>,1,2,3,4,5,6,7,235,236,237,233,234,231,232,230,238,239,240,241,242,547,548,546,545,549,543,544,550,551,552,553,554,555,556,557,558</t>
  </si>
  <si>
    <t>,1,2,3,137,138,139,135,136,140,141,142,143,144,145,146,147,148,149,150</t>
  </si>
  <si>
    <t>Pv8Bu53piE0=</t>
  </si>
  <si>
    <t>,61,107,108,109,105,106,113,114,115,111,112,131,132,133,129,130,137,138,139,135,136,140,141,116,117,118,119,156,157,158,154,155,159,160,161</t>
  </si>
  <si>
    <t>,1,2,3,4,5,38,39,40,36,37,43,44,45,41,42,48,49,50,46,47,51,52,53,59,60,56,57,58,54,55</t>
  </si>
  <si>
    <t>,205,206,351,352,353,349,369,370,371,367,368,372,373,374,375,376,377,243,244,245,242,241,239,240,238,236,232,233,234,230,231,229,228,227,226,225,224,223,222,221,220,219,218,217,216,369,370,371,368,367</t>
  </si>
  <si>
    <t>,1,139,140,141,137,138,2,142,194,195,196,192,193,197,198,199,200,201,202,203,204</t>
  </si>
  <si>
    <t>,1,60,58,2,29,30,31,27,28</t>
  </si>
  <si>
    <t>,13,14,16,18,19,20,22,26,42,57,74,116,117,118,114,115,120,121,119,113,112,111,110,109,108,107,106,105,104,103,102,101,100,99,97,98,96,95,94,93,92,91,90,89,88,87,86,85,84,83,82,81,80,79,78,77,76,75,74,73,71,72,70,69,68,67,66</t>
  </si>
  <si>
    <t>,1,2,3,105,148,151,154,163,164,162,161,159,160,157,153,149,145,116,52,53,54,50,51,49,4</t>
  </si>
  <si>
    <t>,19,20,21,22,23,24,25,26,27,28,29,30,31,32,33,34,35,36,37,38,39,23</t>
  </si>
  <si>
    <t>N0wOMHnmjkPWybASQp4nLw==</t>
  </si>
  <si>
    <t>,1,2,3,4,6,7,8,5,17,18,19,15,16,20,21,22,23,24,28,29,30,26,27,25,31</t>
  </si>
  <si>
    <t>Gti/7k0ZbPzMhR78oKKiow==</t>
  </si>
  <si>
    <t>,1,2,3,4,6,5,7,8,9,10</t>
  </si>
  <si>
    <t>,102,103,104,105,106,107,108,109,110,111,103,104,105,106,107,108,109,110,111,97,112,113,114,115,113,114,115,111,112,116,117,118,119,120,121,122,123,124,125,126,127,128,129,130,131</t>
  </si>
  <si>
    <t>,1,2,3,4,5,7,10,11,12,13,9,11,14,6,5,1,4,8,12,13,14,15,11,99,100,101,97,98</t>
  </si>
  <si>
    <t>,10,15</t>
  </si>
  <si>
    <t>,1,2,3,4,5,6,7,8,2,9,10,11,12,13,14,15,10,15</t>
  </si>
  <si>
    <t>VHuOJQgViXI=</t>
  </si>
  <si>
    <t>,125,131,126,125</t>
  </si>
  <si>
    <t>e8I25RGjeUZMacj9Xq4sbg==</t>
  </si>
  <si>
    <t>Research Methods in Second Language Acquisition : A Practical Guide</t>
  </si>
  <si>
    <t>P118.2 -- .R473 2012eb</t>
  </si>
  <si>
    <t>401/.93</t>
  </si>
  <si>
    <t>,1,2,3,127,128,129,125,126,130,137,138,139,136,134,135,133,132,131,128,126,127,125,131,126,125</t>
  </si>
  <si>
    <t>,1,2,3,51,52,53,49,50,54,49,54,55,56,70,71,72,69,67,68</t>
  </si>
  <si>
    <t>,1,2,3,7,207,208,209,205,206,210,211</t>
  </si>
  <si>
    <t>AlCzkk9poyc=</t>
  </si>
  <si>
    <t>Global Governance of Climate Change : G7, G20, and UN Leadership</t>
  </si>
  <si>
    <t>,13,14,10,11,12,8,9,23,24,25,26,19</t>
  </si>
  <si>
    <t>QC903 .K5618 2015</t>
  </si>
  <si>
    <t>363.738''7456</t>
  </si>
  <si>
    <t>ePTqxQOwyMSoZYuaDjWZpQ==</t>
  </si>
  <si>
    <t>Abortion Politics : Public Policy in Cross-Cultural Perspective</t>
  </si>
  <si>
    <t>,101,101,96</t>
  </si>
  <si>
    <t>HQ767 -- .A1858 1996eb</t>
  </si>
  <si>
    <t>363.4/6</t>
  </si>
  <si>
    <t>,1,2,3,25,26,27,23,24,2,62,63,64,60,61,65,58,59,56,57,221,222,223,219,220,224,225,226,227,228,229,230,233,234,235,231,232,236,237,238,239,240,268,269,270,266,267,271,272,273,274,275</t>
  </si>
  <si>
    <t>,1,2,3,1,2,3,2,2,90,91,90,91,92,92,88,89,89,93,93,94,94,95,95,96,96,97,97,98,98,99,100,100,99</t>
  </si>
  <si>
    <t>,1,2,3,20,21,22,18,19,21,22,2,20,21,22,18,19</t>
  </si>
  <si>
    <t>DPvxK8ShAqg=</t>
  </si>
  <si>
    <t>Loving Literature : A Cultural History</t>
  </si>
  <si>
    <t>,8,328,329,330,326,327,331,332,333,334,10,11,12,8,9,13,14,14,9,8,13,14,15,15,16,16,17,17,12,17,12,17,18,18,13,18,19,19,19,14,19,20,20,21,21,22,22,23,23,24,24,25,25,26,26,27,27,28,28,29,29,244,245,244,246,245,246,242,243,243,247,247,248,248,286,287,286,288,287,288,284,285,285,289,289,290,290,291,291,292,292,293,293,287,278,278,279,279,280,280,276,281,281,277,282,282,283,283,283,284,283,1,285,284,285,281,282,282,1,2,2,286,286,287,287,204,205,204,205,202,203,203,206,206,154,154,155,155,156,156,152,153,153,157,157,158,158,159,159</t>
  </si>
  <si>
    <t>PR129</t>
  </si>
  <si>
    <t>,1,10,11,10,12,11,8,12,1,9,9,2,2,328,329,328,330,329,326,330,327,327,325,324,329,332,332,333,333,334,330,334,331,329,331,328,333,334,335,335,10,11,12,8,9,13,13,8,13</t>
  </si>
  <si>
    <t>,1,2,3,4,5,6,7,8,10,11,12,9,29,30,31,27,28,32,33,34,35</t>
  </si>
  <si>
    <t>,1,2,3,4,4,5,6</t>
  </si>
  <si>
    <t>cQejDowmtVU=</t>
  </si>
  <si>
    <t>,1,2,3,138,139,140,136,137,141,142,143,144,145,146,147</t>
  </si>
  <si>
    <t>tInTO94CGx2M37ECz+fqLw==</t>
  </si>
  <si>
    <t>Human Factors Methods : A Practical Guide for Engineering and Design</t>
  </si>
  <si>
    <t>Engineering; Engineering: General</t>
  </si>
  <si>
    <t>,1,2,3,198,199,200,196,197,201,202,572,573,574,570,571,569,575,576,72,73,74,70,71</t>
  </si>
  <si>
    <t>T59.7 -- .S73 2013eb</t>
  </si>
  <si>
    <t>620.8/2</t>
  </si>
  <si>
    <t>Self-theories : Their Role in Motivation, Personality, and Development</t>
  </si>
  <si>
    <t>,1,2,3,4,5,6,8,7,9,10,11,12,13,14,15,16,17,18,19,20,21,22,23</t>
  </si>
  <si>
    <t>BF697 -- .D85 1999eb</t>
  </si>
  <si>
    <t>Bd2+p/6xysSufOv/4YUCoA==</t>
  </si>
  <si>
    <t>Coming to Mind : The Soul and Its Body</t>
  </si>
  <si>
    <t>,1,2,3,214,215,216,212,213,214</t>
  </si>
  <si>
    <t>BD421</t>
  </si>
  <si>
    <t>128/.1</t>
  </si>
  <si>
    <t>AvxQM/OYqsF+XsREUvQFig==</t>
  </si>
  <si>
    <t>,1,2,3,4,5,6,7,14,15,16,17,18,19,20,21,22,23,24,25,26,27</t>
  </si>
  <si>
    <t>b9ds+YphdPQ=</t>
  </si>
  <si>
    <t>Our Choices : Women's Personal Decisions About Abortion</t>
  </si>
  <si>
    <t>HQ766.5.U5</t>
  </si>
  <si>
    <t>HBJDhFPLXdw=</t>
  </si>
  <si>
    <t>Students' Identities and Literacy Learning</t>
  </si>
  <si>
    <t>LB1576 -- .M249 2002eb</t>
  </si>
  <si>
    <t>,1,2,3,154,155,156,153,152,157,158,159,160,161,162,163,150,151,149,147,148</t>
  </si>
  <si>
    <t>qg0FCpkGdgHtc+QbQyp3Wg==</t>
  </si>
  <si>
    <t>,1,967,968,969,965,966</t>
  </si>
  <si>
    <t>Bhl8R3KHNenS0xQs8188yQ==</t>
  </si>
  <si>
    <t>Blessing Same-Sex Unions : The Perils of Queer Romance and the Confusions of Christian Marriage</t>
  </si>
  <si>
    <t>BT707</t>
  </si>
  <si>
    <t>234/.165</t>
  </si>
  <si>
    <t>,1,2,3,4,5,6,7,8,9,10,48,49,50,46,47,51,45,41,36,14,45,194,195,196,192,193,49,50,46,47,51,52,53,54</t>
  </si>
  <si>
    <t>YKN+P+3iXfI56rEgmuld0w==</t>
  </si>
  <si>
    <t>,4,5,6,7,8,9,10,11,12,13,14,15,16,17,18,20,21,23,22,25,24,26,27,28,29,30,31,32,33,101,102,99,103,100,104,105,106</t>
  </si>
  <si>
    <t>LVq9dF/xM3AJSXQrUB34Ng==</t>
  </si>
  <si>
    <t>,171,171,171,172,173,174,175,176,177,178,178,179,179,181,182,186,188</t>
  </si>
  <si>
    <t>,1,2,3,135,136,137,133,134,138,140,141,142,139,171,172,173,169,170,174,175,176,177,178,179,180,181,182</t>
  </si>
  <si>
    <t>,1,2,3,1,8,9,11,14</t>
  </si>
  <si>
    <t>,16,17,18,19,20,21,22,23,24,25,26,27,28,29,30,31,32,33,34,35,36,37,38,39,40,41,42,43,44,45,46,47,48,49,50,51,52,53,54,55,56,57,58,59,60,61,62,47,36,31,26,25,27,23,24,16,4,12,13,14,15,17,18,19,20</t>
  </si>
  <si>
    <t>nfT2sHTuOqGrbPpeB34oUw==</t>
  </si>
  <si>
    <t>,1,2,3,471,472,473,469,470,468,474,475</t>
  </si>
  <si>
    <t>,1,2,3,580,581,471,472,473,469,470,474,475,476,477,478</t>
  </si>
  <si>
    <t>kYbHQx+Uy7I=</t>
  </si>
  <si>
    <t>,214</t>
  </si>
  <si>
    <t>,1,2,3,4,5,6,7,8,9,10,11,12,13,14,15,16,17,18,19,20,21,22,94,217,218,214,215,213</t>
  </si>
  <si>
    <t>FLUxzXJRyFrRAJvzBnfWUw==</t>
  </si>
  <si>
    <t>Textbook of Obesity : Biological, Psychological and Cultural Influences</t>
  </si>
  <si>
    <t>,185,186,187,183,184,188,189,190,191,192,446,447,1,447,448,449,445,446,450,2,451,453,454</t>
  </si>
  <si>
    <t>RC628 -- .T49 2012eb</t>
  </si>
  <si>
    <t>616.3/98</t>
  </si>
  <si>
    <t>,117,118,119,120,121,122,123,124,125,126,127,128,129,130,124,120,117,113,110,87,88,84,85,89,91,86,92,93,94,1,2,3,173,174,175,171,172,170</t>
  </si>
  <si>
    <t>,1,2,3,111,112,113,109,110,114,115,116</t>
  </si>
  <si>
    <t>A Breton Landscape : From The Romans To The Second Empire In Eastern Brittany</t>
  </si>
  <si>
    <t>History; Business/Management</t>
  </si>
  <si>
    <t>HD649.B8 -- A88 2003eb</t>
  </si>
  <si>
    <t>,127,128,129,130,131</t>
  </si>
  <si>
    <t>,1,2,3,4,5,6,7,66,67,68,64,65,70,71,72,69,63,56,44,39,40,41,37,185,186,184,187,183,182,180,181,179,178,275,276,277,274,273</t>
  </si>
  <si>
    <t>OjTPmRcGAXT2qS263MDCTA==</t>
  </si>
  <si>
    <t>Walden Warming : Climate Change Comes to Thoreau's Woods</t>
  </si>
  <si>
    <t>,1,2,3,4,5,6,7,8,9,10,11,12,13,14,15,16,17,137,138,139,260,261,262,258</t>
  </si>
  <si>
    <t>QH105.M4 -- P75 2014eb</t>
  </si>
  <si>
    <t>,124,125,126</t>
  </si>
  <si>
    <t>j2XMYw5IxNSByTTf9frNRA==</t>
  </si>
  <si>
    <t>Coding For Kids For Dummies</t>
  </si>
  <si>
    <t>,1,2,3,4,4,5,6,7,8,1,5,6,7</t>
  </si>
  <si>
    <t>QA76.6 -- .M338 2015eb</t>
  </si>
  <si>
    <t>,1,2,3,4,5,6,141,142,143,139,140,187,184,184,1,185,186,182,183,181,2,179,178,176,175,22,23,24,20,21,31,33,29,30,41,43,39,40,49,50,51,47,48,52,53,119,120,121,117,118,122,123</t>
  </si>
  <si>
    <t>2fc7VxAQexU=</t>
  </si>
  <si>
    <t>Ayurveda For Dummies</t>
  </si>
  <si>
    <t>,1,2,3,12,13,19,20,21,22,23,24,25,26</t>
  </si>
  <si>
    <t>R733</t>
  </si>
  <si>
    <t>,1,2,3,2,3,1,2,2,111,112,111,113,112,109,113,110,110,114,114,115,115,116,116,117,117</t>
  </si>
  <si>
    <t>,1,3,2,1,3,2,2,2,111,111,112,110,109,112,113,110,113,114,114,115,115,116,117,116,117,41,41,42,42,43,43,44,40,44,45,45,46,47,46,47,48,48,49,49,50,51,50,51,49,50,49,50,47,51,48,51,48</t>
  </si>
  <si>
    <t>,1,2,3,111,112,113,109,110,114,115,116,117,118,119,120,121</t>
  </si>
  <si>
    <t>Concrete Revolution : Large Dams, Cold War Geopolitics, and the US Bureau of Reclamation</t>
  </si>
  <si>
    <t>Engineering; Economics; Engineering: Civil; Environmental Studies</t>
  </si>
  <si>
    <t>,1,2,3,14,15,16,12,13,17,27,28,29,25,26,30,31,32,25,24,23,22,21,20,34,34,34,34,34,34,34,35,33,42,39,40</t>
  </si>
  <si>
    <t>TC556</t>
  </si>
  <si>
    <t>jJz6D1eHJkVJrvOtaJBMQA==</t>
  </si>
  <si>
    <t>London : The Selden Map and the Making of a Global City, 1549-1689</t>
  </si>
  <si>
    <t>,1,2,3,322,323,324,325,321,111,112,113,141,142,33,34,35,22,23,24,20,21,25,26,28,29,30,31,32,33,34,35,36,37,38,39,40,42,43,44,45,46,47,49,50,51,52,58,59,60,61,62,63,64,65,66,67,68,69,70,71,72,73,74,75,76,77,78</t>
  </si>
  <si>
    <t>DA681</t>
  </si>
  <si>
    <t>,42,42,37,42,43,43,44,44</t>
  </si>
  <si>
    <t>,1,2,2,3,1,3,4,4,5,5,6,7,6,7,8,8,11,12,9,11,13,14,13,14,15,12,15,16,2,16,17,18,19,18,19,17,20,9,20,21,22,21,22,23,23,24,25,24,25,27,26,26,27,28,28,29,29,30,30,31,31,32,32,33,33,28,33,34,34,35,35,36,36,37,37,38,38,39,39,40,40,41,41</t>
  </si>
  <si>
    <t>An Engineer's Guide to Mathematica</t>
  </si>
  <si>
    <t>Mathematics; Engineering; Engineering: Civil</t>
  </si>
  <si>
    <t>TA345.5.M38 M34 2014</t>
  </si>
  <si>
    <t>510.285/53; 510.28553</t>
  </si>
  <si>
    <t>,1,2,3,137,138,139,135,136,140,141,142,143,144,145,146,147,148,130,131,132,128,129,127,133,22,23,24,20,21,25,26,27,8,10,11,12,9,13,14,15,16,17,18,19</t>
  </si>
  <si>
    <t>f60HLwwWO40=</t>
  </si>
  <si>
    <t>,1,26,27,28,24,25</t>
  </si>
  <si>
    <t>GxuCdG8zaXmwEtb6MvMXfA==</t>
  </si>
  <si>
    <t>,1,2,3,19,258,332,282,192,170,188,190,206,219,211,208,209,210,207</t>
  </si>
  <si>
    <t>Urx/5vGPHQ46bVgj0SiOBg==</t>
  </si>
  <si>
    <t>Nonviolent Resistance : A Philosophical Introduction</t>
  </si>
  <si>
    <t>,1,2,3,4,5,6,7,8,9,10,11,12,13,14,15,16,17,18,19,20,21,30,31,32,29,28,33,34,35,36,37,38,39,40,41</t>
  </si>
  <si>
    <t>HM1281 .M395 2015</t>
  </si>
  <si>
    <t>,1,2,3,23,24,25,21,22</t>
  </si>
  <si>
    <t>MPlCGyaE3i4=</t>
  </si>
  <si>
    <t>Climate Change and Political Strategy</t>
  </si>
  <si>
    <t>Environmental Studies</t>
  </si>
  <si>
    <t>,48,49,50,51,52,53,55,56,57,54,10</t>
  </si>
  <si>
    <t>,1,41,40,38,2,43,45,46,47</t>
  </si>
  <si>
    <t>qLtnugAbT9dDdSI8hn7rPA==</t>
  </si>
  <si>
    <t>Keynes and Friedman on Laissez-Faire and Planning : ‘Where to draw the line?’</t>
  </si>
  <si>
    <t>,1,2,3,52,53,54,50,51</t>
  </si>
  <si>
    <t>HB95 -- .R58 2013eb</t>
  </si>
  <si>
    <t>,1,3,2,7,14,15,16,12,13</t>
  </si>
  <si>
    <t>Recipe Girl Cookbook</t>
  </si>
  <si>
    <t>Home Economics</t>
  </si>
  <si>
    <t>,1,2,3,326,327,328,324,325,329,250,251,248,249,253,245,246,247,252,254,255,256,258,259,260</t>
  </si>
  <si>
    <t>TX715 -- .L36 2013eb</t>
  </si>
  <si>
    <t>Thailand With Your Family</t>
  </si>
  <si>
    <t>DS563 -- .F76 2009eb</t>
  </si>
  <si>
    <t>M5fRRj3lPUc=</t>
  </si>
  <si>
    <t>,1,2,3,25,26,27,23,24,28,29</t>
  </si>
  <si>
    <t>9EPc6tkstPw=</t>
  </si>
  <si>
    <t>Climate Change and Global Health</t>
  </si>
  <si>
    <t>Social Science; Health; Medicine</t>
  </si>
  <si>
    <t>,246,248,246,247,248,244,247,245,245,249,249,249,250,250,250,251,251,252,252,247,252,253,253,254,254,255,255,255,253,254,255,251,252,250</t>
  </si>
  <si>
    <t>RA793 -- .C5766 2014eb</t>
  </si>
  <si>
    <t>616.9/88</t>
  </si>
  <si>
    <t>/gpOmA0WdI0=</t>
  </si>
  <si>
    <t>Film Rhythm after Sound : Technology, Music, and Performance</t>
  </si>
  <si>
    <t>,23,22,12,13,232,233,234,230,231,235,236,237,238,239,240,241,242,243,244,245,246,247</t>
  </si>
  <si>
    <t>,10,11,16,17,18,19,20,21,22,23,24,25,26,27,28,29,30,31,32,33,34,35,36,37,38,39,232,233,234,235,236,237,238,239,240,241</t>
  </si>
  <si>
    <t>PN1995.7 -- .J33 2015eb</t>
  </si>
  <si>
    <t>791.43/6578</t>
  </si>
  <si>
    <t>rbgQzTSN4W4=</t>
  </si>
  <si>
    <t>Indigenous Studies and Engaged Anthropology : The Collaborative Moment</t>
  </si>
  <si>
    <t>GN380 -- .I537 2015eb</t>
  </si>
  <si>
    <t>305.8/00723</t>
  </si>
  <si>
    <t>,1,2,3,16,17,18,14,15,19,20,21,22,23,24,25,26,27,28,29,30,31,32,33,34,35,36,37,38,39,40,41,42,43,44,45,46,47,48,49,50,51,52,54,55,56,59,60,61,62,64,65,66,67,68,70,71,72,73,74,75,16,17,18,14,15,13,11,12,10,9,8,7,6,19,20,21,24,26,28,31,32,33,29,34,35,36,37,38,39,40,41,42,30,27</t>
  </si>
  <si>
    <t>,4,5,6,7,8,9,10,11,9,9,9,12,13,167,168,169,165,166,255,253,254,252,250,251,249,248,247,246,1,3,4,5,6,12,13,14,15,16,17,18,19,20,21,22,23,24,25,26,27,28,6,5,4,3</t>
  </si>
  <si>
    <t>,11,12,13,14,15,16,17,18,19,20,21,22,23,24,25,26,27</t>
  </si>
  <si>
    <t>AWyl8+ROiO7r8Jr4ts4KUg==</t>
  </si>
  <si>
    <t>Excel VBA Programming For Dummies</t>
  </si>
  <si>
    <t>Business/Management; Computer Science/IT</t>
  </si>
  <si>
    <t>,1,2,3,4,5,6,7,8,9,10,11,12,13,14,15,16,17,19,20,21,18,22,23,24</t>
  </si>
  <si>
    <t>HF5548.4.M523 W34573 2010</t>
  </si>
  <si>
    <t>IgmqXVgOdpXzmjxTjkkpsA==</t>
  </si>
  <si>
    <t>,1,2,3,14,15,16,12,13,17,18,19,20,21,22,23,24,25,26,27,33</t>
  </si>
  <si>
    <t>Himonroe</t>
  </si>
  <si>
    <t>Music Theory For Dummies, with Audio CD</t>
  </si>
  <si>
    <t>,35,30,35,36,36,37,37,38,38</t>
  </si>
  <si>
    <t>,32</t>
  </si>
  <si>
    <t>10.36.89.18</t>
  </si>
  <si>
    <t>MT6 -- .P55 2012eb</t>
  </si>
  <si>
    <t>,1,2,3,111,112,113,109,110,114,115,116,117,118,119,120,121,122</t>
  </si>
  <si>
    <t>,117</t>
  </si>
  <si>
    <t>,1,3,2,113,114,115,112,111,116,117,118,119,120,121,122,94,95,96,92,93,89,85,76,72,67,63,58,54,50,45,41,37,32,28,24,19,15,11,10,9,7,8</t>
  </si>
  <si>
    <t>,1,2,2,3,3,1,4,4,5,5,6,6,9,9,10,10,11,11,30,30,22,22,23,23,24,24,20,21,21,1,2,3,2,2,4,5,6,7,7,8,8,9,10,11,12,12,13,13,14,14,15,15,16,16,17,17,18,18,19,19,21,22,23,20,24,25,25,25,26,26,27,27,28,28,29,29,29,30,31,32,32,33,33,28,33,34,34,35,35,30</t>
  </si>
  <si>
    <t>r016CC3XA0ZlTJQ0LWjaDQ==</t>
  </si>
  <si>
    <t>Dropout Prevention</t>
  </si>
  <si>
    <t>LC146.6 -- .G67 2014eb</t>
  </si>
  <si>
    <t>,1,2,3,4,5,6,7,8,9,10,11,12,13,14,15,16,17,18,19,18,19,16,13,14,15,11,12,20,21,22,23,24,25,26</t>
  </si>
  <si>
    <t>o4H5IISf38tvv0CAdC1XOg==</t>
  </si>
  <si>
    <t>Kitchen and Bath Design Principles : Elements, Form, Styles</t>
  </si>
  <si>
    <t>,1,2,3,4,5,6,7,8,101,240,241,238,239,237,2,229,1,3,4,5,6,7,8,9,10,11,12,13,14,15,16,17,18,19,20,21,15</t>
  </si>
  <si>
    <t>NK2117.K5 -- .W65 2015eb</t>
  </si>
  <si>
    <t>747.7/8</t>
  </si>
  <si>
    <t>Ritual Texts for the Afterlife : Orpheus and the Bacchic Gold Tablets</t>
  </si>
  <si>
    <t>BL790 -- .G73 2013eb</t>
  </si>
  <si>
    <t>,1,2,3,3,2,1,2,2,10,10,12,8,11,12,11,9,9</t>
  </si>
  <si>
    <t>w20l77uY2ho=</t>
  </si>
  <si>
    <t>Zero Hunger : Political Culture and Antipoverty Policy in Northeast Brazil</t>
  </si>
  <si>
    <t>HC190.P63 -- .A57 2014eb</t>
  </si>
  <si>
    <t>362.5/2610981</t>
  </si>
  <si>
    <t>,18,7,8,9,5,10,6,11,12,19,20,21,22</t>
  </si>
  <si>
    <t>eniO20sWPZ0=</t>
  </si>
  <si>
    <t>Companion Animal Ethics</t>
  </si>
  <si>
    <t>Agriculture; Philosophy</t>
  </si>
  <si>
    <t>,1,2,3,4,23,24,25,21,22,199,200,201,197,198,202,203,198,198</t>
  </si>
  <si>
    <t>SF411.5 -- .S263 2016eb</t>
  </si>
  <si>
    <t>179/.3</t>
  </si>
  <si>
    <t>RVevHNNOa3U=</t>
  </si>
  <si>
    <t>Theory of Addiction</t>
  </si>
  <si>
    <t>,1,2,3,4,5,6,296,297,298,294,295</t>
  </si>
  <si>
    <t>RC564 .W47 2006eb</t>
  </si>
  <si>
    <t>362.29; 616.86/001</t>
  </si>
  <si>
    <t>Contemporary Approach to Substance Use Disorders and Addiction Counseling : A Counselor's Guide to Application and Understanding</t>
  </si>
  <si>
    <t>,7,1,9,8,5,6,2,183,184,185,181,182</t>
  </si>
  <si>
    <t>RC564 -- .B74 2015eb</t>
  </si>
  <si>
    <t>362.29/186</t>
  </si>
  <si>
    <t>oVPnFm9Rs9I=</t>
  </si>
  <si>
    <t>Companion to Women in the Ancient World</t>
  </si>
  <si>
    <t>,1,2,3,60,61,62,58,59,63</t>
  </si>
  <si>
    <t>,61</t>
  </si>
  <si>
    <t>HQ1127 -- .C637 2012eb</t>
  </si>
  <si>
    <t>,1,2,3,108,109,110,106,107,111,112</t>
  </si>
  <si>
    <t>,1,2,3,4,20,21,22,18,19,31,32,53,54,55,51,52,109,110,1,111,112,108,109,2,107,106,113,114,109,114,114,115,116,117,118,119,120,121,122,123,124,125,120,119,126,118,117,116,115,114,113,112,117,118,119,117,117,118,119,118,118,119,112,118,119,120,121,497,498,499,495,496,500,501,502,505,503,504,506,507,508,510,511,1,511,512,513,509,510,508,514,515,516,517,518,519,520,521,2,522,523,524,525,527,528,530,531,529,532,533,536,537,538,534,535,539,540,541,542,543,545,544,546,547,548,549,550,551,552,553</t>
  </si>
  <si>
    <t>,111,112,113,113,113,114,114,115,116</t>
  </si>
  <si>
    <t>,1,2,3,306,307,308,304,305,320,321,317,318,244,245,246,242,243</t>
  </si>
  <si>
    <t>ewMOtarzYpFVdvTN3n8Llg==</t>
  </si>
  <si>
    <t>Ecofeminism and Systems Thinking</t>
  </si>
  <si>
    <t>HQ1194 -- .S74 2013eb</t>
  </si>
  <si>
    <t>,38,38,39,39</t>
  </si>
  <si>
    <t>gcq8JIazG3M=</t>
  </si>
  <si>
    <t>,1,2,3,413,414,415,411,412,416,417,418,419,420,421,422,423,424,425,426,427,428</t>
  </si>
  <si>
    <t>,1,3,2,4,5,6,7,8,9,10,11,12,13,14,15,16,17,18,19,20,21,22,23,24</t>
  </si>
  <si>
    <t>,1,2,1,3,2,3,4,4,5,5,6,7,6,7,8,8,9,9,4,9,10,10,11,11,12,12,2,13,13,14,14,15,16,15,16,17,18,19,18,19,17,20,20,21,21,22,23,22,23,24,24,25,25,26,26,27,27,28,28,29,29,30,30,31,31,32,32,33,33,34,34,35,35,36,36,37,37</t>
  </si>
  <si>
    <t>EtEQ37DmBXligX7dK+qd/g==</t>
  </si>
  <si>
    <t>Defiant Teens, Second Edition : A Clinician's Manual for Assessment and Family Intervention</t>
  </si>
  <si>
    <t>,1,2,3,4,5,6,216,217,218,214,215</t>
  </si>
  <si>
    <t>RJ506.O66 -- .B375 2014eb</t>
  </si>
  <si>
    <t>P2mFCe45fxSOMkNDtN34Lg==</t>
  </si>
  <si>
    <t>American Presidents Ranked by Performance, 1789–2012</t>
  </si>
  <si>
    <t>,1,2,3,275,276,277,273,274,278,279,280,281,282,283,285,286</t>
  </si>
  <si>
    <t>E176.1 -- .F215 2012eb</t>
  </si>
  <si>
    <t>973.09/9</t>
  </si>
  <si>
    <t>odt0ccDIi6nAGYBWyCFV9g==</t>
  </si>
  <si>
    <t>,1,2,3,5,6,7,8,9,10,11,12,13,14,15,16,18,19,20,17,25,26,27,23,24,28,29,30,31,34,36,37,38,35</t>
  </si>
  <si>
    <t>jtEIWNIWn+k=</t>
  </si>
  <si>
    <t>Radical Relations : Lesbian Mothers, Gay Fathers, and Their Children in the United States since World War II</t>
  </si>
  <si>
    <t>,1,2,3,154,155,156,157,158,159,160</t>
  </si>
  <si>
    <t>HQ75.28.U6 -- R58 2013eb</t>
  </si>
  <si>
    <t>306.874086/64</t>
  </si>
  <si>
    <t>AF5svn61c0IbsU8L38Xhww==</t>
  </si>
  <si>
    <t>Handbook of Psychology, Clinical Psychology</t>
  </si>
  <si>
    <t>,1,2,3,97,98,99,95,96,100,101,102,103,104</t>
  </si>
  <si>
    <t>RC467 -- .C55 2013eb</t>
  </si>
  <si>
    <t>Eating and its Disorders</t>
  </si>
  <si>
    <t>,21</t>
  </si>
  <si>
    <t>RC552.E18 -- E28 2012eb</t>
  </si>
  <si>
    <t>,1,2,3,25,26,27,23,24,28,22</t>
  </si>
  <si>
    <t>The Politics of Belgium : Institutions and Policy under Bipolar and Centrifugal Federalism</t>
  </si>
  <si>
    <t>,1,2,3,4,5,6,7,8,9,10,12,13,14,15,18,19,20,21,17,19,20,21,17,32,33,34,30,31,35,36,37,39,38,40,60,61,62,58,59,412,413,414,410,411,415,416,417,418,419,420,421,422,423,428,429,430,426,427</t>
  </si>
  <si>
    <t>zAOSf2+ygK078wlEDX16rQ==</t>
  </si>
  <si>
    <t>Eating Disorders and Obesity : A Counselor's Guide to Prevention and Treatment</t>
  </si>
  <si>
    <t>,1,2,3,37,38,39,35,36,40,41</t>
  </si>
  <si>
    <t>136.204.32.67</t>
  </si>
  <si>
    <t>RC552.E18 -- .E28253 2013eb</t>
  </si>
  <si>
    <t>616.85/2606</t>
  </si>
  <si>
    <t>,95</t>
  </si>
  <si>
    <t>,1,2,3,92,93,94,90,91,95,96,97</t>
  </si>
  <si>
    <t>jJnEVEF47zk=</t>
  </si>
  <si>
    <t>The Constitution of Society : Outline of the Theory of Structuration</t>
  </si>
  <si>
    <t>,8,9,10,11,12,13,14,15,16,17,18,19,20,21,22,23,24,25,26,27,28,29,30,31,32,33,34,35,36,37,38,39,40,41,42,43,44,45,46,47,48,49,50,50,51,52,53,54,55,56,57,58,59,60,61,62,63,64,65,66,8,9,10,11,12,13,14,15,16,17,18,19,20,21,22,23,24,25,26,27,28,29,30,31,32,33,34,35,36,37,38,39,40,41,42,43,44,45,46,47,48,49,50,50,51,52,53,54,55,56,57,58,59,60,61,62,63,64,65,66,67,68,69,70,71,72,73,74,75,76,77,78,79,80,81,82,8,9,10,11,12,13,14,15,16,17,18,19,20,21,22,23,24,25,26,27,28,29,30,31,32,33,34,35,36,37,38,39,40,41,42,43,44,45,46,47,48,49,50,50,51,52,53,54,55,56,57,58,59,60,61,62,63,64,65,66,67,68,69,70,71,72,73,74,75,76,77,78,79,80,81,82,83,84,85,86,87,88,89,90,91,92,93,94,94,95,96,97,98,99,100,101,102,103,104,105,106,107,108,109,110,111,112,113,114,115,116</t>
  </si>
  <si>
    <t>H61</t>
  </si>
  <si>
    <t>,402,403,404,405,406,407,408,409,410,413,414,411,412,415</t>
  </si>
  <si>
    <t>,16,1,17,18,14,15,65,66,67,64,63,2,68,69,70,71,72,73,204,205,202,203,206,201,341,342,343,339,340,344,74,75,76,77,78,79,80,80,81,82,83,84,83,85,296,297,12,13,10,11,73,302,303,304,300,301,305,306,166,167,168,164,165,86,87,88,89,90,91,91,169,170,171</t>
  </si>
  <si>
    <t>,1,2,3,399,400,401,397,398</t>
  </si>
  <si>
    <t>I6ww+EsefqHdAZVTnEeHWQ==</t>
  </si>
  <si>
    <t>,1,2,3,52,53,54,50,51,55,56,57,58,59,60,61,62,63,64,65,66,73,74,75,71,72,76,77,78,79,80,81,82,83,84,85,99,100,101,97,98,102,149,150,151,148,147,152,153,154,155,160,161,162,158,159,163,164,165,166</t>
  </si>
  <si>
    <t>pBm4qH9rKdXlmXzReV30+w==</t>
  </si>
  <si>
    <t>Comic Books and the Cold War, 1946–1962 : Essays on Graphic Treatment of Communism, the Code and Social Concerns</t>
  </si>
  <si>
    <t>Fine Arts; Literature</t>
  </si>
  <si>
    <t>,175,174,181,182,184,185,186,187,188,189,190,199,198,200,201,197,199,1,200,201,197,198,2</t>
  </si>
  <si>
    <t>,199</t>
  </si>
  <si>
    <t>PN6725 -- .C633 2012eb</t>
  </si>
  <si>
    <t>741.5/30973</t>
  </si>
  <si>
    <t>tXMSt62aofecsqAbc7F5gA==</t>
  </si>
  <si>
    <t>Asperger Syndrome, Second Edition : Assessing and Treating High-Functioning Autism Spectrum Disorders</t>
  </si>
  <si>
    <t>,159,160,161,157,158,162,163,164,165,158,159,92,64,60,57,55,45,44,15,16,17,13,1,2,3,4,5,6,7,8</t>
  </si>
  <si>
    <t>RC553.A88 -- .A788 2014eb</t>
  </si>
  <si>
    <t>csg2XZY7btU=</t>
  </si>
  <si>
    <t>Payback : The Case for Revenge</t>
  </si>
  <si>
    <t>Law; Social Science</t>
  </si>
  <si>
    <t>K5103 -- .R674 2013eb</t>
  </si>
  <si>
    <t>Funnybooks : The Improbable Glories of the Best American Comic Books</t>
  </si>
  <si>
    <t>,130,132,131,128,129,133,13,14,15,11,12,16,17,18,19,20,21,22,24,23,25,26,27,28,29,30,31,32,41,42,43,40,39,360,361,362,358,359,363,364,365,366,367,368,369,371,372,117,118,115</t>
  </si>
  <si>
    <t>PN6725 -- .B37225 2015eb</t>
  </si>
  <si>
    <t>,1,2,3,28,29,30,31,27,32,33,34,35,29,44,45,46,42,43,47,41,40,39,44,38,37,36,12,4,5,6,7,8,9,10,11,13,14,15,16</t>
  </si>
  <si>
    <t>,1,2,3,179,180,176,177,28,29,30,26,39,40,41,37,38,54,55,56,52,53,57,58,64,65,66,63,77,78,79,75,76,101,102,103,99,138,139,140,136,137</t>
  </si>
  <si>
    <t>yDjOWcCcHM71UayaaFI7BA==</t>
  </si>
  <si>
    <t>Black Hole Focus : How Intelligent People Can Create a Powerful Purpose for Their Lives</t>
  </si>
  <si>
    <t>BF637.S8 .H384 2014</t>
  </si>
  <si>
    <t>,1,121,123,119,122,120,117,118,124,125,126,2,127,128,129,130,131,132</t>
  </si>
  <si>
    <t>P2+y4M6TIBllLWd7W6mNvQ==</t>
  </si>
  <si>
    <t>,1,2,3,9,10,8,42,48,52,17,15,16,13,14,51,53,50,49,54,46,47</t>
  </si>
  <si>
    <t>Cl5iLfXlxpl+XHwQGQmeLQ==</t>
  </si>
  <si>
    <t>,262,262</t>
  </si>
  <si>
    <t>,1,2,3,114,115,116,117,113,112,118,119,120,121</t>
  </si>
  <si>
    <t>9nP4qA2gWmuBR/uc4MIekA==</t>
  </si>
  <si>
    <t>Ancient Greece from Homer to Alexander : The Evidence</t>
  </si>
  <si>
    <t>DF12 -- .R65 2011eb</t>
  </si>
  <si>
    <t>,1,2,3,4,5,6,7,8,9,10,262,263,264,260,261</t>
  </si>
  <si>
    <t>,212,213,214,215,216,217,218,219,220,221,222,223,224,225,226,227,329,324,323,325,292,269,260,257,251,243,242,241,239,240,244,245,246,247,248,249,250,252,253,264,266,272,275,277,280,285,284,286,282,283,287,288,289,290,291,293,294,347,341,342,343,344,345,346,348,349,350,351,352,353,354,355,356,357,358,359,360,361,362,363,364,365,366,367,374,388,386,385,384,382,383,389,390,387,1,388,389,385,386,2,390</t>
  </si>
  <si>
    <t>,1,2,3,204,205,206,202,203,207,208,209,210,211</t>
  </si>
  <si>
    <t>sL2Fw3BsB14=</t>
  </si>
  <si>
    <t>Biosecurity : The Socio-Politics of Invasive Species and Infectious Diseases</t>
  </si>
  <si>
    <t>,1,18</t>
  </si>
  <si>
    <t>JZ5865.B56 -- .B576 2013eb</t>
  </si>
  <si>
    <t>Alfred the Great : The King and His England</t>
  </si>
  <si>
    <t>,1,2,3,4,5,7,6,8,9,10,11,12</t>
  </si>
  <si>
    <t>DA153 -- .D85 1958eb</t>
  </si>
  <si>
    <t>942.01/64/0924</t>
  </si>
  <si>
    <t>pTXFtxK04XqL7ej65T8Y6g==</t>
  </si>
  <si>
    <t>3Ivqu+OVnOATxjUKxXh3ew==</t>
  </si>
  <si>
    <t>How Memory Works--and How to Make It Work for You : G1196</t>
  </si>
  <si>
    <t>,1,2,3,4,93,94,95,91</t>
  </si>
  <si>
    <t>BF385 .M26 2015</t>
  </si>
  <si>
    <t>153.1; 153.14</t>
  </si>
  <si>
    <t>,89,90,91,92,93,94,95,96,97,107,108,109,110,111,112,113,114,115,116</t>
  </si>
  <si>
    <t>,1,2,3,29,30,31,27,28,26,32,33,16,4,218,219,220,216,217</t>
  </si>
  <si>
    <t>,1,2,3,1,2,3,16,17,16,18,17,18,14,15,15,20,21,22,19,22,19,21,20,2,16,17,14,15,19,20,21,22,308,308,309,309,307,310,306,307,310,16,17,18,14,15,24,24,25,26,25,22,26,23,23,20,21,19,18,16,17,21,22,23,24</t>
  </si>
  <si>
    <t>2Vjw/3inSq0=</t>
  </si>
  <si>
    <t>Qualitative Research : A Guide to Design and Implementation</t>
  </si>
  <si>
    <t>,1,2,3,284,285,286,282,283,287,288,289,290,291,300,301,302,298,299,297,303,304,305,306,307,308,322,323,324,320,321</t>
  </si>
  <si>
    <t>H62</t>
  </si>
  <si>
    <t>300/.72</t>
  </si>
  <si>
    <t>,1,2,3,53,54,55,51,56,57,59,58,60,61,62,63,64,65,66,67,111,112,109,110,113,114,109,115,116,117,118,119,120,121,122,123,124,126,127,128,129,138,139,140,137,136,125,53,54,55,51,56,52,57,109,110</t>
  </si>
  <si>
    <t>,112,112,113,126</t>
  </si>
  <si>
    <t>13ZruT1Uqqfe6W6eDxMTvg==</t>
  </si>
  <si>
    <t>,1,2,3,4,5,6,9,10,11,7,8,32,33,34,30,31,26,27,28,24,25,29,30,23</t>
  </si>
  <si>
    <t>vIssEcjlmC0=</t>
  </si>
  <si>
    <t>Limits to Regional Integration</t>
  </si>
  <si>
    <t>,25,18,26,27,28,17</t>
  </si>
  <si>
    <t>HT391 -- .L565 2015eb</t>
  </si>
  <si>
    <t>307.1/2</t>
  </si>
  <si>
    <t>,1,2,3,4,6,7,8,5,9,20,21,22,18,19,23,24</t>
  </si>
  <si>
    <t>aVJ882KoIGbDzxVq4qcd6g==</t>
  </si>
  <si>
    <t>,17,18,19,20</t>
  </si>
  <si>
    <t>,1,3,2,4,5,6,7,8,9,10,11,12,13,14,15,16</t>
  </si>
  <si>
    <t>,16,17,18,14,15,19,19</t>
  </si>
  <si>
    <t>,1,2,2,3,1,3,2,2,8,8,10,9,10,9,6,7,7,16,17,16,17,18,14,18,15,8,9,10,6,7,15</t>
  </si>
  <si>
    <t>mCZg1JViAkkYn+7mkWc2bw==</t>
  </si>
  <si>
    <t>,1,2,2,3,3,1,2,2,265,265,266,266,267,267,263,264,264,268,268,269,269,270,270,275,276,275,277,276,277,273,274,274,278,278,273,278,273,278,269,270,271,267,271,268,272,272,273,274,275,276,277,278,279,279,280,280,275</t>
  </si>
  <si>
    <t>XTIRloImYemWRqkhLRpy4w==</t>
  </si>
  <si>
    <t>An Early Start for Your Child with Autism : Using Everyday Activities to Help Kids Connect, Communicate, and Learn</t>
  </si>
  <si>
    <t>,61,62,57,56,61,1,2,3,1,2,3,6,7,8,4,5,347,348,349,338,339,340,336,3,7,58,59,60,56,61,57,62,63,64,65,66,67,68,69,70,71,72,102,103,100,101,105,106,74,75,76,72,104,100,101,107,108,109,110,111,112,113,114,115,116,117,118,119,120,121,114,113,112,110,111,109,107,108,106,105,104,103,102,101,100,106,107,108,109,110,111,112,112,113,107,106,105,104,103,102,2,3,4,5,6,7,58,59,60,56,57,61,62,63,64,285,286,287,283,284</t>
  </si>
  <si>
    <t>RJ506.A9 -- R64 2012eb</t>
  </si>
  <si>
    <t>cPhNHZHo7kqUyub8M9vHaQ==</t>
  </si>
  <si>
    <t>30 Great Myths about the Romantics</t>
  </si>
  <si>
    <t>,1,2,3,14,15,16,13,12</t>
  </si>
  <si>
    <t>PR457 -- .W8 2015eb</t>
  </si>
  <si>
    <t>,272,271,271,269,278,278,279,275,279,276,277,274,278,278,279,274,273,272,271,276,277,278,279,274</t>
  </si>
  <si>
    <t>,2,1,2,3,3,1,2,2,275,276,277,276,277,275,274,274,273</t>
  </si>
  <si>
    <t>awlhzWODj8CXZCIrCqUCrw==</t>
  </si>
  <si>
    <t>China's Economic Transformation</t>
  </si>
  <si>
    <t>,1,2,3,4,5,6,7,8,9,61,63,62,60,59,64,82,83,84,80,81,85,86,80,86</t>
  </si>
  <si>
    <t>HC427.92 -- .C4782 2015eb</t>
  </si>
  <si>
    <t>Dictionary of Postmodernism</t>
  </si>
  <si>
    <t>,121,122,123,119,124,125,126,127,81,82,83,80,84,85,86,87,88,89,132,128</t>
  </si>
  <si>
    <t>PN98.P67 -- .L83 2016eb</t>
  </si>
  <si>
    <t>801/.95</t>
  </si>
  <si>
    <t>,2,1,3,4,5,79</t>
  </si>
  <si>
    <t>,1,2,3,58,59,60,56,57,59,60,56,58,59,60,56,57,58,60,56</t>
  </si>
  <si>
    <t>Literary Theory: The Basics</t>
  </si>
  <si>
    <t>,154,155,156,157,158,159,160</t>
  </si>
  <si>
    <t>PN94 -- .B47 2014eb</t>
  </si>
  <si>
    <t>,2,3,1,8,9,10,6,7,11,132,133,134,130,131,135,136,137,138,139,140,141,142,143,144,145,146,147,148,149,150,152,153,154,155,151,156,153</t>
  </si>
  <si>
    <t>joKGRzHCJGM=</t>
  </si>
  <si>
    <t>Defining Duty in the Civil War : Personal Choice, Popular Culture, and the Union Home Front</t>
  </si>
  <si>
    <t>,1,2,2,3,3,1,10,11,12,10,11,12,8,9,9,2,13,13,14,14</t>
  </si>
  <si>
    <t>E468.9 -- .G355 2015eb</t>
  </si>
  <si>
    <t>973.7/1</t>
  </si>
  <si>
    <t>The American Civil War, 1861-1865</t>
  </si>
  <si>
    <t>,2,1,2,3,3,1,2,2</t>
  </si>
  <si>
    <t>E468 -- .M58 2013eb</t>
  </si>
  <si>
    <t>3wVcTcOt90Y=</t>
  </si>
  <si>
    <t>,1,122,123,124,120,121,125,126,2</t>
  </si>
  <si>
    <t>,1,2,2,3,3,1,132,133,134,132,134,131,130,133,131,135,136,135,136,137,137,2,138,138,139,139,140,140,141,141,142,142,143,143,132,133,134,130,135,136,140,141,142,143,144,144,145,145,146,146,147,147,151,151,153,153,169,169,170,168,170,168,167,166,167,171,171,172,172,173,173,38,38,39,40,39,40,37,37,36,41,41,42,42,37,35,35,36,33</t>
  </si>
  <si>
    <t>Critical Care Nursing : Monitoring and Treatment for Advanced Nursing Practice</t>
  </si>
  <si>
    <t>,1,2,3,4,5,6,7,8,9,10,11,12,13,14,15,16,17,18,19,20,21,22,2,853,959,960,957,958,79</t>
  </si>
  <si>
    <t>RC86.8 .B384 2014</t>
  </si>
  <si>
    <t>Care Home Handbook</t>
  </si>
  <si>
    <t>Medicine; Nursing</t>
  </si>
  <si>
    <t>,1,2,3,4,5,6,7,8,86,466,467,464,465,2,463</t>
  </si>
  <si>
    <t>RC954 -- .C374 2015eb</t>
  </si>
  <si>
    <t>,66,64,64,60,60,60,60,60,58,61,59,67,70,71,60</t>
  </si>
  <si>
    <t>,60</t>
  </si>
  <si>
    <t>,1,60,61,62,59,58,63,57,70,204,2,203,205,201,202,200,199,198,61,62,63,64,65</t>
  </si>
  <si>
    <t>,4,4,5,5,6,7,7,6,8,8,9,9,10,11,10,11,12,12,13,13,14,14,15,15,16,16,17,17,18,18,19,19,132,132,133,133,134,134,130,131,131,135,135,136,136,137,137</t>
  </si>
  <si>
    <t>wlctMTNN1wsmVC8hoPZ/IA==</t>
  </si>
  <si>
    <t>Searching for Scientific Womanpower : Technocratic Feminism and the Politics of National Security, 1940-1980</t>
  </si>
  <si>
    <t>,1,3,2,4,5,6,219,220,221,217,218,7,8,9,10,11,12,13,14,15,16</t>
  </si>
  <si>
    <t>HQ1426 -- .P83 2014eb</t>
  </si>
  <si>
    <t>305.42097309/04</t>
  </si>
  <si>
    <t>Mr. Boston : Official Bartender's Guide</t>
  </si>
  <si>
    <t>Tourism/Hospitality; Home Economics</t>
  </si>
  <si>
    <t>,1,3,2,4,5,6,7</t>
  </si>
  <si>
    <t>TX951 -- .M7 2008eb</t>
  </si>
  <si>
    <t>641.8/74</t>
  </si>
  <si>
    <t>Facebook Marketing For Dummies</t>
  </si>
  <si>
    <t>HM743.F33 -- .H39 2015eb</t>
  </si>
  <si>
    <t>,1,2,3,4,5,6,7,8,8,2,170,348,369,370,371,367,368,366,55,39,36,4,5,6,7,8,9,19,20,21,22,23,24,25,26,27,22,21,20</t>
  </si>
  <si>
    <t>,1,2,2,3,3,1,5,5,24,24,63,63,93,93,94,94,142,142,2,193,193,194,194,195,195,196,196,197,197,198,198,199,199,200,200,201,201,202,202,203,203,204,204,211,211,212,213,209,213,214,212,210,214,215,215,216,216,211,216,217,217,218,218,219,219,220,220,221,221,222,222,223,223,224,224,219,224,219,224,219,224,225,225,220</t>
  </si>
  <si>
    <t>5W0VM5ni2n5j6F8PQfgjRg==</t>
  </si>
  <si>
    <t>Mediated Youth Cultures : The Internet, Belonging and New Cultural Configurations</t>
  </si>
  <si>
    <t>Social Science; Computer Science/IT</t>
  </si>
  <si>
    <t>HQ799.9.I58 -- .M435 2014eb</t>
  </si>
  <si>
    <t>3MXuh8XjzUAuKVwnLJiBSQ==</t>
  </si>
  <si>
    <t>Alexander of Macedon, 356–323 B.C. : A Historical Biography</t>
  </si>
  <si>
    <t>DF234 -- .G74 2013eb</t>
  </si>
  <si>
    <t>,1,2,3,275,276,277,273,274,278</t>
  </si>
  <si>
    <t>IDJ7qUjUKMY=</t>
  </si>
  <si>
    <t>Global Warming and Climate Change</t>
  </si>
  <si>
    <t>Science: Physics; Environmental Studies; Science</t>
  </si>
  <si>
    <t>,1,2,3,49,50,51,47,48,52,53,54,55,56,57,58,59,60,61,62,63,64,65,66,67,68,69,70,71,72,73,74,75,76,77,78,79,80,81,82,83,84,85,86,87,88,89,90,91,92,93,94,95,96,97,98,99,100,101,102,103,104,105,106,107,108,109,110,112</t>
  </si>
  <si>
    <t>QC981.8.G56 -- T66 2012eb</t>
  </si>
  <si>
    <t>363.738/74</t>
  </si>
  <si>
    <t>UbKTdyKamWkwU2qa11foE8rH0I7iHE8j</t>
  </si>
  <si>
    <t>Encyclopedia of Ancient Egypt</t>
  </si>
  <si>
    <t>,1,2,3,383,384,385,381,382,386,387,388,389,390,391,392,393,394,395,396,397,398,399,400,401</t>
  </si>
  <si>
    <t>DT58 -- .B96 2012eb</t>
  </si>
  <si>
    <t>hn0BRY9FZu4ECToTJD3HzQ==</t>
  </si>
  <si>
    <t>Organic Chemistry I For Dummies</t>
  </si>
  <si>
    <t>,303</t>
  </si>
  <si>
    <t>QD251 -- .W568 2014eb</t>
  </si>
  <si>
    <t>,1,2,3,301,302,303,300,299,301,5,5,283,302</t>
  </si>
  <si>
    <t>YIoIPyEfCWMAoe9ksbBm8eNVC9Cubj3J</t>
  </si>
  <si>
    <t>,451,188,189,190,186,187,200,201,198,202,199,203,204,205,206,207,208,209,210,211,212,214,218,215,216,220,219,1,220,217,218,2,216,215,214,407,408,409,405,406,410,411,414,420,423,434,441,442,443,440,444,445,446,448,453,454,455,451,452,450,449,447,450,451,118,119,120,116,117,121,122,123,124,125,126,127,128,381,386,388,389,390,393,395,396,398,397,400,399,1,219,220,221,217,218,2</t>
  </si>
  <si>
    <t>,1,2,3,407,408,409,405,406,410,411,412,413,414,415,416,417,418,419,420,422,423,424,425,426,427,428,431,432,433,429,430,434,440,441,442,438,439,443,444,445,446,447,448,449,450</t>
  </si>
  <si>
    <t>MPmWstbFSBQ=</t>
  </si>
  <si>
    <t>Capital Punishment : A Hazard to a Sustainable Criminal Justice System?</t>
  </si>
  <si>
    <t>Social Science; Law</t>
  </si>
  <si>
    <t>,1,2,3,4,5,6,7,8,9,10,11,12,13,14,15,16,17,18,19,20,21,22,23,24,25,26,27,28,42,43,44,45,46,47,48,49,50</t>
  </si>
  <si>
    <t>K5104 -- .C375 2014eb</t>
  </si>
  <si>
    <t>,1,2,3,4,17,18,19,15,16,119,120,121,117,118,122</t>
  </si>
  <si>
    <t>zTvAUw2SfN0sQeLI5JJw+Q==</t>
  </si>
  <si>
    <t>,1,129,130,131,127,128,2,132,133,126,125,124,88,90,89,86,87,112,113,114,110,111</t>
  </si>
  <si>
    <t>fTZB0dGgX75GU9mPTnrObQ==</t>
  </si>
  <si>
    <t>Myth of Seneca Falls : Memory and the Women's Suffrage Movement, 1848-1898</t>
  </si>
  <si>
    <t>JK1896 -- .T48 2014eb</t>
  </si>
  <si>
    <t>324.6/23097309034</t>
  </si>
  <si>
    <t>,20,21,22,25,22,23,24,17,136,88,44</t>
  </si>
  <si>
    <t>Global Warming</t>
  </si>
  <si>
    <t>Science: Physics; Science; Environmental Studies</t>
  </si>
  <si>
    <t>,16,17,18,19,20,21,22,23,24,25,26,27,28,29,30,31,32,33,34,35,36,37,38,39,32,40,41,42,43,44,45,46,47,48,50,51</t>
  </si>
  <si>
    <t>QC981.8</t>
  </si>
  <si>
    <t>,2,1,3,4,5,6,7,8,9,10,11,12,13,14,15</t>
  </si>
  <si>
    <t>,47,48,49,50</t>
  </si>
  <si>
    <t>,1,2,3,36,37,38,34,35,39,41,40,46,43,42,44,45</t>
  </si>
  <si>
    <t>,1,2,2,1,3,3,4,4,5,5,17,17,18,19,18,19,15,16,16,2</t>
  </si>
  <si>
    <t>eIv9Khs2dp4=</t>
  </si>
  <si>
    <t>,1,3,4,5,2,6,7,9,8,10,11,12,13,14,15,16,17,18,19,20,21,22,23,24,25</t>
  </si>
  <si>
    <t>,1,2,2,3,3,1,2,2,263,263,265,261,264,262,262,264,266,265,266,267,262,267,267,268,268,269,269</t>
  </si>
  <si>
    <t>,1,2,3,72,73,74,70,71,75,76,58,59,60,56,57,61</t>
  </si>
  <si>
    <t>ewYr1hSFajmmICGEd6x4Dg==</t>
  </si>
  <si>
    <t>,1,3,2,2,4,3,4,1,1,2,2,3,1,3,4,4,5,5,6,6,8,8,9,7,9,7,10,10,11,12,11,12,2,13,13,1,13,14,13,15,14,11,12,15,1,12,2,2</t>
  </si>
  <si>
    <t>wV4BFSGMtQL2v04gI/IDWg==</t>
  </si>
  <si>
    <t>,493,494,495,496,497,498,499,500,501,502,503,504,505,1,505,507,506,503,480,481,479,482,478,499,532,547,548,546,549,2,545,535,536,533,534,530,529,527,528,526,524,525,523,521,519,518,520,516,517,515,513,514,511,512,510,508,502,497,496,498,494,495,493,492,491,489,490,487,488,501,504,509,522</t>
  </si>
  <si>
    <t>,490</t>
  </si>
  <si>
    <t>,1,2,3,480,481,482,478,479,483,481,482,483,479,480,484,485,486,487,2,488,489,490,491,492</t>
  </si>
  <si>
    <t>,86,87,88,84,85,70,71,72,68,69,268,269,16,17,18,14,15,20,11,9,19,73,74,75,76,77</t>
  </si>
  <si>
    <t>,1,2,2,3,3,1,162,163,162,164,163,164,160,161,161,2,2,1,2,3,3,4,4,4,4,1,5,5,1,6,6,3,3,2</t>
  </si>
  <si>
    <t>DSM-5 in Action</t>
  </si>
  <si>
    <t>,1,2,2,3,3,1,4,4,13,16,13,16,17,18,17,18,14,15,15,2</t>
  </si>
  <si>
    <t>RC71.5 -- .D954 2015eb</t>
  </si>
  <si>
    <t>,1,2,3,32,33,34,31,30,35,36,2</t>
  </si>
  <si>
    <t>,1,2,3,94,95,96,92,93,299,300,301,297,298</t>
  </si>
  <si>
    <t>flX9VsnnLoo=</t>
  </si>
  <si>
    <t>Wiley Blackwell Student Dictionary of Human Evolution</t>
  </si>
  <si>
    <t>,434,435,434,435,432,433,433,436,436,260,260,261,262,261,262,259,259,258,412,412,413,414,413,414,410,411,411,392,392,393,393,394,394,390,391,391,389,389,387,388,388,356,356,357,357,353,357,357,357,1,354,355,354,356,355,356,353,353,1,352,2,2,358,358,294,294,295,295,296,296,292,293,293</t>
  </si>
  <si>
    <t>GN281 -- .W554 2015eb</t>
  </si>
  <si>
    <t>599.93/8</t>
  </si>
  <si>
    <t>,1,2,2,3,3,1,2,2,372,372,373,373,374,374,371,371,370,375,375</t>
  </si>
  <si>
    <t>FXXWrcryesc=</t>
  </si>
  <si>
    <t>,1,2,3,16,17,18,14,15,28,48,49,50,46,47,19,20,32,33,34,30,31,35,36,37,38,39,40,41,42,43,44,49,45,32,30,31,28,29,1,2,3,30,31,32,28,29,33,34,41,36,35</t>
  </si>
  <si>
    <t>SJmC2NQ4cbnbyaQBtngGWw==</t>
  </si>
  <si>
    <t>Influence of Fraternity and Sorority Involvement : A Critical Analysis of Research (1996 - 2013), AEHE 39:6</t>
  </si>
  <si>
    <t>,1,2,1,2,3,3,79,79,80,80,81,77,81,78,78,79,2,79,79,79,79,79,80,80,81,81,77,78,78</t>
  </si>
  <si>
    <t>,79,80,81</t>
  </si>
  <si>
    <t>LJ141 -- .I545 2014eb</t>
  </si>
  <si>
    <t>,79,80,81,82</t>
  </si>
  <si>
    <t>,1,1,2,2,3,3,24,24,25,26,26,25,22,23,23,2,79,79,80,80,81,81,77,78,78,82,82,83,83,84,84,79,77,78,82,83,84</t>
  </si>
  <si>
    <t>5A/n5HyxS18D/qdK84RkUg==</t>
  </si>
  <si>
    <t>Unwelcome Harvest : Agriculture and pollution</t>
  </si>
  <si>
    <t>Engineering: Environmental; Engineering; Environmental Studies</t>
  </si>
  <si>
    <t>,1,1,3,3,2,2,32,32,33,33,34,34,30,31,31,2,35,35,37,37,38,38,39,39,34,39,40,41,40,41,42,42</t>
  </si>
  <si>
    <t>TD195.A34 -- C66 2009eb</t>
  </si>
  <si>
    <t>Air Pollution and Human Health</t>
  </si>
  <si>
    <t>,1,1,2,2,3,3,32,33,34,32,34,30,33,31,31,2</t>
  </si>
  <si>
    <t>RA576 -- .L38 2011eb</t>
  </si>
  <si>
    <t>Enforcing Pollution Control Laws</t>
  </si>
  <si>
    <t>Environmental Studies; Business/Management</t>
  </si>
  <si>
    <t>,1,1,2,2,1,3,3,4,8,7,4,8,7,9,10,11,9,11,10,2,12,12,13,14,15,13,14,15,16,16,17,17,18,18,19,19,20,20,15</t>
  </si>
  <si>
    <t>HC110.E5 -- R87 2011eb</t>
  </si>
  <si>
    <t>LzDMj2GysY24PBF7E8ZInQ==</t>
  </si>
  <si>
    <t>Global Forest Fragmentation</t>
  </si>
  <si>
    <t>QH541.15.F73 -- .G56 2014eb</t>
  </si>
  <si>
    <t>,1,2,3,40,41,42,38,39,62,63,60,81,82,83,79,80</t>
  </si>
  <si>
    <t>vvNl0a3u/qemsl3WgjxCxA==</t>
  </si>
  <si>
    <t>Introduction to Health Promotion</t>
  </si>
  <si>
    <t>,1,3,2,4,50,51,52,48,49,136,137,138,134,135,148,149,150,146,147,156,157,158,154,155,17,18,19,15,16,14</t>
  </si>
  <si>
    <t>RA427.8 -- .I587 2014eb</t>
  </si>
  <si>
    <t>,1,2,3,4,5,6,7,8,58,59,60,56,57</t>
  </si>
  <si>
    <t>,1,1,2,2,3,3,24,24,25,25,26,26,22,23,23,2,43,43,44,44,41,41,42,42,39,40,40,124,124,125,125,126,126,122,123,123</t>
  </si>
  <si>
    <t>/PKbhXsejs8yMEUOVyxbYQ==</t>
  </si>
  <si>
    <t>Raise : What 4-H Teaches Seven Million Kids and How Its Lessons Could Change Food and Farming Forever</t>
  </si>
  <si>
    <t>,1,2,3,90,91,88,89,93,1,93,94,95,91,92,133,134,135,131,132,2,185,186,187,183,184,188</t>
  </si>
  <si>
    <t>S533.F66 -- .B88 2014eb</t>
  </si>
  <si>
    <t>630.71/1</t>
  </si>
  <si>
    <t>,1,208,209,210,206,207,2</t>
  </si>
  <si>
    <t>Vca4qZOoNzpQY7HFxeooTw==</t>
  </si>
  <si>
    <t>,1,2,3,16,17,18,14,19,20,15</t>
  </si>
  <si>
    <t>ly51AWoQ8LLzcklunQVnQg==</t>
  </si>
  <si>
    <t>,1,2,3,17,18,19,15,16,2,20,21,16,15,20,141,142,143,139,140</t>
  </si>
  <si>
    <t>,141,142,143,144,145,146,147,148,149,150,151,152,153,154,155,156,157,158,159,160,161,162,163,164,165,320,321,322,323,324,325,326,327,328,329,330,331,332,333,334,335,336,337,338,339,340,341,342,343,344,345,346,347,348,349,350,371,372,373,374,375,376,377,378,379,380,381,382,383,384,385,386</t>
  </si>
  <si>
    <t>DgJXrznAOQuJICbEAMmsXQ==</t>
  </si>
  <si>
    <t>Integrated Treatment for Personality Disorder : A Modular Approach</t>
  </si>
  <si>
    <t>Pre-Clinical Dental Skills at a Glance</t>
  </si>
  <si>
    <t>RK301 -- .F545 2016eb</t>
  </si>
  <si>
    <t>617.6/3</t>
  </si>
  <si>
    <t>tW8jAb5JqonnRz5xQ6aUgA==</t>
  </si>
  <si>
    <t>,1,2,3,87,216,217,218,214,215,2</t>
  </si>
  <si>
    <t>,6,8,43,44,216,1,43,43,44,45,46,42,47,48,49,50,1,50,51,52,48,49,47,2,46,1,46,47,48,44,45,49,50,2,51,52</t>
  </si>
  <si>
    <t>,1,2,3,53,54,55,51,52,56,57,51,58,59,60,61,62,63,64,65,66,67,67,1,68,69,66,65,2,78,79,111,112,110,109,113,114,115,116,117,110,116,117,118,119</t>
  </si>
  <si>
    <t>,57,58,58,111,111,112,112,113</t>
  </si>
  <si>
    <t>,2,574,575,576,572,573,577,571,480,481,482,478,479</t>
  </si>
  <si>
    <t>,1,42,43,44,40,41,480,481,482,478,479</t>
  </si>
  <si>
    <t>,1,2,3,4,5,6,1</t>
  </si>
  <si>
    <t>YnXeb1Leo75Ojv0MH+1o0A==</t>
  </si>
  <si>
    <t>,1,2,3,704,705,706,702,707,708,709,710,711,712,713,714,715,716,717,718,719,720,721,722,723</t>
  </si>
  <si>
    <t>,1,2,3,4,5,6,7,8,9,12,13,14,11,10,91,92,93,89,109,110,111,107,108</t>
  </si>
  <si>
    <t>,1,2,3,4,5,46,44,32,18,8,9,10,11,7,12,13,14,15,16,17,19,20,21,22,23,24,25,26,27,28,29,30,31,32,33,34,35,36,37,38,39,40,41,42,43,44,45,46,47,48,49,50,51,52,53,54,55,56,57,58,59,60,61,62,63,64,480,481,482,478,479,483,484,485,2,3,4,1,104,70,71,72,68,69</t>
  </si>
  <si>
    <t>,12,13,14,15,16,17,18,19,20,21,22,23,24,25,26,27,28,29,30,31,32,33,34,35,36,37,38,39,40,41</t>
  </si>
  <si>
    <t>l+u3cr59Ezc6x10d7Mxk7g==</t>
  </si>
  <si>
    <t>The Ethics of Reality TV : A Philosophical Examination</t>
  </si>
  <si>
    <t>PN1992.8.R43 -- E84 2012eb</t>
  </si>
  <si>
    <t>,1,2,3,12,13,14,10,11,15,9</t>
  </si>
  <si>
    <t>,684,685,686,682,683,681,680,679,677,678,676,674,675,673,681,682,683,684,685,675,676,678,679,680,683,684,685,686,687,688,689,690,691,692,693,694,695,696,697,698,699,673,672,674,670,671,657,656,658,659,660,661,662,663,664,665,666,667,668,669,675,676,678,680,681,682,684,685,676,689,687</t>
  </si>
  <si>
    <t>Biochemistry and Molecular Biology of Plants</t>
  </si>
  <si>
    <t>Science: Botany; Science</t>
  </si>
  <si>
    <t>QK861</t>
  </si>
  <si>
    <t>,1,3,2,4,5,6,7,8</t>
  </si>
  <si>
    <t>,1,2,1,2,3,3,4,4,5,5,4,5,6,6,7,7,9,10,9,10,11,8,11,8,2,651,652,651,652,653,649,653,650,650,654,654,655,655</t>
  </si>
  <si>
    <t>nDZTzXfGtXuPcpVH64TZ1w==</t>
  </si>
  <si>
    <t>Dynamics of Gender in Early Modern France : Women Writ, Women Writing</t>
  </si>
  <si>
    <t>,1,1,2,2,3,3,4,4,4,5,5,6,6,7,7,8,2,3,8</t>
  </si>
  <si>
    <t>PQ239 -- .S73 2014eb</t>
  </si>
  <si>
    <t>840.9/003</t>
  </si>
  <si>
    <t>Networks of Outrage and Hope : Social Movements in the Internet Age</t>
  </si>
  <si>
    <t>HM851 .C369 2015</t>
  </si>
  <si>
    <t>Thinking About Art : A Thematic Guide to Art History</t>
  </si>
  <si>
    <t>dMoPxsOszlQ=</t>
  </si>
  <si>
    <t>Ethnomusicology : A Contemporary Reader</t>
  </si>
  <si>
    <t>ML3799 -- .E79 2006eb</t>
  </si>
  <si>
    <t>,1,2,3,18,28,29,30,26,27,31,25,24</t>
  </si>
  <si>
    <t>PIF1r59knD8=</t>
  </si>
  <si>
    <t>Check Your English Vocabulary for TOEFL : Essential words and phrases to help you maximize your TOEFL score</t>
  </si>
  <si>
    <t>PE1128</t>
  </si>
  <si>
    <t>,1,2,3,26,27,28,24,25,29,30,31</t>
  </si>
  <si>
    <t>Urban Politics and Cultural Capital : The Case of Chinese Opera</t>
  </si>
  <si>
    <t>,1,2,3,8,9,10,6,7,11,12,13,14,15,16,17,18,19</t>
  </si>
  <si>
    <t>ML1751.C58 -- .S535 2015eb</t>
  </si>
  <si>
    <t>782.10951/132</t>
  </si>
  <si>
    <t>KP8O4FPH55Tnq8bE1Sazsw==</t>
  </si>
  <si>
    <t>Method Meets Art, Second Edition : Arts-Based Research Practice</t>
  </si>
  <si>
    <t>Fine Arts; Social Science</t>
  </si>
  <si>
    <t>,212,213,214,215,216,217,218,219,220,305,315,316,317,313,349,350,351,347,348,333,334,335,331,332,353,354,352,345,346,344,342,343,341,340,339,338,336,337,330,329,328,199,200,201,323,301,299,298,300,296,297,302,303,304,306,307,308,309,310,311,312,314,221</t>
  </si>
  <si>
    <t>H62 -- .L438 2015eb</t>
  </si>
  <si>
    <t>,1,2,3,4,5,6,7,8,9,10,11,12,13,14,15,16,17,18,19,20,21,22,23,24,208,210,209,206,207,211</t>
  </si>
  <si>
    <t>,1,2,3,4,5,6,7,8,9,21,22,23,19,20,24,17,18,15,16</t>
  </si>
  <si>
    <t>rZOjDScE6tsQ8VDDRhuVJw==</t>
  </si>
  <si>
    <t>Supporting Behavior for School Success : A Step-by-Step Guide to Key Strategies</t>
  </si>
  <si>
    <t>LB3013 .L287 2015</t>
  </si>
  <si>
    <t>371.102; 371.1024</t>
  </si>
  <si>
    <t>Ecosystem Services Come To Town : Greening Cities by Working with Nature</t>
  </si>
  <si>
    <t>Architecture; Fine Arts</t>
  </si>
  <si>
    <t>NA9053.E58 G73 2012</t>
  </si>
  <si>
    <t>711.4; 711/.4</t>
  </si>
  <si>
    <t>c9ZhgimBk5s=</t>
  </si>
  <si>
    <t>The Social Movements Reader : Cases and Concepts</t>
  </si>
  <si>
    <t>,20,9,8,10,11,12,19,18,25,50,47,44,43,45,42,40,41,39,38,37,36,35,34,33,32,31,30,29,28,2</t>
  </si>
  <si>
    <t>HM881</t>
  </si>
  <si>
    <t>,1,5,6,7,4,3,2,21,22,23,19,20,25,17,18,15,16,13,14</t>
  </si>
  <si>
    <t>,1,2,3,53,54,55,51,56,57,58,59,60,61,62,63,64,65,66,67,69,70,71,72,73,74,75,76,78,77,79,95,96,97,100,106,107,108,105,497,498,499,500,518,519,520,512,513,514,515,516,517</t>
  </si>
  <si>
    <t>,57,57,58</t>
  </si>
  <si>
    <t>9SxnMlY2xwJwGqvBnWpRkQ==</t>
  </si>
  <si>
    <t>Official Guide for GMAT Review 2015 with Online Question Bank and Exclusive Video</t>
  </si>
  <si>
    <t>,1,2,3,12,13,14,10,11,840,841,842,838,839,778,779,780,776,777,781,782,783,784,785,786,787,788,789,790,791,792</t>
  </si>
  <si>
    <t>,780,780,781,782,783,784,785,786,787,787,787,788,788,789,780,780,781,782,783,784,785,786,787,787,787,788,788,789</t>
  </si>
  <si>
    <t>HG173 -- .G733 2014eb</t>
  </si>
  <si>
    <t>,61,62,59,63,60,64</t>
  </si>
  <si>
    <t>R5c8kAylmOINFA1Y/1aRAg==</t>
  </si>
  <si>
    <t>,1,2,3,345,346,347,343,344,342,341,340,339,345,346,347</t>
  </si>
  <si>
    <t>oyyrgCmlMASD89KFGQavTQ==</t>
  </si>
  <si>
    <t>,1,2,3,60,61,62,58,59,63,64,65,66,67,68,69,70,71,72,137,138,139,135,136</t>
  </si>
  <si>
    <t>Handbook of Creative Writing</t>
  </si>
  <si>
    <t>,1,3,2,24,25,26,22,23</t>
  </si>
  <si>
    <t>PN189 -- .H363 2014eb</t>
  </si>
  <si>
    <t>6dBeEQXj/gcJhzvWXYKrYA==</t>
  </si>
  <si>
    <t>Divided Rule : Sovereignty and Empire in French Tunisia, 1881–1938</t>
  </si>
  <si>
    <t>,1,1,3,3,2,1,2,1,4,4,5,5,6,6,148,148,150,146,149,150,149,147,147,2,151,151,152,152,153,153</t>
  </si>
  <si>
    <t>DT264 -- .L35 2014eb</t>
  </si>
  <si>
    <t>,1,2,3,53,54,55,52,51,56,57,58,52,51,59,60,61,62,63,64</t>
  </si>
  <si>
    <t>,55,55,57,57</t>
  </si>
  <si>
    <t>GMqkra35qZ4=</t>
  </si>
  <si>
    <t>Boom Summer 2014 : A Journal of California</t>
  </si>
  <si>
    <t>E169.1</t>
  </si>
  <si>
    <t>Wiley CIAexcel Exam Review 2016 Focus Notes : Part 1, Internal Audit Basics</t>
  </si>
  <si>
    <t>,2,3,1,281</t>
  </si>
  <si>
    <t>The Roman Empire : Economy, Society and Culture</t>
  </si>
  <si>
    <t>,1,2,2,3,3,1,4,4,2,2,340,340,341,341,342,338,342,343,339,343,74,75,74,75,72,73,76,73,76,77,77,78,78</t>
  </si>
  <si>
    <t>HC39 -- .R663 2015eb</t>
  </si>
  <si>
    <t>937/.07</t>
  </si>
  <si>
    <t>Applied Research Methods in Public and Nonprofit Organizations</t>
  </si>
  <si>
    <t>,1,2,3,327,328,329,325,326,330,331,332,333,334,335,336,337,338,339,340,341,342</t>
  </si>
  <si>
    <t>H62 -- .B73 2014eb</t>
  </si>
  <si>
    <t>001.4/2</t>
  </si>
  <si>
    <t>Transformational Governance : How Boards Achieve Extraordinary Change</t>
  </si>
  <si>
    <t>,1,2,3,40,41,42,39,38,283,284,285,281,282,286,287,288,289,290</t>
  </si>
  <si>
    <t>HD2745; HD58.8</t>
  </si>
  <si>
    <t>658.4/22</t>
  </si>
  <si>
    <t>Reframing Organizations : Artistry, Choice, and Leadership</t>
  </si>
  <si>
    <t>,1,2,3,503,505,501,502,504,508,499,500,509,510,506,507,511,515,516,517,513,514,518,519,520,521,522,523,524,525,526,527,528</t>
  </si>
  <si>
    <t>HD31 -- .B6135 2013eb</t>
  </si>
  <si>
    <t>658.4/063</t>
  </si>
  <si>
    <t>ZNSQB01fLAs=</t>
  </si>
  <si>
    <t>Exploring Intercultural Communication : Language in Action</t>
  </si>
  <si>
    <t>,16,17,18,20,19,21,22,23,21,24,25,26,27,28,29,30,31,32,33,34,35,36,37,38,39,40,41,42,47,46,44,43,45,48,49,50,51</t>
  </si>
  <si>
    <t>P94.7 -- .H83 2014eb</t>
  </si>
  <si>
    <t>303.48/2</t>
  </si>
  <si>
    <t>C4HSTZ8ybAnmbD8ChDE0qw==</t>
  </si>
  <si>
    <t>Stress Management for Teachers : A Proactive Guide</t>
  </si>
  <si>
    <t>,1,2,3,34,36,35,32,33,37,38,40,41,42,38,39,43,43,44,45,46,47,48,49,50,51,52,53,54,55,56,57,58</t>
  </si>
  <si>
    <t>LB2840.2 -- .H37 2015eb</t>
  </si>
  <si>
    <t>371.1001/9</t>
  </si>
  <si>
    <t>,1,2,3,4,1,4,5,3,2,6,7,8,9,10,13,11,9,12,14,15</t>
  </si>
  <si>
    <t>,1,2,3,4,5,6,8,7,653,654,655,652,651,656,657,658,659,660,661,662,663,644,645,646,642,643,647,648,649,650,651,652,653,654,655,650,656,657,658,659,660,661,662,663,664,665,666,667,668,669,670,671,672,662,661,663,659,660,662,664,665,666,671,672,673,674,675,676,677,678,679,680,681,682,683,684,685,686,687,688,689,690,691,692,693,694,695,696,697,698,699,700,701,702,703,704,705,707,708,709,710,711,772,773,774,770,771,775,776,777,779,774,773</t>
  </si>
  <si>
    <t>58qXLVq9Lny6lZy1QE7mPg==</t>
  </si>
  <si>
    <t>Postcolonial Studies : An Anthology</t>
  </si>
  <si>
    <t>,10,10,11,11,12,12,394,394,384,385,384,385,386,386,383,383,382,387,387,388,388</t>
  </si>
  <si>
    <t>PN56.P555 P674 2015</t>
  </si>
  <si>
    <t>809/.93358</t>
  </si>
  <si>
    <t>fJ/veOP4Sh5zW87EFFR44w==</t>
  </si>
  <si>
    <t>,40,35,26,27,28,24,25</t>
  </si>
  <si>
    <t>,1,2,2,3,3,1,2,2,4,4,5,5,6,6,7,7,8,8,9,9</t>
  </si>
  <si>
    <t>,1,18,19,20,16,17,2,21,13,1,2,3</t>
  </si>
  <si>
    <t>,1,2,2,1,3,3,4,4,5,5,6,6,7,7,8,8,11,11,16,16,18,18,23,23,36,2,36,51,51,70,70,82,82,104,104,105,106,106,105,198,198,202,202,201,201,200,200,198,199,199,197,196,195,193,194,192,190,191,189,188,186,187,185,184,189,196,199,201,202,203,203,204,206,209,206,209,204,214,214,217,217,211,211,218,218,219,219,220,216,220</t>
  </si>
  <si>
    <t>,218</t>
  </si>
  <si>
    <t>GFh3deCAZ7HVAdK9b1K5Kg==</t>
  </si>
  <si>
    <t>Beginning Programming with Java For Dummies</t>
  </si>
  <si>
    <t>,1,3,2,4</t>
  </si>
  <si>
    <t>QA76.73.J38 -- B87 2012eb</t>
  </si>
  <si>
    <t>Qv2d3BdzPYg=</t>
  </si>
  <si>
    <t>Treatment Plans and Interventions for Depression and Anxiety Disorders, 2e</t>
  </si>
  <si>
    <t>,1,2,3,56,57,58,54,55,59,76,77,78,74,75,79,80,81,82,83,84,84,78</t>
  </si>
  <si>
    <t>,56</t>
  </si>
  <si>
    <t>RC537 -- .L43 2012eb</t>
  </si>
  <si>
    <t>,60,59,58,57,56,61,62,57</t>
  </si>
  <si>
    <t>,1,2,3,40,41,38,42,39,63,53,64,65,61,62</t>
  </si>
  <si>
    <t>,1,2,3,27,28,29,25,26,30,31,32,33,34,2,3,30,31,32,33,24,2,1,3</t>
  </si>
  <si>
    <t>,27,28,29,30,31</t>
  </si>
  <si>
    <t>Hegel</t>
  </si>
  <si>
    <t>,27,28,29,30,31,32,41,91,93,92,89,90,47,48,49,50,58,59,60,56,57,61,1,2,3</t>
  </si>
  <si>
    <t>B2948 -- .F75 2014eb</t>
  </si>
  <si>
    <t>,1,2,3,4,43,44,45,73,74,75,71,72,46,42,64,65,66,62,63,68,69,70,67,24,25,26,22,23</t>
  </si>
  <si>
    <t>ehr/zNXKKmKr5DNvmmpCvg==</t>
  </si>
  <si>
    <t>Handbook of Depression, Third Edition</t>
  </si>
  <si>
    <t>,1,548,549,550,546,547,551,2</t>
  </si>
  <si>
    <t>RC537 -- .H3376 2014eb</t>
  </si>
  <si>
    <t>3ZvYu4t3LZY=</t>
  </si>
  <si>
    <t>Music, Social Media and Global Mobility : MySpace, Facebook, YouTube</t>
  </si>
  <si>
    <t>,1,16,17,14,18,15,19,20,2</t>
  </si>
  <si>
    <t>ML3916 -- .M56 2012eb</t>
  </si>
  <si>
    <t>302.23/1090511</t>
  </si>
  <si>
    <t>qGgUeeAwRsPBDWzHKKSG1A==</t>
  </si>
  <si>
    <t>,468,469,470,471,472,473,474,475,476,477,478,479,480,481,482,483,484,485,486,487,488,489,490,491,492,497,493,494,495,496,498,499,500,501,502,503,504,505,484,548,549,550,546,547,545,544,507,508,506,509,510,511,512,513,514,515,519,520,521,517,523,527,530,531,532,533,536,539,540,541,542,551,553,554,555,552,548,556,557,558,559,560,561,562,563,564,565,566,567,568,569,570,571,572,573,574,575,576,577,578,579,580,581,582,583,584,585,586,587,588,589,590,521,522,524,525,518</t>
  </si>
  <si>
    <t>,1,3,2,452,453,454,450,451,455,456,457,458,459,460,461,462,463,464,465,466,467</t>
  </si>
  <si>
    <t>d/BxOCupmrI=</t>
  </si>
  <si>
    <t>Educational Activity Programs for Older Adults : A 12-Month Idea Guide for Adult Education Instructors and Activity Directors in Gerontology</t>
  </si>
  <si>
    <t>Sport &amp; Recreation; Fine Arts</t>
  </si>
  <si>
    <t>,1,2,3,4,5,6,7,8,9,10,11,12,43,44,45,41,42,46,47,48,49</t>
  </si>
  <si>
    <t>GV184 -- .W53 2012eb</t>
  </si>
  <si>
    <t>FAJCpL3oGk0/5mfw6Clh6A==</t>
  </si>
  <si>
    <t>Postcolonial Historical Novel : Realism, Allegory, and the Representation of Contested Pasts</t>
  </si>
  <si>
    <t>PN3441 -- .D35 2014eb</t>
  </si>
  <si>
    <t>809.3/81</t>
  </si>
  <si>
    <t>aSecnje7ubUDAfGIWvOXKw==</t>
  </si>
  <si>
    <t>Religious Conversion : History, Experience and Meaning</t>
  </si>
  <si>
    <t>,1,2,3,42,43,44,40,41</t>
  </si>
  <si>
    <t>BL639 -- .R447 2014eb</t>
  </si>
  <si>
    <t>204/.2</t>
  </si>
  <si>
    <t>olIsxGoRiEk=</t>
  </si>
  <si>
    <t>Human Behavior in the Social Environment : Theories for Social Work Practice</t>
  </si>
  <si>
    <t>Psychology; Social Science</t>
  </si>
  <si>
    <t>,379,380,394,395,396,392,393,373,372,335,336,337,333,334,338,339,340,341,376,342,343,344,342,345,346,347,348,349</t>
  </si>
  <si>
    <t>HV40 -- .T51377 2012eb</t>
  </si>
  <si>
    <t>150.1023/36132</t>
  </si>
  <si>
    <t>,1,2,3,376,377,378,374,375</t>
  </si>
  <si>
    <t>Ta0xMbp+DdhRgfzlp+8zig==</t>
  </si>
  <si>
    <t>Treating Traumatic Bereavement : A Practitioner's Guide</t>
  </si>
  <si>
    <t>,1,2,3,24,25,26,22,23,27,28,29,30</t>
  </si>
  <si>
    <t>RC455.4.L67 -- P43 2014eb</t>
  </si>
  <si>
    <t>TGf7jFel4O0z9UxYv1OZCA==</t>
  </si>
  <si>
    <t>Drone Warfare</t>
  </si>
  <si>
    <t>UG1242.D7 .K384 2014</t>
  </si>
  <si>
    <t>NFEz7T/+UX9cipCuz8/zxQ==</t>
  </si>
  <si>
    <t>,2,3,1,246,247,248,244,245</t>
  </si>
  <si>
    <t>,75,4,5,6,84,85,82,81,74</t>
  </si>
  <si>
    <t>,715,716,717,718,719,720,721,506,507,508,504,505,509,510,511,512,468,470,469,467,466,471,472,473,474,475,476,727,728,724,726,725,729,730,731,732,733,734,735,736,737,738,739,740,741,742,743,744,745</t>
  </si>
  <si>
    <t>,1,2,3,11,9,10,7,8,12,13,14,26,27,28,24,25,78,79,80,76,77</t>
  </si>
  <si>
    <t>,1,2,3,14,15,16,12,13,17,26,27,28,24,25,49,50,51,53,54,55,52,120,121,122,118,119,117,123,124,125,126</t>
  </si>
  <si>
    <t>Z4eu/ingSmA=</t>
  </si>
  <si>
    <t>Criminal Investigation : An Introduction to Principles and Practice</t>
  </si>
  <si>
    <t>,1,3,9,257,255,1,3,10</t>
  </si>
  <si>
    <t>HV8073.S7328 2009</t>
  </si>
  <si>
    <t>,1,2,3,26,27,28,25,24,11,10,12,8,13,9,7,6,5,4</t>
  </si>
  <si>
    <t>,2,1,3,704,705,706,702,703,707,708,709,710,711,712,713,714</t>
  </si>
  <si>
    <t>,24,24,25,26,27,25,22,13,8,7,2,1,3,132,133,134,130,131,135,136,136,1,137,138,134,135,2</t>
  </si>
  <si>
    <t>Investigative Interviewing : Rights, Research, Regulation</t>
  </si>
  <si>
    <t>HV8073.3 -- .I68 2006eb</t>
  </si>
  <si>
    <t>,1,2,3,30,31,32,28,29,33,27</t>
  </si>
  <si>
    <t>,1,2,3,4,5,6,7,8,9,134,135,136,132,133,137,138,139,140,30,22,23,24,20,21</t>
  </si>
  <si>
    <t>5YjFYy6bNCdRZ/bXgYlByQ==</t>
  </si>
  <si>
    <t>,1,2,3,4,6,10,65,66,72,187,193,194,199,200,204,207,208,211,214,215,216,212,213,217,218,219,220,221,222,223,224,225,226,227,228,229,230,231</t>
  </si>
  <si>
    <t>,1,2,3,26,27,28,25,24,29,30,31,24,21,18,14,11,8,4,1,3,5,6,10,12,9,7</t>
  </si>
  <si>
    <t>,1,2,3,56,57,58,54,55,59</t>
  </si>
  <si>
    <t>,1,2,3,1185,1187,1186,1183,1184,1188,1189,1187,1189,1189,1192,1191,756,756,757</t>
  </si>
  <si>
    <t>,217,218,218,219,219,220,220,221,221,216,215,214,212,213,217,218,219,220</t>
  </si>
  <si>
    <t>UK40qzf3YgjBg+CKkRY1Ig==</t>
  </si>
  <si>
    <t>Freedom's Children : The 1938 Labor Rebellion and the Birth of Modern Jamaica</t>
  </si>
  <si>
    <t>,25,26,27,28,243,244,245,241,242,246,247,248,322,323,324,321,320,325,326,327,328,329,330,331,332,333,334,335,336,337,338,339,340,341,343,358,359,360,356,357,361,362,363,364</t>
  </si>
  <si>
    <t>F1886 -- .P35 2014eb</t>
  </si>
  <si>
    <t>320.97292/0904</t>
  </si>
  <si>
    <t>,1,2,3,4,5,6,7,8,9,10,11,12,13,14,15,16,17,18,19,20,21,22,23,24,25,26,27,28,29,30,31,32,33,34,35,36,37,38,39,40,41,42,43,44,45,46,47,48,49,50,51,52,53,54,55,56,57,58,59,60,61,62,63,64,65,66,67,68,69,70,71,72,73,74,75,76,77,78,79,114,141,142,146,149,1,3</t>
  </si>
  <si>
    <t>,1,3,3,2,2,1,4,4,5,5,6,2,2,7,7,8,6,8,9,9,10,8,9,6,10,7,5,10,11,11,11,12,12,13,13,14,14,15,15,10,15,20,20,21,26,29,26,29,21,60,60,61,61,145,145,320,320,248,248,235,235,226,226,216,216,217,217,215,215,213,214,214,212,211,216</t>
  </si>
  <si>
    <t>,1,2,3,20,21,22,18,19,23,24</t>
  </si>
  <si>
    <t>w3cOd4sAJov053be9jhRpA==</t>
  </si>
  <si>
    <t>From Eve to Evolution : Darwin, Science, and Women's Rights in Gilded Age America</t>
  </si>
  <si>
    <t>,1,3,2,5,4,6,7,8,9,10,11,12,13</t>
  </si>
  <si>
    <t>HQ1191</t>
  </si>
  <si>
    <t>305.420973090/34</t>
  </si>
  <si>
    <t>,33,34,35,36,40,42,41,38,39,43,44,48,49,50,47,46,51,52</t>
  </si>
  <si>
    <t>,2,1,3,4,5,6,30,31,32,28,29</t>
  </si>
  <si>
    <t>Partnering for Recovery in Mental Health : A Practical Guide to Person-Centered Planning</t>
  </si>
  <si>
    <t>Medicine; Social Science; Health</t>
  </si>
  <si>
    <t>,1,3,2,83,84,85,81,82,86,87,88,89,90,91,92,93,94,95,96,97,98,96,97,98,99,100,101,102,103,104,105,106,107,108,109,110,104,103,102,82,43,44,45,41,42</t>
  </si>
  <si>
    <t>RA790.5 -- .P37 2014eb</t>
  </si>
  <si>
    <t>616.89/1</t>
  </si>
  <si>
    <t>,1,2,3,178,179,180,176,177,181,182,183,184,185,186,187,188,189,190</t>
  </si>
  <si>
    <t>,1,2,3,333,334,335,331</t>
  </si>
  <si>
    <t>Social Systems Theory and Judicial Review : Taking Jurisprudence Seriously</t>
  </si>
  <si>
    <t>3VUAQ+d+pcgs4o1YRlxcQw==</t>
  </si>
  <si>
    <t>,12,19,23,26,29,30,31,33,32,34,28,27,25,24,22,21,20,18,12,18,21,35,40,38,36,30,23,22,24,20</t>
  </si>
  <si>
    <t>,15,16,17,18,19,20,21,22</t>
  </si>
  <si>
    <t>DF0iEizMDME=</t>
  </si>
  <si>
    <t>A Short History of the Modern Media</t>
  </si>
  <si>
    <t>P91</t>
  </si>
  <si>
    <t>dtrYmL8AH9MHymZgqaLcqQ==</t>
  </si>
  <si>
    <t>Bullying Interventions in Schools : Six Basic Approaches</t>
  </si>
  <si>
    <t>LB3013.3 .R59 2012</t>
  </si>
  <si>
    <t>371.5/8; 371.58</t>
  </si>
  <si>
    <t>,1,2,3,4,5,6,7,8,9,10,11,12,13,14,15,19,20,21,33,34,35,36,37</t>
  </si>
  <si>
    <t>,1,2,3,4,5,6,7,9,10,13,17,21,25,29,32,31,33,34,30,2,35,36,37</t>
  </si>
  <si>
    <t>,1,119,120,121,117,118,126,127,128,124,125,123,2,122,127,128,129,126,130,131,132,133,134,135,136,137,138,139,140</t>
  </si>
  <si>
    <t>GU1f3BpAweHgiHV9CNCcjw==</t>
  </si>
  <si>
    <t>,162,166,167,168,164,165,163,161</t>
  </si>
  <si>
    <t>,1,2,3,178,179,180,176,177,2,190,187,184,186,182,183,181,185,186</t>
  </si>
  <si>
    <t>,1,2,3,4,5,6,7,27,28,29,26,24,25,23,22,21,19,20,18,480,481,482,478,479</t>
  </si>
  <si>
    <t>,26,27,24,25,29,27,27,28,28,27,27,26,26,26,26,27,27,27,27,27,27,27,27,28,28,28,28,28,28,28,28,28,28,28,28,28,28,28,28,30,25,24,29,30,31,31,32,33,28,33,34,35,36,31,36,37,38,39,40,41,42,43,44,45,46,47,48,49,50,51,52,53,48,53,54,55,56,57,58,59,60,61,62,63,64</t>
  </si>
  <si>
    <t>,28,28,28,28,26,26,31,31,30,30,33,33,33,33,34,34,43,43,44,44,45,45,46,46,47,47,48,48,59,59,60,60,61,61</t>
  </si>
  <si>
    <t>RvGqpjNtBQQql/b+7Ootlw==</t>
  </si>
  <si>
    <t>q/4HotSvC9TQC/1oUAHuAA==</t>
  </si>
  <si>
    <t>Sex in China</t>
  </si>
  <si>
    <t>,1,2,3,30,26,27,1,27,28,29,25,26,27,28,2,29,30,31,32,31,32</t>
  </si>
  <si>
    <t>HQ60 .J44 2015</t>
  </si>
  <si>
    <t>,71,71,72,73,6,7,5,5,6</t>
  </si>
  <si>
    <t>,1,2,3,71,69,70,71</t>
  </si>
  <si>
    <t>,1,2,3,26,27,28,24,25,29,30,31,32</t>
  </si>
  <si>
    <t>u1jPUtYVt0U=</t>
  </si>
  <si>
    <t>,1,2,3,143,145,141,146,147,142,143,141</t>
  </si>
  <si>
    <t>Y4yhgyqAsEpRRsZU0C+o2g==</t>
  </si>
  <si>
    <t>,1,2,3,92,93,94,90,91,83,84,85,81,82,83,84,85,81,82,86,87,88,83,81,80,78,79</t>
  </si>
  <si>
    <t>ngxavwJeIg48VfsG/gdxvw==</t>
  </si>
  <si>
    <t>Global Manga : 'Japanese' Comics without Japan?</t>
  </si>
  <si>
    <t>,1,2,3,4,5,6,14,15,20,21,22,23,24,25,26,27</t>
  </si>
  <si>
    <t>PN6710 .B69 2015</t>
  </si>
  <si>
    <t>741.5/9; 741.5''9</t>
  </si>
  <si>
    <t>,1,2,3,142,143,144,140,141,145,146,147,360,361,362,359,358,363,364,13,15,14,11,12</t>
  </si>
  <si>
    <t>,790,791,791,792,792,793,793,793,793,794,794,794,794,794,795,795,796,797,797,798,798,799,800,801,802,803,804,805,806,807,808,809,810,811,812,813,814,815,816,817,818,819,820,821,822,823,824,825,826,827,828,829,830,150,151,152,152,153,270,271,272,272,272,272,272,272,273,274,275,360,361,362,362,362,363,363,364,364,364,365,498,499,500,500,501,666,667,667,668,669,670,671,672,672,672,673,778,779,779,779,779,780,780,780,780,780,781,782,783,784,785,786,787,787,787,788,788,789</t>
  </si>
  <si>
    <t>Ep3u19rX1w4=</t>
  </si>
  <si>
    <t>,1,2,3,1,3,2,4,4,5,6,5,6,7,7,8,8,9,9,10,11,2,11,12,10,12,192,193,194,192,193,194,190,191,191</t>
  </si>
  <si>
    <t>,1,2,3,13,14,15,11,12,35,36,37,33,34,84,85,86,82,83</t>
  </si>
  <si>
    <t>,1,2,3,119,120,121,117,118,122,124,125,126,123,121,127,128,129,130,131,132,133,134,135,136,137,138,139,140</t>
  </si>
  <si>
    <t>1txwtCpYBUBrrvdm8hcRaQ==</t>
  </si>
  <si>
    <t>Lucid Dreaming : The Paradox of Consciousness During Sleep</t>
  </si>
  <si>
    <t>,82,84,83,80,81,85,86</t>
  </si>
  <si>
    <t>BF1099.L82</t>
  </si>
  <si>
    <t>,1,2,3,21,22,23,19,24,20,25,26</t>
  </si>
  <si>
    <t>Dreams, A Portal to the Source</t>
  </si>
  <si>
    <t>,61,62,63,64,65</t>
  </si>
  <si>
    <t>BF1078 -- .W458 2011eb</t>
  </si>
  <si>
    <t>154.6/3</t>
  </si>
  <si>
    <t>,1,2,3,54,55,56,57,53,58,52,60,59</t>
  </si>
  <si>
    <t>U9FOMVxYnD8=</t>
  </si>
  <si>
    <t>,139,140,153,154,155,166,167,168,164,165,169,156,157,158,159,160,161,214,215,216,212,213,217,218,219,220,221,222,223,224,162,163,170,171,172,173,174,175,176,177,275,276,277,273,274,278,279,280</t>
  </si>
  <si>
    <t>,1,2,3,143,144,145,141,142,146,147,148,149,150,151,152</t>
  </si>
  <si>
    <t>,1,2,3,1185,1186,1187,1183,1184,1189,1190,1191,1188,1194,1195,1196,1192,1193,1194,1193,1192,1191,1190</t>
  </si>
  <si>
    <t>Religion and Society in the Diocese of St Davids 1485–2011</t>
  </si>
  <si>
    <t>,14,15,16,1,15,16,17,13,14,18,19,2,26,27,28,29,25,30,31,32,33,34,35,36,37,38,104,105,106,50,51,52,48,53,54,55,56,57,58</t>
  </si>
  <si>
    <t>BX5107.S4 -- .R455 2015eb</t>
  </si>
  <si>
    <t>283/.4296</t>
  </si>
  <si>
    <t>,1,2,3,14,15,16,12,13</t>
  </si>
  <si>
    <t>,59,60,61,57,58,62,63</t>
  </si>
  <si>
    <t>,1,2,3,188,189,190,186,191,187,192,279,280,281,282,283,284,285,286,287,288,289,290,291,292,293,294,295</t>
  </si>
  <si>
    <t>,1,2,3,156,157,158,154,155,159,160,131,132,133,129,130,134,83,84,85,81,82,48,49,50,46,47,107,108,109,105,110,106,111,112,113,114,115,116,117,118,119,120,121,122,123,124,125,126,127,128</t>
  </si>
  <si>
    <t>Those Damned Immigrants : America’s Hysteria over Undocumented Immigration</t>
  </si>
  <si>
    <t>,1,205,206,207,203,204</t>
  </si>
  <si>
    <t>JV6483 -- .R66 2013eb</t>
  </si>
  <si>
    <t>364.1/370973</t>
  </si>
  <si>
    <t>ibOcj6ZlVsMVct81pXzkjA==</t>
  </si>
  <si>
    <t>From Brown to Meredith : The Long Struggle for School Desegregation in Louisville, Kentucky, 1954-2007</t>
  </si>
  <si>
    <t>,33,34,1,35,31,32,30,28,29,2,36,37,38,39,40,41,42,43,44,48,49,50</t>
  </si>
  <si>
    <t>LC214.23.L68 -- K64 2013eb</t>
  </si>
  <si>
    <t>379.2/630976944</t>
  </si>
  <si>
    <t>d5oM8kR4wgw=</t>
  </si>
  <si>
    <t>The Affirmative Action Debate</t>
  </si>
  <si>
    <t>HF5549.5.A34 -- .A4632 2002eb</t>
  </si>
  <si>
    <t>Affirmative Action, Hate Speech, and Tenure : Narratives About Race and Law in the Academy</t>
  </si>
  <si>
    <t>,1,2,3,11,12,13,9,10,45,46,47,43,48,36,37,38,25</t>
  </si>
  <si>
    <t>KF4155 -- .B27 2013eb</t>
  </si>
  <si>
    <t>,125,126,128,127</t>
  </si>
  <si>
    <t>,1,2,3,119,120,121,117,118,122,123,124</t>
  </si>
  <si>
    <t>Handbook of Health Social Work</t>
  </si>
  <si>
    <t>,1,393,394,395,391,392,2</t>
  </si>
  <si>
    <t>HV687.A2 -- H36 2012eb</t>
  </si>
  <si>
    <t>362.1/0425</t>
  </si>
  <si>
    <t>iW6QEYYAQLKBiPiLnE4YqA==</t>
  </si>
  <si>
    <t>Galileo's Idol : Gianfrancesco Sagredo and the Politics of Knowledge</t>
  </si>
  <si>
    <t>Science; Science: General</t>
  </si>
  <si>
    <t>,70,71,209,61,1,2,3,13,14,15,11,12,4,5</t>
  </si>
  <si>
    <t>Q143</t>
  </si>
  <si>
    <t>,1,2,3,8,9,10,6,7</t>
  </si>
  <si>
    <t>,629,630,631,630,630,631,1185,1186,1187,1188,1189,1190,1191,1190,1192,1192,1192,1193,1194,1195,1196,1197,389,389,390,389,390,631,631,631,632,631,632,631,630,629,633,634,635,636,637,638,639,640,641,642,643</t>
  </si>
  <si>
    <t>,1,2,3,629,630,631,627,628,629,630,631,630,629</t>
  </si>
  <si>
    <t>Y+ZiogPnS254NTTZBSe/nQ==</t>
  </si>
  <si>
    <t>Gun Policy in the United States and Canada : The Impact of Mass Murders and Assassinations on Gun Control</t>
  </si>
  <si>
    <t>,15,15,31,32,33,29,30,30,34,34,35,35</t>
  </si>
  <si>
    <t>HV7436 -- .F58 2012eb</t>
  </si>
  <si>
    <t>OgDIScTALngYpWOsGt3Udg==</t>
  </si>
  <si>
    <t>Environmental Ethics : An Overview for theTwenty-First Century</t>
  </si>
  <si>
    <t>Environmental Studies; Philosophy</t>
  </si>
  <si>
    <t>,1,2,3,2,3,1,2,2,86,87,88,86,84,87,88,85,85,89,89,90,90,91,91,92,92,93,93,88,94,93,89,88,94,87,86,91</t>
  </si>
  <si>
    <t>GE42.B69</t>
  </si>
  <si>
    <t>179; 179.1; 179/.1</t>
  </si>
  <si>
    <t>,1,1,2,2,3,3,1,136,136,137,138,137,134,138,135,2,135,139,139,31,31,32,32,62,62,63,63,60,64,61,61,64,65,65,66,66,10,11,12,11,8,12,9,10,9,13,13,14,14</t>
  </si>
  <si>
    <t>FpRx1Cs/CGo=</t>
  </si>
  <si>
    <t>The Anthropology of Infectious Disease : International Health Perspectives</t>
  </si>
  <si>
    <t>,1,3,2,4,5,438,439,440,436,437,441,442,443,412,413,414,410,411,415,416,417,418,419,396,397,398,394,395</t>
  </si>
  <si>
    <t>a+Xm8d6kzjs=</t>
  </si>
  <si>
    <t>Young People's Understandings of Men's Violence Against Women</t>
  </si>
  <si>
    <t>HV6250.4.W65 L66 2015</t>
  </si>
  <si>
    <t>362.82''92</t>
  </si>
  <si>
    <t>JrmalhtyPceiOYTro6HFHw==</t>
  </si>
  <si>
    <t>What Works for Whom?, Second Edition : A Critical Review of Treatments for Children and Adolescents</t>
  </si>
  <si>
    <t>,1,2,3,90,92,91,88,89,471,472,473,469,470,467,474,91,92,93,89,90,471,472,473,469,470,463,464,465,461,462,475,476,477,474,472,469,470,474,469</t>
  </si>
  <si>
    <t>RJ504 -- .W535 2015eb</t>
  </si>
  <si>
    <t>,1,2,3,470,471,472,468,469,473,474,469,277,1,3</t>
  </si>
  <si>
    <t>ayVlE8Xuh0o=</t>
  </si>
  <si>
    <t>Collective Action and the Civil Rights Movement</t>
  </si>
  <si>
    <t>Business/Management; Political Science</t>
  </si>
  <si>
    <t>,1,2,3,4,15,17,19,24,25,26,22,23</t>
  </si>
  <si>
    <t>HB846.5 -- .C466 1991eb</t>
  </si>
  <si>
    <t>323.1/196073</t>
  </si>
  <si>
    <t>xwW0VgUwRJ6RieJOYKBb1g==</t>
  </si>
  <si>
    <t>Fracking : The Operations and Environmental Consequences of Hydraulic Fracturing</t>
  </si>
  <si>
    <t>Engineering; Engineering: Mining; Engineering: Environmental</t>
  </si>
  <si>
    <t>,66,67,68,69,70,71,72,73,74,75,76,78,79,81,83,84,85,86,82,87,88,89,91,93,92,89,90,94,95,96,97,98,99,100,101,107,108,109,105,106,110,111,112,113,114,115,116,117,119,120,121,118,122,123,124,125,127,128,129,126,130,131,172,173,174,170,171,175,176,177,178,179,180,181,182,183</t>
  </si>
  <si>
    <t>TD195.G3 -- H65 2013eb</t>
  </si>
  <si>
    <t>,1,2,3,15,16,17,13,14,18,19,20,21,22,23,24,25,26,27,28,29,30,31,32,33,34,35,36,37,38,39,40,41,42,43,44,45,46,47,48,49,50,51,52,53,54,55,56,61,62,63,59,60,64,65</t>
  </si>
  <si>
    <t>lF8BNmlwbpORC/oBxg4Hmw==</t>
  </si>
  <si>
    <t>Hagia Sophia and the Byzantine Aesthetic Experience</t>
  </si>
  <si>
    <t>,1,2,3,31,32,33,29,30,28,35,26,27,25</t>
  </si>
  <si>
    <t>NA5870.A9 -- .S353 2014eb</t>
  </si>
  <si>
    <t>726.6094961/8</t>
  </si>
  <si>
    <t>,86,87,88,89,66,67,68,69,70,71,72,73,74,75</t>
  </si>
  <si>
    <t>,1,2,3,63,64,65,61,62,76,77,78,74,75,79,80,81,82,83,84,85</t>
  </si>
  <si>
    <t>,46,47,48,49,50,51,52,53,65,61,62,60,59,54,55,56,57,58,59,60,65,66,67</t>
  </si>
  <si>
    <t>JK8MfQBhCd9DeoD+1nMzvw==</t>
  </si>
  <si>
    <t>Teaching and Researching: Autonomy in Language Learning</t>
  </si>
  <si>
    <t>Education; Language/Linguistics</t>
  </si>
  <si>
    <t>,16,17</t>
  </si>
  <si>
    <t>LB1060 -- .B45 2013eb</t>
  </si>
  <si>
    <t>,1,2,3,4,5,6,7,8,9,10,11,12,13,14,15,16,14,15</t>
  </si>
  <si>
    <t>,1,2,3,63,64,65,61,62,66,78,79,80,76,77</t>
  </si>
  <si>
    <t>,1,2,3,43,44,45,41,42,63,64,65,61,62,66,68,69,70,67,60</t>
  </si>
  <si>
    <t>nech3X2a+8b1v2zRi9MPZw==</t>
  </si>
  <si>
    <t>,1,2,3,4,5,52,53,54,50,51,55</t>
  </si>
  <si>
    <t>,187,188,189,190,161,162,159,160</t>
  </si>
  <si>
    <t>,1,2,3,15,16,17,14,13,4,5,6,331,332,329,333,330,7,8,9,165,166,167,164,163,183,184,185,182,181,186</t>
  </si>
  <si>
    <t>VNcStJQZlTA=</t>
  </si>
  <si>
    <t>,1,2,3,8,9,7,11,16,17,18,14,15,19,20,32,33,34,30,31</t>
  </si>
  <si>
    <t>,1,2,3,10,11,31,32,33,29,30,34</t>
  </si>
  <si>
    <t>,1,2,3,195,196,197,193,194,193,198,199,194,193,200,201,196,202,197,203,204,205,206,207,250,251,252,248,249,195,237,238,239,235,236,240,242,241,243,244</t>
  </si>
  <si>
    <t>pafZK+czYH0eB+34SUUzBQ==</t>
  </si>
  <si>
    <t>Greece : A Short History of a Long Story, 7,000 BCE to the Present</t>
  </si>
  <si>
    <t>,1,2,3,1,2,3,160,162,161,158,159,167,168,169,165,166,175,170,171,172,173,174,176,177,178,179,180,181,182,183,184</t>
  </si>
  <si>
    <t>DF757</t>
  </si>
  <si>
    <t>,78,79,80,76,77</t>
  </si>
  <si>
    <t>,177,178,166,163,164</t>
  </si>
  <si>
    <t>,1,2,3,149,150,151,147,148,134,167,146,144,142,143,145,152,168,169,165,173,174,175,171,172,176</t>
  </si>
  <si>
    <t>,1,2,3,149,150,151,147,148,185</t>
  </si>
  <si>
    <t>j8EwJta5y3pyoR4fR11KjA==</t>
  </si>
  <si>
    <t>Data Mining and Predictive Analytics</t>
  </si>
  <si>
    <t>,4,5,6,7,8,9,10,11,9,10,11,7,8,9,9,9,9,9,9,9</t>
  </si>
  <si>
    <t>,9,9</t>
  </si>
  <si>
    <t>,8,9,10,11,12,13,14,15,16,17,18,19,20</t>
  </si>
  <si>
    <t>QA76.9.D343 -- .L3776 2015eb</t>
  </si>
  <si>
    <t>006.3/12</t>
  </si>
  <si>
    <t>,9,9,9,9,9,9,9,827,827,826,820,825,819,818,817,816,815</t>
  </si>
  <si>
    <t>,9,9,9,9,9,9,820,815</t>
  </si>
  <si>
    <t>,9,9,1,2,3,4,5,6,7,8,9,10,11,12,13,14,15,16,17,18,19,20,21,22,23,24,25,26,27,28,29,30</t>
  </si>
  <si>
    <t>,1,2,3,4,5,6,156,157,158,154,153,44,73,181,179,63,27,17,35,36,37,33,34,9,10,11,7,8</t>
  </si>
  <si>
    <t>,1,1,3,3,2,2,4,4,5,5,2,2,184,184,185,185,182,183,183</t>
  </si>
  <si>
    <t>,1,2,3,2,3,1,2,2,297,298,297,332,333,332,334,298,334,330,333,331,331,355,355,356,357,357,353,356,354,354</t>
  </si>
  <si>
    <t>Cognitive-Behavioral Treatment of Perfectionism</t>
  </si>
  <si>
    <t>,4,5,6,7,15,16,17,13,14,18,11,12,9,10,251,252,253,249,250,254,255,256,257,258</t>
  </si>
  <si>
    <t>RC533 -- .C646 2013eb</t>
  </si>
  <si>
    <t>,152</t>
  </si>
  <si>
    <t>,52,53,54,55,38,39,40,36,15,9,44,159,130,123,124,141,142,143,139,144,145</t>
  </si>
  <si>
    <t>,1,2,3,4,5,6,7,8,9,10,11,12,13,14,47,48,49,50,46,45,51</t>
  </si>
  <si>
    <t>,1,3,2,4,5,6,7,8,9,10,11,12,13,14,15,16,39,127,140,141,145,146,147,148,144,149,150,151,152,153,154,155,156,157</t>
  </si>
  <si>
    <t>nVy7Ie6BMrfWHVJUvtEqww==</t>
  </si>
  <si>
    <t>Civil War Wests : Testing the Limits of the United States</t>
  </si>
  <si>
    <t>,245,294,295,296,292,293,291,290,289,287,288,1,3,307,242,5,6,7,4</t>
  </si>
  <si>
    <t>E668 -- .C57 2015eb</t>
  </si>
  <si>
    <t>,1,276,277,278,274,275,2,309,310,307,279,280,281,282,283,284,285,286</t>
  </si>
  <si>
    <t>,25,26,27,24,22,23,28,29,54,55,51,52,53,56,57</t>
  </si>
  <si>
    <t>,53,54,55</t>
  </si>
  <si>
    <t>Ethics in Practice : An Anthology</t>
  </si>
  <si>
    <t>BJ1031 -- .E845 2014eb</t>
  </si>
  <si>
    <t>,1,2,3,62,53,51,54,52,56,55,57,58,59,60,61,62,63,64,65,66,67,68,69,70,71,72,73,74,75,76,77,78,79,80,81,82,83,84,85</t>
  </si>
  <si>
    <t>Change Leadership in Higher Education : A Practical Guide to Academic Transformation</t>
  </si>
  <si>
    <t>,1,2,3,184,185,186,182,183,187,188,189</t>
  </si>
  <si>
    <t>LB2341 -- .B7425 2015eb</t>
  </si>
  <si>
    <t>378.1/01</t>
  </si>
  <si>
    <t>,11,10,11,12</t>
  </si>
  <si>
    <t>,21,22,22,23,24,25,26,27,28,29,29,30,31,32,33,34,35,36,37,38,39,40,41,42,43,44,45,46,47,47,47,47,48,48,49,50,51,52,53,54,55,56,57,58,59,60,61,62,63,64,65,66,67,67,68,69,70,71,72,73,74,75,76,77,78,79,80,81,82,83,84,85,86,87,88,89,90,91,92,93,94,95,96,97,98,99,100,101,102,103,104,105,106,107,3,10,11,12,12,13,13,360,361,362,362,362,363,363,364,364,364,365,498,499,500,500,501,666,667,667,668,669,670,671,672,672,672,673</t>
  </si>
  <si>
    <t>,1,2,3,4,2,3,4</t>
  </si>
  <si>
    <t>,1,2,3,4,1,4,5,6,2,3</t>
  </si>
  <si>
    <t>,1,2,3,25,26,27,23,24,261,262,263,259,260,264,265,266,277,278,279,275,276,280,281,282,283,284,285,44,45,46,42,47,43,48,27,28,29,25,26</t>
  </si>
  <si>
    <t>MiPwWGEy4Ug=</t>
  </si>
  <si>
    <t>,1,2,3,5,7</t>
  </si>
  <si>
    <t>Z4xDftIqhmVRhPWPp752hQ==</t>
  </si>
  <si>
    <t>Buy This Book : Studies in Advertising and Consumption</t>
  </si>
  <si>
    <t>,1,1,2,3,3,2,4,4,5,2,6,5,2,6,7,7,8,8,9,9,10,10,11,11,12,12,6,5,291,291,292,293,292,293,289,294,290,294,289</t>
  </si>
  <si>
    <t>HF5821 -- .B89 1997eb</t>
  </si>
  <si>
    <t>Working with Risk : Skills for Contemporary Social Work</t>
  </si>
  <si>
    <t>HV700.G7 -- K46 2013eb</t>
  </si>
  <si>
    <t>,1,2,3,6,7,8,4,5,2</t>
  </si>
  <si>
    <t>,1,2,3,2,3,1,26,27,26,2,2,1,3,5,27,6,7,6,7,4,5,4,8,8,9,10,11,10,12,14,15,14,12,15,11,13,9,13,16,16,17,17,18,18,19,19,20,20,21,21,26,27,28,24,25,25,29,29,30,31,30,31,32,32,28,27,32,33,33,34,34,35,35,36,36,37,38,37,38,39,39,40,41,40,41,42,42,43,43,45,45,46,46,59,60,59,61,60,61,87,88,87,88,89,85,89,86,86,90,90,91,91,92,92,93,93,94,94,95,95,96,96,97,97,98,98,222,222,223,224,223,224,220,221,221</t>
  </si>
  <si>
    <t>,141,141,141,141</t>
  </si>
  <si>
    <t>,141,142,143,144,145,146,147,148,149,150,151,152,153,154,155,156,157,158,159,160,161,162,163,164,165,166,141,142,143,144,145,146,147,148,149,150,151,152,153,154,155,156,157,158,159,160,161,162,163,164,165,166</t>
  </si>
  <si>
    <t>,1,141,142,143,139,140,144,141,2,1,17,141</t>
  </si>
  <si>
    <t>Courage to Teach : Exploring the Inner Landscape of a Teacher's Life</t>
  </si>
  <si>
    <t>,1,2,3,4,5,6,55,56,57,53,54,58,59,60,61,56</t>
  </si>
  <si>
    <t>LB1775 .P25 2010</t>
  </si>
  <si>
    <t>371.1; 371.102</t>
  </si>
  <si>
    <t>u9yynWREepWv4lFaxw7DGQ==</t>
  </si>
  <si>
    <t>etroup</t>
  </si>
  <si>
    <t>Building Academic Language : Meeting Common Core Standards Across Disciplines, Grades 5-12</t>
  </si>
  <si>
    <t>,1,2,3,39,40,41,37,42,43,44,38,107,108,109,105,106</t>
  </si>
  <si>
    <t>72.43.68.227</t>
  </si>
  <si>
    <t>P120.A24  -- .Z85 2014eb</t>
  </si>
  <si>
    <t>yKJhYr6wqho9QjKZiDnAvA==</t>
  </si>
  <si>
    <t>The New Math : A Political History</t>
  </si>
  <si>
    <t>QA13</t>
  </si>
  <si>
    <t>510.71/073</t>
  </si>
  <si>
    <t>S710HpZbPiggRRJniq1mlA==</t>
  </si>
  <si>
    <t>Forensic Psychology</t>
  </si>
  <si>
    <t>,140,145,157,158,159,155,156,151,152,153,149,150,148,147,146,144,143,142,141,135</t>
  </si>
  <si>
    <t>,115,116,117,118,119,120,121,122,123,124,125,126,127,128,137,137,137,138,138,139,140,141,141,141,142,143,143,143,144,145,146,146,147,148,148,149,149,149,149,150</t>
  </si>
  <si>
    <t>HV6080; RA1151</t>
  </si>
  <si>
    <t>,1,2,3,137,138,139,135,136</t>
  </si>
  <si>
    <t>9+6lvm/KCn4=</t>
  </si>
  <si>
    <t>Dyslexia and Information and Communications Technology, Second Edition : A Guide for Teachers and Parents</t>
  </si>
  <si>
    <t>,1,2,3,4,5,6,7,8,9,10,11,12,13,14,15,16,17,18,19,20,21,22,23,24,25,26,27,28,29,30,31,32,33,34,35,36,37</t>
  </si>
  <si>
    <t>RJ496.A5 -- .K43 2012eb</t>
  </si>
  <si>
    <t>616.85/5306</t>
  </si>
  <si>
    <t>,30,30,33,33,34,34,35,35,36,36,37,37,38,38,39,39,40,40,41,41,42,42,43,43,38,43,44,45,44,45,46,46,47,47,48,48,49,49,47,50,50,51,51,52,52,53,53,54,54,55,55,56,56,57,57,58,58,59,59,60,60,61,61,62,62,63,63,64,64,59,58,63,64,65,65,66,66,67,67,68,68,69,69,70,70,71,71,72,72,73,73,74,74,75,75,76,76,77,77,78,78,79,79,80,80,81,81,82,82,83,83,84,84,85,85,86,86,87,87,88,88,89,89,90,90,91,91,92,92,93,93,94,94,95,95,96,96,97,97,98,98,99,99,100,100,101,101,102,102,103,103,104,104,105,105,106,106,107,107,108,108,109,109,110,110,111,111,112,112,113,113,114,114,115,115,116,116,117,117,118,118,119,119,120,120,121,121,122,122,123,123,124,125,124,125,126,126,127,127,128,128,129,129,130,130,131,131,132,132,133,133,134,134,135,135,136,136,137,137,138,138,139,139,140,140,141,141,142,142,143,143,144,144,145,145,146,146,147,147,148,148,149,149,150,150,151,151,152,152,153,154,153,154,155,155,156,156,157,158,158,157,159,159,160,160,161,161,162,162,163,163,164,164,165,165,166,166,167,167,168,168,169,170,169,170,171,171,172,173,172,173,174,174,175,175,176,176,177,177,178,178,179,179,180,180,181,181,182,183,183,182,184,184,185,185,186,186,187,187,188,188,189,189,190,190,191,191,192,192,193,193,194,194,195,195,196,196,197,197,198,198,200,200,201,201,199,199,202,202,203,203,204,204,205,205,206,206,207,208,208,207</t>
  </si>
  <si>
    <t>,30,32,47</t>
  </si>
  <si>
    <t>,1,1,3,3,2,2,4,4,5,5,6,6,7,7,8,8,9,9,2,10,10,11,11,6,11,12,12,13,13,8,13,14,14,15,15,16,16,17,17,18,18,19,19,20,20,21,21,22,22,23,23,24,24,25,25,26,26,27,27,28,28,29,29,30,30,31,31,26,31,32,32,30</t>
  </si>
  <si>
    <t>Supporting Children with Dyslexia</t>
  </si>
  <si>
    <t>,1,2,3,32,34,33,30,31,35,36,37,38,39,30,40,41,42,43,44,45,46,30,31,47,48,49,50,51,52,53,54,55,56,57,58,59,60,61,62,63,64,65,64,66,67,68,69,70,71,72,73,74,75,76,77,78,79,80,81,82,83,89,91,87,90,92,93,94,95,88,86,76,3,4,5</t>
  </si>
  <si>
    <t>LC4710.G7 -- H85 2005eb</t>
  </si>
  <si>
    <t>371.9/144</t>
  </si>
  <si>
    <t>Drugs of Abuse</t>
  </si>
  <si>
    <t>Medicine; Pharmacy; Social Science; Health</t>
  </si>
  <si>
    <t>RM301.17 .K567 2012</t>
  </si>
  <si>
    <t>362.29; 615.1</t>
  </si>
  <si>
    <t>,1,3,2,4,5,6,7,8,9,10,11,12,13,14,15,16,17,18,19,20,21,58,59,60,56,57,61,62,84,85,86,82,117,118,120,123,111,112,255,253</t>
  </si>
  <si>
    <t>,1,2,3,4,35,36,37,33,34,38,39,40,41,42,43,44,45,46,47,53,54,55,51,52,56,58,59,60,57,49,50,48,130,131,132,128,129,133,134,135,136,137,138,139,140,141,142,143,213,214,215,211,212,216,217,218,219,220,221,222,223,224,225,263,264,265,262,261,266,268,269,270,267,271,272,273,274,275,276,277,278</t>
  </si>
  <si>
    <t>,117,118,119,115,116,120,121,122,123,124,298,299,300,296,297,301,302,303,343,344,345,341,342,346,347,348,349,350,351,352,353,354,355,357,358,359,356</t>
  </si>
  <si>
    <t>,1,2,3,5,4,6,7,8,9,10,11,12,13,14,17,18,19,15,16,20,21,22,23,24,31,32,33,29,30</t>
  </si>
  <si>
    <t>,1,2,3,76,77,78,74,75,63,64,65,61,62</t>
  </si>
  <si>
    <t>,43,45,41,42,44</t>
  </si>
  <si>
    <t>,1,2,3,476,477,478,474,475,498,499,500,496,497,546,547,548,428,429,430,426,452,453,454,450,451</t>
  </si>
  <si>
    <t>kRy9gAnbiDh72eXT8TCLjg==</t>
  </si>
  <si>
    <t>cZ3ARIxfTck=</t>
  </si>
  <si>
    <t>Social Media, Social Genres : Making Sense of the Ordinary</t>
  </si>
  <si>
    <t>Economics; Business/Management; Social Science</t>
  </si>
  <si>
    <t>,203,204,205,201,202,29,30</t>
  </si>
  <si>
    <t>HM742 -- .L66 2014eb</t>
  </si>
  <si>
    <t>,1,2,3,297,298,299,329,330,331,332,328,333,334,335,336,337,338,339,340,341,342,343,295,296,355,356,357,353,354,402,403,404,400,401,401,1,402,403,399,400,404,405,2,355,356,357,353,354,1,354,355,356,352,353,350,351,2,357,358,402,403,404,400,401,405,359</t>
  </si>
  <si>
    <t>,1,2,3,24,25,26,22,23,27,28,14,15,16,12,13,17,18</t>
  </si>
  <si>
    <t>B/tDn5uxg/M=</t>
  </si>
  <si>
    <t>,1,2,3,502,503,504,500,501,505,506,507</t>
  </si>
  <si>
    <t>+TIAn1HYfS4=</t>
  </si>
  <si>
    <t>Bullying Prevention and Intervention : Realistic Strategies for Schools</t>
  </si>
  <si>
    <t>,122</t>
  </si>
  <si>
    <t>LB3013.32 -- .S94 2009eb</t>
  </si>
  <si>
    <t>AHuwPrH51+4=</t>
  </si>
  <si>
    <t>Drunk Driving : An American Dilemma</t>
  </si>
  <si>
    <t>,29,30,31,32,33,38,39,40,36,37</t>
  </si>
  <si>
    <t>HE5620</t>
  </si>
  <si>
    <t>363.1/251</t>
  </si>
  <si>
    <t>,1,2,3,4,5,6,21,22,23,19,20,119,120,121,117,118</t>
  </si>
  <si>
    <t>5k/MI3T4tRBUJzOeRn5MdA==</t>
  </si>
  <si>
    <t>Renewable Energy and Energy Efficiency : Assessment of Projects and Policies</t>
  </si>
  <si>
    <t>Engineering: Mechanical; Economics; Engineering; Environmental Studies</t>
  </si>
  <si>
    <t>TJ808 -- .D844 2015eb</t>
  </si>
  <si>
    <t>,1,2,3,4,5,6,7,8,9,10,11,12,13,14,15,16,17,26,27,28,24,25</t>
  </si>
  <si>
    <t>,1,2,3,452,453,454,450,451,455,456,457,458,459,460,461,462,463,464,465,466,467,1,2,3,1,3,2,452,453,454,450,451,455,456,458,457</t>
  </si>
  <si>
    <t>2qJSKfDxbIg=</t>
  </si>
  <si>
    <t>‘And so began the Irish Nation’ : Nationality, National Consciousness and Nationalism in Pre-modern Ireland</t>
  </si>
  <si>
    <t>,49,51,20,22,62</t>
  </si>
  <si>
    <t>,20,21,22,23,24,25,26,27,28,29,30,31,32,33,34,35,36,37,38,39,40,41,42,43,44,45,46,47,48,49,50,51,52,53,54,55,56,57,58,59,60,61</t>
  </si>
  <si>
    <t>DA925 .B64 2014</t>
  </si>
  <si>
    <t>,2,1,3,10,11,12,8,9,13,14,20,21,22,18,19,23,24,25,26,27,28,29,30,31,52,53,54,50,51</t>
  </si>
  <si>
    <t>,1,2,3,7,8,9,5,6,21,22,23,19,20,24,25,26</t>
  </si>
  <si>
    <t>,33,34,35,36,91,92,93,94,95,96,37,38,39,40,41,42,43,44,45,46,47,48,49,50,51,52,53,54,55,56,57,58,59,60,61,62,63,64,65,66,67,68,69,70,71,75</t>
  </si>
  <si>
    <t>iM3O2UF9064=</t>
  </si>
  <si>
    <t>Black against Empire : The History and Politics of the Black Panther Party</t>
  </si>
  <si>
    <t>,1,2,3,305,306,303,307,308,310,309,311,312,313,314,315,316,318,319,317,320,321,322,323,324,325,318,323,324,325,326,327,328,329,330,331,332,322,321,320,319,317</t>
  </si>
  <si>
    <t>E185.615 -- .B5574 2012eb</t>
  </si>
  <si>
    <t>,1,2,3,530,529,531,528,533,194,195,192,197,193,196,200,199,198,202,203,204,205,201,206,207,208,209,210,211,212,213,214,215</t>
  </si>
  <si>
    <t>Drunk Driving in America : Strategies and Approaches to Treatment</t>
  </si>
  <si>
    <t>,23,1,24</t>
  </si>
  <si>
    <t>HE5620.D7 -- .D78 2013eb</t>
  </si>
  <si>
    <t>,1,2,3,546,547,548,544,549,545,550,551,552,553,554,555,556,557,558,559,560,561,562,563,564,565,566,567,568,569,570,571,572,573,574,575,576,577,578,579,580,581,582,583,584,585,586,587,588,589,590,498,476,477,478,479,475,480,481,452,453,454,450,451,455,456,457,458,459,460,461,462,463,464,465,466,467,468,469,470,461,462,463,459,460,464,465,466,467,458,457,456,455,454</t>
  </si>
  <si>
    <t>kELwxDV3Ubg=</t>
  </si>
  <si>
    <t>Cross-Cultural Management : Culture and Management across the World</t>
  </si>
  <si>
    <t>,1,2,3,4,5,6,7,8,9,20,21,22,18,19,17</t>
  </si>
  <si>
    <t>HD31 -- .C767 2013eb</t>
  </si>
  <si>
    <t>,1,2,3,179,180,181,177,178,182,183,16,17,18,14,15,19</t>
  </si>
  <si>
    <t>iwpajrpfx+AJ8+XHvxzSXw==</t>
  </si>
  <si>
    <t>,333,334,335,331,332,542,543,544,540,541</t>
  </si>
  <si>
    <t>,505,573,564,544,541,540,537,538</t>
  </si>
  <si>
    <t>,1,2,3,4,5,6,7,8,9,10,117,527,633,496,446,447,448,444,453,461,460,462,458,459,463,464,465,466,467,468,469,470,471,499,509,539,542,543,531,501,502,503,500,504</t>
  </si>
  <si>
    <t>,1,2,3,23,24,25,21,22,127,128,129,125,126</t>
  </si>
  <si>
    <t>0L/IndxFfZ0Cd9TdMKs/rA==</t>
  </si>
  <si>
    <t>,28,29,30,26,27,31,32,33,295,296,297,293,294,298,299,300</t>
  </si>
  <si>
    <t>,1,2,3,2,3,1,220,222,218,222,219,2,219,217,222,264,265,264,265,266,262,266,263,263,267,267,268,268,270,270,271,271,272,272,273,273,274,274,275,275,276,276,271,270,268,269,267,269,266,271,272,273,274,275,276,277,277,278,278,279,279,280,280,281,281,282,282,283,283,278,277,276,274,275,273,272,271,270,269,268,267,266,265,264,263,262</t>
  </si>
  <si>
    <t>,1,2,2,3,3,1,2,256,257,256,254,255,257,258,255,258,2,259,259,260,260,261,261,262,262,263,263,258,263,264,264,265,265,267,266,262,267,261,266,265,260,266,261,266,267,261,260,259,258,256,257,255,260,261,262,263,264,265,298,297,299,298,297,299,326,326,327,328,327,328,324,325,325,257,256,254,255,258,259,260,261,262,263,264,265,277,278,279,276,275,280,281,282,283,284,285,286,287,288,289,308,326,327,328,324,325,297,298,299,295,296,256,257,258,254,255,332,333,334,330,331,335,336,337,338,339,340,341,342,402,403,404,400,401,367,368,369,370,371,372,373,374,374,1,375,374,375,376,1,376,372,373,2,371,370</t>
  </si>
  <si>
    <t>Theories of Development, Third Edition : Contentions, Arguments, Alternatives</t>
  </si>
  <si>
    <t>,1,1,2,2,3,3,2,2,1,177,179,270,238,224,220,13,13,13,13,386,1,13,13,14,79,79,80,81,82,83</t>
  </si>
  <si>
    <t>HD75 -- .P448 2015eb</t>
  </si>
  <si>
    <t>,212,213,210,214,211,209,208,207,206,205,204,203,202,201,200,199</t>
  </si>
  <si>
    <t>,14,14,1,16,1,15,16,12,15,13,13,17,17,18,19,18,19,2,2,14,13,12,11,9,11,10,8,10,9,8,6,7,6,5,7,5,1,3,3,2,4,4,5,6,7,8,9,10,11,12,13,14,15,16,17,18,184,186,186,182,184,183,185,185,183,180,181,179,179,177,178,178,112,114,112,113,114,111,113,111,110</t>
  </si>
  <si>
    <t>,10,11,12,15,16,17,18,19,20,21,22,23,24,25,26,27,28,29,30,31,32,33,34,35,36,37,38,39,39,40,41,42,43,44,45,46,47,48,49,50,51,52,52,53,54,55,56,57,58,59,60,61,62,63,64,65,66,67,68,69,70,71,72,73,74,75,76,77,78,79,80,81,82,83,84,85,86,87,88,89,90,101,101,102,103,104</t>
  </si>
  <si>
    <t>,1,3,2,199,201,202,197,198,203,204,205,200</t>
  </si>
  <si>
    <t>The Bipolar Workbook, Second Edition : Tools for Controlling Your Mood Swings</t>
  </si>
  <si>
    <t>RC516 -- .B373 2015eb</t>
  </si>
  <si>
    <t>,1,2,3,43,44,45,41,42,46,47,48,49,50,51,52,53,54,55,56,57,58,59,60,61,62,63,64,65</t>
  </si>
  <si>
    <t>,1,1,2,1,2,3,3,4,4,5,5,6,6,7,7,8,8,9,9,2,10,10,11,11,12,12,13,13,11,14,14</t>
  </si>
  <si>
    <t>,1,2,3,4,48,49,50,46,47,51,129,130,132,128,127,126,63,64,65,61,62,66,60,59</t>
  </si>
  <si>
    <t>,1,2,3,3,2,1,530,531,530,532,531,532,528,529,529,2,533,533,217,218,217,219,215,219,218,216,216,220,220,221,221,222,222,223,223,224,224,225,225,226,226,227,227,228,228,229,229,230,230,231,229,232,229,219,217,216,214,218,220,221,222,225,219,226,227,229,230,231,232,233,234,233,235,234,235,236,236,231,236,228,237,237,239,239,238,238</t>
  </si>
  <si>
    <t>,19,20</t>
  </si>
  <si>
    <t>,1,2,3,6,10,12,13,16,17,14,18,15</t>
  </si>
  <si>
    <t>,154,155,156,152,153,157,158,159,95,96,97,94,93,98,99,100,101,102,103,104,106</t>
  </si>
  <si>
    <t>,1,3,2,284,285,286,282,283,287,288,289,291,290,292,293,294,295,296,297,298,299,300,301,302,296</t>
  </si>
  <si>
    <t>5lsly6EyCcs=</t>
  </si>
  <si>
    <t>Liberty and Union : A Constitutional History of the United States, volume 2</t>
  </si>
  <si>
    <t>,2,3,1</t>
  </si>
  <si>
    <t>KF4541 -- .M39 2014eb</t>
  </si>
  <si>
    <t>WUswklxGZaekqHAzcLVyew==</t>
  </si>
  <si>
    <t>,1,2,3,33,34,35,31,32,29,30,27,28,34,36,33,45,46,47,43,44,48,48,66,67,68,64,65,86,87,88,84,85,189,190,191,187,188,125,126,127,123,124,154,156,152,105,106,107,103,104,66,1,66,67,68,2,64,65,267,268,269,265,266,44,45,46,82,83,84,80,81,129,130,131,127,128,132,206,207,208,204,205,24,25,26,22,23,31,32,33,29,30,186,187,188,184,185,217,218,219,215,216,250,251,252,248,249,68,69,70,71,76,77,78,74,86,190,191,192,188,189,28,29,30,26,27,110,111,112,108,109,206,207,208,204,205,200,201,202,198,199,30,26,27,73,74,75,71,72,98,100,99,96,97,115,116,117,113,114,196,197,198,194,195,199,200,201,202,203,198,311,312,313,309,310,201,202,203,199,195,196,194,193,171,172,173,169,170,291,293,292,167,168,165,166,166,1,168,167,164,165,2,124,125,126,122,123,36,37,38,34,35,118,119,120,116,117,157,158,159,155,156,290,291,292,288,289,158,160,157,161,181,182,183,179,180,112,113,114,110,111,84,86,85,82,83,160,161,162,158,159,13,14,15,11,12,207,208,209,205,206,118,119,120,116,117,113,114,115,111,112,183,184,185,181,182,22,23,24,20,21,209,210,207,211,64,65,66,62,63,61,60,25,26,27,23,24,66,67,68,64,65,69,172,173,174,170,171,63,61,236,237,238,234,235,264,265,266,262,263,247,248,249,245,246,238,239,236,240,237,59,60,61,57,58,230,231,232,228,229,239,241,238,256,257,258,254,255,59,60,61,57,58,261,259,260,230,231,232,228,229,233,259,261,233,234,235,261,264,275,276,277,273,274</t>
  </si>
  <si>
    <t>Gbz7nDLq7eOHze3+DkwTIw==</t>
  </si>
  <si>
    <t>Darwin Deleted : Imagining a World without Darwin</t>
  </si>
  <si>
    <t>,1,2,3,3,2,1,2,2,6,7,6,7,4,5,8,5,8,9,10,5,9,2,10,1,3,4,6,7,8,5</t>
  </si>
  <si>
    <t>QH361</t>
  </si>
  <si>
    <t>576.8/2</t>
  </si>
  <si>
    <t>,1,2,3,2,3,1,2,2,277,278,278,277,243,243,244,245,241,244,242,245,242,246,247,246,242,247,205,206,207,206,203,207,204,204,205,208,208,209,209,210,210,211,211,212,212,1,212,1,212,213,213,210,214,214,211,211,2,2,1,2,3,1,3,4,4,2,256,257,256,257,258,254,258,255,255,2,259,259,326,326,327,327,328,324,328,325,325,256,257,258,254,255</t>
  </si>
  <si>
    <t>s7KVjmmlRZEDCxbaA3Tg7Q==</t>
  </si>
  <si>
    <t>Sexual Dysfunction, Third Edition : A Guide for Assessment and Treatment</t>
  </si>
  <si>
    <t>,1,2,3,4,5,6,7,8,9,10,11,12,2,18,38,46,70,100,99,86,83,82,81,80,79,77,78,84,85,86</t>
  </si>
  <si>
    <t>RC556 -- .W563 2015eb</t>
  </si>
  <si>
    <t>,29,30,31,32,33,34,35</t>
  </si>
  <si>
    <t>,1,2,3,63,64,65,66,67,62,61,68,69,70,71,72,73,74,75</t>
  </si>
  <si>
    <t>CqE82WPIFwo=</t>
  </si>
  <si>
    <t>,1,3,2,4,5,6,7,8,9,10,11,12</t>
  </si>
  <si>
    <t>,1,2,3,4,5,6,7,8,9,10,11,12,13,14,15,16,17,18,19,20,21,22,23,26,27,28,24,25</t>
  </si>
  <si>
    <t>IfOGtqIm6Go=</t>
  </si>
  <si>
    <t>Slaughterhouse : Chicago's Union Stock Yard and the World It Made</t>
  </si>
  <si>
    <t>,1,156,156,158,157,158,157,155,1,154,155,2,2,153</t>
  </si>
  <si>
    <t>HD9419.U4 -- P33 2015eb</t>
  </si>
  <si>
    <t>338.7/63620831</t>
  </si>
  <si>
    <t>Foetal Condition : A Sociology of Engendering and Abortion</t>
  </si>
  <si>
    <t>,103,104,99,98,97,99,100,98,97</t>
  </si>
  <si>
    <t>,99</t>
  </si>
  <si>
    <t>HQ767 -- .B658 2013eb</t>
  </si>
  <si>
    <t>,1,2,3,168,169,170,166,167,171,172,164,165,169,170,100,101,102,98,99</t>
  </si>
  <si>
    <t>,1,2,3,63,64,65,61,62,1,3,66,67,68,69,70,71,72,73,74,75,69,68,67,66,63,64,62,60,65,66,67,68,61,66,67,68,69,70,71,72,73,74,75,76,77,78,79,80,81,82,83,84,85,86,79,78,76,75,74,77,73,72,71,70,69,68,67,66,65,64,63,62,61</t>
  </si>
  <si>
    <t>,63,1</t>
  </si>
  <si>
    <t>FJ88KAbxGmZl28XSuJXouw==</t>
  </si>
  <si>
    <t>,20,22,23,24,21,25,26,27,22,21,20,19,18,17,16,22,23,24,25,26,27,28,29,30,31</t>
  </si>
  <si>
    <t>,1,2,3,17,18,19,15,16,2,17</t>
  </si>
  <si>
    <t>IIsYzbDFZNHdg79hA+9/7g==</t>
  </si>
  <si>
    <t>,74,74,51,52,51,52,50,53,50,53,49,54,54,55,55,56,56,57,57,58,58,59,59,60,60,61,61,62,57,62,62</t>
  </si>
  <si>
    <t>,1,2,2,3,3,1,2,2,70,71,70,71,69,68,72,69,72,73,73</t>
  </si>
  <si>
    <t>,21,39,40</t>
  </si>
  <si>
    <t>,1,2,3,4,19,20,21,17,18,16,19</t>
  </si>
  <si>
    <t>The Politics of Energy : Challenges for a Sustainable Future</t>
  </si>
  <si>
    <t>,1,2,3,4,5,6,10,11,12,8,9,13,14</t>
  </si>
  <si>
    <t>,1,2,3,4,19,20,21,17,18,16,22,23,24,27,28,29,30,26,25,31,32,33,34,35,36,37,38,39,40,41,42,43,44,45,46,47,48,49,51,52,53,266,267,268,265,264,262,263,260,261</t>
  </si>
  <si>
    <t>bIvpZyH5/FE=</t>
  </si>
  <si>
    <t>,16,12,10,14,15,13</t>
  </si>
  <si>
    <t>Cyberbullying : Development, Consequences, Risk and Protective Factors</t>
  </si>
  <si>
    <t>,12,1,13,14,10,11,17,27,22,23,24,20,21,2</t>
  </si>
  <si>
    <t>HV6773.15.C92 C923 2013</t>
  </si>
  <si>
    <t>,1,5,6,3,7,2</t>
  </si>
  <si>
    <t>Darwin's Orchids : Then and Now</t>
  </si>
  <si>
    <t>Science; Science: Botany</t>
  </si>
  <si>
    <t>QK495</t>
  </si>
  <si>
    <t>584/.4</t>
  </si>
  <si>
    <t>Gracey's Meat Hygiene</t>
  </si>
  <si>
    <t>,267,268,269,265,266,270,279,280,281,277,278,323,324,325,321,322,372,373,374,371,375</t>
  </si>
  <si>
    <t>hKFcGIrxKZ1759ehMYYWwA==</t>
  </si>
  <si>
    <t>British Humanitarianism and the Congo Reform Movement, 1896-1913</t>
  </si>
  <si>
    <t>,1,2,3,113,114,115,111,112,116,117,120,121,122,123,119,124,125,126,127,128</t>
  </si>
  <si>
    <t>DT655 .P38 2015</t>
  </si>
  <si>
    <t>361.7/309675109041; 361.7''309675109041</t>
  </si>
  <si>
    <t>,1,2,3,256,258,243,244,245,241,242,205,206,207,203,204,208,209,210,211,212,213,214,215,250,252,251,248,249,253,246,247,245,244,243,230,231,232,228,229,256,257,258,254,255</t>
  </si>
  <si>
    <t>hQDmM6n7nEh8YKg+LTkibA==</t>
  </si>
  <si>
    <t>,1,2,3,339,340,341,337,338,342,343,344,345,346,347,348,349,350,351,352,353</t>
  </si>
  <si>
    <t>,4,5,6,14,15,16,12,13</t>
  </si>
  <si>
    <t>,1,2,3,186,187,188,184,185,189,190,191,192,193,194,195,196,250,251,252,248,249</t>
  </si>
  <si>
    <t>,1,132,133,134,130,131,2,225,226,227,223,224</t>
  </si>
  <si>
    <t>2/WehlnYlmc=</t>
  </si>
  <si>
    <t>,112,113,114,115</t>
  </si>
  <si>
    <t>,1,2,3,4,109,110,111,107,108</t>
  </si>
  <si>
    <t>7Mpzs8Igele2yM3gtUIriw==</t>
  </si>
  <si>
    <t>,244,245,246,242,243,247,248,249,250,238,239,240,241,251,252,253,254,255,256,257,258,259,261,262,263,260,264,265,266,267,268,269,270,271</t>
  </si>
  <si>
    <t>,1,2,3,235,236,237,233,234</t>
  </si>
  <si>
    <t>kJzC1QyOHEo=</t>
  </si>
  <si>
    <t>The Politics of Elite Corruption in Africa : Uganda in Comparative African Perspective</t>
  </si>
  <si>
    <t>,1,2,3,5,13,11,10,12,14,15,24,25,26,27,23,22,36,37,38,34,35,39,40,41,42</t>
  </si>
  <si>
    <t>JQ2951.A56 -- C675 2013eb</t>
  </si>
  <si>
    <t>,284,286,285,282,283,287,288,289,290,291,292,293,294,295,296,294,295,296,292,293,297,298,299,300,301,391,392,393,389,390,453,454,455,451,452,450,400,401,402,398,399,287,288,289,285,286,290,291,284,283,282,281,280,279,278,277,284,301,302,303</t>
  </si>
  <si>
    <t>,1,2,3,27,28,24,25</t>
  </si>
  <si>
    <t>,1,2,3,235,236,244,245,246,242,243,247,241,240,239,238,237,233,234</t>
  </si>
  <si>
    <t>,337,339,340,341,338,342,343,344,345,348,349,350,346,352,353,354,351</t>
  </si>
  <si>
    <t>,1,2,3,301,302,303,299,300</t>
  </si>
  <si>
    <t>UdB1LSaAs8KLzbIb7xCLgA==</t>
  </si>
  <si>
    <t>50 Great Myths of Human Sexuality</t>
  </si>
  <si>
    <t>,1,2,3,4,7,5,9,11,15,16,17,18,14,63,64,65,62,61,60,66,67,68</t>
  </si>
  <si>
    <t>HQ21 -- .S327 2015eb</t>
  </si>
  <si>
    <t>7dB083S4piQ=</t>
  </si>
  <si>
    <t>Greek Religion : Archaic and Classical</t>
  </si>
  <si>
    <t>,1,42,44,43,40,41,45,48,51,53,54,55,46,47,2,67,68,69,65,66,70,71,126,127,128,124,125,129,130,272,274,273,270,271,71,72,73,69,70,74,75,76,77,78</t>
  </si>
  <si>
    <t>BL782 -- .B87 1985eb</t>
  </si>
  <si>
    <t>,1,2,3,4,185,186,187,183,184,182,325,326,327,323,324,328,329,334,335,336,332,333</t>
  </si>
  <si>
    <t>Initiation in Ancient Greek Rituals and Narratives : New Critical Perspectives</t>
  </si>
  <si>
    <t>,61,62,63,64,66,67,121,122,123,119,120,124,125,126,127,128,129,130</t>
  </si>
  <si>
    <t>BL795.I55 -- I55 2003eb</t>
  </si>
  <si>
    <t>,2,1,3,57,58,59,55,56,60</t>
  </si>
  <si>
    <t>,1,2,3,36,37,38,34,35,39,43,44,45,41,42</t>
  </si>
  <si>
    <t>,124,124,125,125,126,126,127,127,228,229,228,230,226,227,229,230,227,231,231,238,239,238,240,239,236,240,237,237,219,220,219,216,220,217,218,217,218,221,221,222,222,223,223,58,59,60,57,56,61,48,49,50,46,47,51,52,208,209,206,210,207,211,212,213,214,215,216,217,218,219,137,138,139,135,136,140,157,158,159,155,156,160,161,199,200,201,197,198,202,238,239,240,236,237,176,177,178,174,175,179,180</t>
  </si>
  <si>
    <t>,1,2,3,2,3,1,2,2,89,90,89,91,90,87,91,88,88,92,92,93,93,117,117,118,115,119,118,116,119,116,120,120,121,121,122,122,123,123</t>
  </si>
  <si>
    <t>Rethinking Dance History : A Reader</t>
  </si>
  <si>
    <t>,14,15,16,17,18,19,20,21,22</t>
  </si>
  <si>
    <t>,1,2,3,3,2,1,14,15,14,15,12,13,13</t>
  </si>
  <si>
    <t>,1,2,3,4,5,6,15,16,17,13,14,18,19,20,21,22,23,24,2,19,25,26</t>
  </si>
  <si>
    <t>65Ia22rs5SzhDWUxUCr8XQ==</t>
  </si>
  <si>
    <t>,260,261,260,261,258,262,259,262,259,263,263,264,264,249,249,251,250,247,250,248,251,248,252,252,253,253,254,254,255,255,250,255,256,256,257,257,258,259,260,261,262,263,264,265,265,260,265,266,266,266,267,267,268,268,269,269,270,270,271,271,272,272,273,273,274,274,275,275,276,276,260,261,262,258,259,267,268,269,265,266,264,238,239,238,239,240,237,240,236,237,241,241,242,242,243,244,243,244,245,246,245,247,246,248,249,250,251,252,253,254,255,256,257,258,259,260,261,262,263,263,264,265,266,267,268,269,270,271,272,273,273,274,275,276,277,277,272,271,270,269,268,273,274,275,276,277,278,278,345,346,345,346,344,347,344,347,271,272,273,269,270,274,275,276,277,272,271,270</t>
  </si>
  <si>
    <t>z7/8CYTY8MEisU0h3PMs/Q==</t>
  </si>
  <si>
    <t>,1,2,3,404,405,406,402,403,407</t>
  </si>
  <si>
    <t>5x8Yq21pk9xzeJboEvWDDQ==</t>
  </si>
  <si>
    <t>,1,2,3,267,268,269,265,266,264,263,261,262,260,258,259,265,266,267,268,269,270,271,272,273,267,262,260,258,257,259,256,261,263,264,267,260,257,256,254,255,253,251,252,250,249,247,248,261,259,264,265,266,267,268,269,264,269,263,269,262,263,264,260,261,267,269,259,265,266,267,249,250,251,247,248,252,257,258,255,259,256,254,260,261,262,263,264,265,266,267,257,258,259,255,256,251,252,253,249,250,258,260,257,267,268,269,265,266,270,271,264,265,262,263,261,260,265,266,267,268,269,270,271,266,265,264,263,262,261,260,259,264,265,266,267,268,269,270,271,272,273,274,275,276,277,271,271,270,269,268,267,266,265,264,263,262,261,276,277,269,267,266,268,264,265,263,262,261,260,259,269,270,271,272,358,360,357,359,355,356,330,332,331,328,329,264,265,266,262,263,267,278,279,280,277,276,281,275,274,273,278,279,280,281,282,283,284,285,286,287,288,289,290,291,292,293,294,296,295,297,299,300,301,302,298,303,304,305,306,298,296,293,290,288,285,284,283,281,282,286,278,275,272,270,269,268,266,267,271,272,273,274,275,276,277,271,270,269,268,273,274</t>
  </si>
  <si>
    <t>,1,2,3,36,37,38,35,34,39,40,41,42,35,41,42,43</t>
  </si>
  <si>
    <t>2M5wHXDyI1U=</t>
  </si>
  <si>
    <t>The Transparent Teacher : Taking Charge of Your Instruction with Peer-Collected Classroom Data</t>
  </si>
  <si>
    <t>,1,2,3,75,76,77,17,19,18,16,15,20,23,21,24,22,25</t>
  </si>
  <si>
    <t>LB1027.28 .K38 2013</t>
  </si>
  <si>
    <t>,1,2,3,88,89,87,86,90,91,92,1,90,91,92,88,89,2,86,87,85,84,80,94,95,96,93,97,82,83,80,89,92</t>
  </si>
  <si>
    <t>,90</t>
  </si>
  <si>
    <t>ioY7TFn3GGfZYyP590YW5Q==</t>
  </si>
  <si>
    <t>,1,2,2,1,3,3,2,2,305,306,305,306,303,307,304,307,304,302,301,306,307,308,308,309,309,304,303,302,307,308,303,302,301,300,299,298,303,305,306,307,304</t>
  </si>
  <si>
    <t>9tYD6VJWM9fIFVHfi18F8g==</t>
  </si>
  <si>
    <t>,199,200,201,202,203,204,205,206,207,208,209,210,211,212,213,214,215</t>
  </si>
  <si>
    <t>,1,2,3,191,192,193,189,190,191,192,193,189,190,194,195,196,197,198</t>
  </si>
  <si>
    <t>,14,13,4</t>
  </si>
  <si>
    <t>IRUEZ9H+iZcctVlGgZesdg==</t>
  </si>
  <si>
    <t>Media Sociology : A Reappraisal</t>
  </si>
  <si>
    <t>HM1206 .M43 2014</t>
  </si>
  <si>
    <t>Qva+xXBOXAgTglGRS8g9RA==</t>
  </si>
  <si>
    <t>Toxic Schools : High-Poverty Education in New York and Amsterdam</t>
  </si>
  <si>
    <t>,1,2,3,8,9,10,6,7,11,12,13,14,15</t>
  </si>
  <si>
    <t>LC5133</t>
  </si>
  <si>
    <t>370.9173/209747</t>
  </si>
  <si>
    <t>,1,2,3,2,3,1,2,2,20,20,21,22,21,18,19,23,22,23,24,24,25,25,52,53,54,52,50,53,51,54,51,55,55,56,57,58,58,56,57,59,60,61,59,61,60,62,62,63,63,64,56,58,52,50,42,41,64,40,39,20,42,21,22,18,19,41,40,39</t>
  </si>
  <si>
    <t>R8phWILN75SfMDgD16e5vw==</t>
  </si>
  <si>
    <t>,310,311,312,302</t>
  </si>
  <si>
    <t>aSEaW9FlPjLQG+2IbLnU8w==</t>
  </si>
  <si>
    <t>,214,215,216,1,212,213,2</t>
  </si>
  <si>
    <t>l48Vn9EyIKU=</t>
  </si>
  <si>
    <t>Freedom to Change : Four Strategies to Put Your Inner Drive into Overdrive</t>
  </si>
  <si>
    <t>,99,100,183,184,185,1,97,98,112,7,8,9,10,1,2,3,4</t>
  </si>
  <si>
    <t>HF5549.5.J616 F85 2015</t>
  </si>
  <si>
    <t>,1,2,3,66,68,67,64,65,69,70,71,98,99,100,97,96,101,102,96,98,98,98,98,99,98,99,100</t>
  </si>
  <si>
    <t>,1,2,3,304,305,306,302,303,307,308,309,301</t>
  </si>
  <si>
    <t>rGzzu9sd6vc=</t>
  </si>
  <si>
    <t>The Psychology of Workplace Technology</t>
  </si>
  <si>
    <t>,108,109,280,297,298,299,301,302,303,300,304,305,306,307,308,309,310,311,312,50,25,16,5,3,4,6,7,8</t>
  </si>
  <si>
    <t>HF5548.8 -- .P793 2014eb</t>
  </si>
  <si>
    <t>,1,3,2,102,103,104,100,101,105,106,107</t>
  </si>
  <si>
    <t>9uc9g8HW1Lp+eKMyI+UvGg==</t>
  </si>
  <si>
    <t>,65,100,101,102,98,99</t>
  </si>
  <si>
    <t>,1,2,3,4,5,6,7,8,9,10,11,12,13,14,15,16,17,18,19,20,21,22,23,24,25,26,27,28,29,30,31,32,33,34,35,36,37,38,39,40,41,44,45,46,42,43,47,50,40,41,37,36,49,48,53,54,55,51,52</t>
  </si>
  <si>
    <t>AkkG0xSad/o=</t>
  </si>
  <si>
    <t>Motherhood and Representation : The Mother in Popular Culture and Melodrama</t>
  </si>
  <si>
    <t>,1,8,9,10,6,7,2</t>
  </si>
  <si>
    <t>PS228.M66 -- K36 2013eb</t>
  </si>
  <si>
    <t>The Work of Leaders : How Vision, Alignment, and Execution Will Change the Way You Lead</t>
  </si>
  <si>
    <t>,89,90,91,92,93,94,95,96,97,98,99,100,101</t>
  </si>
  <si>
    <t>HD57.7 .S781 2013</t>
  </si>
  <si>
    <t>qNSFdDBKIpE=</t>
  </si>
  <si>
    <t>Handbook of PTSD : Science and Practice</t>
  </si>
  <si>
    <t>RC552.P67; RC552.P67H353 2007</t>
  </si>
  <si>
    <t>,2,1,3,4,5,122,102,84,6,7,8,9,10,11,12,13,14,15,16,17,51,345,461,460,256,257,258,255,259,260,285,286,288,289,290,291,292,293,294,295</t>
  </si>
  <si>
    <t>Unsafe Abortion and Women's Health : Change and Liberalization</t>
  </si>
  <si>
    <t>,1,2,3,4,30,44,61,62,60,58,59,57,56</t>
  </si>
  <si>
    <t>hNh1NcZ0Bl6KcS89x+/GOg==</t>
  </si>
  <si>
    <t>Tattoos - Philosophy for Everyone : I Ink, Therefore I Am</t>
  </si>
  <si>
    <t>,1,59,60,61,57,58,2,9,1,2,3,4,9,10,11,7,8,12,75,83,84,86,87,88,106,113,114,115,116,112,111,117,111,117,118,119</t>
  </si>
  <si>
    <t>GN419.3 -- .T375 2012eb</t>
  </si>
  <si>
    <t>391.6/5</t>
  </si>
  <si>
    <t>,25,26,27,24,23,22,28,13,14,15,16,11,12,17,11,18,19,10,12</t>
  </si>
  <si>
    <t>,13,13,1,2,3,4,13</t>
  </si>
  <si>
    <t>Geriatric Depression : A Clinical Guide</t>
  </si>
  <si>
    <t>,35,36</t>
  </si>
  <si>
    <t>RC537.5 -- .K466 2015eb</t>
  </si>
  <si>
    <t>618.97/68527</t>
  </si>
  <si>
    <t>,1,2,3,4,5,15,16,17,13,14,15,16,17,13,14,18</t>
  </si>
  <si>
    <t>,1,2,3,77,78,79,75,76,80,81,82,83,84,85,86,87,88,89,87,88</t>
  </si>
  <si>
    <t>,1,2,3,11,13,14,17,16,18,15,12,19,20,30,31,32,33,29,34</t>
  </si>
  <si>
    <t>,187,188,189,190,191,192,193,194,195</t>
  </si>
  <si>
    <t>,1,2,3,3,2,1,51,52,51,53,49,52,53,50,50,2,54,54</t>
  </si>
  <si>
    <t>Mpotter</t>
  </si>
  <si>
    <t>What Great Teachers Do Differently : 17 Things That Matter Most</t>
  </si>
  <si>
    <t>,43,43,44,44,45,45,46,46</t>
  </si>
  <si>
    <t>216.226.96.45</t>
  </si>
  <si>
    <t>LB1775.W44</t>
  </si>
  <si>
    <t>,1,2,2,3,3,1,2,2,4,5,5,4,35,36,35,36,37,37,34,34,33,38,38,39,39,40,40,41,41,42,42</t>
  </si>
  <si>
    <t>,1,2,3,210,211,212,208,209,28,29,30,26,27</t>
  </si>
  <si>
    <t>,1,2,3,16,17,18,15,14,13,11,12,210,212,211,208,209,206,207,1,207,208,209</t>
  </si>
  <si>
    <t>,1,2,3,2,1,3,186,187,188,186,2,187,184,188,185,185,189,189,190,190,185,190,191,191,250,250,252,252,248,251,249,251,249,186,187,188,184,185,189,190,191</t>
  </si>
  <si>
    <t>Quantifying Systemic Risk</t>
  </si>
  <si>
    <t>HG106</t>
  </si>
  <si>
    <t>,34,1,35,36,32,33,210,212,211,208,209,213,214,215,233,234,235,2,236,232,231,34,1,36,35,32,33,2,31,42,43,44,40,41,45,46</t>
  </si>
  <si>
    <t>,1,2,3,31,32,33,29,30,34</t>
  </si>
  <si>
    <t>Meningitis : Cellular and Molecular Basis. 26. Advances in Molecular and Cellular Microbiology</t>
  </si>
  <si>
    <t>,1,2,3,86,87,88,84,85,89,90,91,29,30,31,27,28,261,262,263,259,260,61,62,63,59,60,64,65,66,67,68,60,69,70,71,72</t>
  </si>
  <si>
    <t>RC376 -- .M465 2013eb</t>
  </si>
  <si>
    <t>616.8/2</t>
  </si>
  <si>
    <t>,1,2,3,6,7,8,4,5,9,10,14,15,16,12,13,17,18,314,315,316,312,313,50,51,52,48,49,317,150,151,152,149,148,183,184,185,181,182,180,186,247,248,249,245,246,238,239,240,237,236,59,60,61,57,58,230,231,232,228,229,233,239,241,238,256,258,257,255,254,259,254,261,262,263,259,260,210,211,212,208,209,254,256,18,19,71,72,70,68,69,116,117,118,114,115,178,179,193,194,251,252,253,250,64,65,66,62,63,61,65,25,26,27,23,24,66,67,64,69,70</t>
  </si>
  <si>
    <t>,1,3,2,4,5,6,7,8,9,10,263,264,265,262,261,260,259,258,257,255,256,254,253,252,251</t>
  </si>
  <si>
    <t>,1,60,61,62,59,29,58,30,31,27,28,2,32,33,34,35,36,37,38,39,40,41,42,129,129,1,130,131,128,127,74,75,76,73,72,2,77,78,79,80,81,82,83,84,86,87,88,85</t>
  </si>
  <si>
    <t>,1,2,3,4,5,6,7,8,9,10,11,12,13,14,15,16,17,18,61,62,63,59,60</t>
  </si>
  <si>
    <t>,400,401,397,398</t>
  </si>
  <si>
    <t>MV87LFrTTI0q/TBQE5a6cg==</t>
  </si>
  <si>
    <t>,1,2,3,4,5,6,7,8,9,118,119,116,117,120,114,115,121</t>
  </si>
  <si>
    <t>,1,2,3,4,5,6,8,7,9,10,11,12,13,14,15</t>
  </si>
  <si>
    <t>ASjsu3rAqGwWuyDhHJ9msw==</t>
  </si>
  <si>
    <t>,1,191,192,193,189,190,194,195,2,202,201,203,199,200,198,197,196</t>
  </si>
  <si>
    <t>jMhKOI94Pn0=</t>
  </si>
  <si>
    <t>Prologue to Violence : Child Abuse, Dissociation, and Crime</t>
  </si>
  <si>
    <t>Medicine; Social Science</t>
  </si>
  <si>
    <t>,1,2,3,20,21,22,18,19,23,24,25,26,27,28,29,30,31,32,33,34,35,36</t>
  </si>
  <si>
    <t>RC569.5.C55 -- S74 2007eb</t>
  </si>
  <si>
    <t>XtPbUo309pXRf1uSMXaaeQ==</t>
  </si>
  <si>
    <t>Women in Ancient Greece : A Sourcebook</t>
  </si>
  <si>
    <t>,182,183,178,177,176</t>
  </si>
  <si>
    <t>CB5 .M384 2012</t>
  </si>
  <si>
    <t>Key Performance Indicators : Developing, Implementing, and Using Winning KPIs</t>
  </si>
  <si>
    <t>HF5549.5.P37 -- .P37 2015eb</t>
  </si>
  <si>
    <t>658.4/013</t>
  </si>
  <si>
    <t>,1,2,3,103,104,105,101,102,106,107,108,109</t>
  </si>
  <si>
    <t>,1,2,3,121,122,123,119,120,124,125,126,127,128,129,130,131,132,133</t>
  </si>
  <si>
    <t>The Spectrum Of Child Abuse : Assessment, Treatment And Prevention</t>
  </si>
  <si>
    <t>HV6626.5.O</t>
  </si>
  <si>
    <t>,2,1,3,4,5,6,7,8,9,10,11</t>
  </si>
  <si>
    <t>,1,2,3,127,128,129,125,126,137,138,139,135,136,140,134</t>
  </si>
  <si>
    <t>,1,2,3,102,103,104,100,101,105,106,107,108,109,110,51,52,53,49,50,54,55,56,57,58,59,60,61,62,63,64,65,66,67,68,69,70,71,72</t>
  </si>
  <si>
    <t>,1,2,3,4,5,6,7,178,179,180,176,177,181</t>
  </si>
  <si>
    <t>,1,2,3,53,54,55,51,52,50,49,47,48,102,103,104,100,101,105,99,32,33,34,30,31,35,36,37,38,39,193,194,195,191,190,213,214,215,216,212,217,40,41,42</t>
  </si>
  <si>
    <t>HRq2hBV9sWA=</t>
  </si>
  <si>
    <t>Treating Adolescents</t>
  </si>
  <si>
    <t>,86,203,204,201,202,206</t>
  </si>
  <si>
    <t>RJ503 .S384 2015</t>
  </si>
  <si>
    <t>w3NcZcxjctc=</t>
  </si>
  <si>
    <t>A Respectable Army : The Military Origins of the Republic, 1763-1789</t>
  </si>
  <si>
    <t>E230 .M384 2015</t>
  </si>
  <si>
    <t>,1,2,3,4,5,6,43,44,45,41,42,46,50,51,52,48,49,83,84,85,81,82</t>
  </si>
  <si>
    <t>,1,2,2,3,3,1,64,65,66,2,62,63,64,65,63,66</t>
  </si>
  <si>
    <t>SRiZjhxVpXU=</t>
  </si>
  <si>
    <t>Art and Adventure of Leadership : Understanding Failure, Resilience and Success</t>
  </si>
  <si>
    <t>,1,3,2,4,37,38,39,35,36,1,3,6,4,5,1,3,2,4,5,6,7,8,9,10,11,2,12,13,14,15,16,17,18,19,20,21,22,23,24,26,27,29,28,25,30,31,32,33,34,35,36,37,38,39</t>
  </si>
  <si>
    <t>HD57.7 -- .B46 2015eb</t>
  </si>
  <si>
    <t>L8o1mlw8HHTXGXOWM5LUIw==</t>
  </si>
  <si>
    <t>The Beauty of a Social Problem : Photography, Autonomy, Economy</t>
  </si>
  <si>
    <t>,1,1,3,3,2,1,2,8,8,9,9,10,6,10,7,7,58,58,57,57,59,56,59,60,60,2,61,61,62,62,86,87,86,88,87,88,84,85,85,86,86,87,88</t>
  </si>
  <si>
    <t>PT2603.R397</t>
  </si>
  <si>
    <t>,1,2,3,37,39,38,35,36,34,32,33,30,31</t>
  </si>
  <si>
    <t>n44IJW0ZsfLOpnAYrA0CdQ==</t>
  </si>
  <si>
    <t>Group Policy : Fundamentals, Security, and the Managed Desktop</t>
  </si>
  <si>
    <t>,53,55,56,57,58,60,71,73,74,75,76,77,78,79,80,81,83,84,85,86,87</t>
  </si>
  <si>
    <t>QA76.77</t>
  </si>
  <si>
    <t>005.4/46</t>
  </si>
  <si>
    <t>,2,3,1,15,13,14,29,25,39,40,41,42,44,47,48,50,51</t>
  </si>
  <si>
    <t>,29,30,31,32,33,34,35,36,37,38,39,40,41,42,43,44,45,46,47,49,50,53,54,55,56,57,58,59,60,61,62,63,64,66,67,68,70,71,72,73,74,75,76,77,78,79,80,81,82,83,84,85,86,87,90,89,91,88,95,94,93,91,90,92,6,7,48,69,91,95,100,98,99,96,97,94,93,92,90,89,92,93,94,95,96,97,98,99,100,101,102,103,104,105,59,60,61,57,58,62,63,64,65,66,67,68,69,56,55,54,52,51,50,48,49,46,47,45,44,43,42,41,40,39,38,37,36,35,34,33,32,31,30,29,34,35,36</t>
  </si>
  <si>
    <t>,1,2,3,4,5,6,7,8,9,10,11,12,13,14,15,16,17,18,19,20,21,22,23,24,25,26,27,28</t>
  </si>
  <si>
    <t>rKmoHcgmTkKdbuT2X+vWfA==</t>
  </si>
  <si>
    <t>Doing Dialectical Behavior Therapy : A Practical Guide</t>
  </si>
  <si>
    <t>,1,2,2,3,1,3,4,6,4,5,6,5,7,7,8,8,9,9,2</t>
  </si>
  <si>
    <t>RC489.B4 -- K64 2012eb</t>
  </si>
  <si>
    <t>Mer4+JFxwCMhxsnFI/9atw==</t>
  </si>
  <si>
    <t>Teach Yourself VISUALLY Search Engine Optimization (SEO)</t>
  </si>
  <si>
    <t>Medicine; Business/Management</t>
  </si>
  <si>
    <t>,1,79,80,78,76,77,2,81,82,83,84,85,86,87,88,89,90</t>
  </si>
  <si>
    <t>HF5415.1265 -- .E46 2013eb</t>
  </si>
  <si>
    <t>ProZvuLJkKsT7+s2ydbkDw==</t>
  </si>
  <si>
    <t>Sherlock Holmes for the 21st Century : Essays on New Adaptations</t>
  </si>
  <si>
    <t>,1,2,3,8,9,10,6,7,162,163,164,160,161,165</t>
  </si>
  <si>
    <t>PN1995.9.S5 -- S54 2012eb</t>
  </si>
  <si>
    <t>791.43/651</t>
  </si>
  <si>
    <t>3aeTq4RkDJN+PMn3puBmJQ==</t>
  </si>
  <si>
    <t>Conceiving Freedom : Women of Color, Gender, and the Abolition of Slavery in Havana and Rio de Janeiro</t>
  </si>
  <si>
    <t>,1,2,4,3,5,6,7,8,13,11,9,18,21,23,24,26,28,29,30,31,32,33,44,120,121,117,118,166,167,168,164,169,170</t>
  </si>
  <si>
    <t>HT1076 -- .C69 2013eb</t>
  </si>
  <si>
    <t>306.3/62082</t>
  </si>
  <si>
    <t>Spatial Design Education : New Directions for Pedagogy in Architecture and Beyond</t>
  </si>
  <si>
    <t>,1,2,3,4,5,6,7,8,9,10,11,12,13,14,15,16,17,18,19,20,21,19</t>
  </si>
  <si>
    <t>NA2000 -- .S253 2015eb</t>
  </si>
  <si>
    <t>,241,242,243,244,239,238,244</t>
  </si>
  <si>
    <t>Word 2013 For Dummies</t>
  </si>
  <si>
    <t>General Works/Reference; Computer Science/IT</t>
  </si>
  <si>
    <t>,1,11,12,13,9,10,14,15,16,17,18,2,19,20,21,22,23</t>
  </si>
  <si>
    <t>Z52.5.M52 G665 2013</t>
  </si>
  <si>
    <t>A4ulP05VVuJ/PTJEZcR24w==</t>
  </si>
  <si>
    <t>Politics of Immigration : Contradictions of the Liberal State</t>
  </si>
  <si>
    <t>JV6271</t>
  </si>
  <si>
    <t>,1,2,3,193,194,195,191,192,237,239,238,235,236,240</t>
  </si>
  <si>
    <t>,1,2,3,88,89,90,86,87,91,92,99,103,98,122,116,117,118,115,111,114,108,109,110,107,106,105,103,104,102,101,100,99,98,97,96,95,94,93,86,87,91,97,86,93,87,92,93,84,85</t>
  </si>
  <si>
    <t>,89,90</t>
  </si>
  <si>
    <t>,1,2,3,3,1,2,108,109,108,110,109,110,107,106,107,111,2,111,112,112,112,113,113,114,114,115,115,116,116,117,117,118,118,119,119,120,120,121,116,121,121,122,122,123,123</t>
  </si>
  <si>
    <t>byd4dEH9dl2EJGFfxFJBZg==</t>
  </si>
  <si>
    <t>The Quest for the Nazi Personality : A Psychological Investigation of Nazi War Criminals</t>
  </si>
  <si>
    <t>,193,195,194,191,196</t>
  </si>
  <si>
    <t>D804.G4Q47</t>
  </si>
  <si>
    <t>,1,2,3,21,22,23,19,20,102,104,103,101,100,105,84,82,83,80,81,106,107,108,195,197,196,193,194,215,216,217,213,214,218,219,234,235,236,232,233,237,238,239,240</t>
  </si>
  <si>
    <t>,21,22,23,24,25,26,27,28,29,30,31,32,33,34,35,36,37,38,39,40,41,42,43,44,45,46,47,48,49,49,49,50,51,52,53,54,55,56,57,58,59,60,61,62,63,64,65,66,67,68,69,70,71,72,73,74,237,238,239,240,241,242,243,244,245,246,247,248,249,250,251,252,253,254,255,256,257,258,259,260</t>
  </si>
  <si>
    <t>,1,2,3,6,8,5,4,7,20,21,22,18,19</t>
  </si>
  <si>
    <t>The Beast Reawakens : Fascism's Resurgence from Hitler's Spymasters to Today's Neo-Nazi Groups and Right-Wing Extremists</t>
  </si>
  <si>
    <t>,569,568,570,571,567,572,573,574,575,619,620,621,618,622,623</t>
  </si>
  <si>
    <t>JC481 -- .L44 2011eb</t>
  </si>
  <si>
    <t>,1,2,3,4,5,6,7,8,9,10,11,12,13,561,560,562,558,559,563</t>
  </si>
  <si>
    <t>2gMO043ZtfSa4Xwfd5ucDA==</t>
  </si>
  <si>
    <t>Interaction and Coevolution</t>
  </si>
  <si>
    <t>,1,2,3,70,71,72,73,69,124,125,135,136,48,49,50,150,151,152,148,149,153,154,155,157,158,159,160,161,162,163,164,165,167,168,169,1,169,170,171,167,150,151,152,153,149,156,158,160,161,162,163,164,165,166,168,2</t>
  </si>
  <si>
    <t>QH371</t>
  </si>
  <si>
    <t>,1,2,3,2,3,1,4,4,4,5,5,2,6,2,6,7,7,8,8,9,9,10,10,11,12,13,11,12,13,14,14,15,16,15,16</t>
  </si>
  <si>
    <t>,4,4,5,6,7,5,7,8,6,8,9,10,9,10,11,12,11,13,13,12,7,8,6,11,12,13,14,14,26,26,27,27,28,28,59,60,59,60,57,58,58,61,61,62,62,63,64,63,64,65,66,65,67,66,67,68,68,63,68,63,63,64,63,64,65,63,64,65,63,61,64,26,27,26,28,27,28,6,7,8,7,8,4,6,14,15,14,16,15,16,12,13,13,11</t>
  </si>
  <si>
    <t>,25,26,27,28,29,30,31,32,33,34,35</t>
  </si>
  <si>
    <t>,6,7,8,4,5,1,2,3,4,34,35,36,33,32,31,30,35,36,37,37</t>
  </si>
  <si>
    <t>,1,2,1,2,3,3,4,4,5,5,2,2,6,7,7,6,8,8,9,9,10,10,11,11,12,12,13,13,14,14,15,15,16,16,17,17,18,18,19,20,19,20,21,22,22,21,23,23,24,24,25,25,26,26,27,27,28,28,29,29,30,30,31,31,32,32,33,33,34,34,35,35,30,35,36,36</t>
  </si>
  <si>
    <t>,1,3,2,3,2,1,2,2</t>
  </si>
  <si>
    <t>,23,24,1,24,25,26,23,22,19,20,21,17,18,2</t>
  </si>
  <si>
    <t>,1,3,3,1,2,2</t>
  </si>
  <si>
    <t>,1,3,3,2,1,2,2,2,106,107,107,106,109,110,109,110,108,108,111,111,106,105,110,111,112,112,113,113,108,113,114,114,115,115,116,116</t>
  </si>
  <si>
    <t>UZVRUHB/v4sNbsE2M+gRWg==</t>
  </si>
  <si>
    <t>,1,1,2,3,2,3,105,106,105,106,107,103,107,104,104,6,7,8,6,8,7,4,5,5,2,9,9,10,10,11,11,12,12,7,5,6,4,3</t>
  </si>
  <si>
    <t>Wilfrid Sellars : Naturalism with a Normative Turn</t>
  </si>
  <si>
    <t>,1,2,3,4,5,6,7,8,9,10,11,2,5,390,568,569,566,567,2,3,4,5,6,7,8,9</t>
  </si>
  <si>
    <t>B945.S444 O84 2015</t>
  </si>
  <si>
    <t>SwxYZ7NSPOneBOBZ2IrJzg==</t>
  </si>
  <si>
    <t>DBT® Skills Training Handouts and Worksheets, Second Edition</t>
  </si>
  <si>
    <t>,1,2,3,139,140,141,137,138,142,143,144,145,146,147,148,149,150,151,152,153,154,155,156</t>
  </si>
  <si>
    <t>RC489.B4 -- L56 2015eb</t>
  </si>
  <si>
    <t>,1,2,3,153,154,155,152,151,156,157,158,159,160,161,162,163,164,263,265,264,261,262,266</t>
  </si>
  <si>
    <t>,434,435,432,433,69,70,71,67,72,68,73,74,75,76,77,78,79,80,98,99,100,97,96,102,103,101,104,141,142,143,139,140,144,145,146,147</t>
  </si>
  <si>
    <t>,1,2,3,25,26,27,23,24,28,29,30,36,37,38,34,35,39,40</t>
  </si>
  <si>
    <t>Natural Environments and Human Health</t>
  </si>
  <si>
    <t>,3,5,1,2,4,15,12,49,50,51,47,48,52,53,54,55,56,57,58,59,60,61,62,64,65,66,68</t>
  </si>
  <si>
    <t>RA566.27 -- .E947 2014eb</t>
  </si>
  <si>
    <t>362.1969/8</t>
  </si>
  <si>
    <t>MFrop/UzQw45P1QvBlgfGQ==</t>
  </si>
  <si>
    <t>Auditor's Guide to IT Auditing</t>
  </si>
  <si>
    <t>Computer Science/IT; Business/Management</t>
  </si>
  <si>
    <t>,1,2,3,361,363,359,360,364,357,349,338,339,340,336,341,337,342,343,344,345,346,347,348,350,351,352,353</t>
  </si>
  <si>
    <t>QA76.9.A93 -- C37 2012eb</t>
  </si>
  <si>
    <t>658/.0558</t>
  </si>
  <si>
    <t>gGaLsJie+h0=</t>
  </si>
  <si>
    <t>Responsive Guided Reading in Grades K-5 : Simplifying Small-Group Instruction</t>
  </si>
  <si>
    <t>,101,98,4,5,6,7,8,9,10,11,12,13,14,15,16,17,18,19,20,21,22,23,24,25,26,27,28</t>
  </si>
  <si>
    <t>LB1050.377 -- .B47 2010eb</t>
  </si>
  <si>
    <t>,1,2,3,108,109,110,106,107,111,112,113,114,115,116,117,118,119,120,122,123</t>
  </si>
  <si>
    <t>lVTKWNH8QkfO0ErGUx6JLg==</t>
  </si>
  <si>
    <t>,1,2,3,249,250,251,252,253,254,255,256,257,261,262,259,263,260,264,265,269,270,271,267,268,272,273,274,275,276</t>
  </si>
  <si>
    <t>uVFDeL5Ji9rxUavQ/Gn+Uw==</t>
  </si>
  <si>
    <t>Affordable Care Act For Dummies</t>
  </si>
  <si>
    <t>,1,2,3,4,5,6,7,8,9,10,11,12,13,14,15,16,17,18,19,20,21,22,23,24,25,26,27,28,29,30,31,32,33,34,35,36,37,38,39,40,41,42,43,44,45,46,47,48,49,50,51,52</t>
  </si>
  <si>
    <t>RA407.3 -- .Y34 2014eb</t>
  </si>
  <si>
    <t>Ijd7IvyrQPjfjML13zrQEQ==</t>
  </si>
  <si>
    <t>Disability and Popular Culture : Focusing Passion, Creating Community and Expressing Defiance</t>
  </si>
  <si>
    <t>,12,13,14,15,16,17,18,19,20,21,22,23</t>
  </si>
  <si>
    <t>HV1568 -- .E445 2015eb</t>
  </si>
  <si>
    <t>305.9/08</t>
  </si>
  <si>
    <t>,1,12,14,10,13,11,2,15,16,17,18,19,20,21,22,23,24,25,26,27</t>
  </si>
  <si>
    <t>Disability, Obesity and Ageing : Popular Media Identifications</t>
  </si>
  <si>
    <t>,2,1,3,42,43,44,98</t>
  </si>
  <si>
    <t>,24,25,26,27,28,29,30,31,32,33,34,35,36,37,38,39,40,41</t>
  </si>
  <si>
    <t>P96.I34 -- .R633 2014eb</t>
  </si>
  <si>
    <t>302.2301/9</t>
  </si>
  <si>
    <t>,24,25,1,26,22,23,2,27,28,29,30,42,43,44,40,25,22,23</t>
  </si>
  <si>
    <t>tr5pA1kQJA0OQXukszTMtA==</t>
  </si>
  <si>
    <t>,153,84,85,83,82,86,88,87,89,90,91,94,99,107,110,111,108,109,112,113,131,118,122</t>
  </si>
  <si>
    <t>The Social Media Handbook</t>
  </si>
  <si>
    <t>,2,4,5,6,3,116,117,118,114,115,119,120,121,122,123,124,125,126,127,128,129,130,131,132,113,109,114,135,136,137,134,133,153,154,155,151,152</t>
  </si>
  <si>
    <t>,68,69,70,71,72,73,74,75,76,77,78,79,116,117,118,119,120,121,122,123,124,125,126,127,128,129,130,131,132,133,134,135,136,137,138,139,140,141,142,143,144,145,146,147,148,149,150,151,152</t>
  </si>
  <si>
    <t>HM742 -- .S6281963 2014eb</t>
  </si>
  <si>
    <t>302.23/1</t>
  </si>
  <si>
    <t>,1,68,69,70,67,66,2,73,74,75,76,77,78,79,80,81,72,71,82,79,1,68,69,70,66,67</t>
  </si>
  <si>
    <t>,1,2,3,493,494,495,492,491,412,413,414,411,410,66,68,67,65,64,51,49,53,52,50,59,60,58,57,61,62,63,507,508,509,505,506,199,197,198,200,201,191,185,176,175,173,174,172,137,139,135,136,138,140,141,143,142,144,146,145,147,148,149,150,151,152</t>
  </si>
  <si>
    <t>p/RutGeYfLQ=</t>
  </si>
  <si>
    <t>Fashion Cultures : Theories, Explorations and Analysis</t>
  </si>
  <si>
    <t>,1,3,2,4,270,271,272,268,269,273</t>
  </si>
  <si>
    <t>GT525 -- .F37 2000eb</t>
  </si>
  <si>
    <t>,1,2,3,34,35,36,32,33,37,38,39,40,41,42,43,44,45,46,47,48,49,50</t>
  </si>
  <si>
    <t>In the Culture Society : Art, Fashion and Popular Music</t>
  </si>
  <si>
    <t>,1,2,3,4,7,8,9,10</t>
  </si>
  <si>
    <t>DA589.4 -- .M43 1999eb</t>
  </si>
  <si>
    <t>,1,2,3,95,97,98,94,96,99,100,101,102,103,104,105,127,128,129,106,107,108,1,108,109,108,109,107,110,106,107,110,1,2</t>
  </si>
  <si>
    <t>uLxy92szFNc=</t>
  </si>
  <si>
    <t>Handbook of Professional Development in Education : Successful Models and Practices, PreK-12</t>
  </si>
  <si>
    <t>,76,77,78,74,75,79,80,81,82,83,84,85,86,87,88,89,90,91,92,93</t>
  </si>
  <si>
    <t>,76,76,77,78,91,92,93</t>
  </si>
  <si>
    <t>LB1731 -- .H197 2014eb</t>
  </si>
  <si>
    <t>,1,2,3,74,75,76,72,73,77,75,78</t>
  </si>
  <si>
    <t>,1,2,3,127,128,129,125,126,130,131,132</t>
  </si>
  <si>
    <t>,1,2,18,19,20,21,17,22,23,3,24,25,26,27,28,34,36,32,33</t>
  </si>
  <si>
    <t>wwwj2MzAUo4=</t>
  </si>
  <si>
    <t>The Future of Quality News Journalism : A Cross-Continental Analysis</t>
  </si>
  <si>
    <t>,161,162,163,164,165,166,167,168,169,170,153,152</t>
  </si>
  <si>
    <t>PN4815.2 -- .F88 2014eb</t>
  </si>
  <si>
    <t>,1,2,3,175,176,177,173,174,178,179,195,196,197,193,194,198,199,215,216,217,213,214,218,219,220,221,222,223,224</t>
  </si>
  <si>
    <t>,21,22,23,19,20,1,20,25,24,18,22,21,19,2</t>
  </si>
  <si>
    <t>,52</t>
  </si>
  <si>
    <t>,1,156,157,154,158,155,159,2,160</t>
  </si>
  <si>
    <t>,1,2,3,44,45,42,46,43,47,48,49,50,51,52,53,54</t>
  </si>
  <si>
    <t>OiuQ6I7XCihLZEqb9GKv1Q==</t>
  </si>
  <si>
    <t>Equine Science</t>
  </si>
  <si>
    <t>,1,2,3,262,263,264,260,261,271,272,273,269,270,274,275,276,277,278,279,280</t>
  </si>
  <si>
    <t>SF285.3 .P54 2013</t>
  </si>
  <si>
    <t>636.1; 636.1089</t>
  </si>
  <si>
    <t>,1,2,3,251,252,253,249,250,254,402,403,404,400,401,405</t>
  </si>
  <si>
    <t>+mkwrs/2pG70yaNKxqYh0A==</t>
  </si>
  <si>
    <t>Multimethod Clinical Assessment</t>
  </si>
  <si>
    <t>,38,40,51,52,53,54,15,13,14,11,12,16,22,65,66,67,68,69,70,71,73,74,62,55,56,57,58,60,61,50,49,45,46,47,44,118,106,105,107,103,104,102,39,41,42,43,48,108,111,113,108</t>
  </si>
  <si>
    <t>,65,66,67,68,69,70,71,72,73,74,75,76,77,78,79,80,81,82,83,84,85,86,87,88,89,90,91,92,93,94,95,96,97,98,99,100,101,102,103,104,105,35,36,37,38,39,40,41,42</t>
  </si>
  <si>
    <t>BF698.5 -- .M858 2014eb</t>
  </si>
  <si>
    <t>,1,33,34,35,31,32,36,37,2</t>
  </si>
  <si>
    <t>,4,5,15,16,17,13,14,18,19,20,21,22,23,24,25,26,27,28,29,30,31,32,33,34,35,36,37,38,39,40,41,42,43,44,45,46</t>
  </si>
  <si>
    <t>,1,2,3,235,236,237,233,238,239,240,241,242,243,244,249,250,251,247,248,252,253</t>
  </si>
  <si>
    <t>rDsSfhExD6fvlkcEJNA2Ww==</t>
  </si>
  <si>
    <t>Extraordinary Conditions : Culture and Experience in Mental Illness</t>
  </si>
  <si>
    <t>,1,2,3,6,7,115,116,117,113,114,233,234,235,231,232</t>
  </si>
  <si>
    <t>RC455.4.E8 J46 2015</t>
  </si>
  <si>
    <t>,307,308,309,310,311</t>
  </si>
  <si>
    <t>GLC9wESYIlc=</t>
  </si>
  <si>
    <t>,20,26</t>
  </si>
  <si>
    <t>SAT For Dummies, Two eBook Bundle : SAT For Dummies and SAT Math For Dummies</t>
  </si>
  <si>
    <t>,1,3,2,4,5,6,7,8,9,10,11,12,13,14,15,16,17,18,19,20,21,22,23,24,25,26</t>
  </si>
  <si>
    <t>PBCSq8j2zO6WKQXMzjV3zg==</t>
  </si>
  <si>
    <t>,4,5,6,7,8,9,10,11,12,10,13,14,15,10,16,17,11,12,10,9,8,18,19,17,18,19</t>
  </si>
  <si>
    <t>,1,2,3,13,14,15,11,12,16,17,18,19,20,21,22,24</t>
  </si>
  <si>
    <t>,1,2,3,4,5,6,7,8,301,302,303,299,300,304,305,306</t>
  </si>
  <si>
    <t>Jix1BYGdlNAfTffXrJbQYQ==</t>
  </si>
  <si>
    <t>,90,91,92,88,89,94,95,96,93,97,76,72,73,74,70,71,69,68,66,67,72,73,74,75,76,68,67</t>
  </si>
  <si>
    <t>CZOTVFO/nWs=</t>
  </si>
  <si>
    <t>Substance Abuse Issues Among Families in Diverse Populations</t>
  </si>
  <si>
    <t>,1,2,3,143,144,145,141,142,146,147,25,26,27,23,24,28,29,30</t>
  </si>
  <si>
    <t>HV5824.E85 -- S83 2011eb</t>
  </si>
  <si>
    <t>0ybWSjqDJyDn8D7iQkpWXg==</t>
  </si>
  <si>
    <t>,1,2,3,1,3,2,2,2,145,146,145,147,146,147,143,144,144,148,148,149,149</t>
  </si>
  <si>
    <t>,13,14,15,16,17,18,19,20,21,22,23,24,25,26,27</t>
  </si>
  <si>
    <t>Performing Data Analysis Using IBM SPSS</t>
  </si>
  <si>
    <t>Computer Science/IT; Social Science</t>
  </si>
  <si>
    <t>HA32 -- .M4994 2013eb</t>
  </si>
  <si>
    <t>005.5/5</t>
  </si>
  <si>
    <t>,1,3,3,2,1,2,4,4,5,5</t>
  </si>
  <si>
    <t>,17,1,19,18,15,16,20,13,14,12,10,11,2,8,9,7,6,5,4,3,1,2,13,14,15,16,17,18,19,20,14,13,12,11,10</t>
  </si>
  <si>
    <t>,1,3,2,3,2,1,4,4,2,2,4,34,18,18,34,20,19,20,16,19,17,17</t>
  </si>
  <si>
    <t>,88</t>
  </si>
  <si>
    <t>,1,2,3,88,90,87,86,89</t>
  </si>
  <si>
    <t>GUqaG6Yv1OBhSONrtF8j/g==</t>
  </si>
  <si>
    <t>,1,2,3,92,93,94,90,91,95,97,96,98,99,100,101</t>
  </si>
  <si>
    <t>dlLsI4Jj4tRjdl7L63NMaw==</t>
  </si>
  <si>
    <t>Changing Image of Affordable Housing : Design, Gentrification and Community in Canada and Europe</t>
  </si>
  <si>
    <t>3Th2jMettzYikMzP85Gfiw==</t>
  </si>
  <si>
    <t>A Ministry of Presence : Chaplaincy, Spiritual Care, and the Law</t>
  </si>
  <si>
    <t>,23,18,17,16,15,20,22,23,24,25</t>
  </si>
  <si>
    <t>KF4868</t>
  </si>
  <si>
    <t>342.7308/52161</t>
  </si>
  <si>
    <t>,1,3,2,22,23,24,25,26,27,28,23,29,21,22,18,19</t>
  </si>
  <si>
    <t>eXq3gFWm/rY=</t>
  </si>
  <si>
    <t>Refugees and the Myth of Human Rights : Life Outside the Pale of the Law</t>
  </si>
  <si>
    <t>,19,24</t>
  </si>
  <si>
    <t>JV6346 -- .L37 2014eb</t>
  </si>
  <si>
    <t>325/.21</t>
  </si>
  <si>
    <t>,1,2,3,8,9,10,6,7,11,12,4,5</t>
  </si>
  <si>
    <t>,12,13,14,15,16,17,18,19,20,21,22,23,24,25,26,27,28,29,30,31,32,33,34,35,36,37,38,39,40,41,42,43,44,45,46,47,48,49,50,51,52,53,54,55,56,57,58,59,60,61,62,63,64,65,66,67,68,69,8,9,10,11</t>
  </si>
  <si>
    <t>uy0B75ouVoM=</t>
  </si>
  <si>
    <t>,1,2,3,38,39,40,36,37,41,66,67,68,64,65,50,51,52,48,49,53,54,55,56,57,58,59,60</t>
  </si>
  <si>
    <t>Cognitive-Behavioral Therapy in Groups</t>
  </si>
  <si>
    <t>,1,2,3,17,18,19,15,16,13,14,20,21,22,23,24</t>
  </si>
  <si>
    <t>RC489.C63 -- B54 2006eb</t>
  </si>
  <si>
    <t>,19,19,14,19,20,20,49,50,50,49,51,51,47,48,48,10,11,16,17,18,14,15,19,20,21,21,22,22,23,23,24,24,25,25,20,25,26,26,27,27,28,28,29,29,30,30,31,31,32,32,33,33,34,34,29,28,27,32,33,34,35,35,36,36,37,37,32,37</t>
  </si>
  <si>
    <t>,266,267,268,269,270,271,272,273,274,275,276,277,278,279,280,281,282,283,284,285,286,287,288,289,290,291,295,296,297,293,294,298,299,300,301,302,303,304,305,306,307,308,309,310,311,312,313,314,315,316,317,318,319,320,321,322</t>
  </si>
  <si>
    <t>,1,2,2,1,3,3,4,4,5,5,6,6,2,2,7,7,8,8,9,9,9,10,10,11,11,12,12,13,13,14,14,15,16,16,17,17,18,15,18</t>
  </si>
  <si>
    <t>,1,2,3,233,234,235,231,232,236,237,238,239,240,241,242,243,244,245,246,247,248,249,250,251,252,253,254,255,256,257,258,259,260,261,262,263,264,265</t>
  </si>
  <si>
    <t>,1,2,3,23,24,25,21,22,19,20</t>
  </si>
  <si>
    <t>mpotter</t>
  </si>
  <si>
    <t>199.190.223.188</t>
  </si>
  <si>
    <t>2cyX/kqeIUITKCrVBsYBXw==</t>
  </si>
  <si>
    <t>,16,9,10,145,146,147,143,144,148,149,150,151,155,156,157,153,154,365,366,367,363,364</t>
  </si>
  <si>
    <t>,1,2,3,4,13,14,15,11,12</t>
  </si>
  <si>
    <t>Bm6o2BiwcCAswm6d2QExTQ==</t>
  </si>
  <si>
    <t>Women, Gender, Remittances and Development in the Global South</t>
  </si>
  <si>
    <t>,1,2,2,3,1,3,272,272,274,274,2,270,273,271,273,271,174,175,174,175,176,177,176,177,179,179,182,182,263,263,264,264,265,261,265,262,262,174,175,176,172,173,173,177,178,179,178,180,180,182,181,183,181,183,178,169,169</t>
  </si>
  <si>
    <t>HG5993 .W657 2015</t>
  </si>
  <si>
    <t>332''.04246082091724; 332/.04246082091724</t>
  </si>
  <si>
    <t>,1,2,3,38,39,40,36,37,41,69,70,71,67,68,63,64,65,61,62</t>
  </si>
  <si>
    <t>ADA Practical Guide to Substance Use Disorders and Safe Prescribing</t>
  </si>
  <si>
    <t>,23,1,24,25,21,22</t>
  </si>
  <si>
    <t>RK701 .O384 2015</t>
  </si>
  <si>
    <t>,2,1,3,1,2,3,2,2,246,247,248,246,248,244,247,245,245,249,249,250,250,251,251,252,252,247,249,250,251,247,248,252,234,235,236,235,234,233,236,233,232,237,237,238,238,239,239,237,238,239,235,236,240,240,241,241,242,242,243,243,244,245,240,238,239,237,236,235,234,233,232,237,238,239,237,237,234,234,234,232,233,237,238,239,240,241,242,243,244,245,240,239,238,237,242,243,244,245,240,245,240,246,247,248,245,249,250,251,252,253,253,254,254,255,255,250</t>
  </si>
  <si>
    <t>,237</t>
  </si>
  <si>
    <t>ItoSIOgS2CUIIlzTyShtEw==</t>
  </si>
  <si>
    <t>Case Studies in Child, Adolescent, and Family Treatment</t>
  </si>
  <si>
    <t>,1,2,3,4,5,6,7,8,9,10,11,12,13,14,15,16,17,18,19,20,21,22,23,24,25,26,28,29,31,32,33,30,34</t>
  </si>
  <si>
    <t>RJ504 -- .C37 2015eb</t>
  </si>
  <si>
    <t>618.92/8914</t>
  </si>
  <si>
    <t>,1,2,3,4,5,6,188,189,190,186,187,185,184,183,182,178,177,152,153,149,150,151,148,146,147,145,144,8,9,6,7,10,11,12,13,14,5,4,3</t>
  </si>
  <si>
    <t>YIDAWZNT1V7ByYvMsj7m8A==</t>
  </si>
  <si>
    <t>,1,2,3,34,35,36,32,33,37,38,39</t>
  </si>
  <si>
    <t>,1,2,3,29,30,31,27,28,32,33,34,37,38,39,35,36,40,1,29,35,36,37,38,39,40,41,42,43,44,45,46,47,48</t>
  </si>
  <si>
    <t>BF4BGWnosmV0VtcHG8dwkg==</t>
  </si>
  <si>
    <t>Integrated Treatment for Dual Disorders : A Guide to Effective Practice</t>
  </si>
  <si>
    <t>,1,2,3,4,5,6,285,286,287,283,284,288</t>
  </si>
  <si>
    <t>RC564.68.I684 2015</t>
  </si>
  <si>
    <t>s/T5D80AR6sqHJ9OYIl1nw==</t>
  </si>
  <si>
    <t>TKO Hiring! : Ten Knockout Strategies for Recruiting, Interviewing, and Hiring Great People</t>
  </si>
  <si>
    <t>,1,36,37,38,34,35,2,39,40,41</t>
  </si>
  <si>
    <t>HF5549.5.R44A525</t>
  </si>
  <si>
    <t>658.3/11</t>
  </si>
  <si>
    <t>ikS1U8Id6cc8Tx3MiBYZhQ==</t>
  </si>
  <si>
    <t>,173,175</t>
  </si>
  <si>
    <t>,1,169,170,171,167,168,172,173,2,174,175,176,177,173</t>
  </si>
  <si>
    <t>,1,132</t>
  </si>
  <si>
    <t>6jeCuHS+ZzvIZsixvKb5bQ==</t>
  </si>
  <si>
    <t>Code Red : How to Protect Your Savings From the Coming Crisis</t>
  </si>
  <si>
    <t>,1,2,3,3,1,4,2,5,1,5,6,7,3,4,29,30,2,31,27,28,32,43,44,45,41,42,46,46,1,47,48,44,45,43,41,42,2,1,42,43,44,45,41,2</t>
  </si>
  <si>
    <t>HG540 -- .M385 2014eb</t>
  </si>
  <si>
    <t>/QEcTXENJo3fMpq3UKM8LQ==</t>
  </si>
  <si>
    <t>Taoism For Dummies</t>
  </si>
  <si>
    <t>,1,109,110,111,107,108,2,112,113,114,115</t>
  </si>
  <si>
    <t>BL1925</t>
  </si>
  <si>
    <t>299.5; 299.5/14; 299.514</t>
  </si>
  <si>
    <t>,39,40,33,41,42,43,57,58,59,55,60,56</t>
  </si>
  <si>
    <t>Building a Culture of Support : Strategies for School Leaders</t>
  </si>
  <si>
    <t>,36,37,38,39,40,41,42,43,44,45,46,47,48,49,50,51,52,53,54,55,56,57,76,77,78,74,75,79,80,81,83,82,84,133,134,135,131,132,129,130,136,137,138,139,140</t>
  </si>
  <si>
    <t>LB2805 -- .C2665 2013eb</t>
  </si>
  <si>
    <t>,134,131,129,127,124,121,119,117,133,115,113,111,109,108,103,101,98,95,92,90,89,88,105,86,85,82,78,74,73,84,75,72,71,5,6,7,4</t>
  </si>
  <si>
    <t>,1,2,3,16,17,14,18,15,31,32,33,29,30,34,35,28</t>
  </si>
  <si>
    <t>,1,141,142,143,140,139,144,145,146,147,2,144,145,265,265,140,140,141,142,138,139,137,136,143,141</t>
  </si>
  <si>
    <t>,145</t>
  </si>
  <si>
    <t>,1,2,3,137,139,138,135,136,140,141,142,143,144,145,147,146,148,149,150</t>
  </si>
  <si>
    <t>,1,2,3,138,139,140,137,141</t>
  </si>
  <si>
    <t>,265,266,267,263,264,273,274,275,271,272,35,36,37,33,34,246,247,248,244,245,249,250,251,252,253,254,255,1,255,256,257,253,254,2,234,235,236,232,233,237,238,239,240,241,242,243,244,245,246,247,248,249,250,251,252,200,201,202,198,199,203,204,205,206,221,222,223,219,224,220</t>
  </si>
  <si>
    <t>,485,486,487,488,489,490,491,492,493,494,495</t>
  </si>
  <si>
    <t>,1,2,3,546,547,548,544,545,549,550,551,552,553,554,555,556,557,558,559,560,561,562,563,564,565,566,567,568,569,570,571,572,573,574,575,576,577,578,579,580,581,582,583,584,585,586,587,588,589,590,498,499,500,496,497,501,502,503,504,505,506,507,508,509,510,511,512,513,514,515,516,517,518,519,520,521,522,523,524,525,526,527,528,529,530,531,532,533,534,535,536,537,538,539,540,541,542,543,476,477,478,474,475,452,453,454,450,451,455,456,457,458,459,460,461,462,463,464,465,466,467,468,469,470,471,472,473,479,480,481,482,483,484</t>
  </si>
  <si>
    <t>YymE36mQlBV0Q9L3FDA47g==</t>
  </si>
  <si>
    <t>An Archive of Hope : Harvey Milk's Speeches and Writings</t>
  </si>
  <si>
    <t>Geography/Travel; History</t>
  </si>
  <si>
    <t>,88,89,90,86,87,85,84</t>
  </si>
  <si>
    <t>F869.S357 -- M55 2013eb</t>
  </si>
  <si>
    <t>,1,2,3,4,5,6,7,8,9,10,11,12,13,14,15,16,17,18,19,20,21,22,23,24,25,26,27,28,29,30,31,32,33,34,35,36,37,38,39,40,41</t>
  </si>
  <si>
    <t>gmAd2bGHIeM=</t>
  </si>
  <si>
    <t>,1,2,3,26,27,28,24,25</t>
  </si>
  <si>
    <t>,1,6,7,8,4,5,9,10,11,12,13,14,88,89,90,86,87,91,2,110,111,112,108,109,113</t>
  </si>
  <si>
    <t>uY+u3Jt9JgcCrNiboKyIQw==</t>
  </si>
  <si>
    <t>Packaged Pleasures : How Technology and Marketing Revolutionized Desire</t>
  </si>
  <si>
    <t>Business/Management; Engineering: General; Engineering</t>
  </si>
  <si>
    <t>,166,167,168,164,165,358,359,356,357,355,354,353,352,351</t>
  </si>
  <si>
    <t>T173.8 -- .C767 2014eb</t>
  </si>
  <si>
    <t>658.8/23019</t>
  </si>
  <si>
    <t>,1,2,3,6,7,8,4,5,214,215,216,213,212,217,218,348,349,350,346,347,351,352,353,354,355,141,142,143,144,145,146,154,155,156,147,149,150,151,357,358,359,356,148,152,153,157,158,159,160</t>
  </si>
  <si>
    <t>,100,100,101,101,102,102</t>
  </si>
  <si>
    <t>Children and the Internet</t>
  </si>
  <si>
    <t>Library Science; Social Science</t>
  </si>
  <si>
    <t>,10,11,5,4,12,13,14,15,16,17,18,8,7,6,4,5,9,10,11,12,13,14,15,16,17,18,19,20,21,22,23,24,25,26,27,28,29,30,31,32,45,46,47,43,44,48,49,50,132,133,134,130,131,135,136,137,138,136,139,136,139,140,141</t>
  </si>
  <si>
    <t>HQ784.I58</t>
  </si>
  <si>
    <t>,1,2,3,1,3,2,93,93,95,95,91,94,94,93,95,91,92,92,2,96,96,97,97,98,98,99,99</t>
  </si>
  <si>
    <t>,8,3,8,9,10,11,19,20,21,17,18,22,23,24,25,26,32,34,35,36,33,37,217,218,219,215,216,207,208,209,205,206,255,256,257,252,253,254,250,251,255,255,256,257,258,259,260,261,262,264</t>
  </si>
  <si>
    <t>0k+4rk5nFJGSe2rNzgQA3g==</t>
  </si>
  <si>
    <t>Colombia</t>
  </si>
  <si>
    <t>,1,2,3,24,25,26,88,89,90,86,87,91,92,93,94,87</t>
  </si>
  <si>
    <t>F2258.5 .D83 2012</t>
  </si>
  <si>
    <t>,1,2,3,4,6,7,8,9,5</t>
  </si>
  <si>
    <t>,1,60,61,62,58,59,2</t>
  </si>
  <si>
    <t>,123,124,122,125,121</t>
  </si>
  <si>
    <t>XQ6+55MK1+Xkzq+BqDPMsQ==</t>
  </si>
  <si>
    <t>,1,2,3,2,3,1,2,2,4,4,5,5,6,7,6,8,7,9,10,9,10,8</t>
  </si>
  <si>
    <t>,1,2,3,4,5,6,1,7</t>
  </si>
  <si>
    <t>t3M5/k0T2ho=</t>
  </si>
  <si>
    <t>Reading Without Limits : Teaching Strategies to Build Independent Reading for Life</t>
  </si>
  <si>
    <t>LB1573 .W59 2013</t>
  </si>
  <si>
    <t>372.4; 372.42</t>
  </si>
  <si>
    <t>rZlLwUwYImR5tmF892Q4Vw==</t>
  </si>
  <si>
    <t>,1,2,3,22,20,18,17,1,2,3,4,5,6,7,8,9</t>
  </si>
  <si>
    <t>Choosing the Future for American Juvenile Justice</t>
  </si>
  <si>
    <t>,1,2,3,4,5,6,7,8,9,10,11,9</t>
  </si>
  <si>
    <t>HV9104 -- .C466 2014eb</t>
  </si>
  <si>
    <t>,1,2,3,4,5,6,7,8,9,10,4</t>
  </si>
  <si>
    <t>,240,241,242,243,244,245,246,247,248,249,250,251,252,235,236,237,234</t>
  </si>
  <si>
    <t>yH1bpXhdpExCm2yyBtIeoQ==</t>
  </si>
  <si>
    <t>,1,2,3,4,5,6,7,8,9,10,11,12,13,14,16,15,17,18,19,20,21,22,23,24,25</t>
  </si>
  <si>
    <t>,1,2,3,235,236,237,233,234,238,239</t>
  </si>
  <si>
    <t>pW6xiSr7SRQ=</t>
  </si>
  <si>
    <t>Enterprise Data Governance : Reference and Master Data Management Semantic Modeling</t>
  </si>
  <si>
    <t>,1,2,3,203,204,200,29,30,31,27,28,32,33,34,35,36,37,38</t>
  </si>
  <si>
    <t>A History of Egypt from the End of the Neolithic Period to the Death of Cleopatra VII B.C. 30 (Routledge Revivals) : Vol. III: Egypt Under the Amenemhāts and Hyksos</t>
  </si>
  <si>
    <t>DT83 -- .B83 2013eb</t>
  </si>
  <si>
    <t>,1,3,2,7,11,12,13,14,15,25,26,27,23,16,17,18,19,20,21,22,24</t>
  </si>
  <si>
    <t>,5,6,7,1,4,3,22,2,139,140,141,137,142,24,32,25,26,27,27,28,29,30,31,88,89,90,91,92,93,60,50</t>
  </si>
  <si>
    <t>,1,2,3,23,24,25,21,22,26,27</t>
  </si>
  <si>
    <t>,1,2,3,6,8,7,4,5</t>
  </si>
  <si>
    <t>,1,2,3,210,211,212,208,209,213,214,215,463,461,462,7,8,9,5,6,13,14,15,11,12</t>
  </si>
  <si>
    <t>,1,2,3,112,113,114,110,111,115,116,123,124,125,121,122,126,127,128,129,130,131,132,133,1,133,134,135,131,132,130,128,129,126,127,125,124,123,121,122,120,119,2,118,117,116,113,114,115,112,111</t>
  </si>
  <si>
    <t>s5fYze/wzBoaadtf2cdurA==</t>
  </si>
  <si>
    <t>Three Kingdoms : A Historical Novel</t>
  </si>
  <si>
    <t>,14,15,16,17,18,19,20,21,1,21,22,23,19,20,24,25,26,22,2,1,2,3,4,5,6,7,8,9,10,11,12,13,14,15,16,17,18,19,20,21,22,23</t>
  </si>
  <si>
    <t>PL2690.S3 -- .E5325 2014eb</t>
  </si>
  <si>
    <t>895.1/346</t>
  </si>
  <si>
    <t>,1,2,3,127,128,129,130,131,132,133,134,135,125,126</t>
  </si>
  <si>
    <t>oaDE0OYfkP8uyByS4XThZA==</t>
  </si>
  <si>
    <t>Socialnomics : How Social Media Transforms the Way We Live and Do Business</t>
  </si>
  <si>
    <t>,1,2,3,26,27,28,24,25,29,30,31,32,33,34,35,36,37,38,39,40,41,42,43,58,59,60,56,57,61,62,63,64,65,66,67,68,69,70</t>
  </si>
  <si>
    <t>HM742 -- .Q83 2013eb</t>
  </si>
  <si>
    <t>658.8/72</t>
  </si>
  <si>
    <t>,1,2,3,17,18,19,15,16</t>
  </si>
  <si>
    <t>L+0fCh/KATk=</t>
  </si>
  <si>
    <t>Regulating Fraud (Routledge Revivals) : White-Collar Crime and the Criminal Process</t>
  </si>
  <si>
    <t>Fine Arts; Law</t>
  </si>
  <si>
    <t>KD7990 -- .L48 2013eb</t>
  </si>
  <si>
    <t>,19,20,21,22,23,24,25,26,27,28,29,30</t>
  </si>
  <si>
    <t>,1,2,3,4,5,6,7,8,14,15,16,12,17,18</t>
  </si>
  <si>
    <t>,12,26,66,26,69,87,69,66,87,89,89,90,91,90,91,88,88,66,37,11,15,37,20,20,21,22,18,21,22,19,16,19,17,15,14,12,13,17,16,18,14,15,13,18,28,87,28,120,120,154,154,155,156,155,156,153,153,152,151,156,157,157,158,158,159,159,160,160,161,161,162,162,163,163,164,164,175,185,175,185,186,187,186,183,187,184,184,182,182,183,182,184,183,184,1,180,181,1,181,179,178,177,2,2,176,175,180,181,182,183</t>
  </si>
  <si>
    <t>,1,2,3,2,1,3,4,4,5,5,6,6,7,7,8,2,8,9,9,10,10,11,11,12,12,13,13,14,14,15,15,16,16,17,17,18,18</t>
  </si>
  <si>
    <t>V29nwjWemWY=</t>
  </si>
  <si>
    <t>,1,2,3,333,335,331,332,334,336,337,338,339,340,341,342,343,344,345,346,347,348,349,350,351,352,353,354,355,356,357</t>
  </si>
  <si>
    <t>,1,2,3,155,156,157,153,154,152,161,162,163,159,160,158</t>
  </si>
  <si>
    <t>,1,2,3,24,26,25,22,23,27,28</t>
  </si>
  <si>
    <t>NiXbTccfQP4=</t>
  </si>
  <si>
    <t>Women and the First World War</t>
  </si>
  <si>
    <t>,26,27,28,29,30,136,137,138,134,135,139,140,141,142,143,144,145,146,147,148,149,150,151,152,153,182,183,184,180,181,185,186,31,32,33,34,35,36,37</t>
  </si>
  <si>
    <t>D639.W7 -- G73 2013eb</t>
  </si>
  <si>
    <t>,1,2,3,6,7,8,4,5,10,11,9,12,13,14,15,16,17,18,19,20,21,22,23,24,25</t>
  </si>
  <si>
    <t>HpIF+n2yEbjpt0/ONJptOw==</t>
  </si>
  <si>
    <t>,1,2,3,335,336,337,333,334,335,336,337,333,334,338,339,340,341,342,343,344,345,346,2,1,3,335,336,337,338,339,340,341,342,340,341,342,338,339,343,344,345,346,347,354,349,348,349,350,351,352,353,354,355,356,357,358,349,347,353,354,355,357,358,359,360,361,362,363,364,365,366,367,368,369,370,371,372,373,374,375,376,377,378,379,380,381,382,383,384,385,386,387,388,389,390,391,392,393,394,395,396,397,398,399,400,401,402,403,404,405,406,407,408,409,410,411,412,413,414,415,416,417,418,419,420,421,422,423,424,425,426,427,428,430,431,432,433,435,436,367,368,369,366,370,371,372,373,374,375,376,377,378,379,380,381,382,383,384,385,386,387,388,389,390,391,392,393,394,395,396,397,398,399,400,401,402,403,404,405,406,407,408,409,410,411,412,413,414,415,416,417,418,113,114,115,111,112,116,117,118,119,120,121,122,123,124,125,126,127,128,129,130,131,132,111,110,120,121,122,123,124,125,126,127,128,129,131,132,133,393,394,395,391,392,396,397,398,399,400,403,404,405,406,407,408,409,410,411,412,413,414,415,416,417,418,143,144,145,141,142,160,161,162,158,159,436,434,433,432,431,430,429,428,427,426,425,424,423,422,421,420,419,418,417,54,55,56,52,53,71,72,73,69,70</t>
  </si>
  <si>
    <t>,1,2,3,4,5,6,7,9,8,10,11,12,13,14,33,34,35,31,32,30,29,27,28,26,24,25,23,36,37,38,39,40,41,42,179,180,181,127,128,129,125,126,130,131,132,125,19,20,21,17,18,22,23,24,25,26,27,28,29,30,31,32,33,34,35,36,262,263,264,260,261,130</t>
  </si>
  <si>
    <t>enMWm5RD0Y0=</t>
  </si>
  <si>
    <t>Humans : An Introduction to Four-Field Anthropology</t>
  </si>
  <si>
    <t>,207,209,205,206,245,246,247,243,244,242,20,21,22,18,19,56,59,60,61</t>
  </si>
  <si>
    <t>GN25 -- .K44 2013eb</t>
  </si>
  <si>
    <t>,1,3,2,60,61,62,58,59,56,57</t>
  </si>
  <si>
    <t>NJVf6gWaOo3GnQJjIOmBcw==</t>
  </si>
  <si>
    <t>Motivational Interviewing, Third Edition : Helping People Change</t>
  </si>
  <si>
    <t>,1,2,3,30,31,32,29,28,33,34,35,36,37,38,39,40,41,42,43,44,45,46,47,48,49</t>
  </si>
  <si>
    <t>RC533 -- .M56 2012eb</t>
  </si>
  <si>
    <t>,1,2,3,313,314,315,311,312,313,314,315,311,312,316,317,318,319,320,321,322,323,324,325,326,327,328,329,330,331,332,333,334,335,336,337,338,339,340,341,342,343,344,345,346,347,348,349,350,351,352,353,354,355,356,357,358,359,360,361,362,363,364,365,366,367,368,369</t>
  </si>
  <si>
    <t>,1,2,3,4,10,13,15,28,36,40,53,65,33,14</t>
  </si>
  <si>
    <t>,1,2,3,172,173,174,175,176,178,181,182,183,184,180,179,185,186,187,188,189,190,191,192,193,194,195,196,197,198,199,200,201,202,203,204,205,206,208,206,209,211,212,213,214,212,215,216,217,218</t>
  </si>
  <si>
    <t>,193,195,195,196,196,197,206,211,212</t>
  </si>
  <si>
    <t>ilo8VmsEbfl8ctxDl9A5cA==</t>
  </si>
  <si>
    <t>,2,1,3,26,27,28,24,29,30,31,32,33,34,35,36,37,25,23</t>
  </si>
  <si>
    <t>lG7qQII3bgdQReChtIQZ1w==</t>
  </si>
  <si>
    <t>ECGs for Beginners</t>
  </si>
  <si>
    <t>,55,56,57,58,59,60,61,136,137,138,135,139,140</t>
  </si>
  <si>
    <t>RC683.5.E5</t>
  </si>
  <si>
    <t>616.1; 616.1207547</t>
  </si>
  <si>
    <t>,1,2,3,4,5,6,7,8,9,10,11,12,13,14,17,18,19,15,16,20,21,22,23,24,25,26,27,28,29,52,54,53,50,51</t>
  </si>
  <si>
    <t>,172,173,174,170,214,215,216,218,219,217,213,171,175,176,177,178,179,180,181,183,184,185,186,187,188,189,190,191,192,193,194</t>
  </si>
  <si>
    <t>,172,172,172,172,183,180,180,183,185,192</t>
  </si>
  <si>
    <t>,1,2,3,151,152,153,149,150,154,156,157,158,155,159,160,161,162,163,164,165,166,167,168,169,170,171,172,173,171,174,175</t>
  </si>
  <si>
    <t>,161,161,162,162,165,165,166,167,167,167,167,168,168,169,170,170,171,171</t>
  </si>
  <si>
    <t>gGsaix3euC6msRA4Re717w==</t>
  </si>
  <si>
    <t>Secret World of Red Wolves : The Fight to Save North America's Other Wolf</t>
  </si>
  <si>
    <t>QL737.C22 -- B43 2013eb</t>
  </si>
  <si>
    <t>,1,2,3,151,152,153,154,155,156,157,158,159,160,161,162,163</t>
  </si>
  <si>
    <t>,159,160,161</t>
  </si>
  <si>
    <t>,1,2,3,18,19,20,16,17,21,22,23,24,25,26,27,28,29,30,31,32</t>
  </si>
  <si>
    <t>,1,2,3,148,149,150,146,147,151,152,153,154,155,156,157,158,159,160,161,214,215,216,212,213,151,152,153,154,150,155</t>
  </si>
  <si>
    <t>,148,149,149,149,152,153,152,153,155,155,157,157,156,158,158,158</t>
  </si>
  <si>
    <t>,1,2,3,33,34,35,31,32,36,37,38,39,40,41,42,43,44,45,46,47,48,49,50,51,52,53,54,262,263,264,260,265,266,267,268,269,270,271,272,273,274,275</t>
  </si>
  <si>
    <t>,45,46,44,43,42,41,40,39,37,38,36,8,34,35</t>
  </si>
  <si>
    <t>,147,1,148,149,145,146</t>
  </si>
  <si>
    <t>,146,147</t>
  </si>
  <si>
    <t>,1,2,3,148,149,150,146,147,214,215,216,212,213,195,196,197,193,194,198,199,144,145,142,143</t>
  </si>
  <si>
    <t>sRADFka174usEa2SbiqvdQ==</t>
  </si>
  <si>
    <t>,1,2,3,2,1,3,350,351,352,350,348,351,349,349,352,2,314,315,316,315,314,313,316,312,313,288,289,288,290,290,286,289,287,287,291,291,292,292,293,293,294,294,326,327,326,328,324,328,327,325,325,329,329,292,293,294,290,291,289,294,295,295,314,315,316,312,317,318,317,318,319,320,319,320,320,1,321,320,321,318,322,319,1,322,319,323,324,323,324,325,325,2,326,326,2,292,293,294,293,294,290,292,291,291,314,315,316,313,312,1,312,313,314,310,311,2,314,312,313,311,2,1,315,310,314,315,316,315,317,318,316,319,317,314,318,319,321,320,321,320,322,323,324,322,323,324,325,325,326,326,292,293,292,293,291,290,291,294,294,295,295,295,327,326,327,324,328,325,328,329,329</t>
  </si>
  <si>
    <t>,1,2,3,4,5,44,62,63,64,60,61,153,154,155,151,152,193,194,195,191,192</t>
  </si>
  <si>
    <t>UNqn6HXWagc=</t>
  </si>
  <si>
    <t>,4,9,5,6,7,84,85,86,82,83,87,88,89,85,87,86,83,84,82,88</t>
  </si>
  <si>
    <t>,1,2,3,4,5,6,7,8,9,10,11,12,24,38,41,42,43,44,40,84,85,86,82,83</t>
  </si>
  <si>
    <t>cVtXRJ18uW0+BVQv/dfs/A==</t>
  </si>
  <si>
    <t>Sport and Spectacle in the Ancient World</t>
  </si>
  <si>
    <t>,7,6,4,5,3,1,14,15,16,13,17,18,19,20,22,23,24,21,34,35,36,32,33</t>
  </si>
  <si>
    <t>GV573 .K384 2014</t>
  </si>
  <si>
    <t>,1,2,3,19,20,21,18,26,38,36,30,15,14,12,5,4,6,7,8,9,10,11,12</t>
  </si>
  <si>
    <t>BedrTpx2Fn4YWpjcvlm/Ow==</t>
  </si>
  <si>
    <t>,1,2,3,217,218,219,215,216,220,221,222,223,224,225,226,227,228,229,230,231,232,233</t>
  </si>
  <si>
    <t>,1,2,3,11,9,8,4,5,6,7,8,9,10,11,12,13,14,15,16,17,18,19,20,21,22,23,24,25,26,27,28,29,30,31,32,33,34,35,28,22,21</t>
  </si>
  <si>
    <t>OUJ5HfpqOzZKooB9yrZ7Ng==</t>
  </si>
  <si>
    <t>,21,20,19,18,17,1,2,3,4,5,6,7,8,9,10,11,15,16,13,14,12</t>
  </si>
  <si>
    <t>,1,17,18,19,15,16,20,21,22,2,23,24,25,26,27,28,29</t>
  </si>
  <si>
    <t>,1,2,3,187,188,189,185,186,190,191,192,193</t>
  </si>
  <si>
    <t>,1,2,3,293,294,295,291,292,293,294,295,291,292,296,297,298,299,300,301,302,303,304,305,306,300,1,300,301,302,298,299,300,301,302,298,299,303,2,304,305,306,307,308,309,310,311,312,313,314,315</t>
  </si>
  <si>
    <t>,154</t>
  </si>
  <si>
    <t>,149</t>
  </si>
  <si>
    <t>,1,2,3,66,68,64,65,69,70,71,151,152,153,149,150,148,147,146,145</t>
  </si>
  <si>
    <t>,1,2,3,21,22,7,4,12,5,15,28,52,77,80,78,79,81,82,83,84,85,86,87,88,89,90,91,92,76,75,74,73,72,71,48,6,8,14,25,42,56,66,70,69,93</t>
  </si>
  <si>
    <t>The Gods of Ancient Rome : Religion in Everyday Life from Archaic to Imperial Times</t>
  </si>
  <si>
    <t>History; Religion</t>
  </si>
  <si>
    <t>BL802 -- .T8713 2001eb</t>
  </si>
  <si>
    <t>,1,2,3,4,5,6,7,8,9,42,43,40,41,38,39,37,36,34,35,33,31,32,30,29,28,27,26,25,24,23,22,21,20,18,19,17,16,15,14,13,11,12,10,2</t>
  </si>
  <si>
    <t>wdsHaz9STn+wWK4UwG9Gkg==</t>
  </si>
  <si>
    <t>,1,2,3,273,274,275,273,274,275,271,272,276,277,278,279,280,281,282,283,284,285,349,350,351,347,348,343,344,345,278,284,285,286,287,288,289,290,291,292,293,294,295,110,111,112,108,109,127,129,128,125,126,130,131,124,177,178,179,175,176,174,179,180</t>
  </si>
  <si>
    <t>,4,5,6,7,8,9,10,85,122,123,124,125,147,148,149,150,151,152,153,146,144,145,113,13,12,10,13,75,38,41,42,43,44,40,45,46,47,48,49,50,51,52,53,54,55,56,57,58,59,60,61,62,63,64,36,35,37,33,34,39</t>
  </si>
  <si>
    <t>hM2DwO8UflfYQuaPD2TbdQ==</t>
  </si>
  <si>
    <t>Preventing Human Trafficking : Education and NGOs in Thailand</t>
  </si>
  <si>
    <t>,22,81,101,102,103,99,100,104,1,2,3,113,114,115,111,112</t>
  </si>
  <si>
    <t>HQ281 -- .S65 2015eb</t>
  </si>
  <si>
    <t>306.3/6209593</t>
  </si>
  <si>
    <t>,1,2,3,4,5,6,7,8,9,10,11,12,15,16,17,18,25,26,27,23,24</t>
  </si>
  <si>
    <t>pDkGz8gi6P0Vz1Gq8cLKJA==</t>
  </si>
  <si>
    <t>Facebook Marketing : An Hour a Day</t>
  </si>
  <si>
    <t>,91</t>
  </si>
  <si>
    <t>HF5415.1265 -- .T74 2012eb</t>
  </si>
  <si>
    <t>,1,2,3,4,5,6,7,8,88,89,90,87,85,86,90,91,92</t>
  </si>
  <si>
    <t>Social TV : How Marketers Can Reach and Engage Audiences by Connecting Television to the Web, Social Media, and Mobile</t>
  </si>
  <si>
    <t>Fine Arts; Business/Management</t>
  </si>
  <si>
    <t>PN1992.55 -- .P76 2012eb</t>
  </si>
  <si>
    <t>658.872; 659.02854678</t>
  </si>
  <si>
    <t>,38,39,40,41,42,43,44,45,46,47,65,66,67,62,61,59,60,58,57,56,55,54,53,35,36,37,33,34,38,39,40,181,182,183,179,180,184,185,186,187,188,189</t>
  </si>
  <si>
    <t>,1,2,3,62,63,64,60,61,35,36,37,33,34</t>
  </si>
  <si>
    <t>hBKJhhe/qMc=</t>
  </si>
  <si>
    <t>Applying Theory to Generalist Social Work Practice</t>
  </si>
  <si>
    <t>,1,2,3,7,8,9,5,6,10,11,12,13,14,15,16</t>
  </si>
  <si>
    <t>HV40 -- .L284 2015eb</t>
  </si>
  <si>
    <t>361.3/2</t>
  </si>
  <si>
    <t>,1,2,3,350,351,348,349,353,354,352,351,402,403,382,350,383,384,385,386,350,353,387,388,389,390,391,354,353,382,402,403,350,352,354,314,217,218,180,181,182,183,184,185,250,220,221,288,289,290,291,292,314</t>
  </si>
  <si>
    <t>GdFa56zzKKj9VRiO6DR+5w==</t>
  </si>
  <si>
    <t>,1,2,3,28,69,93,208,327,328,329,326,324,310,311,312,309,308,306,307,305,304,355,369,370,371,367,368,335,336,337,334,333,346,347,348,345,344,342,343</t>
  </si>
  <si>
    <t>YfzVIWR4Ds9t/Ut6GHisUA==</t>
  </si>
  <si>
    <t>,49,50,51,52,53,54,1,3,58,4,5,6,7,8,59,60,57,56,61,62,63,64,64,1,66,65,63,62,67,68,2,69,70,60,61,61,1,62,63,59,60,2,64,65,66,67,68,69,70,71,72,73,74,75,76,77,78,79</t>
  </si>
  <si>
    <t>,1,2,3,42,43,44,40,41,45,46,47,48</t>
  </si>
  <si>
    <t>UQQia/07qMM=</t>
  </si>
  <si>
    <t>Dialogue and Dementia : Cognitive and Communicative Resources for Engagement</t>
  </si>
  <si>
    <t>,1,2,3,8,9,10,6,7,13,14,15,11,12,18,22,29,30,32,33,34,31,103,149,150,151,148,146,147,145,144,143,142,141,140,139,138,137,136,135,134,133,132,143,144,145,146,147</t>
  </si>
  <si>
    <t>RC521 -- .D53 2014eb</t>
  </si>
  <si>
    <t>Relativistic Quantum Chemistry : The Fundamental Theory of Molecular Science</t>
  </si>
  <si>
    <t>QD462 -- .R454 2015eb</t>
  </si>
  <si>
    <t>,181,182,217,218,219,220,221,256,288,289,288,289,297,314,326,314,315,316,317,316,288,289,290,314,326,327,288,289,290</t>
  </si>
  <si>
    <t>,1,2,3,3,2,1,1,2,2,180,181,180</t>
  </si>
  <si>
    <t>4h4rpS1vn7eWWLsOt6iTdQ==</t>
  </si>
  <si>
    <t>,273,274,275,276,277,278,279,280,281,282,283,284,285,286</t>
  </si>
  <si>
    <t>Teachings of the Sikh Gurus : Selections from the Sikh Scriptures</t>
  </si>
  <si>
    <t>,1,76,77,78,74,75</t>
  </si>
  <si>
    <t>BL2017.4.A4 -- .S46 2005eb</t>
  </si>
  <si>
    <t>,1,2,3,270,271,269,268,272</t>
  </si>
  <si>
    <t>KSXI+81hBfs=</t>
  </si>
  <si>
    <t>More Guns, Less Crime : Understanding Crime and Gun Control Laws, Third Edition</t>
  </si>
  <si>
    <t>,1,2,3,334,335,336,333,332,337,338,339,340,334,11,9,13,10,12,14,15,16,18,20,21,22,23,19,24,25,26,27,28,29,335,336,334,332,340,362,361,363,360,358,359,357,356,355,353,354,352,340,341,332,331,330,329,307,308,305,306,309</t>
  </si>
  <si>
    <t>KF3941 -- .L68 2010eb</t>
  </si>
  <si>
    <t>344.7305/33</t>
  </si>
  <si>
    <t>4fcs1uCbec85nPK4GiR6tA==</t>
  </si>
  <si>
    <t>,1,2,3,4,5,6,7,10,12,15,19,23,25,26,27,24,35,50,342,414,425,434,447,452,461,462,459,463,460,458,457,454,455,456,452,453,451,450,447,446,437,428,415,342</t>
  </si>
  <si>
    <t>MpIrZgc7cI+FrRU6kwMt0g==</t>
  </si>
  <si>
    <t>umUiyLgAP/FvJaRyd1rmfg==</t>
  </si>
  <si>
    <t>,1,3,2,87,88,89,85,86,90,91,92,93,94,95,96,97,98,99,100,101</t>
  </si>
  <si>
    <t>areichert</t>
  </si>
  <si>
    <t>,1,2,3,4,5,6,7,8,9,10,11,12,13,14,16,17,18,15,19,20,21,22,23,24,55,56,57,53,54,58,59,60</t>
  </si>
  <si>
    <t>199.190.223.185</t>
  </si>
  <si>
    <t>,1,2,3,177,178,179,175,176,180,181,182,183,51,52,53,49,50,151,152,153,154,155,156,157,158,159,160,161,162,163,164,165,166,167,168,169,170,171,172,173,174,175,27,28,29,30,26,31,32,33,34,35,36,37,38,39,40,41,42,43,44,45,46,47,48,49,50,52,53,54,55,56,57,58,59,60,61,62,63,64,65,66,67,68,69,70,71,72,73,74,75,76,77,78,79,80,81,82,83,84,85,86,87,88,89,90,91,92,93,94,95,96,97,98,99,100,101,102,149,150,183,184,185,186,187,188,189,190,191,192</t>
  </si>
  <si>
    <t>xKs7xAigtRec4uorxIYLAQ==</t>
  </si>
  <si>
    <t>,272,270,271,269,268,267,266,265,264,263,262,261,260,260,262,264,2,261,263,259,258</t>
  </si>
  <si>
    <t>,1,2,3,340,341,342,338,339,337,262,263,264,260,261,265,266,267,268,269,270,271,272,273,274,275,276,277,278,279,280,281,282,283,284,286,285,277,276,275,274,273</t>
  </si>
  <si>
    <t>XsOQk/3y3ydl31+L9ZBZpg==</t>
  </si>
  <si>
    <t>Applied Qualitative Research Design : A Total Quality Framework Approach</t>
  </si>
  <si>
    <t>,1,2,3,8,10,24,26,27,28,25,29,30,31,32,33,34,35,36,37,38,39,40,41,42,43,44,45,46,47,48,49,50,51,52,53,54,55,56</t>
  </si>
  <si>
    <t>Q180.55.E4 -- .R655 2015eb</t>
  </si>
  <si>
    <t>S/FHdmvcxfgXDJpGEG17WQ==</t>
  </si>
  <si>
    <t>,86,87,88,89</t>
  </si>
  <si>
    <t>,118,119,120,121,1,2,3,117,118,119,115,116,120,121,122,123,124,125,126,127,128,129,130</t>
  </si>
  <si>
    <t>LuZYSSjKJbmUQ1qAH/tiuw==</t>
  </si>
  <si>
    <t>W. E. B. Du Bois and The Souls of Black Folk</t>
  </si>
  <si>
    <t>E185.6 -- .D797328 2013eb</t>
  </si>
  <si>
    <t>,1,2,3,4,83,84,85,81,82</t>
  </si>
  <si>
    <t>,1,2,3,112,113,114,110,111,115,116,117</t>
  </si>
  <si>
    <t>,1,2,3,177,178,179,175,176,180,181,182</t>
  </si>
  <si>
    <t>,1,2,3,8,42,75,114,115,120,133,132,134,130,131,135,129,128,127,41,8,1,11,12,13,14,10,17,18,19,20,16,21,22,23,24,25,26,27,28,29,30,31,32,33,34,35,36,37,38,39,265,267,263,266,264,268,31,32,33,29,30,34,35,36,37,38,44,47,48,49,45,68,82,83,85,86,1,3</t>
  </si>
  <si>
    <t>,30,1,2,3,4,5,6,7,8,1,2,3</t>
  </si>
  <si>
    <t>,1,2,3,4,5,21,22,23,19,20,24,25,26,27,28,29</t>
  </si>
  <si>
    <t>,265,288,289,290,266,267,268,269,1,269,270,271,267,268,262,264,263,260,261,2,265,266,288,289,290,286,287,275,276,273,274,277,272</t>
  </si>
  <si>
    <t>,1,2,3,262,263,264,261,260,258,259,257</t>
  </si>
  <si>
    <t>,151,152,153,154,155,156,157,158,159,160,161,162,163,164,165,166,167,168,169,170,171</t>
  </si>
  <si>
    <t>WnDOMlrU96x/DXX8aMiJ9Q==</t>
  </si>
  <si>
    <t>How Outer Space Made America : Geography, Organization and the Cosmic Sublime</t>
  </si>
  <si>
    <t>Engineering: General; Engineering; Engineering: Mechanical</t>
  </si>
  <si>
    <t>,1,3,2,24,25,12,13,26,22,23,2,38,39,40,36,37,56,57,58,54,55,3,4,112,109,110,111,107,108,106,105,102,103,104,100,101,99,5,6,113,98,97,96,95,93,94,92,91,90,88,89,86,87,84,85</t>
  </si>
  <si>
    <t>TL789.8.U5 -- S24 2014eb</t>
  </si>
  <si>
    <t>629.4/10973</t>
  </si>
  <si>
    <t>,1,2,3,4,5,6,31,33,32,29,30,34,7,8,9,10,12,13,14,15,16,17,18,19,20,21,22,23,24,25,26,138,139,140,136,137,135,138,138,138,138,135,141</t>
  </si>
  <si>
    <t>,138,138,138</t>
  </si>
  <si>
    <t>After They Closed the Gates : Jewish Illegal Immigration to the United States, 1921-1965</t>
  </si>
  <si>
    <t>,14,15,16,17,18,19,20,21,22,23,24,25,26,27,28,29,30,31,32,33,34,35,36,37,38,39,40,41,42,43,44,45,46,47,48,49,50,51,52,53,54,55,56,57,58,59,60,61,62,63,64,65,66,67,68,69,70</t>
  </si>
  <si>
    <t>E184</t>
  </si>
  <si>
    <t>SnBg/RxwRRQlMT6mifVI9w==</t>
  </si>
  <si>
    <t>MAC56N2akJDpNh7p7jiJTg==</t>
  </si>
  <si>
    <t>,121,165,166,167,333,334,332,335,336,337,338,339</t>
  </si>
  <si>
    <t>,1,2,3,127,128,129,125,126,124</t>
  </si>
  <si>
    <t>,3,1,2,4,5,6,17,40,46,47,48,49,45,50,44,43,42,41,39,38,18,23,33,34,36,37,38,286,287,288,284,285,246,248,10,8,31,30,23,23,23,23,23,23,23,23,23,23,24,25,21,22,26,26</t>
  </si>
  <si>
    <t>,1,2,3,6,7,8,4,5,9,2,17,18,19,15,16,20,21,22</t>
  </si>
  <si>
    <t>,1,2,3,4,5,6,7,8,9,10,11,12,13,14,15,16,17,18,265,262,263,260,261,258,259,257,253,251,252,18,19,20,17,21,22,23,24,25,26,27,28,29,30,31,32,33,34,35,36,37,22</t>
  </si>
  <si>
    <t>oF3TUl4fENx/Kgs1z0oNMA==</t>
  </si>
  <si>
    <t>,1,2,3,111,112,113,109,110,114,115,116,117</t>
  </si>
  <si>
    <t>,115</t>
  </si>
  <si>
    <t>3tbk7vRhxmTXKRC38LFvBw==</t>
  </si>
  <si>
    <t>Investing For Dummies</t>
  </si>
  <si>
    <t>,7,8,9,10,11,12,13,14,15,16,17,18,19,20,21,22,23,24,25,26,27,28,29,30</t>
  </si>
  <si>
    <t>HG179 -- .T976 2014eb</t>
  </si>
  <si>
    <t>,6,4,7,8,5,9,10,11,12,13,14,15,16,17,18,19,20,21,22,23,24,25,26,27,28,29,30,31,32,33,34,36,35,37,38,39,40,41,42,43,44,45,46,47,48,336,337,338,335,334,333,339,340,341,342,343,344,345,346,336,334</t>
  </si>
  <si>
    <t>aFM1/LckoYo=</t>
  </si>
  <si>
    <t>,1,2,2,3,3,1,222,223,223,224,220,224,222,221,221,225,226,225,227,227,226,229,229,2,230,230,231,231,233,232,233,232,235,234,235,234,236,236,238,238,237,233,237,238,234,233</t>
  </si>
  <si>
    <t>,1,2,3,113,114,115,111,112,116,117,118,119,120</t>
  </si>
  <si>
    <t>Handbook of Social and Emotional Learning : Research and Practice</t>
  </si>
  <si>
    <t>,1,2,3,228,229,230,226,227,225,224,457,458,459,455,456,236,237,238,234,235,120,119,121,117,118,235,236,233,459,460,461,457,458,620,621,622,618,619</t>
  </si>
  <si>
    <t>LB1072  -- .H37 2015eb</t>
  </si>
  <si>
    <t>,471,472,473,474,475,476,477,478,479,636,637,638,634,639,635,640,641,642,643,644,645,646,647,648,649,643,236,237,238,235,234,233,231,229,228,230,227,226,225,223,224,222,221,220,219</t>
  </si>
  <si>
    <t>,1,2,3,253,254,255,251,252,256,257,258,259,260,261,262,263,264,265,266,267,268,269,270,462,463,464,461,460,465,466,467,468,469,470</t>
  </si>
  <si>
    <t>,1,2,3,4,5,6,7,8,9,10,11,12,13,14,15,16,17,18,19,20,21,22,23,24,25,26,27,28,29</t>
  </si>
  <si>
    <t>AO+qBfged7F5UOB/yZq8AQ==</t>
  </si>
  <si>
    <t>,1,2,3,128,129,130,126,127,131,132,133,134,135,136,137,138</t>
  </si>
  <si>
    <t>Dreamland of Humanists : Warburg, Cassirer, Panofsky, and the Hamburg School</t>
  </si>
  <si>
    <t>Philosophy; Fine Arts</t>
  </si>
  <si>
    <t>,1,2,3,9,10,11,8,7,23,24,25,21,22,23,24,9,10,11,7,8</t>
  </si>
  <si>
    <t>B3181L49</t>
  </si>
  <si>
    <t>709.43/515</t>
  </si>
  <si>
    <t>,1,2,3,32,33,34,30,31,35,36</t>
  </si>
  <si>
    <t>oDiFce+MP0lTweIoM8WvFA==</t>
  </si>
  <si>
    <t>,1,2,3,4,359,360,361,357,358,362,363,364,365</t>
  </si>
  <si>
    <t>,369,369,370,370,371,371,372,372,373,373,374,374,375,375,376,376,377,377,378,378,379,379,380,380,381,381,382,382,383,383,384,384,385,385,386,386</t>
  </si>
  <si>
    <t>,1,2,2,1,3,3,2,2,359,360,359,361,360,361,357,358,358,362,362,363,363,364,364,365,365,366,366,367,367,368,368</t>
  </si>
  <si>
    <t>OfXlJncko8s=</t>
  </si>
  <si>
    <t>Rural Women in Leadership : Positive Factors in Leadership Development</t>
  </si>
  <si>
    <t>HQ1240 -- .M3594 2013eb</t>
  </si>
  <si>
    <t>307.1/412082</t>
  </si>
  <si>
    <t>,1,2,3,4,5,6,19,20,21,17,18,22,23</t>
  </si>
  <si>
    <t>,212,212,213,213</t>
  </si>
  <si>
    <t>,1,2,2,3,3,1,2,2,208,209,208,210,209,210,207,206,207,211,211</t>
  </si>
  <si>
    <t>,1,2,3,241,242,243,240,241,239,243,244,242,243,244,240,241,242,243,244,240,241,239,245,246,247,248,249,250,251,252,253,254,255,256,257,258,259,260,261,262,263,264,265,266,267,268,269,270,271,272,273,274,275,276,277,278,279,280,281,282,283,284,285,286,287,288,289,290,291,292,293,294,295</t>
  </si>
  <si>
    <t>,102,103,104,105,106,128,129,130,126,127,131,132,133,134,135,136,178,179,180,176,177,181,182,183,184,185,186,66,67,68,64,65,69,70,71,72,73,74,75,76,77,78,79,80,81,82,83,84,85,86,87,88,89,90,91,92,93,94,95,96</t>
  </si>
  <si>
    <t>pEm3Qib5Rnk=</t>
  </si>
  <si>
    <t>Systemic Racism : A Theory of Oppression</t>
  </si>
  <si>
    <t>,1,22,23,24,20,21,25,27,15,6,4,2,3,5,7,8,9,10</t>
  </si>
  <si>
    <t>E184.A1 -- F385 2006eb</t>
  </si>
  <si>
    <t>,1,2,3,99,100,101,97,98</t>
  </si>
  <si>
    <t>,227,228,229,230,231,232,233,234,235,236,237,238,239</t>
  </si>
  <si>
    <t>,1,2,3,4,5,6,7,8,190,191,192,188,189,193,194,195,196,197,198,199,200,201,202,203,204,205,206,207,208,56,57,58,54,55,209,210,211,212,213,214,215,216,217,218,219,220,221,222,223,224,225,226</t>
  </si>
  <si>
    <t>Li0jZtcVDH4kyl/Q9Dsdlg==</t>
  </si>
  <si>
    <t>Invasive Species in a Globalized World : Ecological, Social, and Legal Perspectives on Policy</t>
  </si>
  <si>
    <t>,1,2,3,122,123,124,120,121,193,190,191,191,192,1,193,189,190,194,195,2,2,1,3,4,373,374,375,371,372,300,301,302,298,299,303,304,320,321,322,398,399,400,401,402,403,397,376,377,378</t>
  </si>
  <si>
    <t>QH353</t>
  </si>
  <si>
    <t>577/.18</t>
  </si>
  <si>
    <t>,1,2,3,111,112,113,109,110,1,2,3,114,115,116,117,118,119,120,121,122,236,237,238,234,235,239,240,241,242,243</t>
  </si>
  <si>
    <t>,114,113</t>
  </si>
  <si>
    <t>d5EZfx8cbJsvPxYs3h0LCw==</t>
  </si>
  <si>
    <t>Zb8bn5THachVg/qATkPd2Q==</t>
  </si>
  <si>
    <t>,13,15,16</t>
  </si>
  <si>
    <t>,1,25,27,23,24,26,2,12,13,14,11,10,15,16,17,18,19</t>
  </si>
  <si>
    <t>,20,22,23,21,22,23,122,122,123,124,120,121,125,126</t>
  </si>
  <si>
    <t>,1,2,3,10,11,12,8,13,9,14,7,5,6,15,16,17,18,19,74,30,31,32,28,29,27,33,34,32,33,35,36,37</t>
  </si>
  <si>
    <t>xR5q5Wx0C/8=</t>
  </si>
  <si>
    <t>,139,140,141,137,138,142,143,144,489,490,491,488,487,492,493,494,495,496,497,498,499,500,486,481,483,482,480,479,405,406,357,359,355,358,356,59,60,61,57</t>
  </si>
  <si>
    <t>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39,340,341,342,343,344,345,346,347,348,349,350,351,352,353,354,355,356,357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39,340,341,342,343,344,345,346,347,348,349,350,351,352,353,354,355,356,357</t>
  </si>
  <si>
    <t>,1,2,3,4,5,6,8,9,10,11,7,12,13,14,15,16,17</t>
  </si>
  <si>
    <t>vORdQdaBlK47rz27i48Hrg==</t>
  </si>
  <si>
    <t>Disciplined Entrepreneurship : 24 Steps to a Successful Startup</t>
  </si>
  <si>
    <t>,1,2,3,67,68,69,65,66,67,68,69,70,71,102,103,104,105,106,107,108,109,110,111,113,114,115,116,117,119,121,122,124,125,126,127,128,129,130,131,133</t>
  </si>
  <si>
    <t>HB615 -- .A95 2013eb</t>
  </si>
  <si>
    <t>,1,2,3,17,19,16,18,15</t>
  </si>
  <si>
    <t>VKG9E7XvlLZLF0Yg+htdVg==</t>
  </si>
  <si>
    <t>Life in Crisis : The Ethical Journey of Doctors Without Borders</t>
  </si>
  <si>
    <t>RA390.F8 -- R43 2013eb</t>
  </si>
  <si>
    <t>,1,2,3,79,80,81,77,78,82,83,84,85,86,87,88,89,90,91,92,93</t>
  </si>
  <si>
    <t>qmSSSsBcVuTj4Omt2LaySA==</t>
  </si>
  <si>
    <t>XbnL6ripWdc=</t>
  </si>
  <si>
    <t>,1,2,3,4,15,127,128,129,125,126</t>
  </si>
  <si>
    <t>,1,2,3,1,30</t>
  </si>
  <si>
    <t>,100</t>
  </si>
  <si>
    <t>,1,3,2,87,88,89,90,91,92,93,94,95,96,97,98,99,100,101,102,103</t>
  </si>
  <si>
    <t>,1,3,2,269,270,271,267,268,427,428,429,425,426,17,18,19,15,16,537,538,539,535,536</t>
  </si>
  <si>
    <t>,1,2,3,173,174,175,171,172,176,177,178,179,180,181,182,183,184,185,186,187,188,189,190,191,379,380,381,377,378,376,382,383,384,385,386</t>
  </si>
  <si>
    <t>RyF521h9btib2vPmdFCAPg==</t>
  </si>
  <si>
    <t>,1,2,3,29,31,30,27,28</t>
  </si>
  <si>
    <t>Hlp3IL9yUXeGKCa63mQ13A==</t>
  </si>
  <si>
    <t>Equine Behaviour : Principles and Practice</t>
  </si>
  <si>
    <t>,1,2,3,63,64,68,69,70,67,66</t>
  </si>
  <si>
    <t>SF287 .M384 2013</t>
  </si>
  <si>
    <t>The Science of Equestrian Sports : Theory, Practice and Performance of the Equestrian Rider</t>
  </si>
  <si>
    <t>Sport &amp; Recreation; Agriculture</t>
  </si>
  <si>
    <t>,19,20,21,22,37,38,39,35,36,40,57,58,115,116,117,113,114,118</t>
  </si>
  <si>
    <t>SF284.4 -- .W65 2014eb</t>
  </si>
  <si>
    <t>,1,2,3,8,9,10,6,7,11,12,14,13,15,16,17,18</t>
  </si>
  <si>
    <t>,1,2,3,29,30,31,27,28,32,33,34,35,36,37,151,152,153,149,150,154,155,156,157,158,160,159,161,162,163,164,165,530,528,529,87,88,89,90,86,91,92,85,83,84,93,94,95,96,97,98,100,101,102,99</t>
  </si>
  <si>
    <t>Climate Change Impact and Adaptation in Agricultural Systems</t>
  </si>
  <si>
    <t>,6,7,8,9,10,11</t>
  </si>
  <si>
    <t>S600.7.C54 -- .C659 2014eb</t>
  </si>
  <si>
    <t>630.2/515</t>
  </si>
  <si>
    <t>,14,15,13</t>
  </si>
  <si>
    <t>,1,3,2,4,5,6,7,8,9,10,11,12,13</t>
  </si>
  <si>
    <t>,1,2,3,111,112,113,109,110</t>
  </si>
  <si>
    <t>Y3KQIWLDuHLtojsKrJ3CCw==</t>
  </si>
  <si>
    <t>KsfDx3QzIfPC43AFzneEsQ==</t>
  </si>
  <si>
    <t>,1,2,3,4,5,6,7,8,14,17,18,19,20,21,22,23,24,25,205,206,207,203,204,208</t>
  </si>
  <si>
    <t>HW25UMIj2vq8xwji0knZ8A==</t>
  </si>
  <si>
    <t>,1,2,3,15,36,75,107,132,165,218,265,311,252,175,115,58,10,5</t>
  </si>
  <si>
    <t>w6eVMy/AX5A=</t>
  </si>
  <si>
    <t>Shark! Shark!</t>
  </si>
  <si>
    <t>,1,2,3,13,6,4,5,7,8,9,10,11,12</t>
  </si>
  <si>
    <t>QL638.9 -- .Y686 2009eb</t>
  </si>
  <si>
    <t>gFFyawcF7lZ5oi8+0Z+2Tg==</t>
  </si>
  <si>
    <t>Emperor Theophilos and the East, 829–842 : Court and Frontier in Byzantium during the Last Phase of Iconoclasm</t>
  </si>
  <si>
    <t>,1,2,3,4,5,6,7,8,9,10,90,91,57,31,22,1,2</t>
  </si>
  <si>
    <t>DF587 -- .C636 2014eb</t>
  </si>
  <si>
    <t>,1,2,1,3,2,3,1,2,2</t>
  </si>
  <si>
    <t>oRWd0hzQQnw=</t>
  </si>
  <si>
    <t>New Methods of Literacy Research</t>
  </si>
  <si>
    <t>,1,2,3,2,3,1,87,88,87,88,89,86,89,86,85,90,90,2</t>
  </si>
  <si>
    <t>LC149 -- .N49 2014eb</t>
  </si>
  <si>
    <t>,1,2,3,15,16,17,13,14,18,2,63,64,65,66,67,68,69,70,71,72,73,74,75,76,77,78,79,80,81,83,82,84,85,86,87,88,89,90,91,92,93,94,95,96,97,98,99,94,86,63,60,59,61,57,58,56,55,53,54,52,51,50,49,48,46,47,52,53,54,55,56,57,58,59,60,61,62,63,64,65,66,67,68,69,70,71,72,73,74,75</t>
  </si>
  <si>
    <t>,73,73</t>
  </si>
  <si>
    <t>,1,2,3,4,165,166,167,25,26,27,23,24,2,28,43,44,45,41,42,803,804,805,801,802,806,807,1359,1360,1361,1357,1358</t>
  </si>
  <si>
    <t>aFtlLxlXOL1x2G8WFuSGgg==</t>
  </si>
  <si>
    <t>,35,39</t>
  </si>
  <si>
    <t>,114,114,115,115,116,116,117,117,118,118,119,119,120,120,121,121,122,122,123,123,124,124,125,125,126,126,127,127,128,128,129,129,130,130,131,131,132,132,133,133,134,134,129,134,135,135,136,136,137,137,138,138,139,139,139,140,140,141,141,142,142,143,143,144,144,145,145,146,146,147,147,142,147,148,148,149,149,150,150,151,151,152,152,153,153,148,153,154,154,155,155,156,156,157,157,158,158,159,159</t>
  </si>
  <si>
    <t>,1,2,3,2,3,1,2,2,37,38,37,39,36,39,35,38,36,40,40,41,41,42,37,36,35,40,42</t>
  </si>
  <si>
    <t>,1,1,2,2,3,3,109,110,110,109,2,107,111,111,112,112,108,113,113,111,111,113,112,113,109,112,110,110</t>
  </si>
  <si>
    <t>,68,65,63,56,49,46,44,38,34,31,30,32,28,29,27,26,25,24,22,19,17,16,18,12,8,3,2,4,5,6,7,8,9,10,11,12,13,14,15,16,17,19,22,23,24,25,28,33,37,39,40,41,44,47,58,59,60,61,68,85,62,104,105,98</t>
  </si>
  <si>
    <t>hHboKNNtBMTqtjzCqG2PWA==</t>
  </si>
  <si>
    <t>,19,20,21,22,23,24,25,26,27,28,29,30,31,32,33,34,35,36,37,38,39,40,41,42,43,44,45,46,47,48,327,329,330,331,328,332,2,1,3,47,48,49,50,51,52,53,54,55,57,58,59,56,59,60,61,62,63,64,65,66,67,62,68,71,72,73,74,75,81,79,84,457,458,459,455,456,82,83,80,78,77,85,292,293,294,290,291,295,296,297</t>
  </si>
  <si>
    <t>,1,102,101,103,99,100,2,104,98,105</t>
  </si>
  <si>
    <t>,1,2,3,4,5,6,7,8,9,2,10,11,12,13,14,15,16,17,9,8,7,6,5,4,18</t>
  </si>
  <si>
    <t>6DXwwcBLUDw9+6RxQpaxQg==</t>
  </si>
  <si>
    <t>,4,5,6,7,8,9,10,11,12,13,14,15,16,17,18,19,20,21,22,23,24,25</t>
  </si>
  <si>
    <t>xGz4GGDvMEE=</t>
  </si>
  <si>
    <t>,1,2,3,340,341,348,349,350,346,347</t>
  </si>
  <si>
    <t>,480,481,482,484,483,484,485,486,487,488,489,490,491,490,491,492,493,494,604,605,606,602,603,607,608,609,610,612,613,614,616,617,618,619,615,276,277,264,265,266,262,263,493,495,496,497,494,498,499,500</t>
  </si>
  <si>
    <t>KeZWxGRp3kE=</t>
  </si>
  <si>
    <t>,1,2,3,487,488,489,485,486,490,491,492,493,494,495,496,497,499,498,500,501,502,503,504,505,506</t>
  </si>
  <si>
    <t>,1,2,3,444,445,446,442,443,454,447,471,472,473,469,470,474,476,475,467,468,465,466,464,476,477,478,479</t>
  </si>
  <si>
    <t>,1,2,3,111,112,113,110,109,1,2,114</t>
  </si>
  <si>
    <t>,478,480,479,476,477,481,482,483</t>
  </si>
  <si>
    <t>,115,115,116,116,111</t>
  </si>
  <si>
    <t>,1,1,2,2,1,3,3,157,158,157,158,159,155,159,156,156,101,102,102,2,103,99,103,101,100,100,104,104,105,105,103,104,104,105,103,106,101,105,102,106,101,106,107,107,108,108,109,109,110,110,111,111,105,110,111,112,112,113,113,114,114</t>
  </si>
  <si>
    <t>+89SPgF3tT6g64IcmtdbYQ==</t>
  </si>
  <si>
    <t>,1,1,2,3,2,3,4,4,5,5,2,2</t>
  </si>
  <si>
    <t>hy0+18vYztHemhYeEFosufwnhNTvQm0u</t>
  </si>
  <si>
    <t>caleblyon98</t>
  </si>
  <si>
    <t>Latin American Dictators of the 20th Century : The Lives and Regimes of 15 Rulers</t>
  </si>
  <si>
    <t>,1,2,3,49,50,51,52,48,55,56,57,58,54,59,2,52,53,51,50,49,48,47</t>
  </si>
  <si>
    <t>F1414 -- .G214 2013eb</t>
  </si>
  <si>
    <t>321.9092/28; 321.909228</t>
  </si>
  <si>
    <t>,197,202,198,201,202,203,205,206,207,208,209,210,1,12,2,3,13,14,15,11,16,17,18,305,306,307,308,309,310,311,312,201,202,203,204,205,206,207,208,209,210,211,212,213</t>
  </si>
  <si>
    <t>,1,2,3,160,157,158,203,199,200</t>
  </si>
  <si>
    <t>,1,3,2,49,50,51,47,48,52,53,54,55,56,57,58,59</t>
  </si>
  <si>
    <t>,54,55,56,57</t>
  </si>
  <si>
    <t>,236,237,238,239,240,241,242,243</t>
  </si>
  <si>
    <t>,1,2,3,229,230,231,227,228,229,230,231,227,228,232,233,234,235</t>
  </si>
  <si>
    <t>PRfvkYp17U0=</t>
  </si>
  <si>
    <t>NEPA in the Courts : A Legal Analysis of the National Environmental Policy Act</t>
  </si>
  <si>
    <t>KF3775 -- .A95 2011eb</t>
  </si>
  <si>
    <t>,1,2,3,22,23,24,20,21</t>
  </si>
  <si>
    <t>ot/ZmK3BJMg=</t>
  </si>
  <si>
    <t>Mobile Communication</t>
  </si>
  <si>
    <t>,1,2,3,54,55,56,52,53,57,58,59,60,61,62,63,64,65,66,67,73,74,75,71,72,76,77,78,79,80</t>
  </si>
  <si>
    <t>Introduction to Digital Mobile Communication</t>
  </si>
  <si>
    <t>Engineering; Engineering: Electrical</t>
  </si>
  <si>
    <t>TK6570 .M6 A39 2015</t>
  </si>
  <si>
    <t>621.3845; 621.38456</t>
  </si>
  <si>
    <t>hGhJZClPlkIjEpsYtwgp7g==</t>
  </si>
  <si>
    <t>,1,2,3,57,58,59,55,56,57,58,59,55,56,60,2</t>
  </si>
  <si>
    <t>d94Ma4Q8Qvkhd7FoQPrO7A==</t>
  </si>
  <si>
    <t>,482,483,475,323,324,325,321,322,326,327,328,329,330,331,332,333,334</t>
  </si>
  <si>
    <t>,1,2,3,478,479,480,476,477,481</t>
  </si>
  <si>
    <t>RNJlKYFGjp8=</t>
  </si>
  <si>
    <t>,1,2,3,195,196,197,193,194,198,199,200,201,202,203,204,205</t>
  </si>
  <si>
    <t>Introduction to Veterinary Medical Ethics : Theory and Cases</t>
  </si>
  <si>
    <t>Philosophy; Agriculture</t>
  </si>
  <si>
    <t>,1,2,3,4,5,6,7,8,9,10,11,12,13,14,15,16,16,16,16,17,18,19,20,21,22,23</t>
  </si>
  <si>
    <t>SF756.39 -- .R65 2006eb</t>
  </si>
  <si>
    <t>174/.9636</t>
  </si>
  <si>
    <t>rhOzaxp/cNU=</t>
  </si>
  <si>
    <t>Strength and Conditioning for Young Athletes : Science and application</t>
  </si>
  <si>
    <t>Sport &amp; Recreation; Health</t>
  </si>
  <si>
    <t>,17,16,14,12,11,8,7,5,3,1,2</t>
  </si>
  <si>
    <t>GV443 -- .S775 2013eb</t>
  </si>
  <si>
    <t>,28,29,30,31,32,33,56,57,54,55,58,59,60,36,37,38,34,35</t>
  </si>
  <si>
    <t>66.67.23.27</t>
  </si>
  <si>
    <t>,1,2,3,101,102,103,99,104,100,102,103,104,101,100</t>
  </si>
  <si>
    <t>,1,8,9,10,6,7,2,11,12,13,14,15,16,17,18,19,20,21,22,23,24,25,26,27</t>
  </si>
  <si>
    <t>wRekZUAYtbJq1G8yB+WqCw==</t>
  </si>
  <si>
    <t>Eichmann's Jews : The Jewish Administration of Holocaust Vienna, 1938-1945</t>
  </si>
  <si>
    <t>,53,54,99,100,101,97,38,39,40,36,37,41,42,72,73,43,44,53,54,55,56,57,58,59,60,61,62,63,64,65,66,67,101,100,97,98,72,73,74,70,71,75,110,104,105,106,102,103</t>
  </si>
  <si>
    <t>DS135.A92 -- V54713 2011eb</t>
  </si>
  <si>
    <t>,1,2,3,45,46,47,43,44,48,49,50,51,52</t>
  </si>
  <si>
    <t>WQdm5L6k6zY=</t>
  </si>
  <si>
    <t>Internet Studies : Past, Present and Future Directions</t>
  </si>
  <si>
    <t>,1,222,223,224,220,221,2</t>
  </si>
  <si>
    <t>HM1017 -- .T73 2014eb</t>
  </si>
  <si>
    <t>oW/7r7BaZ5U=</t>
  </si>
  <si>
    <t>Commercial Management : Theory and Practice</t>
  </si>
  <si>
    <t>,2,1,3,4,5,6,7,8,9,10,11,12,13,14,15,16,60,61,62,63,64,65,66,67,68,69,77,90,91,92,102,103,104,108,109,111,112,113,114,115,116,117,118,41,42,43,39,40</t>
  </si>
  <si>
    <t>HF5437 -- .L69 2013eb</t>
  </si>
  <si>
    <t>,1,2,3,35,36,37,33,38,39,40</t>
  </si>
  <si>
    <t>,116,117,118,119,120,121,122,123,124,125,126,127,128,129</t>
  </si>
  <si>
    <t>,1,2,3,111,112,113,109,110,115,105,106,107,114</t>
  </si>
  <si>
    <t>,1,3,2,4,5,6,6,7,8,9,10,11,12,13,14,39,35,36</t>
  </si>
  <si>
    <t>,1,2,3,4,5,6,7,8,9,10,11,12,13,14,15,16,17,18,19,21,22,23,24,25,26,27,28,20</t>
  </si>
  <si>
    <t>,1,2,3,79,80,81,77,195,196,197,193,194,5,6,7,4,8,9,10</t>
  </si>
  <si>
    <t>GmpQvpfEakptUrnRpVTgwA==</t>
  </si>
  <si>
    <t>,1,2,3,7,8,9,5,6,10,4,216,218,217,214,215,219,220,221,222,223,224,225</t>
  </si>
  <si>
    <t>87bn0iGB8PsRAJL5+o+0ng==</t>
  </si>
  <si>
    <t>The Way to Make Wine : How to Craft Superb Table Wines at Home</t>
  </si>
  <si>
    <t>Engineering; Home Economics; Engineering: Chemical</t>
  </si>
  <si>
    <t>TP548.2 .W384 2015</t>
  </si>
  <si>
    <t>,1,2,3,4,5,6,7,8,10,9,11,12,13,14,15,16,17,18</t>
  </si>
  <si>
    <t>DSLR Filmmaker's Handbook : Real-World Production Techniques</t>
  </si>
  <si>
    <t>TR860 -- .A534 2015eb</t>
  </si>
  <si>
    <t>uiXsdc7O8M1+YoDd2zz56w==</t>
  </si>
  <si>
    <t>,1,2,3,487,488,489,485,486,490,491</t>
  </si>
  <si>
    <t>9jL6al1cKew=</t>
  </si>
  <si>
    <t>Something's in the Air : Race, Crime, and the Legalization of Marijuana</t>
  </si>
  <si>
    <t>,1,2,3,5,4,6,7,8,9,10,11,12,13,14,15,16,17,18,19,20,21,22,23,24,25,26,27,28,29,30,31,32,33,34,35</t>
  </si>
  <si>
    <t>HV5825 -- .S58424 2014eb</t>
  </si>
  <si>
    <t>x2a9ybQDe+wPaYdjaBKB7w==</t>
  </si>
  <si>
    <t>,1,2,3,199,201,200,197,198,202,203,204,205,206,207,208,209,210,211,212,213,214,215,216,217,218,219,220,221,222,223,224,225,226</t>
  </si>
  <si>
    <t>uS6K8Q4epYc=</t>
  </si>
  <si>
    <t>School Mission Statement, The : Values, Goals, and Identities in American Education</t>
  </si>
  <si>
    <t>,201,202,203,204,206,207</t>
  </si>
  <si>
    <t>LA210 -- .S716 2012eb</t>
  </si>
  <si>
    <t>,1,2,3,187,188,189,185,186,191,182,183,184,180,181,190,192,193,194,195,196,197,198,199,200</t>
  </si>
  <si>
    <t>,119,112,113,127,128,129,125,126,130,131,132,133,134,135,136,137,138,139,140,141,142,143,144,145,170,171,172,168,169,173,174,175,176,177,178,179</t>
  </si>
  <si>
    <t>,1,2,3,4,5,6,116,117,118,114,115</t>
  </si>
  <si>
    <t>WAUUvdRyiNcxlGAB1FnnZg==</t>
  </si>
  <si>
    <t>Philosophical Perspectives on Teacher Education</t>
  </si>
  <si>
    <t>,1,2,3,60,61,62,58,59,60,60,61,62,58,59</t>
  </si>
  <si>
    <t>LB1707 .P555 2015</t>
  </si>
  <si>
    <t>Neuroinflammation : New Insights into Beneficial and Detrimental Functions</t>
  </si>
  <si>
    <t>,318</t>
  </si>
  <si>
    <t>RC346.5 -- .N48 2015eb</t>
  </si>
  <si>
    <t>616.8/0479</t>
  </si>
  <si>
    <t>,1,3,2,25,26,27,23,28,29,30,31,32,33,34,35,36,37,38,39,40,41,42,43,44,45,46,47,48,49,50,51,52,53,54,55,57,58,59,56,130,131,132,128,129,130,131,128,129,287,288,289,290,286,291,292,293,294,295,296,297,298,299,300,301,302,303,304,308,307,306,305,309,310,311,312,313,314,315,316,317,318,319,320</t>
  </si>
  <si>
    <t>,1,2,3,7,4,21,22,23,19,20</t>
  </si>
  <si>
    <t>,21,22,23,24,25,26,27,28,29,30,31,32,33,34,35,36,37,38,39,40,41,42,43,44,45,46,47,48,49,49,49,50,51,52,56,57,58,59,60,61,62,63,64,65,66,67,68,69,70,71,72,73,74</t>
  </si>
  <si>
    <t>Organization : Contemporary Principles and Practice</t>
  </si>
  <si>
    <t>HD58.7 -- .C4853 2015eb</t>
  </si>
  <si>
    <t>302.3/5</t>
  </si>
  <si>
    <t>FTxqr9Lx3qffBvVe1ZDW3A==</t>
  </si>
  <si>
    <t>Good Catholics : The Battle over Abortion in the Catholic Church</t>
  </si>
  <si>
    <t>Social Science; Religion</t>
  </si>
  <si>
    <t>,15,16</t>
  </si>
  <si>
    <t>HQ767.3 -- .M56 2014eb</t>
  </si>
  <si>
    <t>241/.6976</t>
  </si>
  <si>
    <t>,1,2,3,4,8,5,6,8,7,9,10,11,2,12,13,14</t>
  </si>
  <si>
    <t>,95,96,97</t>
  </si>
  <si>
    <t>,1,2,3,4,6,10,14,22,35,98,99,95,93,92,90,89,88,86,85,84,2,87,91,92,93,94</t>
  </si>
  <si>
    <t>PKOFDmSCyMxWDUdzqO1teg==</t>
  </si>
  <si>
    <t>,134,135</t>
  </si>
  <si>
    <t>,1,2,3,99,100,101,97,98,102,144,145,146,142,143,147,193,194,195,191,192,196,194,106,106,98,1,1,1,128,128,129,130,126,127,131,132,133</t>
  </si>
  <si>
    <t>,14,15,16,14,15,12,13,17,18,20,22,20,17,18,22,21,19,23,24,25,26,27,28,29,30,31,32,33,34,35,36,37,38,36,37,39,40,41,42,43,44,45,43,44,45,41,42,46,47,48,49,50,51,52,53,54,55,56,57,131,132,133,129,130</t>
  </si>
  <si>
    <t>T0WTqEuOnY7RkGQo9sK8Vw==</t>
  </si>
  <si>
    <t>Learning and the E-Generation</t>
  </si>
  <si>
    <t>,10,11,12,7,6,5,13,14,15,9,6,8,8,156,159,158,157,156,157,158,159</t>
  </si>
  <si>
    <t>,77,78,79,80,81,82,83,84,85,86,87,88,89,90,91,92,93,94,95,96,97,98,99,100,101,102,103,104</t>
  </si>
  <si>
    <t>LB1028.43 -- .U53 2015eb</t>
  </si>
  <si>
    <t>371.33/4</t>
  </si>
  <si>
    <t>,1,2,3,4,5,6,9,8,10,6,7,5</t>
  </si>
  <si>
    <t>DkISjhSfrVByQ6rNjMaSdA==</t>
  </si>
  <si>
    <t>,1,2,3,5,6,4</t>
  </si>
  <si>
    <t>,62,60</t>
  </si>
  <si>
    <t>,1,2,1,2,3,3,2,2,60,61,60,62,61,62,58,59,59,63,64,63,64,65,65,66,66,61,66,61,60,59,58</t>
  </si>
  <si>
    <t>,1,2,3,24,25,26,23,22,27,22,2</t>
  </si>
  <si>
    <t>,1,2,3,4,5,3,4,5,1,2</t>
  </si>
  <si>
    <t>,1,2,3,195,196,197,198,199,200,201,202,203,204,205,206,207,209,210</t>
  </si>
  <si>
    <t>qImAhUWcw1POT/s92AyjdQ==</t>
  </si>
  <si>
    <t>GFt6NO4bsX4=</t>
  </si>
  <si>
    <t>King James's Bible : A Selection</t>
  </si>
  <si>
    <t>,87,88,89,90,83,82,81</t>
  </si>
  <si>
    <t>BS391.3 -- .K56 2013eb</t>
  </si>
  <si>
    <t>,1,78,79,80,81,77,2,82,84,83,85,86</t>
  </si>
  <si>
    <t>,1,2,3,69,70,71,67,68,72,73,74</t>
  </si>
  <si>
    <t>Teach Yourself VISUALLY Access 2013</t>
  </si>
  <si>
    <t>,221,222,223,224,225,226,227,228,229,230,231,232,233,234,233,234,235,236,237,238,239,240,241,242,243,244,245,246,247,248,249,250,251,252,253,254,255</t>
  </si>
  <si>
    <t>QA76.9.D3 -- M34 2013eb</t>
  </si>
  <si>
    <t>,1,2,3,129,130,131,127,128,174,175,180,181,182,178,183,184,218,219,220,216,217</t>
  </si>
  <si>
    <t>Access 2013 fur Dummies</t>
  </si>
  <si>
    <t>QA76.9 .D3</t>
  </si>
  <si>
    <t>,1,1,1,2,3,2,3,2,2,22,22,23,24,23,24,20,21,21,4,5,6,6,4,3,5,2,22,23,24,20,21,5,6,7,3,7,4</t>
  </si>
  <si>
    <t>,22,23,24,25,26,27,28,29,30,31,32</t>
  </si>
  <si>
    <t>,1,2,3,14,15,16,12,13,17,7,4,5,6,8,18,19,20,21</t>
  </si>
  <si>
    <t>,1,2,3,99,100,101,97,98,102,103,104,105,106,107,108,109,110,111</t>
  </si>
  <si>
    <t>slsZQRwOJEBu73U4+U1KVQ==</t>
  </si>
  <si>
    <t>ksysfqQ8Ca4XkOrTM/OFSQ==</t>
  </si>
  <si>
    <t>Working with Emotion in Cognitive-Behavioral Therapy : Techniques for Clinical Practice</t>
  </si>
  <si>
    <t>RC489.C63 -- .W675 2015eb</t>
  </si>
  <si>
    <t>FKni2T7Vuhg=</t>
  </si>
  <si>
    <t>,1,2,2,1,3,3,57,58,57,58,56,55,56,59,59,2,60,60,61,61,62,62,63,63,58,56,57,55,60,61,62,63,64,64</t>
  </si>
  <si>
    <t>JCs6zfaLPZSSRMY6kcV6kw==</t>
  </si>
  <si>
    <t>Brazil</t>
  </si>
  <si>
    <t>,1,2,3,24,25,26,23,22</t>
  </si>
  <si>
    <t>F2508.5 .R53 2012</t>
  </si>
  <si>
    <t>,1,2,3,21,13,347,348,349,345,346,350,351,352,353</t>
  </si>
  <si>
    <t>,1,2,3,38,39,40,36,37,41,49,50,51,47,48,52,53,54,55</t>
  </si>
  <si>
    <t>,53</t>
  </si>
  <si>
    <t>,52,54,53</t>
  </si>
  <si>
    <t>G55OIESQFhnAhdGZgVBFug==</t>
  </si>
  <si>
    <t>Parenting Culture Studies</t>
  </si>
  <si>
    <t>HQ755.8 -- .P374 2014eb</t>
  </si>
  <si>
    <t>,1,3,2,212,213,214,210,211,212,213,214,210,211,215,216,217,218,219,220,221,222,191,201,202,203,204,200,221,222,223,224,225,226,227,228,229,230,231,232,233</t>
  </si>
  <si>
    <t>,1,2,3,8,49,50,51,47,48</t>
  </si>
  <si>
    <t>,4,34,35,36,32,33</t>
  </si>
  <si>
    <t>mB/wqqv2WWiSrKDD9BYQXg==</t>
  </si>
  <si>
    <t>,1,2,3,291,292,293,289,290,294,295,296,297,298,299,300,301,302,343,344,345,341,342,307,308,309,305,306,313,314,315,311,312,310,304,303</t>
  </si>
  <si>
    <t>,1,2,3,36,37,38,34,35,39,40,41,42</t>
  </si>
  <si>
    <t>P4iOTghPipU=</t>
  </si>
  <si>
    <t>Facilitating Resilience and Recovery Following Trauma</t>
  </si>
  <si>
    <t>,1,2,3,135,137,138,134,133,124,125,126,127,161,139,140,141,1,141,142,143,139,140,138,144,2,145,146,147,148,149,150,137,135,136,133,134,66,22,1,23,24,25,21,22,135,136,137,133,134,138,139,2,140,141,142,143,144,145,146,147,148,149</t>
  </si>
  <si>
    <t>BF698.35.R47 -- F33 2014eb</t>
  </si>
  <si>
    <t>,1,2,3,63,64,65,61,62,72,73,74,70,71,69,68,67,66,76,77,78,1,75,76,77,73,74,72,2,78,79,80,81</t>
  </si>
  <si>
    <t>,3,2,1</t>
  </si>
  <si>
    <t>,1,16,17,18,14,15,2,19,20,21,22,23,24,25,53,54,55,51,52,56,57,58,59,60,61,62,63,64,65,66,67,68,69,70,71,72,73,74,75,76,77,78,79,80,81,82,83,84,85,86,87,88,89,90,91,92,41,42,43,39,40,44,45,46,47,48</t>
  </si>
  <si>
    <t>,1,2,3,19,20,21,17,18,16,15,14,22,23,24,25,26,27,28,29,30,31,32,33,34,35,262,263,264,260,261</t>
  </si>
  <si>
    <t>,87,87,88,88,89,89,90,90,91,91,92,92,93,93,94,94,89,88,87,86,85,90,91,92,59,60,59,61,60,58,61,57,58,56,55,71,72,71,73,72,73,69,70,70,74,74,75,75,76,76,77,77,78,78,79,79,80,80,81,81,82,83,84,85,80,71,72,73,69,70,62,63,62,63,61,64,60,64,65,66,65,66,138,139,140,139,140,136,137,138,137,148,149,148,149,150,147,150,146,147,57,58,59,55,56,71,72,73,69,70,74,75,76,77,78,79,74,80,81,82,83,84,85</t>
  </si>
  <si>
    <t>,1,2,3,2,3,1,21,22,21,23,22,19,23,20,20,2,24,24,25,25,26,26,27,27,22,27,31,32,31,33,32,33,30,29,30,34,34,35,35,36,36,37,37,38,38,39,39,40,40,84,85,84,85,83,83,82,86,86</t>
  </si>
  <si>
    <t>,1,1,2,2,3,3,2,2,35,36,35,37,34,36,37,34,33</t>
  </si>
  <si>
    <t>,1,1,3,3,2,2,49,50,50,49,51,47,51,48,48,52,52,2,53,53,54,54,55,55,56,56,57,57,58,58,53,58,59,59,54,53,58,59,54,53,58,59,60,60,55,54,59,60,55,54,59,60,61,61,56,61,62,62,63,63,64,64,65,65,66,66,67,67,68,68,69,69,70,70,71,71,72,72,66,67</t>
  </si>
  <si>
    <t>s7YZz/WM8ak=</t>
  </si>
  <si>
    <t>,1,2,3,126,127,1,127,128,129,125,126,130,2,131,132,133,134,135</t>
  </si>
  <si>
    <t>,1,2,3,2,3,1,2,2,1,37,37</t>
  </si>
  <si>
    <t>,1,3,2,3,1,2,21,22,2,23,21,2,22,23,19,20,20</t>
  </si>
  <si>
    <t>,91,92,93,94,95,96,91,96,97,98,99,100,100,101,101,96,101,1,2,3,4,5,6,7,8,9,87,88,89,85,86,1,2,3,4,5,6,7,2,18,18,19,19,20,20,16,17,17,21,22,21,22,23,23,24,24,25,25,26,26,27,27,28,28,29,29,30,30,25,24,18,16,14,13,13,15,15,11,12,12,9,10,8,7,6,13,16,20,21,22,18,19,23,24,25,26,27,28,29,30,31,31,32,32,33,33,28,33,34,34,29,26,24,22,18,15,16,17,18,19,20,21,22,23,18,23,25,26,28,29,30,31,32,33,34,32,33,34,30,31,87,88,89,85,102,103,104,102,100,104,103,101,98,99,97,20,21,22,18,19,23,25,26,29,27,30,31,32,33,34,35,35,36,36,37,37,38,33,38,32,87,88,89,85,86,102,103,104,101,100,99,96,98,101,102,103,20,21,22,18,19,23,24,25,26,28,29,30,31,32,33,34,29,28,27,32,27,26,25,24,23,22,21,26,21,20,19,24,19,18,23,24,19,36,37,38,35,34,25,26,29,31,32,33,34,30,35,27,26,28,24,18,20,21,22,19,23,18,23,24,19,18,23,24,25,26,27,36,37,38,34,33,35,31,32,30,87,88,89,102,103,104,100,101,98,99,97,102,97,102,97,87,88,89,85,86,90,91,92,93,102,103,101,100,98,99,97,73,87,88,89,85,86,90,103,102,104,100,99,101,98,97,73,87,88,89,85,90,86,102,103,104,100,101,98,99,73,87,88,89,85,86,102,103,104,100,101,98,99,97,102,97,102</t>
  </si>
  <si>
    <t>,1,2,3,2,3,1,4,4,6,7,8,7,5,8,6,5,2,9,4,9,9,87,88,87,89,88,89,86,85,86,90,90,91,91,92,92,93,93,94,94,95,95,97,96,96,97,96,97,98,99,98,99,93,92,91,90,88,89</t>
  </si>
  <si>
    <t>,203,204,193,172,173,177,178,179,180,181,182,183,193,204,193,204,213,215,214,211,212,216,217,218,219,195,196,197,193,194,79,80,81,77,78,212,213,214,210,211,209,208,207,205,206,204,203,202,201,200,198,199,200,207,208,209,210,211,1,211,212,213,209,210,2,206,205,204,203,202,201,200,199,198</t>
  </si>
  <si>
    <t>Writing Technology : Studies on the Materiality of Literacy</t>
  </si>
  <si>
    <t>General Works/Reference; Literature</t>
  </si>
  <si>
    <t>,13,13,14,14,15,15</t>
  </si>
  <si>
    <t>Z40.H325 1</t>
  </si>
  <si>
    <t>,1,1,2,1,2,3,3,4,4,5,5,6,6,10,11,10,12,11,9,12,8,9,2</t>
  </si>
  <si>
    <t>,1,1,2,1,2,3,3,8,8,10,9,10,9,6,7,7,2,11,11,12,12,13,13,23,23,24,20,24,21,21,23,24,25,25,26,26,27,27,28,28,29,29,30,30,31,30,31,33,33,39,37,39,37,38,38,35,36,36,40,40,41,41,42,42,43,43,44,44,45,45,46,46,47,47,48,48,49,49,50,50,51,51,52,52,53,53,8,9,10,6,7,11,12,13,18,18,19,19,20,43,44,45,41,42,20,21,22,18,23,22,19,24,25,26</t>
  </si>
  <si>
    <t>i4GjeHs3RJs=</t>
  </si>
  <si>
    <t>Female Aggression</t>
  </si>
  <si>
    <t>,1,2,3,16,17,18,14,15,19,20,13,12,11,9,10,5,6,4,7</t>
  </si>
  <si>
    <t>BF575.A3 -- .G38 2015eb</t>
  </si>
  <si>
    <t>155.3/338232</t>
  </si>
  <si>
    <t>,1,2,3,4,5,6,7,8,9,17,15,10,11,12,8,9,6,5,11,12,15,16,17,13,14,86,87,88,84,85,89,90,91,92,93,94,95,96,97,98,99,100,101,102,103,104,105,106,107,108,109,110,111,112,113,114,115,116,117,118,119,120,121,122,123,124,125,126,127,128,129,130,131,132,133,174,175,176,172,173,177,178,195,196,197,193,194,198,199,200,201,202</t>
  </si>
  <si>
    <t>I0BmEoG/mNoNRlM0Cx+X/Q==</t>
  </si>
  <si>
    <t>Terrorism : A Philosophical Investigation</t>
  </si>
  <si>
    <t>HV6431 -- .P75 2013eb</t>
  </si>
  <si>
    <t>,142,143,140,141,24,28,1,25,26,27,23,24,2,28,29,30</t>
  </si>
  <si>
    <t>,1,2,3,4,5,6,7,8,9,10,11,14,15,12,13,16,12,13,17</t>
  </si>
  <si>
    <t>,1,2,3,209,210,211,207,208,209,210,211,207,208,212,213,214</t>
  </si>
  <si>
    <t>,1,2,3,25,26,27,23,24,28,29,30,31,32</t>
  </si>
  <si>
    <t>Wn6asDMfZmZv26x9BxlUog==</t>
  </si>
  <si>
    <t>,214,215,216,217,218,219,152,18,15</t>
  </si>
  <si>
    <t>,1,2,3,4,5,208,209,210,206,207,211,212,213</t>
  </si>
  <si>
    <t>,1,2,3,206,207,208,204,205,206,207,208,204,205,209,202,203,201,210,211</t>
  </si>
  <si>
    <t>SYJAxvzDVwy/aLiNHkCMCg==</t>
  </si>
  <si>
    <t>,1,2,3,4,5,6,7,8,9,10,11,12,13,14,15,16,17,18,19,20,21,22,23,24,25,26,27,28,29,30,31,81,181,180,182,183,179,168,169,170,166,167</t>
  </si>
  <si>
    <t>,1,2,3,69,70,71,68,67,52,53,38,39,40,36,37,41</t>
  </si>
  <si>
    <t>,1,2,3,1,2,3,30,31,32,28,29,33,285,286,287,283,284,285,285,286,287,283,284,288,289,290,291,292,305,307,306,303,313,314,315,312,311,263,264,265,261,262,247,248,249,245,246,308,304</t>
  </si>
  <si>
    <t>4i4J/W8CcZhbjzzR+X5CPg==</t>
  </si>
  <si>
    <t>,1,2,3,7,8,6,9,19,25,26,39,40,41,37,38,42</t>
  </si>
  <si>
    <t>,1,181,182,183,179,180,2,379,380,381,377,378</t>
  </si>
  <si>
    <t>LD9452CHR6wKkovkI63bcw==</t>
  </si>
  <si>
    <t>In Search of Cell History : The Evolution of Life's Building Blocks</t>
  </si>
  <si>
    <t>,20,21,22,23,24,25,8,1,2,3,136,138,134,135,270,150,151,152,148,149,271,272,268,153,148,153,154,155,156,157,158,123,124,125,121,122,129,130,131,127,128,94,90,88,85,51,42,38,31,32,33,29,30,34,24,25,26,22,23,21,27,28</t>
  </si>
  <si>
    <t>QH582</t>
  </si>
  <si>
    <t>9HuVOzs7nf/ubC0qAXzauQ==</t>
  </si>
  <si>
    <t>Skillful Teacher : On Technique, Trust, and Responsiveness in the Classroom</t>
  </si>
  <si>
    <t>,1,2,3,4,9,10,11,7,8,12,223,224,225,222,221,226</t>
  </si>
  <si>
    <t>LB2331 -- .B68 2015eb</t>
  </si>
  <si>
    <t>378.1/25</t>
  </si>
  <si>
    <t>,29,30,31,28,26,27,32,38,52,54,50,51,55,56,57,58,59,60,61,62,63,64,65,66,67,68,70</t>
  </si>
  <si>
    <t>,135,136,137,133,134</t>
  </si>
  <si>
    <t>,1,2,3,8,9,10,6,7,11,12,13,16,15,17,14</t>
  </si>
  <si>
    <t>,35,36,37,38,39,40,41</t>
  </si>
  <si>
    <t>,1,2,3,27,28,29,25,26,30,31,32,33,34</t>
  </si>
  <si>
    <t>,1,15,16,17,13,14,2,28,29,30,26,27,46,47,48,44,45,66,67,64,65</t>
  </si>
  <si>
    <t>,1,28,29,26,27,28,2</t>
  </si>
  <si>
    <t>,1,2,1,2,3,3,60,61,60,62,61,62,58,63,63,59,61,2,61,58,57,62,63,64,64,65,66,65,66,60,61,58,59,63,64,65,66,61</t>
  </si>
  <si>
    <t>,18,19,20,21,22,23,50,52,51,48,49,53,54,55,56,57,58,59,60,61,62,63,64</t>
  </si>
  <si>
    <t>,1,2,3,4,5,6,14,15,16,13,12,14,17</t>
  </si>
  <si>
    <t>,1,3,2,1,359,359,359,359,359,359,359,359,359,360,360,359,359,360,362,382,383,383,384,384,383,383,360,360,362,362,382,382,362,362,7,7,7,8,9,10,6,359,360,361,362,358,363,361,360,363,361,362,364,365,363</t>
  </si>
  <si>
    <t>,23,24,25,26,27,28,30,31,32,33,34,35,29,262,263,264,260,261,265,266,267,268,25,26,27</t>
  </si>
  <si>
    <t>,1,3,2,4,5,6,7,8,9,4,5,6,7,8,9,10,11,12,13,14,15,16,17,18,19,20,21,22,1</t>
  </si>
  <si>
    <t>Afterlives of the Psychiatric Asylum : Recycling Concepts, Sites and Memories</t>
  </si>
  <si>
    <t>,1,14,15,16,12,13,2,17,18,19</t>
  </si>
  <si>
    <t>RC439 .M74 2015</t>
  </si>
  <si>
    <t>362.2''1</t>
  </si>
  <si>
    <t>,1,3,2,63,64,65,66,67,68,69,70,71,72,73,74,75,76,77,78,79,80,81,82,84,83,86,87,88,89,90,91,92,93,94,96,98,90,89,88,86,87,91,92,90,86,85,83,84,82,81,79,76,75,77,74,72,73,71,70,75,76,76,77</t>
  </si>
  <si>
    <t>,73</t>
  </si>
  <si>
    <t>BWA/PDaLlYY=</t>
  </si>
  <si>
    <t>,41,42,44,45,57,58,59,55,56,54</t>
  </si>
  <si>
    <t>,38,38</t>
  </si>
  <si>
    <t>,38,39,40,41,42,43,44,45,46,47,48,49,50,51,52,53,54,55,56</t>
  </si>
  <si>
    <t>,1,2,3,4,5,6,7,8,9,10,11,12,38,39,40,36,37,38</t>
  </si>
  <si>
    <t>,1,2,3,37,38,39,35,36,37</t>
  </si>
  <si>
    <t>,1,3,2,20,21,18,22,19,23,24,25,26,27,28,29,30,31,32,33,34,35,36,37,38,39,40,41,42</t>
  </si>
  <si>
    <t>,1,2,3,4,5,8,11,12,21,22,19,20,2,63,64,65,66,67,68,69,70,71,72,73,74</t>
  </si>
  <si>
    <t>,72</t>
  </si>
  <si>
    <t>,1,2,3,38,39,40,36,37,35,41,42,43,44,45</t>
  </si>
  <si>
    <t>,1,8,9,10,6,7,2,38,39,40,36,37,35,1,35,36,37,33,34,25,26,27,23,24,28,2,29,23,21,22,19,20,18,17,16,15,37,38,39,36,40,41,42,43,34,32,31,30,28,29,1,35,36,37,33,34,35,1</t>
  </si>
  <si>
    <t>vztDSwlIShg=</t>
  </si>
  <si>
    <t>,1,2,3,11,12,13,9,10,19,20,21,17,18,22</t>
  </si>
  <si>
    <t>X5qxRNfOJCFsYUZ227RMRA==</t>
  </si>
  <si>
    <t>Wedding Planning For Dummies</t>
  </si>
  <si>
    <t>Philosophy; Social Science</t>
  </si>
  <si>
    <t>,1,17,18,19,15,16,20,21,22,23,2,24,25,26,27,28,29</t>
  </si>
  <si>
    <t>BJ2051</t>
  </si>
  <si>
    <t>eFQAxAV9zF4=</t>
  </si>
  <si>
    <t>Exercising Influence : A Guide for Making Things Happen at Work, at Home, and in Your Community</t>
  </si>
  <si>
    <t>,1,2,3,4,6,5,7,25,26,27,23,24,66,67,68,65,64</t>
  </si>
  <si>
    <t>BF774 .B265 2015</t>
  </si>
  <si>
    <t>153.8; 153.85</t>
  </si>
  <si>
    <t>,1,2,3,84,85,86,82,83,9,10,11,7,8</t>
  </si>
  <si>
    <t>PoseMfDxRkwN0okAsHYuzw==</t>
  </si>
  <si>
    <t>,1,2,3,4,5,6,7,45,46,47,48,49,44,43,34,35,36,32,33</t>
  </si>
  <si>
    <t>ghb19WExNwXrKpBkyp0xvg==</t>
  </si>
  <si>
    <t>,1,26,27,28,24,25,29,2,30,31,32,33,34,21,22,23,19,20,24,25,6,7,8,4,5</t>
  </si>
  <si>
    <t>fFdcLrMqHEAOTlJGW5XOqw==</t>
  </si>
  <si>
    <t>Gamechangers : Creating Innovative Strategies for Business and Brands; New Approaches to Strategy, Innovation and Marketing</t>
  </si>
  <si>
    <t>,1,2,3,4,5,6,7,8,9,10,11,12,13,14,15,16,17,18,19,20,21,22,24,25,26,27,28,29</t>
  </si>
  <si>
    <t>HD30.28 -- .F5724 2015eb</t>
  </si>
  <si>
    <t>658.4/012</t>
  </si>
  <si>
    <t>m3znv4RBC3c=</t>
  </si>
  <si>
    <t>,106,107,108,109,110</t>
  </si>
  <si>
    <t>,1,2,3,25,26,27,23,24,28,29,103,104,105,101,102</t>
  </si>
  <si>
    <t>,318,319,320,322,323,324,325,326,327,328,329,321,307,10,8,16,17,18,14,15,13,11,7,6,5,4,118,286,301,307,308</t>
  </si>
  <si>
    <t>dEnxx0MQ3+c=</t>
  </si>
  <si>
    <t>Succession Planning for Financial Advisors : Building an Enduring Business</t>
  </si>
  <si>
    <t>,1,11,12,13,9,10,7,8,2</t>
  </si>
  <si>
    <t>HG179.5 .G727 2014</t>
  </si>
  <si>
    <t>kDQRqeJYJmPPFUgQGPU17g==</t>
  </si>
  <si>
    <t>,1,2,3,4,5,6,7,8,9,10,11,12,13,14,15,16,17,18,19,20,21,22,23,43,44,45,41,42,46,64,66,62,63,67,76,78,74,77,75,79,81,82,113,114,115,111,112,116,117</t>
  </si>
  <si>
    <t>,1,2,3,4,5,6,7,8,9,10,11,12,13,14,273,274,275,276,272,277,278,279,280,289,301,309,310,311,307,308,312,313,314,315,316,317</t>
  </si>
  <si>
    <t>,1,2,3,116,117,118,114,115,117,118,114,115,119,120,115</t>
  </si>
  <si>
    <t>,1,2,3,133,134,135,131,132,136,137,149,150,151,148,147,152,153,154,155,156,157,158,159,160,161,163,162,164,165,166,167</t>
  </si>
  <si>
    <t>7awIyak5tz4=</t>
  </si>
  <si>
    <t>Essential Manager : How to Thrive in the Global Information Jungle</t>
  </si>
  <si>
    <t>,1,19,17,22,2</t>
  </si>
  <si>
    <t>HD31 -- .C644749 2015eb</t>
  </si>
  <si>
    <t>,1,10,11,9</t>
  </si>
  <si>
    <t>,1,2,3,1,2,3,196,197,198,194,195,199,200,201,202,203,204,205,206,194,205,206,207,208,209,210,211</t>
  </si>
  <si>
    <t>kEYD0bKmIiqh/5DEm88yLg==</t>
  </si>
  <si>
    <t>fOJm1P+tHwk=</t>
  </si>
  <si>
    <t>Phantom Limb : Amputation, Embodiment, and Prosthetic Technology</t>
  </si>
  <si>
    <t>,42,158,159,160,156,157,161,162,163,164,165,166,167,168,169,170,171,172,173,174,175,176,177,178,179,180,181,182,183,184,185,186,187,188,189,190</t>
  </si>
  <si>
    <t>RD553 -- .C88 2014eb</t>
  </si>
  <si>
    <t>,1,2,3,4,39,40,41,37,38</t>
  </si>
  <si>
    <t>,1,2,3,182,183,184,180,179,176,177</t>
  </si>
  <si>
    <t>,1,6,7,8,4,5,2,9,10,11,12,13</t>
  </si>
  <si>
    <t>j1wFdLIdLKfNJVdTpZdorQ==</t>
  </si>
  <si>
    <t>Creative Interventions with Traumatized Children, Second Edition : Creative Arts and Play Therapy, eds Malchiodi and Crenshaw</t>
  </si>
  <si>
    <t>RJ506.P66 -- .C743 2015eb</t>
  </si>
  <si>
    <t>IxE5SQHWFcFlu9XA+pHu6A==</t>
  </si>
  <si>
    <t>Statistics : An Introduction using R</t>
  </si>
  <si>
    <t>,1,2,3,16,17,18,14,15,140,141,142,143,139,149,150,151,152,148,153,154,155,156,157,158,159,160,161,162,163,164</t>
  </si>
  <si>
    <t>QA276.12 -- .C73 2005eb</t>
  </si>
  <si>
    <t>,40,41,42</t>
  </si>
  <si>
    <t>,1,2,3,4,5,6,9,10,11,8,7,12,13,14,15,16,17,18,19,20,21,22,23,24,25,26,27,28,29,30,31,32,33,34,35,36,37,38,39</t>
  </si>
  <si>
    <t>,1,2,3,260,261,262,258,259,263,261,262,263,259,260,264,258,278,279,280,276,277,2,1,3,252,253,254,250,247,249,248,245,246,251,271,272,273,269,270,263,264,265,261,262,278,279,280,276,277,275,274,285,286,287,283,284,266,267,255,256,257,258,259,260,295,296,293,297,294,281,282,313,314,315</t>
  </si>
  <si>
    <t>,1,2,3,4,5,6,7,28,29,30,26,27,31,32</t>
  </si>
  <si>
    <t>,1,2,3,4,5,6,7,8,9,10,11,12,13,14,15,16,17,18,19,20,21,22,24,23,25,26,27,28,29,30,28,29,30,28,29,30,26,27,31,32,33,34,35,36</t>
  </si>
  <si>
    <t>UBYo8mKOwXY=</t>
  </si>
  <si>
    <t>Wiley Blackwell Anthology of African American Literature, Volume 2 : 1920 to the Present</t>
  </si>
  <si>
    <t>,101</t>
  </si>
  <si>
    <t>PS508.N3 -- .W554 2014eb</t>
  </si>
  <si>
    <t>,1,7,8,9,5,6,10,2,4,37,41,42,43,39,40,98,99,100,96,97</t>
  </si>
  <si>
    <t>45G6O4FAkk4sSiO/y6komQ==</t>
  </si>
  <si>
    <t>,53,57,58,54,55,56,59,60,61,62,63,64,65,66,67,68,69,70,71,72,73,74,75,76,77,86,87,88,84,85,89,90,91,92,93,94,95,96,97,98,99,100,101,102,103,104,105,106,107,161,162,163,164,160,170,171,172,168,169,173,174,175,176,177,178,179,180,181,182,167,166</t>
  </si>
  <si>
    <t>,1,2,3,4,5,6,42,43,44,40,41,45,46,47,48,49,50,51,52</t>
  </si>
  <si>
    <t>,1,2,3,5,4,6,7,8,20,21,22,18,19,31,32,33,29,30,28,27,26,25,24,23</t>
  </si>
  <si>
    <t>,1,2,3,17</t>
  </si>
  <si>
    <t>,1,2,3,69,70,71,67,72,73,74,75,76,77,78,79,80,81,82,83,84,85,86,87,88,89,90,91,92,93,94,95,96,97,98,99,100,101,102,103,104,105,106,107,108,109,110,111,149,150,151,152,153</t>
  </si>
  <si>
    <t>,1,2,3,4,5,6,7,18,19,20,16,17,14,12,13,10,11,15,21,28,29,30,26,27,31,113,114,115,111,112</t>
  </si>
  <si>
    <t>b3oeqlWAv3p5dg9rpOSUxA==</t>
  </si>
  <si>
    <t>,23,1,24,25,21,22,2</t>
  </si>
  <si>
    <t>,1,2,3,14,15,16,12,13,17,20,21,22,18,19,23</t>
  </si>
  <si>
    <t>,28,49,50,51,48,46,47,31,37,38</t>
  </si>
  <si>
    <t>,1,2,3,34,35,36,32,33,28,29,30,26,27</t>
  </si>
  <si>
    <t>,16,17,18,19,20,21,22,23,24,25,26,27,28,29,30,31,32,33,34,35,36,37,38,39,40,41,42,43,44,45,46,47,48,49,50,51,52,53,54,56,55,57,58,59,60,61,62,63,64,65,66,67,68,69,70,71,72,73,74,75,76,77,78,79,80,81,82,83,84,85,86,87,88,89,90,91,92,93,94,95,96,97,98,99,100,101,102,103,104,105,106,107,108,109,110,111,112,113,114,115,116,117,118,119,120,121</t>
  </si>
  <si>
    <t>,1,3,2,4,5,6,7,7,8,9,10,11,12,13,14,15</t>
  </si>
  <si>
    <t>Jco6bPHiHew=</t>
  </si>
  <si>
    <t>,472,473</t>
  </si>
  <si>
    <t>1GgO25pc1cO75OIVU0Aw1Q==</t>
  </si>
  <si>
    <t>Telling the Story : The Heart and Soul of Successful Leadership</t>
  </si>
  <si>
    <t>,24,24,31,31,24,26,25,25,27,23,27,22,27,31,32,32,33,29,33,30,30,34,34,35,35,36,36,37,37,38,38</t>
  </si>
  <si>
    <t>HD57.7  -- .M4293 2014eb</t>
  </si>
  <si>
    <t>L3U2ItmfLHZJQULBWCgX/A==</t>
  </si>
  <si>
    <t>Quinoa : Botany, Production and Uses</t>
  </si>
  <si>
    <t>Engineering; Agriculture; Engineering: Chemical</t>
  </si>
  <si>
    <t>,1,2,3,4,5,6,62,63,64,60,61,65,66,67,68,50,38,16</t>
  </si>
  <si>
    <t>SB177.Q55 -- B43 2013eb</t>
  </si>
  <si>
    <t>664/.7</t>
  </si>
  <si>
    <t>,1,3,2,2,1,3,1,4,4,20,21,22,20,22,21,19,18,19,2,23,23</t>
  </si>
  <si>
    <t>,1,3,2,461,462,463,459,460,469,470,471,467,468,472</t>
  </si>
  <si>
    <t>xflS9HqdNOOZUOaME7fTxQ==</t>
  </si>
  <si>
    <t>Teach Like a Champion Field Guide : A Practical Resource to Make the 49 Techniques Your Own</t>
  </si>
  <si>
    <t>LB1025.3 -- .L485 2012eb</t>
  </si>
  <si>
    <t>,1,2,3,4,5,28,29,30,26,27</t>
  </si>
  <si>
    <t>Wiley CPA Exam Review 2012, Auditing and Attestation</t>
  </si>
  <si>
    <t>John Wiley &amp; Sons, Inc.</t>
  </si>
  <si>
    <t>,1,2,3,4,5,6,15,16,17,13,14,88,89,90,86,87,2</t>
  </si>
  <si>
    <t>HF5667 -- .W45 2012eb</t>
  </si>
  <si>
    <t>2QQK2X88Po9FOSmtLwk/pw==</t>
  </si>
  <si>
    <t>,1,2,3,117,118,119,115,116,117,118,119,115,116,120,121,122,123,124,125,126,127</t>
  </si>
  <si>
    <t>,1,2,51,52,53,50,49,2,54,55,56,57,58,59,60,61,62,63,64,65,66,67,68,69,70,71,72,73,74,75,76</t>
  </si>
  <si>
    <t>,2,1,3,3,2,1,2,2,49,50,49,50,47,51,51,48,48,52,53,53,52,54,55,54,51,55,56,57,56,57</t>
  </si>
  <si>
    <t>,208,209,210,206,207,1,2,3,208,209,210,206,207,211,212,213,214,215,216,217,218,219</t>
  </si>
  <si>
    <t>,1,3,4,5,2,6,7,30,31,32,28,29,27,26,25,24,23,21,20,22,19,18,17,16,15,14,13,12,11,11,16,1,16,17,18,15,14,13,2,12,11,19,14,13,12,11,1,2,3,4,5,6,7</t>
  </si>
  <si>
    <t>L2jO3TlAYzS8xpHlrNUxtw==</t>
  </si>
  <si>
    <t>,1,3,2,3,2,1,4,5,4,5,6,6,2,2,7,7,8,8,9,4,9</t>
  </si>
  <si>
    <t>,1,2,3,117,118,119,115,116,120,2,121,122,123,124,125,126,127,128,129,130,131,132,133,134,135,136,137,144,145,146,147,148,149,150,151,152,138,139,140,141,142,143,137,136</t>
  </si>
  <si>
    <t>,1,2,3,4,5,6,7,10,13,14,15,16,17,2,19,20,18,21,63,65,64,61,62,66,67,68,61,62,68,69,70,71,65,64,63,61,62,68,69,70,64,63,63,61,62,66,67,68,63,67,68,64,65,63,61,62,69,64,70,70,70,63,64,65,61,71,63,64,65,61,62,71,71,63,64,65,61,66,72,67,73,74,75,69,68,73,74,75,76,70,77,78,79,80,81,82,83,84,85,86,87,88,89,90,91,92,93,94,95,96,97,108,109,105,99,100,98,96,95,94,93,92,91,90,89,54,55,56,52,53,57,52</t>
  </si>
  <si>
    <t>,15,65,66,66,68,68,69</t>
  </si>
  <si>
    <t>,1,2,3,2,3,1,5,4,5,4,6,6,7,8,7,8,2,9,9,10,10</t>
  </si>
  <si>
    <t>,1,2,3,5,4,6,7,8,11,13,12,14,10,15,16,17,18,22,24,37,43,44,45,41,42</t>
  </si>
  <si>
    <t>16JUDxW5J6KHnE9dsVq9Pg==</t>
  </si>
  <si>
    <t>,1,2,1,2,3,3,87,87,88,88,89,85,89,86,86,2,87</t>
  </si>
  <si>
    <t>J5Qalp/6XXE=</t>
  </si>
  <si>
    <t>,421,419,420,421,417,418,422,417,416,421,414,413,412,410,411,409,414,415,417,418,419,416,420,421,416,421,422,420,421,422,418,419</t>
  </si>
  <si>
    <t>,1,2,2,3,3,1,413,413,414,415,411,415,412,412,414,416,416,2,414,414,415,416,415,416,412,413,413,417,417,418,418,419,419,420,420,421,421,422,422,423,419,423,424,424,425,425,426,426,427,427,428,428,429,429,430,426,430,427,425,421,418,415,414,413,411,411,412,414,410,415,416,417,418,419,420</t>
  </si>
  <si>
    <t>,435,436,437,438,439,440,441,442,443,444,445,446,447,413,414,415,411,412</t>
  </si>
  <si>
    <t>,1,2,3,429,430,431,427,428,432,433,434</t>
  </si>
  <si>
    <t>,33,34,35,36</t>
  </si>
  <si>
    <t>1h5VWN+UzUuHTR10tY/sbQ==</t>
  </si>
  <si>
    <t>,1,2,3,4,28,29,30,26,27,31,32</t>
  </si>
  <si>
    <t>,1,2,3,28,29,30,26,27,31,32</t>
  </si>
  <si>
    <t>Muslim Citizens in the West : Spaces and Agents of Inclusion and Exclusion</t>
  </si>
  <si>
    <t>,83,83,83,83,1,2,3</t>
  </si>
  <si>
    <t>,83</t>
  </si>
  <si>
    <t>D842.42.M87 -- M85 2014eb</t>
  </si>
  <si>
    <t>305.6/97091821</t>
  </si>
  <si>
    <t>,1,2,3,18,39,48,49,76,83,84,85,2,82,81</t>
  </si>
  <si>
    <t>/a36+TQ9bZpONpeX+sF6jA==</t>
  </si>
  <si>
    <t>,31</t>
  </si>
  <si>
    <t>Bereavement and Support : Healing in a Group Environment</t>
  </si>
  <si>
    <t>,43,37,89,91,88,87,90,92,142,143,144,140,141,145,146,147,148,149,150,151,152,153,1,153,154,151,152,155,150,149,2,154,148,147,146,145,40,41,42,38,39,72,73,74,70,71,75,76,94,95,96,92,93,97,98,99,100,101,102,104,103,105,106,107,108,109,110,111,112,113,114,115,116,117,118,119,120,121,42,1,3,2,34,35,36,32,33,31,30,29,28,35,36,37,38,39,41,42,32,38,39,72,73,70,71,75,76,77,78,79,80,81,62,63,64,65,61,73,70,71,6,4,3,5,7,8,9,30,32,28,29,33</t>
  </si>
  <si>
    <t>BF575.G7H8</t>
  </si>
  <si>
    <t>,1,2,3,1,31</t>
  </si>
  <si>
    <t>,1,2,3,30,31,32,28,29,33,34,35,40,41,42,38,39</t>
  </si>
  <si>
    <t>pM9zQ4TIDlw=</t>
  </si>
  <si>
    <t>Discrimination and the Law</t>
  </si>
  <si>
    <t>KD4095 -- .S27 2013eb</t>
  </si>
  <si>
    <t>,1,12,14,10,13,11,15,16,17,18,9,8,2</t>
  </si>
  <si>
    <t>,35,35,38,117,118,119,115,116,120,249,250,246,121,122,124,125,126,127,128,130,132,133,134,135,62,63,64,65,61,66,67,68,69,70,71,72,91,92,93,89,90,94,95,96,98,99,100,101,102,103,104,105,106</t>
  </si>
  <si>
    <t>,1,2,3,8,9,10,6,7,11,12</t>
  </si>
  <si>
    <t>,1,2,3,246,247,248,244,245,243,249,243,259,277,310,340,365,378,384,385,386,382,383,376,372,370,371,368,369,329,319,313,287,261,248,249,246</t>
  </si>
  <si>
    <t>Ancient Symbology in Fantasy Literature : A Psychological Study</t>
  </si>
  <si>
    <t>PN56.F34 -- I49 2012eb</t>
  </si>
  <si>
    <t>809/.915</t>
  </si>
  <si>
    <t>,27,28,29,25,26,30,31,32,33,34,35,36,37,38,39,40,41,42,43,44,45,46,47,48,49,50,51,52,53</t>
  </si>
  <si>
    <t>,1,2,3,30,31,32,28,29,33,34,35,36,37,35</t>
  </si>
  <si>
    <t>,1,3,2,12,13,14,10,11,15,16,17,18,19,20,21,22,23,24,25,26,27,28,42,43,44,40,41,39,36,31,11,13,9,10,14</t>
  </si>
  <si>
    <t>,1,2,3,546,547,548,544,545,549,550,551,552,550,551,548,549,547,552,553,554,387,388,389,385,386,597,598,599,595,596,600,594,593,559,560,561,557,558,549,547,548</t>
  </si>
  <si>
    <t>yxP+3XBoNhqZ/jC1hwpkkQ==</t>
  </si>
  <si>
    <t>,1,2,3,13,14,15,11,12,16,17,18,19,20,21,22,23,24,25,26,27,28,29,30,31</t>
  </si>
  <si>
    <t>,1,3,2,169,170,171,167,168,172,2,173,174,175,176,177,178,179,180,181,182,183,184,191,192,193,194,195,196,197,198</t>
  </si>
  <si>
    <t>,52,67,59,53,41,40,45,46,53,54,55,56,58,57,58,59,60</t>
  </si>
  <si>
    <t>,50,49,50,51,52,52,53</t>
  </si>
  <si>
    <t>,1,2,3,178,180,179,176,177,181,182,183,184,185,186,169,170,171,167,168,172,187,191,192,193,189,190,194,195,196,197,198,199,200,201,202,225,226,227,223,224,228,229,230,231,232,233,234,235,237,236,266,267,268,264,265,215,216,217,213,214,218,219,220</t>
  </si>
  <si>
    <t>,1,2,3,169,170,171,167,168,172,2,173</t>
  </si>
  <si>
    <t>Sport, Animals, and Society</t>
  </si>
  <si>
    <t>Sport &amp; Recreation; Social Science</t>
  </si>
  <si>
    <t>,1,2,3,4,14,15,16,8,9,10,6,7,11,28,29,30,27,26,31,82,83,84,80,81</t>
  </si>
  <si>
    <t>GV706.5 -- .S6967 2014eb</t>
  </si>
  <si>
    <t>,1,2,3,1,4,5,2,3,42,43,40,41,135,137,133,134,122,123,124,120,121,125,172,174,170,121,122,119</t>
  </si>
  <si>
    <t>,1,2,3,49,50,51,47,48,52,53,54,55,56,57,58,59,60,46,45</t>
  </si>
  <si>
    <t>,1,3,2,49,50,51,48,47</t>
  </si>
  <si>
    <t>,1,2,3,1,2,3,183,184,185,181,182,186,187,188,189,190,191,192,193,194,195,196,197,198</t>
  </si>
  <si>
    <t>,1,251,252,253,249,250,2,266,267,268,264,269,270,271,272,273,274,275,276,278,279,280,277,265,263,261,262,89,90,91,87,92,88,93,94,95,96,97</t>
  </si>
  <si>
    <t>College : What it Was, Is, and Should Be</t>
  </si>
  <si>
    <t>,1,2,3,84,85,86,82,83,87,53,54,55,119,120,121,117,118,122,123,124,125,126,127,128,129,130,131,132</t>
  </si>
  <si>
    <t>LA227.4 .D455 2012</t>
  </si>
  <si>
    <t>,1,2,3,95,96,97,93,94,98,99,100,101,102,103,104,105,107,106,108,1,2,3,185,186,2,187,183,184,182,188,189,190,191,266,267,268,264,265,247,248,249,245,246,243,244,241,242,253,252,250,254,251</t>
  </si>
  <si>
    <t>zJJZlZWmAvymWZXr2C8TrQ==</t>
  </si>
  <si>
    <t>Reproducing Racism : How Everyday Choices Lock In White Advantage</t>
  </si>
  <si>
    <t>E184.A1 -- .R446 2014eb</t>
  </si>
  <si>
    <t>cFuVRL40QKb+l7UOn9Fc3Q==</t>
  </si>
  <si>
    <t>,39,40,41,42,43,44,45,46,47,48,49,50,51,52,57,58,59,55,56,1,56,57,58,54,55,2,65,63,64,5,6,7,4,3</t>
  </si>
  <si>
    <t>,1,2,3,1,148,148,149,150,146,147,172,173,174,170,171,151,152,153,154</t>
  </si>
  <si>
    <t>,148</t>
  </si>
  <si>
    <t>,1,2,3,4,5,6,7,8,11,13,15,16,18,19,20,17,24,61,62,63,60,59,64,58,57,56,54,55,53,52,51,50,49,48,47,46,45,44,43,42</t>
  </si>
  <si>
    <t>,1,2,3,29,30,31,27,28,29</t>
  </si>
  <si>
    <t>,1,2,3,87,88,89,85,86,84,83,82</t>
  </si>
  <si>
    <t>,1,2,3,198,199,200,197,196,227,228,229,225,226,223,224,230</t>
  </si>
  <si>
    <t>C+EgmP2JwxuepXqLW9bJ1A==</t>
  </si>
  <si>
    <t>,1,2,3,55,56,57,53,54</t>
  </si>
  <si>
    <t>,160,161</t>
  </si>
  <si>
    <t>,1,2,3,151,152,153</t>
  </si>
  <si>
    <t>,1,151</t>
  </si>
  <si>
    <t>,1,2,3,151,152,153,149,150,151,151,152,153,154,155,156,157,158,159</t>
  </si>
  <si>
    <t>YQLsFoyunrc=</t>
  </si>
  <si>
    <t>,142,143,144,145,141,146,147,228,229,227,225,226</t>
  </si>
  <si>
    <t>,10,11,12,13,14,15,16,17,18,19,20,21,22,23,90,9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134,135,136,137,138,139</t>
  </si>
  <si>
    <t>,1,2,3,178,179,180,177,176,181,182,183,184,191,192,193,189,190,194,195,196,197,198</t>
  </si>
  <si>
    <t>YDykwGsZSak=</t>
  </si>
  <si>
    <t>AjagxxKI8nWrWKOH5PE7tg==</t>
  </si>
  <si>
    <t>,1,2,3,128,129,130,126,127,64,65,66,67,68,69,70,71,72,73,74,75,76,77,78,79,80,81,82,83,99,100,97,101,98,102,103,104,105,106,111,112,113,109,110,114,115,193,194,195,191,192,144,145,146,142,143,131,132,133,134,107,108</t>
  </si>
  <si>
    <t>,9</t>
  </si>
  <si>
    <t>Discovery of the South Shetland Islands, 1819–1820 : The Journal of Midshipman C. W. Poynter</t>
  </si>
  <si>
    <t>,1,3,2,32,34,30,35,29,1,30,31,27,28,26,2,32,33,34,35,36,37</t>
  </si>
  <si>
    <t>General and Molecular Pharmacology : Principles of Drug Action</t>
  </si>
  <si>
    <t>Pharmacy; Medicine</t>
  </si>
  <si>
    <t>RS403</t>
  </si>
  <si>
    <t>Physics of Living Processes : A Mesoscopic Approach</t>
  </si>
  <si>
    <t>Science: Physics; Science</t>
  </si>
  <si>
    <t>QC176.8.M46 -- .W354 2014eb</t>
  </si>
  <si>
    <t>Racing Rules Companion 2013 - 2016</t>
  </si>
  <si>
    <t>GV826.7</t>
  </si>
  <si>
    <t>,1,2,3,4,6,7,5,8,9,10,11,12</t>
  </si>
  <si>
    <t>,1,2,3,17,18,19,15,16,20,21,22,23,25,26,27,24,14,13,12,11,10,41,42,40,43,39,8</t>
  </si>
  <si>
    <t>SuykGHKwpC22cW1NQv6caQ==</t>
  </si>
  <si>
    <t>,158,159,157,156,154,155,153,152,151,150,149,148,147,146,145,144,143,142,141,140,139,138,137,136,135,134,133,132,131,130,129,128,127,126,125,124,123,122,121,120,119,118,117,116,115,114,113,112,111,110,109,107,108,106,105,104,103,102,101,100,99,98,97,96,95,94,93,92,91,90,89,88,86,87,85,84,83,82,81,80,79,78,77,76,74,75,73,72,70,71,68,69,67,66,65,64,63,62,61,60,58,59,57,56,55,54,53,163</t>
  </si>
  <si>
    <t>,1,2,3,305,306,307,304,303,308,309,310,4,5,6,7,8,9,10,11,12,13,14,15,16,17,18,19,20,21,22,23,163,164,165,161,162,160</t>
  </si>
  <si>
    <t>,21,22,23,24,25,26,27,28,29,30,1,3,2,20,21,22,18,23,24,25,36,37,38,34,35,39,40,41,42,43,44,45,46,47,48,49,50,51</t>
  </si>
  <si>
    <t>,58,56,57,60,59,305,306,307,303,304,308,309,310,311,312,313,386,387,388,384,385,389,390,391,392,393,394,395,396,397,398,399,547,548,549,545,546,550,551,552,553,554,555,556,557,558,559,560,561,562,563,564,541,542,543,539,540,565,566,567,569,568</t>
  </si>
  <si>
    <t>5q75ydi6N1Q=</t>
  </si>
  <si>
    <t>,1,2,3,566,567,568,564,565,214,215,216,212,213,211,210</t>
  </si>
  <si>
    <t>,1,2,3,25,26,27,23,24,28,29,30,1,2,3</t>
  </si>
  <si>
    <t>,1,2,3,36,37,34,33,35,38,32,31,39,40,41,42,43,44,45,46,47</t>
  </si>
  <si>
    <t>b7r/l4qaRnA=</t>
  </si>
  <si>
    <t>,1,2,3,26,27,28,24,25,50,51,52,48,49,53,54,55,56,57,58,59,60,92,93,94,90,91,340,341,342,338,339,343,312,337,344,316,336</t>
  </si>
  <si>
    <t>,1,2,3,142,143,144,140,141,145,146,147,148,149,150,151,152,153,154,155,156,157,218,219,220,216,217,221,222</t>
  </si>
  <si>
    <t>,1,2,3,269,270,271,267,268,284,285,286,287,288,289,1,289,290,291,287,288,2</t>
  </si>
  <si>
    <t>,269,270,271,272,273,274,275,276,277,278,279,280,281,282,283,284,285,286</t>
  </si>
  <si>
    <t>Qw3kiy9cwV0=</t>
  </si>
  <si>
    <t>Forensic Entomology : An Introduction</t>
  </si>
  <si>
    <t>,10,11,12,13,14,15,16,17,18,19,20,21,22,23,24,25,26,27,28,29,30,31,32,33,34,35,36,37,38,39,40,41,42,43,44,45,46,47,48,49,50,51,52,53,54,55,56,57,58,59,60,61,62,63,64,65,66,67,68,69,70,71,72,73,74,75,76,77,78,79,80,81,82,83,84,85,86,87,88,89,90,91,92,93,95,96,97,98,99,100,101,102,103,104,105,107,106,108,125,126,127,123,124,128,129,130,131,132,133,134,135,136,137,145,146,147,143,144,148,149,150,151,152,153,154,155,156,157,158,159,160,161,162,163,164,165,193,194,195,191,192,196,197,198,201,208,209,210,206,207,211,212,213,214,215,216,217,218,219,220,221,222,223,224,225</t>
  </si>
  <si>
    <t>RA1063.45 -- .G46 2012eb</t>
  </si>
  <si>
    <t>614/.1</t>
  </si>
  <si>
    <t>4+RtF0xdFdPAyfEpGx+/aQ==</t>
  </si>
  <si>
    <t>Classical Music For Dummies</t>
  </si>
  <si>
    <t>MT6 .P64 C53 2015</t>
  </si>
  <si>
    <t>781.6; 781.68</t>
  </si>
  <si>
    <t>,1,2,3,4,5,9,10,11,12,15,16,17,13,14,18,19,20,21,22,23,24,25,26,27,51,36,6,7,8,43,66,92</t>
  </si>
  <si>
    <t>,12,13,14,15,16,17,18,19,36,37,38,34,35,39,40,41,42,43,102,103,104,100,101,105,106,107,44,45,46,47,48,49,50,51,52,53,33,54,55,56,57,58,59,60,61,62,63,64,65,66,67,68,69,70,71,72,73,74,75,76,77,78,79,80,81,82,83,84,85,86,87,88,89,90,91,92,108,109,93,94,98</t>
  </si>
  <si>
    <t>gE5fHm8Wn6Y=</t>
  </si>
  <si>
    <t>The State of College Access and Completion : Improving College Success for Students from Underrepresented Groups</t>
  </si>
  <si>
    <t>,50,51,52,53,54,55,56,57,58,59,60,61,63,70,71,72,68,69,67,66,221,222,223,219,220,224,218,217</t>
  </si>
  <si>
    <t>,14,15,16,17,18,19,20,21,22,47,48,49,50,51,52,53,54,55,56,57,58,59,60,61,62,63,64,65,66,67,68,69,221,222,223,224,225,226,227,228,229,230,231,232,233,234,235,236,237,47,48,49,50,51,52,53,54,55,56,57,58,59,60,61,62,63,64,65,66,67,68,69,221,222,223,224,225,226,227,228,229,230,231,232,233,234,235,236,237</t>
  </si>
  <si>
    <t>LB2350.5 -- .S68 2013eb</t>
  </si>
  <si>
    <t>,1,48,49,47,45,46,50,51,2,52,53</t>
  </si>
  <si>
    <t>,31,38,39</t>
  </si>
  <si>
    <t>,25,26,27,28,29,30,31,32,33,34,35,36,37</t>
  </si>
  <si>
    <t>,1,2,3,303,304,305,306,307,25,26,27,23,24,28,29,30,31,22,32,33,34,35,36,37,38,39,40,41</t>
  </si>
  <si>
    <t>,1,2,3,469,470,471,467,468</t>
  </si>
  <si>
    <t>USDHs7Vr3uo=</t>
  </si>
  <si>
    <t>,1,3,2,6,8,14,21,10,25,26,27,23,24</t>
  </si>
  <si>
    <t>,1,2,3,4,5,6,7,8,9,2,10,11,13,15,12,14,36,43,44,45,42,41,40,39,38,37,36,35,39,35,36</t>
  </si>
  <si>
    <t>,1,2,3,4,5,6,7,8,9,2,10,11,12,13,14,15,16,18,20,19,21,22,293,294,217,1,1,23,23,24,25,21,22,20,18,17,16,14,12,10,8,7,5,3,1,2</t>
  </si>
  <si>
    <t>b1RiWsEOCnXTb0xiSvGeZQ==</t>
  </si>
  <si>
    <t>,1,2,3,1,3,4,2,5,11,12,13,9,10,14,15,1,15,16,17,13,14,18,19,20,2,26,27,28,24,25,91,92,93,89,90,12</t>
  </si>
  <si>
    <t>,1,2,3,50,51,52,48,49,316,317,340,341,342,338,339,343,344,345,346</t>
  </si>
  <si>
    <t>Subprime Cities : The Political Economy of Mortgage Markets</t>
  </si>
  <si>
    <t>,1,2,3,209,211,212,213,243,244,245,241,242,246,247,248,249,250,251,243,244,241,242,254,239,236,237,238,235,233,234,232,231,226,224,211,212,213,209,247</t>
  </si>
  <si>
    <t>,219,220,221,222,223,224,225,226,227,228,229,243,244,245,246,247,248,249,250,251,252,253,254,255,256,257,258,259,260,261,262,263,264,265</t>
  </si>
  <si>
    <t>HG2040.15 -- .S83 2012eb</t>
  </si>
  <si>
    <t>332.7/2</t>
  </si>
  <si>
    <t>UdQs9sfAVhs=</t>
  </si>
  <si>
    <t>,1,2,3,8,9,10,6,7,11,12,13,14,5,15,16,18,17,19,407,408,409,405,406,30,31,32,33,29,34,510,511,512,513,509,410,411</t>
  </si>
  <si>
    <t>4Nda/uFnP/q/sLcvGf+joA==</t>
  </si>
  <si>
    <t>,1,2,2,3,3,2,2,1,4,4,9,11,9,15,15,17,18,11,21,21,18,22,17,19,23,20,20,22,23,24,24</t>
  </si>
  <si>
    <t>,1,2,3,116,117,118,114,115,119</t>
  </si>
  <si>
    <t>bYS/tO/y5hw=</t>
  </si>
  <si>
    <t>Traumatic Childbirth</t>
  </si>
  <si>
    <t>RG852 -- .B43 2013eb</t>
  </si>
  <si>
    <t>,1,2,3,4,5,6,7,8,4,36,37,38,34,35,39,40,41,42,43,6,7,8,4,5,10,11,9</t>
  </si>
  <si>
    <t>,1,2,3,187,188,189,185,186,186,1,188,187,184,185,194,195,196,192,193,2,223,224,225,221,222,226,197,198,187,189,190,191,194,199,200,201,425,426,427,423,424,422,263,264,265,261,262,214,215,216,181,182,212,213,183,459,460,461,457,458,456,455,454</t>
  </si>
  <si>
    <t>Feminist Theory and the Philosophies of Man</t>
  </si>
  <si>
    <t>,39,53,53,20,433</t>
  </si>
  <si>
    <t>HQ1154</t>
  </si>
  <si>
    <t>,4,5,6</t>
  </si>
  <si>
    <t>,1,2,3,20,21,18,22,19,20,20,20,39</t>
  </si>
  <si>
    <t>,1,3,2,1,1</t>
  </si>
  <si>
    <t>37hj/eyW7Y8=</t>
  </si>
  <si>
    <t>Equine Injury, Therapy and Rehabilitation</t>
  </si>
  <si>
    <t>,1,2,3,175,211,212,213,209,210,214,216,217,218,220,221,243,211,209,210,207,208,244,245,241,242,266,267,268,264,265,269,213,209,214,210,270,271,272,273,243,244,245,241,246,242,107,209,211,212,213,214,210,215,216,217,218,219,220,221,222,224,227,228,229,230,231,232,233,234,235,236,237,238,239,240,241,242,243,244,245,246,247,248,249,250,251,253,254,221,215,216,217,213,214</t>
  </si>
  <si>
    <t>,1,31,32,33,29,30,2,28,34,35</t>
  </si>
  <si>
    <t>Housing and the Financial Crisis</t>
  </si>
  <si>
    <t>,1,2,3,116,117,118,154,217,214,30,31,32,28,29,33,36,37,38,39,41,42,43,44,46,47,48,312,374</t>
  </si>
  <si>
    <t>,1,2,3,50,51,170,171,172,340,341,342,338,339,343,344,345,346,347,348</t>
  </si>
  <si>
    <t>,1,3,2,4,5,6,7,8,9,10,11,12,13,14,15,16,17,2,18,19,20,21,22,23,24,27,29,30,31,32,33,34,35,36,37,38,39,40,41,42,43,44,45,40,46,44,45,46,42,43,47,48,49,44,50,51,52,53,54,55,56,57,58,59,60,61,62,63,58,57,64,65,66,66,61,67,61,67,62,61,62</t>
  </si>
  <si>
    <t>iYTWv4hFYOs=</t>
  </si>
  <si>
    <t>,1,2,3,4,5,6,7,8,20,21,22,18,33,34,35,32,30,31,29,28,27,26,25,31,32,33,34,34</t>
  </si>
  <si>
    <t>HleCaULmQuZGydqUtMO5RQ==</t>
  </si>
  <si>
    <t>Great Irish Famine</t>
  </si>
  <si>
    <t>,1,2,3,2,3,1,2,2,4,5,5,4,19,21,20,17,18,20,18,19,21,22,69,70,71,22,67,68,71,68,69,70,72,67,72,72</t>
  </si>
  <si>
    <t>DA950.7 .S67 2011</t>
  </si>
  <si>
    <t>,1,2,3,469,470,471,467,468,472</t>
  </si>
  <si>
    <t>,1,2,3,3,1,2,49,49,50,50,51,47,51,48,48,52,52,53,53,54,2,54,55,55,56,56</t>
  </si>
  <si>
    <t>nWa5lafUwFf7caBp3/IUeA==</t>
  </si>
  <si>
    <t>,3,1,2,71,72,73,69,70,295,296,297,293,294,298,293,292,288,2,289,290,291,292,287,278,1,2,3,4,5,6,7,8,9,10,11,12,13,1,2,3</t>
  </si>
  <si>
    <t>4CrfXHIK7G0=</t>
  </si>
  <si>
    <t>uPY5hYgK2RByLsmcKLNgDw==</t>
  </si>
  <si>
    <t>,285,286,287,283,288,289</t>
  </si>
  <si>
    <t>,287</t>
  </si>
  <si>
    <t>,1,2,3,172,173,174,170,171,175,176,177,178</t>
  </si>
  <si>
    <t>g0kXQNC8/zlgNGe6ynZkzQ==</t>
  </si>
  <si>
    <t>Assessment for Reading Instruction, Third Edition</t>
  </si>
  <si>
    <t>,1,1,2,1,3,2,3,2,2,147,148,147,148,149,149,145,146,146,144,143,142,147</t>
  </si>
  <si>
    <t>,145,146,147,148</t>
  </si>
  <si>
    <t>LB1050.46 .M35 2015</t>
  </si>
  <si>
    <t>,1,2,3,4,5,6,9,10,11,7,8,12,13,14,15,16,62,64,63,60,61,65,66,67,68,69</t>
  </si>
  <si>
    <t>,1,2,3,4,5,6,7,8,9,10,11,12,13,14,15,16,17,18,19,20,21,22,23,24,25,26,27,28,29,30,117,118,119,115,116,120,121,122,145,146,147,143,144,148,149,150,151,152,153,154,155,156,157,158,195,196,197,193,194,191,190,181,170,134,132,1,3</t>
  </si>
  <si>
    <t>iyycmlodQYByypsR+YZcrw==</t>
  </si>
  <si>
    <t>,1,2,3,21,22,23,19,20,2,33,34,35,31,36,38,37,40,39,41</t>
  </si>
  <si>
    <t>,1,2,3,2,1,3,171,172,173,171,172,169,173,170,170,2,174,174,169,174,169,1,3,1,3,2,2,2,2,4,4,286,286,288,288,287,284,287,285,285,171,172,173,171,172,173,169,170,170,128,129,130,128,129,126,130,127,127,27,28,27,28,29,25,29,26,331,26,331,333,332,333,332,330,329,330,27,28,29,26,25,321,322,323,321,322,323,5,5,319,320,320,185,186,185,186,187,183,187,184,184,208,209,208,210,207,206,210,209,207,288,289,290,286,290,287,289,291,291,292,292,286,287,116,117,116,118,117,118,114,115,115,119,119,120,120,121,121,123,123,122,122,99,100,99,100,97,98,101,98,101,145,145,146,147,143,147,146,144,144,148,148,143,147,148,149,149,150,150,1,2,1,3,2,3,276,276,277,2,278,277,278,275,274,275,273,257,258,259,258,259,257,256,255,256,260,260,261,262,262,263,261,263,264,264,265,265,266,266,267,267,268,268,263,262</t>
  </si>
  <si>
    <t>,171,172,171,172,145,146,147,148,264,265,266</t>
  </si>
  <si>
    <t>,1,1,2,2,3,3,2,2,129,129,127,130,131,130,131,128,128,132,132,133,133,134,134,135,135,136,136,137,137,138,138,164,165,164,166,165,166,162,163,163,167,167,168,168,169,170,170,169,171,171,166,165,164,171,172,173,172,169,173,170,168,167,172,173,174,174,175,175,176,176,177,177,172,171,170,169,168,173,168,167,166,165,164,163,162,161,160,159,158,157,156,155,154,153,152,151,150,149,148,147,151,152,153,172,173,174,170,171,169,174,175,169,168,173</t>
  </si>
  <si>
    <t>,20,21,22,18,19</t>
  </si>
  <si>
    <t>,2,1,3,4,5,6,7,8,9,10,11,12,13,14,15,16,26,27,28,24,25</t>
  </si>
  <si>
    <t>3+r+XOUsdV49qm2TgfyKiQ==</t>
  </si>
  <si>
    <t>,33,34,35,36,37,38,39,40,41</t>
  </si>
  <si>
    <t>,1,2,3,2,1,3,2,2</t>
  </si>
  <si>
    <t>tpv3Y4DG+gl9MYFLazwtoQ==</t>
  </si>
  <si>
    <t>,23,24,21,25,22,26,20</t>
  </si>
  <si>
    <t>,19,20,21,22,29,29,30,31,32,33,36,36,67,68,71,79,80,81,82,84,85,85,90,92,93,94,94,95,96,96,101,126,127,23,24,25,26,27,28</t>
  </si>
  <si>
    <t>,1,2,3,85,86,87,83,84,88,89,90</t>
  </si>
  <si>
    <t>,1,2,3,116,117,118,115,114,119,120,121,122</t>
  </si>
  <si>
    <t>Social Group Work Today and Tomorrow : Moving From Theory to Advanced Training and Practice</t>
  </si>
  <si>
    <t>,43,44,45,41,42,40,46</t>
  </si>
  <si>
    <t>HV45.S617</t>
  </si>
  <si>
    <t>,2,1,3,1,2,3,167,168,169,165,166,170,171,172,173,174,175,176,177,178,179,180,181,182,183,184,185</t>
  </si>
  <si>
    <t>,342,343,344,340,341,339,338,339,340,335,341,342,343,344,345,339,29,30,31,27,28,25,26,335,336,337,333,334,338</t>
  </si>
  <si>
    <t>,335,335,335,336,337,338,339,341,342,343,344,345,354,355,356,357,358,358,359,359,359,360,361,361,362,363,335,336,337,338,339,341,342,343,344,345,354,355,356,357,358,358,359,359,359,360,361,361,362,363</t>
  </si>
  <si>
    <t>,1,3,2,32,33,34,30,31,356,357,358,354,355,359,360,361,362,363,364,365,366,356,355,354,353,352,351,350,349,348,347,346,345,344,343,342,341,340,339,338,331,333,335,336,337,334</t>
  </si>
  <si>
    <t>yO2pG0ArhHeH3BFl7mW9hQ==</t>
  </si>
  <si>
    <t>M8+rvsTDacryB4aT0odsOQ==</t>
  </si>
  <si>
    <t>Wilson–Johnson Correspondence, 1964–69</t>
  </si>
  <si>
    <t>,284,285,286,287,288,289,290,291,292,293,294,295,296,297,298,299,300,301,302,303,304,305,306,307,308,309,310</t>
  </si>
  <si>
    <t>,1,2,3,268,269,268,269,270,271,272,273,274,275,276,277,278,279,280,281,282,283</t>
  </si>
  <si>
    <t>Vietnam : Explaining America's Lost War</t>
  </si>
  <si>
    <t>,1,2,3,66,67,68,65,64,69,70,71,72,73,74,75,76,77,78,79,80,81,82,83,84,85,86,84,143,148,150,149,151,5,6</t>
  </si>
  <si>
    <t>DS558 .H47 2015</t>
  </si>
  <si>
    <t>959.704/3</t>
  </si>
  <si>
    <t>,84,85,86,87,88,89,148,149,146,150,147,151,152,153,154,155,156,157,158,195,196,197,194,193,198,199,200</t>
  </si>
  <si>
    <t>,1,2,3,23,24,25,21,22,26,27,28,32,33,34,30,31,35,37,38,39,36,77,78,79,75,76,80,81,82,83</t>
  </si>
  <si>
    <t>,1,2,3,33,34,35,31,32,42,43,44,40,41,60,61,58,59,72,73,74,70,71,75</t>
  </si>
  <si>
    <t>D7D/QCB2CqcIp2MNAfljqA==</t>
  </si>
  <si>
    <t>Mitochondrial Diseases</t>
  </si>
  <si>
    <t>,1,2,3,4,5,6,7,8,160,161,162,158,159,163,164,165,166,167,168,169,170,171,172,173,175,193,194,195,191,192,196,197</t>
  </si>
  <si>
    <t>QH603.M5 .M384 2013</t>
  </si>
  <si>
    <t>MWQDg7tcgihoC6JwQ3dMZA==</t>
  </si>
  <si>
    <t>,95,96,97,98</t>
  </si>
  <si>
    <t>,7,8,9,10,11,12,13</t>
  </si>
  <si>
    <t>,1,2,3,4,91,92,93,89,90,94</t>
  </si>
  <si>
    <t>,251,252,253,249,250,248,247,246,244,245,242,243,240,241,239,238,237,236,235,234,251,254,255</t>
  </si>
  <si>
    <t>,246,247,248,249,250,251,252,253</t>
  </si>
  <si>
    <t>ubS/+AIAWCufmd8EWwAHmg==</t>
  </si>
  <si>
    <t>The Art and Science of Personality Development</t>
  </si>
  <si>
    <t>,1,2,3,5,6,7,4,11,13,12,9,10,14,15,19,20,21,17,18</t>
  </si>
  <si>
    <t>BF698 -- .M347 2015eb</t>
  </si>
  <si>
    <t>155.2/5</t>
  </si>
  <si>
    <t>,1,2,3,4,20,21,22,19,23,24,25,26,27,22,28,29,24,30,31,32,33,34,35,25,23</t>
  </si>
  <si>
    <t>rz0XIu5mk8Sx9kbgIxn97w==</t>
  </si>
  <si>
    <t>Intellectual Property and Genetically Modified Organisms : A Convergence in Laws</t>
  </si>
  <si>
    <t>,1,24,25,26,22,23,27,28,29,30,31,32,33,2,34,35,36,37,38,39,40,41</t>
  </si>
  <si>
    <t>K3927 -- .I58 2015eb</t>
  </si>
  <si>
    <t>346.04/84</t>
  </si>
  <si>
    <t>tArDHJLdUQ/ZpKVBpUCeVw==</t>
  </si>
  <si>
    <t>African Traditions in the Study of Religion, Diaspora and Gendered Societies</t>
  </si>
  <si>
    <t>BL2470.N5 -- A34 2013eb</t>
  </si>
  <si>
    <t>so/h3GJIMb5oxhAi4zGzhg==</t>
  </si>
  <si>
    <t>,1,2,3,4,5,6,7,8,9,10,11,12,32,33,34,44,49,50,51,47,48</t>
  </si>
  <si>
    <t>,1,2,3,1,73,74,75,76,77,78,79</t>
  </si>
  <si>
    <t>Collaborative City : Opportunities and Struggles for Blacks and Latinos in U.S. Cities</t>
  </si>
  <si>
    <t>,27,28,29,25,26,100,98,96,97,99,95,101,102,103,104</t>
  </si>
  <si>
    <t>E185.86 -- .C5816 2011eb</t>
  </si>
  <si>
    <t>,1,2,3,22,23,74,75,76,72,73,212,213,214,210,211,215,216,217,218,219,206,200,65,21,19,20,282,283,284,280,281,285,278,279,286</t>
  </si>
  <si>
    <t>Pan-Africanism, and the Politics of African Citizenship and Identity</t>
  </si>
  <si>
    <t>DT31 -- .P317 2013eb</t>
  </si>
  <si>
    <t>PDyVR/BYNpyZtnNs+ZAMPg==</t>
  </si>
  <si>
    <t>,1,2,3,5,6,7,8,9,10,28,29,30,26,27,31,32,261,262,263,259,260,265,266,272,271,273,269,270,274,275,276</t>
  </si>
  <si>
    <t>,11,13,14,16,18,19,17,10,12,15,20,21,22,23,24,25,26,27,28,31,29,1,30,32,33,34,35,36,37,39,44,46,48,49,54,211,243,266</t>
  </si>
  <si>
    <t>,1,2,3,7,8,9,5,6,27,28,29,25,26,211,212,213,209,210,214,215,4</t>
  </si>
  <si>
    <t>6un6pRX6A60=</t>
  </si>
  <si>
    <t>The Italian Renaissance : Culture and Society in Italy</t>
  </si>
  <si>
    <t>,333,334,335,336,337,35,33,34,36,37,42,43,45,53,68,72,73,70,74,75,76,77,78,79,80,81,71,57,59,58,56,55,60,61,62,63,65,64,66,67,69,82,83,84,85,86,87,88,89,90</t>
  </si>
  <si>
    <t>DG445 .B384 2013</t>
  </si>
  <si>
    <t>,1,2,3,26,50,51,52,53,373,374,375,371,372,4,10,6,9,24,25,22,23,13,11,12,8,17,18,19,15,16,14,5,7,20,27</t>
  </si>
  <si>
    <t>Spaces of Hate : Geographies of Discrimination and Intolerance in the U.S.A.</t>
  </si>
  <si>
    <t>,1,2,3,4,14,15,16,12,13</t>
  </si>
  <si>
    <t>E184.A1 -- S695 2004eb</t>
  </si>
  <si>
    <t>Italian All-in-One For Dummies</t>
  </si>
  <si>
    <t>PC1121 -- .D5 2013eb</t>
  </si>
  <si>
    <t>,1,2,3,26,27,28,24,25,29</t>
  </si>
  <si>
    <t>,1,2,3,4,27,28,29,25,26,30,31,32,33,34,35,324,325,326,322,323,327,328,329,330,331,332,330,331,332,328,329,327,326,325,324</t>
  </si>
  <si>
    <t>XBwEWzwR04g=</t>
  </si>
  <si>
    <t>Hieroglyphic Egyptian : An Introduction to the Language and Literature of the Middle Kingdom</t>
  </si>
  <si>
    <t>,33,36,37,38,39,34,33,38,39</t>
  </si>
  <si>
    <t>PJ1135 .S35 2013</t>
  </si>
  <si>
    <t>,2,1,3,30,31,28,29</t>
  </si>
  <si>
    <t>SNuKoUtq9wAiVxshV/JQ5g==</t>
  </si>
  <si>
    <t>Applied Linguistics</t>
  </si>
  <si>
    <t>,1,2,3,1,14,15,16,17,18</t>
  </si>
  <si>
    <t>PE1066 .W384 2013</t>
  </si>
  <si>
    <t>MRI at a Glance</t>
  </si>
  <si>
    <t>RC78.7.N83 -- W4795 2010eb</t>
  </si>
  <si>
    <t>616.07/548</t>
  </si>
  <si>
    <t>f3/3gPQCCBE=</t>
  </si>
  <si>
    <t>,21,22,20,23,24,25,26,27,29,28,30,31,32,33,34,35,36,37,38,39,40,42,41,43,44,45,46,47,48,49,50,51,52,53,54,55,56,57,58,59,60,61,62,63,64,65,66,68,67,69,71,70,72,73,74,75,76,77,78,79,80,81,82,83,84,85,86,87,88,89,90,91,92,93,94,95,96,97,98,99,100,101,102,103</t>
  </si>
  <si>
    <t>,1,2,3,4,5,6,7,8,9,10,8,11,12,13,14,15,16,17,18,19</t>
  </si>
  <si>
    <t>gnZ7aNgKsZUiNnIaqWrmcg==</t>
  </si>
  <si>
    <t>New Netherland Connections : Intimate Networks and Atlantic Ties in Seventeenth-Century America</t>
  </si>
  <si>
    <t>,1,2,3,36,37,38,34,35,40,41,42,39,43,44,45,46,47,48,49,50</t>
  </si>
  <si>
    <t>,1,2,3,269,270,271,272,268,273,274,275,276</t>
  </si>
  <si>
    <t>,7,8,9,6,5,1,2,3</t>
  </si>
  <si>
    <t>,1,2,3,33,34,29,30,31,27,28,32,7,8,9,5,6</t>
  </si>
  <si>
    <t>,1,2,3,198,199,200,196,197,201,227,228,229,225,226,230,224,223,1,223,224,225,221,222,220,2,219,218,216,217,215,214,213,212,211,210,208,209,207,206,205,204,203,202,201,200,199,198,197,196,199,198,196,197,200,201,203,204,205,206,207,208,209,214,215,216,217,218</t>
  </si>
  <si>
    <t>,438,439,440,441,443,444,445,446,447</t>
  </si>
  <si>
    <t>,1,2,3,179,180,181,177,178</t>
  </si>
  <si>
    <t>,1,2,3,371,372,373,369,370,371,372,373,369,370,374,2,375,376,377,378,379,380,381,382,383,384,385,386,387,388,389,407,408,409,405,406,410,411,412,413,414,415,416,417,418,419,420,421,351,352,353,349,354,350,355,356,357,358,359,360,361,362,363,364,365,366,367,368,426,427,428,424,429,425,430,431,432,433,434,435,436,437</t>
  </si>
  <si>
    <t>,1,2,3,1,2,3,1,2,3,15,16,17,13,14,18</t>
  </si>
  <si>
    <t>,1,2,3,14,15,16,12,13,17,14,15,16,12,13,11,17</t>
  </si>
  <si>
    <t>,20,20,1,21,22,18,19,23,24,2,25,26,27,28,29,30,31,32,33,34,35,36,37,29,23,17,14,15,13,11,12,10,9,16,23,23,24,1,25,21,22,26,27,2,28,29,30,42,44,40,43,41,45,46,47</t>
  </si>
  <si>
    <t>,1,379,414</t>
  </si>
  <si>
    <t>,1,2,3,4,5,6,7,8,9,1</t>
  </si>
  <si>
    <t>,1,2,3,4,5,6,7,8,9,10,11,12,13,16,17,18,14,15,19,20,21</t>
  </si>
  <si>
    <t>k/3Af3INaEGo/jMRtjPWkY31LQoExmR0</t>
  </si>
  <si>
    <t>,1,3,2,4,5,6,7,8,9,10,11,12,13,15,16,17,14,2,18,19,20,22,23,24,21,25</t>
  </si>
  <si>
    <t>TpS0YiWeoqo=</t>
  </si>
  <si>
    <t>Cognitive Behavioural Therapy Workbook For Dummies</t>
  </si>
  <si>
    <t>RC489.C63 -- B73 2012eb</t>
  </si>
  <si>
    <t>616.89/1425; 616.89142; 616.891425</t>
  </si>
  <si>
    <t>,7,8,9,7,16,26,28,28,28,35,43,28</t>
  </si>
  <si>
    <t>i6hOmrAl+99XWxTrAM1xVA==</t>
  </si>
  <si>
    <t>Finding Your Roots : The Official Companion to the PBS Series</t>
  </si>
  <si>
    <t>,1,2,3,4,5,6,7,8,9,10,544,545,546,542,543</t>
  </si>
  <si>
    <t>CS16 .G365 2014</t>
  </si>
  <si>
    <t>,53,53,54,54,55,55</t>
  </si>
  <si>
    <t>VCLniPUOhb18Z+cdVOfWmg==</t>
  </si>
  <si>
    <t>Calculus For Dummies</t>
  </si>
  <si>
    <t>,1,2,3,172,173,174,170,171,169,168,175,22,23,24,20,21,176,177,17,18,19,15,16,366,367,368,364,365,363,369,370</t>
  </si>
  <si>
    <t>QA303 -- .R936 2014eb</t>
  </si>
  <si>
    <t>lUaBM08xknUgqMMb7eV01g==</t>
  </si>
  <si>
    <t>Hunger and Work in a Savage Tribe : A Functional Study of Nutrition Among the Southern Bantu</t>
  </si>
  <si>
    <t>,1,3,2,4,5,6,7,8,28,29,30,2,51,52,53,49,50,81,82,83,79,80</t>
  </si>
  <si>
    <t>DT1058.N58 -- R53 2004eb</t>
  </si>
  <si>
    <t>,1,1,2,3,2,3,4,4,2,2,5,5,49,50,50,51,48,48,51,47,49,52,52</t>
  </si>
  <si>
    <t>Oys2KWRvkjM=</t>
  </si>
  <si>
    <t>Dress Casual : How College Students Redefined American Style</t>
  </si>
  <si>
    <t>,1,2,3,4,190,191,192,188,189,193,195</t>
  </si>
  <si>
    <t>LA229 -- .C52 2014eb</t>
  </si>
  <si>
    <t>378.1/98</t>
  </si>
  <si>
    <t>FpPIH/VIdyYhwUyaqvO2ww==</t>
  </si>
  <si>
    <t>The Delectable Negro : Human Consumption and Homoeroticism within US Slave Culture</t>
  </si>
  <si>
    <t>,4,10,11,12,8,9,13,14,15,16,17,18,19,20,21,22,23,24</t>
  </si>
  <si>
    <t>E443 -- .W67 2014eb</t>
  </si>
  <si>
    <t>394/.90975</t>
  </si>
  <si>
    <t>,1,3,2,4,5,6,7,8,9,10,11,13,18,24,25,26,27,23</t>
  </si>
  <si>
    <t>,12,13,14,15,16,17,18,19,20,21,22,23,24,25,25,26,27,28,29,30,31,32,32,34,36,37,39,40,42,43,44,45,46,47,48,49,50,51,52,53,54,55,56,57,58,59,60,61,62,63,64,65,66,67,68,69,70,71,72,73,75,76,77,78,79,80,81,82,85,86,87,83,84,749,750,751,747,748,738,739,15,16,17,13,14,18,12,11,19,20,21,22,119,120,121,117,118,122,88,89,86,87,85,84,83,82,81,80,77,73,70,67,63,60,56,52,51,53,49,50,48,46,47,44,45,43,42,41,39,38,34,30,27,28,29,25,26,23,24,21,22,19,20,18,17,24,25,22,23,25,2,24,21,2,24,23,21,22,25,2,25,24,22,23,21,26,27,28,29,30,31,32,33,34,35,36,37,37,38,39,40,41,42,43,44,45,46,47,48,49,49,50,51,52,53,54,55,56,57,58,59,60,61,62,63,64,65,66,67,68,69,70,73,91,94,95,92,93,113,114,115,111,112,119,120,121,117,118,122,123,124,437,438,439,435,436</t>
  </si>
  <si>
    <t>MZAFXAA6y5/b6tBBrimgGw==</t>
  </si>
  <si>
    <t>,1,2,3,7,9,8,5,6,448,449,450,447,446,451,452,453</t>
  </si>
  <si>
    <t>,1,3,2,5,4,6,7,8,9,10,11,6,5,11,4</t>
  </si>
  <si>
    <t>,1,2,3,26,27,28,25,24,29,30,31,32,33,35,34,36,37,38,39,40,41,42,43,44,45,46,47,48,49,50,51,52,53,54,55,56,57,58,59,60,61,62,63,64,65,65,66,67,68,69,70,71,72,73,74,75,76,77,78,79,80,81,82,83,84,85,86,87,88,89,90,91,1,91,92,93,89,90,94,2,95,96,97,98,99,100,101,102,103,104,105,106,107,108,109,110,111,112,113,114,115,116,117,110,109,108,107,106,105,104,103,102,101,100,107,100,99,98,97,96,95,94,93,92,91,90,89,88,87,85,86,90,91,92,93,94,95,96,97,98,99,1,99,100,101,98,97,2,102,105,106,107,103,104,108,109,110,111,112,113,114,115,116,117,118,119,1,119,120,121,117,118,14,15,16,12,13,17,2,116,114,115,122,123,124,125,126,1,126,127,128,124,125,2,129,130,131,132,133,134,135,136,137,138,139,140,141,142,143,144,145,145,146,1,147,143,144,2,14,15,16,12,13,17</t>
  </si>
  <si>
    <t>Public School Advantage : Why Public Schools Outperform Private Schools</t>
  </si>
  <si>
    <t>,1,68,69,70,71,67,2</t>
  </si>
  <si>
    <t>LB1556.5 -- .L93 2014eb</t>
  </si>
  <si>
    <t>,168,169,170,171,172</t>
  </si>
  <si>
    <t>,1,2,3,49,50,51,47,48,129,130,131,127,128,132,133,134,181,182,183,179,180,163,164,165,161,162,166,167</t>
  </si>
  <si>
    <t>vkiaAsYaq8A=</t>
  </si>
  <si>
    <t>Hidden History of Early Childhood Education</t>
  </si>
  <si>
    <t>,1,2,3,22,23,24,21,20,54,55,56,52,53,107,108,109,105,106,1,2,3,5,6,7,4</t>
  </si>
  <si>
    <t>LB1139.25 -- .H53 2013eb</t>
  </si>
  <si>
    <t>6mMyT+whKJwC8AfHoLgH+Q==</t>
  </si>
  <si>
    <t>,1,2,2,3,3,1,40,40,41,2,41,38</t>
  </si>
  <si>
    <t>,31,32,33,34,35,36,37,38,39,40,41,42,43,44,45,46</t>
  </si>
  <si>
    <t>q4wuc1a6zmlIIuQB+Ijzag==</t>
  </si>
  <si>
    <t>Nutrition for Sport and Exercise : A Practical Guide</t>
  </si>
  <si>
    <t>Science; Health; Science: Biology/Natural History</t>
  </si>
  <si>
    <t>,2,1,3,157,158,154,155,213,214,215,212,217,218,219,220,221,222,223</t>
  </si>
  <si>
    <t>QP141 -- .D37 2012eb</t>
  </si>
  <si>
    <t>,1,2,3,4,5,6,7,8,9,10,11,12,16,22,23,24,20,21,19,17,16,15,14,18,13,12,11,10,9,8,7,5,4,18,19,20,16,17,15,14,13,21,23,24,25,26,27,28,29,30</t>
  </si>
  <si>
    <t>6XiJdvzv+Gwuap7y84ZtGQ==</t>
  </si>
  <si>
    <t>+YuWk2POdYhVmyNG4cMqGA==</t>
  </si>
  <si>
    <t>BF108.A9 -- .B878 2015eb</t>
  </si>
  <si>
    <t>,1,1,238,238,239,239,240,240,241,241,242,242,243,243,244,244,245,245,240,2,2,17,17,18,19,18,15,19,20,25,20,25,28,28,29,29,30,30,31,31,27,32,32,33,33,34,34</t>
  </si>
  <si>
    <t>V6hMh8glLt98swjAR0YBsw==</t>
  </si>
  <si>
    <t>Fundamentals of Enzyme Kinetics</t>
  </si>
  <si>
    <t>Science: Chemistry; Science; Science: Biology/Natural History</t>
  </si>
  <si>
    <t>,13,14,15,16,17,18,19,20,21,22,23,24,25,26,27,28</t>
  </si>
  <si>
    <t>QP601 -- .C67 2012eb</t>
  </si>
  <si>
    <t>547.7/5804594</t>
  </si>
  <si>
    <t>,552,546,545,544,553,554,555,556,557,558,559,560,561,562,563,564,565,566,567,568,569,570,571,572,573,574,575,576,577,578,579,580,581,582,583,584,585,586</t>
  </si>
  <si>
    <t>Autobiography of Mark Twain, Volume 3 : The Complete and Authoritative Edition</t>
  </si>
  <si>
    <t>,74,298,299,300,302,304,301,722,723,724,725,726,727,730,731,734,735,739,740,736,774,775,771,319,320,321,322,323,324,326</t>
  </si>
  <si>
    <t>,1,2,3,546,547,548,544,545,549,550,2,551</t>
  </si>
  <si>
    <t>zocPgobSHwJtTvWv+dFZGQ==</t>
  </si>
  <si>
    <t>,1,2,3,330,331,332,328,329,333,334,335,336,337,338,339,340,341,328,329,342,343,344,345,346,347,348,349,350,351,352,353,354,355,356,357</t>
  </si>
  <si>
    <t>,1,2,3,20,21,22,18,19,17,16,15,23,18,24</t>
  </si>
  <si>
    <t>,1,2,3,163,164,165,161,162,172,173,174,170,171,166,167,164,168,187,188,189,185,186,190,191,192,193,194,195,187,186,185,184,183,182,181,180,179,177,178,175,176,174,167,168,164,186,184,189,194,195,196,197,198,199,200,201,202,203,204,205,206,207,208,209,210,211,212,213,214,215,218,219,220,216,217,221,229,230,231,227,228,232,233,234,229,226,225,235,236</t>
  </si>
  <si>
    <t>vygCtaIn0fhEMhTCYBDq4w==</t>
  </si>
  <si>
    <t>,358,360,359</t>
  </si>
  <si>
    <t>,1,2,3,327,328,329,325,326,330,331,332,333,334,335,336,337,338,339,340,341,342,343,344,345,346,347,348,349,350,351,349,347,348,350,2,351,2,351,350,347,348,349,348,350,347,2,351,349,352,353,354,355,356,357</t>
  </si>
  <si>
    <t>,1,2,3,4,141,142,143,139,140,138,18,6,3,4,5,1,20,21,22,19,23,24,25</t>
  </si>
  <si>
    <t>On the Run : Fugitive Life in an American City</t>
  </si>
  <si>
    <t>,166,167,168,169,170,171,172,173,174,176,175,177,178,179,180,181,182,183,184,185,186,187,188,189,190,191,192,193,194,195,196,197,198,199,200,201,202,203,204,205,206,207,208</t>
  </si>
  <si>
    <t>HV9956.P53 -- .G644 2014eb</t>
  </si>
  <si>
    <t>364.3/496073074811</t>
  </si>
  <si>
    <t>,1,3,2,106,107,108,104,105,156,157,158,154,155,159,160,161,162,163,164,178,179,210,180,176,177,165</t>
  </si>
  <si>
    <t>,335,336,337,338,339,352,351,350,341,342,343,340,344,345,346,347,348,349,350,351,338,339,340,328,326,327,359,361,325</t>
  </si>
  <si>
    <t>,1,2,3,327,328,329,326,325,354,355,356,352,353,357,330,331,332,328,329,327,333,334</t>
  </si>
  <si>
    <t>,164,163,163,169,170,171,172,173,174,175,178,179,180,176,177,181,182,186,187,188,184,185,189,190,184,189,190,191,192,193,187,192,193,194,195,196,198,200,201,202,199,203,204,205,206,207,208,210,209,211,186,187,188,184,185,183,182,181,180,179,178,177,176,186,187,188,186,187,188,184,185,190,191,192,189,187,192,192,193,194,195,197,198,199,196,193,192,191,191,197,198,199,200,192,190,197,9,10,11,7,8,303,304,305,301,302,175,176,177,173,174,195,196,197,193,194,203,204,205,201,215,216,217,213,214,219,220,218,221,183,184,185,181,182,196,197,198,194,195,199,194,199,192,193,194,190,191,197,196,191,192,189,202,203,204,200,201,205,223,224,221,225,222,299,301,300,297,298,223,222,36,37,38,34,35,214,215,216,212,213,217,36,37,38,34,35,203,204,205,201,202,199,200,206,207,208,209,210,211,212,213,214,215,216,217,218,219,220,221,222,223,224,225,219,218,220,217,216,222,223,224,225,226,227,228,229,230,231,232,233,234,235,236,237,238,239,231,232,230,229,235,230,229,228,233,234</t>
  </si>
  <si>
    <t>,1,2,3,165,166,167,163,164,161,162,167,168,168,169</t>
  </si>
  <si>
    <t>JCZ+k69SQ/MUvqiJ4j65Cw==</t>
  </si>
  <si>
    <t>,1,2,3,266,267,268,264,265,269,270,271,265,264</t>
  </si>
  <si>
    <t>,1,2,3,194,195,196,192,193,295,297,296,293,294,189,190,191,187,188,186,91,92,93,89,90,88,88,86,87,305,306,307,303,304,296,297,293,294,298,371,372,373,370,369,449,450,451,447,448,63,64,65,61,62,60,271,272,273,269,270,148,149,150,146,147,60,59,58,63,339,340,341,337,338,342,249,250,251,247,248,376,377,63,64,65,141,142,143,139,140,137,138,296,295</t>
  </si>
  <si>
    <t>,1,2,3,327,328,329,330,331,332,333,334,335,336,337,338,339</t>
  </si>
  <si>
    <t>Panel Data Analysis using EViews</t>
  </si>
  <si>
    <t>HA29.A377 2013</t>
  </si>
  <si>
    <t>Resilience in Social-Ecological Systems : The Role of Learning and Education</t>
  </si>
  <si>
    <t>,1,2,3,142,143,144,140,141,145,146,147,148,149,150,214,215,216,217,213,218,219,220,221</t>
  </si>
  <si>
    <t>,1,2,3,327,328,329,325,326,324,322,323,330,331,332,331,332,333,334,335,336,337,338,340,341,342,343,344,346,347,348,349,351,352,353,354</t>
  </si>
  <si>
    <t>FiQYD+MM67R00DEK5o+XgA==</t>
  </si>
  <si>
    <t>,36</t>
  </si>
  <si>
    <t>,1,2,3,33,34,29,30,31,27,28,32,35</t>
  </si>
  <si>
    <t>,1,2,3,24,25,26,22,21,23,19,20,27,28</t>
  </si>
  <si>
    <t>,1,2,3,29,30,31,27,28,26,25,32,33</t>
  </si>
  <si>
    <t>,27,26,25,23,21,19,16,18,14,15,13,12,11,10,9,8,7,6,5,4</t>
  </si>
  <si>
    <t>5h5hwLqXWdw=</t>
  </si>
  <si>
    <t>Recognition, Sovereignty Struggles, and Indigenous Rights in the United States : A Sourcebook</t>
  </si>
  <si>
    <t>,1,160,161,162,158,159</t>
  </si>
  <si>
    <t>KF8210.C5 -- R43 2013eb</t>
  </si>
  <si>
    <t>342.7308/72</t>
  </si>
  <si>
    <t>T9a6N+7AFjHAnIlOTUnsRQ==</t>
  </si>
  <si>
    <t>,1,2,3,14,15,16,12,13,10,9,4,5,6,7,8,11</t>
  </si>
  <si>
    <t>,1,2,3,29,30,31,28,27,32,33,34,35,36,37</t>
  </si>
  <si>
    <t>,1,2,3,4,5,6,7,8,9,10,11,14,45,46,47,273,271,272,270,104,105,101,102,106,107,108,110,112,113,116,117,118,119,120,121,122,123,124,125,126,127,128,129,130,131,132,133,134,135,136,137,138,139,140,141,142,143,144,145,146,148,150</t>
  </si>
  <si>
    <t>,1,3,2,266,267,268,265,264,269,232,233,234,230,231,235,245,246,247,243,244,248,253,254,255,251,252,256,257,258,259,260,261,262,263,245,246,247,243,244,248,236,237,177,178,175,176,179,173,172,160,162,159,157,161,158,163,164,165,166,167,168,169,170,171,174,180,181,182,183,184,185,186,187,188,189,190,191,192,193,194,195,1,195,196,193,197,194,2,266,267,268,264,265,269,262,263,260,261,259,258,257,256,255,254,253,252,251,250,249,248,247,246,245,244,243,242,241,240,239,238,237,236,235,234,233,232,231,230,264,263,262,261,260,259,258,257,256,255,270,254,253,252,251,250,249,248,247,246,245,244,243,242,241,240,239,238,237,236,235,234,233,232,231</t>
  </si>
  <si>
    <t>,1,2,3,218,219,220,217,216,2,223,224,225,221,222,226,227,228,229,230,231,232,233,234,235,236</t>
  </si>
  <si>
    <t>,183,184,185,186,187,1,187,188,189,185,186,2,184,189,192,203,204,205,206,207,208,209,210,211,186,184,190,191,193,195,197,1,197,198,199,195,196,201,205,204,210,211,212,213,209,208,2,206,207</t>
  </si>
  <si>
    <t>,1,2,3,165,166,167,163,164,168,169,170,171,172,173,174,175,176,177,178,179,180,181,182</t>
  </si>
  <si>
    <t>,1,2,3,333,334,335,331,332,336,337,338,339,340,341,342,343,344,345,346,347,348,349,350,351,352,353,354,355,356,357,358,359,360,361,362</t>
  </si>
  <si>
    <t>,331,332,333,334,335</t>
  </si>
  <si>
    <t>,27,28,29,25,26,77,78,79,76,75,80,81,82,240,241,242,444,445,446,442,443,441,443,444,443,445,441,442,446,240,242,238,241,239,205,206,203,204,207,208,209,212,213,214,210,211,398,399,400,396,397,241,243,240,62,63,64,60,61,235,236,237,233,234,119,120,121,117,118</t>
  </si>
  <si>
    <t>8OpF0BLK1zxPU4cQorWp7Q==</t>
  </si>
  <si>
    <t>,1,2,3,4,7,13,14,19,21,22,23,24,20</t>
  </si>
  <si>
    <t>,1,2,3,1,2,3,163,164,165,166,167</t>
  </si>
  <si>
    <t>,4,231,232,229,233,230,272,273,270,15</t>
  </si>
  <si>
    <t>,1,2,3,170,171,172,169,168,26,27,28,25,24,14,16,15,12,13,13,1,14,15,11,12,143,145,2,144,141,142,3,16,17,18,26,27,28,24,25,29,30,31,32,33,34,35,36,37,39,38,40,41,42,43,44,45,46,47,48,49,50,51,23,22,21,56,57,54,58,55,53,52,19,20</t>
  </si>
  <si>
    <t>SGgyYFeEGyqa1Z7U1iAWSA==</t>
  </si>
  <si>
    <t>Exploring the Solar System</t>
  </si>
  <si>
    <t>,1,2,3,166,167,168,164,165,169,170,171,172,173,174,175,176,177,180,96,98,97,94,95,181,182</t>
  </si>
  <si>
    <t>QB501 -- .B68 2012eb</t>
  </si>
  <si>
    <t>,1,2,3,143,144,145,146,142,141,147,148,149,150,151,152,153,154,155,156,157,158,159,160,161,162,163,164,165,166,167,168,169,170,171,172,174</t>
  </si>
  <si>
    <t>,1,2,3,143,145,144,141,142,146,148,149,150,151,153,155,156</t>
  </si>
  <si>
    <t>dJbE4FPWPCvE32QnaR+fPw==</t>
  </si>
  <si>
    <t>,1,2,3,4,19,20,21,17,18,22,23,24,28,29,30,26,27,31,32,33,34,35,36,39,40,41,37,38,42,69,70,71,67,68,72,73,74,75,76,77,78,79,51,52,53,49,50,54,55,56,57,58,59,60,61,62</t>
  </si>
  <si>
    <t>,263,262,261,260,259,258,257,256,255,254,254,1,255,256,252,253,191,192,193,189,190,194,195,2,178,179,180,176,177,181,175,172,173,174,170,171,266,267,268,264,265,269,270,268,169,167,168,184,185,186,182,183,187,188,197,198,199,196,200,201,202,203,204,205,209,210,211,207,208,212,213,214,215,216,217,218,219,220,221,222,223,224,225,226,227,228,158,159,160,156,157,161,162,163,164,165,166</t>
  </si>
  <si>
    <t>,1,2,3,70,71,72,68,69,73,74,75,94,95,96,93,92,164,165,166,162,163,167,168,169</t>
  </si>
  <si>
    <t>,1,2,3,4,6,5,7,8,9,10,12,11,18,19,20,16,17,148,149,150,146,147,145,21,22,31,32,33,29,30,42,107,112,162,187,188,189,115,117,113,114,116,118,119,120,121,122,123,124,45,46,34,35,36,37,38,39,40,41,111,106,101,100,99,98,96,97,95,94,93,92,91,90,89,87,88,86,164,166,167,165,163,157,153,154,152,151,144,143,142,139,138,140,137,136,134,135,133,132,131,130,128,126,125,127,149,150,148,155,156,158,159</t>
  </si>
  <si>
    <t>,208,209,210,211,212,213,214,215,216,173,174,172,171,170</t>
  </si>
  <si>
    <t>,1,2,3,266,267,268,264,265,269,270</t>
  </si>
  <si>
    <t>,1,2,3,13,14,15,11,12,266,267,268,269,265,270,238,182,183,184,180,181,179,185,186,187,188,189,190,191,192,193,261,264,263,178,176,177,175,194,195,196,198,199,200,197,201,202,203,204,205,206,207</t>
  </si>
  <si>
    <t>,43,45,44,41,42,75,76,77,73,74</t>
  </si>
  <si>
    <t>,1,2,3,4,5,137,138,139,135,136,140,141,142,143,144,145,146,147,148,149,150,151,134</t>
  </si>
  <si>
    <t>,170,171,172,173,174,175,176,177,178,179,180,181,186,187,188,184,185,189,190,191,192,193,194,183,191,192,193,194,195,201,202,203,199,200,204,205,206,218,219,220,216,217,221,222,223,224,225,226,227,228,229,230,231,232,233,234,235</t>
  </si>
  <si>
    <t>Designing Teacher Evaluation Systems : New Guidance from the Measures of Effective Teaching Project</t>
  </si>
  <si>
    <t>,27,1,28,29,25,26,2,2,3,1,4</t>
  </si>
  <si>
    <t>,1,2,3,4,5,6,7,8,9,10,11,140,141,142,138,139,137,136,143,146,149,150,151,155,156,158,159,160,161,162,163,164,165,166,167,168,169</t>
  </si>
  <si>
    <t>,147,151,151,152,152,115,116,115,117,116,117,113,114,114,119,118,119,118,120,120,121,121,122,122,124,124,123,123,119,118,122,123,124,125,125,126,126,127,127,128,128,129,129,130,130,131,131,132,132,133,133,134,134,135,135,136,136,137,137,138,138,139,139,140,140,141,141,142,142,143,143,138,137,136,135,140,140,1,141,142,138,139,18,19,20,16,17,21,22,2,101,102,103,99,100,20,23,24,25,26,27,10,11,12,9,8,28,29,30,31,32,43,122,134,130,119,114,104,101,90,83,84,82,80,81,79,78,77,63,45,35,33,34,36,37,38,39,40,41,42,54,112,108,116,137,132,58,87,105,91,85,86,88,20,310,311,308,299,301,276,277,300,274,46,47,278,44,48,39,42,55,56,57,60,59,61,95,97,98,96,94,93,72,73,71,74,75,76,89,88,106,110,103,102,107,111,115,113,109,117,118,120,148,149,150,182,183,184,180,181,178,166,167,158,151,152,153,154,155,156,158,159,160,157,266,267,268,264,20,22,18,19,21</t>
  </si>
  <si>
    <t>,1,1,1,3,3,2,2,2,2,148,149,150,148,149,150,146,147,147,182,183,184,182,180,183,148,184,149,150,146,147,12,13,12,14,13,11,11,14,8,10,8,9,9,7,6,7,148,149,150,146</t>
  </si>
  <si>
    <t>,73,12,13,14,10,11,15,16,17,18,19,68</t>
  </si>
  <si>
    <t>Fraud and Fraud Detection : A Data Analytics Approach</t>
  </si>
  <si>
    <t>,1,351,352,353,349,350,2,354,355</t>
  </si>
  <si>
    <t>HV6691 -- .G44 2015eb</t>
  </si>
  <si>
    <t>658.4/73</t>
  </si>
  <si>
    <t>,1,2,3,164,165,166,162,163,167,168,70,71,72,68,69</t>
  </si>
  <si>
    <t>,15,16,1,3,4,5,6,7,8,9</t>
  </si>
  <si>
    <t>,1,20,21,22,18,19,23,17,2,3,3,1,4,5,2,2,3,1,4,12,13,14,10,11</t>
  </si>
  <si>
    <t>,64,72,73,74,70,71,75,76,77,78,79,62,63,64,60,61,65,66,67,81,82,83,79,80,84,85,86,87,97,98,99,95,100,101,102,103,96</t>
  </si>
  <si>
    <t>,1,2,3,4,5,6,7,8,9,130,131,132,128,133,129,134,267,268,269,265,266,148,149,150,146,147,145,144,151,150,152,153,154,155,156,157,158,156,153,28,23,3,4,8,2</t>
  </si>
  <si>
    <t>,1,2,3,61,62,63,59,60,58,57,64,59,64</t>
  </si>
  <si>
    <t>,169,168,167,5,6,8</t>
  </si>
  <si>
    <t>,1,2,3,7,8,9,5,6,2,676,677,665,535,533,531,532</t>
  </si>
  <si>
    <t>,1,2,3,1,2,3,4,5,6,7,8,9,10,11,12,13,18,15,7,3,4</t>
  </si>
  <si>
    <t>,1,2,3,4,15,16,17,13,14,18,2,19</t>
  </si>
  <si>
    <t>,1,2,3,244,245,246,242,243,247,248,1</t>
  </si>
  <si>
    <t>,1,1,2,3,2,3,78,79,78,80,79,80,76,77,77,2,81,81,82,82,83,83,115,116,115,116,114,113,114,117,117</t>
  </si>
  <si>
    <t>nNlDFvb0WDzAuPjj+V0AoQ==</t>
  </si>
  <si>
    <t>Signature Derrida</t>
  </si>
  <si>
    <t>,19,20,21</t>
  </si>
  <si>
    <t>B2430</t>
  </si>
  <si>
    <t>,1,2,3,4,5,6,7,8,9,10,11,12,13,16,17,18,14,15</t>
  </si>
  <si>
    <t>,218,220,218,220,217,216,217,219,219,204,204,205,206,205,206,202,203,203,231,232,231,233,233,232,229,230,230,204,205,206,202,203,218,219,220,216,217,187,188,187,189,188,189,185,186,186,210,210,211,211,212,208,212,209,209,213,213,214,214,187,188,189,185,186,231,232,233,229,230,9,10,9,10,11,11,7,340,341,340,341,342,204,342,205,206,202,203,233,234,234,235,231,232,235,218,219,220,216,217,221,221,222,222,223,223,224,224,225,225,226,226,187,188,189,185,186,184,183,182,181,186,187,188,190,191,190,192,189,191,192,187,186,185,190,191,186,185,184,183,182,181,180,179,178,177,176,181,182,183,184,185,186,187,188,189,190,191,186,185,184,189,204,205,206,202,203,301,302,301,302,303,303,299,300,300,192,193,193,190,194,191,194,197,198,197,199,198,199,195,196,196,302,303,304,300,304,301,219,220,221,217,218,214,215,216,215,212,213,211,216,217,229,230,231,227,228,228,232,233,228,227,226,225,231,232,233,230,234,229,227,228,232,233,234,235,236,236,231,230,229,228,227,232,233,234,235,273,274,273,275,274,275,271,272,272,270,269,267,268,266,264,265,262,263,263,260,261,259,263,258,256,257,255,254,253,251,252,250,249,248,187,188,189,185,186,184,183,182,181,180,179,178,177,176,181,182,183,184,185,186,187,188,189,190,191,192,193,194,195,196,197,198,199,200,201,200,202,201,203,204,205,206,207,208,207,209,210,211,212,213,214,215,216,217,218,219,220,221,222,223,224,225,226,227,228,229,230,231,232,233,234,235,236,231,230,235</t>
  </si>
  <si>
    <t>,1,2,1,2,3,3,2,2,174,174,176,176,172,175,173,175,173,171,170,169,168,167,165,166,164,163,168,169,170,171,172,173,174,175,176,177,177,178,178,179,179,180,180,175,174,172,173,182,183,182,184,180,183,181,184,181,155,156,155,156,157,153,157,154,154,158,158,153,174,175,176,172,173,182,183,184,180,181,155,156,157,153,154</t>
  </si>
  <si>
    <t>,537,538,535,539,536,540,541,542,543,544,545,546,547,548,517,516,518,514,515,537,538,539,535,536,540,541,542,543,544,545,546,541,547,547,551,552,541</t>
  </si>
  <si>
    <t>Cognitive Behavioral Group Therapy : Challenges and Opportunities</t>
  </si>
  <si>
    <t>,67,66,65,39,41,40,37,38,36,35,3,5,4,6,7,8</t>
  </si>
  <si>
    <t>RC489.C63 -- .S63 2014eb</t>
  </si>
  <si>
    <t>,1,2,3,70,71,68,69,72</t>
  </si>
  <si>
    <t>,1,1,2,2,3,1,3,4,4,5,5,15,16,15,16,17,13,17,14,14,18,18,18,2,21,21,22,23,23,19,22,20,20,24,24</t>
  </si>
  <si>
    <t>DuIrSuwvIKSxyrsV4+v9ig==</t>
  </si>
  <si>
    <t>Addiction Potential of Abused Drugs and Drug Classes</t>
  </si>
  <si>
    <t>RC564.A285</t>
  </si>
  <si>
    <t>,1,3,2,1,2,3,151,152,153,149,150,154,155,156,157,158,159,160,161,162,163,164,165,166,167,168,169</t>
  </si>
  <si>
    <t>kOjDyI7DLQxR2v/5kfYGGQ==</t>
  </si>
  <si>
    <t>,199,193,192</t>
  </si>
  <si>
    <t>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</t>
  </si>
  <si>
    <t>,1,2,3,163,164,165,161,162,166,167,168</t>
  </si>
  <si>
    <t>lIXp51YstEk=</t>
  </si>
  <si>
    <t>,1,2,3,4,5,6,7,8,9,10,51,52,53,49,50,54,379,380,381,377,378,69,70,71,72,68,281,282,283,279,280,67,73,74,75,87,139,140,169,175,176,177,178,179,180,182,183,185,188,190,191,192,193,194,195,196,197,199,200,198</t>
  </si>
  <si>
    <t>,55,3,1,2,4,5,6,7,12,13,14,10,11,15,16,17,18,19,20,21,22,23,24,25,26,27,28,29,30,31,32,33,34,35,36,37,38,39,40,11,10</t>
  </si>
  <si>
    <t>,38,39,40,41,42,43,44,45,46,47,48,49,50,51,52,53,54,55,56,5,12,13,14,15,16,17,18,19,20,21,22,23,24,25,26,27,28,29,30,31,32,33,34,35,36,37</t>
  </si>
  <si>
    <t>,1,2,3,4,5,6,7,8,9,10,11,12,13,14,15,2,16,18,47,210,3,1,4,5,6,7,27,38,39,40,36,37,41,42,43,44,45,46,48,49,50,51,52,53,54,55,56,57,58,38,39,40,36,56,57,58,54</t>
  </si>
  <si>
    <t>,22,22,22,17,22,22,23,17</t>
  </si>
  <si>
    <t>0zIOEKrx9nLVDxZDXjaJtQ==</t>
  </si>
  <si>
    <t>,1,2,3,266,267,268,264,265,269,263,422,423,1,422,424,420,423,421,424,420,421,2,282,283,284,269,270,240,241,242,238,239,243,244,245,255,256,257,253,254,258,259,260,178,179,180,176,177,181,142,143,144,140,141,145,146,147,148,149,150,151,152,153,236,237,234,235,107,108,109,105,106,110,111,112,113,232,233,230,231,246,247,248,249,250,198,199,200,197,196,227,228,229,225,222,223,226,224,251,252,261,262,297,298,299,295,296,300,301</t>
  </si>
  <si>
    <t>,267,268,422</t>
  </si>
  <si>
    <t>,1,2,3,197,198,199,195,196,200,201,84,85,86,82,83,87,88,89,90,91,200,196,197,201,202,203,204,205,206,207,208</t>
  </si>
  <si>
    <t>,1,2,3,19,20,21,17,18,22</t>
  </si>
  <si>
    <t>cM+E+79p1jARoke46F6EZg==</t>
  </si>
  <si>
    <t>Monroe Community  College</t>
  </si>
  <si>
    <t>monroecc</t>
  </si>
  <si>
    <t>Enhancing and Expanding Undergraduate Research : A Systems Approach: New Directions for Higher Education, Number 169</t>
  </si>
  <si>
    <t>,1,2,3,5,6,7,8,4</t>
  </si>
  <si>
    <t>150.160.200.114</t>
  </si>
  <si>
    <t>LB2326.3 -- .E543 2015eb</t>
  </si>
  <si>
    <t>,1,2,3,266,267,268,264,269,265,267</t>
  </si>
  <si>
    <t>Pu4bs8EyWGc=</t>
  </si>
  <si>
    <t>New American Suburb : Poverty, Race and the Economic Crisis</t>
  </si>
  <si>
    <t>,34,35,36,32,33,38,27,28,25,26,34,35,36,33,37,38,33,32,31,30,29,27,28,26,25,24,23,22,21,20,19,24,25</t>
  </si>
  <si>
    <t>HT352.U6 -- .N493 2015eb</t>
  </si>
  <si>
    <t>,1,3,2,36,37,38,34,35,306,307,308,304,305,309,310,6,7,8,4,5,9,10,11,12,13,14,15,16,17,18,19,20,21,22,23,24,25,18,1,3</t>
  </si>
  <si>
    <t>781+N5/QNl0=</t>
  </si>
  <si>
    <t>,1,2,3,48,49,50,46,47,271,272,273,269,274,270,296,297,298,295,299,340,341,342,338,339,323,324,325,321,326,322,320,319,317,318,316,315,314,313,312,311,310,309,314,315,316</t>
  </si>
  <si>
    <t>tqGGSMPcHWMW4rU6Jrb6BQ==</t>
  </si>
  <si>
    <t>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99,100,101,102,103,104,105,106,107,108,109,110,111,112,113,114,115,116,117,118,119,121,122,123,1,123,124,125,121,122,120,119,118,117,2,126,127,128,129,130,131,132,133,134,135,136,137,138,138,1,139,140,136,137,141,2,142,143,144,145,146,147,148,149,150,151,152,153,154,155,156,157,158,159,160,161,162,163,164,165,166,167,168,169,171,172,173,182,183,184,180,181,179,178,176,177,185,186,187,188,189,190,191,192,193,194,195,196,197,198,196</t>
  </si>
  <si>
    <t>,1,2,3,1,2,3,4,5,6,7,8,9,10,11,12,13,14,15,16,17,18,19,20,21,22,23</t>
  </si>
  <si>
    <t>,1,2,3,262,263,264,265,261,266,267,268,269,2,262,261,260,259,258,268,269,227,228,229,225,226,230,231,232,233,223,224,222,191,192,193,189,190,194,187,188,186,185,184,178,179,180,176,181,177,270,271,262,261,260,258,259,227,228,229,225,226,230,224,223,222,221,220,219,218,217,215,216,220,270,217,215,216,220,221,232,233,234,230,231,235,236,237,238,239,240,241,242,243,244,245,246,247,248,249,250,251,252,253,254,255,256,257,258,259,260,261,262,263,264,265,266,267,268,269,270</t>
  </si>
  <si>
    <t>grmonroe</t>
  </si>
  <si>
    <t>,1,3,2,48,49,50,51,46,45,47,43,44,40,41</t>
  </si>
  <si>
    <t>,1,2,3,39,37,42,38,36,35,33,34,32,2,31,30,29,27,28</t>
  </si>
  <si>
    <t>nWM9iX9nmMLwm5rYFzKqNg==</t>
  </si>
  <si>
    <t>Categorical Data Analysis</t>
  </si>
  <si>
    <t>QA278 .A353 2013</t>
  </si>
  <si>
    <t>519.5; 519.535</t>
  </si>
  <si>
    <t>,45,46,47,48</t>
  </si>
  <si>
    <t>,1,3,2,4,5,6,7,8,9,10,11,13,14,15,12,16,17,18,19,20,21,22,42,43,44,40,41</t>
  </si>
  <si>
    <t>,83,81,86,92,93,94,90,91</t>
  </si>
  <si>
    <t>,1,2,3,69,70,71,67,68</t>
  </si>
  <si>
    <t>,1,2,1,3,2,3,4,4,2,2,25,26,25,26,22,23,23,21,26,21,26,21</t>
  </si>
  <si>
    <t>,135,136,136,137,137,138,138,139,139,140,140,141,141,142,142,143,143,144,144,145,145,146,146,147,147,148,148,149,149,150,150,151,151,152,152,153,153,154,155,154,155,156,156,157,157,158,158,159,159,160,160,161,161,162,162,163,163,164,164,165,165,166,166,167,167,168,168,169,169,170,170,171,171,172,172,173,173,174,174,170,175,175,169,174,175,176,176,177,177,178,178,179,179,180,180,181,181,182,182,183,183,184,184,185,185,186,186,187,187,188,188,189,189,190,190,191,191,192,192,193,193,194,194,195,195,196,196,197,197,198,198,193</t>
  </si>
  <si>
    <t>y8Glf9y5h/4/f1tIzett8w==</t>
  </si>
  <si>
    <t>,516,493,495,494,491,492,496,493,490,496,497,498,13,14,15,11,12,521,522,523,520,519,496,497,498,495,492,493,499,500,492,489,530,531,532,15,11,12</t>
  </si>
  <si>
    <t>,513</t>
  </si>
  <si>
    <t>,1,2,3,532,534,533,530,531,529,513,514,515,511,512</t>
  </si>
  <si>
    <t>,1,2,2,1,3,3,103,104,103,104,105,101,105,102,102,2,106,106,107,107,108,108,109,110,109,111,110,111,112,112,107,112,107,106,111,112,113,113,114,114,115,115,116,116,116,117,117,118,118,119,119,114,119,120,120,121,121,122,122,123,123,125,125,126,126,127,127,128,128,130,130,131,131,132,132,133,133,134,134,135,135,130</t>
  </si>
  <si>
    <t>,93,94,94,95,95,96,96,97,97,98,98,99,99,21,21,23,22,23,22,19,20,20,24,24,25,26,26,27,25,27,28,28,29,29,30,30,31,31</t>
  </si>
  <si>
    <t>,1,2,2,3,1,3,89,89,91,91,87,88,88,2,77,77,75,76,76,80,80,80,75,80,81,81,82,82,83,83,84,84,85,85,86,86,87,88,89,90,91,90,92,92,93,93,88,87,92</t>
  </si>
  <si>
    <t>,123,124,125,126,127,127,128,128,129,129,129,130,130,131,131,132,132,133,133,134,134,135,135,136,137,136,137,138,138,139,139,140,140,141,141,142,142,143,143,44,44,45,45,41,41,39,39,42,42,40,40,43,44,43,45,46,46,47,47</t>
  </si>
  <si>
    <t>,1,1,2,2,3,3,111,111,112,112,113,113,109,110,110,2,114,114,115,115,116,116,117,117,119,119,120,120,121,122,121,122,123,123,124,124,125,126,126,125,121,120,118,117,118,116,115,113,114,118,119,120,121,121,122</t>
  </si>
  <si>
    <t>,1,3,1,3,2,2,2,2,183,183,186,186,182,181,186,181,186,181,186,181,180,179,178,177,176,175,180</t>
  </si>
  <si>
    <t>EDL9GIt/5h5/VN/cXK/RQw==</t>
  </si>
  <si>
    <t>,1,2,3,35,36,37,33,34,6,7,8,4,5,11,12,13,9,7,8,4,5,9,10,11</t>
  </si>
  <si>
    <t>,1,2,3,1,2,3,134,135,136,132,133,137,138,139,140,141,142,143,144,132,133,132,131,143,144,145,146,147,148,149,150,151,152,153</t>
  </si>
  <si>
    <t>,1,1,3,3,2,2,18,19,20,19,18,20,21,22,21,23,22,24,23,24,25,25,2,26,26,27,27,28,28,29,29,30,30,31,31,32,32,33,33,34,34,35,35,36,36,37,37,38,38,39,39,40,40,41,41,42,42,43,43,44,44,45,45,46,46,47,47,47,78,79,78,79,80,77,76,77,80,182,183,182,183,184,180,184,181,181,185,185,186,186,187,187,188,188,189,189,190,190,191,191,45,46,47,43,44,48,48,49,49,50,50,50,1,51,50,51,1,45,46,45,47,46,47,43,44,44,48,51,52,53,49,53,48,50,53,2,2,54,54,55,55,56,56</t>
  </si>
  <si>
    <t>xihjqyHdhCqGK1y57H8oBA==</t>
  </si>
  <si>
    <t>,114,115,116,117,396,409,410,407,408,406,405,404,403,401,402,114,115,116,112,170,162,163,57,58,117,118,119,120,113,112,120,121,122,123,124,125,126,127,128,129,130,131,132,133,134,135,136,137,138,139,140,141,142,143,93,94,95,91,92,96,97,98,99,100,101,102,103,285,286,287,283,288,284,289,290,291,292,293,294,295,296,297,298,299,300,301,302,303,304,305,306,307,308,309</t>
  </si>
  <si>
    <t>,95,96,97,98,99,100,114,115,116,117,118,119,120,121,122,123,124,125,126,127,128,129,130,131,132,133,134,288,289,290,291,292,293,294,295,296,304,305,301,302</t>
  </si>
  <si>
    <t>YqaCzlbJFr/O2R+X+FKdjQ==</t>
  </si>
  <si>
    <t>,285,286,287,283,284,288,289,290,291,292,293,294,295,93,94,95,91,92,96,97,98,99,100,101,102,103,104,105,106,107,108,109,110,111,112,113,114,115,116</t>
  </si>
  <si>
    <t>,142,143,144,145,146,147,148,149,150,151,152,153,154,155,156,157,158,159,160,161,162,163,164,165,166,167,168,169,170,171,275,276,277,278,279,280,281,282,283,284</t>
  </si>
  <si>
    <t>huFqkCBfNxvV/EP0oEOfZQ==</t>
  </si>
  <si>
    <t>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99,100,101,102,103,104,105,106,107,108,109,110,111,112,113,114,115,116,117,190,267,273,242,230,216,198,189,184,185,186,182,183,181,180</t>
  </si>
  <si>
    <t>,1,2,3,142,143,144,145,141,146,147,148,149,150,151,152</t>
  </si>
  <si>
    <t>TG3Vzct/gadXF4acxb0LEA==</t>
  </si>
  <si>
    <t>,17,19,17,275,275,275</t>
  </si>
  <si>
    <t>,17,18,19,20,21,22,23,24,25,26,27,28,29,30,31,32,33,34,35,36,37,38,39,40,41,42,43,44,45,46,47,48,49,50,51,52</t>
  </si>
  <si>
    <t>T7IGQmZQ2QGhAjtR7VG23A==</t>
  </si>
  <si>
    <t>,1,49,50,51,47,2,47,1</t>
  </si>
  <si>
    <t>,1,8,9,10,6,7,11,12,2,14</t>
  </si>
  <si>
    <t>,1,8,9,10,6,7,11,12,13</t>
  </si>
  <si>
    <t>GxreLPmuCWk=</t>
  </si>
  <si>
    <t>Paleo Answer : 7 Days to Lose Weight, Feel Great, Stay Young</t>
  </si>
  <si>
    <t>Medicine; Pharmacy; Health</t>
  </si>
  <si>
    <t>,1,2,3,4,217,218,219,216,215,220,221,222,223,224</t>
  </si>
  <si>
    <t>RM237.65 -- .C667 2012eb</t>
  </si>
  <si>
    <t>613.2/82</t>
  </si>
  <si>
    <t>,1,2,3,251,253,252,249,250,254,255,256,257,258,259,260,261,262,263,264,265,266,267,268,269</t>
  </si>
  <si>
    <t>gCZdbKk+QXE2s6lH0dLByw==</t>
  </si>
  <si>
    <t>,1,2,3,4,5,6,7,8,9,10,11,13,12,14,15,16,17,18,19,20</t>
  </si>
  <si>
    <t>DrkSL7Gg+N03D+PfFsFUeQ==</t>
  </si>
  <si>
    <t>,1,2,3,5,6,7,4,15,11,10,8,9</t>
  </si>
  <si>
    <t>yHeXxPRv/cEt/rwzgRGbDw==</t>
  </si>
  <si>
    <t>Hollywood Action and Adventure Film</t>
  </si>
  <si>
    <t>,17,16,15,14,13,12,11,10,1,2,3</t>
  </si>
  <si>
    <t>PN1995.9.A3 -- .T37 2015eb</t>
  </si>
  <si>
    <t>791.43/6582</t>
  </si>
  <si>
    <t>,254,255,256,257</t>
  </si>
  <si>
    <t>,1,2,3,4,44,45,46,42,43,47,48,49,23,24,25,21,22,26,27,28,29,30,31,32,33,34,35,36,37,38,65,66,67,63,64,68,203,204,205,201,202,206,207,208,209,210,211,212,213,214,215,249,250,251,247,248,252,253</t>
  </si>
  <si>
    <t>,1,2,3,82,83,84,80,81,85,86</t>
  </si>
  <si>
    <t>,25,40,39,41,37,38,9,11,12,13</t>
  </si>
  <si>
    <t>Promoting Academic Success with English Language Learners : Best Practices for RTI</t>
  </si>
  <si>
    <t>,30,31,32,33,34,35,36,37,29,28,29</t>
  </si>
  <si>
    <t>PE1128 .A2 A347 2015</t>
  </si>
  <si>
    <t>372.652; 372.6521044</t>
  </si>
  <si>
    <t>,1,2,3,192,193,194,191,190,195,196,197,198,199,16,17,18,14,15,19,20,21,22,23,24,10,4,5,6,7,8</t>
  </si>
  <si>
    <t>,1,2,3,27,28,29,25,26,24,23,22,21,20,19</t>
  </si>
  <si>
    <t>1i578CvTw9TGnRMs9AU9/Q==</t>
  </si>
  <si>
    <t>Ethical Journalist : Making Responsible Decisions in the Digital Age</t>
  </si>
  <si>
    <t>Philosophy; Journalism</t>
  </si>
  <si>
    <t>,1,2,3,292,293,294,295,296,297,295,296,297,294,292,293</t>
  </si>
  <si>
    <t>PN4756 .F67 2015</t>
  </si>
  <si>
    <t>,21,22,1,22,23,20,21,24,25,2</t>
  </si>
  <si>
    <t>,1,2,3,3,1,5,4,2,50,51,52,48,53,54,55,56,57,58,59,60,61,62,63,64,65,66,67,68,69,70,71,72,73,74,75,76,77,78,57,59,58,55,56,60,61,58,58,57</t>
  </si>
  <si>
    <t>,1,2,3,6,7,8,9,5,10,12,13,16,17,18,14,31,32,33,29,196,197,198,194,195,19,20</t>
  </si>
  <si>
    <t>More Than Medicine : A History of the Feminist Women's Health Movement</t>
  </si>
  <si>
    <t>RA564.85</t>
  </si>
  <si>
    <t>613.04244; 613/.04244</t>
  </si>
  <si>
    <t>,1,2,3,192,193,194,190,191,195,196</t>
  </si>
  <si>
    <t>,1,2,3,21,22,23,19,20,24,25,26</t>
  </si>
  <si>
    <t>r7XtBlpBOc+MLnLl6cp7zQ==</t>
  </si>
  <si>
    <t>Managing Cultural Heritage : An International Research Perspective</t>
  </si>
  <si>
    <t>Environmental Studies; History</t>
  </si>
  <si>
    <t>,1,2,3,22,23,24,20,21,25,6,7,8,4,5,18,19,16,17,14,15</t>
  </si>
  <si>
    <t>CC135 -- .M363 2015eb</t>
  </si>
  <si>
    <t>363.6/9</t>
  </si>
  <si>
    <t>,1,2,3,29,30,31,27,28,29,30,31,32,33,34</t>
  </si>
  <si>
    <t>,1,2,3,6,7,8,4,5,19,20,21,17,18,22,23,24</t>
  </si>
  <si>
    <t>,1,2,3,116,118,117,114,115</t>
  </si>
  <si>
    <t>All Edge : Inside the New Workplace Networks</t>
  </si>
  <si>
    <t>HD69</t>
  </si>
  <si>
    <t>SM0YbP3uyTR2TDeyMnTrNw==</t>
  </si>
  <si>
    <t>,25,1,26,27,23,24,28,2,235,236,237,233,234,238,239</t>
  </si>
  <si>
    <t>AB9blHGL8G+SLcWk49v31Q==</t>
  </si>
  <si>
    <t>,1,2,3,94,95,96,92,93</t>
  </si>
  <si>
    <t>,1,2,2,1,3,1,3,2,2,87,88,87,88,89,89,85,86,86,87,86,87</t>
  </si>
  <si>
    <t>KadN1Vs1DZnJwsSgUW+3tw==</t>
  </si>
  <si>
    <t>,1,2,3,109,110,111,107,108,112,113,114,115</t>
  </si>
  <si>
    <t>,23,26,42,55,56,54,53,17,15,14,13,16,18,19,20,21,23,24,25,25</t>
  </si>
  <si>
    <t>,107,106,109,106</t>
  </si>
  <si>
    <t>,1,2,2,3,3,1,4,4,5,5,2,2,6,6,7,7,8,8,9,9,10,10,11,11,9,19,19,21</t>
  </si>
  <si>
    <t>,1,2,3,82,83,84,80,81,85,89,90,91,87,88,92,102,103,104,100,101,105,179,174</t>
  </si>
  <si>
    <t>VIMw/J0UXQKO8COLjESmUg==</t>
  </si>
  <si>
    <t>,270,271,272,268,269,273,274,275,276,277,278,279,280,281,282,283,284,285,286,287,316,317,313,314,296,294,295,209,210,211,207,208,212,213,214,206,198,199,200,197,196,201,202,203,204,205,215,216,217,218,219,220,221,222,223</t>
  </si>
  <si>
    <t>0rDJ2QYT7RKzx0s0uwUDUw==</t>
  </si>
  <si>
    <t>Teaching Word Recognition : Effective Strategies for Students with Learning Difficulties</t>
  </si>
  <si>
    <t>LB1050.45.O26 2007</t>
  </si>
  <si>
    <t>IjEXts1n9sjTVB5a4icydg==</t>
  </si>
  <si>
    <t>,1,2,3,297,299,298,295,296,300,301,302,303,304,298,297,296</t>
  </si>
  <si>
    <t>,405,404,403,408,403,13,14,15,11,12,16,13,14,15,16,12,13,17,18,19</t>
  </si>
  <si>
    <t>,236,237,238,239,240,241,242,243,244,1,244,245,246,242,243,2,247,248,249,250,251,252,253,254,255</t>
  </si>
  <si>
    <t>,1,2,3,3,1,1,235,235,365,365,374,374,61,61,351,351,13,13,13,14,15,11,12,16,11,16,415,416,417,413,414,418,419,420,421,422,423,424,425,428,429,430,431,427,432,456,457,458,454,455,459,460,461,462,463,459,458,456,457,454,455,453,452,450,451,448,446,445,444,442,443,440,441,439,437,438,436,435,432,430,429,427,428,425,426,408,409,410,406,407,405,404,403,408,409,410,411,412,413,408,406,407</t>
  </si>
  <si>
    <t>,1,2,1,3,3,2,30,31,30,31,29,29,32,32,2,33,33,37,37,39,39</t>
  </si>
  <si>
    <t>,1,2,3,231,232,233,229,230,266,267,268,264,265,234,235</t>
  </si>
  <si>
    <t>,1,3,2,135,136,137,133,134,132,130,131,142,138,137,139,140,135,130,136,137,138,135,23,24,25,21,22,26,31,32,33,29,30,27,28,135,136,137,138,134</t>
  </si>
  <si>
    <t>,1,2,3,135,136,137,134,133</t>
  </si>
  <si>
    <t>WG3S2Takv1BuaDFpMj16rQ==</t>
  </si>
  <si>
    <t>Diamonds</t>
  </si>
  <si>
    <t>Science: Geology; Business/Management; Science</t>
  </si>
  <si>
    <t>,19,14,12,8,12,1,8,3,5,5,6,6,8,10,11,10,12,13,11,14,15,16,17,18,19,20,20,21,21,16,15,20,21</t>
  </si>
  <si>
    <t>HD9677.A2 -- .S65 2014eb</t>
  </si>
  <si>
    <t>SZm+UZlMn68=</t>
  </si>
  <si>
    <t>Business Networking For Dummies</t>
  </si>
  <si>
    <t>,197,199,198,195,196,245,246,243,244,248,249,251,252,253,250,297,298,299,295,256,257,258,254,255,259,191,193,189,190,192,221,222,223,219,220,224,225,226,227,228,229,230,231,232,233,6,7,8,4,5</t>
  </si>
  <si>
    <t>HD69.S8 -- .T466 2014eb</t>
  </si>
  <si>
    <t>,1,2,1,2,3,3,16,18,17,15,18,16,17,14,15,19,19,2,19</t>
  </si>
  <si>
    <t>,1,2,3,9,10,11,7,8,269,270,271,267,268,266,265</t>
  </si>
  <si>
    <t>,267,268</t>
  </si>
  <si>
    <t>,121,122,123,124,125,126,127,128,129,130,131,132,133,134,135,136</t>
  </si>
  <si>
    <t>,1,3,2,54,55,56,52,53,57,58,59,52,51</t>
  </si>
  <si>
    <t>,1,3,2,135,136,137,133,134</t>
  </si>
  <si>
    <t>,1,2,3,1,3,2,113,114,115,111,112,116,117,118,119,120</t>
  </si>
  <si>
    <t>,190,187,190,2</t>
  </si>
  <si>
    <t>,10,11,12,13,14,15,16,17,18,19,20,21,22,23,24,25,26,27,188,189,190,191,192,193,194,195,196,197,198,199,200,201,202,203,204,205,206,207,208,209,210,211,212,213,214,215,216,217,218,219,220,221,222,223,224,225,226,227,228,229,230,231,232,233,234,235,236,237,238,239,240,241,242,243,244,245,246,247</t>
  </si>
  <si>
    <t>,1,2,3,2,1,3,188,189,188,189,187</t>
  </si>
  <si>
    <t>I9JG4caHURXNsk0jlqGFPA==</t>
  </si>
  <si>
    <t>Latino Generation : Voices of the New America</t>
  </si>
  <si>
    <t>,1,3,2,4,5,6,7,8,9,10,11,12,13,14,15,16,17</t>
  </si>
  <si>
    <t>LC2670.6 -- .G37 2014eb</t>
  </si>
  <si>
    <t>378.1/98268073</t>
  </si>
  <si>
    <t>,1,2,3,319,320,321,317,318,322,323,324,325,326,327,328,697,698,699,695,696,491,492,493,489,490,494,495,396,397,398,394,395,399,393,41,42,43,39,40,35,36,37,33,34,32,38,39,40,41,42,43,44,45,46,47,48,49,50,51,52,53,54,55,56,57,131,132,133,129,130,134,135,130,136,137,181,182,183,179,180,131,132,129,130</t>
  </si>
  <si>
    <t>cZff68/H/ZZ6GmuxiUnjNw==</t>
  </si>
  <si>
    <t>,64,65,66,62,68,69,71,72,73,74,76,77,67,63,70,75</t>
  </si>
  <si>
    <t>,138,64,65,66,67,68,69,70,71,72,73,74,75,65,66,67,68,69,70,71,72,73,74,64,65,66,67,68,69,70,71,72,73,74,64,65,66,67,68,69,70,71,72,73,74</t>
  </si>
  <si>
    <t>,1,2,3,64,138,140,136,139,137,141</t>
  </si>
  <si>
    <t>KytXLSTcw/OZRTZrhQZplA==</t>
  </si>
  <si>
    <t>,1,3,2,113,114,115,116,118,117,119,120,121,122,123,124,126,127,563,560,561,564,565,566</t>
  </si>
  <si>
    <t>,1,2,3,2,1,3,29,30,31,30,29,27,31,28,28,2,26,25,24,22,20,24,22,20,17,17,18,19,18,19,15,17,29,29,29,29,29,30,30,30,30,35,36,36,36,29,29,31,30,29,30,32,31,33,34,33,32,32,32,31,30,29</t>
  </si>
  <si>
    <t>,1,3,2,21,22,23,19,20</t>
  </si>
  <si>
    <t>l0sbSQ3L57t7z2f2HlU8TA==</t>
  </si>
  <si>
    <t>,232,233,234,235,236,237,238,239,240,241,242,243,244,245,246,247,248,249,250,251,252,253,254,255,256,257,258,259,260,261,262,263,264,265,266,267,268</t>
  </si>
  <si>
    <t>,1,2,3,191,197,198,199,195,196,203,204,205,201,2,202,231,233,232,229,230,234,266,267,268,265,264,269,270,231,232,233,229,230,234</t>
  </si>
  <si>
    <t>,1,2,2,3,1,3,21,22,21,23,22,23,19,20,20,18,2,23,18,23,24,24</t>
  </si>
  <si>
    <t>,1,2,3,13,14,15,11,12,16,17,2,18,19,20,21,22,23,24,25,26,27,28,29,30,31,32,33,34,35,36,37,38,39,40,41,42,43,44,45,46,47,48,49,50,51,52,53,55,56,57,58,59,60,61,62,63,64,65,66,67</t>
  </si>
  <si>
    <t>j+j2WQpoELk=</t>
  </si>
  <si>
    <t>,1,2,2,1,3,3,2,2,27,28,27,29,28,29,25,26,26</t>
  </si>
  <si>
    <t>,70,71,72,73,71,70,343,344,345,346,347,348,328,329,330,331,464,465,466</t>
  </si>
  <si>
    <t>,1,140,141,142,138,139,143,2,144,145,146,147,148,149,150,151,152,153,154,3,4,60,61,62,63,64,65,66,67,68,69</t>
  </si>
  <si>
    <t>,1,28,29,30,26,31,27,2</t>
  </si>
  <si>
    <t>,1,2,3,108,109,110,106,107,111,112,113,114,115,116,118,117</t>
  </si>
  <si>
    <t>,9,11,7,10,8,19,20,21,17,18,22</t>
  </si>
  <si>
    <t>,1,2,3,53,54,55,51,52,56,57,36,37,38,34,35,39,40,41</t>
  </si>
  <si>
    <t>QOEB31Pp1ninsr86CdaudA==</t>
  </si>
  <si>
    <t>,1,2,3,4,5,6,7,8,9,10,11,12,21,23,25,29,35,45,50,53,71,89,117,132,134,131,115,113,96,94,97,111,114,112,116,110,109,108,118,119,120,121,122,123,124,125,126</t>
  </si>
  <si>
    <t>,1,6,7,8,4,5,2</t>
  </si>
  <si>
    <t>,1,2,3,124,125,126,122,123,127,128,3,4,5,178,179,176,180,177,353,354,355,351,352,350,238,239,240,236,237,235,234,233,232,231,230,338,339,340,336,337,335,21,22,23,19,20,24,25,26,27,28,29,30,31,32,33,34,35,36,37,38,39,40,44,46,41,42</t>
  </si>
  <si>
    <t>,1,2,3,4,9,10,11,7,8,12,13</t>
  </si>
  <si>
    <t>,1,2,3,328,329,325,326,330,331,332,333,334,324,327,327,327,327,328,329,325,330,326,331,332,355,352,353,333,334</t>
  </si>
  <si>
    <t>Hu9xh7m70G25HSSuI+k2KA==</t>
  </si>
  <si>
    <t>,1,2,3,251,252,253,249,250,254,255,256,257,258,1,259,258,259,260,258,256,260,257,257,255,254,253,252,251,2,250,249,248,11,12,13,9,10,14,15,16,17,18,19,261,262,263,264,25,26,27,23,24,28,1,28,30,29,28,26,29,27,30,27,25,23,24,2,11,12,13,9,10,5,6,7,3,4,8,251,252,253,249,250,254,255,256,257,258,259,260</t>
  </si>
  <si>
    <t>8efI/npqDRCKU0erLQ3K4tswSPe4wI6C</t>
  </si>
  <si>
    <t>,1,2,3,4,5,6,7,8,9,10,11,12,98,99,100,96,97,101</t>
  </si>
  <si>
    <t>,97,98</t>
  </si>
  <si>
    <t>,1,2,3,149,150,151,147,148,190,191,192,188,189,193,194,195,196,112,113,114,110,115,111,116,117,118,119,120,121,122,123,124,122,123,124,120,121,122,123,124,120,121,119,118,117,116,115,114,99,100,101,97,98,102,103,104,105,106,107,108</t>
  </si>
  <si>
    <t>,1,2,3,266,267,268,264,265,269</t>
  </si>
  <si>
    <t>6w1KG8eAznUon+zY1gUe5koFRvMtCPzy</t>
  </si>
  <si>
    <t>Critical Gaming : Interactive History and Virtual Heritage</t>
  </si>
  <si>
    <t>,21,22,23,182,206,208,204,205,209,210</t>
  </si>
  <si>
    <t>AZ105 .C56 2015</t>
  </si>
  <si>
    <t>,1,2,3,232,233,234,230,231,235,236,237,238,239</t>
  </si>
  <si>
    <t>,1,2,3,81,82,83,79,84,80,85,86,87,88,89,90,91,92,93,94,95,96,97,98,99,100,101,102,103,1,2,3,111,112,113,109,110,108,114,107,115,84,85,86,87,88,89,90,91,92,93,94,95,96</t>
  </si>
  <si>
    <t>,1,2,3,26,27,28,29,30,31,32,33,34,35,36,37,38,39,40,41,42,43,1,2,3</t>
  </si>
  <si>
    <t>,25,23,24,59,60,61,57,58,62,63,64,65,32,33,34,43,35,36</t>
  </si>
  <si>
    <t>,1,2,3,28,29,30,26,27,33,20,21,22,18,19,31,32,33,38,39,40,36,37,41</t>
  </si>
  <si>
    <t>,236,266,267,268,264,265,269,270,262,259,257,256,255,254,252,251,249,247,246,245,244,243,241,242,240,239,238,237</t>
  </si>
  <si>
    <t>,1,2,3,231,232,233,229,230,234,235</t>
  </si>
  <si>
    <t>,1,2,3,231,232,233,229,230,231,269,270,271,268,266,267</t>
  </si>
  <si>
    <t>,231,232,233,234,235,236,237,238,239,240,241,242,243,244,245,246,247,248,249,250,251,252,253,254,255,256,257,258,259,260,261,262,263,264,265,266,267,268</t>
  </si>
  <si>
    <t>,1,2,3,292,293,294,290,291</t>
  </si>
  <si>
    <t>q6zHHG3HlOY=</t>
  </si>
  <si>
    <t>68ykF6vBRMU=</t>
  </si>
  <si>
    <t>Political Philosophy</t>
  </si>
  <si>
    <t>JA36 .S384 2013</t>
  </si>
  <si>
    <t>TpNVYX6YsoylVKPn/Hprh3XkIqJkwEkv</t>
  </si>
  <si>
    <t>,1,2,3,9,10,11,7,8,12,13,14,15,16,17,18,19,20,21,23,24,25,22,39,40,41,38,37</t>
  </si>
  <si>
    <t>z2PmC/loxAK7/jSiCE9QuQ==</t>
  </si>
  <si>
    <t>,38,39,40,36,37,41,34,30,17,14,10,4,5,6,7,8,9,11,12,13,15,16,18,19,20,21,22,23,24</t>
  </si>
  <si>
    <t>,8,13,14,14,9,14,15,15,27,28,27,29,28,29,25,26,26,30,30,251,252,253,252,249,251,250,253,250,254</t>
  </si>
  <si>
    <t>,1,2,2,3,3,1,4,4,4,5,5,2,2,6,6,7,7,8,8,9,9,10,10,5,11,11,12,10,12,13,13,9,10</t>
  </si>
  <si>
    <t>XU+yrdaLmQ4Zvo0303FPOw==</t>
  </si>
  <si>
    <t>Generation on a Tightrope : A Portrait of Today's College Student</t>
  </si>
  <si>
    <t>,1,2,3,4,5,6,7,8,9,10,11,12,13,14,12</t>
  </si>
  <si>
    <t>LA229 -- .L48 2012eb</t>
  </si>
  <si>
    <t>378.1/98; 378.198</t>
  </si>
  <si>
    <t>Practitioner Teacher Inquiry and Research</t>
  </si>
  <si>
    <t>,1,2,3,4,5,6,7,8,9,57,112,113,114,115,116,117,61,62,63,59,60</t>
  </si>
  <si>
    <t>LB1707 -- .B334 2015eb</t>
  </si>
  <si>
    <t>370.71/1</t>
  </si>
  <si>
    <t>C+jF1xBjtGY=</t>
  </si>
  <si>
    <t>,1,2,2,1,3,3,4,4,5,5,6,6,7,7,8,8,9,9,2,10,10,11,11,12,12,13,13,14,14,9,14,9,14</t>
  </si>
  <si>
    <t>The Fragmented Forest : Island Biogeography Theory and the Preservation of Biotic Diversity</t>
  </si>
  <si>
    <t>Agriculture; Science: Biology/Natural History; Science</t>
  </si>
  <si>
    <t>QH75</t>
  </si>
  <si>
    <t>,1,2,2,1,3,3,169,170,171,170,171,169,167,168,168,2,172,172,173,173,174,174,169,167,168</t>
  </si>
  <si>
    <t>C0BooEB6CGM=</t>
  </si>
  <si>
    <t>,1,2,3,11,12,13,9,10,14,15,16,17,18,19,20,21,1,2,3,12,13,14,19,21,22,23,20</t>
  </si>
  <si>
    <t>TV Crime Drama</t>
  </si>
  <si>
    <t>,1,7,8,9,5,6,2,10,11,12,13,14,15,16,17,18</t>
  </si>
  <si>
    <t>PN1992.8 .T78</t>
  </si>
  <si>
    <t>HTML and CSS : Design and Build Websites</t>
  </si>
  <si>
    <t>,1,2,3,84,85,86,82,83,87,88,89,90,91,92,93,94,95,96,97,98</t>
  </si>
  <si>
    <t>QA76.76.H94</t>
  </si>
  <si>
    <t>,1,1,1,2,3,2,3,4,4,5,5,6,6,7,7,8,8,9,9,2,10,10,11,11,12,12,13,13,14,14,15,15</t>
  </si>
  <si>
    <t>,1,2,3,4,5,6,7,8,6,7,5,1,1,3,1,1,2,3,4,5</t>
  </si>
  <si>
    <t>2CL+rM04XR2oR76CtCf29A==</t>
  </si>
  <si>
    <t>Long Shadow of Antiquity : What Have the Greeks and Romans Done for Us?</t>
  </si>
  <si>
    <t>,150</t>
  </si>
  <si>
    <t>DE86</t>
  </si>
  <si>
    <t>,1,2,3,4,5,6,7,8,147,148,149,145,146</t>
  </si>
  <si>
    <t>wcmonroe</t>
  </si>
  <si>
    <t>,1,2,3,4,5,6,7,8,9,10,11,12,13,14,15,16,17,18,92,20</t>
  </si>
  <si>
    <t>216.226.127.160</t>
  </si>
  <si>
    <t>FxqE3RKl/gcFExhyXcumiA==</t>
  </si>
  <si>
    <t>,73,74,75,70,71,72,68,69,76,82,82,83,1,84,80,81,2,79,78,77,70,73,74,75,71,72,76,79,80,81,82</t>
  </si>
  <si>
    <t>,60,61,62,63,64,65,66,67,73,74,75,76,77,78,79,80</t>
  </si>
  <si>
    <t>,1,74,75,73,71,72,76,77,78,79,80,81,82,2</t>
  </si>
  <si>
    <t>,1,73,74,75,71,72,2,76,77,78,79,80,81,82,83,84,72,71</t>
  </si>
  <si>
    <t>oWrQvQUkjMA=</t>
  </si>
  <si>
    <t>,1,3,2,4,27,78,88,74,75,76,77,78,2,102,133,134,150,149,151,147,148,146,162,182,183,184,185,186,187,188,189,190,191,192,193,195,197,203,204,205,206,207,208,209,210,211,212,213,214,215,216</t>
  </si>
  <si>
    <t>,31,32,33,34,35,36,37,38,39,40,41,42,43,44,45,46,47,48,49,50,51,52,53,54,55,56,57,58,59,60,61,61,62,116,117,118,114,115,119,120</t>
  </si>
  <si>
    <t>,1,2,3,26,27,28,24,25,29,24,30</t>
  </si>
  <si>
    <t>,1,2,3,167,168,169,149,151,150,147,148,152,144,145,146,153,154,155,156,157,158,159,160,161,162,163,164</t>
  </si>
  <si>
    <t>,1,2,3,10,11,8,9,6,7,12,13,14,15,16,17</t>
  </si>
  <si>
    <t>,59,91,92,93,89,90,104,105,106,102,103,107</t>
  </si>
  <si>
    <t>,1,2,3,55,57,53,54</t>
  </si>
  <si>
    <t>XcGMwfdSSIKksGEWLp/Kxg==</t>
  </si>
  <si>
    <t>Western Flyer : Steinbeck's Boat, the Sea of Cortez, and the Saga of Pacific Fisheries</t>
  </si>
  <si>
    <t>,1,2,3,16,18,17,14,15,19,20,21,22,23,24,25</t>
  </si>
  <si>
    <t>SH214.4 -- .B35 2015eb</t>
  </si>
  <si>
    <t>,13,14,15,16,17,18,16,16,68,68,68,69,70,66,67,65,64,63,62,61,60,59,58,57</t>
  </si>
  <si>
    <t>,1,2,3,4,5,8,9,10,6,7,11,12</t>
  </si>
  <si>
    <t>,1,2,3,4,5,6,38,39,40,36,41,42,43</t>
  </si>
  <si>
    <t>,1,2,3,509,510,511,508,507,512</t>
  </si>
  <si>
    <t>,1,3,42,43,44,2,40,45,46,47</t>
  </si>
  <si>
    <t>eJMh/Ytuv3KMoVcA695btA==</t>
  </si>
  <si>
    <t>Leadership Challenge : How to Make Extraordinary Things Happen in Organizations</t>
  </si>
  <si>
    <t>,1,2,3,11,12,13,9,10,14,15,16,17,18,19</t>
  </si>
  <si>
    <t>HD57.7 -- .K68 2012eb</t>
  </si>
  <si>
    <t>,115,116,117,113,114,118,171,172,173,169,170,174,229,230,231,227,228,232,287,288,289,286,285,290,12,11,13,9,10,15,4,5,6,7,8,14</t>
  </si>
  <si>
    <t>aZ0ySIHJZg5th75CU8GbWg==</t>
  </si>
  <si>
    <t>,1,2,3,57,58,59,55,56,60</t>
  </si>
  <si>
    <t>,1,2,3,13,14,15,12,11,16,17,18,19,20,21,22,23,24,25,26,27,28,29,30,31,32,33,34,36,4,57,58,59,55,56,60</t>
  </si>
  <si>
    <t>cnD/FRYQRFY=</t>
  </si>
  <si>
    <t>Religio Duplex : How the Enlightenment Reinvented Egyptian Religion</t>
  </si>
  <si>
    <t>Religion; Social Science</t>
  </si>
  <si>
    <t>HS403 -- .A87 2014eb</t>
  </si>
  <si>
    <t>,1,2,3,51,52,53,49,50,7,8,9,5,6,10,11</t>
  </si>
  <si>
    <t>,1,2,3,25,26,27,23,24,28,29,30,31,21,22,19,20</t>
  </si>
  <si>
    <t>Home Recording For Musicians For Dummies</t>
  </si>
  <si>
    <t>,1,2,3,4,18,19,20,16,17</t>
  </si>
  <si>
    <t>TK7881.4 -- .S776 2014eb</t>
  </si>
  <si>
    <t>yTd4g/gFKrwWgeg5NMD6YQ==</t>
  </si>
  <si>
    <t>,1,2,3,152,153,154,150,155,151</t>
  </si>
  <si>
    <t>TGbKe0n69CkH4KX7WHYJhQ==</t>
  </si>
  <si>
    <t>,1,37,38,39,35,36,37,2</t>
  </si>
  <si>
    <t>t2AdUpt7gIg=</t>
  </si>
  <si>
    <t>,1,2,3,5,4,5,6,7,8,9,10,11,12,13,14,15,16,17,18,19,20,21,22,23,24,25,26,27,28,29,30,31,217,218,219,215,216,220,221,222</t>
  </si>
  <si>
    <t>jA+d+kRUiGXeBvtrzN8rcw==</t>
  </si>
  <si>
    <t>,1,1,2,2,3,3,140,140,142,142,138,141,139,139,141,143,143,144,144,145</t>
  </si>
  <si>
    <t>DSM-IV-TR in Action</t>
  </si>
  <si>
    <t>RC455.2.C4 -- D95 2010eb</t>
  </si>
  <si>
    <t>616.89001/2</t>
  </si>
  <si>
    <t>,1,2,3,37,38,39,35,36,26,27,28,24,25,29,30,31,32,33,34,35,36,37,38,39,23,20,21,22,18,19,27,29,25,26,32,33,190,191,188,192,189,193,194,195,197,196,198,199,200</t>
  </si>
  <si>
    <t>Change One Thing! : Make one change and embrace a happier, more successful you</t>
  </si>
  <si>
    <t>,1,2,1,2,3,1,3,1,2,2,105,105,107,106,103,107,106,104,104,179,179,180,180,181,177,181,178,178</t>
  </si>
  <si>
    <t>,179</t>
  </si>
  <si>
    <t>HD4904.25 -- .H334 2014eb</t>
  </si>
  <si>
    <t>,14,15,16</t>
  </si>
  <si>
    <t>,1,1,2,2,3,3,2,2,177,178,177,178,179,179,176,175,176,156,156,157,158,154,158,157,155,155,14,15,16,15,13,16,12,14,13,11,16,17,17,12,17</t>
  </si>
  <si>
    <t>Be Brilliant Every Day</t>
  </si>
  <si>
    <t>,1,2,2,3,1,3,2,2,161,161,163,163,162,162,159,160,160,164,164,165,165,166,166,167,167,168,168</t>
  </si>
  <si>
    <t>,161,162,163,164,165,166,167,168,169,170</t>
  </si>
  <si>
    <t>HD57.7 .C6687 2014</t>
  </si>
  <si>
    <t>,123,124,125,126</t>
  </si>
  <si>
    <t>,1,2,1,2,1,3,3,7,7,8,9,5,8,6,9,6,2,10,10,5,10,11,11,12,12,123,123,124,124,125,125,121,122,122,126,126,127,128,127,128,123,128,125,124,123,121,122,126,127</t>
  </si>
  <si>
    <t>mYKVrVvThucQs1UmVtBZIg==</t>
  </si>
  <si>
    <t>Art of Being a Brilliant Teenager</t>
  </si>
  <si>
    <t>,1,2,2,3,3,1,2,2,36,36,132,132,133,133,134,134,131,131,130,130,128,129,129,133,134,129,128,133,134,135,135,137,137,138,138,8,9,8,10,6,7,10,9,7,8,9,10,6,7,104,104,105</t>
  </si>
  <si>
    <t>BF637.S4 -- .A78 2015eb</t>
  </si>
  <si>
    <t>Kids Gone Wild : From Rainbow Parties to Sexting, Understanding the Hype Over Teen Sex</t>
  </si>
  <si>
    <t>,1,2,2,3,1,3,2,2,4,4,5,5,6,6,7,7,8,8,9,10,10,9,11,11,12,12,13,13,14,14,15,15,16,16,17,17,18,18,13</t>
  </si>
  <si>
    <t>HQ27 -- .B47 2014eb</t>
  </si>
  <si>
    <t>,1,2,3,2,3,1,4,4,5,5,6,6,7,7,8,9,8,9,2</t>
  </si>
  <si>
    <t>,1,3,2,7,8,9,5,6,10,11,473,474,475,471,472,476,477,478,479,480,472,378,372,358,359,360,356,357,321,319,318,320,316,317,315,314,313,312,311,310,309,308,307,306,305,304,303,302,301,300,299,298</t>
  </si>
  <si>
    <t>q29V4c9BoM8j0XS+zqq5Fg==</t>
  </si>
  <si>
    <t>Drugs of Abuse : Pharmacology and Molecular Mechanisms</t>
  </si>
  <si>
    <t>,1,2,3,7,8,9,5,6,10,11,2,12,13,14,15,16,17,18,19,20,21</t>
  </si>
  <si>
    <t>RM315 -- .H693 2014eb</t>
  </si>
  <si>
    <t>RXGGgUsnHvGMjp/xgI6tGA==</t>
  </si>
  <si>
    <t>,270,265,232,233,232,233,234,230,234,231,231,235,236,235,237,236,237,238,239,238,239,262,262,264,262,263,260,263,261,261,265,266,267,268,269,270,271,271,266,265,258,259,258,259,260,257,256,257,261,262,257,256,255,232,233,234,230,231,235,236,237,266,267,268,269,270,255,256,257,253,254,254,266,267,268,264,269,265,270</t>
  </si>
  <si>
    <t>,1,2,2,3,1,3,266,267,266,267,268,264,268,269,269,265,2,264,262,263,261,260,259,258,257,256,255,260,261,262,266,267,268,264,265,263,260,259,258,256,257,266,267,268,264,265,269,264,263,262,261,260,259,258,257,256,255,254,253,252,266,267,268,264,265,269,264,263,262,261,260,266,267,268,265,269,270,270,265,263,264,262,261,260,259,258,257,256,255,254,253,252,251,250,249,248,247,246,245,244,243,266,267,268,264,269,265,270</t>
  </si>
  <si>
    <t>,1,1,2,2,3,3,266,267,267,2,268,264,268,266,265,265,269,269,264,269,270,270,265</t>
  </si>
  <si>
    <t>Acquisition and Performance of Sports Skills</t>
  </si>
  <si>
    <t>GV558 -- .M36 2014eb</t>
  </si>
  <si>
    <t>,450,451,312,313,314,310,311,315,316,317,312,315,318,319,308,309,316,456,457,458,454,455,474,475,476,472,473,477,471,470,303,304,305,301,302,306,307</t>
  </si>
  <si>
    <t>,1,2,3,129,130,131,132,133,134,129,128,127,422,423,420,424,421,425,435,436,437,434,433,60,61,62,59,58,436,438,435,446,447,448,444,445,449</t>
  </si>
  <si>
    <t>5r4uiUSgjma31mlKgCs4cw==</t>
  </si>
  <si>
    <t>v9FUAF/pO0Ckhc5SQ1vDlQ==</t>
  </si>
  <si>
    <t>,4,5,6,7,8,242,243,244,240,241,245,239,238,237,235,236,234,232,200,201,202,198,199,203,99,100,101,98,97,102,103,178,179,180,176,177,181,182,183,184,185,186,187</t>
  </si>
  <si>
    <t>q9G7gxZkUrf6vZruOT3j7Q==</t>
  </si>
  <si>
    <t>Fashioned Body</t>
  </si>
  <si>
    <t>,1,2,3,217,218,219,215,220,216,221</t>
  </si>
  <si>
    <t>GT525</t>
  </si>
  <si>
    <t>CrhSwZtiWiqNCrzoZroLZg==</t>
  </si>
  <si>
    <t>,318,319,320,321,322,323,325,324,326,327,328,329,330,331,332,333,334,335,336,337,338,339,340,341,342,343,344,345,346,347,348,349</t>
  </si>
  <si>
    <t>,1,2,3,4,5,6,7,8,9,10,11,12,13,14,15,16,17,18,19,20,21,22,23,24,25,26,27,28,29,30,31,32,33,34,35,36,37,39,38,40,41,42,43,44,45,46,47,48,49,50,51,52,53,54,55,56,57,58,59,60,61,62,63,64,65,66,67,68,69,70,71,72,73,74,75,76,77,78,79,80,81,82,83,85,84,87,91,92,93,94,95,96,97,98,99,100,101,102,103,104,105,106,107,108,109,110,112,111,113,114,116,115,117,118,119,120,121,135,149,225,180,226,227,228,229,231,230,240,232,234,233,235,236,237,238,239,241,242,244,243,245,246,247,248,249,250,251,252,253,254,255,256,257,258,259,260,261,262,263,264,265,266,267,268,269,270,271,272,273,274,275,276,277,278,279,281,280,283,284,282,285,286,287,288,289,290,291,292,293,294,295,296,297,298,299,300,301,303,302,305,304,306,307,308,309,310,311,312,313,314,315,316,317</t>
  </si>
  <si>
    <t>e56lo4Naaqd4IiV7JtA8jA==</t>
  </si>
  <si>
    <t>,1,2,3,4,5,6,7,8,8,1,9,10,6,7,2,2,1,3,4</t>
  </si>
  <si>
    <t>,1,2,3,4,5,6,16,27,33,37,41,47,48,49,45,46,44,43,42</t>
  </si>
  <si>
    <t>Bookkeeping and Accounting All-in-One For Dummies</t>
  </si>
  <si>
    <t>HF5635 -- .B665 2015eb</t>
  </si>
  <si>
    <t>iKtmUUdk3aFGR3bDfPJKIg==</t>
  </si>
  <si>
    <t>The Future of Illusion : Political Theology and Early Modern Texts</t>
  </si>
  <si>
    <t>,38,39,40,41,42,43,44,45,46,47,48,49,50,51,52,53,54,55,56,57,58,59,60,61,62,63,64,65,66,67,68,69,130,131,132,133,134,135,136,137,138,139,140,141,142,143,144,145,146,147,148,149,150,151,152,153,154,155,156,157,158,159,160,161,162,163,164,165,166,167,168,169,170,171,172,173,174,175,176,177,178,179,180,181,182,183,184,185,186,187,188,189,190,191,192,193,194,195,196,197</t>
  </si>
  <si>
    <t>BT83</t>
  </si>
  <si>
    <t>201/.72</t>
  </si>
  <si>
    <t>,1,2,3,130,131,132,133,134</t>
  </si>
  <si>
    <t>HSd02B1hV+UuKEuAox/c5A==</t>
  </si>
  <si>
    <t>Paging God : Religion in the Halls of Medicine</t>
  </si>
  <si>
    <t>,1,2,3,31,32,33,29,30,34,35,36,37,14,15,16,12,13,17,18,19,20,21</t>
  </si>
  <si>
    <t>R725.55 -- .C33 2012eb</t>
  </si>
  <si>
    <t>,1,24,25,26,22,23,2,27,28,29,30,31,32,33,34,35,36,37,38,39,40,41</t>
  </si>
  <si>
    <t>CiqeIDxok5+o6aI1xS0udQ==</t>
  </si>
  <si>
    <t>Visions of Zion : Ethiopians and Rastafari in the Search for the Promised Land</t>
  </si>
  <si>
    <t>,1,2,3,4,5,6,7,8,9,10,12,13,14,11,15,16,17,18,19,20,21,22,23,24,33,34,30,26,25,27</t>
  </si>
  <si>
    <t>BL2532.R37 -- .M335 2014eb</t>
  </si>
  <si>
    <t>305.6/996760963</t>
  </si>
  <si>
    <t>8TUGngJc/GGymi/WNuc2bw==</t>
  </si>
  <si>
    <t>Sacred Relics : Pieces of the Past in Nineteenth-Century America</t>
  </si>
  <si>
    <t>Fine Arts; Museums</t>
  </si>
  <si>
    <t>,1,154,155,156,152,153,2,151,226,227,228,224</t>
  </si>
  <si>
    <t>AM305</t>
  </si>
  <si>
    <t>790.1/32097309034</t>
  </si>
  <si>
    <t>hEUWQHhTZ2w=</t>
  </si>
  <si>
    <t>Eurasian Regionalisms and Russian Foreign Policy</t>
  </si>
  <si>
    <t>,150,151,152,148,149,153,147</t>
  </si>
  <si>
    <t>,19,20,21,22</t>
  </si>
  <si>
    <t>,1,2,3,14,15,16,12,13,17,18</t>
  </si>
  <si>
    <t>HTML5 eLearning Kit For Dummies</t>
  </si>
  <si>
    <t>,2,1,4,3,3,2,2</t>
  </si>
  <si>
    <t>QA76.76.H94 -- B68 2012eb</t>
  </si>
  <si>
    <t>004.6; 006.74</t>
  </si>
  <si>
    <t>,1,2,2,3,3,1,2,2,231,232,233,231,232,233,229,230,230,266,267,268,267,268,266,264,265,265,269,269,251,252,251,252,250,253,249,250,253,248,247,246,245,232,233,231,229,230,234,234,235,235,236,236,237,237,238,238,239,239,240,240,241,241,242,242,243,243,244,244,245,266,267,268,264,265,269,264,251,252,253,249,250,248,247,245,246,240,241,242,238,239,243,244,245,246,247,248,249,250,251,252,252,253,254,254,255,255,256,256,257,257,258,258,266,267,268,264,269,265,253,254,255,251,252,256,257,258,259,259,260,260,261,261,262,262,263,264,263,265,266,267,268,232,233,234,230,231,235,236,237,238,239,240,241,242,243,244,245,246,247,248,249,250,251,252,253,254,255,256,257,258,259,260,261,262,263,264,265,266,267,268,269,260,259,258,257,256,255,254,253,252,240,241,242,238,239,243,244,245,246,237,236,235,234,233,232,247,248,249,250,251,231,230,229,280,281,282</t>
  </si>
  <si>
    <t>,1,1,2,2,3,3,1,2,2</t>
  </si>
  <si>
    <t>,1,2,3,14,15,16,13,12,17,18,19</t>
  </si>
  <si>
    <t>,1,2,3,31,32,33,29,30</t>
  </si>
  <si>
    <t>GBOAOYW48Wi3yJ+RSGmhuA==</t>
  </si>
  <si>
    <t>Differential Diagnosis in Small Animal Medicine</t>
  </si>
  <si>
    <t>,1,2,2,3,1,3,4,4</t>
  </si>
  <si>
    <t>SF724 .G384 2015</t>
  </si>
  <si>
    <t>,1,2,3,40,41,42,38,39,199,200,201,197,198,202,203,119,120,121,117,118,107,108,109,105,106,70,71,72,68,69</t>
  </si>
  <si>
    <t>7Jfv/98PczDY+G/lnFj9/A==</t>
  </si>
  <si>
    <t>History of Japan</t>
  </si>
  <si>
    <t>DS835 -- .T686 2013eb</t>
  </si>
  <si>
    <t>Y6qN7MgE3JEwCOWEO/MgtA==</t>
  </si>
  <si>
    <t>,194,197,194,193,191,192,189,190,192,189,179,140,139,135,136,137,138,141,142,143,144,145,155,157,176,177,178,169,168,170,171,172,182,294,292,291,290,293,289,277,205,206,207,208,209,210,211,212,213,214,215,216,217,218,219,220,221,222,223,224,225,226,227,228,229,230,231,232,233,249,250,251,252,255,256,257,258,259,261,262,264,265,266,267,268,269,270,271,276,156,153,157,159,160,161,158,15,8,1,2,3,27,28,42,46,47,48,44,45</t>
  </si>
  <si>
    <t>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</t>
  </si>
  <si>
    <t>,1,2,3,197,198,199,195,196</t>
  </si>
  <si>
    <t>Bw/fkqBtykU=</t>
  </si>
  <si>
    <t>Cleft Palate Speech : Assessment and Intervention</t>
  </si>
  <si>
    <t>,1,2,3,70,71,72,68,69,73,74,75,76,129,130,131,127,128</t>
  </si>
  <si>
    <t>RJ496.S7 -- C557 2011eb</t>
  </si>
  <si>
    <t>618.92/855</t>
  </si>
  <si>
    <t>EhskIfyP9IeBTCMwFgjSGg==</t>
  </si>
  <si>
    <t>Philosophical Writing : An Introduction</t>
  </si>
  <si>
    <t>,1,2,3,57,58,59,55,56</t>
  </si>
  <si>
    <t>B72 .M384 2015</t>
  </si>
  <si>
    <t>Actor-Network Theory and Crime Studies : Explorations in Science and Technology</t>
  </si>
  <si>
    <t>,1,2,3,66,68,64,67,65</t>
  </si>
  <si>
    <t>HM741 -- .R63 2015eb</t>
  </si>
  <si>
    <t>thfWiXkNmpo=</t>
  </si>
  <si>
    <t>Controlling Contested Places : Late Antique Antioch and the Spatial Politics of Religious Controversy</t>
  </si>
  <si>
    <t>,1,2,3,4,5,6,7,8,9,10,11,12,13,14,15,16,17,18,20,19,21,22,23,24,25,26,27,28,29,30,31,32,33</t>
  </si>
  <si>
    <t>BR1085.A58 -- S54 2014eb</t>
  </si>
  <si>
    <t>275.64/8</t>
  </si>
  <si>
    <t>nqSW2j1tjqHuk10n+4kcNg==</t>
  </si>
  <si>
    <t>Second Growth : The Promise of Tropical Forest Regeneration in an Age of Deforestation</t>
  </si>
  <si>
    <t>Science; Agriculture; Science: Biology/Natural History</t>
  </si>
  <si>
    <t>,282,283,284,280,281,285,286</t>
  </si>
  <si>
    <t>SD409</t>
  </si>
  <si>
    <t>Gender and Sexuality in Muslim Cultures</t>
  </si>
  <si>
    <t>HQ1075.5.I74 O99 2015</t>
  </si>
  <si>
    <t>Bi3fB/BTVFHfyu+PoFjncA==</t>
  </si>
  <si>
    <t>,1,2,3,6,11,12,13,15,19,23,26,29,2,30,31,27,28,39,40,42,45,47,48,49,46,51,52,53,62,73,74,75,76,72</t>
  </si>
  <si>
    <t>The Spectacular Favela : Violence in Modern Brazil</t>
  </si>
  <si>
    <t>,20,21,22,23,24,25,26,27,29,28,30,31,32,33,34,35,36,37,38,39,40,41,42,43,44,45,46,47,48,49,50,51,52,53,54,55,56,57</t>
  </si>
  <si>
    <t>HN290.R5 -- .R63 2015eb</t>
  </si>
  <si>
    <t>,1,2,3,4,5,6,7,8,9,10,11,12,13,14,15,16,17,18,19,17</t>
  </si>
  <si>
    <t>,1,2,3,279,280,281,277,278,323,324,325,321,317,318,319,311,312,313,309,310,314,315,316,320,322,326,327,328,329,330,331,332,333,334,335,336,337,338,339,340,341,342,343,344,345,346,347,348,349</t>
  </si>
  <si>
    <t>,1,2,3,266,267,264,265,269,270,271,1,272,271,273,269,270,267,268,266,2,265,264</t>
  </si>
  <si>
    <t>Perception Beyond Gestalt : Progress in vision research</t>
  </si>
  <si>
    <t>BF203 -- .P27 2014eb</t>
  </si>
  <si>
    <t>,6,7,8,5,4,9</t>
  </si>
  <si>
    <t>,1,2,3,180,181,182,178,179,156,157,158,154,155,159,160,164,168,169,171,172,173,174,170,175,177,176,98,99,100,96,97,101,102,106,107,108,109,110,111,112,113,114,115,116,117,118,119</t>
  </si>
  <si>
    <t>,1,2,3,8,9,10,6,7,28,29,30,26,27,31,32,33,34,35,36,37,11,12,13,14,15,16,17,18,43,44,45,41,42,46</t>
  </si>
  <si>
    <t>,32,33,34,35,36,37,38,39,40,42</t>
  </si>
  <si>
    <t>,1,28,29,30,26,27,2,31</t>
  </si>
  <si>
    <t>,132,134,131,130,133</t>
  </si>
  <si>
    <t>fvhahxBm3yemiL9L8+iSfg==</t>
  </si>
  <si>
    <t>,1,2,3,4,5,6,7,25,8,9,11,16,28,29,30,26,27,31,35,36,33</t>
  </si>
  <si>
    <t>NGLhoA9rDPGU1khgBiF41Q==</t>
  </si>
  <si>
    <t>Common Threads : A Cultural History of Clothing in American Catholicism</t>
  </si>
  <si>
    <t>,212,214,1,210,211,213,215,216,217,209,208,207,205,206,204,203,2,144,184,185,186,182,183,187,188,188,189,190,1,186,187,191,192,193,194,195,196,197,198,199,200,201,202,203,204,205,206,207,208,209,210,211,2,1,2,4,3,184,185,186,182,183,187,188,189,190,191,192,193,194,195,196,197,198,199,200,201,202,203,204,205,206,207,208,209,210,211,212,213,214,215,216,217</t>
  </si>
  <si>
    <t>BX1406.3 -- .D89 2014eb</t>
  </si>
  <si>
    <t>391.0088/28273</t>
  </si>
  <si>
    <t>,2,1,3,9,33,42,85,110,213,209,177,167,168,169,170,171,103,104,105,101,102,106,201,202,203,200,199</t>
  </si>
  <si>
    <t>,1,2,3,282,283,284,280,281</t>
  </si>
  <si>
    <t>,1,2,3,184,185,186,182,183,187,188,189,190,191,192,193,194,195,196,197,198,200,199,201,202,203,204,205,206,207,208,209,210,211,212</t>
  </si>
  <si>
    <t>,1,18,19,20,16,17,21,22,23,2,24,25,26,27,28,29,44,45,46,42,43,47,48</t>
  </si>
  <si>
    <t>Blko2xq/jgO36Wnyql2L7g==</t>
  </si>
  <si>
    <t>,395,396,394,397,398,399,400,401,402,403,404,405,406,407,408,409,410,411,412,413,414</t>
  </si>
  <si>
    <t>,1,2,3,388,389,390,386,387,388,389,390,386,387,391,392,393,394</t>
  </si>
  <si>
    <t>rIKqAPWTKGw2yC8F4qGMNw==</t>
  </si>
  <si>
    <t>,131,132,133,179,180,181,177,178,182,183,262,263,264,265,261,260,262,263,264,260,261,273,274,275,276,277,362,360,361,359,358,356,357,265,127,128,129,125,126,179,180,181,177,178,182,183,176</t>
  </si>
  <si>
    <t>,1,2,3,362,360,361,359,358,4,5,6,7,8,9,10,337,338,357,14,15,16,12,13,17,18,19,11,33,34,35,31,32,36,127,128,129,126,125,130</t>
  </si>
  <si>
    <t>ch4CY938FWY=</t>
  </si>
  <si>
    <t>,1,2,3,13,14,11,12,15</t>
  </si>
  <si>
    <t>Jolt : Shake Up Your Thinking and Upgrade Your Impact for Extraordinary Success</t>
  </si>
  <si>
    <t>,1,2,3,26,25,27,23,24</t>
  </si>
  <si>
    <t>BF637.C4 -- .T95 2015eb</t>
  </si>
  <si>
    <t>,1,2,3,56,57,58,55,54</t>
  </si>
  <si>
    <t>Mindfulness at Work For Dummies</t>
  </si>
  <si>
    <t>HD57.7 .A384 2014</t>
  </si>
  <si>
    <t>Leadership Meta-Competencies : Discovering Hidden Virtues</t>
  </si>
  <si>
    <t>,1,2,3,19,18,20,17,16,112,113,114,110,111,106,4,5,14,15</t>
  </si>
  <si>
    <t>HD57.7 -- .B687 2014eb</t>
  </si>
  <si>
    <t>,1,2,3,7,8,9,5,6,10,11,12,13,14,4</t>
  </si>
  <si>
    <t>,164,165,166,167,163,162,197,198,199,200,196,227,228,229,225,230,231,232,233,234</t>
  </si>
  <si>
    <t>,1,2,3,106,107,108,104,109,105</t>
  </si>
  <si>
    <t>1ZnBli9XL4OATAS+wyADtg==</t>
  </si>
  <si>
    <t>Racism in the Nation's Service : Government Workers and the Color Line in Woodrow Wilson's America</t>
  </si>
  <si>
    <t>Economics; Political Science</t>
  </si>
  <si>
    <t>,12,20,16,17,193,194,195,192,189,190,188</t>
  </si>
  <si>
    <t>JK723.A34 -- Y45 2013eb</t>
  </si>
  <si>
    <t>331.6/396073009041</t>
  </si>
  <si>
    <t>,1,2,3,17,18,15,19,13,14</t>
  </si>
  <si>
    <t>Trauma and Orthopaedics at a Glance</t>
  </si>
  <si>
    <t>,92,87,85</t>
  </si>
  <si>
    <t>RC925 -- .W555 2016eb</t>
  </si>
  <si>
    <t>,1,2,3,84,85,86,82,83,87,88,89,90,91,92,93,84,80</t>
  </si>
  <si>
    <t>,1,2,3,84,85,86,82,83,87,88,87,82</t>
  </si>
  <si>
    <t>,1,2,3,142,138,139,143</t>
  </si>
  <si>
    <t>,1,2,3,82,83,87</t>
  </si>
  <si>
    <t>Forensic Archaeology : A Global Perspective</t>
  </si>
  <si>
    <t>GN69 -- .F674 2015eb</t>
  </si>
  <si>
    <t>,1,2,3,22,23,24,20,139,140,141,137,138</t>
  </si>
  <si>
    <t>Life After Brain Injury : Survivors' Stories</t>
  </si>
  <si>
    <t>F2536</t>
  </si>
  <si>
    <t>Survivor Stories</t>
  </si>
  <si>
    <t>,1,3,2,42,43,44,40,41,28,29,30,26,27</t>
  </si>
  <si>
    <t>RC387.5 -- .W547 2013eb</t>
  </si>
  <si>
    <t>sSV1SjJ3qqXLOzUq3Ckw0Q==</t>
  </si>
  <si>
    <t>Gender and Song in Early Modern England</t>
  </si>
  <si>
    <t>,1,3,2,4,5,6,189,190,191,228,214,215,216,211,212,213,210,209,208,110,111,112,108,109,113,92</t>
  </si>
  <si>
    <t>PR658.S42 -- G46 2014eb</t>
  </si>
  <si>
    <t>822/.309353</t>
  </si>
  <si>
    <t>,1,3,1,3</t>
  </si>
  <si>
    <t>,1,1,2,2,3,3,2,2,44,45,44,44,45,46,46,74,87,87,86,87</t>
  </si>
  <si>
    <t>,2,1,3,4,16,21,22,23,19,20,386,379,349,155,316,317,318,314,315</t>
  </si>
  <si>
    <t>wj4gjw1FJqJwrE9O4cqpAA==</t>
  </si>
  <si>
    <t>Music Therapy Handbook</t>
  </si>
  <si>
    <t>Medicine; Fine Arts</t>
  </si>
  <si>
    <t>,1,2,3,4,5,6,7,8,9,10,11,12,13,14,15,16,17,18,19,20,21,25,29,30,31,32,33,28,34,35</t>
  </si>
  <si>
    <t>ML3920 -- .M89776 2015eb</t>
  </si>
  <si>
    <t>615.8/5154</t>
  </si>
  <si>
    <t>Smashing jQuery : Professional Techniques with Ajax and JQuery</t>
  </si>
  <si>
    <t>QA76.73.J38 -- R895 2011eb</t>
  </si>
  <si>
    <t>006.7/4</t>
  </si>
  <si>
    <t>Sexuality : A Psychosocial Manifesto</t>
  </si>
  <si>
    <t>HQ21 .J384 2015</t>
  </si>
  <si>
    <t>,2,1,2,1,3,3,8,9,8,10,9,6,10,7,7,2,28,28,29,26,29,30,27,30,27,31,31,350,351,350,352,352,351,348,349,349</t>
  </si>
  <si>
    <t>,1,2,3,4,5,6,7,9,8,10</t>
  </si>
  <si>
    <t>,1,2,3,4,5,6,7,8,9,10,11,12,13,14,15,16,17,18,2,19</t>
  </si>
  <si>
    <t>thI8hinmROPHxvIO2otRPQ==</t>
  </si>
  <si>
    <t>,27,28,29,30,90,91,92,88,89,93,88,87,86,84,85,83,81,82,80,79,76,77,6,7,8,5,3,4,1,2</t>
  </si>
  <si>
    <t>,1,2,3,4,5,6,7,8,9,10,11,12,13,14,15,16,17,18,24,25,26,22,23</t>
  </si>
  <si>
    <t>Jxwdyr8j+WqkmKsGxwW3ww==</t>
  </si>
  <si>
    <t>,1,2,3,23,25,24,22,21,26,27,37,38,39,35,36,40,41,42,43,52,53,54,50,51,55,56,57,58,59,60,61,62,63,64</t>
  </si>
  <si>
    <t>samSvKi1BCY3WCfxiwaWFQ==</t>
  </si>
  <si>
    <t>,1,3,2,16,17,18,14,15,30,43,44,45,2,42,41</t>
  </si>
  <si>
    <t>The Violence of Care : Rape Victims, Forensic Nurses, and Sexual Assault Intervention</t>
  </si>
  <si>
    <t>RA1141 -- .M85 2014eb</t>
  </si>
  <si>
    <t>Social Executive : How to Master Social Media and Why its Good for Business</t>
  </si>
  <si>
    <t>HD30.3 -- .K375 2014eb</t>
  </si>
  <si>
    <t>,1,50,51,52,48,49,53,55,2,285,286,287,283,284,282</t>
  </si>
  <si>
    <t>,43,44,45,46,47,48,49,50,51,52,53,54,55,56,57,58,59,60,48,47,46</t>
  </si>
  <si>
    <t>,1,36,37,38,34,35,2,39,40,41,40,41,42</t>
  </si>
  <si>
    <t>KZjbRelhSuFQt3B/SPeYhg==</t>
  </si>
  <si>
    <t>Environmental Science : A Self-Teaching Guide</t>
  </si>
  <si>
    <t>Environmental Studies; Economics</t>
  </si>
  <si>
    <t>GE105 .M87 2015</t>
  </si>
  <si>
    <t>Adventures in Raspberry Pi</t>
  </si>
  <si>
    <t>Sport &amp; Recreation; Computer Science/IT</t>
  </si>
  <si>
    <t>QA76.73.P98 -- .P455 2015eb</t>
  </si>
  <si>
    <t>GC/XnUNU/zuJarJSB/Hg5Q==</t>
  </si>
  <si>
    <t>King and Court in Ancient Persia 559 to 331 BCE</t>
  </si>
  <si>
    <t>,1,2,1,2,3,3,4,4,5,5,6,7,7,6</t>
  </si>
  <si>
    <t>DS281 -- .L54 2013eb</t>
  </si>
  <si>
    <t>,1,2,3,8,9,10,6,7,20,21,22,19,18,11,12,13</t>
  </si>
  <si>
    <t>,1,2,2,3,3,1,2,2,218,219,220,219,216,218,217,217,220,215,220,221,221,222,222,223,223,224,224,225,225,226,226,227,227,228,228,229,229,230,230,225,224,223,221,222,220,219,224,218,217,216,215,214,219,214,213</t>
  </si>
  <si>
    <t>Athena</t>
  </si>
  <si>
    <t>Atlas of Human Infectious Diseases</t>
  </si>
  <si>
    <t>,1,2,3,86,87,88,84,85,94,62,54,69,74,79,89</t>
  </si>
  <si>
    <t>,86</t>
  </si>
  <si>
    <t>RC113.2 -- .A85 2012eb</t>
  </si>
  <si>
    <t>616.90022/3</t>
  </si>
  <si>
    <t>athena</t>
  </si>
  <si>
    <t>,1,2,3,4,5,6,7,240,242,238,240,241,242,238,239,243</t>
  </si>
  <si>
    <t>,240</t>
  </si>
  <si>
    <t>,1,2,3,1,2,3,268,269,270,266,267,310,311,308,44,45,46,42,43,268,269,270,266</t>
  </si>
  <si>
    <t>,1,2,3,86,84,89</t>
  </si>
  <si>
    <t>,15,13,14</t>
  </si>
  <si>
    <t>,1,2,3,18,19,20,16,17,21,22,23,24,25</t>
  </si>
  <si>
    <t>yctiwI8d6JJJ4YD9CshYpQ==</t>
  </si>
  <si>
    <t>Spectacular Girls : Media Fascination and Celebrity Culture</t>
  </si>
  <si>
    <t>,308,306,310,307,10,11,8,12,9,20,21,22,19,309,310,307,308</t>
  </si>
  <si>
    <t>P96.W6 -- P88 2014eb</t>
  </si>
  <si>
    <t>302.230835/2</t>
  </si>
  <si>
    <t>,1,2,3,8,9,10,6,7,12,13,14,11,16,17,18,15,40,41,42,38,39,43,44,72,73,70,74,71,75,76,110,111,112,108,109,142,143,144,140,141,145,146,147,148,149,150,170,171,172,168,169,173,174,196,197,198,194,195,232,233,234,230,231,235,294,295,296,292,293</t>
  </si>
  <si>
    <t>Ti2w6kDKqV8=</t>
  </si>
  <si>
    <t>,1,2,3,4,5,6,14,16,17,18,15,19,20,21,22,23,24,25,11,12,13,10,12,13,14,10,11,15,16,17,18,19,20,21</t>
  </si>
  <si>
    <t>sFUmXqTYFy+6z/vLAXusIA==</t>
  </si>
  <si>
    <t>,1,3,2,198,199,200,197,196,201,1,201,202,203,200,199,198,2,204,205,206,207,208,209,210,211,212,213,214,215,216,217,218,219,220,221,222,223,224,225,226,227,228,229,230,231,232,48,49,50,46,47,51,164,165,166,162,163,167,168,223,229,230,231,223,222,221,220,219,218,217,216,215,214,213,212,211,210,209,208,207,206,205,204,203,202,201,200,199,198,197,196,232,195</t>
  </si>
  <si>
    <t>,1,2,3,227,228,229,225,226,224,223,222,165,13,9,198,199,200,197,201,202,203,204,205,206,207,208,209,210,211,212,213,214,215,216,217,218,219,220,221</t>
  </si>
  <si>
    <t>Lexical-Functional Syntax</t>
  </si>
  <si>
    <t>P291 .B726 2015</t>
  </si>
  <si>
    <t>Men, Masculinity And Social Welfare</t>
  </si>
  <si>
    <t>,99,100,101,97,98,102,103,1,103,104,105,101,102</t>
  </si>
  <si>
    <t>HQ1088 -- .P75 2003eb</t>
  </si>
  <si>
    <t>,4,5,6,7,8,9,10,11,12,13,14,15,2,1,3</t>
  </si>
  <si>
    <t>,1,2,3,4,5,6,18,19,20,16,17,21,22,23,24,25,26,27,28,29,30,31,32,33,34,36,37,38,39,40,41,42,43</t>
  </si>
  <si>
    <t>,1,2,3,141,142,143,139,140,31,32,33,29,30,34</t>
  </si>
  <si>
    <t>cdVVmcGUytADEA/UjmbMAg==</t>
  </si>
  <si>
    <t>,1,2,3,250,251,252,248,249,253,135,136,137,133,134,138,139,140,141,142,143,144,145,146,147,148,149,150,151</t>
  </si>
  <si>
    <t>,1,2,3,4,5,6,2,3,4,1,197,198,199,200,196,201,206,207,203,208,227,228,231,232,225,226,45,46,47,48,49,50,51,1,52,53,51,49,50,227,228,229,230,231,232,2,226,225,224,223,222,220,221,219,218,217,217,1,218,219,215,216,221,227,229,232,233,231,230,228,226,2,216,215,214,213,212,211,210,209,208,207,205,206,204,203,202,201,200,199,198,196,197,195,52,164,165,166,167,168,192,193,194,194,1,195,196,192,193,107,108,109,105,106,110,111,2,112,113,114,128,129,142,143,144,140,141,101,104,145,146,147,148,149,150,151,158,159,160,156,157,161,162,130,127,125,126,124,123,122,121,163,164,165,166,167,168,169,170,152,153,154,155</t>
  </si>
  <si>
    <t>,198</t>
  </si>
  <si>
    <t>,1,2,3,197,198,199,200,201,202,203,204,205,206,207,208,209,210,211,212,213,214,215,216,217,218,219,220,221,222,223,224,225,226,227,195,196</t>
  </si>
  <si>
    <t>,201,202,203,204,205,206,207,208,209,210,211,212,213,214,215,216,217,218,219,220</t>
  </si>
  <si>
    <t>,208</t>
  </si>
  <si>
    <t>,1,2,3,4,197,198,199,195,196,200,197,198,227,227,191,227,191,191,191,191,192,193,194</t>
  </si>
  <si>
    <t>2jD+EHoJA5Ne+p6FLFpLrA==</t>
  </si>
  <si>
    <t>,172</t>
  </si>
  <si>
    <t>,24,25,26,27,28,29,30,31,32,33,34,35,36,37,38,39,40,41,42,43,44,45,46,47,48,49,50,51,52,53,54,55,56,57,58,59,60,61,62,63,64,65,66,67,68,69,70,71,72,73,74,75,76,77,78,79,80,81,82,83,84,85,86,87,88,89,222,223,224,225,226,227,228,229,230,231,232,233,234,235,236,237</t>
  </si>
  <si>
    <t>,1,2,3,4,5,6,7,8,222,223,224,225,226,220,221,154,155,156,152,153,157,158,159,160,161,162,163,164,165,167,168,169,170,171,172,173,174,175,173</t>
  </si>
  <si>
    <t>,1,2,2,1,3,3,295,296,295,296,294,293,294,297,297,2,298,298,292,297,298,298,300,300</t>
  </si>
  <si>
    <t>,1,2,2,3,1,3,101,102,103,103,99,102,100,100,101,2</t>
  </si>
  <si>
    <t>27DH8kUKS2DzJJsnd3OVqA==</t>
  </si>
  <si>
    <t>dv+41gzDCTCMZfAVO0RNHg==</t>
  </si>
  <si>
    <t>,1,2,3,107,108,109,105,106,110,111,112,113,114,115,116,117,118,119,120,121,122,123,124,125,126,127,128,129,130,131,132,133,134,135,136,137,138,139,140,141,142,143,144,145,146,147,148,1,148,149,150,147,146,151,152,2,153,154,155,156,157,158,159,160,161,162,163,164,165,166,167,107,108,128,129,130,126,127,131,132,133,134,135,136,137,138,139,140,141,142,143,158,159,160,156,157,161,162,163,164</t>
  </si>
  <si>
    <t>Arduino For Dummies</t>
  </si>
  <si>
    <t>,1,2,3,4,5,6,7,8,9,10,11,12,13,2</t>
  </si>
  <si>
    <t>TK7895.M5 -- .N877 2013eb</t>
  </si>
  <si>
    <t>s+T91Lcum+PD83vVMMvAwA==</t>
  </si>
  <si>
    <t>Artificial Transmission Lines for RF and Microwave Applications</t>
  </si>
  <si>
    <t>,244,245,246,247,248,249,250,251,252,253,254,255,256,259,260,261,262,263,264</t>
  </si>
  <si>
    <t>TK6565.T73</t>
  </si>
  <si>
    <t>621.3841/3</t>
  </si>
  <si>
    <t>,1,2,3,4,5,6,7,8,9,10,237,238,239,235,236,240,241,242,243</t>
  </si>
  <si>
    <t>Critical Media Studies : An Introduction</t>
  </si>
  <si>
    <t>,224,225,225,226,227,227,227,248,248,248,249,225,225,224,224,224,224,224,223,224,224,224,223,224,295,295,295,295,295,341,341,317,317</t>
  </si>
  <si>
    <t>,225,224,224,225,226,227,228,229,230,231,232,233,234,235,236,237,238,239,240,241,242,243,244,245,246,247,248,249,295,296,297,298,299,300,301,302,303,304,305,306,307,308,309,310,311,312,313,314,315,316,317</t>
  </si>
  <si>
    <t>P90 -- .O88 2014eb</t>
  </si>
  <si>
    <t>,1,2,3,224,225,226,223,222,227,228,229,230,231,232,233,234,223,224,224,224</t>
  </si>
  <si>
    <t>,1,3,2,4,5,6,7,8,9,10,11,12,13,14,15,16,17,18,19,20,21,22,23,24,25,36,37,34,35,38,59,60,61,57,58,62,63,66,67,68,65,64,69,70,90,91,92,88,89</t>
  </si>
  <si>
    <t>lm9nKXIMgSQJecmusCzgNg==</t>
  </si>
  <si>
    <t>Economic Analysis of the Digital Economy</t>
  </si>
  <si>
    <t>,1,2,3,456,457,458,454,455,459</t>
  </si>
  <si>
    <t>ZA4045 -- .E266 2015eb</t>
  </si>
  <si>
    <t>spfl4fa8AqHr5kPK2uhfeQ==</t>
  </si>
  <si>
    <t>,1,15,16,15,16,17,13,17,14,14,1,2,2,18,18,19,19,14,20,20,21,21,22,22,20</t>
  </si>
  <si>
    <t>Organic Stereochemistry : Experimental and Computational Methods</t>
  </si>
  <si>
    <t>,1,1,2,2,3,3,34,34,27,27,28,28,29,29,25,26,26,27,2,31,34</t>
  </si>
  <si>
    <t>QD481 -- .Z48 2015eb</t>
  </si>
  <si>
    <t>547.1; 547.1223</t>
  </si>
  <si>
    <t>,1,2,3,2,184,185,186,187,188,189,190,191,193,194,195,196,197,198,200,199,201,202,203,204,199,199,205,206,207,208,203,209,208,209,210,211,211,212,212,207,213,214,215,211,216,211,209,207,1</t>
  </si>
  <si>
    <t>,61,62,59,63,60,64,65,66,67,68,69,70,71,72,73,74,75,76,77,78,81,82,83,79,80,84,85,177,178,179,175,176,180,181,183,184,225,226,227,223,224</t>
  </si>
  <si>
    <t>,1,2,3,239,240,241,237,238</t>
  </si>
  <si>
    <t>QIxcCgu9bpY=</t>
  </si>
  <si>
    <t>The Ethics of Sex and Alzheimer's</t>
  </si>
  <si>
    <t>HQ32 -- .P67 2014eb</t>
  </si>
  <si>
    <t>,1,1,2,2,3,3,2,2,29,30,30,29,27,31,28,31,28,29</t>
  </si>
  <si>
    <t>/cgkhgOCkgEkGT5xFg3qXQ==</t>
  </si>
  <si>
    <t>Geographies of Health and Development</t>
  </si>
  <si>
    <t>,1,2,3,43,44,45,41,42,46,47,48,43,40,38,34,32,28,26,22,19,15,12,9,7,8,5,6</t>
  </si>
  <si>
    <t>RA441 -- .G46 2015eb</t>
  </si>
  <si>
    <t>DMvK4a8rU4s=</t>
  </si>
  <si>
    <t>1,001 GRE Practice Questions For Dummies (+ Free Online Practice)</t>
  </si>
  <si>
    <t>LB2367.4 .A15 2015</t>
  </si>
  <si>
    <t>Knitting For Dummies</t>
  </si>
  <si>
    <t>Language/Linguistics; Fine Arts</t>
  </si>
  <si>
    <t>TT820 -- .A45 2014eb</t>
  </si>
  <si>
    <t>,1,2,3,4,5,6,7,8,21,20,22,18,19,23,24,25,26,27,28</t>
  </si>
  <si>
    <t>,1,2,3,1,2,3,113,114,115,111,112,116,117,118,119,120,121,122,123,124,125,126,127,128,129,130,131,132,133,134,107,102,103,104,100,101,95,96,97,93,94,131</t>
  </si>
  <si>
    <t>Collaborative Learning Techniques : A Handbook for College Faculty</t>
  </si>
  <si>
    <t>,45,46,47,48,49,39,1,39,40,41,37,38,26,28,24,27,25,2,42,43,44,40,41,45,46,47,48,49,55,56,57,53,54,35,39,36,37,33,34,29,30,31,32</t>
  </si>
  <si>
    <t>LB1032 -- .B375 2014eb</t>
  </si>
  <si>
    <t>378.1/2</t>
  </si>
  <si>
    <t>,1,2,3,295,296,297,293,294,298,299,300,301,302,303,304,305,306,307,308,309,310,311,312,313</t>
  </si>
  <si>
    <t>,1,2,3,42,43,44,41,40</t>
  </si>
  <si>
    <t>,2,3,1,4,5,6,7,8,9,10,11,12,13,14,15,16,17,18,19,20,21</t>
  </si>
  <si>
    <t>The Sexual Abuse of Children : Volume II: Clinical Issues</t>
  </si>
  <si>
    <t>RJ506.C48 -- S48 1991eb</t>
  </si>
  <si>
    <t>Autophagy, Infection, and the Immune Response</t>
  </si>
  <si>
    <t>Science; Science: Biology/Natural History; Medicine</t>
  </si>
  <si>
    <t>QH603.L9 -- .A986 2015eb</t>
  </si>
  <si>
    <t>616.07/9</t>
  </si>
  <si>
    <t>3ZRWY9WE/4c=</t>
  </si>
  <si>
    <t>,13,17,17,18,18,19,19,20,20,21,21,22,22,23,23,24,24,106,106,108,107,108,104,107,105,105,109,109,110,110,111,111,112,113,112,114,70,32,70,32,114,8,113,1,2,3</t>
  </si>
  <si>
    <t>xiy4DlS0mN/XTKC7mwxT/w==</t>
  </si>
  <si>
    <t>Modern Techniques for Pathogen Detection</t>
  </si>
  <si>
    <t>Engineering; Medicine; Engineering: Environmental</t>
  </si>
  <si>
    <t>TD427.M53 -- .M634 2015eb</t>
  </si>
  <si>
    <t>,1,2,3,408,409,410,406,407,428,429,487,488,489,485,486,480,476,477,475,473,474</t>
  </si>
  <si>
    <t>,1,2,3,4,5,6,7,8,9,10,12,2,13,14,15,16,17,18,19,20,21,22,23,24,24,25</t>
  </si>
  <si>
    <t>,1,2,2,1,3,3,2,2,10,11,10,12,11,8,12,9,9,14,14,13,13,14,15,15,16,16,14</t>
  </si>
  <si>
    <t>V2+pyjMhGz2sX0LzRmk+vQ==</t>
  </si>
  <si>
    <t>Drugs : From Discovery to Approval</t>
  </si>
  <si>
    <t>,1,2,3,2,3,1,24,24,25,25,26,26,23,2,22,23,123,124,123,124,125,121,122,125,122,126,126,127,127,128,128,123,128,129,129,124,123</t>
  </si>
  <si>
    <t>RM301.25 -- .N475 2015eb</t>
  </si>
  <si>
    <t>,1,1,2,2,3,3,123,124,123,124,125,125,121,2,122,122,123,123</t>
  </si>
  <si>
    <t>,1,2,2,1,3,3,2,2,106,107,106,107,104,108,105,108,105,104,105</t>
  </si>
  <si>
    <t>yyoXbyfRP0B1fYxs1//zDg==</t>
  </si>
  <si>
    <t>Cannabis : Evolution and Ethnobotany</t>
  </si>
  <si>
    <t>Agriculture; Social Science; Health</t>
  </si>
  <si>
    <t>SB295.C35 -- C54 2013eb</t>
  </si>
  <si>
    <t>,1,2,3,4,5,7,8,14,15,16,12,13,17</t>
  </si>
  <si>
    <t>7vmD3M40W8NX1NLKMNLfuw==</t>
  </si>
  <si>
    <t>,1,2,3,4,5,6,70,71,72,68,69,73,74,75,201,202,203,199,200,198,197</t>
  </si>
  <si>
    <t>GcTFB7Q3S/qV3Ii0/Nj9HA==</t>
  </si>
  <si>
    <t>Proactive Strategies for Protecting Species : Pre-Listing Conservation and the Endangered Species Act</t>
  </si>
  <si>
    <t>,47,64,65,66,63,62,67,68,69,188,189,190,187,186</t>
  </si>
  <si>
    <t>S930 -- .P76 2015eb</t>
  </si>
  <si>
    <t>i3sGoq4ZrM+bD3TQ6wTjdw==</t>
  </si>
  <si>
    <t>m4ZlUHCYsP9j+kCV52btqw==</t>
  </si>
  <si>
    <t>,1,5,6,7,3,8,9,10,11,12,13,2</t>
  </si>
  <si>
    <t>kmitchel</t>
  </si>
  <si>
    <t>,1,2,3,4,5,6,7,8,9,10,11,12,2,13,14,15,16,17,491,514,515,516,517,518,519,398,399,395,396,190,192,188,193,32,33,34,30,31,43,44,45,41,42,57,58,59,55,56,120,121,122,118,119,132,133,134,130,131,143,144,145,141,142,268,269,265,266,288,284,285,1,287,286</t>
  </si>
  <si>
    <t>,2,2,4,4,5,5</t>
  </si>
  <si>
    <t>,1,3,3,2,2,1</t>
  </si>
  <si>
    <t>Financial Independence (Getting to Point X) : An Advisor's Guide to Comprehensive Wealth Management</t>
  </si>
  <si>
    <t>HG179 -- .V457 2013eb</t>
  </si>
  <si>
    <t>Early Years Nutrition and Healthy Weight</t>
  </si>
  <si>
    <t>Medicine; Health</t>
  </si>
  <si>
    <t>RJ206 -- .E275 2015eb</t>
  </si>
  <si>
    <t>613/.0432</t>
  </si>
  <si>
    <t>qrhMeiomnps=</t>
  </si>
  <si>
    <t>African Immigrants in Contemporary Spanish Texts : Crossing the Strait</t>
  </si>
  <si>
    <t>,1,2,3,4,8,9,10,6,7,12,13,14,11</t>
  </si>
  <si>
    <t>PQ6073.E54 -- .A375 2015eb</t>
  </si>
  <si>
    <t>860.9/3552</t>
  </si>
  <si>
    <t>Stop Throwing Money Away : Turn Clutter to Cash, Trash to Treasure--And Save the Planet While You're at It</t>
  </si>
  <si>
    <t>,1,2,3,4,29,30,31,27,28</t>
  </si>
  <si>
    <t>TX309 -- .N687 2010eb</t>
  </si>
  <si>
    <t>Critical Thinking Skills For Dummies</t>
  </si>
  <si>
    <t>,1,2,3,23,24,25,21,26,22,27,28</t>
  </si>
  <si>
    <t>LB1590.3 -- .C644 2015eb</t>
  </si>
  <si>
    <t>Medical Statistics : A Guide to SPSS, Data Analysis and Critical Appraisal</t>
  </si>
  <si>
    <t>R853.S7 -- .B378 2014eb</t>
  </si>
  <si>
    <t>610.285/555</t>
  </si>
  <si>
    <t>,1,2,3,4,5,6,7,8,9,10,11,12,13,14,2,15,19,20,21,17,18,22,28,29,30,26,27,31,32,33,35,36,1,36</t>
  </si>
  <si>
    <t>S.U.M.O (Shut Up, Move On) : The Straight-Talking Guide to Succeeding in Life</t>
  </si>
  <si>
    <t>BF637.S4 -- .M344 2015eb</t>
  </si>
  <si>
    <t>Shoppernomics : How to Shorten and Focus the Shoppers' Routes to Purchase</t>
  </si>
  <si>
    <t>,1,2,3,4,5,6,7,28,29,30,26,27,2,1,3</t>
  </si>
  <si>
    <t>HF5415.123 -- .M85 2014eb</t>
  </si>
  <si>
    <t>658.8/342</t>
  </si>
  <si>
    <t>,23,24,25,26,27,28,29,30,31,32,33,34,35,36,37,38,39,40,41,42,43,44,45,46,47,48,49,50,51,52,53,54,55,56,57,58,59,60,61,63,64,65,66,67,68,69,70,71,72,73,74,75,76,77,78,79,80,81,82,83,84,85,86,87,88,90,91,92,93,94,95,96,98,99,100,101,102,103,104,105</t>
  </si>
  <si>
    <t>/VEI0DGttlWvMv+paZI3Pg==</t>
  </si>
  <si>
    <t>,1,2,2,1,3,3,4,4,5,5,6,6,7,7,8,8,9,9,10,10,11,11,2,12,12,13,13,14,14,9,8,6,7</t>
  </si>
  <si>
    <t>,1,2,3,135,136,137,138,134,133</t>
  </si>
  <si>
    <t>,1,2,3,128,129,130,126,127,142,143,144,140,141,145,146,147,148</t>
  </si>
  <si>
    <t>African American Culture and Society After Rodney King : Provocations and Protests, Progression and 'Post-Racialism'</t>
  </si>
  <si>
    <t>,1,1,2,2,3,3,2,2,4,4,5,5,6,6,7,7,8,8,9,9,10,10,11,11,12,12,13,13,14,14,15,15,16,17,16,17,18,18,19,19</t>
  </si>
  <si>
    <t>HN400.S6 .S384 2015</t>
  </si>
  <si>
    <t>305.50941; 305.896''073</t>
  </si>
  <si>
    <t>,1,2,1,3,2,3,1</t>
  </si>
  <si>
    <t>,1,3,2,136,133,134,132,137,138,139,140,135,141,135,134,133,138</t>
  </si>
  <si>
    <t>,104,105,104,105,135,136</t>
  </si>
  <si>
    <t>Xn8SMiG9z+ev/SFdMOOdEg==</t>
  </si>
  <si>
    <t>Classwide Positive Behavior Interventions and Supports : A Guide to Proactive Classroom Management</t>
  </si>
  <si>
    <t>,15,16,17,18,19,20</t>
  </si>
  <si>
    <t>LB3013 -- .S566 2015eb</t>
  </si>
  <si>
    <t>c2LCmOJtOP4=</t>
  </si>
  <si>
    <t>Employee Engagement For Dummies</t>
  </si>
  <si>
    <t>,1,2,3,9,8,6,4,5,324,325,326,322,323,327</t>
  </si>
  <si>
    <t>HF5549.5 -- .K45 2014eb</t>
  </si>
  <si>
    <t>,276,276</t>
  </si>
  <si>
    <t>,1,2,3,266,267,268,264,265,44,45,46,42,43,276,277,278,274,275,279,276,277,273,274,278</t>
  </si>
  <si>
    <t>,2,1,3,268,264</t>
  </si>
  <si>
    <t>,1,2,3,276,274,306,307,308,304,309,310,311,44,45,46,42,266,267,268,264,265</t>
  </si>
  <si>
    <t>,295,296,297,298,299,300,301,302,303,304,305,306,307,308,309,310,311,312,313,314,315,316,317,318,319,320,321,322,323,324,325,326</t>
  </si>
  <si>
    <t>,16,17,18,19,20,21,22,23,24,25</t>
  </si>
  <si>
    <t>,1,104,105,106,102,103,2,107,108,109,110,29,30,31,28,27,32</t>
  </si>
  <si>
    <t>,1,2,3,295,297,294,296,293,298</t>
  </si>
  <si>
    <t>,1,2,3,183,184,185,181,182,186,184</t>
  </si>
  <si>
    <t>,184</t>
  </si>
  <si>
    <t>,1,2,3,4,5,6,7,8,9,10,11,12,208,209,210,206,207</t>
  </si>
  <si>
    <t>,250</t>
  </si>
  <si>
    <t>,247,247</t>
  </si>
  <si>
    <t>,1,2,3,217,218,219,215,216,220,221,222</t>
  </si>
  <si>
    <t>bmjCNbkQvzdaGlmarDDq2A==</t>
  </si>
  <si>
    <t>,1,132,133,134,130,131,2,135</t>
  </si>
  <si>
    <t>lA6V8uC+9ofegkXSwzM8HQ==</t>
  </si>
  <si>
    <t>,1,2,3,136,137,138,134,135,139,140,141</t>
  </si>
  <si>
    <t>U5DLAw/LqVDsYLN6BRhHNA==</t>
  </si>
  <si>
    <t>Native Wine Grapes of Italy</t>
  </si>
  <si>
    <t>,448,449,450,445,451,452</t>
  </si>
  <si>
    <t>SB398.28 -- .D34 2014eb</t>
  </si>
  <si>
    <t>,1,2,3,247,248,249,245,246</t>
  </si>
  <si>
    <t>,1,2,3,4,5,6,1,2,3,445,446,447,443,444,442,441</t>
  </si>
  <si>
    <t>gbRGVxFY+KU=</t>
  </si>
  <si>
    <t>Labor Movements : Global Perspectives</t>
  </si>
  <si>
    <t>,1,2,3,4,8,11,9,12,13,14,10,15,16,17,18,19,20,21,22,23,24,43,44,45,41,42,46,49,47,48,50,51,158,159,160,156,157</t>
  </si>
  <si>
    <t>HD6508 -- .L83 2014eb</t>
  </si>
  <si>
    <t>Bullying at School : What We Know and What We Can Do</t>
  </si>
  <si>
    <t>LB1124 -- .O48 1993eb</t>
  </si>
  <si>
    <t>371.5/8</t>
  </si>
  <si>
    <t>Covered in Ink : Tattoos, Women and the Politics of the Body</t>
  </si>
  <si>
    <t>HQ1206 .T4676 2015</t>
  </si>
  <si>
    <t>,190,191,192,230,234,236,280,282,283,300,300,29,29,51</t>
  </si>
  <si>
    <t>,1,2,3,37,40,36,35,33,34,30,29,31,27,28</t>
  </si>
  <si>
    <t>,1,2,3,4,5,6,7,87,88,89,85,86,84,126,127,128,124,125,129,130,131,187,188,189,185,186</t>
  </si>
  <si>
    <t>,41,42,43,44,73,74,75,71,72,76,77,78,79</t>
  </si>
  <si>
    <t>,34,35</t>
  </si>
  <si>
    <t>cmDMvzynjsI=</t>
  </si>
  <si>
    <t>Appealing to Justice : Prisoner Grievances, Rights, and Carceral Logic</t>
  </si>
  <si>
    <t>,18,20,19,17,16,21,22</t>
  </si>
  <si>
    <t>HV9475.C2 -- .C295 2015eb</t>
  </si>
  <si>
    <t>365/.64</t>
  </si>
  <si>
    <t>,1,29,30,31,27,28,2,32,33</t>
  </si>
  <si>
    <t>,1,21,22,23,19,20,2,24,25,26</t>
  </si>
  <si>
    <t>,117,118,119,120,121,122,123,129,130,131,127,128,132,133,134,135,136,137,138,139,140,141,142,143,144,150,151,152,148,149,153,154,155,156,157,158,159,160,161,162,163,164,165,166,167,168,169,170,171,172,173</t>
  </si>
  <si>
    <t>,1,2,3,113,114,115,111,112,116</t>
  </si>
  <si>
    <t>,1,2,3,26,27,28,24,25,29,30,31,32,33,34,35,36,37,38,39,40,41,42,43,44,45,46,47,48,49,50,51,52,53,54,55,56,57,58,59</t>
  </si>
  <si>
    <t>Wjwp/0kZVCdXoh0pGvV18g==</t>
  </si>
  <si>
    <t>,32,33,34,35,36,37,38,39,40,41,40</t>
  </si>
  <si>
    <t>,1,1,2,3,2,3,31,32,31,32,33,29,33,30,30,34,34,35,30,35,29,31,2,31,31,31,31</t>
  </si>
  <si>
    <t>,1,2,3,198,199,200,196,197,201,202,203,204,227,228,229,226,225,230,231,223,224,205,206,207,208,209,210,211,212,213,214,215,216,217,218,188,189,190,186,1,188,187,189,162,163,164,160,161,165,166,167,142,143,144,140,141,177,178,179,175,176,180,159,158,219,107,108,105,1,106,109,107,108,109,105,106,110,111,2,112,113,114,115,116,117,118,119,120,121,122,123,124,164,165,166,162,163,167,142,143,144,140,141,145,146,147,128,129,130,126,127,125,131,132,133,148,149,150,151,152,153,154,155,156,157,158,159,160,161,232</t>
  </si>
  <si>
    <t>f8pjSh5ycNmjKMwK9a61Hw==</t>
  </si>
  <si>
    <t>Mobile Learning : A Handbook for Developers, Educators, and Learners</t>
  </si>
  <si>
    <t>,1,1,2,2,3,3,4,5,5,6,4,6,7,7,8,9,9,10,8,10,10,11,12,11,12,13,13,14,14,2,15,15,16,16,17,17,18,19,18,19,20,18,19,20,16,17,15</t>
  </si>
  <si>
    <t>LB1044.84 -- .M48 2015eb</t>
  </si>
  <si>
    <t>,1,1,2,2,3,3,4,4,5,5,6,6,2,2,43,43,44,44,45,45,41,42,42,46,46</t>
  </si>
  <si>
    <t>drEkOWa5aIf18/jQIhl1eQ==</t>
  </si>
  <si>
    <t>,105,106,107,103,87,88,89,85,86,90,91,92,93,94,95,104,102,104,87,88,105,120,120,104,120,114,114,115,116,117,113,121,122,118,119,87,88,89,85,86,120,123,105,106,107,103,108,104,109,111,110,112,113,124,125,126,127,134,136,135,132,133,137,138,128,139,140,141,153,154,155,151,152,161,162,167,168,169,165,166,164,163,156,157,170,171,181,182,183,179,180,184,185,186,195,196,197,193,194,198,199,200</t>
  </si>
  <si>
    <t>,18,21,22,31,32,33,29,30,34</t>
  </si>
  <si>
    <t>,195,196,191,190,189,195,196,197,197,192,197,193,198,193,198,199,1,199,200,201,202,198,197,2,196,195,194,215,216,213,214,209,202,203,201,200,198,197,196,195</t>
  </si>
  <si>
    <t>,1,2,3,58,59,60,56,57,61,62,63,64,65,66,67,68,69,70</t>
  </si>
  <si>
    <t>,1,2,3,184,186,185,182,183,187,188,189,190,191,192,193,194,194</t>
  </si>
  <si>
    <t>,1,2,3,13,15,9,4,5,6,1,2,3,4,5,6,7,8,9,10,11,12,13,14,15,16,17,18,19,20,21,22,23,24,25,26,27,28,29,30,31,32,30,31,32,28,29,33,34,35,36,37,38,39,40,41,1,2,3,15,18,19,20,17,16</t>
  </si>
  <si>
    <t>,1,2,3,227,228,229,225,226,230,48,49,50,46,47,51,52,198,1,199,196,197,200,198,199,200,196,197,2,225,226,227,223,224,46,225,226,225,227,226,223,224,228,229,230,215,216,217,213,214,218,219,220,212,211,164,165,166,162,167,163,168</t>
  </si>
  <si>
    <t>XFqz9V2Vhas=</t>
  </si>
  <si>
    <t>Deconstructing Dignity : A Critique of the Right-to-Die Debate</t>
  </si>
  <si>
    <t>Philosophy; Medicine</t>
  </si>
  <si>
    <t>,1,2,3,4,5,6,108,109,110,106,107</t>
  </si>
  <si>
    <t>R726</t>
  </si>
  <si>
    <t>EgsNcFci0r8wa+9m39AGYA==</t>
  </si>
  <si>
    <t>,1,3,2,4,5,6,7,8,9,10,11,12,13,14,15,36,37,49,85,86,87,88,84,50,74,75,76,72,73,77,78,102,103,83</t>
  </si>
  <si>
    <t>6TQI+w+iMgrJfgMryMjexA==</t>
  </si>
  <si>
    <t>tjcapp97</t>
  </si>
  <si>
    <t>Insatiable Appetites : Imperial Encounters with Cannibals in the North Atlantic World</t>
  </si>
  <si>
    <t>74.65.33.180</t>
  </si>
  <si>
    <t>GN409 .W38 2015</t>
  </si>
  <si>
    <t>394/.9091631</t>
  </si>
  <si>
    <t>,38,64,63,65,61,62,60,58,59,57,56,55,53,54,52,51</t>
  </si>
  <si>
    <t>,1,2,3,1,2,3,103,104,105,101,102,100,99,98,106,107,108,109,110,111,112,113,113,1,115,114,111,112,113,114,115,111,112,116,117,2,118,119,120,121,122,123,124,125,126,127,128,129,130,131,132,133</t>
  </si>
  <si>
    <t>,1,2,3,58,59,60,56,57,61,62,63,64,65,66,67,69,68,2,3,8,9,10,6,7</t>
  </si>
  <si>
    <t>,1,2,3,56</t>
  </si>
  <si>
    <t>,1,3,2,1,2,3,4,169,170,171,167,168,172,170,171,172,169,168,162,163,164,160,161,191,192,189,193,197,201,206,198,196,189,190,194,195</t>
  </si>
  <si>
    <t>Hmng52T66Yk=</t>
  </si>
  <si>
    <t>,96,96,97,97,98,98,99,99,100,100,100</t>
  </si>
  <si>
    <t>,1,1,2,1,2,3,3,91,92,91,92,93,89,93,90,90,2,94,94,95,95</t>
  </si>
  <si>
    <t>EgeRz7tzP4gXvYnQvTUNHA==</t>
  </si>
  <si>
    <t>,8,9,13,14,15,12,11,16,17,82,83,84,80,81,61,62,59,63,60,64,93,95,94,91,92,96,97,98,99,100</t>
  </si>
  <si>
    <t>,1,2,3,17,18,19,15,16,2,607,608,609,605,606,610,611,612,613,614,615,616,464,465,466,462,463,467,468</t>
  </si>
  <si>
    <t>,1,2,3,17,18,19,15,16,21,22,23,20</t>
  </si>
  <si>
    <t>24O4Uu6nS2rVc3FjkYhtyA==</t>
  </si>
  <si>
    <t>Advancing Gerontological Social Work Education</t>
  </si>
  <si>
    <t>,1,3,2,256,258,257,259,255,260,261,262,263,264,265,266,268,269,270,271,272,267,273,274,275,276</t>
  </si>
  <si>
    <t>HV1461 -- .A47 2012eb</t>
  </si>
  <si>
    <t>Volunteerism in Geriatric Settings</t>
  </si>
  <si>
    <t>,1,2,3,169,170,171,167,168,172,173,174,175,112,113,114,110,111</t>
  </si>
  <si>
    <t>HV1461.V65</t>
  </si>
  <si>
    <t>,1,2,3,1,2,3,88,89,90,86,87,91,92,93,94,95,96,97,98,99,100,101,102,103,104,105</t>
  </si>
  <si>
    <t>809p5vLi/uQ=</t>
  </si>
  <si>
    <t>,21,22</t>
  </si>
  <si>
    <t>,1,2,3,17,18,19,15,16,26,20,9,4</t>
  </si>
  <si>
    <t>,1,2,3,209,210,211,207,208,212,213,214,215,216,217,218,219,220,221,222,223,224,225,226,227,228,229,230</t>
  </si>
  <si>
    <t>Phytopharmacy : An Evidence-Based Guide to Herbal Medicinal Products</t>
  </si>
  <si>
    <t>RM666.H33 -- .P498 2015eb</t>
  </si>
  <si>
    <t>615.3/21</t>
  </si>
  <si>
    <t>,1,2,3,44,36,37,38,34,35,96,97,98,94,95,99,100</t>
  </si>
  <si>
    <t>S1WLKIP99wF3i4zyMYTqtA==</t>
  </si>
  <si>
    <t>Theory and Explanation in Social Psychology</t>
  </si>
  <si>
    <t>,406,407,408,409,410,411,19,20,21,17,22,18,23,81,82,83,79,84,85,86,87,88,89,124,125,126,122,127,123,128,129,130,131,132,133,134,135,136,137,138,139,140,141,142,148,149,150,146,147,100,101,102,98,103,99,104,105,106,107,108,109,110,111</t>
  </si>
  <si>
    <t>HM1033 -- .T436 2015eb</t>
  </si>
  <si>
    <t>Cannabinoids</t>
  </si>
  <si>
    <t>Fundamentals of Oral Histology and Physiology</t>
  </si>
  <si>
    <t>Science: Anatomy/Physiology; Science; Medicine</t>
  </si>
  <si>
    <t>RK280</t>
  </si>
  <si>
    <t>612.3; 612.3/11</t>
  </si>
  <si>
    <t>Lecture Notes : Immunology</t>
  </si>
  <si>
    <t>QR181 .R35 2015</t>
  </si>
  <si>
    <t>Essential Clinical Global Health</t>
  </si>
  <si>
    <t>RC46 -- .E87 2015eb</t>
  </si>
  <si>
    <t>Blood Cells : A Practical Guide</t>
  </si>
  <si>
    <t>QP91 -- .B356 2015eb</t>
  </si>
  <si>
    <t>Fundamentals of Applied Pathophysiology : An Essential Guide for Nursing and Healthcare Students</t>
  </si>
  <si>
    <t>RB113.F86 2013</t>
  </si>
  <si>
    <t>Symptoms in the Pharmacy : A Guide to the Management of Common Illnesses</t>
  </si>
  <si>
    <t>RM671.A1 .B384 2013</t>
  </si>
  <si>
    <t>,1,2,3,17,18,19,15,16,20,21</t>
  </si>
  <si>
    <t>Lecture Notes: Clinical Biochemistry</t>
  </si>
  <si>
    <t>RB40</t>
  </si>
  <si>
    <t>,1,2,3,31,32,33,30,29,59,60,61,57,58,55,56,62,63,71,72,69,70,73,74,75,76,84,85,86,83,82,87,88,89,90,81,80,91,92,93,94,95,96,97,77,78,79,98,106,107,108,104,105,109,110,111,117,118,119,116,115,114,120,121,122,123,124,125,126,127,128,129,130,131,132,133,134,135,136,137,138,139,140,141,142,143,144</t>
  </si>
  <si>
    <t>,1,2,3,18,19,20,17,16,21,22,23,24,25,26,27,28,29,30,31,32,33,34,35,36,37,38,39,40,41,42,43,44,45,46,47,48,49,19,20,21,17,18,22,23</t>
  </si>
  <si>
    <t>Religion and Immigration : Migrant Faiths in North America and Western Europe</t>
  </si>
  <si>
    <t>Religion; Political Science</t>
  </si>
  <si>
    <t>,23,24,25,26,27,28,30</t>
  </si>
  <si>
    <t>BL625.9.I55 -- .K585 2014eb</t>
  </si>
  <si>
    <t>Nursing Diagnoses 2015-17 : Definitions and Classification</t>
  </si>
  <si>
    <t>RC71.5 -- .N877 2014eb</t>
  </si>
  <si>
    <t>Clinical Dermatology</t>
  </si>
  <si>
    <t>,1,2,3,51,52,53,49,50,54,55,56,62,63,64,60,59,65,66,67,68,58,57,74,73,71,102,103,100,111,112,113,109,143,144,145,141,142,151,152,149,148,154,171,168,200,201,202,198</t>
  </si>
  <si>
    <t>RL71 -- .W45 2015eb</t>
  </si>
  <si>
    <t>t4r4Gg2a6s4CMsWYYqN+Dw==</t>
  </si>
  <si>
    <t>Gluten-Free All-In-One For Dummies</t>
  </si>
  <si>
    <t>Home Economics; Pharmacy; Medicine</t>
  </si>
  <si>
    <t>,1,38,39,40,36,37,2,41,42,43,61,62,63,59,60,64,65,66,67,68,69,70,104,105,106,102,103,107,108,109,110,111,112,113,149,150,151,147,148,161,162,159,160,163,197,198,199,196,195,200,201,202,203</t>
  </si>
  <si>
    <t>RM237.86</t>
  </si>
  <si>
    <t>,1,2,3,4,5,6,7,8,9,45,46,47,44,43,48,49,50,51,31,32,33,29,30,57,58,59,55,56,60,61,71,72,73,69,70,74,75,137,139,138,135,136,140,141,142</t>
  </si>
  <si>
    <t>,2,1,3,4,5,6,7,8,9</t>
  </si>
  <si>
    <t>Exploring Religion in Ancient Egypt</t>
  </si>
  <si>
    <t>,21,8</t>
  </si>
  <si>
    <t>BL2441.3 -- .Q575 2015eb</t>
  </si>
  <si>
    <t>299/.31</t>
  </si>
  <si>
    <t>,2,3,1,11,12,13,9,10,14,15,16,17,18,19,20</t>
  </si>
  <si>
    <t>,1,2,3,4,5,227,228,229,225,226,249,250,230,224,223,231,222,221,220,219,218,217,216,215,214,213,232</t>
  </si>
  <si>
    <t>,1,2,3,275,276,277,274,273,351,352,353,349,350,354,355,356,357,358,359,360,361,485,486,487,483,484,464,465,466,462,463,529,530,531,528,527,532,533,534,535,536,537,538,539,540,541,542,464,465,466,462,463,487,488,482,483</t>
  </si>
  <si>
    <t>,10,11,12,12,13,14,13,15,14,11,17,15,16,18,18,19,16,19,17,14,13,18,20,20,22,22,23,24,23,25,24,21,25,26,26,27,27,28,28,29,29,30,32,35,32,35,30,36,37,36,37,38,39,43,44,38,44,39,43,45,46,47,45,46,48,48,47,50,49,50,49,51,51,52,52,53,53,54,54,55,55,56,56,180,182,181,182,181,180,179,178,179,169,170,171,169,167,170,168,171,168,172,172,167,172,173,173,168,167,172,173,174,174,175,175,170,169,174,175,176,176,177,177,178,179,180,174,179,180,181,176,175,180,181,182,177</t>
  </si>
  <si>
    <t>,1,2,3,48,49,50,51,47,164,165,166,167,168,142,143,144,140,141,145,184,185,186,187,183,188,189,190,191,192,193,194,195,173,174,175,171,172,176,177,178,179,128,129,130,126,127,125,124,122,123,121,120,119,118,117,116,115,114,113,112,180,181</t>
  </si>
  <si>
    <t>,1,3,3,2,2,1,4,4,5,5,6,7,6,7,8,8,9,9,2,10,10,5</t>
  </si>
  <si>
    <t>,51,52,53,54,55</t>
  </si>
  <si>
    <t>,1,2,3,37,38,39,35,36,40,41,42,43,44,45,46,47,48,49,50</t>
  </si>
  <si>
    <t>,1,22,21,23,20,19,2,24,82,83,84,80,81,85</t>
  </si>
  <si>
    <t>,1,2,3,15,16,17,13,14,15,16,17,13,14</t>
  </si>
  <si>
    <t>,38,39,40,41,42,43,44</t>
  </si>
  <si>
    <t>,1,2,3,32,34,33,30,31,35,36,37</t>
  </si>
  <si>
    <t>,202,203,204,205,206,207,208,209,210,211</t>
  </si>
  <si>
    <t>,197,198,199,200,201,202,203,204,205,206,207,208,209,210,211,212,213,214,215,216,217,218,219,220,221,222,223,224,225,226,227,228,229,230</t>
  </si>
  <si>
    <t>,1,2,3,197,198,199,195,196,200,227,228,229,225,230,231,232</t>
  </si>
  <si>
    <t>,1,2,3,4,5,6,8,10,11,13,15,16,18,19,20,21,22,23,24,21,22,23,19,20,24,25,26,27,28,29,30,31,32,33,34,35,36,37,38,39,40</t>
  </si>
  <si>
    <t>,1,2,3,197,198,199,195,196,227,228,229,225,226,230,231,232,233,200,201</t>
  </si>
  <si>
    <t>,189,190,190,191,191</t>
  </si>
  <si>
    <t>,1,2,3,4,57,58,59,55,56</t>
  </si>
  <si>
    <t>,1,2,3,70,71,72,68,69,73</t>
  </si>
  <si>
    <t>Best Practices in Writing Instruction, Second Edition</t>
  </si>
  <si>
    <t>,399,400,401,397,398,402,403,404,405,406,401,407,408,409,410,411,412,413,414,415,416,417,418,419,420,421,422,423,424,405,366,367,368</t>
  </si>
  <si>
    <t>,423,424,425,426,427,428,429,430,431,432,433,434,435,436,437,438,439,440,441,442,443,444,445,446,447,448,399,400,401,403,404,403,405,406,407,408,409,410,411,412,413,414,415,416,417,418,419,420</t>
  </si>
  <si>
    <t>LB1576 -- .B487 2013eb</t>
  </si>
  <si>
    <t>,1,2,3,402,403,404,400,401,409,410,411,407,408,412,413,414,415,416,417,418,419,420,421,422,423,424,425</t>
  </si>
  <si>
    <t>,1,2,3,184,185,186,182,183,187,188</t>
  </si>
  <si>
    <t>,1,3,3,2,2,1,124,124,125,126,122,125,123,123,2,126</t>
  </si>
  <si>
    <t>LADVo7irnTBGKSURsBiQXg==</t>
  </si>
  <si>
    <t>Best Practices in Literacy Instruction, Fifth Edition</t>
  </si>
  <si>
    <t>,90,92,91,88,89,37,38,39,35,36,40,41,42,43,44,45,46,47,48,49,50,51,52,53,54,55,56,57,58,59,60,61,62,63,64,65,66,67,68,69,70,71,72,73,74,75,76,77,78,79,80,81,82,83,85,86,87,88,89,90,91,92,93,85,83,81,80,79,71,72,73,69,70,74,75,76,77,78,82,84,86,94,95,96</t>
  </si>
  <si>
    <t>,71,72,73,74,75,76,77,78,79,80,81,82,83,84,85,86,87,88,89,90,91,92,93,94</t>
  </si>
  <si>
    <t>LB1576 -- .B486 2014eb</t>
  </si>
  <si>
    <t>,1,2,3,71,72,73,69,70,68,64,65,66,62,63,67,68,69,70,71,72,73,74,75,76,77,78,79,80,81,82,83,84,85,86,87,88,89,90,91,92</t>
  </si>
  <si>
    <t>nMSqB9Gea9POoFhr5FWZNg==</t>
  </si>
  <si>
    <t>,1,2,3,1,2,3,75,76,77,73,74,78,79,80,1,80,82,81,78,79,83,2,81,82,83,79,80,84,85,86,87,88,89,90,91,401,402,403,399,400,404,405,406,27,28,29,25,26,30,31,32,33,34,35,44,45,46,42,43,47,48,49,50,51,52,41,40,77,78,79,75,76,89,90,91,92,93,94,95,96,97</t>
  </si>
  <si>
    <t>Living Gluten-Free For Dummies</t>
  </si>
  <si>
    <t>Medicine; Home Economics; Pharmacy</t>
  </si>
  <si>
    <t>RM237.86 -- .C568 2014eb</t>
  </si>
  <si>
    <t>,93,93,94,94,95,95,90,95,96,96,67,67,68,68,69,65,69,66,66,121,122,121,122,123,119,120,123,120,124,124,125,125,126,126,127,127,128,128,123,122,121,126</t>
  </si>
  <si>
    <t>,90,90,91,89,88,92,91,89,92</t>
  </si>
  <si>
    <t>,1,2,3,1,2,3,2,2</t>
  </si>
  <si>
    <t>o3bc0ZTBbd3Tu+9iZWYFUQ==</t>
  </si>
  <si>
    <t>Excel Data Analysis For Dummies</t>
  </si>
  <si>
    <t>HF5548.4.M523 -- .N457 2014eb</t>
  </si>
  <si>
    <t>,18,3,1,2,4,5,6,7,8,9,10,11,12,15,16,17,13,14,18,19,20,21,22</t>
  </si>
  <si>
    <t>,1,2,3,4,7,15,16,17,13,14</t>
  </si>
  <si>
    <t>gjIlS7CxGbohp5+ijRjPyA==</t>
  </si>
  <si>
    <t>Automobile Electrical and Electronic Systems</t>
  </si>
  <si>
    <t>Engineering: Mechanical; Engineering; Engineering: General</t>
  </si>
  <si>
    <t>TL272 -- .D43 2012eb</t>
  </si>
  <si>
    <t>,1,2,3,230,231,232,4,5,6</t>
  </si>
  <si>
    <t>,1,2,59,61,57,58,60,62,63</t>
  </si>
  <si>
    <t>,1,2,3,26,27,28,24,25,29,30,31,32,33,34,35,36,37,38,39,40,41,42,43,44,45,46,47,48,49,50,51,52,53,54,55,92,93,94,90,91,56,57,58,26,27,28,24,25,29,30</t>
  </si>
  <si>
    <t>FLXy9fPAArJaI/tzG8yKGA==</t>
  </si>
  <si>
    <t>,187,188,189,190,191,192,193,194,195,196,197,198,199,200</t>
  </si>
  <si>
    <t>,1,2,3,187,188,189,185,186</t>
  </si>
  <si>
    <t>,1,2,3,103,104,101,102,105,106,32,33,34,31,30,35,36,37,132,133,134,130,131,135,136</t>
  </si>
  <si>
    <t>,3,2,1,23,25,24,21,22</t>
  </si>
  <si>
    <t>+yZRixellQyo4r2zWQ3WSw==</t>
  </si>
  <si>
    <t>,1,2,3,1,4,5,2,3</t>
  </si>
  <si>
    <t>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270,271,272,273,274,275,276,277,278,279,280,281,282,283,284,285,286,287,288,289,290,291,292,293,294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270,271,272,273,274,275,276,277,278,279,280,281,282,283,284,285,286,287,288,289,290,291,292,293,294,366,367,368,369,370,371,372,373,374,375,376,377,378,379,380,381,382,383,384,385,386,387,388,389,390,391,392,393,394,395,396,397,398,399,400,401,402,403,404,405,406,407,408,409,410,411,412,413,414,415,416,417,418,419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270,271,272,273,274,275,276,277,278,279,280,281,282,283,284,285,286,287,288,289,290,291,292,293,294,366,367,368,369,370,371,372,373,374,375,376,377,378,379,380,381,382,383,384,385,386,387,388,389,390,391,392,393,394,395,396,397,398,399,400,401,402,403,404,405,406,407,408,409,410,411,412,413,414,415,416,417,418,419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366,367,368,369,370,371,372,373,374,375,376,377,378,379,380,381,382,383,384,385,386,387,388,389,390,391,392,393,394,395,396,397,398,399,400,401,402,403,404,405,406,407,408,409,410,411,412,413,414,415,416,417,418,419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</t>
  </si>
  <si>
    <t>,1,2,3,40,41,42,38,39,43</t>
  </si>
  <si>
    <t>IJ2FyXnNhIofsN4oruZ8Rw==</t>
  </si>
  <si>
    <t>,221,222</t>
  </si>
  <si>
    <t>,1,2,3,19,20,21,17,18,22,37,38,39,35,36,40,41,42</t>
  </si>
  <si>
    <t>,1,2,3,274,275,276,272,273,277,271,270,221,222,223,219,220,224,225,219,218,217,226,221,221</t>
  </si>
  <si>
    <t>,1,3,2,198,199,200,196,197,201,202,203,194</t>
  </si>
  <si>
    <t>52x8OFi1bryKgZZz13fIaQ==</t>
  </si>
  <si>
    <t>Applied Microsoft Business Intelligence</t>
  </si>
  <si>
    <t>,1,2,2,3,3,1,2,2,4,4,4,5,5,6,7,7,6,8,8,9,10,9,10,11,11,12,6,12,12,13,14,15,14,13,11,15,31,32,32,33,31,33,29,30,30</t>
  </si>
  <si>
    <t>HD38.7</t>
  </si>
  <si>
    <t>,1,2,3,307,308,309,305,306,310,311,312,313,314,385,386,387,383,384,388,389,390,391,392,393,429,430,431,427,428,432</t>
  </si>
  <si>
    <t>,1,2,3,185,186,187,183,184,188,173,174,175,171,172,176,181,182,179,180,178,177,187,151,152,153,149,150,59,60,61,57,58,62,63,64,66,67,68,65,69,70,148,149,150,146,147,152,153,154,155,156,157,158,159,160,217,218,219,215,216,220,221,222,223,224,225,226</t>
  </si>
  <si>
    <t>,1,2,3,13,14,15,11,12,16,17,18,19,20,21,23,24,25,22,26,27,28,29</t>
  </si>
  <si>
    <t>,1,2,3,124,125,126,122,123,121</t>
  </si>
  <si>
    <t>/eKZp4w/7qH+f+lKkgo7Ug==</t>
  </si>
  <si>
    <t>,218,219</t>
  </si>
  <si>
    <t>,1,3,2,198,199,200,196,197,209,214,216,217,218,219,220,221,222,223,224,224,225,272,273,274,270,271,219,220,224,225,218,216,217</t>
  </si>
  <si>
    <t>,1,2,3,42,43,44,40,41,45</t>
  </si>
  <si>
    <t>,319,320,321,318,317,322,323,324,325,326,328,327,329,330,331,418,420,419,417</t>
  </si>
  <si>
    <t>,18,19,20,21,22</t>
  </si>
  <si>
    <t>,1,2,3,257,258,259,255,256,261,262,263,260</t>
  </si>
  <si>
    <t>JBXACNx0z5cVHIrlTIamzA==</t>
  </si>
  <si>
    <t>uIRXJ0fpCg29If/Ypht/Sg==</t>
  </si>
  <si>
    <t>War Plays by Women : An International Anthology</t>
  </si>
  <si>
    <t>,1,2,3,26,28,27,24,25,32,33,34,30,31,29,35,36,37,39,40,44,45,46,42,43,47,49,51,52,53,50,54,55,156,157</t>
  </si>
  <si>
    <t>PN6119.8 -- .W37 1999eb</t>
  </si>
  <si>
    <t>Mixed Emotions : Beyond Fear and Hatred in International Conflict</t>
  </si>
  <si>
    <t>,1,2,3,11,16,15,14,12,30,46,56,62,1</t>
  </si>
  <si>
    <t>JZ1249</t>
  </si>
  <si>
    <t>327.1/6019</t>
  </si>
  <si>
    <t>4EHqESdj9gVhYskAs6UNlQ==</t>
  </si>
  <si>
    <t>Digital Media and Society : Transforming Economics, Politics and Social Practices</t>
  </si>
  <si>
    <t>,1,2,3,182,183,184,180,181,185,186,187,188,189,190,191,192,193,194,195,196,197,198,199,200,201,202,203,204,205,206,207,209,210,211,212,213,214,215,216,142,5,3,4,6,7,8,9,10,11,12,13,14,15,16,17,18,19,20,21,22,23,24,25,26,27,28,29,30,31,180,181,179,178,177,176,175,174,173,172,170,171,168,169,167,166,165,164,163,162,160,161,158,159,157,156,154,155,153,152,151,150,149,148,146,147,144,145,143,142,141,140,139,138</t>
  </si>
  <si>
    <t>HM851 -- .W454 2014eb</t>
  </si>
  <si>
    <t>,16,36,37,38,34,35,39,40,41,42,43,44,45,46,47,48</t>
  </si>
  <si>
    <t>,1,3,2,48,49,50,46,51,47,227,228,229,226,225,224,223,230,164,165,166,167,168,225,224,223,231,222,221,220,219,218,217,216,215,214,213,213,1,214,215,211,212,2,216,217,218,219</t>
  </si>
  <si>
    <t>blXS3TpuiKQnaYjhWXSyUA==</t>
  </si>
  <si>
    <t>The Dog : Its Behavior, Nutrition, and Health</t>
  </si>
  <si>
    <t>SF426.C375 2005</t>
  </si>
  <si>
    <t>JlIxkUrULBbt8PnprMOzMw==</t>
  </si>
  <si>
    <t>Understanding Bitcoin : Cryptography, Engineering and Economics</t>
  </si>
  <si>
    <t>,68,70,69,66,67,67,71,72,73,73,68,67,66,165,166,167,165,167,166,163,164,164</t>
  </si>
  <si>
    <t>TK5105.59 -- .F73 2015eb</t>
  </si>
  <si>
    <t>5q86SlQrH1Ux/hkV6IkO7g==</t>
  </si>
  <si>
    <t>,1,2,3,2,3,1,2,2,70,71,71,72,68,70,72,69,69,70,71,72,68,69,59,60,61,59,57,61,58,60,58,62,62,63,63,64,64</t>
  </si>
  <si>
    <t>YwFf8Vrt6TI=</t>
  </si>
  <si>
    <t>JSIcowJhf24=</t>
  </si>
  <si>
    <t>Equine Exercise Physiology</t>
  </si>
  <si>
    <t>SF287 -- .M34 2003eb</t>
  </si>
  <si>
    <t>636.1/0835</t>
  </si>
  <si>
    <t>g5rTGGwhJnyCF9uP2mV1fw==</t>
  </si>
  <si>
    <t>,1,2,3,118,119,120,116,117,48,49,50,46,47,73,74,75,71,72,33,34,35,275,276,277,273,274,278,279,280,281</t>
  </si>
  <si>
    <t>JGu+Civel/choKCyoGSzjg==</t>
  </si>
  <si>
    <t>,1,2,3,4,5,6,7,296,297,298,294,299,300</t>
  </si>
  <si>
    <t>,1,2,3,33,34,32,35,31,69,70,71,67,68,72,73,74,75</t>
  </si>
  <si>
    <t>,1,2,3,4,31,32,33,29,30,69,70,71,67,68,1,68,69,70,67</t>
  </si>
  <si>
    <t>kc3A3oPWPj2bmFlIUXyYew==</t>
  </si>
  <si>
    <t>Navigating Art Therapy : A Therapist’s Companion</t>
  </si>
  <si>
    <t>,1,2,3,7,8,9,5,6,98,99,100,96,97,101</t>
  </si>
  <si>
    <t>RC489.A7 -- .N324 2011eb</t>
  </si>
  <si>
    <t>Medicine, Health and the Arts : Approaches to the Medical Humanities</t>
  </si>
  <si>
    <t>,1,2,3,6,7,8,4,5,9,54,55,56,52,53,57,58,59,60,61</t>
  </si>
  <si>
    <t>RA425 -- .M43 2014eb</t>
  </si>
  <si>
    <t>Images of Art Therapy (Psychology Revivals) : New Developments in Theory and Practice</t>
  </si>
  <si>
    <t>,1,3,2,8,9,10,6,7</t>
  </si>
  <si>
    <t>RC489.A7 -- I43 2013eb</t>
  </si>
  <si>
    <t>Case Studies in Health Communication</t>
  </si>
  <si>
    <t>R118 -- .C37 1993eb</t>
  </si>
  <si>
    <t>Becoming a Profession (Psychology Revivals) : The History of Art Therapy in Britain 1940-82</t>
  </si>
  <si>
    <t>,1,2,3,10,11,12,8,9,7,13,14</t>
  </si>
  <si>
    <t>RC489.A7 -- W35 2013eb</t>
  </si>
  <si>
    <t>Art Therapy With Families In Crisis : Overcoming Resistance Through Nonverbal Expression</t>
  </si>
  <si>
    <t>,1,3,2,6,7,8,4,5,113,114,111,112,116</t>
  </si>
  <si>
    <t>RC489.A7 -- A79 1993eb</t>
  </si>
  <si>
    <t>,203,204,205,206,207,208,209,210,211,212,213,214,216,215,217,164,165,166,162,167,168,231,232,233,223,222,221,220,219,218</t>
  </si>
  <si>
    <t>kA8c9SASjjs=</t>
  </si>
  <si>
    <t>,1,2,3,48,49,50,51,47</t>
  </si>
  <si>
    <t>Child and Adolescent Therapy : Science and Art</t>
  </si>
  <si>
    <t>,1,2,3,7,8,9,5,6,10,11,12,13,14</t>
  </si>
  <si>
    <t>RJ504 .S516 2015</t>
  </si>
  <si>
    <t>616.89/140835</t>
  </si>
  <si>
    <t>,1,2,3,21,22,23,19,20,24</t>
  </si>
  <si>
    <t>Creative Arts in Counseling</t>
  </si>
  <si>
    <t>,1,2,3,7,8,9,5,6,104,106,105,102,103,107</t>
  </si>
  <si>
    <t>BF637.C6 -- .G533 2011eb</t>
  </si>
  <si>
    <t>158/.3</t>
  </si>
  <si>
    <t>,1,2,3,227,228,229,225,226,230,34,36,35,48,49,50,51,47,224,198,199,200,196,197,201,202</t>
  </si>
  <si>
    <t>SIc5qm20+DxnCXi2588w8Q==</t>
  </si>
  <si>
    <t>,1,2,3,96,98,99,95,94,93</t>
  </si>
  <si>
    <t>,35,36,37,38,39</t>
  </si>
  <si>
    <t>,1,2,3,227,228,229,225,230,226,231,232,224,223</t>
  </si>
  <si>
    <t>,1,2,3,31,33,32,29,30,34</t>
  </si>
  <si>
    <t>Visions of the City : Utopianism, Power and Politics in Twentieth Century Urbanism</t>
  </si>
  <si>
    <t>HT113 -- .P56 2011eb</t>
  </si>
  <si>
    <t>,1,2,3,31,33,30,29,34,35,4,36</t>
  </si>
  <si>
    <t>World as Design : Writings of Design</t>
  </si>
  <si>
    <t>,1,2,3,83,84,85,81,82</t>
  </si>
  <si>
    <t>NK1390 -- .A334 2015eb</t>
  </si>
  <si>
    <t>,572,574,573,570,571,486,487,484,485,488,406,408,407,404,405,409,410,411,403,401,402,400,399,397,398,396,395,394,393,392,391,390,389,388,387,385,386,384,382,383,406,393</t>
  </si>
  <si>
    <t>,1,2,3,434,435,436,433,432,417,418,419,415,416,420,414,413,421,422,423,424,425,426,427,428,429,430,417,412</t>
  </si>
  <si>
    <t>LOlGt+aMf6qB84gKgSmnrA==</t>
  </si>
  <si>
    <t>,1,2,3,4,5,6,7,8,12,18,21,22,192,193,194,190,191,195,196,10,11,9</t>
  </si>
  <si>
    <t>teZYd52w6rzSUV1BGpb7FQ==</t>
  </si>
  <si>
    <t>,1,2,3,55,56,57,53,54,58,59,60,61,62,63,64,65</t>
  </si>
  <si>
    <t>71eyxgDywJHcNjTB2kxRDQ==</t>
  </si>
  <si>
    <t>Religious Bodies Politic : Rituals of Sovereignty in Buryat Buddhism</t>
  </si>
  <si>
    <t>,1,2,3,4,53,54,55,51,56</t>
  </si>
  <si>
    <t>BQ709</t>
  </si>
  <si>
    <t>294.3/9209575</t>
  </si>
  <si>
    <t>iiY8tp6VgCpYLmoo1Fsyfw==</t>
  </si>
  <si>
    <t>Christian Spirituality : An Introduction</t>
  </si>
  <si>
    <t>BV4501.2 -- .M2357 1999eb</t>
  </si>
  <si>
    <t>XywOd03bT7r0lQSCz5Lq9A==</t>
  </si>
  <si>
    <t>,5,6,7,3,4,70,71,72,68,69,73,74,70,69,68,11,15,16,17,13,14,32,33,34,31,30,5,6,7,3,4</t>
  </si>
  <si>
    <t>,70</t>
  </si>
  <si>
    <t>,1,2,3,4,5,6,34,36,32,33,37,31,55,56,57,53,54,58</t>
  </si>
  <si>
    <t>,87,88,86,89,90,91,34,35,36,32,33,37,38,39,79,78,86,87,88,99,100,101,97,98,103,104,105,102,96,97,101,102,104,105,106,107</t>
  </si>
  <si>
    <t>,1,2,3,11,17,14,15,16,13,18</t>
  </si>
  <si>
    <t>,1,79,80,81,78,77,83,102,99,64,42,35,34,33,32,31,30,29,28,27,2,26,24,25,23,22,21,81,82,83,80,84,77,85,86</t>
  </si>
  <si>
    <t>,1,2,2,1,3,1,3,2,2</t>
  </si>
  <si>
    <t>,1,1,2,2,3,1,3,2,2,4,4</t>
  </si>
  <si>
    <t>Wellness Syndrome</t>
  </si>
  <si>
    <t>,1,2,3,42,43,44,40,41,45,46,80,81,82,78,79,76,77,38,8,9,10,6,7,81,82</t>
  </si>
  <si>
    <t>BJ1595 -- .C623 2015eb</t>
  </si>
  <si>
    <t>,1,2,3,197,198,199,195,196,314,315,316,312,313,311,310,309,307,308,305,306,429,430,431,427,428,432,433,434,435,436,437,438,439,440,441,442,443</t>
  </si>
  <si>
    <t>,1,2,3,505,507,506,504,502,503,501,500,499,498,497,496,495,494,498,494,495</t>
  </si>
  <si>
    <t>,399,401,402,403,401,399,402,400,403,400,404,404,405,405,400,405,406,406,407,407,408,408,409,409,410,410,411,411,412,412,413,414,407,414,406,413,405,404,403,401,402,406,407,408,409</t>
  </si>
  <si>
    <t>,1,2,2,3,3,1,2,2,399,400,399,401,400,401,397,398,402,403,398,403,402,404,404</t>
  </si>
  <si>
    <t>1wpJPAmDS9yl6uuh/evf/w==</t>
  </si>
  <si>
    <t>,1,2,3,8,9,10,6,7,11,12,17,34,35,64,65,62,61,238,240,239,237,236,260,261,262,258,292,293,294,290,291,296,298,295,297,299,300,301,302,295</t>
  </si>
  <si>
    <t>,2,3,1,1,3,2,56,57,58,54,55,53,52,51,59,39,40,41,37,38,60,1,60,62,61,58,59,56,57,58,59,60,56,57,2,61,62,63,64,65,66,67,68,69,70,71,72,73,39,40,41,37,38,74,75,76,77,78,79,80,81,82,83,84,85,86,87,88,89,90,91,92,93,94,95,96,97</t>
  </si>
  <si>
    <t>3pEen2Cxlj2buvOqSM7yrw==</t>
  </si>
  <si>
    <t>Working Capital Management : Applications and Case Studies</t>
  </si>
  <si>
    <t>HG4028.W65 -- .S243 2014eb</t>
  </si>
  <si>
    <t>658.15/224</t>
  </si>
  <si>
    <t>,1,2,3,8,10,9,6,7,11,12,13,14,15,16,17,18,19</t>
  </si>
  <si>
    <t>,1,2,3,497,498,499,495,496,494,493,492,491,490,488,489,487,485,486,484,482,483,493,494,495</t>
  </si>
  <si>
    <t>,1,2,3,227,228,229,230,231,226,48,49,50,46,51,47,225,224,223,164,165,166,162,167,163,168,223</t>
  </si>
  <si>
    <t>vqpgg+tKiyrpBXbMOKLDi1X3Q8K1IN0J</t>
  </si>
  <si>
    <t>WordPress For Dummies</t>
  </si>
  <si>
    <t>,1,2,3,242,243,244,240,241,245,246,247,248,250,251,270,271,272,268,269,273,275,276,285,286,288,289,335,337,333</t>
  </si>
  <si>
    <t>TK5105.8885.W66 S23 2015</t>
  </si>
  <si>
    <t>An Unlikely Union : The Love-Hate Story of New York's Irish and Italians</t>
  </si>
  <si>
    <t>,1,2,3,45,46,47,191,192,193,189,190</t>
  </si>
  <si>
    <t>F128.9.I8</t>
  </si>
  <si>
    <t>973/.0451</t>
  </si>
  <si>
    <t>High Throughput Analysis for Food Safety</t>
  </si>
  <si>
    <t>RA601 -- .H54 2014eb</t>
  </si>
  <si>
    <t>363.19/26</t>
  </si>
  <si>
    <t>Aftershock Investor : A Crash Course in Staying Afloat in a Sinking Economy</t>
  </si>
  <si>
    <t>HG179 -- .W52644 2014eb</t>
  </si>
  <si>
    <t>,1,2,3,217,218,219,215,216,214,213</t>
  </si>
  <si>
    <t>,1,2,3,96,98,97,94,95,99,100,101</t>
  </si>
  <si>
    <t>,497,498,499,500,501,502,503,504,505,506,507,508,509</t>
  </si>
  <si>
    <t>,1,2,3,227,228,229,226,224,225,231,232,233,230,225,223,224,215,216,217,213,214,232,233,218,219,220,221,216,215,214,232,233,230,228,229,227,213,209,198,199,200,201,197,202,203,204,232,232,230,228,229,227,198,199,200,196,197,201,202,203,204,205,225,226,218,219,220,216,217,215,213,214,198,199,200,196,197,206,207,208,209,210,211,212,213,214,215,216,217,218,198,199,200,196,197,201,202,203,204,219,205,206,207,208,203,215,216,217,213,214,218,219,209,210,198,199,200,196,197,201,225,226,227,223,228,229,230</t>
  </si>
  <si>
    <t>,1,2,3,493,494,495,491,492,496,497,498,489,1,3,499,500,501,502,503,504,498,497,504</t>
  </si>
  <si>
    <t>,1,2,3,493,494,495,491,492,496</t>
  </si>
  <si>
    <t>,1,2,3,52,53,54,51,49,50,48,47,215,216,217,213,218,219,220,225,226,227,223,224,228,229,229,230,197,198,199,195,196,200,227,228,229,225,230,224,230,231,232,233,169,170,171,168,166,167,165,164</t>
  </si>
  <si>
    <t>,2,48,49,50,51,47,164,165,166,162,167,168,227,228,229,230,226,231,231,232,233,234,235,236,238</t>
  </si>
  <si>
    <t>,1,2,3,197,198,199</t>
  </si>
  <si>
    <t>oPFkLVA8wDs=</t>
  </si>
  <si>
    <t>Doing Ethnography Today : Theories, Methods, Exercises</t>
  </si>
  <si>
    <t>,6,7,8,4,5,3,5,6</t>
  </si>
  <si>
    <t>GN316 .C35 2014</t>
  </si>
  <si>
    <t>,1,2,3,4,5,6,7,8,9,10,11,12,13,14,15,16,17,23,24,25,21,22,23,23,23,26,27,28,29,30,24,25,28,26,29,30,31,32,33,66,67,68,64,69,70,71,72,73,74,75,76,77</t>
  </si>
  <si>
    <t>0rnFuPgtwdk=</t>
  </si>
  <si>
    <t>,1,3,2,226,227,228,224,225,226,227,228,224,229,230,231,232,233,302,303,304,300,301,305,306,307,308,309,302,299</t>
  </si>
  <si>
    <t>,1,2,3,220,221,222,218,219,223,227,228,229,225,226,230,302,303,304,300,301,305,302,303,304,300,302,303,304,300,301,305,306,307,308,299</t>
  </si>
  <si>
    <t>,302,302</t>
  </si>
  <si>
    <t>MO5SnRgZxeU=</t>
  </si>
  <si>
    <t>Islamic State : The Digital Caliphate</t>
  </si>
  <si>
    <t>HV6433</t>
  </si>
  <si>
    <t>,1,2,3,4,5,6,7,8,13,14,15,11,12,16,17,18,19,20,21,22,23,254,255,256,252,253,257,258,259</t>
  </si>
  <si>
    <t>,33,60</t>
  </si>
  <si>
    <t>,9,8,217</t>
  </si>
  <si>
    <t>,1,2,3,302,303,304,300,301,299,304</t>
  </si>
  <si>
    <t>,1,2,3,165,166,163,167,164,168,169,170,171,172,173,174,175,176,177,178,186,187,188,184,185,189,190,182,183,180,181,192,194,193,191,201,203,202,199,200,204,205,206,207,208,209,212,213,214,211,210,215,216,217,218,219,220,221,222,223,224,225,226,227,228,229,230,231,232,233,234,235</t>
  </si>
  <si>
    <t>hR2Q/NmWl/A=</t>
  </si>
  <si>
    <t>,1,2,3,5,6,7,4,8,81,83,85,82,84,9,10,11,12,13,14,15,16,18,17,19,20,21,22,23,25,26,27,28,29</t>
  </si>
  <si>
    <t>,13,14,15,16,17,18,19,20,21,22,23,24,25,254,255,256,252,253,257,258,259,260,261,29,30,31,28,27,32,33,34,35,267,268,269,265,266,270,271,43,45,44,42,41,145,146,147,143,144</t>
  </si>
  <si>
    <t>ejNBDbZV8rrv8IssgmcfqQ==</t>
  </si>
  <si>
    <t>,113,114,115,111,112,116</t>
  </si>
  <si>
    <t>3RKcWG1tN8UF3W5lP/dPZA==</t>
  </si>
  <si>
    <t>Studying Comics and Graphic Novels</t>
  </si>
  <si>
    <t>,1,2,3,7,4,5,6,8,9,10,11,12,13</t>
  </si>
  <si>
    <t>PN6710 -- .K84 2013eb</t>
  </si>
  <si>
    <t>741.5/9</t>
  </si>
  <si>
    <t>,1,2,3,17,18,19,15,16,83,84,85,81,82</t>
  </si>
  <si>
    <t>,51,52,53,54,55,56,57,58,59,60,61,62,63,64,65,66,67,68,69,70,71,72,73</t>
  </si>
  <si>
    <t>,1,2,3,46,47,48,44,45,49,50</t>
  </si>
  <si>
    <t>,411</t>
  </si>
  <si>
    <t>,203,204,205,206,207,208,209,210,211,212,213,214,215,217,216,218,219,220,221,222,223,224</t>
  </si>
  <si>
    <t>,1,2,3,408,409,410,406,407</t>
  </si>
  <si>
    <t>,1,2,3,197,198,199,195,196,200,227,228,229,225,226,230,201,202</t>
  </si>
  <si>
    <t>QLRXM5dPe2IcUjo5jk3j6w==</t>
  </si>
  <si>
    <t>Seven Disciplines of A Leader</t>
  </si>
  <si>
    <t>,1,3,2,4,5,6,7,8,9,10,202,203,204,200,201</t>
  </si>
  <si>
    <t>HD57.7 -- .W6495 2015eb</t>
  </si>
  <si>
    <t>,1,2,3,413,414,415,411,412,416,422,423,424,421,420,419,425,426,427,428,363,364,365,417,418</t>
  </si>
  <si>
    <t>AwKD2zxmZSv11lNc4cJihg==</t>
  </si>
  <si>
    <t>Drawing the Landscape</t>
  </si>
  <si>
    <t>,1,92,93,94,91,90,89,2,95,96,97,98</t>
  </si>
  <si>
    <t>NC795 -- .S84 2014eb</t>
  </si>
  <si>
    <t>743/.836</t>
  </si>
  <si>
    <t>,48,50,49,46,47,82,83,84,95,59,60,61,57,58</t>
  </si>
  <si>
    <t>,25,23,24,25,21,22</t>
  </si>
  <si>
    <t>,1,2,3,94</t>
  </si>
  <si>
    <t>,1,2,3,4,9,10,11,7,8,12,13,14,15,16,17,18,19,20,21,22,23,24</t>
  </si>
  <si>
    <t>81bzqGFP+gNSIEdVEebXHQ==</t>
  </si>
  <si>
    <t>Immigration and Population</t>
  </si>
  <si>
    <t>Business/Management; Political Science; Law</t>
  </si>
  <si>
    <t>,83,85,84,81,82,86,80,87,88,89,90,91,92,93,94,95,96,97,98</t>
  </si>
  <si>
    <t>HB1951; JV6465</t>
  </si>
  <si>
    <t>,1,2,3,1,82,88,83</t>
  </si>
  <si>
    <t>,1,2,3,82,83,84,80,81,85,88,89,90,86,87,91,89</t>
  </si>
  <si>
    <t>T/ymaTco8Hzp5rfJQUGGMw==</t>
  </si>
  <si>
    <t>Feminist Evaluation and Research : Theory and Practice</t>
  </si>
  <si>
    <t>,100,19,20</t>
  </si>
  <si>
    <t>,21,22,23,24,25,26,27,28,29,30,31,32,33,34,35,36,37,38,39,40,41,42,43,44,45,46,47,48,49,50,51,52,53,54,55,56,57,58,59,131,132,133,134,135,136,137,138,139,140,141,142,143,144,145,146,147,148,149,150,151,152,153,154,155,156,157,158,159,160,131,132,133,134,135,136,137,138,139,140,141,142,143,144,145,146,147,148,149,150,151,152,153,154,155,156,157,158,159,160</t>
  </si>
  <si>
    <t>HQ1180 -- .F452 2014eb</t>
  </si>
  <si>
    <t>,1,2,3,4,9,12,13,14,10,11,17,18,19,15,16,132,133,129,130,21,22,23,20,24,25,26,27,28,29,30,131,132,133,129,130,134,135,136,141,142,138,139,137,136,129,130,143</t>
  </si>
  <si>
    <t>Cultural DNA : The Psychology of Globalization</t>
  </si>
  <si>
    <t>HM621 -- .B35 2015eb</t>
  </si>
  <si>
    <t>B3jRjceT7M1q7pHxSma/lQ==</t>
  </si>
  <si>
    <t>Handbook of Mindfulness : Theory, Research, and Practice</t>
  </si>
  <si>
    <t>,1,261,262,263,259,260,264,265,266,267,268,269,270,271,2,272,273,274,275,276</t>
  </si>
  <si>
    <t>BF327 -- .H363 2015eb</t>
  </si>
  <si>
    <t>,1,261,262,263,259,260,286,446,447,448,444,445,183,2</t>
  </si>
  <si>
    <t>EJtJr9oiOOOl9L+au9+xUQ==</t>
  </si>
  <si>
    <t>Ashgate Research Companion to Anthropology</t>
  </si>
  <si>
    <t>,1,203,204,202,200,201,2</t>
  </si>
  <si>
    <t>GN42 .S74 2015</t>
  </si>
  <si>
    <t>,1,2,3,173,174,175,171,172,173,174,175,171,172,176,177,178,179,180,181,182,184,188,189,185,186,183,187,190,191,192,187,188,186,185</t>
  </si>
  <si>
    <t>,1,2,3,4,8,9,10,6,7,11,20,21,22,23,19,24,31,32,33,29,30</t>
  </si>
  <si>
    <t>,50,51,52,53,54,49</t>
  </si>
  <si>
    <t>,1,2,3,13,14,15,11,12,16,17,18,19,20,21,47,48,49,45,46</t>
  </si>
  <si>
    <t>lrL2vB8APQLiZJLC+iIwDA==</t>
  </si>
  <si>
    <t>,147,148,149,150,151,152,153,154,155,156,157,158,159</t>
  </si>
  <si>
    <t>SoHhSMpSzaaX+l2hSGTMwQ==</t>
  </si>
  <si>
    <t>Observing by Hand : Sketching the Nebulae in the Nineteenth Century</t>
  </si>
  <si>
    <t>,4,6,5,7,8,9</t>
  </si>
  <si>
    <t>QB32</t>
  </si>
  <si>
    <t>523.1/135</t>
  </si>
  <si>
    <t>,1,2,3,4,5,6,7,8,144,145,146,142,143</t>
  </si>
  <si>
    <t>,240,188,190,189,186,187,191,192,193,194</t>
  </si>
  <si>
    <t>,550,551</t>
  </si>
  <si>
    <t>,1,2,3,4,5,6,7,8,9,10,114,115,112,113,226,227,228,224,225,229,230,231,232,233,234,235,236,237,238,239</t>
  </si>
  <si>
    <t>,1,2,3,547,549,548,546,545</t>
  </si>
  <si>
    <t>Lost Classroom, Lost Community : Catholic Schools' Importance in Urban America</t>
  </si>
  <si>
    <t>,7,12</t>
  </si>
  <si>
    <t>LC501</t>
  </si>
  <si>
    <t>371.071/2</t>
  </si>
  <si>
    <t>The Common Core Coaching Book : Strategies to Help Teachers Address the K-5 ELA Standards</t>
  </si>
  <si>
    <t>LB1576 -- .E4225 2014eb</t>
  </si>
  <si>
    <t>,1,2,3,4,13,21,80,27,10,11,12,8,9,2</t>
  </si>
  <si>
    <t>,1,2,3,4,5,6,7,8,9,10,11,13,14,15,12,2,16,17,18,19,20,21,22,23,24,25,27</t>
  </si>
  <si>
    <t>Cut Loose : Jobless and Hopeless in an Unfair Economy</t>
  </si>
  <si>
    <t>,1,3,2,6,7,238,239,240,230,231,232,228,229,227,226,225,224,223,222,221,226,1,2,3,2,1,3,222,223,224,220,221,225,226,227,219,218,217,216,215,214,213,211,212,179,180,181,177,178,183,182,12,13,14,10,11,15,16,238,239,240,236,237,241,242,243</t>
  </si>
  <si>
    <t>HD5724 .C4896 2015</t>
  </si>
  <si>
    <t>331.13; 331.1370973</t>
  </si>
  <si>
    <t>,1,2,3,145,146,147,144,143,142</t>
  </si>
  <si>
    <t>,144,145,146,147,148,149,150</t>
  </si>
  <si>
    <t>,1,3,2,136,137,134,138,135,139,140,141</t>
  </si>
  <si>
    <t>,147,142,147,148,149,150,151,152,126,127,126,127,128,124,128,125,125,129,129,124,129,137,137,138,139,135,136,138,139,136,134,139,140,140,141,142,143,144,145,146,147,148,149,150,152,151,153,148,153,154,154,155,155,156,156,151,150,149,148,147,146,145,150</t>
  </si>
  <si>
    <t>,129,130,131,132,133,134,135,144,145,146,147,148,149,150</t>
  </si>
  <si>
    <t>,24,23,25,26,29,30,31,27,28</t>
  </si>
  <si>
    <t>,1,2,1,2,3,3,2,2,145,145,147,143,147,146,144,144,146,142,141,146,147,148,148,150,150,146,151,152,151,152,153,153,149,148,147,146,145,144,143,142</t>
  </si>
  <si>
    <t>,1,2,3,15,16,17,20,21,22,18,19,14</t>
  </si>
  <si>
    <t>,1,2,3,296,297,298,294,295,299,300,301,302,303,304,305,306,307,308,309,310,311,312,313</t>
  </si>
  <si>
    <t>,10,11,8,9,12,130,131,132,128,129,133,134,135,136,137,138,5,6,7,3,4</t>
  </si>
  <si>
    <t>Theoretical and Computational Aerodynamics</t>
  </si>
  <si>
    <t>Engineering; Engineering: General; Engineering: Mechanical</t>
  </si>
  <si>
    <t>,1,3,1,3,2,2,25,25,27,26,27,23,24,26,24,2,25,25,26,27,23,24</t>
  </si>
  <si>
    <t>TL570 -- .S4426 2015eb</t>
  </si>
  <si>
    <t>629.132/3001</t>
  </si>
  <si>
    <t>,1,2,3,16,17,18,14,15,19,20,21,22</t>
  </si>
  <si>
    <t>zRYTRoCchGI9tx4YRO3frA==</t>
  </si>
  <si>
    <t>Organic Production and Food Quality : A Down to Earth Analysis</t>
  </si>
  <si>
    <t>TX369 -- .B53 2012eb</t>
  </si>
  <si>
    <t>363.19/29</t>
  </si>
  <si>
    <t>,1,2,3,4,5,7,9,6,8,10,17,18,19,15,16,20,21</t>
  </si>
  <si>
    <t>6FtW32hlCSSsZAXLiCsulA==</t>
  </si>
  <si>
    <t>Family Violence : Explanations and Evidence-Based Clinical Practice</t>
  </si>
  <si>
    <t>,45</t>
  </si>
  <si>
    <t>HV6626 -- .L397 2013eb</t>
  </si>
  <si>
    <t>362.82/92</t>
  </si>
  <si>
    <t>,1,2,3,46,47,48,44</t>
  </si>
  <si>
    <t>,1,2,3,96,97,98,94,95,99,100,101,102,103,104,105,106,107,108,109</t>
  </si>
  <si>
    <t>6OwUzVNd+HmKFoSlRYI4hg==</t>
  </si>
  <si>
    <t>JavaFX For Dummies</t>
  </si>
  <si>
    <t>,5,6,7,8,9,10,12,11,13,14,15,16,17,18,19,20,21,22,23,24,25,26,27,28,29</t>
  </si>
  <si>
    <t>QA76.73.J38 -- .L694 2015eb</t>
  </si>
  <si>
    <t>lieOY236Qp5yVIYCk6r69A==</t>
  </si>
  <si>
    <t>101 Ways to Make Learning Active Beyond the Classroom</t>
  </si>
  <si>
    <t>,1,2,3,5,4,6,7,8,9,10</t>
  </si>
  <si>
    <t>HD5715 -- .B543 2015eb</t>
  </si>
  <si>
    <t>658.3/124</t>
  </si>
  <si>
    <t>zxtK9R0VJUBYqqrgbijrCA==</t>
  </si>
  <si>
    <t>Urban Revolution Now : Henri Lefebvre in Social Research and Architecture</t>
  </si>
  <si>
    <t>,1,2,3,4,282,284,283,280,281</t>
  </si>
  <si>
    <t>HT361 -- .S73 2014eb</t>
  </si>
  <si>
    <t>,2,1,3,17,18,19,15,16,13,14</t>
  </si>
  <si>
    <t>,1,2,2,3,3,1,4,4,5,5,6,6,7,7,8,8,9,9,2,47,48,47,48,49,46,45,46,49,50,50,51,51,52,53,52,53,54,54,55,55,56,56,57,57,184,184,185,185,181,182,182</t>
  </si>
  <si>
    <t>Fish</t>
  </si>
  <si>
    <t>Economics; Business/Management; Science; Science: Biology/Natural History</t>
  </si>
  <si>
    <t>QH545.F53</t>
  </si>
  <si>
    <t>,1,2,3,517,518,519,515,516,202,203,204,200,201,205,199</t>
  </si>
  <si>
    <t>,1,2,3,4,5,6,20,21,22,18,19,17,16</t>
  </si>
  <si>
    <t>t08s0dwl924T8VE1MnZ/jg==</t>
  </si>
  <si>
    <t>Language and Culture in EU Law : Multidisciplinary Perspectives</t>
  </si>
  <si>
    <t>,1,3,2,52,53,54,50,51</t>
  </si>
  <si>
    <t>KJE5306 -- .L36 2015eb</t>
  </si>
  <si>
    <t>341.242/2014</t>
  </si>
  <si>
    <t>,1,2,3,487,488,489,485,486,464,465,466,462,463,467,468,469,470</t>
  </si>
  <si>
    <t>,1,3,2,1,2,3,49,50,51,47,48,52,53,54,55,56,57,58,59,60,61,62,63,64,65,66,67,68,69</t>
  </si>
  <si>
    <t>,1,3,3,1,2,2,198,199,198,199,200,197,196,200,197,195,200,195,200,2,201,201,202,202,203,203,204,204,205,205,206,206,207,207,208,208,209,209,210,210,211,211,212,212,213,213,214,214,215,215,216,216,217,217,218,218,219,219,220,220,221,221,222,222,223,223,224,224,227,228,229,225,228,229,227,226,226,230,230,225,224,223,222,198,199,200,196,225,226,227,223,224,228,223,222,221,220,219,218,217,216,215,227,228,229,230,226,48,48,48,49,50,51,49,51,48,50,47,227,228,227,228,229,230,226,231,231,232,232,233,233</t>
  </si>
  <si>
    <t>zg0hSmX9qaYk4BaNhcmt6Q==</t>
  </si>
  <si>
    <t>Essential Concepts in Sociology</t>
  </si>
  <si>
    <t>,12,13,14,15,16,17,18,19,20,21,22,23,24,25,26,27,28,29</t>
  </si>
  <si>
    <t>JZ1318</t>
  </si>
  <si>
    <t>Becoming Salmon : Aquaculture and the Domestication of a Fish</t>
  </si>
  <si>
    <t>SH167.S17</t>
  </si>
  <si>
    <t>639.3; 639.3/755</t>
  </si>
  <si>
    <t>,5,6,7,8,9,10,11,12,13,14,15,16,17,18,19,20,1,2,3</t>
  </si>
  <si>
    <t>Child and Adolescent Therapy, Fourth Edition : Cognitive-Behavioral Procedures</t>
  </si>
  <si>
    <t>RJ505.C63 -- C45 2012eb</t>
  </si>
  <si>
    <t>,384,381,386,380,330,309,273,271,272,269,270,337,338,339,335,336,340,341</t>
  </si>
  <si>
    <t>,1,2,3,382,383,385</t>
  </si>
  <si>
    <t>,174,176,179</t>
  </si>
  <si>
    <t>,1,3,2,426,427,424,425,428,429,312,313,310,314,311</t>
  </si>
  <si>
    <t>,1,2,3,4,5,169,170,171,167,168,169,170,171,167,172,173,175,177,180,183,184,186,189,188,178,168</t>
  </si>
  <si>
    <t>r1+wg/TN1F6JtkjataQ3MQ==</t>
  </si>
  <si>
    <t>Mindfulness-Based Cognitive Therapy for Bipolar Disorder</t>
  </si>
  <si>
    <t>RC516 -- .M563 2014eb</t>
  </si>
  <si>
    <t>,1,2,3,32,33,30,32,30,31,34,35,52,53,54,50,51,55,56,57,58,59,60</t>
  </si>
  <si>
    <t>,25,26,27,28,29,30,31,32,33,34,35,36,37,38,39,40,41,42,43,44,45</t>
  </si>
  <si>
    <t>,1,2,3,1,4,5,6,8,7,9,10,11,12,13,14,15,16,17,18,19,20,21,22,23,24</t>
  </si>
  <si>
    <t>,193,1,194,195,191,192,202,203,204,200,201,205,206,207,199,198</t>
  </si>
  <si>
    <t>,1,2,3,130,131,132,128,129,133,134,127,126,124,125,123,122,185,187,186,183,184,188,1,188,189,190,186,187,191,192,193</t>
  </si>
  <si>
    <t>Teaching Word Recognition, Second Edition : Effective Strategies for Students with Learning Difficulties</t>
  </si>
  <si>
    <t>,103,102,101,108,1,108,109,110,106,107,54,55,56,53,52,82,83,84,80,81,2</t>
  </si>
  <si>
    <t>LB1050.45 -- .O366 2014eb</t>
  </si>
  <si>
    <t>,1,2,3,4,5,6,7,8,9,10,11,12,13,14,16,20,21,22,23,19,96,97,98,94,95,99,100,101,102,103,104,105,106,107,108,109,110</t>
  </si>
  <si>
    <t>,61,62,63,59,60</t>
  </si>
  <si>
    <t>,20,21,22,23,24,25,224,225,226,222,223</t>
  </si>
  <si>
    <t>,1,2,3,4,5,6,7,8,9,11,10,12,13,14,91,92,93,89,90,94,95,96,97,98,99,100,101,102,103,104,105</t>
  </si>
  <si>
    <t>,1,2,3,217,218,219,215,216,9,10,11,17,18,19,15,16</t>
  </si>
  <si>
    <t>,25,26,27,28,29,30,31,32,33,34,35,36,37,38,39,40,41,42,43,44,45,46,47,48,49,50,51</t>
  </si>
  <si>
    <t>,1,2,3,19,20,21,22,23,24,22,23,24</t>
  </si>
  <si>
    <t>Ebola Myths and Facts For Dummies</t>
  </si>
  <si>
    <t>Science; Medicine; Science: Biology/Natural History</t>
  </si>
  <si>
    <t>,1,3,3,2,1,2,2,2,4,4,5,5,6,6,7,7,20,20,21,22,18,21,19,22,19</t>
  </si>
  <si>
    <t>QR201.E16 -- C43 2015eb</t>
  </si>
  <si>
    <t>616.9; 616.925</t>
  </si>
  <si>
    <t>,1,2,1,2,3,3,4,4,5,5,6,6,7,7,9,9,8,8,4,2</t>
  </si>
  <si>
    <t>,1,2,3,37,38,39,35,36,40,41,42</t>
  </si>
  <si>
    <t>Animal Nutrition with Transgenic Plants</t>
  </si>
  <si>
    <t>,1,2,3,106,107,108,105,104,109,153,154,155,151,152,104,106</t>
  </si>
  <si>
    <t>SF95 -- .A636 2013eb</t>
  </si>
  <si>
    <t>632/.8</t>
  </si>
  <si>
    <t>+QIJUp2LR9Bynb4Y3bIAbQ==</t>
  </si>
  <si>
    <t>Inclusive Instruction : Evidence-Based Practices for Teaching Students with Disabilities</t>
  </si>
  <si>
    <t>,1,2,3,64,65,66,62,63,67,68</t>
  </si>
  <si>
    <t>LC1200 -- .I545 2012eb</t>
  </si>
  <si>
    <t>371.9/046</t>
  </si>
  <si>
    <t>Clinical Handbook of Psychological Disorders, Fifth Edition : A Step-by-Step Treatment Manual</t>
  </si>
  <si>
    <t>,1,2,3,371,372,373,369,370,374</t>
  </si>
  <si>
    <t>RC489.B4 -- C584 2014eb</t>
  </si>
  <si>
    <t>,1,2,3,4,5,6,7,8,9,10,11,12,13,14,15,16,17,18,2,19,20,22,21,23,24</t>
  </si>
  <si>
    <t>YjLlfT+pdt4Gsvsd/VKWig==</t>
  </si>
  <si>
    <t>,1,1,2,2,3,3,6,7,7,8,4,8,5,6,5,2,9,9,4,204,204,205,205,206,206,203,202,203,204</t>
  </si>
  <si>
    <t>,1,2,3,4,5,42,43,44,40,41,39</t>
  </si>
  <si>
    <t>Bm+YI1NSjRjMTX3b9JzEqw==</t>
  </si>
  <si>
    <t>,1,2,3,1,2,3,4,4,5,5,6,6,7,2,7,8,8,9,9,10,10,11,11,12,12,13,13,14,14</t>
  </si>
  <si>
    <t>C+CqExUYyX/s1+Sa0x1qzg==</t>
  </si>
  <si>
    <t>,1,15,16,17,13,14</t>
  </si>
  <si>
    <t>,1,1,2,2,3,3,4,4,5,5,6,6,7,8,8,7,9,9,10,10,11,11,2,12,12,13,13,14,14,15,15,16,17,17,16,18,18,19,19,20,20,21,21,22,22,23,23</t>
  </si>
  <si>
    <t>dOQmEMoEGbU=</t>
  </si>
  <si>
    <t>Communities and Networks : Using Social Network Analysis to Rethink Urban and Community Studies</t>
  </si>
  <si>
    <t>,170,171,171,172,151,152,153,149,150,154,156,155,157,158</t>
  </si>
  <si>
    <t>HM756 -- .G58 2013eb</t>
  </si>
  <si>
    <t>,1,2,3,445,446,447,443,444,448,449,450,451,429,430,431,427,428,432,433,434,435,436,453,454,455,452</t>
  </si>
  <si>
    <t>,1,3,2,1,2,3,1,2,3,26,27,28,24,25,29,30,31,32,33,34,35,36,37,38,39,40,41,42,43,44,45,35,34,44,45,46,47,48,49,50,51,52,53,54,55</t>
  </si>
  <si>
    <t>,1,2,3,151,152,153,149,150,145,146,144,142,143,147,154,158,160,159,157,156,161,162,163,158,157,162,163,164,165,166,167,169,168</t>
  </si>
  <si>
    <t>aO/DWvn2dYRlJzkd5FToOw==</t>
  </si>
  <si>
    <t>Internal Combustion Engines : Applied Thermosciences</t>
  </si>
  <si>
    <t>,39,40,41,42,43,44,45,46,47,48</t>
  </si>
  <si>
    <t>TJ756 .F47 2015</t>
  </si>
  <si>
    <t>,10,11,12,13,14,15,16</t>
  </si>
  <si>
    <t>,1,2,3,22,23,24,20,21,25,26,27,28,29,30,31,32,33,34,35,36,37,38</t>
  </si>
  <si>
    <t>Controlling the Message : New Media in American Political Campaigns</t>
  </si>
  <si>
    <t>JK2281</t>
  </si>
  <si>
    <t>324.7/30973; 324.730973</t>
  </si>
  <si>
    <t>Great Myths of Child Development</t>
  </si>
  <si>
    <t>HQ767.9  -- .H87 2015eb</t>
  </si>
  <si>
    <t>,126,127,128</t>
  </si>
  <si>
    <t>Global Energy Dilemmas</t>
  </si>
  <si>
    <t>Business/Management; Economics; Environmental Studies</t>
  </si>
  <si>
    <t>,1,2,3,4,5,6,7,8,9,10,11,12,13,14,16,15,17,18,19,20,21,22</t>
  </si>
  <si>
    <t>HD9502.A2 -- .B733 2014eb</t>
  </si>
  <si>
    <t>,1,2,3,123,124,121,125,122,126,127,128</t>
  </si>
  <si>
    <t>B8IXTuvTgXGw8oulcBeOJw==</t>
  </si>
  <si>
    <t>,41</t>
  </si>
  <si>
    <t>,1,2,3,4,36,37,38,34,35,39,40,41,42,43</t>
  </si>
  <si>
    <t>,1,2,3,31,32,33,30,29</t>
  </si>
  <si>
    <t>shi.chow</t>
  </si>
  <si>
    <t>Business Ethics Through Movies : A Case Study Approach</t>
  </si>
  <si>
    <t>,1,2,3,4,39,40,41,37,38,77,78,79,75,76,80,29,30,31,27,28,32,33,34,35,36,26,25,24,23,22,21,20,18,16,17,5,6,7,9,10,11,12,8</t>
  </si>
  <si>
    <t>HF5387 -- .T439 2015eb</t>
  </si>
  <si>
    <t>,1,2,3,80,81,82,78,79,23,24,25,21,22,26,27,371,372,373,369,370,367,368,365,366</t>
  </si>
  <si>
    <t>,1,2,3,15,16,17,13,14,15,16,13,14</t>
  </si>
  <si>
    <t>,1,2,3,34,35,32,36,33,37,38,39,40,41</t>
  </si>
  <si>
    <t>,1,3,2,48,44,250,248,1,2,3</t>
  </si>
  <si>
    <t>a1LGv0hXj8yh7W5mH+0b7Q==</t>
  </si>
  <si>
    <t>,376,369,376,366,369,366,364,362,364,360,360,362</t>
  </si>
  <si>
    <t>,1,3,3,2,2,1,4,4,5,6,5,7,6,7,8,8,3,2,1,4,5,6,7,8,9,9,10,10,11,11,12,12,201,312,367,201,312,367,368,368,411,411,418,418,419,419,420,421,420,421,424,424,426,427,426,427,425,425,423,420,419,421,417,418,415,416,414,413,412,411,410,409,408,407,406</t>
  </si>
  <si>
    <t>,1,2,3,87,88,89,85,86,90,91,92,93,94,95,96,97,98,99,100,101,102,103,104,105,106,107,108,109,110,111,112,113,114,115,116,117</t>
  </si>
  <si>
    <t>1x+iDoCdiEGii3bpP3eAuA==</t>
  </si>
  <si>
    <t>Mandolin Exercises For Dummies</t>
  </si>
  <si>
    <t>M292</t>
  </si>
  <si>
    <t>,1,2,3,4,5,6,7,9,8,10,11,12,13</t>
  </si>
  <si>
    <t>5CdrkHI465k=</t>
  </si>
  <si>
    <t>,1,3,2,35,36,37,33,34,38,39,40,41,42,43</t>
  </si>
  <si>
    <t>,1,1,3,3,2,2,47,48,49,47,48,49,45,46,46,2,50,50,51,51,52,52,53,53,54,54,55,55,56,56,57,57,58,58,59,59,60,60,61,61</t>
  </si>
  <si>
    <t>pqfj1sVTbjRevRYgrAdsxw==</t>
  </si>
  <si>
    <t>,1,2,3,4,5,6,7,8,9,10,11,12,16,18,13,15,14</t>
  </si>
  <si>
    <t>wY8G7DuPZTaXjHxzT6gdCA==</t>
  </si>
  <si>
    <t>,1,2,3,4,5,6,7,8,9,10,11,12,13,14,15,16,17,18,10,5,4,2,3</t>
  </si>
  <si>
    <t>cngnEpJyQDpqlF6mO4iIdw==</t>
  </si>
  <si>
    <t>Selling Digital Music, Formatting Culture</t>
  </si>
  <si>
    <t>ML3790 .M384 2015</t>
  </si>
  <si>
    <t>TynbQD8jDi44bWlayXgmRg==</t>
  </si>
  <si>
    <t>What is Slavery?</t>
  </si>
  <si>
    <t>E441</t>
  </si>
  <si>
    <t>306.3/620973</t>
  </si>
  <si>
    <t>CrWK0eOEjXNH4o4BDG2MYw==</t>
  </si>
  <si>
    <t>Savage Frontier : Making News and Security on the Argentine Border</t>
  </si>
  <si>
    <t>,20,21,22,23,24,25,26,27,28,29,30,52,53,54,50,51</t>
  </si>
  <si>
    <t>HV6878.5 -- .J87 2015eb</t>
  </si>
  <si>
    <t>,1,2,3,4,5,6,7,8,9,10,11,13,14,12,15,16,17,18,19</t>
  </si>
  <si>
    <t>,1,2,3,197,199,198,195,196,200,201,202,203,204,205,206,207,208,209,228,225,226,231</t>
  </si>
  <si>
    <t>x8+M+NKqr2LFOta5soTTqQ==</t>
  </si>
  <si>
    <t>,1,2,3,180,181,182,178,179,205,206,207,203,204,183,184,185,206,207,203,204,202,192,193,194,190,191,195,196,197,198,199,191,190,206,207,203,240,241,242,238,239,208,209,210,211,241,242,238,239,237,236,235,234,233,232,241</t>
  </si>
  <si>
    <t>pPniNS/7jBU=</t>
  </si>
  <si>
    <t>Web Development with jQuery</t>
  </si>
  <si>
    <t>,1,2,3,4,657,658,656,655,651,647,7,8,9,10,6,11,210,211,212,208,209,213</t>
  </si>
  <si>
    <t>QA76.73.J39 -- .Y675 2015eb</t>
  </si>
  <si>
    <t>ynWSOy9/TQr4EBSqecHLug==</t>
  </si>
  <si>
    <t>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39,344,346,347,348,349,345,350,351,352,353,354,458,459,460,456,457,461,462,463,464,465,466,467,468,469,470,471</t>
  </si>
  <si>
    <t>,1,3,2,4,5,6,7,8,9,10,11,12,13,14,15,16,17,18,19,20,21</t>
  </si>
  <si>
    <t>eAGdX3X9aVVMervK1FRKZg==</t>
  </si>
  <si>
    <t>,1,2,3,263,264,265,261,262,257,258,259,255,256,254</t>
  </si>
  <si>
    <t>,62,64,63,60,61,59,58,48,49,50,47,51,52,53,54,55,56,57,58,59,63,64,46,63,64,83,85,84,81,82,80,79,68,69,70,66,67,71,85,72,73,74,84,80,85,79,78,77,76,75,111,112,113,109,110,108,107,106,152,153,154,150,151,148,149,116,117,118,114,123,125,124,121,122,128,129,130,126,127,139,140,141,137,138,153,154,149,148,173,174,175,171,172,170,159,160,161,157,158,169,168,167,166,162,163,164,205,206,207,203,204,202,192,179,180</t>
  </si>
  <si>
    <t>,1,2,3,21,22,44,45,46,42,43,41,40,23,24,25,19,20,24,25,45,46,47,19,20,25,26,27</t>
  </si>
  <si>
    <t>,1,2,3,208,209,210,206,207,214,215,216,212,213,238,235,236</t>
  </si>
  <si>
    <t>,1,2,3,181,182,183,179,180,178,178,205,206,207,203,204,185,187,186,184,188,181,186,185,183,188</t>
  </si>
  <si>
    <t>,1,3,2,1,2,3</t>
  </si>
  <si>
    <t>,349,346,350,347,263,264,265,262,261,185,186,187,183,184,188,182,121,122,123,119,118,115,114,124,125,126,127,351,352,353</t>
  </si>
  <si>
    <t>,1,2,3,364,366,365,362,363,146,147,148,144,145,149,150,151,146,144,296,297,298,295,294,299,157,158,159,155,156,146,118,119,120,116,117,348</t>
  </si>
  <si>
    <t>,1,2,3,9,6,4,5</t>
  </si>
  <si>
    <t>,6,12,1,8,42,72,72,73,74,70,71,54,9,11,16,17,18,14,15,19,20,22,23,24,21,25,26,12,13,10</t>
  </si>
  <si>
    <t>,5,1,6,7,3,4,8,9,2,10,11,12,13,14,15,16</t>
  </si>
  <si>
    <t>,1,2,3,191,192,193,189,190,2,194,195,196,197,1,197,198,199,195,196,186,187,188,2,184,185,189,190,191,192,193,194,192,191,190,198,199,188,189,190,186,187,191,185,191,192,193,190,194,195,196,197,198</t>
  </si>
  <si>
    <t>PtvYM9k+JrW9f4cX0x0JYw==</t>
  </si>
  <si>
    <t>Unending Hunger : Tracing Women and Food Insecurity Across Borders</t>
  </si>
  <si>
    <t>V6602 -- .C376 2015eb</t>
  </si>
  <si>
    <t>362.83/9812083</t>
  </si>
  <si>
    <t>,1,2,3,4,5,1,5,6,7,4,3,14,8,9,10,11,12,2,13,15,16,17,18,19,20,21,22,23,24,25,26,27,28,29,30,31,387,385,386</t>
  </si>
  <si>
    <t>,1,2,3,4,5,6,7,8,3</t>
  </si>
  <si>
    <t>3M8q9LyDrjv+tXpG6TAdFQ==</t>
  </si>
  <si>
    <t>,5,13,8,14,9,10,11,7,12,15,16,17,18,19,20,21,22,23,24,25,26,27,28,29,30,31,32,33,34,35,36,37,38,39,40,41,42,43,44,51,52,67,80,81,79,78,77,76,75,74,73,72,71,70,69,68,65,66,63,64,61,62,60,59,57,58,55,56,54,53,50</t>
  </si>
  <si>
    <t>,497,479,499,500,501,502,498,503,504</t>
  </si>
  <si>
    <t>mhQV1BJxjQE=</t>
  </si>
  <si>
    <t>Psychopathy : An Introduction to Biological Findings and Their Implications</t>
  </si>
  <si>
    <t>,1,28,29,30,26,27,31,17,7,2,3,8,9,10,6</t>
  </si>
  <si>
    <t>RC555 -- .G54 2014eb</t>
  </si>
  <si>
    <t>616.85/82</t>
  </si>
  <si>
    <t>,1,2,3,9,10,11,7,8,493,494,495,491,492,496</t>
  </si>
  <si>
    <t>,1,2,3,19,20,21,17,18,22,23,24,25,26,27,28,30,29,31,32</t>
  </si>
  <si>
    <t>,392,393,394,390,391,65,68,70,72,73,74,71,83,84,85,81,82,79,80,62,60,61,44,45,46,42,43,16,18,17,14,15,13,23,24,25,21,22,30,31,32,28,29,33,27,26,110,111,112,109,108</t>
  </si>
  <si>
    <t>,1,2,3,65,66,67,63,64,68,69,66</t>
  </si>
  <si>
    <t>Ze6MPNOLOhXM25NEhSteoQ==</t>
  </si>
  <si>
    <t>,1,2,3,217,218,219,216,215,220,221,222</t>
  </si>
  <si>
    <t>CXVTXtKVC6P6GhpWjcn6eQ==</t>
  </si>
  <si>
    <t>Exploring Arduino : Tools and Techniques for Engineering Wizardry</t>
  </si>
  <si>
    <t>TJ223.P76 -- B58 2013eb</t>
  </si>
  <si>
    <t>/UQGE1zXj00=</t>
  </si>
  <si>
    <t>Irina Baronova and the Ballets Russes de Monte Carlo</t>
  </si>
  <si>
    <t>Fine Arts; Sport &amp; Recreation</t>
  </si>
  <si>
    <t>,1,2,3,165</t>
  </si>
  <si>
    <t>GV1785.B3475 -- .T46 2014eb</t>
  </si>
  <si>
    <t>792.802/8092</t>
  </si>
  <si>
    <t>NOKXjweMCJExtXO5SVXExA==</t>
  </si>
  <si>
    <t>China-Japan Border Dispute : Islands of Contention in Multidisciplinary Perspective</t>
  </si>
  <si>
    <t>,1,2,3,4,5,6,7,39,41,40,37,38,35,36,8,69,70,71,67,98,99,100,96,97</t>
  </si>
  <si>
    <t>KZ3881.S46 C43 2015</t>
  </si>
  <si>
    <t>341.4''2</t>
  </si>
  <si>
    <t>,1,69,70,71,67,68,72,2,73,74,75,76,77,78,79,80,81,82,83,84,85,86,87,88,89,90,91,92,93,94,95,101,102,99,98,100,97,96,97,97,103,104,105,106,107,108,109,110,111,112,113,114,115,116,117,118,121,122,123,124,120,119,125,126,128,129,130,131,127</t>
  </si>
  <si>
    <t>,1,2,3,6,16,17,10,4,5,7,8,9,11,12,13,14,15,18,19,20,21,22,23,24,25,26,27</t>
  </si>
  <si>
    <t>Invisible Hands : Self-Organization and the Eighteenth Century</t>
  </si>
  <si>
    <t>B802</t>
  </si>
  <si>
    <t>,1,2,3,47,48,49,45,46,50,92,93,94,90,91</t>
  </si>
  <si>
    <t>,1,2,3,1,2,3,1,2,3,31,32,33,29,30,34,35,36,37,38,39,42,43,41,40,15,16,17,13,14</t>
  </si>
  <si>
    <t>,1,2,3,69,70,71,67,68,72,73,74,75,76</t>
  </si>
  <si>
    <t>Medieval Way of War : Studies in Medieval Military History in Honor of Bernard S. Bachrach</t>
  </si>
  <si>
    <t>History; Military Science</t>
  </si>
  <si>
    <t>D128 -- .M4335 2015eb</t>
  </si>
  <si>
    <t>355.02094/0902</t>
  </si>
  <si>
    <t>,1,3,2,14,15,16,12,13,17</t>
  </si>
  <si>
    <t>Schema Therapy with Couples : A Practitioner's Guide to Healing Relationships</t>
  </si>
  <si>
    <t>,10,11,112,113,114,110,111,115</t>
  </si>
  <si>
    <t>RC488.5 .S384 2015</t>
  </si>
  <si>
    <t>,1,2,3,5,11,12,20,73,117,118,119,115,116,79,80,81,77,78,82,83,76,84,85,86,87,88,89,90,91,92,93,94,95,96,97,98,100,101,102,103,104,105,106,107,108,109,110,111,99,113,114,68,6,7,8,13,14,10,15,16,17,18,19,21,22,23,24,25,26,27,28,29,30</t>
  </si>
  <si>
    <t>,79,80,81,82,83,84,85,86,87,88,89,90,91,93,94,95,96,97,98,99,101,102,103,104,105,106,107,108</t>
  </si>
  <si>
    <t>,1,2,3,30,31,32,28,33,29,34,35,36,37,41,42,43,39,40,44,45,46,8,9,10,6,7,403,404,405,401,402,406,407,408,409,410,411,412</t>
  </si>
  <si>
    <t>,1,2,3,25,106,107,108,104,105,91,92,93,89,90,94,95,96,97,99,103,110,112,113,114,115,111,109</t>
  </si>
  <si>
    <t>,1,2,3,4,32,118,119,120,121,117,111,109,108,103,99,96,97,98,100,101,102,104,105,106,107,110</t>
  </si>
  <si>
    <t>Computer Games and the Social Imaginary</t>
  </si>
  <si>
    <t>Social Science; Sport &amp; Recreation</t>
  </si>
  <si>
    <t>GV1469.17.S63 -- K57 2013eb</t>
  </si>
  <si>
    <t>,1,2,3,4,5,7,10,51,87,88,89,90,91,92,93,94,95,96,97,98,99,100,101,102,103,104,105,106,107,108,110,112,111,113,109,114,115,116,117,118,111,110,109,108,107,106,105,104,103,102,101,100,99,98,97,96,95,94,93,92,91,90,89,88,87,86,85,84,83,82,81,80,79,78,77,76,75,74,73,72,71,70,69,68,67,66,65,64,63,62,61,60,59,58,57,56,55,54,53,52,51,50,49,48,47,46,45,44,43,42,41,40,39,38,37,36,35,34,33,32,31,30,29,28,27,26,25,24,23,22,21,20,19,18,17,16,15,14,13,12</t>
  </si>
  <si>
    <t>,1,2,3,4,5,6,7,8,13,14,15,17,19,23,24,22,20,21,18,16,12,10,9,11,15,16,17,20,21,19,26,52,94,112,113,114,110,111,120,121,118,119,117,116,115</t>
  </si>
  <si>
    <t>,12,13,14,15</t>
  </si>
  <si>
    <t>,12,10,3</t>
  </si>
  <si>
    <t>,4,121,119,121,120,1,120,8,9,10,11,12,7,6,79,80,81,91,92,93,89,56,57,58,54,55,59,60,61,62,63,64,68,69,66,65,67,70,71,72,73,16,1,2,3,8,9,10,11,12,13,14,25,26,27,23,24,116,117,118,114,115,121,119,15</t>
  </si>
  <si>
    <t>,1,12</t>
  </si>
  <si>
    <t>,1,2,3,4,25,31,32,33,34,35,19,12,6,5,8,9,10,11,7,13,14,15,16,17,18,19,20,21,22,23,24,25,26,27,28,29,30,31,32,33,34,35,36,37,38,39,40,41,42,43,44,45,46,47,48,49,50,51,53,55,56,57,58,59,60,62,63,65,67,69,71,75,76,77,78,79,101,104,115,119,120,121,118,117,116,6,1,2,3</t>
  </si>
  <si>
    <t>ev/3+9Tr54vKHRFzDrRIuw==</t>
  </si>
  <si>
    <t>Stress and Your Health : From Vulnerability to Resilience</t>
  </si>
  <si>
    <t>BF575 .S75 A55 2015</t>
  </si>
  <si>
    <t>,1,2,3,17,18,19,15,16,20,21,22,8,9,10,7,6</t>
  </si>
  <si>
    <t>QnfTcom+9Jf7dF4V2+A7XA==</t>
  </si>
  <si>
    <t>Flawed System/Flawed Self : Job Searching and Unemployment Experiences</t>
  </si>
  <si>
    <t>HF5382</t>
  </si>
  <si>
    <t>Body Language For Dummies</t>
  </si>
  <si>
    <t>,1,2,3,4,5,6,7,8,9,10,11,13,12,14,15,16,17,18,19,20,21,22,23,24,25,26,27,28,29,30,31,32,33,34,35,36,37,38,39,40,41</t>
  </si>
  <si>
    <t>BF637.N66 K84</t>
  </si>
  <si>
    <t>,1,2,3,169,170,171,167,168,172,170,171,172,168,169</t>
  </si>
  <si>
    <t>,42,43,40,44,41,45,46,47,48,49,42,43,40,41</t>
  </si>
  <si>
    <t>Judgments of the European Court of Human Rights – Effects and Implementation</t>
  </si>
  <si>
    <t>,38,39,40,32,33,26,27,28,24,14,15,16,12,13,11,10,9</t>
  </si>
  <si>
    <t>342.2408''50269</t>
  </si>
  <si>
    <t>,1,2,3,508,509,510,506,507,511,515,516,517,513,514,359,360,361,357,358,362,334,335,336,332,333,337,338,339,340,341,342,343</t>
  </si>
  <si>
    <t>,1,28,27,24,26,25,23,21,22,20,19,2,23,24,25,21,22,26,27,28,29,30,31,32,33,34,26,1,27,28,24,25,29,30,28,29,30,26,27,31,32,33,2,34,35,36,37,38,39,40,41,42,43,44,45,46,47,48,49,41,26,27,1,28,24,25</t>
  </si>
  <si>
    <t>,31,32,31,32</t>
  </si>
  <si>
    <t>,1,2,3,34,35,36,32,33,37</t>
  </si>
  <si>
    <t>,1,2,3,1,2,3,4,2,3,4,1,4,5,6,7,8,9,10,11,12,13,14,15,16,17,18,19,20,21,22,23,24,25,13,26</t>
  </si>
  <si>
    <t>,1,2,3,47,48,49,45,50,46,65,66,87,88,89,85,86,2,90,91,92,93,94,95,96,97,98,99,100,101,115,116,117,113,114,118,119,120,121,122,123,124,125,126,127,128,129,130,157,158,159,155,156,160,161,162,163,165,164,179,180,181,177,182,178,183,184,185,186,187,188,189,190,191,192,193,194,133,110,82,40,1,2</t>
  </si>
  <si>
    <t>,1,2,3,4,5,6,7,10,11,14,15,17,21,22</t>
  </si>
  <si>
    <t>Essentials of Child and Adolescent Psychopathology</t>
  </si>
  <si>
    <t>RJ499 -- .W556 2015eb</t>
  </si>
  <si>
    <t>618.92/89</t>
  </si>
  <si>
    <t>,1,2,3,19,20,21,18,17,22,23</t>
  </si>
  <si>
    <t>,1,2,3,4,5,6,7,8,9,10,11,12,19,20,21,17,18,22,23,24,25,42,43,44,41,40,45</t>
  </si>
  <si>
    <t>,4,36,102,104,128,129,130,160,163,164,165,161,162</t>
  </si>
  <si>
    <t>,1,2,3,4,5,6,7,8,10,9,11,12,17,18,19,15,16</t>
  </si>
  <si>
    <t>,1,3,2,34,35,36,33,32,37</t>
  </si>
  <si>
    <t>,29,27,28,26,26,1,28,27,24,25,158,159,160,156,157,154,155,152,153,2,166,167,168,164,165,211,274,275,272,273,277,278,282,283,284,280,281,279,285,286,287,288,289,290,291,292,293,294,338,339,340,341,342,343,1,343</t>
  </si>
  <si>
    <t>,15,16,17</t>
  </si>
  <si>
    <t>,20,21,22,23,24,25,26,27,28,29,30,31,32,33,34,35,36,37,38,39,40,41,42,43,44,45,46,47,48,49,50,51,52,53,54,55,56,57,58,59,60,61,62,63,64,65,66,67,68,69,70,71,72,73,74,75,76,77,78,79,80,81,82,83,84,85,86,87,88,89,90,91,92,93,94,95,96,97,98,99,100,101,102,103,104,105,106,107</t>
  </si>
  <si>
    <t>,1,2,3,31,32,33,29,30,34,2</t>
  </si>
  <si>
    <t>x3yRBH4n1vK4x6j7Qfl/MQ==</t>
  </si>
  <si>
    <t>,1,1,2,3,2,3,2,2,252,253,252,250,254,251,253,254,251,249,479,480,479,481,477,480,478,481,478,479,480,481,477,478,242,242,244,240,244,241,241,245,245,239,240</t>
  </si>
  <si>
    <t>DMjKqgpkc0s=</t>
  </si>
  <si>
    <t>,1,3,2,4,5,6,7,8,9,10,11,12,13,14,16,15,24,25,26,22,23,27,28,29,30</t>
  </si>
  <si>
    <t>jSYZJu9JRJtBQMa6/fYfuw==</t>
  </si>
  <si>
    <t>,1,2,3,151,152,153,154,155,153,154,153,154,155,151,152,156,157,195,196,197,193,194,198,199,200,201,202,203,204,195,196,197,193,194</t>
  </si>
  <si>
    <t>,60,45,3</t>
  </si>
  <si>
    <t>,214,214,215,212,215,216,213,216,213,214,212,213,213,48,49,50,48,50,49,46,207,208,209,208,207,205,209,206,206,237,238,237,238,235,239,236,239,236,257,258,258,257,259,259,255,256,256</t>
  </si>
  <si>
    <t>,1,64,65,62,2,67,69</t>
  </si>
  <si>
    <t>,1,2,2,3,3,1,197,198,197,199,198,195,199,196,196,2</t>
  </si>
  <si>
    <t>,1,2,3,185,186,187,183,184,188,189,190,191,192,193,194,195,196,197</t>
  </si>
  <si>
    <t>,1,2,3,191,192,193,194,195,196,197</t>
  </si>
  <si>
    <t>,1,2,3,191,192,193,189,194,190,195,196,197</t>
  </si>
  <si>
    <t>,1,2,3,8,9,10,6,7,34,35,36,32,33,306,307,308,309,305,303,298</t>
  </si>
  <si>
    <t>,2,2,1</t>
  </si>
  <si>
    <t>,2,2,1,3,3,1,1</t>
  </si>
  <si>
    <t>,1,2,3,4,10,11,12,8,9,13,14</t>
  </si>
  <si>
    <t>,33,34,35,36,37,38,39,41,42,43,44,45,46,47,48,50,49,51,52,53,54,55,56,44</t>
  </si>
  <si>
    <t>,1,3,2,256,257,258,254,255,259,260,261,262,263,264,265,266,267,268,269,270,271,272,273,274,275,259,260,261,262,263,264,265,266,267,268,269,270,271</t>
  </si>
  <si>
    <t>5qapZEzrDDV4PqY4WrN93A==</t>
  </si>
  <si>
    <t>,1,2,2,3,1,3,279,280,279,281,280,277,281,278,278,2,282,282,283,284,283,284,285,286,287,287,288,286,288,289,285,290,289,291,292,291,293,292,290,293,294,296,294,296,297,295,295,297,292,291,290,289,288,287,286,285,279,280,281,277,278,282,283</t>
  </si>
  <si>
    <t>,4,5,3,24,25,26,23,22,29,31,30,27,28,32,33,34,35,36,37,38,39,40,41,42,43,44,32</t>
  </si>
  <si>
    <t>,136,137,141,142,143,144,145,146,147,148,149,150,151,152,153,154,155,156,157,158,159,160,161,162,163,164,165,166,167,168,169,170,171,172,173,174,175,176,177,178</t>
  </si>
  <si>
    <t>,169,170,171,172,173,174,175,176,177,178,179,180,181,182,183,184,185,186,187,188,189,190,191,192,193,194,195,196</t>
  </si>
  <si>
    <t>,1,2,3,169,170,171,167,168</t>
  </si>
  <si>
    <t>,1,2,3,258,259,260,256,257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125,126,127,123,124,128,129,138,139,140</t>
  </si>
  <si>
    <t>,1,2,3,21,22,23,19,20,367,368,369,365,366</t>
  </si>
  <si>
    <t>qrpRD5UQLFZkfNHIoH/8AQ==</t>
  </si>
  <si>
    <t>,1,2,2,3,3,1,2,2,50,51,50,52,51,48,52,49,49,53,53,48,46,47,46,45,44,50,51,52,49</t>
  </si>
  <si>
    <t>,1,2,3,15,16,17,13,14,18,15</t>
  </si>
  <si>
    <t>4PrkYaBvYXsacoBjwsJu/w==</t>
  </si>
  <si>
    <t>,13</t>
  </si>
  <si>
    <t>,1,2,3,208,209,210,206,207,211</t>
  </si>
  <si>
    <t>,390,390,391,392,389,397,388,395,393,396,394,372,373,374,371,370,369,375,376,377,378,379,380,382,381,383,384,351,352,353,349,350</t>
  </si>
  <si>
    <t>,1,3,2,1,371</t>
  </si>
  <si>
    <t>PUhZLsUbNWl7DmQzKG3chA==</t>
  </si>
  <si>
    <t>Concise Encyclopedia of Communication</t>
  </si>
  <si>
    <t>,1,2,3,33,34,35,31,32,30,37,38,39,36</t>
  </si>
  <si>
    <t>P87.5 -- .C66 2015eb</t>
  </si>
  <si>
    <t>302/.03</t>
  </si>
  <si>
    <t>,1,2,3,9,10,11,7,8,12,5,4,6,13</t>
  </si>
  <si>
    <t>,1,2,3,174,173,175,171,172,176,177,178,179,180,181,182,183,184,179,171,172,185,186</t>
  </si>
  <si>
    <t>,1,2,3,24,26,23,25,22,24,27,28,38,39,37,36,35</t>
  </si>
  <si>
    <t>,1,2,3,27,28,29,25,26,30,31,32,33,34,35</t>
  </si>
  <si>
    <t>Beyond Consumer Capitalism : Media and the Limits to Imagination</t>
  </si>
  <si>
    <t>HB501 -- .L495 2013eb</t>
  </si>
  <si>
    <t>Semi-Organic Growth : Tactics and Strategies Behind Google's Success</t>
  </si>
  <si>
    <t>HD2746.5 .G447 2015</t>
  </si>
  <si>
    <t>,1,2,3,5,4,6,7,8,9,33,34,35,31,32,37,38,39,36</t>
  </si>
  <si>
    <t>,1,2,3,292,293,294,290,291,296,297,298,295,299,300,301,302,303,304,305,306,307,308,305,306,307,303,304,305,307,306,304,302,303,308,309,310,311,312,313,314,315,316,317,318,319,320,321,322,323,324,325,326,327</t>
  </si>
  <si>
    <t>,1,18,18,19,20,21,22,23,27,27,27,26,28,25,29</t>
  </si>
  <si>
    <t>,1,2,3,351,352,353,349,350,354,355,356,357,358,359,360,361,362,363,364</t>
  </si>
  <si>
    <t>YM/uiJy+AGzz3ViQfcy7Cw==</t>
  </si>
  <si>
    <t>Freedom's Ballot : African American Political Struggles in Chicago from Abolition to the Great Migration</t>
  </si>
  <si>
    <t>,11,13,12,10,9,51,52,53,49,50</t>
  </si>
  <si>
    <t>F548</t>
  </si>
  <si>
    <t>323.1196/073077311</t>
  </si>
  <si>
    <t>,1,2,3,300,302,301,299,298,303,304,305,306,307,308</t>
  </si>
  <si>
    <t>,1,2,3,25,26,27,23,24,28,127,128,129,125,99,100,101,102,97,98,99,5,6,7,8,4,13,14,15,19,20,21,17,22,29,30,151,152,153,154,156,157,158,159,175,176,177,173,174,178,179,180,181,182,183,184,185,186,187</t>
  </si>
  <si>
    <t>,1,2,3,4,5,6,7,8,9,10,12,11,13,14,15,16,17,18,19,20,21,22,23,24,25,26,27,28,29,30,31</t>
  </si>
  <si>
    <t>2iB3+/4WfChO8pHqLQWCaQ==</t>
  </si>
  <si>
    <t>The Scholar Denied : W. E. B. Du Bois and the Birth of Modern Sociology</t>
  </si>
  <si>
    <t>,1,1,3,3,2,4,2,4,34,34,35,36,32,35,33,36,33,37,37,2,38,38,39,40,39,40,41,41,42,42,43,44,43,44,45,46,45,46,47,48,47,49,50,49,48,50</t>
  </si>
  <si>
    <t>E185.97.D73 .M384 2015</t>
  </si>
  <si>
    <t>,8,62,63,1,4,5,1,5</t>
  </si>
  <si>
    <t>,1,2,3,178,179,180,176,177,181,182,183,184</t>
  </si>
  <si>
    <t>HlUdsxPM1VQ=</t>
  </si>
  <si>
    <t>,1,2,3,408,409,410,406,407,548,549,550,546,547,555,556,557,553,554,558,559,560,561,562,563</t>
  </si>
  <si>
    <t>,1,2,2,3,3,1,2,1,2,1,1,1,1,1,2,3,4,5,8,37</t>
  </si>
  <si>
    <t>,1,2,3,15,17,13,16,14,18,15,15,16,18,17,18</t>
  </si>
  <si>
    <t>,560,563,564,565</t>
  </si>
  <si>
    <t>,1,2,3,560,561,562,558,559,563,564,557,556,554,555,553,552,551,550,549,548,547,546,545</t>
  </si>
  <si>
    <t>,1,2,3,256,257,258,254,255,259,260,261,262,263,264,165,166,167,163,164,185,186,187,183,209,210,211,207,208,212,213,214,215,216,217,218,219,220,221,222,223,224,225,226,227,228,229,230,231,232,233,234</t>
  </si>
  <si>
    <t>,1,2,3,41,42,43,39,40,44,45,46,47,48,49,50,51,52,53,54,55,56,57,58,59,60,61,62,63,64,65,66,67,68,1,68,70,66,67,69,78,80,76,79,77,81,2,82,83,84,86,87,82,83,84,85</t>
  </si>
  <si>
    <t>Lw/t0EZ7PetVzPeAPML6fw==</t>
  </si>
  <si>
    <t>Motivational Interviewing in the Treatment of Psychological Problems, Second Edition</t>
  </si>
  <si>
    <t>,24,25,26,27,28,267,268,269,265,266,270,271,272,273,274,275,276</t>
  </si>
  <si>
    <t>RC480.7 .M68 2015</t>
  </si>
  <si>
    <t>,1,2,3,19,20,21,17,18,22,2,23</t>
  </si>
  <si>
    <t>t0NLx5FTlcFksv4L6dvHAw==</t>
  </si>
  <si>
    <t>,49,51,50,48,47,37,38,39,31,32,33,29,30,40,57,58,59,55,56,60,61,62,63,64,65,66,67</t>
  </si>
  <si>
    <t>,1,2,3,54,55,56,52,53,19,20,21,17,18,22</t>
  </si>
  <si>
    <t>How to Teach Adults : Plan Your Class, Teach Your Students, Change the World, Expanded Edition</t>
  </si>
  <si>
    <t>LC5225.T4 S67 2014</t>
  </si>
  <si>
    <t>374.973; 374/.973</t>
  </si>
  <si>
    <t>,2,1,2,3,3,1</t>
  </si>
  <si>
    <t>22 Ideas to Fix the World : Conversations with the World's Foremost Thinkers</t>
  </si>
  <si>
    <t>HN18.3 -- .A13 2013eb</t>
  </si>
  <si>
    <t>,1,1,2,3,2,3</t>
  </si>
  <si>
    <t>The Profitable Consultant : Starting, Growing, and Selling Your Expertise</t>
  </si>
  <si>
    <t>General Works/Reference; Business/Management</t>
  </si>
  <si>
    <t>HD69.C6 N53 2013</t>
  </si>
  <si>
    <t>001; 658</t>
  </si>
  <si>
    <t>laIPrFVDFNMXAtPcttJu2g==</t>
  </si>
  <si>
    <t>,39,40,41</t>
  </si>
  <si>
    <t>MBA On The Go: 30 Minute Reads</t>
  </si>
  <si>
    <t>HF5386</t>
  </si>
  <si>
    <t>Mindfulness Pocketbook : Little Exercises for a Calmer Life</t>
  </si>
  <si>
    <t>RA785 -- .H377 2015eb</t>
  </si>
  <si>
    <t>Handbook of Self and Identity, Second Edition</t>
  </si>
  <si>
    <t>BF697 -- .H345 2012eb</t>
  </si>
  <si>
    <t>Oldest Living Things in the World</t>
  </si>
  <si>
    <t>QH528.5 -- .S87 2014eb</t>
  </si>
  <si>
    <t>571.8/790222</t>
  </si>
  <si>
    <t>Explaining Reading, Third Edition : A Resource for Explicit Teaching of the Common Core Standards</t>
  </si>
  <si>
    <t>LB1050.42 -- .D84 2014eb</t>
  </si>
  <si>
    <t>The Business Skills Collection: 30 Minute Reads</t>
  </si>
  <si>
    <t>HD9999.I492</t>
  </si>
  <si>
    <t>,1,1,1,2,2,3,3,2,2</t>
  </si>
  <si>
    <t>,1,2,3,4,5,6,7,8,9,10,11,12,13,14,22,18,19,20,16,17,23,24,21,25,26,27,28,29,30,31,33,34,35,32,36,37,38</t>
  </si>
  <si>
    <t>H9MYG2QOaaLLkHVI0rda0w==</t>
  </si>
  <si>
    <t>,1,1,2,1,2,3,3,4,4,5,6,5,6,7,7,2,2,1,4,5,6,7,8,8,9,10,9,10,11,11,12,12,13,13,14,14,15,16,15,16,17,18,17,18,19,20,19,20,21,21,22,22,23,23,24,24,25,25,26,27,26,27,28,28,29,29,30,30,31,31,33,33,34,35,34,35,32,30,32,35,44,45,44,45,46,46,42,43,43,155,156,155,157,156,153,157,154,154,44,45,46,42,43,301,302,301,302,303,303,299,300,300,1,300,1,300,301,302,301,302,298,299,299,2,2</t>
  </si>
  <si>
    <t>,1,2,3,172,173,174,170,171,175,171,176,177,178,179,180,181,182,183,171,172,183,187,184</t>
  </si>
  <si>
    <t>,45,30,31,32,28,29,33,34,35,36,1,36,37,38,34,35,6,7,8,4,5,2,30,31,28,32,29,33,1,33,34,35,31,32,2,41,42,43,39,40,38,37,36,44,45,46,47,48</t>
  </si>
  <si>
    <t>,1,2,3,41,42,43,39,40,41,44</t>
  </si>
  <si>
    <t>,33,34,35,36,37,38,39</t>
  </si>
  <si>
    <t>,1,2,3,27,28,29,25,26,30,31,32</t>
  </si>
  <si>
    <t>,1,2,3,4,5,6,7,8,19,20,21,17,18,22</t>
  </si>
  <si>
    <t>,742,743,744,745,741,746,749,750,706,707,708,709,705,710,711,712,713,714,715,716</t>
  </si>
  <si>
    <t>,1,2,3,706,707,708,704,705,709,710,711,712,713,714,715,716,717,718,719,720,721,722,723,724,725,726,727,728,729,730,731,732,733,734,735,736,737,738,739,740,743,744,742,753,750,349,350,351,347,352,348,353,354,355,356,357,358,359,360,361,362,363,364,365,366,367,368,369,370,371,372,373,374,347,348</t>
  </si>
  <si>
    <t>,34,35,36,37,38,39,40,41,42</t>
  </si>
  <si>
    <t>l8oUHcfkwCs=</t>
  </si>
  <si>
    <t>Essaying the Past : How to Read, Write and Think about History</t>
  </si>
  <si>
    <t>,1,2,3,21,22,23,19,20,24,25,26,27,46,47,48,44,45,49,50,51,52,53,54,97,98,99,95,96</t>
  </si>
  <si>
    <t>D16 -- .C83 2013eb</t>
  </si>
  <si>
    <t>Bathroom Fix-Ups : More Than 50 Projects for Every Skill Level</t>
  </si>
  <si>
    <t>Engineering; Home Economics; Engineering: Construction</t>
  </si>
  <si>
    <t>TH4816.3.B37 -- V35 2009eb</t>
  </si>
  <si>
    <t>643/.52</t>
  </si>
  <si>
    <t>,1,2,3,4,5,29,30,31,27,28,32,33</t>
  </si>
  <si>
    <t>,1,2,3,8,9,10,7,6,170,171,172,168,169,173,174</t>
  </si>
  <si>
    <t>,187,188,187,188,189,190,191,182,187,188,189,190,184,184,189</t>
  </si>
  <si>
    <t>,1,2,3,19,20,17,57,54,55,21,22,18,56,58,53</t>
  </si>
  <si>
    <t>,1,2,3,184,185,186,182,183</t>
  </si>
  <si>
    <t>,181,182,182,1,183,184,180,181,197,198,199,196,195,194,2,193,192,185,186,187,188,189,190,191,1,191,192,193,189,190,178,179,180,2,176,177,181,182,183,184,185,194,195,196,197,198,184,170,171,172,168,1,172,169,173,174,170,171,173,174,175,2,176,177,168,175,169,178,179,180,176,177,181,182,183,184,188,185,185,1,186,187,184,183,2,191,193,192,189,190,194,195,196,197,198,199,200,189,188,191,192,193,189,190,194,195,196,197,200,198,182</t>
  </si>
  <si>
    <t>,28,29,30,31,32,33,34,35,36,38,37,39,40,41,42,43,44,45,46,47,48,49,50,51,52,53,54,55,56,57,58,59,60,61,62,63,64,65,66,67,68,69,70,71,72,73,74,75,76,77,78,79</t>
  </si>
  <si>
    <t>,1,2,3,18,19,20,21,17,2,22,23,24,25,26,27</t>
  </si>
  <si>
    <t>,1,2,3,173,174,175,171,172,176,177,178,179,180</t>
  </si>
  <si>
    <t>,1,2,3,4,5,6,7,8,9,10,11,12,65,66,67,63,64,68,69,70,71,72,73</t>
  </si>
  <si>
    <t>,1,2,3,29,30,31,27,28,32,37,38,39,35,36,40,41,42,43,44,45,46,47,48,49,50,51,52,53,54,55,56,57,58,59,60,61,62,63,64,65,66,67,68,69,70,71,72,73</t>
  </si>
  <si>
    <t>,1,2,3,45,46,47,44,43,48,49</t>
  </si>
  <si>
    <t>Gender and Global Justice</t>
  </si>
  <si>
    <t>HQ1236</t>
  </si>
  <si>
    <t>341.4; 341.4858</t>
  </si>
  <si>
    <t>SGq4WkOtr+M=</t>
  </si>
  <si>
    <t>Mindfulness and Schema Therapy : A Practical Guide</t>
  </si>
  <si>
    <t>,7,1,2,3,6,8,4,5</t>
  </si>
  <si>
    <t>BF321 -- .V74 2014eb</t>
  </si>
  <si>
    <t>,1,15,16,17,13,14,29,30,31,27,28,2,32,33,26,25</t>
  </si>
  <si>
    <t>Mindfulness for Therapists : Understanding Mindfulness for Professional Effectiveness and Personal Well-Being</t>
  </si>
  <si>
    <t>,1,2,3,6,7,8,4,5,9,13,14,15,11,12,16,17,18</t>
  </si>
  <si>
    <t>RC451.4.P79 -- Z37 2015eb</t>
  </si>
  <si>
    <t>616.89/14092</t>
  </si>
  <si>
    <t>,1,2,3,13,14,11,12,15,16,30,31,32,29,28,33,34,35,70,71,72,69,68</t>
  </si>
  <si>
    <t>/85uWEPW7B9q1TgalNRTOQ==</t>
  </si>
  <si>
    <t>,1,2,3,45,44,46,42,43,47,48,49,50,51,52,53,54</t>
  </si>
  <si>
    <t>,1,2,3,16,17,19,20,21,22,26,27,24,25,28,29,30,31,32,33,34,35,36,54,56,52,53,57</t>
  </si>
  <si>
    <t>,32,33,34,35,36,37,38,39,40,41,42,43,44,45,46,47,48,148,149,150,146,147,151,152,153</t>
  </si>
  <si>
    <t>LwprxH4/LRPC5QJa/OXuEQ==</t>
  </si>
  <si>
    <t>Cost Accounting For Dummies</t>
  </si>
  <si>
    <t>,386,387,388,384,389,381,382,383,379,380,13,14,15,11,12,16,67,69,68,70,66,71,72,73,74,75,76,77,78,79,80,81,82,83,84,85,86,87,88,291,293,289,290,294,324,325,326,322,323</t>
  </si>
  <si>
    <t>HF5686.C8 -- B69 2013eb</t>
  </si>
  <si>
    <t>VBM9n3RW5RsWpKHUDaiUYg==</t>
  </si>
  <si>
    <t>Epigenetics in Cancer</t>
  </si>
  <si>
    <t>,1,2,3,4,5,6,7,29,30,31,27,28,33,34,35,36,37,38,39,40,41,42,43</t>
  </si>
  <si>
    <t>RC268.4</t>
  </si>
  <si>
    <t>616.99/4042; 616.994042</t>
  </si>
  <si>
    <t>,5,7,6,29,30,31,27,28,26,25,10</t>
  </si>
  <si>
    <t>,1,2,3,4,5,6,7,8,9,10,11,12,13,14,15,16,17,18,19,20,21,22,23,24,25,26,27,28,29,30,31,32,33,34,35,36,37,38,39,58,59,60,56,57,61,62,63,64,65,66,67,68,69,70,71,72,73,74,75,76,77,78,79,80,81,82,83,84,85,86,87,88,89,90</t>
  </si>
  <si>
    <t>DJUOK/ugYjjpbsByBclJIQ==</t>
  </si>
  <si>
    <t>Collage in Twentieth-Century Art, Literature, and Culture : Joseph Cornell, William Burroughs, Frank O’Hara, and Bob Dylan</t>
  </si>
  <si>
    <t>,20,21,22,23,52,53,54,50,51,146,147,148,224,225,226,222,223,227,228,229,230,231,232,233</t>
  </si>
  <si>
    <t>PS169.A88 -- .C736 2014eb</t>
  </si>
  <si>
    <t>810.9/357</t>
  </si>
  <si>
    <t>,1,2,3,12,13,14,10,11,12,13,14,10,11,2,15,16,17,18,19</t>
  </si>
  <si>
    <t>YXS9oErIZh/qa6zBMXWaaw==</t>
  </si>
  <si>
    <t>,1,2,3,4,5,966,967,968,964,965,963,435,436,437,433,434,438,439,440,441,442,443,770,771,767,768,770,772,771,769,769,767,768,761,759,760,757,758,756,749,744,739,735,736,737,734,732,729,727,726,720,721,722,719,717,718,723,724,725</t>
  </si>
  <si>
    <t>,769,769,769</t>
  </si>
  <si>
    <t>,769</t>
  </si>
  <si>
    <t>Habitats : Private Lives in the Big City</t>
  </si>
  <si>
    <t>HD7304.N5 -- R59 2013eb</t>
  </si>
  <si>
    <t>307.3/36097471</t>
  </si>
  <si>
    <t>,1,2,2,3,3,1,2,2,1,12,201,201</t>
  </si>
  <si>
    <t>Illustrated Guide to Door Hardware : Design, Specification, Selection</t>
  </si>
  <si>
    <t>TH2278 -- .T635 2015eb</t>
  </si>
  <si>
    <t>,1,2,1,2,3,3,2,17,18,19,17,19,18,48,49,48,49,50,50,46,47,47,51,51</t>
  </si>
  <si>
    <t>Materials for Interior Environments</t>
  </si>
  <si>
    <t>Architecture; Engineering; Engineering: Civil</t>
  </si>
  <si>
    <t>TA403.4 -- .B56 2014eb</t>
  </si>
  <si>
    <t>Kitchen Planning : Guidelines, Codes, Standards</t>
  </si>
  <si>
    <t>Engineering; Fine Arts; Engineering: Construction</t>
  </si>
  <si>
    <t>TH4816.3.K58 B43 2013</t>
  </si>
  <si>
    <t>690.44; 690/.44; 747.797</t>
  </si>
  <si>
    <t>Kitchen &amp; Bath Design Presentation : Drawing, Plans, Digital Rendering</t>
  </si>
  <si>
    <t>Engineering; Engineering: Construction; Fine Arts</t>
  </si>
  <si>
    <t>TH4816.3.K58 -- .K76 2014eb</t>
  </si>
  <si>
    <t>Bath Planning : Guidelines, Codes, Standards</t>
  </si>
  <si>
    <t>TH6485 .P37 2013</t>
  </si>
  <si>
    <t>690.42; 690/.42; 747.78</t>
  </si>
  <si>
    <t>kbRxkGLzC0IdU83vjFCoLQ==</t>
  </si>
  <si>
    <t>Leaders At Work Digital Book Set</t>
  </si>
  <si>
    <t>,850,851,852,853,854,855,856,857</t>
  </si>
  <si>
    <t>,844,845,846,847,848,849,850,851,852</t>
  </si>
  <si>
    <t>HD57.7 -- .L43 2014eb</t>
  </si>
  <si>
    <t>,842,843,1,844,840,841,2,845,846,847,848,849</t>
  </si>
  <si>
    <t>bH7ELHROxo5+faLMDVFNGw==</t>
  </si>
  <si>
    <t>Clinical Child Psychiatry</t>
  </si>
  <si>
    <t>,46,46,47,48,47,48,49,49,50,50,51,51,52,52,53,53,54,54,54,55,55,56,56,51,56,57,57,58,58</t>
  </si>
  <si>
    <t>RJ499 -- .C55 2012eb</t>
  </si>
  <si>
    <t>,1,2,2,3,3,1,2,2,474,475,476,474,475,476,472,473,473,477,477,472,477,478,478,479,479,473,472,474,36,37,38,37,36,34,35,38,35,39,39,34,39,40,40,41,41,42,42,43,43,44,44,45,45</t>
  </si>
  <si>
    <t>ro6tWf8bEME=</t>
  </si>
  <si>
    <t>,1,2,3,432,433,429,430,434,435,428,427,426,425,431</t>
  </si>
  <si>
    <t>OMy5TakvxTI=</t>
  </si>
  <si>
    <t>Formed From This Soil : An Introduction to the Diverse History of Religion in America</t>
  </si>
  <si>
    <t>,242,243,237,235,236,233,234,231,232,229,230</t>
  </si>
  <si>
    <t>BL2525 -- .B74 2015eb</t>
  </si>
  <si>
    <t>,1,2,3,239,240,241,237,238,236,235,234,233,232,231,229,235,236,237,238,239,240,241</t>
  </si>
  <si>
    <t>TsaqgmkH19vdKFpKJbRq/w==</t>
  </si>
  <si>
    <t>,61,55,54,53,52,493,494,495,491,492,496,507,508,509,505,506,497,498,499,500,501,502,71,73,72,74,70,75,76,107,91,92,93,90,89,87,88,94,95,96,97,98,99,100,101,102,103,104,105,88,87,106,107,108,109,110,111,112,113,114,129,145,154,155,160,159,158,157,156,153,151,152,150,149,148,147,146,145,425,426,427,423,424,69,70,67,68,283,284,285,281,282,75,76,286,287,279,280,278,277,275,276,274,258,204,200,189,171,172,170,142,143,141,139,144,145,146,70,67,68,379,380,381,377,382,378,51,52,53,49,50,61,62,63,64,65,66,67,68,50</t>
  </si>
  <si>
    <t>,31,32,33,34,35,36,37,38,39,40,41,42,43,44,45,46,47,48,49,50,51,52,53,54,55,56,57,58,59,60,61,62,63,64,65,66,67,68,69,70,71,72,73,74,75,76,77,78,79,80,81,82,83,84,85,86,87,88,89,90</t>
  </si>
  <si>
    <t>,58,59,60,56,57,51,52,53,49,50,54,55,493,494,495,491,496,492,497,498,499,500,501,502,412,413,414,468,469,470,466,467,471,472,473,474,476,478,479,481,485,5,6,7,3,4,61,62,63,64,65,66,67,68,69,70,71,72,73,103,116,117,136,142,143,144,145,146,147,148,149,150,141,140,139,138,137,136,135,134,133,132,131,130,129,128,73,74,75,76,80,160,161,162,163,158,159,156,157,155,154,153,152,151,150,149</t>
  </si>
  <si>
    <t>,1,2,3,4,5,6,7,8,9,10,11,58,59,60,56,57</t>
  </si>
  <si>
    <t>,1,2,3,4,5,6,7,8,1</t>
  </si>
  <si>
    <t>,16,16,17,16,18,17,18,19,19,20,20,21,21,22,22,23,23,24,24,25,25,20,19,18</t>
  </si>
  <si>
    <t>,1,2,3,170,171,172,168,169,173,174,178,175</t>
  </si>
  <si>
    <t>,1,2,3,3,1,2,4,5,4,5,6,6,7,7,8,8,9,9,2,4,1,2,3,4,5,6,7,8,9,10,10,11,12,13,11,12,14,13,14,15,15</t>
  </si>
  <si>
    <t>kjBdNykfftC0URmu8n+obg==</t>
  </si>
  <si>
    <t>,17,26,27,28,24,25,29,30,31,32</t>
  </si>
  <si>
    <t>8aKQZaX1BwvL18axaQQSTw==</t>
  </si>
  <si>
    <t>,1,2,3,21,12,13,14,10,11,15</t>
  </si>
  <si>
    <t>,1,2,3,14,15,16,12,13,17,18,244,245,246,242,243,2,242,241,240,239,238,237,236,235,14,15,16,12,13</t>
  </si>
  <si>
    <t>,1,2,3,257,258,259,255,256,260,261,262,263,264,265,266,267,268,257,258,259,255,256,427,428,429,425,426,430,431</t>
  </si>
  <si>
    <t>,1,2,3,259,260,261,257,258,264,267,268,269,270,271,272,273,274,276,277,278,279,280,281,282,283,284,285,286,287,288,289,290,291,292,293,294,295,296</t>
  </si>
  <si>
    <t>OjIIryiKJc5AMfg2qec7sA==</t>
  </si>
  <si>
    <t>E6l1jxw3O5M=</t>
  </si>
  <si>
    <t>,1,2,3,3,2,1,4,4,5,5,6,6,7,7,8,8,2,9,9,10,10,5</t>
  </si>
  <si>
    <t>Resilience Engineering in Practice, Volume 2 : Becoming Resilient</t>
  </si>
  <si>
    <t>Engineering: Civil; Engineering: General; Engineering</t>
  </si>
  <si>
    <t>TA169 -- .R475 2014eb</t>
  </si>
  <si>
    <t>,285,286,287,288,289,290,291,292,293,294,295,296,297</t>
  </si>
  <si>
    <t>,1,2,3,279,280,281,277,278,282,283,284</t>
  </si>
  <si>
    <t>HnQhG9jZrJalgv3WbGL+sA==</t>
  </si>
  <si>
    <t>Food Politics : How the Food Industry Influences Nutrition and Health</t>
  </si>
  <si>
    <t>,1,2,3,120,121,122,118,119,123,124,125,126,127,128,2,54,55,56,52,53,51,57,58,59,60,61,62,63,64,120,121,122,123,124,125,126,127,128,129,130,131,126,125,131,132,133,134,135</t>
  </si>
  <si>
    <t>TX360.U6 -- N47 2013eb</t>
  </si>
  <si>
    <t>363.8/5/0973</t>
  </si>
  <si>
    <t>,189,188,185,186,187,184,182,183,188,189,190,187,185,184,189,190,191,192,193,194,195,196,197,192,197,198,198,198,193,192,191,190,189,188,187,192,193,194,195,196,197,192,191,196,197,198,193,198,192,193</t>
  </si>
  <si>
    <t>,1,2,2,3,3,1,178,179,180,180,176,178,177,179,177,181,181,2,182,183,182,183,184,184,191,192,191,192,193,193,194,195,196,196,195,194,197,197,192,191,189,190,188,186,187,186,187,188,184,185,185,189,190,185,184,183,182,187,188,189,190,191,192,193,194</t>
  </si>
  <si>
    <t>Antarctic Ecosystems : An Extreme Environment in a Changing World</t>
  </si>
  <si>
    <t>,1,2,3,4,5,19,20,16,17</t>
  </si>
  <si>
    <t>QH84.2 -- .A582 2012eb</t>
  </si>
  <si>
    <t>577.0998/9</t>
  </si>
  <si>
    <t>,1,2,3,279,280,281,277,278,282,283,284,285,286,287,288,289,290,291,292,293,294,295,296</t>
  </si>
  <si>
    <t>,1,2,3,120,121,122,123,124,125,126,127</t>
  </si>
  <si>
    <t>YMPQmEFYFXSzpRnp/Jwiow==</t>
  </si>
  <si>
    <t>Dying, Death, Burial and Commemoration in Reformation Europe</t>
  </si>
  <si>
    <t>,42,36,37,42,43,44,45,46,47,49,50,2,3,4,1,5,6,79,80,81,77,78</t>
  </si>
  <si>
    <t>BT825 .D925 2015</t>
  </si>
  <si>
    <t>265''.8509409031</t>
  </si>
  <si>
    <t>,1,2,3,38,39,40,36,37,41,36,36,41</t>
  </si>
  <si>
    <t>Sudden Death : Medicine and Religion in Eighteenth-Century Rome</t>
  </si>
  <si>
    <t>RB150.S84 -- .D663 2014eb</t>
  </si>
  <si>
    <t>618.92/026</t>
  </si>
  <si>
    <t>,1,2,3,228,229,230,226,227</t>
  </si>
  <si>
    <t>,1,3,2,169,170,171,167,168,172,173</t>
  </si>
  <si>
    <t>,265,266,267,268,269,270,271,272,273,274,275,276,277,278</t>
  </si>
  <si>
    <t>,1,3,2,265,266,267,263,268,269,270,280,307,306,308,56,264,293,294,295,296,297,298,292,291,289,290,287,288,286,283,284,285,281,282,276,277,279,278</t>
  </si>
  <si>
    <t>,173,174,175,1,175,176,177,174,173,172,171</t>
  </si>
  <si>
    <t>,1,2,3,168,169,170,166,167,171,172</t>
  </si>
  <si>
    <t>TAEkNqMVBaSmBUnvhHyICw==</t>
  </si>
  <si>
    <t>Hostile Intent and Counter-Terrorism : Human Factors Theory and Application</t>
  </si>
  <si>
    <t>,59,65,66,67,60,59,76,77,78,75,73,74,52,54,53,50,51</t>
  </si>
  <si>
    <t>,26,27,28,29,30,31,32,33,34,35,36,37,38,39,26,27,28,29,30,31,32,33,34,35,36,37,38,39,62,63,64,65,66,67,68,69,70,71,72,73,74,75</t>
  </si>
  <si>
    <t>HV6431 -- .H684 2015eb</t>
  </si>
  <si>
    <t>363.325/17</t>
  </si>
  <si>
    <t>,1,2,3,280,281,278,282,279,283,284,285,286,287,288,289,62,63,64,60,61</t>
  </si>
  <si>
    <t>T6EsrCUhzrE=</t>
  </si>
  <si>
    <t>When Middle-Class Parents Choose Urban Schools : Class, Race, and the Challenge of Equity in Public Education</t>
  </si>
  <si>
    <t>,30</t>
  </si>
  <si>
    <t>LC5131</t>
  </si>
  <si>
    <t>371.009173/2</t>
  </si>
  <si>
    <t>dUfumn0D7vVw1QWMLRklUQ==</t>
  </si>
  <si>
    <t>,1,2,3,1,8,9,9,10,11,12</t>
  </si>
  <si>
    <t>,779</t>
  </si>
  <si>
    <t>,1,2,3,4,5,6,32,34,33,31,30,35,36,37</t>
  </si>
  <si>
    <t>2TWXSdI1Wk0O8VjzoZCtPQ==</t>
  </si>
  <si>
    <t>Reading Celebrity Gossip Magazines</t>
  </si>
  <si>
    <t>Journalism; Social Science</t>
  </si>
  <si>
    <t>,1,47,48,49,45,46,2</t>
  </si>
  <si>
    <t>PN4879 -- .M336 2014eb</t>
  </si>
  <si>
    <t>,1,2,3,4,297,298,294,292,293,290,291,295,296,299,333,332,329,330,169,170,171,167,168,172,173</t>
  </si>
  <si>
    <t>,1,2,3,120,121,122,118,119,123,124,125,126,127,128,129,130,131,132,133,134,135,136,137,138</t>
  </si>
  <si>
    <t>KvNsncesY1yrSWSdZCRqJg==</t>
  </si>
  <si>
    <t>Compliance Revolution : How Compliance Needs to Change to Survive</t>
  </si>
  <si>
    <t>HD58.8</t>
  </si>
  <si>
    <t>658.4/06</t>
  </si>
  <si>
    <t>,44,45,45,46,46,47,47,48,49,48,49,50,50,51,51,52,52,53,53,54,54,55,55,56,56,57,57,58,58,59,59,60,60,61,61,62,62,63,63,64,64,65,65,66,66,67,67,68,68,63</t>
  </si>
  <si>
    <t>,1,1,2,3,3,2,6,6,7,7,8,8,4,9,9,10,10,11,11,12,12,13,13,14,15,14,15,30,31,32,31,34,35,36,33,36,33,35,34,32,30,2,37,37,38,38,33,39,40,39,41,38,40,41,42,42,37,42,43,43,44,44,39</t>
  </si>
  <si>
    <t>kW6kTkZUjFuiUohlfcaHrQ==</t>
  </si>
  <si>
    <t>,4,5,6,7,8,9,10,11,12,13,14,15,16,17,18,19,20,21,22,23,24,25,26,27,28,29,32,71,158,200,308,335,204,205,206,53,16,23,24,22,21,18,17,14,12,10,6,1,3,4,5,7,8,9,35,70,71,72,73,77,80,84,85,86,87,88,92,96,100,104,108,109,112,115,119,120,121,122,123,124,125,128,129,130,127,126,47,15,13,11,16,19,20,26,29,33,36,38,39,40,41,42,43,37,44,45,197,198,199,195,196,200,201,202,251,252,249,250,253,27,28,25,23</t>
  </si>
  <si>
    <t>,1,2,3,4,5,7,8,9,6</t>
  </si>
  <si>
    <t>,1,2,3,4,6,36,47,251,250,252,242,109,108,28,26,27,29,30,31,32,33,34,35,36,37,38,39,40,42,43,44,45,46,47,48,49,50,51,52,53,54,55,56,57,58,59,60,61,62,63,64,66,67,68,69,70,71,72,73,74,75,36,27,28,29,30,26,31,33,34,35,32,56,57,58,54,55,59,60,61,62,120,121,122,118,119,123,118,124,125,126,127</t>
  </si>
  <si>
    <t>,1,2,3,55,56,57,53,54,58,59,60,61,62,63</t>
  </si>
  <si>
    <t>0SD3jZUzoXU=</t>
  </si>
  <si>
    <t>The Punishment Imperative : The Rise and Failure of Mass Incarceration in America</t>
  </si>
  <si>
    <t>,1,2,3,150,151,152,153,148,149,266,269,270,271,267,268,16,15,18,23,27,28,29,30,26,40,115,116,84,85,86,82,78,79,80,77,76,74,75,83,84,85,86,94,95,96,93,90,91,92,88,89,97,98,99,100,101</t>
  </si>
  <si>
    <t>HV9471 -- .C574 2014eb</t>
  </si>
  <si>
    <t>365/.973</t>
  </si>
  <si>
    <t>,1,2,3,169,170,171,167,168,172,173,178,179,180,176,181,177,182,183,175,174</t>
  </si>
  <si>
    <t>,15,19,20,21,17,18</t>
  </si>
  <si>
    <t>,1,2,3,4,7,5,6,8,9,10,11,12,13,14</t>
  </si>
  <si>
    <t>,1,2,3,133,134,135,131,132,136,137,131,270,272,268,269,273,106,107,108,104,105,109,110,112,113,114,111,124,142,149,150,151,147,146,144,145,143,141,140,139,138,137,136,135,134,133,131,132,130,129,128,127,125,126,124</t>
  </si>
  <si>
    <t>,1,2,3,59,60,61,57,58,62,81,82,83,79,80,84,85,86,87,107,108,109,105,106,110,111,112,113,114,115,184,185,186,183,182,180,181,179,184,1,184,186,185,182,183,273,274,275,271,272,2,276,277</t>
  </si>
  <si>
    <t>,1,2,3,3,1,2,2,2,322,322,323,323,325,325,326,326,327,327,324,324,328,328,323,361,362,361,362,363,363,359,360,360</t>
  </si>
  <si>
    <t>wHWozwv9iA8Gs0IgWekEMQ==</t>
  </si>
  <si>
    <t>,1,1,2,2,1,1,3,3,10,10,11,12,12,11,8,9,9,2,124,125,126,125,122,124,123,126,123,127,127,128,128</t>
  </si>
  <si>
    <t>eeTRJTth1FNXaX34bWBirQ==</t>
  </si>
  <si>
    <t>Value-creation in Middle Market Private Equity</t>
  </si>
  <si>
    <t>HG4751 -- .L365 2015eb</t>
  </si>
  <si>
    <t>332.63/2044</t>
  </si>
  <si>
    <t>,1,2,1,3,3,2,2,2</t>
  </si>
  <si>
    <t>R+dXb4jkdcGQ8fDm9QJ5mQ==</t>
  </si>
  <si>
    <t>,1,2,3,307,308,305,309,306,310,311,312,313,314</t>
  </si>
  <si>
    <t>,1,2,3,426,427,428,424,425,317,6,4,5,7,8,429,430,439,440,441,438,436,437,435,434,433,432,431,244,153,116,115,120,122,123,124,125,126,127,128,129,121,118,119,426,427,428,424,425,429,430,431</t>
  </si>
  <si>
    <t>pZFR686BwTZ2XGAhSRIC2w==</t>
  </si>
  <si>
    <t>Earthquakes : Models, Statistics, Testable Forecasts</t>
  </si>
  <si>
    <t>,1,2,3,4,5,30,31,32,28,29</t>
  </si>
  <si>
    <t>QE538.8 .K32 2013</t>
  </si>
  <si>
    <t>,275,276,277,273,274,278,279,280,281,282,283,284,275,274,273,325,326,327,323,324,328,329</t>
  </si>
  <si>
    <t>,186,187,191,192,193,194,195,196,169,170,171,167,168,172,173,174,175,176,177,178,179,180,181,182,183,184,185,186,191,192,193,194,195,196,197,198,199</t>
  </si>
  <si>
    <t>,1,2,3,169,170,171,167,168,178,179,180,176,181,182,183,184,185,2,186</t>
  </si>
  <si>
    <t>,275,276,277,273,274,278,279,280,281,282,283,325,326,327,323,324</t>
  </si>
  <si>
    <t>,185,186,187,183,184,188,189,185,186,187,183,184,188,182,227,228,229,225,226,230,231,275,276,277,273,274,278,279,280,281,282,283,275,274,273,325,326,327,323,324,328,329,361,362,363,359,360,391,392,393,389,390,427,428,429,425,426</t>
  </si>
  <si>
    <t>,1,2,3,4,5,6,7,8,9,10,11,12,13,14,15,16,17,18,19,20,21,22,23,24,25,26,27,28,28,29,30,31,32,33,184,185,186,182,183</t>
  </si>
  <si>
    <t>,1,2,3,185,186,187,183,184,190,198,191,192,193,189,188,194,195,227,228,229,225,226,230,231,232</t>
  </si>
  <si>
    <t>,1,2,3,169,171,170,167,168,172,173</t>
  </si>
  <si>
    <t>8y7+Gg+HSUH2XJsmCMn3/g==</t>
  </si>
  <si>
    <t>,1,2,3,11,12,13,9,10,251,252,253,249,250</t>
  </si>
  <si>
    <t>,1,2,3,120,121,122,118,119,123,124,125,126,127,128,129,130,131,132,133,134,135,136,137,138,139,140,141,142,143</t>
  </si>
  <si>
    <t>Being Right or Making Money</t>
  </si>
  <si>
    <t>HG4910 -- .D394 2014eb</t>
  </si>
  <si>
    <t>5O9L8mUuo/qioV22FxOiVw==</t>
  </si>
  <si>
    <t>KHatqSdbm3ZwIoMs6VHBQA==</t>
  </si>
  <si>
    <t>Windows Azure Developer's e-Book Bundle</t>
  </si>
  <si>
    <t>,1,2,3,4,20,21</t>
  </si>
  <si>
    <t>TK5105.88813 .J384 2013</t>
  </si>
  <si>
    <t>,1,2,3,224,225,226,222,227,223,228,221,220</t>
  </si>
  <si>
    <t>5nM2wA6cMAA=</t>
  </si>
  <si>
    <t>Greater than Equal : African American Struggles for Schools and Citizenship in North Carolina, 1919-1965</t>
  </si>
  <si>
    <t>,1,2,3,20,22,21,19,18,220,221,222,218,219,223,224,225</t>
  </si>
  <si>
    <t>LC2802.N8 -- T58 2013eb</t>
  </si>
  <si>
    <t>371.829/960756</t>
  </si>
  <si>
    <t>,2,1,3,4,2,12,20,20,21,22,23,24,19</t>
  </si>
  <si>
    <t>,12,13,14,10,11,15,9</t>
  </si>
  <si>
    <t>,1,41,42,43,2,10,11,12,8,9,14,22,28,23,24,25,21,6,7,4,5,20</t>
  </si>
  <si>
    <t>,19,20,21,22,23,24,25,26,27,28,29,30,31,32,33,34,35,36,37,38,39,40,41,42,43,44,45,46,47,48,49,50</t>
  </si>
  <si>
    <t>,22,50,43,41</t>
  </si>
  <si>
    <t>,0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0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22,23,24,25,26,27,28,29,30,31,32,33,34,35,36,37,38,39,40</t>
  </si>
  <si>
    <t>z3Fn2HPQh/r8Kutw2i4AFA==</t>
  </si>
  <si>
    <t>Screen-Smart Parenting : How to Find Balance and Benefit in Your Child's Use of Social Media, Apps, and Digital Devices</t>
  </si>
  <si>
    <t>Social Science; Home Economics</t>
  </si>
  <si>
    <t>,5,6,7,10,15,23,24,25,21,22,115,116,117,113,114,118,119,120</t>
  </si>
  <si>
    <t>HQ784.I58 -- G65 2015eb</t>
  </si>
  <si>
    <t>,1,2,3,225,227,226,224,223,228,229,230,231,232,233,234,204,197,198</t>
  </si>
  <si>
    <t>,1,115,116,117,114,113,126,133,99,2,97,102,101,47,46,48,44,45,3,4,5</t>
  </si>
  <si>
    <t>BWGJpY21yoOSS2P7wvk+hQ==</t>
  </si>
  <si>
    <t>Muslim American Women on Campus : Undergraduate Social Life and Identity</t>
  </si>
  <si>
    <t>,26,39,41,38,37,40,51,62,63,64,60,61,65,57,49,24</t>
  </si>
  <si>
    <t>HQ1170 -- .M567 2014eb</t>
  </si>
  <si>
    <t>305.6/97</t>
  </si>
  <si>
    <t>,8,1,9,10,6,7,11,12,13,14,15,16,17,18,2,19,20,21</t>
  </si>
  <si>
    <t>/IZBg+5TuJZiwEWfBxurMA==</t>
  </si>
  <si>
    <t>Skiing into Modernity : A Cultural and Environmental History</t>
  </si>
  <si>
    <t>GV854.8.A43 -- .D46 2015eb</t>
  </si>
  <si>
    <t>,427,428,429,425,426,430,431,432</t>
  </si>
  <si>
    <t>,185,186,428,429,430,427,428,429,430</t>
  </si>
  <si>
    <t>,1,2,3,217,218,219,215,216,214,213,212,211,210,209,220,220,221,222,224</t>
  </si>
  <si>
    <t>,1,2,3,185,186,187,183,184,188</t>
  </si>
  <si>
    <t>,1,2,3,25,26,27,24,28,29,30,31,32,33,34,62,63,64,65,66,61,67,68,706,707,708,704,709,705,710,711,712,713,714,715,716,717,718,719,720,721,722</t>
  </si>
  <si>
    <t>69xiAywxHwwWjGjSbqRO7w==</t>
  </si>
  <si>
    <t>Science and Technology in World History, Volume 3 : The Black Death, the Renaissance, the Reformation and the Scientific Revolution</t>
  </si>
  <si>
    <t>Q125 -- .D334 2012eb</t>
  </si>
  <si>
    <t>,1,2,3,65,66,67,63,64,68</t>
  </si>
  <si>
    <t>,126,127,117,115,116,113,114,23,24,25,21,22,20,19,18,17,16,14,15,12,6,4,128,129,130,239,240,241,237,238,242,243,244,245,246,247,248,249,250,426,427,428,424,425</t>
  </si>
  <si>
    <t>,1,3,2,120,121,122,118,119,123,124,125</t>
  </si>
  <si>
    <t>po9FgT43lijsdhV6jjE33Q==</t>
  </si>
  <si>
    <t>,1,2,3,61,62,63,59,60,64,16,17,18,14,15,22,19</t>
  </si>
  <si>
    <t>QBw+R7RlpmjQ4guax3QaiA==</t>
  </si>
  <si>
    <t>Phonological Awareness : From Research to Practice</t>
  </si>
  <si>
    <t>,1,2,3,4,6,7,8,5,9,10,11,17,18,19,15,16,56,57,58,55,54,59,60,61,62,63,64,53,51,52</t>
  </si>
  <si>
    <t>LB1573.3</t>
  </si>
  <si>
    <t>,220,220,221,217,218,222,223,224,224,225,221,226,227</t>
  </si>
  <si>
    <t>,1,2,3,5,8</t>
  </si>
  <si>
    <t>Max Weber : Readings And Commentary On Modernity</t>
  </si>
  <si>
    <t>,1,2,3,251,252,253,250,249,254,255,256,257,258,259,260,261,262,263,264,265,266,267</t>
  </si>
  <si>
    <t>,1,2,3,4,5,6,7,8,9,217,218,219,215,216</t>
  </si>
  <si>
    <t>,1,2,3,16,17,18,14,15,19,20,21,22,23</t>
  </si>
  <si>
    <t>,1,2,3,151,152,153,149,150,154,155,156,157,158,159,160,161,162,163,164,165,166,167,178,179,180,176,177,175,191,192,193,189,190</t>
  </si>
  <si>
    <t>Bydzp7k2sCVPFs3S9xlX3Q==</t>
  </si>
  <si>
    <t>Introduction to Statistics Through Resampling Methods and R</t>
  </si>
  <si>
    <t>,1,2,3,4,5,6,7,8,9,11,10,12,13,14,15,3,4,1</t>
  </si>
  <si>
    <t>QA278.8 .G384 2012</t>
  </si>
  <si>
    <t>519.5/4</t>
  </si>
  <si>
    <t>,4,4,4,55,56,55,57,56,57,54,53,54,58,58,425,426,425,427,426,427,423,424,424,428,428</t>
  </si>
  <si>
    <t>,4,6,5,7,8,9,10,11,12,7,6,5,4,3</t>
  </si>
  <si>
    <t>qkNrLlSLVhP7rvCytA6U5Q==</t>
  </si>
  <si>
    <t>,1,2,3,15,16,17,13,14,18,19,20,21,22,23,11,12,13,9,10,1,3,2</t>
  </si>
  <si>
    <t>The Reading Specialist, Third Edition : Leadership and Coaching for the Classroom, School, and Community</t>
  </si>
  <si>
    <t>Literature; Education</t>
  </si>
  <si>
    <t>,1,2,3,4,5,6,7,8,9,10,11,12,13,14,15,16,17,18,19,21</t>
  </si>
  <si>
    <t>LB2844.1.R4</t>
  </si>
  <si>
    <t>YnZ2RG9+fFtN/i6RYPAJTQ==</t>
  </si>
  <si>
    <t>,2,2,1,3,3,1,4,4,5,6,5,6,2,2,7,7,8,8,9,9,10,10,5,86,87,88,87,88,84,86,85,85,89,90,89,90,91,91,86,85,84,88</t>
  </si>
  <si>
    <t>o8+mGRJzoKQDKDLHIM3GEg==</t>
  </si>
  <si>
    <t>Harlem : The Unmaking of a Ghetto</t>
  </si>
  <si>
    <t>,1,14,15,12,13,2,1,3,2,4,5,6,7,8,9,10,12,13,11,14,15,16,17,18,19,40,41,38,39,42,140,141,142,138,139,302,303,304,300</t>
  </si>
  <si>
    <t>F128.68.H3 -- V47 2013eb</t>
  </si>
  <si>
    <t>974.7/1</t>
  </si>
  <si>
    <t>u6fFTZg7k9+m4J4N8ZyUyA==</t>
  </si>
  <si>
    <t>,296,297,298,299,300,301,302,303,304,172,174,173,170,171,175,42,43,44,40,41,45,46,47,48,49,194,195,192,196,193</t>
  </si>
  <si>
    <t>M6dlXd6wXm4nneS+QYLgcA==</t>
  </si>
  <si>
    <t>,13,14,15,16,17,18,19,20,21,22,23,24,25,27,29,24,23,1,2,3</t>
  </si>
  <si>
    <t>,1,2,3,130,131,132,128,129,135,136,137,133,134,11,12,13,9,10,291,292,293,289,290,288,294,295</t>
  </si>
  <si>
    <t>,1,8,9,10,6,7,2,11,12</t>
  </si>
  <si>
    <t>55q6QFKMpV5lx0YbweFBLQ==</t>
  </si>
  <si>
    <t>,1,2,3,189,190,191,187,188,192,193,194,289,290,291,288,287,292,293,294,295,197,198,199,195,196,200,201,202,203,194,203,204,205,206,299,300,301,297,298,302,303,304,305,306,307,308,309,310,304,303,308,302,301,300,299,298,297,212,213,214,210,215,216,217,218,219,220,221,222,223,224,225,226,211,209,208,207,206,205,204,203,202,201,200,199,198,206,207,208,209,210,211,308,309,310,306,307,305,304,303</t>
  </si>
  <si>
    <t>,1,2,3,4,19,20,21,17,18,2,25,26,27,23,24,28,22,16,2,3,3,1,4,5,2,6</t>
  </si>
  <si>
    <t>,1,2,3,56,57,58,54,55,59,60,61,62,63,64,65,66,67,68,69,70,71,72,73,74</t>
  </si>
  <si>
    <t>,1,2,3,11,12,13,9,10,2,14,15,16,17</t>
  </si>
  <si>
    <t>GJDZp/4rSiDTDZIc5p/Lxw==</t>
  </si>
  <si>
    <t>Fire under the Ashes : An Atlantic History of the English Revolution</t>
  </si>
  <si>
    <t>DA415</t>
  </si>
  <si>
    <t>942.06/2</t>
  </si>
  <si>
    <t>,281,278,277,282</t>
  </si>
  <si>
    <t>,1,2,3,51,52,53,58,59,60,56,57,55,61,62,63,507,508,509,505,506,279,280</t>
  </si>
  <si>
    <t>i5NtI+Qbne5178FOed3tuQ==</t>
  </si>
  <si>
    <t>,1,2,3,1,2,3,6,7,8,4,5,9,10,11,12,13,14,15,16,17,18,19,20,21,22,23,24,25,26,27,28,29,30,31,32,33,34,35,36,37,38,39,40,41,42,43,44,45,46,47,48,49,50,51,52,53,54,55,56,57,58,59,60,61,62,63,64,65,66,67,68,69,71,70,72,73,74,75,76,77,78,79,81,80,82,83,84,85,86,87,88,89,90,91,92,93,94,149,150,151,147,148,152,153,154,155,156,51,4,5,7,8,10,11,12,13,14,15,16,17,18,19,20,21,22</t>
  </si>
  <si>
    <t>etS5DXa/qBw=</t>
  </si>
  <si>
    <t>,1,38,37,39,35,36,2</t>
  </si>
  <si>
    <t>,1,2,3,27,28,29,25,26,30,31,32,34,33,35,36,37</t>
  </si>
  <si>
    <t>l7kL5oWjWWN+9ckojiEMXQ==</t>
  </si>
  <si>
    <t>Failing Our Veterans : The G.I. Bill and the Vietnam Generation</t>
  </si>
  <si>
    <t>Education; Military Science</t>
  </si>
  <si>
    <t>,1,2,3,168,169,170,166,167,171,173,174</t>
  </si>
  <si>
    <t>UB357 -- .B67 2014eb</t>
  </si>
  <si>
    <t>371.2/23</t>
  </si>
  <si>
    <t>,295,296,297,298,299,300,301</t>
  </si>
  <si>
    <t>,1,2,3,4,5,6,41,42,43,44,40,45,46,47,48,49,50,52,51,8,9,10,7,11,12,13,14,15</t>
  </si>
  <si>
    <t>,1,2,3,272,273,274,270,271,275,276,277,278,279,280,281,282,280,281,282,278,279,280,281,282,278,283,284,285,286,287,288,289,290,291,292,293,294</t>
  </si>
  <si>
    <t>UTh0FoiVLCjlXU5ghhozNQ==</t>
  </si>
  <si>
    <t>,1,12,14,13,11,10,15,2</t>
  </si>
  <si>
    <t>WE3JwzILYSEmXY3QStSyrQ==</t>
  </si>
  <si>
    <t>,1,2,3,5,4,6,174,175,176,173,172,140,141,142,138,139</t>
  </si>
  <si>
    <t>IY1J8HyL06QETNNV+nqvXQ==</t>
  </si>
  <si>
    <t>Children and Youth During the Gilded Age and Progressive Era</t>
  </si>
  <si>
    <t>,1,2,3,32,33,34,30,35,37,38,14,15,16,12,13</t>
  </si>
  <si>
    <t>HQ792.U5 -- .C423 2014eb</t>
  </si>
  <si>
    <t>,1,2,3,11,12,10,14,13,15,15,9</t>
  </si>
  <si>
    <t>mqydl8UoIJxnced0KVGISg==</t>
  </si>
  <si>
    <t>,1,2,3,117,118,119,115,116,8,9,10,6,7,11,12,13,14,15,16,17,51,52,53,50,49,54,55,56,90,91,100,101,102,98,99,103,104,105</t>
  </si>
  <si>
    <t>7UwNGb3otSIZ3EVtvHPzBQ==</t>
  </si>
  <si>
    <t>,1,2,3,1,3,2,2,2,204,204,205,205,206,202,206,203,203</t>
  </si>
  <si>
    <t>2QPN1+WZRNPfCW4vXbaFcQ==</t>
  </si>
  <si>
    <t>Selecting Effective Treatments : A Comprehensive, Systematic Guide to Treating Mental Disorders, DSM-5 E-Chapter Update</t>
  </si>
  <si>
    <t>,6,1,2,3,4</t>
  </si>
  <si>
    <t>RC480</t>
  </si>
  <si>
    <t>616.89/14; 616.8914</t>
  </si>
  <si>
    <t>,133,132,126,127,128,124,125,129,142,143,144,140,141,130,132,131,129,126,303,304,305,301,302,275,276,277,273,274,278,279,280,281,293,294,295,291,292,321,319,320,118,119,120,116,117,190,192,188,189,286,287,288,284,285,40,41,42,38,39,161,162,163,160</t>
  </si>
  <si>
    <t>CaCEYJDWlgUnNH0pA43Wng==</t>
  </si>
  <si>
    <t>,1,2,2,1,3,3,4,4,3,5,5,3,2,1,24,24,25,24</t>
  </si>
  <si>
    <t>,1,2,3,308,309,310,306,307,311,312,313,314,315,317,318,320,321,310,311,312,313,314,315,80,81,82,78,83,79,84,128,124,125,136,129,137,137,138,134,135</t>
  </si>
  <si>
    <t>,1,2,3,158,159,160,156,157,155,154,153,152,151,150,149</t>
  </si>
  <si>
    <t>C4DyxTf9VoOyAtwX4mHcAw==</t>
  </si>
  <si>
    <t>Aristotle's Teaching in the "Politics"</t>
  </si>
  <si>
    <t>JC71</t>
  </si>
  <si>
    <t>320.01/1</t>
  </si>
  <si>
    <t>,1,2,3,293,295,294,291,292,8,5,4,6,7,8,10,9</t>
  </si>
  <si>
    <t>/AAkoFKmlT8ZDt+MNhUnrA==</t>
  </si>
  <si>
    <t>,291,288,290,276,282,284,285,286,287,288,289,290,291,292,293</t>
  </si>
  <si>
    <t>,1,2,3,5,6,4,7,12,9,10,11,8,272,274,271,270,279,280,281,277,278</t>
  </si>
  <si>
    <t>KOirJ1oC5Atae64nApMo0Q==</t>
  </si>
  <si>
    <t>,249,250,251,252,253,255,256,257,254,258,259,260,261,262,263,264,265,266,267,268,269,270,271,272,273,274,275,276,277,278,279,280,281,282,283,284,285,286,287,288,289,290,291,292,293,350,351,352,348,349,658,659,660,656,657,661,662,663,664,665,666,667,668,669,670,671,672,673,674,675,676,721,722,723,719,720</t>
  </si>
  <si>
    <t>,1,2,3,4,5,6,7,8,9,10,11,12,13,14,15,16,17,132,133,134,130,131,135,136,137,138,139,140,141,142,143,224,226,222,223,225,227,228,229,230,231,232,233,234,235,236,237,238,239,240,241,242,243,244,245,246,247,248</t>
  </si>
  <si>
    <t>,1,2,2,1,3,3,107,108,109,109,107,105,108,106,106,110,110,111,111,2,112,112,113,113,114,114,115,115,116,116,117,117,118,118,113,112,111,89,90,91,90,89,87,91,88,88,92,92,93,93,88,93,94,94,89,88,151,152,153,151,152,153,150,149,150,154,154,155,155,107,108,109,105,106,110,111,112,113,114,115,116,117,112,117,118,113,112,111,110,115,116,117,118,119,119,114,113,112,111,110,115,117,118,119,116,114,119,120,120,121,121,122,122,123,123,118,117,116,115,114,113,118,119,120</t>
  </si>
  <si>
    <t>Brain Stimulation : Methodologies and Interventions</t>
  </si>
  <si>
    <t>,1,2,3,4,5,6,7,8,9,10,11,15,16,17,19,18,14,20</t>
  </si>
  <si>
    <t>QP376 -- .B735 2015eb</t>
  </si>
  <si>
    <t>,193,194,195,196,197,198,199,200,201,202,203,204,205,206,207,208,209,210,211,212,213,214,241,242,243,239,240</t>
  </si>
  <si>
    <t>,1,2,3,4,5,6,27,28,29,26,25,30,31,32,33,189,190,191,187,188,192</t>
  </si>
  <si>
    <t>v3fD8jSu2Ne5fuzJQGp72g==</t>
  </si>
  <si>
    <t>,1,2,3,194,170,171,172,168,169,173,167</t>
  </si>
  <si>
    <t>8v/o1PgLx18=</t>
  </si>
  <si>
    <t>Juicing and Smoothies For Dummies</t>
  </si>
  <si>
    <t>,1,3,2,4,5,6,7,9,10,2,11,13,14,15,16,17,19,22,23,24,25,26,27,28,29,30,31,33,38,39,35,40,41,42,43,44,45,46,47,48,49,50,51,52,53,54,57,58,59</t>
  </si>
  <si>
    <t>TX840.J84 -- C76 2015eb</t>
  </si>
  <si>
    <t>641.87/5</t>
  </si>
  <si>
    <t>,1,2,3,303,304,305,302,301</t>
  </si>
  <si>
    <t>Essential Travel Medicine</t>
  </si>
  <si>
    <t>RA783.5 .Z384 2015</t>
  </si>
  <si>
    <t>,1,2,3,2,3,1,4,4,2,2</t>
  </si>
  <si>
    <t>,1,2,3,4,5,26,27,28,24,25,29,30,31,32,33,34,35,36,37,38,39,40,41,42,43,44,45,46,47,48,49</t>
  </si>
  <si>
    <t>,1,2,3,4,5,6,7,8,9,10,11,12,13,14,15,16,17,18,2</t>
  </si>
  <si>
    <t>Zc9MXuokJetPu7cz4jsjVA==</t>
  </si>
  <si>
    <t>,1,2,3,23,24,25,21,22,26,27,28,29</t>
  </si>
  <si>
    <t>Efz+2QAUHdQd4lNTZvFrBg==</t>
  </si>
  <si>
    <t>Natural Disasters in a Global Environment</t>
  </si>
  <si>
    <t>Science: Geology; Science; Social Science</t>
  </si>
  <si>
    <t>,1,2,3,93,94,95,91,92,96,97,98,99,100,119,120,121,117,118</t>
  </si>
  <si>
    <t>GB5014 -- .P46 2013eb</t>
  </si>
  <si>
    <t>,1,2,3,4,23,24,25,21,22,93,94,95,91,92,96,97,98</t>
  </si>
  <si>
    <t>1jH7WZZlWgU4iAOtclbsdQ==</t>
  </si>
  <si>
    <t>,125,126,247,248,249,245,246,250,118,119</t>
  </si>
  <si>
    <t>,1,2,3,4,5,6,7,8,9,10,94,95,96,92,93,91,90,120,121,122,118,119,123,124</t>
  </si>
  <si>
    <t>Vs3bjh7pRYlGV/GfcABjvQ==</t>
  </si>
  <si>
    <t>Digital Interface Design and Application</t>
  </si>
  <si>
    <t>Engineering: Electrical; Engineering</t>
  </si>
  <si>
    <t>,1,2,3,4,5,6,7,8,9,2,10,11,12,13,14,15,16,17,18,19,20,21,22,23,24,25,26,27,27,28,28,29,30,31,32,33,34,35,36,37,38,39,40,41,42,43,35,33,32,31,30,29,28,26,25,24,23,21,20,19,18,17,15,14,13,12,11,10,9,8,7,6,5,4,3,2,1</t>
  </si>
  <si>
    <t>TK7868 .I58 D46 2015</t>
  </si>
  <si>
    <t>621.39; 621.3981</t>
  </si>
  <si>
    <t>,63,63,64,64,59,61,62,63,59,60,61,62,63,59,60,64,65,65,60,65,66,66,67,67</t>
  </si>
  <si>
    <t>,668,669,670,671,675,676,677,678,674,679,680,681,682,690</t>
  </si>
  <si>
    <t>,1,1,2,1,3,2,3,54,54,56,55,52,56,55,53,53,57,58,57,58,59,59,60,61,60,61,2,62,62,57,62,57,62</t>
  </si>
  <si>
    <t>,1,2,3,685,686,687,683,684,682,681,687,688,689,691,685,682,681,679,677,676,674,673,672,669,666,664,665,662,663,667,661</t>
  </si>
  <si>
    <t>,2,191,192,193,194,195,196,197,198,199</t>
  </si>
  <si>
    <t>,269,270,271,272,273,274,275,276,277,278,279,280,281,282,283,284,285,286,287,288,289,290,291,292,293,294,295,296</t>
  </si>
  <si>
    <t>,11,14</t>
  </si>
  <si>
    <t>,1,2,3,265,266,267,263,264,268</t>
  </si>
  <si>
    <t>,1,2,3,4,11,12,13,9,10</t>
  </si>
  <si>
    <t>,247,248,249,250,251,252,253,254,255,256,258,259,260,257,261,262,1,263,262,261,264,260,2,295,296,297,293,294,1,294,295,296,292,293,289,290,2,291,287,288,286,291,285,284,283,282,281,280</t>
  </si>
  <si>
    <t>,1,2,3,243,244,245,241,242,246</t>
  </si>
  <si>
    <t>,1,2,3,243,244,245,242,241,246,247,248,249,250,251,252,253,254,255,256,257,258,259,260,261,262,263</t>
  </si>
  <si>
    <t>O8BrvIan2kw=</t>
  </si>
  <si>
    <t>,255,256,253,254,257,286,287,288,284,285,504,505,506,502,503,692,693,690,691,694,739,740,741,737,738,736,367,369,366,543</t>
  </si>
  <si>
    <t>,1,2,3,4,260,261,262,258,259,263,540,541,542,538,539,305,306,307,303,304,366,367,368,365,518,519,520,50,51,52,48,49,372,373,374,370,371,516,517</t>
  </si>
  <si>
    <t>,1,2,3,265,266,267,263,264,268,288,289,290,286,287,285,284,283,282,280,281</t>
  </si>
  <si>
    <t>,1,2,3,4,17,18,19,15,16</t>
  </si>
  <si>
    <t>5K/YbcW6dxFsAiTaUrkY1w==</t>
  </si>
  <si>
    <t>Peter Drucker's Five Most Important Questions : Enduring Wisdom for Today's Leaders</t>
  </si>
  <si>
    <t>,40,41,42,38,39,72,73,74,70,71,105,106,107,103,104,109,108,110,111,112,29,30,31,32,33,34,35,36,37,43,44,45,46,47,48,49,50,51,52,53,54,55,56,57,58,59,60,61,62,63,64,65,66,67,68,69,75,76,77,78,79,80,81,82,83,84,85,86,87,88,89,90,91,92,93,94,95,96,97,98,99,100,101,102</t>
  </si>
  <si>
    <t>HD57.7 -- .D78 2015eb</t>
  </si>
  <si>
    <t>,1,2,3,4,5,6,7,8,9,10,11,12,13,14,15,16,17,18,20,19,21,22,23,24,25,26,27,28</t>
  </si>
  <si>
    <t>,1,3,2,225,226,227,223,224,228,237,236,238,234,235</t>
  </si>
  <si>
    <t>oCfQKXC9MFMiGyxL9MSHxg==</t>
  </si>
  <si>
    <t>,49,50,48,66,78,79,80,76,77,81,82,120,121,118,119,122,123,124,125,126,37,39,36,34,33</t>
  </si>
  <si>
    <t>,1,2,3,6,38,83,138,275,276,277,273,278,279,280,281,282,283,284,285,286,287,294,227,228,229,225,226,13,35,44,45,46,42,43,47</t>
  </si>
  <si>
    <t>1tkw7XOv/nUKUBwHFEb53w==</t>
  </si>
  <si>
    <t>More Important Than the Music : A History of Jazz Discography</t>
  </si>
  <si>
    <t>General Works/Reference; Fine Arts</t>
  </si>
  <si>
    <t>ML406</t>
  </si>
  <si>
    <t>016.78165026/6</t>
  </si>
  <si>
    <t>d2KxWclxSCdmMkgj9lQ47g==</t>
  </si>
  <si>
    <t>,184,185,186,187,188</t>
  </si>
  <si>
    <t>wGKZPKW944Y=</t>
  </si>
  <si>
    <t>,1,2,3,491,493,492,489,490,496,497,498,495,494,499,553,554,555,552,551,549,550,547,548,546,545,544,542,543,540,541,539,538,537,501,502,499,503,500</t>
  </si>
  <si>
    <t>,1,2,3,4,6,7,8,5,2,9,10,180,181,182,178,179,183</t>
  </si>
  <si>
    <t>Resilient Classrooms, Second Edition : Creating Healthy Environments for Learning</t>
  </si>
  <si>
    <t>,1,2,3,4,5,6,7,8,9,10,11,12,13,14,14,16,17,18,15</t>
  </si>
  <si>
    <t>LC4091 -- .D65 2014eb</t>
  </si>
  <si>
    <t>f9diIwO0W365eO4OCCHBNw==</t>
  </si>
  <si>
    <t>,1,2,3,4,5,5,6,7,8,9,10,11,12,3</t>
  </si>
  <si>
    <t>,55,56,57,58,59,60,61,62,63,64,65,66,67,68,69,70,71,72,73,74,75,76,77,78,79,80,81,82,83,84,85,86,87,88,89,90,91</t>
  </si>
  <si>
    <t>,1,3,2,55,56,57,53,54,58,52,58,59,60,61,62,63,64,65,66,68,69,70,72,73,71,74,75,76,77,78,79,80,81,82,83,84,85,86,87,88,89,90,91,92,93,94</t>
  </si>
  <si>
    <t>,392,393,394,390,391,422,423,424,420,421,425,426,427,428,429,423,422,421,420,419,418,417,385,386,387,383,384,424,425,426,422,423,424,425,426,422,423</t>
  </si>
  <si>
    <t>5iCw/QM6B1o=</t>
  </si>
  <si>
    <t>Islamic Theological Themes : A Primary Source Reader</t>
  </si>
  <si>
    <t>,1,1,3,2,3,2,1,1,26,27,28,26,24,27,25,28,25,2,29,29,30,30,31,31</t>
  </si>
  <si>
    <t>BP166 -- .I85 2014eb</t>
  </si>
  <si>
    <t>1td/x3p+8F0Ja/YAGCaBqA==</t>
  </si>
  <si>
    <t>Communicable Diseases in Developing Countries : Stopping the global epidemics of HIV/AIDS, Tuberculosis, Malaria and Diarrhea</t>
  </si>
  <si>
    <t>RA643 -- .D695 2014eb</t>
  </si>
  <si>
    <t>362.1969009172/4</t>
  </si>
  <si>
    <t>iYMf3+QxTYqP8TVukmoS5A==</t>
  </si>
  <si>
    <t>,117,117,118,118,113,118,113,118,119,119,120,120,121,121,122,122,123,123,124,124,125,125,126,126,127,127,128,128,129,129,130,130,131,131,126,131,132,132,133,133,134,134,135,135,136,136,137,137,138,138,139,139,140,140,141,141,166,167,166,168,167,164,168,165,165,169,169,170,170,171,171,172,172,173,173,174,174,175,175,176,176,177,177,178,178,179,179,180,180,181,181,182,182,183,183,184,184,182,183,184,180,181,179,184,185,185,186,186,187,187,188,188,189,189,190,190,191,191,192,192,193,193,194,195,194,195,196,196,197,197,200,201,200,201,218,218,219,220,219,220,216,217,217,221,221,222,222,223,224,223,224,225,226,226,227,228,227,225,229,230,228,229,230,224,229,230,231,231,232,232,233,231,233,232,234,234,235,231,235,230</t>
  </si>
  <si>
    <t>,1,1,2,2,3,3,1,1,111,112,113,113,109,112,110,111,110,2,114,114,115,115,116,116</t>
  </si>
  <si>
    <t>,1,3,2,40,98,149,242,254,215,24,19,17,9,10,11,7,8,12,13,14,6</t>
  </si>
  <si>
    <t>qtvx/PvxeJ0=</t>
  </si>
  <si>
    <t>Race and Immigration</t>
  </si>
  <si>
    <t>,1,3,2,4,7,8,9,5,10,6,11,12,17,18,19,15,16</t>
  </si>
  <si>
    <t>JV6475 -- .K537 2014eb</t>
  </si>
  <si>
    <t>,1,2,3,4,5,6,7,8,9,10,11,12,13,14,6,4</t>
  </si>
  <si>
    <t>swwaPrCm6kSlb2Jm9UXK/A==</t>
  </si>
  <si>
    <t>nBL41CAD7Dk=</t>
  </si>
  <si>
    <t>,364,365,366,362,363,367,368,369,370,371,372,373,374,375,376,377,378,379,380,381,382,383,384,385,386,387,388,389,390,659,660,661,657,662,658,663,664,665,666</t>
  </si>
  <si>
    <t>,1,3,2,218,219,220,216,217,221,224,225,226,222,223,231,232,233,229,230,234,216,215,227,228,229,223,222,221,220,219,218,217,216</t>
  </si>
  <si>
    <t>EWHtgL5temmLucmdq7dfJg==</t>
  </si>
  <si>
    <t>,1,3,2,9,10,11,8,7,12,13,2,14,15,16,17,18,19,149,150,151,147,148,152,154,155,156,157,158,159,160</t>
  </si>
  <si>
    <t>,1,3,2,6,8,7,4,5,12,14,13,10,11,15</t>
  </si>
  <si>
    <t>,1,2,3,231,232,233,229,230,234,235,236,237,238,239,240,241,242,243,244,245,246,247,248,249,250,251,603,604,605,602,601,606,607,608,609,610,611,612,613,614,615,616,230,603,601,602</t>
  </si>
  <si>
    <t>,147,148,144,145,146,136,137,138,134,135,139,140,141,142,143,141,142,139,140,144,145,146,147,148,149,150</t>
  </si>
  <si>
    <t>,102</t>
  </si>
  <si>
    <t>,1,3,2,18,19,20,16,17,21,22,23,25,26,27,23,24,28,29,71,72,73,69,70,93,94,95,91,92,96,95,92,93,97,98,99,100,101,102,103,104</t>
  </si>
  <si>
    <t>,1,2,3,6,8,7,5,4,88,89,90,92</t>
  </si>
  <si>
    <t>,21,22,23,19,20,243,244,245,242,241,246,264,265,266,262,263,256,257,258,255,253,254,255,257,256,253,254,252,243,245,244,241,242,246,263,265,264,261,262,247,248,249,250,251,252,253</t>
  </si>
  <si>
    <t>,1,2,3,191,192,193,189,190,194,195,196,197,198,192,191,190,189,187,188,191,190,188,187,186,185,184,183,182,188,187,186,185,183,182,181,180,178,179,107,108,109,105,106,110,111,112,113,114,185,186,187,183,188,190,191</t>
  </si>
  <si>
    <t>,1,2,3,191,192,193,190,189,194,195,196,197,192,191,190,189,188,187,193,194,195</t>
  </si>
  <si>
    <t>fUTML91liMP+gCFB0to3gA==</t>
  </si>
  <si>
    <t>Everyday Magic in Early Modern Europe</t>
  </si>
  <si>
    <t>133.4''3094</t>
  </si>
  <si>
    <t>Lesbian Geographies : Gender, Place and Power</t>
  </si>
  <si>
    <t>306.76''63</t>
  </si>
  <si>
    <t>A Taste of Progress: Food at International and World Exhibitions in the Nineteenth and Twentieth Centuries</t>
  </si>
  <si>
    <t>Going to Market : Women, Trade and Social Relations in Early Modern English Towns, c. 1550-1650</t>
  </si>
  <si>
    <t>381.082''0942</t>
  </si>
  <si>
    <t>Unbuilt Utopian Cities 1460 to 1900: Reconstructing their Architecture and Political Philosophy</t>
  </si>
  <si>
    <t>,1,2,3,15,16,17,13,14,18,19,20,21,22,23,24,25,26,27,17,16,25</t>
  </si>
  <si>
    <t>RHqPQarznGzG8gFtMa31eg==</t>
  </si>
  <si>
    <t>,1,2,3,200,201,202,198,199</t>
  </si>
  <si>
    <t>,1,2,3,8</t>
  </si>
  <si>
    <t>,32,33,34,30,31,35,43,40,29,28,26,27,36,37,38,39,41,42,44,45,46,47,48,49,50,51,52,53,54,55,56,57,58,59,60,61,62</t>
  </si>
  <si>
    <t>,28,29,30,31,32</t>
  </si>
  <si>
    <t>,1,2,3,18,19,20,17,16,21,22,23,24,25,26,27</t>
  </si>
  <si>
    <t>+TzSXdWy9ik=</t>
  </si>
  <si>
    <t>,1,4</t>
  </si>
  <si>
    <t>,1,2,3,1,3</t>
  </si>
  <si>
    <t>jprIFhJXbOw=</t>
  </si>
  <si>
    <t>,1,2,3,4,142,143,144,140,141,142,143,144,140,141,145,146,147,148,149,150,151,152,153,154,155,156,157,158,159,160,161,162,163,167,166,168,165,164,160,159,158,157,156,155,154</t>
  </si>
  <si>
    <t>B+kmFEcw9JFYlxTqCQRhCw==</t>
  </si>
  <si>
    <t>Butchery and Sausage-Making For Dummies</t>
  </si>
  <si>
    <t>Engineering; Engineering: Chemical; Engineering: Manufacturing</t>
  </si>
  <si>
    <t>,1,2,3,4,5,6,7,8,6,7,8,9,5,10,2,11,12,13,14,15</t>
  </si>
  <si>
    <t>TS1960</t>
  </si>
  <si>
    <t>664.902; 664.9029</t>
  </si>
  <si>
    <t>8GBAQ3TDckDwVxSGnYGZwQ==</t>
  </si>
  <si>
    <t>Early Antiquity</t>
  </si>
  <si>
    <t>,1,2,3,286,288,284,285,289,290,291,292,287,293,1,2,3,1,2,3,166,167,168,164,165,228,229,230,169,170,171,153,155,151,152,218,219,220,216,216,1,217,218,214,215,2</t>
  </si>
  <si>
    <t>D57</t>
  </si>
  <si>
    <t>Cyberbullying : What Counselors Need to Know</t>
  </si>
  <si>
    <t>HV6773 -- .B38 2011eb</t>
  </si>
  <si>
    <t>4UW3+g/YDQ+nvz7WYGK/9A==</t>
  </si>
  <si>
    <t>,1,2,3,169,170,171,167,168,173,172</t>
  </si>
  <si>
    <t>,4,5,6,7,8,9,8,5,6,10,1,2,3</t>
  </si>
  <si>
    <t>,6,6</t>
  </si>
  <si>
    <t>,235,236,230,153,154,156,157,153,151,152</t>
  </si>
  <si>
    <t>,206,207,208,242,243,244,232,233,234</t>
  </si>
  <si>
    <t>,1,2,3,109,110,111,107,104,92,93,94,90,91,232,233,234,230,231,232</t>
  </si>
  <si>
    <t>,6,1,7,8,4,5,2</t>
  </si>
  <si>
    <t>Comparative Method : Moving Beyond Qualitative and Quantitative Strategies</t>
  </si>
  <si>
    <t>,4,5,6,7,8</t>
  </si>
  <si>
    <t>H61 -- .R216 2014eb</t>
  </si>
  <si>
    <t>,7,1,3,19,62,63,64,60,61,1,3,7,8,9,5,6</t>
  </si>
  <si>
    <t>,1,2,3,7,8,9,5,6,10,127,134,135,136,132,133,137,138,139,157,158,154,155,153,151,152</t>
  </si>
  <si>
    <t>,1,2,3,119,120,121,117,118,142,143,144,140,141,122,123,124,125,126,127</t>
  </si>
  <si>
    <t>7wAQ5vs+LT3LLEMNlwQd8Q==</t>
  </si>
  <si>
    <t>,1,2,3,15,16,17,13,14,18,19,9,10,11,7,8,63,64,65,61,62,66,67,68,69,70,72,73</t>
  </si>
  <si>
    <t>zeCUH/Wd2TG48RQfnDEqGQ==</t>
  </si>
  <si>
    <t>,1,6,8,7,4,5,9,10,11,2</t>
  </si>
  <si>
    <t>BDbGV22/Aoi+WY9mhegl3g==</t>
  </si>
  <si>
    <t>Unofficial Guide to Walt Disney World with Kids 2013</t>
  </si>
  <si>
    <t>,1,2,3,3,2,1,2,2,4,4,5,5,6,7,6,7,8,8,9,9,10,10,11,11,12,12,13,13,14,14,15,15,11</t>
  </si>
  <si>
    <t>GV1853.F62 U56 2012</t>
  </si>
  <si>
    <t>,1,2,3,53,54,55,51,52,56,57,58,59,60,61,62,7,8,9,5,6,10</t>
  </si>
  <si>
    <t>9T6e6xiZR3Q=</t>
  </si>
  <si>
    <t>Boundary Issues in Counseling : Multiple Roles and Responsibilities</t>
  </si>
  <si>
    <t>Philosophy; Psychology</t>
  </si>
  <si>
    <t>,1,2,3,4,42,43,44,40,41</t>
  </si>
  <si>
    <t>BF636.6 -- .H47 2015eb</t>
  </si>
  <si>
    <t>174/.91583</t>
  </si>
  <si>
    <t>,59,60,61,62,74,75,72,73,77</t>
  </si>
  <si>
    <t>,1,2,3,7,8,9,5,6,10,51,52,53,49,50,54,55,56,58,57</t>
  </si>
  <si>
    <t>,1,2,3,184,185,186,182,183,187,206,208,207,204,205,203,201,199,198,197,196,194,195,193,192,191,190,188,189</t>
  </si>
  <si>
    <t>,1,2,3,4,5,6,7,8,9,10,11,12,13,14,12,12,13,14,10,11,12,13,14,10,11,15,16,17,9</t>
  </si>
  <si>
    <t>UC04ZjuedcU=</t>
  </si>
  <si>
    <t>Art of Problem Solving in Organic Chemistry</t>
  </si>
  <si>
    <t>,1,2,3,473,471,472</t>
  </si>
  <si>
    <t>QD251.3 -- .A46 2014eb</t>
  </si>
  <si>
    <t>,1,3,2,4,5,6,7,52,53,54,50,51,463,464,465,461,462</t>
  </si>
  <si>
    <t>APZCGix4j6Mwpj+WeR9Kmw==</t>
  </si>
  <si>
    <t>,1,2,3,2,3,1,2,2,1,2,3,4,2,3,4,1,2,2,342,343,342,340,344,343,341,344,341,345,346,345,347,347,346,348,348,349,349</t>
  </si>
  <si>
    <t>,15,16,138,139,140,141,142,143,142,143,144,145,146,147,148,149,150,151,152,153,154,155,156,157,158,159,160,161,162,163,164,165,166,167,168,169,170,166,163,6,211,142,33,41,40,41,56,184,206,209,146,145,146,172,250</t>
  </si>
  <si>
    <t>,1,2,3,4,2,8,10,10,10,11,10,11,12,13,14</t>
  </si>
  <si>
    <t>mT454Ug9Sy3Mq4Q7f8AlAebIVpR9tNRO</t>
  </si>
  <si>
    <t>,16,17,18</t>
  </si>
  <si>
    <t>,1,2,3,104,105,106,102,103,107,108,109,110,111,112,113</t>
  </si>
  <si>
    <t>,1,2,3,4,7,11,14,15,12,13,10,15,18,19,20,21,17,22,23,24,25,28,31,52,53,54,50,51,55,56,57,58,1,3</t>
  </si>
  <si>
    <t>,1,2,3,4,5,6,7,8,9,10,11,12,13,14,15,16,17,1,3</t>
  </si>
  <si>
    <t>,1,2,3,243,245,244,241,246,242,247,248,249,250,251,252,253,254,255,256</t>
  </si>
  <si>
    <t>,1,2,3,243,244,245,241,242,265,266,267,263,264,244,245,241,242,246,247,242,241,246,247,248,249</t>
  </si>
  <si>
    <t>QhtziY7lZipF5OdZlCNGDQ==</t>
  </si>
  <si>
    <t>pWbZeUawnB42ZOFnLixRgw==</t>
  </si>
  <si>
    <t>,4,5,6,2,3</t>
  </si>
  <si>
    <t>,28,29,30,38,39,40,41,42,43,44,45,46,47,48,49,50,51</t>
  </si>
  <si>
    <t>,21,22,23,24,25,26,21,22,23,24,25,26,27,28,29,30,31,32,33,34</t>
  </si>
  <si>
    <t>,1,2,3,1,2,3,4,5,6,7,8,9,10,11,12,14,15,16,13,17,18,19,20,21,22,23,24,25,26,27,28,29,30,31,32,33,34,35,36,37</t>
  </si>
  <si>
    <t>,22,23,27,26,28,25,24,29,30,31,32,34,35,36,33,37,38,39,40,41,42,43,44,45,46,47,48,49,50,51,52,53,54,55,56,57,58,59,60,61,43</t>
  </si>
  <si>
    <t>,43,44,45,46,47,48,49,50,51,52,53,54,55,56,57</t>
  </si>
  <si>
    <t>,2,3,1,5,6,7,4,18,19,20,16,17,21,19,20,21,17</t>
  </si>
  <si>
    <t>0icoLlBqSG2GxKpkRncjFg==</t>
  </si>
  <si>
    <t>Pathophysiology for Nurses at a Glance</t>
  </si>
  <si>
    <t>,1,2,3,3,2,1,2,2,159,160,159,161,157,161,158,158,160,162,162,156,161,162,163,157,163,156,155,160,161,162,157,156</t>
  </si>
  <si>
    <t>RB113 -- .N35 2015eb</t>
  </si>
  <si>
    <t>616/.047</t>
  </si>
  <si>
    <t>,1,2,2,3,3,1,4,4,2,2,4,5,6,6,5,7,7,8,8,3,8,9,9,10,10,11,11,6,4,5,3,2,1</t>
  </si>
  <si>
    <t>tQNUzAc4ANAD2RtCcVx95A==</t>
  </si>
  <si>
    <t>History of China</t>
  </si>
  <si>
    <t>,1,2,2,3,1,3,4,4,5,5,6,6,7,8,7,8,9,9,2,10,10,11,11,12,12,13,14,13,15,14,15,16,16,17,17,18,18,19,19,20,20,21,21,22,22,23,23,26,26,28,28,32,32,33,30,33,30,31,28,31,29,29,27,32,27,32,33,34,30,34,35,35,36,36,37,37,38,38,39,39</t>
  </si>
  <si>
    <t>DS735 -- .R68 2014eb</t>
  </si>
  <si>
    <t>VMMLplOghNvNyol5mgl2ow==</t>
  </si>
  <si>
    <t>,1,2,2,3,3,2,2,1,4,4,5,6,5,6,251,252,253,252,249,250,251,250,253,254,254,255,255,250,249</t>
  </si>
  <si>
    <t>,1,2,3,483,484,485,482,481,418,419,420,416,417,421,422,108,109,110,106,107,111,112</t>
  </si>
  <si>
    <t>mvqIeW4qW0mVmxsWD7dkxg==</t>
  </si>
  <si>
    <t>,4,5,6,7,8,9,10,11,12,13,14,15,16,17,18,19,20,21,22,23,24,21,22,23,19,20</t>
  </si>
  <si>
    <t>,19,20,36</t>
  </si>
  <si>
    <t>BdmtWDrCfV4=</t>
  </si>
  <si>
    <t>The Killing Consensus : Police, Organized Crime, and the Regulation of Life and Death in Urban Brazil</t>
  </si>
  <si>
    <t>,43,44,45,46,47,48,49,182,183,184,180,181,212,213,214,210,211,74,75,76,72,73,213,215,212,121,122,123,119,120,5,6,7,3,4,2,211,212,213,209,55,56,57,53,54,58,51,52,49,50,48,37,36,35,34,33,32,31,4,2,3,5,7,10,12,13,14,15,11,16,17,21,22,20,18,23,24,25,26,27,28,29,30,42,43</t>
  </si>
  <si>
    <t>HV6535.B73 -- .D469 2015eb</t>
  </si>
  <si>
    <t>364.1520981/61</t>
  </si>
  <si>
    <t>,1,3,2,4,5,6,7,8,9,10,11,12,13,14,15,16,17,18,20,19,21,22,23,24,25,26,27,28,29,30,31,32,33,34,35,36,37,38,40,43,41,42,39</t>
  </si>
  <si>
    <t>1AvxA2IlGOZA6mqRWPHlAQ==</t>
  </si>
  <si>
    <t>,1,2,3,7,8,9,5,32,33,34,30,31</t>
  </si>
  <si>
    <t>,1,2,2,3,3,1,178,179,180,180,179,181,178,181,177,182,183,183,182,184,184,2,185,185,180,185,191,192,191,192,193,193,194,195,194,195,196,196,197,197,192,197,198,198</t>
  </si>
  <si>
    <t>,1,2,3,14,17,18,19,15,16</t>
  </si>
  <si>
    <t>ZLms2G+gEEaVLq785a+Fdg==</t>
  </si>
  <si>
    <t>Home Buying Kit For Dummies</t>
  </si>
  <si>
    <t>Home Economics; Business/Management</t>
  </si>
  <si>
    <t>,1,2,3,74,75,76,72,73</t>
  </si>
  <si>
    <t>HD1379 -- .T97 2012eb</t>
  </si>
  <si>
    <t>643.12; 643/.12/02855369</t>
  </si>
  <si>
    <t>KG2/76qVvlYvt1JB1or3lQ==</t>
  </si>
  <si>
    <t>,1,2,3,32,33,34,30,31,35,36,37,38,39,40,41,42,43,44,45,82,83,84,80,81,79,78,77,75,76,85,86,87,50,51,52,48,49,53,54,55,56,57,58,59,60,61,62,63,64,65,66,88,89,90,91,92,93,94,95,96,97,98,99,67,68,15,16,17,13,14,18,19,20,21,22,23,24,25,26,27,28,29</t>
  </si>
  <si>
    <t>5VqVnc8AaYXbS7z/4gyaPA==</t>
  </si>
  <si>
    <t>U7o7iAIaLCRe2mvR8/EeYQ==</t>
  </si>
  <si>
    <t>,1,2,3,4,5,6,7,8,9,10,11,12,13,14,15,16,17,18,19,20,21,22,23,24,25,26,27,28,25,26,27,291,291</t>
  </si>
  <si>
    <t>,1,2,3,6,4,5,7,8,9,10,11,12,13,16,17,18,14,15,19,77,78,79,75,76,80,81</t>
  </si>
  <si>
    <t>sIE0ouOtqZ/oAZtGgN1Hmg==</t>
  </si>
  <si>
    <t>Small Business Taxes For Dummies</t>
  </si>
  <si>
    <t>,24,25,26,27,28,29,30,31,32,33,34,35,36,37,38,39,40,41,42,43,44,45,46,47,48,49,50,51,52,53,54,55,56,57,58,59,60,61,62,63,64,65,66,67,68,69,70,71,73,89,90,91,87,88,92,93,94,95,96,97,117,118,119,116,115,120,121,122,127,128,129,130,126,131,132,133,134,135,136,137,138,139,140,141,142,143,144,145,146,147,148,149,150,151,152,153,154,155,156,157,158,159,160,161,162,163,164,165,166,167,168,169,170,171,172,173,174,175,176,177,178,179,180,189,190,191,187,188,192,193,194,195,196,197,198,199,200,201,202,203,238,239,240,236,237,241,242,243,244,245,257,258,259,256,255,260,261,262,263,264,265</t>
  </si>
  <si>
    <t>K4460 .T384 2013</t>
  </si>
  <si>
    <t>,1,2,3,4,5,6,7,8,9,10,11,12,14,13,15,16,20,22,21,18,19,23</t>
  </si>
  <si>
    <t>,1,2,3,4,5,6,7,8,9,10,11,70,71,72,68,69,73,74,75,76,77,78,79,80,78</t>
  </si>
  <si>
    <t>,1,2,3,32,33,34,30,31,35,36,37,38,39,40,41,38,39,40,36,37,41,42,43,41,40,44,45,50,51,52,48,49,53,54,55,56,57,58,59,60,61,62,63,64,65,66,67,68,69,70,71,72,73,74,75,76,77,78</t>
  </si>
  <si>
    <t>uQCKpPwgI6FIdFFJRC7f3w==</t>
  </si>
  <si>
    <t>Advancing Social Justice : Tools, Pedagogies, and Strategies to Transform Your Campus</t>
  </si>
  <si>
    <t>,144,145,146,147,148,149,150,151,152,153,154,155,156,157,158,159,160,161,162</t>
  </si>
  <si>
    <t>LC192.2 -- .D38 2013eb</t>
  </si>
  <si>
    <t>370.11/5</t>
  </si>
  <si>
    <t>,143</t>
  </si>
  <si>
    <t>,1,2,3,9,10,11,7,8,12,17,45,55,62,72,72,73,102,103,104,124,128,129,130,131,132,133,134,135,136,137,138,139,140,141,142</t>
  </si>
  <si>
    <t>Tgqy7+/ULOM=</t>
  </si>
  <si>
    <t>,1,2,3,4,10,11,12,8,9,167,168,169,165,166,170,164</t>
  </si>
  <si>
    <t>,1,2,3,60,61,62,58,59,63,64,65</t>
  </si>
  <si>
    <t>ONOwFwDvq2nzVvk2exsh4Q==</t>
  </si>
  <si>
    <t>,4,5,6,7,8,9,10,11,12,13,14,9,10,11,12,13,14</t>
  </si>
  <si>
    <t>,3,1</t>
  </si>
  <si>
    <t>,1,2,3,158,159,160,151,152,153,149,150,148,154,155,156,157,158,159,160,161,162,163,164,165,166,167,168,169,170,171,172,173,174,175,176,177,178,179,180,181,182,183,184,144,143,145,146,147,148,149,171,172,173,174,175,176,177,178,179,180,181,182,183,184</t>
  </si>
  <si>
    <t>,350,277,190,52,1,6,8,15,49,98,121,122,123,115,116,117,118,119,120,121,122,124,125,126,127,128,129,130,131,132,133,134,135,136,137,138,139,140,141,142,143,144,145,146,147,148,149,150,96,14,1,3,4,5,6,7,8,9,10,11,12,13,14,15,16,17,18,19,20,21,22,23,24,25,26,27,28,29,30,31,32,33,34,35,36,37,38,39,40,41,42,43,44,45,46,47,48,49,50,51,52,53,54,55,56,57,58,59,60,61,62,63,64,65,66,67,68,69,70,71,72,73,74,75,76,71,76,77,70,76,71,71,75,71,72,69,16,1,35,49,34,36,64,65,63,47,44,9,1,3,4,5,6,7,8</t>
  </si>
  <si>
    <t>,1,2,3,9,10,11,7,8,12,13,14,15,16,3,4,1,4,5,6,7,8,9,10,11,12,10,20,1,3,4,5,6,7,8,9,10,11,12,5,6,7,11,12,13,14,341,342,343,339,340,325,326,327,323,324,328,329,330,331,332,333,334,335,336,337,338,339,340,341,342,343,344,345,346,347,348,349,344,350,351,352,347,346,345</t>
  </si>
  <si>
    <t>,36,37,38,39,40,41,42,43,44,45,46,47,48,49,50,51,35,35</t>
  </si>
  <si>
    <t>,22,23,24,25,8,8,9,10,12,13,15,19,16,20,21,22,23,24,25,26,27,28,29,30,29,28,27,28,29,30,31,30,31,33,32,34,35,36,37,38,39,38,37,36,35,34,33,34,35,36,37,38,39,37,36,35,36,37,38,39,40,41,42,43,44,45,46,47,48,49,50,51,52,53,54,55,56,57,58,59,60,61,62,63,64,65,64,63,64,65,66,67,70,71,72,73,75,77,79,80,81,82,83,84,85,86,87,88,89,90,281,281,1,279,277,49,74,91,92,93,94</t>
  </si>
  <si>
    <t>,1,2,3,16,17,18,14,15,19,20,21,22,23,2,24</t>
  </si>
  <si>
    <t>,1,3,2,491,492,493,494,495,496,497,498,499,500</t>
  </si>
  <si>
    <t>,1,2,3,32,33,34,31,30,35,30,32,33,34,30,31,35,33,35,34,31,32</t>
  </si>
  <si>
    <t>,1,2,3,203,204,205,201,202,206,207,209,212,214,215,217,218,219,220,221,222,223,224,225,226,227,228,229</t>
  </si>
  <si>
    <t>,1,2,3,185,186,187,183,184,659,660,661,657,658,2,662,663,664,665,666,183,184,188,189,231,232,233,229,230,234,274,557,558,559,555,556,613,614,615,612,610,611,609,608,607,606,183,184,188,182</t>
  </si>
  <si>
    <t>,1,2,3,151,152,153,149,150,148,147,146,145,144,143,142,141,139,140,1,140,141,142,138,139,164,165,166,162,163,167,161,160,159,158,156,151,152,2,153,149,150,148,147,154</t>
  </si>
  <si>
    <t>,328,329,330,327,326,324,325,320,321,322,318,319,347,348,349,345,346,344,368,369,370,366,367,371,372,373,374,375,376,377,378,379,380,381,382,383,384,385,386,422,423,424,420,421,425,426,427,428,108,109,110,106,107,111,112,105,104,113,114,115,116,117,118,418,420,419,416,417,421</t>
  </si>
  <si>
    <t>HTML5 Foundations</t>
  </si>
  <si>
    <t>,1,2,3,133,134,135,131,132,136,137,138,139,140</t>
  </si>
  <si>
    <t>QA76.76.H94 .H371 2012</t>
  </si>
  <si>
    <t>,1,2,3,71,72,73,69,70,74,75,91,92,93,89,90,94</t>
  </si>
  <si>
    <t>,1,2,3,387,388,389,386,385,383,384,395,396,397,393,394,392,391,389,390,388,387,385,384,383,388,389,390,391,392,393,385,384,383,385,390,391,392,393,394,395,396,397</t>
  </si>
  <si>
    <t>,72,73,74,75,69,75,76,75,1,2,3,65,66,67,63,68,64,69,70,76</t>
  </si>
  <si>
    <t>,74,72,73</t>
  </si>
  <si>
    <t>,1,2,3,242,243,244,240,245,241,248,249,250,246,247,312,313,314,310,311,315,316,317,318,319,311,320</t>
  </si>
  <si>
    <t>,1,2,3,67,68,69,65,66,70,71</t>
  </si>
  <si>
    <t>Rl9cYqVvgUA=</t>
  </si>
  <si>
    <t>,1,2,2,3,3,1,80,80,82,81,78,82,79,79,81,2,83,83,84,84,85,85,86,86,87,87,88,88,89,89,90,90,91,91,92,92,93,93,144,144,145,146,145,142,146,143,143,147,147</t>
  </si>
  <si>
    <t>,470,471,475,476,477,478,469,468,467,466,465,481,482,479,485,486,487,483,484,491,495,496,497,498,499,500,501,506,511,461,445,443,442,444,440,441,439,438,432,392,421,424,491,500,501,502,503,504,501,502,503,504,505,506,507,508,556,557,558,554,578,580,576,577,614,615,611,612</t>
  </si>
  <si>
    <t>,175,176,177</t>
  </si>
  <si>
    <t>24xWfVJsv9U=</t>
  </si>
  <si>
    <t>,1,2,3,144,145,146,143</t>
  </si>
  <si>
    <t>,1,2,3,1,2,3,491,492,493,489,490,488,493,488,493,494,495,496,491,487,485,486,4,5,6,7,8,9,651,649,650,648,647,646,645,643,639,636,634,631,628,626,624,621,619,620,617,618,615,616,472,473,474</t>
  </si>
  <si>
    <t>,145,146,147,148,149,150,151,152,153,154,155,156,157,158,159,160,161,163,164,165,166,167,162</t>
  </si>
  <si>
    <t>,241,1,242,243,239,240,256,257,171,172,173,2,170,168,169,167</t>
  </si>
  <si>
    <t>,1,2,3,128,129,130,126,127,131,142,143,144,141,139,140,144</t>
  </si>
  <si>
    <t>,1,2,3,170,171,172,168,169,173,174</t>
  </si>
  <si>
    <t>,1,2,3,4,5,6,7,8,9,10,11,19,20,21,17,18</t>
  </si>
  <si>
    <t>iKO5WokGwbQ=</t>
  </si>
  <si>
    <t>,87,88,89,90,91,92,93,94,95,96,97,98,99,100,116,117,114,118,115,83,85,87,88,89,90,91,92,93,94,95,101,102,103,104,105,106,107,108,109,110,111,112,113,114,115,116,117,118</t>
  </si>
  <si>
    <t>,1,2,3,80,82,78,81,79,83,84,85,86,87,88,89,90,91,116,117,115,113,114,112,110,98,92,86,85,83,84,82,81,78,79,77</t>
  </si>
  <si>
    <t>,1,27,28,29,26,25,30,31,32,2,285,286,287,283,284</t>
  </si>
  <si>
    <t>QUC+r2k8OXDePMzy/YlvWw==</t>
  </si>
  <si>
    <t>,82,83,84,85,86,87,88,89,90,91,92,93,95,96,97,98,99,100,101,96,95,94,93,92,91,97,4,5,6,3,7,271,272,273,269,270,274,281,282,283,347,273,274,275,271,272,276,335,336,337,333,334,338,339,340,341,342,343,344,338,337,336,341,342,343,344,345,346,347,348,343,342,341,340,339,338,337,336,341,336,341,342,343,344,345,340,339,338,343,337</t>
  </si>
  <si>
    <t>,327,328,329,330,331,332,333,327,328,329,330,331,332,333</t>
  </si>
  <si>
    <t>,1,2,3,201,202,203,200,199,204,205,206,207</t>
  </si>
  <si>
    <t>,1,2,3,169,170,171,167,168,172,173,174,175,176,178,179,180,177,181,174,21</t>
  </si>
  <si>
    <t>,1,49,50,51,47,48,52,53,54,2,55,56,57,58,59,60,61,62,63,64,65,66,67,68</t>
  </si>
  <si>
    <t>,1,2,3,4,5,6,72,73,74,70,71,75,76,77,78,79,80,80,81</t>
  </si>
  <si>
    <t>,2,1,3,178,179,180,177,176,181</t>
  </si>
  <si>
    <t>cglqRCNY5Cc=</t>
  </si>
  <si>
    <t>,1,3,2,310,311,312,308,309,313,389,390,391,387,388</t>
  </si>
  <si>
    <t>q4acQt4D7pU=</t>
  </si>
  <si>
    <t>,148,148,149,149,150,150,151,151,146,151,151,152,152,153,153,154,154</t>
  </si>
  <si>
    <t>,1,2,2,3,3,1,144,144,145,145,146,146,142,143,143,2,147,147,142,147,142,147</t>
  </si>
  <si>
    <t>,1,1,2,2,3,3,4,4,5,5,2,2</t>
  </si>
  <si>
    <t>,86,86,87,87,82,87,88,88,83,88,89,89,116,116,80,81,82,83,84,86,87,88,89,90,90,91,91,92,92,93,93,94,94,95,95,96,96,97,97,98,98,99,99,100,100,101,101,102,102,103,103,104,104,105,105,101,107,107,108,108,109,109,110,110,111,111,112,112,113,113,114,114,115,115,116,117</t>
  </si>
  <si>
    <t>,1,2,3,170,171,172,168,169,166,167,164,165</t>
  </si>
  <si>
    <t>,1,2,3,3,1,2,4,4,5,5,7,7,8,2,8,9,9,10,10,42,42,43,43,44,44,40,41,41,45,45,80,80,81,81,82,82,78,79,79,83,83,84,84</t>
  </si>
  <si>
    <t>,169,170,169,170,169,171,171,167,168,168,172,172,173,173,174,174,175,175,177,177,178,179,178,180,181,182,183,184,173,174,175,171,172,176,176,177,178,179,180,181,182,183,178,177,176,175,173,174,172,178,179,180,181,182,183,184,185,197,197,198,198,199,199,195,196,196,193,194,192,190,191,191,188,189,187,192,193,194,195,196,197,192,191,196,190,191,189,186,187,186,187,188,184,185,189,191,192,193,190,194,195,196,197,192,197,192,197,192,197,192,197,192,191,190,184,185,186,187,183,188,189,190,191,192,193,194,195,196,197,192,191,190,195,196,197,198,193,192,197,198</t>
  </si>
  <si>
    <t>,1,2,2,3,3,1,2,2,184,184,185,185,182,183,183,181,181,182,183,179,180,184</t>
  </si>
  <si>
    <t>KMYe2/Iln4+YDsn9vWVGpw==</t>
  </si>
  <si>
    <t>,1,2,3,4,5,6,7,8,9,10,11,12,13,14,15,16,17,18,19,20,21,22,23,24,25,26,12,13,14,10,11,15,16</t>
  </si>
  <si>
    <t>,287,288,289</t>
  </si>
  <si>
    <t>,285</t>
  </si>
  <si>
    <t>,1,28,29,25,26,30,2,31,32,285,286</t>
  </si>
  <si>
    <t>,246,247,248,250,251,1,251,252,253,249,250,248,2,255,256,257,254,14,15,16,12,13,42,43,44,40,41,39,38</t>
  </si>
  <si>
    <t>,1,2,3,14,15,16,12,17,13,18,19,21,26,27,28,29,30,31,32,33,34,35,36,37,38,39,40,41,42,43</t>
  </si>
  <si>
    <t>The Filth of Progress : Immigrants, Americans, and the Building of Canals and Railroads in the West</t>
  </si>
  <si>
    <t>,166,142,124,116,107,99,91,84,77,75,76,73,74,72,70,71</t>
  </si>
  <si>
    <t>HD8039 .C2582 U62 2016</t>
  </si>
  <si>
    <t>331.6; 331.620978</t>
  </si>
  <si>
    <t>,1,2,3,4,5,6,7,8,10,11,12,172,173,174,170,171,175</t>
  </si>
  <si>
    <t>74Fdi/e1+qb28RJzJSiQ+w==</t>
  </si>
  <si>
    <t>Black Slaves, Indian Masters : Slavery, Emancipation, and Citizenship in the Native American South</t>
  </si>
  <si>
    <t>,1,2,3,63,64,65,61,62,66,67,68,69,70,71,94,95,96,92,93,97,98,100,101,102,103,104,105,106,107,109,110,111,112,113,114,108,115,116,117,118,119,120</t>
  </si>
  <si>
    <t>E98.R28 -- K73 2013eb</t>
  </si>
  <si>
    <t>,498,499,500,501,502,503,504,505,506,507,508</t>
  </si>
  <si>
    <t>,1,2,3,4,5,6,7,8,9,10,63,64,65,61,62,66,34,35,36,32,33,94,95,96,92,93,97</t>
  </si>
  <si>
    <t>,2,1,3,493,494,495,491,492,496,497</t>
  </si>
  <si>
    <t>/B+Iluy3HOc=</t>
  </si>
  <si>
    <t>Linking Leadership to Student Learning</t>
  </si>
  <si>
    <t>,1,2,3,266,267,268,264,265</t>
  </si>
  <si>
    <t>LB2806 -- .L3854 2012eb</t>
  </si>
  <si>
    <t>,128,129,130,131,132,133,134,135,136,137,138,139,140,141</t>
  </si>
  <si>
    <t>,1,2,3,8,9,10,6,7,11,12,108,110,106,107,109,111,112,113,114,115,116,117,118,119,120,121,122,123,124,125,126,127</t>
  </si>
  <si>
    <t>,1,2,3,259,260,261,257,258,262,263,266,267,268,264,265,269,283</t>
  </si>
  <si>
    <t>,168,169,156,157,158,159</t>
  </si>
  <si>
    <t>,1,2,3,4,5,6,153,154,155,151,152,162,163,164,161,160,165,166,167</t>
  </si>
  <si>
    <t>,1,2,3,4,5,6,7,74,75,76,72,73,77,78,79,80,81,82,83,84,85,86,87,88</t>
  </si>
  <si>
    <t>,1,2,3,57,58,59,55,56,60,54,53,51,52,50,49,48</t>
  </si>
  <si>
    <t>,15,16,13,14</t>
  </si>
  <si>
    <t>,390,391,392,393,394,395,396</t>
  </si>
  <si>
    <t>,1,2,3,21,22,23,19,20,24,25,26,27,28,29,30,31,32,33,34,35,18,17</t>
  </si>
  <si>
    <t>,385,386,387,384,383,388,389,390,391,392,393,394,395,396,397,398,399,400,401</t>
  </si>
  <si>
    <t>,1,3,2,4,84,85,86,82,83,84,85,86,82,83,2,87,88,89,90,91,92,93,94,95,96,97,98,99,100,101,102,103,104,105,106,119,120,121,117,118,122,123,124,125,126,127,128,129,130,131,132,133,134,135,136,137,138,139,140,141,142,143,144,167,168,169,165,166,196,197,198,194,195,170,171,172,173,174,175,176,177,178,179,180,181</t>
  </si>
  <si>
    <t>1k2I0qtiPsQbHNhzpeeTTA==</t>
  </si>
  <si>
    <t>,7,8,9,10</t>
  </si>
  <si>
    <t>,1,2,3,4,1,3,2,4,5,1,3,2,387,389,388,385,386,384,382,383,387</t>
  </si>
  <si>
    <t>,1,2,3,52,53,54,50,55,51,56,57</t>
  </si>
  <si>
    <t>,1,2,3,4,5,1,5,6,7,1,2,3</t>
  </si>
  <si>
    <t>,1,2,3,4,8,11,13,6,7,5</t>
  </si>
  <si>
    <t>,1,2,3,4,5,6,4,7,8,9,10,11,12,13,14,15,16,17,18,177,178,179,175,176,1,176,177,178,175,174,2</t>
  </si>
  <si>
    <t>,12,13,14,18,19,20,16,17,8,9,10,170,171,172,168,169,21,63,34,35,36,32,33,22,24,26,27,28,37,38,39,40,65,61,62,41,42,43,44,46,47,49,50,51,52,53,55,56,58,59,60,61,62,65,66,67,94,92,93,118,119,120,116,117,95,96,97</t>
  </si>
  <si>
    <t>,1,2,3,62,63,64,60,61,65,59,58,57,56,66,69,70,71,67,72,68</t>
  </si>
  <si>
    <t>,1,2,3,22,23,20,19,21,58,67</t>
  </si>
  <si>
    <t>,165,166,167,168,169,170,171</t>
  </si>
  <si>
    <t>,1,2,3,154,155,156,152,153,157,158,159,160,161,162,163,164</t>
  </si>
  <si>
    <t>,1,270,271,272,268,269,2,273,274,275,276,277,278,279,280,281,282,283,284,285,286,287,288,283,1,2,3,270,271,272,268,269</t>
  </si>
  <si>
    <t>,1,2,3,4,5,6,7,8,9,10,44,133,170,212,213,214,215,216,211,129,80,79,76,75,73,74,71,72,70,69,68,66,67,64,65,63,62</t>
  </si>
  <si>
    <t>hBGotSUQEbYM2o2R0AN9iA==</t>
  </si>
  <si>
    <t>,1,2,3,438,439,440,436,437,441,442,443,444,445,446,447</t>
  </si>
  <si>
    <t>,165,166,167,168,169,170,171,172,173,174,175,176,177,178,179,180,181,182,183,184,185,186,188,187,72,33,4</t>
  </si>
  <si>
    <t>,1,2,3,4,5,6,7,8,9,10,11,12,13,14,15,16,17,18,19,71,133,134,135,131,132,155,164,162,129,67,163,160,161</t>
  </si>
  <si>
    <t>,1,2,3,429,430,431,427,428,445,446,447,443,444,429,430,431,427,428,429,430,431,427,428,445,446,447,443,444</t>
  </si>
  <si>
    <t>,429,430,431,432,433,434,435,436,437,438,439,440,441,442,443,444</t>
  </si>
  <si>
    <t>Y+mSKneF/HL06HOZMBAkxA==</t>
  </si>
  <si>
    <t>,1,2,3,2,3,2,2,4,4,4,1</t>
  </si>
  <si>
    <t>A0Za3tNMYffvhzTOEfoEhA==</t>
  </si>
  <si>
    <t>Theories of International Relations : Contending Approaches to World Politics</t>
  </si>
  <si>
    <t>,4,5,6,33,34,35,31,32,36,37,37,1,38,39,35,36,33,34,31,32,2</t>
  </si>
  <si>
    <t>JZ1242 .L384 2015</t>
  </si>
  <si>
    <t>,1,9,10,11,7,8,2</t>
  </si>
  <si>
    <t>,1,2,3,1166,1161,1162,1163,1159,1160,48,49,50,46,47,41,42,43,39,40,38</t>
  </si>
  <si>
    <t>,51,163,164,165,161,162,163,164,165,161,162,166,167</t>
  </si>
  <si>
    <t>Microfinance Mirage : The Politics of Poverty, Social Capital and Women's Empowerment in Ethiopia</t>
  </si>
  <si>
    <t>HG178.33.E8 G45 2015</t>
  </si>
  <si>
    <t>,1,2,3,4,122,123,124,120,121,125,126,127,128,129,130,131,132,48,49,50,46,47</t>
  </si>
  <si>
    <t>,7,8,9,5,6,19,14,10,11,12,383,384,385,381,382,364,365,366,362,363,367,368,369,394,395,396,392,393,391,390,389,388,387,386,385,384,383,395,396,397,398,399,400,401,392,391,390,389,388,386</t>
  </si>
  <si>
    <t>ygrI1Bm4VfM=</t>
  </si>
  <si>
    <t>Calculus : 1,001 Practice Problems For Dummies (+ Free Online Practice)</t>
  </si>
  <si>
    <t>,7,7,7,7,6,7,4,6,7,8,4,5,9,10,11</t>
  </si>
  <si>
    <t>QA303.2 -- .P387 2014eb</t>
  </si>
  <si>
    <t>,7,8,9,7,7</t>
  </si>
  <si>
    <t>,1,2,7</t>
  </si>
  <si>
    <t>Western Art and the Wider World</t>
  </si>
  <si>
    <t>,178,180,180,181,181,182,182</t>
  </si>
  <si>
    <t>N5300 -- .W663 2014eb</t>
  </si>
  <si>
    <t>,251,252,253,254,255,256,257,258,259,261,262,260,263,264,265,266,267,268,269,270,271,272,273,274,275,276,277,278,279</t>
  </si>
  <si>
    <t>,390,390,391,391,392,392,393,393,394,394,395,395,396,396,397,397,398,398,399,399,400,400,395,400,395,394,386,387,388,385,384,389,390,385,390,391,392,393,394,395,396,397,398,399,394,393,392,397,398,393,398,399</t>
  </si>
  <si>
    <t>,1,2,3,243,244,245,242,246,247,248,249,250,242</t>
  </si>
  <si>
    <t>,1,2,3,243,244,245,242,241,246,247,248,249</t>
  </si>
  <si>
    <t>,1,2,2,3,1,3,177,178,178,177,175,2,179,176,176,179,177</t>
  </si>
  <si>
    <t>Weight Training For Dummies</t>
  </si>
  <si>
    <t>Economics; Business/Management; Sport &amp; Recreation</t>
  </si>
  <si>
    <t>,1,2,3,4,5,6,7,2,1</t>
  </si>
  <si>
    <t>GV546 -- .C43 2015eb</t>
  </si>
  <si>
    <t>,1,1,3,2,2,3,2,2,385,386,386,387,385,387,384,384,383,388,388,389,389</t>
  </si>
  <si>
    <t>,1,2,3,336,335,337,334,333,43,44,45,42,41,46,47,48,49,50,51,52,53,54,168,264,320,321,322,335,331,328,316,312,313,315,314,311,310,309,308,307,306,305,304,303,302,300,301,299,298,297,296,295,294,293,292</t>
  </si>
  <si>
    <t>Sr/G/CRTcaLRpmHvelwUNA==</t>
  </si>
  <si>
    <t>,1,190,191,188,192,189,193,194,2,212,213,214,211,210,215</t>
  </si>
  <si>
    <t>FO1ikNpfRw40VkePJRzs/A==</t>
  </si>
  <si>
    <t>Tory World : Deep History and the Tory Theme in British Foreign Policy, 1679-2014</t>
  </si>
  <si>
    <t>,1,2,3,6,7,8,4,5,9</t>
  </si>
  <si>
    <t>DA45 -- .T679 2015eb</t>
  </si>
  <si>
    <t>xwcLOsTLWgrs9AJLhEs19Q==</t>
  </si>
  <si>
    <t>Design for Policy</t>
  </si>
  <si>
    <t>,49,49,48,49,46,44,45,49,44,48,44</t>
  </si>
  <si>
    <t>H97 -- .D47 2014eb</t>
  </si>
  <si>
    <t>,1,2,2,3,3,1,2,2,12,13,13,12,14,10,14,11,11,15,15,16,16,28,29,28,29,30,30,26,27,27,40,40,41,41,42,38,39,42,39,44,44,43,43,45,45,40,45,46,46,47,47,48,48</t>
  </si>
  <si>
    <t>World Heritage, Urban Design and Tourism : Three Cities in the Middle East</t>
  </si>
  <si>
    <t>,1,2,3,23,24,25,26,22,21,29,33,16,11,12,31,27,28,30,36,37,34,35,32,33</t>
  </si>
  <si>
    <t>DS56 -- .K445 2014eb</t>
  </si>
  <si>
    <t>363.6/90956</t>
  </si>
  <si>
    <t>Transformational Tourism : Tourist Perspectives</t>
  </si>
  <si>
    <t>Economics; Business/Management; Tourism/Hospitality</t>
  </si>
  <si>
    <t>,1,2,3,27,31,39,41,131,132,129,130,141,142,143,139,139,140,144,145,147,148,149,146</t>
  </si>
  <si>
    <t>G155.A1 -- T73 2013eb</t>
  </si>
  <si>
    <t>338.4/791</t>
  </si>
  <si>
    <t>Teach Yourself VISUALLY WordPress</t>
  </si>
  <si>
    <t>,2,1</t>
  </si>
  <si>
    <t>TK5105.888</t>
  </si>
  <si>
    <t>suF82OAhggLqzvfopqKCXg==</t>
  </si>
  <si>
    <t>African &amp; American : West Africans in Post-Civil Rights America</t>
  </si>
  <si>
    <t>,1,2,3,4,5,6,7,8,9,104</t>
  </si>
  <si>
    <t>E184.A24 -- .H35 2014eb</t>
  </si>
  <si>
    <t>305.896/6073</t>
  </si>
  <si>
    <t>,144,145,146,147,148,140,138,139,137,136,134,133,132,131,129,130,128,127,126,125,124,123,121,122</t>
  </si>
  <si>
    <t>,1,2,3,4,5,6,7,8,9,119,120,121,117,118,137,134,135,136,132,133,137,144,145,146,142,143,139,140,141,138</t>
  </si>
  <si>
    <t>,179,169,168,167,166</t>
  </si>
  <si>
    <t>DUdu83Ti4R0=</t>
  </si>
  <si>
    <t>,1,2,3,204,205,206,202,203,207</t>
  </si>
  <si>
    <t>,1,2,3,4,288,290,289,287,286,291,292,293,308,309,310,306,307,311,312,175,176,177,173,174,178,172,171,170,175</t>
  </si>
  <si>
    <t>,19,20,21,22,23,24,25,26,27,22,28,29,30,31,32,33,34,35,1,2,3,32,33,34,30,31,21,22,23,19,20,24,25,26,27,28,29</t>
  </si>
  <si>
    <t>,1,2,3,15,16,17,13,14,18</t>
  </si>
  <si>
    <t>bjXpgPtXcbo=</t>
  </si>
  <si>
    <t>,16,17,18,14,15,198,199,200,196,197,201,202</t>
  </si>
  <si>
    <t>eCaCwAneagErvPnw+N/HVA==</t>
  </si>
  <si>
    <t>Economic Regulation and Its Reform : What Have We Learned?</t>
  </si>
  <si>
    <t>,1,2,3,8,9,10,6,7,14,15,16,12,13,11,496,497,498,494,495,499,500,501</t>
  </si>
  <si>
    <t>HD3616</t>
  </si>
  <si>
    <t>,1,2,3,142,143,144,140,119,120,121,117,118,122,123,124,125,126,127,128,129,130,131,132,133,134,135,136,137,138,141,145,146,147,232,233,234,230,231,167,168,169,165,166,170,171,172,26,27,28,24,25,29,30,31,32,34,33,35,36,37,38,39,40,42,41,43,44,45,46,47,48,49,50,51,52,53,54,55,56,57,58,59,60,61,62,63,64,65,66,67,68,69,70,71,72,73,74,75,84,85,83,82,86,87,88,89,90,91,92,93,94,95,96,97,98,99,101,100,102,103,104,105,106,118,117,120,116,121,115,114,113,112,111,53,54,55,51,52,56,59,60,61,62,63,64,65,66,67,68,69,70,71,72,143,144,140,141,169,165,166,167,168,170</t>
  </si>
  <si>
    <t>Basic English Grammar For Dummies</t>
  </si>
  <si>
    <t>PE1460</t>
  </si>
  <si>
    <t>,111,112,113,114,115,116,117,118,119,120,121,122,123,124,125,126,127,128,129,130,131,132,133,134,135,136,137,138,139,140,141,142,143,144</t>
  </si>
  <si>
    <t>,3,4,1,5,2,62,63,64,60,61,65,66,67,68,69,70,71,72,73,74,75,76,77,78,79,80,81</t>
  </si>
  <si>
    <t>,1,2,3,106,107,108,104,105,109,110</t>
  </si>
  <si>
    <t>Listening to Killers : Lessons Learned from My Twenty Years as a Psychological Expert Witness in Murder Cases</t>
  </si>
  <si>
    <t>,1,2,3,6,7,8,9,2,3,4,5,6,7,8,2,9,10,11,12,13,14,15,16</t>
  </si>
  <si>
    <t>HV6529 -- .G373 2015eb</t>
  </si>
  <si>
    <t>,1,2,2,3,3,1,2,2,243,243,244,245,244,245,241,242,242,246,246,247,247,248,248,249,250,249,251,251,250,252,252,253,254,253,254,255,255,250</t>
  </si>
  <si>
    <t>A Taste of Power : Food and American Identities</t>
  </si>
  <si>
    <t>GT2853.U5 .V384 2015</t>
  </si>
  <si>
    <t>,1,73,74,75,71,72,76,2,77,78,198,199,200,196,197</t>
  </si>
  <si>
    <t>Environmental Psychology : An Introduction</t>
  </si>
  <si>
    <t>,1,2,3,89,90,91,87,88</t>
  </si>
  <si>
    <t>,89,56,57,58,59,60,61,62,63,64,65,56,57,58,59,60,61,62,63,64,65,89,89,90,91,92,93,94,95,96,97,98</t>
  </si>
  <si>
    <t>BF353.5.N37 -- E585 2013eb</t>
  </si>
  <si>
    <t>mZi7ifs5oXbGQt4rmN/8bA==</t>
  </si>
  <si>
    <t>,1,2,3,12,13,26,27,28,116,117,118,114,143,144,145,141,142</t>
  </si>
  <si>
    <t>WYqur+Y0pz4jKHU0YX20hA==</t>
  </si>
  <si>
    <t>ABC of Sports and Exercise Medicine</t>
  </si>
  <si>
    <t>RC1210 .W384 2015</t>
  </si>
  <si>
    <t>,1,89,90,91</t>
  </si>
  <si>
    <t>UTwUtror3M3Wb20Xy/KI0Q==</t>
  </si>
  <si>
    <t>,38,89,89,89,89,89,89,89</t>
  </si>
  <si>
    <t>,89</t>
  </si>
  <si>
    <t>,1,2,3,56,57,58,54,55,59,60,36,37,38,34,39,40</t>
  </si>
  <si>
    <t>,1,2,3,4,6,5,7,8,9,10,12</t>
  </si>
  <si>
    <t>xkKJsojjHzqQNuxiDztkIQ==</t>
  </si>
  <si>
    <t>,159,159</t>
  </si>
  <si>
    <t>,2,1,3,50,51,47,48,48,1,49,50,46,47,2,51,52,53</t>
  </si>
  <si>
    <t>,1,159,160,159,161,157,161,158,158,1,160,162,162,163,163,164,164,165,2,165,2,160,158,159,156,157,155,154,159,160,161,162,163,157,156,6,7,6,8,7,8,4,5,10,11,9,10,12,9,5,12,11,6,7,3,4,8,9,10,11,12,42,44,40,43,42,41,43,41,44,158,159,160,157,156,161</t>
  </si>
  <si>
    <t>,1,11,13,9,10,11,13,10,12</t>
  </si>
  <si>
    <t>,1,113,115,111,114,112,2,116,117,106,118,119,120</t>
  </si>
  <si>
    <t>2KP1ET+tFHA8ts7X1NBenw==</t>
  </si>
  <si>
    <t>,1,2,3,106,108,107,105,104,109,110,111,112,113,1,113,114,115,112,111,54,55,56,52,53,57,2,104,105,106,102,107,108,103,109,110,111,112,113,114,115,116,416,417,418,420,419,421,422,423,257,258,259,256,255,283,284,285,281,282,279,280,290,291,292,288,289,293,373,374,375,372,371,376,371,377,378,379,380,381,394,396,395,392,393,397,398,399,400,416,415</t>
  </si>
  <si>
    <t>jsqkv9sxzls=</t>
  </si>
  <si>
    <t>,1,15,16,12,13,2</t>
  </si>
  <si>
    <t>,1,2,3,120,121,122,118,119</t>
  </si>
  <si>
    <t>,1,2,3,54,55,56,52,53,2,57,58,59</t>
  </si>
  <si>
    <t>vDJALRm6SZk=</t>
  </si>
  <si>
    <t>Great Myths of Aging</t>
  </si>
  <si>
    <t>Health; Science; Social Science; Science: Anatomy/Physiology</t>
  </si>
  <si>
    <t>,37,38,27,28,29,25,26,60,62,61,58,59,63,64,65,66,145,146,147,143,144,23,24,25,21,22,26,27,28,29,30,31,32,33,34,35,36,37,38,39,40,41,42,52,53,54,50,51,55,56,39,40,41,37,38,42,43,44,45,37,113,114,115,111,112,116,117,118,119,120,121,122,142,143,144,140,141,145,146,125,126,127,123,124,128,129,104,106,105,101,102,103,100,70,71,72,68,69,51,52,53,49,50,54,55</t>
  </si>
  <si>
    <t>RA777.6 -- .E734 2015eb</t>
  </si>
  <si>
    <t>,1,2,3,34,36,35,33,32</t>
  </si>
  <si>
    <t>AD4N/daacFZwH8Kdxt9k4w==</t>
  </si>
  <si>
    <t>,1,3,520,518,522,519,521,517,522,523,524</t>
  </si>
  <si>
    <t>,257,258,259,260,261,262,263,264,265,266,267,268,269,270,271,272,273,274,275,276,277,278,279,280,281,282,283,284,285,286,287,288,289,290,291,292,293,294,295,296,297,298,299,300</t>
  </si>
  <si>
    <t>Ma12MinR1wgYAii0yQPhYA==</t>
  </si>
  <si>
    <t>Making England Western : Occidentalism, Race, and Imperial Culture</t>
  </si>
  <si>
    <t>,180,178,175,178,179,180,176,177,181,182,183,184,185,186,187,188,189,191,192,193,190</t>
  </si>
  <si>
    <t>JV1035</t>
  </si>
  <si>
    <t>303.48/241</t>
  </si>
  <si>
    <t>,1,1,2,2,3,3,44,44,46,42,45,43,43,45,46,47,47,48,48,2,518,519,520,518,516,520,517,519,517,521,521,521,522,522,523,523,524,524,519,268,269,270,269,266,268,267,267,270,265,270,279,300,279,300,326,326,337,337,338,339,338,339,336,336,335,334,332,332,330,334,330,329,329,331,331,327,328,328,332,326,322,310,308,310,308,322,307,309,307,309,305,306,306,310,311,311,312,312,313,313,315,315,314,314,316,316,317,317,318,319,319,318,320,320,321,321,518,519,520,523,524,525,525,526,522,520,521,526,519,256,257,256,257,255,254,258,255,258,259,265,266,259,267,268,264,279,280,281,280,281,282,282,278,283,283,284,284,285,285,286,286,281,286,287,287,288,288,257,258,259,255,256,257</t>
  </si>
  <si>
    <t>,1,3,2,4,5,6,7,8,9,10,15,30,38,43,49,50,51,52,48,150,198,206,199,188,189,184,176,177,178,174,175,179</t>
  </si>
  <si>
    <t>,1,2,3,8,9,10,6,7,5,3,4,520,521,522,518,519</t>
  </si>
  <si>
    <t>2nJ+vvu5Y0YgbVjRp4X6uQ==</t>
  </si>
  <si>
    <t>,1,2,3,280,281,278</t>
  </si>
  <si>
    <t>SEMWPkrA9KmPxHr+qkG2TA==</t>
  </si>
  <si>
    <t>,300,301,302,298,299,303,304,307,325,326,328,331,332,333,334,336,1,2,3,42,43,44,40,41,38,268,269,270,266,267,271,272</t>
  </si>
  <si>
    <t>,42</t>
  </si>
  <si>
    <t>,2,3,20,21,22,23,24,25,26,27,28,29,30,31,32,33,34,35,36,37,38,39,42,43,44,45,46,47,48,49,50,51,52,53,54,55,56,57,58,59,60,61,62,63,64,65,66,67,68,69,70,71,72,73,74,75,76,77,78,79,80,81,82,83,84,85,86,87,88,89,42,43,44,45,46,47,48,49,50,51,52,53,54,55,56,57,58,59,60,61,62,63,64,65,66,67,68,69,70,71,72,73,74,75,76,77,78,79,80,81,82,83,84,85,86,87,88,89,268,269,270,271,272,273,274,275,276,277,278,279,280,281,282,283</t>
  </si>
  <si>
    <t>,1,12,13,14,10,11,15,16,2,17,18,19,20,21,22,23,24</t>
  </si>
  <si>
    <t>B1vnXN7/woR/NrNZpB+MdQ==</t>
  </si>
  <si>
    <t>,1,2,3,4,5,6,7,8,9,10,11,12,13,14,15,16,17,18,19,20,21,22,23,24,25,26,27,28,29,30,31,32,33,34,35,36,37,38,39,40,41,42,43,44,45,46,47,48,49,50,51,52,53,54,55,56,57,58,59,60,61,62,63</t>
  </si>
  <si>
    <t>,1,2,3,1,2,3,671,672,673,669,670,674,675,676,677,678,679,680,681,682,683,684,685</t>
  </si>
  <si>
    <t>,1,2,3,41,42,43,39,40,107,108,109,105,106,110,104,103,131,132,133,129,130,134,135,136,137,138,139,140,141,142,143,144,155,156,157,153,154,145,146,147,148,149,150,151,158,159,160,161,162,163,163,164,164,165,165,166,166</t>
  </si>
  <si>
    <t>,109,136,137,139,142,145,146,147,148,149,150,151,152,153,154,155,156,157,55,56,52,53,138,140,141,143,144,158,159,160,161,162,163,164,165,166</t>
  </si>
  <si>
    <t>,1,2,3,97,98,99,95,96,100,101,110,111,108,107,94,102,103,104,105,106,112,113,114,115,116,117,118,119,120,121,122,123,124,125,126,127,128,129,130,131,132,133,134,135</t>
  </si>
  <si>
    <t>uXjw6DRzJkB7itcNp2eVUg==</t>
  </si>
  <si>
    <t>,1,2,3,27,28,29,25,26,30,31,32,33,34,35,36,37,38,39,40,41,42,43,44,45,46,47,48,49,50,51,52,53,54,55,56,57</t>
  </si>
  <si>
    <t>,1,104,105,106,102,103,107,59,2,60,61,62,63,64,65,89,90,91,87,88,92,93,94,95,120,116,117,108,115,114,113,112,119,1,120,121,117,118,116,2,122,123,124,125,128,129,1,129,130,131,128,126,127,2,132,133,134,135,124,123,125,121,122,120,119,118,117,116,114,115</t>
  </si>
  <si>
    <t>,1,2,3,61,62,59,87,103</t>
  </si>
  <si>
    <t>,1,2,3,704,705,706,702,703,707,708,709,710,711,712,710,704,705,706,707,708,709,711,712,713,714,715,716,717,718,719,720</t>
  </si>
  <si>
    <t>,416,417,418,420,421,422,419,423,424,425,426,427,428,429,430,431,432,433,434,435,257,258,259,255,256,126,294,295,296,292,293,297,290,291,254</t>
  </si>
  <si>
    <t>,1,2,3,50,51,52,48,49,53,54,55,56,57,58,59,60,61,62,104,105,106,102,103,107,108,109,110,111,112,113,114,115,116,117,118,119,120,121,122,123,124,125,127,128,129,130,131,132,133,134,135,136,137,138,139,140,141</t>
  </si>
  <si>
    <t>,1,2,3,4,5,69,186,185,187,184,182,181,180,178,176,175,177,122,123,124,125,121,147,139,135,136,137,138,134,164,173,172,174,170,171,169,168,167,165,163,161,162,157,158,159,155,156,160</t>
  </si>
  <si>
    <t>50kkXvQTc5b12aQ0P7fOng==</t>
  </si>
  <si>
    <t>Space Architecture : The New Frontier for Design Research</t>
  </si>
  <si>
    <t>Engineering; Architecture; Engineering: Mechanical</t>
  </si>
  <si>
    <t>NA1 A665; TL797</t>
  </si>
  <si>
    <t>,1,2,3,23,24,20,50,46,48,4,5,6,7,65,66</t>
  </si>
  <si>
    <t>,26,27,28,29,30,31,32,33,34,35,36,37,38</t>
  </si>
  <si>
    <t>,1,2,3,1,5,5,6,7,4,8,9,10,11,12,13,14,15,16,17,18,19,20,21,22,23,24,25</t>
  </si>
  <si>
    <t>,11,103,15,16,17,18,19,20,21,22,23,24,25,26,27,28,29,30,31,32,33,34,35,36,37,38,39,40,41,42,43,44,45,46,47,48,49,50,51,53,52,54,55,56,57,58,59,60,61,62,63,64,65,66,67,68,69,70,71,72,73,74,75,76,77,78,79,80,81,82,83,84,85,86,87,88,89,90,91,92,93,94,95,96,97,98,99,100,101,102,104,105,106,107,108,109,110,111,112,113,114,115,116,117,118,119,120,121,122,123,124,125,126,127,128,129,130,131,132,133,134,135,136,137,138,140,141,142,143,144,145,146,147,148,149,150,151,152,153,154,155,156,157,158,159,161,162,163,164,165,166,167,168,169,170,171,172,173,174,175,176,177,178,179,180,181,182,183,184,185,186,187,188,189,190,191,192,194,195,196,197,198,199,200,201,202,203,204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5,306,307,308,309,310,311,312,313,314,315,316,317,318,320,321,322,323,324,325,326,327,330,331,332,333,334,335,336,337,338,339,340,341,342,343,345,344,346,347,348,349,350,351,352,353,354,355,356,357,358,359,360,361,362,363,364,365,366,367,368,369,370,371,372,373,374,375,376,377,378,380,381,382,383,384,385,386,387,389,390,391,392,394,393,395,396,397,398,399,7,8,9,5,6,10,11,12,13,14,15,16,17,18,1,3</t>
  </si>
  <si>
    <t>,1,2,3,6,14,4,5,7,12,13,8,9,10</t>
  </si>
  <si>
    <t>,259,261,262,262,1,264,263,260,261,259,258,257,2,265</t>
  </si>
  <si>
    <t>auJzBIaelgZ7W6t6RUggyg==</t>
  </si>
  <si>
    <t>Managing Religious Diversity in the Workplace : Examples from Around the World</t>
  </si>
  <si>
    <t>UB417 .M35 2015</t>
  </si>
  <si>
    <t>331.5''8</t>
  </si>
  <si>
    <t>,418,429,430,431,427,428,426,425,424,423,421,420,419</t>
  </si>
  <si>
    <t>,1,2,3,4,21,22,23,19,24,20,25,26,27,28,108,109,110,106,107,105,104,103,405,402,401,401,1,402,403,400,399,60,61,62,58,59,2,63,64,115,116,117,113,114,110,111,112,108,109,92,93,94,90,91,256,257,258,254,255,253,252,251,249,250,248,247,246,245,244,243</t>
  </si>
  <si>
    <t>,1,2,3,414,415,413,416,411,412,422,417,410</t>
  </si>
  <si>
    <t>unghlKKq1Jwr9HrYD/cXqA==</t>
  </si>
  <si>
    <t>,1,2,3,500,501,502,498,499,503,504,502</t>
  </si>
  <si>
    <t>,502</t>
  </si>
  <si>
    <t>ZP99Hc3rxVE3wutmLjUSCw==</t>
  </si>
  <si>
    <t>Wiley Series 55 Exam Review 2014 + Test Bank : The Equity Trader Qualification Examination</t>
  </si>
  <si>
    <t>,1,2,3,1,26,27</t>
  </si>
  <si>
    <t>HG4529 -- .S438 2014eb</t>
  </si>
  <si>
    <t>,1,2,3,4,5,25,26,27,23,28,29,30,716,717,718,715,714,1525,1525</t>
  </si>
  <si>
    <t>,1,2,3,2,3,2,2,1,1,1,132,133,132,2,2,133,130,131,131,134,134,130,160,160,161,161,158,158,321,321,318,319,322,319,322,144,144,1,142,143,141,142,1,141,143,139,140,140,2,2,145,145,146,146,369,369,1,367,368,367,369,368,1,369,365,366,366,2,2,144,145,142,141,144,142,145,146,146,1,146,147,146,147,148,148,144,1,145,145,2,2,244,243,244,240,243,241,241,68,69,65,66,153,154,151,155,150,1,67,1,69,68,69,67,65,66,68,66,2,153,154,150,151,151,1,152,151,153,152,150,149,1,150,153,2,3,154,155,146,147</t>
  </si>
  <si>
    <t>,1,2,3,4,53,54,85,84,86,82,83,84,85,86,82,83,87,88,89,90,91,92,93,1,2,3,1,3,4,18,19,20,16,17,2,2,1,4,3,18,19,20,16,17,21,22,23,24,25,26,27,28</t>
  </si>
  <si>
    <t>,192,193,194,195,196,197,198,199,200,201,202,203,204,301,302,303,299,300,304,227,228,229,225,226,230,223,224,228,229,177,178,179,175,176,66,67,68,64,65,77,78,79,75,76,48,49,50,46,47,51,46,41,42,43,39,40,38,25,26,27,23,24,28,116,117,118,114,115,112,113,119,120,121,122,123,124,125,126,127,128,129,130,125</t>
  </si>
  <si>
    <t>,39,43,44,45,46,97,98,119,120,121,122,123,124,125</t>
  </si>
  <si>
    <t>,1,2,3,4,5,6,7,8,9,10,11,2,12,13,14,15,21,22,23,19,20,24,25,26,27,31,32,33,29,30,28,34,35,36,37,38,39,40,41,42,43,44,45,46,47,48,49,50,51,52,53,54,65,66,67,63,64,119,120,121,117,118,122,123,124,125,126,127,128,129,130,131,132,133,134,135,136,137,138,128,127,126,125,124,123,122,121,120,119,118,117,116,115,114,113,112,111,119,120,121,117,118,122,123,124,125,126,127,128,129,187,188,189,185,186,190,191</t>
  </si>
  <si>
    <t>,1,2,2,3,1,3,2,2,107,108,107,104,105,108,105,109,109,104,103,108,109,104,39,40,39,41,38,37,40,41,38,108,109,107,105,106,106,104,103,108,109,110,110,111,111,112,112,113,113,114,114,115,115,104,105,106,103,102,107,108,109</t>
  </si>
  <si>
    <t>,110,110,105,109,110,105,102,103,1,103,104,105,101,105,102,104,102,103,1,2,2,107,107,135,135,113,110,113,110,111,112,113,108,112,109,111,126,184,126,201,184,201,202,203,200,199,203,202,200,170,170,171,172,171,168,172,169,169,146,146,147,148,147,144,148,129,129,126,120,109,106,106,107,108,104,105,103,101,106,107,108,109,113,114,111,114,116,115,112,115,116,117,118,117,118,119,123,119,123,124,125,124,122,121,125,122,126,127,128,129,127,128,130,130,105,106,103,102,1,102,103,104,100,103,101,102,101,104,2,2,2,2,3,1,3,4,4,1,2,2,105,106,105,106,102,103,103,103,1,103,104,105,101,104,1,105,102,102,101,106,106,107,107,108,108,122,123,122,123,119,120,120,120,121,1,121,118,122,119,120,119,122,1,2,2,124,120,124,129,130,129,126,130,127,127,142,142,143,139,143,140,140,1,140,141,142,141,1,142,138,140,139,139,2,2,138,143,143,144,144,112,113,113,109,112,110,110,142,143,139,140,1,1,350,350,351,352,351,352,2,2,112,113,112,113,110,109,110,142,143,142,143,1,140,141,142,141,1,142,139,140,138,139,112,113,112,113,109,141,142,143,139,143,140,140,1,141,140,142,142,138,141,139,139,1,133,134,133,134,130,131,131,2,2,2,2,3,1,3,4,4,1,133,134,133,134,130,131,2,131</t>
  </si>
  <si>
    <t>,1,2,2,3,1,3,1,2,2,107,108,107,108,104,105,105,106,106,108,104,105,112,119,112,119,104,96,96,92,92,107,108,104,105,105,1,105,107,103,107,104,1,104,106,106,2,2,109,109</t>
  </si>
  <si>
    <t>,1,2,3,9,10,11,7,8,6,4,5,17,18,19,15,16,13,14,20,21</t>
  </si>
  <si>
    <t>,589,590,591,587,588,592,593,594,595,592,596,597,648,649,650,646,647,651,772,773,774,770,828,829,830,831,832,852,853,854,856,857,858,899,900,901,897,898,902,903,904,905,906,912,909,910</t>
  </si>
  <si>
    <t>,564,565,564,565,589,590,589,590</t>
  </si>
  <si>
    <t>,556</t>
  </si>
  <si>
    <t>,1,2,3,4,5,6,7,8,124,125,126,122,123,121,127,312,313,314,310,311,315,347,348,349,345,346,350,424,425,426,422,427,428,423,389,390,391,387,388,267,270,271,272,268,269,273,274,275,276,277,278,279,280,281,282,283,284,285,559,560,561,557,558,562,563,564,556,557,558,554,555,565,566,567,568,569,570,554,555</t>
  </si>
  <si>
    <t>,240,243,244,245,241,242,246,247,248,249,250,251,252,253,1,2,253,254,255,252,251</t>
  </si>
  <si>
    <t>,109,109,110,110,111,111,112,112,113,113,114,114,115,115,116,116,99,100,101,97,98,114,115,116,112,113,144,145,144,145,143,146,142,143,146,159,160,159,161,160,157,161,158,158,162,162,163,163,164,165,164,165,160,159,127,128,127,128,129,126,129,126,125,114,115,116,112,113,117,117,118,118,119,119,120,120</t>
  </si>
  <si>
    <t>,1,2,2,3,1,3,2,23,2,24,24,23,22,25,22,25,21,44,45,44,46,46,42,45,43,43,99,100,99,100,97,101,98,101,98,102,102,103,103,104,104,105,105,106,106,107,107,108,108</t>
  </si>
  <si>
    <t>,1,2,3,243,244,245,241,242,243,244,245,241,242,243,244,245,241</t>
  </si>
  <si>
    <t>hE8w+MoXpzk=</t>
  </si>
  <si>
    <t>77ckZfu1deiCCXgf3apBJw==</t>
  </si>
  <si>
    <t>,86,87,88,83,82,81,96,93,94,98,2,3,4,5,5,6,7,80,81,77,78,76,75,82,83,84,85,86,87,88,88,82,89,90,87,88,95,96,92,93</t>
  </si>
  <si>
    <t>,5,83,84,85,5,83,84,85,95,86,96</t>
  </si>
  <si>
    <t>,1,2,3,15</t>
  </si>
  <si>
    <t>,1,2,3,123,124,241,242,2,240,238,237,236,235,224,225,226,39,40,24,11,12,10,9,7,6,4,2,3,5,7,8,9,10,11,12,13,16,75,76,80,81,77,78,82,83,84,85,86,87,88,89,90,82,81,80</t>
  </si>
  <si>
    <t>,1,2,3,85,86,82,83,11,12,8,9</t>
  </si>
  <si>
    <t>EVzvbE1hLmcoMJu0gs1d9Q==</t>
  </si>
  <si>
    <t>E-Voting Case Law : A Comparative Analysis</t>
  </si>
  <si>
    <t>,1,2,3,4,5,76,77,78,74,75,96,97,98,94,95,99</t>
  </si>
  <si>
    <t>K3293 .E17 2015</t>
  </si>
  <si>
    <t>342.075; 342''.075; 342/.075</t>
  </si>
  <si>
    <t>,1,2,3,2,3,1,2,2,4,4,5,5,6,7,7,6,8,8,9,10,9,11,11,10,9,9,12,12,7,12,13,13</t>
  </si>
  <si>
    <t>,1,2,2,3,1,3,23,24,25,24,25,23,21,22,22,2,97,98,97,99,95,99,96,98,96,100,100,101,101</t>
  </si>
  <si>
    <t>,4,5,6,7,8,9,10,11,12,13,14,15,16,17,18,19,20,21,22,23,24,25,26,27,28,29,30,31,32,33,34,35,36,37,38,39,40,41,42,43,44,45,46,47,48,49,50,51,52,53,54,55,164,165,162,161,160,166,167,168,163,166,167,168,169,170,171,172,173,174,175,176,177,178,179,180,181,182,183,184,185,186,187,188,189,190,191,192,193,194,195,196</t>
  </si>
  <si>
    <t>,1,2,3,4,287,290,288,291,292,294,293,289,287,176,1,3,7,9,10,11,8,13,14,15,17,18,19,20,16,1,3</t>
  </si>
  <si>
    <t>Modern Food, Moral Food : Self-Control, Science, and the Rise of Modern American Eating in the Early Twentieth Century</t>
  </si>
  <si>
    <t>,1,2,3,4,5,6,7,8,9,10,11,12,13,14,15,7,6,5,4,3,1,10,11,12,13,14,15,16,17,18,19,20,21,28,29,30,27,26,312,313,310,314,311,315,316</t>
  </si>
  <si>
    <t>GT2855 -- .V45 2013eb</t>
  </si>
  <si>
    <t>Customer Experience For Dummies</t>
  </si>
  <si>
    <t>,1,343,344,345,341,342,346,347,348,349,350,2,352,351</t>
  </si>
  <si>
    <t>HF5415.5 -- .B37 2015eb</t>
  </si>
  <si>
    <t>658.8; 658.812</t>
  </si>
  <si>
    <t>,1,256,257,258,254,2,255,243,244,245,241,242</t>
  </si>
  <si>
    <t>,1,2,3,243,244,241,245,242,246,259,241,257,258</t>
  </si>
  <si>
    <t>JovCL6aUhuN63Sf6tov11A==</t>
  </si>
  <si>
    <t>The Railway Journey : The Industrialization of Time and Space in the Nineteenth Century</t>
  </si>
  <si>
    <t>,1,2,3,244,245,246,242,243</t>
  </si>
  <si>
    <t>HE1021 -- .S3413 2014eb</t>
  </si>
  <si>
    <t>385/.09/034</t>
  </si>
  <si>
    <t>,1,2,3,142,143,144,140,141,145,146,147,148,149,150,151,152,153,154,155,156,157,158,159,160,161,162,163,164,165</t>
  </si>
  <si>
    <t>3Y6BLkoEBMGr1xcpyWLIwg==</t>
  </si>
  <si>
    <t>,1,2,3,386,387,388,384,385,389,390,391,392,393,394,395,396,397,398</t>
  </si>
  <si>
    <t>,1,2,3,74,75,76,72,73,77,78,79,80,81,82,83,84,85,86</t>
  </si>
  <si>
    <t>,1,2,3,36,37,38,34,35,39,40,41,42,43,44,45,46,47,48</t>
  </si>
  <si>
    <t>Ja4Ha1m0JAtQjUE70TNtqQ==</t>
  </si>
  <si>
    <t>,1,2,3,23,24,25,21,22,26,65,66,67,63,64,68,69,70,71,72,73,74,75,76,119,120,121,117,118,122,123,124,125,126,127,128,129,130,131,132,133,134,135,136,137,138,139,140,141,142,143,144,139,138,137,136,135,134,133,132,131</t>
  </si>
  <si>
    <t>,65,66,67,63,64</t>
  </si>
  <si>
    <t>,1,2,3,104,105,127,128,129,125,126,130,131,132,133,134,135,136,137,138,139,140,141,142,143,144</t>
  </si>
  <si>
    <t>,1,2,3,59,88,138,161,162,163,159,160,493,494,495,491,492,496,497,495,504,505,506,502,503,498,496,499,497,500,498,501,499,500,501</t>
  </si>
  <si>
    <t>,495,496,497,498,499,500,501</t>
  </si>
  <si>
    <t>,379,380,381,382,383</t>
  </si>
  <si>
    <t>,1,2,3,364,365,366,362,363,367,368,369,370,371,372,373,374,375,376,377,378</t>
  </si>
  <si>
    <t>72B9eQLQEV6pDEn96HVM3g==</t>
  </si>
  <si>
    <t>,157,158,159,152,1,6,7,8,4,5</t>
  </si>
  <si>
    <t>Social Media Engagement For Dummies</t>
  </si>
  <si>
    <t>,43,44,45,1,3,4,5,6</t>
  </si>
  <si>
    <t>HF5415.1265 -- .S384 2013eb</t>
  </si>
  <si>
    <t>kx7x4QphEkwrQTwqVP8iUw==</t>
  </si>
  <si>
    <t>Introduction to Tissue Engineering : Applications and Challenges</t>
  </si>
  <si>
    <t>Science; Science: Anatomy/Physiology; Medicine</t>
  </si>
  <si>
    <t>,33,30,31,32,28,29,33,4,1,2,3,4,9,10,11,12,8,30,31,32,28,29,33,34,159,160,157,161,158</t>
  </si>
  <si>
    <t>,30,31</t>
  </si>
  <si>
    <t>R857.T55 -- .B575 2014eb</t>
  </si>
  <si>
    <t>,1,2,3,357,358,355,2,356,331,332,333,329,330,30,31,32,28,29</t>
  </si>
  <si>
    <t>,131,132,133,127,126,125,124,123,14,13,12,10,8,7,5,4,6,3</t>
  </si>
  <si>
    <t>,1,2,3,39,40,41,37,38,42,43,44,45</t>
  </si>
  <si>
    <t>,1,2,3,154,155,156,152,153</t>
  </si>
  <si>
    <t>,1,2,3,128,129,130,126,127</t>
  </si>
  <si>
    <t>,11,12,13,14,15,16,17,18,19,20,21,22,23,24,25,26,27,28,29,31,32,33,36,37,38,34,35,39,40,41,42,43,44,45,46,47,48,49,50,51,52,53,54,55,56,57,58,59,60,61,62,63,64,65,66,67,68,69,70,71,72,73,74,75,76,77,78</t>
  </si>
  <si>
    <t>,1,2,3,70,71,72,68,69,154,155,156,152,153,157,158</t>
  </si>
  <si>
    <t>,1,2,3,93,94,95,91,92,96,97</t>
  </si>
  <si>
    <t>,1,2,3,4,5,6,7,8,9,2,10</t>
  </si>
  <si>
    <t>,12,13,14,15,16,17,18,19,20,21,22,23,24,25,26,27,28,29,30,36,37,38,34,35,39,40</t>
  </si>
  <si>
    <t>,1,2,3,1,651,652,653,652,653,654,655,656,657,658,659,660,661,662,663,664,665,666,667,668,669,670,671,672,673,674,675,676,677,678,679,680,681,682,683,684,685,686,687,688,689,690,691,692,693,694,695,696,697,698,699,698</t>
  </si>
  <si>
    <t>,1,2,3,150,151,152,153,154,155,156,157,158,159,160,161,162,163,164,165,166,167,168,169,164,163,154,152,153,150,151</t>
  </si>
  <si>
    <t>,182,183,184,177,185,186,187,188,208,209,210,206,207,211,212,213,214,215,216,189</t>
  </si>
  <si>
    <t>,1,2,3,157,159,158,155,156,160,179,180,181,177,178</t>
  </si>
  <si>
    <t>,1,2,3,4,5,3,17</t>
  </si>
  <si>
    <t>P/pQZ+gtySQRSVRj9TYT2Q==</t>
  </si>
  <si>
    <t>PHP, MySQL, JavaScript &amp; HTML5 All-in-One For Dummies</t>
  </si>
  <si>
    <t>,1,2,3,404,405,406,402,403,501,502,503,619,620,621,622,623,624,625,626,627,628,629,624,623,630,631</t>
  </si>
  <si>
    <t>QA76.73.P224 -- .S844 2013eb</t>
  </si>
  <si>
    <t>,72,73,74,75,77,76</t>
  </si>
  <si>
    <t>,1,2,3,1,16,68,68,69,70,66,67,71</t>
  </si>
  <si>
    <t>,1,2,3,4,5,6,7,8,9,10,12,11,13,14,15,16,17,18,19,20,21,22,23,24,1,3,2,25,26,27,23,24,28,29,33,34,35,31,32,30,36,37,38,39,40,13,14,15,11,12,16,17,18,19,20,21,22</t>
  </si>
  <si>
    <t>,4,5,6,7,8,9,10,11,12,13,14,15,16,17,18,19,20,21,22,23,24,25,26</t>
  </si>
  <si>
    <t>,1,2,2,1,3,3,4,4,25,26,25,27,26,23,27,24,24,28,29,28,29,30,30,31,31,2,32,32,33,33,34,34,35,35,36,36,37,37,38,38,39,39,40,40,41,41,42,42,43,43,44,44,45,45,46,46,47,47,48,48,49,50,49,50,51,51,52,53,52,53,54,54,62,63,62,64,63,64,60,61,61,65,65,66,66,67,67,67,68,68</t>
  </si>
  <si>
    <t>6liYTte8ED8=</t>
  </si>
  <si>
    <t>Sustainable Plastics : Environmental Assessments of Biobased, Biodegradable, and Recycled Plastics</t>
  </si>
  <si>
    <t>TP1180.B55 -- .G7435 2014eb</t>
  </si>
  <si>
    <t>,1,2,3,141,142,139,140,143,144,145,146,147,148,149,150,151,152</t>
  </si>
  <si>
    <t>,1,2,3,366,367,368,364,365,369,366,367,368,364,365,369,370,371,372,373,374,375,376,377,378,379,380,381,382</t>
  </si>
  <si>
    <t>,1,2,3,4,5,6,8,9,11,13,14,15,16,17,117,118,119,116,120,121,115,122,123,124,125,126,127,128,129</t>
  </si>
  <si>
    <t>PQYD+2yhIP+oUC+hFGS+wQ==</t>
  </si>
  <si>
    <t>,85,86,87,88,89,90,91,92,93,94,95,96,97</t>
  </si>
  <si>
    <t>annYbIR52ibR30001cAAJA==</t>
  </si>
  <si>
    <t>,70,71,72,68,69,96,95,118,119,120,116,117,121,122,30,31,32,28,29,33,34,35,36,37,38,61,62,59,63,60,65,66,67,64,81,82,148,149,147,150,146,248,246,249,247,250,251,263,264,265,261,262,266,269,270,316,317,318,314,315,321,322,323,319,320,324,325,326,327,328,329,330,368,370,367,369,366,371,372,373,374,365,5,4,6,7,8,9,10,11,12,13</t>
  </si>
  <si>
    <t>,1,1,2,3,517,518,519,515,516,521,520,522,523,524,525,526,423,349,350,351,347,348,345,346,361,362,363,360,359,379,380,382,381,378,383,397,398,399,396,395,422,424,421,420,419,418,416,417,392,304,303,302,306,305,301,287,284,282,283,280,281,279,276,273,274,275,271,272,277,278,99,100,101,98,97,78,75,76,77,73,74,79,80,41,42,43,40,39,44,45</t>
  </si>
  <si>
    <t>,1,2,3,77,78,79,76,75,80,81,82,83,84</t>
  </si>
  <si>
    <t>,1,2,3,53,54,55,52,51</t>
  </si>
  <si>
    <t>sKiKN1/KOCx8uVTvThBT7A==</t>
  </si>
  <si>
    <t>Phonetics For Dummies</t>
  </si>
  <si>
    <t>Business/Management; Language/Linguistics</t>
  </si>
  <si>
    <t>,2,1,3,23,24,25,21,22,26,27,28,29,30,32,33,34,35</t>
  </si>
  <si>
    <t>P221 -- .K38 2013eb</t>
  </si>
  <si>
    <t>OFe0FCeNAEU=</t>
  </si>
  <si>
    <t>,1,57,58,59,55,56,2</t>
  </si>
  <si>
    <t>,1,2,3,53,54,55,51,52,50,84,86,82,85,83,87,88,232,233,234,230,231,200,201,202,198,199,245,246,243,244,85,86,87,83,88,89,90,91,86,92,93,94,119,120,121,117,118,122,117,123,124,125,142,143,144,140,141,10,11,12,13,14,18,19,20,16,17,21,22,23,24,25,26,27,28,196,197,198,194,195,167,168,169,165,166,170,171,26,27,28,24,25,29,30,31,32,33,34,35,36,37,38,38,39,40,41,42,43,44,45,46,47,48,49,50,51,52,53,54,55,47,46,53,54,55</t>
  </si>
  <si>
    <t>PTtTjy64QJCjjkH1tm38dg==</t>
  </si>
  <si>
    <t>Economics and Youth Violence : Crime, Disadvantage, and Community</t>
  </si>
  <si>
    <t>,1,2,3,159,160,161,157,158,162,163,164,165,166,167,168,169,170,171,172,173,174,175</t>
  </si>
  <si>
    <t>HQ799.2.V56 -- E26 2013eb</t>
  </si>
  <si>
    <t>Guide to Online Course Design : Strategies for Student Success</t>
  </si>
  <si>
    <t>LB1044.87 -- .S73 2014eb</t>
  </si>
  <si>
    <t>371.33/44678</t>
  </si>
  <si>
    <t>duRI0R1iClUHaXR3kUKZMg==</t>
  </si>
  <si>
    <t>Child and Adolescent Behavioral Health : A Resource for Advanced Practice Psychiatric and Primary Care Practitioners in Nursing</t>
  </si>
  <si>
    <t>,1,2,3,4,5,6,7,2,8,9,589,590</t>
  </si>
  <si>
    <t>RJ502.3 -- .C45 2012eb</t>
  </si>
  <si>
    <t>,1,3,2,133,134,135,131,132</t>
  </si>
  <si>
    <t>Rapid Instructional Design : Learning ID Fast and Right</t>
  </si>
  <si>
    <t>LB1028.38 -- .P575 2015eb</t>
  </si>
  <si>
    <t>Real-Life Decorating</t>
  </si>
  <si>
    <t>,4,5,4,5,8,8,9,6,9,6</t>
  </si>
  <si>
    <t>NK2115.R3543 2010eb</t>
  </si>
  <si>
    <t>Sabrina Soto on Home Design : A Layer-by-Layer Approach to Turning Your Ideas into the Home of Your Dreams</t>
  </si>
  <si>
    <t>,93</t>
  </si>
  <si>
    <t>NA7110.S68 2012eb</t>
  </si>
  <si>
    <t>No Place Like Home : Tips and techniques for real family-friendly home design</t>
  </si>
  <si>
    <t>,18,20,17,18,17,20,21,21</t>
  </si>
  <si>
    <t>NK2115.S25 2010eb</t>
  </si>
  <si>
    <t>Fiber Gathering : Knit, Crochet, Spin, and Dye More Than 25 Projects Inspired by America's Festivals</t>
  </si>
  <si>
    <t>TT699.S45 2009eb</t>
  </si>
  <si>
    <t>Make Stuff Together : 24 Simple Projects to Create as a Family</t>
  </si>
  <si>
    <t>TT155.N65 2011eb</t>
  </si>
  <si>
    <t>Make and Takes for Kids : 50 Crafts Throughout the Year</t>
  </si>
  <si>
    <t>Business/Management; Fine Arts</t>
  </si>
  <si>
    <t>TT157 -- .L43 2012eb</t>
  </si>
  <si>
    <t>Make Money with Your Digital Photography</t>
  </si>
  <si>
    <t>TR690.2 -- .M36 2011eb</t>
  </si>
  <si>
    <t>Do I Need to See the Doctor : The Home-Treatment Encyclopedia - Written by Medical Doctors (2nd Edition)</t>
  </si>
  <si>
    <t>RA776.95 -- .M87 2009eb</t>
  </si>
  <si>
    <t>Better Birth : The Ultimate Guide to Childbirth from Home Births to Hospitals</t>
  </si>
  <si>
    <t>RG525.S647 2009eb</t>
  </si>
  <si>
    <t>Survival Guide for Rookie Moms : The Things You Need to Know, That No One Ever Tells You</t>
  </si>
  <si>
    <t>,1,2,2,3,1,3,2,2,5,5,7,7,8,8,9,9</t>
  </si>
  <si>
    <t>HQ774.W4557 2010eb</t>
  </si>
  <si>
    <t>649/.122</t>
  </si>
  <si>
    <t>,1,2,3,366,367,368,365,364,369,370,371,372,373,374,375,376,377</t>
  </si>
  <si>
    <t>Sewing Bits and Pieces : 35 Projects Using Fabric Scraps</t>
  </si>
  <si>
    <t>Home Economics; Fine Arts</t>
  </si>
  <si>
    <t>,1,2,2,3,3,1,2,2,27,27,28,28,29,29,31,31</t>
  </si>
  <si>
    <t>TT705.H46 2010eb</t>
  </si>
  <si>
    <t>Sewing with Oilcloth</t>
  </si>
  <si>
    <t>TT715 -- .M33 2011eb</t>
  </si>
  <si>
    <t>Mr. Boston : Holiday Cocktails</t>
  </si>
  <si>
    <t>TX951.G476 2009eb</t>
  </si>
  <si>
    <t>Organize Yourself!</t>
  </si>
  <si>
    <t>TX147 -- .E47 2005eb</t>
  </si>
  <si>
    <t>Storage with Style</t>
  </si>
  <si>
    <t>TX309.S77 2010eb</t>
  </si>
  <si>
    <t>New American Homestead : Sustainable, Self-Sufficient Living in the Country or in the City</t>
  </si>
  <si>
    <t>Home Economics; Environmental Studies</t>
  </si>
  <si>
    <t>GF78.T85 2012eb</t>
  </si>
  <si>
    <t>Teach Your Children Tables</t>
  </si>
  <si>
    <t>Education; Mathematics</t>
  </si>
  <si>
    <t>QA135 -- .H363 2015eb</t>
  </si>
  <si>
    <t>Beginning JavaScript</t>
  </si>
  <si>
    <t>QA76.73 .J39</t>
  </si>
  <si>
    <t>,1,2,3,114,115,116,112,113,117,117,118,119,120,121,116</t>
  </si>
  <si>
    <t>The World of Maps : Map Reading and Interpretation for the 21st Century</t>
  </si>
  <si>
    <t>GA151 -- .T964 2015eb</t>
  </si>
  <si>
    <t>Teaching the Common Core Math Standards with Hands-On Activities, Grades K-2</t>
  </si>
  <si>
    <t>QA135.6 -- .M874 2014eb</t>
  </si>
  <si>
    <t>372.7/049</t>
  </si>
  <si>
    <t>KCzn24wLZG9YRyOn/SUE/A==</t>
  </si>
  <si>
    <t>,1,2,3,364,365,366,363,362,367,368,369,370,371,372,373,374,375,376,377,378,379,380,381,382,383,384,385,386,387,388,389,390,391,392,393,394</t>
  </si>
  <si>
    <t>,33,1,35,34,31,32,2,1,3,4,2,46,52,49,11,22,1,33,2,35,34</t>
  </si>
  <si>
    <t>,42,43,44,40,41</t>
  </si>
  <si>
    <t>Z0762UNFHI85j0fwWPwqtg==</t>
  </si>
  <si>
    <t>,1,2,3,6,7,8,4,5,9,10,11,12,13,14</t>
  </si>
  <si>
    <t>zqf+/5Eihq8WGXjBLx7uag==</t>
  </si>
  <si>
    <t>,1,2,3,42,43,44,40,41,45,46,47,48,49,50,51,52,53,54,55,56,57</t>
  </si>
  <si>
    <t>NAr2XdzcqaI=</t>
  </si>
  <si>
    <t>,31,32,33,28,27,34,35,38,42</t>
  </si>
  <si>
    <t>,1,2,3,4,5,6,7,8,9,21,22,23,19,20,24,25,26,27,28,29,30</t>
  </si>
  <si>
    <t>,1,1,1,2,3,2,3,4,4,6,7,6,8,7,5,8,5,2,9,9</t>
  </si>
  <si>
    <t>,1,2,3,546,547,548,544,590,592,591,588,589,545,549,550,551,552,553,554,555,480,482,481,478,479</t>
  </si>
  <si>
    <t>,4,14,16,15,12,13,17,18</t>
  </si>
  <si>
    <t>,12,13,14,15,16,17,18,19,20,21,22,23,24,25,26,27,28,29,30,31,99,100,97,98,95,96,101,102,103,104,105,106,107,108,109,110,111,112,113,114,115,116</t>
  </si>
  <si>
    <t>Probabilities : The Little Numbers That Rule Our Lives</t>
  </si>
  <si>
    <t>QA273 -- .O46 2015eb</t>
  </si>
  <si>
    <t>Funds : Private Equity, Hedge and All Core Structures</t>
  </si>
  <si>
    <t>HG106 -- .H83 2014eb</t>
  </si>
  <si>
    <t>Russian : A Self-Teaching Guide</t>
  </si>
  <si>
    <t>PG2129.E5 -- S98 2005eb</t>
  </si>
  <si>
    <t>,1,2,3,33,34,31,35,32,36,37,38,39,30</t>
  </si>
  <si>
    <t>3F94Zu7+RdMhwr+9ZyVQCA==</t>
  </si>
  <si>
    <t>A Democratic Constitution for Public Education</t>
  </si>
  <si>
    <t>,13,14,15,16,17,18,19,20,21,22,23</t>
  </si>
  <si>
    <t>LC89</t>
  </si>
  <si>
    <t>,1,2,3,1,6,7,4,5,8,9,10,11,12</t>
  </si>
  <si>
    <t>GJCSCOL21ls=</t>
  </si>
  <si>
    <t>Jim Crow Wisdom : Memory and Identity in Black America since 1940</t>
  </si>
  <si>
    <t>,21,114,247,248,244,245,249,251,266,264,265,263,262,269,270,272,115,16,17,18,14,15,19,20,21,55,56,57,53,54,82,83,84,80,81,114</t>
  </si>
  <si>
    <t>,16,17,18,19,20,21,22,23,24,25,26,27,28,55,56,57,58,59,60,61,62,63,64,65,66,67,68,69,70,71,72,73,74,75,76,77,78,79,80,81,82,83,84,85,86,87,88,89,90,91,92,93,94,95,96,97,98,99,100,101,102,103,104,105,106,107,108,109,110,111,112,113,114,115,116</t>
  </si>
  <si>
    <t>E185.625 -- .H64 2013eb</t>
  </si>
  <si>
    <t>,1,2,3,8,9,10,6,7,11,12,13,15,16,17,18,19,20,29,30,31,27,28,32,33,34,35,36,37,38,39,55,56,57,53,54,82,83,84,80,81,117,118,119,115,116,120,121,122</t>
  </si>
  <si>
    <t>UsTyjgFVAQfLWLCHyp5aVw==</t>
  </si>
  <si>
    <t>,1,2,3,56,57,37,38,39,36,35,40,41,42,43,44,45,212,213,209,46,58,59,60,61,62,63,64,65,66,67,68,69,70,71,72,73,74,75,76,77</t>
  </si>
  <si>
    <t>,38,39,40</t>
  </si>
  <si>
    <t>,59,60,61</t>
  </si>
  <si>
    <t>,1,2,3,37,38,39,35,36,6,7,8,4,5,9,10,40,41,56,57,58,54,55,59,60,61,62,63,64,65,66,67,68,69,70,71,72,73,74,75</t>
  </si>
  <si>
    <t>,43,44,45,46,47,48,49,50,51,52,53,54,55,56</t>
  </si>
  <si>
    <t>,1,2,3,212,213,209,210</t>
  </si>
  <si>
    <t>,1,2,3,65,66,67,63,64,68,69,70,71,52,53,54,50,51,55,56,57,58,59,60,61,62,33,34,37,38,39,35,36,40,42,43,44,41,28,29,30,26,27,31,72,73,74,75,77,78,76,79,80,81,82,83,84,85,86,87</t>
  </si>
  <si>
    <t>,1,3,2,4,5,6,7,8,9,10,11</t>
  </si>
  <si>
    <t>EA3sIYQNCsQ=</t>
  </si>
  <si>
    <t>,1,2,3,4,5,6,7,8,9,10,11,12,13,14,15,16,17,18,19,20,21,22,23,24,25,26,27,28,29,30,31,32,33,34,35,36,37,38,39</t>
  </si>
  <si>
    <t>,72,51,73,80,102,103,104,105,100,101,99,106,107,108,109,110,111,112,113,114,115,116,117,118,119,120,121,122,123,124,125,126,127,128,129,134,140,151,161,160,162,158,159,130,95,72,51,83,105,106,104,102,103,101,100,99,87,85,44,43,11,12,13,14,10,39,40,42,45,46,47,48,49,50,51,70,71,72,73,74,75,76,77,78,79,80,81,82,83,84,86,88,89,90,91,92,93,94,95,96,97,98,99,100,101,102,103,104,105,106,128,129,130,131,132,133,134,135,136,137,138,139,140,141,142,143,144,145,146,147,148,149,150,151,152,153,154,155,156,157,158,159,160,161,162,163,164,165,166,167,168,169,170,171,172,173,174,175,176,177,178,179,180,181,182,183,184,185,186</t>
  </si>
  <si>
    <t>/rddBQTEBG8=</t>
  </si>
  <si>
    <t>Building Type Basics for Senior Living</t>
  </si>
  <si>
    <t>,1,36,37,38,34,35,39,40,2,41,155,156,157,154,153,158,159,160,154,153</t>
  </si>
  <si>
    <t>NA7195.A4 -- .B85 2013eb</t>
  </si>
  <si>
    <t>725/.560973</t>
  </si>
  <si>
    <t>,141,140</t>
  </si>
  <si>
    <t>,1,2,3,4,5,6,7,8,29,33,39,43,52,58,64,69,68,67,65,66,63,70,71,62,61,60,59,58,57,56,55,54,53,52,51,50,41,42,40,38,39,37,36,35,34,33,32,31,30,29,28,27,26,25,24,23,22,17,16,18,15,13,14,19,20,21,23</t>
  </si>
  <si>
    <t>,1,143,144,145,141,142,146,147,2</t>
  </si>
  <si>
    <t>Zh6Cky/AngWJQ3ZRJvM/4w==</t>
  </si>
  <si>
    <t>Alcohol : A History</t>
  </si>
  <si>
    <t>GT2884 -- .P455 2014eb</t>
  </si>
  <si>
    <t>8Ck/7MYeETf1a5aRMRcuuw==</t>
  </si>
  <si>
    <t>,1,2,3,60,61,62,58,59</t>
  </si>
  <si>
    <t>,59,59,58,59,60,60</t>
  </si>
  <si>
    <t>,1,2,3,60,61,62,58,59,76,80,79,78,77,75,74,73,72,82,83,84,81,63,64,65,66,67,68,69,70,71,72,73,74,75,76,77,78,79,80,81,82,83,84,85,86,87,88</t>
  </si>
  <si>
    <t>Efp4sG6DNKaoYqb2w4sl+Q==</t>
  </si>
  <si>
    <t>,1,2,3,2,3,1,2,2,60,61,60,62,61,62,58,59,59,63,63,64,64,65,65,66,66,61,66,67,68,67,69,68,69,70,70,71,71,72,72,73,73,74,74,75,75,76,76,77,77,78,78,79,79,80,80,81,81,82,82,83,83,84,84,85,85,86,86,87,87,88,89,88,89</t>
  </si>
  <si>
    <t>,60,61,62,63,64,65,66,67,68,69,70,71,72,73,74,75,76,77,78,79,80,81,82,83,84,85,60,61,62,63,64,65,66,67,68,69,70,71,72,73,74,75,76,77,78,79,80,81,82,83,84,85,86</t>
  </si>
  <si>
    <t>4RqkQFDYoIvTbYHmA+6oKQ==</t>
  </si>
  <si>
    <t>,1,2,3,60,61,62</t>
  </si>
  <si>
    <t>,11,12,60,61,62,63,64,65,66,67,68,69,70,71,72,73,74,75,76,77,78,79,80,81,82,83,84,85,86</t>
  </si>
  <si>
    <t>,1,2,3,10,20,42,38,4,5,11,12,13,9,14,15,16,17,18,34,35,36,32,33,60,61,62,58,59,63,64,65,66,67,68,69,70,71,72,73,74,75,82,83,84,80,81,85,86,87,88</t>
  </si>
  <si>
    <t>ipT6hIsuBRVBXrISA4ivCA==</t>
  </si>
  <si>
    <t>m7K2yPuHhZvIjJtmgg0UyQ==</t>
  </si>
  <si>
    <t>Accounting For Dummies</t>
  </si>
  <si>
    <t>,40,40,41,41,42,42,43,43,44,44,45,45,46,46,47,47,48,48,49,49,50,50,51,52,51,52,53,53</t>
  </si>
  <si>
    <t>HF5636 -- .T73 2013eb</t>
  </si>
  <si>
    <t>,1,2,3,3,2,1,4,4,2,2,25,26,25,27,26,23,27,24,24,28,29,28,29,31,31,30,30,32,33,32,33,34,34,35,35,36,36,37,37,38,38,36,37,38,34,35,39,39</t>
  </si>
  <si>
    <t>,7,8,6</t>
  </si>
  <si>
    <t>Predictive Analytics : The Power to Predict Who Will Click, Buy, Lie, or Die</t>
  </si>
  <si>
    <t>,179,178,177,1,2,3,1,2,3,4</t>
  </si>
  <si>
    <t>,181</t>
  </si>
  <si>
    <t>H61.4 -- .S54 2013eb</t>
  </si>
  <si>
    <t>,1,2,3,4,6,5,326,327,328,2,324,325,316,230,188,189,190,186,187,185,184,183,182,181,180</t>
  </si>
  <si>
    <t>e/NAZn8thPA=</t>
  </si>
  <si>
    <t>,1,2,3,4,5,6,7,8,9,10,2,11,6,8,9,10,6,7,11</t>
  </si>
  <si>
    <t>,1,2,3,46,47,48,44,45,40,41,42,38,39,43,37,36</t>
  </si>
  <si>
    <t>Yw1AW99gG8h0f8sSeB85dg==</t>
  </si>
  <si>
    <t>Introduction to Computational Contact Mechanics : A Geometrical Approach</t>
  </si>
  <si>
    <t>TA353 -- .K669 2015eb</t>
  </si>
  <si>
    <t>620.1/05</t>
  </si>
  <si>
    <t>Solutions Manual to accompany An Introduction to Numerical Methods and Analysis</t>
  </si>
  <si>
    <t>,1,1,2,2,3,3,2,2,129,129,130,130,131,131,132,133,133,132,134,134,129,128,133,134,135,135,136,136,137,137,138,138</t>
  </si>
  <si>
    <t>QA297 -- .E674 2013eb</t>
  </si>
  <si>
    <t>Introductory Modern Algebra : A Historical Approach</t>
  </si>
  <si>
    <t>,1,2,2,1,3,3,2,2,292,292,293,293,294,294,290,291,291,295,295,296,296,297,297,298,298,299,299,300,300,301,301,302,302,303,303,304,304,305,305,306,306,307,307,308,308,309,309,310,310,311,311,312,312,313,313</t>
  </si>
  <si>
    <t>QA162</t>
  </si>
  <si>
    <t>Fundamentals of Calculus</t>
  </si>
  <si>
    <t>QA303.2 .M384 2015</t>
  </si>
  <si>
    <t>aCr1ZxLZtrc=</t>
  </si>
  <si>
    <t>Python Projects</t>
  </si>
  <si>
    <t>,5,5,11,13,15,17,19,19,42</t>
  </si>
  <si>
    <t>QA76.73.P98 -- C37 2014eb</t>
  </si>
  <si>
    <t>,1,2,3,27,29,19,15,13,16,17,23,31,32,34,35,36,33,37,38,39,40,38</t>
  </si>
  <si>
    <t>ddvwLvIFziN4zlv7mg3Uig==</t>
  </si>
  <si>
    <t>Elementary Number Theory with Programming</t>
  </si>
  <si>
    <t>,1,2,2,3,3,1,2,2,135,136,137,135,136,137,133,134,134,190,191,192,190,191,188,192,189,189,193,193,194,194,195,195,196,196,191,190</t>
  </si>
  <si>
    <t>QA241 .L384 2015</t>
  </si>
  <si>
    <t>etT3hWkPVyj92MuVcVIMbQ==</t>
  </si>
  <si>
    <t>,63,64,65,66,67,68,69,70,71,72,73,74,75,76,77,78,79,80,81,82,83,84,85,86,87</t>
  </si>
  <si>
    <t>,51</t>
  </si>
  <si>
    <t>,1,2,3,1,2,60,61,62</t>
  </si>
  <si>
    <t>k11eLvGzu6tnH9YZQhEeHA==</t>
  </si>
  <si>
    <t>,1,3,2,21,22,23,19,20,24,22,24,20,21,23,25,26,27,28,29,30,31,32,33,34,35,36,37,38,39,40,41,42,43,44,45,46,47,48,49,50,51,52,53,54,55,56,57,58,59</t>
  </si>
  <si>
    <t>Co3MrZrGufI3sJI7b7QZBA==</t>
  </si>
  <si>
    <t>,110,111,112,113,108,108,108,108,111,110,111,107,108,112,109,110,111,110,109,108,107,106,107,108,109,110,111,112,113,114,115,115,115,115,115,115,98,98,99,100,96,97,101,102,103,94,95,93,91,92,89,90,87,88,102,103,104,105,106</t>
  </si>
  <si>
    <t>,108,108</t>
  </si>
  <si>
    <t>,1,1,2,3,2,3,1,2,2</t>
  </si>
  <si>
    <t>Batman and Psychology : A Dark and Stormy Knight</t>
  </si>
  <si>
    <t>PN6728.B36 -- L36 2012eb</t>
  </si>
  <si>
    <t>741.5/973</t>
  </si>
  <si>
    <t>,104,105,106,102,103,107,108,109,110,102,103,110,111,118,168,170,169,171,167,164,165,163,162,161,160,158,159,31,32,33,29,30,34,103,102</t>
  </si>
  <si>
    <t>cRfIvs+u/xw=</t>
  </si>
  <si>
    <t>,1,2,3,4,5,6,7,8,3,1</t>
  </si>
  <si>
    <t>,113,114,115,116,117,118,119,120,121,122,123,124,125,126,127,128,129,130,131,132,133,134,135,136,137,138,139,140,141,142,143,144,145,146,147,148,149,150,151,152,153,113,114,115,116,117,118,119,120,121,122,123,124,125,126,127,128,129,130,131,132,133,134,135,136,137,138,139,140,141,142,143,144,145,146,147,148,149,150,151,152,153,113,114,115,116,117,118,119,120,121,122,123,124,125,126,127,128,129,130,131,132,133,134,135,136,137,138,139,140,141,142,143,144,145,146,147,148,149,150,151,152,153</t>
  </si>
  <si>
    <t>,1,2,3,113,114,115,111,112,153,154,155,151,152,153</t>
  </si>
  <si>
    <t>You Win in the Locker Room First : The 7 C's to Build a Winning Team in Business, Sports, and Life</t>
  </si>
  <si>
    <t>,1,2,3,4,5,6,17,18,19,15,16</t>
  </si>
  <si>
    <t>,1,3,2,4,5,6,7,8,9,10,11,12,13,14,23,24,25,21,22,26,27,28,29,30,31,32,33,34,35,33,36,37,38,39,203,204,205,201,202,206,199,200,198,197,196,195,194,193,192,191,90,91,92,93,89,88,94,95,96,97,98,99,100,101,102,103,104,105,106,107,108,109,110,111,112</t>
  </si>
  <si>
    <t>,1,2,3,4,23,24,25,21,22,26,27,97,98,99,95,96,100,101</t>
  </si>
  <si>
    <t>Top Dog : Impress and Influence Everyone You Meet</t>
  </si>
  <si>
    <t>,2,1,3,13,14,15,11,12</t>
  </si>
  <si>
    <t>HF5718 -- .B686 2015eb</t>
  </si>
  <si>
    <t>658.4/5</t>
  </si>
  <si>
    <t>,1,2,3,27,28</t>
  </si>
  <si>
    <t>,1,2,3,4,5,6,7,8,9,10,11,12,13,14,15,16,17,18,19,20,21,22,23,24,41,42,43,44,45,46,47</t>
  </si>
  <si>
    <t>Ghj5ZR3EJEc3eF3nwI7ZFA==</t>
  </si>
  <si>
    <t>,2,2,1,2,3,1,1,1,1,2</t>
  </si>
  <si>
    <t>From Coveralls to Zoot Suits : The Lives of Mexican American Women on the World War II Home Front</t>
  </si>
  <si>
    <t>Social Science; History; Geography/Travel</t>
  </si>
  <si>
    <t>F869.L89 -- M5156 2013eb</t>
  </si>
  <si>
    <t>305.8968/72073079494</t>
  </si>
  <si>
    <t>,1,2,1,2,3,3,4,7,7,4</t>
  </si>
  <si>
    <t>GOGhW4xasPrjR2q7DhGvjQ==</t>
  </si>
  <si>
    <t>,1,3,2,153,154,155,152,151</t>
  </si>
  <si>
    <t>vLuRgk2NoI15L0OnlZ5l6g==</t>
  </si>
  <si>
    <t>Race, Place, and Suburban Policing : Too Close for Comfort</t>
  </si>
  <si>
    <t>,213,214,116,117,118,114,115</t>
  </si>
  <si>
    <t>HV7936.P8 B69 2015</t>
  </si>
  <si>
    <t>363.2/30896073077865</t>
  </si>
  <si>
    <t>,1,2,3,72,73,74,70,71,75,77,78,79,210,212,208,209</t>
  </si>
  <si>
    <t>Employer Brand Management : Practical Lessons from the World's Leading Employers</t>
  </si>
  <si>
    <t>,1,2,3,25,26,27,23,24,22,21</t>
  </si>
  <si>
    <t>HF5549 -- .M6675 2014eb</t>
  </si>
  <si>
    <t>658.3/01</t>
  </si>
  <si>
    <t>,1,2,3,60,61,62,58,59,2,63,64</t>
  </si>
  <si>
    <t>,1,2,3,53,54,55,51,52,57,56,59,58,60,61,62,63,64</t>
  </si>
  <si>
    <t>Smashing Wordpress - Beyond the Blog</t>
  </si>
  <si>
    <t>TK5105.8885.W66.H43 2011eb</t>
  </si>
  <si>
    <t>006.7/8</t>
  </si>
  <si>
    <t>IeyYP27BKJhUQrBKWmY1Cg==</t>
  </si>
  <si>
    <t>,60,61,62,58,59,65,60,60,60,60,63,64,65,66,67,68,69,70,71,72,73,74,75,76,77,78,79,81,80,82,83,84,85,87,86,88</t>
  </si>
  <si>
    <t>9H3iBV7WIXRd86z3dJYg0Q==</t>
  </si>
  <si>
    <t>Social Change Anytime Everywhere : How to Implement Online Multichannel Strategies to Spark Advocacy, Raise Money, and Engage your Community</t>
  </si>
  <si>
    <t>,1,2,3,20,21,22,18,19,41,54,55,56,53,52,65,66,67,63,64,68,69,70,36,37,38,34,35,40,42,39,43,44</t>
  </si>
  <si>
    <t>HD62.6 -- .K37 2013eb</t>
  </si>
  <si>
    <t>659.2/8802854678</t>
  </si>
  <si>
    <t>,1185,1187,1184,1183,1186,1166,1167,1168,1164,1169,1161,1162,1163,1159,1160,1158,701,702,703,700,704,705,706,682,684,651,651,652,653,649,650,654,655,656,657,658,659,660,661,662,663,664,665,666,667,668,669,670,671,672,673,674,675,676,677,678,679,680,681,682,683,684,685,686,687,688,689,690,691,692,693,694,695,696,697,698,700,701,702,703,704,705</t>
  </si>
  <si>
    <t>,21,22,23,19,20,24,25,26,27,28</t>
  </si>
  <si>
    <t>,1,60,62,61,58,59,2,60,60,57,56,1,57,58,56,54,55,53,52,51,60,61,62,59,2,63,1,64,65,63,61,62,60,58,59,2,1,2,3,4</t>
  </si>
  <si>
    <t>,60,61,62,63,64,65,66,67,68,69,70,71,72,73,74,75,76,77,78,79,80,81,82,83,84,85,86,60,61,62,63,64,65,66,67,68,69,70,71,72,73,74,75,76,77,78,79,80,81,82,83,84,85,86</t>
  </si>
  <si>
    <t>,1,2,3,482,483,484,480,481,485,486,487,488,489,492,493,494,490,491,541,542,543,544,540,545,684,685,686,682,683,687,688,689,690,691,692,693,694,695,696,697,698,699</t>
  </si>
  <si>
    <t>,67,68,69,70,71,72,73,74,75,76,77,78,79,80,81,82,83,84,85,86,87,88</t>
  </si>
  <si>
    <t>,1,2,3,60,62,61,58,59,63,64,65,66</t>
  </si>
  <si>
    <t>,7,1,8,9,5,6</t>
  </si>
  <si>
    <t>,1,2,3,9,10,6,7</t>
  </si>
  <si>
    <t>,1,2,3,3,4,1,2,5,9,10,6,7,63,64,60,61</t>
  </si>
  <si>
    <t>qx5Qjy/Ha8s=</t>
  </si>
  <si>
    <t>Understanding Language and Literacy Development : Diverse Learners in the Classroom</t>
  </si>
  <si>
    <t>,1,2,3,344,345,346,342,341,340,338,339,347,348,350</t>
  </si>
  <si>
    <t>LC3731 -- .W355 2014eb</t>
  </si>
  <si>
    <t>,1,2,3,113,114,115,111,112</t>
  </si>
  <si>
    <t>,1,2,3,113,114,115,111,112,116,153,154,155,151,152,150,148,149,117,118,119</t>
  </si>
  <si>
    <t>Mindful Eating For Dummies</t>
  </si>
  <si>
    <t>Health</t>
  </si>
  <si>
    <t>TX357 -- .D396 2014eb</t>
  </si>
  <si>
    <t>,1,2,3,16,17,18,14,15,19,20,21,22,23,24,25,26,27</t>
  </si>
  <si>
    <t>How the Other Half Ate : A History of Working-Class Meals at the Turn of the Century</t>
  </si>
  <si>
    <t>,110,109,107,108</t>
  </si>
  <si>
    <t>GT2853.U5 -- T87 2014eb</t>
  </si>
  <si>
    <t>,1,2,3,34,35,33,4,5,6,7,8,9,10,11,12</t>
  </si>
  <si>
    <t>,1,2,3,4,5,6,7,8,9,10,11,12,13,14,15,16,17,18,19,20,156,211,113,114,111,112</t>
  </si>
  <si>
    <t>,1,2,3,4,5,512,148,6,7,8,9,10,11</t>
  </si>
  <si>
    <t>+jd6qaOURl6Li0g4sDvkJA==</t>
  </si>
  <si>
    <t>Terrestrial Hydrometeorology</t>
  </si>
  <si>
    <t>,1,3,2,1,1,1,9</t>
  </si>
  <si>
    <t>GB2803.2 -- .S58 2012eb</t>
  </si>
  <si>
    <t>,25,26,27,28,29,30,58,59,56,57,60,107,108,109,105,106,110,111,112,113,114,112,113,114,115,116,117,118</t>
  </si>
  <si>
    <t>,194,194,195,195,196,196,191,196,191,196,191,193,193,194,195,193,194,195,191,192</t>
  </si>
  <si>
    <t>,1,2,1,3,2,3,4,4,5,5,6,7,7,6,8,8,9,2,9,10,10,11,7,11,12,12,13,13,14,14,176,176,168,168,169,169,170,170,166,167,167,171,166,171,171,172,172,173,173,174,174,175,175,176,177,177,178,180,178,180,179,179,181,181,182,182,183,183,184,184,185,185,187,183,187,186,188,186,188,189,189,190,190,191,191,192,192,193,193</t>
  </si>
  <si>
    <t>7ciNHlmKcE4KN7IGyTNVag==</t>
  </si>
  <si>
    <t>,1,2,3,23,24,25,21,22,20</t>
  </si>
  <si>
    <t>Problems and Solutions in Mathematical Finance : Stochastic Calculus</t>
  </si>
  <si>
    <t>,379,380,381,382,383,384,73,74,75,76,77</t>
  </si>
  <si>
    <t>HG106 -- .C495 2014eb</t>
  </si>
  <si>
    <t>332.01/51922</t>
  </si>
  <si>
    <t>,1,2,3,69,70,71,67,68,72,73,74,107,108,109,105,106,110,111,349,350,351,348,347,352,353,354,355,356,357,358,359,360,361,363,364,365,366,367,368,369,370,371,372,375,376,377,373,374,378</t>
  </si>
  <si>
    <t>if4TB3UfPwuvku8ukO4vBw==</t>
  </si>
  <si>
    <t>Alice in Wonderland : SAMPLE BOOK</t>
  </si>
  <si>
    <t>Joshua James Press</t>
  </si>
  <si>
    <t>PR4611</t>
  </si>
  <si>
    <t>1865-01-01</t>
  </si>
  <si>
    <t>5srPvlVeIA+TqR5lyA7axw==</t>
  </si>
  <si>
    <t>,1,2,3,1,1,1,192</t>
  </si>
  <si>
    <t>o+02v8WV5HRlQmByB/4eSA==</t>
  </si>
  <si>
    <t>,1,50,51,52,48,49,53,54,55</t>
  </si>
  <si>
    <t>,1,2,3,65,66,67,63,64,62,68,57,58,59,55,56,60,54,61,61,1,63,62,59,60,66,67,69,70,71,68,2,72,65,64,73,74,75,76,1,76,77,78,74,75,2,73,72,70,71,69,68,67</t>
  </si>
  <si>
    <t>Against Hybridity : Social Impasses in a Globalizing World</t>
  </si>
  <si>
    <t>,1,2,2,3,3,1,2,2,5,5,7,7,8,8,6,9,6,9,10,10,11,11,12,13,12,13</t>
  </si>
  <si>
    <t>HM621 -- .H393 2015eb</t>
  </si>
  <si>
    <t>,1,3,2,212,213,209,210,45,56,57,58,54,55,37,38,39,35,40,36,41,42,43,44,46</t>
  </si>
  <si>
    <t>,16,17,18,14,15,19,20,22,21,23,24,25,26,27,28,29,30,31,32,33,34,13,19,20,21,22,25,26,27,28,24,29,30,31,32,33,34,23</t>
  </si>
  <si>
    <t>,16</t>
  </si>
  <si>
    <t>,16,17,18,19,20,21,22,23,24,25,26,27,28,29,30,31</t>
  </si>
  <si>
    <t>mDNQFsbEZaT8iE8Zm0F/Tw==</t>
  </si>
  <si>
    <t>,8,9,10,11,12,46,81,97,155,156,229,228,227,226,225,224,226,223,222,221,220,219,218,217,216,215,213,214,202,182,117,151,55,44,48,32,24,25,26,23,21,22,20,18,6,7,8,4,9,10,11,12,13,14,15,16,17,16,19,17,20,18</t>
  </si>
  <si>
    <t>,4,5,6,7,8,9,10,11,12,13,14,15,16,17,18,19,9,8,7,6,5,4</t>
  </si>
  <si>
    <t>,5</t>
  </si>
  <si>
    <t>HPSYZegnLI4TVIvth7RaGg==</t>
  </si>
  <si>
    <t>6CkzbuRDp7WcQx/oDDBAJg==</t>
  </si>
  <si>
    <t>,1,2,3,269,270,271,267,268,311,312,313,309,310,314,315,316,317,318,319,320,321,322,323,324,325,326,327,328,329,330,331,332,333,334,335,336,337,338,339,340,341,342,343,344,345,346,347,348,349,350,351,352,353,354,355,356,357,358,353,352,351,350,349,348,347,346,345,344,343,342,311,312,313,309,310,347,348,349,345,346,350,351,352,353</t>
  </si>
  <si>
    <t>,311,312,313,314,315,316,317,318,319,320,321,322,323,324,325,326,327,328,329,330,331,332,333,334,335,336,337,338,339,340,341,342,343,344</t>
  </si>
  <si>
    <t>,475,476,477,473,478,474,478,479</t>
  </si>
  <si>
    <t>NGiKYDXoeCk6mWQZxMIyMQ==</t>
  </si>
  <si>
    <t>,1,2,3,8,9,10,6,7,11,12,16,17,18,14,15,37,38,39,35,36,56,57,58,54,55,59,204,206,205,202,203,6,4,5,79,80,81,77,78,82,83,99,100,101,185,186,187,183,184,188,189,142,143,144,165,166,167,163,164,168,97,120,121,122,118,102,98,103,104,223,224,225,221,222,226,227,228,229,219,9,10,11,7,12,13,14,15,16,17,18,19,20,21,23,24,25,26,27,28,29,30,31,32,33,34,35</t>
  </si>
  <si>
    <t>,1,2,3,68,69,70,66,67,71</t>
  </si>
  <si>
    <t>,1,2,3,471,472,473,469,470,474,475,476,477</t>
  </si>
  <si>
    <t>,1,2,3,30,31,32,28,29,33,34,35,36,37,38,39,40,41,42,43,44,45,46,47,48,49,50,51,52,53,54,55,56,57,58,59,60,61,62,63,64,65,66,67,68,69,70,71,70,72,73,74,75,76,77,78,79,80,81,82,83,84,85,86,87,88,89,90,91,92,93,94,95,96,97,98,99,100,101,102,103,104,105,106,107,108,109</t>
  </si>
  <si>
    <t>,1,2,3,34,35,36,32,33,5,6,7,4,8,51,52,53,49,50,125,126,127,123,124,25,26,27,23,24,28,29</t>
  </si>
  <si>
    <t>,1,2,3,48,49,50,47,46</t>
  </si>
  <si>
    <t>go+mo1zibNWad66OtcRhsw==</t>
  </si>
  <si>
    <t>,1,8,9,10,6,7,2,11,4,3</t>
  </si>
  <si>
    <t>zBfmnXXFcpchFw6oU14PVQ==</t>
  </si>
  <si>
    <t>,91,92,93,94,95,96,97,98,99,100,101,102,103,104,105,106,107,108,109,110,111,112,113,114,115,116,117,118,119,120,121,122,123,124,125,126,127,128,129,130,131,132,133,134,135,136,137,138,139,140,141,142,143,144,145,146,147,148,149,150,151,152,181,182,183,184,185,186,187,188,189,190,191,192,193,194,228,229,230,227,226,231,232,233,234,235,236,237,238,239,240,241,242,243,244,245,246,247,248,249,250,251,252,253,254,255,256,257</t>
  </si>
  <si>
    <t>fsO6/revqhw=</t>
  </si>
  <si>
    <t>Strategic Directions for Career Services Within the University Setting : New Directions for Student Services, Number 148</t>
  </si>
  <si>
    <t>LB2343 -- .S773 2014eb</t>
  </si>
  <si>
    <t>,1,2,3,19,20,21,165,166,167,176,177,178,179,180,175,174,173,172,171,170,169,168,49,50,51,47,48,52,53,54,55,56,57,58,59,60,61,62,63,64,65,66,67,68,69,70,71,72,73,74,75,76,77,78,79,80,81,82,83,84,85,86,87,88,89,90</t>
  </si>
  <si>
    <t>,1,114,112,113,4,5,6,7,8,6,7,8,4,5,9,10,8,9,10,6,7,11,12,13,14,15,16,17,14,15,15,16,15,16,17,13,14,15,16,17,13,14,11,12,18,19,20,21,22,23,24,25,26,27,28,29,30,31,32,33,34,35,36,37,38,39,40,41,42,43,44,45,46,47,48,49,50,51,52,53,54,55,56,57,58,59,60,61,62,63,64,65,66,67,68,69,70,71,72,73,74,75,76,77,78,79,80,81,82,83,84,85,86,87,88,89,90,91,92,93,94,95,96,97,98,99,100,101,102,103,104,106,105,107,108,109,110,111,112,113,73,68,69,70,66,67,65,61,62,23,17,1,3,2,4,5,6,7,8,9,10,11,13,14,15,16,4,58,59,55,56,54,57</t>
  </si>
  <si>
    <t>,15,14,14,14,15,15,15,15,15,16,57</t>
  </si>
  <si>
    <t>,1,2,3,50,51,52,48,49,53,54,55,56,57,58,59,60,61,62,63,64,65,66,67,68,69,70,71,72</t>
  </si>
  <si>
    <t>Hvocylg57zk5wLt91mgKzA==</t>
  </si>
  <si>
    <t>,1,2,3,4,96,97,98,94,95,99,96,97,98,94,95,99,100</t>
  </si>
  <si>
    <t>wrJ1SrS8jv8=</t>
  </si>
  <si>
    <t>Learning the Language of Addiction Counseling</t>
  </si>
  <si>
    <t>,43,44</t>
  </si>
  <si>
    <t>RC564 -- .M536 2015eb</t>
  </si>
  <si>
    <t>,1,2,3,31,32,33,29,30,34,35,36,37,38,39,40,41,42</t>
  </si>
  <si>
    <t>,641,642,643,639,640,644,645,646,647,648,649,650,651,628,629,625,626,630,641,642,643,639,640,647,648,649,645,646,644,624,625,605,548,549,550,547,546,532,533,534,530,531,482,479,480,481,477,478,476,446,447,444,448,445,449</t>
  </si>
  <si>
    <t>,2,1,3,4</t>
  </si>
  <si>
    <t>Calculus II For Dummies</t>
  </si>
  <si>
    <t>,1,2,3,4,5,6,7,8,9,10,11,12,13,14,15,16,17,18,19,2,20,21,22,23,24,25,26,27,28,29,30,31,32,33,34,35,36,37</t>
  </si>
  <si>
    <t>QA303.2 -- .Z44 2012eb</t>
  </si>
  <si>
    <t>U2Ya2oBmVJB6JHtYE4R7R/vLmrF/tIei30V2wURpWZ4=</t>
  </si>
  <si>
    <t>Propellants and Explosives : Thermochemical Aspects of Combustion</t>
  </si>
  <si>
    <t>,1,2,3,6,3,4,5,7,8,9,10,11,12,13,18,19,20,21,22,23,24,25,27,28,29,26</t>
  </si>
  <si>
    <t>QD516 -- .K836 2015eb</t>
  </si>
  <si>
    <t>,1,2,3,340,341,337,338,7,8,9,5,6,135,136,137,133,134,138,139,140,141,142,143,144,145,563,564,565,561,631,632,633,629,641,642,643,639,640,644,150,151,152,148,149,157,164,167,147,153,154,165,170,171,172,168,169,173</t>
  </si>
  <si>
    <t>,1,2,3,153,154,155,151,152,156,157,158,159,160,161,162,163,164,165,1,165,166,167,163,164,2,168,169,170,171,172,174,175,176,173,177,178,179,180,181</t>
  </si>
  <si>
    <t>,494,491,494,497</t>
  </si>
  <si>
    <t>,494,494</t>
  </si>
  <si>
    <t>,1,3,2,8,28,39</t>
  </si>
  <si>
    <t>Play Therapy Interventions to Enhance Resilience</t>
  </si>
  <si>
    <t>,1,2,3,100,102,101,98,99,103,104,105,106,107</t>
  </si>
  <si>
    <t>,1,2,3,493,494,495,491,492,496,497,498</t>
  </si>
  <si>
    <t>Ghsq5J46m0SLUsdOmLMiBA==</t>
  </si>
  <si>
    <t>,153,154,155,151,152,156</t>
  </si>
  <si>
    <t>,1,2,3,153,154,155,151,152,156,157,150</t>
  </si>
  <si>
    <t>,60,61,62,63,64,65,66,67,68,69,70,71,72,73,74,75,76,77,78,79,80,81,82,83,84,85,86</t>
  </si>
  <si>
    <t>,1,2,3,21,22,23,19,20,24,25</t>
  </si>
  <si>
    <t>,60,61,62,58,59,64,66,82,83,84,80,81,95,92,90,91,88,89,87,85,86,81,80,88,89,90,87,91,93,92,60,61,62,58,59,60,61,62,58,63,59,66,63,64,65,58,59,87,88,89,85,86,84</t>
  </si>
  <si>
    <t>,62,63,64,65,66,67,68,69,70,71,72,73,74,75,76,77,78,79,80,81,82,83,84,85,86,87,88,59,60,61,62,59,60,61,62,59,60,61,62,63,64,65,66,67,68,69,70,71,72,73,74,75,76,77,78,79,80,81,82,83,84,85</t>
  </si>
  <si>
    <t>,1,2,3,5,7,4,6,8,60,61,62,58,59,63,60,64,87,88,89,85</t>
  </si>
  <si>
    <t>20tpereira</t>
  </si>
  <si>
    <t>,39,39,40,1,40,1,41</t>
  </si>
  <si>
    <t>10.36.81.54</t>
  </si>
  <si>
    <t>,1,3,2,4,5,6,7,8,60,61,62,58,59</t>
  </si>
  <si>
    <t>,1,2,2,3,3,1,2,2,36,36,37,37,38,38,34,35,35,39,39</t>
  </si>
  <si>
    <t>,1,2,3,125,126,127,124,123,128,126,127,124,125,129,130,131,132,133,128,134,135,136,138,139,141,133,134,137,140,142,143</t>
  </si>
  <si>
    <t>,4,46,119,142</t>
  </si>
  <si>
    <t>,13,14,15,16,17,18,19,19</t>
  </si>
  <si>
    <t>,1,3,2,4,5,16,17,18,6,7,8,1,6,7,8,9,10,11,12</t>
  </si>
  <si>
    <t>,1,2,3,6,7,8,5,4</t>
  </si>
  <si>
    <t>Death Penalty, Volume I</t>
  </si>
  <si>
    <t>,1,2,3,4,5,6,8,9,10,7,4,3,1,9</t>
  </si>
  <si>
    <t>HV8698 -- .D4713 2014eb</t>
  </si>
  <si>
    <t>,1,3,2,7,8,5,4,6</t>
  </si>
  <si>
    <t>,1,3,2,4,5,6,7,8,9,10,11,12,13,15,16,17,14,18,19,20,21,22</t>
  </si>
  <si>
    <t>,1,2,3,4,5,6,7,12,14,44,45,46,42,43,27,5</t>
  </si>
  <si>
    <t>,8,1,9,10,6,7,4,5,2,20,21,22,18,19</t>
  </si>
  <si>
    <t>,1,42,43,44,40,41,2,1,3,45,46</t>
  </si>
  <si>
    <t>twb/5BjUui9OUV4YJh4unw==</t>
  </si>
  <si>
    <t>Play Therapy with Children and Adolescents in Crisis, Fourth Edition</t>
  </si>
  <si>
    <t>,1,3,2,4,5,7,6,8,9,10,11,12,13,15,14,16,10,16,17</t>
  </si>
  <si>
    <t>RJ505.P6 P56 2015</t>
  </si>
  <si>
    <t>618.92/891653</t>
  </si>
  <si>
    <t>,228,229,230,231,232,233,234,235,236,237,238,239,240,241,242</t>
  </si>
  <si>
    <t>,1,2,3,47,48,49,45,46,207,208,209,205,206,210,211,212,213,214,215,216,217,218,219,220,221,222,223,224,225,226,227</t>
  </si>
  <si>
    <t>,1,2,3,208,209,210,206,207,211,205,212,213,214,215,216,217,218,219,214</t>
  </si>
  <si>
    <t>,211,212</t>
  </si>
  <si>
    <t>S9j4+oBvZo3AWwPH4vi+1w==</t>
  </si>
  <si>
    <t>,1,2,3,128,129,130,126,127,107,108,109,105,106,158,159,160,156,157,162,163,164,161,165,166,167,155,154,153,152,150,151,149,148,147,146,145,144,143,142,141,140,139,138,136,107,108,109,105,106,110,111,112,113,114,115,116,117,118,119,120,121,128,129,130,126,127,131,126,125,124,123,122,120,107,108,109,105,106,110,162,163,164,160,161,165,166,167,142,143,144,140,141,145,146,147,142,106,107,108,109,105</t>
  </si>
  <si>
    <t>LWxbHSQRFXRGp7vJ+6td+g==</t>
  </si>
  <si>
    <t>,64,65,66,67,68,69,59,60,70,71,57,58,56,54,55,61,62,87,88,89,85,86,87,60,61,60</t>
  </si>
  <si>
    <t>,1,2,3,207,208,209,205,210,211,212,213,214,215,216,217,217,1,218,219,215,216,2,214,213,220,221,222,223,224,225,226,227,228,229,230,231,232,233,234,235,236,237,238,239,240,241,242,243</t>
  </si>
  <si>
    <t>,1,2,3,4,362,363,364,365,366,367,368,369,370,371,372,373,374,375,376,377,378,379,207,208,209,205,206,210,211,212,213,214,215</t>
  </si>
  <si>
    <t>,1,2,3,5,9,10,11,7,8,60,61,62,58,59,68,72,73,74,70,71,75,76,77,78,79,63</t>
  </si>
  <si>
    <t>,1,2,3,75,76,77,73,78,74,79,80,107,108,109,105,106,110,111,112,113,114,115,116,117,118,119,120,121,122,123,124,125,126,127,128,129,130,131,132,133,134,135,136,137,138,139,140,141,142,143</t>
  </si>
  <si>
    <t>,1,3,2,164,165,166,162,163,161,167,168,218,221,220,231,223,222,219,217,216,215,214,212,208,207,175,174,176,177,178,179,180,181,182,183,184,185,186,187,133,134,135,131,132,133,130</t>
  </si>
  <si>
    <t>,133</t>
  </si>
  <si>
    <t>,1,2,3,306,307,308,304,305,309,323,324,325,321,322,326,327,328,329,330,332,333,334,331,335,336,337</t>
  </si>
  <si>
    <t>La/O9g5EOi+e7D9BoSowxw==</t>
  </si>
  <si>
    <t>,1,2,3,98,99,100,97,96,101,102,107,108,109,106,110</t>
  </si>
  <si>
    <t>,1,2,3,122,123,124,120,121,119,118,117,116,115,114,113,112,111,110,109,108,107,106,105,145,156,157,158,155,154,153,152,151,150,149,148,147,146,144,143,142,141,140,139,138,136,137,135,133,134,132,130,131,127,126,101,103,104,102,100,99,98,97,96,95,94,92,93,75,76,77,74,73,78,48,49,50,46,47</t>
  </si>
  <si>
    <t>,1,2,3,207,208,209,205,206,207,208,209,205,206,2,210,210,1,212,211,208,209,217,218,219,216,215,2,220,221,222,223,224,222,223,224,220,221,219,1,219,221,220,217,218,215,216,233,234,235,232,231,233,234,2,235,231,232,236</t>
  </si>
  <si>
    <t>ljCYcj3Bry0=</t>
  </si>
  <si>
    <t>Dawkins' God : From The Selfish Gene to The God Delusion</t>
  </si>
  <si>
    <t>BT1103 -- .M347 2015eb</t>
  </si>
  <si>
    <t>261.5/5</t>
  </si>
  <si>
    <t>,1,2,3,164,165,166,162,163,167</t>
  </si>
  <si>
    <t>Women in the Middle East : Past and Present</t>
  </si>
  <si>
    <t>,1,2,3,246,247,248,244,245,249</t>
  </si>
  <si>
    <t>HQ1726.5 -- .K43 2007eb</t>
  </si>
  <si>
    <t>,1,2,3,1,2,3,207,208,209,205,206,210,211,212,213,214,215,216,217,218,219,220,221,222,223,224,225,226,227,228,229,230,231,232,233,234,235,236,237,238,239,240,241,242,243,228,229,207,208,209,205,210,211,212,213,214,215,216,217,218,219,220,221,222,16,18,206</t>
  </si>
  <si>
    <t>,223,225,229,214,218</t>
  </si>
  <si>
    <t>,1,2,3,79,80,81,77,82,78,83,84,85,86,87,88,89,90,91,92,93,94,95,96,97,98,99,100,101,102,103,104,105,106,107,387,388,389,385,386,390,391,100,101,102,103,99,104,97,95,84,85,86,82,83,81,80,79,87,88,89,90</t>
  </si>
  <si>
    <t>,1,2,3,53,54,55,51,52,56,57,58,59,60,61,59,60,61,57,58,62,63,64,65,66,67,68,69,70,71,72,73,74,75,76,77,78,79,80,81,82,83,84,85,86,87,88,89,90,91,92,93,94,95,1,95,96,97,93,94,101,102,103,99,100,104,2,105</t>
  </si>
  <si>
    <t>q9fKy+Nk50LGyy6T4CpbpA==</t>
  </si>
  <si>
    <t>,1,2,3,4,7,8,10,13,11,9,6,5,12,14,15,16,17,18,20,23,24,25,26,28,29,30,27,31,32,33,31,34,22,21,19</t>
  </si>
  <si>
    <t>,1,2,3,4,5,6,7,8,10,12,13,14,11,11,1,12,13,9,10,15,16,17,18,2,19,20,21,22,23,24,25,26,30,32,33,34,31,29,28,27,35,36,37,38,39,40,41,42,43,44,45,46,47,48,49,50,51,52,53,54,55,56,57,58,59,60,61,62,63,64,65,66,67,68,69,70,71,72,73,74,75,76,77,78,79,80,81,82,83,84,85,86,87,88,89,90,91,92,93,94,95,96,97,98,99,100,101,102,103,104,105,106,107,108,109,110,111,112,113,115,116,117,118,119,120,121,123,124,125,122,129,131,128,127,132,133,134,135,136,137,138,139,140,141,142,143,145,146,147,148,149,150,151,152,153,154,155,156,157,158,159,160,161,162,163,164</t>
  </si>
  <si>
    <t>,116,117,118,119,120,121,122,123,124,125,111,1,111,112,113,109,110,2,114,115,116,117,118,119,120,121,122,123,124,125,126,127,128,129,130,131,132,133,134,135,136,137,138,139,140,141,142,143,144,145,146,147,148,149,150,151,152,153,154,155,156,157,158,159,387,388,389,385,386,390,384,162,163,164,160,161,165,166,167,7,8,9,5,13,14,15,11,12,16,17,18,19,20,21,22,161,168,159,160,158,157,156,155,154,153,152,151,150,387,388,389,385,386,390,391,80,81,82,83,79,84,85,86,88,89,90,87,91,92,93,94,95,96,97,98,99,100,101,102,103,104,105,106,107,108,402,403,398,399,400,396,401,397,164,165,166,162,163,167,169,170,392,393</t>
  </si>
  <si>
    <t>,1,2,3,5,15,16,17,13,14,18,19,107,108,109,105,106,110,108,109,110,106,107,111,112,113,114,115</t>
  </si>
  <si>
    <t>,122,123,124,125,126,127,130,128,131,134,135,138,140,141,142,129</t>
  </si>
  <si>
    <t>,1,2,3,115,116,117,113,114,115,116,117,114,113,118,119,120,121</t>
  </si>
  <si>
    <t>Llaj1Orahk0=</t>
  </si>
  <si>
    <t>,23,24,25,21,22,26,27,28,29,30,31,32,33,34,36,26,19,20,21,17,18,1,4,6,7,8,9,5,12,13,23,24,25,21,22,26,27,28,23,22,21,20,26,6,5,1,8,7,16,20,18,19,27,11,1,6,7,3,4,8,9,124,173,175,174,177,171,176,178,172,170</t>
  </si>
  <si>
    <t>QNjxqPuNFPMstvkJjZiX7A==</t>
  </si>
  <si>
    <t>,59,60,61,62,63,64,65,66,67,68,69,70,71,72,73,74,75,76,77,78,79,80,81,82,83,84,85</t>
  </si>
  <si>
    <t>,1,2,3,4,5,6,7,8,10,9,11,12,13,14,15,16,17,18,19,20,21,22,23,24,25,13,1,2,3,4,5,6,7,8,9,10,11,12,14,15,16,17,18,19,20,21,22,23,24,25,26,27,28,29,30,31,32,33,34,35,36,37,38,39,40,41,42,43,44,45,46,47,48,49,50,51,52,53,54,55,56,57,58,59,60,61,62,63,64,65,66,67,68,69,70,71,72,73,74,75,76,77,78,79,80,81,82,83,84,86,85,87,88</t>
  </si>
  <si>
    <t>,1,3,2,1,2,3,4</t>
  </si>
  <si>
    <t>O4GBEMtGRRodWa1CdwHLvQ==</t>
  </si>
  <si>
    <t>,1,2,3,441,439,438,433,431,436,437,435,434,432,430,440,443,442,444,445,446,447,448,449,450,451,452,454,455,456,459,460,461,437,430,431,430,429,680,681,677,678,679,672,1,1,1,14,411,411,411</t>
  </si>
  <si>
    <t>sqfwLWE3Ff3WFZ/LGoXcFw==</t>
  </si>
  <si>
    <t>LI0MhFFwu8wyFZLypOsyNw==</t>
  </si>
  <si>
    <t>Cheap on Crime : Recession-Era Politics and the Transformation of American Punishment</t>
  </si>
  <si>
    <t>HV9471 -- .A957 2015eb</t>
  </si>
  <si>
    <t>dxAQ4bFYQia1kYSu4OH/Dw==</t>
  </si>
  <si>
    <t>,1,2,3,60,61,62,63,59,77,103,109,123,129,130,131,132,2,133,134,135,136,137,87,88,89,85,86,60,61,62,58,59</t>
  </si>
  <si>
    <t>,1,2,3,4,5,6,7,8,9,10,11,12,13,14,15,16,17,18,19,20,21,22,23,24,25,26,27,28,29,56,57,58,59,60,61,62,63,64,65,66,67,68,69,70,71,72,73,74,75,76,77,78,79,80,81,82,83,84,85,86,87,88,89,90,91,92,93,94,95,96,97,98,99,100,101,102,103,104,105,106,107,108,109,110,111,112,113,114,115,274,275,276,277,278,279,280,281,282,283,284,285,286,287,288,289,290,291,292,293,294,295,296,297,298,299,300,301,302,303,304,305,306,307</t>
  </si>
  <si>
    <t>,199,199,200,200,201,201,202,202,203,203,204,204,205,205,206,206,207,208,209,210,211,212,213,214,213,215,215,214,216,217,216,217,218,218,219,220,219,220,221,221,222,223,224,225,226,221</t>
  </si>
  <si>
    <t>,1,2,3,174,175,176,172,173,177,194,195,196,192,193,197,198,199,200,201,202,203</t>
  </si>
  <si>
    <t>,2,15,59,61,89</t>
  </si>
  <si>
    <t>,1,2,3,4,9,10,7,1</t>
  </si>
  <si>
    <t>,1,2,3,164,165,166,167,163,168,169,170</t>
  </si>
  <si>
    <t>,1,2,2,3,3,1,4,4,5,5,133,134,135,134,133,135,132,132,2,131,159,160,161,159,160,157,161,158,158,170,171,172,170,168,172,171,169,169,256,257,258,257,256,254,258,255,255,241,242,243,241,239,242,240,243,240,224,225,224,226,225,226,222,223,223,210,211,210,212,211,212,208,209,209,207,195,196,195,196,193,197,194,197,194,198,198</t>
  </si>
  <si>
    <t>,1,2,3,4,119,120,121,117,118,122,123,124,26,27,196,167,168,142,143,144,140,141</t>
  </si>
  <si>
    <t>paF4cdeNxUYqsV53eSlnAw==</t>
  </si>
  <si>
    <t>Designing Interiors</t>
  </si>
  <si>
    <t>Fine Arts; Architecture</t>
  </si>
  <si>
    <t>,1,3,2,4,5,6,657,656,655,1,3,4,5,6,7,8,9,10,11,12,13,14,15,16,17,18,20,19,21,22,23,24,25,26,27,28,29,30,31,32,33,34,35,36,37,38,39,41,42,40,43,44,45,46,47,49,48,50,51,52,53,54,55,56,57,58,59,60,61,62,63,64,65,66,67,69,68,70,71,72,73,74,75,76,77,78,79,80,81,82,83,84,85,80,79,84,85,86,87,88,89,90,91,92,93,94,95,90,95,96,97,98,99,100,100,101,102,103,104,105,99,104,105,106,107,108,109,110,111,112,114,113,115,116,117,118,113,112,111,110,109,108,107,106,105,104,103,102,101,100,99,98,97,96,95,94,93,92,91,90,89,95,96,97,98,99,100,101,102,103,104,105,106,107,108,109,110,111,112,113,114,115,116,117,118,119,120,121,122,123,124,125,126,127,128,123,129,130,131,132,133,134,128,127,126,125,124,123,122,121,120</t>
  </si>
  <si>
    <t>NK2110</t>
  </si>
  <si>
    <t>,58,59,60,61,62,63,64,65,66,67,68,69,70,71,72,73,74,75,76,77,78,79,80,81,82,83,84,85,86,87,88</t>
  </si>
  <si>
    <t>,1,2,3,4,5,6,7,8,9,10,11,12,13,14,15,16,17,18,19,20,21,41,42,43,44,40,39,54,55,56,57,53,52,51,50,49,48,47</t>
  </si>
  <si>
    <t>,1,2,3,207,208,209,205,206,207,208,209,205,210,2,211,211,1,209,210,212,213,2,214,215,216,217,218,219,220,221,233,234,235,231,232</t>
  </si>
  <si>
    <t>American Medical Association Guide to Home Caregiving</t>
  </si>
  <si>
    <t>RA645.3.A4595 2001eb</t>
  </si>
  <si>
    <t>362.1/4</t>
  </si>
  <si>
    <t>,5,6,7,4,21,22,20,18,19,28,29,25</t>
  </si>
  <si>
    <t>7rs61ohY5xc=</t>
  </si>
  <si>
    <t>Cybercrime and Cyber Warfare</t>
  </si>
  <si>
    <t>,1,3,2,79,80,81,77,78,82,83,84,85</t>
  </si>
  <si>
    <t>HV6773 -- .B476 2014eb</t>
  </si>
  <si>
    <t>Medical Career Basics Course For Dummies, 2 eBook Bundle : Medical Ethics For Dummies &amp; Clinical Anatomy For Dummies</t>
  </si>
  <si>
    <t>R724</t>
  </si>
  <si>
    <t>Anesthesia Complications in the Dental Office</t>
  </si>
  <si>
    <t>RK510 -- .A547 2015eb</t>
  </si>
  <si>
    <t>617.9/676</t>
  </si>
  <si>
    <t>Hospital-Based Palliative Medicine : A Practical, Evidence-Based Approach</t>
  </si>
  <si>
    <t>R726.8 -- .H67 2015eb</t>
  </si>
  <si>
    <t>616.02/9</t>
  </si>
  <si>
    <t>Practical Medical Procedures at a Glance</t>
  </si>
  <si>
    <t>RC48 -- .P733 2015eb</t>
  </si>
  <si>
    <t>KWgsvHRELu6phI70wmenJw==</t>
  </si>
  <si>
    <t>,1,2,3,8,9,10,6,7,11,12,13,14,15,16,17,18,19,20,21,22,23,24,25</t>
  </si>
  <si>
    <t>,1,2,3,107,108,109,105,106,110,111,112,113,114,115,116</t>
  </si>
  <si>
    <t>MtPq+tT8ET7WOGbGEeZ2hw==</t>
  </si>
  <si>
    <t>Art of Company Valuation and Financial Statement Analysis : A Value Investor's Guide with Real-life Case Studies</t>
  </si>
  <si>
    <t>HG4529 -- .S36 2014eb</t>
  </si>
  <si>
    <t>,1,2,3,72,73,74,71,70,82,83,84,80,81,76,77,78,75,79,69,67,68,94,95,96,92,93</t>
  </si>
  <si>
    <t>,69,70,71,72,73,74,75,76,77,78,79,80,81,82,83,84,85,86,87,88,89,90,91,92,93,94,95,96,97,98,99,100,101,102,103,104,105,106,107,108,109,110,111,112,113,114,115,116,117,118,119,120,121,122,123,124,125,126,127,128,129,130,131,132,133,134,151,152,69,70,71,72,73,74,75,76,77,78,79,80,81,82,83,84,85,86,87,88,89,90,91,92,93,94,95,96,97,98,99,100,101,102,103,104,105,106,107,108,109,110,111,112,113,114,115,116,117,118,119,120,121,122,123,124,125,126,127,128,129,130,131,132,133,134,151,152</t>
  </si>
  <si>
    <t>,1,459,460,461,457,458,2,462,463,464,465,466,467,468,469,470,471,472,473,474,475,476</t>
  </si>
  <si>
    <t>,72,73,74,76,77,78,75</t>
  </si>
  <si>
    <t>,1,2,3,69,70,71,67,68,120,121,122,118,119</t>
  </si>
  <si>
    <t>,1,3,2,4,11,324,323,325,321,322,326,327,328,329</t>
  </si>
  <si>
    <t>,38,39,33,34,38,39,40,41</t>
  </si>
  <si>
    <t>,1,2,3,316,317,318,319,320,321,313,314,315,312,316,317,318,319,320,321,303,304,305,321,3,4,1,5,6,9,10,11,7,8,12,13,14,15,16,17,18,19,20,24,25,26,27,23,28,29,30,35,36,37</t>
  </si>
  <si>
    <t>,1,2,3,89,90,91,87,88,92,93,94,95,96</t>
  </si>
  <si>
    <t>,1,2,3,4,5,6,8,9,10,11,7,12,13,14,15,16,17,20,21,22,23,19,24,25,26,27,28,29,30,30,1,31,32,28,29,60,61,62,58,59,63,2,57,56,55,54,66,67,68,64,65,69,30,31,1,32,28,29,2</t>
  </si>
  <si>
    <t>,416,417,418,419,420,421,422,423,424,425,426,427,428,429,430,413,416,417,418,419,420,421,422,423,424,425,426,427,428,429</t>
  </si>
  <si>
    <t>,413</t>
  </si>
  <si>
    <t>,1,2,3,313,315,314,311,312,310,316,317,197,198,199,196,195,413,414,415,411,412</t>
  </si>
  <si>
    <t>Image, Text, Architecture : The Utopics of the Architectural Media</t>
  </si>
  <si>
    <t>NA2599.5 .W55 2015</t>
  </si>
  <si>
    <t>Baroque in Architectural Culture, 1880-1980</t>
  </si>
  <si>
    <t>NA680 .B33 2015</t>
  </si>
  <si>
    <t>724''.16; 724/.16</t>
  </si>
  <si>
    <t>Transcultural Architecture : The Limits and Opportunities of Critical Regionalism</t>
  </si>
  <si>
    <t>NA682.R44 B68 2015</t>
  </si>
  <si>
    <t>724''.6</t>
  </si>
  <si>
    <t>,1,159,160,161,157,158,162,163,2,164,165,166,167,168,169,170,171,172,173,174,175,176,177,178,179,180</t>
  </si>
  <si>
    <t>,151,1,152,148,149,2,153,154,155,156,157,158,159,160,161</t>
  </si>
  <si>
    <t>Spain : Updated Edition</t>
  </si>
  <si>
    <t>,1,2,3,2,3,1,4,4,5,6,5,6,7,7,2,1,2</t>
  </si>
  <si>
    <t>DP17 -- .P38 2012eb</t>
  </si>
  <si>
    <t>,50,1,52,51,48,49,53,2,54,55,56,57,58,59,60,61,62,63,64,65,66,67,68</t>
  </si>
  <si>
    <t>,1,35,37,36,33,34,38,39,40,2,41,42,43,44,45,46,47</t>
  </si>
  <si>
    <t>,1,2,3,4,1,2,3,1,2,3</t>
  </si>
  <si>
    <t>,1,2,3,2,3,1,4,4,5,5,6,6,7,7,8,2,8,9,9,10,6,10,5,4,7,8,9,100,100,101,101,103,103,73,74,73,75,75,74,71,72,72,76,77,76,77,78,78,79,79,80,80,81,81,82,82,83,83,84,84,85,86,85,86,87,87,88,88,89,89,84,83,82,87,82,87</t>
  </si>
  <si>
    <t>,1,2,3,164,165,166,162,163,167,168,168,1,170,169,166,167,107,108,109,105,106,2,142,143,144,140,141,139,138,137,144,145,164,165,162,163,108,109,105,106,110,111,165,162,163,105,106,110,111,112,113,114,115,116,162,163,105,106,114,115,116,162,163,105,106,115,116,117,118,119,117,118,119,120,121,162,163,80,81,82,78,79,83,84,85,86,87,88,89,90,91,92,93,94,95,96,97,98,90,91,92,93,94</t>
  </si>
  <si>
    <t>StwuTTi61MA=</t>
  </si>
  <si>
    <t>History of the Ancient Near East, ca. 3000-323 BC</t>
  </si>
  <si>
    <t>DS62.2 .V34 2015</t>
  </si>
  <si>
    <t>939/.4</t>
  </si>
  <si>
    <t>,12,13,14,15,16,17,18,19,20,21,22,23,24,25,26,27,28,29,30,31,32,33,34,35,36,37,38,39,40,41,42,43</t>
  </si>
  <si>
    <t>,41,41,42,42,42,43,174,43,208,209,209,680,679,678,677,678,679,680,681,682,683,684,685,686,687,687,687,679,679,678</t>
  </si>
  <si>
    <t>,1,2,3,4,2,5,17,27,30,41,30,30</t>
  </si>
  <si>
    <t>,1,2,3,15,16,17,14,13,18,19,20,21,22,23,24,25,26,27,28,29,30,31,32,1,32,33,34,30,31,2,35,36,37,38,39,40,41,42,43,44,45,46,1,46,47,48,45,44,2,43,42,49,50,41,40,38,39</t>
  </si>
  <si>
    <t>nT//Zc9FoqIIRAGmz5hiuw==</t>
  </si>
  <si>
    <t>,1,2,3,37,36,34,38,35,76,78,74,77,75,79</t>
  </si>
  <si>
    <t>,1,2,3,80,81,82,78,79,2,83,84,85,86,87,88,89,90,91,92,93,94,95,96,97,98,99,100,101,102,103,104</t>
  </si>
  <si>
    <t>,1,2,3,475,476,477,473,474,478,479,480,481,482</t>
  </si>
  <si>
    <t>,1,2,3,475,476,477,474,473</t>
  </si>
  <si>
    <t>,1,2,3,1,4,5,2,3,128,129,130,126,127,107,108,109,105,106,110,111,112,113,114,115,116,117,118,119,120,121,122,123,124,125,131,132,133,134,135,136,137,138,139,140,141,142,143,144,145,164,165,166,162,163,167,161,107,108,109,105,106,110,111,112,113,114,115,116,117,118,119,120,162,168,142,143,144,140,141,145,146,147,148,149,150,151,152,153,158,159,160,156,157,161,169,170</t>
  </si>
  <si>
    <t>LHXDkqMFhpXL9G07mhV16w==</t>
  </si>
  <si>
    <t>,180,181,179,177,178,160,161,159,158,162,113,114,115,111,112,116,75,76,73,77,74,24,25,26,22,23</t>
  </si>
  <si>
    <t>,1,2,3,107,108,109,105,106,110,111,112,113,114,115,116,117,118,119,120,120,1,122,121,118,119,123,2,124</t>
  </si>
  <si>
    <t>,1,2,3,184,186,185,182,183,190,199,170,169,187</t>
  </si>
  <si>
    <t>,1,2,3,1,9</t>
  </si>
  <si>
    <t>,1,2,3,107,108,109,105,106,104,110,111,112,113,114,115,116,117,118,119,120,121,122,123,124,126,127,127,1,128,129,125,126,2,124,123,122,121,120,119,118,117,116,115,114,113,112,111,110,109,108,107,106,105,104,142,143,144,140,141,130,131,132,133,134,135,136,137,138,139,107,108,109,106,105,110,111,112,113,114,115,116,117,118,119,120,121,122,123,124,125,126,127,128,129,130,144,138,137,136,135,134,133,132,131,145,146,147,148,149,150,151,152,153,154,155,156,157,158,159,160,382,383,384,385,387,388,389,386,390,390,1,391,392,388,389,2,393,394,397,398,387,385,386,161,162,163,164,165,166,167,398,399,400,396,397,401,402,403,404,120,119,118,107,108,109,105,106,142,143,144,140,141,145,146,147,148</t>
  </si>
  <si>
    <t>HIu0+dPbyb3UqVT24ixEXg==</t>
  </si>
  <si>
    <t>,1,2,3,4,5,6,7,8,9,10,11,12,13,14,15,16,17,18,19,20,21,22,23,24,25,26,27,28,29,30,31,32,33,34,35,36,37,38,39,40,41,42,43,44,45,46,47,48,49,50,51,52,53,54,55,56</t>
  </si>
  <si>
    <t>,146,147,148,149,165,166,167,168</t>
  </si>
  <si>
    <t>,1,2,3,164,165,166,162,163,167,168,169,170</t>
  </si>
  <si>
    <t>Getting Over OCD : A 10-Step Workbook for Taking Back Your Life</t>
  </si>
  <si>
    <t>,316,316,317,317,318,318,319,319,314,313,312,311,310,312,312,312,313,1,312,1,2,3,4,5,6,5,7,6,7,8,8,9,9,7,10,10,11,11,12,13,13,12,14,14,15,15,16,16,17,17,18,18,19,19,14,7,13,18,19,20,20,21,21,22,22,23,24,23,24,25,25</t>
  </si>
  <si>
    <t>RC533 -- .A273 2009eb</t>
  </si>
  <si>
    <t>,1,1,2,1,2,3,3,4,4,313,314,314,313,315,315,2,311,312,312</t>
  </si>
  <si>
    <t>,1,2,3,207,208,209,205,206,210,217,218,219,216,215,217,214,215,213,212,211,210,207,208,209,205,206,218,219,216,220,221,222,223,224,225,220,219,218,217,216,215,214,220,221,222,213,212,211,210,209,207,208,205,206,223,224</t>
  </si>
  <si>
    <t>,216,215,214,213,212,211,210,209,208,207,206,205,221,222,206,205,206,221,222,223,224,225,226,227,228,229,230,231,232,233,234,235,236,237,238,239,240,233,234,235,226,225,224,223,222,221,220,219,218,217,216,215,214,213,220,221,222,223</t>
  </si>
  <si>
    <t>,225,229,230,217,218,220,219</t>
  </si>
  <si>
    <t>,1,1,3,1,2,3,2,4,5,4,6,5,6,2,2,15,16,15,17,16,17,13,14,14,15,18,18,19,19,17</t>
  </si>
  <si>
    <t>,158,160,159,156,157,160,156,157,168,169,170,107,108,109,105,106,110,111,112,113,114,115,116,117,118,119,118,119,169,170,19,20,21,17,18,128,129,130,126,127,131,132,133,134,135,137,138,139,140,141,142,143,144,145,146,147,148,149,150,151,152,153,154,155,162,161,1,161,162,163,160,159,2,53,54,55,51,52,56,57,58,59,60,61,62,63,64,65,66,67,68,69,70,1,70,71,72,68,69,73,74,2,75,76,77,78,79,80,81,82</t>
  </si>
  <si>
    <t>,1,2,3,208,209,210,207,206,211,212,213,214,215,216,217,218,219,220,221,222,223,224,225,226,227,228,229,230,231,232,233,234,235,236,237,238,239,240,241,242</t>
  </si>
  <si>
    <t>BXDaZba/dQzgWCyiV5Widw==</t>
  </si>
  <si>
    <t>,179,180,181,182,183,184,185,186,187,188</t>
  </si>
  <si>
    <t>,1,2,3,161,162,163,159,160,164,165,166,167,168,169,170,171,172,173,174,175,176,177,176,177,178</t>
  </si>
  <si>
    <t>,1,2,3,4,5,13,14,15,11,12,16,17,18,19,20,21,22,12,10,8,7,5</t>
  </si>
  <si>
    <t>,1,2,3,107,108,109,105,106,110,111,112,113,114,109,107,108,105,106,115</t>
  </si>
  <si>
    <t>tmFoQh6Xz6O6hPPm1XudIw==</t>
  </si>
  <si>
    <t>,57,56,56,55,54,53,51,53,51,50,52,50,49,52,48,49,46,47,47,45,41,43,42,42,43</t>
  </si>
  <si>
    <t>,1,2,3,2,3,1,2,2,4,4,5,5,6,6,1,60,61,62,58,60,59,62,61,59,63,63,64,64,65,65,60,59,63,65,66,67,66,67,68,69,68,69,70,71,72,70,71,72,67,72,73,73,74,74,75,76,77,75,72,76,77,77,78,78,79,79,80,80,81,82,81,82,83,83,84,84,78,79,74,75,76,87,88,89,87,85,88,89,86,86,84,89,83,82,81,80,79,78,77,76,75,74,73,72,71,70,69,68,67,66,65,64,63,67,62,61,59,60,58,57,62</t>
  </si>
  <si>
    <t>21BbidOQa+bGEa5+ghZpVg==</t>
  </si>
  <si>
    <t>When You're NOT Expecting : An Infertility Survival Guide</t>
  </si>
  <si>
    <t>RC889.S485 2010eb</t>
  </si>
  <si>
    <t>618.1/78</t>
  </si>
  <si>
    <t>Mother of All Pregnancy Books</t>
  </si>
  <si>
    <t>RG525.D667 2002eb</t>
  </si>
  <si>
    <t>Menstruation and Procreation in Early Modern France</t>
  </si>
  <si>
    <t>QP263 -- .M335 2015eb</t>
  </si>
  <si>
    <t>612.6/620944</t>
  </si>
  <si>
    <t>,277,278,279,275,276,280,281,274,273,272,271,270,108,109,110,107,106,103,104,105,101,102,100,99,98,54,55,56,52,53,49,50,51,47,48,44,45,46,42,43,41,40,13,14,15,11,12,9,10,7,8,5,6,4,3,1</t>
  </si>
  <si>
    <t>,4,5,6,7,559,560,561,557,558,593,594,591,592,152,153,154,149,150,151,147,148,56,57,58,54,55,52,53,50,51,48,49,46,43,44,45,42,40,39,41,37,38,36,35,34,33,31,32,29,28,30,27,25,26,24,23,9,10,11,7,8,6</t>
  </si>
  <si>
    <t>History of Family Planning in Twentieth-Century Peru</t>
  </si>
  <si>
    <t>HQ766.5.P4 -- .N43 2014eb</t>
  </si>
  <si>
    <t>363.9/609850904</t>
  </si>
  <si>
    <t>,1,2,3,4,5,6,7,8,9,10,11,12,13,14,14,15,16,12,17,18,13,11,10,8,7,6,5,134,136,137,138,139,140,141,142,143,144,483,484,485,481,482,480,321,318,322,319,320,183,104,1,1</t>
  </si>
  <si>
    <t>,1,1,1,1</t>
  </si>
  <si>
    <t>,1,2,3,4,5,250,251,252,248,249,274,275,273,272,270,271,267,268,269,265,266,263,264,261,262,259,260,256,254,255,252,253,251,249,250,248,57,58,59,55,56</t>
  </si>
  <si>
    <t>,111,112,113,114,115,116,117,118,119,120,121,122</t>
  </si>
  <si>
    <t>,61,62,63,64,65,66,67,68,69,70,71,72,73,74,75</t>
  </si>
  <si>
    <t>,1,2,3,50,51,52,48,49,53,54,55,56,57,58,59,60</t>
  </si>
  <si>
    <t>ROq5QZFJI7pUW0mNFSa7cA==</t>
  </si>
  <si>
    <t>,1,2,3,25,26,27,28,29,30,31,32,33,34,35,36,37,38,39,40,41,42,43,44,45,46</t>
  </si>
  <si>
    <t>,1,2,3,106,107,108,104,105,109,110,111,112,164,165,166,162,163,167,168,169,170,4,158,159,160,156,151,152,153,149,150,155,142,143,144,140,141,139,137,138,145,146,147,148</t>
  </si>
  <si>
    <t>0wXRWSocvxiKBiPuA/YbRw==</t>
  </si>
  <si>
    <t>,1,3,2,266,267,268,264,265,270,282,284,285,286,287,283,281,280,279,278,277,276,274,272,273,271,269,263,262,261,259,260,230,231,232,228,229,204,205,206,202,203,207,208,209,210,211,212,213,214,215</t>
  </si>
  <si>
    <t>66gqyByT8oUkT4D3vL5j9A==</t>
  </si>
  <si>
    <t>Complete Book of Framing : An Illustrated Guide for Residential Construction</t>
  </si>
  <si>
    <t>,1,2,3,22,23,24,25,21,26,27,28,29,286,287,283,282,280,279,133,98,64,159,37</t>
  </si>
  <si>
    <t>TH2301 -- .S483 2012eb</t>
  </si>
  <si>
    <t>HOGGj19VuhT/t0agv7o4qA==</t>
  </si>
  <si>
    <t>ylU+/xfAvMU=</t>
  </si>
  <si>
    <t>,1,2,3,32,33,34,30,31,40,41,42,38,39,44,45,46,43,47,48,49,29,10,6,7,8,4,5,1,2,3,4,5,6,7,8,2,1,3</t>
  </si>
  <si>
    <t>,1,2,3,107,108,109,105,106,110,111,112,113,114,115,116,117,118,119,120,121,122,123,124</t>
  </si>
  <si>
    <t>,29,30,31,27,28,32,33,34,3,49</t>
  </si>
  <si>
    <t>,43,1,45,44,41,42,2,46,47,48</t>
  </si>
  <si>
    <t>,210,1,2,3,207,208,209,205,206,210,211</t>
  </si>
  <si>
    <t>,1,2,3,207,208,209,205,206</t>
  </si>
  <si>
    <t>sKDQ1afELqA=</t>
  </si>
  <si>
    <t>Social Media Bible : Tactics, Tools, and Strategies for Business Success</t>
  </si>
  <si>
    <t>,5,6,7,8,9,10,11,12,13,14,15,16,17,18,19,20,21,22,23,24,25,26,27,28,29,30,31,32,33,34,35,36,37,38,39,40,41,42,43,44,45,46,47,48,49,50,51,52,53,54,55,56,57,58,59,60,61,62,63,64,65,66,67,68,69,70,71,72,73,74,75,76,77,78,79,80</t>
  </si>
  <si>
    <t>HF5415.1265 -- .S24 2012eb</t>
  </si>
  <si>
    <t>,1,2,2,3,3,1,2,2,4,4,5,6,6,5,7,8,7,21,8,21,22,22,23,25,23,28,25,28,59,60,59,60,62,61,73,62,78,61,79,78,73,80,79,80,82,82,92,93,92,93,90,94,91,91,94</t>
  </si>
  <si>
    <t>PYFDkuPu2sI=</t>
  </si>
  <si>
    <t>CliffsNotes GMAT</t>
  </si>
  <si>
    <t>,1,2,3,65,64,47,36,37,35,33,34,31,32,30,29,27,28,26,38,39,35,19,15,16,17,18,14,20,21,22,23,24,25,26,27</t>
  </si>
  <si>
    <t>HF1118 -- .B77 2013eb</t>
  </si>
  <si>
    <t>eBSJxW+k4Mvbfidyj1w4cw==</t>
  </si>
  <si>
    <t>,48,49,50,51,52,53,54,55,56,57</t>
  </si>
  <si>
    <t>,1,2,3,28,29,30,26,27,31,32,33,34,35,36,37,38,39,40,41,42,43,44,45,46,47</t>
  </si>
  <si>
    <t>EhSD6OKl04IOHTj3Z3HhBA==</t>
  </si>
  <si>
    <t>Inclusive Organizational Transformation : An African Perspective on Human Niches and Diversity of Thought</t>
  </si>
  <si>
    <t>HM1271 -- .V55 2015eb</t>
  </si>
  <si>
    <t>,207,208,205,206,207,208,209,205,206,210,208,209,210,206,207,208,209,210,206,207,208,209,210,206,207,208,209,210,206,207,211,212,206,213,213,214,1,215,212,211,2,216,217,1,214,215,216,212,213,2,217,218,219,220,221,222,223,224,225,226,227,227,228,1,229,225,226,2,230,231,1,231,232,229,230,2,234,1,235,236,233,234,2,232,231,230,1,231,228,232,229,2,233,234,235,236,237,238,239,240,241,242,243</t>
  </si>
  <si>
    <t>,208,209,214,217</t>
  </si>
  <si>
    <t>,390,392,391,388,389</t>
  </si>
  <si>
    <t>PyfooUBxxa4WUDA/YFGkgw==</t>
  </si>
  <si>
    <t>,1,2,3,23,21,22,19,24,25,5,9,7,8,6,10</t>
  </si>
  <si>
    <t>,1,2,3,207,208,209,205,206,210,211,212</t>
  </si>
  <si>
    <t>,1,2,3,163,164,165,161,162,166,167,168,175,176,177,173,174,178,179,180,181,182,183,184,185,186,187,188,189,190,191,192,193,194,195,196,197,198,199,200,201,202,204,205,206,203,207,208,209,210,211,212,213,214,215,216,217,218,219,220,221,222,223,1,2,3</t>
  </si>
  <si>
    <t>Fz5pEmDhT8SwzVMnbUgJ5w==</t>
  </si>
  <si>
    <t>,322,323,324,325,326,327,328,329,330,325,324,323,322,321,320,319,318,326,327,328,329</t>
  </si>
  <si>
    <t>iI8JXzzyFcCXXWj3EtPTUw==</t>
  </si>
  <si>
    <t>Victorian Poets : A Critical Reader</t>
  </si>
  <si>
    <t>,277,278,279,280,281,282,283,284</t>
  </si>
  <si>
    <t>PR593 -- .V57 2014eb</t>
  </si>
  <si>
    <t>821/.809</t>
  </si>
  <si>
    <t>,1,2,3,4,5,6,7,8,9,10,11,18,89,193,246,248,249,265,266,267,268,269,270,271,272,273,274,275,276</t>
  </si>
  <si>
    <t>,1,2,3,139,140,141,137,138,142,311,312,313,309,310,314,315,316,317,318,319,320,321</t>
  </si>
  <si>
    <t>,1,3,2,48,49,50,46,47,51</t>
  </si>
  <si>
    <t>iGT+WLc4mOxbQLFLRoC8fA==</t>
  </si>
  <si>
    <t>,1,2,3,4,5,6,7,8,9,10,11,12,13,14,15,16,17,18,19,20,21,22,23,24,25,26,24,25,26,27,28,29,30,31,32,33,34</t>
  </si>
  <si>
    <t>,1,3,2,4,207,208,209,205,206,210</t>
  </si>
  <si>
    <t>,1,23,24,25</t>
  </si>
  <si>
    <t>,146,150,144,32,33,34,31,30,35,36,37,38,39,41,44</t>
  </si>
  <si>
    <t>,1,2,3,4,5,6,7,8,9,10,11,12,13,14,15,1,15,16,17,13,14,2,18,12,11,10,19,20,21,22,23,1,23,24,25,21,22,2,26,27,28,29,30,31,32</t>
  </si>
  <si>
    <t>,1,2,3,4,5,6,7,8,9,10,11,12,13,14,15,16,17,18,19,20,21,22,23,25,24,26,28,29,30,27,31,32,33,34</t>
  </si>
  <si>
    <t>,1,3,2,4,5,6,7,8,9,10,11,12,13,14,15,16,17,18,19,20,21,22,23,24,25,26,27,28,29,30,31,32,33,34,35,36</t>
  </si>
  <si>
    <t>,1,2,3,239,240,241,238,237,242,243,244,245,246,247,248,24,25,26,7,8,9,5,6,10</t>
  </si>
  <si>
    <t>,1,2,3,593,594,595,591,592,596,597,598,596,596,13,140,141,140,139,142,138</t>
  </si>
  <si>
    <t>,1,2,3,314,315,316,312,313,317,318,319,320,321,322,323,324,325,326,327,328,329,330,331,332,333,334</t>
  </si>
  <si>
    <t>,1,2,3,4,266,267,268,264,265,269,263,262,261,259,260,258,257,256,255,254,266,270,271,272,273,274,275,276,277,278,279,280,281,282,283,284,285,286,287,288,289,290,291,292,293,291,293,292,289,290,291,293,292,289,290,294,295,290,292,293,294,290,291,295,290,292,293,294,290,291,295,296,294,295,296,292,293,297,298,299,300,301,299,300,301,297,298,302,303,301,302,303,299,300,298,304,305,303,304,305,301,302,306,307,308,306,307,308,309,309,310,311,310,311,312,313,314,315,316,317,318,316,317,318,314,315,319</t>
  </si>
  <si>
    <t>lN7QuB495kJ5LHPjgUnGZg==</t>
  </si>
  <si>
    <t>,8,9,10,7,6,11</t>
  </si>
  <si>
    <t>N8buY21qIro=</t>
  </si>
  <si>
    <t>NCnJAKzGEDN1hyEXxUcRju76y2MYB2Kk</t>
  </si>
  <si>
    <t>,267,268,269,270,271,272,273</t>
  </si>
  <si>
    <t>vv/67h0Iwnv1oVYyCEd5qA==</t>
  </si>
  <si>
    <t>Philosophy of Pseudoscience : Reconsidering the Demarcation Problem</t>
  </si>
  <si>
    <t>,1,3,2,330,331,332,328,333,329</t>
  </si>
  <si>
    <t>Q172</t>
  </si>
  <si>
    <t>,1,2,3,264,260,261,259,262,262,262,263,264,265,266,265,266</t>
  </si>
  <si>
    <t>3+h8mAcLomw=</t>
  </si>
  <si>
    <t>,1,2,2,3,1,3,5,5,6,6,7,7,8,8,9,10,10,9,2,32,32,34,34,33,30,33,31,31,35,35,36,36,37,37,38,38,39,39,40,40,41,41,42,42,43,43,44,44,44,45,45,46,46,47,47,48,48,49,49,50,50,51,51</t>
  </si>
  <si>
    <t>Animal Manure Recycling : Treatment and Management</t>
  </si>
  <si>
    <t>Agriculture; Engineering; Engineering: Environmental</t>
  </si>
  <si>
    <t>S655 -- .A55 2013eb</t>
  </si>
  <si>
    <t>628/.7466</t>
  </si>
  <si>
    <t>,39,40,1,37,41,38,42,43,44,2,252,253,254,250,251</t>
  </si>
  <si>
    <t>Measuring Economic Sustainability and Progress</t>
  </si>
  <si>
    <t>,1,2,3,4,30,31,32,28,29,33,36,37,38,34,35,39,40,41,42,43,34,35,440,441,442,443,439</t>
  </si>
  <si>
    <t>HB135</t>
  </si>
  <si>
    <t>338.9/27</t>
  </si>
  <si>
    <t>Aerosol Technology : Properties, Behavior, and Measurement of Airborne Particles</t>
  </si>
  <si>
    <t>Science: Physics; Science; Engineering; Environmental Studies; Engineering: Environmental</t>
  </si>
  <si>
    <t>QC882.42 .H56</t>
  </si>
  <si>
    <t>363.7392; 628.5/3; 628.53</t>
  </si>
  <si>
    <t>,1,2,2,3,3,1,2,2,4,4,5,6,7,5,2,6,1,7</t>
  </si>
  <si>
    <t>h12G6rK/863BtJpYcmFxWg==</t>
  </si>
  <si>
    <t>,1,2,3,250,251,252,248,249,253,247,250,252,249,251,248,247,253,254,255,269,270,271,267,268,275,276,277,273,274,278,279,272,278,280,281,282,280,281,282,278,279,277,282,283,284,285,286,287,282</t>
  </si>
  <si>
    <t>L9U51C4PVr+oo7Tk+38WEA==</t>
  </si>
  <si>
    <t>Brief History of Ancient Greek</t>
  </si>
  <si>
    <t>PA227 -- .C658 2014eb</t>
  </si>
  <si>
    <t>foZlbLjiWfg=</t>
  </si>
  <si>
    <t>,1,2,3,5,6,7,4,9,10,11,8,12</t>
  </si>
  <si>
    <t>,1,2,3,113,114,115,116,112,117,118,119</t>
  </si>
  <si>
    <t>,1,2,3,24,25,26,22,23,21,20,27,28</t>
  </si>
  <si>
    <t>,22,26,27,28,32,36,38,40,43,44,46,48,50,52,263,264,265,266,262,260,261,258,259</t>
  </si>
  <si>
    <t>hEnQozjtAGPp8pNw8Oue+w==</t>
  </si>
  <si>
    <t>The Accommodated Animal : Cosmopolity in Shakespearean Locales</t>
  </si>
  <si>
    <t>,148,149,150,151,152,153</t>
  </si>
  <si>
    <t>PR3044</t>
  </si>
  <si>
    <t>,1,2,3,148,149,150,146,147</t>
  </si>
  <si>
    <t>Sohi+cAUZFg=</t>
  </si>
  <si>
    <t>Promotional Cultures : The Rise and Spread of Advertising, Public Relations, Marketing and Branding</t>
  </si>
  <si>
    <t>P94.6 -- .D38 2013eb</t>
  </si>
  <si>
    <t>,21,22,23,20,24,25,26,27,28,29,30,31,32,33,34,35,36,37,38,39,40,41,42,43,44,45,46,47,48,49</t>
  </si>
  <si>
    <t>Buyer Personas : How to Gain Insight into your Customer's Expectations, Align your Marketing Strategies, and Win More Business</t>
  </si>
  <si>
    <t>,15,16,53,54,43,42,44,41,39,40,45,46</t>
  </si>
  <si>
    <t>HF5415.13</t>
  </si>
  <si>
    <t>,1,2,3,4,5,6,7,8,9,10,14</t>
  </si>
  <si>
    <t>8eHwQP0WQSVpSWdcUEek/A==</t>
  </si>
  <si>
    <t>zFW4OZOpYGmh7x88mWniYQ==</t>
  </si>
  <si>
    <t>,1,2,3,148,149,150,186,187,188,184,191,192,194,193,190,195,196,197</t>
  </si>
  <si>
    <t>,1,2,3,4,5,6,7,8,9,10,11,12,13,14,15,16,17,18,19,20,21,22,23,24,25,26,27,28,29,30,31,17,18,19,15,16,20,21,22,23,61,62,63,59,60,64,65,66,67,68,69,70,71,72,73,74,75,76</t>
  </si>
  <si>
    <t>kPt/X0ZshDBaSromECLUqQ==</t>
  </si>
  <si>
    <t>,1,2,3,4,48,49,50,47,46,51,112,113,125,126,123,115,116,114,117,118,119,120,121,122,128,129</t>
  </si>
  <si>
    <t>,1,2,3,89,90,91,92,88,93,94,95</t>
  </si>
  <si>
    <t>,149,150,148,147,146,1,147,148,146,149,145,2,150,151,152,153,154,155,156,157,158,159,160,161,162,163,164,165,166,167,168,170,169,171,172,173,174,175,176,178,177,179,180,181,182,183,184,185,186,187,188,189,190,191,192,193,195,194,196</t>
  </si>
  <si>
    <t>,1,3,2,148,150,149,146,147</t>
  </si>
  <si>
    <t>,312,311,1,195,149,150,151,152,153,154,155,156,157</t>
  </si>
  <si>
    <t>,1,2,3,148,149,147,150,146,157,145,148,122,122,122,154,148</t>
  </si>
  <si>
    <t>,1,2,3,148,149,150,146,147,8,9,10,6,7</t>
  </si>
  <si>
    <t>4S51Poh6IBtC7UmmSkiDzQ==</t>
  </si>
  <si>
    <t>Concert of Civilizations : The Common Roots of Western and Islamic Constitutionalism</t>
  </si>
  <si>
    <t>,1,2,3,9,11,10,12,8,13,14,15,16,17,6,7,18,19,21,20,22,23,24,25,26,108,109,110,106,107</t>
  </si>
  <si>
    <t>K3165 .K576 2015</t>
  </si>
  <si>
    <t>37jW1XQ2ELUW5ZlmUc3Eww==</t>
  </si>
  <si>
    <t>Rich Bride Poor Bride : Your Ultimate Wedding Planning Guide</t>
  </si>
  <si>
    <t>,1,2,188,189,186,191</t>
  </si>
  <si>
    <t>HQ745.B865 2008eb</t>
  </si>
  <si>
    <t>395.2/2</t>
  </si>
  <si>
    <t>,108,109,110,106,107,111,112,113,114,115,116,117,118,119,120,121,122,123,124,125,126,127,128,129,130,131,132,24,25,26,27,28</t>
  </si>
  <si>
    <t>,1,2,3,4,5,6,7,8,9,10,11,12,13,14,15,16,17,18,22,23,20</t>
  </si>
  <si>
    <t>Marketing Pathfinder : Key Concepts and Cases for Marketing Strategy and Decision Making</t>
  </si>
  <si>
    <t>,1,2,3,4,5,6,7,9,8,10,11,1,2,3,4,5,7,8,9,6</t>
  </si>
  <si>
    <t>HF5415.13 -- .S875 2014eb</t>
  </si>
  <si>
    <t>Contemporary Debates in Bioethics</t>
  </si>
  <si>
    <t>R724 -- .C66 2014eb</t>
  </si>
  <si>
    <t>5s+hI6P35Xl0c8CfJDktbg==</t>
  </si>
  <si>
    <t>SIE7EquttE3znDQLfpQTtA==</t>
  </si>
  <si>
    <t>,1,2,3,4,6</t>
  </si>
  <si>
    <t>8qb7eCrsKkFQaAc3z77CYA==</t>
  </si>
  <si>
    <t>,1,3,2,45,46,47,43,44,48,42,41,40,39,38,37,36,35,1,2,3</t>
  </si>
  <si>
    <t>IA4HfSQb9yhmhdCpa3Uy6A==</t>
  </si>
  <si>
    <t>,1,2,3,4,5,6,7,184,34,35,36,37,38,39,40,41,52,53,54,50,51</t>
  </si>
  <si>
    <t>RA602.M4 -- G73 2015eb</t>
  </si>
  <si>
    <t>,1,33,34,35,31,32,27,2,28,29,25,26,30</t>
  </si>
  <si>
    <t>,1,2,3,4,5,6,19,31,32,36,37,63,72,73,74,75,76,77,78,79,81,80,82,83,84,85,86,87,88,89,90,91,92,93,94,89,95,96,97,98,99,100,101,102,106,107,108,109,105,107,108,109,110,105,110,111,112,113,114,115,116,117,118,119,120,121,122,117,116,115,114,113,112,111,116,117,118,119,120,121,122,123,124,125</t>
  </si>
  <si>
    <t>,297,298,299,300,301,314,315,316,312,313,490,491,492,488,489,316,317,318,314,319,333,334,335,331,332,336,330,329,328,327,326,325,324,323,346,347,348,344,345,349,343,350,351,352,353,621,621,622,623,619,620,356,357,358,354,355,393,394,395,391,392,390,384,385,386,382,383,388,389,390,387,267,269,268,265,266,270</t>
  </si>
  <si>
    <t>it+v5exDEM/dAh47PdDbMg==</t>
  </si>
  <si>
    <t>2050 : Designing Our Tomorrow</t>
  </si>
  <si>
    <t>,1,2,3,4,5,6,8,10,11,9,12,13,61,60,62,63,59,60</t>
  </si>
  <si>
    <t>NA2728 .L384 2015</t>
  </si>
  <si>
    <t>,1,2,3,293,294,295,291,292,290,296,297,293,295,294,291,292,296</t>
  </si>
  <si>
    <t>,1,39,40,41,37,38,2,252,253,254,250,251</t>
  </si>
  <si>
    <t>,1,2,3,168,169,170,167,166,171,172,173,174,175,176,177,178,179,180,181</t>
  </si>
  <si>
    <t>,18,19,20,21,22,23,24,25,26,27,28,29</t>
  </si>
  <si>
    <t>,1,2,3,4,5,15,17,16,13,14</t>
  </si>
  <si>
    <t>EC2EXXoD8gQ=</t>
  </si>
  <si>
    <t>Mindfulness For Dummies</t>
  </si>
  <si>
    <t>Psychology; Religion</t>
  </si>
  <si>
    <t>,1,2,3,23,24,25,21,22,26,27,32,33,34,30,31</t>
  </si>
  <si>
    <t>BF637.S4 -- .A453 2015eb</t>
  </si>
  <si>
    <t>Mindfulness : Be mindful. Live in the moment.</t>
  </si>
  <si>
    <t>,1,2,3,203,204,205,201,202,206,162,163,164,161,165,49,1</t>
  </si>
  <si>
    <t>BF311 -- .H377 2013eb</t>
  </si>
  <si>
    <t>xVZH9K2nBQ9OzHy5HFV5xQ==</t>
  </si>
  <si>
    <t>,311,315</t>
  </si>
  <si>
    <t>,1,2,3,8,9,10,6,7,11,28,29,30,26,27,31,32,33,312,313,314,310,26,27,10,6,7</t>
  </si>
  <si>
    <t>,1,2,3,34,35,33,32,36,37,38,39,40,41,42,43,44,25</t>
  </si>
  <si>
    <t>Frommer's® Paris 2013</t>
  </si>
  <si>
    <t>,1,2,3,80,81,82,78,79,77,20,21,22,18,19,17,241,242,243,239,240</t>
  </si>
  <si>
    <t>DC708 .P38</t>
  </si>
  <si>
    <t>,1,2,3,148,149,150,146,147,151,152,153,154,155,156,157,158,159,160,161,162,181,186,187,188,184,185,189,190,191,192,193,194,195,196,197,148,149,150,146,147,151</t>
  </si>
  <si>
    <t>,1,2,2,3,1,4,3,4</t>
  </si>
  <si>
    <t>,657,655,656,654,651,652,653,650,649,648,647,642,641,640,638,637,630,631,626,625,627,624,622,623,620,619,621,618,613,611,612,608,609,606,607,605,604,602,601,600,599,597,598,595,596,594,591,592,587,588,585,586,583,584,582,589,590,591,592,593,586,585,584,582,583,579,581,580,577,574,573,566,568,563,559,555,553,554,550,551,548,547,549,540,534,535,531,530,528,526,527,524,522,525,518,517,516,514,512,510,507,509,504,503,499,495,492,491,488,486,475,476,470,467,465,460,454,456,452,447,446,445,437,434,431,427,418,425,416,405,404,398,393,391,385,375,369,366,361,339,340,101,1,3,12,16,37,48,52,61,122,133,121,135,134,132,131,136,137,131,130,129,128,127,126,125,124,123,122,121,120,119,118,117,116,115,114,113,112,111,110,109,108,107,106,105,104,103,102,101,106,101,100,99,98,97,96,95,94,93,92,91,90,89,88,96,97,98,99,100,101,102,103,98,97,96,95,94,93,92,91,90,89,95,96,97,89,95,96,91,90,89,95,96</t>
  </si>
  <si>
    <t>,40,40,64,64,131,131,1,1</t>
  </si>
  <si>
    <t>,1,2,3,357,358,359,355,356,364,365,366,362,363,367,368</t>
  </si>
  <si>
    <t>,1,2,3,11,12,13,9,10,15,14,19,18,16,7,8,116,117,118,114,115,119,121,120,40,41,39,38,42,40</t>
  </si>
  <si>
    <t>EWODm0//kJB44kh4gk39vg==</t>
  </si>
  <si>
    <t>Mental Health Nursing at a Glance</t>
  </si>
  <si>
    <t>,22,1,23,20,21,24,25,26,27,2</t>
  </si>
  <si>
    <t>RC440 -- .S65 2015eb</t>
  </si>
  <si>
    <t>616.89/0231</t>
  </si>
  <si>
    <t>,32,32,33,33,34,34,35,35,35,36,36,37,37,38,38,38,33,32,31,30,29,34,34,32,33,34,30,31,35,36,37,38,39,39,40,35,40,41,41,42,42,43,43,44,44,45,45,46,46,47,47,48,48,49,49,50,50,51,51,52,52,53,53</t>
  </si>
  <si>
    <t>,1,2,2,3,3,1,23,2,2,23,25,21,25,22,24,22,24,26,26,21,26,27,27,28,28,29,29,30,30,31,31</t>
  </si>
  <si>
    <t>,7,8</t>
  </si>
  <si>
    <t>,54,104,105,106,102,107,108,109,110,111,112,113,114,115</t>
  </si>
  <si>
    <t>,1,2,3,4,27,28,29,25,26,50,51,52,48,49,53</t>
  </si>
  <si>
    <t>ENGmCy7DSCerAUZcUqkdeQ==</t>
  </si>
  <si>
    <t>,1,2,3,37,38,39,36,35,40,41,42,43,44,46,45,54,56,55,52,53,57,58,59,70,71,72,68,69</t>
  </si>
  <si>
    <t>WJdu5E8uE60=</t>
  </si>
  <si>
    <t>,1,2,3,4,5,26,28,24,25,27,29,30,31,32,33,34,232,234,231,230,233,53,54,55,51,18,19,20,17,16,21,22,23,84,85,82,83,86,87,88,89,90,91,92,221,222,223,219,220,224</t>
  </si>
  <si>
    <t>,1,3,2,16,17,15,14,18,13,65,67,66,64,63,123,124,125,122,121,120,119,59,60,57,61,58,56,62,62,65,68,70,71,69,72,73,74,75</t>
  </si>
  <si>
    <t>ebZSWXNROi8WrVvnhwRXBg==</t>
  </si>
  <si>
    <t>Casebook of Evidence-Based Therapy for Eating Disorders</t>
  </si>
  <si>
    <t>,1,2,3,330,331,332,329,328,333,334,335,336,337,338</t>
  </si>
  <si>
    <t>RC552.E18 -- .C374 2015eb</t>
  </si>
  <si>
    <t>,40,41,42,43</t>
  </si>
  <si>
    <t>,1,2,3,15,23,24,25,22,21,23,24,25,22,21,2,26,27,28,29,30,31,32,33,34,35,36,37,38,39</t>
  </si>
  <si>
    <t>vi3YKzEXvkixMTukKgVsww==</t>
  </si>
  <si>
    <t>,1,2,3,4,5,6,7,11,10,12,8,9,1,7,16,32,33,37,37,38,39,35,40,36,41,42,44,45,46,47,49,48,50,51,43,42</t>
  </si>
  <si>
    <t>+869hpvb+PZVEikgKK4TKQ==</t>
  </si>
  <si>
    <t>i92Sbl7BNsQ=</t>
  </si>
  <si>
    <t>,104,104,1,105,102,103,2,3,4,5,6,7,8,9,97,105,106,107,112,113,117,128,119,126,127,132,133,134,131,115,116,18,19,20,16,17,136,137,138,135,139,124,118,273,10</t>
  </si>
  <si>
    <t>,32,33,10,9</t>
  </si>
  <si>
    <t>,1,2,3,1,13,15</t>
  </si>
  <si>
    <t>,1,102,103,99,2</t>
  </si>
  <si>
    <t>,1,2,3,25,26,27,23,24,9,10,11,7,8,2,17,16,15,14,13,12,18,19,20,21,22,23,24,26,27,28,29,30</t>
  </si>
  <si>
    <t>,1,3,2,20,27,28,29,25,26,2,9,10,11,7,8,6,4,5,3</t>
  </si>
  <si>
    <t>,1,2,3,150,151,152,148,153,154,155</t>
  </si>
  <si>
    <t>H8U3bYhRes8i208hkTyiTQ==</t>
  </si>
  <si>
    <t>,1,2,3,40,41,42,38,39,47,44,29,19,9,7,8,6,4,5,43,28,25,22,36,35,37,33,34,32,31,29,30,28,41,42,38</t>
  </si>
  <si>
    <t>9QBFwHpU2xhuXY0jBYT5eg==</t>
  </si>
  <si>
    <t>Wind Power in Power Systems</t>
  </si>
  <si>
    <t>,1,2,3,9,10,11,7,8,12,13,14,15,73,74,75,71,72,197,198,199,195,196,200,201,202,203,204</t>
  </si>
  <si>
    <t>TK1541 -- .W558 2012eb</t>
  </si>
  <si>
    <t>621.31/2136</t>
  </si>
  <si>
    <t>,1,2,3,409,410,406,351,352,353,349,350,354</t>
  </si>
  <si>
    <t>International Rule of Law and Professional Ethics</t>
  </si>
  <si>
    <t>Law; Philosophy</t>
  </si>
  <si>
    <t>,1,2,3,14,15,16,12,13,138,139,140</t>
  </si>
  <si>
    <t>K4360 -- .I584 2014eb</t>
  </si>
  <si>
    <t>174/.3</t>
  </si>
  <si>
    <t>Virtue and Economy : Essays on Morality and Markets</t>
  </si>
  <si>
    <t>,229,230,231,232,233,234,235,236,237,238,239,240,241,242,168,169,170,166,167,14,15,16,12,13,18,19,20,21,22,226,227,228,204,205,206,202,203,207,208,209,210,211,212,148,149,150,146,147,46,47,48,44,45,49,43,50,51,52,53,55,48,47</t>
  </si>
  <si>
    <t>HB72 .B53 2015</t>
  </si>
  <si>
    <t>174''.4</t>
  </si>
  <si>
    <t>,1,2,3,4,20,21,22,18,19,23,24,25,46,47,48,44,45,49,50,51,204,205,206,202,203,207,208,209,226,227,228,224,225</t>
  </si>
  <si>
    <t>HkwFskEZ5UBuzC+R9Ixd/Q==</t>
  </si>
  <si>
    <t>,1,2,3,4,5,7,6,8,6,13</t>
  </si>
  <si>
    <t>FvtNlvYpRPmXGSB/JT/K4w==</t>
  </si>
  <si>
    <t>Principles and Practice of Sex Therapy, Fifth Edition</t>
  </si>
  <si>
    <t>,84,82,83,84,85,86,87,88,89,90,91,92,93,94,95,96,97</t>
  </si>
  <si>
    <t>RC557 -- .P756 2014eb</t>
  </si>
  <si>
    <t>,1,2,3,238,240,239,236,237</t>
  </si>
  <si>
    <t>,1,3,2,25,26,27,23,24,22</t>
  </si>
  <si>
    <t>aG0BORpgTHwXu6c38mqsfA==</t>
  </si>
  <si>
    <t>qJq4R/OCFxo7uPDFnXqQ3Q==</t>
  </si>
  <si>
    <t>qgA3uz+3Sdq5OmK8rLoVYw==</t>
  </si>
  <si>
    <t>jxWL4Sui0L3mOTmQ6WOnoQ==</t>
  </si>
  <si>
    <t>,1,2,3,36,37,38,34,35,13</t>
  </si>
  <si>
    <t>xBaOB5ogfIAS8OBgcF/y6A==</t>
  </si>
  <si>
    <t>YaTLpFgBDwxGo70wVAv0BQ==</t>
  </si>
  <si>
    <t>l/aXz/OgOqQDpm2nM3FOvQ==</t>
  </si>
  <si>
    <t>zWxyXOuAQP8Y4YolMQMoOw==</t>
  </si>
  <si>
    <t>YEjm6QSJNGm0G02VVA4lVg==</t>
  </si>
  <si>
    <t>,1,2,3,4,5,6,7,8,9,10,11,12,25,26,27,23,24,36,37,38,34,35,132,133,134,130,131</t>
  </si>
  <si>
    <t>qU4DfRDenPHKyjC11DWxoQ==</t>
  </si>
  <si>
    <t>,1,2,3,4,9,5,6,7,8,10,11,12</t>
  </si>
  <si>
    <t>,1,2,3,4,5,7,6,184,36,37,38,34,35,132,133,134,130,131</t>
  </si>
  <si>
    <t>,1,2,3,261,262,263,259,260,264</t>
  </si>
  <si>
    <t>,1,2,3,293,294,295,291,292,315,321,285,264,236,229,230,231,227,228,226,125,58,56,59,41,8,3,4,5,635,636,637,633,634</t>
  </si>
  <si>
    <t>,1,2,3,5,6,4,7,15,16,17,13,14</t>
  </si>
  <si>
    <t>,14,14,15,15,15,16,16,18,18,18,18,18</t>
  </si>
  <si>
    <t>pX3AP4bj0jegpgDGs6VtEw==</t>
  </si>
  <si>
    <t>Handbook of Dealing with Workplace Bullying</t>
  </si>
  <si>
    <t>HF5549.5.E43 Q54 2015</t>
  </si>
  <si>
    <t>658.3/82; 658.3''82</t>
  </si>
  <si>
    <t>,1,3,2,7,15,16,17,13,14,12,17,18</t>
  </si>
  <si>
    <t>SYZlBvMbK3Y/QotSyEHiXA==</t>
  </si>
  <si>
    <t>Leading Apple With Steve Jobs : Management Lessons From a Controversial Genius</t>
  </si>
  <si>
    <t>,31,29,30,33,32,28,26,27,18,19,20,16,17</t>
  </si>
  <si>
    <t>QA76.2.J63 -- E47 2012eb</t>
  </si>
  <si>
    <t>658.4; 658.4/01</t>
  </si>
  <si>
    <t>,1,2,3,6,7,14,15,16,12,13</t>
  </si>
  <si>
    <t>,1,2,3,207,208,209,211,212,214,215,216,217,218,220,221,240,241,242,234,235,232,233,230,231,205,206</t>
  </si>
  <si>
    <t>,2,1,3,4,5,6,7,8</t>
  </si>
  <si>
    <t>/mJkOygkK7M=</t>
  </si>
  <si>
    <t>,57,57,58,58,59,59,60,60,61,61,62,62,63,63,64,64,65,65,167,167,168,168,169,169,165,166,166,170,170,1,170,171,170,171,1,172,168,169,172,169,2,2,173,173,168,1,168,169,170,168,169,167,166,170,167,1,2,2,1,2,4,2,1,4,3,3,2,2</t>
  </si>
  <si>
    <t>,1,1,2,2,3,3,2,2,4,4,54,55,54,56,55,56,52,53,53</t>
  </si>
  <si>
    <t>,1,2,3,1,3,5,2,4</t>
  </si>
  <si>
    <t>Architecture of Home in Cairo : Socio-Spatial Practice of the Hawari's Everyday Life</t>
  </si>
  <si>
    <t>,6,7,8,5,9,10,16,17,18,19,15,20,342,343,344,345,346,341,340,294,295,276,277,278,274,366,367,365,364,347,348,350,351,352,353,354,355,275,14,11,12,13,21,236,237,238,234,235,296,292,293</t>
  </si>
  <si>
    <t>NA2543.S6 -- .A234 2015eb</t>
  </si>
  <si>
    <t>728.0962/16</t>
  </si>
  <si>
    <t>,1,2,3,4,38,39,40,36,37,260,261,262,259,263,264,258,332,333,334,330,331</t>
  </si>
  <si>
    <t>,182,179,183,184,185,186,187,188,189,190,191,192,193,194,195,196,197,199,200,201,202,203,410,408,197,198,199,200</t>
  </si>
  <si>
    <t>,1,2,3,1,4,21,22,23,19,20,47,48,65,66,115,116,117,113,114,118,119,179,180,181,177,178,179</t>
  </si>
  <si>
    <t>,1,2,3,179,180,181,178,177,183,182</t>
  </si>
  <si>
    <t>fbePHQOnmKc=</t>
  </si>
  <si>
    <t>British Infantry Battalion Commanders in the First World War</t>
  </si>
  <si>
    <t>,19,20,21,22,23,24,25,26</t>
  </si>
  <si>
    <t>D546 -- .H64 2015eb</t>
  </si>
  <si>
    <t>K7lz2wbhc4c=</t>
  </si>
  <si>
    <t>,1,2,3,24,25,26,22,23,50,51,52,48,49,38,39,40,36,37,41,42,44,80,81,82,78,79</t>
  </si>
  <si>
    <t>,1,2,3,4,5,6,144,145,146,142,143,16,17,15,14,18</t>
  </si>
  <si>
    <t>HN6+bS6HTKQ=</t>
  </si>
  <si>
    <t>,1,2,3,47,48,49,45,46,50,51,52,53,54,55,56,58,60,59,57,61,62,63,64,139,140,141,142,143,144,145,146,147</t>
  </si>
  <si>
    <t>EwzLUD96JLrYiYcggp+fwg==</t>
  </si>
  <si>
    <t>Health Behavior : Theory, Research, and Practice</t>
  </si>
  <si>
    <t>,1,2,3,103,104,105,101,102,106,107,108,109,110,111,112,113,114,115,116,117,118,119,120,121,122,123,124,125,126,180,181,182,178,179,183,184,185,186,187,188,189,190,191,192,193,194,195,196,197,198,199,200</t>
  </si>
  <si>
    <t>RA776.9 .H434 2015</t>
  </si>
  <si>
    <t>,216</t>
  </si>
  <si>
    <t>,56,57,38,39,40,36,37,41</t>
  </si>
  <si>
    <t>,1,2,3,9,10,11,7,8,12,13,17,18,19,15,16,20,21,22</t>
  </si>
  <si>
    <t>,1,2,3,187,188,192,193,194,190,191,189,195,196,199,1,199,200,201,197,198,2,196,195,194,202,203,200,1,200,201,198,202,199,197,196,2,203,204,205,206,207,21,23,20,19,22,24,25,26,27,28,29,30,31,33,32,34,35,37,38,41,42,39,43,40,65,66,67,64,63,68,69,70,71,73,72,74,75,76,77,78,79,80,81,82,83,84,85,86,87,88,89,90,91,92,93,94,95,96,97,98,99,100,101,102,103,104,105,106,107,109,108,110,111,112,113,114</t>
  </si>
  <si>
    <t>,1,2,3,65,66,63,67,64,68,2,62,61</t>
  </si>
  <si>
    <t>,1,2,3,20,21,22,23,26,27</t>
  </si>
  <si>
    <t>,1,2,3,1,9,10,11</t>
  </si>
  <si>
    <t>Dm8wGJ28bvxGRk0n5GB6Iw==</t>
  </si>
  <si>
    <t>,1,2,3,4,5,6,7,8,9,10,29,30,31,27,28,32</t>
  </si>
  <si>
    <t>//g92ZjHfVg9aKog5JevLg==</t>
  </si>
  <si>
    <t>Isotope Geochemistry</t>
  </si>
  <si>
    <t>Science: Geology; Science</t>
  </si>
  <si>
    <t>,1,351,350,352,348,349,2,353,354,355,356,357,358,359,360</t>
  </si>
  <si>
    <t>QE501.4.N9 -- W55 2015eb</t>
  </si>
  <si>
    <t>n9mw5P9iAfsgmSi30MGw1g==</t>
  </si>
  <si>
    <t>Student Guidance &amp; Development</t>
  </si>
  <si>
    <t>LB1027.5 -- .W67 2013eb</t>
  </si>
  <si>
    <t>,1,9,10,11,7,8,2,6,12,13,14,221,222,223,219,220,224,225</t>
  </si>
  <si>
    <t>,9,1,10,11,7,8</t>
  </si>
  <si>
    <t>,1,2,3,4,5,6,7,8,9,10,11,12,13,14,15,16,17,18,19,20,21,22,23,25,26,27,28,29,30,31,33,34,35,37,38,39,40,41,42,43,47,48,49,50,51,53,55,56,57,58,60,61,62,64,65,66,68,69,70,71,72,74,75,76,77,78,79,80,81,85,86,88,89,90,91,94,96,99,100,101,102,104,105,106,103,107,111,112,125,126,128,129,131,130,127,132,133,134,135,128,127,126,125,123,124,122,121,120,119,118,117,116,115,114,113,112,111,110,109,108,107,106,105</t>
  </si>
  <si>
    <t>nrtpZEmyKPIeIkIhot5Wdg==</t>
  </si>
  <si>
    <t>,1,164,165,166,162,163,2,167,168,169,170</t>
  </si>
  <si>
    <t>AvEDTsjielKqlsKtYX5EpA==</t>
  </si>
  <si>
    <t>,1,2,3,45,46,47,44,43,48,84,85,86,82,83,87</t>
  </si>
  <si>
    <t>,1,2,3,4,5,6,7,8,9,10,11,12,13,14,9,8,7</t>
  </si>
  <si>
    <t>,1,3,2,179,180,177,178,181,173,174,175,171,182,183,176,182,183,184,185,173,174,175,171,172,184,185,186,187,201,202,203,199,200,188,189,188,189,188,189,190,191,192,193,194,195,196,190,189,188,87,88,89,85,86,90,91,92,93,94</t>
  </si>
  <si>
    <t>BifvrycZwisHHHtTuZZJ8w==</t>
  </si>
  <si>
    <t>,1,2,3,11,33,172,15,14,16,12,13</t>
  </si>
  <si>
    <t>bjt7zk4kf7U=</t>
  </si>
  <si>
    <t>Neighboring Faiths : Christianity, Islam, and Judaism in the Middle Ages and Today</t>
  </si>
  <si>
    <t>,40,41,45,46,47,48,49,50,51,52,53,54,55,56,57,58,59,60,61,62,63,96,97,98,94,95,99,100,101,102,103,104,105,106,101,100,99,98,124,125,126,122,123,127,128,129,130,131,150,151,149,148,152,153,154,155,156,157,158,159,160,161,162,163,164,165,166,166</t>
  </si>
  <si>
    <t>BL410</t>
  </si>
  <si>
    <t>201/.50902</t>
  </si>
  <si>
    <t>r7qWTRA/6FgL7A6dqehntQ==</t>
  </si>
  <si>
    <t>Legal Lexicography : A Comparative Perspective</t>
  </si>
  <si>
    <t>,56,57,68,64,65,63,69,67,68</t>
  </si>
  <si>
    <t>K213 -- .L443 2014eb</t>
  </si>
  <si>
    <t>340/.14</t>
  </si>
  <si>
    <t>,1,2,3,42,43,44,41,40,45,46,47,6,7,8,4,5,3</t>
  </si>
  <si>
    <t>,1,286,287,288,284,285,289,2,290,291,292,293,12,13,14,10,11,15,16,17,18,19,52,53,50,51,55</t>
  </si>
  <si>
    <t>,165,164,163,168,162,159,160,169,163,169,170,171,166,165,164,163,162,161,160,159,146,147,148,145,143,144,142,141,139</t>
  </si>
  <si>
    <t>,166</t>
  </si>
  <si>
    <t>,163</t>
  </si>
  <si>
    <t>,165,166,167,168</t>
  </si>
  <si>
    <t>,1,2,3,164,165,166,167,168,169,170</t>
  </si>
  <si>
    <t>French Revolution and the Rise of Napoleon</t>
  </si>
  <si>
    <t>DC148 .D38 2011</t>
  </si>
  <si>
    <t>944; 944.04</t>
  </si>
  <si>
    <t>8AsYONxo/Q4=</t>
  </si>
  <si>
    <t>,4,5,6,5,4,3,6,1,2,2,2</t>
  </si>
  <si>
    <t>,1,464,465,466,462,463,2,467</t>
  </si>
  <si>
    <t>zWjF6D/6PwDIc3K4JjdkBg==</t>
  </si>
  <si>
    <t>The Language of the Modes : Studies in the History of Polyphonic Modality</t>
  </si>
  <si>
    <t>,1,1,2,2,3,3,4,4,5,5,2,2,45,45,46,46,47,47,165,165,166,166,167,167,168,168,164,11,11,12,12,13,13,9,10,10,1,2,3</t>
  </si>
  <si>
    <t>ML171 -- .L27 2001eb</t>
  </si>
  <si>
    <t>zEgJAua913+uT3iJ1daD9A==</t>
  </si>
  <si>
    <t>,1,1,2,1,2,3,3,1,4,4,5,5,6,6,2,2,15,16,17,15,14,16,13,14,17,31,32,31,32,33,33,30,30,74,74,75,76,75,76,73,72,73,77,77,78,78</t>
  </si>
  <si>
    <t>,1,2,3,1,9,9,9</t>
  </si>
  <si>
    <t>,1,2,3,204,205,206,202,203,207,208,211,212,213,214,210,215,216,217,222,223,225,224,226,221,220,219,218,200,197,162,177,178,194,195,196,198,199,201,209</t>
  </si>
  <si>
    <t>,182,1,183,184,180,181,2,179,177,178</t>
  </si>
  <si>
    <t>,1,3,2,179,181,177,178</t>
  </si>
  <si>
    <t>OZfsJi5adfQ0/+YNjZf+Hg==</t>
  </si>
  <si>
    <t>,1,2,3,54,55,56,54,52,53,2,57,58,59,56,55,60,61,62,63,64,65,66,67,68,69,70,71,72,73,74,75,76,94,95,96,93,92,97,98,99,100,101,102,103,104,105,106,107,108,109,110,111,112,113,114,115,116,117,118,119,120,121,122,123,124,125,126,127,128,129,130</t>
  </si>
  <si>
    <t>,29,23,21,22,30,31,32,33,34,35,36,37,38,39,54,55,56,52,53,57,58,59,60,61,62,63,64,65,68,66,69,70,67,71,72,73,74,75,76,77</t>
  </si>
  <si>
    <t>,1,2,3,26,27,24,28,25,30,31,29,32,33,35,34,23,22,21,19,18,20,17,11,7,4,5,6,8,9,10,12,13,14,12,13,14,10,11,15,16,17,18,19,20,26,27,24,25,28</t>
  </si>
  <si>
    <t>d3RYObyXXmY=</t>
  </si>
  <si>
    <t>,109,119,120,121,118,117,122,123,124,125,126,127,128,129,130,99,131,133,9,10,11,112,113,114,110,115,111,116</t>
  </si>
  <si>
    <t>,1,2,3,4,5,6,7,8,51,52,53,50,49,54,55,56,57,58,59,60,61,62,63,64,65,66,67,68,69,70,71,72,73,74,75,76,77,78,79,80,106,107,108,104,105</t>
  </si>
  <si>
    <t>15BsSKI7sBugwGQN7mwQDg==</t>
  </si>
  <si>
    <t>,99,100,101</t>
  </si>
  <si>
    <t>1PP1imxDpxW8xozq4Cn/+g==</t>
  </si>
  <si>
    <t>Feminism</t>
  </si>
  <si>
    <t>,48,49</t>
  </si>
  <si>
    <t>HQ1154 -- .H25 2007eb</t>
  </si>
  <si>
    <t>,1,3,2,4,11,12,9,13,10,14,15,16,18,19,23,24,25,50,51,52,48,49,53,55,56,57,88,89,90,87,96,97,98,95,94,93</t>
  </si>
  <si>
    <t>,1,2,3,4,5,6,19,20,21,17,18,22,23,24,25,26,27,28,44,45,46,42,43,47</t>
  </si>
  <si>
    <t>,1,3,2,69,71,70,67,68,72,73,74,76,77,75,78,79,80,82,81,83,84,85,86,87,89,88,90,91,92,93,94,95,96,97,98,99,100,101,102,103,104,105,106,107,108,109,110,111,112,113,114,115,116,117,118,119,120,121,123,122,124</t>
  </si>
  <si>
    <t>LV+c805oubLtRFGDTAqakA==</t>
  </si>
  <si>
    <t>,1,2,3,35,36,37,33,34,3,4,5,6,7,8,9,10,11,12,13,14</t>
  </si>
  <si>
    <t>,1,2,3,25,26,27,24,23,28,29,30,31,32</t>
  </si>
  <si>
    <t>,70,71,72,73,74,75,76,77,78,79,80,81,82,83,84,85,86,87,88,89,90,91,92,93,94,95,96</t>
  </si>
  <si>
    <t>,1,3,2,54,55,56,52,53,51,50,57,62,63,65,64,61,60,59,66,67,68,69</t>
  </si>
  <si>
    <t>,1,2,3,37,38,39,35,36,40,41,42,43,46,45,48,47,44,49,50,51,52,53,54,55,56,57,58,59,60,61,62,63,64,65,66,67,68,69,70</t>
  </si>
  <si>
    <t>,1,2,3,38,37,39,36,35,40,41,42,43,44,45,46,47,48,49,51,50,52,53,54,55</t>
  </si>
  <si>
    <t>Beginning R : The Statistical Programming Language</t>
  </si>
  <si>
    <t>,35,34</t>
  </si>
  <si>
    <t>QA276.45.R3 -- G37 2012eb</t>
  </si>
  <si>
    <t>,1,3,2,4,27,28,25,29,26,30,31,32,33,34,35,36,37,38,39,40</t>
  </si>
  <si>
    <t>,1,2,3,69,70,71,67,68,72,73,74,75,76,77,78,79,80,81,82,83,84,85,86,87,88,89,90,91,92,93,94,95,96</t>
  </si>
  <si>
    <t>,1,2,2,3,3,1,2,2,387,388,389,387,385,386,388,389,386,390,390,391,391,386,391,386,385,390,391,386,391,386,385,390,391,392,386,392,385</t>
  </si>
  <si>
    <t>From Sight to Light : The Passage from Ancient to Modern Optics</t>
  </si>
  <si>
    <t>,1,2,3,14,15,12,13,16,17</t>
  </si>
  <si>
    <t>QC352</t>
  </si>
  <si>
    <t>535/.209</t>
  </si>
  <si>
    <t>fV3bu5SJom8HA8EsjZB1yg==</t>
  </si>
  <si>
    <t>Coffee : Emerging Health Effects and Disease Prevention</t>
  </si>
  <si>
    <t>Science: Biology/Natural History; Agriculture; Science</t>
  </si>
  <si>
    <t>,29,30,31,32</t>
  </si>
  <si>
    <t>QP801.C24 -- C636 2012eb</t>
  </si>
  <si>
    <t>,1,3,2,3,2,1,4,4,2,29,2,30,29,31,30,28,28,31,33,33,29,30,31,29,35,1,29,30,31,27,30,31,1,2,2,32,32,33,33,34,34,35,35,29,27,32</t>
  </si>
  <si>
    <t>eVkmOYRdQms5UmmEFxDuBA==</t>
  </si>
  <si>
    <t>,4,5,6,7,8,9,10,11,63,65,64,61,62,66,67</t>
  </si>
  <si>
    <t>rXwZ1E/SUKBr3nLidnhFIw==</t>
  </si>
  <si>
    <t>,1,2,3,4,5,6,435,437,436,433,434,438,439,440,441,442,443,444,446,445,447,448,103,104,105,101,102,106,108,107,109,110,111,112,114,113,115,116,117,118</t>
  </si>
  <si>
    <t>ooxgQbiM0qQ=</t>
  </si>
  <si>
    <t>,1,2,3,290,291,292,288,289,297</t>
  </si>
  <si>
    <t>SFLJQC8Zd3w=</t>
  </si>
  <si>
    <t>,1,1,3,3,2,2,4,4,5,5,6,6,9,9,10,11,7,10,8,8,11,12,12,13,2,13,14,14,15,15,16,16</t>
  </si>
  <si>
    <t>,1,2,3,4,5,6,7,8,9,12,13,14,10,11</t>
  </si>
  <si>
    <t>FaVU67RhYMt5Uq4cpfRpLA==</t>
  </si>
  <si>
    <t>Aspects of Roman History 31 BC-AD 117</t>
  </si>
  <si>
    <t>,1,2,3,2,3,1,154,155,156,155,154,156,152,153,153,173,173,174,174,175,175,2,172,172,171,176,176,154,155,156,152,153,157,157,158,158,159,159,160,160,161,162,161,162,163,163,164,164,165,165,166,166,167,167,168,168,169,169,170,170,171,166,171,172,172,1,172,174,1,173,174,170,173,171,171,175,175,176,176,177,177,178,179,178,179,2,2,180,180,181,181,182,183,183,182,184,184,185,185,187,186,187,186,188,188,189,189,190,191,190,191,192,192,193,193,194,194,196,196,195,197,195,197,198,198,199,199,194,193,192,190,191,189,188,187,192,193,188,193,194,195,190,189,187,188,186,185,190,1,190,1,191,190,191,192,188,192,189,189,193,193,194,195,194,195,196,196,197,197,198,198,199,200,199,200,195,2,2,194,193,198,199,194,193</t>
  </si>
  <si>
    <t>DG276 -- .A44 2014eb</t>
  </si>
  <si>
    <t>,1,2,3,2,3,1,387,388,387,389,386,2,388,385,386,389,390,390,391,391,386,391,386,385,390,391,389,390,388,391,386,387,386,385</t>
  </si>
  <si>
    <t>,1,2,3,17,18,19,15,20,16,14</t>
  </si>
  <si>
    <t>,685</t>
  </si>
  <si>
    <t>vD12xx3fJa6+yOwhGGc/JQ==</t>
  </si>
  <si>
    <t>,1,2,3,3,1,2,2,2,393,394,393,394,395,395,391,392,392,396,397,396,397,398,398,399,394,393,399,391,392,252,253,252,254,253,251,254,255,251,255</t>
  </si>
  <si>
    <t>,1,2,3,17,18,19,15,16,20,21,22,23,26,27,28,24,727,726,728,725,729,730,731,732,733,734,735,737,738,651,653,652,650,649,654,684,685,686,682,683,687</t>
  </si>
  <si>
    <t>Olympic Housing : A Critical Review of London 2012's Legacy</t>
  </si>
  <si>
    <t>,1,2,3,4,5,6,7,8,28,115,136,125,124,117,82,83,84,80,81,16,17,18,14,15,19,10,68,93,109,110,111,107,108,95</t>
  </si>
  <si>
    <t>HD7334.L6 -- B47 2014eb</t>
  </si>
  <si>
    <t>363.5/987964809421</t>
  </si>
  <si>
    <t>,4,5,6,7,8,9,10,11,12,13,14,15,16,17,1,17,18,19,15,16,2,14,19,20,21,22,23,13,47,48,49,45,46,50</t>
  </si>
  <si>
    <t>,4,34,35,36,32,33,34,38</t>
  </si>
  <si>
    <t>,29,30,31,32,33,34,35,36,37,38,39,40,41,42,43,44,45,46,47,48,49,50,51,52,53</t>
  </si>
  <si>
    <t>,1,2,3,4,5,6,7,8,9,10,11,13,12,14,15,16,17,18,19,20,21,22,23,24,25,26,27,28,29,30</t>
  </si>
  <si>
    <t>,1,3,2,53,54,55,52,51,50,84,85,86,83,82,56,57,58,59,60,61,62,63,64,65,66,67,68,69,70,71,72,73,74,75,76,77,78,79,80,81,82,83,84,85,86</t>
  </si>
  <si>
    <t>,1,2,3,154,155,156,152,153,157,158,159,160,161,162,163,164,165,166</t>
  </si>
  <si>
    <t>,1,2,3,154,155,156,152,157,153,158,159,160,161,162,163,164,165</t>
  </si>
  <si>
    <t>,1,2,3,106,107,108,104,105,109,110,111,112,113</t>
  </si>
  <si>
    <t>,106,107,108,109,110,111,112,113,114,115,116,117,118,119,120,121,122,123,124,125,126,127,128,129,130,131,132,133,134,135,136,137,138,139,140,141,142,143,144,145,146,147,148,149,150,151,152,153,154,155,156,157,158,159,160,161,162,163,164,165,166,167,168</t>
  </si>
  <si>
    <t>,1,2,3,60,61,62,58,59,154,155,156,152,153,157,154,155,156,152,153,157</t>
  </si>
  <si>
    <t>pY0/Cv6y25dMHLxyDR7BQw==</t>
  </si>
  <si>
    <t>,405,406,407,408,409,410,411,412,413,414,415,416,417,418,419,420,421,422,423,424,425,426,427,428,429,430,431,432,433,434,435,436,437,438,439,440,441,442,443,444,445,446</t>
  </si>
  <si>
    <t>,1,406,405,407,403,404,2,408,409,410,411,412,413,414,415,416,417,418,419,420,421,422,423,424,425,426,427,428,429,430,431,432,433,434,435,436,437,438,440</t>
  </si>
  <si>
    <t>+W4Hvx7xamgeu2c4613INg==</t>
  </si>
  <si>
    <t>Mandela's Children : Growing Up in Post-Apartheid South Africa</t>
  </si>
  <si>
    <t>HQ778.7.S6</t>
  </si>
  <si>
    <t>,1,2,3,106,107,108,104,106,105</t>
  </si>
  <si>
    <t>vJMeVAolp23tx1wZXnz2KQ==</t>
  </si>
  <si>
    <t>South Africa : The Rise and Fall of Apartheid</t>
  </si>
  <si>
    <t>,2,1,3,4,5</t>
  </si>
  <si>
    <t>DT1757 -- .C52 2011eb</t>
  </si>
  <si>
    <t>,1,2,3,4,5,6,7,8,9,10,12,13,14,11</t>
  </si>
  <si>
    <t>,158,158,159,159,160,160,161,161,162,162,157,162,163,163,164,164,165,165,166,166,161,160,159,158,157,156,155,154,152,153,157,158,162,163,164,160,161,165,166,161,166,1,166,167,166,1,165,168,165,168,167,164,169,169,2,2,164,163,162,161,165,160,165,166,167,168,169,170,170,171,171,172,172,173,173,174,169,174,168,166,167,154,155,154,156,155,156,152,153,157,153,157,158,158,159,159,160,161,162,157,162</t>
  </si>
  <si>
    <t>,1,2,3,106,107,108,105,104</t>
  </si>
  <si>
    <t>,1,2,3,2,1,3,2,2,154,155,156,155,154,156,153,152,153,157,157</t>
  </si>
  <si>
    <t>x1l9y2RdQWml4BsR9SRdtQ==</t>
  </si>
  <si>
    <t>,191,193,192,190,189,191,193,192,190,191,192,189,190,193,191,191,191</t>
  </si>
  <si>
    <t>,191</t>
  </si>
  <si>
    <t>,1,2,2,3,3,1,2,2,187,187,185,189,189,190,190,185,190,191,191,193,192,193,189,192,191,193,192,191,193,190</t>
  </si>
  <si>
    <t>6dtxMCMz8b7i3OhUwgS30w==</t>
  </si>
  <si>
    <t>Africa in the Age of Globalisation : Perceptions, Misperceptions and Realities</t>
  </si>
  <si>
    <t>,284,286,285,282,283,1,19,20,21,18,17,15,16,22,293,306,308,307,304,305,303,302,300,297,296,294,287,289,288,280,281,279,277,278</t>
  </si>
  <si>
    <t>HC800 -- .A375 2015eb</t>
  </si>
  <si>
    <t>,1,2,3,36,37,38,35,34,33,32,31,30</t>
  </si>
  <si>
    <t>lmbKwvL4S/Z9Iq82S5mJsw==</t>
  </si>
  <si>
    <t>,1,43,44,45,41,42</t>
  </si>
  <si>
    <t>,111,112,147,148,164,165,166,167,168,169,171,170,414,415,416,413,412,165,164,166,162,163,167,168</t>
  </si>
  <si>
    <t>The SketchUp Workflow for Architecture : Modeling Buildings, Visualizing Design, and Creating Construction Documents with SketchUp Pro and LayOut</t>
  </si>
  <si>
    <t>NA2728 .B75 2013</t>
  </si>
  <si>
    <t>720; 720.28/40285668; 720.2840285668</t>
  </si>
  <si>
    <t>Project Life Cycle Economics : Cost Estimation, Management and Effectiveness in Construction Projects</t>
  </si>
  <si>
    <t>Engineering; Business/Management; Engineering: Civil</t>
  </si>
  <si>
    <t>HD9715.A2 -- .P765 2015eb</t>
  </si>
  <si>
    <t>624.068/4</t>
  </si>
  <si>
    <t>Smith, Currie and Hancock's Common Sense Construction Law : A Practical Guide for the Construction Professional</t>
  </si>
  <si>
    <t>,1,2,2,3,3,1,6,7,8,7,6,8,5,4,5</t>
  </si>
  <si>
    <t>KF902 -- .S63 2015eb</t>
  </si>
  <si>
    <t>343.7307/8624</t>
  </si>
  <si>
    <t>Green Building Illustrated</t>
  </si>
  <si>
    <t>Engineering; Engineering: Construction; Architecture</t>
  </si>
  <si>
    <t>TH880 -- .C48 2014eb</t>
  </si>
  <si>
    <t>720/.47</t>
  </si>
  <si>
    <t>Essentials of Energy Technology : Sources, Transport, Storage, Conservation</t>
  </si>
  <si>
    <t>Engineering: General; Engineering: Mechanical; Engineering</t>
  </si>
  <si>
    <t>TJ163.9 .F384 2013</t>
  </si>
  <si>
    <t>Emergency Medical Services : Clinical Practice and Systems Oversight, 2 Volume Set</t>
  </si>
  <si>
    <t>,6,8,7,6,5,4,8,7,5</t>
  </si>
  <si>
    <t>RA645.5 -- .E44 2015eb</t>
  </si>
  <si>
    <t>Anatomy and Physiology for Nurses at a Glance</t>
  </si>
  <si>
    <t>Science: Biology/Natural History; Science; Science: Anatomy/Physiology</t>
  </si>
  <si>
    <t>QP38 -- .P438 2015eb</t>
  </si>
  <si>
    <t>,6,7,8,8,7,4,6,5,5,9,9</t>
  </si>
  <si>
    <t>Geriatric Emergencies</t>
  </si>
  <si>
    <t>RC86.7 -- .M87 2015eb</t>
  </si>
  <si>
    <t>616.02/5</t>
  </si>
  <si>
    <t>Fundamentals of Paramedic Practice : A Systems Approach</t>
  </si>
  <si>
    <t>Health; Nursing; Social Science</t>
  </si>
  <si>
    <t>,8,10,9,10,8,9,7,6,7</t>
  </si>
  <si>
    <t>RA975.5.E5</t>
  </si>
  <si>
    <t>362.18; 610.737069</t>
  </si>
  <si>
    <t>,7,8,8,5,9,6,7,6,9,4</t>
  </si>
  <si>
    <t>,6,6,7,4,8,7,5,8,5</t>
  </si>
  <si>
    <t>Construction Grammar and its Application to English</t>
  </si>
  <si>
    <t>PE1369 -- .H55 2014eb</t>
  </si>
  <si>
    <t>Royal Marsden Manual of Clinical Nursing Procedures</t>
  </si>
  <si>
    <t>Nursing</t>
  </si>
  <si>
    <t>RT51 -- .R693 2015eb</t>
  </si>
  <si>
    <t>,1,2,3,3,2,1,2,2,7,8,7,5,8,9,6,4,5,6,9,9</t>
  </si>
  <si>
    <t>,1,2,3,3,2,1,2,2</t>
  </si>
  <si>
    <t>Getting Older : How We're Coping with the Grey Areas of Aging</t>
  </si>
  <si>
    <t>,1,2,2,3,3,1,2,2,20,21,22,21,22,18,20,19,19,23,23,24,24</t>
  </si>
  <si>
    <t>HQ1061</t>
  </si>
  <si>
    <t>Sun, Wind, and Light : Architectural Design Strategies</t>
  </si>
  <si>
    <t>NA2542.3 -- .D45 2014eb</t>
  </si>
  <si>
    <t>,1,2,3,4,26,27,28,25,24,29,30,31,32,33,34,35,36,37,38,39,40,41,42,43</t>
  </si>
  <si>
    <t>Construction Contracting : A Practical Guide to Company Management</t>
  </si>
  <si>
    <t>TH425 -- .C667 2015eb</t>
  </si>
  <si>
    <t>692/.8</t>
  </si>
  <si>
    <t>,1,2,3,2,3,1,2,2,4,5,6,7,6,4,7,5,2</t>
  </si>
  <si>
    <t>The Taxpayers Guide 2014-2015</t>
  </si>
  <si>
    <t>Business/Management; Law; Economics</t>
  </si>
  <si>
    <t>HJ4802; KU2790</t>
  </si>
  <si>
    <t>How to Manage Dementia in General Practice</t>
  </si>
  <si>
    <t>,1,2,2,3,3,1,2,2,32,33,33,32,30,31,34,31,34,35,35,36,36,37,37,38,38,39,39</t>
  </si>
  <si>
    <t>RC521 -- .C53 2013eb</t>
  </si>
  <si>
    <t>616.8/3</t>
  </si>
  <si>
    <t>Environmental Gerontology : What Now?</t>
  </si>
  <si>
    <t>,2,3,2,3,1,1,2,2,16,16,18,18,14,15,15</t>
  </si>
  <si>
    <t>Barry's Advanced Construction of Buildings</t>
  </si>
  <si>
    <t>,1,2,2,3,3,1,13,14,13,15,12,11,12,14,15,2,16,17,16,17,18,18</t>
  </si>
  <si>
    <t>TH146 .E467 2014</t>
  </si>
  <si>
    <t>Kitchen &amp; Bath Products and Materials : Cabinetry, Equipment, Surfaces</t>
  </si>
  <si>
    <t>Home Economics; Engineering; Engineering: Construction</t>
  </si>
  <si>
    <t>TH4816.3.K58 -- .C444 2015eb</t>
  </si>
  <si>
    <t>643/.3</t>
  </si>
  <si>
    <t>Building Construction Illustrated</t>
  </si>
  <si>
    <t>TH146 -- .C45 2014eb</t>
  </si>
  <si>
    <t>Ttvvg/48tn61TfXLO2hIdg==</t>
  </si>
  <si>
    <t>,1,3,2,105,106,107,104,108,109,110,442,443,444,440,441,445,446,447,448,449,450,454,455,456,452,453,457,458</t>
  </si>
  <si>
    <t>Hydrogeology : Principles and Practice</t>
  </si>
  <si>
    <t>GB1003.2 -- .H57 2014eb</t>
  </si>
  <si>
    <t>Philosophy and the Idea of Communism : Alain Badiou in conversation with Peter Engelmann</t>
  </si>
  <si>
    <t>Social Science; Philosophy; Economics</t>
  </si>
  <si>
    <t>,6,7,1,8,4,5,2</t>
  </si>
  <si>
    <t>B2430 .B274 A5 2015</t>
  </si>
  <si>
    <t>Db1lLWIvCmzkP+JTuk+9mw==</t>
  </si>
  <si>
    <t>Bioinformatics and Functional Genomics</t>
  </si>
  <si>
    <t>QH441.2 .P48 2015</t>
  </si>
  <si>
    <t>572.8/6</t>
  </si>
  <si>
    <t>Minibeasts : The World of Invertebrates and Insects</t>
  </si>
  <si>
    <t>Science: Zoology; Science; Education</t>
  </si>
  <si>
    <t>QL468.5 -- .R48 2002eb</t>
  </si>
  <si>
    <t>Landscape Genetics : Concepts, Methods, Applications</t>
  </si>
  <si>
    <t>QH456</t>
  </si>
  <si>
    <t>576.5/8</t>
  </si>
  <si>
    <t>Parrots of the Wild : A Natural History of the World's Most Captivating Birds</t>
  </si>
  <si>
    <t>QL696.P7 T64 2015</t>
  </si>
  <si>
    <t>598.7/1</t>
  </si>
  <si>
    <t>Field Guide to Birds of the Northern California Coast</t>
  </si>
  <si>
    <t>Science: Zoology; Science</t>
  </si>
  <si>
    <t>,1,2,3,4,5,6,7,8,53,54,55,52,51,56,57,58,59,60,61,62,63,64,65,67,68,69,66,70,205,206,207,204,208,209,290,292,291,288,289,293,294,295</t>
  </si>
  <si>
    <t>QL684.C2 -- .S763 2014eb</t>
  </si>
  <si>
    <t>Introduction to Population Ecology</t>
  </si>
  <si>
    <t>QH352 -- .R63 2015eb</t>
  </si>
  <si>
    <t>577.8/8</t>
  </si>
  <si>
    <t>lSw5i4V8PZgNhxDjw79W0Q==</t>
  </si>
  <si>
    <t>Challenging History in the Museum : International Perspectives</t>
  </si>
  <si>
    <t>,106,105,107,108,109,110,111,112,113,114,115</t>
  </si>
  <si>
    <t>D2.5 -- .C435 2014eb</t>
  </si>
  <si>
    <t>,1,2,3,102,103,104,101,100</t>
  </si>
  <si>
    <t>,1,2,3,37,38,39,35,36,34,40</t>
  </si>
  <si>
    <t>,77,78,79,80,81,82</t>
  </si>
  <si>
    <t>,80</t>
  </si>
  <si>
    <t>,1,2,3,4,5,6,7,8,9,10,11,69,70,71,68,67,72,73,72,73,74,75,76</t>
  </si>
  <si>
    <t>The Brilliance of Bioenergy : In Business and In Practice</t>
  </si>
  <si>
    <t>Environmental Studies; Economics; Business/Management</t>
  </si>
  <si>
    <t>HD9502.5.B542 -- S56 2009eb</t>
  </si>
  <si>
    <t>Gypsum Construction Handbook</t>
  </si>
  <si>
    <t>TH8137.G8 -- .G977 2014eb</t>
  </si>
  <si>
    <t>691/.9</t>
  </si>
  <si>
    <t>,14,14,16,15,16,12,15,13,13,11,10,9,7,6,6,8,5,3,8,4,5,4,8</t>
  </si>
  <si>
    <t>Novel Process Windows : Innovative Gates to Intensified and Sustainable Chemical Processes</t>
  </si>
  <si>
    <t>TP155.2.E58 -- H47 2015eb</t>
  </si>
  <si>
    <t>660.6; 660.63</t>
  </si>
  <si>
    <t>The Codes Guidebook for Interiors</t>
  </si>
  <si>
    <t>KF5701 .H37 2014</t>
  </si>
  <si>
    <t>,7,8,9,5,6,7,8,9,6,6,7,8,5,4,3</t>
  </si>
  <si>
    <t>Barry's Introduction to Construction of Buildings</t>
  </si>
  <si>
    <t>TH146 -- .E47 2014 eb</t>
  </si>
  <si>
    <t>Sustainable Residential Interiors</t>
  </si>
  <si>
    <t>Architecture; Engineering; Engineering: Construction</t>
  </si>
  <si>
    <t>TH4860 -- .F67 2014eb</t>
  </si>
  <si>
    <t>729.028/6</t>
  </si>
  <si>
    <t>Kitchen and Bath Lighting : Concept, Design, Light</t>
  </si>
  <si>
    <t>Engineering: Construction; Engineering: Electrical; Engineering</t>
  </si>
  <si>
    <t>TH7975.D8 -- B55 2015eb</t>
  </si>
  <si>
    <t>621.32/2</t>
  </si>
  <si>
    <t>Landscape Lighting Book</t>
  </si>
  <si>
    <t>Engineering; Agriculture; Engineering: Electrical</t>
  </si>
  <si>
    <t>SB473.4 -- .M694 2013eb</t>
  </si>
  <si>
    <t>621.32/29</t>
  </si>
  <si>
    <t>Older Adult Psychotherapy Treatment Planner, with DSM-5 Updates, 2nd Edition</t>
  </si>
  <si>
    <t>RC451.4.A5 -- .F739 2015eb</t>
  </si>
  <si>
    <t>618.97/689</t>
  </si>
  <si>
    <t>EY Tax Guide 2015</t>
  </si>
  <si>
    <t>,1,2,2,3,3,1,2,2,6,7,6,7,8,8,3,5,4,5,8,9,9,10,10,11,12,11,12</t>
  </si>
  <si>
    <t>KF6369.85 -- .E98 2015eb</t>
  </si>
  <si>
    <t>343.7305; 343.73052</t>
  </si>
  <si>
    <t>Management of Construction Projects</t>
  </si>
  <si>
    <t>TH438 -- .C6456 2015eb</t>
  </si>
  <si>
    <t>Professional Practice for Interior Designers</t>
  </si>
  <si>
    <t>,1,2,2,3,3,2,2,1</t>
  </si>
  <si>
    <t>NK2116.2 -- .P57 2014eb</t>
  </si>
  <si>
    <t>Smart Grid Standards : Specifications, Requirements, and Technologies</t>
  </si>
  <si>
    <t>,1,2,3,3,1,2,2,2</t>
  </si>
  <si>
    <t>TK3105 -- .S25 2015eb</t>
  </si>
  <si>
    <t>621.3102/18</t>
  </si>
  <si>
    <t>,1,2,3,2,3</t>
  </si>
  <si>
    <t>Rare Metal Technology 2015</t>
  </si>
  <si>
    <t>TA480.R3 -- .R374 2015eb</t>
  </si>
  <si>
    <t>Natural Gas : Fuel for the 21st Century</t>
  </si>
  <si>
    <t>TP350 .S476 2015</t>
  </si>
  <si>
    <t>Kitchen &amp; Bath Residential Construction and Systems</t>
  </si>
  <si>
    <t>TH4813 -- .G476 2014eb</t>
  </si>
  <si>
    <t>690/.42</t>
  </si>
  <si>
    <t>,26,27,79,81,77,78,82,83,84,1,85,82,83,2,81,80,78,79,83,84,85,86,87,89,90,91,92,93,69,70,66,67,72,73,74,75,76,77,78,79,80,81,82,17,18,19,16,15,20,21,22,23,24,25,26,189,190,188,186,183,184,89,90,91,87,88,162,163,160,165,161,166,293,294,289,290,288,287,286,285,284,283,282,281,63,64,65,61,62,292,293,294,291,295,296,297,286,287,288,284,285,283,15,16,17,13,14,18,19,60,61,62,63,59,240,241,242,238,239,243,244,245,246,247,248,249</t>
  </si>
  <si>
    <t>Solar Technology : The Earthscan Expert Guide to Using Solar Energy for Heating, Cooling and Electricity</t>
  </si>
  <si>
    <t>Engineering: Mechanical; Engineering; Engineering: Construction</t>
  </si>
  <si>
    <t>TJ810 -- .T57 2011eb</t>
  </si>
  <si>
    <t>Solar and Heat Pump Systems for Residential Buildings</t>
  </si>
  <si>
    <t>TH7511 .H384 2015</t>
  </si>
  <si>
    <t>Wiley Tax Preparer : A Guide to Form 1040</t>
  </si>
  <si>
    <t>KF6369.85 .W58 2013</t>
  </si>
  <si>
    <t>TG0XergSPDbvaQ6ifMaV9R3NryM9q0HM</t>
  </si>
  <si>
    <t>,1,2,3,145,146,147,143,144,148,149,150,151,152,153,154,155,156,157,158,159,160,161,162,163</t>
  </si>
  <si>
    <t>,1,2,3,4,15,16,17,13,14,18,19,20,21,19,20,21,22,23,24,25</t>
  </si>
  <si>
    <t>5 Gears : How to Be Present and Productive When There Is Never Enough Time</t>
  </si>
  <si>
    <t>HF5415</t>
  </si>
  <si>
    <t>Advanced Excel Reporting for Management Accountants</t>
  </si>
  <si>
    <t>HF5657.4 -- .B59 2014eb</t>
  </si>
  <si>
    <t>005.54024/6581511</t>
  </si>
  <si>
    <t>Enough Bull : How to Retire Well without the Stock Market, Mutual Funds, or Even an Investment Advisor</t>
  </si>
  <si>
    <t>HG179 -- .T734 2015eb</t>
  </si>
  <si>
    <t>332.024/014</t>
  </si>
  <si>
    <t>1,001 Accounting Practice Problems For Dummies</t>
  </si>
  <si>
    <t>HF5661 -- .M666 2015eb</t>
  </si>
  <si>
    <t>The Biological Foundations of Organizational Behavior</t>
  </si>
  <si>
    <t>,100,100,102,98,101,99,101,99,102,103,104,103,104,105,105,320,320,321,321,318</t>
  </si>
  <si>
    <t>HD58</t>
  </si>
  <si>
    <t>Wiley IFRS 2015 : Interpretation and Application of International Financial Reporting Standards</t>
  </si>
  <si>
    <t>HF5636 -- .C43 2015eb</t>
  </si>
  <si>
    <t>Wiley CPAexcel Exam Review 2015 Study Guide July : Financial Accounting and Reporting</t>
  </si>
  <si>
    <t>Wiley CPAexcel Exam Review 2015 Study Guide July : Regulation</t>
  </si>
  <si>
    <t>Wiley CIAexcel Exam Review 2015, Part 3 : Internal Audit Knowledge Elements</t>
  </si>
  <si>
    <t>HF5668.25 -- .V355 2015eb</t>
  </si>
  <si>
    <t>Wiley CPAexcel Exam Review 2015 Focus Notes : Financial Accounting and Reporting</t>
  </si>
  <si>
    <t>HF5661 -- .W554 2015eb</t>
  </si>
  <si>
    <t>Wiley GAAP 2015 : Interpretation and Application of Generally Accepted Accounting Principles 2015</t>
  </si>
  <si>
    <t>HF5616.U5 -- .F566 2015eb</t>
  </si>
  <si>
    <t>,1,3,2,2,3,1</t>
  </si>
  <si>
    <t>,1,2,3,61,62,63,59,60,64,65,88,89,90,86,87,91,92,138,139,140,136,137</t>
  </si>
  <si>
    <t>101 Excel 2013 Tips, Tricks and Timesavers</t>
  </si>
  <si>
    <t>HF5548.4.M523 -- .W355 2013eb</t>
  </si>
  <si>
    <t>Excel 2013 Power Programming with VBA</t>
  </si>
  <si>
    <t>HF5548.2 -- .W355 2013eb</t>
  </si>
  <si>
    <t>Excel 2013 Formulas</t>
  </si>
  <si>
    <t>HF5548.4.M523</t>
  </si>
  <si>
    <t>,1,3,2,3,2,1</t>
  </si>
  <si>
    <t>Excel Dashboards and Reports</t>
  </si>
  <si>
    <t>HF5548.4.M523 -- A44 2013eb</t>
  </si>
  <si>
    <t>,1,2,3,3,2,1</t>
  </si>
  <si>
    <t>Excel VBA 24-Hour Trainer</t>
  </si>
  <si>
    <t>HF5548.4.M523 -- .U785 2015eb</t>
  </si>
  <si>
    <t>f/zayN1fMoTnkMnx9ppu2Q==</t>
  </si>
  <si>
    <t>IIO/m0kQEOrqE8Q04KZ50Q==</t>
  </si>
  <si>
    <t>,1,2,3,24,35,36,37,33,34,26,27,28,24,25,2,21,1,2,3,1,3,2</t>
  </si>
  <si>
    <t>,1,2,2,1,3,3,2,2,18,19,20,18,16,20,17,19,1,2,17,3,4,4,5,5,6,6,7,7,7,8,9,8,10,9,10,11,11</t>
  </si>
  <si>
    <t>oIfovjenBshB+N9840pSIg==</t>
  </si>
  <si>
    <t>Z3fPQgc8m4coVmp13ClA+Q==</t>
  </si>
  <si>
    <t>,1,2,3,4,5,152,153,154,150,151,149,132,133,134,130,131</t>
  </si>
  <si>
    <t>,1,2,3,63,64,60,61,65,59,58,56,62,1,3</t>
  </si>
  <si>
    <t>,1,2,3,2,3,1,2,2,7,8,9,8,7,6,9,5,6,10,12,10,11,11,13,13,14,9,14,8,12,13,14,15,15,16,16,3,4,5,1,4,2,4,4</t>
  </si>
  <si>
    <t>AucKB9Y0WGT6MS1sEd0hzQ==</t>
  </si>
  <si>
    <t>fgzcft9x0zrGDA39KHkK7g==</t>
  </si>
  <si>
    <t>,1,2,3,31,32,33,29,30,28</t>
  </si>
  <si>
    <t>Interior Design Productivity Toolbox : Checklists and Best Practices to Manage Your Workflow</t>
  </si>
  <si>
    <t>NK2116 -- .H37 2014eb</t>
  </si>
  <si>
    <t>Clinical Applications of Digital Dental Technology</t>
  </si>
  <si>
    <t>RK309 -- .C55 2015eb</t>
  </si>
  <si>
    <t>617.6/07572</t>
  </si>
  <si>
    <t>,1,2,3,2,3,1,2,2,9,9,10,11,10,11,7,8,8,6,5,4</t>
  </si>
  <si>
    <t>No One Ever Told Us That : Money and Life Lessons for Young Adults</t>
  </si>
  <si>
    <t>HG4521 -- .S7184 2015eb</t>
  </si>
  <si>
    <t>,339,340,341,342,343,344,345,346,347,348,349,350,351,352,353,354,355,356,357,358,346,328,329</t>
  </si>
  <si>
    <t>,1,2,3,4,330,331,332,333,329,334,335,336,337,338,339,340,329,330,328,329</t>
  </si>
  <si>
    <t>,1,2,3,59,60,61,57,58,62,63,64,65,66,67</t>
  </si>
  <si>
    <t>,13,21,21,21,21,21,22,23,26,3,7,9,13</t>
  </si>
  <si>
    <t>10.36.92.237</t>
  </si>
  <si>
    <t>,1,2,2,3,3,1,1,2,2,4,4,5,5,1,7,9</t>
  </si>
  <si>
    <t>UWVyScTkS32YT4yMWpKQFg==</t>
  </si>
  <si>
    <t>,1,2,3,4,296,330,331,332,328,329</t>
  </si>
  <si>
    <t>Protocols for High-Risk Pregnancies : An Evidence-Based Approach</t>
  </si>
  <si>
    <t>RG571 .Q384 2015</t>
  </si>
  <si>
    <t>,22,23,24,27,29,28,26,25,35,36,37,33,34,38,39,40,1,40,40,42,41,38,42,1,41,39,39</t>
  </si>
  <si>
    <t>,9,10,11,7,8</t>
  </si>
  <si>
    <t>101 Ways To Save Money On Your Tax - Legally! 2015-2016</t>
  </si>
  <si>
    <t>Economics; Business/Management; Law</t>
  </si>
  <si>
    <t>K4464</t>
  </si>
  <si>
    <t>Ethics of Personalised Medicine : Critical Perspectives</t>
  </si>
  <si>
    <t>Circadian Medicine</t>
  </si>
  <si>
    <t>QP84.6</t>
  </si>
  <si>
    <t>612/.022</t>
  </si>
  <si>
    <t>ADHD Book of Lists : A Practical Guide for Helping Children and Teens with Attention Deficit Disorders</t>
  </si>
  <si>
    <t>LC4713.4 .R53 2015</t>
  </si>
  <si>
    <t>Fundamentals of Children's Anatomy and Physiology : A Textbook for Nursing and Healthcare Students</t>
  </si>
  <si>
    <t>Self-determination in Health Care : A Property Approach to the Protection of Patients' Rights</t>
  </si>
  <si>
    <t>K3611.I5 E36 2015</t>
  </si>
  <si>
    <t>344.4104/12; 344.410412; 344.4104''12</t>
  </si>
  <si>
    <t>uRibfPh+jE0wXd1FKpM31Q==</t>
  </si>
  <si>
    <t>,78,79,80</t>
  </si>
  <si>
    <t>,1,2,3,8,9,10,6,7,4,5</t>
  </si>
  <si>
    <t>Aftershock : Protect Yourself and Profit in the Next Global Financial Meltdown</t>
  </si>
  <si>
    <t>HG179</t>
  </si>
  <si>
    <t>Medical Billing and Coding For Dummies</t>
  </si>
  <si>
    <t>Business/Management; Medicine</t>
  </si>
  <si>
    <t>R728.5 .S65 2015</t>
  </si>
  <si>
    <t>Pocket Guide to Teaching for Clinical Instructors</t>
  </si>
  <si>
    <t>RC55 .B384 2015</t>
  </si>
  <si>
    <t>,1,2,3,21,22,23,19,20,24,27,29,31,33,34,35,36,32,37,38,39,40,41,42,43,44,45,46,47,107,109,108,110,111,112,114,115,116,113,213,214,215,211,212,216,217,218,219,220</t>
  </si>
  <si>
    <t>,1,2,3,51,52,53,49,50,54,55,56,57,58,59,60,61,62,63,64,65,66,67,68,69,70,71,72,73,74,75,76,77</t>
  </si>
  <si>
    <t>Careful Eating : Bodies, Food and Care</t>
  </si>
  <si>
    <t>,16,18,17,14,15,19,20,21,22</t>
  </si>
  <si>
    <t>TX357 .C33 2015</t>
  </si>
  <si>
    <t>306.4/613; 306.4613; 306.4''613</t>
  </si>
  <si>
    <t>,1,2,3,9,10,11,7,8,12,13,14,15,16,17</t>
  </si>
  <si>
    <t>Darwin's Sciences</t>
  </si>
  <si>
    <t>Science; Science: Biology/Natural History; Science: General</t>
  </si>
  <si>
    <t>,1,2,3,15,16,17,13,14,38,40,39,36,41,37</t>
  </si>
  <si>
    <t>QH31 .D2 P67 2015</t>
  </si>
  <si>
    <t>Optimization Modeling with Spreadsheets</t>
  </si>
  <si>
    <t>,1,2,3,11,12,13,9,10,14,15,16,17,18,19,20,22,21,23,24,25,26,27</t>
  </si>
  <si>
    <t>HB143.7 .B35 2015</t>
  </si>
  <si>
    <t>,1,2,3,62,63,64,61,65,66,67,68,69,70,237,238,239,240,241</t>
  </si>
  <si>
    <t>An Imperialist Love Story : Desert Romances and the War on Terror</t>
  </si>
  <si>
    <t>JC574.2.G7</t>
  </si>
  <si>
    <t>Critical and Creative Thinking : A Brief Guide for Teachers</t>
  </si>
  <si>
    <t>,1,2,3,19,20,21,17,18,22,23,24,25,26,27,28,29,30,120,121,117,118</t>
  </si>
  <si>
    <t>BF441 .D589 2015</t>
  </si>
  <si>
    <t>153.4/2</t>
  </si>
  <si>
    <t>Researching Medical Education</t>
  </si>
  <si>
    <t>,1,2,3,6,7,8,4,9,10,11,39,40,41,42,43,44,45</t>
  </si>
  <si>
    <t>R735</t>
  </si>
  <si>
    <t>Textbook of Geriatric Dentistry</t>
  </si>
  <si>
    <t>RK55.A3</t>
  </si>
  <si>
    <t>,1,2,3,6,7,8,4,5,9,10,11,12</t>
  </si>
  <si>
    <t>Examination of the Newborn : An Evidence-Based Guide</t>
  </si>
  <si>
    <t>RJ255.5</t>
  </si>
  <si>
    <t>618.92/01</t>
  </si>
  <si>
    <t>Emotion</t>
  </si>
  <si>
    <t>,1,2,3,12,13,14,10,11,15,18,19,20,31,32,33,29,30</t>
  </si>
  <si>
    <t>B815 .P75 2015</t>
  </si>
  <si>
    <t>Essential Clinical Neuroanatomy</t>
  </si>
  <si>
    <t>Science; Science: Anatomy/Physiology</t>
  </si>
  <si>
    <t>,1,2,3,18,19,20,21</t>
  </si>
  <si>
    <t>QM451</t>
  </si>
  <si>
    <t>611/.8</t>
  </si>
  <si>
    <t>Wireless Communications Systems Design</t>
  </si>
  <si>
    <t>,1,2,3,23,24,25,22,6,7,8,4,5</t>
  </si>
  <si>
    <t>TK5103.2 .K384 2015</t>
  </si>
  <si>
    <t>,10,21,22,23,24,25,26</t>
  </si>
  <si>
    <t>Medical Gases : Production, Applications, and Safety</t>
  </si>
  <si>
    <t>RT42 .M384 2015</t>
  </si>
  <si>
    <t>Not Gay : Sex between Straight White Men</t>
  </si>
  <si>
    <t>HQ28 .W37 2015</t>
  </si>
  <si>
    <t>,1,2,3,18,19,20,16,17,15,14,13,11,12,6,7,8,4,5</t>
  </si>
  <si>
    <t>,490,491,492,488,489,493,494,6,7,8,4,5,9,10,491,492,493,494,495,158,157,162,156,161</t>
  </si>
  <si>
    <t>,7,8,9,5,6,10,11,12,13,14,15,4,65,66,67,68</t>
  </si>
  <si>
    <t>,1,2,3,62,63,64,60,61,3,2,1,62,63,64,60,61</t>
  </si>
  <si>
    <t>94cIXepsjMbsYxshflog/A==</t>
  </si>
  <si>
    <t>,1,2,3,313,314,315,312,311,316</t>
  </si>
  <si>
    <t>,1,2,3,81,80,82,78,79,83,84,85,86,87</t>
  </si>
  <si>
    <t>z9faKVjvuu/LdWMolb68yA==</t>
  </si>
  <si>
    <t>Happiness Choice : The Five Decisions That Will Take You From Where You Are to Where You Want to Be</t>
  </si>
  <si>
    <t>BF575.H27 -- T36 2013eb</t>
  </si>
  <si>
    <t>0oSEwo2zM/wjncDQ1Wb36zeuElgtfx0vR4D+SZGOE1k=</t>
  </si>
  <si>
    <t>,1,82,83,84,80,81,85,86,87,89,79,78,77,2,74,75</t>
  </si>
  <si>
    <t>,1,140,141,142,143,144,139,2,144,138</t>
  </si>
  <si>
    <t>HbLk6yP9dK3Y7lH7V7/ruQ==</t>
  </si>
  <si>
    <t>,1,2,3,4,5,15,16,17,36,49,65,68,69,70,71,67,72,74,73,75,76,77,78,79,83,85</t>
  </si>
  <si>
    <t>Classic Questions and Contemporary Film : An Introduction to Philosophy</t>
  </si>
  <si>
    <t>,2,1,3,54,56,55,52,53,175,176,177,173,174,178,179,180,181,182,183,110,111,112,108,109,113,107,106,103,104,105,101,102</t>
  </si>
  <si>
    <t>BD21</t>
  </si>
  <si>
    <t>,1,2,3,391,392,393,390,388,389,394,395,396,397,398,399,400,401</t>
  </si>
  <si>
    <t>,502,503,504,505,506</t>
  </si>
  <si>
    <t>,1,2,3,10,17,12,8,5,4,6,7,9,8,9,10,11,12,472,472,473,474,481,483,484,487,491,492,493,494,494,495,496,497,498,499,500,501</t>
  </si>
  <si>
    <t>5fVY0tNJ/YpFJhz7pLFvIg==</t>
  </si>
  <si>
    <t>Bilingual Education : Teachers' Narratives</t>
  </si>
  <si>
    <t>,1,2,3,13,14,15,11,12,58,59,60,56,57,61,62,41,42,43,40,39,44,45</t>
  </si>
  <si>
    <t>,1,2,3,433,431,435,432,434,436,437,438,439,440,441,442,443,444,445,446,449,450,498,499,500,496,497,501,502,1,502,503,504,500,501,505,2,498,499,497,7,8,9,5,6,10,11,12,13,14,15,16,17,18,19,20,21,14,13,11,10,12,8,9,6,7,4,5,3,9,10,12,13,14,11,15,16,17,18,19,20,21,505,497,509,510,511,507,508,512,497,495,496,1,496,497,498,494,495,2,495,493,492,491,499,498,498,498,498,498,491,492,491,493,489,490,498,499,500,496,497,464,465,466,462,463,386,387,388,384,385,389,390,391,392,393,394,387,387,387,387,388,389,385,386,390</t>
  </si>
  <si>
    <t>,1,2,3,493,494,495,491,492,496,497,498,499,500,501,502,503,504,505,506,507,508,501,502,499,500,497,498,496,495</t>
  </si>
  <si>
    <t>,497</t>
  </si>
  <si>
    <t>,4,5,6,7,13,38,39,40,36,37,41,42,55,61,67,76,86,88,94,97,102,103,104,100,105,106,107,108,109,110,111,112,113,114,115,116,117,118,119,120,121,122,123,124,125,126,127,128,129,130,131,132,133,134,135,136,137,138,139,140,141,391,392,393,389,390,388,387,394</t>
  </si>
  <si>
    <t>,1,2,3,4,385,386,387,383,384,388,389,390,391,392,393,394,395,396,397,398,399,400,392,391,390</t>
  </si>
  <si>
    <t>,313,314,307,302,301,301,303,299,300,300,520,522,520,518,522,519,521,519,521,517,517,516,515,516,514,513,512,511,510,515,510,509,508,507,505,506,506,505,503,504,504,502,501,502,533,534,533,534,535,535,531,532,532,536,536,537,537,532,531,536,537,538,538,539,539,540,540,541,541,542,542,543,544,543,544,545,545,546,547,546,547,548,548,319,320,321,317,319,318,318,322,323</t>
  </si>
  <si>
    <t>,2,1,2,3,3,1,2,1,3,1,2,2,306,307,306,307,308,308,305,305,303,304,302,302,306,308,311,311,312,312,309,313,314,310,313,314,315,315,316,316,317,317,320,320,321,321,316,321,322,322,323,323,324,324,325,325,326,328,326,328,329,329,330,330,331,331,332,333,332,333,306,307,308,304,305,303,302,307,308,309,310,311,312</t>
  </si>
  <si>
    <t>,1,2,3,496,497,498,494,495,499,500,501,494,493,491,492,490,496,497,492,497,498,499,500,501</t>
  </si>
  <si>
    <t>KNzilF1zc3/ljDAw3WgvIA==</t>
  </si>
  <si>
    <t>Critical Discourse Analysis : The Critical Study of Language</t>
  </si>
  <si>
    <t>,17,18,19,20,21,22,1,2,3,22,23,24,20,21,43,43,44,45,44,41,45,42,42</t>
  </si>
  <si>
    <t>P302 -- .F35 2013eb</t>
  </si>
  <si>
    <t>,1,3,2,1,2,3,6,7,8,6,8,7,5,5,4,2,9,9,10,10,11,11,11,12,12,13,13,14,14,15,15,16,16,17,17,6,7,8,4,5,9,4,9,13,16,19,21,19,21,22,23,24,23,22,20,24,25,25,20,19,17,18,16,15,14,13,12</t>
  </si>
  <si>
    <t>,1,2,3,7,8,9,5,6,10,385,386,387,383,384,388,503,504,505,501,502,499,500,385,386,387,383,384,388,389,390</t>
  </si>
  <si>
    <t>neblhPbLx467+eDlEYO6pg==</t>
  </si>
  <si>
    <t>,1,2,3,4,284,285,286</t>
  </si>
  <si>
    <t>Environmental Microbiology : From Genomes to Biogeochemistry</t>
  </si>
  <si>
    <t>QR73 .M384 2015</t>
  </si>
  <si>
    <t>,1,3,3,2,2,1,2,2</t>
  </si>
  <si>
    <t>,1,2,3,51,52,53,50,49,54,48,55</t>
  </si>
  <si>
    <t>Circle of the 9 Muses : A Storytelling Field Guide for Innovators and Meaning Makers</t>
  </si>
  <si>
    <t>Z678</t>
  </si>
  <si>
    <t>3GpMpk89qW18bPehcospXA==</t>
  </si>
  <si>
    <t>,9,9,4,4,5,6,6,7,7,8,8,9,10,10,11,11,16,16,17,18,15,14,18,15,17</t>
  </si>
  <si>
    <t>,1,2,3,3,2,2,2,1</t>
  </si>
  <si>
    <t>,1,1,2,2,3,3,1</t>
  </si>
  <si>
    <t>Textbook of Non-Medical Prescribing</t>
  </si>
  <si>
    <t>RM138</t>
  </si>
  <si>
    <t>615/.1</t>
  </si>
  <si>
    <t>,1,2,3,4,5,6,7,8,9,10,12,13,14,15,16,17,18,19,20,22,21</t>
  </si>
  <si>
    <t>SjnfSj8WaqRGTw351LFZ9g==</t>
  </si>
  <si>
    <t>,153,154,155,156,157,158,159,160,161,162,163,164,165,166,167,168,169,170,171,172,173,174,175,176,177,178,179</t>
  </si>
  <si>
    <t>,1,3,2,4,153,154,155,151,152</t>
  </si>
  <si>
    <t>Fundamentals of Scientific Research : An Introductory Laboratory Manual</t>
  </si>
  <si>
    <t>Business/Management; Science</t>
  </si>
  <si>
    <t>Q180 .A1</t>
  </si>
  <si>
    <t>,23,24,25,26,27</t>
  </si>
  <si>
    <t>MRI : Basic Principles and Applications</t>
  </si>
  <si>
    <t>RC78.7 .N83</t>
  </si>
  <si>
    <t>616.07; 616.07548</t>
  </si>
  <si>
    <t>,1,2,3,1,2,23,24,23,25,26,27</t>
  </si>
  <si>
    <t>Radicals, Revolutionaries, and Terrorists</t>
  </si>
  <si>
    <t>HN49 .R33 B43 2015</t>
  </si>
  <si>
    <t>303.48; 303.484</t>
  </si>
  <si>
    <t>y0/eTo+HNgee2VX4aWY7qVuQiF61HfeYON0g0eqyjGeU72PA/myUNA==</t>
  </si>
  <si>
    <t>Teaching Physical Education : A Handbook for Primary and Secondary School Teachers</t>
  </si>
  <si>
    <t>,1,3,2,4,16,17,18,14,15,74,94,96,95,93,92</t>
  </si>
  <si>
    <t>GV443 -- .B267 2001eb</t>
  </si>
  <si>
    <t>,1,2,3,2,3,2,2,1</t>
  </si>
  <si>
    <t>Ethnopharmacology</t>
  </si>
  <si>
    <t>RS1</t>
  </si>
  <si>
    <t>615/.321</t>
  </si>
  <si>
    <t>,1,2,3,3,2,2,2,1,48,49,49</t>
  </si>
  <si>
    <t>,158,159,160,161,162,163,164,165,166,167,168,169,170,171,172,173,174,175,176,177,178,179,180,181,182,183,184,185,117,102,88,76,66,61,54,44,59,30,31,32,33,34,35,33</t>
  </si>
  <si>
    <t>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</t>
  </si>
  <si>
    <t>,1,2,3,153,154,155,151,152,156,157</t>
  </si>
  <si>
    <t>tsVu9Ks5tWB6uMi5DzP1GA==</t>
  </si>
  <si>
    <t>PSAT / NMSQT For Dummies</t>
  </si>
  <si>
    <t>,1,2,3,1,2,3,4,5,6,161,162,163,164,165</t>
  </si>
  <si>
    <t>LB2353.56 -- .W66 2013eb</t>
  </si>
  <si>
    <t>378.1; 378.166</t>
  </si>
  <si>
    <t>QsI+VUO/+tQMolRPkB381Q==</t>
  </si>
  <si>
    <t>,208,345,346,347,479,480,477,478,475,476,473,474,143,144,145,142,141,146,147,148,149,150</t>
  </si>
  <si>
    <t>,1,154,155,153,151,152,156,157,158,2,159,160,161,162,163,164,165</t>
  </si>
  <si>
    <t>,1,3,2,504,505,506,502,503,563,564,565,561,562,566,567,568,569,570,571,572,573,574,575</t>
  </si>
  <si>
    <t>,185,185,113,154,154,154,160,156,185,1,187,186,183,1,184,185,186,183,184,187,2</t>
  </si>
  <si>
    <t>,25,140,141,142,143,144,145,146,147,148,149,150,151,152,153,154,155,156,157,158,159,160,161,162,163,164,165,166,167,168,169,170,171,172,140,141,142,143,144,145,146,147,148,149,150,151,152,153,154,155,156,157,158,159,160,161,162,163,164,165,166,167,168,169,170,171,172,150,151,152,153,154,155,156,157,158,159,160,161,162,163,164,165,166,167,168,169,170,171,172,173,174,175,176,177,178,179,180,181,182,183,184</t>
  </si>
  <si>
    <t>jJAOFeGNIIoj5n5ijUHWIQ==</t>
  </si>
  <si>
    <t>American Wine Economics : An Exploration of the U.S. Wine Industry</t>
  </si>
  <si>
    <t>,22,23,24,25,26,27,28,29,30,31,32,33,34,35,36,37,38</t>
  </si>
  <si>
    <t>HD9370.5 -- .T546 2013eb</t>
  </si>
  <si>
    <t>338.4/7663200973</t>
  </si>
  <si>
    <t>,1,3,2,153,154,155,151,152,153</t>
  </si>
  <si>
    <t>,1,100,101,102,98,99,103,104,105,2,106,107,108,109,110,111,112,113,114,115,119,120,121,117,118,116,122,123,124,141,142,143,139,140,144,145,146,147,293,294,295,291,292,296,297,298,225,226,227,223,224,18,19,20,16,17,21</t>
  </si>
  <si>
    <t>,1,2,3,342,343,344,341,340,345,346,347,348,349,350,351,352,353,351,352,353,349,350,354,355,356</t>
  </si>
  <si>
    <t>g4i3XC5wtOwADGI2MCxM1g==</t>
  </si>
  <si>
    <t>,1,2,3,387,388,389,385,386,387,388,389,386,101,81,82,83,84,85,86,87,88,89,90,91,92,93,94,389,388,387,388,389,388,387,389</t>
  </si>
  <si>
    <t>,1,2,3,94,95,93,92,96,50,51,49,52,48,14,15,16,12,13,29,30,27,28,31</t>
  </si>
  <si>
    <t>,1,2,3,240,241,242,238,239,243,9,10,11,7,8,12,13,14,15,16,17,18,19,20,21,55,57,56,53,54,58,59,125,126,127,123,124,244</t>
  </si>
  <si>
    <t>,1,2,3,387,388,389,385,386,390,391</t>
  </si>
  <si>
    <t>,175,1,176,177,173,174,2,172,153,154,155,151,152,156,157,158,159,160,161,162,163,164,165,166,167,168,169,170,178,179,181,180,171,175,182,177</t>
  </si>
  <si>
    <t>,1,2,3,87,88,89,85,86,100,101,102,98,99,97,103,101,102,103,99,100,104,105,97,106,107,108,109,110,111,112,113,115,120,119,118,117,114,116</t>
  </si>
  <si>
    <t>,496,497,498,493,499,500,501,502,503,504,505,506,507,508,509,495</t>
  </si>
  <si>
    <t>oAiM6lrXPRQ=</t>
  </si>
  <si>
    <t>,1,2,3,494,495,496,492,493,491,490,474,475,476,472,473,477,478,479,480,481,482,483,484,485,486,487,488,489,493,494</t>
  </si>
  <si>
    <t>,92,96,100,97,98,99</t>
  </si>
  <si>
    <t>,1,2,3,6,7,11,12,87,90,91,88,89,92,90,91,88,89,2,93,94,95</t>
  </si>
  <si>
    <t>,305,306,307,308,309,310,311,312,313,314,315,316,317,318,319,320,321,322,323,324,325,326,327,328,329,330,331,332,385,386,387,388,389,390,391,392,393,394,395,396,397,398,491,492,493,494,495,496,497,498,499,500,501,502,503,504,505,506,547,548,549,550,551,552,553,554,555,556,557,558,559,560,561,562,305,306,307,308,309,310,311,312,313,314,315,316,317,318,319,320,321,322,323,324,325,326,327,328,329,330,331,332,385,386,387,388,389,390,391,392,393,394,395,396,397,398,491,492,493,494,495,496,497,498,499,500,501,502,503,504,505,506,547,548,549,550,551,552,553,554,555,556,557,558,559,560,561,562,305,306,307,308,309,310,311,312,313,314,315,316,317,318,319,320,321,322,323,324,325,326,327,328,329,330,331,332,491,492,493,494,495,496,497,498,499,500,501,502,503,504,505,506,305,306,307,308,309,310,311,312,313,314,315,316,317,318,319,320,321,322,323,324,325,326,327,328,329,330,331,332,491,492,493,494,495,496,497,498,499,500,501,502,503,504,505,506,385,386,387,388,389,390,391,392,393,394,395,396,397,398,547,548,549,550,551,552,553,554,555,556,557,558,559,560,561,562,385,386,387,388,389,390,391,392,393,394,395,396,397,398,547,548,549,550,551,552,553,554,555,556,557,558,559,560,561,562</t>
  </si>
  <si>
    <t>,1,3,2,493,494,495,491,492,496,497,498,499,521,522,523,519,520,518</t>
  </si>
  <si>
    <t>,1,2,3,4,5,6,15,17,16,13,14,18,227,228,229,225,226,319,320,321,317,318,153,154,155,151,152,176,177,178,174,175</t>
  </si>
  <si>
    <t>HRcr1OXo3+0eCeKCL4to7g==</t>
  </si>
  <si>
    <t>nywO5Y+4tB2SXkadZOxVOQ==</t>
  </si>
  <si>
    <t>Love and Hate : Psychoanalytic Perspectives</t>
  </si>
  <si>
    <t>,3,4</t>
  </si>
  <si>
    <t>RC506 -- .L68 2011eb</t>
  </si>
  <si>
    <t>,1,2,3,4,5,6,7,8,9,10,11,12,266,267,265,264,45,48,44,1,47,48,45,46,49,44,2,43,69,70,71,68,67,66,268,269,270,266,267,271,272</t>
  </si>
  <si>
    <t>iPad at Work For Dummies</t>
  </si>
  <si>
    <t>QA76.8.I863 -- .G786 2015eb</t>
  </si>
  <si>
    <t>,1,30,31,32</t>
  </si>
  <si>
    <t>,1,2,3,101,102,103,99,100,104,105,106,95,96,97,93,94,98,99,101,102,103,104,105,387,388,389,385,386,390,104,105,391,106,107,98,95,96,97,93,94,92,393,394,384,1,384,385,386,382,383,387,388,389,390,2,391,392,99,101,100</t>
  </si>
  <si>
    <t>,1,3,2,15,16,17,13,14,11,153,154,155,151,152,156,157,158,159,185,186,187,183,184</t>
  </si>
  <si>
    <t>,550,551,552,553,554,555,556,557,558,559,560,561,562,563,564,565,566</t>
  </si>
  <si>
    <t>ASEtTWFHI1gpTJzsWIYIKw==</t>
  </si>
  <si>
    <t>,16,17,18,19,20,21,22,23,24,25,26,27,28,29,30,31,32,33,34,35,36,37,38,39,40,41,42,43,44,45,46,47,48,49,50,51,52,53,54</t>
  </si>
  <si>
    <t>,1,2,3,4,5,6,7,8,9,10,11,23,24,25,21,22,26,55,56,57,53,54</t>
  </si>
  <si>
    <t>,2,1,3,547,548,549,545,546,543,544</t>
  </si>
  <si>
    <t>On Love : A Philosophy for the Twenty-First Century</t>
  </si>
  <si>
    <t>BD436 -- .F4713 2013eb</t>
  </si>
  <si>
    <t>,391,103,104,390,391,94,93,92,91,90,89,88,87,86,85,84,83,82,103,104,105,385,386,390,104,105,385,386,390,391,385,104,105,83,82,81,80,79,78,77,104,105,390,386,104,105,78,77,385,386,390,391,392</t>
  </si>
  <si>
    <t>,1,2,3,101,102,103,99,104,100,98,97,96,95,94,93,387,388,389,385,386,390</t>
  </si>
  <si>
    <t>D9jvULw9GbS61fE+aGhnvA==</t>
  </si>
  <si>
    <t>,10,12,11,13,14,15,16,17,18,19,20,21,22,23,25,25,25,25,25,26,27,23,24,28,22,21,19,20</t>
  </si>
  <si>
    <t>,1,2,3,413,414,415,411,412,416,417,418,420,421,422,419,429,430,431,427,428,385,386,387,383,384,388,389,390,391,392,393,394,395,396,378,379,380,376,377,381,397,398,399,400,430,431,427,428,432,433,434,435,436,437,438,439,440</t>
  </si>
  <si>
    <t>,552,552,553,553,554,554,555,555,556,556,557,557,558,558,559,559,560,560,561,561,563,563,562,562,558,557,556,555,554,553,552,551,550,549,548,547,546,545,550,551,552,553,554,555,556,557,552,551,550,549,548,547,546,545,550,551,552,107,107,108,109,106,108,109,106,105,110,110,105,112,114,110,112,114,111,113,111,113,109,108,107,113,114,115,112,115,116,116,111,116,547,548,549,545,546,550,545,550,551,552,553,554,555,556,557,552,550,551,549,554,555,556,557,558,559</t>
  </si>
  <si>
    <t>,1,2,2,3,1,3,2,2,547,547,548,549,548,545,549,546,546,550,550,551,546,551</t>
  </si>
  <si>
    <t>,25,26,27,28,29,17,10,21,19,330,331,332,328,329,327,337,338,336,335,335,333,226,184,185,186,182,183,187,338,337,28,29,30,31,32,33,34,35,36,37,38,39,40,41,42,43,44,45,46,47,48,49,50</t>
  </si>
  <si>
    <t>,1,3,2,3,2,1,19,19,20,17,2,20,18,18,240,240,241,241,242,242,243,243,239</t>
  </si>
  <si>
    <t>,1,2,3,8,10,9,7,6,14,15,16,12,13,2,14,15,16,12,13,17,18,19,20,13,12,10,11</t>
  </si>
  <si>
    <t>,1,2,3,80,81,82,78,79,101,102,103,99,100,104,80,81,82,78,79,83,84,85,86,87,101,102,103,99,100,104,65,66,67,63,64,62,61,60,59,58,57,56,55,54,53,52,51,50,60,61,62,63,64,66,67,68,103,99,100,104,88,81,80,79,87,88,89,90,91,92,93,94,95,96,97,98,99,100,101,102,103,104,387,388,389,385,386,390,391,392,386,391,392,386,385,94,95,96,92,93,101,102,99,103,100,104,387,388,389,385,386,390,391,386,385,384,99</t>
  </si>
  <si>
    <t>,390,391,392,393,394,395,396,397,398,399,400,401</t>
  </si>
  <si>
    <t>,1,2,3,54,62,63,64,60,61,385,386,387,384,383,388,397,392,391,393,390,389</t>
  </si>
  <si>
    <t>,1,102,103,104,100,101,105,106,2,146,147,148,144,145</t>
  </si>
  <si>
    <t>,1,2,3,100,101,102,98,99,103,104,97,96,94,95,89,90,91,87,88,92,387,388,389,385,386,390,391,391,385,95,96,97,94,93,92,91,90,89,88,87,86,85,84,83,82,81,80,79,78,385,391,385,392,386,385,390,391,384</t>
  </si>
  <si>
    <t>xhEHa1HkNUAsagmXsHc+Lg==</t>
  </si>
  <si>
    <t>The Marriage Buyout : The Troubled Trajectory of U.S. Alimony Law</t>
  </si>
  <si>
    <t>,60,61,62,63,64,65,66,67,68,69,70,72,73,78,80,76,77,81,82,83,84,85,86,87,88,89,90,91,92,93,94,95,96,97,98,99,100,101,102,103,122,123,124,120,121,125,126,127,129,130,131,132,133,134,135,136,137</t>
  </si>
  <si>
    <t>KF537 -- .S73 2014eb</t>
  </si>
  <si>
    <t>346.7301/663</t>
  </si>
  <si>
    <t>,1,2,3,43,44,41,46,42,47,48,49,50,52,53,54,55,51,56,57,58,59</t>
  </si>
  <si>
    <t>8p+7BtixMmRKyDB4QNWB8Q==</t>
  </si>
  <si>
    <t>,1,2,3,80,81,82,78,79,83,84,387,388,389,385,386,390,391,392,95,96</t>
  </si>
  <si>
    <t>,390,391,392,393,394,395,390,396,397,398,399,310,311,312,308,309</t>
  </si>
  <si>
    <t>,1,2,3,385,386,387,383,384,381,382,379,388,389,390,391,388,389,390,651,650,649,648,388,389</t>
  </si>
  <si>
    <t>DIY Financial Advisor : A Simple Solution to Build and Protect Your Wealth</t>
  </si>
  <si>
    <t>HG4529.5 .G736 2015</t>
  </si>
  <si>
    <t>Group Therapy Treatment Planner, with DSM-5 Updates</t>
  </si>
  <si>
    <t>,7,8,7,9,8,9,10,10,11,8,9,11,6,10,7</t>
  </si>
  <si>
    <t>RC488</t>
  </si>
  <si>
    <t>616.89/152</t>
  </si>
  <si>
    <t>How to Develop Your Career in Dentistry</t>
  </si>
  <si>
    <t>,1,2,2,3,3</t>
  </si>
  <si>
    <t>RK34.U6 .B384 2015</t>
  </si>
  <si>
    <t>Basics of Dental Technology : A Step by Step Approach</t>
  </si>
  <si>
    <t>,1,2,2,3,3,1,2,2,6,7,6,8,7,4,8,5,5,14,15,12,13,13,15,16,14,17,16,18,19,18,19,17,20,20</t>
  </si>
  <si>
    <t>RK658 .J384 2015</t>
  </si>
  <si>
    <t>,1,2,2,3,3,1,2,2,4,5,5,6,4,6</t>
  </si>
  <si>
    <t>JavaScript For Kids For Dummies</t>
  </si>
  <si>
    <t>QA76.73.J38 .M384 2015</t>
  </si>
  <si>
    <t>Early Childhood Oral Health</t>
  </si>
  <si>
    <t>RK55 .C5</t>
  </si>
  <si>
    <t>617.6; 617.645</t>
  </si>
  <si>
    <t>,1,2,2,3,3,1,2,2,15,15,16,11,16,11,12,13,9,12,13,10,10,14,14,9,8,8,7,12,7,5,5,6,3,4,4,6,8</t>
  </si>
  <si>
    <t>,1,2,3,1,2,3,4,4,5,5,6,6,7,7,2,8,3,8</t>
  </si>
  <si>
    <t>NMR in Pharmaceutical Science</t>
  </si>
  <si>
    <t>,1,2,2,3,3,1,2,2,385,385,386,386,383,384,384,388,388,392,392,394,394,395,395,396,397,396</t>
  </si>
  <si>
    <t>QD96.N8</t>
  </si>
  <si>
    <t>543/.66</t>
  </si>
  <si>
    <t>Bookkeeping All-In-One For Dummies</t>
  </si>
  <si>
    <t>HF5616</t>
  </si>
  <si>
    <t>657/.20941</t>
  </si>
  <si>
    <t>,1,2,3,87,88,89,85,86,92,96,99,104,107,113,114,115,112,87,88,89,85,86,90</t>
  </si>
  <si>
    <t>Early Earth : Accretion and Differentiation</t>
  </si>
  <si>
    <t>,1,2,3,16,17,18,19,21</t>
  </si>
  <si>
    <t>QB466.A25</t>
  </si>
  <si>
    <t>523.8/875</t>
  </si>
  <si>
    <t>,1,2,3,113,114,115,112</t>
  </si>
  <si>
    <t>UpSSvJV+woc42y/zzhCmyQ==</t>
  </si>
  <si>
    <t>,59,61,57,58,60,62,63,64,65,66,88,89,90,86,87,91,105</t>
  </si>
  <si>
    <t>,391,392</t>
  </si>
  <si>
    <t>,1,2,3,422,425,427,426,428,424,387,388,389,385,386,390</t>
  </si>
  <si>
    <t>,1,2,3,101,102,103,99,100,104</t>
  </si>
  <si>
    <t>,1,2,3,46,47,48,44,45,53,67,73,74,75,71,72,93,94,95,91,92,96,97,98,99,100,101,102,103,104,105,211,212,213,209,210,215,216,207,208,214,217,218,219,220,221,222,223,224,225,226,227,228,229,230,231,232,233</t>
  </si>
  <si>
    <t>qXzeAmI5JGxUSZ6/HaEsTA==</t>
  </si>
  <si>
    <t>,1,2,3,7,4,5,6</t>
  </si>
  <si>
    <t>NwNk4NlYWoPHQ2FZEjyq8w==</t>
  </si>
  <si>
    <t>,105,105</t>
  </si>
  <si>
    <t>M2monroe</t>
  </si>
  <si>
    <t>,77,78,88,89,90,91,92,93,94,95,96,97,98,99,100,101,102,82,82,105,106,107,108,109,110,111,112,113,82,105,106,107,108,109,110,111,112,113,193,194,195,196,197,198,199,200,201,73,82,193,194,195,196,197,198,199,200,201,54,55,56,57,57,72,70,71,72</t>
  </si>
  <si>
    <t>,1,88,89,90,86,87,91,2,92,93,94,95,96,97,98,99,100,101,102,103,104,105,106,107</t>
  </si>
  <si>
    <t>,88,89,90,91,92,93,94,95,96,97,98,99,100,101,102</t>
  </si>
  <si>
    <t>Spreadable Media : Creating Value and Meaning in a Networked Culture</t>
  </si>
  <si>
    <t>P94.6 -- .J46 2013eb</t>
  </si>
  <si>
    <t>,149,150,151,152,153,154,155,157,156</t>
  </si>
  <si>
    <t>,1,2,3,145,147,143,146,144,148</t>
  </si>
  <si>
    <t>RjbvQ0V5CjpIzZiI6Oa0gw==</t>
  </si>
  <si>
    <t>Expert Report Writing in Toxicology : Forensic, Scientific and Legal Aspects</t>
  </si>
  <si>
    <t>,1,2,3,12,45,46,47,43,44</t>
  </si>
  <si>
    <t>RA1228 -- .C65 2014eb</t>
  </si>
  <si>
    <t>614/.13</t>
  </si>
  <si>
    <t>,1,2,3,100,101,102,98,99,97,96,103,103,1,104,105,101,102,2,387,388,386,385,389,88,89,90,86,87,95,94,93,92,91,390,391,84,85,82,83,81,80,392,99,100,98,97,96,96,97,98,99</t>
  </si>
  <si>
    <t>,1,2,3,101,102,103,99,100,104,105,106,107</t>
  </si>
  <si>
    <t>,102,103,104,105,102,103,104,105</t>
  </si>
  <si>
    <t>,1,2,3,461,459,462,460,463,464,465</t>
  </si>
  <si>
    <t>EO/KsuMiFuXFRHq6tQvKmQ==</t>
  </si>
  <si>
    <t>,1,2,3,8,9,10,6,7,16,17,18,42,43,44,40,2,41,45,46,47,48,49,50,51,52,53,54,55,56,57,58,59,60,61,62,63,64,65,66,67,68,69,70,71,72,73,74,75,76,77,78,79,80,81,82,83,84,85,86,87,88,89,90,91,92,93,94,95,96,97,98</t>
  </si>
  <si>
    <t>b1KT+90TK0AKGmyr2hjCXw==</t>
  </si>
  <si>
    <t>,1,2,3,249,250,251,247,248,265,256,263,264,261,262,266,267,268,269,270,271,272,273,274,275,276,277,278,279,280,281,282,283,284</t>
  </si>
  <si>
    <t>AQwgSPy12Kf6FUYhNeFwAg==</t>
  </si>
  <si>
    <t>,28,17,15,9,10,12,13,14,11</t>
  </si>
  <si>
    <t>,1,3,2,553,554,555,551,552,556,557,558,559,560,561</t>
  </si>
  <si>
    <t>,1,2,3,23,25,24,21,22,26,27</t>
  </si>
  <si>
    <t>,1,2,3,89,90,91,87,88,92,93,94,95,96,97,98</t>
  </si>
  <si>
    <t>zC/6heGjK6Sh1qRx3X6Oiw==</t>
  </si>
  <si>
    <t>Approaching Jonathan Edwards : The Evolution of a Persona</t>
  </si>
  <si>
    <t>,1,2,3,4,5,6,8,7,9,10,11,12,13,14,24,25,26,22,23</t>
  </si>
  <si>
    <t>BX7260.E3 -- .M354 2015eb</t>
  </si>
  <si>
    <t>,1,2,3,263,264,265,261,262,266,267,268,269,270,271,272,273,274,275,276,290,291,292,263,264,261,262,277,278,279,280,281,282,283,284,285,286,287,288,289,290,291,292</t>
  </si>
  <si>
    <t>3tL9C/2o/ar6l+h7OgBnqg==</t>
  </si>
  <si>
    <t>,32,33,26,31,32,239,194,33,34,70,71,72,68,69,29,27,28,34,35,36,37,38,229,230,182,183,184,180,181,29,30,31,27,28,32,33,34,35,36,37,38,39,40,41,42,43,44,45,46,47,48,49,50,70,71,72,69,68,73,73,229,230,231,227,228,232,233,235,236,237,238,239,240,241,242,243,244,70,71,72,68,69,34,1,3</t>
  </si>
  <si>
    <t>,1,2,3,4,5,6,7,8,9,183,326,338,1,7,2,3,4,5,6,8,9,10,11,12,13,14,15,16,17,18,19,20,21,29,30,31,27,28</t>
  </si>
  <si>
    <t>n1LN2gyIjRDeQktnXFD9VA==</t>
  </si>
  <si>
    <t>,1,2,3,4,5,6,7,8,9,10,11,12,13,14,15,16,18,17,19,20,21,22,23,24</t>
  </si>
  <si>
    <t>,1,2,2,3,3,1,4,4,5,5,2,2,6,6</t>
  </si>
  <si>
    <t>,1,2,3,4,8,9,10,6,7</t>
  </si>
  <si>
    <t>Ma3GgTnaDsPQnN5PS0/7xA==</t>
  </si>
  <si>
    <t>Advising Student Groups and Organizations</t>
  </si>
  <si>
    <t>,1,2,3,5,4,6,7,8,9</t>
  </si>
  <si>
    <t>LB2342.9 -- .D85 2014eb</t>
  </si>
  <si>
    <t>,1,2,3,16,7,15,9,14,19,24,18,17,13,11,12,6,5,8,4,10</t>
  </si>
  <si>
    <t>,1,2,3,4,5,7,8,9,6,10,5,4,3,2,1,2,3,1,1,3,2</t>
  </si>
  <si>
    <t>,1,2,3,101,102,103,99,100,104,84,86,1,84,82,85,85,86,82,83,2,387,388,389,385,386,98,97,96,95,94,93,92,91,90,89,88,87,81,82,83,79,80,390,391,392,384,393,383,382,381,1,84,85,86,82,83,2,387,389,388,386,1,385,386,387,384,2,388,389,390,391,102,100,101,386,99,97,96,94,93,95,92,80,81,82,78,79,83,84,85,86,87,88</t>
  </si>
  <si>
    <t>75mAY9USoPpiTJG+YHe6yw==</t>
  </si>
  <si>
    <t>,1,2,3,387,388,389,385,386,390,391,392,384,386,391,385,384,392,390,391,392,386,385,384,383,382,381,81,82,83,80,79,84,85,86,87,88,89,90,387,388,389,385,386,390,391,386,88,89,90,86,87,91,92,93,94,88,387,388,389,385,386,390,391,94,95,96,92,93,97,91,89,90,385,386,384,84,85,86,82,83,87,88,89,90,91,92,93,94,95,96,81,82,83,79,80,84,85,86,81,80,79,78,86,87,88,89,90,91,92,93,387,388,389,385,386,390,391,392,386,385,392,386,385,391,385,391,89,90,91,87,88,92,93,94,95,96,97,98,99,100,94,93,92,91,90,89,94,95,96,91,90,89,97,98,387,388,389,385,386,390,391,392,88,89,90,86,87,91,387,388,389,385,386,390,391,386,385,384,385,384,391</t>
  </si>
  <si>
    <t>,6,7,8,9</t>
  </si>
  <si>
    <t>,411,122,52,29,21,9,5,4,6,7,5</t>
  </si>
  <si>
    <t>5JPKi58xL315X1JZpotoZQ==</t>
  </si>
  <si>
    <t>SAS Essentials : Mastering SAS for Data Analytics</t>
  </si>
  <si>
    <t>Computer Science/IT; Mathematics</t>
  </si>
  <si>
    <t>QA279 .E384 2015</t>
  </si>
  <si>
    <t>,335,369,59,567,256,57,1,2,3</t>
  </si>
  <si>
    <t>eeavumoTXPz7aGmEnWT8HLy2+Lv7q1jh</t>
  </si>
  <si>
    <t>Highways, Byways, and Road Systems in the Pre-Modern World</t>
  </si>
  <si>
    <t>,1,2,3,244,245,246,243,242,247,248,249,250</t>
  </si>
  <si>
    <t>HE341 -- .H47 2012eb</t>
  </si>
  <si>
    <t>,1,2,3,4,5,6,16,17,18,14,15,19,20,21,21,22,23,2,24,25,26,27,28,29,30</t>
  </si>
  <si>
    <t>SQL fur Dummies</t>
  </si>
  <si>
    <t>QA76.9.D35 -- .T395 2014eb</t>
  </si>
  <si>
    <t>SQL For Dummies</t>
  </si>
  <si>
    <t>,1,2,3,4,5,6,7,1</t>
  </si>
  <si>
    <t>QA76.73.S67 -- T39 2013eb</t>
  </si>
  <si>
    <t>,63,68,69,70,71,72,80,81,82,78,79,83,87,88,89,90,91,92,93,94,95,96,97,98,99,100,101,102,103,104,105,155,156,157,153,158,154,159</t>
  </si>
  <si>
    <t>,1,2,3,4,157,158,159,156,160,161,162,163,164,165,166,167,168,169,170</t>
  </si>
  <si>
    <t>,1,2,3,22,23,24,25,21,40,41,42,38,39,2,43,44,45,46,47,48,49,50,63,64,65,66,67,68</t>
  </si>
  <si>
    <t>Understanding Jihad</t>
  </si>
  <si>
    <t>BP182</t>
  </si>
  <si>
    <t>297.7/2</t>
  </si>
  <si>
    <t>,1,2,2,3,3,2,2</t>
  </si>
  <si>
    <t>,1,3,3,2,1,2</t>
  </si>
  <si>
    <t>,2,2,4,5,5,6,6,7,7,8,8,9,9,10,10,11,11,6,5</t>
  </si>
  <si>
    <t>,1,2,2,3,3,1,4,4</t>
  </si>
  <si>
    <t>i4604YqAKd2MseSN6IhmHg==</t>
  </si>
  <si>
    <t>,54,55,56,57,58</t>
  </si>
  <si>
    <t>,1,3,3,2,1,2,387,388,387,2,388,2,385,386,389,386,389,390,390,391,391,386,389,385,390,391,386,385,390,391,386,385,390,391</t>
  </si>
  <si>
    <t>,1,2,3,4,51,52,53,49,50</t>
  </si>
  <si>
    <t>myM1mWEgoCsel5xqBu4Lag==</t>
  </si>
  <si>
    <t>,288,283,288,314,315,316,312,313,317,319,320,321,318,322,323,324,325</t>
  </si>
  <si>
    <t>,285,285</t>
  </si>
  <si>
    <t>,1,2,3,285,286,287,283,284</t>
  </si>
  <si>
    <t>,1,2,3,4,172,173,175,174,171,170</t>
  </si>
  <si>
    <t>,1,1,3,3,2,2,4,4</t>
  </si>
  <si>
    <t>,1,2,2,3,1,3,387,388,387,389,388,389,385,386,386,2,390,390,385,390,385,389,390,391,391,386,391,386,391,386,391,386,385,390,391,392,392,387,386,385,390,391,386,391,392,387,386,391,386,385,390,391,386,391,392,386,391,386,391,386,385</t>
  </si>
  <si>
    <t>,1,2,3,387,388,389,385,386,390,61,62,63,59,60,64,65,66,387,388,389,385,386,390,391,390,61,62,390,391,59,392,63,388,60,1,389,387,61,62,63,59,60,64,65,66,2,390,391</t>
  </si>
  <si>
    <t>,1,2,2,3,3,1,106,107,106,105,107,104,106,105,104,106,102,103,103,2,101,94,95,94,95,96,94,96,92,93,93,97,97,98,98,99,99,100,100,101,102,103,104,99,98,97,96,95,94,92,90,89,88,89,87,88,87,85,90,84,85,84,86,84,83,86,84,82,83,84,82,80,81,81,101,102,103,99,100,104,105,106,89,90,91,88,87,91,92,101,102,103,99,104,100,105,106,107,94,95,96,92,93,97,98,99,100,101,102,97,102,103,104,105,106,107,102,101,100,105,106,107,101,102,104,100,105,106,107,101,102,100</t>
  </si>
  <si>
    <t>,164,165,166,167,168,1,170,169,171,167,168,166,165,164,163,2,162,161,160,159,158,172,173,174,172,175</t>
  </si>
  <si>
    <t>,1,157,158,155,159,156,2,160,161,162,163,163</t>
  </si>
  <si>
    <t>,1,2,3,157,158,159,155,156,173,174,175,171,172,166,167,168,165,164,162,163,161,160</t>
  </si>
  <si>
    <t>,1,2,3,188,189,190,186,187,191,192,193,191,192,193,189,190</t>
  </si>
  <si>
    <t>/NoDukb8RDSYeMZwwRu6cQ==</t>
  </si>
  <si>
    <t>,1,2,3,387,389,385,388,386,373,374,371,372,375,387,386,388,389,81,82,83,84,85,86,87,88,89,90,91,92,93,94,387,388,389,386</t>
  </si>
  <si>
    <t>Z0dpHVxvmgLhUBoTegcN1g==</t>
  </si>
  <si>
    <t>An Intimate Distance : Women, Artists and the Body</t>
  </si>
  <si>
    <t>,1,2,3,4,5,6,7,8,9,10,11,12,13,14,15,16,17,18,19,20,21,22,23,24,25,26,27,28,29,30,31,32,33,34,35,36,37,38,39,51,50,44,45,46,43,41,42,40</t>
  </si>
  <si>
    <t>N7630.B48</t>
  </si>
  <si>
    <t>,1,3,2,248,249,250,247,246,248,250,247,246,249,251,2,252,253,254</t>
  </si>
  <si>
    <t>,65,66,70,87,91,92,93,94,90</t>
  </si>
  <si>
    <t>Citizens of Asian America : Democracy and Race during the Cold War</t>
  </si>
  <si>
    <t>,285,286,283,284,282,280,281,279,278,277,276,274,275,18,19,20,21,22,23,24,25,26,27,28,29,30</t>
  </si>
  <si>
    <t>E184.A75 -- C486 2013eb</t>
  </si>
  <si>
    <t>305.895/07309045</t>
  </si>
  <si>
    <t>,1,2,3,80,79,81,82,78</t>
  </si>
  <si>
    <t>,1,3,2,306,307,308,304,305,309,310,311,312,314,313,315,316,317,318,319,320,321,322,323,324</t>
  </si>
  <si>
    <t>,1,2,3,69,70,71,67,68,122,123,124,120,121,72,73,74,75,76,77,78,79,80,81,82,83,84,85,86,87,88,89,90,91,92,93,94,95,96,97,98,99,100,101,102,103,104,105,106,107,108,109,110,111,112,113,114,115,116,117,118,119,120,121,122,123,124,249,250,251,247,248,263,264,265,252,253,254,255,1,256,257,258,255,254,259,260,2,261,262,263,264,265,290</t>
  </si>
  <si>
    <t>,1,2,3,154,155,156,173,174,175,171,172,152,153</t>
  </si>
  <si>
    <t>ppeM2j46yZbz+dUBpTboPw==</t>
  </si>
  <si>
    <t>,1,2,3,40,41,45,46,47,43,44,42,38,39</t>
  </si>
  <si>
    <t>zEfTtaAduvQ=</t>
  </si>
  <si>
    <t>Grand Opera : The Story of the Met</t>
  </si>
  <si>
    <t>ML1711.8.N3 -- .M384 2014eb</t>
  </si>
  <si>
    <t>792.509747/1</t>
  </si>
  <si>
    <t>,131,132,133,134,135,136,137,138,139,140,141,142,143,144,145,146,147,148,149,150,151,152,153,154,155,156,157,158,159,160,161,162,163,164,165,166,167,168,169,170,171,172,173,174</t>
  </si>
  <si>
    <t>,4,20,16</t>
  </si>
  <si>
    <t>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</t>
  </si>
  <si>
    <t>MzAJ7WSM7hYDbkXk1lwT+g==</t>
  </si>
  <si>
    <t>Tuberculosis : Laboratory Diagnosis and Treatment Strategies</t>
  </si>
  <si>
    <t>RC311.1 -- .T83 2013eb</t>
  </si>
  <si>
    <t>616.99/5075</t>
  </si>
  <si>
    <t>qug31rJJxC5qxzkqSuH22Q==</t>
  </si>
  <si>
    <t>Patient Safety Culture : Theory, Methods and Application</t>
  </si>
  <si>
    <t>,36,37,38,39,40,41,42,43,44,45,46,47,48,49,50,51,52,53,54,55,56,57,58,59,60,61,62,63,64,65,66,67,28,29,30,1,3,4,5,6,7</t>
  </si>
  <si>
    <t>RA969.9 -- .P385 2014eb</t>
  </si>
  <si>
    <t>362.11028/9</t>
  </si>
  <si>
    <t>,2,1,3,236,237,238,235,234,44,46,45,42,43,47,30,31,32,28,29,33,34,35</t>
  </si>
  <si>
    <t>,248</t>
  </si>
  <si>
    <t>,245</t>
  </si>
  <si>
    <t>,1,2,3,244,245,246,243,242,247,248,250,242</t>
  </si>
  <si>
    <t>,1,2,3,100,101,102,98,99,387,388,389,385,386,390,391,392,385</t>
  </si>
  <si>
    <t>,1,3,3,2,1,2,100,101,100,101,102,99,102,98,99,2,103,103,104,104,1,104,105,106,102,105,1,106,104,103,103,387,388,388,389,385,387,389,386,386,2,2,390,391,392,391,390,392,387,386,385,389,81,82,81,83,82,79,83,80,80,84,84,85,86,85,86,83,84,87,87,88,88,89,89,90,90,91,91,92,92,93,93,94,94,95,96,95,96,101,102,103,99,100,104,390,391,386,391,386,391,386,391,386,385,390,391,386,391,386,385,384,389,390,391,386,385,390,391,386,385,390,385,390,391,386,391,386,391,94,95,96,92,93,97,97,92,91,90,89,88,87,86,85,84,83,82,81,80,79,56,57,56,57,58,54,58,55,59,60,61,55,57,60,61,58,59,60,62,63,62,63,64,64,65,65,106,107,106,107,103,105,102,105,104,100,101,56,57,58,54,55,59,60,61,62,63,64,65,101,102,103,99,104,100,105,386,391,386,391,386,391,386,391,386,391,386,89,90,87,91,88,92,101,102,103,99,104,105,106,100,391,386,391,386,391,386,391,386,385,390,391,386,385,390,391,386,391,386,391,105,386</t>
  </si>
  <si>
    <t>,1,2,3,558,559,560,556,557,555,553,554,552,551,550,549,548</t>
  </si>
  <si>
    <t>FTxxChKjeo5GfzKUwB1LEQ==</t>
  </si>
  <si>
    <t>R For Dummies</t>
  </si>
  <si>
    <t>General Works/Reference; Computer Science/IT; Mathematics</t>
  </si>
  <si>
    <t>,400</t>
  </si>
  <si>
    <t>QA276.45.R3 -- V75 2012eb</t>
  </si>
  <si>
    <t>001.642; 005.55</t>
  </si>
  <si>
    <t>,42,43,44,159,355,410,411,408,409,407,406,405,404,402,403,401</t>
  </si>
  <si>
    <t>Mqx0AEee50tQgprdPloCjQ==</t>
  </si>
  <si>
    <t>,478,479,480,481,491,492,493,489,490,483,494,495,496,497,498,499,655,656,657,653,654,658,659,660,661,641,642,643,639,644,645,640,507,509,508,505,506,510,511,512,513,514,500,501,502,503,504</t>
  </si>
  <si>
    <t>,32,33,34,35,36,37,38,39,40,41</t>
  </si>
  <si>
    <t>,1,23,24,25,21,22,26,27,28,29,30,31,2</t>
  </si>
  <si>
    <t>,1,2,3,4,20,21,18,19,22,23,24,25,26,27,28,29,30,31,32,33,74,75,76,72,73,86,87,88,84,85,83,82,89,90,91,86,97,98,99,100,101,55,57,54,53,56,58,59,60,61,62,63,74,70,71,77,140,141,142,138,139,143,144,145,146,147,148,149,150,151,152,181,182,183,179,180,184,185,186,187,188,193,194,195,191,192,196,197,198,199,200,201,202,225,226,227,228,224,229,230,233,234,235,231,232,236,239,240,241,237,238,431,433,432,429,430,434,473,475,474,471,472,476,477</t>
  </si>
  <si>
    <t>,1,2,3,3,1,2,2,2,25,26,27,23,24,26,24,25,27,168,168,169,169,170,170,167,167,166,165,166,170,171,171,172,172,173,173,174,174,175,175,176,176,171,176,177,177</t>
  </si>
  <si>
    <t>How To Talk To Absolutely Anyone : Confident Communication in Every Situation</t>
  </si>
  <si>
    <t>,17,10,1,1</t>
  </si>
  <si>
    <t>,17</t>
  </si>
  <si>
    <t>HM1166 -- .R46 2013eb</t>
  </si>
  <si>
    <t>,1,2,2,3,3,1,2,2,387,387,388,388,389,389,385,386,386,390,390,391,391,386,385,390,391,386,385,384,389,390,391,392,392,387,386,385,384,389,384,389,390,391,386,385,384,389,384,389,384,389,390,391,392,386,385,390,391,386,385,390,391,386,385,390,391,386,1,387,387,388,384,1,386,385,388,386,385,2,2</t>
  </si>
  <si>
    <t>,1,2,2,1,3,3,1,2,2,15,16,17,15,13,16,17,14,14,18,18,19,19</t>
  </si>
  <si>
    <t>Talk, Talk, Talk : The Cultural Life of Everyday Conversation</t>
  </si>
  <si>
    <t>,1,3,3,2,2,1,2,2,16,17,17,16,15,15,13,14,14,18,18,19,19,20,20,49,50,51,49,48,47,51,50,48,52,52,53,53</t>
  </si>
  <si>
    <t>BF637.C45 -- T35 2001eb</t>
  </si>
  <si>
    <t>UKcMEQY0V1qcDUmUskxKKA==</t>
  </si>
  <si>
    <t>Ethics of Deconstruction : Derrida and Levinas</t>
  </si>
  <si>
    <t>B2430.D484 -- .C758 2014eb</t>
  </si>
  <si>
    <t>,101,102,103,104,105</t>
  </si>
  <si>
    <t>,1,3,2,13,15,14,11,12,16,29,30,27,28,32,33,1,3</t>
  </si>
  <si>
    <t>Ny3hriZZ6r0=</t>
  </si>
  <si>
    <t>90Z9D4ys1W46061laQmltw==</t>
  </si>
  <si>
    <t>Children, Spirituality, Loss and Recovery</t>
  </si>
  <si>
    <t>,1,2,3,248,249,250,247,246,2,251</t>
  </si>
  <si>
    <t>dKY0R3Z7aJoMRIpfwgNwSQ==</t>
  </si>
  <si>
    <t>,102,103,104,105</t>
  </si>
  <si>
    <t>,1,3,2,101,102,103,99,100,104,105,106,107</t>
  </si>
  <si>
    <t>,1,3,2,387,388,389,385,386,390,384,383,391,392,385,384</t>
  </si>
  <si>
    <t>ixi8hFKUkPU=</t>
  </si>
  <si>
    <t>Naked : A Cultural History of American Nudism</t>
  </si>
  <si>
    <t>,1,2,3,14,15,16,12,182,183,180,181,185</t>
  </si>
  <si>
    <t>GV450 .H64 2015</t>
  </si>
  <si>
    <t>613.194; 613/.194</t>
  </si>
  <si>
    <t>Treatment Strategies for Substance Abuse and Process Addictions</t>
  </si>
  <si>
    <t>,1,2,3,29,30,31,27,28,32,33,34,35,37,38,39</t>
  </si>
  <si>
    <t>RC564 -- .T74 2015eb</t>
  </si>
  <si>
    <t>The Heidegger Dictionary</t>
  </si>
  <si>
    <t>B3279.H49 -- D23 2013eb</t>
  </si>
  <si>
    <t>KSIh1w1yjqvhk2Xcp8tt3g==</t>
  </si>
  <si>
    <t>,163,163,164,165,164,165,166,166,166,167,167,168,168,163,168,169,169,170,170,171,172,173,174,175,169,168,167,166,165,164,163,162,161,160,159,158,157,156,155,154,153,152</t>
  </si>
  <si>
    <t>,1,2,3,69,70,71,68,67,72,73,74,75,76,77,72,71,70,75</t>
  </si>
  <si>
    <t>,1,2,3,2,3,1,173,173,174,175,171,174,172,175,172,2,176,176,177,177,154,155,154,156,153,155,153,156,152,157,159,157,158,154,158,159,160,160,161,161,162,162</t>
  </si>
  <si>
    <t>FeA3uO7d838bcVFIT6tgbQ==</t>
  </si>
  <si>
    <t>,1,2,3,4,5,8,12,19,27,29,31,32,33,34,30,101,102,103,99,104,100,105,102,103,104,100,101,105,106,107,102,101,100,106</t>
  </si>
  <si>
    <t>,1,2,3,1,2,3,154,155,156,154,155,156,152,153,153,157,157,158,158,159,154,153,152,159,2</t>
  </si>
  <si>
    <t>,1,2,3,101,102,103,99,100,104,105</t>
  </si>
  <si>
    <t>,79,80,81,82,83,84,85,86,87,88,89,90,91,92,93,94,95,96,97,98,99,100,101,102,103,104,105</t>
  </si>
  <si>
    <t>,2,3,1,4</t>
  </si>
  <si>
    <t>R728.5 -- .S655 2012eb</t>
  </si>
  <si>
    <t>PwEDRQb/IRGWHSOuMSS1ow==</t>
  </si>
  <si>
    <t>Farm Animal Anesthesia : Cattle, Small Ruminants, Camelids, and Pigs</t>
  </si>
  <si>
    <t>,1,2,3,4,5,7,6,8,9,10</t>
  </si>
  <si>
    <t>SF910.P34 -- .F376 2014eb</t>
  </si>
  <si>
    <t>636.089/796</t>
  </si>
  <si>
    <t>,1,2,3,4,5,23,24,25,21,22,26,27,149,150,151,147,148,152,153,154,155,156,157,158</t>
  </si>
  <si>
    <t>4euSUZMQlAdiDmIE4E5HDA==</t>
  </si>
  <si>
    <t>,209,210,211,212,213,214,235,236,233,234,238,240</t>
  </si>
  <si>
    <t>,22,23,24,25,26,27,28,47,49,45,46,50,51,52,53,205,207,208</t>
  </si>
  <si>
    <t>,1,2,3,5,16,17,18,14,15,19,20,21</t>
  </si>
  <si>
    <t>,1,3,2,101,102,103,99,100,101,102,81,82,83,84,85,86,87,88,94,387,388,389</t>
  </si>
  <si>
    <t>9g6DI2iqtiY=</t>
  </si>
  <si>
    <t>Rednecks, Queers, and Country Music</t>
  </si>
  <si>
    <t>ML3524 -- .H78 2014eb</t>
  </si>
  <si>
    <t>781.642086/640973</t>
  </si>
  <si>
    <t>,1,2,3,101,102,103,100,99,101,102</t>
  </si>
  <si>
    <t>,1,174,175,176,172,173,105,2,104,103,171,169,170,175,177</t>
  </si>
  <si>
    <t>Islam and Other Religions : Pathways to Dialogue</t>
  </si>
  <si>
    <t>m/R3+oPsftlNtqeJe7Vo8Q==</t>
  </si>
  <si>
    <t>,1,2,3,57,58,59,55,56,60,72,73,74,70,71,61,62,63,64,65,66,67,68,69,75</t>
  </si>
  <si>
    <t>,1,2,3,4,5,23,24,25,26,22,27,42,39</t>
  </si>
  <si>
    <t>VIJZJoFNnWa3g0aq2VFsaw==</t>
  </si>
  <si>
    <t>,1,2,3,31,32,33,30,26,27,29,122,123,124,120,121,129,130,127,131,128,132,133,134</t>
  </si>
  <si>
    <t>8FpQjwX2FMSK4LwzysJ4Vg==</t>
  </si>
  <si>
    <t>,104,105,106,107,108,109,110,111,112,113,114,115,116,117,118,119,120,121,122,123,124,125,126,127,128,129,130,131,132,133,134,135,137,138,139,136,140,141,142,143,144,145,146,147,148,149,150,151,152,153,154,155,156,157,158,159,160,161,162,163,164,165,167,166,168,169,171,20,21,18,19,22,23,25,27,9,10,11,7,8,12,13,14,15,16</t>
  </si>
  <si>
    <t>QA76.73.J38 -- .B873 2014eb</t>
  </si>
  <si>
    <t>ey2dgNVROmCL2Fn1QoxzXg==</t>
  </si>
  <si>
    <t>,1,2,3,25,26,27,24,23,96,97,93,95,94,91,92,98,99,100,101,102,103</t>
  </si>
  <si>
    <t>Java For Dummies</t>
  </si>
  <si>
    <t>,88,86,87,84,85,83,82,25,26,27,23,24,56,58,57,54,55,53,52,51,49,50,1</t>
  </si>
  <si>
    <t>Physics I Practice Problems For Dummies (+ Free Online Practice)</t>
  </si>
  <si>
    <t>,1,3,2,12,13,10,11,14,15,16,17,18,21,22,23,20,19</t>
  </si>
  <si>
    <t>QC32 .P384 2015</t>
  </si>
  <si>
    <t>Christianity in the Modern World : Changes and Controversies</t>
  </si>
  <si>
    <t>,1,2,3,5,8,9,10,11,12,14,24,25,26,22,23,50,51,52,48,49</t>
  </si>
  <si>
    <t>BR481 -- .C494 2014eb</t>
  </si>
  <si>
    <t>270.8/3</t>
  </si>
  <si>
    <t>,1,2,3,1,3,4,5,2,91,92,93,89,90</t>
  </si>
  <si>
    <t>,1,2,3,26,27,28,24,25,29,30,31,32,33,54,52,53,51,55,34,35,36,37,38,39,40,41,42,43,44,45,46,47,48,49,50,51</t>
  </si>
  <si>
    <t>,1,2,3,175,176,177,173,174</t>
  </si>
  <si>
    <t>,1,3,2,1,2,1,3,4,5,6,7,9,8,10,7,7</t>
  </si>
  <si>
    <t>,1,2,3,75,76,77,73,74,78,79,81,80,82,101,102,103,100,99,104</t>
  </si>
  <si>
    <t>,1,2,3,248,249,250,246,247,251,252,253</t>
  </si>
  <si>
    <t>,386,385,384,384,383,383,382,386,387,388,389,390,391,392,387,392,387,386,385,384,383,382,381,386,387,388,389,390,391,386,391,386,385,384,389,390,391,386,391,385,384,389,390,1,390,391,392,388,389,2,387,386,385</t>
  </si>
  <si>
    <t>,1,3,2,3,2,1,2,2,387,388,389,387,386,388,389,386,385,390,390,390,391,391,387,392,392,392</t>
  </si>
  <si>
    <t>,1,2,3,4,5,6,8,7,10,9,11,13,15,14,16,17,19,18,20,21,22,23,24,25,27,26,28,30,32,32,34,33,31,32,33,28,29,27,26,24,23,25,22,20</t>
  </si>
  <si>
    <t>,30,17,17,17,5,5,27</t>
  </si>
  <si>
    <t>5MK1lZCrtF0h7aREETDNH/ICydAH1U2i</t>
  </si>
  <si>
    <t>,242,243,239,240,1,241,242,240,238,239,243,2,244,246,247,1,247,248,245,246,2</t>
  </si>
  <si>
    <t>,1,3,2,1,2,30,30</t>
  </si>
  <si>
    <t>,651,652,653,654,655,656,657,658,659,660,661,662,663,664,665,666,667,668,669,670,671,672,673,674,675,676,677,678,679,680,681,682,683,684,685,686,687,688,689,690,691,692,693,694,695,696,697,698,699,700,701,702,703,704,705,706,707,708,709,710,711,712,713,714,715,716,717,718,719,720,721,722,723,724,725,726,727,728,729,730,731,732,733,734,735,736,737,738,739,740,741,742,743,744,745,746,747,748,749,750,751,752,753,754,755,756,757,758,759,760,761,762,763,764,765,766,767,768,769,770,771,772,773,774,775,776,777,778,779,780,781,782,783,784,785,786,787,788,789,790,791,792,793,794,795,796,797,798,799,800,801,802,803,804,805,806,807,808,809,810,811,812,813,814,815,816,817,818,819,820,821,822,823,824,825,826,827</t>
  </si>
  <si>
    <t>,93,94,95,91,92,96,96,97,97,98,98,99,99,100,100</t>
  </si>
  <si>
    <t>,1,2,2,3,1,3,48,49,48,49,50,47,46,47,50,2</t>
  </si>
  <si>
    <t>,1,2,3,4,5,6,7,8,9,275,273,274,82,83,84,80,85,93,94,90,91,89,95,97,98,100,101,104,105,106,1,106,107,108,104,105,2,103,102,101</t>
  </si>
  <si>
    <t>,248,249,250,247,246,268,269,270</t>
  </si>
  <si>
    <t>,275,248,249,250,246,247,251,252,251,252,248,250,249,247,246</t>
  </si>
  <si>
    <t>,1,2,3,272,273,274,270,271</t>
  </si>
  <si>
    <t>,1,67,68,1,68,69,65,67,69,66,66,70,70,21,21,22,23,23,19,22,20,20,27,27,28,25,2,29,28,26,29,26,2,42,43,42,44,43,44,40,41,41,45,45,46,46,47,47,82,83,84,82,84,80,83,81,81,85,85,86,86,87,87,89,90,89,90,91,88,91,88,92,92,93,93,94,94,89,94,95,95</t>
  </si>
  <si>
    <t>,1,2,3,342,343,344,340,341,345,346,347,348,349,350,351,352,353</t>
  </si>
  <si>
    <t>ObZwgm+RRHL2CyI49lg17Q==</t>
  </si>
  <si>
    <t>,197,198,199,200,201,202,203</t>
  </si>
  <si>
    <t>,1,2,3,69,70,71,67,68,42,72,73,74,75,137,138,139,135,136,140,141,142,147,148,149,145,146,150,151,152,153,154,155,156,157,158,159,160,161,162,166,167,168,164,165,194,195,196,192,193</t>
  </si>
  <si>
    <t>XOwKNEB85kYBD/TKaPOo0A==</t>
  </si>
  <si>
    <t>Digital Renaissance of Work : Delivering Digital Workplaces Fit for the Future</t>
  </si>
  <si>
    <t>,1,2,3,79,80,81,82,78,83,84,85,86,87,88</t>
  </si>
  <si>
    <t>HD45 -- .M5155 2014eb</t>
  </si>
  <si>
    <t>658.3/120285</t>
  </si>
  <si>
    <t>,62,63,64,1,62,63,64,60,61,36,37,34,35,38,65,66,67,2,84,12,13,14,11,10,15,16,139,140,141,138,137,142,143,144,145</t>
  </si>
  <si>
    <t>,1,2,3,34,35,36,32,37,33</t>
  </si>
  <si>
    <t>,1,2,3,65,66,67,63,68,64,139,140,141,137,138,142,120,121,122,118,123,119,84,85,86,82,83,87,88,89,90,92,91,93,94,95,104,105,106,107,108,109</t>
  </si>
  <si>
    <t>Q2fFQhXQP/4=</t>
  </si>
  <si>
    <t>Dora Bruder</t>
  </si>
  <si>
    <t>DS135.F9 -- B78613 1999eb</t>
  </si>
  <si>
    <t>,1,2,3,4,5,6,7,8,9,10,65,67,63</t>
  </si>
  <si>
    <t>3fSNKeFEZ1i/pi7jQvfp4Q==</t>
  </si>
  <si>
    <t>,1,2,1,3,2,3,4,4,4,2,2</t>
  </si>
  <si>
    <t>axs7/WvcWLnANhpNGAnOZg==</t>
  </si>
  <si>
    <t>Beyond the Standard Model of Elementary Particle Physics</t>
  </si>
  <si>
    <t>,28,29,30,26,27,31,32,33,34,35,36</t>
  </si>
  <si>
    <t>QB464 -- .N34 2014eb</t>
  </si>
  <si>
    <t>,1,2,3,27,28,29,26,30,31,32,33,34,35,36,37,38,39,40,41,42,43,44,45,46,47,48,49</t>
  </si>
  <si>
    <t>,1,2,3,4,5,6,7,8,9,10,11,12,13,28,29,30,26,31,27,32,33,34,35,36,37,38,39,40,41,42,45,43,44,46,47,48,49,50,51,52,53,54,38,39,40,36,41,37</t>
  </si>
  <si>
    <t>ykN3IFMsk2fi+Upm1Y7aEA==</t>
  </si>
  <si>
    <t>Treating Traumatized Children : A Casebook of Evidence-Based Therapies</t>
  </si>
  <si>
    <t>,1,2,3,19,20,21,18,17,22,23,24,29,30,32,31,28,33,34,35,36,37,38,39</t>
  </si>
  <si>
    <t>RJ505.C63 -- .T743 2014eb</t>
  </si>
  <si>
    <t>,1,2,3,157,158,155,159,156</t>
  </si>
  <si>
    <t>,1,2,3,4,5,6,7,8,9,10,11,12,13,14,1,14,15,12,16,13,10,11,18,19,20,17,2,26,27,28,24,25,21</t>
  </si>
  <si>
    <t>5srIkQp9dlpDbrkl7ZwAhw==</t>
  </si>
  <si>
    <t>Perspectives on Structure and Mechanism in Organic Chemistry</t>
  </si>
  <si>
    <t>QD476 -- .C375 2010eb</t>
  </si>
  <si>
    <t>547/.13</t>
  </si>
  <si>
    <t>,49,50,51,52,53,54</t>
  </si>
  <si>
    <t>,1,2,3,429,430,428,431,427,425,426,423,424,142,143,144,140,141,139,138,4,5,6,7,8,9,10,1,2,3,45,46,47,43,44,48</t>
  </si>
  <si>
    <t>March's Advanced Organic Chemistry : Reactions, Mechanisms, and Structure</t>
  </si>
  <si>
    <t>,1,2,3,815,816,817,813,814</t>
  </si>
  <si>
    <t>QD251.2 .M37 2013</t>
  </si>
  <si>
    <t>,633,634,635,636,638,639,815,816,817,813,814,818</t>
  </si>
  <si>
    <t>,625,626,627,628,629,630,631,632</t>
  </si>
  <si>
    <t>,1,2,3,619,620,621,622,618,623,624</t>
  </si>
  <si>
    <t>U5fLq+PGsAt8j725kYtofA==</t>
  </si>
  <si>
    <t>,1,2,1,2,3,3,1,2,2,91,92,91,93,92,90,89,93,90,94,94,95,95,96,96,97,97,98,93,98,92,97,98,99,99,100,101,100,101,102,103,98,103,96,102,97,94,92,93,90,91,89,93,94,95,96,97,98</t>
  </si>
  <si>
    <t>,1,2,3,213,214,215,211,212,216,217,218,219,220,221,222,223,224,225,226,227,228,229,230,231,232,233,234,235,236,237,238,239,240,241,242,243,244</t>
  </si>
  <si>
    <t>Get Rich with Dividends : A Proven System for Earning Double-Digit Returns</t>
  </si>
  <si>
    <t>HG4028.D5 -- L53 2012eb</t>
  </si>
  <si>
    <t>332.63/221</t>
  </si>
  <si>
    <t>,1,2,3,213,214,215,212,211,216,217,218,219,220,221,222,223,224,225,226,227,228,229,230</t>
  </si>
  <si>
    <t>VjzA0ZJVy0nsfZIYGwP8ZQ==</t>
  </si>
  <si>
    <t>,128,128,129</t>
  </si>
  <si>
    <t>,1,2,3,4,124,125,126,122,123,127,128,125,126,124,123,122,120,127</t>
  </si>
  <si>
    <t>,44,45,46,41,39,40,47,48,49,50,51,58,59,60,56,57,61,62</t>
  </si>
  <si>
    <t>,1,2,3,5,6,7,8,4,9,10,11,12,13,14,15,16,17,18,19,20,21,22,23,24,25,26,27,22,21,28,29,31,30,32,37,38,39,40,41,42,43,43,44,45,46,36,37,34,35,33,38,33,32,31,30,28,29,27,25,26,30,31,32,33,34,35,36,37,38,39,40,41,101,102,99,100,42,43</t>
  </si>
  <si>
    <t>cRABSvEdXQU=</t>
  </si>
  <si>
    <t>Supply Chain Visibility : From Theory to Practice</t>
  </si>
  <si>
    <t>,1,206,207,208,204,205,2,3,213,211,212,210,209,207,208,41,1,2,3,4,5,6,7</t>
  </si>
  <si>
    <t>HD38.5 -- .S256 2014eb</t>
  </si>
  <si>
    <t>8e8Q5HcxZ6r1hTnSlmvSfg==</t>
  </si>
  <si>
    <t>Amateur Cinema : The Rise of North American Moviemaking, 1923-1960</t>
  </si>
  <si>
    <t>,1,2,3,14,15,16,12,13,230,231,232,228,229</t>
  </si>
  <si>
    <t>PN1995.8 -- .T46 2015eb</t>
  </si>
  <si>
    <t>791.43/3</t>
  </si>
  <si>
    <t>,1,2,3,4,5,6,7,8,9,10,11,12,13,14,15,16,17,2,18,19,20,21,22,23,24,25,26,27,28,29,30,31,32,33,35,36,34,35,31,36,32,37,38,39</t>
  </si>
  <si>
    <t>,1,10,11,12,8,9,22,23,24,20,21,2,41,43,39,40,69,70,71,67,68</t>
  </si>
  <si>
    <t>0mIxaqvOixq1HA0IwGwRhg==</t>
  </si>
  <si>
    <t>Encyclopaedia of Brewing</t>
  </si>
  <si>
    <t>,1,2,3,10,11,12,8,9,7,13,14,15</t>
  </si>
  <si>
    <t>TP568 -- .B68 2013eb</t>
  </si>
  <si>
    <t>663/.3</t>
  </si>
  <si>
    <t>Spatial Simulation : Exploring Pattern and Process</t>
  </si>
  <si>
    <t>,1,2,3,104,105,106,103,102,153,154,155,152,151,266,267,268,265,264,226,227,228,225,229,230,231,232,233,234,235,236,237,238,239,240,241,242,243,244,245,246,247</t>
  </si>
  <si>
    <t>QA402 -- .O797 2013eb</t>
  </si>
  <si>
    <t>BWUdonmUpD7cNakxX/e3RQ==</t>
  </si>
  <si>
    <t>Little 'Red Scares' : Anti-Communism and Political Repression in the United States, 1921-1946</t>
  </si>
  <si>
    <t>E743.5 -- .L56 2014eb</t>
  </si>
  <si>
    <t>,1,2,3,185,186,187,184,183,188,189,190,191,192,193,194,195,196,197,198,199,200,201,202,203,204,205,206,207,249,250,251,247,248,252,253,254,255,256,257,69,71,70,68,67,72,73,74,75,76,77</t>
  </si>
  <si>
    <t>DIQeVpNNjVHgN1zriXpxqA==</t>
  </si>
  <si>
    <t>French All-in-One For Dummies</t>
  </si>
  <si>
    <t>PC2129.E5 -- K87 2012eb</t>
  </si>
  <si>
    <t>448.2/421; 448.2421</t>
  </si>
  <si>
    <t>,1,2,3,167,168,169,165,166,97,98,99,95,96,82,83,84,80,81,126,127,128,124,125</t>
  </si>
  <si>
    <t>,1,51,52,53,49,50,54,2,55,56,1,2,3,4,473,474,470,475,476,477,478,333,300,301,472,470,471</t>
  </si>
  <si>
    <t>nr1K44fHfvlg4EXxdkiBZw==</t>
  </si>
  <si>
    <t>Diversity at Work : The Practice of Inclusion</t>
  </si>
  <si>
    <t>,1,2,3,13,14,15,16,12,57,58,59,55,56,60,61,62,63,64,65,66,67,60,47,52,53,54,50,51,55</t>
  </si>
  <si>
    <t>HF5549.5.M5 -- .D584 2014eb</t>
  </si>
  <si>
    <t>,1,2,3,32,33,34,30,31,35,36,37,36,36,30,36,37,38,39,38,33,39,34,32,37,39,40,35,41,42,36,43,44,45,46,47,48,49,50</t>
  </si>
  <si>
    <t>DxZBJ4/ycYIrgNyJNdYB4w==</t>
  </si>
  <si>
    <t>,1,2,3,232,233,234,235,231,230,236,237,238,196,197,198,194,195,193,18,19,20,16,12,13,10,11,14,53,54,55,51,52,84,85,86,82,83,26,28,27,24,25,29,30,1,2,3,4,196,197,167,168,169,142,143,144,140,141</t>
  </si>
  <si>
    <t>2vDJzmkezFhiZpFiAzIqgw==</t>
  </si>
  <si>
    <t>Plant Breeding</t>
  </si>
  <si>
    <t>,188,189,190,191,192,193,194,195,241,242,243,239,240,244,245,246,247,248</t>
  </si>
  <si>
    <t>SB123 -- .B769 2014eb</t>
  </si>
  <si>
    <t>631.5/2</t>
  </si>
  <si>
    <t>,1,2,3,35,36,37,33,34,184,185,186,182,183,187</t>
  </si>
  <si>
    <t>Concepts in Biotechnology : History, Science and Business</t>
  </si>
  <si>
    <t>,148,149,150,146,147</t>
  </si>
  <si>
    <t>TP248.2 -- .B83 2010eb</t>
  </si>
  <si>
    <t>,1,2,3,4,31,32,33,29,30,34,35,36,37,39,40</t>
  </si>
  <si>
    <t>,1,2,3,4,5,19,20,21,17,18,41,42,43,39</t>
  </si>
  <si>
    <t>,76,82,83,82,83,78,77,82,83,84,85,85,85,86,81,87,80,88,89,90,91,82,81,80,88,89,90,91,88,89,90,90,91,84</t>
  </si>
  <si>
    <t>,1,2,3,76,77,78,74,75,79,80,81,82,83,84</t>
  </si>
  <si>
    <t>,1,2,3,56,57,58,54,55,59,60,61,62,63,64,65,66,67,68,69,70,71,72,73,74,75</t>
  </si>
  <si>
    <t>,1,2,2,3,3,1,4,4,5,5,6,6,7,7,8,8,9,9,10,10,17,19,18,2,17,15,19,16,20,18,20,15,20,21,21,22,22,23,23</t>
  </si>
  <si>
    <t>SexxeLv0jRI=</t>
  </si>
  <si>
    <t>,1,2,2,3,1,3,4,4,69,70,71,69,71,67,70,68,68,2,97,98,97,98,93,94,93,94,95,95,91,92,92,96,96,97,133,134,133,134,135,131,135,132,132,169,170,169,171,167,170,171,168,168,172,172</t>
  </si>
  <si>
    <t>,1,2,2,3,3,1,4,4,2,2,5,5,6,6,7,7,3,8,8,9,9,10,10,11,11,12,12,13,13,14,14,15,15,10,15,16,16,17,17,18,19,18,19,20,20,16,21,21,22,22,23,23,24,24,25,25,20,19,18,17,16,21,22,23,24,25,26,27,26,27,28,28,29,29,30,30,31,31,32,32,33,33,34,34,35,35,36,36,37,37,38,38,39,39,40,40,41</t>
  </si>
  <si>
    <t>ryhy/T9VbZkf67sFXGjk5w==</t>
  </si>
  <si>
    <t>,34,35,36,37,38,39,40,41,42,43,44,45,46,47,48,49,50,51,52,53,54,55,56,57,58,59,60,61,62,63,64,65,66,67,68,69,70,71,72,73,74,75,76,77,78,79</t>
  </si>
  <si>
    <t>k3J89yJWVLrIpGmlqdLvkg==</t>
  </si>
  <si>
    <t>,1,2,3,2,1,3,43,156,120,81,60,4,5,6,7,8,9,10,11,12,13,14,15,16,17,18,19,20,21,22,23,24,25,26,27,28,29,30,31,32,33,34,35,36,37,38,39,40,41,42,43,44,45,46,47,48,49,50,51,52,53,54,55,56,57,58,59,60,61,62,63,64,65,66,67,68,69,70,71,72,73,74,75,76,77,78,79,80,81</t>
  </si>
  <si>
    <t>47StUAOEXKSs9LX4TB790A==</t>
  </si>
  <si>
    <t>,25,26,27,28,28,29,30,31,32,33,34,35,36,37,38,39,40,41,42,43,44,45,46,47,48,49,50,51,52,53,54,55,56,57,58,59,60,61,62,63,64,65,66,67,68,69,70,71,72,73,74,75,76,77,78,79,80,81</t>
  </si>
  <si>
    <t>BIlT7b0Dgtg=</t>
  </si>
  <si>
    <t>,31,32,33,34,35,36,37,38,39,40,41,42,43,44,45,46,47,48,49,50,51,52,53,54,55,56,57</t>
  </si>
  <si>
    <t>ke6ZSTVJW7CDoNSiQaLaTw==</t>
  </si>
  <si>
    <t>,36,37,38,39,40,42,43,44,45,46,47,48,49,50,51,52,53,54,55,56,57,58,60,61,62,63,64,65,67,68,69,70,72,73,74</t>
  </si>
  <si>
    <t>,1,2,2,3,3,1,4,4,5,5,2,2,49,49,51,50,51,48,47,48,50,49,50,49,51,47,51,48,1,46,46,47,48,47,45,44,1,48,45,49,49,50,51,50,51,2,2,52,52,47,52,53,53,48,53,54,54,49,54,55,55,56,56,57,57,58,58,58,59,59,59,60,60,61,61,62,62,63,63,64,64,65,66,66,65,67,67,62,68,69,68,70,69,70,71,71</t>
  </si>
  <si>
    <t>,1,2,3,4,5,6,7,8,9,10,11,13,12,14,15,16,17,18,19,20,21,22,23,24,25,26,27,28,29,30,31,32,33</t>
  </si>
  <si>
    <t>,1,2,3,4,5,6,7,8,9,10,11,12,13,14,15,16,17,18,19,20,21,22,17,22,17,23,18,17,23,16,24</t>
  </si>
  <si>
    <t>,1,2,3,4,5,11,23,24,36,41,52,59,66,79,102,93,107,108,2,109,105,106,103,100,99,97,94,92,91,85,88,81,78,75,77,71,73,68,64,63,57,51,47,42,38,35,34,36,32,28,30,25,24,27,22,20,19,18,17,16,15,21,23,26,29,31,33</t>
  </si>
  <si>
    <t>I3xEp6d4cqtAOMZHXJCibw==</t>
  </si>
  <si>
    <t>,1,2,3,4,5,6,7,8,9,2,10,11,12,13,14,15,16,17,18</t>
  </si>
  <si>
    <t>Theories of Multiculturalism : An Introduction</t>
  </si>
  <si>
    <t>,1,2,3,30,31,32,28,29</t>
  </si>
  <si>
    <t>HM1271 .C384 2013</t>
  </si>
  <si>
    <t>,1,2,2,3,1,3,47,48,49,47,48,49,45,46,46,47,40,2,41,42,42,43,44,45,46,47,48,49,50,51,52,52,53,54,55,56,57,58,59,60,61,62,63,64,65,66,67,68</t>
  </si>
  <si>
    <t>sVLsZB13oxIu/CSX9KuWFQ==</t>
  </si>
  <si>
    <t>,31,32,33,34,35,36,37,38,39,40,41,42,43,44,45,46,47,48,49,50,51,52,53,54,55,56,57,58,59,60,61,62,63,64,65,66,67,68,69,70,71,72,73,74,75,76,77</t>
  </si>
  <si>
    <t>di9kygTTtGoWcbCIMm3cBw==</t>
  </si>
  <si>
    <t>,1,2,2,3,3,1,4,4,2,5,2,7,13,7,15,5,13,15,19,19,20,21,22,20,23,21,23,22,24,24,25,26,25,26,27,29,27,29,28,30,26,28,30,25,24,23,28,29,39,40,41,39,40,37,38,41,38,42,43,44,42,43,46,44,45,46,45,47,48,49,47,48,49,50,50,45,53,54,53,55,51,54,52,55,52,56,56,57,58,57,59,60,59,58,60,61,61,62,63,62,63,64,64,65,65,66,66,67,68,67,68,69,70,71,70,69,71,66,65,64,63,62,60,61,59,57,56,55,53,54,52,57,58,59,60,61,62,63,58,57,62,63,64,65,66,67,63,64,62,67,68,69,67,68,69,65,70,66,71,72,73,72,73,74,74,75,75,76,77,76,77</t>
  </si>
  <si>
    <t>GogL14XyEqUgd+5GWO1tgQ==</t>
  </si>
  <si>
    <t>,29,30,31,32,33,34,35,36,37,38,39,2,40,41,37,43,45,50,49,51,1,52,36,35,33,34,38,32,42,44,46,47,48,53,54,55,56,57,58,59,60,1,60,61,62,58,59,63,64,2,65,66,68,69,70,71,72,73,67,74,75,76,77,78,79,80</t>
  </si>
  <si>
    <t>Anatomy and Physiology Workbook For Dummies</t>
  </si>
  <si>
    <t>,1,2,3,4,5,6,7,8,131,132,133,129,313,314,312,316,317,318,319,132,134,130,74,75,72,73,76,71,69,83,86,87,84,82,81,79,80,78,77</t>
  </si>
  <si>
    <t>QP41 -- .R34 2015eb</t>
  </si>
  <si>
    <t>,1,2,3,4,5,6,7,8,9,10,11,12,13,14,15,16,17,18,19,20,21,22,23,16,24,25,26,27,28,29,30</t>
  </si>
  <si>
    <t>7bgVD9FG9Ok=</t>
  </si>
  <si>
    <t>,2,3,1,17,18,19,15,16,20,2,36,37,38,34,35,36,37,38,34,35,36,36,36,37,38,39,40,41,42,42,43,44,45,46,47,48,49,49,50,51,47,48,16,15,17,18,19,20,21,22,23,24,25,26,27,28,29,30,31,32,33,33,32,30,35,36,37,38,39,40,41,42,43,44,45,46,47,48,49,48,50,48,49,50,46,47,45,44,43,42,41,40,39,38,37,36,35,33,34,51,52,53,54,55,56,57,58,59,60,61,62,63,64,65,66,67,68,69,70,71,72,73,74,75,76,77,78,79,80,81,82,83,12,15,17,18,19,20,21,22,23,24,25,26,16,27,28,29,30,31,32</t>
  </si>
  <si>
    <t>,1,2,2,3,3,1,4,4,5,5,6,6,7,7,12,22,33,12,42,33,22,42,43,44,43,44,40,38,41,39,2,36,39,41,37,35,37,40,34,39,40,41,42,37,42,43,44,45,45,46,46,41,46,41,46,47,47,42,47,48,48,49,49,50,50,51,51,52,52,53,53,48,53,54,54,49,54,55,55,50,49,48,46,47,51,52,53,55,54,56,56,57,57,52,57,58,53,58,58,59,59,60,60,61,61,62,62,63,63,64,64,65,65,66,66,67,67,68,69,68,70,71,69,72,70,71,74,75,74,72,78,78,85,75,85,88,89,88,89,90,90,91,87,91,85,86,83,84,81,84,81,80,80,82,78,82,79,77,79,76,75,74,72,73,71,70,69,68,67,66,65,64,63,68,69,70,71,72,67,72,73,74,75,76,77,78,79,80,75</t>
  </si>
  <si>
    <t>,1,2,3,1,3,2,4,4,2,2,4,5,5,6,6,8,7,8,7,9,9,10,10,12,12,15,14,14,15,18,19,16,21,19,16,21,22,18,23,24,22,23,24,20,213,214,213,214,211,215,212,212,215,216,216,217,217,218,218,219,219,220,220,221,221,222,222,223,223,224,224,225,225,226,227,226,227,228,228,227,229,229,225,226,224,229,230,230,231,231,232,232,233,233,231,232,233,229,230,234,234,235,235,236,236,234,235,236,232,237,233,237,238,238,239,239,240,240,241,242,241,242,243,238,243,244,244,245,245,243,244,245,241,242,246,246,247,247,248,248,249,249,250,250,248,249,250,246,247,251,251,246,245,244,243,242,241,240,239,238,237,236,241,242,240,241,242,238,239,243,237,236,241,242,240,241,242,238,239,243,241,242,243,239,240,244,239,238</t>
  </si>
  <si>
    <t>,17,18,17,19,15,16,19,16,18,20,20,21,21,22,22,23,23,18,16,17,26,27,28,28,27,24,26,25,25,29,29,30,30,31,31,32,32,33,33,34,34,35,35,36,36,37,37,38,38,39,39,40,40,41,41,36,35,34,33,38,39,40,41,36,41,42,42,43,43,49,50,49,51,51,47,48,50,48,52,52,53,53,54,54,55,55,56,56,57,57,58,58,59,60,59,60,61,61,62,63,62,63,64,65,64,65,66,66,67,67,68,69,68,70,69,70,71,71,72,72,67,72,73,73,68,73,74,74,75,75,76,76,77,77,78,78,79,79,80,81,80,81</t>
  </si>
  <si>
    <t>,1,1,2,2,3,3,2,2,4,4,5,5,6,6,7,7,8,8,9,9,10,10,122,122,123,123,124,124,120,121,121,122,122,122,122,122,122,122,125,125,126,126,127,127,128,128,129,129,122,123,124,120,121</t>
  </si>
  <si>
    <t>RzlCQlUr5rtR8gMmWQGQ5Q==</t>
  </si>
  <si>
    <t>,1,2,2,3,3,1,9,10,9,10,11,12,12,11,13,2,13,14,15,14,15,16,16,18,19,19,18,20,21,21,20,17,22,22,23,23,24,24,25,26,25,26,21,20,19,18,17,16,15,20,21,22,23,24,35,35,36,37,33,36,34,34,37,38,38,39,39,40,40,41,41,42,42,43,43,44,44,45,45,46,46,47,47,48,48,49,49,50,50,51,51,52,52,53,53,54,54,55,55,56,56,57,57,58,58,59,59,60,60,61,61,62,62,63,63,64,64,65,65,66,66,67,67,62,67,68,68,69,69,70,70,71,71,72,72,73,73,68,73,74,74,69,74,75,75,76,76,77,77,78,78,79,79,80,80</t>
  </si>
  <si>
    <t>,1,2,2,3,3,1,4,2,4,2,1,2,2,3,3,1,2,2,4,4,5,5,6,6</t>
  </si>
  <si>
    <t>,1,2,3,4,5,6,7,8,9,10,11,12,13,14,15,16,17,18,19,20,21,22,23,24,25,26,27,28,29,30,31,32,33,34,35,36,37,38,39,40,41,41,42</t>
  </si>
  <si>
    <t>2t/JDCqxL5UooI62bfhitA==</t>
  </si>
  <si>
    <t>,20,21,22,23,24,25,26,27,28,29,22,21,20,19,18,17,16,15,14,13,12,11,10,9,8,7,30,31,32,33,34,35,36,37,38,39,40,41,42,43,44,45,46,47,48,49,50,51,52,53,54,55,56,57,58,59,60,61,62,63,64,65,66,67,68,69,70,71,73,72,74,75,76,77,52,51,57,58,59,60,61,62,63,64,65,66,67,68,69,70,71,72,73,74,75,76,77,78,79,80,59,58,56,55,57,54,52,53,51,50,49,48,47,46,45,44,43,42,41,40,39,38,37,36,35,34,33,32,31,86,87,85,88,83,84,81,80,82,79,74,80,81,74,73,72,71,70,69,68,67</t>
  </si>
  <si>
    <t>,1,1,2,2,3,3,17,18,17,19,18,16,19,16,15,20,20,21,22,21,22,2,23,23,24,24,19,24,25,25,26,26,27,28,28,27,29,29,24,29,30,30,31,31,26,31,32,32,33,33,34,34,35,35,36,36,37,37,38,38,39,40,39,40,35,34,39,40,41,41,42,42,43,43,44,44,45,45,46,46,47,47,48,48,49,49,50,50,51,51,46,45,44,43,42,41,40,39,38,37,36,35,34,33,38,39,34,39,40,41,42,43,44,39,44,39,44,45,40,45,46,41,46,41,46,47,48,49,50,51,52,52,53,53,54,54,55,55,56,56,57,57,58,58</t>
  </si>
  <si>
    <t>,1,2,3,17,18,19,15,16,17,17</t>
  </si>
  <si>
    <t>8L8U1DqbJ0MycppDx6+0Hw==</t>
  </si>
  <si>
    <t>,1,2,3,4,35,36,37,33,34,38,47,40,41,42,39,37,43,44,45,46,47,48,49,50</t>
  </si>
  <si>
    <t>,1,2,3,26,27,28,24,25,29,30,31,32,33,17,18,19,20,16,21,15,22,32,33,34,35,36,37,38,39,40,41,42,43,44,45,46,47,48,49</t>
  </si>
  <si>
    <t>GIC8JmRm9u3QB5vsRlpwSg==</t>
  </si>
  <si>
    <t>Transforming Citizenships : Transgender Articulations of the Law</t>
  </si>
  <si>
    <t>HQ77.9 -- .W47 2014eb</t>
  </si>
  <si>
    <t>306.76/8</t>
  </si>
  <si>
    <t>YVNSl1ssT6mXyxujgfsrBg==</t>
  </si>
  <si>
    <t>,21,22,23,24</t>
  </si>
  <si>
    <t>,1,2,3,35,36,37,33,34,39,40,41,38,49,50,51,47,48,52,53,54,55,56,57,58,59,60,61,62,63,64,65,66,67,68,69,70,71,72,73,74,75,76,77,78,79,80,81</t>
  </si>
  <si>
    <t>,46,47,48,44,45,43,42,41,40,39,38,37,49,50,51,36,35,34,33,52,53,54,55,56,57,58,59,60,61,62,63,64,65,66,67,68,69,70,71,72,73,74,75,76,77,78,79,80,81,52,53,54,55,56,57,58,59,60,61,62,63,64,65,66,67,68,69,70,71,72,73,74,75,76</t>
  </si>
  <si>
    <t>,55,56</t>
  </si>
  <si>
    <t>K8exJ6H9HD8=</t>
  </si>
  <si>
    <t>,1,3,2,36,37,38,34,35,39,56,57,58,54,55,59,60,61,62,1,2,3</t>
  </si>
  <si>
    <t>WelVdkccYLs5DWeUaU+sZQ==</t>
  </si>
  <si>
    <t>,32,32,27,32,33,33,28,33,28,33,35,34,35,34,36,36,31,36,37,37,31,30,29,34,35,36,37,38,38,39,40,39,40,41,41,42,42,43,44,43,44,45,45,46,46,47,47,48,48,49,49,50,50,51,51,52,52,53,53,54,54,55,56,55,56,57,57,58,58,59,59,60,55,60,54,53,52,50,49,47,45,43,42,41,38,39,36,37,35,40,34,33</t>
  </si>
  <si>
    <t>,5,6,7,8,9,10,11,12,13,14,15,16,14,17,18,19,20,21,22,23,24,25,26,27,21,22,20,19,18,10,2,3,4,5,6,7,8,9,10,11,8,9,10,11,12,13,14,15,16,17</t>
  </si>
  <si>
    <t>,1,2,3,9,11,13,12,14,10,15,16,17,18,16,19,20,29,24,13,7,8,9,10,6,11,12</t>
  </si>
  <si>
    <t>fhk5/wsNktqvKBjhK1YycA==</t>
  </si>
  <si>
    <t>,1,3,2,3,2,1,31,33,29,31,32,33,30,30,32,34,34,2,35,36,35,36,37,37,38,38,39,40,39,40,41,41,42,37,42,42,37,42,43,44,43,44,45,45,46,46,47,47,48,48,49,49,50,50,51,51,52,52,53,53,54,54,55,55,55,56,56,51,56,57,57,52,57,52,57,57,57,58,58,59,59,60,60,61,61,56,61,56,55,54,59,60,61,62,63,62,63,64,64,65,65,60,65,66,66,67,67,62,67,68,69,68,69,70,71,70,71,72,72,72,73,73,68,67,72,73,74,74,69,74,75,76,75,76,77,77,78,78,79,79,80,80</t>
  </si>
  <si>
    <t>,1,1,2,2,3,3,4,4,5,5,6,6,7,7,8,8,9,9,2,10,11,12,12,13,11,14,13,10,14,16,15,16,15,17,18,17,19,18,20,19,21,20,21,22,23,23,22,24,24,25,26,25,27,26,27,28,28,29,29,30,30,31,31,32,32</t>
  </si>
  <si>
    <t>,1,2,2,3,3,1,4,4,4</t>
  </si>
  <si>
    <t>,1,2,3,8,9,10,6,7,51,52,53,49,50,54,49</t>
  </si>
  <si>
    <t>,1,2,3,28,29,30,26,27,24,25,48,41,37,38,31,32,33,28,28,28,29,30,31,31,32,33,35,36,37,39,40,41,47,46,45,44,43,42,41,42,43,44,45,46,47,48,49,69</t>
  </si>
  <si>
    <t>+gVEKNhpSgeJq81254tgSw==</t>
  </si>
  <si>
    <t>,1,2,3,4,5,6,31,32,33,34,35,48,49,50,46,47</t>
  </si>
  <si>
    <t>eAAmDlAt7fMHxdCwtrZmQg==</t>
  </si>
  <si>
    <t>,21,21,22,22,22,23,23,24,24,25,26,25,26,27,27,22,21,20,19,18,16,17,21,22,23,24,25,26,27,28,28,29,29,30,30,25,30,31,26,31,32,32,33,33,28,33,1,33,33,34,34,35,1,35,31,32,32,36,36,37,38,37,38,2,33,2,32,31,36,37,32,37,32,37,37,32,37,38,36,37,38,34,35,39,39,40,40</t>
  </si>
  <si>
    <t>,22,23,24,25,26,27,28,29,30,31,32,33,34,35,36,37,38,39,40,41,42,32,30,25,49,50,51,47,48,52,53,54,55,56,57,58,59,60,61,79,80,81,77,78,82,83,84,85,86,87,88,89,90,91,92,93,94,77,76,75,73,74,71,72,69,70,71,67,68,66,65,64,63,62,61,60</t>
  </si>
  <si>
    <t>,1,2,2,3,3,1,2,2,4,4,4,5,5,5,6,6,7,7,8,8,9,9,10,10,11,11,12,13,12,14,13,14,15,15,16,16,17,17,18,19,19,18,20,20</t>
  </si>
  <si>
    <t>,1,2,3,1,28,14,17,17,18,19,21,18,20,16,15</t>
  </si>
  <si>
    <t>Z8gW1YXOxT+r0XYH0ipscQ==</t>
  </si>
  <si>
    <t>,1,2,3,4,5,6,7,30,31,32,28,29,27,33,34,35,36,37,38,39,40,41,42,43,44,45,46,47,48,49,50,51,52,53,54,55,56,57,58,59,60,61,62,63,64,65,66,67,68,69,70,71,72,73,74,75,76,77,78,79,80,81</t>
  </si>
  <si>
    <t>o6UD2kmt7k8xKX1WajYL0A==</t>
  </si>
  <si>
    <t>,1,2,2,3,3,2,2,1,4,4,5,5,6,7,6,7,8,8,9,10,10,11,9,11,12,13,12,14,13,15,16,15,16,14,11,16,17,19,17,18,20,15,19,20,18,20,21,21,16,21,22,22,23,18,24,23,24,25,20,25,19,18,17,22,17,23,24,25,26,27,26,21,27,27,28,28,23,28,29,29,30,30,25,31,31,32,33,28,27,25,26,30,33,32,25,24,28,23,29,30,31,33,34,35,29,34,35,34,35,30,35,36,36,32,37,31,36,37,38,38,39,40,35,40,41,39,41,42,42,43,43,44,44,45,45,46,47,46,48,48,47,49,49,50,50,51,46,51,51,52,47,52,52,53,53,54,54,55,55,56,56,57,57,58,53,58,58,59,60,61,56,55,60,61,59,62,62,63,63,64,65,65,66,67,62,66,67,64,67,68,69,70,68,70,71,71,72,67,66,69,72,71,73,74,75,74,75,73,69,74,75,77,125,127,127,124,123,125,122,77,118,124,123,117,116,115,117,118,116,122,114,115,114,106,107,105,108,104,103,104,108,67,107,52,51,53,105,49,1,50,51,49,47,48,51,49,48,50,2,2,1,52,53,52,53,54,55,56,57,54,57,56,55,58,59,60,61,59,60,61,58,62,63,62,64,63,65,64,65,66,66,67,67,68,69,70,68,70,69,71,71,72,73,73,72,74,74,75,76,75,76,77,72,77,77,78,78,79,79,80,80,75,74,73,71,70,72,73,69,68,67,66,65,64,63,62,61,60</t>
  </si>
  <si>
    <t>RAOeA5i4hg8Q6ihrHGEQNg==</t>
  </si>
  <si>
    <t>,1,2,3,48,49,50,46,47,59,60,61,57,58,62,63,64,65,66,67,68,69,70,71,72,73,74,75,75,76,77,78,79,80,81</t>
  </si>
  <si>
    <t>,1,2,3,4,6,8,9,7,5,10,11,12,13,14,15,18,19,20,16,17,22,21,23,24,25,26,27,28,29,30,31,32,33,33,34,34,34,35,35,36,37,36,37,38,38,33,38,39,40,39,40,35,34,33,38,39,40,41,41</t>
  </si>
  <si>
    <t>,1,2,3,4,6,5,7,8,9,11,10,12,13,15,15,14,17,18,16,19,20,19,18</t>
  </si>
  <si>
    <t>8fBOtTIKy1ji+VTTc5/SRg==</t>
  </si>
  <si>
    <t>,1,2,3,4,5,6,7,8,9,10,11,12,13,14,15,16,17,18,19,20,21,17,18,19,16,15,17,18,19,15,16,20,21,22,23,24,25,26,27,28,29,30,31,32,33,34,35,36,37,38,39,40,41,42,37,42,43,44,44,45,46,47,48,49,50,51,52,53,54,55,56,57,58,59,60,61,62,63,64,65,60,66,67,68,68,69,70,71,72,67,72,72,73,74,75,76,77,78,79,80,81,75,74,73,72,71,70,69,68,67,72,67,72,73,74,75,76,77,78,73,72,71,70,77,78,79,80,74,73,72,71,70,69,74,75,76,77,71,76,77,77,78,79,80</t>
  </si>
  <si>
    <t>dp8QPvL1loDn0ybtmZdHYA==</t>
  </si>
  <si>
    <t>,1,2,3,4,5,6,59,60,61,57,58,54,55,56,52,53,62,1,62,63,64,60,61,65,66,67,2,68,69,70,71,72,73,74,75,76,77,78,79,80,81</t>
  </si>
  <si>
    <t>,1,2,3,153,182,183,184,47,48,49,45,46,50,51,52,53,54,55,56,57,58,59,60,61,62</t>
  </si>
  <si>
    <t>,20,21,22</t>
  </si>
  <si>
    <t>,1,2,3,4,5,6,7,8,9,10,11,12,13,14,15,16,18,19,17</t>
  </si>
  <si>
    <t>9f09c2Fz7b+aeCcdhSqvcQ==</t>
  </si>
  <si>
    <t>,1,2,3,17,18,19,15,16,20,25,27,28,29,30,31,32,33,34</t>
  </si>
  <si>
    <t>Xhh6vkynGZzKkC17KQHCIA==</t>
  </si>
  <si>
    <t>,20,21,22,23,24,25,26,27,28,29,30,31,32,33,34,35,36,37,38,39,40,41,42,43,44,45,46,47,48,49,50,51,52,53,54,55,56,57,58,59,60,61,62,63,64,65,66,67,68,69,70,71,72,73,74,75,76,77,78,79,80,81</t>
  </si>
  <si>
    <t>NeC7mfFjxnImJxAt0DGisA==</t>
  </si>
  <si>
    <t>Developing Restorative Justice Jurisprudence : Rethinking Responses to Criminal Wrongdoing</t>
  </si>
  <si>
    <t>K970 -- .F65 2014eb</t>
  </si>
  <si>
    <t>,1,2,3,5,6,4,39,40,41,42,38,37,36,43,44,45,46,47,48,49,50,51,52,53,55,54,56,57,58,59,60,61,62,63,64,65,66,67,68,69,70,71,72,73,74,75,76,77,78,79,80</t>
  </si>
  <si>
    <t>,44,46,47,52,48,49,50,42,45</t>
  </si>
  <si>
    <t>,1,2,3,17,18,19,15,16,20,21,22,23,24,25,26</t>
  </si>
  <si>
    <t>,1,2,3,4,8,9,13,28,58,81,80,79,76,75,65,45,41,42,40,38,39,43</t>
  </si>
  <si>
    <t>hvkO17DM+rA32tRJcrPUdQ==</t>
  </si>
  <si>
    <t>,1,2,3,35,36,37,33,34,49,50,51,47,48,79,80,81,77,78,38,39,40,41,42,43,44,40,41,42,38,39,43,37</t>
  </si>
  <si>
    <t>7pAhxXdxZCM=</t>
  </si>
  <si>
    <t>,21,21,22,23,24,25,26,27,28,29,30,31,32,33,34,35,36,37,38,39,40,41,42,43,44,45,46,47,48,49,50,51,52,53,54,55,56,57,58,59,60,61,62,63,64,65,66</t>
  </si>
  <si>
    <t>,1,2,3,4,5,6,7,8,9,10,11,12,13,14,15,16,17,18,19,17,386,385,1,20,18,19,20</t>
  </si>
  <si>
    <t>,1,2,3,17,19,15,18,16,17,18,19,16,15,20,18,17,18,21,22,23,24,25,26,27,28,29,30,31,32,33,34,35,36,37,38,39,40,41,42,43,44,45,46,47,48,49,50,51,52,53,54,55,56,57,58,59</t>
  </si>
  <si>
    <t>,1,2,3,4,5,6,7,9,10,8,11,12,13,14,15,16,17,18,19,20,21,22,23,24,25,26,27,28,29,30,31,32,33,34,35,36,37,38,39,40,41,42,43,44,45</t>
  </si>
  <si>
    <t>,1,2,3,16,33,25,26,27,28,24,29,30,31</t>
  </si>
  <si>
    <t>,1,2,3,4,5,6,7,8,9,10,11,12,13,14,15,16,17,18,19,20,21,22,23,24,25,26,27,28,29,34,33,35,31,32,30</t>
  </si>
  <si>
    <t>OuXYnoO1bidjFvWTGvw/1A==</t>
  </si>
  <si>
    <t>,39,40,41,32,42,42,1,43,44,40,41,45,2,46,47,48,49,50,51,52,53,54,55,56,57,58,59,60,61,62,63,64,65,66,67,68,69,70,71,72,73,74,75,76,77,78,79,80</t>
  </si>
  <si>
    <t>,1,2,3,35,36,37,33,34,38</t>
  </si>
  <si>
    <t>vfKJ9lWrKRG4fXtzbNIN2w==</t>
  </si>
  <si>
    <t>,43,44,45,46,47,48,49,50,52,51,53,54,55,56,57,58,58,1,59,60,56,57,57,1,58,59,55,57,56,59,56,58,1,60,61,60,61,2,62,63,64,65,66,67,68,69,70,71,72,73,74,75,76,77,78,79,80</t>
  </si>
  <si>
    <t>,1,2,3,4,5,6,7,8,9,10,11,12,13,14,15,16,17,18,19,20,21,55,54,56,57,53,52,18,19,20,21,22,23,24,25,26,27,28,29,30,31,136,137,138,134,135,133,32,33,34,35,36,37,38,39,40,41,42,43,44,45,46,47,48,49,50,51,58,59,60,61,62,63,64,65,66,67,68,69,70,71,72,73,74,75,76,77,78,79,80,81</t>
  </si>
  <si>
    <t>,1,2,3,4,5,6,7,8,9,10,12,13,14,11,15,16,17,40,41,42,38,39,37</t>
  </si>
  <si>
    <t>,1,2,3,4,5,6,7,8,17,18,19,15,16,20,21,22,23,24,25,26,27,28,29,30,31,32,33</t>
  </si>
  <si>
    <t>EoU5e2lqyw6/I/6PFM+6bg==</t>
  </si>
  <si>
    <t>,1,2,3,4,5,6,7,8,9,10,11,13,14,15,12</t>
  </si>
  <si>
    <t>,22,23,24,25,26,27,28,29,30,31,32,33</t>
  </si>
  <si>
    <t>,1,2,3,8,5,4,6,7,9,10,11,12,13,14,15,16,17,18,19,20,21,22,23,24,25,26,27,28,29,30,31,32</t>
  </si>
  <si>
    <t>,1,3,2,4,5,6,7,8,9,10,11,12,13,14</t>
  </si>
  <si>
    <t>,1,2,3,4,6,5,7,8,9,10,11,12,13,14,15,16,17,18,19,20,21</t>
  </si>
  <si>
    <t>,6,7,8,10,9,11,12,13,14,15,16,17,18,19,20,21,22,23,24,25,26,27,28,29,30,31,32,33,34,35,36,37,38,39,40,41,42,45,46,48,49,50,51,52,53,55,57,59,61,62,63,64,60,65,66,67,68,69,70,71,72,73,74,75,76,77,78,79,80</t>
  </si>
  <si>
    <t>,1,2,3,5,4</t>
  </si>
  <si>
    <t>,20,17</t>
  </si>
  <si>
    <t>,1,2,3,11,14,12,31,32,35,36,37,33,34,38,39,40,44,53,76,114,115,116,117,113,109,97,96,95,93,94,68,62,67,69,65,66,42,41,44,43,45,46,47,48,49,50,51,52,53,54,55,56,57,58,59,61,60,62,64,63,65,66,67,68,69,70,71,72,73,74,75,73,74,75,76,77,78,79,80,81</t>
  </si>
  <si>
    <t>,1,2,3,17,18,19,15,16,17,20,21,22,23,24,25,26,27,28,29,30,31,32,33,1,33,34,35,31,32,36,37,2,38,39,40,41,42,43,44,45,46,47,48,49,50,51,52,53,54,55,56,57,58,59,60,61,62,63,64,65,66,67,68,69,70,71,72,73,74,75,76,77,78,79,80</t>
  </si>
  <si>
    <t>Ed2tpLBHIFONrsDiwQ6Fxw==</t>
  </si>
  <si>
    <t>,16,15,14,13,11,12,10,9,8,7,22,24,31,32,33,34,35,36,37,38,39,40,41,42,43,44,45,46,47,48,49,50,51,52,53,54,55,56,57,58,59,60,61,62,63,64,65,66,67,68,69,70,71,72,73,74,75,76,77,78,79,80,81</t>
  </si>
  <si>
    <t>,1,2,3,4,6,29,30,27,26,28,23,25,21,20,19,17,18</t>
  </si>
  <si>
    <t>,1,2,3,17,18,19,15,16,17,18,19,20,21,22,23,24,25,26,27,28,29</t>
  </si>
  <si>
    <t>,1,2,3,39,40,41,42,38,43,44,45,46,47,48,49,50,51,52,53,54,55,56,57,58,56,57,58,55,54,68,69,70,71,70,69,67,68,66,65,64,63,62,61,60,59,1,54,55,56,52,53,2,51,57,59,58,61,60,62,63,64,65,66,67,68,69,70,71,72,73,74,75,76,77,78,79,80,81</t>
  </si>
  <si>
    <t>,1,2,3,5,4,7,8,6,9,10,11,13,12,15,14,16,17,18,19,20,21,22,23,24,25,26,27,29,28,30,31,32,34,33,35,36,37,38,39,40,41,1,41,42,43,39,40,38,44,2,45,46,47,47,48,49,41,40,39,38,37,50,50,51,52,52,53,54,55,56,57,58,59,1,2,3,4,5,6,7,8,9,82,116,122,123,124,18,19,20,17,16,21,22,23,24,25,26,27,29,30,31,32,28,33,34,35,36,37,38,39,40,41,42,43,44,45,46,47,48,49,50,51,52,53,54,55,56,57,58,59,60,61,62,63,64,65,66,67,68,69,70,71,69,70,71,72,72,73,74,75,76,77,78,79,80</t>
  </si>
  <si>
    <t>Fm39doqD1bGzDpUDx3V0MA==</t>
  </si>
  <si>
    <t>,19,20,21,22,23,24,25,26,27,28,29,30,31,32,33,34,35,36,37,38,39,40,41,42,43,44,45,46,47,48,49,50,51,52,53,54,55,56,57,58,59,60,61,62,63,64,65,66,67,68,69,70,71,72,73,74,76,75,77,78,79,80,81,82,83,84,85</t>
  </si>
  <si>
    <t>,1,2,3,5,6,7,4,8,9,10,12,11,14,15,13,16,17,20,18,19,21,22,23,24,25,26,27,28,29,30,31,32,33,34,35,37,38,39,36,40,41,42,43,44,45,46,47,48,49,50,51,53,56,59,62,64,67,68,69,70,72,75,78,82,81,83,79,80,77,76,74,73,71,66,65,63,61,60,58,57,55,54,52,25,24</t>
  </si>
  <si>
    <t>,21,22,1,19,20,23,24,2,25,26,27,28,18,17,16,29,30,31,14,15,32,33,34,35,36,37,38,39,40,41,42</t>
  </si>
  <si>
    <t>,22,23,24,25,26,27,28,29,30,31,32,33,34,35,36,37</t>
  </si>
  <si>
    <t>2YzdquFoLTFuLoCFDfcLbA==</t>
  </si>
  <si>
    <t>,24,25,27,28,30,31,32,34,35,36,37,38,39,40,41,42,43,44,45,46,47,48,49,50,51,52,53,54,55,56,57,58,59,60,61,62,63,64,65,66,67,68,69,70,71,72,73,74,75,76,77,78,79,80</t>
  </si>
  <si>
    <t>,1,2,3,18,19,20,17,16,47,53,50,33,26,29,38,34,21,22,23</t>
  </si>
  <si>
    <t>,1,2,3,26,27,25,24,28,23,22,21,20,29,18,17,19,15,16,30,31,32,1,32,33,34,30,31,26,27,28,29,35,2,36,37,40,38,39,1,39,40,41,37,38,42,45,46,47,55,60,64,2,68,69,70,71,67,66,75,74,77,78,79,76,80,81,82,72,73,59,61,57,58,62,63,65,1,65,66,67,63,64,49,50,51,47,48,2,52,53,54,55,56</t>
  </si>
  <si>
    <t>,1,2,3,17,18,19,15,16,18,19,17,18,17,15,16,2,20,21,22,23,24,25,26,27,28,29,30,31,32,33,34,35,36,37,38,39</t>
  </si>
  <si>
    <t>0W/uqc7EeuFDNtBVEma5aA==</t>
  </si>
  <si>
    <t>,20,21,22,23,24,25,26,27,28,29,30,36,37,49,50,51,47,48,93,94,95,91,92,79,80,81,77,78,38,39,40,41,42,43,44,45,46,52,53,54,55,56,57,58,59,60,61,62,63,64,65,66,67,68,69,70,71,72,73,74,75,76</t>
  </si>
  <si>
    <t>,1,2,3,39,41,40,37,38,42,43,44,45,46,47,48,49,50,51,52,53,54,55,56,57,58,59,60,61,62,63,64,65,66,67,68,69,70,71,72,73,74,75,76,77,78,79,80</t>
  </si>
  <si>
    <t>,1,2,3,4,5,6,7,8,11,10,9,12,13,14,15,16,18,17,19,20,21</t>
  </si>
  <si>
    <t>,1,2,3,17,18,19,15,16,17,19,16,15,33,34,35,31,32,18</t>
  </si>
  <si>
    <t>,1,2,3,4,5,6,7,8,9,10,11,12,14,13,15,16,17,18,19,20,21,22,23,24,25,26,27,28,29,30</t>
  </si>
  <si>
    <t>,1,2,3,5,4,6,11,12,13,14,15,16,17,19,20,21,18</t>
  </si>
  <si>
    <t>,1,3,2,4,5,6,7,8,9,10,12,11,13,14,15,16,17,18,19</t>
  </si>
  <si>
    <t>ifYfjxUHB4QKNxtfNQsYhA==</t>
  </si>
  <si>
    <t>,29,30,31,32,33,34,35,36,37,38,39,40,41,42,43,44,45,46,47,48,49,1,49,50,51,48,47,2,52,53,54,55,56,57,58,59,60,61,62,63,64,65,66,67,68,69,70,71,72,73,74,75,76,77,78,79,80,3</t>
  </si>
  <si>
    <t>,1,2,3,4,5,6,7,8,9,10,11,12,13,14,16,17,18,19,20,21,22,23,24,25,26,27,28</t>
  </si>
  <si>
    <t>,26,27,28,29,29,1,31,27,30,28,2,26,25,24,32,33,34,35,36,37,38,39,40,41,42,43,44,45,46,47,48,49</t>
  </si>
  <si>
    <t>M5y088S8aiE2k1QF7XZi/A==</t>
  </si>
  <si>
    <t>,1,2,3,4,5,6,7,222,223,224,220,221,225,297,298,294,295,1,295,296,297,293,294,298,2,299,300,301,302,303,304,305,306,307,308,309,310,311</t>
  </si>
  <si>
    <t>EnMH2gX1l6YF0oEDgBNucA==</t>
  </si>
  <si>
    <t>,26,27,28,29,30,31,32,33,34,35,36,37,38,39,40,41,42,43,44,45,46,47,48,49,50,51,52,53,54,55,56,57,58,59,60,61,62,63,64,65,66,67,68,69,70,71,72,73,74,75,76,77,78,79,80,81,17,18,19,15,16,20,21,22,23,54,55,56,57,58,59,60,61,62,63,64,65,66</t>
  </si>
  <si>
    <t>yVRIho72QF4Jl5rh0DhKLQ==</t>
  </si>
  <si>
    <t>,38,39,40,39,40,41,42,43,44,45,46</t>
  </si>
  <si>
    <t>3ZtTEnwV9WyZbOwx5FSx3w==</t>
  </si>
  <si>
    <t>,1,2,3,5,4,6,7,8,9,10,11,12,13,14,15,16,17,18,19,20</t>
  </si>
  <si>
    <t>,1,2,3,4,5,7,8,9,10,6,11,12,13,14,15,16,17,18,19,20</t>
  </si>
  <si>
    <t>,1,2,3,4,5,6,9,10,11,7,12,14,16,19,20,21,17,18,22,23,24,25,26,27,28,29,30,31,32,33,34,35,36,37</t>
  </si>
  <si>
    <t>,1,2,3,15,16,17,13,14,18,19,20,21,22,23,24,25,20,19,26,27,28,2,1,3,26,27,28,24,25,1,26,27,28,24,25,2,29,30,31,32,33,34,35,36,37,34,35,29,35,36,37</t>
  </si>
  <si>
    <t>O9kDneyqSDYQ9pDrLHGizg==</t>
  </si>
  <si>
    <t>8E5HDIuZPQs=</t>
  </si>
  <si>
    <t>Fairy Tales, Myth, and Psychoanalytic Theory : Feminism and Retelling the Tale</t>
  </si>
  <si>
    <t>Social Science; Juvenile Literature</t>
  </si>
  <si>
    <t>,67,69,70,71,72,73,74</t>
  </si>
  <si>
    <t>,12,13,14,15,16,17,18,19,20,21,22,23,24,25</t>
  </si>
  <si>
    <t>GR550 -- .S29 2014eb</t>
  </si>
  <si>
    <t>398.2/082</t>
  </si>
  <si>
    <t>,1,2,3,4,152,153,154,150,151,155,156,157,12,13,14,10,11,15,16,26,27,28,24,25,12,13,14,10,11</t>
  </si>
  <si>
    <t>,1,2,3,4,5,6,49,50,51,47,48,52,53,54,55,56,57</t>
  </si>
  <si>
    <t>,1,2,2,3,3,1,4,4,5,6,5,6,7,7,8,9,8,9,11,10,11,10,2,12,13,12,14,13,14,16,16,15,17,18,19,17,15,19,18,20,21,20,22,21,23,22,23,18,23,24,24,25,25,26,26,27,27,22,27,22,21,20,19,18,23,24,25,26,21,27,28,28,29,29,30,25,30,24,29,30,25,30,31,32,31,33,33,28,32,27,26,25,30,25,30,31,32,33,28,1,28,29,30,26,27,31,32,33,34,35,36,2,37</t>
  </si>
  <si>
    <t>,1,2,2,3,3,1,17,18,17,19,19,16,18,15,16,20,20,21,21,22,2,22,23,23,24,24,25,26,25,27,26,27,28,28,29,29,29,24,29,30,25,30,30</t>
  </si>
  <si>
    <t>B1+PYaWIf4prs+m46tkW8Q==</t>
  </si>
  <si>
    <t>,98,99,98,98,92,91,90,89,88,87,86,84,85</t>
  </si>
  <si>
    <t>,1,12,13,14,10,11,15,2,16</t>
  </si>
  <si>
    <t>,1,91,92,93,89,90,95,94,96,97,2</t>
  </si>
  <si>
    <t>,1,17,18,15,19,16,2</t>
  </si>
  <si>
    <t>,17,18,17,18,17,18,19,20,21,22,23,24,25,26,27,28,29,30,31,32,33,34,35,36,35,36,35,36,35,36,37,36,37,38,39,40,39,40,41,42,43,44,45,46,47</t>
  </si>
  <si>
    <t>,1,2,2,3,3,1,4,4,5,5,6,6,1,2,2,6,7,7,8,8,9,9,10,10,17,17,18,19,16,15,16,19,18,20,20,21,21,16,21,22,17,22,22,17,22,17,16,21,22,23,23,18,23,24,24,25,25,26,26,27,27,28,28,29,29,24,29,24</t>
  </si>
  <si>
    <t>,1,2,3,57,59,61,62,63,60,55,56,53,54,52,51,21,17,16,18,14,15,19,20,22,23,24,25,26,27,28,29,30,31,32,33,35,44,43,42,41,40,39,38,37,36,34,45,46,47,48,49,50</t>
  </si>
  <si>
    <t>,1,2,3,5,6,7,4,17,18,19,15,16,1,16,18,17,14,15,2,19,20,14,17,16,17,17,17</t>
  </si>
  <si>
    <t>,1,2,3,4,14,18,28,19,20,21,22,23,24,25,26,27,17,16</t>
  </si>
  <si>
    <t>,1,2,2,3,1,3,17,17,18,19,18,15,19,16,16,17,2,17,18,17,18,19,20</t>
  </si>
  <si>
    <t>gN6KUEIF6Zv05nfvAsTDqQ==</t>
  </si>
  <si>
    <t>,1,2,3,46,47,48,44,45,43,42,41,40,39,38,37,36,35,34,33,32,31,31,1,32,33,29,30</t>
  </si>
  <si>
    <t>Handbook of Electronic and Digital Acquisitions</t>
  </si>
  <si>
    <t>,1,3,2,23,19,20,47,48,49,50,46,51,52,53,54</t>
  </si>
  <si>
    <t>Z692.C65 -- H348 2006eb</t>
  </si>
  <si>
    <t>025.2/84</t>
  </si>
  <si>
    <t>,1,2,3,2,3,1,17,18,17,19,18,15,19,16,16,17,2,17,17</t>
  </si>
  <si>
    <t>,1,2,3,4,5,6,7,8,14,15,16,17,18,19,20,21,22,23,24,25,26,27,28,29,30</t>
  </si>
  <si>
    <t>,1,2,3,4,49,50,51,52,48,47</t>
  </si>
  <si>
    <t>,17,17,18,19,20</t>
  </si>
  <si>
    <t>,1,2,2,3,3,1,2,2,4,4,5,5,6,7,7,8,8,9,6,9,10,10,11,11,12,12,13,13,14,14,15,15,16,16,17,17,18,19,19,18,14,19,14,16,16,17,18,17,15,14,18,15,19,19,17,18,17,18,18,16,15,19,16,19,17,18,17,19,15,18,16,19,16,17</t>
  </si>
  <si>
    <t>gaqqPJUvDu7I9AL33iOXBw==</t>
  </si>
  <si>
    <t>,154,155,156,152,153,157,158,159,153,152,183,184,185,181,182,9,10,11,7,8,60,61,62,58,59,63,147,148,149,145,151,150,146,97,98,99,95,96</t>
  </si>
  <si>
    <t>,1,2,3,39,40,41,37,38,47,48,49,2,45,46,50,51,52,53,54,55,56,57,58,59,60,61,62,63,64,65,66,67,68,69,70,71,72,73,74,75,76,77,78,79,80</t>
  </si>
  <si>
    <t>H+iX1DPvhhk=</t>
  </si>
  <si>
    <t>,1,2,3,4,5,6,7,8,9,17,18,19,15,16,20,20,21,22,16,22,23,24,25,26,27,29,30,32,34,36,37,38,39,40,71,72,73,69,70,74,75,77,79,81,82,83,80,84,85,79,78,76,77,73,68,66,63,55,32,7,3,18,19,20,16,17,21,22</t>
  </si>
  <si>
    <t>XosyvB2B82bAx/fEVWxlwQ==</t>
  </si>
  <si>
    <t>,54,55,56,57,58,59,60,61,62,63,64,65,66,67,68,69,70,71,72,73,74,75,76,77,78,79,80,81,82,83,84,85,86,87,88,89,90,91,92,93,94,95,96,129,130,131,127,128,132,133,134,159,160,161,157,158,162,163,164,165,166,167,168,169,170,171,172</t>
  </si>
  <si>
    <t>,1,2,3,4,2,13,14,17,17,17,17,18,17,31,103,91,71,80,83,80,79,79,71,72,48,71,70,48,49</t>
  </si>
  <si>
    <t>,17,18,17,18,17,18,19,20,21,22,23,24,25,26,27,28,29,30,31,32,33,34,35,36,35,36,35,36,35,36,37,36,37,38,39,40,39,40,41,42,43,44,45,46,47,48,49,50,49,50,51,52,53,54,53,54,55,56,57,56,57,58,59,60,59,60,59,60,61,62,63,64,65,66,67,68,69,70,69,70,71,72,73,74,75,76,77,78</t>
  </si>
  <si>
    <t>,1,2,3,25,26,27,23,24,28,29,30,31,32,33,34,35,36,37,38,39,40,41,42,43,44,45,46,47,48,49,50,51,52,53</t>
  </si>
  <si>
    <t>,1,2,3,23,24,25,21,22,359,360,361,357,358,362,53,54,55,51,52,56,50,51,48,49,80,81,82,78</t>
  </si>
  <si>
    <t>,1,2,2,3,3,1,7,7,8,9,8,10,9,13,10,13,2,14,15,19,14,15,29,34,19,35,29,34,35,36,37,38,36,38,37,39,39,40,40,35,34,40,39,35,40,41,41,36,41,43,42,44,46,45,44,43,42,46,47,45,48,49,52,47,57,48,55,57,52,49,51,48,51,50,55,47,46,50,45,43,42,41,40,38,37,39,40,41,42,37,42</t>
  </si>
  <si>
    <t>,1,2,3,4,5,17,18,19,16,15,20,21,22,23,24,25,26,27,23,31,32,33,29,30,34,35,36,37,18,19,20,16,17,21,22,23,24,25,19,26,27,28,29,30,26,30,27,28,29,25,1,25,26,27,23,24,2,28,29,30,31,32,33,26,27,34,35,36,37,38,39,40,37,38,39,36,35,40,34,33,39,40,41,25,1,26,27,23,24,41</t>
  </si>
  <si>
    <t>0AqyhzsrUGMCEpCbgqcDjw==</t>
  </si>
  <si>
    <t>,1,2,3,23,24,25,21,22,26,40,41,38,39</t>
  </si>
  <si>
    <t>,1,2,3,17,18,19,15,16,16,1,17,18,15,14,2,13,12,10,11,19,20,21,22,23</t>
  </si>
  <si>
    <t>,1,2,3,4,5,6,7,8,9,10,11,12,13,14,15,64,65,99,116,117,118,119,115,117,118,119,472</t>
  </si>
  <si>
    <t>,1,2,3,1,11,33</t>
  </si>
  <si>
    <t>,1,2,3,4,5,6,7,8,9,10,11,12,13,14,15,16,17,18,19,20,21,22,20,21,22,23,24,25,26,27,11,4,2,3,5,6,7,8,9,10,11,12,13,14</t>
  </si>
  <si>
    <t>,20,21,22,23,24,25,26,27,19,20,18,16,21,16,22,22,22,16,23,24,25,26,27,22,21,20,19,18</t>
  </si>
  <si>
    <t>,1,3,2,4,5,6,7,8,9,10,11,12,13,14,15,16,17,18,19,20,21,22,23,23,24,25,26,27,28,29,6,1,14,32,33,17,18,19,15,16,11,6,3,1,9,10,7,8,12,11,7,12,13,14,15,16,17,18,19</t>
  </si>
  <si>
    <t>,1,2,3,1,1,48,3,4,1,4,6,5,7,8,9,10,11,12,13,14,15,16,17,18,19,20,21</t>
  </si>
  <si>
    <t>KOclMqtoxnvGaznYh84XUQ==</t>
  </si>
  <si>
    <t>,1,2,3,4,5,6,7,8,9,10,11,12,52,53,54,50,51,55</t>
  </si>
  <si>
    <t>,20,20,15,20,21,21,22,22</t>
  </si>
  <si>
    <t>,1,2,3,2,3,1,4,4,4,5,5,6,6,7,8,8,2,7,9,9,10,10,11,11,12,12,13,8,13,7,12,13,14,14,15,15,16,16,17,17,18,19,19,18</t>
  </si>
  <si>
    <t>,84,84,86,86,85,86,85,83,87,84,87,82</t>
  </si>
  <si>
    <t>,1,2,3,75,76,77,73,74,78,79,80</t>
  </si>
  <si>
    <t>,1,2,3,704</t>
  </si>
  <si>
    <t>,1,2,2,3,3,1,80,81,80,82,81,82,78,79,79,101,101,2,102,102,104,104,100,105,105,100,105,106,106,103,104,103,102,101,105,100,105,80,81,82,78,79,83,83</t>
  </si>
  <si>
    <t>,1,1,2,3,3,2,4,4,5,5,5,6,6,7,8,8,7,9,9,10,10,11,11,2</t>
  </si>
  <si>
    <t>,1,2,3,4,5,6,7,8,9,35,36,37,33,34,45,41,42,43,39,40,44,46,47,48,45,42,39,37,38,40,36,34,40,1,40,42,41,38,39,2,43,44,45,46,47,48,49,50</t>
  </si>
  <si>
    <t>,1,2,3,79,80,81,77,78,2</t>
  </si>
  <si>
    <t>,1,2,3,49,50,51,47,48,52,53,54,55,56,57,58,59,60,61,62,63,64,65,66,67,68,69,70,71,72,73,74,75,76,77,78,79,80</t>
  </si>
  <si>
    <t>,24,25,26,27,28,29,30,31,32,33,34,35,36,37,38,39,40,41,42,43,44,45,46,47,48,49,50,51,52,53,54,55,56,57,58,59,60,61</t>
  </si>
  <si>
    <t>,1,3,2,39,40,41,37,38,42,36,43,44,45,46,47,48</t>
  </si>
  <si>
    <t>,1,2,3,17,18,19,15,16,20,21,22,23,12,11,13,14</t>
  </si>
  <si>
    <t>9xVS5/eXj4lJi5cIzuVPAQ==</t>
  </si>
  <si>
    <t>Crimes against Nature : Squatters, Poachers, Thieves, and the Hidden History of American Conservation</t>
  </si>
  <si>
    <t>Environmental Studies; Economics; Agriculture</t>
  </si>
  <si>
    <t>,5,6,7,8,4,22,23,24,20,21,30,31,32,28,33,29,34,35,116,117,118,114,115,127,119,120,118</t>
  </si>
  <si>
    <t>SB486.S65 -- .J336 2014eb</t>
  </si>
  <si>
    <t>333.78/0973</t>
  </si>
  <si>
    <t>2oiVtjdNnALSKD93mvtcYA==</t>
  </si>
  <si>
    <t>,1,2,3,4,73,74,75,71,72,76,77,78,79,80,81,82,83,84,85</t>
  </si>
  <si>
    <t>tBm6yYMuwuWz7Sk7+iMV+w==</t>
  </si>
  <si>
    <t>The Informal Media Economy</t>
  </si>
  <si>
    <t>Social Science; Economics; Business/Management</t>
  </si>
  <si>
    <t>P96.E25 .L384 2015</t>
  </si>
  <si>
    <t>Secular State Under Siege : Religion and Politics in Europe and America</t>
  </si>
  <si>
    <t>Political Science; Religion</t>
  </si>
  <si>
    <t>BL65.P7 -- .J67 2015eb</t>
  </si>
  <si>
    <t>322/.1094</t>
  </si>
  <si>
    <t>Transcultural Communication</t>
  </si>
  <si>
    <t>HM1211 .H47 2015</t>
  </si>
  <si>
    <t>,1,1,2,3,4,5,6,7,8</t>
  </si>
  <si>
    <t>Practices of Selfhood</t>
  </si>
  <si>
    <t>BF371</t>
  </si>
  <si>
    <t>Latino Politics</t>
  </si>
  <si>
    <t>E184 .S75 G369 2014</t>
  </si>
  <si>
    <t>,1,1,2,3,4,5,6,7,8,9,10,11</t>
  </si>
  <si>
    <t>Global Economy in Turbulent Times</t>
  </si>
  <si>
    <t>,1,2,1,3,4,5,6,7,8,9,10</t>
  </si>
  <si>
    <t>HD47.3 .L384 2015</t>
  </si>
  <si>
    <t>Social Movements in Times of Austerity : Bringing Capitalism Back Into Protest Analysis</t>
  </si>
  <si>
    <t>HM881 .D45 2015</t>
  </si>
  <si>
    <t>Groups as Agents</t>
  </si>
  <si>
    <t>B105.A35 T65 2015</t>
  </si>
  <si>
    <t>The Lure of Technocracy</t>
  </si>
  <si>
    <t>Philosophy; Political Science</t>
  </si>
  <si>
    <t>B3258.H323 I413 2015</t>
  </si>
  <si>
    <t>,1,2,1,3,4,5,6,7</t>
  </si>
  <si>
    <t>General Theory of Victims</t>
  </si>
  <si>
    <t>,1,2,1,3,4</t>
  </si>
  <si>
    <t>B2433 .L373 T4413 2015</t>
  </si>
  <si>
    <t>Ethnicity in China: A Critical Introduction</t>
  </si>
  <si>
    <t>DS730 .Z364 2015</t>
  </si>
  <si>
    <t>Native America : A History</t>
  </si>
  <si>
    <t>E77 .O24 2015</t>
  </si>
  <si>
    <t>What is Genocide?</t>
  </si>
  <si>
    <t>HV6322.7 .S53 2015</t>
  </si>
  <si>
    <t>,1,2,1,3,4,5,6,7,8</t>
  </si>
  <si>
    <t>,1,1,2,3,4,5,6,7,8,9,10</t>
  </si>
  <si>
    <t>Jerusalem : The Spatial Politics of a Divided Metropolis</t>
  </si>
  <si>
    <t>DS109.95 .S55 2015</t>
  </si>
  <si>
    <t>Why the World Does Not Exist</t>
  </si>
  <si>
    <t>BD311 .G3313 2015</t>
  </si>
  <si>
    <t>Civil Resistance Today</t>
  </si>
  <si>
    <t>JC328.3 .S375 2015</t>
  </si>
  <si>
    <t>,1,1,3,2</t>
  </si>
  <si>
    <t>Sex Addiction : A Critical History</t>
  </si>
  <si>
    <t>RC560 .S43 R42 2015</t>
  </si>
  <si>
    <t>,1,2,1,3</t>
  </si>
  <si>
    <t>,1,1,2,3,4,5,6,7</t>
  </si>
  <si>
    <t>x1vrs+rn1M0=</t>
  </si>
  <si>
    <t>Human Rights and Social Equality : Challenges for Social Work:Social Work-Social Development Volume I</t>
  </si>
  <si>
    <t>,1,2,3,32,33,34,30,31,35</t>
  </si>
  <si>
    <t>HV40 -- .H863 2014eb</t>
  </si>
  <si>
    <t>,1,2,1,3,4,4,5</t>
  </si>
  <si>
    <t>fX0n7C2atfhKQZkZDuqdCw==</t>
  </si>
  <si>
    <t>,1,2,3,65,67,66,65,61,62,63,64</t>
  </si>
  <si>
    <t>Setting the Scene : Perspectives on Twentieth-Century Theatre Architecture</t>
  </si>
  <si>
    <t>,1,3,2,80,82,81,78,79</t>
  </si>
  <si>
    <t>NA6821 .S48 2015</t>
  </si>
  <si>
    <t>725''.822090; 725.8220904; 725/.8220904</t>
  </si>
  <si>
    <t>,1,2,3,4,5,6,7,8,9,16,20,10,19,53,60,81,95,102,109,116,122,129,136,150,157,171,192,185,199,205,222,73,72,74,70,71,75,76,77,78,79,80,69,67,68,66,65,64,62,63,61,59,57,58,55,56,54,51,52,49,50,47,46,48,45,44,43,42,39,41,40,38,37,35,36,33,34,32,31,30,29,27,28,25,26,24,23,22,21,18,17,14,15</t>
  </si>
  <si>
    <t>rh3uiVczuqECtuBOieVP+g==</t>
  </si>
  <si>
    <t>,17,18,19,20,21,22,23,24,25,26,27,28,29,30,31,32,33,34,35,36,37,38,39,40,41,42,43,44,45,46,47,48,49,50,51,52,53,54,55,56,57,58,59,60,61,62,63,64,65,66,67,68,69,70,71,72,73,74,75,76,77,78</t>
  </si>
  <si>
    <t>GrmIzRF6yS8y6ipYHOzcwg==</t>
  </si>
  <si>
    <t>,1,2,3,4,5,6,7,8,9,10,11,12,13,14,15,16,17,18,19,17,20,21,22,23,24,25,26,27,28,29,30,31,32,33,34,35,36,37,38,39,40,41,42,43,44,45,46,47,48,49,50,51</t>
  </si>
  <si>
    <t>,1,2,3,17,18,19,16,15,20,21,22,23,24,25,26,27,28,29,30,31,32,33,34,35,36,37,38,41,46,47,48,44,45,43,42,40,39</t>
  </si>
  <si>
    <t>,1,2,3,4,5,6,7,8,9,7,8,9,13,10,11,12</t>
  </si>
  <si>
    <t>,17,17</t>
  </si>
  <si>
    <t>,1,17,18,19,15,16,2,20,23,6,5,7,3,4,8,9,10,11,12,13,14</t>
  </si>
  <si>
    <t>,1,2,3,25,26,27,23,24,28,29,30,31</t>
  </si>
  <si>
    <t>,1,2,3,75,76,73,77,74,78,79,390,391,392,389,388,73,74,80,76,75,77,78,79,80,61,62,63,59,60,64,65,72,71,70,69,68,67,66,58,57,73,74,81</t>
  </si>
  <si>
    <t>,1,2,3,4,24,28,29,30,26,27,31,32,33,34,35,36,37,38,39,40,41,42,43,44,45,46,47,48,49,51</t>
  </si>
  <si>
    <t>,1,91,93,90,92,89,94,2,95,96,97,98</t>
  </si>
  <si>
    <t>,1,91,92,93,89,90,94,95,2,96,88,87,86,97,98,99,100,101,102,103,104,105,106,107,108,109,110,111,112,4,3,5,6,7,8,9</t>
  </si>
  <si>
    <t>,1,2,3,310,311,308,312,309,313,318,319,320,317,315,316,314,321,322,323,324,325,326,327,328,329,330,331,332,333,334,335,336,337,338,339,340,341,342,343,345,344,346,347,348,349,350,351,352,353,354,355,356,357,358,359</t>
  </si>
  <si>
    <t>jJa9kOXbzF0=</t>
  </si>
  <si>
    <t>,1,285,286,287,283,284,285,287,286,284,283,2,288,289,290,291,292,293,294,295,296,297,298,299,300,301,302,303,304,305,306,307,308,309,310,311,312,313,314,315,316,317,318,319,320,321,322,323,324,325</t>
  </si>
  <si>
    <t>,1,3,2,6,5,4,7,8,9,10,11,12,13,14,15,16,17,18,20,19</t>
  </si>
  <si>
    <t>E5wbHli5I8E=</t>
  </si>
  <si>
    <t>,1,91,92,93,89,90,2,94,95,96,97,98</t>
  </si>
  <si>
    <t>,1,2,3,26,27,28,24,25,29,30,31,32,33,34,35,36,37,38,39,40,41,43,42,44,46,52,49,57,58,60,56,59,61,62,65,68,77,78,75,76,79,80</t>
  </si>
  <si>
    <t>cux9HXsXvmzt1h99DTX0uQ==</t>
  </si>
  <si>
    <t>,23,24,25,26,27,28,29,30,31,32,32,33,34,35,36,37,38,39,38,35,39,40,41,42,43,44,45,46,47,48,49,50,51,52,53,54,53,54,55,56,57,58,57,58,59,60,61,62,63,64,65,66,67,68,69,70,71,72,73,74,75,76,77,78,79</t>
  </si>
  <si>
    <t>mBztoaliCvLGJlJTbNtFQw==</t>
  </si>
  <si>
    <t>,37,38,39,40,41,42,43,44,45,46,47,48,49,50,51,52,53,54,55,56,57,58,59,60,61,62,63,64,65,66,67,68,69,70,71,72,73,74,75,76,77,78</t>
  </si>
  <si>
    <t>,1,14,16,15,12,13,17,18,19,2,20,21,22,23,24,25,26,27,28,29,30,31,1,31,33,29,32,30,26,27,28,24,25,2,34,35,36,37,38,39,40,41,42,43,44,45,46,47,48,49,50,51,52,53,54,55,56,57,58,59,60,61,62,63,64,65,66,67,68,69,70,71,72,73,74,75,76,77,78,79,80</t>
  </si>
  <si>
    <t>,26,27,28,24,25,29,30,31,32,33,34,35,36,37</t>
  </si>
  <si>
    <t>,1,2,3,26,27,28,25,24,29</t>
  </si>
  <si>
    <t>,1,3,2,20,21,22</t>
  </si>
  <si>
    <t>,1,2,3,4,5,6,7,8,9,10,11,12,13,14,15,16,17,18,19,17,20,21,22,23,24,25,18,19,26,27,28,29,23,28,29,24,30,25,31,26,32,27,33,34,35,36,37</t>
  </si>
  <si>
    <t>,2,17,18,19,78,79,80,76,77,3,21,22,23,24,25,26,28,27,12,13,11</t>
  </si>
  <si>
    <t>,1,17,18,19,15,16,20,14</t>
  </si>
  <si>
    <t>,22,23,24,25,26,27,28,1,28,29,30,26,27,2,25,24,31,32,33,34,35,36,37,39,38,40,41,42,43,44,45,46,47,48,49,50,51</t>
  </si>
  <si>
    <t>,1,2,3,17,268,269,270,271,267,266,265,262,261,263,259,260,254,250,257,241,237,232,223,218,214,205,201,198,194,189,185,180,176,171,167,162,157,153,149,144,139,135,131,126,122,117,112,108,103,99,94,93,95,92,90,91,89,88,87,86,85,84,83,81,82,80,79,78,77,76,75,74,68,35,20,11,12,13,9,10,14,15,16,18,19,21</t>
  </si>
  <si>
    <t>nvczMTBJTVetsfXAQ2AMdg==</t>
  </si>
  <si>
    <t>Mindfulness-Oriented Interventions for Trauma : Integrating Contemplative Practices</t>
  </si>
  <si>
    <t>,1,1,2,2,3,3,4,4,5,6,7,8,7,8,11,9,6,11,9,5,12,12,10,10,13,13,2</t>
  </si>
  <si>
    <t>RC552.T7 -- .M563 2015eb</t>
  </si>
  <si>
    <t>617.1/0652</t>
  </si>
  <si>
    <t>,1,2,3,52,53,54,50,51,52,53,56,57,61,62,63,64,65,64,63,62,61,62,63,64,65,64,65,66,67,68,61,62,63,64,65,69,70,71,72,73,75,76,408,409,410,411,412,390,391,61,68,408,390,61,62,64</t>
  </si>
  <si>
    <t>,1,2,3,18,19,20,16,17,18,19</t>
  </si>
  <si>
    <t>,1,2,2,3,3,1,4,4,5,5,6,6,7,7,8,8,9,10,9,11,10,11,2,12,13,12,14,13,14,15,15,16,16,11,16,17,17,18,19,18,19,20,20,21,22,21,22,23,23,24,25,24,25,26,26,27,27,28,28,29,29,30,30,31,32,31,33,33,32,28,27,25,24,23,22,21,19,20,18,17,16,15</t>
  </si>
  <si>
    <t>,4,2</t>
  </si>
  <si>
    <t>,1,2,3,4,5,6,7,8,9,10,11,12,13,11,12,13,14,15,16,17,35,35,17</t>
  </si>
  <si>
    <t>z38wmpso/eY=</t>
  </si>
  <si>
    <t>Tasting French Terroir : The History of an Idea</t>
  </si>
  <si>
    <t>Agriculture; Home Economics</t>
  </si>
  <si>
    <t>,1,2,3,16,17,18,14,15,19,20,28,29,30,26,27,32,31,52,53,54,50,51,148,149,150,146,147,89,90,86,87,88,91,108,109,110,106,107,111,28,29,30,26,31,27,32,69,70,71,67,68,129,130,131,127,128,169,170,171,167,168</t>
  </si>
  <si>
    <t>SB387.8.F8 -- .P36 2015eb</t>
  </si>
  <si>
    <t>C0ZN1PWCbvU=</t>
  </si>
  <si>
    <t>Food in Time and Place : The American Historical Association Companion to Food History</t>
  </si>
  <si>
    <t>,125,126,127,128,129,213,214,215,211,212</t>
  </si>
  <si>
    <t>TX353 -- .F644 2014eb</t>
  </si>
  <si>
    <t>,1,2,3,120,121,122,118,119,123,124</t>
  </si>
  <si>
    <t>,1,2,3,25,26,27,23,28,24,29,30,31,32,33</t>
  </si>
  <si>
    <t>Word of Mouth : What We Talk About When We Talk About Food</t>
  </si>
  <si>
    <t>,1,2,3,28,29,30,26,27,31,32,58,59,60,56,61,57,62,63,64,104,105,106,102,103,107,108,109,110,138,139,140,136,137,138,141,142,143,144,145,146,147,148,149</t>
  </si>
  <si>
    <t>GT2850 -- .F46 2014eb</t>
  </si>
  <si>
    <t>,1,2,3,29,31,30,27,28,34,26,24,25,33</t>
  </si>
  <si>
    <t>,20,21,22,23,24,25,26,27,28,29,30,31,32,32,33,34,35,36,37,1,37,38,39,35,36,40,2,41,42,43,1,43,44,45,41,42,2,46,47,48,49,50,51,52,53,54,55,56,57,58,59,60,61,62,63,91,64,65,66,67,68,69,70,72,1,72,74,73,71,70,2,69,68,75,76,77,78,79,80,81</t>
  </si>
  <si>
    <t>lS1hWtJlHI3q8fwNTqMxtw==</t>
  </si>
  <si>
    <t>,24,25,25,1,26,24,27,23,28,2,23</t>
  </si>
  <si>
    <t>,1,2,3,18,15,10,4,5,6,7,8,9,10,11,12,13,14,15,16,17,18,19</t>
  </si>
  <si>
    <t>,1,14,15,12,16,13,2,17,18,19,20,21,22,23</t>
  </si>
  <si>
    <t>,83,84,85,86,87,88,89,115,116,117,113,114,112</t>
  </si>
  <si>
    <t>,1,2,3,72,71,70,73,74,75,76,78,77,76,75,74,77,78,79,80,81,82</t>
  </si>
  <si>
    <t>fEAUYY99UKs2j4qvEIsmdg==</t>
  </si>
  <si>
    <t>,1,2,4,3,93,94,92,91,96</t>
  </si>
  <si>
    <t>,1,2,3,75,73,74,76,77,78,79,52,61,63,62,60,64,62,65,66,67,68,69,390,389,392,388,391,393,394,53,51,54,52,55,56,58,57,59,60,61</t>
  </si>
  <si>
    <t>FEL1/r6G6t38XWcBfxVC0A==</t>
  </si>
  <si>
    <t>,18,18,19,19,20,20,21,21,23,22,23,24,22,24,15,13,18,14,21,22,16,20,19,17,17,15,16,22,20,21,24,23,25,25,26,26,21,20,25,26,27,27,28,28,29,29,30,30,31,31,32,32,33,34,33,34,35,36,35,36,37,38,37,38,39,39,40,40,35,34,33,32,31,30,28,27,29,26,25,24,28,23,10,8,12,9,11,21,22,23,19,20,24,25,26,27,28,29,30,25,24,23,27,22,29,28,30,31,26,31,32,33,34,35,36,32,37,36,31,37,38,40,39,40,41,36,40,35,42,43,41,38,37,21,22,23,19,20,42,41,43,24</t>
  </si>
  <si>
    <t>rnp4j0XyqJDLviAChQ0pGQ==</t>
  </si>
  <si>
    <t>All in Your Head : Making Sense of Pediatric Pain</t>
  </si>
  <si>
    <t>RJ365 -- .B83 2015eb</t>
  </si>
  <si>
    <t>618.92/0472</t>
  </si>
  <si>
    <t>,1,3,2,132,134,133,130</t>
  </si>
  <si>
    <t>,1,3,2,15,16,17,13,14,18,19</t>
  </si>
  <si>
    <t>tmvKzpjm5aaDZB5RQ2a5ow==</t>
  </si>
  <si>
    <t>Rebalancing Public Partnership : Innovative Practice Between Government and Nonprofits from Around the World</t>
  </si>
  <si>
    <t>HD62.6 .R433 2015</t>
  </si>
  <si>
    <t>658''.046</t>
  </si>
  <si>
    <t>,1,22,21,20,23,2,24,12,15,11,10,13,14,25,26,27,28,22,1,21,22,24,20,23,2,108,109,106,110,107,111,112,113,114,115,116,117,118,119</t>
  </si>
  <si>
    <t>,3,1,2,24,25,23,26,22</t>
  </si>
  <si>
    <t>Gandhi in Political Theory : Truth, Law and Experiment</t>
  </si>
  <si>
    <t>,12,15,16,17</t>
  </si>
  <si>
    <t>DS481.G3 -- .V37 2014eb</t>
  </si>
  <si>
    <t>,1,3,1,3,2,2,2,2,94,94,95,92,93,96,93,96,91,95,95,96,91,97,92,97,91,90,89,88,86,87,85,84,83,82,60,59,60,62,58,62,59,61,61,63,63,94,96,95,97,92,93,92,91,89,87,85,83,1,84,86,2,3,3,88,4,90,4,3,2,5,5,6,2,6,7,8,7,9,8,9,10,10,11,12,11,12,13,9,13,14,14,9,14,15,15,16,16,17,17,1,2,1,2,3,3,4,5,2,5,4,15,14,15,14,17,17,16,13,16,12,11,10,9,8,7,6,5,10,11,12,13,15,17,16,14</t>
  </si>
  <si>
    <t>,94,94</t>
  </si>
  <si>
    <t>,1,3,2,14,13</t>
  </si>
  <si>
    <t>,1,2,3,65,64,66,63,67,68,69,70,71,66,65,64,63,62,61,67,68,69,70,71,72,73,66,65,64,63,61,62,408,409,407,406,410,411,53,52,50,54,51,53,52,55,56,57,58,59,60,62,63,61,64,65,66,67,68,69,70,71,72,73,74,75,76,77,390,389,391,392,388,393,61,59,60,64,63,62,65,66,67,68,69,62,390,389,388,392,391,61,63,59,60,64,62,65,66,67,68,69,70,71,64,62,63,61,72,73,74,61,66,67,68,69,70,71</t>
  </si>
  <si>
    <t>Gy+p/VP8XLc=</t>
  </si>
  <si>
    <t>,2,1,3,40,38,41,42,39</t>
  </si>
  <si>
    <t>,40,41,42,43,44,45,46,47,48,49,50,51,52,53,54,55,56,57,58,59,60,61,62,63,64,65,66,67,68,69,70,71,72,73,74,75,76,77,78</t>
  </si>
  <si>
    <t>75RBUB3Kf7upELEnAkdmlA==</t>
  </si>
  <si>
    <t>,1,2,3,4,5,6,8,7,9,10,23,24,22,25,21,242,240,241,243,244</t>
  </si>
  <si>
    <t>,1,3,2,390,389,388,391,392,65,66,64,67,63,62,61,75,74,73,77,76,78,79,81,80,73,72,71,69,70,68,62,71,72,73,80,81</t>
  </si>
  <si>
    <t>,1,2,3,4,5,6,7,8,9,10,17,18,16,14,20,19,15</t>
  </si>
  <si>
    <t>Vgr2wL7H84M=</t>
  </si>
  <si>
    <t>h3Yl8Sdl9ooVJWTtKCo1BQ==</t>
  </si>
  <si>
    <t>Critical Observations in Radiology for Medical Students</t>
  </si>
  <si>
    <t>RC78.7.D53 -- .B573 2015eb</t>
  </si>
  <si>
    <t>616.07/572</t>
  </si>
  <si>
    <t>,17,18,17,18,17,18,19,20,21,22,23,24,25,26,27,28,29,30,31,32,33,34,35,36,35,36,35,36,35,36,37,36,37,38,39,40,39,40,41,42,43,44,45,46,47,48</t>
  </si>
  <si>
    <t>,1,3,2,4,44,45,43,46,42</t>
  </si>
  <si>
    <t>Axel Honneth</t>
  </si>
  <si>
    <t>Social Science; Philosophy</t>
  </si>
  <si>
    <t>B63 -- .Z87 2015eb</t>
  </si>
  <si>
    <t>,1,3,2,17,79,81,77,78,80,76,108,56,58,54,59,60,57,61</t>
  </si>
  <si>
    <t>,17,18,19,20,21,22,23,24,25,26,27,28,29,30,31,32,33,34,35,36,37,38,39,40,41,42,43,44,45,46,47,48,49,50,51,52,53,54,55,56,57,58,59,60,61,62,63,64,65,66,67,68,69,70,71,72,73,74,75,76,77,78,47,48,49,50,51,52,53,54,55,56,57,58,59,60,61,62,63,64,65,66,67,68,69,70,71,72,73,74,75,76,77,78</t>
  </si>
  <si>
    <t>,1,1,3,2,4,5,6,7</t>
  </si>
  <si>
    <t>,1,1,2,3,4,5</t>
  </si>
  <si>
    <t>Ethnographic State : France and the Invention of Moroccan Islam</t>
  </si>
  <si>
    <t>BP64.M6 -- .B88 2014eb</t>
  </si>
  <si>
    <t>Persons and Things : From the Body's Point of View</t>
  </si>
  <si>
    <t>B824 .E8613 2015</t>
  </si>
  <si>
    <t>,1,2,3,4,5,6,7,9,8,10,11,12,13,14,15,16,17,18,19,20,21,22,23,47,49,46,48,50,51,52,53,54,55,44,45</t>
  </si>
  <si>
    <t>Global Democratic Theory : A Critical Introduction</t>
  </si>
  <si>
    <t>JC423 .B767 2015</t>
  </si>
  <si>
    <t>,1,1,2,3,4</t>
  </si>
  <si>
    <t>The End of Representative Politics</t>
  </si>
  <si>
    <t>JF1051 .T66 2015</t>
  </si>
  <si>
    <t>,1,2,3,4,213,211,215,212,214</t>
  </si>
  <si>
    <t>What is African American History?</t>
  </si>
  <si>
    <t>E184.65 .D35 2015</t>
  </si>
  <si>
    <t>Mobile Selves : Race, Migration, and Belonging in Peru and the U.S.</t>
  </si>
  <si>
    <t>E184.P47 B47 2015</t>
  </si>
  <si>
    <t>,1,1,3,2,4</t>
  </si>
  <si>
    <t>The Securitization of Society : Crime, Risk, and Social Order</t>
  </si>
  <si>
    <t>HV7431</t>
  </si>
  <si>
    <t>,2,3,4</t>
  </si>
  <si>
    <t>Ethnology and Empire : Languages, Literature, and the Making of the North American Borderlands</t>
  </si>
  <si>
    <t>Language/Linguistics; Social Science</t>
  </si>
  <si>
    <t>P35.5.N7 G86 2015</t>
  </si>
  <si>
    <t>306.440972/1</t>
  </si>
  <si>
    <t>,1,1,3,2,4,5</t>
  </si>
  <si>
    <t>,1,3,2,75,74,77,2,76,73,78,79,61,60,63,59,62,64,65,73,78,79,79,390,389,392,388,391,73</t>
  </si>
  <si>
    <t>Empire, Colony, Postcolony</t>
  </si>
  <si>
    <t>JX1907 .Y384 2015</t>
  </si>
  <si>
    <t>Phenomenology : An Introduction</t>
  </si>
  <si>
    <t>BF204.5 .K384 2015</t>
  </si>
  <si>
    <t>Politics of Affect</t>
  </si>
  <si>
    <t>BF531</t>
  </si>
  <si>
    <t>,1,1,2,3,3,1,2,1,4,5</t>
  </si>
  <si>
    <t>Existentialist Moment : The Rise of Sartre as a Public Intellectual</t>
  </si>
  <si>
    <t>B2430.S34 B255 2015</t>
  </si>
  <si>
    <t>mx3oftqAIU3wYzBpebEWdg==</t>
  </si>
  <si>
    <t>Virginia Woolf and the Materiality of Theory : Sex, Animal, Life</t>
  </si>
  <si>
    <t>,1,1,2,3,3,178,181,179,180,182,181,182,180,2,179,183,184,183,184,185,185,186,186,187,187,188,188,189,189,190,190,191,191,192,192,6,6,8,5,8,4,7,182,179,7,178,5,181,180,190,191,189,188,192,193,193,194,194,195,195,196,196,197,197,198,198,199,199,200,200,201,201,196,201,196,201,202,202,203,203,204,204,205,205,206,206,207,207,208,208,1,208,1,208,207,207,206,180,180,181,181,179,179,178,2,2,182,182,183,183,184,184,185,180,187,185,183,187,185,187,182,187,188,189,186,189,186,188,190,190,191,191,186,191,192,192,187,186,188,192,193,192,193,185,190,191,192,196,196,197,199,198,199,198,197,200,200,201,201,196,201,202,202,197,202,203,198,203,197</t>
  </si>
  <si>
    <t>PR6045.O72 -- R93 2013eb</t>
  </si>
  <si>
    <t>,1,2,3,1,2,3,2,2,4,4,91,89,92,93,91,264,93,265,262,265,92,264,266,263,266,263,631,631,633,632,633,629,630,632,630</t>
  </si>
  <si>
    <t>,1,2,3,17,19,18,16,15,17,84,84,17,17</t>
  </si>
  <si>
    <t>BNTHNUuSCfyrLhvSXcXrwA==</t>
  </si>
  <si>
    <t>Trust Matters : Leadership for Successful Schools</t>
  </si>
  <si>
    <t>LB2806.4</t>
  </si>
  <si>
    <t>371.2; 371.2/00973; 371.200973</t>
  </si>
  <si>
    <t>,316,315,318,317,314,319</t>
  </si>
  <si>
    <t>,238</t>
  </si>
  <si>
    <t>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</t>
  </si>
  <si>
    <t>,1,2,3,238,236,237,240,239</t>
  </si>
  <si>
    <t>,1,2,3,88,87,86,90,89,91,92,93</t>
  </si>
  <si>
    <t>,2,3,1,323,321,322,325,324,326,327,413,412,415,414,411,416,475,477,476,473,474,478,479,480</t>
  </si>
  <si>
    <t>,477,475</t>
  </si>
  <si>
    <t>,475,476,477,478,479</t>
  </si>
  <si>
    <t>MomELnNlsVaORY+bI9gFxA==</t>
  </si>
  <si>
    <t>,1,3,2,323,325,321,322,324,318,317,316,328,326,327,328,329,330</t>
  </si>
  <si>
    <t>,1,3,2,604,603,602,606,605,607,608,609,610,611,612,613,615,614,616,617,618,620,619,621,622,623,624,625,626,627,628,475,476,473,477,474,478</t>
  </si>
  <si>
    <t>,626</t>
  </si>
  <si>
    <t>,1,2,3,17,16,18,15,19,20,1,2,3</t>
  </si>
  <si>
    <t>,17,18,19,20,21,22,23,24,25,26,27,28,29,30,31,32,33,34,35,36,37,38,39,40,41,42,43,44,45,46,47,48,49,50,51,52,53,54,55,56,57,58,59,60,61,62,63,64,65,66,67,68,69,70,71,72,73,74,75,76,77,78,17,18,19,20,21,22,23,24,25,26,27,28,29,30,31,32,33,34,35,36,37,38,39,40,41,42,43,44,45,46,47,48,49,50,51,17,18,19,20,21,22,23,24,25,26,27,28,29,30,31,32,33,34,35,36</t>
  </si>
  <si>
    <t>,1,3,2,4,28,31,32,5,10,29,11,6,7,9</t>
  </si>
  <si>
    <t>,1,2,3,10,8,12,9,11,13,14,15,16,17,18,19,20,22,23,24,25,26,27,28,29,30,31,32,6,7,4,5,180,179,178,181,182,183,184,185,186,187,188,189,190</t>
  </si>
  <si>
    <t>,1,285,287,286,283,284,285,2,288,285,287,284,286,283,288</t>
  </si>
  <si>
    <t>CR4ts1G1XfDaJuYbKq8MDg==</t>
  </si>
  <si>
    <t>,661,662,663,664,665,666,667,668,669,670,672,676,678,677,674,675,679,680</t>
  </si>
  <si>
    <t>,285,284,238,288,296,296</t>
  </si>
  <si>
    <t>,1,2,3,5,4,6,8,7,9,10,11,657,656,659,658,655,660</t>
  </si>
  <si>
    <t>,1,2,3,285,283,287,286,323,324,322,321,325,320,319,318,316,317,284,1,284,285,286,283,282,2,287</t>
  </si>
  <si>
    <t>,1,3,2,236,237,234,238,235,239,256,257,353,352,354,351,355,119,121,117,118,120</t>
  </si>
  <si>
    <t>,236,237,238,239,240,241,242,243,244,245,246,247,248,249,250,251,252,253,254,255,256,257,258,259,260,261,262,263,264,265,266,267,268,269,270,271,272,273,274,353,354,355,356,357,358,359,360,361,362,363,364,365,366,367,368,369,370</t>
  </si>
  <si>
    <t>,480,481,482</t>
  </si>
  <si>
    <t>,475</t>
  </si>
  <si>
    <t>,1,2,3,475,477,473,476,474,478,479</t>
  </si>
  <si>
    <t>,1,3,2,52,54,50,53,51,55,56,57,58,59,60,61,62,63,64,65,66,67,68,69,70,71,72,73,74,75,1,75,73,77,74,76,72,2,69,70,71,68,78,21,52,51,54,50,55,53,56,57,60,59,58,61,62,63,64,65,66,67,58,69,61,59,60,63,62,64,65,67,73,70,68,71,79,80,72,79,60,50,44,45,59,16,43,1,41,42,40,58,57,56,55</t>
  </si>
  <si>
    <t>1zdmW/xOdmX1diurKeGbIw==</t>
  </si>
  <si>
    <t>,1,4,6,5,2,3,10,8,12,11,9,13,14</t>
  </si>
  <si>
    <t>TsUuVq6hTNQOLzCSygmc5Q==</t>
  </si>
  <si>
    <t>New York and Amsterdam : Immigration and the New Urban Landscape</t>
  </si>
  <si>
    <t>,1,3,2,32,33,34,35,31,36,37,38,39,40,41</t>
  </si>
  <si>
    <t>JV7048 -- .N49 20014eb</t>
  </si>
  <si>
    <t>,1,3,2,471,473,472,470,469</t>
  </si>
  <si>
    <t>,73,74,75,76,77,78</t>
  </si>
  <si>
    <t>,1,2,10,3,11,9,8,6,5,7,4</t>
  </si>
  <si>
    <t>,1,2,3,53,54,51,52,55,50,56,57,58,59,60,61,62,63,64,65,66,67,68,69,70,71,72</t>
  </si>
  <si>
    <t>,323,322,324,325,321</t>
  </si>
  <si>
    <t>YFWRv6t4/ju1hUUTgl9ccg==</t>
  </si>
  <si>
    <t>,1,3,2,4,5,6,11,13,19,23,26,28,27,25,24</t>
  </si>
  <si>
    <t>,1,2,3,4,1,2,3,323,325,321,324,322,326,327,328,329,330,328,323,321,326</t>
  </si>
  <si>
    <t>,223,224,225,226,227,228,229,230,232,233,249,250,247,248,251,234,235,236,237,238,239,240,241,242,243,244,245,246,211,225,212,220,221,222,223,227</t>
  </si>
  <si>
    <t>,1,2,3,38,124,125,126,122,123,213,212,211,215,214,216,217,231,230,232,229,211,217,218,219,220,221,222</t>
  </si>
  <si>
    <t>,56,57,58,59,60,61,62,63,64,65,66,67,68,69,70,71,72,405,407,409,405,406,1,2,3,408,407,406,410,409,411,412,413,415,414,416,417,419,75,73,76,77,74,78,79,390,392,389,391,388,61,59,62,60,63,64,65,66,67,68,69,70,71,72,80,81,1,81,80,79,2,82,83,83,1,82,81,84,53,54,51,52,55,2,56,57,58,59,60,61,62,63</t>
  </si>
  <si>
    <t>,407</t>
  </si>
  <si>
    <t>,1,2,3,48,49,46,47,50,55,51,52,53,54,75,76,73,74,77,78</t>
  </si>
  <si>
    <t>,1,2,3,15,16,17,18,19,20,22,21,136,137,138,139,135,132,130,133,128,127,134,76,78,77,75,80,79,81,17,18,19,16,15,35,37,34,36,33,49,50,48,79,80,78,75,74,77,76,81</t>
  </si>
  <si>
    <t>,17,18,19,20,21,22,23,24,25,26,27,28,29,30,31,32,33,34,35,36,37,38,39,40,41,42,43,44,45,46,47,48,49,50,51,52,53,54,55,56,57,58,59,60,61,62,63,64,65,66,67,68,69,70,71,72,73,74,75,76,77,78,17,18,19,20,21,22,23,24,25,26,27,28,29,30,31,32,33,34,35,36,37,38,39,40,41,42,43,44,45,46,47,48,49,50,51,52,53,54,55,56,57,58,59,60,61,62,63,64,65,66,67,68,69,70,71,72,73,74,75,76,77,78</t>
  </si>
  <si>
    <t>q9DBfrZ/NaM=</t>
  </si>
  <si>
    <t>,1,2,2,1,3,3,4,4,2,2,5,5</t>
  </si>
  <si>
    <t>Q4NqIPVuH/Gcyh9amcgVfg==</t>
  </si>
  <si>
    <t>,1,3,2,4,107,105,109,106,108</t>
  </si>
  <si>
    <t>,30,31,32</t>
  </si>
  <si>
    <t>,1,2,3,46,47,48,44,45,67,68,69,65,66,70,71,72,73,74,75,76,77,78,79</t>
  </si>
  <si>
    <t>,56,57,58,59,60,61,62,63,64,75,76,77,73,74,78,79</t>
  </si>
  <si>
    <t>,1,2,3,24,25,26,22,23,52,53,54,50,51,2,55</t>
  </si>
  <si>
    <t>The Possibility of Culture : Pleasure and Moral Development in Kant's Aesthetics</t>
  </si>
  <si>
    <t>B2799.A4 M87 2015</t>
  </si>
  <si>
    <t>111/.85092</t>
  </si>
  <si>
    <t>Virtue</t>
  </si>
  <si>
    <t>BJ991 .B384 2015</t>
  </si>
  <si>
    <t>,19,20,21,27,45,38,34,28,24,23,25,57,58,59,95,96,97,93,94,92,90,91</t>
  </si>
  <si>
    <t>,4,17,18</t>
  </si>
  <si>
    <t>,1,2,3,323,324,325,321,322,326,327,328,329</t>
  </si>
  <si>
    <t>jxVJRnsTFb2pC9nnzLPVsA==</t>
  </si>
  <si>
    <t>,1,2,3,6,5,4,7,8,9,10,11</t>
  </si>
  <si>
    <t>Off-Screen Cinema : Isidore Isou and the Lettrist Avant-Garde</t>
  </si>
  <si>
    <t>,1,2,3,148,149,150,146,147,69,70,71,72,68,67</t>
  </si>
  <si>
    <t>PN1995</t>
  </si>
  <si>
    <t>791.43/611</t>
  </si>
  <si>
    <t>,1,2,3,4,5,6,7,8,9,10,11,12,13,14,15,16,17,18,19,35,36,30,26,1,2,3</t>
  </si>
  <si>
    <t>gpizFNvfopg=</t>
  </si>
  <si>
    <t>,1,2,3,349,350,351,347,348,352</t>
  </si>
  <si>
    <t>,1,2,3,349,350,351,347,348,352,345,346,344,343,342,1097,1098,1094,1095</t>
  </si>
  <si>
    <t>M/1TMlUqMVw=</t>
  </si>
  <si>
    <t>,1,3,2,4,5,6,349,350,351,347,348,352,5,6,7,3,4</t>
  </si>
  <si>
    <t>VCznokTo45g=</t>
  </si>
  <si>
    <t>,1,2,3,351,352,353,349,350,347,348,593,594,595,591,592,590</t>
  </si>
  <si>
    <t>,1,2,3,28,29,30,26,27,323,324,325,321,322,322,1,323,324,320,321,325,2,326,319,326,327,328,329,330,324</t>
  </si>
  <si>
    <t>,1,2,3,2,3,1,4,4,2,2,4,5,6,5,6,1,5,6,7,8,8,9,9,7,10,11,10,11,12,12,13,14,13,14,9,8,7,12,13,14,15,11,15,17,17,19,19,20,21,18,21,16,20,18,15,20,21,16,21,22,17,22,22,23,23,24,24,25,25,26,26,27,21,27,22,20,19,18,23,24,19,18,23,25,26,24,27,23,24,22,21,26,27,28,28,29,29,30,30,31,31,26,31,32,32,27,32,33,33,27,28,26,25,30,25,24,29,30,31,32,33,28,33,34,34,29,34,36,36,37,31,35,35,37,30,35,37,36,38,39,38,40,35,39,40,40,41,42,43,42,43,41,38,37,36,34,35,33,38</t>
  </si>
  <si>
    <t>,58,59,60,61,62</t>
  </si>
  <si>
    <t>French Grammar For Dummies</t>
  </si>
  <si>
    <t>,14,42,43,44,45,46,47</t>
  </si>
  <si>
    <t>PC2129.E5 -- M39 2013eb</t>
  </si>
  <si>
    <t>,1,2,3,44,45,46,43,42,50,49,51,48,47,52,53,54,55,56,57</t>
  </si>
  <si>
    <t>d06xdoCZwP5pinzzQy3Abw==</t>
  </si>
  <si>
    <t>Conceptions of Professionalism : Meaningful Standards in Financial Planning</t>
  </si>
  <si>
    <t>,1,18,19,20,16,17,2,21,22,10,9,8,7,3,2,4,5,6</t>
  </si>
  <si>
    <t>HG179.5 -- .B77 2014eb</t>
  </si>
  <si>
    <t>Teaching Children with Autism to Mind-Read : The Workbook</t>
  </si>
  <si>
    <t>LC4717.5</t>
  </si>
  <si>
    <t>,188</t>
  </si>
  <si>
    <t>cgVg6y7icHs=</t>
  </si>
  <si>
    <t>,185,186,187,183,184</t>
  </si>
  <si>
    <t>,210,185</t>
  </si>
  <si>
    <t>,1,2,3,4,5,6,7,8,31,32,33,29,30,34,213,215,212,214,211,216,210,217,208,209</t>
  </si>
  <si>
    <t>+65TB3wZuEOCyrkJId1I2g==</t>
  </si>
  <si>
    <t>,313,311,312</t>
  </si>
  <si>
    <t>6GyDqzV5cx+b3ZlULwxeqg==</t>
  </si>
  <si>
    <t>,1,2,3,306,307,308,304,305,303,323,324,325,321,322,326,327,328,329,330,320,318,319,316,317,314,315</t>
  </si>
  <si>
    <t>Health Care Professionalism at a Glance</t>
  </si>
  <si>
    <t>,1,2,3,11,12,13,10,9,14,15,16,17,18,19</t>
  </si>
  <si>
    <t>RT82</t>
  </si>
  <si>
    <t>610.7306/9</t>
  </si>
  <si>
    <t>Research Process in Nursing</t>
  </si>
  <si>
    <t>,1,3,2,19,20,21,17,18</t>
  </si>
  <si>
    <t>RT81.5 -- .R474 2015eb</t>
  </si>
  <si>
    <t>,1,2,3,6,7,8,4,5,9,10,11,12,13,14,15,16,17,18,19,20,21,22,22,23,24,25,23,24,19,25,26,27,28,29,30,31,31,32,33</t>
  </si>
  <si>
    <t>NUztwfs2VF6uCi7muddkyw==</t>
  </si>
  <si>
    <t>,1,2,3,25,26,27,23,24,28,29,30,35,36,37,33,34,38,39,40,41,42,46,47,48,44,45,49,50,51,52</t>
  </si>
  <si>
    <t>,1,2,3,128,129,126,130,127,125,124,123,1,123,124,125,121,122,126,127,128,2,129,130,131,132,133,134,135,136,137,138,139,140,141,142,143,144,145,146,147,148,149,150,151,152,153,154,146,147,144,145,143,142,141,140,139,138,137</t>
  </si>
  <si>
    <t>702M/24YRQm+iI3fW87aAA==</t>
  </si>
  <si>
    <t>,1,2,3,84,85,86,82,83</t>
  </si>
  <si>
    <t>,1,2,3,123,125,124,121,122,120,126,1,126,127,128,124,125,123,122,2</t>
  </si>
  <si>
    <t>,1,2,3,44,46,45,42,43,47,57,59,58,56,55,60,61,62,63,64,65,66,67,68,69,70,35,36,41,42,39,37,40,38</t>
  </si>
  <si>
    <t>,4,5,6,7,8,9,10,12,13,14,15,11,17,18,19,20,16,18,19,1,2,3</t>
  </si>
  <si>
    <t>,1,2,3,4,5,6,8,10,11,14,16,17,18,19,20,23,25,28,33,36,38,40,44,45,46,47,43</t>
  </si>
  <si>
    <t>,1,2,3,115,116,117,113,114,149,150,151,147,148,112,1,112,113,114,110,111,109,115,116,117,2,118,119,120,121,122,123,124,125</t>
  </si>
  <si>
    <t>,1,2,3,114,115,116,112,113,274,275,276,272,273,285,286,287,283,284,288,289,290,282,281,280,318,319,320,316</t>
  </si>
  <si>
    <t>2h6IfJvg4jhJsNh69CWZyQ==</t>
  </si>
  <si>
    <t>,1,2,3,309,310,311,307,308,315,316,314,312,313,317,318,319,323,324,325,321,322,306,305,304,303,302,301,300,298,299,296,297,294,295,293,291,292,289,290,288,287,285,286,284,283,281,282,280,278,279,277,276,275,273,274,272,271,269,270,268,267,266,265,263,262,260,257,255,256,253,254,258,259,261</t>
  </si>
  <si>
    <t>,30,31,32,33,34,35,36,37,38,24,23,33,34,35,36,37,38,39,40,41,42,43,44,45,46,47,48,49,50,51,52,53,54,55,56,57,58,59,60,61,58</t>
  </si>
  <si>
    <t>,1,2,3,4,5,6,8,7,9,10,11,12,13,14,15,16,17,18,19,20,21,22,23,24,25,26,27,29,28,30,31,32,33</t>
  </si>
  <si>
    <t>N0dPt+ZzHsh7YDRHqP7v3w==</t>
  </si>
  <si>
    <t>,5,6,7,8,9,10,11,12,13,14,15,16,17,18,19,20,21,22,23,24,25,26,27,28,29,30,31,32,33,34</t>
  </si>
  <si>
    <t>w1WZJVvfQ+YZh7IUAzd6nQ==</t>
  </si>
  <si>
    <t>,27,25,25,81,82,83,84</t>
  </si>
  <si>
    <t>,1,2,3,4,52,64,72,5,6,7,8,9,10,11,12,13,14,15,16,17,18,19,20</t>
  </si>
  <si>
    <t>,1,2,3,4,5,6,7,8,9,10,11,12,13,11,17,24</t>
  </si>
  <si>
    <t>,1,2,3,6,7,8,4,5,4,1,2,24,24,26,22,25,23,20,306,307,304,308,305,303</t>
  </si>
  <si>
    <t>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</t>
  </si>
  <si>
    <t>holMNzDWc4rH3Fm5HCW7sw==</t>
  </si>
  <si>
    <t>Dynamics of Law and Morality : A Pluralist Account of Legal Interactionism</t>
  </si>
  <si>
    <t>,1,16,17,18,14,15,2,79,80,81,77,82,78,83,84,85,86</t>
  </si>
  <si>
    <t>K247.6 -- .B874 2014eb</t>
  </si>
  <si>
    <t>340/.112</t>
  </si>
  <si>
    <t>IO1mpJDAQds=</t>
  </si>
  <si>
    <t>Designing Early Literacy Programs, Second Edition : Differentiated Instruction in Preschool and Kindergarten</t>
  </si>
  <si>
    <t>LB1140.5.L3 -- .M36 2014eb</t>
  </si>
  <si>
    <t>,115,116,117,113,118,114,119,120,121,122,123,124,152,153,154,150,151,115,116,116,116,117,118,114,115,113,119,120,121,122,123,1,123,125,121,124,122,2,126,127,128,129,130,131,132,133,134,135,136,137,138,139,140,141,142,143,144,146,145,147,148,149,150,151,152,153,154</t>
  </si>
  <si>
    <t>,1,2,3,53,54,55,51,52,46,47,48,44,45,49,51,53,50,54,56,50,63,64,65,61,62,67,68,69,66,70,29,30,31,27,28,45,46,43,93,94,95,91,92,69,71,67,72,73,74,63,46,49,71,72,29,94,96,93,91</t>
  </si>
  <si>
    <t>cox3G2//qPc=</t>
  </si>
  <si>
    <t>,1,2,3,149,150,151,147,148,159,160,161,157,158,162,163,164,165,166,167,168,169,170,162,171,140,21,23,22,27,71,142,105,59,30,13,1,2,6,42,74,96</t>
  </si>
  <si>
    <t>,1,2,2,3,1,3,238,239,238,239,240,236,240,237,237,2,238,240,244,238,238,238,238,238,239,240,241,240,241,241,242,242,243,244,243,244,245,245,240,239,241,242,241,243,242,239,243,240,240,238,237,236,236,234,235,235,1,235,1,235,234,236,233,237,234,237,236,2,2,235,236,235,236,237,233,234,237,234,238,238,239,239,240,240,241,242,241,242,246,247,246,248,247,249,248,249,245,250,251,250,251,252,252,254,253,254,253,255,255,256,257,256,258,257,259,258,260,259,260,262,263,262,261,263,261,264,264,265,266,265,266,261,266,267,268,267,268,269,269,270,270,271,271,272,272,273,274,273,274,275,275,276,276,277,277,278,278,279,279,280,280,281,281,282,282,283,283,284,284,285,285,286,286,287,287,288,288,290,289,290,291,292,295,289,291,292,295,296,294,297,293,296,297,294,298,298,299,299,301,301,302,303,302,303,304,300,304,305,306,305,306,307,308,307,308,309,309,310,311,310,311,312,312,313,314,313,314,315,316,315,317,316,317,318,318,319,320,319,321,320,321,322,322,323,323,324,324,319,324,325,325,326,326,320,319,318,323,324,325,320</t>
  </si>
  <si>
    <t>,239,240,241,242,243,244,245,246,247,248,249,250,251,252,253,254,255,256,257,258,259,260,261,262,263,264,265,266,267,268,269,270,271,272,273,274,275,276,277,278,279,280,281,282,283,284,285</t>
  </si>
  <si>
    <t>Av1j53ctuww=</t>
  </si>
  <si>
    <t>,1,2,3,55,56,53,54,131,132,133,129,130,134,135,136,137,138,139,140,141,142,143,144,138,137,136,135,144,145,146,147,148,149,150,151,152,153,154,155,156,157,158,159,160,161,162,163,164,159</t>
  </si>
  <si>
    <t>5Y4aBAmK/+8=</t>
  </si>
  <si>
    <t>,1,2,3,4,107,108,109,105,106,110,111,112,113,114,107,105,106,149,150,151,147,148,152,153,154,155,150,149,156,157,158,159,160,161,162,163,158,157,156,155,154,153,152,151,150,159,160,161,162,163,164,165,158,153,152,151,150,157,157,158,159,160,161,162,163,164,156,162,163,164,165,166,167,168,169,170,163,162,161,168,169,170,165,164,1,2,3</t>
  </si>
  <si>
    <t>,1,2,2,3,3,1,2,2,47,48,49,47,45,49,48,46,46,58,59,60,57,56,59,57,58,60,61,61,62,62,74,75,74,75,76,76,72,73,73,132,132,134,130,133,131,135,133,131,135,134,136,136</t>
  </si>
  <si>
    <t>Office for iPad and Mac For Dummies</t>
  </si>
  <si>
    <t>HF5548.4.M525 -- .W484 2015eb</t>
  </si>
  <si>
    <t>,1,2,3,75,76,77,78,74,79,80,79,80</t>
  </si>
  <si>
    <t>,1,2,3,4,5,36,37,38,34,35,39,40,41,42,43,44,45,46,47,48,49,50,51,52,53,54,55,56,57,58,59,60,61,62,63,64,65,88,89,90,86,87,74,75,76,72,73,66,67,68,69,70,71,72,73,74,55,56,57,58,59,60,61,62,63,64,65,66,67,68,69,70,71,71,1,72,73,69,70,74,75,2,76,77,78</t>
  </si>
  <si>
    <t>,118,119,120,121,122,123,124,125,126,127,128,129,130</t>
  </si>
  <si>
    <t>,1,19,20,21,17,18,22,23,24,25,2,26,27,28,29,36,37,38,34,35,39,40,41,43,42,36,35,34,33,32,37,35,36,37,38,39,40,41,42,43,44,45,46,47,48,49</t>
  </si>
  <si>
    <t>,1,2,3,113,114,115,111,112,110,116,117,118</t>
  </si>
  <si>
    <t>,1,2,3,115,116,117,113,114</t>
  </si>
  <si>
    <t>,94,94,95,96,92,96,93,95,93,97,97,98,99,100,98,99,100,101,101,102,102,103,103,104,104,105,105,106,106,107,107,108,108,109,109,110,110,111,111,112,114,112,114,113,113,115,115,116,116,117,118,117,119,119,118,120,120,121,121,123,122,123,122,124,124,125,125,126,127,126,127,128,128,129,129,130,125,124,123,122,121,120,119,118,117,116,115,130,114,113,112,111,110,109,108</t>
  </si>
  <si>
    <t>,1,2,3,33,34,35,31,32,36,37,38,39,40,41,42,35,34,33,32,31,30,29,27,26,25,23,24,22,3,1,4,5,6,7,8,9,10,11,12,13,14,15,16,17,18,19</t>
  </si>
  <si>
    <t>,5,5,6,4,7,8,6,4,11,10,12,13,9,12,7,13,8,10,11,14,14,15,15,16,16,17,18,17,19,19,20,18,21,20,22,21,23,22,23,24,24,25,25,26,26,28,27,27,31,30,32,30,28,31,34,34,32,35,36,35,36,33,33,38,29,39,37,39,29,38,37</t>
  </si>
  <si>
    <t>,1,2,3,2,3,1,1,2,1,2,3,3,192,193,192,193,190,194,191,194,191,94,95,96,94,95,92,96,93,93,2,97,97,92,97,98,98,93,98,99,99</t>
  </si>
  <si>
    <t>RiK2q32yTakof4Vne/MkHg==</t>
  </si>
  <si>
    <t>,129,130,131,127,128,132,124,125,126,123,121</t>
  </si>
  <si>
    <t>,1,1,2,3,3,2,399,399,401,401,397,398,398,402,2,402,397,402,403,404,404,405,405,406,406,406</t>
  </si>
  <si>
    <t>xeUdd8DZ5xjzSCCRyPWorQ==</t>
  </si>
  <si>
    <t>Mental Illness in the Workplace : Psychological Disability Management</t>
  </si>
  <si>
    <t>,1,3,2,2,3,1,4,4,5,5,6,6,7,7,8,8,2</t>
  </si>
  <si>
    <t>RC967.5 -- .H37 2014eb</t>
  </si>
  <si>
    <t>616.89/165</t>
  </si>
  <si>
    <t>Fkw9xkSXwLs=</t>
  </si>
  <si>
    <t>,285,286,287,288,289,290,291,292,293,294,295,296,297,298,299,300,301,302,303,304,305,306,307,308,309,310,311,312,313,314,315,316,317,318,319,320,321,322,323,324</t>
  </si>
  <si>
    <t>,238,239,240,241,242,243,244,245,246,247,248,249,250,251,252,253,254,255,256,257,258,259,260,261,262,263,264,265,266,267,268,269,270,271,272,273,274,275,276,277,278,279,280,281,282,283,284</t>
  </si>
  <si>
    <t>,1,2,3,94,95,96,92,93,2,97,98,99,100,101,102</t>
  </si>
  <si>
    <t>UCv2e1ilRAcYbILdK9eP4g==</t>
  </si>
  <si>
    <t>,1,2,3,129,130,131,127,132,133,134,135,136,137,138,2,139,140,141,142,143,144,145,146,147,146,129,130,131,127,128,132,94,95,125,126</t>
  </si>
  <si>
    <t>,113,113,114,114,115,115,116,116,117,117,118,118,119,119,120,120,121,121,122,122,123,123,124,124,125,125,126,126,127,127,128,128,129,129,130,130,131,131,132,132,133,133,134,134,135,135,136,136,137,137,138,138,139,139,140,140,141,141,142,142,149,149,150,151,150,151,148,147,148,152,152,153,153,154,154,155,155,156,156,157,157,158,158,159,160,159,160,161,161,162,162,163,163,164,164,165,165,166,166,167,167,168,168,169,169,165</t>
  </si>
  <si>
    <t>Cancer Nutrition and Recipes For Dummies</t>
  </si>
  <si>
    <t>,1,3,2,15,11,75,76,73,139,140,141,137,138,203,204,200,201,199,205,205,1,206,207,203,204,208,2,202,201,200</t>
  </si>
  <si>
    <t>RC268.45 -- .M37 2013eb</t>
  </si>
  <si>
    <t>,1,2,2,3,3,1,2,2,108,108,110,109,110,106,109,107,107,111,111,112,112,107,106,111,112</t>
  </si>
  <si>
    <t>,1,2,3,129,130,131,127,128,132,133,134,135,136,146,145,142,139,140,141,138,143,144</t>
  </si>
  <si>
    <t>,1,2,3,94,95,96,92,93,2,97,98,99,100,101,102,103,104,105,106,107,108,109,110,111,112,113,114,115,116,117,118,119,120,121,122,123,124,129,130,131,127,128,132,133</t>
  </si>
  <si>
    <t>WnbZUDUfvEY=</t>
  </si>
  <si>
    <t>,211,212,224,225,226,222,223,227,228,229,230,231,232</t>
  </si>
  <si>
    <t>,1,2,3,108,109,110,106,107,111,112,113,114,115,116,117,118,119,120,121,122,123,124,125,126,127,128,129,130,122,123,121,120,118,119,117,116,115,114,113,112,118,119,121,122,123,124,125,126,127,128,129,130,123,122,121,119,120,118,117,116,115,114,113,121,122,123,124,125,126,127,128,129,130,122,127,121,120,125,126,127,127,128,129,130,131,132,133,134,135,136,137,138,139,140,141,142,143,144,145,146,147,148,149,150,151,145,144,150,151,1,2,3</t>
  </si>
  <si>
    <t>,94,95,96,97,98,99,100,101,102,103,104,105,106,107,108,109,110,111,112,113,114,115,116,117,118,119,120,121,122,123,124,125,126,127,128</t>
  </si>
  <si>
    <t>,1,2,3,54,55,56,52,53,94,95,96,92,93</t>
  </si>
  <si>
    <t>,1,2,3,129,130,131,127,128,132,133,134,135,136,137,138,139,140,141,142,139,140,141,142,141,142,143,144,145,146,146</t>
  </si>
  <si>
    <t>,2,1,3,187,188,189,185,186,190,191,206,207,208,204,205,209,210</t>
  </si>
  <si>
    <t>p9AzsHnUcb0=</t>
  </si>
  <si>
    <t>,128,129,130,131,132,133,134,135,136,137,138,139,140,141,142,143,144,145,146,147,148,149,150,151,152,153,154,155,156,157,158,159,160,161,162,163,164,165,166,167,168,169,170</t>
  </si>
  <si>
    <t>,1,2,3,118,119,120,116,117,121,122,123,124,125,126,127</t>
  </si>
  <si>
    <t>,148,149,150,146,147,151,152,153,154,155,156</t>
  </si>
  <si>
    <t>,1,2,3,9,10,11,7,8,12,147,148,149,145,146,150,151,152,147,146,23,24,25,21,22,20,19,26,27,21,20,19</t>
  </si>
  <si>
    <t>Aztecs</t>
  </si>
  <si>
    <t>F1219.73</t>
  </si>
  <si>
    <t>,1,2,3,4,5,6,221,222,223,219,178,179,180,176,177,15,16,17,13,14,38,39,40,36,37,175,176,177,173,174,178,115,116,117,113,114</t>
  </si>
  <si>
    <t>The Battle of Bretton Woods : John Maynard Keynes, Harry Dexter White, and the Making of a New World Order</t>
  </si>
  <si>
    <t>HG255 -- .S837 2013eb</t>
  </si>
  <si>
    <t>339.5/3</t>
  </si>
  <si>
    <t>7A+/yxODEKs=</t>
  </si>
  <si>
    <t>,1,2,3,97,98,99,95,96,105,110,116,121,127,132,138,143,149,154,155,156,152,195,226,224,225,223,222,227,220,221,219,218,217,216,215,213,214,211,212,210,209,207,208,197,196,194,193,191,192,189,190,187,188,186</t>
  </si>
  <si>
    <t>,1,2,3,128,129,130,126,127,131,132,133,134,135,136,137,138,139,140,141</t>
  </si>
  <si>
    <t>EpknV6ZUwBQDb7B8BYOk3Q==</t>
  </si>
  <si>
    <t>,10,11,12,8,9</t>
  </si>
  <si>
    <t>Interanimations : Receiving Modern German Philosophy</t>
  </si>
  <si>
    <t>,202,203,207,276,277,278,274,275,279,280,124,125,126,122,123,98,99,100,97,96,101,102,103,104,105,106,107,108,109,110,111,112,113,114,115,116,117,118,119,120,121,122,226,227,228,224,225,229,230,231,232,186,187,188,184,185,189,190</t>
  </si>
  <si>
    <t>B2741</t>
  </si>
  <si>
    <t>,1,2,3,94,95,96,92,93,97,98,99,102,104,105,106,107,2,108,109,110,111,112,113,114,115,116,117,118,119,120,121,122,123,124,125,126,127,128,129,130,98,93,92,94,95,96,97,91,92,89,90,88,94,95,96,97,98,99,100,101,102,103,104,105,106,107,108,109,110,111,112,113,114,115,116,117,118,119,121,124,128,129,131,130,127,132,133,134,135,139,149,159,157,156,153,152,148,146,144,143,145,141,142,126,125</t>
  </si>
  <si>
    <t>,1,2,3,166,167,168,164,165,169,170,276,277,278,274,275,279,280,186,187,188,184,185,146,147,148,144,145,143,142,141,226,227,228,224,225,204,205,206</t>
  </si>
  <si>
    <t>,1,2,3,10,11,12,8,9,18,19,20,16,17</t>
  </si>
  <si>
    <t>,1,2,3,323,324,325,321,322,326,327,328,329,330,319,320,318</t>
  </si>
  <si>
    <t>,1,2,3,106,107,108,105,104,109,110,111,112,113</t>
  </si>
  <si>
    <t>,1,2,3,25,26,27,23,36,35,28,29,30</t>
  </si>
  <si>
    <t>,14,15,16,17,19,18,20,20,20,21,22</t>
  </si>
  <si>
    <t>,1,2,3,4,5,6,7,8,9,2,11,10,12,13,14</t>
  </si>
  <si>
    <t>,1,2,3,18,19,20,16,17,21,22,23,23,24,25,26,27,28,29</t>
  </si>
  <si>
    <t>Fuckology : Critical Essays on John Money's Diagnostic Concepts</t>
  </si>
  <si>
    <t>,25,26,27</t>
  </si>
  <si>
    <t>HQ60</t>
  </si>
  <si>
    <t>,170,171,195,196,197,193,194,191,192,190,189,187,188,186</t>
  </si>
  <si>
    <t>,1,2,3,145,146,147,143,144,129,130,131,127,128</t>
  </si>
  <si>
    <t>t4K71MyN1iHG2FN0jYWtvg==</t>
  </si>
  <si>
    <t>,17,18,19,15,20,21,22,23,24,42,105,192,230,231,197,116,110,90,79,67,68,69,70,71,72,73,75,74,76,77,78,80,81,82,83</t>
  </si>
  <si>
    <t>,60,61,62,63,64,65,66,67,68,69,70,71,72,73,74,75,76,77,94,95,96,92,93,97,98,99,100,101,102,103,104,105,106,107,108,109,110,111,112,113,114,115,116,117,118,119,120,121,122,123,124,125,126,127,128,129,130,131</t>
  </si>
  <si>
    <t>,1,3,2,94,96,95,92,93</t>
  </si>
  <si>
    <t>,1,2,3,94,95,96,92,93,91,97,98,99,1,99,100,101,98,97,2,102,103,104,105,106,107,108,109,110,111,112,113,114,115,116,117,118,119,120,121,122,123,124,125,126,127,128,129,130,131,132</t>
  </si>
  <si>
    <t>,1,3,2,54,55,56,52,53,58,57,59,76,77,78,74,75</t>
  </si>
  <si>
    <t>,1,2,3,4,5,7,6,8,9,10,11,12,14,13,15,16,17,18,19,20,21</t>
  </si>
  <si>
    <t>Fy0nWeWSMlKktm8slyOD4g==</t>
  </si>
  <si>
    <t>,1,2,3,7,9,6,5,8,10,11,12,14,13,15,16</t>
  </si>
  <si>
    <t>aEDbK7NcohQKueE5ME0/pQ==</t>
  </si>
  <si>
    <t>Popular Music Matters : Essays in Honour of Simon Frith</t>
  </si>
  <si>
    <t>,1,2,3,182,183,184,180,212,214,210,211</t>
  </si>
  <si>
    <t>ML3470 -- .P6824 2014eb</t>
  </si>
  <si>
    <t>,1,2,3,471,472,469,473,470,471,472,473,474,475,476,477</t>
  </si>
  <si>
    <t>,1,2,3,1,53,53,54,55,56,57,58,59,60,61,62,63,64</t>
  </si>
  <si>
    <t>,1,2,3,1,52,53</t>
  </si>
  <si>
    <t>dZDNrGnBcRpXHGH/5Ac9pQ==</t>
  </si>
  <si>
    <t>,1,2,3,4,5,7,6</t>
  </si>
  <si>
    <t>,278,1,324,323,322,318,85,86,89</t>
  </si>
  <si>
    <t>,1,3,2,44,46,42,44,43,45,278</t>
  </si>
  <si>
    <t>,97,98,99,100,101,102,103,104,105,106,107,108,109,110,111,113,114,115,116,117,118,119,120,121,120,121,122,119,118,123,122,124,125,123,124,125,126,127,128,129,130,131,132,133,134,135,136,137,138,139,140,141,142,143,144</t>
  </si>
  <si>
    <t>,1,3,2,4,5,6,7,8,9,10,11,12,13,14,15,16,17,18,19,20</t>
  </si>
  <si>
    <t>,1,2,3,306,307,308,305,304,313,315,314,312,311,310,309</t>
  </si>
  <si>
    <t>,306,306</t>
  </si>
  <si>
    <t>,168</t>
  </si>
  <si>
    <t>,1,168,169,170,166,167,2</t>
  </si>
  <si>
    <t>,1,3,2,94,95,92,96,93,94,95,96</t>
  </si>
  <si>
    <t>,1,3,2,306,307,308,304,305,323,324,325,322,321,320,313,314,315,312,311,306,307,308,304,305,309</t>
  </si>
  <si>
    <t>,39,40,37,41,38,42,43</t>
  </si>
  <si>
    <t>,1,2,3,175,176,177,173,174,178,172,170,171,175</t>
  </si>
  <si>
    <t>NowiWhe6/+ch73K2jZq8UA==</t>
  </si>
  <si>
    <t>,1,2,3,4,31,32,33,30,29,34,35,36,37,38,39,40,41,42,43,37,44,45,46,47,48,49,50,51,52,53,54,55,56,57,58,59,60,61,62,63,64,65,66,67,68,69,70,71,72,73,74,76,75,77,78,79,80,81</t>
  </si>
  <si>
    <t>,1,2,3,94,95,92,96,94,93,94,94,94,95,96,97,98,98,99,97,100,101,102,103,104,105,106,107,108,109,110,111,112,113,114,115,116,117,118,119,120,121,122,123,124,125,126,127,128,129,130,131,132,133,134,135,136,137,138,139,140,141,142,143,144,145,146</t>
  </si>
  <si>
    <t>,238,240,244,238,239,240,274,239</t>
  </si>
  <si>
    <t>,111</t>
  </si>
  <si>
    <t>,20,21,22,23,25,26,27,28,29,30,31,32,33</t>
  </si>
  <si>
    <t>,1,3,2,102,107,108,109,105,106,110</t>
  </si>
  <si>
    <t>,1,2,3,4,5,6,7,8,9,10,11,12,13,14,15,20,26,24,25,22,23,21,19,17,18,16</t>
  </si>
  <si>
    <t>,1,2,2,1,3,3,4,5,4,5,2,2,5,5,6,6</t>
  </si>
  <si>
    <t>,1,2,3,139,140,138,137,136,135,141,134,132,133,131,142,143,144,145,128,130,129,126,127,131,132,146,147,148,149,150,151,152,153,154</t>
  </si>
  <si>
    <t>,1,2,3,94,95,96,93,92,98</t>
  </si>
  <si>
    <t>,417,462,463,464,461,459,460,465,466,469,467,470,471,468,475,474,476,477,473,478,479,1,2,3</t>
  </si>
  <si>
    <t>,1,2,3,4,5,6,7,8,9,10,14,15,17,18,19,16,20,22,21,23,92,93,81,79,77,80,78,82,86,87,84,85,83,80,81,42,43,44,41,40,46,49,55,59,66,67,68,65,64,63,79,77,78,51,53,58,47,39,37,168,169,113,114,115,112,111,116,117,118,114,113,198,199,252,255,257,256,253,260,261,258,522,523,524,520,521,16,17,18,43,44,40,41,57,172,173,174,170,171,293,299,288,289,290,287,286,401,393,394,389,391,390,387,388,392</t>
  </si>
  <si>
    <t>,24,25,26,27,28,29,30,31,32,33,34,35,36,37,38,39,40,41,42</t>
  </si>
  <si>
    <t>,133,133,134,135,136,134,135,136,137,137,138,138,139,139,140,140,141,141,142,142,143,143,144,144,145,145,146,147,146,142,147,141</t>
  </si>
  <si>
    <t>Pevsner : The Complete Broadcast Talks:Architecture and Art on Radio and Television, 1945-1977</t>
  </si>
  <si>
    <t>,1,2,3,574,575,572,576,573,103,104,105,101,102,106,495,496,493,497,494,292,294,291,290,293,577,586,581,589,590,591,587,588</t>
  </si>
  <si>
    <t>N6754 -- .P487 2014eb</t>
  </si>
  <si>
    <t>,1,3,2,4,17,19,18,15,16,20,15,21,22,23</t>
  </si>
  <si>
    <t>,1,2,3,2,3,1,129,129,130,131,127,131,2,128,130,128,132,132</t>
  </si>
  <si>
    <t>tqPfmRrFFcmnke4XRyDosg==</t>
  </si>
  <si>
    <t>,1,2,3,94,95,96,92,93,2,94,95,97</t>
  </si>
  <si>
    <t>dpwJQVzed3UMDRrsBIghTQ==</t>
  </si>
  <si>
    <t>,1,2,3,6,5,4,8,7</t>
  </si>
  <si>
    <t>jbf6E+L24So=</t>
  </si>
  <si>
    <t>,1,3,2,4,5,6,7,8,9,10,11,12,13,14,15,16,2,17,18,19,20,21,22,23,24,25,26,27,25,26,27,23,24</t>
  </si>
  <si>
    <t>,1,1,2,3,3,1,2,23,24,23,25,24,21,25,22,22,2,26,26,27,27,28,28,30,30,25,30,26,27,151,151,155,155,153,158,158,316,316,313,314,314,318,318</t>
  </si>
  <si>
    <t>,1,2,2,3,3,1,4,4,22,22,23,23,24,24,20,21,21,2,25,25</t>
  </si>
  <si>
    <t>,1,2,3,116,117,118,114,115,119,123,124,125,122,121,120,126,127,1,127,128,129,125,126,2</t>
  </si>
  <si>
    <t>,1,2,3,128,129,130,126,127,131,132,133</t>
  </si>
  <si>
    <t>,1,2,3,115,116,117,113,114,118,119</t>
  </si>
  <si>
    <t>a+bB/EMxICQY1fD8rBXLSQ==</t>
  </si>
  <si>
    <t>Making Waves: The Story of Variationist Sociolinguistics</t>
  </si>
  <si>
    <t>P53.475</t>
  </si>
  <si>
    <t>418.0071/1</t>
  </si>
  <si>
    <t>,7,9,8,10,11,12,13,14,15,16,17,18,19,20,21,22</t>
  </si>
  <si>
    <t>,1,2,3,94,95,96,92,93,99,105,104,106,107,108,109,110,111,112,113,114,115,116,117,118,119,120,121,122,123,124,125,126,127,128,129,130</t>
  </si>
  <si>
    <t>,1,2,3,94,95,96,93,92,104,105,106,102,103,107,108,109,110,111,112,113,114,115,116,117</t>
  </si>
  <si>
    <t>,1,2,3,4,94,96,95,92,93,97,98,99,100,101,102,103,104,105,106</t>
  </si>
  <si>
    <t>,1,2,3,5,4,7,6,94,96,95,92,93,97,98,99,100</t>
  </si>
  <si>
    <t>,1,2,3,94,95,96,92,93,91,93,1,2,3,1,2,3,94,95,96,93,92</t>
  </si>
  <si>
    <t>Level Up! The Guide to Great Video Game Design</t>
  </si>
  <si>
    <t>QA76.76.C672 -- .R644 2014eb</t>
  </si>
  <si>
    <t>,574,576,575,572,573</t>
  </si>
  <si>
    <t>,1,2,3,103,104,105,101,102,292,293,294,290,291,176,177,178,293,177,175,174,179</t>
  </si>
  <si>
    <t>,46,33,33,33,34,35,36,37,38,39,40,40,41,208</t>
  </si>
  <si>
    <t>,1,2,3,6,5,7,4,8,9,10,11,12,13,14,15,16,17,18,16,25,26,27</t>
  </si>
  <si>
    <t>,1,2,3,52,53,54,50,51,75,76,77,73,74,78,72,71,70,69,68,67,65,66,64,63,62,61,60,58,59,57,56,55,1,55,56,53,57,54,58,59,2,60,61,52,62,63,64,65,66,67,68,69</t>
  </si>
  <si>
    <t>,1,2,3,71,72,73,69,70,74,75</t>
  </si>
  <si>
    <t>,125,126,127,128,129,130,131</t>
  </si>
  <si>
    <t>,1,2,3,116,117,118,114,115,119,120,121,122,123,124</t>
  </si>
  <si>
    <t>,198,198,199,200,196,201,197,202,203,204,205,206</t>
  </si>
  <si>
    <t>,293,294,295,296,297,298,299,300,301,302,303,304,305,306,307,308,309,310,311</t>
  </si>
  <si>
    <t>,1,2,3,293,294,295,291,292,293</t>
  </si>
  <si>
    <t>,1,2,3,21,22,23,19,20,115,116,113,117,114,118</t>
  </si>
  <si>
    <t>,1,2,3,390,391,392,388,389,393</t>
  </si>
  <si>
    <t>,1,2,2,3,3,1,2,2,1,2,3,2,4,3,1,4,2,390,390,391,391,392,392,388,389,389,393,393</t>
  </si>
  <si>
    <t>,1,2,3,4,5,6,17,18,15,19,20,16,21,22,23</t>
  </si>
  <si>
    <t>,1,2,3,4,5,6,7,8,9,10,11,12,13,14,15,16,107,108,109,105,106,110,111,112,113,114,115,116,117,118,119,120,121,122,123,124</t>
  </si>
  <si>
    <t>s7TJC0ovC4rDY3YUto3ZHQ==</t>
  </si>
  <si>
    <t>Neo-Hegelian Theology : The God of Greatest Hospitality</t>
  </si>
  <si>
    <t>,1,2,3,4,5,6,7,8,9,10,11,12,14,13</t>
  </si>
  <si>
    <t>BR100 -- .S39 2014eb</t>
  </si>
  <si>
    <t>q8GkroYj065zSqgoLcLB1w==</t>
  </si>
  <si>
    <t>,1,2,3,4,91,92,93,89,90,94,95,96,97,98,92,91,90,89,97,98,99,100,101,102,103,104</t>
  </si>
  <si>
    <t>,52,53,54,53,54,55,56,57,58,59,60,61,62,63,64,65,66,67,68,69,70,71,72,73,74,75,76,77,78</t>
  </si>
  <si>
    <t>,1,2,3,52,53,54,51,50</t>
  </si>
  <si>
    <t>,14,22,23,24,25,26,27,28,29,30</t>
  </si>
  <si>
    <t>,1,2,3,75,76,77,78,74,79,80,81,73,72,71,69,70</t>
  </si>
  <si>
    <t>,1,2,3,15,16,17,13,14,18,19,20,15,14,21,22,23</t>
  </si>
  <si>
    <t>,114,115,116,117,118,119,120,121,122,123,124,125,126,127,128,129,130,163,165,164,162,161,166,167,168,169,170,113,114,115,111,112,116,117,118,119,120,121,122,124,125,123,130,131,132,133,134,146,147,148,144,149,145,148,143,142,149,150,151,159,160,161,157,158,162,163,164,152,153,154,155,156,157,163,164,158,169,170</t>
  </si>
  <si>
    <t>,1,2,3,108,109,110,106,107,111,112,113</t>
  </si>
  <si>
    <t>wXvB8lmFBmOud1e3tq9elA==</t>
  </si>
  <si>
    <t>Critical Geographies of Cycling : History, Political Economy and Culture</t>
  </si>
  <si>
    <t>,16,17,18,19,20,21,25,26,27,28,29,30,31,32,33,34,35,36,37,38,39,40,41,42,43,160,161,162,163,164,170,171,172,173,198,199,240,241,253,254,255</t>
  </si>
  <si>
    <t>HE5736 .N67 2015</t>
  </si>
  <si>
    <t>338.4/7629227209; 338.47629227209; 338.4''7629227209</t>
  </si>
  <si>
    <t>,1,2,2,3,3,1,4,4,17,18,18,15,19,17,16,19,2,16,14,16</t>
  </si>
  <si>
    <t>Field Guide to Grasses of California</t>
  </si>
  <si>
    <t>,7,8,10,14,15,16,18,17,19,20,22,21,24,23,91,87,84,83,80,26,28,25,27,29,30,31,32,33,34,35,36,37,39,38,40,41,42,43,44,45,46,47,48,49,50,51,54,55,112,113,114,110,111,109,108,107,106,105,103,104,102,115,116,117,130,131,129,132,133,134,135,136,137,139,138,140,141,142,143,144,145,146,356,357,358,359,355</t>
  </si>
  <si>
    <t>QK495.G74 -- .S623 2014eb</t>
  </si>
  <si>
    <t>,1,3,2,4,5,6</t>
  </si>
  <si>
    <t>Seeds : The Ecology of Regeneration in Plant Communities</t>
  </si>
  <si>
    <t>QK661 -- .S428 2014eb</t>
  </si>
  <si>
    <t>581.4/67</t>
  </si>
  <si>
    <t>Soil Chemistry</t>
  </si>
  <si>
    <t>,1,2,3,4,8,9,7,10,11,12,13,14,15,16,5</t>
  </si>
  <si>
    <t>S592.5 -- .B63 2015eb</t>
  </si>
  <si>
    <t>631.4/1</t>
  </si>
  <si>
    <t>,1,15,16,17,13,14,2,18</t>
  </si>
  <si>
    <t>,1,2,3,65,66,67,63,64,134,136,135,132,133,227,228,229,225,226,244,245,246,242,243,241,240,239,238,237,373,372,374,370,371,375,376,377,378,379,380,381,308,309,306,310,307,305,304,303,302,301</t>
  </si>
  <si>
    <t>,1,2,3,23,26,27,28,29,25,354,355,356,352,353,351,350,349,348,68,10,13,11,12,9,8,7,6,5,14,15,16,17,18,19,20,22,21,218,239,240,241,238,237,242,243,244,245,246,247,248,259,260,261,257,258,262,291,292,293,290,294,329,330,331,332,328,327,326,325,324,323,322,321</t>
  </si>
  <si>
    <t>,1,2,3,4,5,25,26,27,31,32,29,33,30,28,34,35</t>
  </si>
  <si>
    <t>ZCMKiqj3NTOZ6WRduvZLtw==</t>
  </si>
  <si>
    <t>,1,2,3,1,4,1,5,6,7,8,9,10,11,12,17,18,19,15,16,20,21,22,23,24,25,26,27,28,29,30,31,32,27,26,24,25,388,555,845,839,840,841,837,793,794,791,789,790,727,728,725,726,705,687,681,682,683,679,680,632,616,617,614,618,615,620,628,630,631,629,627,633,634,635,636,637,652,653,654,655,651,656,657,658,659,660,661,662,663,664,650,653</t>
  </si>
  <si>
    <t>,653</t>
  </si>
  <si>
    <t>,11,10,5,5</t>
  </si>
  <si>
    <t>,1,2,3,45,40,12,10,11,4,5,6,7,8,9,12,13</t>
  </si>
  <si>
    <t>,1,2,3,4,6,5,8,7,9,10,11,12,13,14,15,16,17,18,19,20,21,22,23,24,25,26,27,28,29,30,31,32</t>
  </si>
  <si>
    <t>,21,21,22,22,16,21,22,23</t>
  </si>
  <si>
    <t>Greek Polis and the Invention of Democracy : A Politico-cultural Transformation and Its Interpretations</t>
  </si>
  <si>
    <t>JC75.D36 -- G73 2013eb</t>
  </si>
  <si>
    <t>320.938/5</t>
  </si>
  <si>
    <t>Guide to the English School in International Studies</t>
  </si>
  <si>
    <t>JZ1242 -- .G853 2014eb</t>
  </si>
  <si>
    <t>Freedom's Right : The Social Foundations of Democratic Life</t>
  </si>
  <si>
    <t>HM671 -- .H666 2014eb</t>
  </si>
  <si>
    <t>G+ftVg4DIMl3+B3Al75aQw==</t>
  </si>
  <si>
    <t>Short History of Migration</t>
  </si>
  <si>
    <t>JV6021 .S813 2014</t>
  </si>
  <si>
    <t>Introduction to the English School of International Relations : The Societal Approach</t>
  </si>
  <si>
    <t>JX1291 -- .B893 2014eb</t>
  </si>
  <si>
    <t>Dismantling Diasporas : Rethinking the Geographies of Diasporic Identity, Connection and Development</t>
  </si>
  <si>
    <t>JV6342 -- .D576 2015eb</t>
  </si>
  <si>
    <t>305.9/06912</t>
  </si>
  <si>
    <t>Mapping the Renaissance World : The Geographical Imagination in the Age of Discovery</t>
  </si>
  <si>
    <t>GA13 .L471 2014</t>
  </si>
  <si>
    <t>Point Is To Change It : Geographies of Hope and Survival in an Age of Crisis</t>
  </si>
  <si>
    <t>Geography/Travel; Political Science</t>
  </si>
  <si>
    <t>G62 -- .P65 2010eb</t>
  </si>
  <si>
    <t>nB16C5pzZDTe9I80SJJwOg==</t>
  </si>
  <si>
    <t>,60,61,62,63</t>
  </si>
  <si>
    <t>MB2imN0fL/jJgTiYpOArUw==</t>
  </si>
  <si>
    <t>,1,59,60,61,57,58,55,56,2,2,1,3,4,6,7,8,9,5,37,38,39,35,36,40,41,42,43,44,45,2,46,47,54,55,56,52,53,57,58,59,60,61,62,63,64,65,66,67,68,69,70,71,72,73,1,73,75,74,71,72,2,70,69,68,67,66,65,64,62,63,61,60,58,59,56,57</t>
  </si>
  <si>
    <t>gN0ODeywtnC8941bgoIO1g==</t>
  </si>
  <si>
    <t>,60,60,61,61,62,62,57,56,55,60,61,62,63,63,64,64,65,66,66,67,65,67,61,59,58,57,55,56,60,61,62,63,64,59,58,57,56,58,59,60,56,57,55,60,61</t>
  </si>
  <si>
    <t>,1,2,3,54,55,56,52,57,58,59</t>
  </si>
  <si>
    <t>Longevity Seekers : Science, Business, and the Fountain of Youth</t>
  </si>
  <si>
    <t>Science: Anatomy/Physiology; Business/Management; Science</t>
  </si>
  <si>
    <t>HB1322.3 -- .A58 2013eb</t>
  </si>
  <si>
    <t>612.6/8</t>
  </si>
  <si>
    <t>,1,2,3,54,55,56,52,53,57,1,57,58,59,55,56,2,53,54,52,1,52,53,54,50,51,55,56,57,58,2,59</t>
  </si>
  <si>
    <t>,1,2,3,98,241,242,239,17,18,19,15,16,17</t>
  </si>
  <si>
    <t>,1,1,2,2,3,3,54,54,55,55,56,56,57,57,53,52,2,57,58,58,56,56,56,57,58,57,58,57,58,59,60,61,62,63,64,59,58,59,60,61</t>
  </si>
  <si>
    <t>,1,1,2,3,2,3,4,4,5,5,6,6,8,8,14,14,15,15,12,54,54,55,55,56,52,56,53,53,2,57,57,58,58,59,59</t>
  </si>
  <si>
    <t>,1,1,2,2,3,3,54,54,55,56,55,52,56,53,53,57,57,58,59,59,60,58,60,61,61,62,62,63,2,63,64,64,65,66,61,66,60,65,59,58,57,56,55,54,52,53,57,58,59,60,61,56,55,60,55,60,55,60,61</t>
  </si>
  <si>
    <t>,1,2,1,2,3,1,3,2,2,54,54,55,56,55,56,52,53,53,57,57,58,58,59,59,54,59,60,60,61,61,56,55,54,59,60,61,62,62,63,63,64,64,59,58,57,62,63,64,65,65,66,66,67,68,69,67,70,68,69,70,65,70,65,64,62,61,63,59,60,58,57,56,55,54,59,55,60,61,56,61,55,60,55,60,58,59,60,56,57,61,62,63,64,65</t>
  </si>
  <si>
    <t>,1,2,3,54,55,56,52,53,57,58,59,60,61,62,63,64,65,66,67,68,69,70,71,72</t>
  </si>
  <si>
    <t>,1,2,3,54,55,56,52,53,57,58,59,60,55,60,61,56,55</t>
  </si>
  <si>
    <t>GZsWzT1N6buta6lx5L2qNA==</t>
  </si>
  <si>
    <t>,81,82,83,84,85,86,87,88,89,90,91,92,93,94,95,96,97,98,99,100,101,102,103,104,105,106,107,108,109,110,111,112,113</t>
  </si>
  <si>
    <t>,1,2,3,132,133,134,114,115,116,81,82,83,84,85,86,87,88,89,90,91,92,84,82,83,80,81,79,83,79,80,84,85,87,88,90,91,92,93,94,95,96,97,98,99,100,101,102,103,104,105,106,107,108,109,110,111,112,113,107,114,115,116</t>
  </si>
  <si>
    <t>,1,2,3,23,24,25,21,22,26,27,28,29,94,95,96,92,97,99,93,13,14,15,11,12,28,29,30</t>
  </si>
  <si>
    <t>CTbG5PmQ1b9T0ePiaKSZDQ==</t>
  </si>
  <si>
    <t>,1,122,123,124,120,121,132,127,128,129,125,126,2</t>
  </si>
  <si>
    <t>O2Na5oX1Ol4=</t>
  </si>
  <si>
    <t>,124,125,126,123,122,127,128,129,130,146,147,148,144,145,149,159,160,161,157,162,158,163,164,165,166,167,171,172,173,170,169,168</t>
  </si>
  <si>
    <t>,63,64,65,66,67,68,69,70,71,72</t>
  </si>
  <si>
    <t>Failed States and the Origins of Violence : A Comparative Analysis of State Failure as a Root Cause of Terrorism and Political Violence</t>
  </si>
  <si>
    <t>,2,1,3,14,15,16,12,17,18,19,13,164,165,166,162,163</t>
  </si>
  <si>
    <t>JC328.7 -- .H679 2014eb</t>
  </si>
  <si>
    <t>,1,2,3,108,109,110,106,107,111,112,113,114</t>
  </si>
  <si>
    <t>,1,2,3,54,55,56,52,53,51,57,58,59,60,61,62</t>
  </si>
  <si>
    <t>,1,1,2,2,3,3,36,37,38,38,34,36,35,37,35,61,61,63,62,59,62,63,64,64,60,65,65,2,66,66,67,67,75,75,76,77,76,78,77,78,74,79,79,80,80,75,80,61,62,63,59,64,60,65,66,79,80,81,78,81,77,75,76,80,65,66,67,63,64,68,68,69,69,75,76,77,78,79,80</t>
  </si>
  <si>
    <t>,108,110,109,106,107</t>
  </si>
  <si>
    <t>,1,2,3,574,575,576,572,573,518,519,520,516,517,318,319,320,316,228,229,230,226,227,317</t>
  </si>
  <si>
    <t>CRxUHB/zJao=</t>
  </si>
  <si>
    <t>,173,174,175,176,177,178,179,180</t>
  </si>
  <si>
    <t>FxnFwmpyvP+db0krjzioTg==</t>
  </si>
  <si>
    <t>,54,55,56,57,58,59,60,61,62,63,64,65,66,67,68,69,70,71,72,73,74,75</t>
  </si>
  <si>
    <t>,1,2,3,54,55,56,52,57,53,51</t>
  </si>
  <si>
    <t>,1,2,3,170,171,172,168,169</t>
  </si>
  <si>
    <t>,2,1,3,1</t>
  </si>
  <si>
    <t>,49,50,49,50,51,52,53,54,53,54,55,56,57,56,57,58,59,60,59,60,59,60,61,62,63,64,65,66,67,68,69,70,69,70,71,72,73,74,75,76,77,78</t>
  </si>
  <si>
    <t>,50,47,46,49,48,51,45,71,72,73,69,70,74,80,81,77,76,75,74,1,2,3</t>
  </si>
  <si>
    <t>,1,2,3,4,17,18,19,15,16,20,21,22,35,36,37,33,34,38,49,50,51,47,52,53,79,80,81,82,78,77,76</t>
  </si>
  <si>
    <t>,1,2,3,107,108,109,105,110,106,111,112,113,114,115,116,117,118,119,120,121,122,123,124,125,126,127,128,163,164,165,166,167,169,170,168,171,164,163,161,162,166,167,168,169,170</t>
  </si>
  <si>
    <t>,1,2,2,1,3,3,73,73,74,74,71,75,72,75,72,2,76,76,77,77,78,78,53,54,54,55,51,55,52,52,53,56,57,56,57,58,58,59,59,60,60,61,61,62,62,63,63,64,64,65,65,66,66,67,67,68,68,69,69,70,70,71,79,79,80,77,81,78,80,81,76,74,75,61,62,63,59,60,64,65,66,67,68,69,70,71,72,73,74,75,70,69,68,66,67,65,64,63,62,61,60,59,58,57,56,55,54,75,76,77,78,74,79,74,61,62,63,59,60,64,65,66,61,60,59,58,62,63,64,65,66,75,76,77,78,74,73,71,72,70,69,68,67,66,65,64,63,62,61,66,79,80,78,76,77,75,61,62,63,59,64,65,66,67,62,61,79,80,78,76,77,75</t>
  </si>
  <si>
    <t>,1,2,3,2,3,1,2,2,272,273,274,272,270,273,274,271,271,272,273,274,272,270,271,271,273,274</t>
  </si>
  <si>
    <t>Negotiations in the Case Law of the International Court of Justice : A Functional Analysis</t>
  </si>
  <si>
    <t>,30,31,32,33,34,35,36,37,38,39,40,41,42,43,44,45,46,47,48,49,50,51,52,53,54,55,56,57,58,59,60,61,62,63,64,65,66,67,68,69,70,71,72,73,74,75,76,77,78,79,80,81,82,83,84,85,86,87,88,89,90,91,92,93,94,95,96,97,98,99,100,101,30,31,32,33,34,35,36,37,38,39,40,41,42,43,44,45,46,47,48,49,50,51,52,53,54,55,56,57,58,59,60,61,62,63,64,65,66,67,68,69,70,71,72,73,74,75,76,77,78,79,80,81,82,83,84,85,86,87,88,89,90,91,92,93,94,95,96,97,98,99,100,101</t>
  </si>
  <si>
    <t>KZ6275 -- .W45 2014eb</t>
  </si>
  <si>
    <t>341.5/52</t>
  </si>
  <si>
    <t>,1,2,3,30,31,28,32,30,29,30,30,30,30,30,30,30,30</t>
  </si>
  <si>
    <t>ychWPmA2UGwlbSaJQh+0Lg==</t>
  </si>
  <si>
    <t>,1,2,3,4,1,54,54</t>
  </si>
  <si>
    <t>,4,5,6,7,8,9,10,8,11,12,13,14,15,16,18,36,37,38,34,39,40,41,42,43,44,45,46,47,48,49,50,51,52,53,54,55,56</t>
  </si>
  <si>
    <t>,1,2,2,1,3,3,71,72,72,73,69,71,70,70,73,68,67,71,72,73,2,74,74,75,75,76,76,77,77,78,78</t>
  </si>
  <si>
    <t>,30,31,32,33,34,35,36,37,38,39,40,41,42,43,44,45,46,47,48,49,50,51,52,53,54,55,56,57,58,59,60,61,62,63,64,65,66,67,68,69,70,71,72,73,74,75,76,77,78,79,80</t>
  </si>
  <si>
    <t>,1,2,3,17,18,19,15,16,2,20,21,22,23,18,23,18,24,25,26,27,28,29,24,29</t>
  </si>
  <si>
    <t>,1,2,3,4,5,6,7,8,9,10,11,17,18,19,15,16</t>
  </si>
  <si>
    <t>vHQbBVqhUJEht/Yyd/xF9g==</t>
  </si>
  <si>
    <t>,1,2,3,37,37</t>
  </si>
  <si>
    <t>,2,1,3,4,170,171,172,168,169,173,174,175,176,177,178,179,180,181,182,183,184,185,186,187,188,189,190,191,192,193,194,195,196,197,198,199,200,201,202,203,156</t>
  </si>
  <si>
    <t>,6,7,48,49,50,46,47,8</t>
  </si>
  <si>
    <t>,1,2,3,4,5,6,7,8,9,10,11,12,13,14,15,16,17,19,20,21,22,23,25,26,24,27,28,29</t>
  </si>
  <si>
    <t>,1,2,3,5,4,6,7,8,9,10,11,12,13,14,15,16,18,17,19,20,21</t>
  </si>
  <si>
    <t>RlSwUIOltWWaIX7CGrlebw==</t>
  </si>
  <si>
    <t>,44,42,43,47,48,19,20,49,45,46,49,44</t>
  </si>
  <si>
    <t>,1,10,11,8,12,9,2</t>
  </si>
  <si>
    <t>UweGSSj80wrn8SCVGjHh7Q==</t>
  </si>
  <si>
    <t>,330,331,333,334</t>
  </si>
  <si>
    <t>,1,2,3,323,324,325,321,322,338,332,315,326,328,327,329</t>
  </si>
  <si>
    <t>pZQACNtHeVmhq01R6xwBow==</t>
  </si>
  <si>
    <t>Teaching Strategic Processes in Reading, Second Edition</t>
  </si>
  <si>
    <t>,4,5,113,114,115,111,101,102,103,99,104,100,105,106,116,118,117,119,120,121,122,123,124,125,127,129,133,132,134,130,131</t>
  </si>
  <si>
    <t>,101,102,101,102,103,104,105,106,107,108,109,110,111,112,113,114,115,116,117,118,119,120,121,122,123,124,125,126,127,128,129,130,131,132</t>
  </si>
  <si>
    <t>LB1050.42 -- .A44 2012eb</t>
  </si>
  <si>
    <t>,1,2,2,3,3,1,4,4,4,5,5,6,6,7,7,1,6,2,2,201,202,201,203,202,203,199,200,200,204,204,205,205,206,206</t>
  </si>
  <si>
    <t>K05gZIk4aTMgP/azVQFPAw==</t>
  </si>
  <si>
    <t>Beginning Microsoft SQL Server 2012 Programming</t>
  </si>
  <si>
    <t>,4,5,6,1,5,2,3,4,6,7,8,9,10,11,12,13,15,14,16,17,18,19,20,21,22,23,25,24,26,27,28,29,30,31,32,27,25,26,1,26,27,28,24,1,1,28,25,28,29,30,28,1,26,29,27,33,29,26,26,35,30,32,27,27,30,27,34,25,1,24,26,28,2,36,2,2,30,2,36,2,37,2,35,33,36,34,34,35,31,32,36,30,29,28,27,26,25</t>
  </si>
  <si>
    <t>,33,34,35,36,37,38,39,40,41,42,43,44,45,46,47,48,49,50,51,52,53,54,55,56,57,58,59,60,61,62,63,64,65,66,67,68,69,70,71,72,73,74,75,76,77,78,79,80,81,82,83,84,85,86,87,88,89,90,91,92,33,34,35,36,37,38,39,40,41,42,43,44,45,46,47,48,49,50,51,52,53,54,55,56,57,58,59,60,61,62,63,64,65,66,67,68,69,70,71,72,73,74,75,76,77,78,79,80,81,82,83,84,85,86,87,88,89,90,91,92</t>
  </si>
  <si>
    <t>QA76.9.C55 -- A85 2012eb</t>
  </si>
  <si>
    <t>XI/6xAYFfu6oa2kFV4XcLw==</t>
  </si>
  <si>
    <t>The Music Industry : Music in the Cloud</t>
  </si>
  <si>
    <t>Business/Management; Economics; Fine Arts</t>
  </si>
  <si>
    <t>ML3790 .W52 2013</t>
  </si>
  <si>
    <t>,113,114,111,115,112,116,154,155,156,152,153,159,241,242,243,240,239,245,244,246,247,248</t>
  </si>
  <si>
    <t>Smartphones as Locative Media</t>
  </si>
  <si>
    <t>TK5103.4885 .F384 2015</t>
  </si>
  <si>
    <t>,1,2,3,49,45,24,25,26,23,22,19,18,35,36,37,33,34,67,68,69,65,66,70</t>
  </si>
  <si>
    <t>Visual Pollution : Advertising, Signage and Environmental Quality</t>
  </si>
  <si>
    <t>HF5841 -- .P586 2013eb</t>
  </si>
  <si>
    <t>659.13/42</t>
  </si>
  <si>
    <t>anxgRDXhmFY=</t>
  </si>
  <si>
    <t>,1,2,2,3,3,1,2,2,55,56,55,57,53,57,54,56,54,52,57</t>
  </si>
  <si>
    <t>6btQaebMP6U=</t>
  </si>
  <si>
    <t>,25,26,27,23,24</t>
  </si>
  <si>
    <t>,1,2,3,32,33,30,31,36,35,37,38</t>
  </si>
  <si>
    <t>2MkZYzyXC6DpmKOA61EzPg==</t>
  </si>
  <si>
    <t>Wildlife Ecology, Conservation, and Management</t>
  </si>
  <si>
    <t>SK355 -- .F799 2014eb</t>
  </si>
  <si>
    <t>Disability and Discourse Analysis</t>
  </si>
  <si>
    <t>,14,15,16,12,13,17,18,19,20,9,10,11,7,8</t>
  </si>
  <si>
    <t>,1,2,3,4,5,6,7,122,123,124,125,126,127,128,129,130,131,132,133,134,135</t>
  </si>
  <si>
    <t>HV1568.2 -- .G78 2015eb</t>
  </si>
  <si>
    <t>305.9/080141</t>
  </si>
  <si>
    <t>,1,2,3,4,87,88,89,85,86,90,91,92,93,102,122,123,124,120,121,125,126,127,128,129,130,131,132,133,134,135,136,137</t>
  </si>
  <si>
    <t>,1,2,3,475,476,477,473,474,478,323,324,325,321,322,326,327,328,67,68,69,65,66,64,63,62,61,67,68,327,328,329,330,331</t>
  </si>
  <si>
    <t>,76,77,78</t>
  </si>
  <si>
    <t>,1,2,3,4,5,7,8,9,10,6,4,3,16,17,15,13,14,12,10,11,9,8,7,6,12,13,14,15,16,10,9,8,1,5,6,7,3,4,8,9,10,11,12,13,8</t>
  </si>
  <si>
    <t>,1,2,3,75,76,77,73,78,74,79,80,81,76</t>
  </si>
  <si>
    <t>Kd2z72AcuYg=</t>
  </si>
  <si>
    <t>,1,60,62,61,58,59,2,63,64,65,66,67,205,206,207,203,204,202,201,208</t>
  </si>
  <si>
    <t>08GXzZq1XNQXf0DQSJlljA==</t>
  </si>
  <si>
    <t>,2,1,3,19,46,46,47,2,45,44,43,42,42,42,42,43</t>
  </si>
  <si>
    <t>JOGhaWNhj+xBgMqwBsf67A==</t>
  </si>
  <si>
    <t>,1,2,3,4,5,6,7,8,9,10,11,12,13,14,15,16,17,18,19,20,21,22,23,24,25,26,27,28,29,30,31,32,33,34,35,36,37,38,39,40,42,43,44,45,46,47,48,52,55,60,65,70,76,78,79,77,81,82,83,84,85,86</t>
  </si>
  <si>
    <t>Golden Holocaust : Origins of the Cigarette Catastrophe and the Case for Abolition</t>
  </si>
  <si>
    <t>Social Science; Business/Management; Health</t>
  </si>
  <si>
    <t>HD9135 -- .P76 2011eb</t>
  </si>
  <si>
    <t>,1,2,3,162,163,164,160,161</t>
  </si>
  <si>
    <t>7bfy/+wzV6n1Sb4Lwhq/8A==</t>
  </si>
  <si>
    <t>,1,2,3,2,3,1,4,5,4,7,6,5,7,6,8,9,8,9,20,21,22,20,21,22,19,18,19,17,22,24,23,25,24,23,23,21,22,25,22,23,26,26,27,27,28,28,29,29,30,30,31,31,32,32,33,33,34,34,35,30,35,36,36,37,38,37,38,39,39,40,40,41,41,36,41,42,42,43,43,44,44,39,44,39,45,45,46,47,46,47,48,48,49,49,50,50,51,51,101,102,103,99,100,102,101,103,100,104,104,99,104,105,105,106,106,107,107,102,107</t>
  </si>
  <si>
    <t>,29,23,22,23,24,22,25,21,23,22,24</t>
  </si>
  <si>
    <t>,33,33,34,34</t>
  </si>
  <si>
    <t>,1,2,3,2,3,1,4,4,5,5,6,6,7,7,8,8,9,10,2,10,9,11,11,23,23,25,24,25,24,22,21,22,26,26,29,30,29,30,31,28,31,32,32</t>
  </si>
  <si>
    <t>L9DlaLOavLGhsKK1DHEa4w==</t>
  </si>
  <si>
    <t>,1,2,3,4,5,6,7,8,24,25,23,21,22,19,20,17,18,16,25,26,27,28,29,30,31,32,33,34,35</t>
  </si>
  <si>
    <t>U6MK4gBVG0I=</t>
  </si>
  <si>
    <t>Judicial System and Reform in Post-Mao China : Stumbling Towards Justice</t>
  </si>
  <si>
    <t>KNQ470 -- .L5 2014eb</t>
  </si>
  <si>
    <t>347.51/01</t>
  </si>
  <si>
    <t>,59,60,61,62,63,64,65,66,67,68,69,70,71,72,73,74,75,76,77,78,52,53,54,53,54,55,56,57,58,59,60,61,62,63,64,65,66,67,68,69,70,71,72,73,74,75,76,77,78</t>
  </si>
  <si>
    <t>,1,2,3,52,53,54,50,51,55,56,57,58,50</t>
  </si>
  <si>
    <t>,1,1,3,3,2,2,238,238,239,239,240,240,236,237,237,238,239,240,236,238,2,240,238,237,236,236,236,236,238,238,238</t>
  </si>
  <si>
    <t>,57,57,58,58,59,59,60,60,61,61,62,62,63,63,64,64,65,65,66,66,67,67,68,68,69,69,70,70,71,71,72,72,73,74,69,74,75,76,77,78,79,79,73,78,73,78,79</t>
  </si>
  <si>
    <t>,1,3,3,2,1,2,75,76,77,75,77,2,2,76,74,73,74,78,78,53,54,53,54,52,55,51,55,52,50,56,56</t>
  </si>
  <si>
    <t>,1,2,3,554,555,553,551,552,37,38,39,35,36,40,41,35,34,13,1,3</t>
  </si>
  <si>
    <t>Cosmopolitanism and International Relations Theory</t>
  </si>
  <si>
    <t>,1,3,2,4,5,6,7,76,77,78,75,73,74,72,70,71</t>
  </si>
  <si>
    <t>JZ1308 .B43 2011</t>
  </si>
  <si>
    <t>,51,53,54,55,56,57,58,59,62,60,61,60,59,63,64,65,64,66,62,63,67,9,10,11,7,8,12,14,17,18,68,71,83,96,101,105,107,109,113,114,117,120,124,126,129,128,131,127,125,122,123,224,221,220,218,190,191,192,193,194,195,196,197,200,202,205,204,203,206,208,209,210,211,212,213,214,215,216,217,219,222,223,225,226,227,228,207</t>
  </si>
  <si>
    <t>,1,2,3,25,26,27,23,24,28,26,27,28,29,30,36,31,32,33,37,37,7,50</t>
  </si>
  <si>
    <t>,1,2,3,9,10,7,8,6,5,4</t>
  </si>
  <si>
    <t>YkkekejnmQc=</t>
  </si>
  <si>
    <t>Ecology of North American Freshwater Fishes</t>
  </si>
  <si>
    <t>,4,275,276,277,273,274,278,275,337,333,334,332,16,14</t>
  </si>
  <si>
    <t>QL625 -- .R67 2013eb</t>
  </si>
  <si>
    <t>,1,2,3,4,450,451,452,448,449,453,454,456,457,457,450,450</t>
  </si>
  <si>
    <t>FbNgQXCpw0LyAApjzuAihA==</t>
  </si>
  <si>
    <t>2MB95Jy7Z9k=</t>
  </si>
  <si>
    <t>,1,2,3,32,33,34,31,30,35,36,37,38,39,40,41,42,43,44,45</t>
  </si>
  <si>
    <t>0H0HA0rYSAIcy22ochBdxA==</t>
  </si>
  <si>
    <t>The Data Warehouse Toolkit : The Definitive Guide to Dimensional Modeling</t>
  </si>
  <si>
    <t>QA76.9 .D37</t>
  </si>
  <si>
    <t>cxVOcdoYjdQ=</t>
  </si>
  <si>
    <t>Age of Irreverence : A New History of Laughter in China</t>
  </si>
  <si>
    <t>Social Science; Literature</t>
  </si>
  <si>
    <t>PL2403 .R43 2015</t>
  </si>
  <si>
    <t>978GO2Pd6lI/p23vQD/pMA==</t>
  </si>
  <si>
    <t>,1,2,3,4,5,6,7,8,9,10,11,12,13,81,154,155,156,152,153,151,149,150</t>
  </si>
  <si>
    <t>HTry9uBVL1s=</t>
  </si>
  <si>
    <t>Embodiment : Phenomenological, Religious and Deconstructive Views on Living and Dying</t>
  </si>
  <si>
    <t>,205,206,207,208,209,210,211,212,213,214,215,216,217,221,218,219,220,221,222,223,224,225,226,227,32,34,33,31,30,35,36,37,38,39,40,41,42,43,44,45,46,47,48,49,50,154,155,156,152,153,157,158</t>
  </si>
  <si>
    <t>BL510 -- .E436 2014eb</t>
  </si>
  <si>
    <t>202/.2</t>
  </si>
  <si>
    <t>,1,2,3,118,119,120,117,116,182,183,184,180,181,185,200,201,202,199,198,203,204</t>
  </si>
  <si>
    <t>cf3bTuYVRAo=</t>
  </si>
  <si>
    <t>,1,1,2,3,2,3,4,4,5,6,5,6,7,7,8,8,2,17,18,19,17,18,19,16,15,16,20,20,21,21,22,22,23,23,25,24,25,24,26,21</t>
  </si>
  <si>
    <t>MxwOgE/IccDGDKyjPV8exg==</t>
  </si>
  <si>
    <t>,1,2,3,475,477,476,473,474,478,479,480,479,611,613,612,609,610,572,573,574,570,571,63,64,65,62,61,6,7,8,4,5,67,66,68,69,70,71,72,73,74,75,76,77,78,79,598,600,599,596,597,5,202,35,7,6,8,9,4,10,11,599,600,416,417,418,414,415,413,412,411,416,419,420,354,356,337,355,338,339,336,335,334,333,324,325,326,323,322,321,320,319,318,317,316,324,327,328,329,330,331,333,332</t>
  </si>
  <si>
    <t>,1,2,3,62,63,60,61,64</t>
  </si>
  <si>
    <t>Po5reqHlxGBMWUNHSvQ7aw==</t>
  </si>
  <si>
    <t>sSZKQYGDDj0AOCAIS6hWsg==</t>
  </si>
  <si>
    <t>,1,2,3,54,55,56</t>
  </si>
  <si>
    <t>,1,2,3,54,55,56,52,53</t>
  </si>
  <si>
    <t>Chronic Youth : Disability, Sexuality, and U.S. Media Cultures of Rehabilitation</t>
  </si>
  <si>
    <t>,1,2,3,76,77,74,78,75,79,80</t>
  </si>
  <si>
    <t>HQ796 -- .E553 2014eb</t>
  </si>
  <si>
    <t>Belonging : Solidarity and Division in Modern Societies</t>
  </si>
  <si>
    <t>HM1111 -- .G853 2013eb</t>
  </si>
  <si>
    <t>Human Geography : A Concise Introduction</t>
  </si>
  <si>
    <t>Environmental Studies; Social Science</t>
  </si>
  <si>
    <t>GF41 -- .B69 2015eb</t>
  </si>
  <si>
    <t>99oZyG1gZLYIFguwfesC7w==</t>
  </si>
  <si>
    <t>Cuisine and Empire : Cooking in World History</t>
  </si>
  <si>
    <t>,328,330,331,332,333,334,335</t>
  </si>
  <si>
    <t>TX645 -- .L325 2013eb</t>
  </si>
  <si>
    <t>,1,2,3,325,326,327,323,324</t>
  </si>
  <si>
    <t>,1,2,3,23,25,24,21,22,27,26,46,47,48,44,31,32,33,30,29,26,27,28</t>
  </si>
  <si>
    <t>,4,5,6,7,8,90,92,88,91,89,93,94,95,96,97,98,180,181,182,178,179,211,183,184,186,187,188,189,190,191,192,194,193,195,196,198,199,197,200,201,202</t>
  </si>
  <si>
    <t>,1,2,3,4,5,6,7,8,62,63,60,61,64,65,66,68,67,69,1,3,62,63,64,60,61,65,66,67,68,80,79,78,77,76</t>
  </si>
  <si>
    <t>,105,106,107,108,109,110,111,112,113,114,115,116,117,118,119,120,121,122,123,124,125,126,127,128</t>
  </si>
  <si>
    <t>Adult Nursing at a Glance</t>
  </si>
  <si>
    <t>,1,2,3,21,22,23,19,20,25,26,27,5,6,7,8,4,24</t>
  </si>
  <si>
    <t>RT41</t>
  </si>
  <si>
    <t>,108,109,110,111,112,113</t>
  </si>
  <si>
    <t>of6kN3xA71O6GJv/f3GWPg==</t>
  </si>
  <si>
    <t>,1,2,3,202,203,204,200,201,209,210,211,207,208,212,104,105,106,102,103,107,101,100,99,98,97,96,95,94,93,92,91,90,89,88,87,86,85,84,83,82,80,81,161,162,163,159,160,165,164,166</t>
  </si>
  <si>
    <t>,1,2,3,4,5,6,7,8,9,10,11,12,13,7,5,4,3,2,1</t>
  </si>
  <si>
    <t>rJd03aBJmQI=</t>
  </si>
  <si>
    <t>,177,178,179,175,176,192,193,194,190,191,187,188,189,185,186,184,195,196,197,198,199,200,189,188,187,186,185,194,195,196</t>
  </si>
  <si>
    <t>,107,108,109,110,111,112,113,114,115,116,117,118,119,120,121,122,123,124,125,126,127,128,129,130,131,132,107,108,109,110,111,112,113,114,115,116,117,118,119,120,121,122,123,124,125,126,127,128,129,130,131,132</t>
  </si>
  <si>
    <t>,1,2,3,107,108,109,87,88,89,85,86,90,91,92,69,70,71,67,68,72,73,77,78,79,75,76,80,81,82,83,84,92,93,94,95,96,97,98,99,100,101,102,103,104,105,106,107,108,109</t>
  </si>
  <si>
    <t>,1,169,170,171,167,168,172,173,174,175,2,176,177,178</t>
  </si>
  <si>
    <t>,1,2,3,4,5,6,7,8,19,20,21,17,18,22,23</t>
  </si>
  <si>
    <t>0JMwLHYVrmKomgt+9+zj1Q==</t>
  </si>
  <si>
    <t>,1,2,3,12,13,14,10,11,44,45,46,42,43,47</t>
  </si>
  <si>
    <t>SpK+a+e42zubO3r4JL860w==</t>
  </si>
  <si>
    <t>Noog2O5MoBPsaVpH4Yn+YA==</t>
  </si>
  <si>
    <t>,1,2,3,17,18,15,16,2</t>
  </si>
  <si>
    <t>0Et6QQXrExGIMhPzR7Wu3g==</t>
  </si>
  <si>
    <t>,1,2,3,6,8,4,1,3,2</t>
  </si>
  <si>
    <t>fk2MRzt5tkJYliM+/vTHzQ==</t>
  </si>
  <si>
    <t>,1,2,3,62,63,64,60,61,65,60,59</t>
  </si>
  <si>
    <t>,1,2,3,62,64,60,61</t>
  </si>
  <si>
    <t>,1,2,3,102,103,104,100,101,105,106,107,108,109,110,111,112,1,112,113,114,110,111,115,109,2,108,1,109,110,106,107,2,111,112</t>
  </si>
  <si>
    <t>,1,2,2,3,3,1,2,2,20,20,22,21,22,21,18,19,19,48,49,48,49,50,46,50,47,47,45,50,45,44,43,42,41,40,39,38,37,36,35,34,33,32,31,30,29,28,27,26,25,24,29,30,36,37,38,34,35,45,46,47,43,44,48,43</t>
  </si>
  <si>
    <t>,1,2,3,102,103,104,100,101,105,106,107,108</t>
  </si>
  <si>
    <t>,1,2,3,90,91,92,88,89,93,94,95,96,97,98,99,100,101,102,103,104,105,106,107,108,109,110,111,112,113,114</t>
  </si>
  <si>
    <t>W2eoJNLWSzexsOVjtvilBQ==</t>
  </si>
  <si>
    <t>,92,93,94,95,96,97,98,99,100,101,102,103,104,105,106,107,108,109,110,111,112,113,114</t>
  </si>
  <si>
    <t>,1,2,3,87,88,89,85,86,90,91</t>
  </si>
  <si>
    <t>Rljd6tiZ7sGSMEXlCDnbaA==</t>
  </si>
  <si>
    <t>Greening of Architecture : A Critical History and Survey of Contemporary Sustainable Architecture and Urban Design</t>
  </si>
  <si>
    <t>,203,210,4,5,6,7,8,9,10,11,12,13,14,16,15,18,17,36,37,38,35,34,39,40,41,42,43,44,45,46,202,203,204,200,201</t>
  </si>
  <si>
    <t>NA2542.36 -- .J364 2013eb</t>
  </si>
  <si>
    <t>,1,2,3,204,205</t>
  </si>
  <si>
    <t>,1,2,3,87,88,89,85,86,90,1,90,91,92,88,89,86,87,85,2</t>
  </si>
  <si>
    <t>,111,106,107,105,109,90,91,92,92,93,94,95,96,97,98,99,101,100,102,103,110,305,310,314,319,324,328,106,114,102,111,363,364,361,365,108,104</t>
  </si>
  <si>
    <t>,1,2,3,2,1,3,90,91,92,89,88,93,94</t>
  </si>
  <si>
    <t>,1,2,3,4,48,49,50,46,47,51,52,53,54,44,45,43,42,41,40,39,38,37,36,35,34,33,32,31,30,29,28,27,26,25,24,23,22,21</t>
  </si>
  <si>
    <t>,1,2,3,18,19,20,21,24,25,22,26,23,27</t>
  </si>
  <si>
    <t>,1,2,3,4,5,6,7,8,66,26,27,25,24,28,30,29,31,32,33,34,35,36,37,39,38,40,41,42,43,44,45,46,47,48,49,50</t>
  </si>
  <si>
    <t>,1,2,3,8,9,10,7,49,50,51,47,48</t>
  </si>
  <si>
    <t>,1,3,2,15,17,16,14,13,18,36,37,38,39,41,40</t>
  </si>
  <si>
    <t>,1,2,3,29,30,27,31,28,29,30,31,32,33,34,35,34,36,37,39,40,41,42,43,45,44,46,47,48,49,50,51,52,75,76,77,78,79,26,27,28</t>
  </si>
  <si>
    <t>,1,2,3,4,6,5,7,8,9,10,11,12,13,14,15,25,26,27,23,24,28,31,34,35,36,37,33</t>
  </si>
  <si>
    <t>,1,2,3,20,21,22,19,18,24,25,26,23,27,28,29,30,31,35,34,36,32,33,37,38,39,40,41,42,43,44,45,46,47,48,49,50,51,52,53</t>
  </si>
  <si>
    <t>,36,37,38,39,40,48,49,50,46,47,51,52,45,43,41,42,44</t>
  </si>
  <si>
    <t>,1,2,3,4,24,25,26,22,23,27,28,29,30,31,32,33,34,35</t>
  </si>
  <si>
    <t>,32,33,34,35,36,37,38,39,24,23,25,22,21,19,14,20,17,11,12,13,15,16,18,26,40,41,42,43,44,45,46,47,48,49,50,36,34,30,27,28,29,31,32,33,35,37,38,39,15,13,12,14,11,10,9,8,7,16,18,19,17,24,21,22,23,26,25</t>
  </si>
  <si>
    <t>,1,2,3,4,5,6,7,8,10,9,29,30,31,27,28</t>
  </si>
  <si>
    <t>,1,2,3,48,49,50,46,47,51,52,53</t>
  </si>
  <si>
    <t>,21,22,23,19,20</t>
  </si>
  <si>
    <t>h9wUvwXuF9buXInOVAfjbQ==</t>
  </si>
  <si>
    <t>,22,23,24,28,29,27,26,46,62,65,64,66,67,68,198,181,282,182</t>
  </si>
  <si>
    <t>,1,2,3,42,43,44,40,41,45,46,47,48,49,50,51,52,53,54,55,56,57,58,59,60,61,62,63,22,9,11,12,13,14,15,16,17,18,19,20,21,23,24,25,26,64,65,66,67,68,69,78,80,81,82,83,79,84,85,86,87,88,89,90,91,92,93,94,95,96,97,98,99,100,101,102,103,104,105,106,107,108,109,110,111,112,114,113,115,116,117,118,119,120,121,122,145,136,128,129,127,126,125,124,123,198,200,199,197,196,202,201</t>
  </si>
  <si>
    <t>,25,62,64,63,61,60,59,58,50,51,47,48,29,30,31,27,28,65,66,67,68,69,70,71,72,73,74,75,76,77,78,79,82,83,84,80,81,85,86,87,88,89,90,91,176,177,178,174,175,179,180,181,182,183,184,185,186,187,188,189,190,191,192,193,194,195,196,197,198,199,129,130,131,127,128,132,126,125,124,123,122,121,120,118,119,117,1,2,3</t>
  </si>
  <si>
    <t>,1,2,3,4,5,6,7,8,9,10,11,12,13,11,12,13,9,10,11,348,347,346,341,194</t>
  </si>
  <si>
    <t>,1,3,2,85,86,87,83,84,107,108,109,105,106,88,88,48,49,50,46,47,31,32,33,29,30,34,35,36,37,38,39,40,41,42,43,44,45,55,56,57,53,54,58,59,60,61,62,63,64,61,62,58,59,63,65,66,67,64,68,69,63,70,71,72,73,74,75,76,77,78,79,85,86,87,83,84,88,89</t>
  </si>
  <si>
    <t>,1,2,3,4,5,4,5,6,22,23,24,20,21</t>
  </si>
  <si>
    <t>,1,1,2,2,3,3,2,2,215,216,215,217,213,217,214,216,214,218,218,219,219,220,220,221,221,222,222,223,223,224,224,225,225,226,226,227,227,228,228</t>
  </si>
  <si>
    <t>5qlhkujrce6e8AmwPQUr8w==</t>
  </si>
  <si>
    <t>,1,1,1,3,2,2,3,4,4,523,523,524,524,521,520,521,2,480,481,480,481,522,524,523,522,520,521,8,9,8,10,9,10,6,7,7,42,43,44,42,43,40,41,44,41,45,46,45,46,47,47,48,49,48,49,50,50,51,51,52,52,53,53,54,55,54,55,42,43,44,40,41,1,41,1,42,41,42,43,39,43,40,40,9,10,8,10,9,8,6,7,7,11,11,2,2,6,11,12,12,13,14,13,14,15,15,42,43,44,40,44,41,45,40,45</t>
  </si>
  <si>
    <t>,1,2,3,2,3,1,21,22,23,22,23,20,21,20,19,2,24,24,25,25,26,26,27,27,28,28,23,28,29,29,27,27,24,29,30,30,31,32,31,33,32,34,33,34,29,28,33,34,35,36,35,36,37,33,37,38,39,38,39,40,40,41,41,42,43,42,43,44,44</t>
  </si>
  <si>
    <t>,1,3,1,2,3,2,210,211,210,211,208,209,213,209,214,213,212,214,212,2,215,215,216,216,217,217</t>
  </si>
  <si>
    <t>,2,3,1,4,5,6,7,8,9,10,11,12,26,27,28,24,25,29,30,31,32,33,34,35,36,37,38,39,40,41,42,43,44,45,46,47,48,49,50,51,52,53,54,55,56,54,55,56,57,56,57,58,59,60,61,62,63,64,59,65,66,67,68,69,70,71,72,73</t>
  </si>
  <si>
    <t>hopn5g5lk0n5jDTiLMgQSQ==</t>
  </si>
  <si>
    <t>,1,51,53,52,49,50,54,55,56,57,58,59,60,61,62,2,63,64,65,61,62,63,64,65,66,67,68,69,70,71,72,65,64,63,72,73,74,75,76,77,78,79,80,81,82,180,181,182,178,179</t>
  </si>
  <si>
    <t>,1,2,3,49,50,51,47,48,52,53,54,55,56</t>
  </si>
  <si>
    <t>,1,2,3,249,250,251,247,248,246,236,237,238,234,235,257,258,259,256,255,254,253,252,251,250,249,269,270,271,267,268,273,275,272,274,279,280,281,277,278,275,276,281,282,279,283,284,285,279,284,280,284,286,287,288</t>
  </si>
  <si>
    <t>,1,2,3,13,14,15,11,12,16,17,18,19,20,26,27,28,24,25,29,30,31,32,33,34,35,36,37,38,39,40,41,42,43,44,45,46,47,48,49,50,51,52,53,54,55,56,57,58,59,60,61,62,63,64,65,66,67,68,69,70,71,72,73,74,75,76,77,78,79,80,81,82,83,84,85,86,87,88,89,90,91,92,93,94,95,97,98,100,101,102,103,104,105,106</t>
  </si>
  <si>
    <t>,1,2,3,4,5,6,7,24,25,26,22,23,27,29,31,28,25,24,23,48,49,50,46,47,51,54,52,53,45,46,36,37,38,34,35,39,40,41,42,43,44,45,46,47,45,46,47,43,44,53,43,44</t>
  </si>
  <si>
    <t>,1,3,2,48,49,50,46,47,51,52</t>
  </si>
  <si>
    <t>nHAWd9jDfDunJwdbmjK57w==</t>
  </si>
  <si>
    <t>,1,2,3,62,63,64,60,61,65,66,67,68,69,70,71,72,73,74,75,76,77,78,79,80,81,82,83,84,85,86,87,88,89,90,91,92,93,94,95,96,97,98,99,100,101,102,103,104,105,106,107,108,109,110,111,112,113,114,115,116,117,118,119,120,121,122,123,116,121,122,123,124,125,126,127,128,129,130,131,132,133,134,135,136,137,138,139,140,141,142,143,144,145,146,147,148,149,150,150,151,152,153,154,155,156,157,158,159,160,161,162,163,164,165,166,167,168,169,170,171,172,173,174,175,176,177,178,174,179,180,181,182,183,184,185,186,187,188,189,190,191,192,193,194,195,196,197,198,199,198,199,200,201,202,203,296,222,220,196,197,202,203,204,205,206,207,208,209,210,211,212,213,214,215,216,217,218,219,220,221</t>
  </si>
  <si>
    <t>,1,2,3,4,31,32,33,29,30,34,35,36,37,38,39,40,41,42,43,44,45,46,47,48,49,50,51,52,53,54,55,56,57,58,59,60,61,62,63,64,65,66,67,68,69,70,71,72,73,74,75,76,77,78,79,80,81,82,83,84,85,86,87,88,89,90,91,92,93,94,95,96,97,98,99,100,101,102,103,104,105,106,107,108,109</t>
  </si>
  <si>
    <t>Z7RimK9Rcxg=</t>
  </si>
  <si>
    <t>,1,3,2,26,31,32,33,29,30,34,35,36,37,38,39,40,41,42,43,44,36,35,41,42,43,43,44,45,46,46,47,48,49,50,55,56,57,53,54,58,59,60,61,62,71,72,73,69,70,74,75,76,77,85,86,87,83,84,88,89</t>
  </si>
  <si>
    <t>,69,70,71</t>
  </si>
  <si>
    <t>,1,2,3,62,63,64,60,61,65,2,66,67,68</t>
  </si>
  <si>
    <t>wiswxyEzUDgvM6N/s8j75A==</t>
  </si>
  <si>
    <t>,1,3,2,54,55,56,52,53,1,53,54,55,51,52,2,56,57,58,59,60</t>
  </si>
  <si>
    <t>,54,55,56,57,58,59,60,61,62,63,64,65,66,67,68,69,70</t>
  </si>
  <si>
    <t>J7G5IoBacnemBn6yW9ANgw==</t>
  </si>
  <si>
    <t>,1,2,3,4,8,9,10,6,7,11,12,13,14,20,21,22,18,19,23</t>
  </si>
  <si>
    <t>,1,2,3,4,19,20,21,17,18,22,23</t>
  </si>
  <si>
    <t>,1,2,3,65,66,67,63,64,68,69,70,31,32,33,29,34,35,36,37,38,39,40,42,41,43,34,33</t>
  </si>
  <si>
    <t>,91,92</t>
  </si>
  <si>
    <t>,2,3,1,4,5,6,7,26,27,28,24,25,29,30</t>
  </si>
  <si>
    <t>,1,2,3,37,38,39,35,36,145,225,255,256,254,253,251,196,178,168,167,166,165,164,163,162,160,144,137,136,138,139,140,141,142,143,146,147,148,149,150,151,152,153,154,155,156,157,158,159,161,169</t>
  </si>
  <si>
    <t>,1,2,3,87,88,89,85,86,87,2,88,89,85,86,90</t>
  </si>
  <si>
    <t>DWdk1ICXrn0kWfQJihfrTA==</t>
  </si>
  <si>
    <t>New Encyclopedia of Southern Culture : Volume 24: Race</t>
  </si>
  <si>
    <t>,1,300,301,302,298,303,304,305</t>
  </si>
  <si>
    <t>HT1523 -- .R33 2013eb</t>
  </si>
  <si>
    <t>,1,10,11</t>
  </si>
  <si>
    <t>From Rome to Byzantium AD 363 to 565 : The Transformation of Ancient Rome</t>
  </si>
  <si>
    <t>,2,1,3,24,25,26,22,23</t>
  </si>
  <si>
    <t>DF555 -- .L44 2013eb</t>
  </si>
  <si>
    <t>,34,471,471,471,471,471,471,471,472,473,474,475,475,476,477,473,474,32,33,37,43,44,45,41,42,46,47,48,38,39,40</t>
  </si>
  <si>
    <t>,471,472,473,474,471,472,473,474,34,35,36,37,38,39,40,41,42,43,44,45,46,47,48,49,50,51,52,53,54,55,56,57,58,59,60,61,34,35,36,37,38,39,40,41,42,43,44,45,46,47,48,49,50,51,52,53,54,55,56,57,58,59,60,61</t>
  </si>
  <si>
    <t>,1,2,3,34,35,36,32,33,37,2</t>
  </si>
  <si>
    <t>,1,2,3,160,161,162,158,159,160,161,162,158,159,163,164,165,166,167,168,169,170,171,172,173,174,175,176,177,178,179,180,181,182,183,184</t>
  </si>
  <si>
    <t>,1,1,2,2,3,3,1,2,2,160,161,162,161,160,162,159,158,159,163,163,158,164,165,165,164</t>
  </si>
  <si>
    <t>,1,2,3,2,1,3,159,159,2,160,161,157,158,160,161,158,2,162,162,163,163,164,164,165,165,166,166,167,168,167,168,169,170,169,170,165,170</t>
  </si>
  <si>
    <t>Attention-Deficit Hyperactivity Disorder, Fourth Edition : A Handbook for Diagnosis and Treatment</t>
  </si>
  <si>
    <t>RJ496.A86 -- A883 2015eb</t>
  </si>
  <si>
    <t>,1,2,3,22,23,24,20,21,22,23,24,20,21,25,26,27,28,29,30,31,32,33,34,35,36,37,38,39,40,41,42,43,44,45,46,47,48,49,50,51,52,53,54,55,56,57,58,59,160,161,162,158,159,163,161,163,162,160,159,158</t>
  </si>
  <si>
    <t>gE9QAHIpGxC2dnE4+BSteA==</t>
  </si>
  <si>
    <t>,1,2,3,17,18,19,15,16,20</t>
  </si>
  <si>
    <t>,16,17,26,27,28,24,25,29,30,31,32,26,25,24,29</t>
  </si>
  <si>
    <t>,1,2,3,13,14,15,11,12,10,15,16,17,18,19,20,21,13,12,11,11</t>
  </si>
  <si>
    <t>,1,2,3,165,166,167,163,164,168,168,169,170,171,172,173,174</t>
  </si>
  <si>
    <t>G0IU406iE7O0fn++3mfWIQ==</t>
  </si>
  <si>
    <t>PUER8MPL4MdriYZManZmwQ==</t>
  </si>
  <si>
    <t>,22,23,24,25,26,27,28</t>
  </si>
  <si>
    <t>,1,2,3,13,14,15,11,12,16,17,18,19,20,21,10</t>
  </si>
  <si>
    <t>,1,3,2,49,48,47,46,50,51,52,26,27,28,24,25,29,23</t>
  </si>
  <si>
    <t>,1,2,3,4,5,6,7,8,48,49,47,46,50,51,52,53,54</t>
  </si>
  <si>
    <t>,1,2,3,31,32,33,30,29,40,41,42,39,38,1,2,3,45,47,46,43,44,48,49,50,51,52,166,167,168,164,165,157,158,159,155,156,167,169,166,161,162,163,160,164,170,171,172,161,164</t>
  </si>
  <si>
    <t>OKg1RzNBnvfNIjW+hEq/bQ==</t>
  </si>
  <si>
    <t>,1,2,3,4,5,6,7,9,8,160,161,162,158,159,164,163,165,192,193,194,190,191,195,196,197,198,199,200,201,203,202,204,205,206,207,208,209,210,211,212,213,214,215,216,217,218,219,220,221,222,223,224,225,226,227,228,229,230,231,232,233,234,236,235,237,238,239,240,241,242,243,244,245,246,247,248,249,250,252,251,253,254,255,256,257,258,259,189,166,167,168,169,170,171,172,173,174,115,116,117,113,114,129,131,130,128,127,1,3,2,228,229,230,226,227,157,159,158,155,156,160,154,222,223,224,220,221,225,194,196,195,192,193,165,166,167,163,164,162,168,169,170,171,172,173,174,175,176,177,178,194,197,198,199,201,200,202,203,204,205,207,206,208,209,210,211,212,213,214,215,216,218,217,219,222,228,231,232,233,234,235,236,237,238,239,240,241,242,244,243,245,246,247,248,249,250,251,252,253,254,255,256,257,259,158,157,215,184,186,185,183,182,202,157,168,157,179,180,181,185,187,184,188,165,161,165,177,179,260,261,262,258,197,174</t>
  </si>
  <si>
    <t>J71kfnD1Yu+Vn2XqujjUVA==</t>
  </si>
  <si>
    <t>dcMuA2tyQV8=</t>
  </si>
  <si>
    <t>,44,45,46,47,48,49,50,51,52,53,54,55,56</t>
  </si>
  <si>
    <t>,28,29,30,31,32,33,34,35,36,37,38,39,40,41,42,43,44,45,46,47,48,49,50,51,52,53</t>
  </si>
  <si>
    <t>,1,2,3,28,29,30,27,26,31,32,33,34,35,36,37,38,39,40,41,42,43</t>
  </si>
  <si>
    <t>,1,2,3,4,5,6,7,8,9,10,11,12,13,160,161,162,159,158,163,164,165,166,167,168,169,170,171,172,173,174,175,176,177,178</t>
  </si>
  <si>
    <t>,119,120,121,117,118,11,12,13,9,10,122,123,124,125,126,127,128,129,130,131,132,133,134,135,136,137,138,139,140,141,142</t>
  </si>
  <si>
    <t>,4,6,7,10,14,15,18,22,23,24,20,21,25,160,161,162,158,159,157,156,163,164,165,155,154,166,167,168,169,170,171,172,173,174,175,176,177,178,179,180,181,182,183,212,214,213,211,215,210,209,184,186,185,187,188,189,190,191,192,193,194,195,196,197,198,199,200,201,202,203,204,205,206,207,208,160,160,160,162,160,161,158,160,161,162,158,159,163</t>
  </si>
  <si>
    <t>,16,17,18,19,20,21,22,23,24,25,26,27,28,29,30,31,32,33,34,35,36,37,38,39,40,41,42,43,44,45,46,47,48,49,50,51,52,53,54,55,56,57,58,59,60,61,62,63,64,65</t>
  </si>
  <si>
    <t>2IPxkGUAjR4/6l/3CqG5FQ==</t>
  </si>
  <si>
    <t>Schubert's Lieder and the Philosophy of Early German Romanticism</t>
  </si>
  <si>
    <t>,22,23,24,25,26,27,1,27,28,29,25,26,30,2,24,31,32,33,34,35,36,37,38,39,40,41,42,43,44,45,46,47,48,49,50,51,52,53,54,55</t>
  </si>
  <si>
    <t>ML410.S3 -- F39 2014eb</t>
  </si>
  <si>
    <t>780.9/034</t>
  </si>
  <si>
    <t>,1,18,19,20,17,16,2,21</t>
  </si>
  <si>
    <t>,1,2,3,48,50,49,46,52,51,47,53</t>
  </si>
  <si>
    <t>trFLYH6ZOYGMWX2SMpoYCA==</t>
  </si>
  <si>
    <t>Museum Space : Where Architecture Meets Museology</t>
  </si>
  <si>
    <t>,28,28,29,29,30,25,30,24,22,23,20,15,6,5,7,4,3,8</t>
  </si>
  <si>
    <t>NA6690 .T384 2015</t>
  </si>
  <si>
    <t>727.203774; 727''.6</t>
  </si>
  <si>
    <t>,1,2,2,3,3,1,2,2,4,4,5,6,5,6,7,7,8,8,9,9,10,11,10,12,11,12,13,14,13,14,15,15,16,16,17,17,18,18,19,19,20,21,20,22,21,22,23,23,24,25,26,25,26,24,27,27</t>
  </si>
  <si>
    <t>,2,16,1,2,3,4,13,14,15,11,12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</t>
  </si>
  <si>
    <t>,1,3,2,2,3,1,2,2,4,4,5,6,5,7,6,3,7,8,8,9,9,10,6,10,11,12,11,12,13,7,8,13,6,11,12,13,14,14,15,15,16,16,17,18,17,18,13,11,2,1,3,160,161,162,161,160,159,158,162,159,163,163,165,164,165,164,162,161,160,165,166,167,168,169,167,168,166,169,170,165,170,169,164,170,171,172,172,173,174,173,175,174,176,175,177,178,177,176,178,193,194,192,193,190,192,191,194,191,189,194,195,196,195,196,212,213,212,210,214,211,211,209,213,214,215,248,215,248,249,250,245,247,249,246,247,250,246,244,243,242,241,239,240,238,241</t>
  </si>
  <si>
    <t>w/bb55iI8uzxI4IoGizY3w==</t>
  </si>
  <si>
    <t>How Reason Almost Lost Its Mind : The Strange Career of Cold War Rationality</t>
  </si>
  <si>
    <t>,11,12,13,14,15,16,17,18,19</t>
  </si>
  <si>
    <t>D843</t>
  </si>
  <si>
    <t>909.82/5</t>
  </si>
  <si>
    <t>,1,2,3,48,49,50,46,47,51,52,53,54</t>
  </si>
  <si>
    <t>,1,2,3,1,4,5,3,5,2,4,1,6,8,7,9,10</t>
  </si>
  <si>
    <t>,1,2,2,3,3,1,47,48,47,48,49,21,22,2,21,23,49,20,22,19,23,20,87,88,89,86,87,85,86,89,88,90,90,111,112,111,112,109,110,113,110,113,114,109,114,108,107,106,105,107,104,103,106,105,103,101,104,102,102</t>
  </si>
  <si>
    <t>,1,3,2,20,21,22,18,19,48,49,50,46,47,51</t>
  </si>
  <si>
    <t>,1,2,3,8,9,6,10,7,220,221,218,222,219,11</t>
  </si>
  <si>
    <t>,1,2,3,4,5,6,7,8,9,10,11,12,13,14,15,16,1,3</t>
  </si>
  <si>
    <t>,493,494,495,496,497,498,499,500,501,502,503,504,505,506,507,508,509,510,511,512,513,514,515,516,517,518,519,520,521,522,523,524,525,526,527,528,529</t>
  </si>
  <si>
    <t>,27,26</t>
  </si>
  <si>
    <t>,1,2,3,1,3,2,11,126,186,259,345,341,342,468,479,480,494,543,551,553,549,550,552,554,566,584,581,582,586,588,591,592,598,603,604,605,606,609,610,611,608,607,602,600,601,599,597,285</t>
  </si>
  <si>
    <t>,31,32,33,34,35,36,37,38,39,40,41,42,43,44,45,46,47,48,49,50,51</t>
  </si>
  <si>
    <t>,1,2,3,37,98,28</t>
  </si>
  <si>
    <t>,1,3,2,30,31,32,28,29</t>
  </si>
  <si>
    <t>,1,2,3,57,58,59,55,56,60,61,75,76,77,73,74,66,67,68,64,65,69,70,86,87,88,84,85,64,66,62,63,68,69,70,67,1,2,3,68,69,70,66,67,72,74,73,71,71</t>
  </si>
  <si>
    <t>,1,2,1,2,3,3,2,2,145,146,145,147,146,147,144,143,144,148,148,149,149,150,150,151,152,151,153,152,153,154,154,155,155,156,156,157,157,158,158,159,159,160,160,161,161</t>
  </si>
  <si>
    <t>,55,52,50</t>
  </si>
  <si>
    <t>,1,2,3,52,53,54,50,51,55,2,53,54,55,51,52,56,57,58,59,60,61,62,63,64,65</t>
  </si>
  <si>
    <t>,1,2,3,29,31,30,28,27,29</t>
  </si>
  <si>
    <t>,1,2,3,201,202,203,199,200,198,203,198,157,158,159,155,156,157,158,159,155,156,160,201,202,203,200,199,198,198,195,196,197,193,194,192,17,18,19,15,16,3,4,5,1,2,244,245,246,243,242,247</t>
  </si>
  <si>
    <t>,1,2,3,4,521,522,519,520,523,524,525,526,527</t>
  </si>
  <si>
    <t>,1,192,193,194,190,191,2,195,193,194,195,192,191,196,197,198,199,429,430,431,427,428,432,433,617,618,619,615,616,200,202,201,196</t>
  </si>
  <si>
    <t>,1,2,3,1,3,4,5,2,2,1,3,4</t>
  </si>
  <si>
    <t>,1,2,3,4,5,6,8,9,11,14,15,17,19,20,22,23,25,26,28,31,34,37,36,38,39,41,42,44,46,47,48,49,45,50,51,52,53,54,55,56,56,50,49,48,53,54,55,56,57,58,59,60,61,62,63,57,62,63,64,65,66,67,68,69,70,71,72,73,74,75,76,77,78,79,80,81,82,83,84,85,86,87,88,89,90,91,92,93,94,95,96,97,98,99,100,101,102,103,104,105,106,107,101,100,99,98,97,96,95,94,93,98,92,91,90,89,88,87,94</t>
  </si>
  <si>
    <t>MoU1SHLRDIDdXzcxeIqaTg==</t>
  </si>
  <si>
    <t>,1,2,3,14,7,8,9,10,6,11</t>
  </si>
  <si>
    <t>,1,2,3,219,220,221,217,218,219,220,221,221,222,223,224,225,224</t>
  </si>
  <si>
    <t>,31,32,33,34,34,35,36,37,38,39,40,41,42,43,44,45,46,47,48,49,50,51,52</t>
  </si>
  <si>
    <t>,1,2,3,212,213,214,210,211,212,219,219,220,220,221</t>
  </si>
  <si>
    <t>wKUt/jVivDMWNiKqu5hqeQ==</t>
  </si>
  <si>
    <t>Contemporary Perspectives on Jane Jacobs : Reassessing the Impacts of an Urban Visionary</t>
  </si>
  <si>
    <t>,24,25,26,22,23,27</t>
  </si>
  <si>
    <t>HT166 -- .C668 2014eb</t>
  </si>
  <si>
    <t>307.1/216</t>
  </si>
  <si>
    <t>,1,2,3,34,35,36,32,33,37,38,39,40,41,42,43,44,45,47,46,48,49,50</t>
  </si>
  <si>
    <t>,1,2,3,28,29,30,26,27,28,18,28,62,48,49,49,50,62,62,63,62,63,63,63,64,182,183,184,185,212,226,212,226,212,213,214,215,216,217,218,217,218,219,218</t>
  </si>
  <si>
    <t>,1,2,3,164,165,166,162,163,242,243,244,240,241,48,49,50,46,47</t>
  </si>
  <si>
    <t>FUPu1wQ8SMrP6UStje8HUw==</t>
  </si>
  <si>
    <t>Sasanian World through Georgian Eyes : Caucasia and the Iranian Commonwealth in Late Antique Georgian Literature</t>
  </si>
  <si>
    <t>DS286 -- .R29 2014eb</t>
  </si>
  <si>
    <t>935/.707072039536</t>
  </si>
  <si>
    <t>RJ8/stZ7LMrlFx278WYRdg==</t>
  </si>
  <si>
    <t>,1,2,3,287,328,326,327,329,333,334,335,337,339,340,341,338,336,331,7,6,8,19,20</t>
  </si>
  <si>
    <t>+EY8EecnmfQ+TepUcIj3/A==</t>
  </si>
  <si>
    <t>,1,2,3,7</t>
  </si>
  <si>
    <t>,1,2,3,503,504,505,501,502,506,507,508,509</t>
  </si>
  <si>
    <t>ZxNbljTwIU5ixggFJv3UBg==</t>
  </si>
  <si>
    <t>Empire, Education, and Indigenous Childhoods : Nineteenth-Century Missionary Infant Schools in Three British Colonies</t>
  </si>
  <si>
    <t>,1,2,3,24,25,26,23,22,27</t>
  </si>
  <si>
    <t>LA411.7 -- .M39 2014eb</t>
  </si>
  <si>
    <t>,1,3,2,412,414,415,416,414,415,412,413,417,410,411,204,236,234</t>
  </si>
  <si>
    <t>QsGyyk6TNSN09nt4XQf5QA==</t>
  </si>
  <si>
    <t>,1,2,3,4,5,6,41,62,167,186,187,188,184,185</t>
  </si>
  <si>
    <t>,1,2,3,62,63,64,60,61,65,66,74,75,76,72,73,77,78,89,90,91,87,88,103,104,105,101,102,106,11,12,13,9,10,14</t>
  </si>
  <si>
    <t>,1,2,3,514,512,521,522,523,519,520,524,525,524,525,526,527</t>
  </si>
  <si>
    <t>,525</t>
  </si>
  <si>
    <t>,521,522,523,524,521,522,523,524</t>
  </si>
  <si>
    <t>,9,10,11,12,13,14,15,16,17,18,13,12,19</t>
  </si>
  <si>
    <t>,4,5,6,7,8,9,10</t>
  </si>
  <si>
    <t>,6,7,8,4,5,9</t>
  </si>
  <si>
    <t>,1,2,3,4,6,7,8,5</t>
  </si>
  <si>
    <t>,1,2,3,160,161,162,158,159,163,164,165,158,159,212,213,214,210,211</t>
  </si>
  <si>
    <t>Representing Children in Chinese and U.S. Children's Literature</t>
  </si>
  <si>
    <t>PL2449 -- .R47 2014eb</t>
  </si>
  <si>
    <t>895.109/9282</t>
  </si>
  <si>
    <t>,1,2,3,48,49,50,46,51,47,52,53,42,43,44,40,41,45,46,49,50,51,47,48,54,53,55,52,50,51,52,48,49,47,52,53</t>
  </si>
  <si>
    <t>Zpx4M8bTY5oLUtXiwI+0Dg==</t>
  </si>
  <si>
    <t>,39,34,1,34,36,35,32,33,37,38,2,39,40,41,42,43,44,45,46,47,48,49,50,51,52,53,54,55,56,57,59,61,62,64,65,66,67,70,71,73,74,75,77,78,79,80,81,82,76</t>
  </si>
  <si>
    <t>,1,2,3,4,5,6,23,24,25,21,22,26,2,27,28,29,30,31,32,33,34,35,36,38</t>
  </si>
  <si>
    <t>q2zjeZe9R6UF5ttjIkkNWg==</t>
  </si>
  <si>
    <t>,1,2,3,493,494,495,491,492,496,497,498,499,500,501,502,503</t>
  </si>
  <si>
    <t>,504,505,506,502,503,501,500,499,498,497,495,496,494,492,493,491,479,480,481,477,478,491,499,500,501,502,503,504,505,506,507,508</t>
  </si>
  <si>
    <t>,1,493</t>
  </si>
  <si>
    <t>,91,92,93,94,95,96,97,98,99,100,115,116,117,114,118,102,100,103,104,101,105,106,107,108,109,110,111,112,113,114,116,117,157,158,159,156,155,149,150,151,152,148,153</t>
  </si>
  <si>
    <t>,46,47,47,42,47,42,47,48,48</t>
  </si>
  <si>
    <t>,1,1,2,2,3,3,4,4,5,5,7,7,6,6,8,8,9,9,10,10,11,11,12,12,13,13,14,14,15,15,16,16,17,17,18,18,19,19,20,20,2,21,22,22,23,21,23,42,42,43,43,40,44,44,41,41,45,45,40,45,46,46</t>
  </si>
  <si>
    <t>,1,2,3,87,88,94,95,96,85,89,86,87,88,89,85,86,90</t>
  </si>
  <si>
    <t>,8,9,10,11,13,14,18,19,16,17</t>
  </si>
  <si>
    <t>,1,2,3,4,22,23,24,20,21,25,26,27,28,29,30,45,46,47,43,44,33</t>
  </si>
  <si>
    <t>Traveling the 38th Parallel : A Water Line around the World</t>
  </si>
  <si>
    <t>,1,2,3,4,5,6,7,8,9,10,11,12,14,15,13,16</t>
  </si>
  <si>
    <t>GC28 -- .C37 2013eb</t>
  </si>
  <si>
    <t>,1,2,3,4,5,6,7,8,9,10,11,13,14,12,15,16,17</t>
  </si>
  <si>
    <t>,1,2,3,1,3,2</t>
  </si>
  <si>
    <t>rHos4hiwSP9HwFZJsBz0Jw==</t>
  </si>
  <si>
    <t>Learner-Centered Teaching : Five Key Changes to Practice</t>
  </si>
  <si>
    <t>,1,1,3,2,3,2,4,4,4,2,2</t>
  </si>
  <si>
    <t>LB2331 .W39 2013</t>
  </si>
  <si>
    <t>378.1/2; 378.12; 378.125</t>
  </si>
  <si>
    <t>,1,2,3,72,73,74,75,76,71,77,78</t>
  </si>
  <si>
    <t>,1,2,1,2,3,3,72,73,72,73,70,71,71,72,73,72,74,73,74,70,71,71,2,2,72,70,76,76,76,72</t>
  </si>
  <si>
    <t>,1,2,3,3,1,2</t>
  </si>
  <si>
    <t>,1,2,2,3,1,3,72,73,72,74,73,74,21,22,21,23,22,19,23,76,78,76,77,78,77,75,75,70,71,71</t>
  </si>
  <si>
    <t>5j1gmAEQPBOJjbSUdJuauA==</t>
  </si>
  <si>
    <t>,1,2,3,62,63,64,61,60,65,66,67,68,69,70,71,72,73,74,75,76,77,78,79,80,81,82,83,84,85,86,87,88,89,90,91,92,93,94,95,96,97,98,99,100,101,102,103,104,105,106,107,109,110,110,1,112,111,109,108,107,106,2,113,114,116,1,117,118,119,115,116,2,120,114,113,122,123,1,123,124,125,121,122,120,119,2,118,117,116,126,127,128,129,130,131,132,133,134,135,136,138,140,143,145,144,146,150,151,152,148,149,147,153,154,155,156,157,158,159,160,161,162,163,165,166,166,1,168,167,164,165,163,169,2,170,171,172,173,174,175,176,177,178,179,180,181,182,183,184,185,186,187,189,190,191,1,188,189,187,185,186,184,2,193,195,1,195,197,193,194,192,191,190,2,198,1,198,199,200,196,197,2,201,195,194,193,192,191,190,189,202,203,204,205,206,207,208,210,1,211,212,209,210,208,2,214,215,216,217,218,219,220,221,222,224,225,223,8,9,10,6,7,11,282,283,12,13,14,15,16,17,18,19,20,21,22,23,24,25,26,27,28,29,30,31,32,33,34,35,36,37,38,39,40,41,42,43,44,45,46,47,48,49,50,51,52,53,54,55,56,57,58,59,60,61,62,63</t>
  </si>
  <si>
    <t>,41,42,44,48,59</t>
  </si>
  <si>
    <t>,1,2,3,51,52,53,49,50,54,55,56,57,58</t>
  </si>
  <si>
    <t>,490,491,492,488,489,493,494,495,490,496,497,498,499,500,501</t>
  </si>
  <si>
    <t>,1,2,3,60,61,62,58,59,60,63,64,65,66,67,64,65,66,62,63,67,68,69,70,71,72,73,74,61</t>
  </si>
  <si>
    <t>,1,2,3,388,390,389,386,387,391,392,393,394,395,396,397,398,399,400,401,402,403,404,405,406,407,408,503,505,506,507,503,504,508,509,510,511</t>
  </si>
  <si>
    <t>,1,2,3,4,5,6,60,61,62,58,59,63,64,65,66,67,70,69</t>
  </si>
  <si>
    <t>,1,2,3,31,32,33,29,30,34,37,36,35,42,43,44,40,41</t>
  </si>
  <si>
    <t>,1,2,3,4,5,6,44,45,46,42,47,43,48,49</t>
  </si>
  <si>
    <t>Invasive Species and Global Climate Change</t>
  </si>
  <si>
    <t>QH353 -- .Z575 2014eb</t>
  </si>
  <si>
    <t>578.6/2</t>
  </si>
  <si>
    <t>,1,3,2,4,34,35,36,32,33,37,38,24,13,10,9,8,11,7,12,14,15</t>
  </si>
  <si>
    <t>,1,2,3,2,3,1,2,55,56,2,55,60,56,61,62,59,58,60,62,61,59,60,61,60,62,61,62,59,58,59,60</t>
  </si>
  <si>
    <t>fbwgMVuXI7Y2EWz6FfSq7Q==</t>
  </si>
  <si>
    <t>Reading Literature Historically : Drama and Poetry from Chaucer to the Reformation</t>
  </si>
  <si>
    <t>,1,2,3,4,5,6,7,8,215,216,214,213,212,210,211,128,116,117,118,114,194,196,195,192,193</t>
  </si>
  <si>
    <t>PR149.H57 -- W35 2013eb</t>
  </si>
  <si>
    <t>,14,15,16,17,19,20,21,21,1,22,19,20,2,24,25,27,28,23,18,17,15,16,20,15,14,12,13,10,11,8,9,7,6,12,13,14,15,16,17,18,19,20,21,22,23,24,25,26,27,28,29,30,31,32,33,34,35,36,37,38,39,40,41,42,36,41,42,43,44,45,46,47,48,49,50,51,52,53,54,56,220,221,218,219,217,216,215,222,42,43,44,40,41,134,42,43,44,40,41,48,49,50,51,52,53,54,55,56,57,58,59,60,61,62,63,64,63,64</t>
  </si>
  <si>
    <t>,1,3,2,8,10,9,6,7,11,12,13</t>
  </si>
  <si>
    <t>bsRXnPFNTRNO9dRjPqM/+w==</t>
  </si>
  <si>
    <t>,1,3,2,16,18,17,15,14,2,13,1,2,3</t>
  </si>
  <si>
    <t>,1,3,2,535,536,533,534,539,515,516,537,533,534,539,159,147,142,115,116,98,99,100,96,97,229,230,231,227,228,232,233,234,235,236,237,238,239,240,241,334,335,336,332,333,337,338,339,340,341,342,343,344,345,346,347</t>
  </si>
  <si>
    <t>,1,124,125,126,122,123,127,128,129,198,199,200,196,197,2</t>
  </si>
  <si>
    <t>,1,2,3,109,110,111,107,108,112,113,114,197,198,199,195,196,200,201,1,2,3</t>
  </si>
  <si>
    <t>,1,2,3,29,30,31,28,29,27</t>
  </si>
  <si>
    <t>,1,2,2,3,3,1,2,2,48,49,49,50,46,48,50,47,47,45,44,43,43,42,42,45,44,46,48,49,50,51,51,47,52,52</t>
  </si>
  <si>
    <t>hZKtGSFq7781VZ01Dli83Q==</t>
  </si>
  <si>
    <t>,1,3,2,6,10,4,5,7,8,9,11,12,13,14,15,16,17,18,19,20,21,22,23,24,25,33,40,53,45,42,41,38,39,43,44,46,47,48,55,60,61,62,58,59,57,56,54,52,51,50,49</t>
  </si>
  <si>
    <t>,1,2,3,151,152,153,149,150,154,155,156,157,158,159,169,170,171,167,168,172,173,167,168,174,175,176,177,178,27,28,29,25,26,525,527,523,524,526,100,101,102,98,99,103,97</t>
  </si>
  <si>
    <t>,151,152,169,170,171,172,173,174,175,169,170,171,172,173,174,175,176,100,99</t>
  </si>
  <si>
    <t>,140,140</t>
  </si>
  <si>
    <t>,1,1,2,3,2,3,4,4,5,5,6,6,2,2,7,7,136,137,136,137,138,134,138,135,135,139,139,134,139</t>
  </si>
  <si>
    <t>,1,2,3,71,72,73,74,70,75,76,83,84,85,81,82,86,88,89,90,92,93,94,99,100,101,104,105,106,107,102,87,91,103,98</t>
  </si>
  <si>
    <t>,1,2,3,29,30,31,27,28,29,30,29</t>
  </si>
  <si>
    <t>,1,2,3,87,88,89,85,86,90,91,92,93,94,95,96,97,98,100</t>
  </si>
  <si>
    <t>,1,2,3,24,25,26,22,23,24,25,26</t>
  </si>
  <si>
    <t>,87,87,87,88,89,90,90,91,92,93,94,95,96,97,98,99,100,101,102,102,103,104,105,106,106,107,108,109,110,111,111,111,112,112,113,114,115</t>
  </si>
  <si>
    <t>,1,2,3,4,5,6,7,8,9,10,5,25,25,31,26</t>
  </si>
  <si>
    <t>MvrTchO155A=</t>
  </si>
  <si>
    <t>,1,2,3,4,5,6,7,8,9,10,11,12,179,181,180,178,177,238,239,237,240,236,274,275,276,272,273,285,287,286,283,284,319,321,320,318,317,322</t>
  </si>
  <si>
    <t>,41,42,43,41,42,39,39,41,44,45</t>
  </si>
  <si>
    <t>,39</t>
  </si>
  <si>
    <t>,1,2,3,1,17,21,22,27,28,41,22,32,41,39,41,42,43,39,39,30,40</t>
  </si>
  <si>
    <t>Female Transgression in Early Modern Britain : Literary and Historical Explorations</t>
  </si>
  <si>
    <t>,1,2,3,44,45,46,42,43,47,48,49,50,51,52,53,54,55,56,57,58,59,60,61,62,63</t>
  </si>
  <si>
    <t>PR428.W63 -- .F46 2014eb</t>
  </si>
  <si>
    <t>820.9/9287</t>
  </si>
  <si>
    <t>,1,2,3,55,56,57,53,54,58,60,61,62,63,64,65,66,67,68,69,70,71,72</t>
  </si>
  <si>
    <t>,1,2,3,1,3,4,5</t>
  </si>
  <si>
    <t>1svdPgHaO5v+n0zi/+PDow==</t>
  </si>
  <si>
    <t>Towards a Refugee Oriented Right of Asylum</t>
  </si>
  <si>
    <t>,1,2,3,4,5,6,7,8,10,9,11</t>
  </si>
  <si>
    <t>K3268.3 .T69 2015</t>
  </si>
  <si>
    <t>342.08/3; 342.083; 342.08''3</t>
  </si>
  <si>
    <t>/mLraLNoT6cVwBuNUL5OhA==</t>
  </si>
  <si>
    <t>Spanish Grammar For Dummies</t>
  </si>
  <si>
    <t>,1,2,3,20,21,22,18,19,25,26,27,23,24,28,29,30</t>
  </si>
  <si>
    <t>PC4112 -- .K73 2012eb</t>
  </si>
  <si>
    <t>gBJQrT6+9kkXl5fVyJen6A==</t>
  </si>
  <si>
    <t>Richard Baxter's Reformed Liturgy : A Puritan Alternative to the Book of Common Prayer</t>
  </si>
  <si>
    <t>,242,244,245,246,248,250</t>
  </si>
  <si>
    <t>BV193.G7 -- .S44 2014eb</t>
  </si>
  <si>
    <t>264/.059</t>
  </si>
  <si>
    <t>h9WgGVWPkzaiv382fXHmgg==</t>
  </si>
  <si>
    <t>,135,136,137,138,139,140,141,142,143,144,145,146,147,151,152,153,159,160,161,162,163,164,165,166,167,168,169,170,171,172,173,174,175,176,179,180,181,182,183,184,185,186,187,188,189,190,191,192,193,194,195,196,197,198,199,200,201,202,203,204,205,206,207,208,209,210,211,212,213,214,220,221,222,223,224,225,236,237</t>
  </si>
  <si>
    <t>,1,234,236,232,237,238,2,239,240,241,243,235</t>
  </si>
  <si>
    <t>YqIqTga+lmn3iLvoN0+4aQ==</t>
  </si>
  <si>
    <t>,1,2,2,3,1,3,1,2,2</t>
  </si>
  <si>
    <t>,1,2,3,13,14,15,11,12,25,26,27,24,23,28</t>
  </si>
  <si>
    <t>,135,136,137,133,134,236,237,238,234,235,239,240,134,174,137,175,176,177,173,179,180,181,178,236,237,238,239,235</t>
  </si>
  <si>
    <t>,135,136,137,138,139,140,141,142,143,144,145,146,147,148,149,150,151,152,153,154,155,156,157,158,159,160,161,162,163,164,165,166,167,168,169,170,171,172,173,174,175</t>
  </si>
  <si>
    <t>,26,27,28,29,30,31,32,33,34,35,36,37,38,39,40,41,42,43,44,45,46,47,48,49,50,51,52,53,26,27,28,29,30,31,32,33,34,35,36,37,38,39,40,41,42,43,44,45,46,47,48,49,50,51,52,53,26,27,28,29,30,31,32,33,34,35,36,37,38,39,40,41,42,43,44,45,46,47,48,49,50,51,52,53</t>
  </si>
  <si>
    <t>,1,2,1,1,2,3,3,2,2</t>
  </si>
  <si>
    <t>J+O+sJ5DtAN8lx0tztZ0Pg==</t>
  </si>
  <si>
    <t>,28,29,30,31,32,33,34,35,36,37,38,39,40,41,42,43,44,45,46,47,48,49,50,51,52,53,54,55,56,57,58</t>
  </si>
  <si>
    <t>,1,2,3,1,19,21,21,22,23,19,20,24,25,26,27</t>
  </si>
  <si>
    <t>UXUR1kFXVI5DBT0LRvixog==</t>
  </si>
  <si>
    <t>,1,2,3,127,128,125</t>
  </si>
  <si>
    <t>,120</t>
  </si>
  <si>
    <t>,1,2,3,123,124,125,121,122,126,127</t>
  </si>
  <si>
    <t>,29,30,31,32,33,34,35,36,37,38,39,40,41,42,43,44,45,46,47,48,49,50,51,52,53,54,55,56,57,84,85,86,82,83,433,434,430,81,80,78,79,76,72,70,71,68,69,67,65,66,63,64,61,62,60,55,56,52,53,57,58,59,60,55,54,53,52,57,58,59,60,61,62,63,64,65,57,55,56,66,67,68,69,180,181,182,178,179</t>
  </si>
  <si>
    <t>,1,3,2,4,5,6,7,8,9,10,11,12,13,14,15,16,17,18,19,20,21,22,23,24,25,26,27,28</t>
  </si>
  <si>
    <t>,80,81,82,83,84,85,86,87,88,89,90,91,92,93,94,95,96,97,98,99</t>
  </si>
  <si>
    <t>,1,2,3,80,81,82,78,79,83,84,85,86,87,88,89,2,90,91,92,93,94,95,79,78,80</t>
  </si>
  <si>
    <t>Brewing Justice : Fair Trade Coffee, Sustainability, and Survival</t>
  </si>
  <si>
    <t>,23,40,41,42,38,39,43,69,70,71,67,68,66,72,73,74,75,76,64,65,66,62,63,77,78,79,80,81,82,295,296,293,294,298,299,319,320,321,317,318,322,324,325,326,327,328,329,330,23,38,43,44,45,46,47,6,4,38,37,16,5,4,7,8,9,6,10,11,12,13,14,15,16,23,24,25,26,27,28,29,30,31,32</t>
  </si>
  <si>
    <t>HD9199.D442 -- .J344 2014eb</t>
  </si>
  <si>
    <t>,1,2,3,4,16,17,18,14,15,19,123,124,125,121,122,126,127,128,129,130,131,132,133,134,135,120,123,124,125,121,122,123,124,125,121,122,123</t>
  </si>
  <si>
    <t>,1,2,3,135,137,136,133,134</t>
  </si>
  <si>
    <t>,1,2,3,123,124,125,121,122</t>
  </si>
  <si>
    <t>,1,2,3,2,3,1,4,4,2,2,97,97,98,95,99,98,96,99,96,100,100,101,101</t>
  </si>
  <si>
    <t>,1,2,3,4,147,148,149,145,146,150,151,152,153,154,155,156,157,158,159,160</t>
  </si>
  <si>
    <t>,9,10,11,12,27,28,29,30,31,32,33,34,35,36,37,38,39,40,41,42,43,44,45,46,47,48,49,50,51,52,53,54,55,56,57,58,59,60,61,62,63,64,65,66,67,68,27,28,29,30,31,32,33,34,35,36,37,38,39,40,41,42,43,44,45,46,47,48,49,50,51,52,53,54,55,56,57,58,59,60,61,62,63,64,65,66,67,68,27,28,29,30,31,32,33,34,35,36,37,38,39,40,41,42,43,44,45,46,47,48,49,50,51,52,53,54,55,56,57,58,59,60,61,62,63,64,65,66,67,68,69,70,71,72,73,74,75,76,77,78,79,80,81,82,83,84,85,86,87,88,89,90,91,92,93,94,95,96,97,98,99,100,101,102,103,104,105,106,19,20,21,22,23,24,25,26</t>
  </si>
  <si>
    <t>30 Years After : Issues and Representations of the Falklands War</t>
  </si>
  <si>
    <t>,1,2,3,36,37,38,34</t>
  </si>
  <si>
    <t>F3031.5 -- .A13 2015eb</t>
  </si>
  <si>
    <t>997/.11024</t>
  </si>
  <si>
    <t>,1,2,3,147,148,149,145,146</t>
  </si>
  <si>
    <t>YspgC61SdI1iYRCA8fXD+A==</t>
  </si>
  <si>
    <t>,1,2,3,44,45,46,42,43,47,2,41,45,41,42,46,112,113,114,110,111,109,114,115,44,45,46,42,43,47,42,41,40,38,39,37,36,35,389,390,391,392,393,7,8,9,5,10,11,12,13,14,15,9,8,7,6,5,10,11,12,13,14,47,48,49,45,46,50,51,52,53,54,55,56,57,58,59,60,61,62,63,64,65,66,67,68,69,70,71,72,73,74,75,76,77,78,79,80,81,82,83,84,85,86,87,88,89,90,91,92,93,94,98,100,101,102,103,104,105,106,107,108,109,110,111,112,113,114,115,116,117</t>
  </si>
  <si>
    <t>,1,2,1,3,2,3,4,4,5,5,6,6,7,7,8,8,22,22,23,23,24,24,20,25,25,2,26,26,27,27,28,28,29,29,30,30,31,31,32,32,33,33,34,34,35,35,36,36,37,37,38,38</t>
  </si>
  <si>
    <t>,1,2,3,43,44,48,49,50,46,51,47,52,53</t>
  </si>
  <si>
    <t>Sovereignty in Post-Sovereign Society : A Systems Theory of European Constitutionalism</t>
  </si>
  <si>
    <t>KJE5078 .P75 2015</t>
  </si>
  <si>
    <t>,41,42,43,44,45</t>
  </si>
  <si>
    <t>,1,2,3,43,44,45,46,47,48,49,50,51,52,53,54,55,56,57</t>
  </si>
  <si>
    <t>,1,2,3,37,39,38,35,36,40,35</t>
  </si>
  <si>
    <t>,1,2,3,31,32,33,29,30,34,35,36,37,38,39,40,41,42,43,44,45</t>
  </si>
  <si>
    <t>ysRIFvnCr7f1Wz92tdaaPw==</t>
  </si>
  <si>
    <t>,1,2,3,1,15,16</t>
  </si>
  <si>
    <t>,1,2,3,20,21,22,18,19,15,16,17,13,14</t>
  </si>
  <si>
    <t>Z7LNbthakNk=</t>
  </si>
  <si>
    <t>,28,29,30,31,32,32</t>
  </si>
  <si>
    <t>nYwABNIViNI9sxl4w7qYLg==</t>
  </si>
  <si>
    <t>,2,1,3,25,26,27,23,37,38,39,41,42</t>
  </si>
  <si>
    <t>,1,2,3,62,63,64,60,61,2,82,83,84,80,81,85</t>
  </si>
  <si>
    <t>Seeing the Light : Exploring Ethics Through Movies</t>
  </si>
  <si>
    <t>Fine Arts; Philosophy</t>
  </si>
  <si>
    <t>PN1995.5 -- .T395 2012eb</t>
  </si>
  <si>
    <t>,1,2,3,9,10,11,7,8,12,13,201,202,209,211,210,207,208,212,213,214,215,216,217,220,221,222,218,219,207,206,205</t>
  </si>
  <si>
    <t>,1,2,1,2,3,3,4,4,5,5,6,6,7,7,8,8,2,3,8,9,9,10,10,11,11,12,12,13,13,14,14,15,15,16,16,17,17,18,18,19,19,20,20,21,21,22,23,22,23,24,24,25,25,26,26,27,27,28,28,29,29,1,29,30,29,1,30,31,27,31,28,28,2,2,26,25,24,23</t>
  </si>
  <si>
    <t>,1,2,3,1,2,3,4,4,4,2,2</t>
  </si>
  <si>
    <t>,1,2,2,1,3,3,2,2,30,31,30,31,28,32,32,29,29,27,32</t>
  </si>
  <si>
    <t>,1,2,3,4,5,6,7,8,9,10,11,12,13,14,15,16,18,17,19,20,21,24,25,26,23,22,27,28,29,30,31,32,33,34,35,36,37,38,39,40,41,42,43,44,45,46,47,48,49,50,51,52,53,54,55,56,57,58,58,59,60,61,62,63,64,65,66,67,68,70,69,71,72,73,74,75,76,80,81,82,78,79,83,84,85,76,74,75,73,77,76,75,74,73,72,71,70,69,83,84,85,86,87,68</t>
  </si>
  <si>
    <t>,1,2,3,4,5,6,7,8,9,10,11,12,13,14,15,16,18,19,20,17,23,22,24,25,27,26,28,21</t>
  </si>
  <si>
    <t>,1,2,3,65,66,67,63,64,68,69,70,71,72,73,74,75,76,77,78,79,80,81,82,83,84,85</t>
  </si>
  <si>
    <t>,1,2,3,44,45,46,42,43,47,48,41,40,38,39,37,36,35,34,32,33,31,30,29,62,63,64,60,61,82,83,84,80,59,58,57,56,55,54,53,51,52,49,50,81,85</t>
  </si>
  <si>
    <t>QZZuu8xpmjg=</t>
  </si>
  <si>
    <t>,1,2,3,147,148,149,146,145,150,151,152,153,154,155,156,157,158,159,160,161,162,163,164,165,166,167,168,169,170,171,196,197,198,194,195,193,191,189,188,186,184,183,180,178,177,176,175,174,173,172,179,181,182,185,187,190,192</t>
  </si>
  <si>
    <t>,1,2,3,4,6,5,7,8,9,10,12,11,14,13,15,16,17,21,22,23,20,24,25,26,27,28,29,30,31,32,34,33</t>
  </si>
  <si>
    <t>,21,21,22,23,23,24,24,25,26,27,28,28,29,30,31,32,32,33,34,35,35,36,37,38,39,40,41,42,43,44,44,44,47,47,47,48,48,49,50,50,51,51,52,53,53,54,54,55,56,57,58,59,60,61,62,62,62,65,65,66,67,68,68,69,69,70,71,72,73,74,75,76,77,78,79,80,80,81,82,82,83,83</t>
  </si>
  <si>
    <t>,152,153</t>
  </si>
  <si>
    <t>,1,2,3,147,149,148,145,146,150,151,196,197,198,195,194</t>
  </si>
  <si>
    <t>,1,2,3,21,23,22,24,20,19</t>
  </si>
  <si>
    <t>,1,3,2,47,48,49,46,45,50,51,52,53,54,55,56,58,57,59,60,61,62,63,64,65,66,67,68,82,83,80,84,81,78,79,77,75</t>
  </si>
  <si>
    <t>Hgs1SHWP8vVgHjC2NicmgQ==</t>
  </si>
  <si>
    <t>,5,6,7,8,9,10,11,12,13,14,15,16,17,18,19,20,21,22</t>
  </si>
  <si>
    <t>,1,2,3,48,49,50,46,47,51,52,53,54,27,21,22,23,20,18,19,17,24,25,26,8,28,29,30,31,32,33,34,35,36,37,38,39,40,41,42,43,44,45,46,47,49,50,51,52,53,54</t>
  </si>
  <si>
    <t>,1,2,3,32,33,34,30,31,35,40,41,42,38,39,43,44,45,46,47,48,37,36,39,44,40,44,40,46,47,48,41</t>
  </si>
  <si>
    <t>,1,2,2,1,3,3,21,22,21,23,19,22,23,20,20,25,24,25,24,2</t>
  </si>
  <si>
    <t>3DhJWFfoC5Fr3CN263XlYQ==</t>
  </si>
  <si>
    <t>,1,23,22,24,20,21,2,22,23,24,20,21,1,21,23,22,19,20,18,17,16,15,13,14,12,10,11,9,8,7,6,4,5,2</t>
  </si>
  <si>
    <t>,21,22,23,24,25,26,27,28,29,30,31,32,33,34,35,36,37,38,39,40,41,42,43,44,45,46,47,48,49,50,51,52,53,54,55,56,57,58,59,60,61,62,63,64,65,66,67,68,69,70,71,72,73,74,75,76,77,78,79,80,81,82,83,84,85,86,87,88,89,90,91,92,93,94,95,96,97,98,99,100,101,102</t>
  </si>
  <si>
    <t>,1,3,2,4,5,6,7,9,10,14,15,17,23,24,25,21,22</t>
  </si>
  <si>
    <t>,1,2,3,51,52,53,49,50,54,55,56,57,37,38,39,35,36,40,41,473,470,468,474,475,476,477,471,472,469,478,479,480,73,74,75,71,72,76,77,78,79,80,81,82,323,321,326,329,324,325,322,327,328,414,411,1,416,413,414,415,411,412,2,417,418,419,420</t>
  </si>
  <si>
    <t>,1,2,3,29,30,31,27,28,29,30,29,28,29,30</t>
  </si>
  <si>
    <t>,1,2,3,27,28,29,25,26,27,28</t>
  </si>
  <si>
    <t>,1,2,2,3,3,1,29,30,29,30,31,27,31,28,28,2,32,32,33,33,34,34,35,35,30,29,28,33,34,35,36,36,31,30,29,28,27,26,25,24,23,28,23,28,29,30,31,32,33,34,35,36,37,37,38,38,39,39,40,40,41,41,42,42,43,43,44,44,26,27,28,24,25,29,30,31,26,31,26,31,36,37,38,34,35,39,40,41,42,43,44,45,45,46,46,47,47,48,48,43,42,41,40,39,38,43,44,45,46,47,48,49,49,50,50,45,44,42,41,20,20,21,18,22,21,22,19,19,23,24,25,26,27,28,29,30,31,32,33,34,35,36,37,45,46,47,43,44,48,43,48,49,50,44,45,43,42,41,40,39,38,37,36,35,34,33,45,46,47,43,44,48,49,44,43,48,49,50,45,44,43,42,41,40,45,40,39,38,37,36,35,34,33,32,31,30,29,28,27,25,26,24,23,22,27,28,29,30,31,32,33,34,35,36,37,38,39,40,41,42,43,44,45,46,47,48,49,50,45,42,41,43,39,40,38,37,36,35,34,32,33,31,29,30,28,27,26,25,24,23,28,23,22,27,22,21,26,27,28,23,22,27,28,23,22,27,28,23,22,27,28,23,28,29,30,31,32,33,34,35,36,37,38,39,40,41,42,43,44,45,46,47,48,49,50,51</t>
  </si>
  <si>
    <t>,1,2,3,32,33,34,30,31,35,36,37,38,39,40,41,42,43,44,45,46,47,48,49,50,51,39,37,38,33,34,35,31,32,30,36</t>
  </si>
  <si>
    <t>,1,2,2,3,3,1,24,25,24,26,25,2,26,2,22,23,23,27,27,28,28,23,28,23,28,23,22,21,20,19,17,18,23,24,25,26,27,28,29,29,30,30,31,31,32,32,33,33,34,34,35,35,36,36,37,37,38,38,39,40,39,41,40,41,42,42,43,43,44,44,45,45,46,46,47,47,48,48,49,49,50,50,51,51,45,42,40,38,37,34,32,30,27,26,25,24,22,23,27,22,27,28,23,22,27</t>
  </si>
  <si>
    <t>,29,35,36,37,38,39,40,41,42</t>
  </si>
  <si>
    <t>,1,3,2,18,19,20,16,17,21,22,23,24,25,26,27,28,29,30,31,32,33,34</t>
  </si>
  <si>
    <t>g5uGTdH7+ActAZDTqIdEmA==</t>
  </si>
  <si>
    <t>Big Bucks : The Explosion of the Art Market in the 21st Century</t>
  </si>
  <si>
    <t>,1,2,3,4,5,6,7,8,9,203,204,205,201,202,206,207,208,209,2,202,199,198,189,188,187,186,159,152,145,138,131,124,117,103,89,90,91,87,86,85,83,84,82</t>
  </si>
  <si>
    <t>N8600 -- .A33 2014eb</t>
  </si>
  <si>
    <t>,1,2,3,19,20,21,17,18,22,23,24,25,26,23,23,23,24,23,23,24,24,25,26</t>
  </si>
  <si>
    <t>,1,2,3,32,33,31,34,30,32,33,34,31,30,29,35,33,36,37,38,39,40,41,42,43,44,45,46</t>
  </si>
  <si>
    <t>WvZqlZ1iF3w=</t>
  </si>
  <si>
    <t>Manhood and the Making of the Military : Conscription, Military Service and Masculinity in Finland, 1917–39</t>
  </si>
  <si>
    <t>,9,10,11,12,13,14,15,16,17,18,19,20,21,22,23,24,25,26,27,28,29,30,31,32,33,34,35</t>
  </si>
  <si>
    <t>UB345.F5 -- .A353 2014eb</t>
  </si>
  <si>
    <t>355.2/236309489709041</t>
  </si>
  <si>
    <t>,1,2,2,3,3,1,4,4,5,5,6,6,9,10,9,10,11,7,11,8,8,12,12,2,13,13,14,14</t>
  </si>
  <si>
    <t>PkIixi8N7+f94mxtR3IXcg==</t>
  </si>
  <si>
    <t>,426,427,428,421,83,1,2,3,4,5,6,7,8</t>
  </si>
  <si>
    <t>,1,247,248,249,245,246,2,420,422,421,418,419,423,424,425</t>
  </si>
  <si>
    <t>JNRKv8qZNaSH2DBkv5oJTQ==</t>
  </si>
  <si>
    <t>Fishes: A Guide to Their Diversity</t>
  </si>
  <si>
    <t>,1,2,3,38,39,40,36,37,41,42,43,44</t>
  </si>
  <si>
    <t>QL615 -- .H37 2014eb</t>
  </si>
  <si>
    <t>IJB7TX9JCR1gv6J8nyRspA==</t>
  </si>
  <si>
    <t>,1,1,3,2,1,3,2,1,147,148,147,149,148,145,149,146,146,2</t>
  </si>
  <si>
    <t>,147,148,149,150,151,152,153,154,155,156,157,158,159,160,161,162,163,164,165,166,167,168,169,170,171,172,173,174,175,176,177,178,179,180,181,182,183,184,185,186,187,188,189,190,191,192,193,194,195</t>
  </si>
  <si>
    <t>,147</t>
  </si>
  <si>
    <t>,145,150,151,151,146,145,150,145,150,145,151,152,153,152,153,196,196,197,195,197,195,193,194,194,195,195,195,147,147,148,149,145,146</t>
  </si>
  <si>
    <t>,1,1,3,3,1,1,2,2,147,148,149,147,148,149,146,146,145,2,150,150</t>
  </si>
  <si>
    <t>lqhKz7+9n0DZFE3K8U+6rQ==</t>
  </si>
  <si>
    <t>,1,1,2,3,2,3,147,148,149,147,148,149,145,146,146,151,151,152,154,152,158,154,158,159,162,159,162,164,166,164,166,2,167,168,167,168,165,165,147,148,149,145,146,8,9,10,9,6,10,8,7,7,147,148,149,145,146,150,150,151,152,147,152,153,153,154,155,155,156,156,157,157,158,159,160,160,161,161,162,163,163,164,165,166,167,168,169,169,170,170,171,171,172,172,172,173,173,174,174,175,175,176,176,177,177,178,178,179,179,180,180,181,181,182,183,182,183,184,184,185,185,186,186,187,188,187,188,183,188,189,189,190,190,191,191,192,192,187,192,193,193,194,194,195,195,196,196,197,197,198,198,199,193,186,160,199,5,1,5,3,13,196,195,193,192,185,181,180,13,174,169,170,165,164,163,161,162,157,156,155,154,152,153,151,150,149,148,146,147,145</t>
  </si>
  <si>
    <t>,1,3,2,35,36,37,33,34,38,38,39,40,41,42,43,44,45,46,47,48,49</t>
  </si>
  <si>
    <t>,30,31,32,33,584,586,583,582,587,588,521,522,523,520,524,525</t>
  </si>
  <si>
    <t>,1,2,3,27,29,28,25,26</t>
  </si>
  <si>
    <t>,1,2,3,1,2,3,21,23,22,20,19,24,25,23,24,21,25,22,26,27,28,29,30,31,32,33,34,35,36,37</t>
  </si>
  <si>
    <t>,1,2,3,4,5,6,7,8,9,10,521,522,523,519,520,524,525,526,527</t>
  </si>
  <si>
    <t>,1,2,3,160,161,162,158,159,163,156,157,154,155,160,124,125,126,122,123,355,356,357,353,354,150,151,152,149,163,164,165,169,170,171,167,168</t>
  </si>
  <si>
    <t>JFO+dZ+A9NU=</t>
  </si>
  <si>
    <t>,1,2,3,4,5,6,7,8,9,10,11,12,13,14,15,16,17,18,19,20,21,22,23,24,25,26,27,28,29,30,31,32,33,34,35,36,37,38,39,40,41,42,43,44,45,46,47,48,49,50,51,52,53,54,52,741,740,739,738,737,736,735,734,733,732,731</t>
  </si>
  <si>
    <t>,1,2,3,1,15,19,21,21,21,22,23,20,19,18,24,25,26</t>
  </si>
  <si>
    <t>,1,2,3,5,6,7,4,20,22,21,18,19,8</t>
  </si>
  <si>
    <t>,1,2,3,29,28,30,27,26,31,32,69,70,71,68,67,72,51,52,53,50,49,54</t>
  </si>
  <si>
    <t>,1,2,3,1,2,3,21,23,22,19,20,21,23,22,20,19,24</t>
  </si>
  <si>
    <t>,7,1,2,3</t>
  </si>
  <si>
    <t>,1,2,3,1,21,21,21,21,21,21</t>
  </si>
  <si>
    <t>Tb1ivyruZwJltL0PdcB2Vw==</t>
  </si>
  <si>
    <t>Museum Representations of Maoist China : From Cultural Revolution to Commie Kitsch</t>
  </si>
  <si>
    <t>Museums</t>
  </si>
  <si>
    <t>AM7 -- .B345 2014eb</t>
  </si>
  <si>
    <t>,1,265,266,267,263,264,2,267,263,264,263,264,265,266,267,263,265,266,263,264,268,263,269,270,271,272,273,274,275,276,271,270,269,15,16,17,18,13,14,19,20,21,22,23,24,25,26,27,28,29,30,31,32,16,13,14,16,17,18,14,15,19,19,20,21,15,21,21,22,23,23,23,24,25,25,26,27,28,30,29,29,30,31,32,31,32,31,31,32,1,265,266,267,263,264,2,28,29,30,26,27,31,33,24,25,22,23,20,21,26,23,22</t>
  </si>
  <si>
    <t>,265,266,267,268,269,270,271,272,273</t>
  </si>
  <si>
    <t>,147,148,147,149,148,149,146,145,146,150,153,150,153</t>
  </si>
  <si>
    <t>,1,1,1,2,3,2,3,147,148,147,149,148,149,146,147,146,2,145,150,150,151,152,151,153,152,153,154,154,149,147,21,21,148,145,146,147,147,147</t>
  </si>
  <si>
    <t>,1,1,147,147,148,148,149,149,145,146,146,150,150,2,151,152,2,152,151,153,153,154,154,155,155,156,156,157,157,158,158,159,159,160,160,161,161,162,162,163,163,164,164,165,165,166,167,167,166,168,168,169,169,170,171,170,171,172,172,173,173,174,174,175,176,175,176,177,177,178,178,179,180,179,180,181,181,182,182,183,183,184,184,185,186,185,187,186,187,188,188,189,189,190,190,191,192,191,192,193,193,194,195,194,195,196,197,196,197,198,198,193,192,188,189,190,186,187</t>
  </si>
  <si>
    <t>Music and Transcendence</t>
  </si>
  <si>
    <t>Education; Fine Arts</t>
  </si>
  <si>
    <t>L3921 .M87 2015</t>
  </si>
  <si>
    <t>Manuscript Inscriptions in Early English Printed Music</t>
  </si>
  <si>
    <t>ML93 .G74 2015</t>
  </si>
  <si>
    <t>Small Musical Worlds in the Mediterranean : Ethnicity, Globalization and Greek Cypriot Children's Musical Identities</t>
  </si>
  <si>
    <t>ML3917.C93 P54 2015</t>
  </si>
  <si>
    <t>780.83''095693</t>
  </si>
  <si>
    <t>Magister Jacobus de Ispania, Author of the Speculum musicae</t>
  </si>
  <si>
    <t>ML170 .B384 2015</t>
  </si>
  <si>
    <t>Twenty-First-Century Legacy of the Beatles : Liverpool and Popular Music Heritage Tourism</t>
  </si>
  <si>
    <t>ML421.B4 B75 2015</t>
  </si>
  <si>
    <t>782.42166092/2; 782.42166092''2</t>
  </si>
  <si>
    <t>From the chanson française to the canzone d'autore in the 1960s and 1970s : Authenticity, Authority, Influence</t>
  </si>
  <si>
    <t>ML3489 .H43 2015</t>
  </si>
  <si>
    <t>Pevsner : The BBC Years:Listening to the Visual Arts</t>
  </si>
  <si>
    <t>N7483.P457 .G384 2015</t>
  </si>
  <si>
    <t>Cracks in the Dome : Fractured Histories of Empire in the Zanzibar Museum, 1897-1964</t>
  </si>
  <si>
    <t>DT449.Z28 L66 2015</t>
  </si>
  <si>
    <t>Meaning of Modern Architecture : Its Inner Necessity and an Empathetic Reading</t>
  </si>
  <si>
    <t>NA680 .M64 2015</t>
  </si>
  <si>
    <t>724.6; 724''.6; 724/.6</t>
  </si>
  <si>
    <t>Show Must Go On! Popular Song in Britain During the First World War</t>
  </si>
  <si>
    <t>ML3650.5 .M86 2015</t>
  </si>
  <si>
    <t>782.421640941/09041; 782.42164094109041; 782.421640941''09041</t>
  </si>
  <si>
    <t>Royal Fever : The British Monarchy in Consumer Culture</t>
  </si>
  <si>
    <t>DA28.35.W54</t>
  </si>
  <si>
    <t>929.7/2</t>
  </si>
  <si>
    <t>7c0r5u12a0m2S3+y08yV9Q==</t>
  </si>
  <si>
    <t>Classicism of the Twenties : Art, Music, and Literature</t>
  </si>
  <si>
    <t>,1,2,3,4,6,7,20,21</t>
  </si>
  <si>
    <t>NX180</t>
  </si>
  <si>
    <t>700/.414209042</t>
  </si>
  <si>
    <t>,1,2,3,156,157,158,154,155</t>
  </si>
  <si>
    <t>Linear Regression Analysis</t>
  </si>
  <si>
    <t>QA278.2 -- .S4 2003eb</t>
  </si>
  <si>
    <t>519.5/36</t>
  </si>
  <si>
    <t>,1,2,3,31,33,29,32,30,27,28,25,26</t>
  </si>
  <si>
    <t>Statistics for Exercise Science and Health with Microsoft Office Excel</t>
  </si>
  <si>
    <t>,1,2,3,487,488,489,490,491,492,493,494,495,496,497,498,499,500,501</t>
  </si>
  <si>
    <t>GV741 -- .V47 2014eb</t>
  </si>
  <si>
    <t>613.7/1</t>
  </si>
  <si>
    <t>ifhtxVFSsslDSWtM81yBUg==</t>
  </si>
  <si>
    <t>,1,2,3,4,5,6,7,9,10,21,22,23,20,19</t>
  </si>
  <si>
    <t>Museums, Migration and Identity in Europe : Peoples, Places and Identities</t>
  </si>
  <si>
    <t>,1,2,2,3,3,1,48,48,46,50,49,47,50,48,47,49,2,49,50,49,51,51,52,53,52,53,54,54</t>
  </si>
  <si>
    <t>,49,50,51</t>
  </si>
  <si>
    <t>Mobility and Migration Choices : Thresholds to Crossing Borders</t>
  </si>
  <si>
    <t>JV6225 .M637 2015</t>
  </si>
  <si>
    <t>How Forests Think : Toward an Anthropology Beyond the Human</t>
  </si>
  <si>
    <t>F2230.2.K4 -- K68 2013eb</t>
  </si>
  <si>
    <t>Nomadic and Indigenous Spaces : Productions and Cognitions</t>
  </si>
  <si>
    <t>GN387 -- .N592 2013eb</t>
  </si>
  <si>
    <t>305.9/06918</t>
  </si>
  <si>
    <t>,1,2,3,3,2,1,43,44,43,44,41,45,42,45,42,40,45,2,46,46,47,47,48,48,49,49,50,50,45,50,51,51,46,45,44,42,41,40,38,39,38,36,37,35,36,39,37,27,26,28,27,28,25,24,26,25,29,29,30,30,32,31,32,31,49,48,50,47,46,51,45,42,35,32,26,27,28,24,25,29,30,25,30,25,24,28,29,48,30,49,46,51,47,50,52,52,53,54,53,54,49,48,47,52,53,54,51,52,53,49,50,48,47,52,53,48,53,54,24,25,26</t>
  </si>
  <si>
    <t>,1,2,3,19,20,21,17,18,79,79</t>
  </si>
  <si>
    <t>,19,20,21,22,23,24,25,26,27,28,29,30,31,32,33,34,35,36,37,38,39,40,41,42,43,44,45,46,47,48,49,50,51,52,53,54,55,56,57,58,59,60,61,62,63,64,65,66,67,68,69,70,71,72,73,74,75,76,77,78</t>
  </si>
  <si>
    <t>,1,2,3,47,48,49,45,46,50,24,25,26,22,23,27,400</t>
  </si>
  <si>
    <t>,1,2,2,3,3,1,36,37,36,38,37,38,34,35,35,39,39,2,40,40,35,40,35,40,35,40,35,40,41,41,42,42,42</t>
  </si>
  <si>
    <t>ITOCzDLJ0llclWocCmcO6A==</t>
  </si>
  <si>
    <t>,2,1,3,48,49,50,46,51,47</t>
  </si>
  <si>
    <t>,1,2,3,48,49,50,51,47,52,53,46,47,45,44,43,42,30,29,31,27,28,26,25,24,23,22,21,19,20,18,32,33,34,35,36,37,38,39,40,41,46,47,48,49,50,51</t>
  </si>
  <si>
    <t>W6rBXG/hlpjNZ3ADhAglzg==</t>
  </si>
  <si>
    <t>,1,2,3,48,49,50,46,47,51,52,53,54,48,47</t>
  </si>
  <si>
    <t>,1,2,3,1,2,3,4,5,6,7,8,9,10,11,12,13,14,15,16,17,18</t>
  </si>
  <si>
    <t>,1,2,3,5,8,9,10,11,12,20,21,22,23,19,18,16,17,25,24,27,26,28,29,30,31,32,33,34,35,36</t>
  </si>
  <si>
    <t>,1,2,3,4,5,6,4,16</t>
  </si>
  <si>
    <t>RPvDcxrOI1AbYMm4CwGEyg==</t>
  </si>
  <si>
    <t>Data Warehouse Lifecycle Toolkit</t>
  </si>
  <si>
    <t>,1,2,3,36,37,38,39,40,35,33,34,32,30,31,28,29,27,26,24,25,23,22,21,19,20</t>
  </si>
  <si>
    <t>QA76.9.D37 -- D38 2008eb</t>
  </si>
  <si>
    <t>kf418m9OmKxrS5fxRjmBTg==</t>
  </si>
  <si>
    <t>Washington Brotherhood : Politics, Social Life, and the Coming of the Civil War</t>
  </si>
  <si>
    <t>,1,2,3,4,5,6,7,8,9,10,11,12,13,14,15,16,17,18,19,20,21,22,23,24,25,26,27,28,29,30,31,32,33,34,35,36,37,38,39,40</t>
  </si>
  <si>
    <t>E166 -- .S55 2013eb</t>
  </si>
  <si>
    <t>,1,2,3,78,80,76,81,61,62,68,71,74,72,73</t>
  </si>
  <si>
    <t>,21,16,22,23,24,25,26,27,28,29,30,31,32,34,36,39,25,17,18,19,20,16,21,22,23,24,26,40,47,44,56,54,55,59,1,2,3</t>
  </si>
  <si>
    <t>,26,26,27,27,25,27,25,27,26,24,26,24,23,28,28,23,28,29,30,29,31,30,31,32,33,32,33,34,34,35,36,35,36,37,37,32,31,30,28,29,27,26,25,24</t>
  </si>
  <si>
    <t>,1,2,2,3,3,1,4,4,5,5,7,6,8,7,8,6,9,9,2,10,10,11,12,12,11,13,13,14,14,15,15,16,17,16,18,18,17,19,19,20,20,21,21,22,22,23,23,24,24,25,25,20,25</t>
  </si>
  <si>
    <t>,1,2,2,3,1,3,4,5,4,5,7,7,6,1,6,2,2,5,14,14,61,71,73,61,71,48,73,74,48,76,74,120,76,120,121,121,122,122,339,339,340,341,337,340,341,608,608,607</t>
  </si>
  <si>
    <t>MTBaNGpLsFWJDNUfTigqCQ==</t>
  </si>
  <si>
    <t>,1,2,3,4,68,69,70,66,67,71,72,73,74,75,76,77,78,79,80,81,82,83,84,85,76,77,78,79,80,81,82,83,84,85,75,73,72,71,70,69,74,86</t>
  </si>
  <si>
    <t>,1,2,3,4,5,6,7,8,9,147,148,149,145,146</t>
  </si>
  <si>
    <t>,1,2,3,39,40,41,37,38,42,43,44,45,48,49,50,51,52,53,54</t>
  </si>
  <si>
    <t>,1,2,3,4,137</t>
  </si>
  <si>
    <t>,1,2,3,65,66,67,63,64,65,66,67,68,69,70,2,102,103,104,80,71,63,64</t>
  </si>
  <si>
    <t>,1,2,3,43,44,45,41,42,46,47,48,49,50,51,52,53</t>
  </si>
  <si>
    <t>,1,3,2,16,17,18,14,15,22,24,20,21,25,270,271,272,268,269,31,70,71,144,145,142,143,141,136,137,138,139,135,140,141,142,143,144,145,146,147,148,149,151,152,153,156,157,158,154,159,160,161,162,163,164</t>
  </si>
  <si>
    <t>,1,2,3,270,271,18,14,15</t>
  </si>
  <si>
    <t>,1,2,3,26,27,28,25,29,30,31,32,24,30,31,32,33,25,24,31,32,33,28,34,35,36,37,38</t>
  </si>
  <si>
    <t>,1,2,3,48,49,50,46,47,51,36,37,38,34,35,39,40,41,29,25,24,26,22,23,27,28,22,52,53</t>
  </si>
  <si>
    <t>,1,2,3,50,51,52,48,49,50,51,52,48,49,2,53,54,55,56,57,58,59,60,61,62,63,64</t>
  </si>
  <si>
    <t>,1,2,2,3,1,3,4,4,5,5,1,2,2,4,5,6,6</t>
  </si>
  <si>
    <t>,26,27,28,24,25,29,30,46,24,31,24,32</t>
  </si>
  <si>
    <t>,1,2,3,48,49,50,46,47,51</t>
  </si>
  <si>
    <t>AObSN5IWCgm3/Ocf88kNKQ==</t>
  </si>
  <si>
    <t>,1,2,3,5,6,7,8,9,10,17,18,19,15,16</t>
  </si>
  <si>
    <t>,1,2,3,48,49,50,46,47,51,52,53,2</t>
  </si>
  <si>
    <t>,1,2,3,37,38,39,35,36,40,34,26,27,28,25,24,29,30,31,24,30,31,32</t>
  </si>
  <si>
    <t>,1,2,3,1,2,3,4,5,6,7,8,9,10,11,12,13,14,15,16,17,18,19,20,21,22,23,24,25,26,27,28,29,30,32,33,34,31,35,36,37,38,39,40,41,42,43,44,45,46,47,48,49</t>
  </si>
  <si>
    <t>,1,2,3,1,2,3,10,13,14,15,11,12,13,4,22,23,21,19,20,24,1</t>
  </si>
  <si>
    <t>,1,2,3,29,33,34,35,31,32,33</t>
  </si>
  <si>
    <t>,1,2,3,198,199,201,197,202,196,203,204,205,206,207,208,211,212,215,220,216,214,219,221,222,223,224,225,226,227,228,229,230,231,232,233,235,238,119,120,121,218,219,220,200,196,197,217,221,222,223,224,225,226,227,228,229,227,227,331,332,333,329,330,334,335,336,337,338,353,354,351,352,348,349,347,464,465,466,462,463,485,486,487,483,484,482,481,508,509,510,506,507,529,530,531,527,528,529</t>
  </si>
  <si>
    <t>,218,219,220,221,222,223,224,225,226,227,228,229,230,231,232,233,234,235,331,332,333,334,335,336,337,338,339,340,341,342,343,344,345,346,347,348,349,350,508,509,510,511,512,513,514,515,516,517,518,519,520,521,522,523,524,525,526,527,528,464,465,466,467,468,469,470,471,472,473,474,475,476,477,478,479,480,481,482,483,484</t>
  </si>
  <si>
    <t>,1,1,2,2,3,3,37,37,38,39,38,39,35,36,36,2</t>
  </si>
  <si>
    <t>,1,2,2,3,3,1,4,5,4,5,6,6,7,7,8,8,9,9,10,10,11,11,12,13,13,12,14,14,15,15,2,16,16,17,17,18,18,19,19,20,20,21,21,22,22,23,23,24,24,25,25,26,26,27,27,28,28,29,29,30,30,31,31,32,32,33,33,34,34,35,35,36,36,37,37,38,38,1,38,1,38,40,40,36,39,39,37,37</t>
  </si>
  <si>
    <t>,1,2,3,1,573,573,572,572,572,572,572,524</t>
  </si>
  <si>
    <t>,73,71,72,69,70,68,67,65,66,64,63,62,61,60,58,60,61,62,58,59,57</t>
  </si>
  <si>
    <t>,4,5,6,7,8,9,10,11,12,13,14,15,16,17,18,19,20,21,22,23,24,25,27,28,29,26,62,63,64,60,61,69,70,72,73,83,84,85,81,82,80,79,77,75,76,80,74</t>
  </si>
  <si>
    <t>,1,2,3,4,5,6,7,8,9,10,3,1,2</t>
  </si>
  <si>
    <t>6v47+citLS5EsaJkYbr3SA==</t>
  </si>
  <si>
    <t>,32,33,34,35,36,37,38</t>
  </si>
  <si>
    <t>,1,2,3,16,17,18,19,15,20,21,22,23,27,28,29,26,24,25,224,225,226,222,223,30,31</t>
  </si>
  <si>
    <t>KbLrs8w/nD7aturIc9bMzA==</t>
  </si>
  <si>
    <t>,1,2,3,4,5,6,7,5,521,69,323</t>
  </si>
  <si>
    <t>,3,9,10,11,12,13,14,16,15,17,28,29,30,26,18,19,19</t>
  </si>
  <si>
    <t>,1,2,3,4,8,16,17,14,18,19,15,13,11,12,9,10</t>
  </si>
  <si>
    <t>,15,14,13,19,20,21,22,23,14,1,2,3,4,5,6,7,8,9,10,12,11,13,14,15,16,17,18,19,20,21,22,23,24,25,7,37,6,1,6,8,7,4,5,2</t>
  </si>
  <si>
    <t>,1,2,3,4,5,6,7,8,9,10,2,16,15,17,13,14,18,19,20,18</t>
  </si>
  <si>
    <t>IHvSUjoPWi6OV6W+eIkiHg==</t>
  </si>
  <si>
    <t>,1,2,3,26,27,28,24,25,29,30,31,32,33,34,35,36,37,38,39</t>
  </si>
  <si>
    <t>,1,2,3,4,5,6,7,8,9,10,11,12,13,14,15,16,17,19,20,21,22,23,25,26,27,28,29,31,32,33,30,44,61,67,80,113,122,159,160,161,157,158,171,172,168,169</t>
  </si>
  <si>
    <t>,1,3,2,4,6,5,7,8,9,10,11,12,13</t>
  </si>
  <si>
    <t>Gkr0QNN7k40=</t>
  </si>
  <si>
    <t>,1,2,3,27,26,28,24,25,29,30,31,32,33,34,35,36,37,38</t>
  </si>
  <si>
    <t>,20,19,45,46,47,48,48,49,50,51,52</t>
  </si>
  <si>
    <t>fznpisefuutYjESrP5LtkQ==</t>
  </si>
  <si>
    <t>,1,2,3,4,5,6,7,8,9,3,2,1</t>
  </si>
  <si>
    <t>,1,2,3,37,38,39,36,35,40,41,42,43,44,45,46,47,48,49,50,51,52,53,54,55,34</t>
  </si>
  <si>
    <t>,32,31</t>
  </si>
  <si>
    <t>,1,2,3,34,35,36,32,33,31</t>
  </si>
  <si>
    <t>3z5ACaQIKiJfIdCAczLMxA==</t>
  </si>
  <si>
    <t>,1,2,3,4,25,26,27,23,28,24,53,54,55,51,56,57,58,59,60,61,62,63,64,65,66,67,68,69,70</t>
  </si>
  <si>
    <t>,37,39,35</t>
  </si>
  <si>
    <t>Venezuela</t>
  </si>
  <si>
    <t>F2308.5 .W56 2013</t>
  </si>
  <si>
    <t>,1,2,8,12,13,14,10,11,15</t>
  </si>
  <si>
    <t>Animal Andrology : Theories and Applications</t>
  </si>
  <si>
    <t>SF871 -- .A55 2014eb</t>
  </si>
  <si>
    <t>636.08/24</t>
  </si>
  <si>
    <t>,1,2,3,48,49,50,46,47,51,52,53,54,49,46,45,44</t>
  </si>
  <si>
    <t>,52,53,56,56,55,53,49,45,43,42,41,42,41,40,39,40,38,37,38,36,36,34,35,35,20,21,20,22,22,18,21,19,19,23,24,23,25,24,26,25,27,26,27,28,28,29,30,30,29,31,32,33,32,34,33,31</t>
  </si>
  <si>
    <t>,1,2,2,3,3,1,4,4,5,6,5,6,7,7,8,8,9,12,12,13,13,9,48,48,49,50,50,51,51,52,53,53,47,52,49,46,2,51,52,53,54,55,54,55,49,48,47,46,51,52,53,54,48,47,49,45,46,48,49,50,51</t>
  </si>
  <si>
    <t>,1,2,3,2,1,3,297,298,299,298,299,295,297,296,296,2,300,300,295,300,301,301,302,302</t>
  </si>
  <si>
    <t>,1,2,1,2,3,3,157,157,159,159,155,158,158,156,156,160,160,161,161,2,162,162,163,163,164,164,165,165,373,374,373,374,375,371,375,372,372,376,376,377,377,378,378,379,379,380,380,381,381,298,298,295,296,296</t>
  </si>
  <si>
    <t>ZHt7z+QSdEuxJLkGlAhu6w==</t>
  </si>
  <si>
    <t>,6,5,6,6,6,7,33,33,34,35,31,1,31,32,33,29,30,2,34,35,36,37,38,39,40,41</t>
  </si>
  <si>
    <t>,1,2,3,1,7</t>
  </si>
  <si>
    <t>,1,2,3,4,5,6,7,8,9,10,11,12,19,20,48,49,50,51,52,53,54,47</t>
  </si>
  <si>
    <t>Shamanism, Discourse, Modernity</t>
  </si>
  <si>
    <t>,260,265,266,267,267,262,260,257,256,257,256,250,250,249,251,251,249,247,248,248,229,199,229,156,199,156,137,137,138,138,134,135,135</t>
  </si>
  <si>
    <t>,1,2,3,26,27,28,24,25,2,23,22,29,30</t>
  </si>
  <si>
    <t>,1,2,1,2,3,3,2,2,373,373,374,374,371,372,372,264,264,265,265,266,266,262,263,263,261,265</t>
  </si>
  <si>
    <t>,1,2,3,25,26,27,28,29,30,31,32,33,34,35,36,37,38,39,40,41,42,43</t>
  </si>
  <si>
    <t>,108,107,106,105,104,103,102,100,101,405,406,407,403,404,408,410,411,412,413,414,415,349,350,185,187,134,135,136,137,138,139,141</t>
  </si>
  <si>
    <t>,26,27,28,24,25,23,29,30,31</t>
  </si>
  <si>
    <t>,1,2,3,80,81,78,79,83,84,92,93,90,91,95,97,98,99,125,132,133,134,130,131,129,128,126,127,124,123,122,120,121,119,118,117,115,116,114,113,111,112,110,109</t>
  </si>
  <si>
    <t>,1,2,3,13,14,15,11,16,17,18,19,20,12,2,19,20</t>
  </si>
  <si>
    <t>,25,26,27,28,29,30</t>
  </si>
  <si>
    <t>,1,2,3,4,5,6,7,5,19,19,20,20,20,20,21,22,18,19,17,23,24,48,49,50,46,47</t>
  </si>
  <si>
    <t>CphB6Ju+YSw=</t>
  </si>
  <si>
    <t>,1,2,3,82,83,84,80,81</t>
  </si>
  <si>
    <t>,21,22,23,20</t>
  </si>
  <si>
    <t>,135,136,137,138,139,140,141,142,143,144,145,146,147,148,149,150,151,152,153,154,155,156,157,158,159,160,161,162,163,164,165,166,167,168,169,170,171,172,173,174,175,177,178,179,180,181,182,183,184,185,186,187,188,189,190,191,192,193,194,195,196,197,198,199,200,201,202,203,204,205,206,207,208,209,210,211,212,213</t>
  </si>
  <si>
    <t>,11,13,12,9,10,11,17,18,19,19,19,20,21</t>
  </si>
  <si>
    <t>,1,2,3,4,5,6,7,9,10,11,8,13,14,15,12</t>
  </si>
  <si>
    <t>,1,2,3,22,23,24,21,20,78,79,80,77,76,75,74,73,72,70,71,69</t>
  </si>
  <si>
    <t>q0nUqy3fY9ONbs7yp6Ah5w==</t>
  </si>
  <si>
    <t>,1,2,3,4,5,6,7,8,10,11</t>
  </si>
  <si>
    <t>,35,34,32,30,27,25,22,20,16,18,14,11,9,1,5,7,3,4</t>
  </si>
  <si>
    <t>,1,2,3,4,5,6,7,8,9,10,5,11,13,12,14,15,16,17,18,19,20,21,22,23,24,25,26,27,28,29,30,31,33,32,34,35,37,38,39,40,36</t>
  </si>
  <si>
    <t>,2,1,2,3,3,1,1,2,2,3</t>
  </si>
  <si>
    <t>ilXehxKDClWB60RFQXipmQ==</t>
  </si>
  <si>
    <t>,1,2,3,4,5,6,7,8,9,10,11,12,13,14,15,20,21,22,18,19,23,24,25</t>
  </si>
  <si>
    <t>1GxzbByg6dc=</t>
  </si>
  <si>
    <t>,1,2,3,4,4,5,6,7,8,9,10,11,12,13,14,15,16,17,18,19,20,21,22,23,24,25,26,27,28,29,30,31,32,33,34,35,36,38,37,34,33,39,40,41,42,43,44,45,46,47,48,49,50,44,42,43,41,40,39,38,37,35,36,34,33,32,31,30,29,28,27,26,25,24</t>
  </si>
  <si>
    <t>,1,2,1,2,3,3,27,28,28,29,29,25,27,26,26,30,30,31,31,2,32,32,33,33,34,34,35,35,30,35,36,36,37,37</t>
  </si>
  <si>
    <t>,1,1,2,2,1,3,3,16,16,17,17,18,18,14,15,15,2,19,19,14,19,20,20,21,21,22,22</t>
  </si>
  <si>
    <t>,1,2,3,4,4,5,6,7,8</t>
  </si>
  <si>
    <t>,16,17,18,19</t>
  </si>
  <si>
    <t>G4cL6948WtKfxiGhWb4sCw==</t>
  </si>
  <si>
    <t>,1,2,3,16,17,18,14,15,19,20,21,22,23,16</t>
  </si>
  <si>
    <t>,1,2,3,51,52,53,49,50,51,52,53,54,52,53,50,51,55,56,57,58,54,59,60,61</t>
  </si>
  <si>
    <t>,41,42,43,44,45,46,47,48,49,50,51,52,53,54,55,56,57,58,59,60,100,101,102,103,104,105,106,107,108,109,110,111,112,113,114,115,116,117,118</t>
  </si>
  <si>
    <t>,1,2,3,41,42,43,39</t>
  </si>
  <si>
    <t>,1,3,2,21,22,23,19,20,89,82,84,81,87,88,86,83,85,83</t>
  </si>
  <si>
    <t>,1,2,3,42,43,44,40,41,45,46,47,48,49,50,51,52,53</t>
  </si>
  <si>
    <t>,46,46</t>
  </si>
  <si>
    <t>,1,2,3,26,27,28,25,24,32,18,7,8,9,5,6,10,11,12,13,27,28,24,25,29,23,22,21,20,19,18,17,16,15,14</t>
  </si>
  <si>
    <t>Uga2fhnPhz8AP9mxPNw1vA==</t>
  </si>
  <si>
    <t>,1,2,3,91,92,93,89,90,94,95,96,97,98</t>
  </si>
  <si>
    <t>4Vqa6hrrYx7FJow+2lndTg==</t>
  </si>
  <si>
    <t>,484,485,486,487,488</t>
  </si>
  <si>
    <t>,1,2,3,4,5,6,7,8,9,10,11,12,13,14,15,16,17,18,19,20,21,22,23,24,25,25,178,179,175,180,181,481,482,483,479,480</t>
  </si>
  <si>
    <t>B6zzgB8uFJH1ZaqayVcR3A==</t>
  </si>
  <si>
    <t>,1,2,1,3,3,2,2,2,263,263,265,265,261,264,264,262,262,266,266,261,266,261,260,259,258</t>
  </si>
  <si>
    <t>,1,2,3,4,5,6,7,8,9,10,11,12,13,17,15,14,19,28,18,21,20,16,24,25,22,29,1,33,33,35,35,31,31,7,37,45,46,301,6,2,3,4,5,1,5,7,6,3,4,4,1,5,6,3,2,2</t>
  </si>
  <si>
    <t>,21,21,22,23,23,24,24,25,26,27,28,28,29,30,31,32,32,33,34,35,35,36,37,38,39,40,41,42,43,44,44,44,44,45,46,47,47,47,47,48,48,49,50,50,51,51,52,53,53,54,54,55,56,57,58,59,60,61,62,62,62,62,63,64,65,47,47,47,48,48,49,50,50,51,51,52,53,53,54,54,55,56,57,58,59,60,61,62,62,62,62,63,64,65,47,65,65,66,67,68,68,69,69,70,71,72,73,74,75,76,77,78,79,80,80,81,82,82,83,83,83,84,85,86,87,65,65,66,67,68,68,69,69,70,71,72,73,74,75,76,77,78,79,80,80,81,82,82,83,83</t>
  </si>
  <si>
    <t>,1,2,1,2,3,3,4,4,2,2,2,5,5,6,6,7,7,8,9,8,9,10,10,11,11,12,12,13,13,14,14,15,15</t>
  </si>
  <si>
    <t>27w27An7O1Y=</t>
  </si>
  <si>
    <t>Reading Intervention in the Primary Grades : A Common-Sense Guide to RTI</t>
  </si>
  <si>
    <t>,21,1,23,22,19,20,2,24</t>
  </si>
  <si>
    <t>LC4705 -- .M48 2014eb</t>
  </si>
  <si>
    <t>Comprehension Instruction, Third Edition : Research-Based Best Practices</t>
  </si>
  <si>
    <t>,26,27,28</t>
  </si>
  <si>
    <t>LB1050.45</t>
  </si>
  <si>
    <t>,1,2,3,4,5,6,7,8,9,10,12,14,15,16,17,18,19,20,21,22,23,25</t>
  </si>
  <si>
    <t>,1,2,2,1,3,3,4,4,5,5,6,6,7,7,8,8,9,9,10,10,2,11,11,12,12,13,13,14,14,15,15,16,16,17,17,18,18,19,19,14,19,20,20,21,21,22,22,23,23,18,17,16,1,16,17,16,17,1,18,15,18,15,14,19,19,19,20,20,21,21,16,15,14,19,20,21,22,2,22,2,23,23,24,24,25,25,26,26,27,27,28,28,23,22,21,20,19,18,17,22</t>
  </si>
  <si>
    <t>DovXstiTXnvRCISQtAmRYw==</t>
  </si>
  <si>
    <t>,39,40,41,42,43,44,45,46,47,48,49,50,51,52,53,54,55,57,58,59,60,61,62,63,65,66,67,68,69,70,71,72,73,74,1,75</t>
  </si>
  <si>
    <t>,41,42,43,44,80,61,45</t>
  </si>
  <si>
    <t>,23,24,25,26,27,28,29,30,31,32,33,34,35,36,37,38,39,40</t>
  </si>
  <si>
    <t>,1,2,3,23,24,25,21,22,23</t>
  </si>
  <si>
    <t>,1,2,3,4,16,17,18,14,15,16,17,18,19,19,21,20,22,23,24,25</t>
  </si>
  <si>
    <t>ZrZvUWAyO1jg+0F3NHjuTg==</t>
  </si>
  <si>
    <t>The Final Pagan Generation</t>
  </si>
  <si>
    <t>,186,187,188,189,190,191,192,193,194,195,196,197,198,199,200,201,202,203,204,205,206,207,208,209,100,101,102,103,104,105,106,107,108,109,110,111,112,113,114,115,116,117,118,119,120,121,122,123,146,147,148,149,150,151,152,153,154,155,156,157,158,159,160,161,162,163,164,165,166,167</t>
  </si>
  <si>
    <t>BL432 -- .W38 2015eb</t>
  </si>
  <si>
    <t>,1,2,3,101,98,99,186,187,188,184,185</t>
  </si>
  <si>
    <t>,1,2,3,4,5,6,16,17,18,14,19,20,21,22,15</t>
  </si>
  <si>
    <t>,64,65</t>
  </si>
  <si>
    <t>,1,2,3,4,4,1</t>
  </si>
  <si>
    <t>czmMw1NLQfgoMpCvocxmDg==</t>
  </si>
  <si>
    <t>,1,2,3,4,8,10,12,16,17,19,21,23,26,24,25,22,47,49,46,45,79,80,81,77,78,100,101,102,98,99,97,103</t>
  </si>
  <si>
    <t>hYWOPC3swsPql51wFhaJhA==</t>
  </si>
  <si>
    <t>,1,2,3,10,9,7,8,11,12,13,14</t>
  </si>
  <si>
    <t>ucKjLhbBrW4x/WPyYEgHXQ==</t>
  </si>
  <si>
    <t>,7,8,9,10,11,12,13,14,15,16,17,18,22,23,24,25,21,52,53,54,50,51,55,56,57,58,60,61,62,59,63,64,65,66,67,68,69,70,71,72,73,74,76,75,77,78,79,80,81,82,83,84,85,86,87,88,69,56,22,13,7,1,8</t>
  </si>
  <si>
    <t>,1,2,3,4,5,6,7,4,4,4</t>
  </si>
  <si>
    <t>w0i3iv+BY9c=</t>
  </si>
  <si>
    <t>,146</t>
  </si>
  <si>
    <t>,1,2,3,147,149,145,150,146,145,144</t>
  </si>
  <si>
    <t>,1,2,3,2,3,1,34,35,34,35,36,32,33,37,36,33,38,37,38,39,39,40,40,2,41,41</t>
  </si>
  <si>
    <t>,11,15,21,23,26,27,28,29,30</t>
  </si>
  <si>
    <t>,18,10</t>
  </si>
  <si>
    <t>,1,2,3,20,21,22,18,19,65,67,64,63,66,68,69,70</t>
  </si>
  <si>
    <t>,1,3,1,3,2,2</t>
  </si>
  <si>
    <t>,1,2,1,2,3,3,16,17,18,16,18,14,17,15,15,19,19</t>
  </si>
  <si>
    <t>,1,2,3,4,16,17,18,19,20,21,22,23,24,25,26,27,28,14,15</t>
  </si>
  <si>
    <t>fbY0SYQZhhk=</t>
  </si>
  <si>
    <t>Anatomy and Anatomists in Early Modern Spain</t>
  </si>
  <si>
    <t>QM11 -- .S533 2015eb</t>
  </si>
  <si>
    <t>,1,2,3,4,5,6,7,8,9,10,28,43,29,11</t>
  </si>
  <si>
    <t>,1,2,3,4,2,25,41</t>
  </si>
  <si>
    <t>,1,1,2,2,3,3,4,4,5,5,6,6,1,2,2,6</t>
  </si>
  <si>
    <t>,1,2,3,446,447,444,445,448,279,280,277,25,26,27,23,24,52,54,51,50,53,31,32,33,30,29,34,35,36,31,28,31,30,31,37,28,13,19,51,34,34,37,35,36,34,38,39,40,41,42,36,28,29,30,26,27</t>
  </si>
  <si>
    <t>,1,2,3,4,5,6,7,8,9,10,11,12,13,14,15,16,17,18,19,23,40,20</t>
  </si>
  <si>
    <t>,602,603,604,600,601,591,7,8,9,5,6,10,11,160,161,162,158,159,163,164,165,166,192,193,156,157,154,155,167,168,166</t>
  </si>
  <si>
    <t>,1,2,3,67</t>
  </si>
  <si>
    <t>vdAnIA4VvZE=</t>
  </si>
  <si>
    <t>,1,383,384,385,381,382,2</t>
  </si>
  <si>
    <t>Global Shift, Seventh Edition : Mapping the Changing Contours of the World Economy</t>
  </si>
  <si>
    <t>,20,26,24,22,23,27,25</t>
  </si>
  <si>
    <t>HD2321 -- .D53 2015eb</t>
  </si>
  <si>
    <t>338.09/051</t>
  </si>
  <si>
    <t>,383</t>
  </si>
  <si>
    <t>,1,2,3,383,384,385,381,382</t>
  </si>
  <si>
    <t>,1,2,3,4,5,6,7,8,9,10,11,12,13,14,15,16,17,19</t>
  </si>
  <si>
    <t>n3GYPCJxY/IJGIGbYIvj/w==</t>
  </si>
  <si>
    <t>History of Western Philosophy</t>
  </si>
  <si>
    <t>,1,2,3,11,8,5,1,2,3,4,5,6,7,8,9,10,11,12,13,14,15,16,17,18</t>
  </si>
  <si>
    <t>B72 -- .B66 2012eb</t>
  </si>
  <si>
    <t>,7,8,9,5,6,10,11,12,13</t>
  </si>
  <si>
    <t>,4,4,5,5,3,25,13,26,31</t>
  </si>
  <si>
    <t>rwAM3OWzHeE=</t>
  </si>
  <si>
    <t>,1,2,3,4,19,20,21,17,18,22,2,23,24,25,26,27,22,21,26,27,28,29,30,31,32,33,34,35,36,37,41,42,43,39,40,44,45,46,29,30,31,27,28,32,33,34,35</t>
  </si>
  <si>
    <t>,87,88,89,85,86,90,91,92,93,93,94,95,96,97,100,100,111,111,112,113,112,109,110,110,115,116,117,114,118,118,119,119,120,120,179,179,181,181,177,178,178,184,184,185,185,182,182,186,186,187,187,185,201,201,199,200,200,180,181,180,182,178,179,183,183,184,185</t>
  </si>
  <si>
    <t>,1,2,2,1,3,3,2,2,87,87,88,88,89,89,85,86,86,90,90,91,91,115,115,116,116,113,114,114,158,158,159,159,155,156,156,115,116,117,113,117,157,158,157,159,155,156,160,160,87,88,89,85,86,90,91,92,92,94,94,95,95,96,96,97,97,115,116,117,113,114</t>
  </si>
  <si>
    <t>Linux Essentials</t>
  </si>
  <si>
    <t>QA76.76.O63 -- S5884584 2012eb</t>
  </si>
  <si>
    <t>,1,2,3,13,14,15,11,12,16,17,18,19,25,26,27,28,24,29,30,31,32,33,34,15,26,27,28,24,25,23,11,12</t>
  </si>
  <si>
    <t>,39,39,40,40</t>
  </si>
  <si>
    <t>,1,2,1,2,3,3,2,2,4,4,5,5,6,6,7,7,8,8,9,9,10,10,34,34,36,35,32,35,33,33,36,34,35,36,35,32,36,33,33,34,37,37,38,38</t>
  </si>
  <si>
    <t>,1,148,149,150,146,147,2,151,152,153,154,155,156,93,91,92,94</t>
  </si>
  <si>
    <t>The Birth of Territory</t>
  </si>
  <si>
    <t>,1,255,256,253,257,254,2,258,259,260,261,262,263,264,265,266,267,268,269,270,271,272,273,274,275,276,277,279,278,280,281,282,283,284,285,286,287,288,289,290,291,292</t>
  </si>
  <si>
    <t>JC319</t>
  </si>
  <si>
    <t>WcR2h43MeV7ovC6fIaZgIQ==</t>
  </si>
  <si>
    <t>,1,2,3,4,6,5,7,8,9,10,11,12,13,14,15,16,58,59,60,56,57,587,588,589,585,586,583,584,348,350,346,347,351</t>
  </si>
  <si>
    <t>,1,2,3,4,5,6,4,26,37,27,26,27,28,24,29,25,26,27,28,26,24,25,29,16,17,18,14,19,20,21,22,23,15,13</t>
  </si>
  <si>
    <t>,1,2,3,4,5,76,77,78,74,75</t>
  </si>
  <si>
    <t>,1,2,3,4,5,6,7,8,9,10,11,12,13,14,15,16,26,27,28,24,25,29,22,23,20,21,19,17,18</t>
  </si>
  <si>
    <t>,27,27,26</t>
  </si>
  <si>
    <t>,1,2,3,16,17,18,19,20,21,22,23,24,25,20</t>
  </si>
  <si>
    <t>,1,2,3,4,8,9,16,17,18,19,20,21,22,23,24,25,26,27,28,29,30,31,32,33,34,35,36,37,38,39,40,41,42,43,44,45,46,47,48,49,50,51,52,53,1,2,3,8,9,16,17,18,19,20,21,22,23,24,25,26,27,28,29,30,31,32,33,34,35,36,37,38,39,40,41,42,43,44,45,46,47,48,49,50,51,52,53,1,2,3,8,9,16,17,18,19,20,21,22,23,24,25,26,27,28,29,30,31,32,33,34,35,36,37,38,39,40,41,42,43,44,45,46,47,48,49,50,51,52,53,1,2,3,8,9,26,27,28,29,30,31,32,33,34,35,36,37,38,39,40,41,42,43,44,45,46,47,48,49,50,51,52,53,1,2,3,8,9,26,27,28,29,30,31,32,33,34,35,36,37,38,39,40,41,42,43,44,45,46,47,48,49,50,51,52,53</t>
  </si>
  <si>
    <t>NPtz8sjBG4sFsyyC1pNK/w==</t>
  </si>
  <si>
    <t>,16,17,18,16,17,18,14,17,18</t>
  </si>
  <si>
    <t>,16,17,18,19,20,21,22,23,24,25,16,17,18,19,20,21,22,23,24,25</t>
  </si>
  <si>
    <t>,1,2,3,16,17,18,14,15,16</t>
  </si>
  <si>
    <t>l0rjLJiNX/eE9p3hO+duvQ==</t>
  </si>
  <si>
    <t>,25,26,27,28,29,30,31,32,33,34,35,36,37,38,39,40,41,42,43,44,45,46,47,48,49,50,1,2,3,8,9,16,17,18,19,20,21,22,23,24,25,26,27,28,29,30,31,32,33,34,35,36,1,2,3,8,9,16,17,18,19,20,21,22,23,24,25,26,27,28,29,30,31,32,33,34,35,36,37,38,39,40,41,42,43,44,45,46,47,48,49,50,51,52,53</t>
  </si>
  <si>
    <t>SzQFEgfLOjAL+DSJYBllpg==</t>
  </si>
  <si>
    <t>,1,2,3,16,17,18,14,15,35,4,5,6,7,8,9,10,11,12,13</t>
  </si>
  <si>
    <t>,1,2,3,4,5,6,7,8,9,10,11,12,13,14,16,17,18,15,26,27,28,24,25</t>
  </si>
  <si>
    <t>,1,2,3,76,77,78,74,75,73</t>
  </si>
  <si>
    <t>,16,17,18,14,15,19,20,21,22,13,1,3</t>
  </si>
  <si>
    <t>,16,17,18,19,20,21,22,23,24,25,26,27,28,29,30,31,32,33,34,35,36,54,55,56,57,58,59,60,61,62,63,64,65,66,67,68,69,70,71,72,73,74,75</t>
  </si>
  <si>
    <t>HOXCkwck/0QmgRW+H6TPVQ==</t>
  </si>
  <si>
    <t>Life on Display : Revolutionizing U.S. Museums of Science and Natural History in the Twentieth Century</t>
  </si>
  <si>
    <t>Science: General; Science: Biology/Natural History; Science</t>
  </si>
  <si>
    <t>QH70</t>
  </si>
  <si>
    <t>508.074/73</t>
  </si>
  <si>
    <t>,16,17,18,19,26,27,28,29,30,31,32,33,34,35,36,54,55,56,57,58,59,60,61,62,63,64,65,66,67,68,69,70,71,72,73,74,75</t>
  </si>
  <si>
    <t>,1,2,3,5,6,7,8,9,10,16,17,18,14,15,19,20,21</t>
  </si>
  <si>
    <t>svffOsZ2D/ZQiNjM5QCfMg==</t>
  </si>
  <si>
    <t>,1,2,3,4,5,6,7,8,9,10,11,12,13,14,15,16,17,18,19,20,202,203,204,200,201</t>
  </si>
  <si>
    <t>,1,2,3,4,5,6,7,8,6</t>
  </si>
  <si>
    <t>,77,78,29,30,50,51,52,48,49,53,54,56</t>
  </si>
  <si>
    <t>,139,140,141,142,143,144,145,146,147,148,149,150,151,152,153,154,155,156,157,158,159,160,161,162,163</t>
  </si>
  <si>
    <t>,1,2,3,27,28,29,30,31,32,33,34,35,37,36,38,39,50,51,52,48,53,101,103,104,100,139,140,137,138,193,194,195,257,258,259,255,256,328,329,330,326,351,374,375,399,400,352,353,349,350,141,142,143,144,145,164,165,163,161,162</t>
  </si>
  <si>
    <t>hnF/+1Q0a2IF577m3cgi0w==</t>
  </si>
  <si>
    <t>Mapping Gendered Routes and Spaces in the Early Modern World</t>
  </si>
  <si>
    <t>,194,195,196,197,198,199,200,201,202,203,204,205,206,207,208,209,210,211,212,213,214,215,216,217</t>
  </si>
  <si>
    <t>HQ1075 -- .M366 2015eb</t>
  </si>
  <si>
    <t>,1,2,3,194,195,196,192,193,197,198,199,200,201,202,203,204,205,207,208,209,210,211,213,214,216,217,218,219,212</t>
  </si>
  <si>
    <t>,2,2,3,3,1,1,39,40,39,36,40,37,37,2,41,41</t>
  </si>
  <si>
    <t>iPhone Portable Genius</t>
  </si>
  <si>
    <t>Engineering; Engineering: Electrical; Business/Management</t>
  </si>
  <si>
    <t>TK6570.M6 -- .M344 2014eb</t>
  </si>
  <si>
    <t>,1,1,2,2,3,3,4,4</t>
  </si>
  <si>
    <t>TdSMrElr6Mg=</t>
  </si>
  <si>
    <t>,33,34,36,37,205,206,207,204,203</t>
  </si>
  <si>
    <t>,1,2,3,4,5,25,26,27,23,24,28,29,30,31,32</t>
  </si>
  <si>
    <t>,1,2,3,7,6,4,5,8,9,10,11,12,13,14,15</t>
  </si>
  <si>
    <t>,272,2</t>
  </si>
  <si>
    <t>,1,272,273,274,270,271</t>
  </si>
  <si>
    <t>,1,2,3,9,19,4,5,6</t>
  </si>
  <si>
    <t>N2lqFxnyJcCvtLDVZyFZmA==</t>
  </si>
  <si>
    <t>,2,1,3,4,33,34,35,31,32,36,7,8,9,5,6</t>
  </si>
  <si>
    <t>VgGn4Ip9bfhb40pQcF1Kig==</t>
  </si>
  <si>
    <t>Attachment Theory and Research : New Directions and Emerging Themes</t>
  </si>
  <si>
    <t>,280,281,282,283,284,285,286,289,13,14,15,11,12,16</t>
  </si>
  <si>
    <t>BF575.A86 -- .A8195 2015eb</t>
  </si>
  <si>
    <t>,1,2,3,275,276,277,273,274,278,279</t>
  </si>
  <si>
    <t>,1,2,3,1,19</t>
  </si>
  <si>
    <t>,1,2,3,7,8,28,34,35,36,38,37,39,40,41,49,50,47,51,52,53,55,335,336,337</t>
  </si>
  <si>
    <t>,1,2,3,328,329,330,331,327,332,333,334,335,336,338</t>
  </si>
  <si>
    <t>h6lyioHA06xDwo7YuFIxSg==</t>
  </si>
  <si>
    <t>,311</t>
  </si>
  <si>
    <t>,1,2,3,1,307,307,308,309,305,310,306,103,104,105,101,102</t>
  </si>
  <si>
    <t>,1,2,2,1,3,3,4,4,5,5,6,6,7,7,10,11,10,12,11,12,9,8,9,2,67,68,67,69,68,69,65,66,66,110,111,110,112,111,112,108,109,109,141,142,141,143,142,143,178,179,179,182,182,141,142,143,183,183,10,11,12,8,9</t>
  </si>
  <si>
    <t>Emergent Urbanism : Urban Planning &amp; Design in Times of Structural and Systemic Change</t>
  </si>
  <si>
    <t>,1,2,3,176,177,178,174,175,112,113,114,110,111,109,107,108,106,115</t>
  </si>
  <si>
    <t>HT166 -- .E47 2014eb</t>
  </si>
  <si>
    <t>Confirmatory Factor Analysis for Applied Research, Second Edition</t>
  </si>
  <si>
    <t>,1,2,3,307,308,309,305,306,310,311,312,313,314,315,319,321,322,323,324,318</t>
  </si>
  <si>
    <t>BF39.2.F32 -- .B769 2015eb</t>
  </si>
  <si>
    <t>THG60ardWMeSnW6l5I4bfQ==</t>
  </si>
  <si>
    <t>,174</t>
  </si>
  <si>
    <t>,1,2,3,177,176,178,175,179,167,168,169,170,166,171,172,173,172,173</t>
  </si>
  <si>
    <t>,1,2,3,4,317,318,319,315,316,320,312,313,308,305,309,310,304,1,305,304,306,302,307,309,2,308</t>
  </si>
  <si>
    <t>,1,2,3,4,24,25,26,22,27,28,29</t>
  </si>
  <si>
    <t>,1,2,3,4,5,27,28,29,25,26,30,31,32,33,34</t>
  </si>
  <si>
    <t>,1,1,2,3,2,3,2,2</t>
  </si>
  <si>
    <t>,1,10,11,12,8,9,182,178,179,172,194,1,2,3</t>
  </si>
  <si>
    <t>,1,2,3,16,17,18,19,20,21,22,23,24,25,26,27,28,29,30,31,32,33,34,35,36,37,38,39,40,41,42,43,44,45,46,47,48,49,50,51,52,53</t>
  </si>
  <si>
    <t>,1,4,5,6,2,3,7,8,9,26,27,28,24,29,30,31,32,25,16,15,14,13,11,12</t>
  </si>
  <si>
    <t>,13,1,3,4,5,6,7,8,11,12,13,1,4,5,6,7,9,3,10,11,12,8,13,50,51,52,48,49,53</t>
  </si>
  <si>
    <t>,1,2,3,9,10,8</t>
  </si>
  <si>
    <t>,1,2,3,4,5,6,7,8,9,10,11,12,13,14,15,16,17,18,19,13</t>
  </si>
  <si>
    <t>,1,2,2,1,3,3,1,4,4,2,2,4,5,5,6,6,7,7,8,8,3,2,1</t>
  </si>
  <si>
    <t>eD0V96GlyqU=</t>
  </si>
  <si>
    <t>101 Ready-To-Use Excel Macros</t>
  </si>
  <si>
    <t>,1,2,3,4,4,5,6,7,8,9,10,11,205,206,207,203,204,208,208,209,210,211,212,19,20,21,18,17,22</t>
  </si>
  <si>
    <t>QA76.7 -- .A44 2012eb</t>
  </si>
  <si>
    <t>005.369; 005.54</t>
  </si>
  <si>
    <t>abTDmg2LlIU=</t>
  </si>
  <si>
    <t>,208,209,210,211,212,213,214,215,216,217</t>
  </si>
  <si>
    <t>u3JlsuOPJ/55AZMQUSaCug==</t>
  </si>
  <si>
    <t>OS X Yosemite For Dummies</t>
  </si>
  <si>
    <t>,1,2,1,2,3,3,1,30,30,31,31,2,28,29,29</t>
  </si>
  <si>
    <t>QA76.774</t>
  </si>
  <si>
    <t>,1,2,3,4,5,6,208,209,210,207,206,211,199,212,213,214,215,216,217,218,219</t>
  </si>
  <si>
    <t>,1,2,3,242,243,244,240,241,245,246,247,248,249,250,251,252,253,254,255,256,257,258,259,261,262,263,264,266,268,1,268,269,266,270,267,265,264,263,2,271,272,273,274,275,276,278,279,280,281,282,283,284,285,286,287,288,289,290,291,292,293,294,295,296,297,299,300,301,1,301,302,303,300,298,299,297,296,295,294,2,293,304,305,306,307,308,309,310,311,312,313,314,315,317,318,319,320,321,322,323,324,325,326,327,328,329,330,331,332,333,334,335,336,279,272,266,16,18,14,15,19,20,21,346,348,350,351,352,353,354,356,357,358,359,360,361,362,363,365,366,368,367,364,370,371,372,373,1,373,372,371,370,374,369,368,367,2,375</t>
  </si>
  <si>
    <t>,1,2,3,4,242,244,243,240,241,245,246</t>
  </si>
  <si>
    <t>,1,2,3,4,5,6,7,8,9,10,11,12,13,14,15,16,17,19,18,27,29,28,25,26</t>
  </si>
  <si>
    <t>,1,2,3,4,5,7,1,2</t>
  </si>
  <si>
    <t>Tmq8Bu5IvcE=</t>
  </si>
  <si>
    <t>,548,550,546,547,551,551,1,552,553,549,550,2,555,556,557,559,560,561,61,62,63,59,60,64,65,66,67,68,69,70,71,72,73,74,75,76,77,78</t>
  </si>
  <si>
    <t>mtRaNZ/kWDLoWcjxfT6W2A==</t>
  </si>
  <si>
    <t>Large Carnivore Conservation : Integrating Science and Policy in the North American West</t>
  </si>
  <si>
    <t>Economics; Environmental Studies; Science; Science: Zoology</t>
  </si>
  <si>
    <t>,1,3,2,7,9,4,5,6,8,10,11,12,13,14,15,16,17,18,19,20,21,22</t>
  </si>
  <si>
    <t>QL737</t>
  </si>
  <si>
    <t>333.95/97</t>
  </si>
  <si>
    <t>,1,2,3,23,24,25,21,22,485,486,490,490,1,488,489,7,8,9,5,6,10,2,11,12,13,14,15,23,24,25,21,22,26,27,28,29,30,31,32,33,34,35,36,37,41,42,43,39,40,44,45,46,47,48,49,50,51,52,53,54,55,56,57,60,61,62,65,65,66,1,63,61,62,59,60,64,65,66,2,67,68,70,71,71,1,72,69,70,2,74,76,77,78,79,80,81,82,83,84,87,100,101,102,104,119,120,121,117,118,122,123,1,127,128,125,126,119,120,121,117,118,122,2,123,124,129,130,132,133,1,133,135,132,1,132,133,134,130,131,135,136,137,139,140,181,2,182,198,200,196,201,197,236,237,234,235,277,273,274,294,291,1,292,293,289,290,1,291,292,288,289,2</t>
  </si>
  <si>
    <t>3tzeg3qsbVvNPnIeN7IKvA==</t>
  </si>
  <si>
    <t>,1,122,120,121,2</t>
  </si>
  <si>
    <t>IYGlCnXXezbsqpbuhPTXvw==</t>
  </si>
  <si>
    <t>Secular Powers : Humility in Modern Political Thought</t>
  </si>
  <si>
    <t>BJ1533</t>
  </si>
  <si>
    <t>179/.9</t>
  </si>
  <si>
    <t>,1,242,244,243,240,244,243,241,242,241,1,245,245,2,2,148,149,150,148,146,150,147,149,147,151,151,167,168,167,168,169,165,169,166,166,170,170,208,209,210,209,208,206,210,207,207,211,211,212,212,213,213,208,207,207,1,209,208,205,208,206,206,209,207,1,204,202,203,2,2,242,243,244,242,240,243,241,244,241,245,245,246,246,212,213,214,214,215,215,216,216,217,217</t>
  </si>
  <si>
    <t>,7,8,9,10,11,12,13,14,5,6,7,8,9,10,11,12,13,14,15,16,17,16,17,18,19,20,21,22,21,22,23,24,25,26,27,28,29,30,31,30,31,32,33,34,33,34,33,34,35,36,37,38,39,40,41,42,41,42,43,44,43,44,45,46,47,48,49,50,51,52,53,52,53,54,55,56,5,6,7,8,9,10,11,12,13,14,15,16,17,16,17,18,19,20,21,22,21,22,23,24,25,26,27,28,29,30,31,30,31,32,33,34,33,34,33,34,35,36,37,38,39,40,41,42,41,42,43,44</t>
  </si>
  <si>
    <t>,1,2,3,4,18,20,19</t>
  </si>
  <si>
    <t>y6Ip+2T856/Mz4EDhoFLuw==</t>
  </si>
  <si>
    <t>,1,2,3,15,16,17,13,14,18,23,24,25,21,22,26,27,28,29,30,31,32,33,34,35,36,37,38,39</t>
  </si>
  <si>
    <t>jN4A+1OZNqslRmDiksC0Yg==</t>
  </si>
  <si>
    <t>,1,124,125,126,122,123</t>
  </si>
  <si>
    <t>U0mfEAYGEFyi3WP9FYGLZQ==</t>
  </si>
  <si>
    <t>ADHD in the Schools, Third Edition : Assessment and Intervention Strategies</t>
  </si>
  <si>
    <t>,206,212,213,214,210,211,215,216,217,272,273,274,270,271,275,276,277,278,279,280,281,282,283,284,285,286,287,169,170,171,167,168,166,165,169,164,165,166,162,169,170,171,167,168,175,176,177,173,174,23,24,25,21,22</t>
  </si>
  <si>
    <t>LC4713.4 -- .D87 2014eb</t>
  </si>
  <si>
    <t>,1,2,3,1,202,202,203,204,200,201,205</t>
  </si>
  <si>
    <t>hzeH4U7HlW9ElH2PXA/00Q==</t>
  </si>
  <si>
    <t>,1,2,3,10,11,12,8,9,13,14,15,16,17,18,19,20,21,22,23,24,25,26,48,49,47,45,46,50,51,52,422,419,424</t>
  </si>
  <si>
    <t>,1,18,20,17,2,22,23,24,19,15,13,14,21,25,26,27,28,29,113,114,115,111,112,116</t>
  </si>
  <si>
    <t>Statistics : An Introduction Using R</t>
  </si>
  <si>
    <t>,317,317</t>
  </si>
  <si>
    <t>QA276.12 -- .C73 2014eb</t>
  </si>
  <si>
    <t>519.50285/5133</t>
  </si>
  <si>
    <t>,1,2,2,3,3,1,2,2,313,313,314,315,311,315,312,312,314,308,309,310,309,310,306,308,313,314,315,311,312,308,309,310,306,307,311,312,313,314,315,316,316</t>
  </si>
  <si>
    <t>,1,2,3,138,139,135,136,134,133,1,133,134,135,131,132,137,138,139,136,2,140,141,142,143,144,145,146,147,148,149,150,151,152,153,154,155,156,157,158,159,160,161,162,163,164,165,166,167,168,169,170,171,172,173,174,175,176,177,178,179,180,181,182,183,185,186,187,188,189,190,191,184,180,179,178,177,176,175,174,173,172,171,170,169,168,167,166,165,164,163,162,161,160,159,158,157,156,155,154,153,152,151,150,149,148,147,146,145,144,143,142,141,140,192,193,194,195,196,197,198,199,200,201,202,203,204,205,206,207,208,209,211,212,213,214,215,216,217,218,219,220,221,222,223,224,225,226,227,228,229,230,231,232,233,234,235,236,237,238,239,240,241,242,243,244,245</t>
  </si>
  <si>
    <t>28CbJ1D9bg9PlaFlda5oog==</t>
  </si>
  <si>
    <t>Between Cultural Diversity and Common Heritage : Legal and Religious Perspectives on the Sacred Places of the Mediterranean</t>
  </si>
  <si>
    <t>,28,27</t>
  </si>
  <si>
    <t>K3791 -- .F477 2014eb</t>
  </si>
  <si>
    <t>344/.1822094</t>
  </si>
  <si>
    <t>,1,3,2,32,33,34,35,36,31,30,29</t>
  </si>
  <si>
    <t>hBRuIYGxuXJ+I94der4upw==</t>
  </si>
  <si>
    <t>,18,21,1,23,24,20,21,2,19,25</t>
  </si>
  <si>
    <t>,1,2,3,13,15,17,14</t>
  </si>
  <si>
    <t>,1,2,3,1,2,3,489,490,491,487,488,492,687,688,684</t>
  </si>
  <si>
    <t>pFiNsN2VNu0Gx5m8HI5tOGjybxu0sAOK</t>
  </si>
  <si>
    <t>hYVozzTgp7o3isaZdrKmyA==</t>
  </si>
  <si>
    <t>Nursing Diagnoses 2012-14 : Definitions and Classification</t>
  </si>
  <si>
    <t>,1,2,3,483,484,485,481,482,486</t>
  </si>
  <si>
    <t>RT48.6 N67 2012</t>
  </si>
  <si>
    <t>godd0M0wD9jTZl1yltB2QQ==</t>
  </si>
  <si>
    <t>What the Rest Think of the West : Since 600 AD</t>
  </si>
  <si>
    <t>CB245 -- .W513 2015eb</t>
  </si>
  <si>
    <t>909/.09821</t>
  </si>
  <si>
    <t>LcDKNVGv9JMG8Hv9ZWfj6g==</t>
  </si>
  <si>
    <t>Evernote For Dummies</t>
  </si>
  <si>
    <t>,1,2,3,4,5,6,8,9,12,13,14,15,16,17,18,20,21,13,12,11,1</t>
  </si>
  <si>
    <t>QA76.754 -- .S27 2012eb</t>
  </si>
  <si>
    <t>dkWh/OLqIQRmEJiZaEkbwQ==</t>
  </si>
  <si>
    <t>Liminality and the Modern : Living Through the In-Between</t>
  </si>
  <si>
    <t>,1,3,4,5,6,7,8,25,26,27,2,23,24,102,103,104,101,100,105,106,107</t>
  </si>
  <si>
    <t>BF175.5.L55 -- .T46 2014eb</t>
  </si>
  <si>
    <t>302/.1</t>
  </si>
  <si>
    <t>PpMoFmNT+eI=</t>
  </si>
  <si>
    <t>Invisible Chains : Overcoming Coercive Control in Your Intimate Relationship</t>
  </si>
  <si>
    <t>,30,31,32,33,34,35,36,37,38,39,40,41,42,43,44,45,46,47,48,49,50,51,52,53,54,55,56,57,58,59,60,61,62,63,64,65,66,67,68,69,70,71,72,73,74,75,76,77,78,79,80,83,84,85,81,82,86,87,88,89,90,91,92,93,94,95,96,97,98,99,100,101,121,122,123,119,120,124,125,126,145,146,147,143,148,144,149,150,151,152,153,154,155,156,157,158,159,160,161,162,163,164,165,166,167,176,177,178,174,175,179,180,181,182,183,184,211,212,213,209,210,214,215,216,217,218,219,220,221</t>
  </si>
  <si>
    <t>BF632.5 -- .F668 2015eb</t>
  </si>
  <si>
    <t>,1,2,3,1,2,4,5,6,1,2,3,4,5,6,7,8,9,10,11,12,13,14,15,16,17,18,19,20,21,22,23,24,25,26,27,28,29</t>
  </si>
  <si>
    <t>,38,39,158,159,160,156,157,161,162,163,164,165,166,167,168,753,754,755,756,752,751,749,750,740,741,742,738,739,743,744,745,746,747,748,749,750,756,767,768,769,770,766,771,772,773,774,543,544,545,541,542,526,527,528,524,525,496,497,498,455,456,457,464,465,466,467,479,480,481,482,483,484,485,486,487,488,489,490,491,492,74,75,76,72,73,77,372,373,370,374,371,375,358,359,360,356,357</t>
  </si>
  <si>
    <t>,1,2,3,26,27,28,24,25,2,29,30,31,32,33,34,35,36,37</t>
  </si>
  <si>
    <t>,1,13,14,15,11,12,16,17,18,19,20,21,22,23,24,25,26,2,27,28,29,30,31,32,33,34,35,36,37,38,39,40,41,42,43,44,45,46,47,48,49,50,51,52,53,54,55,56,57,58,59,61,62,63,64,65,66,67,68,69,70,71,72,73,74,75,76,77,78,79,80,81,82,1,2,3,4,5,6,7,8,9,10,11,12</t>
  </si>
  <si>
    <t>sruUwcpH7holmRJh9dAPyQ==</t>
  </si>
  <si>
    <t>,1,101,99</t>
  </si>
  <si>
    <t>,1,36,38,37,34,35,39</t>
  </si>
  <si>
    <t>NjmtVAT3kqg=</t>
  </si>
  <si>
    <t>Motivational Interviewing in Social Work Practice</t>
  </si>
  <si>
    <t>,105,107,104,74,70,71,72,68,69,97,108</t>
  </si>
  <si>
    <t>,98,99,100,101,102,103,104,105,106,107,108,109,110,111,112,113</t>
  </si>
  <si>
    <t>HV40 -- .H629 2012eb</t>
  </si>
  <si>
    <t>361.3/22</t>
  </si>
  <si>
    <t>,1,2,3,98,99,100,96,101,102,103</t>
  </si>
  <si>
    <t>FZaUQstXlPkeypNZxy9o6A==</t>
  </si>
  <si>
    <t>EVHHdcwVFuUUNj5OM/yt7g==</t>
  </si>
  <si>
    <t>wtAx1IOf1ls=</t>
  </si>
  <si>
    <t>,1,2,2,3,1,3,56,57,58,58,56,54,57,55,55,2,53</t>
  </si>
  <si>
    <t>,166,165,170,171,172,173,174,169,168,167,166,165,170,171,172,173,174,175,176,177,178,179</t>
  </si>
  <si>
    <t>,1,2,3,35,36,37,33,34,169</t>
  </si>
  <si>
    <t>,1,1,2,2,3,3,4,4,5,5,6,6,2,2,177,177,178,179,178,179,175,176,176,180,180,181,181,182,182,183,183,178,183,178,177,176,175,174,173,174,175,176,177,178,179,180,175,180,181,182,177,176,175,174,173,172,171,170,169,166,167,167,165,169,170,168,168,171,172,173,174,175,176,177,178,179,180,181,182,183,178,177,176,175,180,181,182,183,178,177,176,175,180,181,182,183,178,176,177,175,174,173,172,170,171,169,168,167</t>
  </si>
  <si>
    <t>/jt1JJ0cZTNIPpXndB2L3Q==</t>
  </si>
  <si>
    <t>,44,45,46,47,48,49,50,51,52,53,55,56</t>
  </si>
  <si>
    <t>,31,32,33,34,35,36,37,38,39,40,41,43,44,45,46,47,48,49,50,51,52,53</t>
  </si>
  <si>
    <t>,1,2,3,26,27,28,24,25,31,32,33,29,30,38,39,40,36,37,41,42,43,44</t>
  </si>
  <si>
    <t>,1,1,2,3,2,3,4,4,5,5,6,6,2,2,7,7,8,8,9,9,10,10,11,11,12,12,13,14,13,14,15,15,16,11,16</t>
  </si>
  <si>
    <t>+FohB38kFQZ1e0icYHFWBg==</t>
  </si>
  <si>
    <t>,1,2,2,3,3,1,4,4,1,2,2,5,5,6,7,7,25,26,26</t>
  </si>
  <si>
    <t>,1,2,3,301,302,303,304,300,305,306,307,308,309,310,311,312,313,314,315,316,317,318,319,320,321,322,323,324,325,326,301,303,299,300,302,145,146,147,143,144,167,168,169,165,166,164,145,147,143,144,365,366,367,363,364,368,369,370,371,372,373,374,375,376,377,378,379,380,381,382,383,384,385,386,387,388,389,390,384,390</t>
  </si>
  <si>
    <t>,365,366,367,368,369,370,371,372,372,373,374,375,376,377,378,379,380,381,382,383,384,385</t>
  </si>
  <si>
    <t>,1,2,3,7,145,146,147,148,149,150,151,152,153,154,155,156,157,158,159,160,161,162,163,164,165,166,301,302,303,304,305,306,307,308,309,310,311,312,313,314,315,316,317,318,319,320,321,322,323,324,325,1,2,3,7,26,27,28,29,30,31,32,33,34,35,36,37,38,39,40,41,42,43,145,146,147,148,149,150,151,152,153,154,155,156,157,158,159,160,161,162,163,164,165,166,301,302,303,304,305,306,307,308,309,310,311,312,313,314,315,316,317,318,319,320,321,322,323,324,325,386,387,388</t>
  </si>
  <si>
    <t>,1,2,3,483,481,482,483,483,486</t>
  </si>
  <si>
    <t>,15,16,12,13,486</t>
  </si>
  <si>
    <t>,1,2,3,483,485,481,482,484,487,486,480,541,542,543,539,540,538,537,536,541,544,884,886,885,882,883,881,879,880,878,876,877,875,480,478,479,526,527,528,524,525,522,523,521,526,529,756,758,757,754,755,568,569,570,566,567,14,15,16,12,13,483,486,192,193,191,194,190</t>
  </si>
  <si>
    <t>,301,302,303,299,300</t>
  </si>
  <si>
    <t>,301</t>
  </si>
  <si>
    <t>Failure to Prevent World War I : The Unexpected Armageddon</t>
  </si>
  <si>
    <t>,1,2,3,4,5,6,7,8,9,10,12,14,15,17,18,19,20,21,22,23</t>
  </si>
  <si>
    <t>D511 -- .G373 2015eb</t>
  </si>
  <si>
    <t>940.3/11</t>
  </si>
  <si>
    <t>,1,2,3,265,266,267,268,264</t>
  </si>
  <si>
    <t>VQbuicM3Mx3AC+gCXKjvXg==</t>
  </si>
  <si>
    <t>,1,2,3,4,5,6,7,8,9,10,11,12,13,14,15,16,17,18,19,20,18,19,16,20,17,21,22,23,24,25,26,27</t>
  </si>
  <si>
    <t>,1,2,3,7,8,9,5,6,10,11,12</t>
  </si>
  <si>
    <t>,12</t>
  </si>
  <si>
    <t>,1,2,3,1,2,3,4,5,6,7,8,9,10,8,9,10,6,7,8,8,11</t>
  </si>
  <si>
    <t>,1,3,3,2,2,1,4,4,2,2,4,5,5,7,6,7,1,6,2</t>
  </si>
  <si>
    <t>,41,41</t>
  </si>
  <si>
    <t>,13,14,15,16,17,18,19,20,21,22,23,24,25,26,27,28,29,30,31,32,33,34,35,36,37,38,39,40,41,42,43,44,45,46,47,48,49,50,51,52,53,54,55,56,57,58,59,60,61,62,61,62,63,64,65,66,67,68,69,70,71,72,73,74,75,76,77,78</t>
  </si>
  <si>
    <t>PU6Tv/2rX0NDnWv1BvX2Et5owUo8jsWilMwjFyZWBiM=</t>
  </si>
  <si>
    <t>Human Microbiota and Microbiome</t>
  </si>
  <si>
    <t>,86,87,88,89,90,91,92,93,94,95,96,97,98,99,100,101,103,104,105,108,107,109,110,30,31,28,29,33,34,35,36</t>
  </si>
  <si>
    <t>QR41.2 -- .H863 2014eb</t>
  </si>
  <si>
    <t>,1,1,17,17,41</t>
  </si>
  <si>
    <t>,1,2,3,4,5,6,7,8,9,10,82,84,80,81,85</t>
  </si>
  <si>
    <t>z7RSzBnQc+eg58DPyshPJg==</t>
  </si>
  <si>
    <t>,1,2,3,4,5,6,7,8,9,10,11,12,13,14,15,16,17,18,19,20,21,20,21,22</t>
  </si>
  <si>
    <t>,10,11,12,13,7,6,197,284,281,282,279,280,273,274,260,261,262,258,259,257,256,263,255,222,215,208,198,194,180,138,124,53,13,11,10,9,8,6,7,5,11,12,13,14,15,16,17,18,19,20,21,22,23,24,6</t>
  </si>
  <si>
    <t>M9SjQ8vBuJw=</t>
  </si>
  <si>
    <t>,1,2,3,4,8,9,10,11,12,13,14,15,18,19,20,16,26,27,28,24,25,78,79,80,76,137,138,139,188,189,190,186,787,788,839,843,844</t>
  </si>
  <si>
    <t>,1,1,1,2,3</t>
  </si>
  <si>
    <t>Introduction to Community and Public Health</t>
  </si>
  <si>
    <t>,1,7,8,9,5,6,2,10,11,12,261,262,263,259,264,260,265,266,267,268,269</t>
  </si>
  <si>
    <t>RA441 -- .S537 2014eb</t>
  </si>
  <si>
    <t>,1,35,36,37,34,33,39,31,9,10,11,7,8,2,557,558,559,560,561,562,563,564,565,566,567,568,569,570,571,38,39,11,12,13,10,40,41,42,43,44,45,46,47,48,49,51,52,35,1,36,37,33,34</t>
  </si>
  <si>
    <t>YpZM+1QXI3E=</t>
  </si>
  <si>
    <t>Explaining Abnormal Behavior : A Cognitive Neuroscience Perspective</t>
  </si>
  <si>
    <t>RC454 -- .P394 2014eb</t>
  </si>
  <si>
    <t>D8elZ0MMCXogpg/2KWJgHA==</t>
  </si>
  <si>
    <t>,133,134,135,136,137,138,139,140,141,142,143,144,145,146,147,120,122,121,118,119</t>
  </si>
  <si>
    <t>,1,2,3,130,131,132,156,158,157,154,155,128,129</t>
  </si>
  <si>
    <t>,1,2,3,4,5,6,7,65,66,67,63,64,58,59,60,56,57,61,62</t>
  </si>
  <si>
    <t>Inventing Baby Food : Taste, Health, and the Industrialization of the American Diet</t>
  </si>
  <si>
    <t>RJ216 -- .B375 2014eb</t>
  </si>
  <si>
    <t>Patient Safety : Perspectives on Evidence, Information and Knowledge Transfer</t>
  </si>
  <si>
    <t>RA965.6 -- .P385 2014eb</t>
  </si>
  <si>
    <t>610.28/9</t>
  </si>
  <si>
    <t>Statistics and Probability with Applications for Engineers and Scientists</t>
  </si>
  <si>
    <t>,1,2,1,2,3,3,2,2,591,591,593,593,589,594,594,589,594,595,595,596,596,597,597,598,598,599,599</t>
  </si>
  <si>
    <t>QA273 -- .G878 2014eb</t>
  </si>
  <si>
    <t>,1,2,2,3,3,1,98,99,98,100,100,96,97,97,2,133,133,134,135,131,134,135,132,132,136,136,137,137,138,139,138,139</t>
  </si>
  <si>
    <t>,1,2,2,3,1,3,2,159,155,159,156,156,166,167,166,168,167,168,164,169,169,165,170,170,171,171</t>
  </si>
  <si>
    <t>,2,2,5,5,14,14,15,16,16,12,15,13,13,17,18,17,18,12,13,17,18,73,74,73,74,75,71,75,72,72,185,186,186,187,183,185,187,184,184,267,268,269,269,268,267,265,295,295,296,296,297,293,297,294,294,185,186,187,183,184,295,296,297,293,294,631,631,632,632,629</t>
  </si>
  <si>
    <t>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</t>
  </si>
  <si>
    <t>,1,2,2,1,3,3,4,4</t>
  </si>
  <si>
    <t>qL7s+ryHFaRV/JEt7ViDvA==</t>
  </si>
  <si>
    <t>,37,38,33,32,31,39,40,41,42,43,44</t>
  </si>
  <si>
    <t>nHY8Y/n3RTN97Blqe+NHtA==</t>
  </si>
  <si>
    <t>,1,2,3,30,31,32,28,29,33,34,35,36</t>
  </si>
  <si>
    <t>,1,2,3,4,5,6,17,18,19,15,16,20,21,22,23,24,25,26,27,28,29</t>
  </si>
  <si>
    <t>,1,2,3,4,12</t>
  </si>
  <si>
    <t>JAPNgu3iZbizzZOjcsiEmQ==</t>
  </si>
  <si>
    <t>Improving Diets and Nutrition : Food-based Approaches</t>
  </si>
  <si>
    <t>,1,2,3,4,5,6,7,8,9,10,11,12,13,14,42,48,49,50,47,46,45,51,52,53,54,70,71,67,385,387,386,388,384,383,391</t>
  </si>
  <si>
    <t>RA645.N87 -- .I477 2014eb</t>
  </si>
  <si>
    <t>,23,24,25,26,27,28,29,30,31,32,33,34</t>
  </si>
  <si>
    <t>LiJEKPMAiNB4+6aYfKdSjQ==</t>
  </si>
  <si>
    <t>,1,2,3,323,324,325,321,322,326,327,328,329,330,331,332,333</t>
  </si>
  <si>
    <t>/Ujw8AaEsAXyMQDVyDnvUQ==</t>
  </si>
  <si>
    <t>Global Social Transformation and Social Action : The Role of Social Workers:Social Work-Social Development Volume III</t>
  </si>
  <si>
    <t>,1,2,3,4,5,6,7,8,9,10,11,12,13,14,15,16,17,18,19,20,21,22,23,24,25,26,27,2,28,29,30,31,32,33,34,35,36,37,38,39,40,41</t>
  </si>
  <si>
    <t>HV40 -- .G563 2014eb</t>
  </si>
  <si>
    <t>,9,10,11,12,13,14,15,211,212,220,221,218,16,17,18,19,20,21,22,23,24,25,26,27,28,29,30,31,32,33,34,35,36</t>
  </si>
  <si>
    <t>The Aims of Higher Education : Problems of Morality and Justice</t>
  </si>
  <si>
    <t>LB2324</t>
  </si>
  <si>
    <t>Elephants and Kings : An Environmental History</t>
  </si>
  <si>
    <t>UH100</t>
  </si>
  <si>
    <t>355.4/24</t>
  </si>
  <si>
    <t>Internal Migration : Geographical Perspectives and Processes</t>
  </si>
  <si>
    <t>HB1952 .S55 2015</t>
  </si>
  <si>
    <t>Hitchcock on Hitchcock, Volume 1 : Selected Writings and Interviews</t>
  </si>
  <si>
    <t>PN1994.H53 -- .H583 1997eb</t>
  </si>
  <si>
    <t>Hitchcock on Hitchcock, Volume 2 : Selected Writings and Interviews</t>
  </si>
  <si>
    <t>PN1998.3.H58 -- .H583 2015eb</t>
  </si>
  <si>
    <t>Arendt Contra Sociology : Theory, Society and its Science</t>
  </si>
  <si>
    <t>JC251.A74 -- .W357 2015eb</t>
  </si>
  <si>
    <t>+68NII1RrOhDEowaCP3Q1w==</t>
  </si>
  <si>
    <t>,1,2,3,67,68,69,65,66,2,70,71,97,98,99,95,96,100,101,102,527,528,529,525,526,530,682,683,684,680,681</t>
  </si>
  <si>
    <t>Affectionate Authorities : Fathers and Fatherly Roles in Late Medieval Basel</t>
  </si>
  <si>
    <t>HQ756 -- .G733 2015eb</t>
  </si>
  <si>
    <t>306.874/2</t>
  </si>
  <si>
    <t>,1,2,3,23,21,22,20,25,26,27,28</t>
  </si>
  <si>
    <t>nXZdNMu2ZjjNl6K7o7MnKw==</t>
  </si>
  <si>
    <t>,3,3,4,1,2,5,6,8,9,11,13,16,17,14,20,18</t>
  </si>
  <si>
    <t>,14,15,16,17</t>
  </si>
  <si>
    <t>,54,55,56,57,58,59,60,61,62,63,64,138,139,140,136,137,141,142,143,144,145,163,164,165,161,162</t>
  </si>
  <si>
    <t>,1,2,3,50,51,52,48,49,53</t>
  </si>
  <si>
    <t>1NiKJZ0VzTk=</t>
  </si>
  <si>
    <t>Disability Services and Disability Studies in Higher Education : History, Contexts, and Social Impacts</t>
  </si>
  <si>
    <t>,1,2,3,112,109</t>
  </si>
  <si>
    <t>LC4231 -- .O85 2015eb</t>
  </si>
  <si>
    <t>ThIukixUjdw=</t>
  </si>
  <si>
    <t>Doug Kass on the Market : A Life on TheStreet</t>
  </si>
  <si>
    <t>HG4521 -- .K278 2014eb</t>
  </si>
  <si>
    <t>bniaL98zvE4PKvvPbJQ+PA==</t>
  </si>
  <si>
    <t>,1,2,3,4,29,30,31,27,28,69,70,71,68,67,51,53,52,49,50,193,195,194,191,192,352,353,354,350,351,355,497,498,495,496,500,501,453,454,455,451,452,456,457,458,459</t>
  </si>
  <si>
    <t>,1,84,85,86,82,83,2,87,88,89,90</t>
  </si>
  <si>
    <t>Beyond the Second Sophistic : Adventures in Greek Postclassicism</t>
  </si>
  <si>
    <t>PA3086 -- .W55 2013eb</t>
  </si>
  <si>
    <t>880.9/001</t>
  </si>
  <si>
    <t>Teach Yourself VISUALLY OS X Yosemite</t>
  </si>
  <si>
    <t>QA76.774.M33 -- M34 2014eb</t>
  </si>
  <si>
    <t>WGe38t1dM/9YceQ13f1ZCw==</t>
  </si>
  <si>
    <t>Shameless : The Canine and the Feminine in Ancient Greece</t>
  </si>
  <si>
    <t>PA3015.D64 -- .F731 2014eb</t>
  </si>
  <si>
    <t>880.9/3522</t>
  </si>
  <si>
    <t>,170,171,172,173,267,268,269,270,271,272,284,284,285,192,175,178,175,178,178,178,175,192</t>
  </si>
  <si>
    <t>/WVHzEZ329sEGrVR+4q8XA==</t>
  </si>
  <si>
    <t>Communication, Sport and Disability : The Case of Power Soccer</t>
  </si>
  <si>
    <t>,1,2,3,4,5,6,7,8,178,204</t>
  </si>
  <si>
    <t>GV944.4 .J44 2015</t>
  </si>
  <si>
    <t>796.04''56</t>
  </si>
  <si>
    <t>,1,2,3,169,170,171,167,168,169,170</t>
  </si>
  <si>
    <t>Vitamin K2 and the Calcium Paradox : How a Little-Known Vitamin Could Save Your Life</t>
  </si>
  <si>
    <t>Science: Biology/Natural History; Science: Anatomy/Physiology; Science</t>
  </si>
  <si>
    <t>QP772.V56 -- R43 2012eb</t>
  </si>
  <si>
    <t>lylOHyrlnGIlo3cm2bOEAQ==</t>
  </si>
  <si>
    <t>Caring : A Relational Approach to Ethics and Moral Education</t>
  </si>
  <si>
    <t>,1,2,3,14,15,16,12,13,17,18,19,20,21,23</t>
  </si>
  <si>
    <t>,14,14,15,16,17,18,19,20,21</t>
  </si>
  <si>
    <t>BJ1475 -- .N63 2013eb</t>
  </si>
  <si>
    <t>LEBFoLpeRGA48kC85hhhyQ==</t>
  </si>
  <si>
    <t>,1,2,3,723,724,725,721,722,726,729,730,731,727,728,732,733,734,256,257,254,255,259</t>
  </si>
  <si>
    <t>,19,19,20,20,21,21,22,22,23,23,24,24,25,25,222,222,223,223,220,221,221,225,225,226,226,221,226,227,227,228,228,229,229,230,230,231,231,232,232,233,233,234,234,236,236,237,237,244,244,245,245,248,248,247,247</t>
  </si>
  <si>
    <t>,1,1,1,2,3,2,3,4,4,5,5,2,2,6,6,7,7,2,1,4,6,7,8,5,8,9,9,10,10,11,11,12,12,14,14,15,16,15,16,13,13,17,17,18,18</t>
  </si>
  <si>
    <t>DawnO1</t>
  </si>
  <si>
    <t>Qualitative Research from Start to Finish, Second Edition</t>
  </si>
  <si>
    <t>,1,2,3,362,359,360,365,366,367,364,407,408,404,402,403,401,400,38,39,51,52,53,50,43,41,40,37,35,36,42,43,87</t>
  </si>
  <si>
    <t>108.183.82.89</t>
  </si>
  <si>
    <t>H62 .Y57 2015</t>
  </si>
  <si>
    <t>9auRax6J4ck=</t>
  </si>
  <si>
    <t>,1,2,3,169,170,171,167,168,173,174,175,172,176,177,178,179</t>
  </si>
  <si>
    <t>,1,2,3,2,3,1,2,2,169,170,171,167,168,169,171,168,170</t>
  </si>
  <si>
    <t>OwCpxjLluVNDBJNDXnTmcQ==</t>
  </si>
  <si>
    <t>Muslim Spain Reconsidered : From 711 to 1502</t>
  </si>
  <si>
    <t>,212,213,214,178,175,174,1,174,175,176,172,177,178,2,173</t>
  </si>
  <si>
    <t>DP99 -- .H58 2014eb</t>
  </si>
  <si>
    <t>,1,2,3,206,207,208,204,205,209,210,211</t>
  </si>
  <si>
    <t>Gt7K0mP1hNc=</t>
  </si>
  <si>
    <t>Reconstructing Restorative Justice Philosophy</t>
  </si>
  <si>
    <t>,290</t>
  </si>
  <si>
    <t>K5250 -- .R43 2013eb</t>
  </si>
  <si>
    <t>364.6/8</t>
  </si>
  <si>
    <t>,1,2,3,290,291,292,293,288,289,294,295,296,297,298,299,302</t>
  </si>
  <si>
    <t>,1,1,2,3,2,3,169,169,170,170,171,171,167,168,168,2</t>
  </si>
  <si>
    <t>pgD/HZIhdvrWEKs7CsGQQQ==</t>
  </si>
  <si>
    <t>Reflections on Imagination : Human Capacity and Ethnographic Method</t>
  </si>
  <si>
    <t>BF408 -- .R445 2015eb</t>
  </si>
  <si>
    <t>u13K4fOwwVo7QTh6hFMAVw==</t>
  </si>
  <si>
    <t>,1,2,3,4,5,6,7,22,23,24,20,21,25,26,27,28</t>
  </si>
  <si>
    <t>,16,17,18,19,20,21,22,23,24,25,26,27,28,29</t>
  </si>
  <si>
    <t>wrQY9JhvDntNJv77gsJYsg==</t>
  </si>
  <si>
    <t>,1,2,3,168,169,166,167</t>
  </si>
  <si>
    <t>Raspberries. Crop Production Science in Horticulture 23</t>
  </si>
  <si>
    <t>Agriculture; Engineering: Chemical; Engineering</t>
  </si>
  <si>
    <t>SB386.R3 -- R36 2013eb</t>
  </si>
  <si>
    <t>664/.804711</t>
  </si>
  <si>
    <t>,1,2,3,7,8,9,5,6,10,12,11,14,13</t>
  </si>
  <si>
    <t>BHtBu0bEwhbWZhA3CjU9qg==</t>
  </si>
  <si>
    <t>CSS3 Foundations</t>
  </si>
  <si>
    <t>,1,2,3,4,5,6,7,8,9,10,11,12,13,14,15,16,222,223,224,220,221,219,218,217,216,215,211,193,192,187,188,183,182,181,179,178,173,172,174,170,171,169,175,176,177,180,184,185,186,189,190,191,194,195,196,198,199,200,201,203,204,205,206,207,197</t>
  </si>
  <si>
    <t>QA76.76.H94 .L384 2012</t>
  </si>
  <si>
    <t>,1,2,3,4,5,6,7,8,9,10,11,12,13,14,15,16,17,18,19,20,21,22,23,89,90,88,87,85,86,84,82,83,81,80,79,77,78,76,75,74,73,72,71,70,69,91,93,92,94,95,96,97,98,99,100,101,102,103,104,105,106,107,108,109,110,111,112,114,113,115,116,117,119,120,121,127,118,182,183,185,184,181,186,187,188,193,194,195,196,192,190,191,189,197,198,199,200,201,202,226,216,203,205,204,206,207,208,209,211,210,212,213,214,215,217,218,219,220,221,222,223,224,225,227,228,229,230,231,232,233,234,235,236,237,238,239,240,241,242,243,244,245,246,247,248,249,250,251,252,253,254,255,256,257,258,259,260,262,261,263,264,265,266,267,268,269,270,276,277,279,280,281,278,282,283,284,285,286,287,288,289,290,291,299,300,301,302,298,297,303,304</t>
  </si>
  <si>
    <t>Resource Handbook for Academic Deans</t>
  </si>
  <si>
    <t>,63,1,64,65,61,62</t>
  </si>
  <si>
    <t>LB2341 -- .R476 2014eb</t>
  </si>
  <si>
    <t>378.1/11</t>
  </si>
  <si>
    <t>,1,66,67,68,64,65,62,63</t>
  </si>
  <si>
    <t>YQtJi298ex2alNuS4l9Qiw==</t>
  </si>
  <si>
    <t>,1,2,3,76,77,78,74,75,96,97,98,94,42,43,44,40,41</t>
  </si>
  <si>
    <t>Wild Animal Skins in Victorian Britain : Zoos, Collections, Portraits, and Maps</t>
  </si>
  <si>
    <t>,4,5,6,7</t>
  </si>
  <si>
    <t>QL67 -- .C65 2014eb</t>
  </si>
  <si>
    <t>590.75/2</t>
  </si>
  <si>
    <t>,1,2,3,343,344,341,345,342,346,347,348,327,328,329,325,326,330,331,349,350,351,352</t>
  </si>
  <si>
    <t>Past Mobilities : Archaeological Approaches to Movement and Mobility</t>
  </si>
  <si>
    <t>CC72.4 -- .P37 2014eb</t>
  </si>
  <si>
    <t>,1,2,3,93,94,96,92,97,98,99,100,102</t>
  </si>
  <si>
    <t>,1,2,3,6,7,8,4,5,9,15,16,17,13,14,25,26,27,23,24,28,29,30,54,55,56,52,53</t>
  </si>
  <si>
    <t>,1,2,3,321,322,323,319,325,326,324,327,328,322,321,320,319,326,327,328,329,330,331,331,332,332,333,335,336,337,334,337,338,339,334,333,332,331,330,329,339,340,342,343,341,338,337,336</t>
  </si>
  <si>
    <t>,1,2,3,320,321,322,318,319</t>
  </si>
  <si>
    <t>,1,2,3,315,317,313,314,318,319</t>
  </si>
  <si>
    <t>,1,32,33,30,2,28,29</t>
  </si>
  <si>
    <t>,1,2,3,285,286,287,283,284,288,289,305,306,307,303,304,308,290,291,309,292,293,294,310,311,312,301,302,303,304,300,305,299,295,296,297,293,294,298,310,311,312,308,309,313,301,302,303,299,300,304,314</t>
  </si>
  <si>
    <t>Empire of Religion : Imperialism and Comparative Religion</t>
  </si>
  <si>
    <t>BL2463</t>
  </si>
  <si>
    <t>200.9171/241</t>
  </si>
  <si>
    <t>,1,22,1,23,22,24,23,24,20,21,21,2,2,25,25,26,26,27,27,28,28,29,29</t>
  </si>
  <si>
    <t>,288,290,291,292,287,286,285,284,283,282,281,280,279,277,278,290,294,295,293,296,296,297,298,300,301,299,302,303,304,305,306,306</t>
  </si>
  <si>
    <t>,1,2,3,285,286,287,283,284,289,291,292</t>
  </si>
  <si>
    <t>,2,2,16,17,16,17,14,15,15,18,18,19,19</t>
  </si>
  <si>
    <t>,1,17</t>
  </si>
  <si>
    <t>,1,2,2,3,3,1,7,7,5,5,4,4,3,2,1</t>
  </si>
  <si>
    <t>,1,2,2,3,1,3,10,10,11,11,8,12,9,9,12,6,7,7,292,292,293,293,294,294,290,291,291,2,292,306,292</t>
  </si>
  <si>
    <t>NLdURqlzHM26KXpIWU8LHg==</t>
  </si>
  <si>
    <t>App Empire : Make Money, Have a Life, and Let Technology Work for You</t>
  </si>
  <si>
    <t>,18,21,21,22,22,23,23,24,24,25,25,26,26,27,27,28,28,29,29,30,30,25,30,31,31,32,32,33,33,34,34,35,35,36,36,37,37,38,38,39,39,34,33,40,40,37,41,41,36,41,42,42,35,36,37,34,39,40,40,1,40,41,42,38,41,42,1,39,39,2,37,2,36,41,42,43,43,44,44,45,45,46,46,47,47,48,48,49,49,50,50,51,51,1,51,52,51,1,52,53,53,49,50,50,54,54,55,55,50,49,54,55,56,56,57,57,52,51,50,49,54,55</t>
  </si>
  <si>
    <t>QA76.76.A65 -- M87 2012eb</t>
  </si>
  <si>
    <t>005.1; 658.11</t>
  </si>
  <si>
    <t>,1,2,3,2,1,3,4,4,5,5,2,2,6,6,7,7,8,8,9,9,10,10,11,11,12,12,13,13,14,14,15,15,16,17,16,17,18,18,19,19,20,20</t>
  </si>
  <si>
    <t>The Neighbor : Three Inquiries in Political Theology, with a new Preface</t>
  </si>
  <si>
    <t>Philosophy; Religion</t>
  </si>
  <si>
    <t>177/.7</t>
  </si>
  <si>
    <t>Handbook of Autism and Pervasive Developmental Disorders, Assessment, Interventions, and Policy : Assessment, Interventions, and Policy</t>
  </si>
  <si>
    <t>,1,2,3,7,8,9,5,6,23,24,25,21,22,10,30,51,52,53,49,50,48,47</t>
  </si>
  <si>
    <t>RJ506.A9 -- .H363 2014eb</t>
  </si>
  <si>
    <t>618.92/85882</t>
  </si>
  <si>
    <t>66s2F1O+0HrXzt9MIR/fUQ==</t>
  </si>
  <si>
    <t>,201,202,203,199,200,54,55,56,57,58,59,60,61,62,63,64,50,51,52,48,49,46,47</t>
  </si>
  <si>
    <t>,1,2,3,243,244,245,241,242,246,247,248,249,250,251,252,253,254,255,256,257,258,259,260,261,262,263,264,265,266</t>
  </si>
  <si>
    <t>Building a Latino Civil Rights Movement : Puerto Ricans, African Americans, and the Pursuit of Racial Justice in New York City</t>
  </si>
  <si>
    <t>,1,2,2,1,3,3,11,11,12,12,13,13,9,10,10,2,16,17,17,18,18,16,14,15,15,19,19,20,20</t>
  </si>
  <si>
    <t>F128.9.P85 -- .L44 2014eb</t>
  </si>
  <si>
    <t>323.1168/729507471</t>
  </si>
  <si>
    <t>Politics of Nostalgia in the Arabic Novel : Nation-State, Modernity and Tradition</t>
  </si>
  <si>
    <t>PJ7572.N67 -- O99 2013eb</t>
  </si>
  <si>
    <t>Poetry of Jack Spicer</t>
  </si>
  <si>
    <t>PS3569.P47 -- Z713 2013eb</t>
  </si>
  <si>
    <t>Unexpected : Narrative Temporality and the Philosophy of Surprise</t>
  </si>
  <si>
    <t>PN212 -- .C87 2013eb</t>
  </si>
  <si>
    <t>Muriel Rukeyser and Documentary : The Poetics of Connection</t>
  </si>
  <si>
    <t>PS3535.U4 -- Z633 2013eb</t>
  </si>
  <si>
    <t>New Frontiers : Law and Society in the Roman World</t>
  </si>
  <si>
    <t>KJA147 .F384 2013</t>
  </si>
  <si>
    <t>Plane Queer : Labor, Sexuality, and AIDS in the History of Male Flight Attendants</t>
  </si>
  <si>
    <t>HD6073.A432 -- T54 2013eb</t>
  </si>
  <si>
    <t>Honey, Olives, Octopus : Adventures at the Greek Table</t>
  </si>
  <si>
    <t>TX723.5.G8 -- B28 2013eb</t>
  </si>
  <si>
    <t>,1,2,3,4,5,6,7,8,9,1,2,3</t>
  </si>
  <si>
    <t>ugO6AsV7qQY=</t>
  </si>
  <si>
    <t>Dual-Process Theories of the Social Mind</t>
  </si>
  <si>
    <t>,141,142,143,144,145,146</t>
  </si>
  <si>
    <t>HM1033 -- .D83 2014eb</t>
  </si>
  <si>
    <t>,1,1,2,2,3,3,4,4,5,5,6,6,7,7,8,8,9,9,7,7,8,2,8,9,2,9,10,10,11,11,12,12,13,13,14,14,15,15,16,16,17,17,18,18,19,19,20,20,21,21,22,22,23,23,28,28,29,29,25,26,26,139,139,140,140,141,141,137,138,138,142,142,137,139,140</t>
  </si>
  <si>
    <t>,1,2,3,305,307,303,304,217,218,219,215,216,220</t>
  </si>
  <si>
    <t>,1,2,3,283,284,285,281,282,286</t>
  </si>
  <si>
    <t>,1,2,3,279,280,281,277,278,282,283,284,285</t>
  </si>
  <si>
    <t>SnKbTG5y0R4=</t>
  </si>
  <si>
    <t>,1,2,3,95,96,97,93,94,98,99,100,101,102,103,104,105,106,107</t>
  </si>
  <si>
    <t>(All)</t>
  </si>
  <si>
    <t>Grand Total</t>
  </si>
  <si>
    <t>Count of Type</t>
  </si>
  <si>
    <t>Type of Usage</t>
  </si>
  <si>
    <t>Total</t>
  </si>
  <si>
    <t>UserID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</si>
</sst>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22" fontId="0" fillId="0" borderId="0" xfId="0" applyNumberFormat="1"/>
    <xf numFmtId="21" fontId="0" fillId="0" borderId="0" xfId="0" applyNumberFormat="1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0" fontId="17" fillId="34" borderId="0" xfId="0" applyFont="1" applyFill="1"/>
    <xf numFmtId="0" fontId="13" fillId="34" borderId="0" xfId="0" applyFont="1" applyFill="1"/>
    <xf numFmtId="0" fontId="0" fillId="33" borderId="0" xfId="0" applyFill="1" applyAlignment="1">
      <alignment horizontal="left"/>
    </xf>
    <xf numFmtId="0" fontId="0" fillId="33" borderId="0" xfId="0" applyNumberFormat="1" applyFill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/>
    </xf>
    <xf numFmtId="0" fontId="0" fillId="35" borderId="0" xfId="0" applyNumberFormat="1" applyFill="1"/>
    <xf numFmtId="22" fontId="0" fillId="0" borderId="0" xfId="0" applyNumberFormat="1" applyAlignment="1">
      <alignment horizontal="left"/>
    </xf>
    <xf numFmtId="22" fontId="0" fillId="33" borderId="0" xfId="0" applyNumberFormat="1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16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johnson" refreshedDate="42403.421169097222" createdVersion="4" refreshedVersion="4" minRefreshableVersion="3" recordCount="9451">
  <cacheSource type="worksheet">
    <worksheetSource ref="A1:V9452" sheet="NY3R Usage"/>
  </cacheSource>
  <cacheFields count="22">
    <cacheField name="Date" numFmtId="22">
      <sharedItems containsSemiMixedTypes="0" containsNonDate="0" containsDate="1" containsString="0" minDate="2015-08-01T00:41:51" maxDate="2016-01-31T23:54:15" count="8948">
        <d v="2016-01-31T23:54:15"/>
        <d v="2016-01-31T23:53:05"/>
        <d v="2016-01-31T23:52:54"/>
        <d v="2016-01-31T23:46:03"/>
        <d v="2016-01-31T23:45:46"/>
        <d v="2016-01-31T23:40:23"/>
        <d v="2016-01-31T23:39:20"/>
        <d v="2016-01-31T23:37:51"/>
        <d v="2016-01-31T23:36:03"/>
        <d v="2016-01-31T22:46:32"/>
        <d v="2016-01-31T22:25:36"/>
        <d v="2016-01-31T22:25:18"/>
        <d v="2016-01-31T22:24:06"/>
        <d v="2016-01-31T22:22:27"/>
        <d v="2016-01-31T22:22:16"/>
        <d v="2016-01-31T22:22:12"/>
        <d v="2016-01-31T22:21:51"/>
        <d v="2016-01-31T22:21:39"/>
        <d v="2016-01-31T22:20:50"/>
        <d v="2016-01-31T22:18:54"/>
        <d v="2016-01-31T22:04:32"/>
        <d v="2016-01-31T21:56:48"/>
        <d v="2016-01-31T21:46:37"/>
        <d v="2016-01-31T21:08:50"/>
        <d v="2016-01-31T20:25:24"/>
        <d v="2016-01-31T19:57:25"/>
        <d v="2016-01-31T19:45:34"/>
        <d v="2016-01-31T19:45:22"/>
        <d v="2016-01-31T19:41:26"/>
        <d v="2016-01-31T18:54:29"/>
        <d v="2016-01-31T18:42:59"/>
        <d v="2016-01-31T18:40:46"/>
        <d v="2016-01-31T18:29:33"/>
        <d v="2016-01-31T18:28:30"/>
        <d v="2016-01-31T18:13:17"/>
        <d v="2016-01-31T18:08:12"/>
        <d v="2016-01-31T17:49:32"/>
        <d v="2016-01-31T17:47:52"/>
        <d v="2016-01-31T17:38:08"/>
        <d v="2016-01-31T17:37:54"/>
        <d v="2016-01-31T17:37:39"/>
        <d v="2016-01-31T17:19:14"/>
        <d v="2016-01-31T17:05:34"/>
        <d v="2016-01-31T17:04:07"/>
        <d v="2016-01-31T15:47:52"/>
        <d v="2016-01-31T15:03:34"/>
        <d v="2016-01-31T15:03:09"/>
        <d v="2016-01-31T14:59:22"/>
        <d v="2016-01-31T06:01:51"/>
        <d v="2016-01-31T04:02:40"/>
        <d v="2016-01-31T04:01:36"/>
        <d v="2016-01-31T03:46:24"/>
        <d v="2016-01-31T03:44:35"/>
        <d v="2016-01-31T01:00:33"/>
        <d v="2016-01-31T00:57:50"/>
        <d v="2016-01-30T23:20:22"/>
        <d v="2016-01-30T21:58:12"/>
        <d v="2016-01-30T19:36:57"/>
        <d v="2016-01-30T19:07:21"/>
        <d v="2016-01-30T18:53:18"/>
        <d v="2016-01-30T18:47:52"/>
        <d v="2016-01-30T18:38:20"/>
        <d v="2016-01-30T18:26:55"/>
        <d v="2016-01-30T18:16:29"/>
        <d v="2016-01-30T18:12:06"/>
        <d v="2016-01-30T18:09:57"/>
        <d v="2016-01-30T18:00:17"/>
        <d v="2016-01-30T17:42:27"/>
        <d v="2016-01-30T17:42:11"/>
        <d v="2016-01-30T17:27:57"/>
        <d v="2016-01-30T17:27:43"/>
        <d v="2016-01-30T17:18:04"/>
        <d v="2016-01-30T17:17:51"/>
        <d v="2016-01-30T17:17:43"/>
        <d v="2016-01-30T16:53:58"/>
        <d v="2016-01-30T16:29:01"/>
        <d v="2016-01-30T16:22:37"/>
        <d v="2016-01-30T16:04:18"/>
        <d v="2016-01-30T15:29:08"/>
        <d v="2016-01-30T15:28:03"/>
        <d v="2016-01-30T15:27:51"/>
        <d v="2016-01-30T15:24:53"/>
        <d v="2016-01-30T15:24:40"/>
        <d v="2016-01-30T15:16:28"/>
        <d v="2016-01-30T15:15:00"/>
        <d v="2016-01-30T15:07:12"/>
        <d v="2016-01-30T14:30:38"/>
        <d v="2016-01-30T03:40:56"/>
        <d v="2016-01-30T03:40:21"/>
        <d v="2016-01-30T02:50:52"/>
        <d v="2016-01-30T02:30:42"/>
        <d v="2016-01-30T02:20:25"/>
        <d v="2016-01-30T02:19:36"/>
        <d v="2016-01-30T00:15:19"/>
        <d v="2016-01-29T23:46:10"/>
        <d v="2016-01-29T23:42:56"/>
        <d v="2016-01-29T23:30:14"/>
        <d v="2016-01-29T23:27:57"/>
        <d v="2016-01-29T23:19:38"/>
        <d v="2016-01-29T22:30:39"/>
        <d v="2016-01-29T22:08:17"/>
        <d v="2016-01-29T21:58:11"/>
        <d v="2016-01-29T21:53:17"/>
        <d v="2016-01-29T21:46:26"/>
        <d v="2016-01-29T21:46:10"/>
        <d v="2016-01-29T21:15:01"/>
        <d v="2016-01-29T20:24:18"/>
        <d v="2016-01-29T20:23:20"/>
        <d v="2016-01-29T19:30:26"/>
        <d v="2016-01-29T19:30:07"/>
        <d v="2016-01-29T19:24:01"/>
        <d v="2016-01-29T19:09:56"/>
        <d v="2016-01-29T19:00:20"/>
        <d v="2016-01-29T18:58:51"/>
        <d v="2016-01-29T18:52:44"/>
        <d v="2016-01-29T18:47:34"/>
        <d v="2016-01-29T18:24:38"/>
        <d v="2016-01-29T18:20:07"/>
        <d v="2016-01-29T17:33:35"/>
        <d v="2016-01-29T17:25:57"/>
        <d v="2016-01-29T17:16:10"/>
        <d v="2016-01-29T17:15:28"/>
        <d v="2016-01-29T17:13:55"/>
        <d v="2016-01-29T16:30:09"/>
        <d v="2016-01-29T16:26:05"/>
        <d v="2016-01-29T16:15:17"/>
        <d v="2016-01-29T16:14:02"/>
        <d v="2016-01-29T16:10:15"/>
        <d v="2016-01-29T16:09:58"/>
        <d v="2016-01-29T16:08:44"/>
        <d v="2016-01-29T16:08:10"/>
        <d v="2016-01-29T16:02:57"/>
        <d v="2016-01-29T15:37:53"/>
        <d v="2016-01-29T15:25:14"/>
        <d v="2016-01-29T14:55:43"/>
        <d v="2016-01-29T14:55:08"/>
        <d v="2016-01-29T14:17:15"/>
        <d v="2016-01-29T14:04:38"/>
        <d v="2016-01-29T13:51:19"/>
        <d v="2016-01-29T13:00:32"/>
        <d v="2016-01-29T05:27:19"/>
        <d v="2016-01-29T05:26:49"/>
        <d v="2016-01-29T05:18:44"/>
        <d v="2016-01-29T05:18:16"/>
        <d v="2016-01-29T05:13:33"/>
        <d v="2016-01-29T05:13:11"/>
        <d v="2016-01-29T03:04:07"/>
        <d v="2016-01-29T02:37:03"/>
        <d v="2016-01-29T02:34:39"/>
        <d v="2016-01-29T02:01:02"/>
        <d v="2016-01-29T02:00:09"/>
        <d v="2016-01-29T01:27:13"/>
        <d v="2016-01-29T01:01:24"/>
        <d v="2016-01-29T00:38:26"/>
        <d v="2016-01-29T00:29:20"/>
        <d v="2016-01-29T00:25:20"/>
        <d v="2016-01-29T00:20:09"/>
        <d v="2016-01-29T00:14:21"/>
        <d v="2016-01-29T00:13:44"/>
        <d v="2016-01-29T00:13:30"/>
        <d v="2016-01-29T00:13:18"/>
        <d v="2016-01-29T00:08:09"/>
        <d v="2016-01-28T23:13:42"/>
        <d v="2016-01-28T23:12:19"/>
        <d v="2016-01-28T23:11:28"/>
        <d v="2016-01-28T22:03:34"/>
        <d v="2016-01-28T21:54:21"/>
        <d v="2016-01-28T21:49:52"/>
        <d v="2016-01-28T21:36:48"/>
        <d v="2016-01-28T21:34:46"/>
        <d v="2016-01-28T21:31:08"/>
        <d v="2016-01-28T21:29:16"/>
        <d v="2016-01-28T21:27:20"/>
        <d v="2016-01-28T21:23:25"/>
        <d v="2016-01-28T21:23:10"/>
        <d v="2016-01-28T21:22:30"/>
        <d v="2016-01-28T21:17:27"/>
        <d v="2016-01-28T21:17:03"/>
        <d v="2016-01-28T20:29:42"/>
        <d v="2016-01-28T20:28:30"/>
        <d v="2016-01-28T20:26:17"/>
        <d v="2016-01-28T19:45:08"/>
        <d v="2016-01-28T19:34:10"/>
        <d v="2016-01-28T19:33:00"/>
        <d v="2016-01-28T19:32:20"/>
        <d v="2016-01-28T19:30:13"/>
        <d v="2016-01-28T19:28:17"/>
        <d v="2016-01-28T19:27:59"/>
        <d v="2016-01-28T19:27:28"/>
        <d v="2016-01-28T19:25:58"/>
        <d v="2016-01-28T19:18:13"/>
        <d v="2016-01-28T19:01:31"/>
        <d v="2016-01-28T18:56:03"/>
        <d v="2016-01-28T18:55:42"/>
        <d v="2016-01-28T18:55:30"/>
        <d v="2016-01-28T18:55:17"/>
        <d v="2016-01-28T18:25:04"/>
        <d v="2016-01-28T18:24:51"/>
        <d v="2016-01-28T17:53:23"/>
        <d v="2016-01-28T17:48:03"/>
        <d v="2016-01-28T17:45:38"/>
        <d v="2016-01-28T17:20:08"/>
        <d v="2016-01-28T17:05:18"/>
        <d v="2016-01-28T16:59:56"/>
        <d v="2016-01-28T16:57:43"/>
        <d v="2016-01-28T16:49:35"/>
        <d v="2016-01-28T16:48:48"/>
        <d v="2016-01-28T16:43:38"/>
        <d v="2016-01-28T16:15:20"/>
        <d v="2016-01-28T16:08:23"/>
        <d v="2016-01-28T16:02:27"/>
        <d v="2016-01-28T15:57:19"/>
        <d v="2016-01-28T15:48:03"/>
        <d v="2016-01-28T15:47:55"/>
        <d v="2016-01-28T15:47:42"/>
        <d v="2016-01-28T15:40:50"/>
        <d v="2016-01-28T15:39:10"/>
        <d v="2016-01-28T15:31:16"/>
        <d v="2016-01-28T15:28:06"/>
        <d v="2016-01-28T14:43:57"/>
        <d v="2016-01-28T14:43:30"/>
        <d v="2016-01-28T14:42:16"/>
        <d v="2016-01-28T14:22:29"/>
        <d v="2016-01-28T14:21:11"/>
        <d v="2016-01-28T14:20:33"/>
        <d v="2016-01-28T14:20:09"/>
        <d v="2016-01-28T14:18:52"/>
        <d v="2016-01-28T14:18:07"/>
        <d v="2016-01-28T13:32:31"/>
        <d v="2016-01-28T13:31:16"/>
        <d v="2016-01-28T09:08:49"/>
        <d v="2016-01-28T09:08:06"/>
        <d v="2016-01-28T09:03:42"/>
        <d v="2016-01-28T09:01:38"/>
        <d v="2016-01-28T07:42:20"/>
        <d v="2016-01-28T07:30:25"/>
        <d v="2016-01-28T07:25:54"/>
        <d v="2016-01-28T07:25:10"/>
        <d v="2016-01-28T07:03:46"/>
        <d v="2016-01-28T06:53:15"/>
        <d v="2016-01-28T06:52:59"/>
        <d v="2016-01-28T06:49:53"/>
        <d v="2016-01-28T06:20:37"/>
        <d v="2016-01-28T06:17:45"/>
        <d v="2016-01-28T06:10:43"/>
        <d v="2016-01-28T05:39:02"/>
        <d v="2016-01-28T05:37:46"/>
        <d v="2016-01-28T05:37:05"/>
        <d v="2016-01-28T03:53:16"/>
        <d v="2016-01-28T03:04:22"/>
        <d v="2016-01-28T02:46:29"/>
        <d v="2016-01-28T02:42:01"/>
        <d v="2016-01-28T01:24:53"/>
        <d v="2016-01-28T00:29:25"/>
        <d v="2016-01-27T22:43:44"/>
        <d v="2016-01-27T22:18:51"/>
        <d v="2016-01-27T22:18:17"/>
        <d v="2016-01-27T22:03:02"/>
        <d v="2016-01-27T21:54:19"/>
        <d v="2016-01-27T21:50:40"/>
        <d v="2016-01-27T20:53:58"/>
        <d v="2016-01-27T20:31:18"/>
        <d v="2016-01-27T20:21:17"/>
        <d v="2016-01-27T19:58:41"/>
        <d v="2016-01-27T19:30:37"/>
        <d v="2016-01-27T19:21:06"/>
        <d v="2016-01-27T19:17:59"/>
        <d v="2016-01-27T18:58:43"/>
        <d v="2016-01-27T18:52:17"/>
        <d v="2016-01-27T18:43:04"/>
        <d v="2016-01-27T18:37:49"/>
        <d v="2016-01-27T18:36:08"/>
        <d v="2016-01-27T18:35:56"/>
        <d v="2016-01-27T18:34:40"/>
        <d v="2016-01-27T18:34:30"/>
        <d v="2016-01-27T18:08:38"/>
        <d v="2016-01-27T17:58:43"/>
        <d v="2016-01-27T17:54:13"/>
        <d v="2016-01-27T17:50:24"/>
        <d v="2016-01-27T17:48:38"/>
        <d v="2016-01-27T17:41:49"/>
        <d v="2016-01-27T17:39:28"/>
        <d v="2016-01-27T17:38:56"/>
        <d v="2016-01-27T17:09:10"/>
        <d v="2016-01-27T17:03:20"/>
        <d v="2016-01-27T16:58:49"/>
        <d v="2016-01-27T16:57:16"/>
        <d v="2016-01-27T16:55:38"/>
        <d v="2016-01-27T16:50:59"/>
        <d v="2016-01-27T16:49:41"/>
        <d v="2016-01-27T16:49:02"/>
        <d v="2016-01-27T16:45:50"/>
        <d v="2016-01-27T16:42:06"/>
        <d v="2016-01-27T16:30:58"/>
        <d v="2016-01-27T16:19:14"/>
        <d v="2016-01-27T15:59:40"/>
        <d v="2016-01-27T15:57:27"/>
        <d v="2016-01-27T15:54:29"/>
        <d v="2016-01-27T15:47:52"/>
        <d v="2016-01-27T15:46:21"/>
        <d v="2016-01-27T15:46:00"/>
        <d v="2016-01-27T15:45:19"/>
        <d v="2016-01-27T15:43:43"/>
        <d v="2016-01-27T15:41:26"/>
        <d v="2016-01-27T15:20:07"/>
        <d v="2016-01-27T15:12:02"/>
        <d v="2016-01-27T15:09:23"/>
        <d v="2016-01-27T15:05:21"/>
        <d v="2016-01-27T14:55:23"/>
        <d v="2016-01-27T14:52:29"/>
        <d v="2016-01-27T14:51:46"/>
        <d v="2016-01-27T14:50:18"/>
        <d v="2016-01-27T14:49:02"/>
        <d v="2016-01-27T14:48:19"/>
        <d v="2016-01-27T14:46:15"/>
        <d v="2016-01-27T14:45:09"/>
        <d v="2016-01-27T14:44:24"/>
        <d v="2016-01-27T14:41:05"/>
        <d v="2016-01-27T14:07:26"/>
        <d v="2016-01-27T13:25:29"/>
        <d v="2016-01-27T10:32:49"/>
        <d v="2016-01-27T10:10:31"/>
        <d v="2016-01-27T09:46:20"/>
        <d v="2016-01-27T08:28:16"/>
        <d v="2016-01-27T08:27:31"/>
        <d v="2016-01-27T08:05:30"/>
        <d v="2016-01-27T06:22:41"/>
        <d v="2016-01-27T06:20:08"/>
        <d v="2016-01-27T06:19:41"/>
        <d v="2016-01-27T04:01:27"/>
        <d v="2016-01-27T03:11:48"/>
        <d v="2016-01-27T03:10:56"/>
        <d v="2016-01-27T03:09:29"/>
        <d v="2016-01-27T01:53:08"/>
        <d v="2016-01-27T01:32:37"/>
        <d v="2016-01-27T01:31:09"/>
        <d v="2016-01-27T01:24:20"/>
        <d v="2016-01-27T01:23:45"/>
        <d v="2016-01-27T01:06:02"/>
        <d v="2016-01-27T00:40:31"/>
        <d v="2016-01-27T00:25:18"/>
        <d v="2016-01-27T00:14:14"/>
        <d v="2016-01-26T23:32:30"/>
        <d v="2016-01-26T22:29:21"/>
        <d v="2016-01-26T22:29:05"/>
        <d v="2016-01-26T22:22:05"/>
        <d v="2016-01-26T22:18:50"/>
        <d v="2016-01-26T22:18:23"/>
        <d v="2016-01-26T22:11:59"/>
        <d v="2016-01-26T22:02:14"/>
        <d v="2016-01-26T22:01:57"/>
        <d v="2016-01-26T22:00:45"/>
        <d v="2016-01-26T21:58:04"/>
        <d v="2016-01-26T21:44:31"/>
        <d v="2016-01-26T21:44:11"/>
        <d v="2016-01-26T21:40:28"/>
        <d v="2016-01-26T21:39:02"/>
        <d v="2016-01-26T21:35:00"/>
        <d v="2016-01-26T21:34:52"/>
        <d v="2016-01-26T21:34:36"/>
        <d v="2016-01-26T21:32:33"/>
        <d v="2016-01-26T20:54:57"/>
        <d v="2016-01-26T20:39:06"/>
        <d v="2016-01-26T19:53:38"/>
        <d v="2016-01-26T19:51:18"/>
        <d v="2016-01-26T19:51:02"/>
        <d v="2016-01-26T19:28:40"/>
        <d v="2016-01-26T19:18:09"/>
        <d v="2016-01-26T18:20:49"/>
        <d v="2016-01-26T18:20:35"/>
        <d v="2016-01-26T17:49:10"/>
        <d v="2016-01-26T17:45:17"/>
        <d v="2016-01-26T17:42:00"/>
        <d v="2016-01-26T17:36:27"/>
        <d v="2016-01-26T16:02:51"/>
        <d v="2016-01-26T15:56:09"/>
        <d v="2016-01-26T15:55:24"/>
        <d v="2016-01-26T15:24:46"/>
        <d v="2016-01-26T15:24:24"/>
        <d v="2016-01-26T15:15:03"/>
        <d v="2016-01-26T14:38:00"/>
        <d v="2016-01-26T14:14:02"/>
        <d v="2016-01-26T13:58:56"/>
        <d v="2016-01-26T13:56:42"/>
        <d v="2016-01-26T13:48:04"/>
        <d v="2016-01-26T13:21:03"/>
        <d v="2016-01-26T12:39:35"/>
        <d v="2016-01-26T08:58:57"/>
        <d v="2016-01-26T08:19:25"/>
        <d v="2016-01-26T08:09:59"/>
        <d v="2016-01-26T07:51:49"/>
        <d v="2016-01-26T07:28:16"/>
        <d v="2016-01-26T07:26:07"/>
        <d v="2016-01-26T06:47:12"/>
        <d v="2016-01-26T06:40:30"/>
        <d v="2016-01-26T06:39:35"/>
        <d v="2016-01-26T06:17:54"/>
        <d v="2016-01-26T06:15:08"/>
        <d v="2016-01-26T06:14:09"/>
        <d v="2016-01-26T06:09:39"/>
        <d v="2016-01-26T06:09:37"/>
        <d v="2016-01-26T06:07:47"/>
        <d v="2016-01-26T05:17:15"/>
        <d v="2016-01-26T05:06:49"/>
        <d v="2016-01-26T04:05:21"/>
        <d v="2016-01-26T04:05:05"/>
        <d v="2016-01-26T04:01:36"/>
        <d v="2016-01-26T04:00:52"/>
        <d v="2016-01-26T03:57:03"/>
        <d v="2016-01-26T03:48:53"/>
        <d v="2016-01-26T03:22:22"/>
        <d v="2016-01-26T02:10:54"/>
        <d v="2016-01-26T02:08:03"/>
        <d v="2016-01-26T01:47:37"/>
        <d v="2016-01-26T01:47:33"/>
        <d v="2016-01-26T01:47:17"/>
        <d v="2016-01-26T01:47:14"/>
        <d v="2016-01-26T01:47:13"/>
        <d v="2016-01-26T01:21:48"/>
        <d v="2016-01-26T01:03:06"/>
        <d v="2016-01-26T00:34:21"/>
        <d v="2016-01-26T00:23:12"/>
        <d v="2016-01-26T00:19:20"/>
        <d v="2016-01-26T00:16:14"/>
        <d v="2016-01-26T00:10:14"/>
        <d v="2016-01-26T00:08:28"/>
        <d v="2016-01-26T00:08:16"/>
        <d v="2016-01-26T00:08:03"/>
        <d v="2016-01-26T00:07:18"/>
        <d v="2016-01-25T23:53:55"/>
        <d v="2016-01-25T23:31:09"/>
        <d v="2016-01-25T22:26:29"/>
        <d v="2016-01-25T22:15:56"/>
        <d v="2016-01-25T20:54:07"/>
        <d v="2016-01-25T20:44:53"/>
        <d v="2016-01-25T20:33:21"/>
        <d v="2016-01-25T20:01:42"/>
        <d v="2016-01-25T19:42:21"/>
        <d v="2016-01-25T19:05:15"/>
        <d v="2016-01-25T18:54:54"/>
        <d v="2016-01-25T17:21:42"/>
        <d v="2016-01-25T16:50:38"/>
        <d v="2016-01-25T16:45:14"/>
        <d v="2016-01-25T16:44:25"/>
        <d v="2016-01-25T16:43:04"/>
        <d v="2016-01-25T16:42:42"/>
        <d v="2016-01-25T16:32:10"/>
        <d v="2016-01-25T16:31:07"/>
        <d v="2016-01-25T16:27:21"/>
        <d v="2016-01-25T16:26:59"/>
        <d v="2016-01-25T16:23:44"/>
        <d v="2016-01-25T16:11:32"/>
        <d v="2016-01-25T16:07:53"/>
        <d v="2016-01-25T16:07:07"/>
        <d v="2016-01-25T16:06:08"/>
        <d v="2016-01-25T16:04:48"/>
        <d v="2016-01-25T16:04:17"/>
        <d v="2016-01-25T16:03:05"/>
        <d v="2016-01-25T16:02:13"/>
        <d v="2016-01-25T15:50:04"/>
        <d v="2016-01-25T15:44:23"/>
        <d v="2016-01-25T15:37:27"/>
        <d v="2016-01-25T15:32:07"/>
        <d v="2016-01-25T15:23:35"/>
        <d v="2016-01-25T15:20:58"/>
        <d v="2016-01-25T15:13:40"/>
        <d v="2016-01-25T14:27:21"/>
        <d v="2016-01-25T13:00:51"/>
        <d v="2016-01-25T08:01:03"/>
        <d v="2016-01-25T07:55:24"/>
        <d v="2016-01-25T07:14:41"/>
        <d v="2016-01-25T07:14:21"/>
        <d v="2016-01-25T07:04:23"/>
        <d v="2016-01-25T07:04:00"/>
        <d v="2016-01-25T07:03:09"/>
        <d v="2016-01-25T06:59:24"/>
        <d v="2016-01-25T06:54:04"/>
        <d v="2016-01-25T06:50:23"/>
        <d v="2016-01-25T06:49:59"/>
        <d v="2016-01-25T06:38:30"/>
        <d v="2016-01-25T06:38:17"/>
        <d v="2016-01-25T06:21:46"/>
        <d v="2016-01-25T06:20:01"/>
        <d v="2016-01-25T06:19:48"/>
        <d v="2016-01-25T06:15:31"/>
        <d v="2016-01-25T06:15:16"/>
        <d v="2016-01-25T06:13:02"/>
        <d v="2016-01-25T06:12:49"/>
        <d v="2016-01-25T06:12:27"/>
        <d v="2016-01-25T06:12:15"/>
        <d v="2016-01-25T06:04:38"/>
        <d v="2016-01-25T05:31:49"/>
        <d v="2016-01-25T05:31:29"/>
        <d v="2016-01-25T05:01:17"/>
        <d v="2016-01-25T04:56:48"/>
        <d v="2016-01-25T04:55:44"/>
        <d v="2016-01-25T02:45:02"/>
        <d v="2016-01-25T02:43:20"/>
        <d v="2016-01-25T01:39:47"/>
        <d v="2016-01-25T01:37:01"/>
        <d v="2016-01-25T01:15:54"/>
        <d v="2016-01-25T01:15:33"/>
        <d v="2016-01-25T01:13:11"/>
        <d v="2016-01-25T01:02:58"/>
        <d v="2016-01-25T00:51:32"/>
        <d v="2016-01-25T00:27:19"/>
        <d v="2016-01-25T00:27:06"/>
        <d v="2016-01-25T00:24:03"/>
        <d v="2016-01-24T23:52:44"/>
        <d v="2016-01-24T23:45:26"/>
        <d v="2016-01-24T22:46:00"/>
        <d v="2016-01-24T22:27:32"/>
        <d v="2016-01-24T22:15:17"/>
        <d v="2016-01-24T22:09:07"/>
        <d v="2016-01-24T22:07:21"/>
        <d v="2016-01-24T21:58:09"/>
        <d v="2016-01-24T21:49:38"/>
        <d v="2016-01-24T20:45:53"/>
        <d v="2016-01-24T20:39:13"/>
        <d v="2016-01-24T20:06:43"/>
        <d v="2016-01-24T19:37:51"/>
        <d v="2016-01-24T19:26:32"/>
        <d v="2016-01-24T18:53:52"/>
        <d v="2016-01-24T18:53:26"/>
        <d v="2016-01-24T18:41:12"/>
        <d v="2016-01-24T18:16:44"/>
        <d v="2016-01-24T18:09:15"/>
        <d v="2016-01-24T16:03:34"/>
        <d v="2016-01-24T16:00:54"/>
        <d v="2016-01-24T15:00:28"/>
        <d v="2016-01-24T15:00:02"/>
        <d v="2016-01-24T11:10:27"/>
        <d v="2016-01-24T10:25:37"/>
        <d v="2016-01-24T10:15:32"/>
        <d v="2016-01-24T10:11:50"/>
        <d v="2016-01-24T10:04:46"/>
        <d v="2016-01-24T09:50:04"/>
        <d v="2016-01-24T08:19:48"/>
        <d v="2016-01-24T04:51:39"/>
        <d v="2016-01-24T04:26:33"/>
        <d v="2016-01-24T04:25:07"/>
        <d v="2016-01-24T03:40:09"/>
        <d v="2016-01-24T03:34:29"/>
        <d v="2016-01-24T03:23:02"/>
        <d v="2016-01-24T01:25:54"/>
        <d v="2016-01-24T01:08:59"/>
        <d v="2016-01-24T00:39:17"/>
        <d v="2016-01-24T00:26:00"/>
        <d v="2016-01-24T00:06:57"/>
        <d v="2016-01-23T22:21:40"/>
        <d v="2016-01-23T21:28:33"/>
        <d v="2016-01-23T21:22:42"/>
        <d v="2016-01-23T21:13:46"/>
        <d v="2016-01-23T21:13:18"/>
        <d v="2016-01-23T19:26:16"/>
        <d v="2016-01-23T17:41:13"/>
        <d v="2016-01-23T17:16:33"/>
        <d v="2016-01-23T16:54:33"/>
        <d v="2016-01-23T16:50:48"/>
        <d v="2016-01-23T16:49:58"/>
        <d v="2016-01-23T16:44:45"/>
        <d v="2016-01-23T16:42:47"/>
        <d v="2016-01-23T16:39:58"/>
        <d v="2016-01-23T15:57:23"/>
        <d v="2016-01-23T15:50:02"/>
        <d v="2016-01-23T15:33:49"/>
        <d v="2016-01-23T09:15:50"/>
        <d v="2016-01-23T09:15:38"/>
        <d v="2016-01-23T09:13:10"/>
        <d v="2016-01-23T09:12:48"/>
        <d v="2016-01-23T09:12:26"/>
        <d v="2016-01-23T09:12:06"/>
        <d v="2016-01-23T05:16:48"/>
        <d v="2016-01-23T04:59:13"/>
        <d v="2016-01-23T04:57:28"/>
        <d v="2016-01-23T04:49:15"/>
        <d v="2016-01-23T04:06:10"/>
        <d v="2016-01-23T02:44:32"/>
        <d v="2016-01-23T01:55:53"/>
        <d v="2016-01-23T01:55:18"/>
        <d v="2016-01-23T01:36:30"/>
        <d v="2016-01-22T22:57:00"/>
        <d v="2016-01-22T22:56:15"/>
        <d v="2016-01-22T22:52:57"/>
        <d v="2016-01-22T22:52:30"/>
        <d v="2016-01-22T21:22:02"/>
        <d v="2016-01-22T21:21:26"/>
        <d v="2016-01-22T20:39:35"/>
        <d v="2016-01-22T20:26:12"/>
        <d v="2016-01-22T20:15:15"/>
        <d v="2016-01-22T20:10:01"/>
        <d v="2016-01-22T20:02:59"/>
        <d v="2016-01-22T19:49:22"/>
        <d v="2016-01-22T19:49:04"/>
        <d v="2016-01-22T19:47:38"/>
        <d v="2016-01-22T19:27:23"/>
        <d v="2016-01-22T19:12:24"/>
        <d v="2016-01-22T18:20:14"/>
        <d v="2016-01-22T18:18:54"/>
        <d v="2016-01-22T18:15:25"/>
        <d v="2016-01-22T18:13:06"/>
        <d v="2016-01-22T18:11:21"/>
        <d v="2016-01-22T18:10:43"/>
        <d v="2016-01-22T17:45:14"/>
        <d v="2016-01-22T17:38:17"/>
        <d v="2016-01-22T17:36:43"/>
        <d v="2016-01-22T17:19:12"/>
        <d v="2016-01-22T17:16:26"/>
        <d v="2016-01-22T17:14:10"/>
        <d v="2016-01-22T16:31:25"/>
        <d v="2016-01-22T16:16:01"/>
        <d v="2016-01-22T16:13:36"/>
        <d v="2016-01-22T15:26:34"/>
        <d v="2016-01-22T15:21:05"/>
        <d v="2016-01-22T15:18:30"/>
        <d v="2016-01-22T15:14:02"/>
        <d v="2016-01-22T15:08:30"/>
        <d v="2016-01-22T14:44:42"/>
        <d v="2016-01-22T14:43:40"/>
        <d v="2016-01-22T14:43:18"/>
        <d v="2016-01-22T13:41:18"/>
        <d v="2016-01-22T13:40:00"/>
        <d v="2016-01-22T04:17:21"/>
        <d v="2016-01-22T04:16:36"/>
        <d v="2016-01-22T02:22:20"/>
        <d v="2016-01-22T02:14:45"/>
        <d v="2016-01-22T02:09:58"/>
        <d v="2016-01-22T02:02:54"/>
        <d v="2016-01-22T02:00:12"/>
        <d v="2016-01-22T01:32:25"/>
        <d v="2016-01-22T01:19:54"/>
        <d v="2016-01-22T01:10:48"/>
        <d v="2016-01-22T01:01:52"/>
        <d v="2016-01-21T23:18:11"/>
        <d v="2016-01-21T23:18:05"/>
        <d v="2016-01-21T23:11:23"/>
        <d v="2016-01-21T23:11:13"/>
        <d v="2016-01-21T22:39:31"/>
        <d v="2016-01-21T21:52:31"/>
        <d v="2016-01-21T21:12:23"/>
        <d v="2016-01-21T21:11:43"/>
        <d v="2016-01-21T21:11:15"/>
        <d v="2016-01-21T21:07:54"/>
        <d v="2016-01-21T21:02:07"/>
        <d v="2016-01-21T20:56:39"/>
        <d v="2016-01-21T20:51:45"/>
        <d v="2016-01-21T20:49:11"/>
        <d v="2016-01-21T20:47:04"/>
        <d v="2016-01-21T20:43:06"/>
        <d v="2016-01-21T20:39:33"/>
        <d v="2016-01-21T20:39:17"/>
        <d v="2016-01-21T20:39:07"/>
        <d v="2016-01-21T20:36:01"/>
        <d v="2016-01-21T20:32:57"/>
        <d v="2016-01-21T20:28:49"/>
        <d v="2016-01-21T19:17:42"/>
        <d v="2016-01-21T18:47:04"/>
        <d v="2016-01-21T18:45:44"/>
        <d v="2016-01-21T17:53:22"/>
        <d v="2016-01-21T17:51:47"/>
        <d v="2016-01-21T16:16:45"/>
        <d v="2016-01-21T16:13:39"/>
        <d v="2016-01-21T16:10:59"/>
        <d v="2016-01-21T16:01:41"/>
        <d v="2016-01-21T16:01:17"/>
        <d v="2016-01-21T15:59:35"/>
        <d v="2016-01-21T15:52:57"/>
        <d v="2016-01-21T15:44:05"/>
        <d v="2016-01-21T15:27:50"/>
        <d v="2016-01-21T15:06:57"/>
        <d v="2016-01-21T15:05:16"/>
        <d v="2016-01-21T15:04:38"/>
        <d v="2016-01-21T14:49:06"/>
        <d v="2016-01-21T14:48:27"/>
        <d v="2016-01-21T14:46:56"/>
        <d v="2016-01-21T14:32:55"/>
        <d v="2016-01-21T14:31:36"/>
        <d v="2016-01-21T14:06:42"/>
        <d v="2016-01-21T13:58:18"/>
        <d v="2016-01-21T12:13:05"/>
        <d v="2016-01-21T03:56:55"/>
        <d v="2016-01-21T03:51:20"/>
        <d v="2016-01-21T02:17:23"/>
        <d v="2016-01-21T02:15:25"/>
        <d v="2016-01-21T01:12:19"/>
        <d v="2016-01-21T01:12:08"/>
        <d v="2016-01-21T01:11:57"/>
        <d v="2016-01-21T01:09:39"/>
        <d v="2016-01-21T01:09:29"/>
        <d v="2016-01-21T00:32:29"/>
        <d v="2016-01-20T23:58:02"/>
        <d v="2016-01-20T21:48:29"/>
        <d v="2016-01-20T21:38:14"/>
        <d v="2016-01-20T20:58:40"/>
        <d v="2016-01-20T20:48:30"/>
        <d v="2016-01-20T20:43:47"/>
        <d v="2016-01-20T20:33:49"/>
        <d v="2016-01-20T20:26:58"/>
        <d v="2016-01-20T20:08:25"/>
        <d v="2016-01-20T19:56:25"/>
        <d v="2016-01-20T19:52:23"/>
        <d v="2016-01-20T18:58:13"/>
        <d v="2016-01-20T18:53:51"/>
        <d v="2016-01-20T18:29:10"/>
        <d v="2016-01-20T18:15:37"/>
        <d v="2016-01-20T18:15:22"/>
        <d v="2016-01-20T18:12:42"/>
        <d v="2016-01-20T17:55:30"/>
        <d v="2016-01-20T17:49:34"/>
        <d v="2016-01-20T17:48:35"/>
        <d v="2016-01-20T17:43:13"/>
        <d v="2016-01-20T17:40:18"/>
        <d v="2016-01-20T17:29:25"/>
        <d v="2016-01-20T16:47:49"/>
        <d v="2016-01-20T16:32:49"/>
        <d v="2016-01-20T16:24:03"/>
        <d v="2016-01-20T16:23:55"/>
        <d v="2016-01-20T16:20:30"/>
        <d v="2016-01-20T16:14:39"/>
        <d v="2016-01-20T15:58:13"/>
        <d v="2016-01-20T15:54:43"/>
        <d v="2016-01-20T15:52:10"/>
        <d v="2016-01-20T15:46:35"/>
        <d v="2016-01-20T15:44:58"/>
        <d v="2016-01-20T15:44:32"/>
        <d v="2016-01-20T15:43:29"/>
        <d v="2016-01-20T15:24:33"/>
        <d v="2016-01-20T15:24:25"/>
        <d v="2016-01-20T15:22:23"/>
        <d v="2016-01-20T15:21:26"/>
        <d v="2016-01-20T15:15:11"/>
        <d v="2016-01-20T15:07:58"/>
        <d v="2016-01-20T15:04:44"/>
        <d v="2016-01-20T14:48:17"/>
        <d v="2016-01-20T14:21:43"/>
        <d v="2016-01-20T13:51:52"/>
        <d v="2016-01-20T13:48:24"/>
        <d v="2016-01-20T07:10:57"/>
        <d v="2016-01-20T06:14:51"/>
        <d v="2016-01-20T05:45:13"/>
        <d v="2016-01-20T04:17:17"/>
        <d v="2016-01-20T04:17:07"/>
        <d v="2016-01-20T02:09:01"/>
        <d v="2016-01-20T01:57:16"/>
        <d v="2016-01-19T23:24:09"/>
        <d v="2016-01-19T23:18:53"/>
        <d v="2016-01-19T20:42:29"/>
        <d v="2016-01-19T20:41:01"/>
        <d v="2016-01-19T20:40:53"/>
        <d v="2016-01-19T20:29:04"/>
        <d v="2016-01-19T20:27:46"/>
        <d v="2016-01-19T19:29:44"/>
        <d v="2016-01-19T18:51:13"/>
        <d v="2016-01-19T18:04:03"/>
        <d v="2016-01-19T17:21:41"/>
        <d v="2016-01-19T17:19:01"/>
        <d v="2016-01-19T16:51:36"/>
        <d v="2016-01-19T16:44:20"/>
        <d v="2016-01-19T15:52:13"/>
        <d v="2016-01-19T15:25:08"/>
        <d v="2016-01-19T14:51:18"/>
        <d v="2016-01-19T14:16:41"/>
        <d v="2016-01-19T14:10:36"/>
        <d v="2016-01-19T05:07:40"/>
        <d v="2016-01-19T05:04:53"/>
        <d v="2016-01-19T04:53:59"/>
        <d v="2016-01-19T04:52:22"/>
        <d v="2016-01-19T04:16:27"/>
        <d v="2016-01-19T03:02:06"/>
        <d v="2016-01-19T02:56:05"/>
        <d v="2016-01-19T00:27:59"/>
        <d v="2016-01-18T23:58:57"/>
        <d v="2016-01-18T23:56:32"/>
        <d v="2016-01-18T20:20:37"/>
        <d v="2016-01-18T19:50:57"/>
        <d v="2016-01-18T19:09:09"/>
        <d v="2016-01-18T19:02:19"/>
        <d v="2016-01-18T18:15:10"/>
        <d v="2016-01-18T17:54:22"/>
        <d v="2016-01-18T17:54:09"/>
        <d v="2016-01-18T17:12:55"/>
        <d v="2016-01-18T17:12:27"/>
        <d v="2016-01-18T17:10:12"/>
        <d v="2016-01-18T17:08:42"/>
        <d v="2016-01-18T17:06:48"/>
        <d v="2016-01-18T15:27:31"/>
        <d v="2016-01-18T15:13:02"/>
        <d v="2016-01-18T15:11:14"/>
        <d v="2016-01-18T15:10:13"/>
        <d v="2016-01-18T14:01:12"/>
        <d v="2016-01-18T13:41:19"/>
        <d v="2016-01-18T13:39:10"/>
        <d v="2016-01-18T13:16:19"/>
        <d v="2016-01-18T13:15:01"/>
        <d v="2016-01-18T13:14:20"/>
        <d v="2016-01-18T13:14:03"/>
        <d v="2016-01-18T07:06:50"/>
        <d v="2016-01-18T07:06:13"/>
        <d v="2016-01-18T05:44:46"/>
        <d v="2016-01-18T05:05:26"/>
        <d v="2016-01-18T01:04:31"/>
        <d v="2016-01-17T23:55:14"/>
        <d v="2016-01-17T21:45:46"/>
        <d v="2016-01-17T19:21:59"/>
        <d v="2016-01-17T19:11:48"/>
        <d v="2016-01-17T16:57:15"/>
        <d v="2016-01-17T15:21:03"/>
        <d v="2016-01-17T11:05:10"/>
        <d v="2016-01-17T04:33:59"/>
        <d v="2016-01-17T04:32:01"/>
        <d v="2016-01-17T03:48:00"/>
        <d v="2016-01-17T02:33:31"/>
        <d v="2016-01-17T02:21:28"/>
        <d v="2016-01-17T01:42:46"/>
        <d v="2016-01-17T01:09:16"/>
        <d v="2016-01-17T00:02:19"/>
        <d v="2016-01-16T21:11:54"/>
        <d v="2016-01-16T21:01:34"/>
        <d v="2016-01-16T20:37:52"/>
        <d v="2016-01-16T19:36:20"/>
        <d v="2016-01-16T16:47:36"/>
        <d v="2016-01-16T16:31:27"/>
        <d v="2016-01-16T16:30:54"/>
        <d v="2016-01-16T16:30:29"/>
        <d v="2016-01-16T16:29:46"/>
        <d v="2016-01-16T16:22:57"/>
        <d v="2016-01-16T16:04:26"/>
        <d v="2016-01-16T15:58:38"/>
        <d v="2016-01-16T07:47:31"/>
        <d v="2016-01-16T03:45:28"/>
        <d v="2016-01-16T03:26:15"/>
        <d v="2016-01-16T03:18:12"/>
        <d v="2016-01-16T02:05:52"/>
        <d v="2016-01-16T02:00:32"/>
        <d v="2016-01-16T01:58:10"/>
        <d v="2016-01-16T01:51:54"/>
        <d v="2016-01-15T23:12:34"/>
        <d v="2016-01-15T22:59:28"/>
        <d v="2016-01-15T22:41:55"/>
        <d v="2016-01-15T22:39:50"/>
        <d v="2016-01-15T22:34:19"/>
        <d v="2016-01-15T22:30:05"/>
        <d v="2016-01-15T19:05:13"/>
        <d v="2016-01-15T19:04:31"/>
        <d v="2016-01-15T19:04:10"/>
        <d v="2016-01-15T18:56:40"/>
        <d v="2016-01-15T17:37:41"/>
        <d v="2016-01-15T16:28:27"/>
        <d v="2016-01-15T16:27:33"/>
        <d v="2016-01-15T15:52:22"/>
        <d v="2016-01-15T15:24:38"/>
        <d v="2016-01-15T15:19:32"/>
        <d v="2016-01-15T15:17:24"/>
        <d v="2016-01-15T15:07:06"/>
        <d v="2016-01-15T15:02:22"/>
        <d v="2016-01-15T09:50:09"/>
        <d v="2016-01-15T07:06:56"/>
        <d v="2016-01-15T07:06:53"/>
        <d v="2016-01-15T05:35:49"/>
        <d v="2016-01-15T03:15:16"/>
        <d v="2016-01-15T03:01:28"/>
        <d v="2016-01-15T02:54:47"/>
        <d v="2016-01-15T02:51:51"/>
        <d v="2016-01-15T02:17:16"/>
        <d v="2016-01-15T01:57:14"/>
        <d v="2016-01-15T00:53:30"/>
        <d v="2016-01-14T23:47:18"/>
        <d v="2016-01-14T23:23:57"/>
        <d v="2016-01-14T22:52:07"/>
        <d v="2016-01-14T22:06:26"/>
        <d v="2016-01-14T21:41:24"/>
        <d v="2016-01-14T21:11:33"/>
        <d v="2016-01-14T21:06:15"/>
        <d v="2016-01-14T20:44:58"/>
        <d v="2016-01-14T20:31:42"/>
        <d v="2016-01-14T20:30:33"/>
        <d v="2016-01-14T20:03:00"/>
        <d v="2016-01-14T18:58:27"/>
        <d v="2016-01-14T18:56:32"/>
        <d v="2016-01-14T18:51:16"/>
        <d v="2016-01-14T18:19:21"/>
        <d v="2016-01-14T18:18:02"/>
        <d v="2016-01-14T17:56:47"/>
        <d v="2016-01-14T17:46:11"/>
        <d v="2016-01-14T17:30:40"/>
        <d v="2016-01-14T17:07:54"/>
        <d v="2016-01-14T17:02:35"/>
        <d v="2016-01-14T16:57:47"/>
        <d v="2016-01-14T16:54:59"/>
        <d v="2016-01-14T16:50:52"/>
        <d v="2016-01-14T16:47:58"/>
        <d v="2016-01-14T16:46:08"/>
        <d v="2016-01-14T16:45:06"/>
        <d v="2016-01-14T16:39:13"/>
        <d v="2016-01-14T16:38:49"/>
        <d v="2016-01-14T16:38:19"/>
        <d v="2016-01-14T16:34:29"/>
        <d v="2016-01-14T16:33:32"/>
        <d v="2016-01-14T16:28:22"/>
        <d v="2016-01-14T16:14:18"/>
        <d v="2016-01-14T16:07:48"/>
        <d v="2016-01-14T16:06:54"/>
        <d v="2016-01-14T15:41:13"/>
        <d v="2016-01-14T15:22:44"/>
        <d v="2016-01-14T15:18:50"/>
        <d v="2016-01-14T15:18:34"/>
        <d v="2016-01-14T15:14:16"/>
        <d v="2016-01-14T15:09:27"/>
        <d v="2016-01-14T15:09:15"/>
        <d v="2016-01-14T15:07:11"/>
        <d v="2016-01-14T14:56:51"/>
        <d v="2016-01-14T14:50:11"/>
        <d v="2016-01-14T14:03:31"/>
        <d v="2016-01-14T12:04:17"/>
        <d v="2016-01-14T04:22:53"/>
        <d v="2016-01-14T04:08:20"/>
        <d v="2016-01-14T01:28:04"/>
        <d v="2016-01-14T01:21:32"/>
        <d v="2016-01-14T00:39:58"/>
        <d v="2016-01-14T00:38:25"/>
        <d v="2016-01-14T00:33:03"/>
        <d v="2016-01-14T00:20:09"/>
        <d v="2016-01-14T00:16:19"/>
        <d v="2016-01-14T00:06:51"/>
        <d v="2016-01-14T00:01:45"/>
        <d v="2016-01-13T23:43:49"/>
        <d v="2016-01-13T23:34:56"/>
        <d v="2016-01-13T22:54:38"/>
        <d v="2016-01-13T22:20:39"/>
        <d v="2016-01-13T22:15:37"/>
        <d v="2016-01-13T20:48:11"/>
        <d v="2016-01-13T18:56:59"/>
        <d v="2016-01-13T18:33:57"/>
        <d v="2016-01-13T18:32:54"/>
        <d v="2016-01-13T18:31:41"/>
        <d v="2016-01-13T18:27:05"/>
        <d v="2016-01-13T18:24:08"/>
        <d v="2016-01-13T18:19:31"/>
        <d v="2016-01-13T18:09:30"/>
        <d v="2016-01-13T18:09:09"/>
        <d v="2016-01-13T18:05:21"/>
        <d v="2016-01-13T18:02:35"/>
        <d v="2016-01-13T17:08:13"/>
        <d v="2016-01-13T17:05:25"/>
        <d v="2016-01-13T16:59:33"/>
        <d v="2016-01-13T16:59:17"/>
        <d v="2016-01-13T16:05:39"/>
        <d v="2016-01-13T15:54:02"/>
        <d v="2016-01-13T15:49:24"/>
        <d v="2016-01-13T15:40:34"/>
        <d v="2016-01-13T15:39:37"/>
        <d v="2016-01-13T15:28:40"/>
        <d v="2016-01-13T15:23:18"/>
        <d v="2016-01-13T14:48:41"/>
        <d v="2016-01-13T14:36:35"/>
        <d v="2016-01-13T14:24:48"/>
        <d v="2016-01-13T13:59:55"/>
        <d v="2016-01-13T13:53:24"/>
        <d v="2016-01-13T13:22:02"/>
        <d v="2016-01-13T06:51:26"/>
        <d v="2016-01-13T06:27:48"/>
        <d v="2016-01-13T03:35:44"/>
        <d v="2016-01-13T03:18:56"/>
        <d v="2016-01-13T02:56:17"/>
        <d v="2016-01-13T02:50:47"/>
        <d v="2016-01-13T02:41:32"/>
        <d v="2016-01-13T01:16:49"/>
        <d v="2016-01-13T01:03:12"/>
        <d v="2016-01-13T00:04:24"/>
        <d v="2016-01-13T00:01:34"/>
        <d v="2016-01-12T22:56:55"/>
        <d v="2016-01-12T22:34:14"/>
        <d v="2016-01-12T22:29:15"/>
        <d v="2016-01-12T22:29:04"/>
        <d v="2016-01-12T20:47:14"/>
        <d v="2016-01-12T20:46:12"/>
        <d v="2016-01-12T20:41:51"/>
        <d v="2016-01-12T20:35:12"/>
        <d v="2016-01-12T18:26:01"/>
        <d v="2016-01-12T18:25:23"/>
        <d v="2016-01-12T18:24:53"/>
        <d v="2016-01-12T18:03:27"/>
        <d v="2016-01-12T18:01:07"/>
        <d v="2016-01-12T17:44:06"/>
        <d v="2016-01-12T16:47:09"/>
        <d v="2016-01-12T16:32:37"/>
        <d v="2016-01-12T16:31:58"/>
        <d v="2016-01-12T15:40:43"/>
        <d v="2016-01-12T15:40:12"/>
        <d v="2016-01-12T13:45:02"/>
        <d v="2016-01-12T13:36:57"/>
        <d v="2016-01-12T13:31:46"/>
        <d v="2016-01-12T07:47:52"/>
        <d v="2016-01-12T05:05:52"/>
        <d v="2016-01-12T03:26:37"/>
        <d v="2016-01-12T03:21:15"/>
        <d v="2016-01-12T03:11:16"/>
        <d v="2016-01-12T03:09:53"/>
        <d v="2016-01-12T03:09:23"/>
        <d v="2016-01-12T03:00:49"/>
        <d v="2016-01-12T01:32:33"/>
        <d v="2016-01-12T01:27:19"/>
        <d v="2016-01-12T01:19:02"/>
        <d v="2016-01-12T01:17:53"/>
        <d v="2016-01-12T00:56:11"/>
        <d v="2016-01-12T00:49:40"/>
        <d v="2016-01-12T00:26:46"/>
        <d v="2016-01-12T00:20:14"/>
        <d v="2016-01-11T23:54:12"/>
        <d v="2016-01-11T23:53:53"/>
        <d v="2016-01-11T23:49:57"/>
        <d v="2016-01-11T23:44:01"/>
        <d v="2016-01-11T22:57:42"/>
        <d v="2016-01-11T22:28:56"/>
        <d v="2016-01-11T22:09:05"/>
        <d v="2016-01-11T21:54:04"/>
        <d v="2016-01-11T21:53:48"/>
        <d v="2016-01-11T21:14:03"/>
        <d v="2016-01-11T21:11:13"/>
        <d v="2016-01-11T21:08:24"/>
        <d v="2016-01-11T21:05:29"/>
        <d v="2016-01-11T21:01:50"/>
        <d v="2016-01-11T20:57:52"/>
        <d v="2016-01-11T20:56:19"/>
        <d v="2016-01-11T20:45:08"/>
        <d v="2016-01-11T20:34:05"/>
        <d v="2016-01-11T18:03:28"/>
        <d v="2016-01-11T17:42:30"/>
        <d v="2016-01-11T17:24:37"/>
        <d v="2016-01-11T17:07:41"/>
        <d v="2016-01-11T17:01:58"/>
        <d v="2016-01-11T16:26:50"/>
        <d v="2016-01-11T16:17:09"/>
        <d v="2016-01-11T15:53:20"/>
        <d v="2016-01-11T15:45:26"/>
        <d v="2016-01-11T15:25:14"/>
        <d v="2016-01-11T14:35:27"/>
        <d v="2016-01-11T14:28:48"/>
        <d v="2016-01-11T13:26:25"/>
        <d v="2016-01-11T07:07:03"/>
        <d v="2016-01-11T05:40:29"/>
        <d v="2016-01-11T03:13:20"/>
        <d v="2016-01-11T03:07:45"/>
        <d v="2016-01-11T02:40:59"/>
        <d v="2016-01-11T02:28:14"/>
        <d v="2016-01-11T02:26:05"/>
        <d v="2016-01-11T02:16:22"/>
        <d v="2016-01-11T02:10:19"/>
        <d v="2016-01-11T01:51:13"/>
        <d v="2016-01-11T00:29:37"/>
        <d v="2016-01-11T00:29:34"/>
        <d v="2016-01-11T00:00:10"/>
        <d v="2016-01-10T21:14:49"/>
        <d v="2016-01-10T21:03:24"/>
        <d v="2016-01-10T19:18:04"/>
        <d v="2016-01-10T19:06:23"/>
        <d v="2016-01-10T19:06:05"/>
        <d v="2016-01-10T18:16:06"/>
        <d v="2016-01-10T18:15:07"/>
        <d v="2016-01-10T17:23:45"/>
        <d v="2016-01-10T17:21:08"/>
        <d v="2016-01-10T16:34:21"/>
        <d v="2016-01-10T16:29:04"/>
        <d v="2016-01-10T16:17:04"/>
        <d v="2016-01-10T13:12:26"/>
        <d v="2016-01-10T13:11:00"/>
        <d v="2016-01-10T13:05:12"/>
        <d v="2016-01-10T12:29:14"/>
        <d v="2016-01-10T11:36:19"/>
        <d v="2016-01-10T11:35:57"/>
        <d v="2016-01-10T07:51:45"/>
        <d v="2016-01-10T06:11:05"/>
        <d v="2016-01-10T05:49:51"/>
        <d v="2016-01-10T05:03:49"/>
        <d v="2016-01-10T05:03:02"/>
        <d v="2016-01-10T05:00:35"/>
        <d v="2016-01-10T05:00:20"/>
        <d v="2016-01-10T04:50:59"/>
        <d v="2016-01-10T02:59:33"/>
        <d v="2016-01-10T02:59:09"/>
        <d v="2016-01-10T01:20:58"/>
        <d v="2016-01-10T01:15:44"/>
        <d v="2016-01-10T00:29:41"/>
        <d v="2016-01-10T00:29:13"/>
        <d v="2016-01-09T23:44:22"/>
        <d v="2016-01-09T22:24:24"/>
        <d v="2016-01-09T22:23:33"/>
        <d v="2016-01-09T19:39:17"/>
        <d v="2016-01-09T19:30:06"/>
        <d v="2016-01-09T18:56:41"/>
        <d v="2016-01-09T18:56:15"/>
        <d v="2016-01-09T17:49:53"/>
        <d v="2016-01-09T17:33:34"/>
        <d v="2016-01-09T17:14:52"/>
        <d v="2016-01-09T16:53:49"/>
        <d v="2016-01-09T16:51:57"/>
        <d v="2016-01-09T16:47:53"/>
        <d v="2016-01-09T16:34:08"/>
        <d v="2016-01-09T14:55:19"/>
        <d v="2016-01-09T12:51:09"/>
        <d v="2016-01-09T12:46:06"/>
        <d v="2016-01-09T07:41:06"/>
        <d v="2016-01-09T04:53:43"/>
        <d v="2016-01-09T04:53:37"/>
        <d v="2016-01-09T04:48:36"/>
        <d v="2016-01-09T04:37:25"/>
        <d v="2016-01-09T02:30:49"/>
        <d v="2016-01-09T02:22:53"/>
        <d v="2016-01-09T00:11:25"/>
        <d v="2016-01-08T21:15:09"/>
        <d v="2016-01-08T20:17:51"/>
        <d v="2016-01-08T20:13:22"/>
        <d v="2016-01-08T20:10:18"/>
        <d v="2016-01-08T20:09:34"/>
        <d v="2016-01-08T20:08:04"/>
        <d v="2016-01-08T20:03:57"/>
        <d v="2016-01-08T19:59:22"/>
        <d v="2016-01-08T19:52:09"/>
        <d v="2016-01-08T19:34:26"/>
        <d v="2016-01-08T19:32:00"/>
        <d v="2016-01-08T19:12:07"/>
        <d v="2016-01-08T19:06:07"/>
        <d v="2016-01-08T17:44:48"/>
        <d v="2016-01-08T17:42:49"/>
        <d v="2016-01-08T17:26:23"/>
        <d v="2016-01-08T17:26:02"/>
        <d v="2016-01-08T17:19:31"/>
        <d v="2016-01-08T17:04:46"/>
        <d v="2016-01-08T16:30:14"/>
        <d v="2016-01-08T16:07:50"/>
        <d v="2016-01-08T16:02:12"/>
        <d v="2016-01-08T15:41:05"/>
        <d v="2016-01-08T15:30:43"/>
        <d v="2016-01-08T15:19:55"/>
        <d v="2016-01-08T14:57:22"/>
        <d v="2016-01-08T12:15:50"/>
        <d v="2016-01-08T10:40:31"/>
        <d v="2016-01-08T09:54:10"/>
        <d v="2016-01-08T09:41:38"/>
        <d v="2016-01-08T05:50:12"/>
        <d v="2016-01-08T05:38:53"/>
        <d v="2016-01-08T05:02:11"/>
        <d v="2016-01-08T04:56:49"/>
        <d v="2016-01-08T04:56:03"/>
        <d v="2016-01-08T04:55:18"/>
        <d v="2016-01-08T04:40:34"/>
        <d v="2016-01-08T02:58:48"/>
        <d v="2016-01-08T02:58:38"/>
        <d v="2016-01-08T02:56:28"/>
        <d v="2016-01-08T02:51:12"/>
        <d v="2016-01-08T01:50:05"/>
        <d v="2016-01-08T01:48:20"/>
        <d v="2016-01-08T01:42:12"/>
        <d v="2016-01-08T01:35:56"/>
        <d v="2016-01-08T01:05:29"/>
        <d v="2016-01-08T00:59:17"/>
        <d v="2016-01-08T00:28:47"/>
        <d v="2016-01-08T00:23:42"/>
        <d v="2016-01-07T23:28:32"/>
        <d v="2016-01-07T23:27:10"/>
        <d v="2016-01-07T23:24:21"/>
        <d v="2016-01-07T23:18:12"/>
        <d v="2016-01-07T23:04:26"/>
        <d v="2016-01-07T22:58:35"/>
        <d v="2016-01-07T22:34:25"/>
        <d v="2016-01-07T22:28:25"/>
        <d v="2016-01-07T22:20:37"/>
        <d v="2016-01-07T22:19:43"/>
        <d v="2016-01-07T21:40:47"/>
        <d v="2016-01-07T21:37:41"/>
        <d v="2016-01-07T21:37:23"/>
        <d v="2016-01-07T21:29:25"/>
        <d v="2016-01-07T20:41:17"/>
        <d v="2016-01-07T20:34:36"/>
        <d v="2016-01-07T20:14:08"/>
        <d v="2016-01-07T20:08:46"/>
        <d v="2016-01-07T19:31:38"/>
        <d v="2016-01-07T18:22:50"/>
        <d v="2016-01-07T18:12:17"/>
        <d v="2016-01-07T17:35:14"/>
        <d v="2016-01-07T17:12:48"/>
        <d v="2016-01-07T17:12:25"/>
        <d v="2016-01-07T16:01:49"/>
        <d v="2016-01-07T15:56:48"/>
        <d v="2016-01-07T15:28:30"/>
        <d v="2016-01-07T15:28:07"/>
        <d v="2016-01-07T15:28:06"/>
        <d v="2016-01-07T15:26:34"/>
        <d v="2016-01-07T15:04:42"/>
        <d v="2016-01-07T14:58:06"/>
        <d v="2016-01-07T14:54:15"/>
        <d v="2016-01-07T14:18:18"/>
        <d v="2016-01-07T14:12:55"/>
        <d v="2016-01-07T11:00:48"/>
        <d v="2016-01-07T06:31:22"/>
        <d v="2016-01-07T03:35:10"/>
        <d v="2016-01-07T03:18:17"/>
        <d v="2016-01-07T03:08:12"/>
        <d v="2016-01-07T02:35:52"/>
        <d v="2016-01-06T23:46:38"/>
        <d v="2016-01-06T23:39:52"/>
        <d v="2016-01-06T23:35:38"/>
        <d v="2016-01-06T23:28:08"/>
        <d v="2016-01-06T22:54:04"/>
        <d v="2016-01-06T22:43:01"/>
        <d v="2016-01-06T22:31:33"/>
        <d v="2016-01-06T22:29:26"/>
        <d v="2016-01-06T22:24:11"/>
        <d v="2016-01-06T22:05:00"/>
        <d v="2016-01-06T22:01:23"/>
        <d v="2016-01-06T21:53:19"/>
        <d v="2016-01-06T21:43:51"/>
        <d v="2016-01-06T21:33:19"/>
        <d v="2016-01-06T21:29:11"/>
        <d v="2016-01-06T20:50:43"/>
        <d v="2016-01-06T20:33:13"/>
        <d v="2016-01-06T20:32:43"/>
        <d v="2016-01-06T20:21:07"/>
        <d v="2016-01-06T19:24:38"/>
        <d v="2016-01-06T18:22:50"/>
        <d v="2016-01-06T18:21:43"/>
        <d v="2016-01-06T17:53:54"/>
        <d v="2016-01-06T17:52:33"/>
        <d v="2016-01-06T17:21:18"/>
        <d v="2016-01-06T17:08:59"/>
        <d v="2016-01-06T17:00:52"/>
        <d v="2016-01-06T15:46:19"/>
        <d v="2016-01-06T15:34:08"/>
        <d v="2016-01-06T15:20:37"/>
        <d v="2016-01-06T15:19:09"/>
        <d v="2016-01-06T14:58:55"/>
        <d v="2016-01-06T14:23:12"/>
        <d v="2016-01-06T13:48:05"/>
        <d v="2016-01-06T09:57:52"/>
        <d v="2016-01-06T07:26:39"/>
        <d v="2016-01-06T05:17:19"/>
        <d v="2016-01-06T05:11:55"/>
        <d v="2016-01-06T05:06:02"/>
        <d v="2016-01-06T05:00:04"/>
        <d v="2016-01-06T01:20:10"/>
        <d v="2016-01-06T01:19:06"/>
        <d v="2016-01-06T01:16:14"/>
        <d v="2016-01-05T23:37:26"/>
        <d v="2016-01-05T23:22:24"/>
        <d v="2016-01-05T23:14:23"/>
        <d v="2016-01-05T21:37:03"/>
        <d v="2016-01-05T21:35:27"/>
        <d v="2016-01-05T20:55:29"/>
        <d v="2016-01-05T20:11:09"/>
        <d v="2016-01-05T19:46:59"/>
        <d v="2016-01-05T19:46:38"/>
        <d v="2016-01-05T19:18:45"/>
        <d v="2016-01-05T19:17:41"/>
        <d v="2016-01-05T19:13:28"/>
        <d v="2016-01-05T19:12:08"/>
        <d v="2016-01-05T19:10:25"/>
        <d v="2016-01-05T19:09:39"/>
        <d v="2016-01-05T19:07:10"/>
        <d v="2016-01-05T19:06:13"/>
        <d v="2016-01-05T19:02:18"/>
        <d v="2016-01-05T19:01:48"/>
        <d v="2016-01-05T18:59:31"/>
        <d v="2016-01-05T17:32:21"/>
        <d v="2016-01-05T17:29:37"/>
        <d v="2016-01-05T16:48:30"/>
        <d v="2016-01-05T16:33:09"/>
        <d v="2016-01-05T16:06:41"/>
        <d v="2016-01-05T15:29:40"/>
        <d v="2016-01-05T15:29:06"/>
        <d v="2016-01-05T15:24:07"/>
        <d v="2016-01-05T15:23:54"/>
        <d v="2016-01-05T15:13:39"/>
        <d v="2016-01-05T15:09:51"/>
        <d v="2016-01-05T14:59:47"/>
        <d v="2016-01-05T14:59:37"/>
        <d v="2016-01-05T13:45:14"/>
        <d v="2016-01-05T13:39:53"/>
        <d v="2016-01-05T13:37:54"/>
        <d v="2016-01-05T13:28:20"/>
        <d v="2016-01-05T13:18:17"/>
        <d v="2016-01-05T04:07:29"/>
        <d v="2016-01-05T03:59:01"/>
        <d v="2016-01-05T03:47:43"/>
        <d v="2016-01-05T02:56:27"/>
        <d v="2016-01-05T02:56:16"/>
        <d v="2016-01-05T02:51:37"/>
        <d v="2016-01-05T02:51:23"/>
        <d v="2016-01-05T02:49:57"/>
        <d v="2016-01-05T02:37:48"/>
        <d v="2016-01-05T02:33:35"/>
        <d v="2016-01-05T02:11:56"/>
        <d v="2016-01-05T01:02:32"/>
        <d v="2016-01-05T00:53:45"/>
        <d v="2016-01-04T23:59:15"/>
        <d v="2016-01-04T23:54:45"/>
        <d v="2016-01-04T22:56:32"/>
        <d v="2016-01-04T22:09:38"/>
        <d v="2016-01-04T21:36:00"/>
        <d v="2016-01-04T21:17:32"/>
        <d v="2016-01-04T21:17:18"/>
        <d v="2016-01-04T21:15:38"/>
        <d v="2016-01-04T21:05:55"/>
        <d v="2016-01-04T20:39:52"/>
        <d v="2016-01-04T18:35:49"/>
        <d v="2016-01-04T18:16:38"/>
        <d v="2016-01-04T18:13:37"/>
        <d v="2016-01-04T18:09:49"/>
        <d v="2016-01-04T18:08:11"/>
        <d v="2016-01-04T18:07:38"/>
        <d v="2016-01-04T17:30:27"/>
        <d v="2016-01-04T17:18:18"/>
        <d v="2016-01-04T17:12:56"/>
        <d v="2016-01-04T16:43:39"/>
        <d v="2016-01-04T16:40:58"/>
        <d v="2016-01-04T16:33:42"/>
        <d v="2016-01-04T16:18:41"/>
        <d v="2016-01-04T15:19:10"/>
        <d v="2016-01-04T14:53:45"/>
        <d v="2016-01-04T14:53:22"/>
        <d v="2016-01-04T14:52:05"/>
        <d v="2016-01-04T14:51:45"/>
        <d v="2016-01-04T14:47:30"/>
        <d v="2016-01-04T14:47:03"/>
        <d v="2016-01-04T14:46:43"/>
        <d v="2016-01-04T14:45:15"/>
        <d v="2016-01-04T14:31:23"/>
        <d v="2016-01-04T13:58:55"/>
        <d v="2016-01-04T13:48:51"/>
        <d v="2016-01-04T13:18:42"/>
        <d v="2016-01-04T11:16:50"/>
        <d v="2016-01-04T08:55:55"/>
        <d v="2016-01-04T07:08:43"/>
        <d v="2016-01-04T07:08:23"/>
        <d v="2016-01-04T06:51:19"/>
        <d v="2016-01-04T06:51:16"/>
        <d v="2016-01-04T06:49:33"/>
        <d v="2016-01-04T06:48:32"/>
        <d v="2016-01-04T03:42:31"/>
        <d v="2016-01-04T03:39:57"/>
        <d v="2016-01-04T03:39:49"/>
        <d v="2016-01-04T03:14:22"/>
        <d v="2016-01-04T03:13:38"/>
        <d v="2016-01-04T03:02:29"/>
        <d v="2016-01-04T03:01:04"/>
        <d v="2016-01-04T02:44:31"/>
        <d v="2016-01-04T01:58:34"/>
        <d v="2016-01-04T01:47:39"/>
        <d v="2016-01-04T01:39:59"/>
        <d v="2016-01-04T00:54:16"/>
        <d v="2016-01-03T23:35:15"/>
        <d v="2016-01-03T23:24:16"/>
        <d v="2016-01-03T23:05:21"/>
        <d v="2016-01-03T22:10:16"/>
        <d v="2016-01-03T21:54:43"/>
        <d v="2016-01-03T21:42:48"/>
        <d v="2016-01-03T20:15:59"/>
        <d v="2016-01-03T20:15:55"/>
        <d v="2016-01-03T20:01:16"/>
        <d v="2016-01-03T18:45:32"/>
        <d v="2016-01-03T17:36:42"/>
        <d v="2016-01-03T17:36:11"/>
        <d v="2016-01-03T17:35:49"/>
        <d v="2016-01-03T17:02:28"/>
        <d v="2016-01-03T13:32:25"/>
        <d v="2016-01-03T13:27:15"/>
        <d v="2016-01-03T12:24:48"/>
        <d v="2016-01-03T12:16:44"/>
        <d v="2016-01-03T10:43:31"/>
        <d v="2016-01-03T10:21:06"/>
        <d v="2016-01-03T08:18:10"/>
        <d v="2016-01-03T05:16:51"/>
        <d v="2016-01-03T03:04:13"/>
        <d v="2016-01-03T01:05:25"/>
        <d v="2016-01-03T01:00:29"/>
        <d v="2016-01-03T00:58:03"/>
        <d v="2016-01-02T23:06:24"/>
        <d v="2016-01-02T23:01:10"/>
        <d v="2016-01-02T22:25:05"/>
        <d v="2016-01-02T22:13:52"/>
        <d v="2016-01-02T22:09:16"/>
        <d v="2016-01-02T22:02:45"/>
        <d v="2016-01-02T22:00:37"/>
        <d v="2016-01-02T21:51:53"/>
        <d v="2016-01-02T21:10:12"/>
        <d v="2016-01-02T20:52:32"/>
        <d v="2016-01-02T20:46:42"/>
        <d v="2016-01-02T19:33:54"/>
        <d v="2016-01-02T17:23:51"/>
        <d v="2016-01-02T15:42:27"/>
        <d v="2016-01-02T04:21:57"/>
        <d v="2016-01-02T04:21:31"/>
        <d v="2016-01-02T03:13:39"/>
        <d v="2016-01-02T03:08:38"/>
        <d v="2016-01-02T00:14:08"/>
        <d v="2016-01-02T00:13:56"/>
        <d v="2016-01-02T00:12:46"/>
        <d v="2016-01-02T00:12:40"/>
        <d v="2016-01-02T00:12:19"/>
        <d v="2016-01-02T00:12:05"/>
        <d v="2016-01-01T22:09:05"/>
        <d v="2016-01-01T21:34:01"/>
        <d v="2016-01-01T20:19:15"/>
        <d v="2016-01-01T19:09:15"/>
        <d v="2016-01-01T17:19:22"/>
        <d v="2016-01-01T17:14:33"/>
        <d v="2016-01-01T16:39:30"/>
        <d v="2016-01-01T16:19:57"/>
        <d v="2016-01-01T15:12:49"/>
        <d v="2016-01-01T03:08:59"/>
        <d v="2016-01-01T01:27:24"/>
        <d v="2016-01-01T01:01:53"/>
        <d v="2016-01-01T01:01:10"/>
        <d v="2015-12-31T22:49:08"/>
        <d v="2015-12-31T22:39:07"/>
        <d v="2015-12-31T19:08:23"/>
        <d v="2015-12-31T18:45:29"/>
        <d v="2015-12-31T18:25:25"/>
        <d v="2015-12-31T18:22:01"/>
        <d v="2015-12-31T16:57:25"/>
        <d v="2015-12-31T15:46:19"/>
        <d v="2015-12-31T15:43:23"/>
        <d v="2015-12-31T15:40:33"/>
        <d v="2015-12-31T15:39:29"/>
        <d v="2015-12-31T15:38:19"/>
        <d v="2015-12-31T15:35:45"/>
        <d v="2015-12-31T15:17:36"/>
        <d v="2015-12-31T13:58:35"/>
        <d v="2015-12-31T13:07:52"/>
        <d v="2015-12-31T04:03:31"/>
        <d v="2015-12-31T03:58:41"/>
        <d v="2015-12-31T03:57:47"/>
        <d v="2015-12-31T03:07:04"/>
        <d v="2015-12-31T03:02:07"/>
        <d v="2015-12-31T03:01:36"/>
        <d v="2015-12-31T02:44:29"/>
        <d v="2015-12-31T01:41:50"/>
        <d v="2015-12-30T22:10:20"/>
        <d v="2015-12-30T20:34:41"/>
        <d v="2015-12-30T20:25:48"/>
        <d v="2015-12-30T19:44:51"/>
        <d v="2015-12-30T19:36:46"/>
        <d v="2015-12-30T19:35:04"/>
        <d v="2015-12-30T19:21:00"/>
        <d v="2015-12-30T19:20:06"/>
        <d v="2015-12-30T19:15:01"/>
        <d v="2015-12-30T19:05:56"/>
        <d v="2015-12-30T18:59:06"/>
        <d v="2015-12-30T18:10:50"/>
        <d v="2015-12-30T18:06:34"/>
        <d v="2015-12-30T17:08:27"/>
        <d v="2015-12-30T17:01:57"/>
        <d v="2015-12-30T16:58:30"/>
        <d v="2015-12-30T16:51:11"/>
        <d v="2015-12-30T16:50:39"/>
        <d v="2015-12-30T16:48:52"/>
        <d v="2015-12-30T16:48:43"/>
        <d v="2015-12-30T16:46:50"/>
        <d v="2015-12-30T16:46:03"/>
        <d v="2015-12-30T16:35:29"/>
        <d v="2015-12-30T16:03:42"/>
        <d v="2015-12-30T16:03:10"/>
        <d v="2015-12-30T15:59:32"/>
        <d v="2015-12-30T15:58:02"/>
        <d v="2015-12-30T15:33:56"/>
        <d v="2015-12-30T15:30:03"/>
        <d v="2015-12-30T15:13:24"/>
        <d v="2015-12-30T14:35:58"/>
        <d v="2015-12-30T14:24:24"/>
        <d v="2015-12-30T11:41:32"/>
        <d v="2015-12-30T04:18:27"/>
        <d v="2015-12-30T03:13:00"/>
        <d v="2015-12-30T03:09:07"/>
        <d v="2015-12-30T02:58:33"/>
        <d v="2015-12-29T23:37:51"/>
        <d v="2015-12-29T23:34:22"/>
        <d v="2015-12-29T23:32:13"/>
        <d v="2015-12-29T23:04:56"/>
        <d v="2015-12-29T22:56:00"/>
        <d v="2015-12-29T22:52:33"/>
        <d v="2015-12-29T22:32:30"/>
        <d v="2015-12-29T21:12:51"/>
        <d v="2015-12-29T21:06:16"/>
        <d v="2015-12-29T20:46:59"/>
        <d v="2015-12-29T19:45:39"/>
        <d v="2015-12-29T18:42:34"/>
        <d v="2015-12-29T18:02:56"/>
        <d v="2015-12-29T18:00:43"/>
        <d v="2015-12-29T17:59:53"/>
        <d v="2015-12-29T16:43:14"/>
        <d v="2015-12-29T16:32:03"/>
        <d v="2015-12-29T16:02:37"/>
        <d v="2015-12-29T15:58:31"/>
        <d v="2015-12-29T15:21:11"/>
        <d v="2015-12-29T14:25:46"/>
        <d v="2015-12-29T10:48:14"/>
        <d v="2015-12-29T07:43:57"/>
        <d v="2015-12-29T07:41:37"/>
        <d v="2015-12-29T07:39:11"/>
        <d v="2015-12-29T06:39:04"/>
        <d v="2015-12-29T02:03:12"/>
        <d v="2015-12-29T01:57:59"/>
        <d v="2015-12-29T01:26:53"/>
        <d v="2015-12-29T01:26:31"/>
        <d v="2015-12-29T01:07:45"/>
        <d v="2015-12-29T01:06:35"/>
        <d v="2015-12-29T00:08:52"/>
        <d v="2015-12-28T23:15:19"/>
        <d v="2015-12-28T23:10:11"/>
        <d v="2015-12-28T23:04:54"/>
        <d v="2015-12-28T23:02:10"/>
        <d v="2015-12-28T22:26:18"/>
        <d v="2015-12-28T22:25:31"/>
        <d v="2015-12-28T22:25:17"/>
        <d v="2015-12-28T21:28:51"/>
        <d v="2015-12-28T21:27:32"/>
        <d v="2015-12-28T21:24:45"/>
        <d v="2015-12-28T21:17:49"/>
        <d v="2015-12-28T21:11:31"/>
        <d v="2015-12-28T20:34:13"/>
        <d v="2015-12-28T17:55:06"/>
        <d v="2015-12-28T17:15:06"/>
        <d v="2015-12-28T16:45:19"/>
        <d v="2015-12-28T16:35:11"/>
        <d v="2015-12-28T16:29:57"/>
        <d v="2015-12-28T16:25:21"/>
        <d v="2015-12-28T16:10:21"/>
        <d v="2015-12-28T16:05:01"/>
        <d v="2015-12-28T15:45:09"/>
        <d v="2015-12-28T15:39:44"/>
        <d v="2015-12-28T15:27:10"/>
        <d v="2015-12-28T15:25:29"/>
        <d v="2015-12-28T03:20:26"/>
        <d v="2015-12-28T01:45:27"/>
        <d v="2015-12-28T01:07:01"/>
        <d v="2015-12-28T01:05:05"/>
        <d v="2015-12-28T01:04:56"/>
        <d v="2015-12-27T22:58:09"/>
        <d v="2015-12-27T22:32:16"/>
        <d v="2015-12-27T22:16:40"/>
        <d v="2015-12-27T18:23:50"/>
        <d v="2015-12-27T18:12:52"/>
        <d v="2015-12-27T17:54:28"/>
        <d v="2015-12-27T16:56:10"/>
        <d v="2015-12-27T13:07:46"/>
        <d v="2015-12-27T00:11:40"/>
        <d v="2015-12-27T00:11:39"/>
        <d v="2015-12-26T23:39:51"/>
        <d v="2015-12-26T23:00:21"/>
        <d v="2015-12-26T22:13:45"/>
        <d v="2015-12-26T21:37:28"/>
        <d v="2015-12-26T21:26:48"/>
        <d v="2015-12-26T14:57:24"/>
        <d v="2015-12-26T14:56:30"/>
        <d v="2015-12-26T14:55:39"/>
        <d v="2015-12-26T13:32:49"/>
        <d v="2015-12-26T08:02:53"/>
        <d v="2015-12-26T07:50:41"/>
        <d v="2015-12-26T04:37:13"/>
        <d v="2015-12-26T04:34:51"/>
        <d v="2015-12-25T22:15:28"/>
        <d v="2015-12-25T22:11:30"/>
        <d v="2015-12-25T18:46:09"/>
        <d v="2015-12-25T15:27:52"/>
        <d v="2015-12-25T15:27:04"/>
        <d v="2015-12-25T14:46:09"/>
        <d v="2015-12-25T14:46:01"/>
        <d v="2015-12-25T14:38:24"/>
        <d v="2015-12-25T06:53:28"/>
        <d v="2015-12-25T06:50:43"/>
        <d v="2015-12-25T00:05:46"/>
        <d v="2015-12-24T23:53:33"/>
        <d v="2015-12-24T20:05:29"/>
        <d v="2015-12-24T20:05:12"/>
        <d v="2015-12-24T16:34:04"/>
        <d v="2015-12-24T14:15:10"/>
        <d v="2015-12-24T10:08:21"/>
        <d v="2015-12-24T07:14:31"/>
        <d v="2015-12-24T06:38:16"/>
        <d v="2015-12-24T06:34:42"/>
        <d v="2015-12-24T03:03:55"/>
        <d v="2015-12-24T01:41:19"/>
        <d v="2015-12-23T23:42:43"/>
        <d v="2015-12-23T21:19:57"/>
        <d v="2015-12-23T21:10:13"/>
        <d v="2015-12-23T21:01:40"/>
        <d v="2015-12-23T20:50:20"/>
        <d v="2015-12-23T20:47:24"/>
        <d v="2015-12-23T20:43:33"/>
        <d v="2015-12-23T20:27:02"/>
        <d v="2015-12-23T20:11:03"/>
        <d v="2015-12-23T19:29:41"/>
        <d v="2015-12-23T19:23:32"/>
        <d v="2015-12-23T19:04:11"/>
        <d v="2015-12-23T18:57:50"/>
        <d v="2015-12-23T17:48:56"/>
        <d v="2015-12-23T17:08:03"/>
        <d v="2015-12-23T16:31:05"/>
        <d v="2015-12-23T16:27:44"/>
        <d v="2015-12-23T16:27:25"/>
        <d v="2015-12-23T15:47:47"/>
        <d v="2015-12-23T15:25:03"/>
        <d v="2015-12-23T15:16:08"/>
        <d v="2015-12-23T14:37:22"/>
        <d v="2015-12-23T14:30:06"/>
        <d v="2015-12-23T14:24:09"/>
        <d v="2015-12-23T14:20:04"/>
        <d v="2015-12-23T14:19:08"/>
        <d v="2015-12-23T12:45:10"/>
        <d v="2015-12-23T12:26:37"/>
        <d v="2015-12-23T12:18:22"/>
        <d v="2015-12-23T07:36:05"/>
        <d v="2015-12-23T07:34:43"/>
        <d v="2015-12-23T07:33:14"/>
        <d v="2015-12-23T07:12:10"/>
        <d v="2015-12-23T06:47:32"/>
        <d v="2015-12-23T06:24:54"/>
        <d v="2015-12-23T06:21:23"/>
        <d v="2015-12-23T06:13:45"/>
        <d v="2015-12-23T02:25:51"/>
        <d v="2015-12-22T22:13:49"/>
        <d v="2015-12-22T20:36:31"/>
        <d v="2015-12-22T17:54:20"/>
        <d v="2015-12-22T17:49:59"/>
        <d v="2015-12-22T17:48:11"/>
        <d v="2015-12-22T16:29:24"/>
        <d v="2015-12-22T16:29:01"/>
        <d v="2015-12-22T09:39:01"/>
        <d v="2015-12-22T09:13:31"/>
        <d v="2015-12-22T05:12:05"/>
        <d v="2015-12-22T02:58:05"/>
        <d v="2015-12-22T02:57:24"/>
        <d v="2015-12-21T23:30:03"/>
        <d v="2015-12-21T22:20:48"/>
        <d v="2015-12-21T21:53:08"/>
        <d v="2015-12-21T19:07:31"/>
        <d v="2015-12-21T16:43:13"/>
        <d v="2015-12-21T14:53:09"/>
        <d v="2015-12-21T14:23:16"/>
        <d v="2015-12-21T14:06:12"/>
        <d v="2015-12-21T07:20:29"/>
        <d v="2015-12-21T03:46:39"/>
        <d v="2015-12-21T00:03:14"/>
        <d v="2015-12-20T21:56:16"/>
        <d v="2015-12-20T21:16:50"/>
        <d v="2015-12-20T20:44:49"/>
        <d v="2015-12-20T20:43:34"/>
        <d v="2015-12-20T20:11:22"/>
        <d v="2015-12-20T19:23:16"/>
        <d v="2015-12-20T19:22:01"/>
        <d v="2015-12-20T19:17:41"/>
        <d v="2015-12-20T19:11:10"/>
        <d v="2015-12-20T18:19:38"/>
        <d v="2015-12-20T18:17:54"/>
        <d v="2015-12-20T17:47:14"/>
        <d v="2015-12-20T17:39:08"/>
        <d v="2015-12-20T17:14:57"/>
        <d v="2015-12-20T17:14:22"/>
        <d v="2015-12-20T17:06:00"/>
        <d v="2015-12-20T15:38:59"/>
        <d v="2015-12-20T14:31:56"/>
        <d v="2015-12-20T14:30:30"/>
        <d v="2015-12-20T02:40:47"/>
        <d v="2015-12-20T02:35:21"/>
        <d v="2015-12-20T02:35:17"/>
        <d v="2015-12-20T02:24:35"/>
        <d v="2015-12-20T02:20:14"/>
        <d v="2015-12-20T02:12:21"/>
        <d v="2015-12-20T02:12:04"/>
        <d v="2015-12-20T02:11:49"/>
        <d v="2015-12-20T02:09:41"/>
        <d v="2015-12-20T02:06:51"/>
        <d v="2015-12-20T00:05:07"/>
        <d v="2015-12-19T23:06:08"/>
        <d v="2015-12-19T22:35:52"/>
        <d v="2015-12-19T22:19:19"/>
        <d v="2015-12-19T22:12:24"/>
        <d v="2015-12-19T18:04:39"/>
        <d v="2015-12-19T17:42:35"/>
        <d v="2015-12-19T15:55:45"/>
        <d v="2015-12-19T15:55:24"/>
        <d v="2015-12-19T15:22:56"/>
        <d v="2015-12-19T14:50:04"/>
        <d v="2015-12-19T13:08:53"/>
        <d v="2015-12-19T02:31:10"/>
        <d v="2015-12-19T02:25:05"/>
        <d v="2015-12-19T01:17:15"/>
        <d v="2015-12-18T23:52:31"/>
        <d v="2015-12-18T22:06:14"/>
        <d v="2015-12-18T21:54:39"/>
        <d v="2015-12-18T21:13:21"/>
        <d v="2015-12-18T21:12:06"/>
        <d v="2015-12-18T20:41:53"/>
        <d v="2015-12-18T20:02:11"/>
        <d v="2015-12-18T19:50:23"/>
        <d v="2015-12-18T19:29:32"/>
        <d v="2015-12-18T18:22:56"/>
        <d v="2015-12-18T17:17:31"/>
        <d v="2015-12-18T17:09:27"/>
        <d v="2015-12-18T17:00:25"/>
        <d v="2015-12-18T16:15:48"/>
        <d v="2015-12-18T16:08:18"/>
        <d v="2015-12-18T16:06:01"/>
        <d v="2015-12-18T16:05:14"/>
        <d v="2015-12-18T15:51:01"/>
        <d v="2015-12-18T15:50:27"/>
        <d v="2015-12-18T15:23:16"/>
        <d v="2015-12-18T14:29:46"/>
        <d v="2015-12-18T14:17:32"/>
        <d v="2015-12-18T05:14:51"/>
        <d v="2015-12-18T05:03:55"/>
        <d v="2015-12-18T04:18:45"/>
        <d v="2015-12-18T03:12:41"/>
        <d v="2015-12-18T03:10:09"/>
        <d v="2015-12-18T00:58:12"/>
        <d v="2015-12-18T00:45:01"/>
        <d v="2015-12-18T00:39:44"/>
        <d v="2015-12-18T00:38:45"/>
        <d v="2015-12-18T00:38:44"/>
        <d v="2015-12-18T00:37:44"/>
        <d v="2015-12-17T22:01:46"/>
        <d v="2015-12-17T21:29:21"/>
        <d v="2015-12-17T21:03:44"/>
        <d v="2015-12-17T19:59:04"/>
        <d v="2015-12-17T19:41:31"/>
        <d v="2015-12-17T18:44:29"/>
        <d v="2015-12-17T18:23:59"/>
        <d v="2015-12-17T18:17:04"/>
        <d v="2015-12-17T18:16:00"/>
        <d v="2015-12-17T18:11:04"/>
        <d v="2015-12-17T18:03:44"/>
        <d v="2015-12-17T18:02:34"/>
        <d v="2015-12-17T17:56:29"/>
        <d v="2015-12-17T17:48:49"/>
        <d v="2015-12-17T17:17:11"/>
        <d v="2015-12-17T17:14:59"/>
        <d v="2015-12-17T17:13:51"/>
        <d v="2015-12-17T17:12:03"/>
        <d v="2015-12-17T17:10:34"/>
        <d v="2015-12-17T16:35:47"/>
        <d v="2015-12-17T16:35:19"/>
        <d v="2015-12-17T16:30:56"/>
        <d v="2015-12-17T16:25:53"/>
        <d v="2015-12-17T16:16:40"/>
        <d v="2015-12-17T16:11:33"/>
        <d v="2015-12-17T15:58:00"/>
        <d v="2015-12-17T15:52:18"/>
        <d v="2015-12-17T15:48:13"/>
        <d v="2015-12-17T15:30:11"/>
        <d v="2015-12-17T14:21:14"/>
        <d v="2015-12-17T14:01:53"/>
        <d v="2015-12-17T09:37:33"/>
        <d v="2015-12-17T08:50:08"/>
        <d v="2015-12-17T07:01:53"/>
        <d v="2015-12-17T06:35:13"/>
        <d v="2015-12-17T06:29:13"/>
        <d v="2015-12-17T05:02:21"/>
        <d v="2015-12-17T05:02:03"/>
        <d v="2015-12-17T04:41:38"/>
        <d v="2015-12-17T04:37:04"/>
        <d v="2015-12-17T04:35:59"/>
        <d v="2015-12-17T04:30:46"/>
        <d v="2015-12-17T04:07:59"/>
        <d v="2015-12-17T04:02:22"/>
        <d v="2015-12-17T04:00:25"/>
        <d v="2015-12-17T03:59:25"/>
        <d v="2015-12-17T03:29:52"/>
        <d v="2015-12-17T03:13:33"/>
        <d v="2015-12-17T03:08:28"/>
        <d v="2015-12-16T23:59:45"/>
        <d v="2015-12-16T23:59:19"/>
        <d v="2015-12-16T22:55:40"/>
        <d v="2015-12-16T22:50:33"/>
        <d v="2015-12-16T22:43:22"/>
        <d v="2015-12-16T22:34:17"/>
        <d v="2015-12-16T22:19:54"/>
        <d v="2015-12-16T21:49:01"/>
        <d v="2015-12-16T21:47:09"/>
        <d v="2015-12-16T21:16:17"/>
        <d v="2015-12-16T20:13:57"/>
        <d v="2015-12-16T20:05:15"/>
        <d v="2015-12-16T19:20:23"/>
        <d v="2015-12-16T19:05:58"/>
        <d v="2015-12-16T19:02:36"/>
        <d v="2015-12-16T18:31:55"/>
        <d v="2015-12-16T18:18:24"/>
        <d v="2015-12-16T18:17:10"/>
        <d v="2015-12-16T17:44:59"/>
        <d v="2015-12-16T16:07:05"/>
        <d v="2015-12-16T15:22:34"/>
        <d v="2015-12-16T14:09:36"/>
        <d v="2015-12-16T05:12:41"/>
        <d v="2015-12-16T05:10:15"/>
        <d v="2015-12-16T03:57:15"/>
        <d v="2015-12-16T03:25:12"/>
        <d v="2015-12-16T03:00:48"/>
        <d v="2015-12-16T02:51:19"/>
        <d v="2015-12-16T02:22:03"/>
        <d v="2015-12-16T02:20:49"/>
        <d v="2015-12-16T01:40:46"/>
        <d v="2015-12-16T01:36:15"/>
        <d v="2015-12-16T01:34:39"/>
        <d v="2015-12-16T01:33:37"/>
        <d v="2015-12-16T01:23:01"/>
        <d v="2015-12-16T00:54:44"/>
        <d v="2015-12-16T00:14:57"/>
        <d v="2015-12-16T00:13:32"/>
        <d v="2015-12-15T23:55:58"/>
        <d v="2015-12-15T22:47:07"/>
        <d v="2015-12-15T22:39:16"/>
        <d v="2015-12-15T21:31:38"/>
        <d v="2015-12-15T20:55:44"/>
        <d v="2015-12-15T20:43:24"/>
        <d v="2015-12-15T20:05:44"/>
        <d v="2015-12-15T20:05:36"/>
        <d v="2015-12-15T19:44:45"/>
        <d v="2015-12-15T19:39:20"/>
        <d v="2015-12-15T19:07:25"/>
        <d v="2015-12-15T18:57:28"/>
        <d v="2015-12-15T18:31:17"/>
        <d v="2015-12-15T18:30:57"/>
        <d v="2015-12-15T18:27:47"/>
        <d v="2015-12-15T18:21:18"/>
        <d v="2015-12-15T18:05:16"/>
        <d v="2015-12-15T17:22:57"/>
        <d v="2015-12-15T17:11:19"/>
        <d v="2015-12-15T17:09:19"/>
        <d v="2015-12-15T17:07:16"/>
        <d v="2015-12-15T16:06:46"/>
        <d v="2015-12-15T16:02:49"/>
        <d v="2015-12-15T14:30:08"/>
        <d v="2015-12-15T14:20:02"/>
        <d v="2015-12-15T13:30:27"/>
        <d v="2015-12-15T13:26:22"/>
        <d v="2015-12-15T08:32:34"/>
        <d v="2015-12-15T07:57:54"/>
        <d v="2015-12-15T05:59:19"/>
        <d v="2015-12-15T05:12:21"/>
        <d v="2015-12-15T05:10:06"/>
        <d v="2015-12-15T04:50:41"/>
        <d v="2015-12-15T04:37:33"/>
        <d v="2015-12-15T04:06:47"/>
        <d v="2015-12-15T03:59:31"/>
        <d v="2015-12-15T03:33:13"/>
        <d v="2015-12-15T03:11:41"/>
        <d v="2015-12-15T03:09:45"/>
        <d v="2015-12-15T02:48:51"/>
        <d v="2015-12-15T02:41:13"/>
        <d v="2015-12-15T02:17:14"/>
        <d v="2015-12-15T01:04:24"/>
        <d v="2015-12-15T01:00:01"/>
        <d v="2015-12-15T00:58:59"/>
        <d v="2015-12-15T00:54:45"/>
        <d v="2015-12-15T00:53:15"/>
        <d v="2015-12-15T00:49:43"/>
        <d v="2015-12-15T00:36:11"/>
        <d v="2015-12-15T00:34:48"/>
        <d v="2015-12-14T23:00:40"/>
        <d v="2015-12-14T22:36:47"/>
        <d v="2015-12-14T22:34:06"/>
        <d v="2015-12-14T22:29:05"/>
        <d v="2015-12-14T22:13:04"/>
        <d v="2015-12-14T22:10:38"/>
        <d v="2015-12-14T21:54:06"/>
        <d v="2015-12-14T21:52:35"/>
        <d v="2015-12-14T21:18:50"/>
        <d v="2015-12-14T21:17:36"/>
        <d v="2015-12-14T21:10:44"/>
        <d v="2015-12-14T20:40:48"/>
        <d v="2015-12-14T20:22:03"/>
        <d v="2015-12-14T20:14:34"/>
        <d v="2015-12-14T20:11:37"/>
        <d v="2015-12-14T20:10:40"/>
        <d v="2015-12-14T20:09:32"/>
        <d v="2015-12-14T19:59:35"/>
        <d v="2015-12-14T19:54:55"/>
        <d v="2015-12-14T19:54:03"/>
        <d v="2015-12-14T19:49:38"/>
        <d v="2015-12-14T19:49:18"/>
        <d v="2015-12-14T19:40:15"/>
        <d v="2015-12-14T19:19:25"/>
        <d v="2015-12-14T19:08:19"/>
        <d v="2015-12-14T18:54:46"/>
        <d v="2015-12-14T18:45:41"/>
        <d v="2015-12-14T18:38:29"/>
        <d v="2015-12-14T18:32:25"/>
        <d v="2015-12-14T18:29:48"/>
        <d v="2015-12-14T18:10:40"/>
        <d v="2015-12-14T18:07:43"/>
        <d v="2015-12-14T18:04:33"/>
        <d v="2015-12-14T18:00:30"/>
        <d v="2015-12-14T17:48:44"/>
        <d v="2015-12-14T17:44:19"/>
        <d v="2015-12-14T17:32:37"/>
        <d v="2015-12-14T15:50:12"/>
        <d v="2015-12-14T15:32:42"/>
        <d v="2015-12-14T15:23:24"/>
        <d v="2015-12-14T15:05:21"/>
        <d v="2015-12-14T14:29:44"/>
        <d v="2015-12-14T13:01:48"/>
        <d v="2015-12-14T12:42:27"/>
        <d v="2015-12-14T12:31:45"/>
        <d v="2015-12-14T07:51:18"/>
        <d v="2015-12-14T05:26:42"/>
        <d v="2015-12-14T05:21:49"/>
        <d v="2015-12-14T04:03:52"/>
        <d v="2015-12-14T04:02:21"/>
        <d v="2015-12-14T03:58:30"/>
        <d v="2015-12-14T03:53:08"/>
        <d v="2015-12-14T03:47:16"/>
        <d v="2015-12-14T03:44:43"/>
        <d v="2015-12-14T03:36:48"/>
        <d v="2015-12-14T03:26:10"/>
        <d v="2015-12-14T03:17:56"/>
        <d v="2015-12-14T03:12:24"/>
        <d v="2015-12-14T03:11:44"/>
        <d v="2015-12-14T03:07:19"/>
        <d v="2015-12-14T03:02:15"/>
        <d v="2015-12-14T02:48:15"/>
        <d v="2015-12-14T02:47:22"/>
        <d v="2015-12-14T02:39:37"/>
        <d v="2015-12-14T02:37:58"/>
        <d v="2015-12-14T02:27:00"/>
        <d v="2015-12-14T00:53:11"/>
        <d v="2015-12-14T00:47:17"/>
        <d v="2015-12-14T00:29:48"/>
        <d v="2015-12-14T00:18:11"/>
        <d v="2015-12-13T23:23:34"/>
        <d v="2015-12-13T23:15:03"/>
        <d v="2015-12-13T23:14:31"/>
        <d v="2015-12-13T22:10:44"/>
        <d v="2015-12-13T22:10:43"/>
        <d v="2015-12-13T22:06:49"/>
        <d v="2015-12-13T21:01:49"/>
        <d v="2015-12-13T20:50:53"/>
        <d v="2015-12-13T20:34:35"/>
        <d v="2015-12-13T20:26:19"/>
        <d v="2015-12-13T20:23:57"/>
        <d v="2015-12-13T20:17:05"/>
        <d v="2015-12-13T19:47:41"/>
        <d v="2015-12-13T19:27:41"/>
        <d v="2015-12-13T19:21:56"/>
        <d v="2015-12-13T19:20:07"/>
        <d v="2015-12-13T19:16:36"/>
        <d v="2015-12-13T19:14:19"/>
        <d v="2015-12-13T19:10:10"/>
        <d v="2015-12-13T19:04:34"/>
        <d v="2015-12-13T17:12:00"/>
        <d v="2015-12-13T15:12:21"/>
        <d v="2015-12-13T06:15:57"/>
        <d v="2015-12-13T05:19:31"/>
        <d v="2015-12-13T05:19:20"/>
        <d v="2015-12-13T04:23:17"/>
        <d v="2015-12-13T04:13:07"/>
        <d v="2015-12-13T03:54:38"/>
        <d v="2015-12-13T02:36:13"/>
        <d v="2015-12-13T00:34:09"/>
        <d v="2015-12-13T00:27:49"/>
        <d v="2015-12-12T22:50:20"/>
        <d v="2015-12-12T21:27:59"/>
        <d v="2015-12-12T20:24:49"/>
        <d v="2015-12-12T18:53:36"/>
        <d v="2015-12-12T18:47:09"/>
        <d v="2015-12-12T18:42:55"/>
        <d v="2015-12-12T18:32:48"/>
        <d v="2015-12-12T18:32:27"/>
        <d v="2015-12-12T18:32:14"/>
        <d v="2015-12-12T15:02:01"/>
        <d v="2015-12-12T14:59:40"/>
        <d v="2015-12-12T14:58:57"/>
        <d v="2015-12-12T14:15:55"/>
        <d v="2015-12-12T14:10:49"/>
        <d v="2015-12-12T09:02:34"/>
        <d v="2015-12-12T08:50:36"/>
        <d v="2015-12-12T03:06:53"/>
        <d v="2015-12-12T03:04:49"/>
        <d v="2015-12-11T21:28:43"/>
        <d v="2015-12-11T20:52:20"/>
        <d v="2015-12-11T20:51:05"/>
        <d v="2015-12-11T20:51:01"/>
        <d v="2015-12-11T20:50:07"/>
        <d v="2015-12-11T20:45:52"/>
        <d v="2015-12-11T20:35:41"/>
        <d v="2015-12-11T20:26:40"/>
        <d v="2015-12-11T20:25:59"/>
        <d v="2015-12-11T19:59:16"/>
        <d v="2015-12-11T19:47:24"/>
        <d v="2015-12-11T19:30:51"/>
        <d v="2015-12-11T19:19:46"/>
        <d v="2015-12-11T19:16:41"/>
        <d v="2015-12-11T19:13:46"/>
        <d v="2015-12-11T18:21:36"/>
        <d v="2015-12-11T15:45:51"/>
        <d v="2015-12-11T15:44:22"/>
        <d v="2015-12-11T15:30:48"/>
        <d v="2015-12-11T14:18:16"/>
        <d v="2015-12-11T14:12:41"/>
        <d v="2015-12-11T13:41:04"/>
        <d v="2015-12-11T09:14:28"/>
        <d v="2015-12-11T09:08:39"/>
        <d v="2015-12-11T04:36:16"/>
        <d v="2015-12-11T03:59:18"/>
        <d v="2015-12-11T03:38:21"/>
        <d v="2015-12-11T02:56:08"/>
        <d v="2015-12-11T02:21:44"/>
        <d v="2015-12-11T01:51:07"/>
        <d v="2015-12-11T01:41:31"/>
        <d v="2015-12-11T01:35:43"/>
        <d v="2015-12-11T00:19:06"/>
        <d v="2015-12-11T00:07:29"/>
        <d v="2015-12-10T23:26:48"/>
        <d v="2015-12-10T23:19:32"/>
        <d v="2015-12-10T23:10:00"/>
        <d v="2015-12-10T22:36:39"/>
        <d v="2015-12-10T22:30:18"/>
        <d v="2015-12-10T22:27:08"/>
        <d v="2015-12-10T22:25:06"/>
        <d v="2015-12-10T22:02:25"/>
        <d v="2015-12-10T21:59:54"/>
        <d v="2015-12-10T21:44:55"/>
        <d v="2015-12-10T21:42:25"/>
        <d v="2015-12-10T21:41:50"/>
        <d v="2015-12-10T20:34:30"/>
        <d v="2015-12-10T20:06:56"/>
        <d v="2015-12-10T20:01:17"/>
        <d v="2015-12-10T19:57:53"/>
        <d v="2015-12-10T19:57:49"/>
        <d v="2015-12-10T19:56:39"/>
        <d v="2015-12-10T19:22:04"/>
        <d v="2015-12-10T19:20:03"/>
        <d v="2015-12-10T18:17:11"/>
        <d v="2015-12-10T18:16:43"/>
        <d v="2015-12-10T18:16:32"/>
        <d v="2015-12-10T18:16:17"/>
        <d v="2015-12-10T18:16:09"/>
        <d v="2015-12-10T18:10:57"/>
        <d v="2015-12-10T18:09:40"/>
        <d v="2015-12-10T18:02:20"/>
        <d v="2015-12-10T17:20:48"/>
        <d v="2015-12-10T17:05:40"/>
        <d v="2015-12-10T16:42:12"/>
        <d v="2015-12-10T16:34:49"/>
        <d v="2015-12-10T16:33:28"/>
        <d v="2015-12-10T16:30:22"/>
        <d v="2015-12-10T16:05:17"/>
        <d v="2015-12-10T15:54:44"/>
        <d v="2015-12-10T15:53:08"/>
        <d v="2015-12-10T15:47:34"/>
        <d v="2015-12-10T14:51:12"/>
        <d v="2015-12-10T14:35:57"/>
        <d v="2015-12-10T14:30:22"/>
        <d v="2015-12-10T14:30:08"/>
        <d v="2015-12-10T14:24:59"/>
        <d v="2015-12-10T13:37:56"/>
        <d v="2015-12-10T09:02:33"/>
        <d v="2015-12-10T07:05:37"/>
        <d v="2015-12-10T06:29:30"/>
        <d v="2015-12-10T06:18:13"/>
        <d v="2015-12-10T05:58:58"/>
        <d v="2015-12-10T05:48:54"/>
        <d v="2015-12-10T05:39:01"/>
        <d v="2015-12-10T04:54:09"/>
        <d v="2015-12-10T04:14:02"/>
        <d v="2015-12-10T04:12:52"/>
        <d v="2015-12-10T03:37:50"/>
        <d v="2015-12-10T03:37:24"/>
        <d v="2015-12-10T03:26:28"/>
        <d v="2015-12-10T02:37:34"/>
        <d v="2015-12-10T02:36:19"/>
        <d v="2015-12-10T02:26:19"/>
        <d v="2015-12-10T02:17:25"/>
        <d v="2015-12-10T02:08:37"/>
        <d v="2015-12-10T02:06:02"/>
        <d v="2015-12-10T01:55:53"/>
        <d v="2015-12-10T01:34:09"/>
        <d v="2015-12-10T01:32:30"/>
        <d v="2015-12-10T01:32:22"/>
        <d v="2015-12-10T01:23:46"/>
        <d v="2015-12-10T01:23:43"/>
        <d v="2015-12-10T01:18:12"/>
        <d v="2015-12-10T00:43:34"/>
        <d v="2015-12-10T00:42:25"/>
        <d v="2015-12-10T00:27:16"/>
        <d v="2015-12-09T23:26:53"/>
        <d v="2015-12-09T23:11:44"/>
        <d v="2015-12-09T22:49:21"/>
        <d v="2015-12-09T22:38:59"/>
        <d v="2015-12-09T22:27:12"/>
        <d v="2015-12-09T22:26:29"/>
        <d v="2015-12-09T22:26:19"/>
        <d v="2015-12-09T22:04:45"/>
        <d v="2015-12-09T21:56:37"/>
        <d v="2015-12-09T21:47:33"/>
        <d v="2015-12-09T21:44:48"/>
        <d v="2015-12-09T21:39:36"/>
        <d v="2015-12-09T21:16:58"/>
        <d v="2015-12-09T20:25:13"/>
        <d v="2015-12-09T20:08:42"/>
        <d v="2015-12-09T19:49:49"/>
        <d v="2015-12-09T19:41:36"/>
        <d v="2015-12-09T19:36:26"/>
        <d v="2015-12-09T19:26:11"/>
        <d v="2015-12-09T19:20:35"/>
        <d v="2015-12-09T19:19:44"/>
        <d v="2015-12-09T18:47:41"/>
        <d v="2015-12-09T18:44:50"/>
        <d v="2015-12-09T18:10:18"/>
        <d v="2015-12-09T17:50:52"/>
        <d v="2015-12-09T17:37:45"/>
        <d v="2015-12-09T17:29:09"/>
        <d v="2015-12-09T17:27:29"/>
        <d v="2015-12-09T17:20:30"/>
        <d v="2015-12-09T17:13:25"/>
        <d v="2015-12-09T17:10:57"/>
        <d v="2015-12-09T17:08:26"/>
        <d v="2015-12-09T17:03:10"/>
        <d v="2015-12-09T16:52:08"/>
        <d v="2015-12-09T16:50:44"/>
        <d v="2015-12-09T16:48:50"/>
        <d v="2015-12-09T16:45:01"/>
        <d v="2015-12-09T16:44:31"/>
        <d v="2015-12-09T16:25:59"/>
        <d v="2015-12-09T16:17:44"/>
        <d v="2015-12-09T16:14:58"/>
        <d v="2015-12-09T15:55:26"/>
        <d v="2015-12-09T14:47:02"/>
        <d v="2015-12-09T14:33:22"/>
        <d v="2015-12-09T14:13:34"/>
        <d v="2015-12-09T14:10:36"/>
        <d v="2015-12-09T13:47:30"/>
        <d v="2015-12-09T13:43:57"/>
        <d v="2015-12-09T13:14:43"/>
        <d v="2015-12-09T09:35:26"/>
        <d v="2015-12-09T05:05:55"/>
        <d v="2015-12-09T04:24:39"/>
        <d v="2015-12-09T04:21:50"/>
        <d v="2015-12-09T04:09:34"/>
        <d v="2015-12-09T04:09:28"/>
        <d v="2015-12-09T03:31:47"/>
        <d v="2015-12-09T03:21:09"/>
        <d v="2015-12-09T03:17:20"/>
        <d v="2015-12-09T02:29:06"/>
        <d v="2015-12-09T02:15:15"/>
        <d v="2015-12-09T02:00:20"/>
        <d v="2015-12-09T01:50:28"/>
        <d v="2015-12-09T01:33:06"/>
        <d v="2015-12-09T00:27:49"/>
        <d v="2015-12-08T23:52:54"/>
        <d v="2015-12-08T23:43:50"/>
        <d v="2015-12-08T23:31:46"/>
        <d v="2015-12-08T23:29:43"/>
        <d v="2015-12-08T23:24:57"/>
        <d v="2015-12-08T23:14:50"/>
        <d v="2015-12-08T22:07:19"/>
        <d v="2015-12-08T22:00:23"/>
        <d v="2015-12-08T21:47:25"/>
        <d v="2015-12-08T21:03:57"/>
        <d v="2015-12-08T21:02:15"/>
        <d v="2015-12-08T21:00:58"/>
        <d v="2015-12-08T20:57:06"/>
        <d v="2015-12-08T20:49:37"/>
        <d v="2015-12-08T20:37:35"/>
        <d v="2015-12-08T20:23:05"/>
        <d v="2015-12-08T20:05:30"/>
        <d v="2015-12-08T19:55:14"/>
        <d v="2015-12-08T19:46:44"/>
        <d v="2015-12-08T19:34:13"/>
        <d v="2015-12-08T19:15:00"/>
        <d v="2015-12-08T19:07:32"/>
        <d v="2015-12-08T19:06:42"/>
        <d v="2015-12-08T19:05:14"/>
        <d v="2015-12-08T18:52:28"/>
        <d v="2015-12-08T18:51:40"/>
        <d v="2015-12-08T18:49:49"/>
        <d v="2015-12-08T18:44:39"/>
        <d v="2015-12-08T18:44:07"/>
        <d v="2015-12-08T18:24:18"/>
        <d v="2015-12-08T18:14:21"/>
        <d v="2015-12-08T17:56:30"/>
        <d v="2015-12-08T16:38:42"/>
        <d v="2015-12-08T16:19:28"/>
        <d v="2015-12-08T16:19:00"/>
        <d v="2015-12-08T16:07:40"/>
        <d v="2015-12-08T15:58:37"/>
        <d v="2015-12-08T15:56:41"/>
        <d v="2015-12-08T15:51:52"/>
        <d v="2015-12-08T15:44:33"/>
        <d v="2015-12-08T15:33:28"/>
        <d v="2015-12-08T15:28:53"/>
        <d v="2015-12-08T15:24:31"/>
        <d v="2015-12-08T15:24:09"/>
        <d v="2015-12-08T15:14:42"/>
        <d v="2015-12-08T15:12:02"/>
        <d v="2015-12-08T15:10:54"/>
        <d v="2015-12-08T15:04:06"/>
        <d v="2015-12-08T15:02:53"/>
        <d v="2015-12-08T15:01:34"/>
        <d v="2015-12-08T14:52:40"/>
        <d v="2015-12-08T14:52:23"/>
        <d v="2015-12-08T14:52:04"/>
        <d v="2015-12-08T14:35:14"/>
        <d v="2015-12-08T14:34:59"/>
        <d v="2015-12-08T14:34:41"/>
        <d v="2015-12-08T14:26:09"/>
        <d v="2015-12-08T13:27:52"/>
        <d v="2015-12-08T13:25:36"/>
        <d v="2015-12-08T13:16:13"/>
        <d v="2015-12-08T12:48:19"/>
        <d v="2015-12-08T10:26:53"/>
        <d v="2015-12-08T08:23:52"/>
        <d v="2015-12-08T07:45:35"/>
        <d v="2015-12-08T07:45:24"/>
        <d v="2015-12-08T07:18:57"/>
        <d v="2015-12-08T06:27:03"/>
        <d v="2015-12-08T03:06:06"/>
        <d v="2015-12-08T02:57:48"/>
        <d v="2015-12-08T02:53:35"/>
        <d v="2015-12-08T02:36:01"/>
        <d v="2015-12-08T02:33:01"/>
        <d v="2015-12-08T01:59:21"/>
        <d v="2015-12-08T00:46:41"/>
        <d v="2015-12-08T00:30:28"/>
        <d v="2015-12-08T00:22:41"/>
        <d v="2015-12-07T23:43:33"/>
        <d v="2015-12-07T22:50:03"/>
        <d v="2015-12-07T22:21:27"/>
        <d v="2015-12-07T22:19:39"/>
        <d v="2015-12-07T21:26:36"/>
        <d v="2015-12-07T20:13:00"/>
        <d v="2015-12-07T19:44:40"/>
        <d v="2015-12-07T19:32:32"/>
        <d v="2015-12-07T19:27:21"/>
        <d v="2015-12-07T19:10:43"/>
        <d v="2015-12-07T18:35:03"/>
        <d v="2015-12-07T18:33:28"/>
        <d v="2015-12-07T18:29:12"/>
        <d v="2015-12-07T17:54:22"/>
        <d v="2015-12-07T17:51:09"/>
        <d v="2015-12-07T17:49:14"/>
        <d v="2015-12-07T17:31:02"/>
        <d v="2015-12-07T17:21:29"/>
        <d v="2015-12-07T17:12:38"/>
        <d v="2015-12-07T17:11:18"/>
        <d v="2015-12-07T17:10:30"/>
        <d v="2015-12-07T17:08:36"/>
        <d v="2015-12-07T16:55:57"/>
        <d v="2015-12-07T16:15:07"/>
        <d v="2015-12-07T16:14:11"/>
        <d v="2015-12-07T15:48:26"/>
        <d v="2015-12-07T15:38:14"/>
        <d v="2015-12-07T15:07:56"/>
        <d v="2015-12-07T14:08:47"/>
        <d v="2015-12-07T14:02:50"/>
        <d v="2015-12-07T13:28:29"/>
        <d v="2015-12-07T06:09:35"/>
        <d v="2015-12-07T05:59:11"/>
        <d v="2015-12-07T05:07:34"/>
        <d v="2015-12-07T04:50:29"/>
        <d v="2015-12-07T04:37:18"/>
        <d v="2015-12-07T04:10:31"/>
        <d v="2015-12-07T04:05:21"/>
        <d v="2015-12-07T03:56:25"/>
        <d v="2015-12-07T03:47:21"/>
        <d v="2015-12-07T02:40:36"/>
        <d v="2015-12-07T02:26:27"/>
        <d v="2015-12-07T02:25:54"/>
        <d v="2015-12-07T02:25:45"/>
        <d v="2015-12-07T02:16:53"/>
        <d v="2015-12-07T02:14:10"/>
        <d v="2015-12-07T02:11:03"/>
        <d v="2015-12-07T02:09:54"/>
        <d v="2015-12-07T02:08:44"/>
        <d v="2015-12-07T02:03:21"/>
        <d v="2015-12-07T02:01:03"/>
        <d v="2015-12-07T01:40:21"/>
        <d v="2015-12-07T01:36:35"/>
        <d v="2015-12-07T01:13:06"/>
        <d v="2015-12-07T00:31:47"/>
        <d v="2015-12-07T00:30:55"/>
        <d v="2015-12-07T00:16:09"/>
        <d v="2015-12-07T00:15:37"/>
        <d v="2015-12-06T23:45:56"/>
        <d v="2015-12-06T23:42:06"/>
        <d v="2015-12-06T23:34:16"/>
        <d v="2015-12-06T22:56:59"/>
        <d v="2015-12-06T22:49:05"/>
        <d v="2015-12-06T22:48:58"/>
        <d v="2015-12-06T22:45:11"/>
        <d v="2015-12-06T22:43:59"/>
        <d v="2015-12-06T22:26:58"/>
        <d v="2015-12-06T22:04:09"/>
        <d v="2015-12-06T21:58:23"/>
        <d v="2015-12-06T21:51:46"/>
        <d v="2015-12-06T21:51:24"/>
        <d v="2015-12-06T20:43:50"/>
        <d v="2015-12-06T20:42:49"/>
        <d v="2015-12-06T20:30:16"/>
        <d v="2015-12-06T20:24:44"/>
        <d v="2015-12-06T20:20:29"/>
        <d v="2015-12-06T20:08:14"/>
        <d v="2015-12-06T20:00:54"/>
        <d v="2015-12-06T20:00:16"/>
        <d v="2015-12-06T18:39:25"/>
        <d v="2015-12-06T18:16:04"/>
        <d v="2015-12-06T18:00:17"/>
        <d v="2015-12-06T17:47:34"/>
        <d v="2015-12-06T17:10:28"/>
        <d v="2015-12-06T17:09:59"/>
        <d v="2015-12-06T17:06:36"/>
        <d v="2015-12-06T17:06:00"/>
        <d v="2015-12-06T16:59:47"/>
        <d v="2015-12-06T16:52:55"/>
        <d v="2015-12-06T16:48:50"/>
        <d v="2015-12-06T16:28:05"/>
        <d v="2015-12-06T16:20:09"/>
        <d v="2015-12-06T16:11:16"/>
        <d v="2015-12-06T16:08:11"/>
        <d v="2015-12-06T14:43:43"/>
        <d v="2015-12-06T14:24:40"/>
        <d v="2015-12-06T14:22:55"/>
        <d v="2015-12-06T14:15:12"/>
        <d v="2015-12-06T11:18:56"/>
        <d v="2015-12-06T11:02:14"/>
        <d v="2015-12-06T08:37:40"/>
        <d v="2015-12-06T08:19:28"/>
        <d v="2015-12-06T08:19:04"/>
        <d v="2015-12-06T07:38:38"/>
        <d v="2015-12-06T07:11:36"/>
        <d v="2015-12-06T06:51:06"/>
        <d v="2015-12-06T05:02:53"/>
        <d v="2015-12-06T02:20:40"/>
        <d v="2015-12-06T01:42:08"/>
        <d v="2015-12-06T01:09:01"/>
        <d v="2015-12-06T00:58:27"/>
        <d v="2015-12-06T00:57:17"/>
        <d v="2015-12-06T00:41:22"/>
        <d v="2015-12-05T23:30:37"/>
        <d v="2015-12-05T22:48:57"/>
        <d v="2015-12-05T22:02:29"/>
        <d v="2015-12-05T22:00:54"/>
        <d v="2015-12-05T21:57:21"/>
        <d v="2015-12-05T21:36:25"/>
        <d v="2015-12-05T21:19:48"/>
        <d v="2015-12-05T20:55:29"/>
        <d v="2015-12-05T20:43:34"/>
        <d v="2015-12-05T20:29:34"/>
        <d v="2015-12-05T20:18:55"/>
        <d v="2015-12-05T20:15:28"/>
        <d v="2015-12-05T20:12:19"/>
        <d v="2015-12-05T20:01:38"/>
        <d v="2015-12-05T19:09:11"/>
        <d v="2015-12-05T19:02:40"/>
        <d v="2015-12-05T18:20:35"/>
        <d v="2015-12-05T18:19:41"/>
        <d v="2015-12-05T18:11:52"/>
        <d v="2015-12-05T17:53:35"/>
        <d v="2015-12-05T17:46:59"/>
        <d v="2015-12-05T17:36:51"/>
        <d v="2015-12-05T10:09:59"/>
        <d v="2015-12-05T09:47:51"/>
        <d v="2015-12-05T09:42:51"/>
        <d v="2015-12-05T06:18:39"/>
        <d v="2015-12-05T05:46:06"/>
        <d v="2015-12-05T05:40:23"/>
        <d v="2015-12-05T04:49:10"/>
        <d v="2015-12-05T04:48:58"/>
        <d v="2015-12-05T03:43:07"/>
        <d v="2015-12-05T03:11:51"/>
        <d v="2015-12-05T03:01:50"/>
        <d v="2015-12-05T02:39:31"/>
        <d v="2015-12-05T02:18:56"/>
        <d v="2015-12-05T01:37:17"/>
        <d v="2015-12-05T01:23:31"/>
        <d v="2015-12-05T01:03:34"/>
        <d v="2015-12-05T00:50:30"/>
        <d v="2015-12-05T00:49:53"/>
        <d v="2015-12-04T23:55:11"/>
        <d v="2015-12-04T23:52:37"/>
        <d v="2015-12-04T23:49:58"/>
        <d v="2015-12-04T23:49:23"/>
        <d v="2015-12-04T22:11:27"/>
        <d v="2015-12-04T22:09:27"/>
        <d v="2015-12-04T22:08:49"/>
        <d v="2015-12-04T22:05:50"/>
        <d v="2015-12-04T22:04:02"/>
        <d v="2015-12-04T22:01:19"/>
        <d v="2015-12-04T21:35:38"/>
        <d v="2015-12-04T20:59:37"/>
        <d v="2015-12-04T20:44:52"/>
        <d v="2015-12-04T20:44:51"/>
        <d v="2015-12-04T20:44:19"/>
        <d v="2015-12-04T20:35:51"/>
        <d v="2015-12-04T20:31:14"/>
        <d v="2015-12-04T20:20:01"/>
        <d v="2015-12-04T20:15:57"/>
        <d v="2015-12-04T19:59:16"/>
        <d v="2015-12-04T19:52:37"/>
        <d v="2015-12-04T19:47:43"/>
        <d v="2015-12-04T19:44:26"/>
        <d v="2015-12-04T19:36:00"/>
        <d v="2015-12-04T19:35:59"/>
        <d v="2015-12-04T19:34:58"/>
        <d v="2015-12-04T19:24:09"/>
        <d v="2015-12-04T19:15:47"/>
        <d v="2015-12-04T19:13:19"/>
        <d v="2015-12-04T19:03:05"/>
        <d v="2015-12-04T18:41:15"/>
        <d v="2015-12-04T17:37:47"/>
        <d v="2015-12-04T17:34:04"/>
        <d v="2015-12-04T17:32:55"/>
        <d v="2015-12-04T16:53:07"/>
        <d v="2015-12-04T16:50:17"/>
        <d v="2015-12-04T16:47:29"/>
        <d v="2015-12-04T16:47:05"/>
        <d v="2015-12-04T16:13:25"/>
        <d v="2015-12-04T16:12:04"/>
        <d v="2015-12-04T16:10:35"/>
        <d v="2015-12-04T15:40:49"/>
        <d v="2015-12-04T15:36:44"/>
        <d v="2015-12-04T14:53:24"/>
        <d v="2015-12-04T14:37:49"/>
        <d v="2015-12-04T14:18:57"/>
        <d v="2015-12-04T14:17:59"/>
        <d v="2015-12-04T13:48:27"/>
        <d v="2015-12-04T13:33:13"/>
        <d v="2015-12-04T13:24:33"/>
        <d v="2015-12-04T13:20:03"/>
        <d v="2015-12-04T08:12:44"/>
        <d v="2015-12-04T07:19:02"/>
        <d v="2015-12-04T06:05:59"/>
        <d v="2015-12-04T05:58:48"/>
        <d v="2015-12-04T05:47:21"/>
        <d v="2015-12-04T05:47:14"/>
        <d v="2015-12-04T05:43:36"/>
        <d v="2015-12-04T05:21:42"/>
        <d v="2015-12-04T05:20:59"/>
        <d v="2015-12-04T05:15:24"/>
        <d v="2015-12-04T04:36:02"/>
        <d v="2015-12-04T04:25:39"/>
        <d v="2015-12-04T04:11:54"/>
        <d v="2015-12-04T03:49:17"/>
        <d v="2015-12-04T03:43:41"/>
        <d v="2015-12-04T03:38:26"/>
        <d v="2015-12-04T03:38:22"/>
        <d v="2015-12-04T03:37:29"/>
        <d v="2015-12-04T03:31:00"/>
        <d v="2015-12-04T03:29:38"/>
        <d v="2015-12-04T02:59:40"/>
        <d v="2015-12-04T02:58:26"/>
        <d v="2015-12-04T02:47:27"/>
        <d v="2015-12-04T02:00:37"/>
        <d v="2015-12-04T01:48:41"/>
        <d v="2015-12-04T01:18:42"/>
        <d v="2015-12-04T01:09:30"/>
        <d v="2015-12-04T01:06:12"/>
        <d v="2015-12-04T00:55:42"/>
        <d v="2015-12-04T00:48:30"/>
        <d v="2015-12-04T00:24:03"/>
        <d v="2015-12-04T00:18:21"/>
        <d v="2015-12-04T00:15:19"/>
        <d v="2015-12-03T23:54:46"/>
        <d v="2015-12-03T23:53:40"/>
        <d v="2015-12-03T23:53:10"/>
        <d v="2015-12-03T23:50:45"/>
        <d v="2015-12-03T23:50:09"/>
        <d v="2015-12-03T23:48:58"/>
        <d v="2015-12-03T23:28:07"/>
        <d v="2015-12-03T23:12:12"/>
        <d v="2015-12-03T22:17:15"/>
        <d v="2015-12-03T22:14:47"/>
        <d v="2015-12-03T22:10:15"/>
        <d v="2015-12-03T21:08:59"/>
        <d v="2015-12-03T20:58:34"/>
        <d v="2015-12-03T20:57:43"/>
        <d v="2015-12-03T20:48:11"/>
        <d v="2015-12-03T20:30:26"/>
        <d v="2015-12-03T20:25:19"/>
        <d v="2015-12-03T20:09:43"/>
        <d v="2015-12-03T19:38:21"/>
        <d v="2015-12-03T19:13:12"/>
        <d v="2015-12-03T19:11:46"/>
        <d v="2015-12-03T18:16:19"/>
        <d v="2015-12-03T17:56:06"/>
        <d v="2015-12-03T17:47:04"/>
        <d v="2015-12-03T17:33:48"/>
        <d v="2015-12-03T17:29:38"/>
        <d v="2015-12-03T17:24:04"/>
        <d v="2015-12-03T17:14:31"/>
        <d v="2015-12-03T17:02:45"/>
        <d v="2015-12-03T16:58:52"/>
        <d v="2015-12-03T16:52:50"/>
        <d v="2015-12-03T16:46:10"/>
        <d v="2015-12-03T16:40:13"/>
        <d v="2015-12-03T16:09:56"/>
        <d v="2015-12-03T16:03:17"/>
        <d v="2015-12-03T15:47:25"/>
        <d v="2015-12-03T15:41:17"/>
        <d v="2015-12-03T15:36:04"/>
        <d v="2015-12-03T15:22:29"/>
        <d v="2015-12-03T13:35:39"/>
        <d v="2015-12-03T13:34:53"/>
        <d v="2015-12-03T13:28:12"/>
        <d v="2015-12-03T13:18:02"/>
        <d v="2015-12-03T13:07:11"/>
        <d v="2015-12-03T13:04:07"/>
        <d v="2015-12-03T07:26:42"/>
        <d v="2015-12-03T07:08:34"/>
        <d v="2015-12-03T06:41:08"/>
        <d v="2015-12-03T06:11:50"/>
        <d v="2015-12-03T05:00:47"/>
        <d v="2015-12-03T04:49:49"/>
        <d v="2015-12-03T04:44:33"/>
        <d v="2015-12-03T04:14:21"/>
        <d v="2015-12-03T03:45:20"/>
        <d v="2015-12-03T02:36:44"/>
        <d v="2015-12-03T02:21:23"/>
        <d v="2015-12-03T02:11:54"/>
        <d v="2015-12-03T01:04:54"/>
        <d v="2015-12-03T00:54:52"/>
        <d v="2015-12-03T00:44:19"/>
        <d v="2015-12-03T00:40:25"/>
        <d v="2015-12-03T00:36:03"/>
        <d v="2015-12-03T00:30:05"/>
        <d v="2015-12-03T00:08:26"/>
        <d v="2015-12-02T23:59:04"/>
        <d v="2015-12-02T23:56:58"/>
        <d v="2015-12-02T23:55:56"/>
        <d v="2015-12-02T23:55:28"/>
        <d v="2015-12-02T23:55:19"/>
        <d v="2015-12-02T23:55:08"/>
        <d v="2015-12-02T23:54:36"/>
        <d v="2015-12-02T23:54:27"/>
        <d v="2015-12-02T23:54:18"/>
        <d v="2015-12-02T23:50:53"/>
        <d v="2015-12-02T23:45:20"/>
        <d v="2015-12-02T23:44:57"/>
        <d v="2015-12-02T23:42:27"/>
        <d v="2015-12-02T23:39:42"/>
        <d v="2015-12-02T23:37:03"/>
        <d v="2015-12-02T23:32:01"/>
        <d v="2015-12-02T22:58:07"/>
        <d v="2015-12-02T22:38:06"/>
        <d v="2015-12-02T22:08:18"/>
        <d v="2015-12-02T21:57:36"/>
        <d v="2015-12-02T21:10:34"/>
        <d v="2015-12-02T20:54:27"/>
        <d v="2015-12-02T20:54:06"/>
        <d v="2015-12-02T20:49:18"/>
        <d v="2015-12-02T20:31:14"/>
        <d v="2015-12-02T20:20:20"/>
        <d v="2015-12-02T20:19:57"/>
        <d v="2015-12-02T20:10:52"/>
        <d v="2015-12-02T20:07:58"/>
        <d v="2015-12-02T20:05:42"/>
        <d v="2015-12-02T19:56:55"/>
        <d v="2015-12-02T19:50:49"/>
        <d v="2015-12-02T19:41:46"/>
        <d v="2015-12-02T19:40:00"/>
        <d v="2015-12-02T19:30:55"/>
        <d v="2015-12-02T19:19:52"/>
        <d v="2015-12-02T19:08:31"/>
        <d v="2015-12-02T19:07:49"/>
        <d v="2015-12-02T18:47:24"/>
        <d v="2015-12-02T18:42:23"/>
        <d v="2015-12-02T17:52:06"/>
        <d v="2015-12-02T17:47:20"/>
        <d v="2015-12-02T17:45:32"/>
        <d v="2015-12-02T17:40:16"/>
        <d v="2015-12-02T17:36:43"/>
        <d v="2015-12-02T17:34:48"/>
        <d v="2015-12-02T17:29:45"/>
        <d v="2015-12-02T16:42:54"/>
        <d v="2015-12-02T16:31:53"/>
        <d v="2015-12-02T15:54:03"/>
        <d v="2015-12-02T15:51:46"/>
        <d v="2015-12-02T15:45:13"/>
        <d v="2015-12-02T15:43:31"/>
        <d v="2015-12-02T15:36:16"/>
        <d v="2015-12-02T15:34:31"/>
        <d v="2015-12-02T15:29:10"/>
        <d v="2015-12-02T15:28:28"/>
        <d v="2015-12-02T15:26:42"/>
        <d v="2015-12-02T15:24:30"/>
        <d v="2015-12-02T15:21:55"/>
        <d v="2015-12-02T14:52:45"/>
        <d v="2015-12-02T14:32:39"/>
        <d v="2015-12-02T14:25:29"/>
        <d v="2015-12-02T14:19:26"/>
        <d v="2015-12-02T14:07:53"/>
        <d v="2015-12-02T14:00:50"/>
        <d v="2015-12-02T13:37:15"/>
        <d v="2015-12-02T13:10:50"/>
        <d v="2015-12-02T10:18:57"/>
        <d v="2015-12-02T10:15:49"/>
        <d v="2015-12-02T09:28:07"/>
        <d v="2015-12-02T08:51:36"/>
        <d v="2015-12-02T05:41:24"/>
        <d v="2015-12-02T05:25:59"/>
        <d v="2015-12-02T05:09:28"/>
        <d v="2015-12-02T04:31:52"/>
        <d v="2015-12-02T03:34:38"/>
        <d v="2015-12-02T03:26:16"/>
        <d v="2015-12-02T02:59:44"/>
        <d v="2015-12-02T02:29:00"/>
        <d v="2015-12-02T02:22:25"/>
        <d v="2015-12-02T02:10:01"/>
        <d v="2015-12-02T01:37:30"/>
        <d v="2015-12-02T01:24:56"/>
        <d v="2015-12-02T01:23:42"/>
        <d v="2015-12-02T01:14:47"/>
        <d v="2015-12-02T01:09:00"/>
        <d v="2015-12-02T01:06:41"/>
        <d v="2015-12-02T01:05:33"/>
        <d v="2015-12-02T00:40:47"/>
        <d v="2015-12-02T00:37:32"/>
        <d v="2015-12-02T00:33:25"/>
        <d v="2015-12-02T00:26:10"/>
        <d v="2015-12-02T00:15:40"/>
        <d v="2015-12-02T00:07:18"/>
        <d v="2015-12-01T23:34:10"/>
        <d v="2015-12-01T23:32:36"/>
        <d v="2015-12-01T23:15:10"/>
        <d v="2015-12-01T23:15:08"/>
        <d v="2015-12-01T22:57:54"/>
        <d v="2015-12-01T22:42:26"/>
        <d v="2015-12-01T22:30:06"/>
        <d v="2015-12-01T22:29:40"/>
        <d v="2015-12-01T22:20:09"/>
        <d v="2015-12-01T22:14:41"/>
        <d v="2015-12-01T22:07:29"/>
        <d v="2015-12-01T21:56:46"/>
        <d v="2015-12-01T21:35:06"/>
        <d v="2015-12-01T21:23:42"/>
        <d v="2015-12-01T20:40:09"/>
        <d v="2015-12-01T20:33:59"/>
        <d v="2015-12-01T20:21:38"/>
        <d v="2015-12-01T20:17:46"/>
        <d v="2015-12-01T20:10:50"/>
        <d v="2015-12-01T20:08:40"/>
        <d v="2015-12-01T19:59:07"/>
        <d v="2015-12-01T19:56:56"/>
        <d v="2015-12-01T19:54:37"/>
        <d v="2015-12-01T19:41:24"/>
        <d v="2015-12-01T19:07:21"/>
        <d v="2015-12-01T18:47:33"/>
        <d v="2015-12-01T18:47:08"/>
        <d v="2015-12-01T18:41:39"/>
        <d v="2015-12-01T18:36:22"/>
        <d v="2015-12-01T18:24:01"/>
        <d v="2015-12-01T18:05:33"/>
        <d v="2015-12-01T17:49:37"/>
        <d v="2015-12-01T17:34:31"/>
        <d v="2015-12-01T17:33:38"/>
        <d v="2015-12-01T17:28:20"/>
        <d v="2015-12-01T17:22:49"/>
        <d v="2015-12-01T17:21:58"/>
        <d v="2015-12-01T17:20:10"/>
        <d v="2015-12-01T17:10:46"/>
        <d v="2015-12-01T17:05:09"/>
        <d v="2015-12-01T17:01:11"/>
        <d v="2015-12-01T16:12:08"/>
        <d v="2015-12-01T15:22:44"/>
        <d v="2015-12-01T14:43:48"/>
        <d v="2015-12-01T14:38:44"/>
        <d v="2015-12-01T14:32:54"/>
        <d v="2015-12-01T14:29:23"/>
        <d v="2015-12-01T14:25:25"/>
        <d v="2015-12-01T14:19:57"/>
        <d v="2015-12-01T14:19:46"/>
        <d v="2015-12-01T13:39:42"/>
        <d v="2015-12-01T11:07:21"/>
        <d v="2015-12-01T06:31:07"/>
        <d v="2015-12-01T06:11:54"/>
        <d v="2015-12-01T05:43:35"/>
        <d v="2015-12-01T04:52:18"/>
        <d v="2015-12-01T04:44:16"/>
        <d v="2015-12-01T04:35:30"/>
        <d v="2015-12-01T04:09:47"/>
        <d v="2015-12-01T03:45:43"/>
        <d v="2015-12-01T03:41:54"/>
        <d v="2015-12-01T03:23:10"/>
        <d v="2015-12-01T03:21:06"/>
        <d v="2015-12-01T03:16:32"/>
        <d v="2015-12-01T03:15:16"/>
        <d v="2015-12-01T03:15:08"/>
        <d v="2015-12-01T03:07:52"/>
        <d v="2015-12-01T03:07:26"/>
        <d v="2015-12-01T03:02:14"/>
        <d v="2015-12-01T02:54:09"/>
        <d v="2015-12-01T02:39:59"/>
        <d v="2015-12-01T02:33:59"/>
        <d v="2015-12-01T02:32:54"/>
        <d v="2015-12-01T02:21:16"/>
        <d v="2015-12-01T02:12:38"/>
        <d v="2015-12-01T02:12:07"/>
        <d v="2015-12-01T02:09:56"/>
        <d v="2015-12-01T01:52:17"/>
        <d v="2015-12-01T01:51:19"/>
        <d v="2015-12-01T01:42:57"/>
        <d v="2015-12-01T01:42:55"/>
        <d v="2015-12-01T01:38:22"/>
        <d v="2015-12-01T01:34:08"/>
        <d v="2015-12-01T01:20:07"/>
        <d v="2015-12-01T01:10:40"/>
        <d v="2015-12-01T00:37:09"/>
        <d v="2015-12-01T00:03:12"/>
        <d v="2015-12-01T00:02:35"/>
        <d v="2015-11-30T23:48:48"/>
        <d v="2015-11-30T23:32:27"/>
        <d v="2015-11-30T23:30:25"/>
        <d v="2015-11-30T23:18:31"/>
        <d v="2015-11-30T22:43:58"/>
        <d v="2015-11-30T22:42:41"/>
        <d v="2015-11-30T22:42:08"/>
        <d v="2015-11-30T22:35:32"/>
        <d v="2015-11-30T22:33:08"/>
        <d v="2015-11-30T22:32:53"/>
        <d v="2015-11-30T22:27:19"/>
        <d v="2015-11-30T22:25:08"/>
        <d v="2015-11-30T22:01:07"/>
        <d v="2015-11-30T21:57:42"/>
        <d v="2015-11-30T21:47:55"/>
        <d v="2015-11-30T21:47:21"/>
        <d v="2015-11-30T21:12:23"/>
        <d v="2015-11-30T20:53:50"/>
        <d v="2015-11-30T20:45:24"/>
        <d v="2015-11-30T19:57:46"/>
        <d v="2015-11-30T19:53:25"/>
        <d v="2015-11-30T19:53:08"/>
        <d v="2015-11-30T19:47:07"/>
        <d v="2015-11-30T19:41:33"/>
        <d v="2015-11-30T19:08:57"/>
        <d v="2015-11-30T19:07:00"/>
        <d v="2015-11-30T19:05:48"/>
        <d v="2015-11-30T17:23:29"/>
        <d v="2015-11-30T17:15:22"/>
        <d v="2015-11-30T17:10:18"/>
        <d v="2015-11-30T16:57:52"/>
        <d v="2015-11-30T16:52:26"/>
        <d v="2015-11-30T16:52:24"/>
        <d v="2015-11-30T16:47:53"/>
        <d v="2015-11-30T16:28:29"/>
        <d v="2015-11-30T16:25:25"/>
        <d v="2015-11-30T15:55:08"/>
        <d v="2015-11-30T15:39:50"/>
        <d v="2015-11-30T15:29:15"/>
        <d v="2015-11-30T15:29:03"/>
        <d v="2015-11-30T15:19:08"/>
        <d v="2015-11-30T14:49:21"/>
        <d v="2015-11-30T14:38:06"/>
        <d v="2015-11-30T14:05:39"/>
        <d v="2015-11-30T13:54:58"/>
        <d v="2015-11-30T13:49:22"/>
        <d v="2015-11-30T13:46:28"/>
        <d v="2015-11-30T12:55:25"/>
        <d v="2015-11-30T06:32:50"/>
        <d v="2015-11-30T06:10:45"/>
        <d v="2015-11-30T06:10:30"/>
        <d v="2015-11-30T05:46:44"/>
        <d v="2015-11-30T05:03:48"/>
        <d v="2015-11-30T04:47:20"/>
        <d v="2015-11-30T04:34:13"/>
        <d v="2015-11-30T04:31:28"/>
        <d v="2015-11-30T04:26:23"/>
        <d v="2015-11-30T04:26:12"/>
        <d v="2015-11-30T04:23:41"/>
        <d v="2015-11-30T04:04:06"/>
        <d v="2015-11-30T03:41:40"/>
        <d v="2015-11-30T03:27:30"/>
        <d v="2015-11-30T03:03:32"/>
        <d v="2015-11-30T02:53:28"/>
        <d v="2015-11-30T02:52:21"/>
        <d v="2015-11-30T02:37:32"/>
        <d v="2015-11-30T02:12:24"/>
        <d v="2015-11-30T02:01:41"/>
        <d v="2015-11-30T01:55:45"/>
        <d v="2015-11-30T01:28:13"/>
        <d v="2015-11-30T01:07:06"/>
        <d v="2015-11-30T00:55:21"/>
        <d v="2015-11-30T00:43:32"/>
        <d v="2015-11-30T00:32:34"/>
        <d v="2015-11-30T00:11:52"/>
        <d v="2015-11-29T23:42:39"/>
        <d v="2015-11-29T23:29:52"/>
        <d v="2015-11-29T22:48:25"/>
        <d v="2015-11-29T22:43:19"/>
        <d v="2015-11-29T22:32:33"/>
        <d v="2015-11-29T22:24:53"/>
        <d v="2015-11-29T22:21:59"/>
        <d v="2015-11-29T21:53:49"/>
        <d v="2015-11-29T21:49:59"/>
        <d v="2015-11-29T21:47:32"/>
        <d v="2015-11-29T21:45:20"/>
        <d v="2015-11-29T21:36:38"/>
        <d v="2015-11-29T21:32:00"/>
        <d v="2015-11-29T21:24:40"/>
        <d v="2015-11-29T21:21:44"/>
        <d v="2015-11-29T21:08:50"/>
        <d v="2015-11-29T20:58:11"/>
        <d v="2015-11-29T20:51:30"/>
        <d v="2015-11-29T20:36:25"/>
        <d v="2015-11-29T20:24:52"/>
        <d v="2015-11-29T17:48:28"/>
        <d v="2015-11-29T16:37:42"/>
        <d v="2015-11-29T16:24:59"/>
        <d v="2015-11-29T16:12:15"/>
        <d v="2015-11-29T15:14:32"/>
        <d v="2015-11-29T14:38:11"/>
        <d v="2015-11-29T05:35:27"/>
        <d v="2015-11-29T04:30:28"/>
        <d v="2015-11-29T04:11:59"/>
        <d v="2015-11-29T03:53:30"/>
        <d v="2015-11-29T03:39:52"/>
        <d v="2015-11-29T02:42:26"/>
        <d v="2015-11-29T00:58:13"/>
        <d v="2015-11-29T00:51:53"/>
        <d v="2015-11-29T00:32:02"/>
        <d v="2015-11-28T23:41:54"/>
        <d v="2015-11-28T23:41:52"/>
        <d v="2015-11-28T23:05:15"/>
        <d v="2015-11-28T22:32:32"/>
        <d v="2015-11-28T22:24:03"/>
        <d v="2015-11-28T22:18:46"/>
        <d v="2015-11-28T22:18:17"/>
        <d v="2015-11-28T21:03:10"/>
        <d v="2015-11-28T20:41:27"/>
        <d v="2015-11-28T20:21:49"/>
        <d v="2015-11-28T20:17:46"/>
        <d v="2015-11-28T20:12:40"/>
        <d v="2015-11-28T19:25:03"/>
        <d v="2015-11-28T19:11:16"/>
        <d v="2015-11-28T18:45:29"/>
        <d v="2015-11-28T17:52:52"/>
        <d v="2015-11-28T17:26:57"/>
        <d v="2015-11-28T17:03:28"/>
        <d v="2015-11-28T16:55:07"/>
        <d v="2015-11-28T16:28:51"/>
        <d v="2015-11-28T09:41:02"/>
        <d v="2015-11-28T05:17:57"/>
        <d v="2015-11-28T04:58:31"/>
        <d v="2015-11-28T04:21:42"/>
        <d v="2015-11-28T02:06:20"/>
        <d v="2015-11-28T01:59:27"/>
        <d v="2015-11-28T01:53:27"/>
        <d v="2015-11-28T01:53:17"/>
        <d v="2015-11-28T00:31:22"/>
        <d v="2015-11-28T00:24:03"/>
        <d v="2015-11-28T00:20:48"/>
        <d v="2015-11-28T00:11:14"/>
        <d v="2015-11-27T23:58:43"/>
        <d v="2015-11-27T21:30:41"/>
        <d v="2015-11-27T20:56:56"/>
        <d v="2015-11-27T20:30:41"/>
        <d v="2015-11-27T20:02:54"/>
        <d v="2015-11-27T19:44:05"/>
        <d v="2015-11-27T19:36:22"/>
        <d v="2015-11-27T18:55:53"/>
        <d v="2015-11-27T18:42:15"/>
        <d v="2015-11-27T18:11:14"/>
        <d v="2015-11-27T18:01:35"/>
        <d v="2015-11-27T17:12:59"/>
        <d v="2015-11-27T16:55:37"/>
        <d v="2015-11-27T16:23:10"/>
        <d v="2015-11-27T16:01:03"/>
        <d v="2015-11-27T14:56:24"/>
        <d v="2015-11-27T14:40:48"/>
        <d v="2015-11-27T14:00:04"/>
        <d v="2015-11-27T12:52:12"/>
        <d v="2015-11-27T05:45:43"/>
        <d v="2015-11-27T05:41:45"/>
        <d v="2015-11-26T23:46:25"/>
        <d v="2015-11-26T23:46:06"/>
        <d v="2015-11-26T22:18:44"/>
        <d v="2015-11-26T18:06:12"/>
        <d v="2015-11-26T15:37:08"/>
        <d v="2015-11-26T13:24:40"/>
        <d v="2015-11-26T09:30:14"/>
        <d v="2015-11-26T06:48:09"/>
        <d v="2015-11-26T06:47:47"/>
        <d v="2015-11-26T06:47:11"/>
        <d v="2015-11-26T06:46:26"/>
        <d v="2015-11-26T06:03:02"/>
        <d v="2015-11-26T05:52:16"/>
        <d v="2015-11-26T04:33:30"/>
        <d v="2015-11-26T04:20:27"/>
        <d v="2015-11-26T03:25:16"/>
        <d v="2015-11-26T01:59:38"/>
        <d v="2015-11-26T01:53:26"/>
        <d v="2015-11-26T00:32:53"/>
        <d v="2015-11-25T23:47:28"/>
        <d v="2015-11-25T23:02:49"/>
        <d v="2015-11-25T21:15:18"/>
        <d v="2015-11-25T21:07:32"/>
        <d v="2015-11-25T20:32:25"/>
        <d v="2015-11-25T20:15:42"/>
        <d v="2015-11-25T20:07:49"/>
        <d v="2015-11-25T19:38:02"/>
        <d v="2015-11-25T19:33:21"/>
        <d v="2015-11-25T19:29:39"/>
        <d v="2015-11-25T19:21:22"/>
        <d v="2015-11-25T17:57:39"/>
        <d v="2015-11-25T17:57:29"/>
        <d v="2015-11-25T16:18:00"/>
        <d v="2015-11-25T16:08:36"/>
        <d v="2015-11-25T14:55:06"/>
        <d v="2015-11-25T13:26:29"/>
        <d v="2015-11-25T13:08:20"/>
        <d v="2015-11-25T13:03:19"/>
        <d v="2015-11-25T02:22:45"/>
        <d v="2015-11-25T01:55:36"/>
        <d v="2015-11-25T01:46:01"/>
        <d v="2015-11-25T01:27:59"/>
        <d v="2015-11-25T01:26:29"/>
        <d v="2015-11-25T01:24:45"/>
        <d v="2015-11-25T00:57:04"/>
        <d v="2015-11-25T00:37:17"/>
        <d v="2015-11-25T00:22:10"/>
        <d v="2015-11-25T00:07:05"/>
        <d v="2015-11-25T00:06:09"/>
        <d v="2015-11-24T23:54:39"/>
        <d v="2015-11-24T23:06:29"/>
        <d v="2015-11-24T22:59:42"/>
        <d v="2015-11-24T21:25:50"/>
        <d v="2015-11-24T19:15:47"/>
        <d v="2015-11-24T18:59:58"/>
        <d v="2015-11-24T18:54:57"/>
        <d v="2015-11-24T18:51:58"/>
        <d v="2015-11-24T18:44:13"/>
        <d v="2015-11-24T18:29:13"/>
        <d v="2015-11-24T18:29:02"/>
        <d v="2015-11-24T18:27:11"/>
        <d v="2015-11-24T18:21:53"/>
        <d v="2015-11-24T18:21:18"/>
        <d v="2015-11-24T18:07:18"/>
        <d v="2015-11-24T18:06:14"/>
        <d v="2015-11-24T17:57:23"/>
        <d v="2015-11-24T17:23:03"/>
        <d v="2015-11-24T17:05:48"/>
        <d v="2015-11-24T17:04:50"/>
        <d v="2015-11-24T17:00:19"/>
        <d v="2015-11-24T16:37:51"/>
        <d v="2015-11-24T16:35:38"/>
        <d v="2015-11-24T16:22:34"/>
        <d v="2015-11-24T16:18:32"/>
        <d v="2015-11-24T16:13:31"/>
        <d v="2015-11-24T16:02:24"/>
        <d v="2015-11-24T15:46:50"/>
        <d v="2015-11-24T15:46:49"/>
        <d v="2015-11-24T15:15:01"/>
        <d v="2015-11-24T15:14:40"/>
        <d v="2015-11-24T14:55:24"/>
        <d v="2015-11-24T14:38:31"/>
        <d v="2015-11-24T14:16:03"/>
        <d v="2015-11-24T14:09:20"/>
        <d v="2015-11-24T14:07:22"/>
        <d v="2015-11-24T14:04:20"/>
        <d v="2015-11-24T13:27:09"/>
        <d v="2015-11-24T13:00:30"/>
        <d v="2015-11-24T12:53:53"/>
        <d v="2015-11-24T12:29:16"/>
        <d v="2015-11-24T11:20:11"/>
        <d v="2015-11-24T10:35:46"/>
        <d v="2015-11-24T10:12:46"/>
        <d v="2015-11-24T10:02:40"/>
        <d v="2015-11-24T06:46:31"/>
        <d v="2015-11-24T06:43:16"/>
        <d v="2015-11-24T05:51:11"/>
        <d v="2015-11-24T04:08:54"/>
        <d v="2015-11-24T04:08:16"/>
        <d v="2015-11-24T03:59:27"/>
        <d v="2015-11-24T03:40:01"/>
        <d v="2015-11-24T03:39:29"/>
        <d v="2015-11-24T03:36:03"/>
        <d v="2015-11-24T03:26:55"/>
        <d v="2015-11-24T03:25:16"/>
        <d v="2015-11-24T03:12:58"/>
        <d v="2015-11-24T03:09:51"/>
        <d v="2015-11-24T02:49:30"/>
        <d v="2015-11-24T02:15:51"/>
        <d v="2015-11-24T01:48:15"/>
        <d v="2015-11-24T01:35:09"/>
        <d v="2015-11-24T00:51:33"/>
        <d v="2015-11-24T00:30:14"/>
        <d v="2015-11-24T00:29:48"/>
        <d v="2015-11-24T00:28:59"/>
        <d v="2015-11-24T00:26:19"/>
        <d v="2015-11-24T00:15:58"/>
        <d v="2015-11-24T00:14:01"/>
        <d v="2015-11-24T00:12:42"/>
        <d v="2015-11-24T00:09:20"/>
        <d v="2015-11-24T00:04:22"/>
        <d v="2015-11-24T00:01:42"/>
        <d v="2015-11-23T23:47:09"/>
        <d v="2015-11-23T23:45:41"/>
        <d v="2015-11-23T23:41:48"/>
        <d v="2015-11-23T23:32:48"/>
        <d v="2015-11-23T23:32:46"/>
        <d v="2015-11-23T22:47:59"/>
        <d v="2015-11-23T22:06:54"/>
        <d v="2015-11-23T21:43:14"/>
        <d v="2015-11-23T21:38:36"/>
        <d v="2015-11-23T21:37:21"/>
        <d v="2015-11-23T21:13:14"/>
        <d v="2015-11-23T21:10:40"/>
        <d v="2015-11-23T20:45:57"/>
        <d v="2015-11-23T19:50:16"/>
        <d v="2015-11-23T19:48:24"/>
        <d v="2015-11-23T19:44:24"/>
        <d v="2015-11-23T19:37:43"/>
        <d v="2015-11-23T19:37:25"/>
        <d v="2015-11-23T19:12:28"/>
        <d v="2015-11-23T17:50:12"/>
        <d v="2015-11-23T17:38:21"/>
        <d v="2015-11-23T17:35:22"/>
        <d v="2015-11-23T17:27:48"/>
        <d v="2015-11-23T17:23:26"/>
        <d v="2015-11-23T17:10:02"/>
        <d v="2015-11-23T17:09:24"/>
        <d v="2015-11-23T17:08:35"/>
        <d v="2015-11-23T16:59:49"/>
        <d v="2015-11-23T16:59:35"/>
        <d v="2015-11-23T16:50:47"/>
        <d v="2015-11-23T16:11:13"/>
        <d v="2015-11-23T16:10:05"/>
        <d v="2015-11-23T16:09:52"/>
        <d v="2015-11-23T15:59:28"/>
        <d v="2015-11-23T15:56:39"/>
        <d v="2015-11-23T15:55:01"/>
        <d v="2015-11-23T15:45:50"/>
        <d v="2015-11-23T15:35:01"/>
        <d v="2015-11-23T15:34:49"/>
        <d v="2015-11-23T14:46:39"/>
        <d v="2015-11-23T14:14:04"/>
        <d v="2015-11-23T14:07:24"/>
        <d v="2015-11-23T13:55:34"/>
        <d v="2015-11-23T13:53:15"/>
        <d v="2015-11-23T13:36:55"/>
        <d v="2015-11-23T10:25:07"/>
        <d v="2015-11-23T10:12:11"/>
        <d v="2015-11-23T05:51:53"/>
        <d v="2015-11-23T05:51:42"/>
        <d v="2015-11-23T05:16:47"/>
        <d v="2015-11-23T05:00:30"/>
        <d v="2015-11-23T04:48:25"/>
        <d v="2015-11-23T04:36:48"/>
        <d v="2015-11-23T04:05:59"/>
        <d v="2015-11-23T03:19:18"/>
        <d v="2015-11-23T03:06:04"/>
        <d v="2015-11-23T03:02:31"/>
        <d v="2015-11-23T02:54:28"/>
        <d v="2015-11-23T02:49:50"/>
        <d v="2015-11-23T02:48:00"/>
        <d v="2015-11-23T02:46:35"/>
        <d v="2015-11-23T02:44:09"/>
        <d v="2015-11-23T02:42:17"/>
        <d v="2015-11-23T02:28:19"/>
        <d v="2015-11-23T02:14:31"/>
        <d v="2015-11-23T02:09:34"/>
        <d v="2015-11-23T02:04:32"/>
        <d v="2015-11-23T02:04:18"/>
        <d v="2015-11-23T02:01:18"/>
        <d v="2015-11-23T01:57:25"/>
        <d v="2015-11-23T01:55:22"/>
        <d v="2015-11-23T01:52:28"/>
        <d v="2015-11-23T01:51:43"/>
        <d v="2015-11-23T01:39:05"/>
        <d v="2015-11-23T01:00:47"/>
        <d v="2015-11-23T00:50:42"/>
        <d v="2015-11-23T00:25:37"/>
        <d v="2015-11-23T00:20:35"/>
        <d v="2015-11-23T00:08:09"/>
        <d v="2015-11-23T00:02:43"/>
        <d v="2015-11-22T23:21:31"/>
        <d v="2015-11-22T23:20:03"/>
        <d v="2015-11-22T23:19:52"/>
        <d v="2015-11-22T23:17:34"/>
        <d v="2015-11-22T23:13:23"/>
        <d v="2015-11-22T23:11:59"/>
        <d v="2015-11-22T23:09:37"/>
        <d v="2015-11-22T22:56:09"/>
        <d v="2015-11-22T22:49:44"/>
        <d v="2015-11-22T22:30:22"/>
        <d v="2015-11-22T22:25:14"/>
        <d v="2015-11-22T22:20:16"/>
        <d v="2015-11-22T22:10:01"/>
        <d v="2015-11-22T22:06:46"/>
        <d v="2015-11-22T21:09:38"/>
        <d v="2015-11-22T20:56:16"/>
        <d v="2015-11-22T20:54:58"/>
        <d v="2015-11-22T20:50:47"/>
        <d v="2015-11-22T20:47:37"/>
        <d v="2015-11-22T20:46:08"/>
        <d v="2015-11-22T20:45:35"/>
        <d v="2015-11-22T20:23:25"/>
        <d v="2015-11-22T19:56:54"/>
        <d v="2015-11-22T19:52:13"/>
        <d v="2015-11-22T19:41:09"/>
        <d v="2015-11-22T19:35:37"/>
        <d v="2015-11-22T19:25:35"/>
        <d v="2015-11-22T19:22:23"/>
        <d v="2015-11-22T19:17:22"/>
        <d v="2015-11-22T19:15:53"/>
        <d v="2015-11-22T18:39:25"/>
        <d v="2015-11-22T18:36:19"/>
        <d v="2015-11-22T18:31:07"/>
        <d v="2015-11-22T17:38:12"/>
        <d v="2015-11-22T16:27:11"/>
        <d v="2015-11-22T16:04:42"/>
        <d v="2015-11-22T16:00:49"/>
        <d v="2015-11-22T15:07:09"/>
        <d v="2015-11-22T13:48:05"/>
        <d v="2015-11-22T13:43:58"/>
        <d v="2015-11-22T13:41:05"/>
        <d v="2015-11-22T13:39:25"/>
        <d v="2015-11-22T12:36:42"/>
        <d v="2015-11-22T11:58:56"/>
        <d v="2015-11-22T11:43:56"/>
        <d v="2015-11-22T10:57:57"/>
        <d v="2015-11-22T07:02:56"/>
        <d v="2015-11-22T04:30:38"/>
        <d v="2015-11-22T04:16:08"/>
        <d v="2015-11-22T01:34:58"/>
        <d v="2015-11-22T00:54:26"/>
        <d v="2015-11-22T00:13:03"/>
        <d v="2015-11-22T00:12:59"/>
        <d v="2015-11-21T23:58:45"/>
        <d v="2015-11-21T23:33:31"/>
        <d v="2015-11-21T23:25:59"/>
        <d v="2015-11-21T22:23:49"/>
        <d v="2015-11-21T22:07:42"/>
        <d v="2015-11-21T21:57:18"/>
        <d v="2015-11-21T21:22:54"/>
        <d v="2015-11-21T20:27:32"/>
        <d v="2015-11-21T20:12:33"/>
        <d v="2015-11-21T19:48:02"/>
        <d v="2015-11-21T19:18:44"/>
        <d v="2015-11-21T19:13:50"/>
        <d v="2015-11-21T18:19:01"/>
        <d v="2015-11-21T18:13:59"/>
        <d v="2015-11-21T18:10:44"/>
        <d v="2015-11-21T18:04:12"/>
        <d v="2015-11-21T18:03:35"/>
        <d v="2015-11-21T17:58:47"/>
        <d v="2015-11-21T17:57:20"/>
        <d v="2015-11-21T17:44:46"/>
        <d v="2015-11-21T17:26:31"/>
        <d v="2015-11-21T17:14:44"/>
        <d v="2015-11-21T17:07:52"/>
        <d v="2015-11-21T16:44:53"/>
        <d v="2015-11-21T16:29:19"/>
        <d v="2015-11-21T16:26:33"/>
        <d v="2015-11-21T16:06:38"/>
        <d v="2015-11-21T14:28:59"/>
        <d v="2015-11-21T06:12:18"/>
        <d v="2015-11-21T05:42:19"/>
        <d v="2015-11-21T05:14:10"/>
        <d v="2015-11-21T04:33:31"/>
        <d v="2015-11-21T03:24:30"/>
        <d v="2015-11-21T02:58:36"/>
        <d v="2015-11-21T01:51:22"/>
        <d v="2015-11-21T01:48:32"/>
        <d v="2015-11-21T01:44:56"/>
        <d v="2015-11-21T01:41:28"/>
        <d v="2015-11-21T00:12:33"/>
        <d v="2015-11-21T00:06:48"/>
        <d v="2015-11-21T00:01:10"/>
        <d v="2015-11-20T23:53:52"/>
        <d v="2015-11-20T22:45:40"/>
        <d v="2015-11-20T22:06:58"/>
        <d v="2015-11-20T22:01:46"/>
        <d v="2015-11-20T21:44:09"/>
        <d v="2015-11-20T21:35:08"/>
        <d v="2015-11-20T21:34:54"/>
        <d v="2015-11-20T21:09:35"/>
        <d v="2015-11-20T20:22:50"/>
        <d v="2015-11-20T20:22:11"/>
        <d v="2015-11-20T20:13:37"/>
        <d v="2015-11-20T19:05:15"/>
        <d v="2015-11-20T18:54:39"/>
        <d v="2015-11-20T18:48:48"/>
        <d v="2015-11-20T18:17:39"/>
        <d v="2015-11-20T18:02:04"/>
        <d v="2015-11-20T17:55:36"/>
        <d v="2015-11-20T17:44:54"/>
        <d v="2015-11-20T17:16:07"/>
        <d v="2015-11-20T17:11:39"/>
        <d v="2015-11-20T17:02:55"/>
        <d v="2015-11-20T16:59:47"/>
        <d v="2015-11-20T16:54:20"/>
        <d v="2015-11-20T16:53:01"/>
        <d v="2015-11-20T16:40:26"/>
        <d v="2015-11-20T16:14:11"/>
        <d v="2015-11-20T15:52:27"/>
        <d v="2015-11-20T15:44:25"/>
        <d v="2015-11-20T15:34:18"/>
        <d v="2015-11-20T14:54:37"/>
        <d v="2015-11-20T14:54:33"/>
        <d v="2015-11-20T14:50:34"/>
        <d v="2015-11-20T14:41:01"/>
        <d v="2015-11-20T14:36:02"/>
        <d v="2015-11-20T14:35:55"/>
        <d v="2015-11-20T14:25:54"/>
        <d v="2015-11-20T14:24:30"/>
        <d v="2015-11-20T14:22:31"/>
        <d v="2015-11-20T14:21:14"/>
        <d v="2015-11-20T14:19:04"/>
        <d v="2015-11-20T14:17:17"/>
        <d v="2015-11-20T13:51:00"/>
        <d v="2015-11-20T13:46:39"/>
        <d v="2015-11-20T13:46:01"/>
        <d v="2015-11-20T13:39:19"/>
        <d v="2015-11-20T13:36:05"/>
        <d v="2015-11-20T13:34:43"/>
        <d v="2015-11-20T13:29:51"/>
        <d v="2015-11-20T13:29:44"/>
        <d v="2015-11-20T13:23:52"/>
        <d v="2015-11-20T13:20:05"/>
        <d v="2015-11-20T13:06:15"/>
        <d v="2015-11-20T13:05:07"/>
        <d v="2015-11-20T09:57:54"/>
        <d v="2015-11-20T06:29:12"/>
        <d v="2015-11-20T05:28:51"/>
        <d v="2015-11-20T05:08:31"/>
        <d v="2015-11-20T05:06:43"/>
        <d v="2015-11-20T04:45:42"/>
        <d v="2015-11-20T04:18:31"/>
        <d v="2015-11-20T03:49:47"/>
        <d v="2015-11-20T03:43:44"/>
        <d v="2015-11-20T02:55:01"/>
        <d v="2015-11-20T02:41:41"/>
        <d v="2015-11-20T01:05:28"/>
        <d v="2015-11-20T00:34:52"/>
        <d v="2015-11-20T00:17:38"/>
        <d v="2015-11-19T23:59:46"/>
        <d v="2015-11-19T23:56:13"/>
        <d v="2015-11-19T23:47:01"/>
        <d v="2015-11-19T23:45:36"/>
        <d v="2015-11-19T23:45:08"/>
        <d v="2015-11-19T23:39:18"/>
        <d v="2015-11-19T23:09:12"/>
        <d v="2015-11-19T23:02:36"/>
        <d v="2015-11-19T22:47:01"/>
        <d v="2015-11-19T22:35:16"/>
        <d v="2015-11-19T22:16:32"/>
        <d v="2015-11-19T22:12:01"/>
        <d v="2015-11-19T22:05:50"/>
        <d v="2015-11-19T22:04:10"/>
        <d v="2015-11-19T21:59:21"/>
        <d v="2015-11-19T21:58:00"/>
        <d v="2015-11-19T21:42:21"/>
        <d v="2015-11-19T21:40:52"/>
        <d v="2015-11-19T21:40:24"/>
        <d v="2015-11-19T21:10:04"/>
        <d v="2015-11-19T21:01:07"/>
        <d v="2015-11-19T20:14:14"/>
        <d v="2015-11-19T20:02:52"/>
        <d v="2015-11-19T19:56:26"/>
        <d v="2015-11-19T19:48:00"/>
        <d v="2015-11-19T19:43:33"/>
        <d v="2015-11-19T19:07:41"/>
        <d v="2015-11-19T19:05:05"/>
        <d v="2015-11-19T18:54:08"/>
        <d v="2015-11-19T18:42:44"/>
        <d v="2015-11-19T18:39:27"/>
        <d v="2015-11-19T18:31:45"/>
        <d v="2015-11-19T18:31:08"/>
        <d v="2015-11-19T18:30:46"/>
        <d v="2015-11-19T18:19:56"/>
        <d v="2015-11-19T18:17:18"/>
        <d v="2015-11-19T18:05:01"/>
        <d v="2015-11-19T17:37:25"/>
        <d v="2015-11-19T17:37:04"/>
        <d v="2015-11-19T17:30:13"/>
        <d v="2015-11-19T17:10:04"/>
        <d v="2015-11-19T16:33:07"/>
        <d v="2015-11-19T16:32:27"/>
        <d v="2015-11-19T16:23:17"/>
        <d v="2015-11-19T16:21:50"/>
        <d v="2015-11-19T16:20:48"/>
        <d v="2015-11-19T16:20:44"/>
        <d v="2015-11-19T16:19:55"/>
        <d v="2015-11-19T16:15:15"/>
        <d v="2015-11-19T16:09:08"/>
        <d v="2015-11-19T15:52:02"/>
        <d v="2015-11-19T15:37:18"/>
        <d v="2015-11-19T15:33:37"/>
        <d v="2015-11-19T15:32:55"/>
        <d v="2015-11-19T15:32:46"/>
        <d v="2015-11-19T15:29:09"/>
        <d v="2015-11-19T15:25:15"/>
        <d v="2015-11-19T15:21:47"/>
        <d v="2015-11-19T15:11:15"/>
        <d v="2015-11-19T14:48:24"/>
        <d v="2015-11-19T14:35:39"/>
        <d v="2015-11-19T14:35:20"/>
        <d v="2015-11-19T14:34:45"/>
        <d v="2015-11-19T14:28:04"/>
        <d v="2015-11-19T14:25:37"/>
        <d v="2015-11-19T14:24:20"/>
        <d v="2015-11-19T14:24:10"/>
        <d v="2015-11-19T14:23:41"/>
        <d v="2015-11-19T14:16:15"/>
        <d v="2015-11-19T14:15:02"/>
        <d v="2015-11-19T14:04:04"/>
        <d v="2015-11-19T13:33:04"/>
        <d v="2015-11-19T07:50:37"/>
        <d v="2015-11-19T07:35:41"/>
        <d v="2015-11-19T05:55:41"/>
        <d v="2015-11-19T05:38:46"/>
        <d v="2015-11-19T05:12:45"/>
        <d v="2015-11-19T05:02:11"/>
        <d v="2015-11-19T04:58:58"/>
        <d v="2015-11-19T04:04:23"/>
        <d v="2015-11-19T03:52:34"/>
        <d v="2015-11-19T03:29:44"/>
        <d v="2015-11-19T03:02:17"/>
        <d v="2015-11-19T03:02:05"/>
        <d v="2015-11-19T03:02:03"/>
        <d v="2015-11-19T02:59:06"/>
        <d v="2015-11-19T02:57:14"/>
        <d v="2015-11-19T02:53:38"/>
        <d v="2015-11-19T02:49:04"/>
        <d v="2015-11-19T02:36:40"/>
        <d v="2015-11-19T02:36:32"/>
        <d v="2015-11-19T02:29:11"/>
        <d v="2015-11-19T02:18:14"/>
        <d v="2015-11-19T02:15:15"/>
        <d v="2015-11-19T02:14:27"/>
        <d v="2015-11-19T02:12:56"/>
        <d v="2015-11-19T02:12:04"/>
        <d v="2015-11-19T02:08:50"/>
        <d v="2015-11-19T02:08:43"/>
        <d v="2015-11-19T02:02:34"/>
        <d v="2015-11-19T01:56:43"/>
        <d v="2015-11-19T01:39:44"/>
        <d v="2015-11-19T01:37:22"/>
        <d v="2015-11-19T01:32:24"/>
        <d v="2015-11-19T01:24:47"/>
        <d v="2015-11-19T01:14:24"/>
        <d v="2015-11-19T01:06:24"/>
        <d v="2015-11-19T01:03:42"/>
        <d v="2015-11-19T00:40:29"/>
        <d v="2015-11-19T00:33:26"/>
        <d v="2015-11-19T00:07:28"/>
        <d v="2015-11-19T00:01:49"/>
        <d v="2015-11-18T23:56:00"/>
        <d v="2015-11-18T23:50:54"/>
        <d v="2015-11-18T23:49:33"/>
        <d v="2015-11-18T23:42:21"/>
        <d v="2015-11-18T23:42:01"/>
        <d v="2015-11-18T23:38:06"/>
        <d v="2015-11-18T23:35:02"/>
        <d v="2015-11-18T23:30:00"/>
        <d v="2015-11-18T23:26:54"/>
        <d v="2015-11-18T23:09:17"/>
        <d v="2015-11-18T23:01:57"/>
        <d v="2015-11-18T22:22:37"/>
        <d v="2015-11-18T22:21:52"/>
        <d v="2015-11-18T22:21:00"/>
        <d v="2015-11-18T22:17:06"/>
        <d v="2015-11-18T22:15:35"/>
        <d v="2015-11-18T22:12:52"/>
        <d v="2015-11-18T22:00:57"/>
        <d v="2015-11-18T21:52:18"/>
        <d v="2015-11-18T21:51:58"/>
        <d v="2015-11-18T21:51:21"/>
        <d v="2015-11-18T21:51:12"/>
        <d v="2015-11-18T21:43:12"/>
        <d v="2015-11-18T21:42:10"/>
        <d v="2015-11-18T21:41:25"/>
        <d v="2015-11-18T21:35:08"/>
        <d v="2015-11-18T21:34:39"/>
        <d v="2015-11-18T21:29:13"/>
        <d v="2015-11-18T21:23:23"/>
        <d v="2015-11-18T21:22:19"/>
        <d v="2015-11-18T21:15:49"/>
        <d v="2015-11-18T21:13:17"/>
        <d v="2015-11-18T21:03:11"/>
        <d v="2015-11-18T21:02:16"/>
        <d v="2015-11-18T20:57:28"/>
        <d v="2015-11-18T20:42:40"/>
        <d v="2015-11-18T20:41:43"/>
        <d v="2015-11-18T20:41:24"/>
        <d v="2015-11-18T20:38:51"/>
        <d v="2015-11-18T20:25:30"/>
        <d v="2015-11-18T20:11:54"/>
        <d v="2015-11-18T20:08:09"/>
        <d v="2015-11-18T20:08:06"/>
        <d v="2015-11-18T20:07:54"/>
        <d v="2015-11-18T20:06:08"/>
        <d v="2015-11-18T20:05:58"/>
        <d v="2015-11-18T20:05:44"/>
        <d v="2015-11-18T20:05:40"/>
        <d v="2015-11-18T20:05:30"/>
        <d v="2015-11-18T20:04:53"/>
        <d v="2015-11-18T20:03:06"/>
        <d v="2015-11-18T19:58:32"/>
        <d v="2015-11-18T19:26:50"/>
        <d v="2015-11-18T19:26:03"/>
        <d v="2015-11-18T19:25:51"/>
        <d v="2015-11-18T19:24:44"/>
        <d v="2015-11-18T19:23:12"/>
        <d v="2015-11-18T19:01:42"/>
        <d v="2015-11-18T18:57:53"/>
        <d v="2015-11-18T18:17:01"/>
        <d v="2015-11-18T18:11:39"/>
        <d v="2015-11-18T17:20:37"/>
        <d v="2015-11-18T16:57:25"/>
        <d v="2015-11-18T16:55:53"/>
        <d v="2015-11-18T16:54:28"/>
        <d v="2015-11-18T16:51:46"/>
        <d v="2015-11-18T16:43:30"/>
        <d v="2015-11-18T16:42:15"/>
        <d v="2015-11-18T16:40:43"/>
        <d v="2015-11-18T16:36:42"/>
        <d v="2015-11-18T16:27:58"/>
        <d v="2015-11-18T16:24:32"/>
        <d v="2015-11-18T16:21:27"/>
        <d v="2015-11-18T16:17:12"/>
        <d v="2015-11-18T16:05:10"/>
        <d v="2015-11-18T16:02:06"/>
        <d v="2015-11-18T15:56:44"/>
        <d v="2015-11-18T15:52:28"/>
        <d v="2015-11-18T15:45:24"/>
        <d v="2015-11-18T15:45:23"/>
        <d v="2015-11-18T15:19:07"/>
        <d v="2015-11-18T15:16:36"/>
        <d v="2015-11-18T15:13:28"/>
        <d v="2015-11-18T15:06:37"/>
        <d v="2015-11-18T14:59:30"/>
        <d v="2015-11-18T14:40:41"/>
        <d v="2015-11-18T14:34:13"/>
        <d v="2015-11-18T14:32:58"/>
        <d v="2015-11-18T14:17:53"/>
        <d v="2015-11-18T14:12:11"/>
        <d v="2015-11-18T14:09:03"/>
        <d v="2015-11-18T13:40:01"/>
        <d v="2015-11-18T13:37:51"/>
        <d v="2015-11-18T12:40:12"/>
        <d v="2015-11-18T09:02:03"/>
        <d v="2015-11-18T08:56:48"/>
        <d v="2015-11-18T08:11:06"/>
        <d v="2015-11-18T06:41:37"/>
        <d v="2015-11-18T06:36:10"/>
        <d v="2015-11-18T06:32:58"/>
        <d v="2015-11-18T05:22:28"/>
        <d v="2015-11-18T04:20:36"/>
        <d v="2015-11-18T04:12:03"/>
        <d v="2015-11-18T04:11:45"/>
        <d v="2015-11-18T04:06:51"/>
        <d v="2015-11-18T04:05:37"/>
        <d v="2015-11-18T04:04:20"/>
        <d v="2015-11-18T03:55:29"/>
        <d v="2015-11-18T03:55:26"/>
        <d v="2015-11-18T03:52:42"/>
        <d v="2015-11-18T03:38:47"/>
        <d v="2015-11-18T03:38:28"/>
        <d v="2015-11-18T03:21:53"/>
        <d v="2015-11-18T03:21:44"/>
        <d v="2015-11-18T03:17:01"/>
        <d v="2015-11-18T03:11:58"/>
        <d v="2015-11-18T03:09:59"/>
        <d v="2015-11-18T03:07:11"/>
        <d v="2015-11-18T03:06:49"/>
        <d v="2015-11-18T02:59:29"/>
        <d v="2015-11-18T02:58:04"/>
        <d v="2015-11-18T02:53:41"/>
        <d v="2015-11-18T02:47:19"/>
        <d v="2015-11-18T02:42:52"/>
        <d v="2015-11-18T02:31:42"/>
        <d v="2015-11-18T02:26:00"/>
        <d v="2015-11-18T02:21:51"/>
        <d v="2015-11-18T02:21:26"/>
        <d v="2015-11-18T02:21:22"/>
        <d v="2015-11-18T02:19:49"/>
        <d v="2015-11-18T02:16:50"/>
        <d v="2015-11-18T02:12:13"/>
        <d v="2015-11-18T02:12:04"/>
        <d v="2015-11-18T02:11:51"/>
        <d v="2015-11-18T01:49:51"/>
        <d v="2015-11-18T01:48:01"/>
        <d v="2015-11-18T01:46:37"/>
        <d v="2015-11-18T01:23:17"/>
        <d v="2015-11-18T00:56:18"/>
        <d v="2015-11-18T00:51:09"/>
        <d v="2015-11-18T00:46:50"/>
        <d v="2015-11-18T00:46:15"/>
        <d v="2015-11-18T00:46:01"/>
        <d v="2015-11-18T00:45:32"/>
        <d v="2015-11-18T00:41:49"/>
        <d v="2015-11-18T00:31:24"/>
        <d v="2015-11-18T00:27:53"/>
        <d v="2015-11-18T00:20:11"/>
        <d v="2015-11-18T00:00:05"/>
        <d v="2015-11-17T23:59:06"/>
        <d v="2015-11-17T23:31:47"/>
        <d v="2015-11-17T23:05:28"/>
        <d v="2015-11-17T22:58:25"/>
        <d v="2015-11-17T22:55:40"/>
        <d v="2015-11-17T22:55:15"/>
        <d v="2015-11-17T22:38:10"/>
        <d v="2015-11-17T22:19:20"/>
        <d v="2015-11-17T22:16:26"/>
        <d v="2015-11-17T21:37:47"/>
        <d v="2015-11-17T21:18:36"/>
        <d v="2015-11-17T21:18:13"/>
        <d v="2015-11-17T21:09:12"/>
        <d v="2015-11-17T21:06:43"/>
        <d v="2015-11-17T21:01:42"/>
        <d v="2015-11-17T21:01:16"/>
        <d v="2015-11-17T20:57:57"/>
        <d v="2015-11-17T20:41:40"/>
        <d v="2015-11-17T20:37:02"/>
        <d v="2015-11-17T20:33:39"/>
        <d v="2015-11-17T20:25:25"/>
        <d v="2015-11-17T20:24:05"/>
        <d v="2015-11-17T20:15:03"/>
        <d v="2015-11-17T19:57:32"/>
        <d v="2015-11-17T19:51:14"/>
        <d v="2015-11-17T19:50:58"/>
        <d v="2015-11-17T19:50:14"/>
        <d v="2015-11-17T19:46:40"/>
        <d v="2015-11-17T19:46:27"/>
        <d v="2015-11-17T19:44:58"/>
        <d v="2015-11-17T19:43:07"/>
        <d v="2015-11-17T19:39:23"/>
        <d v="2015-11-17T19:33:58"/>
        <d v="2015-11-17T19:29:16"/>
        <d v="2015-11-17T19:27:24"/>
        <d v="2015-11-17T19:24:14"/>
        <d v="2015-11-17T19:20:53"/>
        <d v="2015-11-17T19:13:55"/>
        <d v="2015-11-17T19:11:25"/>
        <d v="2015-11-17T18:23:04"/>
        <d v="2015-11-17T18:22:23"/>
        <d v="2015-11-17T18:14:03"/>
        <d v="2015-11-17T18:09:01"/>
        <d v="2015-11-17T18:06:21"/>
        <d v="2015-11-17T17:54:07"/>
        <d v="2015-11-17T17:49:43"/>
        <d v="2015-11-17T17:06:21"/>
        <d v="2015-11-17T16:47:45"/>
        <d v="2015-11-17T16:40:11"/>
        <d v="2015-11-17T16:35:00"/>
        <d v="2015-11-17T16:33:26"/>
        <d v="2015-11-17T16:20:29"/>
        <d v="2015-11-17T16:07:49"/>
        <d v="2015-11-17T15:54:28"/>
        <d v="2015-11-17T15:29:51"/>
        <d v="2015-11-17T15:22:39"/>
        <d v="2015-11-17T15:03:42"/>
        <d v="2015-11-17T14:52:59"/>
        <d v="2015-11-17T14:46:02"/>
        <d v="2015-11-17T14:35:29"/>
        <d v="2015-11-17T14:33:43"/>
        <d v="2015-11-17T14:28:35"/>
        <d v="2015-11-17T13:40:30"/>
        <d v="2015-11-17T13:39:00"/>
        <d v="2015-11-17T13:27:09"/>
        <d v="2015-11-17T13:16:03"/>
        <d v="2015-11-17T13:01:59"/>
        <d v="2015-11-17T12:43:41"/>
        <d v="2015-11-17T12:11:46"/>
        <d v="2015-11-17T09:07:46"/>
        <d v="2015-11-17T09:04:30"/>
        <d v="2015-11-17T09:03:55"/>
        <d v="2015-11-17T09:01:52"/>
        <d v="2015-11-17T09:01:23"/>
        <d v="2015-11-17T06:12:22"/>
        <d v="2015-11-17T05:58:18"/>
        <d v="2015-11-17T05:42:06"/>
        <d v="2015-11-17T05:37:51"/>
        <d v="2015-11-17T05:27:30"/>
        <d v="2015-11-17T05:19:29"/>
        <d v="2015-11-17T04:54:27"/>
        <d v="2015-11-17T04:51:10"/>
        <d v="2015-11-17T04:38:02"/>
        <d v="2015-11-17T04:36:40"/>
        <d v="2015-11-17T04:36:16"/>
        <d v="2015-11-17T03:51:13"/>
        <d v="2015-11-17T03:49:23"/>
        <d v="2015-11-17T03:39:43"/>
        <d v="2015-11-17T03:38:45"/>
        <d v="2015-11-17T03:30:03"/>
        <d v="2015-11-17T03:29:43"/>
        <d v="2015-11-17T03:23:16"/>
        <d v="2015-11-17T03:09:44"/>
        <d v="2015-11-17T02:43:53"/>
        <d v="2015-11-17T02:43:00"/>
        <d v="2015-11-17T02:26:14"/>
        <d v="2015-11-17T02:20:30"/>
        <d v="2015-11-17T02:17:23"/>
        <d v="2015-11-17T02:02:01"/>
        <d v="2015-11-17T01:55:46"/>
        <d v="2015-11-17T01:55:24"/>
        <d v="2015-11-17T01:54:57"/>
        <d v="2015-11-17T01:26:55"/>
        <d v="2015-11-17T01:08:43"/>
        <d v="2015-11-17T00:46:57"/>
        <d v="2015-11-17T00:46:24"/>
        <d v="2015-11-17T00:42:40"/>
        <d v="2015-11-17T00:22:19"/>
        <d v="2015-11-17T00:20:56"/>
        <d v="2015-11-17T00:14:15"/>
        <d v="2015-11-17T00:06:12"/>
        <d v="2015-11-16T23:53:54"/>
        <d v="2015-11-16T23:53:02"/>
        <d v="2015-11-16T23:43:29"/>
        <d v="2015-11-16T23:23:59"/>
        <d v="2015-11-16T23:21:58"/>
        <d v="2015-11-16T23:02:35"/>
        <d v="2015-11-16T22:54:13"/>
        <d v="2015-11-16T22:50:15"/>
        <d v="2015-11-16T22:18:53"/>
        <d v="2015-11-16T22:08:52"/>
        <d v="2015-11-16T21:59:25"/>
        <d v="2015-11-16T21:58:01"/>
        <d v="2015-11-16T21:48:28"/>
        <d v="2015-11-16T21:48:26"/>
        <d v="2015-11-16T21:43:00"/>
        <d v="2015-11-16T21:39:48"/>
        <d v="2015-11-16T21:39:19"/>
        <d v="2015-11-16T21:25:02"/>
        <d v="2015-11-16T21:00:21"/>
        <d v="2015-11-16T20:54:04"/>
        <d v="2015-11-16T20:53:51"/>
        <d v="2015-11-16T20:51:03"/>
        <d v="2015-11-16T20:49:13"/>
        <d v="2015-11-16T20:37:32"/>
        <d v="2015-11-16T20:34:57"/>
        <d v="2015-11-16T20:26:28"/>
        <d v="2015-11-16T20:21:12"/>
        <d v="2015-11-16T20:05:34"/>
        <d v="2015-11-16T19:53:37"/>
        <d v="2015-11-16T19:50:52"/>
        <d v="2015-11-16T19:33:05"/>
        <d v="2015-11-16T19:26:59"/>
        <d v="2015-11-16T19:24:31"/>
        <d v="2015-11-16T19:06:19"/>
        <d v="2015-11-16T19:06:02"/>
        <d v="2015-11-16T19:05:09"/>
        <d v="2015-11-16T18:48:56"/>
        <d v="2015-11-16T18:48:29"/>
        <d v="2015-11-16T18:46:31"/>
        <d v="2015-11-16T18:46:01"/>
        <d v="2015-11-16T18:28:02"/>
        <d v="2015-11-16T18:25:11"/>
        <d v="2015-11-16T18:19:54"/>
        <d v="2015-11-16T18:14:07"/>
        <d v="2015-11-16T18:05:48"/>
        <d v="2015-11-16T18:05:46"/>
        <d v="2015-11-16T17:49:47"/>
        <d v="2015-11-16T17:46:40"/>
        <d v="2015-11-16T17:31:42"/>
        <d v="2015-11-16T17:08:40"/>
        <d v="2015-11-16T17:01:31"/>
        <d v="2015-11-16T16:48:43"/>
        <d v="2015-11-16T16:44:17"/>
        <d v="2015-11-16T16:32:43"/>
        <d v="2015-11-16T16:25:15"/>
        <d v="2015-11-16T16:23:19"/>
        <d v="2015-11-16T16:21:40"/>
        <d v="2015-11-16T16:18:38"/>
        <d v="2015-11-16T16:18:29"/>
        <d v="2015-11-16T16:14:11"/>
        <d v="2015-11-16T16:03:58"/>
        <d v="2015-11-16T15:51:28"/>
        <d v="2015-11-16T15:48:29"/>
        <d v="2015-11-16T15:30:03"/>
        <d v="2015-11-16T15:17:34"/>
        <d v="2015-11-16T15:13:27"/>
        <d v="2015-11-16T15:11:40"/>
        <d v="2015-11-16T15:07:18"/>
        <d v="2015-11-16T15:07:10"/>
        <d v="2015-11-16T15:05:13"/>
        <d v="2015-11-16T15:00:11"/>
        <d v="2015-11-16T14:55:55"/>
        <d v="2015-11-16T14:50:51"/>
        <d v="2015-11-16T14:50:41"/>
        <d v="2015-11-16T14:45:59"/>
        <d v="2015-11-16T13:51:47"/>
        <d v="2015-11-16T13:51:06"/>
        <d v="2015-11-16T13:49:33"/>
        <d v="2015-11-16T13:49:22"/>
        <d v="2015-11-16T13:34:31"/>
        <d v="2015-11-16T13:34:24"/>
        <d v="2015-11-16T13:33:47"/>
        <d v="2015-11-16T13:32:05"/>
        <d v="2015-11-16T13:25:17"/>
        <d v="2015-11-16T13:23:26"/>
        <d v="2015-11-16T13:22:13"/>
        <d v="2015-11-16T13:22:12"/>
        <d v="2015-11-16T13:21:52"/>
        <d v="2015-11-16T05:48:04"/>
        <d v="2015-11-16T05:45:48"/>
        <d v="2015-11-16T05:42:57"/>
        <d v="2015-11-16T05:23:36"/>
        <d v="2015-11-16T03:53:53"/>
        <d v="2015-11-16T03:36:14"/>
        <d v="2015-11-16T02:44:12"/>
        <d v="2015-11-16T02:44:06"/>
        <d v="2015-11-16T02:37:16"/>
        <d v="2015-11-16T02:13:39"/>
        <d v="2015-11-16T02:13:12"/>
        <d v="2015-11-16T02:03:07"/>
        <d v="2015-11-16T02:00:46"/>
        <d v="2015-11-16T01:42:21"/>
        <d v="2015-11-16T01:41:21"/>
        <d v="2015-11-16T01:37:35"/>
        <d v="2015-11-16T01:33:21"/>
        <d v="2015-11-16T01:30:10"/>
        <d v="2015-11-16T01:18:13"/>
        <d v="2015-11-16T01:12:52"/>
        <d v="2015-11-16T01:11:41"/>
        <d v="2015-11-16T01:03:32"/>
        <d v="2015-11-16T00:14:32"/>
        <d v="2015-11-16T00:11:36"/>
        <d v="2015-11-16T00:10:22"/>
        <d v="2015-11-15T23:39:40"/>
        <d v="2015-11-15T23:28:18"/>
        <d v="2015-11-15T23:28:02"/>
        <d v="2015-11-15T23:27:53"/>
        <d v="2015-11-15T23:27:41"/>
        <d v="2015-11-15T23:27:30"/>
        <d v="2015-11-15T23:26:55"/>
        <d v="2015-11-15T23:15:48"/>
        <d v="2015-11-15T23:02:53"/>
        <d v="2015-11-15T22:55:58"/>
        <d v="2015-11-15T22:45:45"/>
        <d v="2015-11-15T22:24:31"/>
        <d v="2015-11-15T22:24:07"/>
        <d v="2015-11-15T22:17:40"/>
        <d v="2015-11-15T22:13:48"/>
        <d v="2015-11-15T22:13:32"/>
        <d v="2015-11-15T22:03:16"/>
        <d v="2015-11-15T21:53:56"/>
        <d v="2015-11-15T21:44:50"/>
        <d v="2015-11-15T21:40:59"/>
        <d v="2015-11-15T21:19:08"/>
        <d v="2015-11-15T21:18:25"/>
        <d v="2015-11-15T21:03:31"/>
        <d v="2015-11-15T20:59:21"/>
        <d v="2015-11-15T20:56:28"/>
        <d v="2015-11-15T20:51:50"/>
        <d v="2015-11-15T20:48:12"/>
        <d v="2015-11-15T20:39:00"/>
        <d v="2015-11-15T20:27:56"/>
        <d v="2015-11-15T20:21:57"/>
        <d v="2015-11-15T20:21:19"/>
        <d v="2015-11-15T20:15:58"/>
        <d v="2015-11-15T20:10:28"/>
        <d v="2015-11-15T20:04:50"/>
        <d v="2015-11-15T20:04:16"/>
        <d v="2015-11-15T20:01:35"/>
        <d v="2015-11-15T19:54:36"/>
        <d v="2015-11-15T17:40:03"/>
        <d v="2015-11-15T17:26:06"/>
        <d v="2015-11-15T17:25:50"/>
        <d v="2015-11-15T16:58:08"/>
        <d v="2015-11-15T16:32:25"/>
        <d v="2015-11-15T16:30:44"/>
        <d v="2015-11-15T16:28:27"/>
        <d v="2015-11-15T16:27:20"/>
        <d v="2015-11-15T16:06:21"/>
        <d v="2015-11-15T15:39:34"/>
        <d v="2015-11-15T15:37:34"/>
        <d v="2015-11-15T15:25:36"/>
        <d v="2015-11-15T15:24:30"/>
        <d v="2015-11-15T15:09:49"/>
        <d v="2015-11-15T14:14:03"/>
        <d v="2015-11-15T13:58:56"/>
        <d v="2015-11-15T13:01:27"/>
        <d v="2015-11-15T11:09:36"/>
        <d v="2015-11-15T11:00:19"/>
        <d v="2015-11-15T10:59:41"/>
        <d v="2015-11-15T05:41:35"/>
        <d v="2015-11-15T05:40:34"/>
        <d v="2015-11-15T05:01:43"/>
        <d v="2015-11-15T04:37:33"/>
        <d v="2015-11-15T03:51:58"/>
        <d v="2015-11-15T02:35:58"/>
        <d v="2015-11-15T02:21:54"/>
        <d v="2015-11-15T02:15:48"/>
        <d v="2015-11-15T01:52:36"/>
        <d v="2015-11-15T01:36:36"/>
        <d v="2015-11-15T01:15:34"/>
        <d v="2015-11-15T00:08:48"/>
        <d v="2015-11-14T23:58:52"/>
        <d v="2015-11-14T23:22:33"/>
        <d v="2015-11-14T22:15:19"/>
        <d v="2015-11-14T22:13:50"/>
        <d v="2015-11-14T22:02:10"/>
        <d v="2015-11-14T21:30:43"/>
        <d v="2015-11-14T19:55:14"/>
        <d v="2015-11-14T18:13:33"/>
        <d v="2015-11-14T18:08:14"/>
        <d v="2015-11-14T17:43:52"/>
        <d v="2015-11-14T17:20:50"/>
        <d v="2015-11-14T16:54:05"/>
        <d v="2015-11-14T16:51:50"/>
        <d v="2015-11-14T16:42:15"/>
        <d v="2015-11-14T16:16:27"/>
        <d v="2015-11-14T16:15:41"/>
        <d v="2015-11-14T16:01:16"/>
        <d v="2015-11-14T12:27:34"/>
        <d v="2015-11-14T07:57:42"/>
        <d v="2015-11-14T03:11:00"/>
        <d v="2015-11-14T01:50:20"/>
        <d v="2015-11-14T01:43:32"/>
        <d v="2015-11-14T01:07:30"/>
        <d v="2015-11-14T00:25:05"/>
        <d v="2015-11-14T00:13:31"/>
        <d v="2015-11-13T22:28:35"/>
        <d v="2015-11-13T22:17:04"/>
        <d v="2015-11-13T21:25:56"/>
        <d v="2015-11-13T20:59:49"/>
        <d v="2015-11-13T20:59:38"/>
        <d v="2015-11-13T20:58:56"/>
        <d v="2015-11-13T20:52:22"/>
        <d v="2015-11-13T20:39:49"/>
        <d v="2015-11-13T19:45:21"/>
        <d v="2015-11-13T19:44:44"/>
        <d v="2015-11-13T19:37:07"/>
        <d v="2015-11-13T19:28:21"/>
        <d v="2015-11-13T19:27:58"/>
        <d v="2015-11-13T19:17:11"/>
        <d v="2015-11-13T18:22:19"/>
        <d v="2015-11-13T18:18:20"/>
        <d v="2015-11-13T17:19:06"/>
        <d v="2015-11-13T17:12:26"/>
        <d v="2015-11-13T16:53:58"/>
        <d v="2015-11-13T16:52:57"/>
        <d v="2015-11-13T16:46:57"/>
        <d v="2015-11-13T15:32:39"/>
        <d v="2015-11-13T15:32:15"/>
        <d v="2015-11-13T15:25:16"/>
        <d v="2015-11-13T15:10:50"/>
        <d v="2015-11-13T14:58:43"/>
        <d v="2015-11-13T14:53:56"/>
        <d v="2015-11-13T14:45:44"/>
        <d v="2015-11-13T14:34:48"/>
        <d v="2015-11-13T14:25:07"/>
        <d v="2015-11-13T13:59:15"/>
        <d v="2015-11-13T13:19:02"/>
        <d v="2015-11-13T13:15:42"/>
        <d v="2015-11-13T06:53:44"/>
        <d v="2015-11-13T06:52:43"/>
        <d v="2015-11-13T06:52:25"/>
        <d v="2015-11-13T06:34:45"/>
        <d v="2015-11-13T06:27:14"/>
        <d v="2015-11-13T06:05:20"/>
        <d v="2015-11-13T03:59:00"/>
        <d v="2015-11-13T03:53:21"/>
        <d v="2015-11-13T02:52:17"/>
        <d v="2015-11-13T02:06:15"/>
        <d v="2015-11-13T02:02:41"/>
        <d v="2015-11-13T01:59:43"/>
        <d v="2015-11-13T01:52:27"/>
        <d v="2015-11-13T01:39:14"/>
        <d v="2015-11-13T00:45:48"/>
        <d v="2015-11-13T00:21:32"/>
        <d v="2015-11-13T00:17:01"/>
        <d v="2015-11-13T00:16:12"/>
        <d v="2015-11-12T23:48:51"/>
        <d v="2015-11-12T23:26:44"/>
        <d v="2015-11-12T23:23:19"/>
        <d v="2015-11-12T21:58:07"/>
        <d v="2015-11-12T21:41:49"/>
        <d v="2015-11-12T21:34:09"/>
        <d v="2015-11-12T21:23:11"/>
        <d v="2015-11-12T19:27:00"/>
        <d v="2015-11-12T19:26:40"/>
        <d v="2015-11-12T19:15:32"/>
        <d v="2015-11-12T19:09:58"/>
        <d v="2015-11-12T18:47:57"/>
        <d v="2015-11-12T18:26:31"/>
        <d v="2015-11-12T18:25:37"/>
        <d v="2015-11-12T18:24:45"/>
        <d v="2015-11-12T18:22:19"/>
        <d v="2015-11-12T18:21:43"/>
        <d v="2015-11-12T18:18:13"/>
        <d v="2015-11-12T18:16:27"/>
        <d v="2015-11-12T18:14:32"/>
        <d v="2015-11-12T18:13:43"/>
        <d v="2015-11-12T18:11:39"/>
        <d v="2015-11-12T16:34:04"/>
        <d v="2015-11-12T16:32:37"/>
        <d v="2015-11-12T16:29:48"/>
        <d v="2015-11-12T16:05:56"/>
        <d v="2015-11-12T16:05:21"/>
        <d v="2015-11-12T15:56:35"/>
        <d v="2015-11-12T15:46:04"/>
        <d v="2015-11-12T14:59:34"/>
        <d v="2015-11-12T14:28:39"/>
        <d v="2015-11-12T14:27:02"/>
        <d v="2015-11-12T13:41:47"/>
        <d v="2015-11-12T10:25:36"/>
        <d v="2015-11-12T10:07:33"/>
        <d v="2015-11-12T08:17:50"/>
        <d v="2015-11-12T06:28:59"/>
        <d v="2015-11-12T06:17:40"/>
        <d v="2015-11-12T05:24:04"/>
        <d v="2015-11-12T05:12:21"/>
        <d v="2015-11-12T04:29:43"/>
        <d v="2015-11-12T04:17:33"/>
        <d v="2015-11-12T03:52:54"/>
        <d v="2015-11-12T03:33:43"/>
        <d v="2015-11-12T03:30:05"/>
        <d v="2015-11-12T03:29:53"/>
        <d v="2015-11-12T03:18:04"/>
        <d v="2015-11-12T03:17:42"/>
        <d v="2015-11-12T02:55:07"/>
        <d v="2015-11-12T02:50:32"/>
        <d v="2015-11-12T00:21:13"/>
        <d v="2015-11-11T23:39:15"/>
        <d v="2015-11-11T23:19:18"/>
        <d v="2015-11-11T23:17:14"/>
        <d v="2015-11-11T23:14:26"/>
        <d v="2015-11-11T23:03:16"/>
        <d v="2015-11-11T22:32:14"/>
        <d v="2015-11-11T22:23:39"/>
        <d v="2015-11-11T22:14:52"/>
        <d v="2015-11-11T22:13:38"/>
        <d v="2015-11-11T22:04:26"/>
        <d v="2015-11-11T21:58:59"/>
        <d v="2015-11-11T21:39:16"/>
        <d v="2015-11-11T21:06:12"/>
        <d v="2015-11-11T20:46:19"/>
        <d v="2015-11-11T20:40:27"/>
        <d v="2015-11-11T19:40:23"/>
        <d v="2015-11-11T19:35:30"/>
        <d v="2015-11-11T19:34:58"/>
        <d v="2015-11-11T19:10:12"/>
        <d v="2015-11-11T18:40:54"/>
        <d v="2015-11-11T18:28:14"/>
        <d v="2015-11-11T18:09:40"/>
        <d v="2015-11-11T17:53:22"/>
        <d v="2015-11-11T17:47:17"/>
        <d v="2015-11-11T16:56:54"/>
        <d v="2015-11-11T16:33:50"/>
        <d v="2015-11-11T16:24:19"/>
        <d v="2015-11-11T16:19:11"/>
        <d v="2015-11-11T15:46:09"/>
        <d v="2015-11-11T14:05:29"/>
        <d v="2015-11-11T12:07:21"/>
        <d v="2015-11-11T12:06:59"/>
        <d v="2015-11-11T10:19:59"/>
        <d v="2015-11-11T10:08:54"/>
        <d v="2015-11-11T08:06:03"/>
        <d v="2015-11-11T07:25:48"/>
        <d v="2015-11-11T07:19:37"/>
        <d v="2015-11-11T07:01:23"/>
        <d v="2015-11-11T06:56:37"/>
        <d v="2015-11-11T06:37:34"/>
        <d v="2015-11-11T06:32:31"/>
        <d v="2015-11-11T05:25:14"/>
        <d v="2015-11-11T05:08:23"/>
        <d v="2015-11-11T04:55:48"/>
        <d v="2015-11-11T04:50:30"/>
        <d v="2015-11-11T03:33:08"/>
        <d v="2015-11-11T03:22:57"/>
        <d v="2015-11-11T02:49:14"/>
        <d v="2015-11-11T02:30:26"/>
        <d v="2015-11-11T02:13:29"/>
        <d v="2015-11-11T01:54:21"/>
        <d v="2015-11-11T01:49:56"/>
        <d v="2015-11-11T01:44:55"/>
        <d v="2015-11-11T01:44:10"/>
        <d v="2015-11-11T01:43:54"/>
        <d v="2015-11-11T01:43:23"/>
        <d v="2015-11-11T01:38:44"/>
        <d v="2015-11-11T01:27:42"/>
        <d v="2015-11-11T01:16:40"/>
        <d v="2015-11-11T01:16:03"/>
        <d v="2015-11-11T01:01:37"/>
        <d v="2015-11-11T00:55:30"/>
        <d v="2015-11-11T00:43:52"/>
        <d v="2015-11-11T00:37:34"/>
        <d v="2015-11-11T00:35:31"/>
        <d v="2015-11-11T00:23:04"/>
        <d v="2015-11-11T00:22:02"/>
        <d v="2015-11-11T00:14:07"/>
        <d v="2015-11-11T00:11:47"/>
        <d v="2015-11-10T23:42:17"/>
        <d v="2015-11-10T23:37:23"/>
        <d v="2015-11-10T23:23:06"/>
        <d v="2015-11-10T22:36:31"/>
        <d v="2015-11-10T22:08:55"/>
        <d v="2015-11-10T21:33:13"/>
        <d v="2015-11-10T21:30:58"/>
        <d v="2015-11-10T21:07:54"/>
        <d v="2015-11-10T20:34:23"/>
        <d v="2015-11-10T20:32:58"/>
        <d v="2015-11-10T20:29:08"/>
        <d v="2015-11-10T20:28:58"/>
        <d v="2015-11-10T20:28:53"/>
        <d v="2015-11-10T19:27:54"/>
        <d v="2015-11-10T19:22:37"/>
        <d v="2015-11-10T19:15:21"/>
        <d v="2015-11-10T19:04:33"/>
        <d v="2015-11-10T19:04:18"/>
        <d v="2015-11-10T19:03:37"/>
        <d v="2015-11-10T19:03:32"/>
        <d v="2015-11-10T18:14:10"/>
        <d v="2015-11-10T18:13:34"/>
        <d v="2015-11-10T17:53:27"/>
        <d v="2015-11-10T17:40:05"/>
        <d v="2015-11-10T17:32:05"/>
        <d v="2015-11-10T17:01:37"/>
        <d v="2015-11-10T16:08:38"/>
        <d v="2015-11-10T16:08:30"/>
        <d v="2015-11-10T16:06:42"/>
        <d v="2015-11-10T15:33:33"/>
        <d v="2015-11-10T14:56:28"/>
        <d v="2015-11-10T14:43:25"/>
        <d v="2015-11-10T14:41:21"/>
        <d v="2015-11-10T14:33:26"/>
        <d v="2015-11-10T14:27:23"/>
        <d v="2015-11-10T13:56:00"/>
        <d v="2015-11-10T13:19:27"/>
        <d v="2015-11-10T13:14:20"/>
        <d v="2015-11-10T04:13:37"/>
        <d v="2015-11-10T03:39:37"/>
        <d v="2015-11-10T03:21:26"/>
        <d v="2015-11-10T02:59:50"/>
        <d v="2015-11-10T02:23:36"/>
        <d v="2015-11-10T01:45:31"/>
        <d v="2015-11-10T01:00:47"/>
        <d v="2015-11-10T00:57:35"/>
        <d v="2015-11-10T00:51:20"/>
        <d v="2015-11-10T00:48:06"/>
        <d v="2015-11-10T00:39:36"/>
        <d v="2015-11-10T00:12:42"/>
        <d v="2015-11-09T23:58:30"/>
        <d v="2015-11-09T23:43:04"/>
        <d v="2015-11-09T23:42:00"/>
        <d v="2015-11-09T23:40:33"/>
        <d v="2015-11-09T23:39:02"/>
        <d v="2015-11-09T23:33:19"/>
        <d v="2015-11-09T22:43:45"/>
        <d v="2015-11-09T22:43:13"/>
        <d v="2015-11-09T22:40:19"/>
        <d v="2015-11-09T22:19:30"/>
        <d v="2015-11-09T22:13:40"/>
        <d v="2015-11-09T21:23:17"/>
        <d v="2015-11-09T21:15:58"/>
        <d v="2015-11-09T21:12:59"/>
        <d v="2015-11-09T21:10:53"/>
        <d v="2015-11-09T21:10:45"/>
        <d v="2015-11-09T20:58:36"/>
        <d v="2015-11-09T20:54:52"/>
        <d v="2015-11-09T20:36:43"/>
        <d v="2015-11-09T20:34:38"/>
        <d v="2015-11-09T20:34:32"/>
        <d v="2015-11-09T20:31:32"/>
        <d v="2015-11-09T20:23:40"/>
        <d v="2015-11-09T20:18:48"/>
        <d v="2015-11-09T19:59:00"/>
        <d v="2015-11-09T19:30:24"/>
        <d v="2015-11-09T19:24:17"/>
        <d v="2015-11-09T19:21:39"/>
        <d v="2015-11-09T19:20:00"/>
        <d v="2015-11-09T19:16:45"/>
        <d v="2015-11-09T19:06:34"/>
        <d v="2015-11-09T19:05:19"/>
        <d v="2015-11-09T19:01:53"/>
        <d v="2015-11-09T19:01:39"/>
        <d v="2015-11-09T18:58:43"/>
        <d v="2015-11-09T18:57:42"/>
        <d v="2015-11-09T18:48:29"/>
        <d v="2015-11-09T18:41:32"/>
        <d v="2015-11-09T18:31:32"/>
        <d v="2015-11-09T18:29:09"/>
        <d v="2015-11-09T18:28:41"/>
        <d v="2015-11-09T18:18:05"/>
        <d v="2015-11-09T18:17:56"/>
        <d v="2015-11-09T18:14:24"/>
        <d v="2015-11-09T18:12:16"/>
        <d v="2015-11-09T18:11:31"/>
        <d v="2015-11-09T18:11:22"/>
        <d v="2015-11-09T18:07:11"/>
        <d v="2015-11-09T18:06:50"/>
        <d v="2015-11-09T18:04:48"/>
        <d v="2015-11-09T17:16:41"/>
        <d v="2015-11-09T16:47:05"/>
        <d v="2015-11-09T16:41:28"/>
        <d v="2015-11-09T16:39:17"/>
        <d v="2015-11-09T16:35:26"/>
        <d v="2015-11-09T16:29:07"/>
        <d v="2015-11-09T16:28:05"/>
        <d v="2015-11-09T16:01:29"/>
        <d v="2015-11-09T15:52:38"/>
        <d v="2015-11-09T15:44:09"/>
        <d v="2015-11-09T15:39:38"/>
        <d v="2015-11-09T15:34:22"/>
        <d v="2015-11-09T15:21:45"/>
        <d v="2015-11-09T15:21:34"/>
        <d v="2015-11-09T14:24:37"/>
        <d v="2015-11-09T14:24:15"/>
        <d v="2015-11-09T14:23:58"/>
        <d v="2015-11-09T14:23:23"/>
        <d v="2015-11-09T14:22:34"/>
        <d v="2015-11-09T14:22:30"/>
        <d v="2015-11-09T14:22:00"/>
        <d v="2015-11-09T14:21:58"/>
        <d v="2015-11-09T14:21:45"/>
        <d v="2015-11-09T14:17:03"/>
        <d v="2015-11-09T14:10:50"/>
        <d v="2015-11-09T14:08:37"/>
        <d v="2015-11-09T14:08:15"/>
        <d v="2015-11-09T14:07:05"/>
        <d v="2015-11-09T13:58:48"/>
        <d v="2015-11-09T13:57:15"/>
        <d v="2015-11-09T13:50:16"/>
        <d v="2015-11-09T13:11:10"/>
        <d v="2015-11-09T13:09:23"/>
        <d v="2015-11-09T13:04:12"/>
        <d v="2015-11-09T13:01:47"/>
        <d v="2015-11-09T12:47:47"/>
        <d v="2015-11-09T12:47:10"/>
        <d v="2015-11-09T06:34:57"/>
        <d v="2015-11-09T06:34:00"/>
        <d v="2015-11-09T06:32:44"/>
        <d v="2015-11-09T06:11:27"/>
        <d v="2015-11-09T05:37:26"/>
        <d v="2015-11-09T05:36:18"/>
        <d v="2015-11-09T05:26:12"/>
        <d v="2015-11-09T04:51:28"/>
        <d v="2015-11-09T04:40:33"/>
        <d v="2015-11-09T04:06:51"/>
        <d v="2015-11-09T04:01:28"/>
        <d v="2015-11-09T03:53:18"/>
        <d v="2015-11-09T03:48:59"/>
        <d v="2015-11-09T03:48:15"/>
        <d v="2015-11-09T03:28:41"/>
        <d v="2015-11-09T02:59:46"/>
        <d v="2015-11-09T02:56:33"/>
        <d v="2015-11-09T02:55:34"/>
        <d v="2015-11-09T02:55:15"/>
        <d v="2015-11-09T02:53:21"/>
        <d v="2015-11-09T02:45:08"/>
        <d v="2015-11-09T02:40:03"/>
        <d v="2015-11-09T02:29:46"/>
        <d v="2015-11-09T02:27:59"/>
        <d v="2015-11-09T02:20:15"/>
        <d v="2015-11-09T02:13:24"/>
        <d v="2015-11-09T02:11:27"/>
        <d v="2015-11-09T02:01:21"/>
        <d v="2015-11-09T01:52:57"/>
        <d v="2015-11-09T01:36:04"/>
        <d v="2015-11-09T01:31:53"/>
        <d v="2015-11-09T01:31:52"/>
        <d v="2015-11-09T01:25:12"/>
        <d v="2015-11-09T01:22:57"/>
        <d v="2015-11-09T01:22:46"/>
        <d v="2015-11-09T01:21:53"/>
        <d v="2015-11-09T01:15:31"/>
        <d v="2015-11-09T01:15:25"/>
        <d v="2015-11-09T01:15:17"/>
        <d v="2015-11-09T01:12:39"/>
        <d v="2015-11-09T01:12:23"/>
        <d v="2015-11-09T00:53:14"/>
        <d v="2015-11-09T00:08:46"/>
        <d v="2015-11-08T23:42:48"/>
        <d v="2015-11-08T22:55:39"/>
        <d v="2015-11-08T22:54:37"/>
        <d v="2015-11-08T22:02:37"/>
        <d v="2015-11-08T21:28:35"/>
        <d v="2015-11-08T21:24:37"/>
        <d v="2015-11-08T20:43:11"/>
        <d v="2015-11-08T20:35:14"/>
        <d v="2015-11-08T20:30:24"/>
        <d v="2015-11-08T20:28:31"/>
        <d v="2015-11-08T20:13:35"/>
        <d v="2015-11-08T20:10:32"/>
        <d v="2015-11-08T19:52:57"/>
        <d v="2015-11-08T19:48:07"/>
        <d v="2015-11-08T19:48:05"/>
        <d v="2015-11-08T19:31:20"/>
        <d v="2015-11-08T18:47:47"/>
        <d v="2015-11-08T18:35:47"/>
        <d v="2015-11-08T18:04:10"/>
        <d v="2015-11-08T17:56:19"/>
        <d v="2015-11-08T17:55:50"/>
        <d v="2015-11-08T17:51:25"/>
        <d v="2015-11-08T17:36:04"/>
        <d v="2015-11-08T17:33:05"/>
        <d v="2015-11-08T17:28:59"/>
        <d v="2015-11-08T17:26:00"/>
        <d v="2015-11-08T17:00:36"/>
        <d v="2015-11-08T16:39:48"/>
        <d v="2015-11-08T16:34:23"/>
        <d v="2015-11-08T15:18:12"/>
        <d v="2015-11-08T14:59:05"/>
        <d v="2015-11-08T13:44:08"/>
        <d v="2015-11-08T13:18:01"/>
        <d v="2015-11-08T12:57:29"/>
        <d v="2015-11-08T12:55:08"/>
        <d v="2015-11-08T09:12:13"/>
        <d v="2015-11-08T06:38:20"/>
        <d v="2015-11-08T06:30:39"/>
        <d v="2015-11-08T06:29:27"/>
        <d v="2015-11-08T06:28:20"/>
        <d v="2015-11-08T06:26:20"/>
        <d v="2015-11-08T06:22:26"/>
        <d v="2015-11-08T06:22:08"/>
        <d v="2015-11-08T06:21:51"/>
        <d v="2015-11-08T06:21:27"/>
        <d v="2015-11-08T06:21:15"/>
        <d v="2015-11-08T06:21:08"/>
        <d v="2015-11-08T06:20:55"/>
        <d v="2015-11-08T06:20:17"/>
        <d v="2015-11-08T06:19:22"/>
        <d v="2015-11-08T06:18:30"/>
        <d v="2015-11-08T06:18:14"/>
        <d v="2015-11-08T06:17:58"/>
        <d v="2015-11-08T06:17:50"/>
        <d v="2015-11-08T06:17:37"/>
        <d v="2015-11-08T06:16:02"/>
        <d v="2015-11-08T06:15:27"/>
        <d v="2015-11-08T06:12:01"/>
        <d v="2015-11-08T05:12:41"/>
        <d v="2015-11-08T04:41:27"/>
        <d v="2015-11-08T04:09:42"/>
        <d v="2015-11-08T04:05:38"/>
        <d v="2015-11-08T04:03:26"/>
        <d v="2015-11-08T03:58:48"/>
        <d v="2015-11-08T03:47:05"/>
        <d v="2015-11-08T02:53:37"/>
        <d v="2015-11-08T01:35:19"/>
        <d v="2015-11-08T01:23:40"/>
        <d v="2015-11-08T00:51:04"/>
        <d v="2015-11-08T00:29:57"/>
        <d v="2015-11-08T00:22:13"/>
        <d v="2015-11-07T23:28:39"/>
        <d v="2015-11-07T22:43:31"/>
        <d v="2015-11-07T22:13:29"/>
        <d v="2015-11-07T22:09:12"/>
        <d v="2015-11-07T22:06:19"/>
        <d v="2015-11-07T21:56:58"/>
        <d v="2015-11-07T21:53:26"/>
        <d v="2015-11-07T21:36:11"/>
        <d v="2015-11-07T21:06:44"/>
        <d v="2015-11-07T20:30:33"/>
        <d v="2015-11-07T20:26:01"/>
        <d v="2015-11-07T20:23:26"/>
        <d v="2015-11-07T20:21:36"/>
        <d v="2015-11-07T20:21:06"/>
        <d v="2015-11-07T20:13:28"/>
        <d v="2015-11-07T20:12:53"/>
        <d v="2015-11-07T20:04:24"/>
        <d v="2015-11-07T20:00:03"/>
        <d v="2015-11-07T19:59:43"/>
        <d v="2015-11-07T19:48:45"/>
        <d v="2015-11-07T19:48:00"/>
        <d v="2015-11-07T19:47:22"/>
        <d v="2015-11-07T19:38:10"/>
        <d v="2015-11-07T19:31:53"/>
        <d v="2015-11-07T19:26:27"/>
        <d v="2015-11-07T18:59:05"/>
        <d v="2015-11-07T18:57:55"/>
        <d v="2015-11-07T17:56:09"/>
        <d v="2015-11-07T17:38:01"/>
        <d v="2015-11-07T17:37:49"/>
        <d v="2015-11-07T17:30:20"/>
        <d v="2015-11-07T17:19:01"/>
        <d v="2015-11-07T17:09:26"/>
        <d v="2015-11-07T17:08:38"/>
        <d v="2015-11-07T14:02:08"/>
        <d v="2015-11-07T13:48:29"/>
        <d v="2015-11-07T13:45:00"/>
        <d v="2015-11-07T04:13:10"/>
        <d v="2015-11-07T03:51:27"/>
        <d v="2015-11-07T02:41:52"/>
        <d v="2015-11-06T23:29:55"/>
        <d v="2015-11-06T23:25:10"/>
        <d v="2015-11-06T22:38:04"/>
        <d v="2015-11-06T22:37:26"/>
        <d v="2015-11-06T22:27:52"/>
        <d v="2015-11-06T21:54:03"/>
        <d v="2015-11-06T21:10:59"/>
        <d v="2015-11-06T21:10:12"/>
        <d v="2015-11-06T21:09:06"/>
        <d v="2015-11-06T21:07:52"/>
        <d v="2015-11-06T20:52:57"/>
        <d v="2015-11-06T20:44:52"/>
        <d v="2015-11-06T20:32:55"/>
        <d v="2015-11-06T20:22:39"/>
        <d v="2015-11-06T20:06:08"/>
        <d v="2015-11-06T20:03:54"/>
        <d v="2015-11-06T20:00:53"/>
        <d v="2015-11-06T19:41:54"/>
        <d v="2015-11-06T19:11:49"/>
        <d v="2015-11-06T19:02:37"/>
        <d v="2015-11-06T19:00:22"/>
        <d v="2015-11-06T18:49:35"/>
        <d v="2015-11-06T18:35:04"/>
        <d v="2015-11-06T18:33:53"/>
        <d v="2015-11-06T18:30:36"/>
        <d v="2015-11-06T18:26:18"/>
        <d v="2015-11-06T16:45:11"/>
        <d v="2015-11-06T16:36:30"/>
        <d v="2015-11-06T16:36:27"/>
        <d v="2015-11-06T16:31:03"/>
        <d v="2015-11-06T16:29:06"/>
        <d v="2015-11-06T15:44:03"/>
        <d v="2015-11-06T15:23:46"/>
        <d v="2015-11-06T15:22:35"/>
        <d v="2015-11-06T14:42:31"/>
        <d v="2015-11-06T13:37:34"/>
        <d v="2015-11-06T08:18:01"/>
        <d v="2015-11-06T05:58:04"/>
        <d v="2015-11-06T03:47:26"/>
        <d v="2015-11-06T02:06:06"/>
        <d v="2015-11-06T01:55:29"/>
        <d v="2015-11-06T01:54:38"/>
        <d v="2015-11-06T01:54:24"/>
        <d v="2015-11-06T01:52:40"/>
        <d v="2015-11-06T01:51:32"/>
        <d v="2015-11-06T01:49:44"/>
        <d v="2015-11-06T01:47:17"/>
        <d v="2015-11-06T01:44:24"/>
        <d v="2015-11-06T01:43:06"/>
        <d v="2015-11-06T01:42:55"/>
        <d v="2015-11-06T01:38:58"/>
        <d v="2015-11-06T01:37:27"/>
        <d v="2015-11-06T01:34:29"/>
        <d v="2015-11-06T01:32:25"/>
        <d v="2015-11-06T01:00:18"/>
        <d v="2015-11-06T00:51:04"/>
        <d v="2015-11-06T00:47:35"/>
        <d v="2015-11-06T00:45:14"/>
        <d v="2015-11-06T00:44:40"/>
        <d v="2015-11-06T00:42:07"/>
        <d v="2015-11-06T00:38:37"/>
        <d v="2015-11-06T00:31:03"/>
        <d v="2015-11-06T00:20:06"/>
        <d v="2015-11-06T00:03:56"/>
        <d v="2015-11-05T23:25:41"/>
        <d v="2015-11-05T22:48:15"/>
        <d v="2015-11-05T22:46:14"/>
        <d v="2015-11-05T22:35:23"/>
        <d v="2015-11-05T22:22:22"/>
        <d v="2015-11-05T22:19:58"/>
        <d v="2015-11-05T22:18:05"/>
        <d v="2015-11-05T22:06:14"/>
        <d v="2015-11-05T21:57:27"/>
        <d v="2015-11-05T21:52:46"/>
        <d v="2015-11-05T21:51:18"/>
        <d v="2015-11-05T20:57:49"/>
        <d v="2015-11-05T20:46:59"/>
        <d v="2015-11-05T19:28:02"/>
        <d v="2015-11-05T19:16:18"/>
        <d v="2015-11-05T19:06:21"/>
        <d v="2015-11-05T19:05:41"/>
        <d v="2015-11-05T18:32:28"/>
        <d v="2015-11-05T18:25:59"/>
        <d v="2015-11-05T17:58:00"/>
        <d v="2015-11-05T17:57:39"/>
        <d v="2015-11-05T17:53:05"/>
        <d v="2015-11-05T17:31:25"/>
        <d v="2015-11-05T17:22:59"/>
        <d v="2015-11-05T16:36:45"/>
        <d v="2015-11-05T16:35:14"/>
        <d v="2015-11-05T16:25:49"/>
        <d v="2015-11-05T16:18:09"/>
        <d v="2015-11-05T15:55:12"/>
        <d v="2015-11-05T15:31:39"/>
        <d v="2015-11-05T15:08:58"/>
        <d v="2015-11-05T14:51:14"/>
        <d v="2015-11-05T14:50:37"/>
        <d v="2015-11-05T14:48:58"/>
        <d v="2015-11-05T14:39:03"/>
        <d v="2015-11-05T14:30:48"/>
        <d v="2015-11-05T14:25:13"/>
        <d v="2015-11-05T14:24:56"/>
        <d v="2015-11-05T13:47:16"/>
        <d v="2015-11-05T13:42:12"/>
        <d v="2015-11-05T10:41:49"/>
        <d v="2015-11-05T09:44:31"/>
        <d v="2015-11-05T09:44:30"/>
        <d v="2015-11-05T07:30:04"/>
        <d v="2015-11-05T07:21:28"/>
        <d v="2015-11-05T07:21:18"/>
        <d v="2015-11-05T07:19:53"/>
        <d v="2015-11-05T07:19:11"/>
        <d v="2015-11-05T06:39:36"/>
        <d v="2015-11-05T06:14:08"/>
        <d v="2015-11-05T05:32:02"/>
        <d v="2015-11-05T03:52:24"/>
        <d v="2015-11-05T03:52:06"/>
        <d v="2015-11-05T03:36:28"/>
        <d v="2015-11-05T03:27:13"/>
        <d v="2015-11-05T03:23:25"/>
        <d v="2015-11-05T03:15:31"/>
        <d v="2015-11-05T02:48:34"/>
        <d v="2015-11-05T02:47:34"/>
        <d v="2015-11-05T02:38:25"/>
        <d v="2015-11-05T02:16:24"/>
        <d v="2015-11-05T02:11:33"/>
        <d v="2015-11-05T02:05:37"/>
        <d v="2015-11-05T01:57:24"/>
        <d v="2015-11-05T01:46:55"/>
        <d v="2015-11-05T00:55:59"/>
        <d v="2015-11-05T00:42:30"/>
        <d v="2015-11-04T23:57:02"/>
        <d v="2015-11-04T23:49:09"/>
        <d v="2015-11-04T23:33:20"/>
        <d v="2015-11-04T23:28:55"/>
        <d v="2015-11-04T23:28:10"/>
        <d v="2015-11-04T23:16:58"/>
        <d v="2015-11-04T23:08:54"/>
        <d v="2015-11-04T23:08:23"/>
        <d v="2015-11-04T23:01:13"/>
        <d v="2015-11-04T22:59:39"/>
        <d v="2015-11-04T22:56:55"/>
        <d v="2015-11-04T22:43:15"/>
        <d v="2015-11-04T22:42:27"/>
        <d v="2015-11-04T22:25:30"/>
        <d v="2015-11-04T22:25:01"/>
        <d v="2015-11-04T22:21:46"/>
        <d v="2015-11-04T22:02:55"/>
        <d v="2015-11-04T20:41:08"/>
        <d v="2015-11-04T20:19:41"/>
        <d v="2015-11-04T19:57:16"/>
        <d v="2015-11-04T19:49:15"/>
        <d v="2015-11-04T19:48:38"/>
        <d v="2015-11-04T19:38:44"/>
        <d v="2015-11-04T19:28:10"/>
        <d v="2015-11-04T19:24:17"/>
        <d v="2015-11-04T19:23:48"/>
        <d v="2015-11-04T19:11:23"/>
        <d v="2015-11-04T19:10:21"/>
        <d v="2015-11-04T19:02:32"/>
        <d v="2015-11-04T18:55:33"/>
        <d v="2015-11-04T18:52:19"/>
        <d v="2015-11-04T18:52:16"/>
        <d v="2015-11-04T18:52:10"/>
        <d v="2015-11-04T18:50:30"/>
        <d v="2015-11-04T18:23:51"/>
        <d v="2015-11-04T18:03:10"/>
        <d v="2015-11-04T18:03:02"/>
        <d v="2015-11-04T18:00:15"/>
        <d v="2015-11-04T17:58:21"/>
        <d v="2015-11-04T17:57:43"/>
        <d v="2015-11-04T17:52:44"/>
        <d v="2015-11-04T17:05:52"/>
        <d v="2015-11-04T16:56:03"/>
        <d v="2015-11-04T16:55:00"/>
        <d v="2015-11-04T16:50:42"/>
        <d v="2015-11-04T16:44:01"/>
        <d v="2015-11-04T16:42:36"/>
        <d v="2015-11-04T16:36:12"/>
        <d v="2015-11-04T16:23:26"/>
        <d v="2015-11-04T16:23:04"/>
        <d v="2015-11-04T16:20:47"/>
        <d v="2015-11-04T16:03:24"/>
        <d v="2015-11-04T15:39:32"/>
        <d v="2015-11-04T15:35:06"/>
        <d v="2015-11-04T15:34:28"/>
        <d v="2015-11-04T15:24:30"/>
        <d v="2015-11-04T15:23:27"/>
        <d v="2015-11-04T15:12:52"/>
        <d v="2015-11-04T14:43:47"/>
        <d v="2015-11-04T14:32:05"/>
        <d v="2015-11-04T14:30:54"/>
        <d v="2015-11-04T14:26:34"/>
        <d v="2015-11-04T14:25:04"/>
        <d v="2015-11-04T14:14:49"/>
        <d v="2015-11-04T14:10:11"/>
        <d v="2015-11-04T14:08:53"/>
        <d v="2015-11-04T13:33:41"/>
        <d v="2015-11-04T13:28:25"/>
        <d v="2015-11-04T13:24:04"/>
        <d v="2015-11-04T09:14:27"/>
        <d v="2015-11-04T09:09:35"/>
        <d v="2015-11-04T05:06:49"/>
        <d v="2015-11-04T05:01:15"/>
        <d v="2015-11-04T05:00:44"/>
        <d v="2015-11-04T05:00:16"/>
        <d v="2015-11-04T04:48:14"/>
        <d v="2015-11-04T04:37:30"/>
        <d v="2015-11-04T04:36:22"/>
        <d v="2015-11-04T03:54:12"/>
        <d v="2015-11-04T03:42:30"/>
        <d v="2015-11-04T03:39:22"/>
        <d v="2015-11-04T03:09:01"/>
        <d v="2015-11-04T02:57:07"/>
        <d v="2015-11-04T02:01:14"/>
        <d v="2015-11-04T01:50:46"/>
        <d v="2015-11-04T01:14:56"/>
        <d v="2015-11-04T01:01:06"/>
        <d v="2015-11-04T00:55:27"/>
        <d v="2015-11-04T00:50:23"/>
        <d v="2015-11-04T00:31:02"/>
        <d v="2015-11-04T00:30:55"/>
        <d v="2015-11-04T00:22:59"/>
        <d v="2015-11-04T00:14:55"/>
        <d v="2015-11-04T00:02:32"/>
        <d v="2015-11-03T23:52:29"/>
        <d v="2015-11-03T23:21:48"/>
        <d v="2015-11-03T22:55:02"/>
        <d v="2015-11-03T22:52:42"/>
        <d v="2015-11-03T22:48:25"/>
        <d v="2015-11-03T22:38:11"/>
        <d v="2015-11-03T22:32:53"/>
        <d v="2015-11-03T22:07:33"/>
        <d v="2015-11-03T21:56:24"/>
        <d v="2015-11-03T21:35:08"/>
        <d v="2015-11-03T21:32:49"/>
        <d v="2015-11-03T21:26:00"/>
        <d v="2015-11-03T21:22:18"/>
        <d v="2015-11-03T21:14:25"/>
        <d v="2015-11-03T21:10:58"/>
        <d v="2015-11-03T20:36:32"/>
        <d v="2015-11-03T20:27:24"/>
        <d v="2015-11-03T20:22:19"/>
        <d v="2015-11-03T20:15:05"/>
        <d v="2015-11-03T20:15:00"/>
        <d v="2015-11-03T19:42:16"/>
        <d v="2015-11-03T19:39:35"/>
        <d v="2015-11-03T19:36:23"/>
        <d v="2015-11-03T19:35:32"/>
        <d v="2015-11-03T19:32:22"/>
        <d v="2015-11-03T19:29:25"/>
        <d v="2015-11-03T19:27:21"/>
        <d v="2015-11-03T19:22:35"/>
        <d v="2015-11-03T19:19:38"/>
        <d v="2015-11-03T19:12:49"/>
        <d v="2015-11-03T19:11:48"/>
        <d v="2015-11-03T19:10:54"/>
        <d v="2015-11-03T19:06:40"/>
        <d v="2015-11-03T19:05:09"/>
        <d v="2015-11-03T18:40:51"/>
        <d v="2015-11-03T18:39:45"/>
        <d v="2015-11-03T18:37:35"/>
        <d v="2015-11-03T18:32:10"/>
        <d v="2015-11-03T18:15:57"/>
        <d v="2015-11-03T17:03:08"/>
        <d v="2015-11-03T16:48:18"/>
        <d v="2015-11-03T16:34:49"/>
        <d v="2015-11-03T16:29:46"/>
        <d v="2015-11-03T16:27:35"/>
        <d v="2015-11-03T16:25:55"/>
        <d v="2015-11-03T16:16:56"/>
        <d v="2015-11-03T16:13:15"/>
        <d v="2015-11-03T15:30:56"/>
        <d v="2015-11-03T14:46:30"/>
        <d v="2015-11-03T14:40:53"/>
        <d v="2015-11-03T14:36:51"/>
        <d v="2015-11-03T14:31:01"/>
        <d v="2015-11-03T14:25:20"/>
        <d v="2015-11-03T14:19:36"/>
        <d v="2015-11-03T14:14:22"/>
        <d v="2015-11-03T14:07:04"/>
        <d v="2015-11-03T14:02:16"/>
        <d v="2015-11-03T13:51:38"/>
        <d v="2015-11-03T13:39:30"/>
        <d v="2015-11-03T13:36:03"/>
        <d v="2015-11-03T12:36:15"/>
        <d v="2015-11-03T12:21:54"/>
        <d v="2015-11-03T12:09:47"/>
        <d v="2015-11-03T11:44:52"/>
        <d v="2015-11-03T10:22:49"/>
        <d v="2015-11-03T05:53:43"/>
        <d v="2015-11-03T05:33:23"/>
        <d v="2015-11-03T04:55:42"/>
        <d v="2015-11-03T04:45:40"/>
        <d v="2015-11-03T04:38:00"/>
        <d v="2015-11-03T04:37:32"/>
        <d v="2015-11-03T04:37:13"/>
        <d v="2015-11-03T04:36:56"/>
        <d v="2015-11-03T04:36:34"/>
        <d v="2015-11-03T04:31:56"/>
        <d v="2015-11-03T04:30:24"/>
        <d v="2015-11-03T04:30:11"/>
        <d v="2015-11-03T04:27:31"/>
        <d v="2015-11-03T04:15:39"/>
        <d v="2015-11-03T04:10:45"/>
        <d v="2015-11-03T04:10:26"/>
        <d v="2015-11-03T03:39:19"/>
        <d v="2015-11-03T03:36:08"/>
        <d v="2015-11-03T03:28:14"/>
        <d v="2015-11-03T03:15:13"/>
        <d v="2015-11-03T02:32:02"/>
        <d v="2015-11-03T02:30:42"/>
        <d v="2015-11-03T02:03:58"/>
        <d v="2015-11-03T01:52:11"/>
        <d v="2015-11-03T01:35:20"/>
        <d v="2015-11-03T01:22:31"/>
        <d v="2015-11-03T01:14:43"/>
        <d v="2015-11-03T01:12:10"/>
        <d v="2015-11-03T00:51:58"/>
        <d v="2015-11-03T00:50:28"/>
        <d v="2015-11-03T00:44:29"/>
        <d v="2015-11-03T00:40:52"/>
        <d v="2015-11-03T00:40:35"/>
        <d v="2015-11-03T00:40:34"/>
        <d v="2015-11-03T00:33:56"/>
        <d v="2015-11-03T00:31:21"/>
        <d v="2015-11-03T00:28:48"/>
        <d v="2015-11-02T23:45:58"/>
        <d v="2015-11-02T23:04:04"/>
        <d v="2015-11-02T23:01:54"/>
        <d v="2015-11-02T23:00:16"/>
        <d v="2015-11-02T22:59:45"/>
        <d v="2015-11-02T22:58:28"/>
        <d v="2015-11-02T22:57:39"/>
        <d v="2015-11-02T22:56:20"/>
        <d v="2015-11-02T22:55:19"/>
        <d v="2015-11-02T22:35:54"/>
        <d v="2015-11-02T22:23:11"/>
        <d v="2015-11-02T22:18:26"/>
        <d v="2015-11-02T22:14:51"/>
        <d v="2015-11-02T22:13:11"/>
        <d v="2015-11-02T22:03:59"/>
        <d v="2015-11-02T21:56:27"/>
        <d v="2015-11-02T21:46:50"/>
        <d v="2015-11-02T21:27:40"/>
        <d v="2015-11-02T21:20:01"/>
        <d v="2015-11-02T21:17:25"/>
        <d v="2015-11-02T21:13:01"/>
        <d v="2015-11-02T20:50:12"/>
        <d v="2015-11-02T20:04:32"/>
        <d v="2015-11-02T20:04:19"/>
        <d v="2015-11-02T19:57:11"/>
        <d v="2015-11-02T19:56:50"/>
        <d v="2015-11-02T19:43:12"/>
        <d v="2015-11-02T19:41:03"/>
        <d v="2015-11-02T19:40:13"/>
        <d v="2015-11-02T19:38:19"/>
        <d v="2015-11-02T19:37:26"/>
        <d v="2015-11-02T19:24:20"/>
        <d v="2015-11-02T19:24:09"/>
        <d v="2015-11-02T19:15:25"/>
        <d v="2015-11-02T19:13:28"/>
        <d v="2015-11-02T19:11:17"/>
        <d v="2015-11-02T19:10:08"/>
        <d v="2015-11-02T19:04:26"/>
        <d v="2015-11-02T18:58:48"/>
        <d v="2015-11-02T18:49:23"/>
        <d v="2015-11-02T18:38:18"/>
        <d v="2015-11-02T18:36:48"/>
        <d v="2015-11-02T18:36:33"/>
        <d v="2015-11-02T18:33:05"/>
        <d v="2015-11-02T18:28:11"/>
        <d v="2015-11-02T18:19:33"/>
        <d v="2015-11-02T18:18:52"/>
        <d v="2015-11-02T18:18:18"/>
        <d v="2015-11-02T18:03:58"/>
        <d v="2015-11-02T17:55:33"/>
        <d v="2015-11-02T17:49:52"/>
        <d v="2015-11-02T17:40:58"/>
        <d v="2015-11-02T17:38:52"/>
        <d v="2015-11-02T17:14:14"/>
        <d v="2015-11-02T17:12:51"/>
        <d v="2015-11-02T17:08:51"/>
        <d v="2015-11-02T17:06:17"/>
        <d v="2015-11-02T17:04:15"/>
        <d v="2015-11-02T16:58:16"/>
        <d v="2015-11-02T16:57:57"/>
        <d v="2015-11-02T16:45:07"/>
        <d v="2015-11-02T16:36:54"/>
        <d v="2015-11-02T16:30:54"/>
        <d v="2015-11-02T16:23:23"/>
        <d v="2015-11-02T16:20:26"/>
        <d v="2015-11-02T16:20:25"/>
        <d v="2015-11-02T16:20:18"/>
        <d v="2015-11-02T16:18:47"/>
        <d v="2015-11-02T16:07:42"/>
        <d v="2015-11-02T15:56:21"/>
        <d v="2015-11-02T15:50:17"/>
        <d v="2015-11-02T15:48:33"/>
        <d v="2015-11-02T15:44:36"/>
        <d v="2015-11-02T15:37:45"/>
        <d v="2015-11-02T15:28:04"/>
        <d v="2015-11-02T15:26:30"/>
        <d v="2015-11-02T15:22:50"/>
        <d v="2015-11-02T15:18:07"/>
        <d v="2015-11-02T15:09:34"/>
        <d v="2015-11-02T14:36:55"/>
        <d v="2015-11-02T13:57:03"/>
        <d v="2015-11-02T13:41:52"/>
        <d v="2015-11-02T07:46:37"/>
        <d v="2015-11-02T06:15:23"/>
        <d v="2015-11-02T04:14:22"/>
        <d v="2015-11-02T04:09:14"/>
        <d v="2015-11-02T03:59:47"/>
        <d v="2015-11-02T03:43:03"/>
        <d v="2015-11-02T03:38:48"/>
        <d v="2015-11-02T03:28:27"/>
        <d v="2015-11-02T03:27:20"/>
        <d v="2015-11-02T03:03:34"/>
        <d v="2015-11-02T02:51:53"/>
        <d v="2015-11-02T02:40:52"/>
        <d v="2015-11-02T02:33:47"/>
        <d v="2015-11-02T02:30:47"/>
        <d v="2015-11-02T02:17:58"/>
        <d v="2015-11-02T02:01:33"/>
        <d v="2015-11-02T01:58:27"/>
        <d v="2015-11-02T01:55:56"/>
        <d v="2015-11-02T00:53:25"/>
        <d v="2015-11-02T00:46:00"/>
        <d v="2015-11-02T00:16:38"/>
        <d v="2015-11-01T23:45:56"/>
        <d v="2015-11-01T23:38:23"/>
        <d v="2015-11-01T23:01:27"/>
        <d v="2015-11-01T22:44:03"/>
        <d v="2015-11-01T22:20:56"/>
        <d v="2015-11-01T21:29:47"/>
        <d v="2015-11-01T21:26:21"/>
        <d v="2015-11-01T21:13:06"/>
        <d v="2015-11-01T20:51:10"/>
        <d v="2015-11-01T20:42:09"/>
        <d v="2015-11-01T20:15:14"/>
        <d v="2015-11-01T19:47:48"/>
        <d v="2015-11-01T19:45:58"/>
        <d v="2015-11-01T19:44:56"/>
        <d v="2015-11-01T19:26:35"/>
        <d v="2015-11-01T19:23:57"/>
        <d v="2015-11-01T17:38:12"/>
        <d v="2015-11-01T17:24:04"/>
        <d v="2015-11-01T17:10:35"/>
        <d v="2015-11-01T17:10:25"/>
        <d v="2015-11-01T17:07:06"/>
        <d v="2015-11-01T17:07:01"/>
        <d v="2015-11-01T17:06:16"/>
        <d v="2015-11-01T17:06:07"/>
        <d v="2015-11-01T17:06:02"/>
        <d v="2015-11-01T17:05:56"/>
        <d v="2015-11-01T17:05:28"/>
        <d v="2015-11-01T17:05:20"/>
        <d v="2015-11-01T17:05:12"/>
        <d v="2015-11-01T17:04:44"/>
        <d v="2015-11-01T17:03:54"/>
        <d v="2015-11-01T17:03:46"/>
        <d v="2015-11-01T17:03:27"/>
        <d v="2015-11-01T17:02:58"/>
        <d v="2015-11-01T17:02:52"/>
        <d v="2015-11-01T17:02:43"/>
        <d v="2015-11-01T17:02:36"/>
        <d v="2015-11-01T17:02:32"/>
        <d v="2015-11-01T17:01:46"/>
        <d v="2015-11-01T16:55:08"/>
        <d v="2015-11-01T16:53:44"/>
        <d v="2015-11-01T16:41:47"/>
        <d v="2015-11-01T14:30:07"/>
        <d v="2015-11-01T14:17:18"/>
        <d v="2015-11-01T02:36:02"/>
        <d v="2015-11-01T02:26:34"/>
        <d v="2015-11-01T01:14:07"/>
        <d v="2015-10-31T23:28:26"/>
        <d v="2015-10-31T22:23:46"/>
        <d v="2015-10-31T21:28:21"/>
        <d v="2015-10-31T21:25:11"/>
        <d v="2015-10-31T20:45:41"/>
        <d v="2015-10-31T20:45:25"/>
        <d v="2015-10-31T19:53:16"/>
        <d v="2015-10-31T19:51:15"/>
        <d v="2015-10-31T18:59:30"/>
        <d v="2015-10-31T18:59:04"/>
        <d v="2015-10-31T18:51:53"/>
        <d v="2015-10-31T18:38:07"/>
        <d v="2015-10-31T18:36:28"/>
        <d v="2015-10-31T18:26:23"/>
        <d v="2015-10-31T18:21:21"/>
        <d v="2015-10-31T18:18:44"/>
        <d v="2015-10-31T18:07:16"/>
        <d v="2015-10-31T17:54:00"/>
        <d v="2015-10-31T17:33:41"/>
        <d v="2015-10-31T17:27:42"/>
        <d v="2015-10-31T17:21:44"/>
        <d v="2015-10-31T17:05:48"/>
        <d v="2015-10-31T16:29:04"/>
        <d v="2015-10-31T15:38:08"/>
        <d v="2015-10-31T08:24:45"/>
        <d v="2015-10-31T03:43:55"/>
        <d v="2015-10-31T03:32:33"/>
        <d v="2015-10-31T03:22:24"/>
        <d v="2015-10-31T03:21:48"/>
        <d v="2015-10-31T02:42:42"/>
        <d v="2015-10-31T02:27:04"/>
        <d v="2015-10-31T02:17:40"/>
        <d v="2015-10-31T02:05:32"/>
        <d v="2015-10-31T00:00:01"/>
        <d v="2015-10-30T23:50:04"/>
        <d v="2015-10-30T23:20:54"/>
        <d v="2015-10-30T22:30:57"/>
        <d v="2015-10-30T22:27:17"/>
        <d v="2015-10-30T22:27:10"/>
        <d v="2015-10-30T22:26:59"/>
        <d v="2015-10-30T22:26:48"/>
        <d v="2015-10-30T22:26:02"/>
        <d v="2015-10-30T22:23:31"/>
        <d v="2015-10-30T22:22:28"/>
        <d v="2015-10-30T22:21:07"/>
        <d v="2015-10-30T22:21:00"/>
        <d v="2015-10-30T22:20:55"/>
        <d v="2015-10-30T22:20:48"/>
        <d v="2015-10-30T22:19:29"/>
        <d v="2015-10-30T22:17:54"/>
        <d v="2015-10-30T22:17:50"/>
        <d v="2015-10-30T22:17:47"/>
        <d v="2015-10-30T22:17:43"/>
        <d v="2015-10-30T22:17:40"/>
        <d v="2015-10-30T21:45:34"/>
        <d v="2015-10-30T21:39:31"/>
        <d v="2015-10-30T20:55:33"/>
        <d v="2015-10-30T20:45:24"/>
        <d v="2015-10-30T20:34:10"/>
        <d v="2015-10-30T20:33:30"/>
        <d v="2015-10-30T20:33:04"/>
        <d v="2015-10-30T19:20:37"/>
        <d v="2015-10-30T19:17:01"/>
        <d v="2015-10-30T19:12:00"/>
        <d v="2015-10-30T18:30:57"/>
        <d v="2015-10-30T18:16:19"/>
        <d v="2015-10-30T18:16:10"/>
        <d v="2015-10-30T18:15:39"/>
        <d v="2015-10-30T18:15:30"/>
        <d v="2015-10-30T18:06:35"/>
        <d v="2015-10-30T17:59:16"/>
        <d v="2015-10-30T17:57:33"/>
        <d v="2015-10-30T17:52:49"/>
        <d v="2015-10-30T17:44:21"/>
        <d v="2015-10-30T17:31:15"/>
        <d v="2015-10-30T17:23:58"/>
        <d v="2015-10-30T17:13:49"/>
        <d v="2015-10-30T17:12:04"/>
        <d v="2015-10-30T17:03:32"/>
        <d v="2015-10-30T17:01:55"/>
        <d v="2015-10-30T16:06:32"/>
        <d v="2015-10-30T15:41:39"/>
        <d v="2015-10-30T15:41:01"/>
        <d v="2015-10-30T15:40:32"/>
        <d v="2015-10-30T15:28:21"/>
        <d v="2015-10-30T15:11:15"/>
        <d v="2015-10-30T15:06:48"/>
        <d v="2015-10-30T14:56:45"/>
        <d v="2015-10-30T14:09:27"/>
        <d v="2015-10-30T14:06:36"/>
        <d v="2015-10-30T13:37:13"/>
        <d v="2015-10-30T13:33:52"/>
        <d v="2015-10-30T13:27:52"/>
        <d v="2015-10-30T13:26:10"/>
        <d v="2015-10-30T13:25:11"/>
        <d v="2015-10-30T13:01:53"/>
        <d v="2015-10-30T13:01:35"/>
        <d v="2015-10-30T12:50:57"/>
        <d v="2015-10-30T09:38:00"/>
        <d v="2015-10-30T09:34:16"/>
        <d v="2015-10-30T07:46:22"/>
        <d v="2015-10-30T07:28:21"/>
        <d v="2015-10-30T07:17:13"/>
        <d v="2015-10-30T06:46:25"/>
        <d v="2015-10-30T06:34:26"/>
        <d v="2015-10-30T04:54:54"/>
        <d v="2015-10-30T04:22:17"/>
        <d v="2015-10-30T04:21:23"/>
        <d v="2015-10-30T04:20:55"/>
        <d v="2015-10-30T04:20:32"/>
        <d v="2015-10-30T03:02:27"/>
        <d v="2015-10-30T02:00:16"/>
        <d v="2015-10-30T01:52:57"/>
        <d v="2015-10-30T01:18:22"/>
        <d v="2015-10-30T00:12:04"/>
        <d v="2015-10-29T23:29:31"/>
        <d v="2015-10-29T22:25:58"/>
        <d v="2015-10-29T22:20:42"/>
        <d v="2015-10-29T22:04:21"/>
        <d v="2015-10-29T21:55:25"/>
        <d v="2015-10-29T21:44:04"/>
        <d v="2015-10-29T21:23:46"/>
        <d v="2015-10-29T21:11:53"/>
        <d v="2015-10-29T19:53:18"/>
        <d v="2015-10-29T19:53:05"/>
        <d v="2015-10-29T19:51:55"/>
        <d v="2015-10-29T19:40:23"/>
        <d v="2015-10-29T19:25:57"/>
        <d v="2015-10-29T19:06:26"/>
        <d v="2015-10-29T19:02:46"/>
        <d v="2015-10-29T18:39:22"/>
        <d v="2015-10-29T18:29:10"/>
        <d v="2015-10-29T18:29:09"/>
        <d v="2015-10-29T17:48:11"/>
        <d v="2015-10-29T17:30:53"/>
        <d v="2015-10-29T17:24:35"/>
        <d v="2015-10-29T17:14:24"/>
        <d v="2015-10-29T17:09:08"/>
        <d v="2015-10-29T17:06:38"/>
        <d v="2015-10-29T16:59:44"/>
        <d v="2015-10-29T16:55:47"/>
        <d v="2015-10-29T16:38:57"/>
        <d v="2015-10-29T16:38:32"/>
        <d v="2015-10-29T16:35:17"/>
        <d v="2015-10-29T16:34:36"/>
        <d v="2015-10-29T16:33:42"/>
        <d v="2015-10-29T16:31:46"/>
        <d v="2015-10-29T16:28:11"/>
        <d v="2015-10-29T15:46:01"/>
        <d v="2015-10-29T14:23:34"/>
        <d v="2015-10-29T14:23:32"/>
        <d v="2015-10-29T14:23:30"/>
        <d v="2015-10-29T14:03:20"/>
        <d v="2015-10-29T13:43:18"/>
        <d v="2015-10-29T13:17:27"/>
        <d v="2015-10-29T09:37:15"/>
        <d v="2015-10-29T07:06:23"/>
        <d v="2015-10-29T06:27:14"/>
        <d v="2015-10-29T05:55:33"/>
        <d v="2015-10-29T05:19:25"/>
        <d v="2015-10-29T05:10:55"/>
        <d v="2015-10-29T04:52:48"/>
        <d v="2015-10-29T04:26:23"/>
        <d v="2015-10-29T04:24:24"/>
        <d v="2015-10-29T04:19:04"/>
        <d v="2015-10-29T04:18:41"/>
        <d v="2015-10-29T03:53:05"/>
        <d v="2015-10-29T03:48:12"/>
        <d v="2015-10-29T03:33:58"/>
        <d v="2015-10-29T03:33:21"/>
        <d v="2015-10-29T03:10:41"/>
        <d v="2015-10-29T03:03:38"/>
        <d v="2015-10-29T02:22:46"/>
        <d v="2015-10-29T02:14:18"/>
        <d v="2015-10-29T02:10:37"/>
        <d v="2015-10-29T02:04:32"/>
        <d v="2015-10-29T01:30:52"/>
        <d v="2015-10-29T01:12:15"/>
        <d v="2015-10-29T01:00:24"/>
        <d v="2015-10-29T00:48:22"/>
        <d v="2015-10-29T00:32:26"/>
        <d v="2015-10-28T23:54:12"/>
        <d v="2015-10-28T23:30:17"/>
        <d v="2015-10-28T23:04:46"/>
        <d v="2015-10-28T22:57:34"/>
        <d v="2015-10-28T22:08:20"/>
        <d v="2015-10-28T21:34:59"/>
        <d v="2015-10-28T20:57:20"/>
        <d v="2015-10-28T20:46:33"/>
        <d v="2015-10-28T20:27:02"/>
        <d v="2015-10-28T20:17:25"/>
        <d v="2015-10-28T19:07:29"/>
        <d v="2015-10-28T18:59:41"/>
        <d v="2015-10-28T18:34:09"/>
        <d v="2015-10-28T18:08:57"/>
        <d v="2015-10-28T18:01:42"/>
        <d v="2015-10-28T18:00:42"/>
        <d v="2015-10-28T17:55:48"/>
        <d v="2015-10-28T17:47:45"/>
        <d v="2015-10-28T16:42:30"/>
        <d v="2015-10-28T16:02:48"/>
        <d v="2015-10-28T16:01:21"/>
        <d v="2015-10-28T15:55:14"/>
        <d v="2015-10-28T15:50:40"/>
        <d v="2015-10-28T15:13:27"/>
        <d v="2015-10-28T15:11:37"/>
        <d v="2015-10-28T15:05:49"/>
        <d v="2015-10-28T15:00:05"/>
        <d v="2015-10-28T14:51:13"/>
        <d v="2015-10-28T14:50:36"/>
        <d v="2015-10-28T14:45:35"/>
        <d v="2015-10-28T14:33:49"/>
        <d v="2015-10-28T14:22:17"/>
        <d v="2015-10-28T14:18:11"/>
        <d v="2015-10-28T14:02:34"/>
        <d v="2015-10-28T14:02:32"/>
        <d v="2015-10-28T13:52:45"/>
        <d v="2015-10-28T13:52:32"/>
        <d v="2015-10-28T13:42:29"/>
        <d v="2015-10-28T13:20:00"/>
        <d v="2015-10-28T13:00:11"/>
        <d v="2015-10-28T07:54:32"/>
        <d v="2015-10-28T06:02:05"/>
        <d v="2015-10-28T05:40:22"/>
        <d v="2015-10-28T05:33:35"/>
        <d v="2015-10-28T02:39:13"/>
        <d v="2015-10-28T02:29:34"/>
        <d v="2015-10-28T02:26:52"/>
        <d v="2015-10-28T02:21:55"/>
        <d v="2015-10-28T00:52:34"/>
        <d v="2015-10-28T00:37:11"/>
        <d v="2015-10-27T23:54:31"/>
        <d v="2015-10-27T23:48:19"/>
        <d v="2015-10-27T23:16:59"/>
        <d v="2015-10-27T22:14:31"/>
        <d v="2015-10-27T21:59:41"/>
        <d v="2015-10-27T21:53:29"/>
        <d v="2015-10-27T21:33:39"/>
        <d v="2015-10-27T21:28:21"/>
        <d v="2015-10-27T21:19:25"/>
        <d v="2015-10-27T21:15:17"/>
        <d v="2015-10-27T20:19:48"/>
        <d v="2015-10-27T20:04:21"/>
        <d v="2015-10-27T19:59:59"/>
        <d v="2015-10-27T19:55:37"/>
        <d v="2015-10-27T19:32:03"/>
        <d v="2015-10-27T19:21:40"/>
        <d v="2015-10-27T19:02:03"/>
        <d v="2015-10-27T18:04:56"/>
        <d v="2015-10-27T17:45:23"/>
        <d v="2015-10-27T17:33:38"/>
        <d v="2015-10-27T17:16:22"/>
        <d v="2015-10-27T17:14:02"/>
        <d v="2015-10-27T17:11:22"/>
        <d v="2015-10-27T17:08:24"/>
        <d v="2015-10-27T17:07:06"/>
        <d v="2015-10-27T17:06:11"/>
        <d v="2015-10-27T16:57:07"/>
        <d v="2015-10-27T16:54:56"/>
        <d v="2015-10-27T16:51:38"/>
        <d v="2015-10-27T16:31:58"/>
        <d v="2015-10-27T16:14:27"/>
        <d v="2015-10-27T16:07:21"/>
        <d v="2015-10-27T15:15:52"/>
        <d v="2015-10-27T14:59:48"/>
        <d v="2015-10-27T14:49:24"/>
        <d v="2015-10-27T14:30:13"/>
        <d v="2015-10-27T13:59:54"/>
        <d v="2015-10-27T13:56:09"/>
        <d v="2015-10-27T13:46:39"/>
        <d v="2015-10-27T13:43:08"/>
        <d v="2015-10-27T13:32:03"/>
        <d v="2015-10-27T13:31:42"/>
        <d v="2015-10-27T13:27:04"/>
        <d v="2015-10-27T13:17:10"/>
        <d v="2015-10-27T13:15:44"/>
        <d v="2015-10-27T13:12:42"/>
        <d v="2015-10-27T10:14:45"/>
        <d v="2015-10-27T09:55:32"/>
        <d v="2015-10-27T04:08:30"/>
        <d v="2015-10-27T04:03:53"/>
        <d v="2015-10-27T03:58:45"/>
        <d v="2015-10-27T03:14:24"/>
        <d v="2015-10-27T02:59:09"/>
        <d v="2015-10-27T01:28:05"/>
        <d v="2015-10-27T01:19:45"/>
        <d v="2015-10-27T00:42:23"/>
        <d v="2015-10-27T00:18:55"/>
        <d v="2015-10-27T00:08:38"/>
        <d v="2015-10-26T23:55:32"/>
        <d v="2015-10-26T22:10:12"/>
        <d v="2015-10-26T21:58:36"/>
        <d v="2015-10-26T21:55:30"/>
        <d v="2015-10-26T21:20:54"/>
        <d v="2015-10-26T20:11:15"/>
        <d v="2015-10-26T20:09:45"/>
        <d v="2015-10-26T20:04:56"/>
        <d v="2015-10-26T19:42:13"/>
        <d v="2015-10-26T19:20:12"/>
        <d v="2015-10-26T19:01:50"/>
        <d v="2015-10-26T18:59:57"/>
        <d v="2015-10-26T16:52:12"/>
        <d v="2015-10-26T16:51:24"/>
        <d v="2015-10-26T16:45:20"/>
        <d v="2015-10-26T16:38:49"/>
        <d v="2015-10-26T16:36:58"/>
        <d v="2015-10-26T16:00:36"/>
        <d v="2015-10-26T15:37:02"/>
        <d v="2015-10-26T15:29:30"/>
        <d v="2015-10-26T15:21:56"/>
        <d v="2015-10-26T14:36:18"/>
        <d v="2015-10-26T14:33:15"/>
        <d v="2015-10-26T14:22:34"/>
        <d v="2015-10-26T14:09:03"/>
        <d v="2015-10-26T14:04:29"/>
        <d v="2015-10-26T13:58:23"/>
        <d v="2015-10-26T13:55:36"/>
        <d v="2015-10-26T13:48:50"/>
        <d v="2015-10-26T13:31:55"/>
        <d v="2015-10-26T13:24:07"/>
        <d v="2015-10-26T13:20:19"/>
        <d v="2015-10-26T13:08:31"/>
        <d v="2015-10-26T05:33:18"/>
        <d v="2015-10-26T01:32:26"/>
        <d v="2015-10-26T01:32:03"/>
        <d v="2015-10-26T01:29:15"/>
        <d v="2015-10-26T01:29:00"/>
        <d v="2015-10-26T01:27:54"/>
        <d v="2015-10-26T01:27:42"/>
        <d v="2015-10-26T01:26:25"/>
        <d v="2015-10-26T01:26:03"/>
        <d v="2015-10-26T01:24:09"/>
        <d v="2015-10-26T01:23:50"/>
        <d v="2015-10-26T00:50:24"/>
        <d v="2015-10-26T00:42:07"/>
        <d v="2015-10-26T00:08:46"/>
        <d v="2015-10-26T00:02:17"/>
        <d v="2015-10-25T23:57:21"/>
        <d v="2015-10-25T23:55:44"/>
        <d v="2015-10-25T23:44:15"/>
        <d v="2015-10-25T23:35:53"/>
        <d v="2015-10-25T23:06:52"/>
        <d v="2015-10-25T22:38:57"/>
        <d v="2015-10-25T22:38:44"/>
        <d v="2015-10-25T22:37:57"/>
        <d v="2015-10-25T22:37:23"/>
        <d v="2015-10-25T21:38:22"/>
        <d v="2015-10-25T21:11:39"/>
        <d v="2015-10-25T20:50:36"/>
        <d v="2015-10-25T20:49:39"/>
        <d v="2015-10-25T20:49:38"/>
        <d v="2015-10-25T20:48:47"/>
        <d v="2015-10-25T20:48:23"/>
        <d v="2015-10-25T20:39:53"/>
        <d v="2015-10-25T20:39:07"/>
        <d v="2015-10-25T20:30:41"/>
        <d v="2015-10-25T20:30:14"/>
        <d v="2015-10-25T20:26:44"/>
        <d v="2015-10-25T20:26:35"/>
        <d v="2015-10-25T20:25:27"/>
        <d v="2015-10-25T20:22:58"/>
        <d v="2015-10-25T20:12:51"/>
        <d v="2015-10-25T20:12:40"/>
        <d v="2015-10-25T20:09:52"/>
        <d v="2015-10-25T20:07:21"/>
        <d v="2015-10-25T18:36:23"/>
        <d v="2015-10-25T18:06:48"/>
        <d v="2015-10-25T17:52:09"/>
        <d v="2015-10-25T16:35:25"/>
        <d v="2015-10-25T16:17:39"/>
        <d v="2015-10-25T14:03:46"/>
        <d v="2015-10-25T13:02:04"/>
        <d v="2015-10-25T12:47:29"/>
        <d v="2015-10-25T01:38:53"/>
        <d v="2015-10-25T01:19:15"/>
        <d v="2015-10-25T00:02:33"/>
        <d v="2015-10-24T22:41:07"/>
        <d v="2015-10-24T22:27:03"/>
        <d v="2015-10-24T22:02:27"/>
        <d v="2015-10-24T21:57:22"/>
        <d v="2015-10-24T21:47:51"/>
        <d v="2015-10-24T21:34:18"/>
        <d v="2015-10-24T20:03:21"/>
        <d v="2015-10-24T18:32:16"/>
        <d v="2015-10-24T18:04:42"/>
        <d v="2015-10-24T17:22:33"/>
        <d v="2015-10-24T14:38:30"/>
        <d v="2015-10-24T13:51:47"/>
        <d v="2015-10-24T11:23:56"/>
        <d v="2015-10-24T11:21:19"/>
        <d v="2015-10-24T10:55:28"/>
        <d v="2015-10-24T10:54:06"/>
        <d v="2015-10-24T10:48:02"/>
        <d v="2015-10-24T10:46:03"/>
        <d v="2015-10-24T10:44:36"/>
        <d v="2015-10-24T10:42:56"/>
        <d v="2015-10-24T02:32:14"/>
        <d v="2015-10-24T02:10:22"/>
        <d v="2015-10-23T22:30:04"/>
        <d v="2015-10-23T22:25:34"/>
        <d v="2015-10-23T20:29:12"/>
        <d v="2015-10-23T20:25:23"/>
        <d v="2015-10-23T19:09:44"/>
        <d v="2015-10-23T18:48:59"/>
        <d v="2015-10-23T18:27:06"/>
        <d v="2015-10-23T18:20:10"/>
        <d v="2015-10-23T15:44:58"/>
        <d v="2015-10-23T15:44:38"/>
        <d v="2015-10-23T15:29:59"/>
        <d v="2015-10-23T15:24:50"/>
        <d v="2015-10-23T15:02:01"/>
        <d v="2015-10-23T14:05:10"/>
        <d v="2015-10-23T13:05:47"/>
        <d v="2015-10-23T12:57:08"/>
        <d v="2015-10-23T12:56:49"/>
        <d v="2015-10-23T12:28:15"/>
        <d v="2015-10-23T11:41:25"/>
        <d v="2015-10-23T11:38:00"/>
        <d v="2015-10-23T06:37:25"/>
        <d v="2015-10-23T06:32:17"/>
        <d v="2015-10-23T06:19:34"/>
        <d v="2015-10-23T06:00:58"/>
        <d v="2015-10-23T03:17:23"/>
        <d v="2015-10-23T03:12:03"/>
        <d v="2015-10-23T02:42:40"/>
        <d v="2015-10-23T02:41:39"/>
        <d v="2015-10-23T02:27:49"/>
        <d v="2015-10-23T01:38:19"/>
        <d v="2015-10-23T01:37:46"/>
        <d v="2015-10-23T01:27:38"/>
        <d v="2015-10-23T00:42:16"/>
        <d v="2015-10-22T22:34:49"/>
        <d v="2015-10-22T22:24:15"/>
        <d v="2015-10-22T21:55:02"/>
        <d v="2015-10-22T21:54:27"/>
        <d v="2015-10-22T21:53:54"/>
        <d v="2015-10-22T21:51:53"/>
        <d v="2015-10-22T21:49:08"/>
        <d v="2015-10-22T21:40:13"/>
        <d v="2015-10-22T21:33:41"/>
        <d v="2015-10-22T21:23:24"/>
        <d v="2015-10-22T20:26:34"/>
        <d v="2015-10-22T20:16:14"/>
        <d v="2015-10-22T20:16:13"/>
        <d v="2015-10-22T20:15:18"/>
        <d v="2015-10-22T20:10:20"/>
        <d v="2015-10-22T20:06:46"/>
        <d v="2015-10-22T19:38:51"/>
        <d v="2015-10-22T19:35:05"/>
        <d v="2015-10-22T19:33:30"/>
        <d v="2015-10-22T19:18:19"/>
        <d v="2015-10-22T19:17:38"/>
        <d v="2015-10-22T19:14:59"/>
        <d v="2015-10-22T19:01:21"/>
        <d v="2015-10-22T19:00:38"/>
        <d v="2015-10-22T18:37:52"/>
        <d v="2015-10-22T18:35:03"/>
        <d v="2015-10-22T17:59:18"/>
        <d v="2015-10-22T17:38:31"/>
        <d v="2015-10-22T17:36:59"/>
        <d v="2015-10-22T17:33:40"/>
        <d v="2015-10-22T17:28:30"/>
        <d v="2015-10-22T17:25:02"/>
        <d v="2015-10-22T17:05:25"/>
        <d v="2015-10-22T17:03:59"/>
        <d v="2015-10-22T16:57:52"/>
        <d v="2015-10-22T16:46:03"/>
        <d v="2015-10-22T16:29:43"/>
        <d v="2015-10-22T16:22:32"/>
        <d v="2015-10-22T15:26:55"/>
        <d v="2015-10-22T15:26:16"/>
        <d v="2015-10-22T15:19:13"/>
        <d v="2015-10-22T15:15:39"/>
        <d v="2015-10-22T15:15:30"/>
        <d v="2015-10-22T15:14:52"/>
        <d v="2015-10-22T14:44:00"/>
        <d v="2015-10-22T14:33:03"/>
        <d v="2015-10-22T14:30:30"/>
        <d v="2015-10-22T14:24:07"/>
        <d v="2015-10-22T14:18:11"/>
        <d v="2015-10-22T14:15:21"/>
        <d v="2015-10-22T14:13:13"/>
        <d v="2015-10-22T14:10:11"/>
        <d v="2015-10-22T14:06:42"/>
        <d v="2015-10-22T14:01:07"/>
        <d v="2015-10-22T13:40:47"/>
        <d v="2015-10-22T13:33:39"/>
        <d v="2015-10-22T13:27:51"/>
        <d v="2015-10-22T13:23:32"/>
        <d v="2015-10-22T13:22:13"/>
        <d v="2015-10-22T13:18:42"/>
        <d v="2015-10-22T13:13:18"/>
        <d v="2015-10-22T09:55:54"/>
        <d v="2015-10-22T09:46:44"/>
        <d v="2015-10-22T09:40:27"/>
        <d v="2015-10-22T07:01:15"/>
        <d v="2015-10-22T04:36:25"/>
        <d v="2015-10-22T04:23:19"/>
        <d v="2015-10-22T04:20:29"/>
        <d v="2015-10-22T04:09:36"/>
        <d v="2015-10-22T04:08:21"/>
        <d v="2015-10-22T03:57:26"/>
        <d v="2015-10-22T03:54:17"/>
        <d v="2015-10-22T03:28:23"/>
        <d v="2015-10-22T03:18:19"/>
        <d v="2015-10-22T02:21:36"/>
        <d v="2015-10-22T02:21:26"/>
        <d v="2015-10-22T01:42:24"/>
        <d v="2015-10-22T01:37:05"/>
        <d v="2015-10-22T01:32:48"/>
        <d v="2015-10-22T01:32:23"/>
        <d v="2015-10-22T01:29:10"/>
        <d v="2015-10-22T00:56:46"/>
        <d v="2015-10-22T00:56:16"/>
        <d v="2015-10-22T00:53:57"/>
        <d v="2015-10-22T00:53:46"/>
        <d v="2015-10-22T00:37:10"/>
        <d v="2015-10-22T00:16:46"/>
        <d v="2015-10-22T00:08:33"/>
        <d v="2015-10-21T23:51:08"/>
        <d v="2015-10-21T23:49:57"/>
        <d v="2015-10-21T23:46:50"/>
        <d v="2015-10-21T23:46:15"/>
        <d v="2015-10-21T23:04:17"/>
        <d v="2015-10-21T23:01:09"/>
        <d v="2015-10-21T22:59:54"/>
        <d v="2015-10-21T22:58:45"/>
        <d v="2015-10-21T22:42:33"/>
        <d v="2015-10-21T22:42:01"/>
        <d v="2015-10-21T22:32:05"/>
        <d v="2015-10-21T21:55:10"/>
        <d v="2015-10-21T21:43:29"/>
        <d v="2015-10-21T21:29:06"/>
        <d v="2015-10-21T21:22:19"/>
        <d v="2015-10-21T21:16:57"/>
        <d v="2015-10-21T20:28:11"/>
        <d v="2015-10-21T20:26:16"/>
        <d v="2015-10-21T20:22:25"/>
        <d v="2015-10-21T20:14:37"/>
        <d v="2015-10-21T20:05:44"/>
        <d v="2015-10-21T19:58:01"/>
        <d v="2015-10-21T18:31:30"/>
        <d v="2015-10-21T18:22:30"/>
        <d v="2015-10-21T18:20:03"/>
        <d v="2015-10-21T18:16:47"/>
        <d v="2015-10-21T18:15:43"/>
        <d v="2015-10-21T18:15:04"/>
        <d v="2015-10-21T18:06:35"/>
        <d v="2015-10-21T18:04:38"/>
        <d v="2015-10-21T18:04:28"/>
        <d v="2015-10-21T18:02:23"/>
        <d v="2015-10-21T17:59:28"/>
        <d v="2015-10-21T17:50:40"/>
        <d v="2015-10-21T17:49:08"/>
        <d v="2015-10-21T17:35:32"/>
        <d v="2015-10-21T17:30:24"/>
        <d v="2015-10-21T17:28:31"/>
        <d v="2015-10-21T17:21:56"/>
        <d v="2015-10-21T17:12:50"/>
        <d v="2015-10-21T15:28:47"/>
        <d v="2015-10-21T15:04:25"/>
        <d v="2015-10-21T14:58:49"/>
        <d v="2015-10-21T14:52:54"/>
        <d v="2015-10-21T14:01:26"/>
        <d v="2015-10-21T13:50:52"/>
        <d v="2015-10-21T13:38:33"/>
        <d v="2015-10-21T13:38:26"/>
        <d v="2015-10-21T13:38:25"/>
        <d v="2015-10-21T13:38:24"/>
        <d v="2015-10-21T13:37:32"/>
        <d v="2015-10-21T13:37:18"/>
        <d v="2015-10-21T13:26:51"/>
        <d v="2015-10-21T13:26:37"/>
        <d v="2015-10-21T13:15:52"/>
        <d v="2015-10-21T13:13:53"/>
        <d v="2015-10-21T12:19:48"/>
        <d v="2015-10-21T12:10:37"/>
        <d v="2015-10-21T04:29:15"/>
        <d v="2015-10-21T04:27:19"/>
        <d v="2015-10-21T04:26:12"/>
        <d v="2015-10-21T04:20:34"/>
        <d v="2015-10-21T04:13:21"/>
        <d v="2015-10-21T04:03:18"/>
        <d v="2015-10-21T03:58:41"/>
        <d v="2015-10-21T03:47:34"/>
        <d v="2015-10-21T02:34:58"/>
        <d v="2015-10-21T00:37:49"/>
        <d v="2015-10-21T00:20:32"/>
        <d v="2015-10-21T00:00:44"/>
        <d v="2015-10-20T23:58:08"/>
        <d v="2015-10-20T23:27:47"/>
        <d v="2015-10-20T23:20:44"/>
        <d v="2015-10-20T22:58:45"/>
        <d v="2015-10-20T22:42:44"/>
        <d v="2015-10-20T22:24:00"/>
        <d v="2015-10-20T22:23:10"/>
        <d v="2015-10-20T22:06:12"/>
        <d v="2015-10-20T22:04:04"/>
        <d v="2015-10-20T21:23:10"/>
        <d v="2015-10-20T21:03:27"/>
        <d v="2015-10-20T21:02:40"/>
        <d v="2015-10-20T20:15:16"/>
        <d v="2015-10-20T20:14:13"/>
        <d v="2015-10-20T20:00:32"/>
        <d v="2015-10-20T19:50:09"/>
        <d v="2015-10-20T18:58:19"/>
        <d v="2015-10-20T18:44:41"/>
        <d v="2015-10-20T18:30:57"/>
        <d v="2015-10-20T18:28:31"/>
        <d v="2015-10-20T18:27:27"/>
        <d v="2015-10-20T18:26:38"/>
        <d v="2015-10-20T18:26:30"/>
        <d v="2015-10-20T17:24:39"/>
        <d v="2015-10-20T17:02:21"/>
        <d v="2015-10-20T17:00:28"/>
        <d v="2015-10-20T16:40:17"/>
        <d v="2015-10-20T16:23:57"/>
        <d v="2015-10-20T16:15:15"/>
        <d v="2015-10-20T16:13:13"/>
        <d v="2015-10-20T16:11:10"/>
        <d v="2015-10-20T16:10:11"/>
        <d v="2015-10-20T16:05:54"/>
        <d v="2015-10-20T16:03:46"/>
        <d v="2015-10-20T16:00:22"/>
        <d v="2015-10-20T15:31:07"/>
        <d v="2015-10-20T15:25:50"/>
        <d v="2015-10-20T14:52:14"/>
        <d v="2015-10-20T14:48:52"/>
        <d v="2015-10-20T13:45:32"/>
        <d v="2015-10-20T13:32:16"/>
        <d v="2015-10-20T12:26:40"/>
        <d v="2015-10-20T10:56:22"/>
        <d v="2015-10-20T10:55:27"/>
        <d v="2015-10-20T10:55:24"/>
        <d v="2015-10-20T10:55:13"/>
        <d v="2015-10-20T10:44:55"/>
        <d v="2015-10-20T07:59:15"/>
        <d v="2015-10-20T06:40:09"/>
        <d v="2015-10-20T06:21:20"/>
        <d v="2015-10-20T05:02:59"/>
        <d v="2015-10-20T03:15:05"/>
        <d v="2015-10-20T03:04:55"/>
        <d v="2015-10-20T02:42:42"/>
        <d v="2015-10-20T02:10:21"/>
        <d v="2015-10-20T02:10:20"/>
        <d v="2015-10-20T02:07:34"/>
        <d v="2015-10-20T01:32:10"/>
        <d v="2015-10-20T01:28:27"/>
        <d v="2015-10-20T01:17:50"/>
        <d v="2015-10-20T01:11:07"/>
        <d v="2015-10-20T01:06:37"/>
        <d v="2015-10-20T00:13:52"/>
        <d v="2015-10-20T00:04:07"/>
        <d v="2015-10-20T00:03:38"/>
        <d v="2015-10-19T23:56:51"/>
        <d v="2015-10-19T23:54:50"/>
        <d v="2015-10-19T23:42:58"/>
        <d v="2015-10-19T23:32:26"/>
        <d v="2015-10-19T23:29:41"/>
        <d v="2015-10-19T22:54:24"/>
        <d v="2015-10-19T22:40:08"/>
        <d v="2015-10-19T22:06:03"/>
        <d v="2015-10-19T22:04:21"/>
        <d v="2015-10-19T22:03:06"/>
        <d v="2015-10-19T21:56:49"/>
        <d v="2015-10-19T21:52:48"/>
        <d v="2015-10-19T21:42:33"/>
        <d v="2015-10-19T21:34:06"/>
        <d v="2015-10-19T21:33:51"/>
        <d v="2015-10-19T21:24:10"/>
        <d v="2015-10-19T20:51:24"/>
        <d v="2015-10-19T20:40:48"/>
        <d v="2015-10-19T20:03:59"/>
        <d v="2015-10-19T19:25:21"/>
        <d v="2015-10-19T19:24:54"/>
        <d v="2015-10-19T19:23:53"/>
        <d v="2015-10-19T19:21:04"/>
        <d v="2015-10-19T18:56:49"/>
        <d v="2015-10-19T18:52:02"/>
        <d v="2015-10-19T18:40:02"/>
        <d v="2015-10-19T18:38:33"/>
        <d v="2015-10-19T16:27:30"/>
        <d v="2015-10-19T16:27:23"/>
        <d v="2015-10-19T16:27:14"/>
        <d v="2015-10-19T16:26:45"/>
        <d v="2015-10-19T16:23:54"/>
        <d v="2015-10-19T16:21:49"/>
        <d v="2015-10-19T16:20:03"/>
        <d v="2015-10-19T15:43:48"/>
        <d v="2015-10-19T15:39:35"/>
        <d v="2015-10-19T15:36:34"/>
        <d v="2015-10-19T14:43:59"/>
        <d v="2015-10-19T14:38:31"/>
        <d v="2015-10-19T14:38:23"/>
        <d v="2015-10-19T14:32:56"/>
        <d v="2015-10-19T14:27:45"/>
        <d v="2015-10-19T14:27:23"/>
        <d v="2015-10-19T14:27:12"/>
        <d v="2015-10-19T12:48:43"/>
        <d v="2015-10-19T06:06:39"/>
        <d v="2015-10-19T05:06:48"/>
        <d v="2015-10-19T02:51:32"/>
        <d v="2015-10-19T01:47:24"/>
        <d v="2015-10-19T01:08:59"/>
        <d v="2015-10-19T01:02:44"/>
        <d v="2015-10-19T01:01:41"/>
        <d v="2015-10-19T00:55:28"/>
        <d v="2015-10-19T00:55:16"/>
        <d v="2015-10-19T00:40:21"/>
        <d v="2015-10-19T00:30:18"/>
        <d v="2015-10-19T00:14:18"/>
        <d v="2015-10-19T00:03:37"/>
        <d v="2015-10-18T23:30:51"/>
        <d v="2015-10-18T23:08:16"/>
        <d v="2015-10-18T23:02:06"/>
        <d v="2015-10-18T22:37:31"/>
        <d v="2015-10-18T22:34:10"/>
        <d v="2015-10-18T22:15:36"/>
        <d v="2015-10-18T21:38:32"/>
        <d v="2015-10-18T21:32:42"/>
        <d v="2015-10-18T21:31:24"/>
        <d v="2015-10-18T21:17:33"/>
        <d v="2015-10-18T21:07:56"/>
        <d v="2015-10-18T21:04:28"/>
        <d v="2015-10-18T20:44:59"/>
        <d v="2015-10-18T20:44:38"/>
        <d v="2015-10-18T20:14:00"/>
        <d v="2015-10-18T19:49:53"/>
        <d v="2015-10-18T19:37:51"/>
        <d v="2015-10-18T19:37:50"/>
        <d v="2015-10-18T19:08:00"/>
        <d v="2015-10-18T18:44:45"/>
        <d v="2015-10-18T18:20:07"/>
        <d v="2015-10-18T17:50:17"/>
        <d v="2015-10-18T17:37:24"/>
        <d v="2015-10-18T17:31:17"/>
        <d v="2015-10-18T16:27:00"/>
        <d v="2015-10-18T15:49:16"/>
        <d v="2015-10-18T15:49:00"/>
        <d v="2015-10-18T15:40:22"/>
        <d v="2015-10-18T15:35:40"/>
        <d v="2015-10-18T15:18:00"/>
        <d v="2015-10-18T13:42:12"/>
        <d v="2015-10-18T04:35:58"/>
        <d v="2015-10-18T00:30:25"/>
        <d v="2015-10-18T00:30:13"/>
        <d v="2015-10-17T23:53:19"/>
        <d v="2015-10-17T23:49:22"/>
        <d v="2015-10-17T23:38:32"/>
        <d v="2015-10-17T23:20:30"/>
        <d v="2015-10-17T23:07:49"/>
        <d v="2015-10-17T20:36:59"/>
        <d v="2015-10-17T19:03:21"/>
        <d v="2015-10-17T18:07:29"/>
        <d v="2015-10-17T15:06:23"/>
        <d v="2015-10-17T14:56:34"/>
        <d v="2015-10-17T14:21:28"/>
        <d v="2015-10-17T14:21:21"/>
        <d v="2015-10-17T14:21:00"/>
        <d v="2015-10-17T14:20:53"/>
        <d v="2015-10-17T14:20:37"/>
        <d v="2015-10-17T14:18:00"/>
        <d v="2015-10-17T14:17:59"/>
        <d v="2015-10-17T14:07:59"/>
        <d v="2015-10-17T14:07:51"/>
        <d v="2015-10-17T13:54:15"/>
        <d v="2015-10-17T13:52:42"/>
        <d v="2015-10-17T12:20:15"/>
        <d v="2015-10-17T12:20:07"/>
        <d v="2015-10-17T12:18:37"/>
        <d v="2015-10-17T12:17:31"/>
        <d v="2015-10-17T12:16:37"/>
        <d v="2015-10-17T12:14:13"/>
        <d v="2015-10-17T12:14:08"/>
        <d v="2015-10-17T12:14:00"/>
        <d v="2015-10-17T12:13:54"/>
        <d v="2015-10-17T12:13:44"/>
        <d v="2015-10-17T12:13:40"/>
        <d v="2015-10-17T12:13:33"/>
        <d v="2015-10-17T12:13:25"/>
        <d v="2015-10-17T12:13:21"/>
        <d v="2015-10-17T12:13:11"/>
        <d v="2015-10-17T12:00:58"/>
        <d v="2015-10-17T04:24:14"/>
        <d v="2015-10-17T04:23:21"/>
        <d v="2015-10-17T04:13:05"/>
        <d v="2015-10-17T01:26:29"/>
        <d v="2015-10-16T22:52:09"/>
        <d v="2015-10-16T22:51:50"/>
        <d v="2015-10-16T22:51:41"/>
        <d v="2015-10-16T22:22:58"/>
        <d v="2015-10-16T22:21:33"/>
        <d v="2015-10-16T22:21:19"/>
        <d v="2015-10-16T22:20:58"/>
        <d v="2015-10-16T22:20:38"/>
        <d v="2015-10-16T22:18:09"/>
        <d v="2015-10-16T22:17:13"/>
        <d v="2015-10-16T22:16:56"/>
        <d v="2015-10-16T21:38:22"/>
        <d v="2015-10-16T21:38:14"/>
        <d v="2015-10-16T21:35:51"/>
        <d v="2015-10-16T21:35:30"/>
        <d v="2015-10-16T21:35:11"/>
        <d v="2015-10-16T21:30:36"/>
        <d v="2015-10-16T21:30:25"/>
        <d v="2015-10-16T21:29:43"/>
        <d v="2015-10-16T21:29:30"/>
        <d v="2015-10-16T18:07:13"/>
        <d v="2015-10-16T17:49:09"/>
        <d v="2015-10-16T16:18:28"/>
        <d v="2015-10-16T16:03:20"/>
        <d v="2015-10-16T15:13:38"/>
        <d v="2015-10-16T15:09:26"/>
        <d v="2015-10-16T14:24:44"/>
        <d v="2015-10-16T13:16:55"/>
        <d v="2015-10-16T13:15:47"/>
        <d v="2015-10-16T12:38:05"/>
        <d v="2015-10-16T12:16:22"/>
        <d v="2015-10-16T06:06:19"/>
        <d v="2015-10-16T05:49:05"/>
        <d v="2015-10-16T02:03:51"/>
        <d v="2015-10-16T02:03:35"/>
        <d v="2015-10-16T02:01:10"/>
        <d v="2015-10-16T02:00:58"/>
        <d v="2015-10-16T01:59:28"/>
        <d v="2015-10-16T01:59:15"/>
        <d v="2015-10-16T01:59:03"/>
        <d v="2015-10-16T01:58:46"/>
        <d v="2015-10-16T01:58:30"/>
        <d v="2015-10-16T01:46:28"/>
        <d v="2015-10-16T01:46:20"/>
        <d v="2015-10-16T01:32:21"/>
        <d v="2015-10-16T01:25:17"/>
        <d v="2015-10-16T01:23:55"/>
        <d v="2015-10-16T01:17:32"/>
        <d v="2015-10-16T01:11:37"/>
        <d v="2015-10-16T01:00:37"/>
        <d v="2015-10-16T00:58:37"/>
        <d v="2015-10-16T00:57:19"/>
        <d v="2015-10-16T00:47:21"/>
        <d v="2015-10-16T00:45:32"/>
        <d v="2015-10-16T00:21:24"/>
        <d v="2015-10-15T23:55:55"/>
        <d v="2015-10-15T23:29:48"/>
        <d v="2015-10-15T22:54:45"/>
        <d v="2015-10-15T22:44:25"/>
        <d v="2015-10-15T22:43:02"/>
        <d v="2015-10-15T22:42:12"/>
        <d v="2015-10-15T22:30:24"/>
        <d v="2015-10-15T21:46:08"/>
        <d v="2015-10-15T20:57:21"/>
        <d v="2015-10-15T20:24:02"/>
        <d v="2015-10-15T20:23:37"/>
        <d v="2015-10-15T20:07:52"/>
        <d v="2015-10-15T20:03:21"/>
        <d v="2015-10-15T19:57:49"/>
        <d v="2015-10-15T19:55:34"/>
        <d v="2015-10-15T19:55:03"/>
        <d v="2015-10-15T19:54:13"/>
        <d v="2015-10-15T19:54:09"/>
        <d v="2015-10-15T19:53:50"/>
        <d v="2015-10-15T19:50:07"/>
        <d v="2015-10-15T19:49:37"/>
        <d v="2015-10-15T19:41:14"/>
        <d v="2015-10-15T19:40:54"/>
        <d v="2015-10-15T19:39:43"/>
        <d v="2015-10-15T19:39:20"/>
        <d v="2015-10-15T19:38:35"/>
        <d v="2015-10-15T19:38:30"/>
        <d v="2015-10-15T19:37:53"/>
        <d v="2015-10-15T19:34:38"/>
        <d v="2015-10-15T18:44:09"/>
        <d v="2015-10-15T18:43:03"/>
        <d v="2015-10-15T18:41:05"/>
        <d v="2015-10-15T18:34:49"/>
        <d v="2015-10-15T18:34:10"/>
        <d v="2015-10-15T18:32:19"/>
        <d v="2015-10-15T18:31:35"/>
        <d v="2015-10-15T18:22:14"/>
        <d v="2015-10-15T18:19:19"/>
        <d v="2015-10-15T18:16:00"/>
        <d v="2015-10-15T18:14:50"/>
        <d v="2015-10-15T18:05:51"/>
        <d v="2015-10-15T18:03:18"/>
        <d v="2015-10-15T18:01:55"/>
        <d v="2015-10-15T18:00:29"/>
        <d v="2015-10-15T17:59:13"/>
        <d v="2015-10-15T17:52:39"/>
        <d v="2015-10-15T17:51:28"/>
        <d v="2015-10-15T17:46:58"/>
        <d v="2015-10-15T17:27:35"/>
        <d v="2015-10-15T16:58:05"/>
        <d v="2015-10-15T16:57:39"/>
        <d v="2015-10-15T16:56:58"/>
        <d v="2015-10-15T16:54:54"/>
        <d v="2015-10-15T16:51:34"/>
        <d v="2015-10-15T16:51:22"/>
        <d v="2015-10-15T16:50:14"/>
        <d v="2015-10-15T16:42:36"/>
        <d v="2015-10-15T16:36:24"/>
        <d v="2015-10-15T16:35:28"/>
        <d v="2015-10-15T16:29:01"/>
        <d v="2015-10-15T16:12:06"/>
        <d v="2015-10-15T16:09:05"/>
        <d v="2015-10-15T15:32:23"/>
        <d v="2015-10-15T15:30:40"/>
        <d v="2015-10-15T15:29:25"/>
        <d v="2015-10-15T14:46:04"/>
        <d v="2015-10-15T14:45:51"/>
        <d v="2015-10-15T14:33:31"/>
        <d v="2015-10-15T14:32:56"/>
        <d v="2015-10-15T14:19:08"/>
        <d v="2015-10-15T13:59:07"/>
        <d v="2015-10-15T13:58:46"/>
        <d v="2015-10-15T13:54:41"/>
        <d v="2015-10-15T13:49:40"/>
        <d v="2015-10-15T13:44:35"/>
        <d v="2015-10-15T13:28:30"/>
        <d v="2015-10-15T13:01:18"/>
        <d v="2015-10-15T12:43:31"/>
        <d v="2015-10-15T11:10:40"/>
        <d v="2015-10-15T11:10:31"/>
        <d v="2015-10-15T03:00:00"/>
        <d v="2015-10-15T02:50:04"/>
        <d v="2015-10-15T02:49:55"/>
        <d v="2015-10-15T02:49:16"/>
        <d v="2015-10-15T02:45:53"/>
        <d v="2015-10-15T02:45:06"/>
        <d v="2015-10-15T02:23:20"/>
        <d v="2015-10-15T02:22:29"/>
        <d v="2015-10-15T02:18:24"/>
        <d v="2015-10-15T02:15:46"/>
        <d v="2015-10-15T01:56:25"/>
        <d v="2015-10-15T01:55:15"/>
        <d v="2015-10-15T01:49:20"/>
        <d v="2015-10-15T01:48:11"/>
        <d v="2015-10-15T01:36:00"/>
        <d v="2015-10-15T01:35:05"/>
        <d v="2015-10-15T01:25:35"/>
        <d v="2015-10-15T01:14:32"/>
        <d v="2015-10-15T01:13:35"/>
        <d v="2015-10-15T00:57:21"/>
        <d v="2015-10-15T00:47:05"/>
        <d v="2015-10-14T23:14:21"/>
        <d v="2015-10-14T22:34:14"/>
        <d v="2015-10-14T22:13:47"/>
        <d v="2015-10-14T22:08:12"/>
        <d v="2015-10-14T21:48:14"/>
        <d v="2015-10-14T21:27:05"/>
        <d v="2015-10-14T21:25:34"/>
        <d v="2015-10-14T21:23:13"/>
        <d v="2015-10-14T21:20:14"/>
        <d v="2015-10-14T21:18:02"/>
        <d v="2015-10-14T21:16:33"/>
        <d v="2015-10-14T21:05:55"/>
        <d v="2015-10-14T21:01:41"/>
        <d v="2015-10-14T20:52:33"/>
        <d v="2015-10-14T20:46:57"/>
        <d v="2015-10-14T20:33:12"/>
        <d v="2015-10-14T20:31:28"/>
        <d v="2015-10-14T19:59:57"/>
        <d v="2015-10-14T19:58:39"/>
        <d v="2015-10-14T19:54:55"/>
        <d v="2015-10-14T19:22:43"/>
        <d v="2015-10-14T19:17:40"/>
        <d v="2015-10-14T19:16:45"/>
        <d v="2015-10-14T19:16:40"/>
        <d v="2015-10-14T19:12:56"/>
        <d v="2015-10-14T19:03:38"/>
        <d v="2015-10-14T17:46:45"/>
        <d v="2015-10-14T17:37:14"/>
        <d v="2015-10-14T17:28:25"/>
        <d v="2015-10-14T17:26:28"/>
        <d v="2015-10-14T17:12:51"/>
        <d v="2015-10-14T16:40:06"/>
        <d v="2015-10-14T16:36:26"/>
        <d v="2015-10-14T16:24:18"/>
        <d v="2015-10-14T16:19:35"/>
        <d v="2015-10-14T15:54:37"/>
        <d v="2015-10-14T15:49:42"/>
        <d v="2015-10-14T15:38:08"/>
        <d v="2015-10-14T15:27:59"/>
        <d v="2015-10-14T14:53:54"/>
        <d v="2015-10-14T14:40:08"/>
        <d v="2015-10-14T14:22:52"/>
        <d v="2015-10-14T13:05:33"/>
        <d v="2015-10-14T08:14:23"/>
        <d v="2015-10-14T06:20:28"/>
        <d v="2015-10-14T02:41:42"/>
        <d v="2015-10-14T02:38:56"/>
        <d v="2015-10-14T02:37:09"/>
        <d v="2015-10-14T02:32:19"/>
        <d v="2015-10-14T02:30:59"/>
        <d v="2015-10-14T02:29:41"/>
        <d v="2015-10-14T02:02:58"/>
        <d v="2015-10-14T00:58:15"/>
        <d v="2015-10-14T00:54:28"/>
        <d v="2015-10-14T00:53:02"/>
        <d v="2015-10-14T00:32:34"/>
        <d v="2015-10-14T00:32:07"/>
        <d v="2015-10-13T23:49:05"/>
        <d v="2015-10-13T22:40:17"/>
        <d v="2015-10-13T22:20:09"/>
        <d v="2015-10-13T22:17:27"/>
        <d v="2015-10-13T21:53:49"/>
        <d v="2015-10-13T21:47:26"/>
        <d v="2015-10-13T21:38:13"/>
        <d v="2015-10-13T21:36:09"/>
        <d v="2015-10-13T21:30:00"/>
        <d v="2015-10-13T21:24:15"/>
        <d v="2015-10-13T19:22:17"/>
        <d v="2015-10-13T19:05:44"/>
        <d v="2015-10-13T19:04:29"/>
        <d v="2015-10-13T18:35:25"/>
        <d v="2015-10-13T18:18:12"/>
        <d v="2015-10-13T18:11:26"/>
        <d v="2015-10-13T18:08:11"/>
        <d v="2015-10-13T17:58:04"/>
        <d v="2015-10-13T17:48:07"/>
        <d v="2015-10-13T17:47:46"/>
        <d v="2015-10-13T17:46:56"/>
        <d v="2015-10-13T17:30:12"/>
        <d v="2015-10-13T17:29:07"/>
        <d v="2015-10-13T17:28:56"/>
        <d v="2015-10-13T17:25:31"/>
        <d v="2015-10-13T17:22:56"/>
        <d v="2015-10-13T16:55:02"/>
        <d v="2015-10-13T16:52:28"/>
        <d v="2015-10-13T16:47:38"/>
        <d v="2015-10-13T16:46:40"/>
        <d v="2015-10-13T16:45:45"/>
        <d v="2015-10-13T16:44:16"/>
        <d v="2015-10-13T16:33:55"/>
        <d v="2015-10-13T16:27:15"/>
        <d v="2015-10-13T16:24:33"/>
        <d v="2015-10-13T16:06:06"/>
        <d v="2015-10-13T15:59:57"/>
        <d v="2015-10-13T15:52:59"/>
        <d v="2015-10-13T15:36:04"/>
        <d v="2015-10-13T15:33:51"/>
        <d v="2015-10-13T15:33:34"/>
        <d v="2015-10-13T15:32:52"/>
        <d v="2015-10-13T15:32:41"/>
        <d v="2015-10-13T15:32:29"/>
        <d v="2015-10-13T15:31:34"/>
        <d v="2015-10-13T15:31:20"/>
        <d v="2015-10-13T14:35:52"/>
        <d v="2015-10-13T12:50:20"/>
        <d v="2015-10-13T12:39:56"/>
        <d v="2015-10-13T12:33:58"/>
        <d v="2015-10-13T12:32:11"/>
        <d v="2015-10-13T12:07:49"/>
        <d v="2015-10-13T12:03:08"/>
        <d v="2015-10-13T11:56:30"/>
        <d v="2015-10-13T11:53:50"/>
        <d v="2015-10-13T11:35:35"/>
        <d v="2015-10-13T07:34:23"/>
        <d v="2015-10-13T03:40:50"/>
        <d v="2015-10-13T02:55:47"/>
        <d v="2015-10-13T02:54:08"/>
        <d v="2015-10-13T02:49:55"/>
        <d v="2015-10-13T02:08:06"/>
        <d v="2015-10-13T02:00:16"/>
        <d v="2015-10-13T01:35:05"/>
        <d v="2015-10-13T01:08:22"/>
        <d v="2015-10-13T00:19:17"/>
        <d v="2015-10-13T00:11:47"/>
        <d v="2015-10-12T23:48:33"/>
        <d v="2015-10-12T23:02:20"/>
        <d v="2015-10-12T23:00:43"/>
        <d v="2015-10-12T22:15:46"/>
        <d v="2015-10-12T22:04:35"/>
        <d v="2015-10-12T21:55:34"/>
        <d v="2015-10-12T21:44:15"/>
        <d v="2015-10-12T21:09:18"/>
        <d v="2015-10-12T19:54:43"/>
        <d v="2015-10-12T19:03:18"/>
        <d v="2015-10-12T18:35:41"/>
        <d v="2015-10-12T18:32:44"/>
        <d v="2015-10-12T18:16:10"/>
        <d v="2015-10-12T18:08:43"/>
        <d v="2015-10-12T17:25:38"/>
        <d v="2015-10-12T17:15:36"/>
        <d v="2015-10-12T17:15:15"/>
        <d v="2015-10-12T17:13:47"/>
        <d v="2015-10-12T17:13:46"/>
        <d v="2015-10-12T17:12:25"/>
        <d v="2015-10-12T17:11:52"/>
        <d v="2015-10-12T17:02:59"/>
        <d v="2015-10-12T17:02:01"/>
        <d v="2015-10-12T17:01:22"/>
        <d v="2015-10-12T16:56:44"/>
        <d v="2015-10-12T16:56:06"/>
        <d v="2015-10-12T16:15:50"/>
        <d v="2015-10-12T16:06:42"/>
        <d v="2015-10-12T16:02:14"/>
        <d v="2015-10-12T15:54:10"/>
        <d v="2015-10-12T15:43:53"/>
        <d v="2015-10-12T15:43:22"/>
        <d v="2015-10-12T15:35:14"/>
        <d v="2015-10-12T15:26:30"/>
        <d v="2015-10-12T15:21:52"/>
        <d v="2015-10-12T14:57:33"/>
        <d v="2015-10-12T14:53:35"/>
        <d v="2015-10-12T13:21:26"/>
        <d v="2015-10-12T13:14:53"/>
        <d v="2015-10-12T12:21:45"/>
        <d v="2015-10-12T12:17:17"/>
        <d v="2015-10-12T11:04:25"/>
        <d v="2015-10-12T11:04:11"/>
        <d v="2015-10-12T10:58:52"/>
        <d v="2015-10-12T10:58:39"/>
        <d v="2015-10-12T09:12:56"/>
        <d v="2015-10-12T08:58:41"/>
        <d v="2015-10-12T07:46:11"/>
        <d v="2015-10-12T06:47:51"/>
        <d v="2015-10-12T06:47:35"/>
        <d v="2015-10-12T06:47:31"/>
        <d v="2015-10-12T06:46:18"/>
        <d v="2015-10-12T06:41:52"/>
        <d v="2015-10-12T06:40:56"/>
        <d v="2015-10-12T06:37:34"/>
        <d v="2015-10-12T06:37:28"/>
        <d v="2015-10-12T06:37:20"/>
        <d v="2015-10-12T06:36:56"/>
        <d v="2015-10-12T06:36:04"/>
        <d v="2015-10-12T06:34:08"/>
        <d v="2015-10-12T06:33:52"/>
        <d v="2015-10-12T04:37:56"/>
        <d v="2015-10-12T04:12:19"/>
        <d v="2015-10-12T04:10:22"/>
        <d v="2015-10-12T02:54:22"/>
        <d v="2015-10-12T01:26:46"/>
        <d v="2015-10-12T01:16:10"/>
        <d v="2015-10-12T01:16:03"/>
        <d v="2015-10-12T01:06:46"/>
        <d v="2015-10-12T00:49:09"/>
        <d v="2015-10-12T00:35:34"/>
        <d v="2015-10-11T22:24:55"/>
        <d v="2015-10-11T22:11:34"/>
        <d v="2015-10-11T21:55:12"/>
        <d v="2015-10-11T20:46:02"/>
        <d v="2015-10-11T20:15:22"/>
        <d v="2015-10-11T20:03:44"/>
        <d v="2015-10-11T19:37:38"/>
        <d v="2015-10-11T19:03:46"/>
        <d v="2015-10-11T19:03:31"/>
        <d v="2015-10-11T19:02:07"/>
        <d v="2015-10-11T19:01:27"/>
        <d v="2015-10-11T19:00:18"/>
        <d v="2015-10-11T18:59:51"/>
        <d v="2015-10-11T18:29:33"/>
        <d v="2015-10-11T18:24:01"/>
        <d v="2015-10-11T18:21:43"/>
        <d v="2015-10-11T18:18:30"/>
        <d v="2015-10-11T18:16:35"/>
        <d v="2015-10-11T18:15:17"/>
        <d v="2015-10-11T18:15:08"/>
        <d v="2015-10-11T18:14:51"/>
        <d v="2015-10-11T18:13:01"/>
        <d v="2015-10-11T18:11:21"/>
        <d v="2015-10-11T18:11:03"/>
        <d v="2015-10-11T17:32:09"/>
        <d v="2015-10-11T17:27:39"/>
        <d v="2015-10-11T17:00:24"/>
        <d v="2015-10-11T16:37:01"/>
        <d v="2015-10-11T16:33:34"/>
        <d v="2015-10-11T16:32:46"/>
        <d v="2015-10-11T16:31:27"/>
        <d v="2015-10-11T16:16:03"/>
        <d v="2015-10-11T15:32:25"/>
        <d v="2015-10-11T14:59:03"/>
        <d v="2015-10-11T14:45:31"/>
        <d v="2015-10-11T05:38:51"/>
        <d v="2015-10-11T04:37:08"/>
        <d v="2015-10-11T01:36:06"/>
        <d v="2015-10-10T22:52:27"/>
        <d v="2015-10-10T22:52:03"/>
        <d v="2015-10-10T22:45:28"/>
        <d v="2015-10-10T20:13:40"/>
        <d v="2015-10-10T20:07:05"/>
        <d v="2015-10-10T19:50:10"/>
        <d v="2015-10-10T19:31:11"/>
        <d v="2015-10-10T19:30:03"/>
        <d v="2015-10-10T19:27:42"/>
        <d v="2015-10-10T19:27:07"/>
        <d v="2015-10-10T18:52:38"/>
        <d v="2015-10-10T18:52:22"/>
        <d v="2015-10-10T18:47:46"/>
        <d v="2015-10-10T18:24:49"/>
        <d v="2015-10-10T18:16:33"/>
        <d v="2015-10-10T17:33:19"/>
        <d v="2015-10-10T17:17:46"/>
        <d v="2015-10-10T17:06:54"/>
        <d v="2015-10-10T15:51:43"/>
        <d v="2015-10-10T15:07:10"/>
        <d v="2015-10-10T14:39:13"/>
        <d v="2015-10-10T14:29:10"/>
        <d v="2015-10-10T14:03:14"/>
        <d v="2015-10-10T14:02:35"/>
        <d v="2015-10-10T14:02:15"/>
        <d v="2015-10-10T14:01:40"/>
        <d v="2015-10-10T13:59:37"/>
        <d v="2015-10-10T13:58:47"/>
        <d v="2015-10-10T13:58:05"/>
        <d v="2015-10-10T13:57:31"/>
        <d v="2015-10-10T13:56:45"/>
        <d v="2015-10-10T13:56:15"/>
        <d v="2015-10-10T13:54:40"/>
        <d v="2015-10-10T13:50:27"/>
        <d v="2015-10-10T13:49:44"/>
        <d v="2015-10-10T13:48:55"/>
        <d v="2015-10-10T13:48:32"/>
        <d v="2015-10-10T13:47:50"/>
        <d v="2015-10-10T13:46:31"/>
        <d v="2015-10-10T13:45:43"/>
        <d v="2015-10-10T13:44:35"/>
        <d v="2015-10-10T13:40:53"/>
        <d v="2015-10-10T13:39:46"/>
        <d v="2015-10-10T13:39:19"/>
        <d v="2015-10-10T13:39:12"/>
        <d v="2015-10-10T13:38:09"/>
        <d v="2015-10-10T13:38:08"/>
        <d v="2015-10-10T13:37:52"/>
        <d v="2015-10-10T13:37:50"/>
        <d v="2015-10-10T13:36:33"/>
        <d v="2015-10-10T13:36:14"/>
        <d v="2015-10-10T13:34:57"/>
        <d v="2015-10-10T13:34:34"/>
        <d v="2015-10-10T13:34:25"/>
        <d v="2015-10-10T04:34:43"/>
        <d v="2015-10-10T04:18:54"/>
        <d v="2015-10-10T04:05:05"/>
        <d v="2015-10-10T04:02:03"/>
        <d v="2015-10-10T03:49:25"/>
        <d v="2015-10-10T03:05:05"/>
        <d v="2015-10-10T03:04:51"/>
        <d v="2015-10-10T01:57:37"/>
        <d v="2015-10-10T01:39:15"/>
        <d v="2015-10-10T01:18:26"/>
        <d v="2015-10-09T23:59:46"/>
        <d v="2015-10-09T23:52:08"/>
        <d v="2015-10-09T23:45:15"/>
        <d v="2015-10-09T22:44:28"/>
        <d v="2015-10-09T22:39:20"/>
        <d v="2015-10-09T22:20:41"/>
        <d v="2015-10-09T21:36:57"/>
        <d v="2015-10-09T21:35:46"/>
        <d v="2015-10-09T20:59:34"/>
        <d v="2015-10-09T20:48:22"/>
        <d v="2015-10-09T19:31:22"/>
        <d v="2015-10-09T18:25:38"/>
        <d v="2015-10-09T18:14:53"/>
        <d v="2015-10-09T17:51:42"/>
        <d v="2015-10-09T17:26:48"/>
        <d v="2015-10-09T17:15:11"/>
        <d v="2015-10-09T17:11:14"/>
        <d v="2015-10-09T16:53:16"/>
        <d v="2015-10-09T16:32:59"/>
        <d v="2015-10-09T16:29:42"/>
        <d v="2015-10-09T15:11:05"/>
        <d v="2015-10-09T15:00:26"/>
        <d v="2015-10-09T14:48:29"/>
        <d v="2015-10-09T14:43:18"/>
        <d v="2015-10-09T14:37:23"/>
        <d v="2015-10-09T14:33:12"/>
        <d v="2015-10-09T14:20:39"/>
        <d v="2015-10-09T14:20:21"/>
        <d v="2015-10-09T11:53:24"/>
        <d v="2015-10-09T05:51:07"/>
        <d v="2015-10-09T05:49:58"/>
        <d v="2015-10-09T04:17:27"/>
        <d v="2015-10-09T03:40:26"/>
        <d v="2015-10-09T03:32:00"/>
        <d v="2015-10-09T03:30:51"/>
        <d v="2015-10-09T03:25:46"/>
        <d v="2015-10-09T03:13:41"/>
        <d v="2015-10-09T03:09:18"/>
        <d v="2015-10-09T02:03:43"/>
        <d v="2015-10-09T01:56:13"/>
        <d v="2015-10-08T23:39:13"/>
        <d v="2015-10-08T22:40:28"/>
        <d v="2015-10-08T22:19:43"/>
        <d v="2015-10-08T22:02:53"/>
        <d v="2015-10-08T21:34:17"/>
        <d v="2015-10-08T20:15:33"/>
        <d v="2015-10-08T20:08:54"/>
        <d v="2015-10-08T20:04:07"/>
        <d v="2015-10-08T19:54:52"/>
        <d v="2015-10-08T19:50:42"/>
        <d v="2015-10-08T19:50:00"/>
        <d v="2015-10-08T19:00:49"/>
        <d v="2015-10-08T18:31:32"/>
        <d v="2015-10-08T18:30:44"/>
        <d v="2015-10-08T18:18:41"/>
        <d v="2015-10-08T18:05:56"/>
        <d v="2015-10-08T17:34:48"/>
        <d v="2015-10-08T17:34:25"/>
        <d v="2015-10-08T17:26:00"/>
        <d v="2015-10-08T17:16:16"/>
        <d v="2015-10-08T16:27:29"/>
        <d v="2015-10-08T14:11:33"/>
        <d v="2015-10-08T14:10:45"/>
        <d v="2015-10-08T13:59:20"/>
        <d v="2015-10-08T12:48:01"/>
        <d v="2015-10-08T12:47:46"/>
        <d v="2015-10-08T08:16:30"/>
        <d v="2015-10-08T08:10:37"/>
        <d v="2015-10-08T08:02:59"/>
        <d v="2015-10-08T06:42:38"/>
        <d v="2015-10-08T06:37:36"/>
        <d v="2015-10-08T05:52:38"/>
        <d v="2015-10-08T05:51:57"/>
        <d v="2015-10-08T03:55:26"/>
        <d v="2015-10-08T03:33:25"/>
        <d v="2015-10-08T03:10:47"/>
        <d v="2015-10-08T03:05:27"/>
        <d v="2015-10-08T02:59:15"/>
        <d v="2015-10-08T02:57:39"/>
        <d v="2015-10-08T02:56:18"/>
        <d v="2015-10-08T02:51:49"/>
        <d v="2015-10-08T02:46:03"/>
        <d v="2015-10-08T01:31:23"/>
        <d v="2015-10-08T00:38:55"/>
        <d v="2015-10-08T00:24:05"/>
        <d v="2015-10-07T23:42:36"/>
        <d v="2015-10-07T23:31:49"/>
        <d v="2015-10-07T23:18:01"/>
        <d v="2015-10-07T23:03:00"/>
        <d v="2015-10-07T22:28:45"/>
        <d v="2015-10-07T22:28:16"/>
        <d v="2015-10-07T22:27:03"/>
        <d v="2015-10-07T22:26:59"/>
        <d v="2015-10-07T22:26:52"/>
        <d v="2015-10-07T21:25:15"/>
        <d v="2015-10-07T21:24:37"/>
        <d v="2015-10-07T20:40:26"/>
        <d v="2015-10-07T20:12:27"/>
        <d v="2015-10-07T20:08:36"/>
        <d v="2015-10-07T20:03:39"/>
        <d v="2015-10-07T20:02:43"/>
        <d v="2015-10-07T19:47:12"/>
        <d v="2015-10-07T19:46:38"/>
        <d v="2015-10-07T19:31:50"/>
        <d v="2015-10-07T19:13:55"/>
        <d v="2015-10-07T19:03:21"/>
        <d v="2015-10-07T18:59:27"/>
        <d v="2015-10-07T18:57:17"/>
        <d v="2015-10-07T18:49:57"/>
        <d v="2015-10-07T18:43:00"/>
        <d v="2015-10-07T18:37:33"/>
        <d v="2015-10-07T18:32:45"/>
        <d v="2015-10-07T18:16:06"/>
        <d v="2015-10-07T18:11:20"/>
        <d v="2015-10-07T17:30:17"/>
        <d v="2015-10-07T16:43:46"/>
        <d v="2015-10-07T16:39:53"/>
        <d v="2015-10-07T16:37:19"/>
        <d v="2015-10-07T16:35:16"/>
        <d v="2015-10-07T16:17:15"/>
        <d v="2015-10-07T16:10:06"/>
        <d v="2015-10-07T16:01:54"/>
        <d v="2015-10-07T14:31:38"/>
        <d v="2015-10-07T13:23:32"/>
        <d v="2015-10-07T13:17:23"/>
        <d v="2015-10-07T06:45:05"/>
        <d v="2015-10-07T06:43:40"/>
        <d v="2015-10-07T06:34:26"/>
        <d v="2015-10-07T06:14:14"/>
        <d v="2015-10-07T03:17:53"/>
        <d v="2015-10-07T03:17:52"/>
        <d v="2015-10-07T03:17:34"/>
        <d v="2015-10-07T03:17:15"/>
        <d v="2015-10-07T03:16:52"/>
        <d v="2015-10-07T03:14:23"/>
        <d v="2015-10-07T03:13:56"/>
        <d v="2015-10-07T02:36:10"/>
        <d v="2015-10-07T02:28:43"/>
        <d v="2015-10-07T02:28:12"/>
        <d v="2015-10-07T02:17:55"/>
        <d v="2015-10-07T01:26:06"/>
        <d v="2015-10-07T00:53:46"/>
        <d v="2015-10-07T00:48:45"/>
        <d v="2015-10-07T00:35:22"/>
        <d v="2015-10-07T00:34:44"/>
        <d v="2015-10-07T00:32:57"/>
        <d v="2015-10-07T00:32:26"/>
        <d v="2015-10-07T00:31:55"/>
        <d v="2015-10-07T00:31:26"/>
        <d v="2015-10-07T00:28:17"/>
        <d v="2015-10-07T00:26:57"/>
        <d v="2015-10-06T23:54:25"/>
        <d v="2015-10-06T22:31:34"/>
        <d v="2015-10-06T22:09:29"/>
        <d v="2015-10-06T22:04:29"/>
        <d v="2015-10-06T22:00:07"/>
        <d v="2015-10-06T21:59:21"/>
        <d v="2015-10-06T21:43:47"/>
        <d v="2015-10-06T20:15:40"/>
        <d v="2015-10-06T20:10:44"/>
        <d v="2015-10-06T19:58:06"/>
        <d v="2015-10-06T19:56:30"/>
        <d v="2015-10-06T19:52:42"/>
        <d v="2015-10-06T19:52:41"/>
        <d v="2015-10-06T19:36:52"/>
        <d v="2015-10-06T19:25:12"/>
        <d v="2015-10-06T19:09:59"/>
        <d v="2015-10-06T18:55:39"/>
        <d v="2015-10-06T18:07:03"/>
        <d v="2015-10-06T18:05:33"/>
        <d v="2015-10-06T18:05:13"/>
        <d v="2015-10-06T18:05:07"/>
        <d v="2015-10-06T18:05:01"/>
        <d v="2015-10-06T18:04:50"/>
        <d v="2015-10-06T18:04:43"/>
        <d v="2015-10-06T18:04:36"/>
        <d v="2015-10-06T18:04:30"/>
        <d v="2015-10-06T18:04:29"/>
        <d v="2015-10-06T18:04:23"/>
        <d v="2015-10-06T17:58:47"/>
        <d v="2015-10-06T17:36:02"/>
        <d v="2015-10-06T17:34:33"/>
        <d v="2015-10-06T17:32:49"/>
        <d v="2015-10-06T17:21:59"/>
        <d v="2015-10-06T17:10:54"/>
        <d v="2015-10-06T17:01:02"/>
        <d v="2015-10-06T16:43:07"/>
        <d v="2015-10-06T16:27:29"/>
        <d v="2015-10-06T16:15:04"/>
        <d v="2015-10-06T16:10:53"/>
        <d v="2015-10-06T15:21:59"/>
        <d v="2015-10-06T15:06:42"/>
        <d v="2015-10-06T15:06:11"/>
        <d v="2015-10-06T14:18:20"/>
        <d v="2015-10-06T14:05:15"/>
        <d v="2015-10-06T12:44:50"/>
        <d v="2015-10-06T08:24:57"/>
        <d v="2015-10-06T07:53:52"/>
        <d v="2015-10-06T05:50:05"/>
        <d v="2015-10-06T05:44:09"/>
        <d v="2015-10-06T05:41:30"/>
        <d v="2015-10-06T04:10:00"/>
        <d v="2015-10-06T03:06:16"/>
        <d v="2015-10-06T02:59:30"/>
        <d v="2015-10-06T02:20:47"/>
        <d v="2015-10-06T02:09:13"/>
        <d v="2015-10-06T01:53:39"/>
        <d v="2015-10-06T01:18:10"/>
        <d v="2015-10-06T01:08:03"/>
        <d v="2015-10-06T00:16:27"/>
        <d v="2015-10-06T00:16:22"/>
        <d v="2015-10-06T00:16:14"/>
        <d v="2015-10-06T00:15:53"/>
        <d v="2015-10-05T23:06:27"/>
        <d v="2015-10-05T23:02:47"/>
        <d v="2015-10-05T22:59:30"/>
        <d v="2015-10-05T22:48:49"/>
        <d v="2015-10-05T22:42:06"/>
        <d v="2015-10-05T22:11:01"/>
        <d v="2015-10-05T22:04:20"/>
        <d v="2015-10-05T21:47:10"/>
        <d v="2015-10-05T21:46:05"/>
        <d v="2015-10-05T21:34:48"/>
        <d v="2015-10-05T21:31:46"/>
        <d v="2015-10-05T21:31:26"/>
        <d v="2015-10-05T21:13:41"/>
        <d v="2015-10-05T20:29:33"/>
        <d v="2015-10-05T18:38:23"/>
        <d v="2015-10-05T18:35:04"/>
        <d v="2015-10-05T18:34:40"/>
        <d v="2015-10-05T18:15:01"/>
        <d v="2015-10-05T18:02:14"/>
        <d v="2015-10-05T17:29:17"/>
        <d v="2015-10-05T17:13:55"/>
        <d v="2015-10-05T17:06:17"/>
        <d v="2015-10-05T17:05:27"/>
        <d v="2015-10-05T17:02:38"/>
        <d v="2015-10-05T16:49:02"/>
        <d v="2015-10-05T15:58:36"/>
        <d v="2015-10-05T15:56:35"/>
        <d v="2015-10-05T15:55:54"/>
        <d v="2015-10-05T15:16:00"/>
        <d v="2015-10-05T15:01:47"/>
        <d v="2015-10-05T14:01:44"/>
        <d v="2015-10-05T14:01:20"/>
        <d v="2015-10-05T13:46:27"/>
        <d v="2015-10-05T13:41:03"/>
        <d v="2015-10-05T13:27:54"/>
        <d v="2015-10-05T13:23:03"/>
        <d v="2015-10-05T09:19:42"/>
        <d v="2015-10-05T09:18:06"/>
        <d v="2015-10-05T09:16:17"/>
        <d v="2015-10-05T09:13:30"/>
        <d v="2015-10-05T06:42:20"/>
        <d v="2015-10-05T06:11:40"/>
        <d v="2015-10-05T05:38:07"/>
        <d v="2015-10-05T05:32:04"/>
        <d v="2015-10-05T04:38:30"/>
        <d v="2015-10-05T04:20:01"/>
        <d v="2015-10-05T03:46:35"/>
        <d v="2015-10-05T03:36:32"/>
        <d v="2015-10-05T02:55:03"/>
        <d v="2015-10-05T02:32:13"/>
        <d v="2015-10-05T02:29:56"/>
        <d v="2015-10-05T02:26:11"/>
        <d v="2015-10-05T02:24:45"/>
        <d v="2015-10-05T01:29:55"/>
        <d v="2015-10-05T00:10:36"/>
        <d v="2015-10-04T23:26:19"/>
        <d v="2015-10-04T23:18:00"/>
        <d v="2015-10-04T23:16:47"/>
        <d v="2015-10-04T23:14:36"/>
        <d v="2015-10-04T23:07:31"/>
        <d v="2015-10-04T22:45:49"/>
        <d v="2015-10-04T22:09:28"/>
        <d v="2015-10-04T21:44:12"/>
        <d v="2015-10-04T21:09:22"/>
        <d v="2015-10-04T20:41:02"/>
        <d v="2015-10-04T20:23:44"/>
        <d v="2015-10-04T20:23:23"/>
        <d v="2015-10-04T20:19:26"/>
        <d v="2015-10-04T20:18:21"/>
        <d v="2015-10-04T20:12:01"/>
        <d v="2015-10-04T20:09:29"/>
        <d v="2015-10-04T20:09:00"/>
        <d v="2015-10-04T19:20:50"/>
        <d v="2015-10-04T18:42:48"/>
        <d v="2015-10-04T17:22:33"/>
        <d v="2015-10-04T17:14:14"/>
        <d v="2015-10-04T17:12:05"/>
        <d v="2015-10-04T16:54:08"/>
        <d v="2015-10-04T16:50:07"/>
        <d v="2015-10-04T16:45:28"/>
        <d v="2015-10-04T15:27:17"/>
        <d v="2015-10-04T14:44:49"/>
        <d v="2015-10-04T14:26:43"/>
        <d v="2015-10-04T14:03:17"/>
        <d v="2015-10-04T14:03:16"/>
        <d v="2015-10-04T14:02:24"/>
        <d v="2015-10-04T12:56:36"/>
        <d v="2015-10-04T12:50:45"/>
        <d v="2015-10-04T03:39:34"/>
        <d v="2015-10-04T03:11:32"/>
        <d v="2015-10-04T02:24:55"/>
        <d v="2015-10-04T02:08:04"/>
        <d v="2015-10-04T01:35:03"/>
        <d v="2015-10-04T01:29:36"/>
        <d v="2015-10-04T00:32:27"/>
        <d v="2015-10-04T00:29:56"/>
        <d v="2015-10-03T22:56:10"/>
        <d v="2015-10-03T22:46:17"/>
        <d v="2015-10-03T22:23:49"/>
        <d v="2015-10-03T22:14:24"/>
        <d v="2015-10-03T20:47:01"/>
        <d v="2015-10-03T20:41:56"/>
        <d v="2015-10-03T20:37:14"/>
        <d v="2015-10-03T18:56:58"/>
        <d v="2015-10-03T18:55:52"/>
        <d v="2015-10-03T18:44:21"/>
        <d v="2015-10-03T18:14:00"/>
        <d v="2015-10-03T16:18:48"/>
        <d v="2015-10-03T16:10:54"/>
        <d v="2015-10-03T15:58:47"/>
        <d v="2015-10-03T15:54:29"/>
        <d v="2015-10-03T15:54:07"/>
        <d v="2015-10-03T15:54:02"/>
        <d v="2015-10-03T15:52:18"/>
        <d v="2015-10-03T15:52:07"/>
        <d v="2015-10-03T15:51:57"/>
        <d v="2015-10-03T15:51:42"/>
        <d v="2015-10-03T15:51:03"/>
        <d v="2015-10-03T15:50:47"/>
        <d v="2015-10-03T15:50:21"/>
        <d v="2015-10-03T15:50:05"/>
        <d v="2015-10-03T15:49:28"/>
        <d v="2015-10-03T15:49:19"/>
        <d v="2015-10-03T15:48:53"/>
        <d v="2015-10-03T15:48:47"/>
        <d v="2015-10-03T15:42:46"/>
        <d v="2015-10-03T15:42:40"/>
        <d v="2015-10-03T15:42:34"/>
        <d v="2015-10-03T15:42:26"/>
        <d v="2015-10-03T15:42:23"/>
        <d v="2015-10-03T15:40:57"/>
        <d v="2015-10-03T15:40:46"/>
        <d v="2015-10-03T15:40:33"/>
        <d v="2015-10-03T15:40:25"/>
        <d v="2015-10-03T15:38:04"/>
        <d v="2015-10-03T15:38:00"/>
        <d v="2015-10-03T15:37:59"/>
        <d v="2015-10-03T15:37:57"/>
        <d v="2015-10-03T15:37:34"/>
        <d v="2015-10-03T15:37:24"/>
        <d v="2015-10-03T15:37:06"/>
        <d v="2015-10-03T15:36:22"/>
        <d v="2015-10-03T15:36:18"/>
        <d v="2015-10-03T15:34:21"/>
        <d v="2015-10-03T15:34:13"/>
        <d v="2015-10-03T15:34:08"/>
        <d v="2015-10-03T15:34:00"/>
        <d v="2015-10-03T15:33:13"/>
        <d v="2015-10-03T15:33:02"/>
        <d v="2015-10-03T15:32:28"/>
        <d v="2015-10-03T15:32:22"/>
        <d v="2015-10-03T15:32:12"/>
        <d v="2015-10-03T15:32:04"/>
        <d v="2015-10-03T14:01:14"/>
        <d v="2015-10-03T13:58:05"/>
        <d v="2015-10-03T13:57:25"/>
        <d v="2015-10-03T13:56:15"/>
        <d v="2015-10-03T13:55:35"/>
        <d v="2015-10-03T13:55:28"/>
        <d v="2015-10-03T13:53:17"/>
        <d v="2015-10-03T13:52:23"/>
        <d v="2015-10-03T10:49:10"/>
        <d v="2015-10-03T09:35:37"/>
        <d v="2015-10-03T07:06:24"/>
        <d v="2015-10-03T07:06:09"/>
        <d v="2015-10-03T07:05:44"/>
        <d v="2015-10-03T07:05:30"/>
        <d v="2015-10-03T07:04:50"/>
        <d v="2015-10-03T07:04:49"/>
        <d v="2015-10-03T07:01:47"/>
        <d v="2015-10-03T07:01:02"/>
        <d v="2015-10-03T07:01:00"/>
        <d v="2015-10-03T07:00:59"/>
        <d v="2015-10-03T03:17:55"/>
        <d v="2015-10-03T02:38:23"/>
        <d v="2015-10-02T23:19:22"/>
        <d v="2015-10-02T19:51:25"/>
        <d v="2015-10-02T19:41:01"/>
        <d v="2015-10-02T19:11:22"/>
        <d v="2015-10-02T19:11:05"/>
        <d v="2015-10-02T19:10:15"/>
        <d v="2015-10-02T19:10:03"/>
        <d v="2015-10-02T19:09:52"/>
        <d v="2015-10-02T19:09:25"/>
        <d v="2015-10-02T19:08:56"/>
        <d v="2015-10-02T19:08:44"/>
        <d v="2015-10-02T19:08:30"/>
        <d v="2015-10-02T19:08:17"/>
        <d v="2015-10-02T19:07:59"/>
        <d v="2015-10-02T19:07:15"/>
        <d v="2015-10-02T19:07:14"/>
        <d v="2015-10-02T18:54:57"/>
        <d v="2015-10-02T18:54:52"/>
        <d v="2015-10-02T18:54:20"/>
        <d v="2015-10-02T18:54:13"/>
        <d v="2015-10-02T18:54:07"/>
        <d v="2015-10-02T18:54:03"/>
        <d v="2015-10-02T18:53:40"/>
        <d v="2015-10-02T18:53:17"/>
        <d v="2015-10-02T18:53:10"/>
        <d v="2015-10-02T18:53:06"/>
        <d v="2015-10-02T18:52:54"/>
        <d v="2015-10-02T18:52:48"/>
        <d v="2015-10-02T18:52:42"/>
        <d v="2015-10-02T18:52:29"/>
        <d v="2015-10-02T18:52:23"/>
        <d v="2015-10-02T18:52:20"/>
        <d v="2015-10-02T18:52:14"/>
        <d v="2015-10-02T18:52:06"/>
        <d v="2015-10-02T18:51:55"/>
        <d v="2015-10-02T18:51:52"/>
        <d v="2015-10-02T18:51:49"/>
        <d v="2015-10-02T18:51:44"/>
        <d v="2015-10-02T18:51:18"/>
        <d v="2015-10-02T18:51:12"/>
        <d v="2015-10-02T18:50:56"/>
        <d v="2015-10-02T18:50:41"/>
        <d v="2015-10-02T18:50:37"/>
        <d v="2015-10-02T18:48:10"/>
        <d v="2015-10-02T18:47:57"/>
        <d v="2015-10-02T18:41:52"/>
        <d v="2015-10-02T18:35:43"/>
        <d v="2015-10-02T18:33:04"/>
        <d v="2015-10-02T18:33:03"/>
        <d v="2015-10-02T18:32:43"/>
        <d v="2015-10-02T18:32:10"/>
        <d v="2015-10-02T18:31:56"/>
        <d v="2015-10-02T18:31:41"/>
        <d v="2015-10-02T18:31:16"/>
        <d v="2015-10-02T18:27:07"/>
        <d v="2015-10-02T18:26:47"/>
        <d v="2015-10-02T18:26:36"/>
        <d v="2015-10-02T18:26:26"/>
        <d v="2015-10-02T18:21:45"/>
        <d v="2015-10-02T18:21:32"/>
        <d v="2015-10-02T18:15:37"/>
        <d v="2015-10-02T18:15:33"/>
        <d v="2015-10-02T18:15:24"/>
        <d v="2015-10-02T18:14:48"/>
        <d v="2015-10-02T18:14:25"/>
        <d v="2015-10-02T18:12:02"/>
        <d v="2015-10-02T18:11:22"/>
        <d v="2015-10-02T17:54:50"/>
        <d v="2015-10-02T17:54:38"/>
        <d v="2015-10-02T17:42:20"/>
        <d v="2015-10-02T17:42:04"/>
        <d v="2015-10-02T17:41:58"/>
        <d v="2015-10-02T17:41:40"/>
        <d v="2015-10-02T17:41:39"/>
        <d v="2015-10-02T17:41:15"/>
        <d v="2015-10-02T17:41:05"/>
        <d v="2015-10-02T17:40:52"/>
        <d v="2015-10-02T17:40:42"/>
        <d v="2015-10-02T17:40:21"/>
        <d v="2015-10-02T17:40:04"/>
        <d v="2015-10-02T17:39:45"/>
        <d v="2015-10-02T17:39:37"/>
        <d v="2015-10-02T17:39:09"/>
        <d v="2015-10-02T17:38:55"/>
        <d v="2015-10-02T17:07:06"/>
        <d v="2015-10-02T17:06:25"/>
        <d v="2015-10-02T17:06:09"/>
        <d v="2015-10-02T17:05:02"/>
        <d v="2015-10-02T16:48:52"/>
        <d v="2015-10-02T16:45:54"/>
        <d v="2015-10-02T16:40:29"/>
        <d v="2015-10-02T16:39:46"/>
        <d v="2015-10-02T16:39:27"/>
        <d v="2015-10-02T16:39:20"/>
        <d v="2015-10-02T16:25:14"/>
        <d v="2015-10-02T16:24:51"/>
        <d v="2015-10-02T16:24:33"/>
        <d v="2015-10-02T16:24:08"/>
        <d v="2015-10-02T16:23:49"/>
        <d v="2015-10-02T16:23:47"/>
        <d v="2015-10-02T16:23:39"/>
        <d v="2015-10-02T16:22:43"/>
        <d v="2015-10-02T16:18:30"/>
        <d v="2015-10-02T15:23:44"/>
        <d v="2015-10-02T15:23:43"/>
        <d v="2015-10-02T15:23:41"/>
        <d v="2015-10-02T15:13:04"/>
        <d v="2015-10-02T15:11:46"/>
        <d v="2015-10-02T15:10:52"/>
        <d v="2015-10-02T15:10:25"/>
        <d v="2015-10-02T15:10:10"/>
        <d v="2015-10-02T15:06:58"/>
        <d v="2015-10-02T15:04:28"/>
        <d v="2015-10-02T15:03:59"/>
        <d v="2015-10-02T14:31:57"/>
        <d v="2015-10-02T14:30:38"/>
        <d v="2015-10-02T14:23:17"/>
        <d v="2015-10-02T14:22:10"/>
        <d v="2015-10-02T13:51:53"/>
        <d v="2015-10-02T13:38:04"/>
        <d v="2015-10-02T12:09:56"/>
        <d v="2015-10-02T11:47:35"/>
        <d v="2015-10-02T11:46:54"/>
        <d v="2015-10-02T11:46:41"/>
        <d v="2015-10-02T11:46:34"/>
        <d v="2015-10-02T11:46:10"/>
        <d v="2015-10-02T11:45:53"/>
        <d v="2015-10-02T11:09:05"/>
        <d v="2015-10-02T11:08:55"/>
        <d v="2015-10-02T11:08:50"/>
        <d v="2015-10-02T11:08:40"/>
        <d v="2015-10-02T11:08:36"/>
        <d v="2015-10-02T11:08:30"/>
        <d v="2015-10-02T11:08:23"/>
        <d v="2015-10-02T11:08:16"/>
        <d v="2015-10-02T11:08:04"/>
        <d v="2015-10-02T10:53:36"/>
        <d v="2015-10-02T10:53:24"/>
        <d v="2015-10-02T10:49:35"/>
        <d v="2015-10-02T10:49:24"/>
        <d v="2015-10-02T10:48:57"/>
        <d v="2015-10-02T10:48:05"/>
        <d v="2015-10-02T10:47:46"/>
        <d v="2015-10-02T10:47:22"/>
        <d v="2015-10-02T10:47:08"/>
        <d v="2015-10-02T10:46:53"/>
        <d v="2015-10-02T10:44:18"/>
        <d v="2015-10-02T10:44:08"/>
        <d v="2015-10-02T10:43:35"/>
        <d v="2015-10-02T10:30:25"/>
        <d v="2015-10-02T10:29:27"/>
        <d v="2015-10-02T10:29:12"/>
        <d v="2015-10-02T10:27:47"/>
        <d v="2015-10-02T10:26:19"/>
        <d v="2015-10-02T10:24:50"/>
        <d v="2015-10-02T10:24:31"/>
        <d v="2015-10-02T10:24:24"/>
        <d v="2015-10-02T10:23:41"/>
        <d v="2015-10-02T10:21:59"/>
        <d v="2015-10-02T10:21:46"/>
        <d v="2015-10-02T10:21:10"/>
        <d v="2015-10-02T10:20:44"/>
        <d v="2015-10-02T10:20:15"/>
        <d v="2015-10-02T10:18:30"/>
        <d v="2015-10-02T10:09:05"/>
        <d v="2015-10-02T10:02:23"/>
        <d v="2015-10-02T09:42:34"/>
        <d v="2015-10-02T09:42:23"/>
        <d v="2015-10-02T09:41:46"/>
        <d v="2015-10-02T09:41:22"/>
        <d v="2015-10-02T09:41:21"/>
        <d v="2015-10-02T09:40:36"/>
        <d v="2015-10-02T05:59:42"/>
        <d v="2015-10-02T05:52:09"/>
        <d v="2015-10-02T02:33:08"/>
        <d v="2015-10-02T02:22:10"/>
        <d v="2015-10-02T01:54:29"/>
        <d v="2015-10-02T01:50:56"/>
        <d v="2015-10-02T01:37:50"/>
        <d v="2015-10-02T01:37:35"/>
        <d v="2015-10-02T01:36:12"/>
        <d v="2015-10-02T01:36:01"/>
        <d v="2015-10-02T01:32:27"/>
        <d v="2015-10-02T01:31:48"/>
        <d v="2015-10-02T01:31:33"/>
        <d v="2015-10-01T22:46:26"/>
        <d v="2015-10-01T22:45:44"/>
        <d v="2015-10-01T22:45:23"/>
        <d v="2015-10-01T22:05:56"/>
        <d v="2015-10-01T21:43:51"/>
        <d v="2015-10-01T21:07:40"/>
        <d v="2015-10-01T20:05:44"/>
        <d v="2015-10-01T19:51:33"/>
        <d v="2015-10-01T19:37:39"/>
        <d v="2015-10-01T19:34:46"/>
        <d v="2015-10-01T19:23:37"/>
        <d v="2015-10-01T18:31:10"/>
        <d v="2015-10-01T18:13:03"/>
        <d v="2015-10-01T17:34:37"/>
        <d v="2015-10-01T17:22:27"/>
        <d v="2015-10-01T17:12:22"/>
        <d v="2015-10-01T17:10:01"/>
        <d v="2015-10-01T16:49:14"/>
        <d v="2015-10-01T16:33:28"/>
        <d v="2015-10-01T15:27:45"/>
        <d v="2015-10-01T15:10:09"/>
        <d v="2015-10-01T15:00:33"/>
        <d v="2015-10-01T14:58:11"/>
        <d v="2015-10-01T14:52:54"/>
        <d v="2015-10-01T14:52:53"/>
        <d v="2015-10-01T14:50:41"/>
        <d v="2015-10-01T14:47:31"/>
        <d v="2015-10-01T14:47:29"/>
        <d v="2015-10-01T14:47:04"/>
        <d v="2015-10-01T14:28:41"/>
        <d v="2015-10-01T14:18:36"/>
        <d v="2015-10-01T14:16:40"/>
        <d v="2015-10-01T14:16:21"/>
        <d v="2015-10-01T14:15:47"/>
        <d v="2015-10-01T14:15:08"/>
        <d v="2015-10-01T14:13:55"/>
        <d v="2015-10-01T14:12:47"/>
        <d v="2015-10-01T14:07:38"/>
        <d v="2015-10-01T13:54:38"/>
        <d v="2015-10-01T13:54:00"/>
        <d v="2015-10-01T13:45:26"/>
        <d v="2015-10-01T13:42:55"/>
        <d v="2015-10-01T13:40:43"/>
        <d v="2015-10-01T13:40:20"/>
        <d v="2015-10-01T13:39:58"/>
        <d v="2015-10-01T13:39:54"/>
        <d v="2015-10-01T13:39:10"/>
        <d v="2015-10-01T13:38:14"/>
        <d v="2015-10-01T13:37:31"/>
        <d v="2015-10-01T13:36:49"/>
        <d v="2015-10-01T13:36:09"/>
        <d v="2015-10-01T13:32:40"/>
        <d v="2015-10-01T13:31:38"/>
        <d v="2015-10-01T13:28:58"/>
        <d v="2015-10-01T11:27:05"/>
        <d v="2015-10-01T11:25:48"/>
        <d v="2015-10-01T10:45:08"/>
        <d v="2015-10-01T05:46:45"/>
        <d v="2015-10-01T05:19:51"/>
        <d v="2015-10-01T05:07:03"/>
        <d v="2015-10-01T02:40:45"/>
        <d v="2015-10-01T02:32:42"/>
        <d v="2015-10-01T02:27:14"/>
        <d v="2015-10-01T02:20:42"/>
        <d v="2015-10-01T02:10:50"/>
        <d v="2015-10-01T02:08:17"/>
        <d v="2015-10-01T01:52:31"/>
        <d v="2015-10-01T01:39:41"/>
        <d v="2015-10-01T01:19:47"/>
        <d v="2015-10-01T00:59:26"/>
        <d v="2015-10-01T00:44:27"/>
        <d v="2015-10-01T00:27:29"/>
        <d v="2015-10-01T00:12:10"/>
        <d v="2015-10-01T00:09:31"/>
        <d v="2015-10-01T00:04:02"/>
        <d v="2015-09-30T23:55:36"/>
        <d v="2015-09-30T23:53:09"/>
        <d v="2015-09-30T23:52:42"/>
        <d v="2015-09-30T23:49:31"/>
        <d v="2015-09-30T23:40:48"/>
        <d v="2015-09-30T23:37:02"/>
        <d v="2015-09-30T23:36:53"/>
        <d v="2015-09-30T23:29:55"/>
        <d v="2015-09-30T23:29:06"/>
        <d v="2015-09-30T23:22:09"/>
        <d v="2015-09-30T23:20:54"/>
        <d v="2015-09-30T23:19:43"/>
        <d v="2015-09-30T23:17:31"/>
        <d v="2015-09-30T23:13:19"/>
        <d v="2015-09-30T22:26:01"/>
        <d v="2015-09-30T21:46:44"/>
        <d v="2015-09-30T21:45:52"/>
        <d v="2015-09-30T21:40:15"/>
        <d v="2015-09-30T21:35:36"/>
        <d v="2015-09-30T21:33:48"/>
        <d v="2015-09-30T21:30:39"/>
        <d v="2015-09-30T21:17:20"/>
        <d v="2015-09-30T20:53:39"/>
        <d v="2015-09-30T20:43:36"/>
        <d v="2015-09-30T20:23:40"/>
        <d v="2015-09-30T20:18:37"/>
        <d v="2015-09-30T20:09:00"/>
        <d v="2015-09-30T20:08:58"/>
        <d v="2015-09-30T19:57:33"/>
        <d v="2015-09-30T19:56:56"/>
        <d v="2015-09-30T19:18:15"/>
        <d v="2015-09-30T19:09:27"/>
        <d v="2015-09-30T19:04:48"/>
        <d v="2015-09-30T18:00:54"/>
        <d v="2015-09-30T17:20:57"/>
        <d v="2015-09-30T16:43:23"/>
        <d v="2015-09-30T16:31:55"/>
        <d v="2015-09-30T16:22:45"/>
        <d v="2015-09-30T16:22:07"/>
        <d v="2015-09-30T16:00:10"/>
        <d v="2015-09-30T15:59:51"/>
        <d v="2015-09-30T15:54:37"/>
        <d v="2015-09-30T15:38:38"/>
        <d v="2015-09-30T15:13:17"/>
        <d v="2015-09-30T15:10:15"/>
        <d v="2015-09-30T14:59:10"/>
        <d v="2015-09-30T14:26:30"/>
        <d v="2015-09-30T13:58:06"/>
        <d v="2015-09-30T13:55:04"/>
        <d v="2015-09-30T13:53:33"/>
        <d v="2015-09-30T13:53:29"/>
        <d v="2015-09-30T13:53:13"/>
        <d v="2015-09-30T13:50:54"/>
        <d v="2015-09-30T13:50:35"/>
        <d v="2015-09-30T13:48:45"/>
        <d v="2015-09-30T13:48:18"/>
        <d v="2015-09-30T13:21:37"/>
        <d v="2015-09-30T13:19:51"/>
        <d v="2015-09-30T13:02:15"/>
        <d v="2015-09-30T12:51:15"/>
        <d v="2015-09-30T12:50:50"/>
        <d v="2015-09-30T12:50:49"/>
        <d v="2015-09-30T12:50:34"/>
        <d v="2015-09-30T12:49:47"/>
        <d v="2015-09-30T12:49:07"/>
        <d v="2015-09-30T11:39:00"/>
        <d v="2015-09-30T11:24:00"/>
        <d v="2015-09-30T11:13:01"/>
        <d v="2015-09-30T05:19:03"/>
        <d v="2015-09-30T05:03:01"/>
        <d v="2015-09-30T04:53:18"/>
        <d v="2015-09-30T04:53:17"/>
        <d v="2015-09-30T04:47:49"/>
        <d v="2015-09-30T04:00:00"/>
        <d v="2015-09-30T03:43:48"/>
        <d v="2015-09-30T03:43:08"/>
        <d v="2015-09-30T03:22:59"/>
        <d v="2015-09-30T03:18:59"/>
        <d v="2015-09-30T03:17:30"/>
        <d v="2015-09-30T03:15:35"/>
        <d v="2015-09-30T03:15:15"/>
        <d v="2015-09-30T03:14:49"/>
        <d v="2015-09-30T03:14:06"/>
        <d v="2015-09-30T03:03:00"/>
        <d v="2015-09-30T01:34:25"/>
        <d v="2015-09-30T01:24:15"/>
        <d v="2015-09-30T01:21:22"/>
        <d v="2015-09-30T00:47:57"/>
        <d v="2015-09-30T00:47:55"/>
        <d v="2015-09-30T00:25:08"/>
        <d v="2015-09-30T00:25:07"/>
        <d v="2015-09-30T00:02:00"/>
        <d v="2015-09-29T22:38:58"/>
        <d v="2015-09-29T22:33:19"/>
        <d v="2015-09-29T21:50:50"/>
        <d v="2015-09-29T21:46:32"/>
        <d v="2015-09-29T21:44:23"/>
        <d v="2015-09-29T20:55:26"/>
        <d v="2015-09-29T20:32:13"/>
        <d v="2015-09-29T20:29:28"/>
        <d v="2015-09-29T20:22:41"/>
        <d v="2015-09-29T20:17:29"/>
        <d v="2015-09-29T20:15:58"/>
        <d v="2015-09-29T20:11:45"/>
        <d v="2015-09-29T20:11:18"/>
        <d v="2015-09-29T20:11:03"/>
        <d v="2015-09-29T20:10:59"/>
        <d v="2015-09-29T20:08:47"/>
        <d v="2015-09-29T20:08:34"/>
        <d v="2015-09-29T20:02:39"/>
        <d v="2015-09-29T20:02:23"/>
        <d v="2015-09-29T19:52:00"/>
        <d v="2015-09-29T19:49:56"/>
        <d v="2015-09-29T18:46:12"/>
        <d v="2015-09-29T17:37:45"/>
        <d v="2015-09-29T17:28:08"/>
        <d v="2015-09-29T16:59:26"/>
        <d v="2015-09-29T16:57:46"/>
        <d v="2015-09-29T16:54:08"/>
        <d v="2015-09-29T16:54:00"/>
        <d v="2015-09-29T16:53:16"/>
        <d v="2015-09-29T16:48:57"/>
        <d v="2015-09-29T16:47:28"/>
        <d v="2015-09-29T16:47:01"/>
        <d v="2015-09-29T16:45:44"/>
        <d v="2015-09-29T16:45:22"/>
        <d v="2015-09-29T16:43:34"/>
        <d v="2015-09-29T16:43:11"/>
        <d v="2015-09-29T16:41:15"/>
        <d v="2015-09-29T16:30:39"/>
        <d v="2015-09-29T16:16:41"/>
        <d v="2015-09-29T16:16:17"/>
        <d v="2015-09-29T16:12:24"/>
        <d v="2015-09-29T16:07:29"/>
        <d v="2015-09-29T16:00:48"/>
        <d v="2015-09-29T15:57:38"/>
        <d v="2015-09-29T15:56:49"/>
        <d v="2015-09-29T15:54:10"/>
        <d v="2015-09-29T15:52:31"/>
        <d v="2015-09-29T15:45:58"/>
        <d v="2015-09-29T15:28:47"/>
        <d v="2015-09-29T15:25:15"/>
        <d v="2015-09-29T15:12:16"/>
        <d v="2015-09-29T15:12:09"/>
        <d v="2015-09-29T15:11:28"/>
        <d v="2015-09-29T15:11:19"/>
        <d v="2015-09-29T15:02:19"/>
        <d v="2015-09-29T15:01:57"/>
        <d v="2015-09-29T15:00:42"/>
        <d v="2015-09-29T15:00:30"/>
        <d v="2015-09-29T14:52:09"/>
        <d v="2015-09-29T14:51:48"/>
        <d v="2015-09-29T14:42:11"/>
        <d v="2015-09-29T14:35:32"/>
        <d v="2015-09-29T14:19:44"/>
        <d v="2015-09-29T14:03:18"/>
        <d v="2015-09-29T14:02:52"/>
        <d v="2015-09-29T13:59:30"/>
        <d v="2015-09-29T13:51:34"/>
        <d v="2015-09-29T13:51:18"/>
        <d v="2015-09-29T13:39:02"/>
        <d v="2015-09-29T13:35:10"/>
        <d v="2015-09-29T13:35:08"/>
        <d v="2015-09-29T13:17:30"/>
        <d v="2015-09-29T13:06:08"/>
        <d v="2015-09-29T11:11:27"/>
        <d v="2015-09-29T07:29:17"/>
        <d v="2015-09-29T05:47:10"/>
        <d v="2015-09-29T04:38:14"/>
        <d v="2015-09-29T03:31:11"/>
        <d v="2015-09-29T03:27:18"/>
        <d v="2015-09-29T01:53:03"/>
        <d v="2015-09-29T01:32:57"/>
        <d v="2015-09-29T01:22:17"/>
        <d v="2015-09-29T00:59:43"/>
        <d v="2015-09-29T00:52:02"/>
        <d v="2015-09-29T00:29:50"/>
        <d v="2015-09-29T00:13:00"/>
        <d v="2015-09-29T00:12:24"/>
        <d v="2015-09-29T00:04:15"/>
        <d v="2015-09-29T00:01:14"/>
        <d v="2015-09-28T23:53:49"/>
        <d v="2015-09-28T23:41:16"/>
        <d v="2015-09-28T23:03:19"/>
        <d v="2015-09-28T23:01:57"/>
        <d v="2015-09-28T22:57:16"/>
        <d v="2015-09-28T22:56:55"/>
        <d v="2015-09-28T22:29:46"/>
        <d v="2015-09-28T22:07:55"/>
        <d v="2015-09-28T22:01:01"/>
        <d v="2015-09-28T21:55:03"/>
        <d v="2015-09-28T21:48:26"/>
        <d v="2015-09-28T21:31:10"/>
        <d v="2015-09-28T21:25:21"/>
        <d v="2015-09-28T20:30:06"/>
        <d v="2015-09-28T20:21:52"/>
        <d v="2015-09-28T20:00:43"/>
        <d v="2015-09-28T20:00:22"/>
        <d v="2015-09-28T19:53:33"/>
        <d v="2015-09-28T19:52:09"/>
        <d v="2015-09-28T19:50:40"/>
        <d v="2015-09-28T19:50:11"/>
        <d v="2015-09-28T19:42:00"/>
        <d v="2015-09-28T19:36:15"/>
        <d v="2015-09-28T19:34:37"/>
        <d v="2015-09-28T19:32:23"/>
        <d v="2015-09-28T19:31:29"/>
        <d v="2015-09-28T19:26:42"/>
        <d v="2015-09-28T19:26:41"/>
        <d v="2015-09-28T19:26:30"/>
        <d v="2015-09-28T19:23:07"/>
        <d v="2015-09-28T19:22:39"/>
        <d v="2015-09-28T19:20:44"/>
        <d v="2015-09-28T19:13:35"/>
        <d v="2015-09-28T19:13:22"/>
        <d v="2015-09-28T19:12:31"/>
        <d v="2015-09-28T19:07:22"/>
        <d v="2015-09-28T19:05:28"/>
        <d v="2015-09-28T19:04:44"/>
        <d v="2015-09-28T18:46:49"/>
        <d v="2015-09-28T18:45:04"/>
        <d v="2015-09-28T18:41:58"/>
        <d v="2015-09-28T18:06:47"/>
        <d v="2015-09-28T18:06:37"/>
        <d v="2015-09-28T17:39:32"/>
        <d v="2015-09-28T17:33:52"/>
        <d v="2015-09-28T17:28:50"/>
        <d v="2015-09-28T17:27:21"/>
        <d v="2015-09-28T17:18:34"/>
        <d v="2015-09-28T17:17:54"/>
        <d v="2015-09-28T16:48:09"/>
        <d v="2015-09-28T16:18:45"/>
        <d v="2015-09-28T15:39:44"/>
        <d v="2015-09-28T15:28:36"/>
        <d v="2015-09-28T15:02:00"/>
        <d v="2015-09-28T14:13:13"/>
        <d v="2015-09-28T14:04:50"/>
        <d v="2015-09-28T13:48:10"/>
        <d v="2015-09-28T05:54:26"/>
        <d v="2015-09-28T05:46:53"/>
        <d v="2015-09-28T05:36:40"/>
        <d v="2015-09-28T03:45:35"/>
        <d v="2015-09-28T03:17:08"/>
        <d v="2015-09-28T02:42:46"/>
        <d v="2015-09-28T02:22:02"/>
        <d v="2015-09-28T02:05:05"/>
        <d v="2015-09-28T01:56:15"/>
        <d v="2015-09-28T01:48:09"/>
        <d v="2015-09-28T01:39:53"/>
        <d v="2015-09-28T01:39:27"/>
        <d v="2015-09-28T01:36:37"/>
        <d v="2015-09-28T01:07:39"/>
        <d v="2015-09-28T00:50:01"/>
        <d v="2015-09-28T00:45:23"/>
        <d v="2015-09-28T00:43:56"/>
        <d v="2015-09-28T00:41:41"/>
        <d v="2015-09-28T00:37:28"/>
        <d v="2015-09-28T00:37:00"/>
        <d v="2015-09-28T00:31:56"/>
        <d v="2015-09-28T00:15:53"/>
        <d v="2015-09-28T00:09:18"/>
        <d v="2015-09-27T23:43:20"/>
        <d v="2015-09-27T22:47:06"/>
        <d v="2015-09-27T22:37:32"/>
        <d v="2015-09-27T22:27:45"/>
        <d v="2015-09-27T22:12:19"/>
        <d v="2015-09-27T20:41:16"/>
        <d v="2015-09-27T20:40:01"/>
        <d v="2015-09-27T20:39:18"/>
        <d v="2015-09-27T20:35:12"/>
        <d v="2015-09-27T20:30:30"/>
        <d v="2015-09-27T20:30:05"/>
        <d v="2015-09-27T20:29:06"/>
        <d v="2015-09-27T20:27:26"/>
        <d v="2015-09-27T20:26:55"/>
        <d v="2015-09-27T20:24:24"/>
        <d v="2015-09-27T20:23:58"/>
        <d v="2015-09-27T20:19:12"/>
        <d v="2015-09-27T20:16:42"/>
        <d v="2015-09-27T20:11:19"/>
        <d v="2015-09-27T20:09:00"/>
        <d v="2015-09-27T20:03:51"/>
        <d v="2015-09-27T19:49:51"/>
        <d v="2015-09-27T19:28:41"/>
        <d v="2015-09-27T19:24:49"/>
        <d v="2015-09-27T19:14:21"/>
        <d v="2015-09-27T18:46:20"/>
        <d v="2015-09-27T17:41:54"/>
        <d v="2015-09-27T17:00:15"/>
        <d v="2015-09-27T16:58:20"/>
        <d v="2015-09-27T15:43:37"/>
        <d v="2015-09-27T15:43:15"/>
        <d v="2015-09-27T15:41:26"/>
        <d v="2015-09-27T15:28:13"/>
        <d v="2015-09-27T15:24:21"/>
        <d v="2015-09-27T15:22:15"/>
        <d v="2015-09-27T14:07:51"/>
        <d v="2015-09-27T13:50:19"/>
        <d v="2015-09-27T13:28:33"/>
        <d v="2015-09-27T13:14:48"/>
        <d v="2015-09-27T03:44:24"/>
        <d v="2015-09-27T03:35:54"/>
        <d v="2015-09-27T02:32:44"/>
        <d v="2015-09-27T02:21:12"/>
        <d v="2015-09-27T02:16:00"/>
        <d v="2015-09-27T02:13:50"/>
        <d v="2015-09-27T02:10:00"/>
        <d v="2015-09-27T01:34:08"/>
        <d v="2015-09-27T01:27:22"/>
        <d v="2015-09-27T01:14:47"/>
        <d v="2015-09-27T01:10:43"/>
        <d v="2015-09-27T01:05:05"/>
        <d v="2015-09-26T23:00:54"/>
        <d v="2015-09-26T21:05:14"/>
        <d v="2015-09-26T19:45:49"/>
        <d v="2015-09-26T19:09:37"/>
        <d v="2015-09-26T18:30:34"/>
        <d v="2015-09-26T15:38:40"/>
        <d v="2015-09-26T15:28:07"/>
        <d v="2015-09-26T14:58:27"/>
        <d v="2015-09-26T14:48:16"/>
        <d v="2015-09-26T14:45:38"/>
        <d v="2015-09-26T14:24:53"/>
        <d v="2015-09-26T14:04:40"/>
        <d v="2015-09-26T14:03:44"/>
        <d v="2015-09-26T04:15:36"/>
        <d v="2015-09-26T03:43:29"/>
        <d v="2015-09-26T03:18:48"/>
        <d v="2015-09-26T03:18:14"/>
        <d v="2015-09-26T00:53:04"/>
        <d v="2015-09-25T21:44:45"/>
        <d v="2015-09-25T21:04:04"/>
        <d v="2015-09-25T20:53:00"/>
        <d v="2015-09-25T20:04:13"/>
        <d v="2015-09-25T20:01:50"/>
        <d v="2015-09-25T19:33:52"/>
        <d v="2015-09-25T18:06:36"/>
        <d v="2015-09-25T17:40:04"/>
        <d v="2015-09-25T16:45:54"/>
        <d v="2015-09-25T16:39:37"/>
        <d v="2015-09-25T16:31:22"/>
        <d v="2015-09-25T16:25:54"/>
        <d v="2015-09-25T16:24:17"/>
        <d v="2015-09-25T16:21:54"/>
        <d v="2015-09-25T16:10:23"/>
        <d v="2015-09-25T15:32:39"/>
        <d v="2015-09-25T15:27:44"/>
        <d v="2015-09-25T15:22:07"/>
        <d v="2015-09-25T15:21:39"/>
        <d v="2015-09-25T15:14:42"/>
        <d v="2015-09-25T15:08:19"/>
        <d v="2015-09-25T15:03:33"/>
        <d v="2015-09-25T15:01:53"/>
        <d v="2015-09-25T15:01:33"/>
        <d v="2015-09-25T14:59:14"/>
        <d v="2015-09-25T14:59:07"/>
        <d v="2015-09-25T14:58:12"/>
        <d v="2015-09-25T14:51:41"/>
        <d v="2015-09-25T14:50:34"/>
        <d v="2015-09-25T14:48:46"/>
        <d v="2015-09-25T14:47:30"/>
        <d v="2015-09-25T14:47:11"/>
        <d v="2015-09-25T14:44:24"/>
        <d v="2015-09-25T14:44:06"/>
        <d v="2015-09-25T14:28:28"/>
        <d v="2015-09-25T14:26:23"/>
        <d v="2015-09-25T14:25:35"/>
        <d v="2015-09-25T14:21:25"/>
        <d v="2015-09-25T14:20:28"/>
        <d v="2015-09-25T14:20:01"/>
        <d v="2015-09-25T14:17:57"/>
        <d v="2015-09-25T14:17:56"/>
        <d v="2015-09-25T14:16:04"/>
        <d v="2015-09-25T14:11:57"/>
        <d v="2015-09-25T14:10:25"/>
        <d v="2015-09-25T14:05:50"/>
        <d v="2015-09-25T14:00:55"/>
        <d v="2015-09-25T14:00:08"/>
        <d v="2015-09-25T13:52:46"/>
        <d v="2015-09-25T13:51:20"/>
        <d v="2015-09-25T13:50:40"/>
        <d v="2015-09-25T13:50:03"/>
        <d v="2015-09-25T13:45:31"/>
        <d v="2015-09-25T13:41:55"/>
        <d v="2015-09-25T13:40:08"/>
        <d v="2015-09-25T13:39:34"/>
        <d v="2015-09-25T13:39:14"/>
        <d v="2015-09-25T13:35:57"/>
        <d v="2015-09-25T13:35:45"/>
        <d v="2015-09-25T13:33:27"/>
        <d v="2015-09-25T13:33:05"/>
        <d v="2015-09-25T13:33:01"/>
        <d v="2015-09-25T13:32:08"/>
        <d v="2015-09-25T13:30:56"/>
        <d v="2015-09-25T13:30:19"/>
        <d v="2015-09-25T13:29:58"/>
        <d v="2015-09-25T13:28:56"/>
        <d v="2015-09-25T13:27:56"/>
        <d v="2015-09-25T13:17:32"/>
        <d v="2015-09-25T13:14:40"/>
        <d v="2015-09-25T13:14:29"/>
        <d v="2015-09-25T13:13:56"/>
        <d v="2015-09-25T13:05:34"/>
        <d v="2015-09-25T12:53:51"/>
        <d v="2015-09-25T12:41:05"/>
        <d v="2015-09-25T12:30:22"/>
        <d v="2015-09-25T12:27:40"/>
        <d v="2015-09-25T12:19:25"/>
        <d v="2015-09-25T12:16:51"/>
        <d v="2015-09-25T12:11:26"/>
        <d v="2015-09-25T12:09:47"/>
        <d v="2015-09-25T12:01:29"/>
        <d v="2015-09-25T11:44:37"/>
        <d v="2015-09-25T11:41:34"/>
        <d v="2015-09-25T11:36:57"/>
        <d v="2015-09-25T11:36:36"/>
        <d v="2015-09-25T11:31:13"/>
        <d v="2015-09-25T11:26:55"/>
        <d v="2015-09-25T11:15:12"/>
        <d v="2015-09-25T11:03:56"/>
        <d v="2015-09-25T08:28:41"/>
        <d v="2015-09-25T08:16:12"/>
        <d v="2015-09-25T07:59:04"/>
        <d v="2015-09-25T06:39:30"/>
        <d v="2015-09-25T05:53:21"/>
        <d v="2015-09-25T05:42:46"/>
        <d v="2015-09-25T05:37:35"/>
        <d v="2015-09-25T05:22:42"/>
        <d v="2015-09-25T05:04:45"/>
        <d v="2015-09-25T04:54:13"/>
        <d v="2015-09-25T04:45:12"/>
        <d v="2015-09-25T04:39:46"/>
        <d v="2015-09-25T04:38:15"/>
        <d v="2015-09-25T04:30:11"/>
        <d v="2015-09-25T04:21:24"/>
        <d v="2015-09-25T04:14:21"/>
        <d v="2015-09-25T04:03:48"/>
        <d v="2015-09-25T03:53:59"/>
        <d v="2015-09-25T03:53:05"/>
        <d v="2015-09-25T03:39:09"/>
        <d v="2015-09-25T03:02:13"/>
        <d v="2015-09-25T02:58:57"/>
        <d v="2015-09-25T02:53:07"/>
        <d v="2015-09-25T02:50:37"/>
        <d v="2015-09-25T02:48:51"/>
        <d v="2015-09-25T02:41:17"/>
        <d v="2015-09-25T02:34:04"/>
        <d v="2015-09-25T02:33:35"/>
        <d v="2015-09-25T02:33:10"/>
        <d v="2015-09-25T02:32:20"/>
        <d v="2015-09-25T02:32:19"/>
        <d v="2015-09-25T02:32:11"/>
        <d v="2015-09-25T02:29:27"/>
        <d v="2015-09-25T02:28:15"/>
        <d v="2015-09-25T02:21:46"/>
        <d v="2015-09-25T02:03:22"/>
        <d v="2015-09-25T01:54:06"/>
        <d v="2015-09-25T01:52:31"/>
        <d v="2015-09-25T01:43:00"/>
        <d v="2015-09-25T01:42:29"/>
        <d v="2015-09-25T01:42:17"/>
        <d v="2015-09-25T01:35:36"/>
        <d v="2015-09-25T01:34:18"/>
        <d v="2015-09-25T01:31:14"/>
        <d v="2015-09-25T01:27:15"/>
        <d v="2015-09-25T01:24:43"/>
        <d v="2015-09-25T01:16:11"/>
        <d v="2015-09-25T01:09:41"/>
        <d v="2015-09-25T01:01:59"/>
        <d v="2015-09-25T00:57:23"/>
        <d v="2015-09-25T00:54:53"/>
        <d v="2015-09-25T00:48:06"/>
        <d v="2015-09-25T00:38:05"/>
        <d v="2015-09-25T00:36:55"/>
        <d v="2015-09-25T00:36:32"/>
        <d v="2015-09-25T00:36:22"/>
        <d v="2015-09-25T00:30:04"/>
        <d v="2015-09-25T00:25:43"/>
        <d v="2015-09-25T00:22:15"/>
        <d v="2015-09-25T00:12:19"/>
        <d v="2015-09-25T00:08:24"/>
        <d v="2015-09-24T23:50:09"/>
        <d v="2015-09-24T23:31:23"/>
        <d v="2015-09-24T23:23:22"/>
        <d v="2015-09-24T23:04:44"/>
        <d v="2015-09-24T22:52:50"/>
        <d v="2015-09-24T22:11:38"/>
        <d v="2015-09-24T22:09:51"/>
        <d v="2015-09-24T21:55:03"/>
        <d v="2015-09-24T21:50:11"/>
        <d v="2015-09-24T21:44:02"/>
        <d v="2015-09-24T21:42:32"/>
        <d v="2015-09-24T21:36:28"/>
        <d v="2015-09-24T21:30:19"/>
        <d v="2015-09-24T21:24:52"/>
        <d v="2015-09-24T21:22:26"/>
        <d v="2015-09-24T21:17:34"/>
        <d v="2015-09-24T21:16:54"/>
        <d v="2015-09-24T21:16:37"/>
        <d v="2015-09-24T21:15:50"/>
        <d v="2015-09-24T21:13:52"/>
        <d v="2015-09-24T21:08:15"/>
        <d v="2015-09-24T20:53:43"/>
        <d v="2015-09-24T20:53:38"/>
        <d v="2015-09-24T20:48:21"/>
        <d v="2015-09-24T20:11:30"/>
        <d v="2015-09-24T19:51:16"/>
        <d v="2015-09-24T19:47:47"/>
        <d v="2015-09-24T19:42:41"/>
        <d v="2015-09-24T19:41:49"/>
        <d v="2015-09-24T19:37:16"/>
        <d v="2015-09-24T19:29:22"/>
        <d v="2015-09-24T19:07:20"/>
        <d v="2015-09-24T19:02:46"/>
        <d v="2015-09-24T18:45:53"/>
        <d v="2015-09-24T18:43:04"/>
        <d v="2015-09-24T18:39:51"/>
        <d v="2015-09-24T18:16:21"/>
        <d v="2015-09-24T18:15:36"/>
        <d v="2015-09-24T18:15:12"/>
        <d v="2015-09-24T18:09:17"/>
        <d v="2015-09-24T18:05:30"/>
        <d v="2015-09-24T18:04:09"/>
        <d v="2015-09-24T18:02:18"/>
        <d v="2015-09-24T17:58:08"/>
        <d v="2015-09-24T17:54:50"/>
        <d v="2015-09-24T17:40:21"/>
        <d v="2015-09-24T17:39:37"/>
        <d v="2015-09-24T17:28:53"/>
        <d v="2015-09-24T17:15:22"/>
        <d v="2015-09-24T17:15:00"/>
        <d v="2015-09-24T17:14:54"/>
        <d v="2015-09-24T17:13:09"/>
        <d v="2015-09-24T16:50:52"/>
        <d v="2015-09-24T15:52:13"/>
        <d v="2015-09-24T15:42:01"/>
        <d v="2015-09-24T15:25:01"/>
        <d v="2015-09-24T15:07:47"/>
        <d v="2015-09-24T14:39:35"/>
        <d v="2015-09-24T14:21:36"/>
        <d v="2015-09-24T14:20:06"/>
        <d v="2015-09-24T14:19:37"/>
        <d v="2015-09-24T14:19:27"/>
        <d v="2015-09-24T14:15:08"/>
        <d v="2015-09-24T14:06:37"/>
        <d v="2015-09-24T14:05:55"/>
        <d v="2015-09-24T14:05:26"/>
        <d v="2015-09-24T13:58:32"/>
        <d v="2015-09-24T13:51:47"/>
        <d v="2015-09-24T13:45:59"/>
        <d v="2015-09-24T13:38:18"/>
        <d v="2015-09-24T12:04:41"/>
        <d v="2015-09-24T11:48:26"/>
        <d v="2015-09-24T11:33:25"/>
        <d v="2015-09-24T11:31:03"/>
        <d v="2015-09-24T10:06:09"/>
        <d v="2015-09-24T10:05:36"/>
        <d v="2015-09-24T10:05:06"/>
        <d v="2015-09-24T07:18:37"/>
        <d v="2015-09-24T07:17:36"/>
        <d v="2015-09-24T07:17:29"/>
        <d v="2015-09-24T07:16:04"/>
        <d v="2015-09-24T07:16:00"/>
        <d v="2015-09-24T07:15:13"/>
        <d v="2015-09-24T07:13:37"/>
        <d v="2015-09-24T07:12:13"/>
        <d v="2015-09-24T07:10:57"/>
        <d v="2015-09-24T07:10:54"/>
        <d v="2015-09-24T07:10:19"/>
        <d v="2015-09-24T07:09:23"/>
        <d v="2015-09-24T07:08:12"/>
        <d v="2015-09-24T07:08:09"/>
        <d v="2015-09-24T07:06:09"/>
        <d v="2015-09-24T07:05:02"/>
        <d v="2015-09-24T07:02:45"/>
        <d v="2015-09-24T07:02:34"/>
        <d v="2015-09-24T07:02:16"/>
        <d v="2015-09-24T07:00:38"/>
        <d v="2015-09-24T07:00:26"/>
        <d v="2015-09-24T06:58:51"/>
        <d v="2015-09-24T06:56:58"/>
        <d v="2015-09-24T06:56:42"/>
        <d v="2015-09-24T06:56:36"/>
        <d v="2015-09-24T06:56:20"/>
        <d v="2015-09-24T06:55:33"/>
        <d v="2015-09-24T06:54:36"/>
        <d v="2015-09-24T06:53:56"/>
        <d v="2015-09-24T06:53:46"/>
        <d v="2015-09-24T06:52:58"/>
        <d v="2015-09-24T06:52:18"/>
        <d v="2015-09-24T06:51:57"/>
        <d v="2015-09-24T06:51:28"/>
        <d v="2015-09-24T06:50:37"/>
        <d v="2015-09-24T06:49:41"/>
        <d v="2015-09-24T06:47:56"/>
        <d v="2015-09-24T06:46:49"/>
        <d v="2015-09-24T06:45:00"/>
        <d v="2015-09-24T06:43:27"/>
        <d v="2015-09-24T06:43:23"/>
        <d v="2015-09-24T06:39:22"/>
        <d v="2015-09-24T06:38:53"/>
        <d v="2015-09-24T06:38:26"/>
        <d v="2015-09-24T04:45:48"/>
        <d v="2015-09-24T04:40:08"/>
        <d v="2015-09-24T04:37:54"/>
        <d v="2015-09-24T04:20:56"/>
        <d v="2015-09-24T04:15:24"/>
        <d v="2015-09-24T04:04:50"/>
        <d v="2015-09-24T04:03:34"/>
        <d v="2015-09-24T04:03:19"/>
        <d v="2015-09-24T04:02:57"/>
        <d v="2015-09-24T03:59:04"/>
        <d v="2015-09-24T03:53:04"/>
        <d v="2015-09-24T03:42:43"/>
        <d v="2015-09-24T03:38:16"/>
        <d v="2015-09-24T03:38:00"/>
        <d v="2015-09-24T03:37:40"/>
        <d v="2015-09-24T03:37:07"/>
        <d v="2015-09-24T03:36:44"/>
        <d v="2015-09-24T03:33:53"/>
        <d v="2015-09-24T03:27:39"/>
        <d v="2015-09-24T03:13:10"/>
        <d v="2015-09-24T02:58:15"/>
        <d v="2015-09-24T02:48:51"/>
        <d v="2015-09-24T02:39:22"/>
        <d v="2015-09-24T02:31:57"/>
        <d v="2015-09-24T02:27:52"/>
        <d v="2015-09-24T02:26:28"/>
        <d v="2015-09-24T02:25:16"/>
        <d v="2015-09-24T02:09:37"/>
        <d v="2015-09-24T01:54:41"/>
        <d v="2015-09-24T01:17:13"/>
        <d v="2015-09-24T01:08:49"/>
        <d v="2015-09-24T01:08:46"/>
        <d v="2015-09-24T01:07:03"/>
        <d v="2015-09-24T01:00:55"/>
        <d v="2015-09-24T00:54:50"/>
        <d v="2015-09-24T00:51:06"/>
        <d v="2015-09-24T00:49:23"/>
        <d v="2015-09-24T00:48:37"/>
        <d v="2015-09-24T00:38:33"/>
        <d v="2015-09-24T00:14:14"/>
        <d v="2015-09-24T00:13:54"/>
        <d v="2015-09-23T23:53:44"/>
        <d v="2015-09-23T23:45:35"/>
        <d v="2015-09-23T23:30:32"/>
        <d v="2015-09-23T22:36:18"/>
        <d v="2015-09-23T22:31:11"/>
        <d v="2015-09-23T22:27:10"/>
        <d v="2015-09-23T22:26:54"/>
        <d v="2015-09-23T22:04:47"/>
        <d v="2015-09-23T21:55:21"/>
        <d v="2015-09-23T21:55:10"/>
        <d v="2015-09-23T21:54:55"/>
        <d v="2015-09-23T21:52:39"/>
        <d v="2015-09-23T21:50:28"/>
        <d v="2015-09-23T21:40:46"/>
        <d v="2015-09-23T21:39:39"/>
        <d v="2015-09-23T21:32:09"/>
        <d v="2015-09-23T21:26:19"/>
        <d v="2015-09-23T21:25:43"/>
        <d v="2015-09-23T21:22:53"/>
        <d v="2015-09-23T21:07:19"/>
        <d v="2015-09-23T20:56:30"/>
        <d v="2015-09-23T20:54:05"/>
        <d v="2015-09-23T20:44:47"/>
        <d v="2015-09-23T20:27:06"/>
        <d v="2015-09-23T20:15:36"/>
        <d v="2015-09-23T20:07:46"/>
        <d v="2015-09-23T20:03:54"/>
        <d v="2015-09-23T19:46:31"/>
        <d v="2015-09-23T19:46:17"/>
        <d v="2015-09-23T19:36:59"/>
        <d v="2015-09-23T19:18:51"/>
        <d v="2015-09-23T19:16:39"/>
        <d v="2015-09-23T18:58:01"/>
        <d v="2015-09-23T18:54:54"/>
        <d v="2015-09-23T18:48:14"/>
        <d v="2015-09-23T18:42:57"/>
        <d v="2015-09-23T18:34:27"/>
        <d v="2015-09-23T18:30:33"/>
        <d v="2015-09-23T18:29:24"/>
        <d v="2015-09-23T17:34:55"/>
        <d v="2015-09-23T17:32:28"/>
        <d v="2015-09-23T17:26:20"/>
        <d v="2015-09-23T17:05:18"/>
        <d v="2015-09-23T17:03:25"/>
        <d v="2015-09-23T16:58:28"/>
        <d v="2015-09-23T16:39:15"/>
        <d v="2015-09-23T15:57:14"/>
        <d v="2015-09-23T15:52:27"/>
        <d v="2015-09-23T15:51:25"/>
        <d v="2015-09-23T15:48:17"/>
        <d v="2015-09-23T15:47:37"/>
        <d v="2015-09-23T15:46:15"/>
        <d v="2015-09-23T15:46:08"/>
        <d v="2015-09-23T15:44:55"/>
        <d v="2015-09-23T15:43:25"/>
        <d v="2015-09-23T15:43:13"/>
        <d v="2015-09-23T15:42:23"/>
        <d v="2015-09-23T15:41:57"/>
        <d v="2015-09-23T15:41:06"/>
        <d v="2015-09-23T15:40:43"/>
        <d v="2015-09-23T15:38:23"/>
        <d v="2015-09-23T15:37:48"/>
        <d v="2015-09-23T15:36:55"/>
        <d v="2015-09-23T15:36:23"/>
        <d v="2015-09-23T15:36:22"/>
        <d v="2015-09-23T15:34:59"/>
        <d v="2015-09-23T15:33:23"/>
        <d v="2015-09-23T15:32:40"/>
        <d v="2015-09-23T15:32:12"/>
        <d v="2015-09-23T15:31:58"/>
        <d v="2015-09-23T15:30:30"/>
        <d v="2015-09-23T15:29:28"/>
        <d v="2015-09-23T15:28:41"/>
        <d v="2015-09-23T15:28:16"/>
        <d v="2015-09-23T15:27:34"/>
        <d v="2015-09-23T15:27:20"/>
        <d v="2015-09-23T15:27:01"/>
        <d v="2015-09-23T15:27:00"/>
        <d v="2015-09-23T15:26:46"/>
        <d v="2015-09-23T15:26:28"/>
        <d v="2015-09-23T15:25:54"/>
        <d v="2015-09-23T15:25:22"/>
        <d v="2015-09-23T15:25:07"/>
        <d v="2015-09-23T15:23:47"/>
        <d v="2015-09-23T15:23:05"/>
        <d v="2015-09-23T15:22:04"/>
        <d v="2015-09-23T15:21:43"/>
        <d v="2015-09-23T15:21:05"/>
        <d v="2015-09-23T15:20:54"/>
        <d v="2015-09-23T15:20:35"/>
        <d v="2015-09-23T15:20:34"/>
        <d v="2015-09-23T15:20:11"/>
        <d v="2015-09-23T15:17:33"/>
        <d v="2015-09-23T15:16:59"/>
        <d v="2015-09-23T15:14:49"/>
        <d v="2015-09-23T15:13:38"/>
        <d v="2015-09-23T15:12:47"/>
        <d v="2015-09-23T15:12:30"/>
        <d v="2015-09-23T15:11:42"/>
        <d v="2015-09-23T15:09:19"/>
        <d v="2015-09-23T15:08:49"/>
        <d v="2015-09-23T15:08:24"/>
        <d v="2015-09-23T15:07:57"/>
        <d v="2015-09-23T15:07:17"/>
        <d v="2015-09-23T15:06:06"/>
        <d v="2015-09-23T15:02:45"/>
        <d v="2015-09-23T15:01:52"/>
        <d v="2015-09-23T14:32:12"/>
        <d v="2015-09-23T14:26:31"/>
        <d v="2015-09-23T13:43:25"/>
        <d v="2015-09-23T13:34:21"/>
        <d v="2015-09-23T13:33:48"/>
        <d v="2015-09-23T13:29:59"/>
        <d v="2015-09-23T13:29:01"/>
        <d v="2015-09-23T12:58:37"/>
        <d v="2015-09-23T09:44:47"/>
        <d v="2015-09-23T05:05:40"/>
        <d v="2015-09-23T04:42:27"/>
        <d v="2015-09-23T04:33:04"/>
        <d v="2015-09-23T04:20:45"/>
        <d v="2015-09-23T04:19:06"/>
        <d v="2015-09-23T03:47:28"/>
        <d v="2015-09-23T03:46:50"/>
        <d v="2015-09-23T03:06:18"/>
        <d v="2015-09-23T02:39:45"/>
        <d v="2015-09-23T02:35:10"/>
        <d v="2015-09-23T02:29:54"/>
        <d v="2015-09-23T02:24:34"/>
        <d v="2015-09-23T02:23:35"/>
        <d v="2015-09-23T02:20:04"/>
        <d v="2015-09-23T02:17:38"/>
        <d v="2015-09-23T02:17:16"/>
        <d v="2015-09-23T02:04:42"/>
        <d v="2015-09-23T02:03:20"/>
        <d v="2015-09-23T01:55:19"/>
        <d v="2015-09-23T01:41:17"/>
        <d v="2015-09-23T01:38:57"/>
        <d v="2015-09-23T01:35:15"/>
        <d v="2015-09-23T01:11:15"/>
        <d v="2015-09-23T01:07:49"/>
        <d v="2015-09-23T00:17:09"/>
        <d v="2015-09-23T00:15:26"/>
        <d v="2015-09-23T00:06:23"/>
        <d v="2015-09-22T23:59:30"/>
        <d v="2015-09-22T23:26:33"/>
        <d v="2015-09-22T23:19:14"/>
        <d v="2015-09-22T23:14:59"/>
        <d v="2015-09-22T23:14:30"/>
        <d v="2015-09-22T23:06:54"/>
        <d v="2015-09-22T22:52:21"/>
        <d v="2015-09-22T22:42:12"/>
        <d v="2015-09-22T22:41:10"/>
        <d v="2015-09-22T22:27:23"/>
        <d v="2015-09-22T22:08:52"/>
        <d v="2015-09-22T22:01:26"/>
        <d v="2015-09-22T21:52:21"/>
        <d v="2015-09-22T21:51:21"/>
        <d v="2015-09-22T21:46:43"/>
        <d v="2015-09-22T21:15:21"/>
        <d v="2015-09-22T20:41:14"/>
        <d v="2015-09-22T20:26:44"/>
        <d v="2015-09-22T20:25:55"/>
        <d v="2015-09-22T20:22:24"/>
        <d v="2015-09-22T20:13:51"/>
        <d v="2015-09-22T20:08:28"/>
        <d v="2015-09-22T20:08:12"/>
        <d v="2015-09-22T20:05:56"/>
        <d v="2015-09-22T20:05:32"/>
        <d v="2015-09-22T20:04:54"/>
        <d v="2015-09-22T19:25:39"/>
        <d v="2015-09-22T19:25:09"/>
        <d v="2015-09-22T19:24:43"/>
        <d v="2015-09-22T19:16:50"/>
        <d v="2015-09-22T19:14:54"/>
        <d v="2015-09-22T19:14:08"/>
        <d v="2015-09-22T18:26:24"/>
        <d v="2015-09-22T18:26:05"/>
        <d v="2015-09-22T18:25:53"/>
        <d v="2015-09-22T18:25:45"/>
        <d v="2015-09-22T18:05:16"/>
        <d v="2015-09-22T18:00:03"/>
        <d v="2015-09-22T17:47:39"/>
        <d v="2015-09-22T16:39:38"/>
        <d v="2015-09-22T16:38:40"/>
        <d v="2015-09-22T16:37:42"/>
        <d v="2015-09-22T16:37:29"/>
        <d v="2015-09-22T16:30:42"/>
        <d v="2015-09-22T16:23:34"/>
        <d v="2015-09-22T16:21:45"/>
        <d v="2015-09-22T16:21:03"/>
        <d v="2015-09-22T15:50:53"/>
        <d v="2015-09-22T15:39:07"/>
        <d v="2015-09-22T15:26:32"/>
        <d v="2015-09-22T15:15:50"/>
        <d v="2015-09-22T15:14:12"/>
        <d v="2015-09-22T15:07:15"/>
        <d v="2015-09-22T15:03:32"/>
        <d v="2015-09-22T15:00:58"/>
        <d v="2015-09-22T14:52:15"/>
        <d v="2015-09-22T14:51:27"/>
        <d v="2015-09-22T13:56:40"/>
        <d v="2015-09-22T13:38:08"/>
        <d v="2015-09-22T13:10:55"/>
        <d v="2015-09-22T12:58:32"/>
        <d v="2015-09-22T12:55:51"/>
        <d v="2015-09-22T11:17:39"/>
        <d v="2015-09-22T10:55:05"/>
        <d v="2015-09-22T10:05:52"/>
        <d v="2015-09-22T06:57:22"/>
        <d v="2015-09-22T05:27:16"/>
        <d v="2015-09-22T05:22:57"/>
        <d v="2015-09-22T05:22:35"/>
        <d v="2015-09-22T05:21:25"/>
        <d v="2015-09-22T05:19:52"/>
        <d v="2015-09-22T05:13:15"/>
        <d v="2015-09-22T04:57:40"/>
        <d v="2015-09-22T04:47:21"/>
        <d v="2015-09-22T04:28:45"/>
        <d v="2015-09-22T04:14:37"/>
        <d v="2015-09-22T03:51:51"/>
        <d v="2015-09-22T03:38:41"/>
        <d v="2015-09-22T03:38:18"/>
        <d v="2015-09-22T03:37:54"/>
        <d v="2015-09-22T03:21:28"/>
        <d v="2015-09-22T03:13:31"/>
        <d v="2015-09-22T01:41:14"/>
        <d v="2015-09-22T01:40:44"/>
        <d v="2015-09-22T01:18:44"/>
        <d v="2015-09-22T01:06:09"/>
        <d v="2015-09-22T00:55:45"/>
        <d v="2015-09-22T00:51:49"/>
        <d v="2015-09-22T00:37:59"/>
        <d v="2015-09-21T23:38:18"/>
        <d v="2015-09-21T23:02:00"/>
        <d v="2015-09-21T22:52:09"/>
        <d v="2015-09-21T22:03:35"/>
        <d v="2015-09-21T21:34:39"/>
        <d v="2015-09-21T21:05:41"/>
        <d v="2015-09-21T21:01:01"/>
        <d v="2015-09-21T20:42:13"/>
        <d v="2015-09-21T20:40:50"/>
        <d v="2015-09-21T20:32:38"/>
        <d v="2015-09-21T20:24:52"/>
        <d v="2015-09-21T19:15:28"/>
        <d v="2015-09-21T19:11:44"/>
        <d v="2015-09-21T19:00:34"/>
        <d v="2015-09-21T18:42:42"/>
        <d v="2015-09-21T18:15:09"/>
        <d v="2015-09-21T18:14:44"/>
        <d v="2015-09-21T18:14:16"/>
        <d v="2015-09-21T18:13:50"/>
        <d v="2015-09-21T18:10:21"/>
        <d v="2015-09-21T18:03:35"/>
        <d v="2015-09-21T18:03:17"/>
        <d v="2015-09-21T18:03:10"/>
        <d v="2015-09-21T18:01:28"/>
        <d v="2015-09-21T17:58:45"/>
        <d v="2015-09-21T17:57:18"/>
        <d v="2015-09-21T17:54:36"/>
        <d v="2015-09-21T17:52:23"/>
        <d v="2015-09-21T17:49:33"/>
        <d v="2015-09-21T17:49:28"/>
        <d v="2015-09-21T17:43:09"/>
        <d v="2015-09-21T17:43:04"/>
        <d v="2015-09-21T17:30:17"/>
        <d v="2015-09-21T17:23:49"/>
        <d v="2015-09-21T17:15:02"/>
        <d v="2015-09-21T17:04:22"/>
        <d v="2015-09-21T17:03:16"/>
        <d v="2015-09-21T16:58:22"/>
        <d v="2015-09-21T16:58:00"/>
        <d v="2015-09-21T16:54:25"/>
        <d v="2015-09-21T16:49:10"/>
        <d v="2015-09-21T16:43:19"/>
        <d v="2015-09-21T16:42:47"/>
        <d v="2015-09-21T16:40:58"/>
        <d v="2015-09-21T16:40:49"/>
        <d v="2015-09-21T16:02:15"/>
        <d v="2015-09-21T15:48:47"/>
        <d v="2015-09-21T15:40:03"/>
        <d v="2015-09-21T15:29:27"/>
        <d v="2015-09-21T15:28:21"/>
        <d v="2015-09-21T15:22:14"/>
        <d v="2015-09-21T15:16:23"/>
        <d v="2015-09-21T15:15:39"/>
        <d v="2015-09-21T15:04:11"/>
        <d v="2015-09-21T14:55:12"/>
        <d v="2015-09-21T14:49:39"/>
        <d v="2015-09-21T14:49:11"/>
        <d v="2015-09-21T14:44:37"/>
        <d v="2015-09-21T14:42:46"/>
        <d v="2015-09-21T14:42:29"/>
        <d v="2015-09-21T14:39:57"/>
        <d v="2015-09-21T14:39:36"/>
        <d v="2015-09-21T14:37:44"/>
        <d v="2015-09-21T14:37:35"/>
        <d v="2015-09-21T14:36:28"/>
        <d v="2015-09-21T14:17:06"/>
        <d v="2015-09-21T14:16:42"/>
        <d v="2015-09-21T14:04:47"/>
        <d v="2015-09-21T13:10:44"/>
        <d v="2015-09-21T13:08:21"/>
        <d v="2015-09-21T13:08:02"/>
        <d v="2015-09-21T12:19:08"/>
        <d v="2015-09-21T11:22:02"/>
        <d v="2015-09-21T11:16:54"/>
        <d v="2015-09-21T09:05:42"/>
        <d v="2015-09-21T08:20:07"/>
        <d v="2015-09-21T07:24:40"/>
        <d v="2015-09-21T06:39:21"/>
        <d v="2015-09-21T06:12:05"/>
        <d v="2015-09-21T06:11:53"/>
        <d v="2015-09-21T04:48:30"/>
        <d v="2015-09-21T04:28:09"/>
        <d v="2015-09-21T04:27:29"/>
        <d v="2015-09-21T04:26:39"/>
        <d v="2015-09-21T04:25:53"/>
        <d v="2015-09-21T04:25:37"/>
        <d v="2015-09-21T04:23:04"/>
        <d v="2015-09-21T04:21:13"/>
        <d v="2015-09-21T04:08:11"/>
        <d v="2015-09-21T04:02:19"/>
        <d v="2015-09-21T03:37:08"/>
        <d v="2015-09-21T03:36:16"/>
        <d v="2015-09-21T03:35:15"/>
        <d v="2015-09-21T03:32:19"/>
        <d v="2015-09-21T03:27:12"/>
        <d v="2015-09-21T03:19:50"/>
        <d v="2015-09-21T03:17:28"/>
        <d v="2015-09-21T03:17:19"/>
        <d v="2015-09-21T03:16:02"/>
        <d v="2015-09-21T03:14:00"/>
        <d v="2015-09-21T02:36:07"/>
        <d v="2015-09-21T02:35:30"/>
        <d v="2015-09-21T02:33:58"/>
        <d v="2015-09-21T02:30:25"/>
        <d v="2015-09-21T02:27:29"/>
        <d v="2015-09-21T02:27:00"/>
        <d v="2015-09-21T02:24:22"/>
        <d v="2015-09-21T00:47:02"/>
        <d v="2015-09-21T00:32:38"/>
        <d v="2015-09-21T00:32:37"/>
        <d v="2015-09-21T00:17:51"/>
        <d v="2015-09-21T00:11:05"/>
        <d v="2015-09-20T23:34:54"/>
        <d v="2015-09-20T23:32:36"/>
        <d v="2015-09-20T23:25:59"/>
        <d v="2015-09-20T23:22:11"/>
        <d v="2015-09-20T23:19:06"/>
        <d v="2015-09-20T23:18:29"/>
        <d v="2015-09-20T22:15:11"/>
        <d v="2015-09-20T21:59:38"/>
        <d v="2015-09-20T21:57:36"/>
        <d v="2015-09-20T21:57:20"/>
        <d v="2015-09-20T21:38:12"/>
        <d v="2015-09-20T21:07:07"/>
        <d v="2015-09-20T20:30:32"/>
        <d v="2015-09-20T19:50:09"/>
        <d v="2015-09-20T19:41:33"/>
        <d v="2015-09-20T19:36:15"/>
        <d v="2015-09-20T19:21:03"/>
        <d v="2015-09-20T18:59:43"/>
        <d v="2015-09-20T18:56:38"/>
        <d v="2015-09-20T18:54:37"/>
        <d v="2015-09-20T18:45:58"/>
        <d v="2015-09-20T18:14:55"/>
        <d v="2015-09-20T18:06:35"/>
        <d v="2015-09-20T15:33:42"/>
        <d v="2015-09-20T15:33:41"/>
        <d v="2015-09-20T15:33:32"/>
        <d v="2015-09-20T15:33:10"/>
        <d v="2015-09-20T15:32:56"/>
        <d v="2015-09-20T15:32:41"/>
        <d v="2015-09-20T15:28:12"/>
        <d v="2015-09-20T15:27:05"/>
        <d v="2015-09-20T15:25:44"/>
        <d v="2015-09-20T15:25:31"/>
        <d v="2015-09-20T14:46:18"/>
        <d v="2015-09-20T13:15:00"/>
        <d v="2015-09-20T12:07:37"/>
        <d v="2015-09-20T11:27:05"/>
        <d v="2015-09-20T11:26:13"/>
        <d v="2015-09-20T07:16:14"/>
        <d v="2015-09-20T07:15:33"/>
        <d v="2015-09-20T04:57:10"/>
        <d v="2015-09-20T04:56:48"/>
        <d v="2015-09-20T04:51:05"/>
        <d v="2015-09-20T04:35:39"/>
        <d v="2015-09-20T04:21:29"/>
        <d v="2015-09-20T04:11:03"/>
        <d v="2015-09-20T04:08:11"/>
        <d v="2015-09-20T02:55:51"/>
        <d v="2015-09-20T02:46:49"/>
        <d v="2015-09-20T02:41:28"/>
        <d v="2015-09-20T01:45:37"/>
        <d v="2015-09-20T01:41:15"/>
        <d v="2015-09-20T01:23:23"/>
        <d v="2015-09-20T01:10:04"/>
        <d v="2015-09-20T00:57:31"/>
        <d v="2015-09-20T00:47:59"/>
        <d v="2015-09-19T22:52:45"/>
        <d v="2015-09-19T22:52:14"/>
        <d v="2015-09-19T22:44:07"/>
        <d v="2015-09-19T22:38:43"/>
        <d v="2015-09-19T22:35:19"/>
        <d v="2015-09-19T20:22:08"/>
        <d v="2015-09-19T20:10:48"/>
        <d v="2015-09-19T19:01:19"/>
        <d v="2015-09-19T18:34:40"/>
        <d v="2015-09-19T17:37:34"/>
        <d v="2015-09-19T17:37:21"/>
        <d v="2015-09-19T17:23:14"/>
        <d v="2015-09-19T17:19:21"/>
        <d v="2015-09-19T17:05:54"/>
        <d v="2015-09-19T16:14:15"/>
        <d v="2015-09-19T16:02:02"/>
        <d v="2015-09-19T13:32:38"/>
        <d v="2015-09-19T13:31:46"/>
        <d v="2015-09-19T03:40:27"/>
        <d v="2015-09-19T03:38:40"/>
        <d v="2015-09-19T03:35:34"/>
        <d v="2015-09-19T03:33:04"/>
        <d v="2015-09-19T03:32:05"/>
        <d v="2015-09-19T03:31:46"/>
        <d v="2015-09-19T03:27:51"/>
        <d v="2015-09-19T02:53:52"/>
        <d v="2015-09-19T02:53:50"/>
        <d v="2015-09-19T02:28:58"/>
        <d v="2015-09-19T02:26:19"/>
        <d v="2015-09-19T02:25:51"/>
        <d v="2015-09-19T01:10:14"/>
        <d v="2015-09-19T01:00:43"/>
        <d v="2015-09-18T22:27:19"/>
        <d v="2015-09-18T22:10:48"/>
        <d v="2015-09-18T21:44:54"/>
        <d v="2015-09-18T21:43:52"/>
        <d v="2015-09-18T21:41:25"/>
        <d v="2015-09-18T21:19:28"/>
        <d v="2015-09-18T20:14:31"/>
        <d v="2015-09-18T20:07:40"/>
        <d v="2015-09-18T19:27:11"/>
        <d v="2015-09-18T19:26:44"/>
        <d v="2015-09-18T19:25:22"/>
        <d v="2015-09-18T19:24:26"/>
        <d v="2015-09-18T19:18:54"/>
        <d v="2015-09-18T19:18:45"/>
        <d v="2015-09-18T19:17:41"/>
        <d v="2015-09-18T19:12:47"/>
        <d v="2015-09-18T19:09:04"/>
        <d v="2015-09-18T19:07:53"/>
        <d v="2015-09-18T19:05:37"/>
        <d v="2015-09-18T19:05:23"/>
        <d v="2015-09-18T19:02:15"/>
        <d v="2015-09-18T19:00:49"/>
        <d v="2015-09-18T18:47:22"/>
        <d v="2015-09-18T18:44:03"/>
        <d v="2015-09-18T18:42:54"/>
        <d v="2015-09-18T18:42:14"/>
        <d v="2015-09-18T18:40:40"/>
        <d v="2015-09-18T18:40:09"/>
        <d v="2015-09-18T18:39:43"/>
        <d v="2015-09-18T18:39:30"/>
        <d v="2015-09-18T18:37:16"/>
        <d v="2015-09-18T18:25:53"/>
        <d v="2015-09-18T18:23:46"/>
        <d v="2015-09-18T18:22:44"/>
        <d v="2015-09-18T18:22:38"/>
        <d v="2015-09-18T18:21:41"/>
        <d v="2015-09-18T18:21:36"/>
        <d v="2015-09-18T18:21:03"/>
        <d v="2015-09-18T18:20:57"/>
        <d v="2015-09-18T18:20:53"/>
        <d v="2015-09-18T18:20:32"/>
        <d v="2015-09-18T18:20:23"/>
        <d v="2015-09-18T18:20:05"/>
        <d v="2015-09-18T18:18:00"/>
        <d v="2015-09-18T18:17:11"/>
        <d v="2015-09-18T18:15:29"/>
        <d v="2015-09-18T18:10:08"/>
        <d v="2015-09-18T17:57:24"/>
        <d v="2015-09-18T17:31:44"/>
        <d v="2015-09-18T17:25:18"/>
        <d v="2015-09-18T17:21:18"/>
        <d v="2015-09-18T17:17:52"/>
        <d v="2015-09-18T17:14:55"/>
        <d v="2015-09-18T17:14:07"/>
        <d v="2015-09-18T17:13:56"/>
        <d v="2015-09-18T17:07:29"/>
        <d v="2015-09-18T17:06:16"/>
        <d v="2015-09-18T17:04:52"/>
        <d v="2015-09-18T16:59:56"/>
        <d v="2015-09-18T16:50:03"/>
        <d v="2015-09-18T16:46:57"/>
        <d v="2015-09-18T16:46:16"/>
        <d v="2015-09-18T16:39:24"/>
        <d v="2015-09-18T16:35:25"/>
        <d v="2015-09-18T16:31:43"/>
        <d v="2015-09-18T16:30:48"/>
        <d v="2015-09-18T15:55:14"/>
        <d v="2015-09-18T15:52:29"/>
        <d v="2015-09-18T15:09:57"/>
        <d v="2015-09-18T14:42:06"/>
        <d v="2015-09-18T14:41:03"/>
        <d v="2015-09-18T14:17:57"/>
        <d v="2015-09-18T14:15:55"/>
        <d v="2015-09-18T14:13:51"/>
        <d v="2015-09-18T14:01:25"/>
        <d v="2015-09-18T13:40:13"/>
        <d v="2015-09-18T13:33:26"/>
        <d v="2015-09-18T13:21:56"/>
        <d v="2015-09-18T12:18:59"/>
        <d v="2015-09-18T11:51:45"/>
        <d v="2015-09-18T09:29:38"/>
        <d v="2015-09-18T09:28:19"/>
        <d v="2015-09-18T09:26:47"/>
        <d v="2015-09-18T09:24:56"/>
        <d v="2015-09-18T09:24:33"/>
        <d v="2015-09-18T09:24:22"/>
        <d v="2015-09-18T09:23:41"/>
        <d v="2015-09-18T09:22:21"/>
        <d v="2015-09-18T09:21:02"/>
        <d v="2015-09-18T09:20:06"/>
        <d v="2015-09-18T04:21:36"/>
        <d v="2015-09-18T04:11:28"/>
        <d v="2015-09-18T04:11:27"/>
        <d v="2015-09-18T04:09:25"/>
        <d v="2015-09-18T03:24:39"/>
        <d v="2015-09-18T01:58:27"/>
        <d v="2015-09-18T00:52:49"/>
        <d v="2015-09-18T00:41:28"/>
        <d v="2015-09-18T00:20:16"/>
        <d v="2015-09-18T00:08:46"/>
        <d v="2015-09-18T00:03:07"/>
        <d v="2015-09-17T23:49:14"/>
        <d v="2015-09-17T23:05:04"/>
        <d v="2015-09-17T23:04:58"/>
        <d v="2015-09-17T22:12:28"/>
        <d v="2015-09-17T21:30:54"/>
        <d v="2015-09-17T21:30:40"/>
        <d v="2015-09-17T21:00:44"/>
        <d v="2015-09-17T20:59:20"/>
        <d v="2015-09-17T20:58:41"/>
        <d v="2015-09-17T20:52:28"/>
        <d v="2015-09-17T20:13:34"/>
        <d v="2015-09-17T20:06:23"/>
        <d v="2015-09-17T20:03:20"/>
        <d v="2015-09-17T20:01:48"/>
        <d v="2015-09-17T20:00:16"/>
        <d v="2015-09-17T19:52:33"/>
        <d v="2015-09-17T19:42:48"/>
        <d v="2015-09-17T19:24:45"/>
        <d v="2015-09-17T19:21:52"/>
        <d v="2015-09-17T19:21:47"/>
        <d v="2015-09-17T19:15:48"/>
        <d v="2015-09-17T17:52:21"/>
        <d v="2015-09-17T17:48:56"/>
        <d v="2015-09-17T17:38:56"/>
        <d v="2015-09-17T17:19:01"/>
        <d v="2015-09-17T17:13:38"/>
        <d v="2015-09-17T17:12:53"/>
        <d v="2015-09-17T17:11:58"/>
        <d v="2015-09-17T17:10:56"/>
        <d v="2015-09-17T17:08:54"/>
        <d v="2015-09-17T17:02:23"/>
        <d v="2015-09-17T17:00:12"/>
        <d v="2015-09-17T16:52:42"/>
        <d v="2015-09-17T16:52:30"/>
        <d v="2015-09-17T16:10:17"/>
        <d v="2015-09-17T16:05:12"/>
        <d v="2015-09-17T16:04:23"/>
        <d v="2015-09-17T16:04:02"/>
        <d v="2015-09-17T15:55:08"/>
        <d v="2015-09-17T15:44:57"/>
        <d v="2015-09-17T15:43:53"/>
        <d v="2015-09-17T15:16:28"/>
        <d v="2015-09-17T14:58:18"/>
        <d v="2015-09-17T14:58:06"/>
        <d v="2015-09-17T14:54:26"/>
        <d v="2015-09-17T14:24:40"/>
        <d v="2015-09-17T14:23:21"/>
        <d v="2015-09-17T14:19:35"/>
        <d v="2015-09-17T14:18:00"/>
        <d v="2015-09-17T14:10:32"/>
        <d v="2015-09-17T13:54:23"/>
        <d v="2015-09-17T13:24:05"/>
        <d v="2015-09-17T13:22:45"/>
        <d v="2015-09-17T13:20:36"/>
        <d v="2015-09-17T12:08:19"/>
        <d v="2015-09-17T03:04:25"/>
        <d v="2015-09-17T02:53:32"/>
        <d v="2015-09-17T02:35:53"/>
        <d v="2015-09-17T02:14:08"/>
        <d v="2015-09-17T02:03:51"/>
        <d v="2015-09-17T02:00:43"/>
        <d v="2015-09-17T00:42:57"/>
        <d v="2015-09-16T22:39:06"/>
        <d v="2015-09-16T21:31:45"/>
        <d v="2015-09-16T18:49:23"/>
        <d v="2015-09-16T18:37:17"/>
        <d v="2015-09-16T18:18:49"/>
        <d v="2015-09-16T18:11:24"/>
        <d v="2015-09-16T18:04:56"/>
        <d v="2015-09-16T17:56:05"/>
        <d v="2015-09-16T17:50:29"/>
        <d v="2015-09-16T17:16:39"/>
        <d v="2015-09-16T16:33:45"/>
        <d v="2015-09-16T16:05:57"/>
        <d v="2015-09-16T16:04:30"/>
        <d v="2015-09-16T16:03:46"/>
        <d v="2015-09-16T15:44:31"/>
        <d v="2015-09-16T15:39:59"/>
        <d v="2015-09-16T15:39:49"/>
        <d v="2015-09-16T15:38:53"/>
        <d v="2015-09-16T15:38:49"/>
        <d v="2015-09-16T15:18:07"/>
        <d v="2015-09-16T15:16:37"/>
        <d v="2015-09-16T15:11:59"/>
        <d v="2015-09-16T15:10:47"/>
        <d v="2015-09-16T15:10:11"/>
        <d v="2015-09-16T15:03:55"/>
        <d v="2015-09-16T14:40:02"/>
        <d v="2015-09-16T14:33:55"/>
        <d v="2015-09-16T13:51:29"/>
        <d v="2015-09-16T13:33:30"/>
        <d v="2015-09-16T13:25:34"/>
        <d v="2015-09-16T13:25:26"/>
        <d v="2015-09-16T12:36:50"/>
        <d v="2015-09-16T06:39:16"/>
        <d v="2015-09-16T03:28:59"/>
        <d v="2015-09-16T03:18:49"/>
        <d v="2015-09-15T21:53:09"/>
        <d v="2015-09-15T20:22:58"/>
        <d v="2015-09-15T20:18:42"/>
        <d v="2015-09-15T20:16:49"/>
        <d v="2015-09-15T20:01:43"/>
        <d v="2015-09-15T18:43:23"/>
        <d v="2015-09-15T18:36:07"/>
        <d v="2015-09-15T16:12:04"/>
        <d v="2015-09-15T15:39:56"/>
        <d v="2015-09-15T15:35:25"/>
        <d v="2015-09-15T15:34:19"/>
        <d v="2015-09-15T15:33:57"/>
        <d v="2015-09-15T15:33:52"/>
        <d v="2015-09-15T15:33:40"/>
        <d v="2015-09-15T15:33:30"/>
        <d v="2015-09-15T14:03:56"/>
        <d v="2015-09-15T13:52:52"/>
        <d v="2015-09-15T13:40:05"/>
        <d v="2015-09-15T13:00:44"/>
        <d v="2015-09-15T12:50:10"/>
        <d v="2015-09-15T12:23:25"/>
        <d v="2015-09-15T12:06:30"/>
        <d v="2015-09-15T11:53:27"/>
        <d v="2015-09-15T11:10:14"/>
        <d v="2015-09-15T11:08:56"/>
        <d v="2015-09-15T10:57:12"/>
        <d v="2015-09-15T10:52:49"/>
        <d v="2015-09-15T10:36:57"/>
        <d v="2015-09-15T04:27:15"/>
        <d v="2015-09-15T04:11:08"/>
        <d v="2015-09-15T04:10:07"/>
        <d v="2015-09-15T03:04:00"/>
        <d v="2015-09-15T02:51:16"/>
        <d v="2015-09-15T02:39:21"/>
        <d v="2015-09-15T02:23:07"/>
        <d v="2015-09-15T02:14:27"/>
        <d v="2015-09-15T02:12:55"/>
        <d v="2015-09-15T01:36:05"/>
        <d v="2015-09-15T01:21:53"/>
        <d v="2015-09-15T01:15:48"/>
        <d v="2015-09-15T01:15:13"/>
        <d v="2015-09-15T00:58:44"/>
        <d v="2015-09-15T00:49:43"/>
        <d v="2015-09-15T00:28:02"/>
        <d v="2015-09-15T00:27:52"/>
        <d v="2015-09-14T23:17:19"/>
        <d v="2015-09-14T23:13:58"/>
        <d v="2015-09-14T23:06:36"/>
        <d v="2015-09-14T23:05:16"/>
        <d v="2015-09-14T23:05:12"/>
        <d v="2015-09-14T23:01:14"/>
        <d v="2015-09-14T22:34:13"/>
        <d v="2015-09-14T22:32:39"/>
        <d v="2015-09-14T22:28:46"/>
        <d v="2015-09-14T21:45:00"/>
        <d v="2015-09-14T21:14:08"/>
        <d v="2015-09-14T20:59:32"/>
        <d v="2015-09-14T20:57:05"/>
        <d v="2015-09-14T20:55:36"/>
        <d v="2015-09-14T20:51:29"/>
        <d v="2015-09-14T20:46:40"/>
        <d v="2015-09-14T20:25:13"/>
        <d v="2015-09-14T20:23:28"/>
        <d v="2015-09-14T20:06:19"/>
        <d v="2015-09-14T19:37:54"/>
        <d v="2015-09-14T19:26:41"/>
        <d v="2015-09-14T19:12:09"/>
        <d v="2015-09-14T18:53:58"/>
        <d v="2015-09-14T18:53:51"/>
        <d v="2015-09-14T18:24:09"/>
        <d v="2015-09-14T17:44:23"/>
        <d v="2015-09-14T17:36:08"/>
        <d v="2015-09-14T17:04:48"/>
        <d v="2015-09-14T16:35:42"/>
        <d v="2015-09-14T16:16:10"/>
        <d v="2015-09-14T16:11:17"/>
        <d v="2015-09-14T16:04:18"/>
        <d v="2015-09-14T16:04:12"/>
        <d v="2015-09-14T15:55:35"/>
        <d v="2015-09-14T15:52:55"/>
        <d v="2015-09-14T15:49:02"/>
        <d v="2015-09-14T15:48:05"/>
        <d v="2015-09-14T15:05:14"/>
        <d v="2015-09-14T14:56:41"/>
        <d v="2015-09-14T14:55:25"/>
        <d v="2015-09-14T14:51:27"/>
        <d v="2015-09-14T14:22:18"/>
        <d v="2015-09-14T14:21:18"/>
        <d v="2015-09-14T14:18:22"/>
        <d v="2015-09-14T14:08:39"/>
        <d v="2015-09-14T13:50:49"/>
        <d v="2015-09-14T13:22:15"/>
        <d v="2015-09-14T13:11:53"/>
        <d v="2015-09-14T12:34:06"/>
        <d v="2015-09-14T12:29:29"/>
        <d v="2015-09-14T12:14:19"/>
        <d v="2015-09-14T05:31:40"/>
        <d v="2015-09-14T05:29:54"/>
        <d v="2015-09-14T05:07:35"/>
        <d v="2015-09-14T04:47:49"/>
        <d v="2015-09-14T03:11:33"/>
        <d v="2015-09-14T02:35:31"/>
        <d v="2015-09-14T02:14:59"/>
        <d v="2015-09-14T02:13:47"/>
        <d v="2015-09-14T02:06:17"/>
        <d v="2015-09-14T01:19:12"/>
        <d v="2015-09-14T01:03:09"/>
        <d v="2015-09-14T01:02:36"/>
        <d v="2015-09-14T00:57:49"/>
        <d v="2015-09-14T00:39:33"/>
        <d v="2015-09-14T00:36:56"/>
        <d v="2015-09-14T00:27:22"/>
        <d v="2015-09-14T00:15:48"/>
        <d v="2015-09-14T00:14:13"/>
        <d v="2015-09-13T23:49:35"/>
        <d v="2015-09-13T23:19:03"/>
        <d v="2015-09-13T23:13:43"/>
        <d v="2015-09-13T23:04:09"/>
        <d v="2015-09-13T23:02:07"/>
        <d v="2015-09-13T22:58:33"/>
        <d v="2015-09-13T22:55:05"/>
        <d v="2015-09-13T22:29:16"/>
        <d v="2015-09-13T22:29:12"/>
        <d v="2015-09-13T22:23:51"/>
        <d v="2015-09-13T21:46:06"/>
        <d v="2015-09-13T21:45:48"/>
        <d v="2015-09-13T21:36:56"/>
        <d v="2015-09-13T21:32:54"/>
        <d v="2015-09-13T21:28:27"/>
        <d v="2015-09-13T21:27:38"/>
        <d v="2015-09-13T20:38:59"/>
        <d v="2015-09-13T18:50:38"/>
        <d v="2015-09-13T18:05:40"/>
        <d v="2015-09-13T17:50:04"/>
        <d v="2015-09-13T17:35:51"/>
        <d v="2015-09-13T17:33:59"/>
        <d v="2015-09-13T17:32:53"/>
        <d v="2015-09-13T17:27:25"/>
        <d v="2015-09-13T17:12:04"/>
        <d v="2015-09-13T17:10:58"/>
        <d v="2015-09-13T17:10:08"/>
        <d v="2015-09-13T16:45:52"/>
        <d v="2015-09-13T16:29:52"/>
        <d v="2015-09-13T16:18:47"/>
        <d v="2015-09-13T04:16:11"/>
        <d v="2015-09-13T03:29:52"/>
        <d v="2015-09-13T02:42:04"/>
        <d v="2015-09-13T02:02:24"/>
        <d v="2015-09-13T01:57:21"/>
        <d v="2015-09-13T00:23:04"/>
        <d v="2015-09-12T23:50:41"/>
        <d v="2015-09-12T22:21:39"/>
        <d v="2015-09-12T22:16:24"/>
        <d v="2015-09-12T22:03:12"/>
        <d v="2015-09-12T20:45:35"/>
        <d v="2015-09-12T20:10:16"/>
        <d v="2015-09-12T20:02:20"/>
        <d v="2015-09-12T18:08:28"/>
        <d v="2015-09-12T18:07:52"/>
        <d v="2015-09-12T18:06:32"/>
        <d v="2015-09-12T11:53:43"/>
        <d v="2015-09-12T11:53:09"/>
        <d v="2015-09-12T03:14:49"/>
        <d v="2015-09-11T22:15:08"/>
        <d v="2015-09-11T22:14:22"/>
        <d v="2015-09-11T21:35:07"/>
        <d v="2015-09-11T21:34:35"/>
        <d v="2015-09-11T21:30:06"/>
        <d v="2015-09-11T21:03:38"/>
        <d v="2015-09-11T20:37:10"/>
        <d v="2015-09-11T20:34:24"/>
        <d v="2015-09-11T20:27:43"/>
        <d v="2015-09-11T20:19:54"/>
        <d v="2015-09-11T19:33:54"/>
        <d v="2015-09-11T19:30:08"/>
        <d v="2015-09-11T19:28:50"/>
        <d v="2015-09-11T19:28:21"/>
        <d v="2015-09-11T19:27:54"/>
        <d v="2015-09-11T19:27:10"/>
        <d v="2015-09-11T19:20:01"/>
        <d v="2015-09-11T19:17:28"/>
        <d v="2015-09-11T19:06:38"/>
        <d v="2015-09-11T19:04:36"/>
        <d v="2015-09-11T18:54:58"/>
        <d v="2015-09-11T18:54:26"/>
        <d v="2015-09-11T18:54:05"/>
        <d v="2015-09-11T17:56:50"/>
        <d v="2015-09-11T16:46:42"/>
        <d v="2015-09-11T16:41:01"/>
        <d v="2015-09-11T16:40:45"/>
        <d v="2015-09-11T16:27:16"/>
        <d v="2015-09-11T16:25:05"/>
        <d v="2015-09-11T16:19:40"/>
        <d v="2015-09-11T16:16:02"/>
        <d v="2015-09-11T16:12:44"/>
        <d v="2015-09-11T16:11:43"/>
        <d v="2015-09-11T15:27:15"/>
        <d v="2015-09-11T14:43:43"/>
        <d v="2015-09-11T14:43:36"/>
        <d v="2015-09-11T14:08:49"/>
        <d v="2015-09-11T14:08:39"/>
        <d v="2015-09-11T13:48:36"/>
        <d v="2015-09-11T13:04:10"/>
        <d v="2015-09-11T12:40:07"/>
        <d v="2015-09-11T12:39:51"/>
        <d v="2015-09-11T12:19:13"/>
        <d v="2015-09-11T12:19:02"/>
        <d v="2015-09-11T12:19:00"/>
        <d v="2015-09-11T12:18:47"/>
        <d v="2015-09-11T12:17:53"/>
        <d v="2015-09-11T03:20:45"/>
        <d v="2015-09-11T03:18:07"/>
        <d v="2015-09-11T03:14:23"/>
        <d v="2015-09-11T03:14:01"/>
        <d v="2015-09-11T03:12:22"/>
        <d v="2015-09-11T03:09:45"/>
        <d v="2015-09-11T02:35:19"/>
        <d v="2015-09-11T02:26:03"/>
        <d v="2015-09-11T02:24:29"/>
        <d v="2015-09-11T01:12:16"/>
        <d v="2015-09-11T00:51:04"/>
        <d v="2015-09-11T00:22:49"/>
        <d v="2015-09-10T23:25:05"/>
        <d v="2015-09-10T22:46:59"/>
        <d v="2015-09-10T22:38:31"/>
        <d v="2015-09-10T22:29:58"/>
        <d v="2015-09-10T22:28:44"/>
        <d v="2015-09-10T22:01:09"/>
        <d v="2015-09-10T21:02:12"/>
        <d v="2015-09-10T20:57:09"/>
        <d v="2015-09-10T20:21:27"/>
        <d v="2015-09-10T20:19:58"/>
        <d v="2015-09-10T19:51:09"/>
        <d v="2015-09-10T19:47:50"/>
        <d v="2015-09-10T19:23:14"/>
        <d v="2015-09-10T18:48:26"/>
        <d v="2015-09-10T18:48:24"/>
        <d v="2015-09-10T17:29:02"/>
        <d v="2015-09-10T17:09:03"/>
        <d v="2015-09-10T15:19:56"/>
        <d v="2015-09-10T14:41:45"/>
        <d v="2015-09-10T14:04:33"/>
        <d v="2015-09-10T13:52:53"/>
        <d v="2015-09-10T13:37:34"/>
        <d v="2015-09-10T13:33:10"/>
        <d v="2015-09-10T04:20:30"/>
        <d v="2015-09-10T03:44:47"/>
        <d v="2015-09-10T02:29:13"/>
        <d v="2015-09-10T02:27:57"/>
        <d v="2015-09-10T02:21:10"/>
        <d v="2015-09-10T01:55:03"/>
        <d v="2015-09-10T01:50:27"/>
        <d v="2015-09-10T01:48:51"/>
        <d v="2015-09-10T00:10:00"/>
        <d v="2015-09-10T00:09:18"/>
        <d v="2015-09-10T00:06:28"/>
        <d v="2015-09-10T00:02:08"/>
        <d v="2015-09-09T21:36:11"/>
        <d v="2015-09-09T20:50:37"/>
        <d v="2015-09-09T20:44:43"/>
        <d v="2015-09-09T20:22:45"/>
        <d v="2015-09-09T20:22:37"/>
        <d v="2015-09-09T20:22:05"/>
        <d v="2015-09-09T20:11:00"/>
        <d v="2015-09-09T20:07:13"/>
        <d v="2015-09-09T20:04:10"/>
        <d v="2015-09-09T19:52:18"/>
        <d v="2015-09-09T19:41:02"/>
        <d v="2015-09-09T19:30:33"/>
        <d v="2015-09-09T19:21:40"/>
        <d v="2015-09-09T19:21:31"/>
        <d v="2015-09-09T18:59:15"/>
        <d v="2015-09-09T18:59:03"/>
        <d v="2015-09-09T18:58:58"/>
        <d v="2015-09-09T18:55:44"/>
        <d v="2015-09-09T18:33:14"/>
        <d v="2015-09-09T18:27:20"/>
        <d v="2015-09-09T18:13:12"/>
        <d v="2015-09-09T17:53:01"/>
        <d v="2015-09-09T17:20:55"/>
        <d v="2015-09-09T17:20:49"/>
        <d v="2015-09-09T16:48:50"/>
        <d v="2015-09-09T15:25:17"/>
        <d v="2015-09-09T15:06:47"/>
        <d v="2015-09-09T14:16:58"/>
        <d v="2015-09-09T14:06:49"/>
        <d v="2015-09-09T14:03:31"/>
        <d v="2015-09-09T14:02:21"/>
        <d v="2015-09-09T13:56:00"/>
        <d v="2015-09-09T13:50:19"/>
        <d v="2015-09-09T12:10:16"/>
        <d v="2015-09-09T05:45:53"/>
        <d v="2015-09-09T03:48:18"/>
        <d v="2015-09-09T01:44:54"/>
        <d v="2015-09-08T22:35:13"/>
        <d v="2015-09-08T22:04:39"/>
        <d v="2015-09-08T21:58:54"/>
        <d v="2015-09-08T20:19:34"/>
        <d v="2015-09-08T20:18:40"/>
        <d v="2015-09-08T20:15:04"/>
        <d v="2015-09-08T20:01:44"/>
        <d v="2015-09-08T19:30:05"/>
        <d v="2015-09-08T19:18:38"/>
        <d v="2015-09-08T18:53:40"/>
        <d v="2015-09-08T18:37:01"/>
        <d v="2015-09-08T17:34:50"/>
        <d v="2015-09-08T17:13:29"/>
        <d v="2015-09-08T17:13:12"/>
        <d v="2015-09-08T16:47:25"/>
        <d v="2015-09-08T16:09:22"/>
        <d v="2015-09-08T16:07:52"/>
        <d v="2015-09-08T15:56:11"/>
        <d v="2015-09-08T15:53:19"/>
        <d v="2015-09-08T14:59:50"/>
        <d v="2015-09-08T14:43:39"/>
        <d v="2015-09-08T14:43:26"/>
        <d v="2015-09-08T14:43:21"/>
        <d v="2015-09-08T14:37:54"/>
        <d v="2015-09-08T14:37:34"/>
        <d v="2015-09-08T14:18:27"/>
        <d v="2015-09-08T14:02:38"/>
        <d v="2015-09-08T14:02:24"/>
        <d v="2015-09-08T14:01:21"/>
        <d v="2015-09-08T14:00:00"/>
        <d v="2015-09-08T13:59:34"/>
        <d v="2015-09-08T13:58:53"/>
        <d v="2015-09-08T13:56:48"/>
        <d v="2015-09-08T13:52:21"/>
        <d v="2015-09-08T13:49:48"/>
        <d v="2015-09-08T12:56:16"/>
        <d v="2015-09-08T12:52:31"/>
        <d v="2015-09-08T12:49:18"/>
        <d v="2015-09-08T10:45:58"/>
        <d v="2015-09-08T06:22:25"/>
        <d v="2015-09-08T05:00:19"/>
        <d v="2015-09-08T04:36:04"/>
        <d v="2015-09-08T03:44:51"/>
        <d v="2015-09-08T03:22:06"/>
        <d v="2015-09-08T03:09:25"/>
        <d v="2015-09-08T02:10:17"/>
        <d v="2015-09-08T02:02:57"/>
        <d v="2015-09-08T01:35:11"/>
        <d v="2015-09-08T01:25:14"/>
        <d v="2015-09-08T01:24:50"/>
        <d v="2015-09-08T00:59:14"/>
        <d v="2015-09-08T00:48:34"/>
        <d v="2015-09-07T22:07:49"/>
        <d v="2015-09-07T21:29:35"/>
        <d v="2015-09-07T21:26:10"/>
        <d v="2015-09-07T21:25:51"/>
        <d v="2015-09-07T21:25:14"/>
        <d v="2015-09-07T21:05:05"/>
        <d v="2015-09-07T20:59:52"/>
        <d v="2015-09-07T20:12:29"/>
        <d v="2015-09-07T20:02:07"/>
        <d v="2015-09-07T19:42:08"/>
        <d v="2015-09-07T19:21:08"/>
        <d v="2015-09-07T19:01:40"/>
        <d v="2015-09-07T18:43:40"/>
        <d v="2015-09-07T18:34:43"/>
        <d v="2015-09-07T18:06:06"/>
        <d v="2015-09-07T17:59:37"/>
        <d v="2015-09-07T17:49:01"/>
        <d v="2015-09-07T17:48:10"/>
        <d v="2015-09-07T17:46:16"/>
        <d v="2015-09-07T17:30:35"/>
        <d v="2015-09-07T17:07:23"/>
        <d v="2015-09-07T17:06:51"/>
        <d v="2015-09-07T16:27:22"/>
        <d v="2015-09-07T16:17:11"/>
        <d v="2015-09-07T16:07:38"/>
        <d v="2015-09-07T15:31:07"/>
        <d v="2015-09-07T15:26:00"/>
        <d v="2015-09-07T15:14:17"/>
        <d v="2015-09-07T15:09:33"/>
        <d v="2015-09-07T15:05:54"/>
        <d v="2015-09-07T14:32:44"/>
        <d v="2015-09-07T13:07:17"/>
        <d v="2015-09-07T04:09:14"/>
        <d v="2015-09-07T04:06:07"/>
        <d v="2015-09-07T03:03:30"/>
        <d v="2015-09-07T02:56:20"/>
        <d v="2015-09-07T02:50:10"/>
        <d v="2015-09-07T01:02:33"/>
        <d v="2015-09-06T22:17:53"/>
        <d v="2015-09-06T22:09:07"/>
        <d v="2015-09-06T21:53:59"/>
        <d v="2015-09-06T21:43:02"/>
        <d v="2015-09-06T21:03:27"/>
        <d v="2015-09-06T20:54:28"/>
        <d v="2015-09-06T19:35:23"/>
        <d v="2015-09-06T19:33:30"/>
        <d v="2015-09-06T19:32:14"/>
        <d v="2015-09-06T18:09:30"/>
        <d v="2015-09-06T17:13:48"/>
        <d v="2015-09-06T16:17:49"/>
        <d v="2015-09-06T16:15:49"/>
        <d v="2015-09-06T16:12:22"/>
        <d v="2015-09-06T12:35:14"/>
        <d v="2015-09-06T12:35:01"/>
        <d v="2015-09-06T12:33:26"/>
        <d v="2015-09-06T12:33:03"/>
        <d v="2015-09-06T12:32:09"/>
        <d v="2015-09-06T12:31:54"/>
        <d v="2015-09-06T12:30:43"/>
        <d v="2015-09-06T12:30:32"/>
        <d v="2015-09-06T12:29:32"/>
        <d v="2015-09-06T12:29:15"/>
        <d v="2015-09-06T12:27:11"/>
        <d v="2015-09-06T12:26:35"/>
        <d v="2015-09-06T12:24:04"/>
        <d v="2015-09-06T12:23:44"/>
        <d v="2015-09-06T12:21:35"/>
        <d v="2015-09-06T12:20:45"/>
        <d v="2015-09-06T12:19:47"/>
        <d v="2015-09-06T12:19:13"/>
        <d v="2015-09-06T12:18:21"/>
        <d v="2015-09-06T12:18:20"/>
        <d v="2015-09-06T12:18:02"/>
        <d v="2015-09-06T12:16:51"/>
        <d v="2015-09-06T12:16:26"/>
        <d v="2015-09-06T00:08:46"/>
        <d v="2015-09-05T23:54:01"/>
        <d v="2015-09-05T23:24:25"/>
        <d v="2015-09-05T23:23:25"/>
        <d v="2015-09-05T23:23:12"/>
        <d v="2015-09-05T23:22:12"/>
        <d v="2015-09-05T23:20:11"/>
        <d v="2015-09-05T23:19:13"/>
        <d v="2015-09-05T23:17:51"/>
        <d v="2015-09-05T22:36:54"/>
        <d v="2015-09-05T19:51:45"/>
        <d v="2015-09-05T19:50:32"/>
        <d v="2015-09-05T19:18:52"/>
        <d v="2015-09-05T19:13:59"/>
        <d v="2015-09-05T19:10:10"/>
        <d v="2015-09-05T19:07:14"/>
        <d v="2015-09-05T19:01:19"/>
        <d v="2015-09-05T18:46:09"/>
        <d v="2015-09-05T18:45:32"/>
        <d v="2015-09-05T17:04:17"/>
        <d v="2015-09-05T16:36:56"/>
        <d v="2015-09-05T16:34:31"/>
        <d v="2015-09-05T16:14:09"/>
        <d v="2015-09-05T16:12:22"/>
        <d v="2015-09-05T15:56:28"/>
        <d v="2015-09-05T15:45:09"/>
        <d v="2015-09-05T14:57:40"/>
        <d v="2015-09-05T14:49:20"/>
        <d v="2015-09-05T14:40:14"/>
        <d v="2015-09-05T14:39:51"/>
        <d v="2015-09-05T14:33:59"/>
        <d v="2015-09-05T13:15:14"/>
        <d v="2015-09-05T03:16:21"/>
        <d v="2015-09-05T03:08:17"/>
        <d v="2015-09-05T02:00:26"/>
        <d v="2015-09-05T01:59:54"/>
        <d v="2015-09-05T01:44:06"/>
        <d v="2015-09-04T23:39:55"/>
        <d v="2015-09-04T23:17:45"/>
        <d v="2015-09-04T23:13:00"/>
        <d v="2015-09-04T23:10:26"/>
        <d v="2015-09-04T22:48:36"/>
        <d v="2015-09-04T22:43:17"/>
        <d v="2015-09-04T20:49:32"/>
        <d v="2015-09-04T20:38:55"/>
        <d v="2015-09-04T20:12:46"/>
        <d v="2015-09-04T20:10:57"/>
        <d v="2015-09-04T18:32:58"/>
        <d v="2015-09-04T18:22:24"/>
        <d v="2015-09-04T18:17:07"/>
        <d v="2015-09-04T18:16:58"/>
        <d v="2015-09-04T17:56:27"/>
        <d v="2015-09-04T17:46:40"/>
        <d v="2015-09-04T17:35:47"/>
        <d v="2015-09-04T17:34:35"/>
        <d v="2015-09-04T17:31:41"/>
        <d v="2015-09-04T17:11:06"/>
        <d v="2015-09-04T17:11:04"/>
        <d v="2015-09-04T17:10:47"/>
        <d v="2015-09-04T16:43:47"/>
        <d v="2015-09-04T16:43:31"/>
        <d v="2015-09-04T16:10:25"/>
        <d v="2015-09-04T16:02:39"/>
        <d v="2015-09-04T15:50:05"/>
        <d v="2015-09-04T15:33:11"/>
        <d v="2015-09-04T15:04:29"/>
        <d v="2015-09-04T15:04:02"/>
        <d v="2015-09-04T15:02:01"/>
        <d v="2015-09-04T15:01:27"/>
        <d v="2015-09-04T14:50:58"/>
        <d v="2015-09-04T14:50:49"/>
        <d v="2015-09-04T14:49:55"/>
        <d v="2015-09-04T14:48:04"/>
        <d v="2015-09-04T14:34:22"/>
        <d v="2015-09-04T14:32:56"/>
        <d v="2015-09-04T14:29:20"/>
        <d v="2015-09-04T14:28:11"/>
        <d v="2015-09-04T14:20:03"/>
        <d v="2015-09-04T14:15:13"/>
        <d v="2015-09-04T14:12:01"/>
        <d v="2015-09-04T14:08:24"/>
        <d v="2015-09-04T14:08:06"/>
        <d v="2015-09-04T05:41:24"/>
        <d v="2015-09-04T05:24:03"/>
        <d v="2015-09-04T04:49:37"/>
        <d v="2015-09-04T04:49:01"/>
        <d v="2015-09-04T04:48:35"/>
        <d v="2015-09-04T04:13:57"/>
        <d v="2015-09-04T02:46:21"/>
        <d v="2015-09-04T02:43:32"/>
        <d v="2015-09-04T02:40:25"/>
        <d v="2015-09-04T02:39:47"/>
        <d v="2015-09-04T02:36:21"/>
        <d v="2015-09-04T02:25:10"/>
        <d v="2015-09-04T01:44:36"/>
        <d v="2015-09-04T01:40:33"/>
        <d v="2015-09-04T01:39:48"/>
        <d v="2015-09-04T01:39:30"/>
        <d v="2015-09-04T01:25:30"/>
        <d v="2015-09-04T01:25:23"/>
        <d v="2015-09-04T01:24:02"/>
        <d v="2015-09-04T01:23:55"/>
        <d v="2015-09-04T01:23:45"/>
        <d v="2015-09-04T01:23:31"/>
        <d v="2015-09-04T01:23:16"/>
        <d v="2015-09-04T01:21:03"/>
        <d v="2015-09-04T01:20:11"/>
        <d v="2015-09-04T01:18:57"/>
        <d v="2015-09-04T01:18:07"/>
        <d v="2015-09-04T01:16:27"/>
        <d v="2015-09-04T01:15:24"/>
        <d v="2015-09-04T01:14:58"/>
        <d v="2015-09-04T01:10:15"/>
        <d v="2015-09-04T01:02:52"/>
        <d v="2015-09-04T00:17:54"/>
        <d v="2015-09-04T00:16:38"/>
        <d v="2015-09-03T22:37:17"/>
        <d v="2015-09-03T22:34:00"/>
        <d v="2015-09-03T22:33:48"/>
        <d v="2015-09-03T22:33:28"/>
        <d v="2015-09-03T22:33:16"/>
        <d v="2015-09-03T22:31:06"/>
        <d v="2015-09-03T22:30:35"/>
        <d v="2015-09-03T22:15:25"/>
        <d v="2015-09-03T21:52:31"/>
        <d v="2015-09-03T21:52:15"/>
        <d v="2015-09-03T21:51:41"/>
        <d v="2015-09-03T21:51:25"/>
        <d v="2015-09-03T20:40:35"/>
        <d v="2015-09-03T20:40:28"/>
        <d v="2015-09-03T18:53:58"/>
        <d v="2015-09-03T18:53:06"/>
        <d v="2015-09-03T18:43:29"/>
        <d v="2015-09-03T18:19:27"/>
        <d v="2015-09-03T18:07:14"/>
        <d v="2015-09-03T17:44:21"/>
        <d v="2015-09-03T17:34:20"/>
        <d v="2015-09-03T17:20:17"/>
        <d v="2015-09-03T17:19:11"/>
        <d v="2015-09-03T16:55:17"/>
        <d v="2015-09-03T16:37:38"/>
        <d v="2015-09-03T16:35:21"/>
        <d v="2015-09-03T16:29:01"/>
        <d v="2015-09-03T16:28:24"/>
        <d v="2015-09-03T16:22:36"/>
        <d v="2015-09-03T16:15:08"/>
        <d v="2015-09-03T16:14:54"/>
        <d v="2015-09-03T15:59:58"/>
        <d v="2015-09-03T15:40:52"/>
        <d v="2015-09-03T15:25:16"/>
        <d v="2015-09-03T15:23:35"/>
        <d v="2015-09-03T15:11:56"/>
        <d v="2015-09-03T13:49:15"/>
        <d v="2015-09-03T13:41:40"/>
        <d v="2015-09-03T13:15:39"/>
        <d v="2015-09-03T07:25:11"/>
        <d v="2015-09-03T07:22:52"/>
        <d v="2015-09-03T07:22:42"/>
        <d v="2015-09-03T07:22:07"/>
        <d v="2015-09-03T07:21:42"/>
        <d v="2015-09-03T02:28:41"/>
        <d v="2015-09-03T02:14:15"/>
        <d v="2015-09-03T02:08:29"/>
        <d v="2015-09-03T01:03:15"/>
        <d v="2015-09-02T22:46:47"/>
        <d v="2015-09-02T22:07:37"/>
        <d v="2015-09-02T22:04:19"/>
        <d v="2015-09-02T21:56:16"/>
        <d v="2015-09-02T21:13:59"/>
        <d v="2015-09-02T20:32:07"/>
        <d v="2015-09-02T20:26:01"/>
        <d v="2015-09-02T19:35:16"/>
        <d v="2015-09-02T19:33:49"/>
        <d v="2015-09-02T17:37:14"/>
        <d v="2015-09-02T17:34:38"/>
        <d v="2015-09-02T17:20:22"/>
        <d v="2015-09-02T16:45:59"/>
        <d v="2015-09-02T16:39:23"/>
        <d v="2015-09-02T16:27:34"/>
        <d v="2015-09-02T15:54:22"/>
        <d v="2015-09-02T15:30:08"/>
        <d v="2015-09-02T15:30:00"/>
        <d v="2015-09-02T15:20:14"/>
        <d v="2015-09-02T15:16:05"/>
        <d v="2015-09-02T15:05:50"/>
        <d v="2015-09-02T15:01:59"/>
        <d v="2015-09-02T14:54:10"/>
        <d v="2015-09-02T14:39:02"/>
        <d v="2015-09-02T14:31:04"/>
        <d v="2015-09-02T14:24:19"/>
        <d v="2015-09-02T14:23:18"/>
        <d v="2015-09-02T14:12:52"/>
        <d v="2015-09-02T14:06:22"/>
        <d v="2015-09-02T14:05:12"/>
        <d v="2015-09-02T14:00:09"/>
        <d v="2015-09-02T13:36:21"/>
        <d v="2015-09-02T13:35:57"/>
        <d v="2015-09-02T13:25:27"/>
        <d v="2015-09-02T13:22:36"/>
        <d v="2015-09-02T12:50:17"/>
        <d v="2015-09-02T03:31:24"/>
        <d v="2015-09-02T02:26:01"/>
        <d v="2015-09-02T02:25:06"/>
        <d v="2015-09-02T01:31:13"/>
        <d v="2015-09-02T00:59:51"/>
        <d v="2015-09-02T00:47:15"/>
        <d v="2015-09-02T00:46:22"/>
        <d v="2015-09-02T00:24:55"/>
        <d v="2015-09-02T00:24:29"/>
        <d v="2015-09-02T00:19:33"/>
        <d v="2015-09-02T00:11:55"/>
        <d v="2015-09-01T23:47:24"/>
        <d v="2015-09-01T22:42:35"/>
        <d v="2015-09-01T22:34:47"/>
        <d v="2015-09-01T22:34:38"/>
        <d v="2015-09-01T22:28:25"/>
        <d v="2015-09-01T22:15:23"/>
        <d v="2015-09-01T22:14:42"/>
        <d v="2015-09-01T21:23:52"/>
        <d v="2015-09-01T21:16:22"/>
        <d v="2015-09-01T20:52:40"/>
        <d v="2015-09-01T20:46:52"/>
        <d v="2015-09-01T20:46:44"/>
        <d v="2015-09-01T20:41:46"/>
        <d v="2015-09-01T20:40:58"/>
        <d v="2015-09-01T20:40:34"/>
        <d v="2015-09-01T19:41:43"/>
        <d v="2015-09-01T19:35:27"/>
        <d v="2015-09-01T19:35:16"/>
        <d v="2015-09-01T19:34:55"/>
        <d v="2015-09-01T19:31:48"/>
        <d v="2015-09-01T19:10:21"/>
        <d v="2015-09-01T18:16:24"/>
        <d v="2015-09-01T18:15:41"/>
        <d v="2015-09-01T17:49:38"/>
        <d v="2015-09-01T17:31:53"/>
        <d v="2015-09-01T17:24:26"/>
        <d v="2015-09-01T17:12:58"/>
        <d v="2015-09-01T17:12:14"/>
        <d v="2015-09-01T16:52:51"/>
        <d v="2015-09-01T16:44:41"/>
        <d v="2015-09-01T16:44:16"/>
        <d v="2015-09-01T16:39:02"/>
        <d v="2015-09-01T16:22:14"/>
        <d v="2015-09-01T16:20:16"/>
        <d v="2015-09-01T16:20:14"/>
        <d v="2015-09-01T16:19:38"/>
        <d v="2015-09-01T16:18:02"/>
        <d v="2015-09-01T16:13:47"/>
        <d v="2015-09-01T16:05:05"/>
        <d v="2015-09-01T15:59:07"/>
        <d v="2015-09-01T15:43:20"/>
        <d v="2015-09-01T15:41:37"/>
        <d v="2015-09-01T15:41:26"/>
        <d v="2015-09-01T15:32:11"/>
        <d v="2015-09-01T15:29:17"/>
        <d v="2015-09-01T15:29:04"/>
        <d v="2015-09-01T15:28:09"/>
        <d v="2015-09-01T15:27:58"/>
        <d v="2015-09-01T15:27:42"/>
        <d v="2015-09-01T14:53:38"/>
        <d v="2015-09-01T14:51:35"/>
        <d v="2015-09-01T14:41:03"/>
        <d v="2015-09-01T13:40:46"/>
        <d v="2015-09-01T13:33:02"/>
        <d v="2015-09-01T13:32:51"/>
        <d v="2015-09-01T13:02:55"/>
        <d v="2015-09-01T12:55:48"/>
        <d v="2015-09-01T12:45:06"/>
        <d v="2015-09-01T03:55:25"/>
        <d v="2015-09-01T02:29:30"/>
        <d v="2015-09-01T02:29:06"/>
        <d v="2015-09-01T01:34:12"/>
        <d v="2015-09-01T00:39:27"/>
        <d v="2015-09-01T00:24:51"/>
        <d v="2015-09-01T00:17:13"/>
        <d v="2015-08-31T23:30:49"/>
        <d v="2015-08-31T23:30:39"/>
        <d v="2015-08-31T23:29:50"/>
        <d v="2015-08-31T23:28:48"/>
        <d v="2015-08-31T23:28:19"/>
        <d v="2015-08-31T20:40:16"/>
        <d v="2015-08-31T20:39:45"/>
        <d v="2015-08-31T20:39:25"/>
        <d v="2015-08-31T20:36:12"/>
        <d v="2015-08-31T20:24:52"/>
        <d v="2015-08-31T20:23:26"/>
        <d v="2015-08-31T19:34:21"/>
        <d v="2015-08-31T19:34:03"/>
        <d v="2015-08-31T19:32:44"/>
        <d v="2015-08-31T19:25:01"/>
        <d v="2015-08-31T19:08:51"/>
        <d v="2015-08-31T18:43:05"/>
        <d v="2015-08-31T18:42:16"/>
        <d v="2015-08-31T17:02:50"/>
        <d v="2015-08-31T16:54:52"/>
        <d v="2015-08-31T16:54:28"/>
        <d v="2015-08-31T16:52:33"/>
        <d v="2015-08-31T15:28:09"/>
        <d v="2015-08-31T15:24:08"/>
        <d v="2015-08-31T15:13:08"/>
        <d v="2015-08-31T15:11:43"/>
        <d v="2015-08-31T13:39:28"/>
        <d v="2015-08-31T13:30:34"/>
        <d v="2015-08-31T13:30:18"/>
        <d v="2015-08-31T13:29:01"/>
        <d v="2015-08-31T13:28:46"/>
        <d v="2015-08-31T13:26:19"/>
        <d v="2015-08-31T13:26:00"/>
        <d v="2015-08-31T00:06:32"/>
        <d v="2015-08-30T23:55:28"/>
        <d v="2015-08-30T23:27:57"/>
        <d v="2015-08-29T21:56:52"/>
        <d v="2015-08-29T21:56:32"/>
        <d v="2015-08-29T21:56:30"/>
        <d v="2015-08-29T20:42:55"/>
        <d v="2015-08-29T20:42:22"/>
        <d v="2015-08-29T16:53:54"/>
        <d v="2015-08-29T15:10:54"/>
        <d v="2015-08-29T15:05:48"/>
        <d v="2015-08-29T04:28:17"/>
        <d v="2015-08-29T04:26:39"/>
        <d v="2015-08-29T00:39:35"/>
        <d v="2015-08-28T23:02:18"/>
        <d v="2015-08-28T22:44:17"/>
        <d v="2015-08-28T21:03:13"/>
        <d v="2015-08-28T20:34:46"/>
        <d v="2015-08-28T19:32:49"/>
        <d v="2015-08-28T19:10:04"/>
        <d v="2015-08-28T18:58:44"/>
        <d v="2015-08-28T18:12:16"/>
        <d v="2015-08-28T18:00:49"/>
        <d v="2015-08-28T16:28:33"/>
        <d v="2015-08-28T02:29:10"/>
        <d v="2015-08-27T23:06:28"/>
        <d v="2015-08-27T22:16:45"/>
        <d v="2015-08-27T19:51:58"/>
        <d v="2015-08-27T19:51:36"/>
        <d v="2015-08-27T19:46:13"/>
        <d v="2015-08-27T19:38:44"/>
        <d v="2015-08-27T18:20:06"/>
        <d v="2015-08-27T18:18:44"/>
        <d v="2015-08-27T16:09:04"/>
        <d v="2015-08-26T20:11:18"/>
        <d v="2015-08-26T20:10:17"/>
        <d v="2015-08-26T17:18:22"/>
        <d v="2015-08-26T15:18:22"/>
        <d v="2015-08-26T15:08:26"/>
        <d v="2015-08-26T15:08:05"/>
        <d v="2015-08-26T15:05:37"/>
        <d v="2015-08-26T14:59:10"/>
        <d v="2015-08-26T03:02:02"/>
        <d v="2015-08-26T02:54:26"/>
        <d v="2015-08-26T01:45:07"/>
        <d v="2015-08-26T01:41:41"/>
        <d v="2015-08-25T18:56:14"/>
        <d v="2015-08-25T18:39:19"/>
        <d v="2015-08-25T18:36:06"/>
        <d v="2015-08-25T18:21:28"/>
        <d v="2015-08-25T18:18:50"/>
        <d v="2015-08-25T18:11:13"/>
        <d v="2015-08-25T17:39:47"/>
        <d v="2015-08-25T17:34:41"/>
        <d v="2015-08-25T17:31:12"/>
        <d v="2015-08-25T15:34:36"/>
        <d v="2015-08-25T15:31:03"/>
        <d v="2015-08-25T14:47:09"/>
        <d v="2015-08-25T14:35:34"/>
        <d v="2015-08-25T14:22:53"/>
        <d v="2015-08-25T13:49:35"/>
        <d v="2015-08-24T21:35:06"/>
        <d v="2015-08-24T21:29:37"/>
        <d v="2015-08-24T14:49:31"/>
        <d v="2015-08-24T14:35:16"/>
        <d v="2015-08-24T14:16:07"/>
        <d v="2015-08-24T14:04:25"/>
        <d v="2015-08-24T13:25:53"/>
        <d v="2015-08-24T05:05:02"/>
        <d v="2015-08-24T04:25:35"/>
        <d v="2015-08-24T02:06:51"/>
        <d v="2015-08-24T01:56:13"/>
        <d v="2015-08-23T22:16:45"/>
        <d v="2015-08-23T22:04:03"/>
        <d v="2015-08-23T22:03:55"/>
        <d v="2015-08-23T22:03:50"/>
        <d v="2015-08-23T22:02:24"/>
        <d v="2015-08-23T19:50:40"/>
        <d v="2015-08-23T18:18:20"/>
        <d v="2015-08-23T17:21:16"/>
        <d v="2015-08-23T14:41:10"/>
        <d v="2015-08-23T08:35:37"/>
        <d v="2015-08-22T23:36:05"/>
        <d v="2015-08-22T23:31:04"/>
        <d v="2015-08-22T23:16:51"/>
        <d v="2015-08-22T20:03:24"/>
        <d v="2015-08-22T19:53:20"/>
        <d v="2015-08-22T17:11:47"/>
        <d v="2015-08-21T23:48:11"/>
        <d v="2015-08-21T18:16:25"/>
        <d v="2015-08-21T18:13:43"/>
        <d v="2015-08-21T08:10:36"/>
        <d v="2015-08-21T08:08:58"/>
        <d v="2015-08-21T00:14:35"/>
        <d v="2015-08-20T19:19:21"/>
        <d v="2015-08-20T18:45:02"/>
        <d v="2015-08-20T17:43:20"/>
        <d v="2015-08-20T17:40:39"/>
        <d v="2015-08-20T17:33:19"/>
        <d v="2015-08-19T22:28:24"/>
        <d v="2015-08-19T21:37:31"/>
        <d v="2015-08-19T21:36:38"/>
        <d v="2015-08-19T21:32:03"/>
        <d v="2015-08-19T17:55:13"/>
        <d v="2015-08-19T17:54:21"/>
        <d v="2015-08-19T16:30:10"/>
        <d v="2015-08-19T16:16:09"/>
        <d v="2015-08-19T16:04:31"/>
        <d v="2015-08-19T14:07:16"/>
        <d v="2015-08-19T13:59:52"/>
        <d v="2015-08-19T13:10:08"/>
        <d v="2015-08-19T13:10:06"/>
        <d v="2015-08-19T02:59:02"/>
        <d v="2015-08-19T02:58:37"/>
        <d v="2015-08-19T02:13:32"/>
        <d v="2015-08-19T02:12:24"/>
        <d v="2015-08-18T23:24:51"/>
        <d v="2015-08-18T23:14:55"/>
        <d v="2015-08-18T19:08:06"/>
        <d v="2015-08-18T15:00:39"/>
        <d v="2015-08-18T14:57:37"/>
        <d v="2015-08-18T14:56:35"/>
        <d v="2015-08-18T14:55:55"/>
        <d v="2015-08-18T14:55:46"/>
        <d v="2015-08-18T14:46:31"/>
        <d v="2015-08-18T14:09:05"/>
        <d v="2015-08-18T13:43:18"/>
        <d v="2015-08-18T01:05:52"/>
        <d v="2015-08-18T01:05:39"/>
        <d v="2015-08-17T19:47:26"/>
        <d v="2015-08-17T19:39:07"/>
        <d v="2015-08-17T15:54:41"/>
        <d v="2015-08-17T15:53:07"/>
        <d v="2015-08-17T15:52:07"/>
        <d v="2015-08-17T15:51:45"/>
        <d v="2015-08-17T14:28:59"/>
        <d v="2015-08-17T14:22:42"/>
        <d v="2015-08-17T12:55:27"/>
        <d v="2015-08-17T04:43:07"/>
        <d v="2015-08-17T04:39:54"/>
        <d v="2015-08-17T04:29:08"/>
        <d v="2015-08-17T04:27:23"/>
        <d v="2015-08-16T22:48:53"/>
        <d v="2015-08-16T22:48:15"/>
        <d v="2015-08-16T22:45:30"/>
        <d v="2015-08-16T22:43:57"/>
        <d v="2015-08-16T22:43:30"/>
        <d v="2015-08-16T22:39:36"/>
        <d v="2015-08-16T22:39:20"/>
        <d v="2015-08-16T22:34:09"/>
        <d v="2015-08-16T22:32:46"/>
        <d v="2015-08-16T22:32:00"/>
        <d v="2015-08-16T22:31:10"/>
        <d v="2015-08-16T19:58:31"/>
        <d v="2015-08-16T19:57:38"/>
        <d v="2015-08-16T19:56:21"/>
        <d v="2015-08-16T19:42:44"/>
        <d v="2015-08-16T19:42:43"/>
        <d v="2015-08-16T19:42:30"/>
        <d v="2015-08-16T18:25:22"/>
        <d v="2015-08-16T18:24:55"/>
        <d v="2015-08-16T18:13:17"/>
        <d v="2015-08-16T12:35:35"/>
        <d v="2015-08-16T12:26:21"/>
        <d v="2015-08-16T12:26:05"/>
        <d v="2015-08-16T05:01:23"/>
        <d v="2015-08-15T22:18:23"/>
        <d v="2015-08-15T01:04:47"/>
        <d v="2015-08-14T23:41:52"/>
        <d v="2015-08-14T23:35:45"/>
        <d v="2015-08-14T22:57:56"/>
        <d v="2015-08-14T15:55:40"/>
        <d v="2015-08-14T14:50:08"/>
        <d v="2015-08-14T14:44:32"/>
        <d v="2015-08-13T19:23:28"/>
        <d v="2015-08-13T19:19:57"/>
        <d v="2015-08-13T19:17:23"/>
        <d v="2015-08-13T18:00:07"/>
        <d v="2015-08-13T17:58:51"/>
        <d v="2015-08-13T17:57:00"/>
        <d v="2015-08-13T17:56:26"/>
        <d v="2015-08-13T17:49:07"/>
        <d v="2015-08-13T17:47:25"/>
        <d v="2015-08-13T17:46:52"/>
        <d v="2015-08-13T17:46:17"/>
        <d v="2015-08-13T17:43:32"/>
        <d v="2015-08-13T17:42:43"/>
        <d v="2015-08-13T17:25:51"/>
        <d v="2015-08-13T17:25:07"/>
        <d v="2015-08-13T17:11:18"/>
        <d v="2015-08-13T16:55:35"/>
        <d v="2015-08-13T16:54:30"/>
        <d v="2015-08-13T16:26:01"/>
        <d v="2015-08-13T15:45:25"/>
        <d v="2015-08-13T00:48:15"/>
        <d v="2015-08-12T21:56:05"/>
        <d v="2015-08-12T21:42:00"/>
        <d v="2015-08-12T19:35:35"/>
        <d v="2015-08-12T19:25:44"/>
        <d v="2015-08-12T18:29:02"/>
        <d v="2015-08-12T18:10:47"/>
        <d v="2015-08-12T17:17:24"/>
        <d v="2015-08-11T23:17:23"/>
        <d v="2015-08-11T20:50:38"/>
        <d v="2015-08-11T18:41:34"/>
        <d v="2015-08-11T17:47:29"/>
        <d v="2015-08-11T17:30:43"/>
        <d v="2015-08-11T17:19:42"/>
        <d v="2015-08-11T17:11:30"/>
        <d v="2015-08-11T17:10:55"/>
        <d v="2015-08-11T17:10:44"/>
        <d v="2015-08-11T17:09:30"/>
        <d v="2015-08-11T11:47:29"/>
        <d v="2015-08-11T11:33:32"/>
        <d v="2015-08-11T11:12:35"/>
        <d v="2015-08-11T11:11:49"/>
        <d v="2015-08-11T02:44:44"/>
        <d v="2015-08-11T00:32:05"/>
        <d v="2015-08-10T20:55:54"/>
        <d v="2015-08-10T20:49:47"/>
        <d v="2015-08-10T20:24:17"/>
        <d v="2015-08-10T01:45:03"/>
        <d v="2015-08-09T22:51:58"/>
        <d v="2015-08-09T22:23:32"/>
        <d v="2015-08-09T22:09:18"/>
        <d v="2015-08-09T21:01:10"/>
        <d v="2015-08-09T20:50:16"/>
        <d v="2015-08-09T19:30:58"/>
        <d v="2015-08-09T16:41:27"/>
        <d v="2015-08-09T15:20:41"/>
        <d v="2015-08-09T11:43:00"/>
        <d v="2015-08-07T15:24:15"/>
        <d v="2015-08-07T14:26:47"/>
        <d v="2015-08-07T14:13:25"/>
        <d v="2015-08-07T13:46:45"/>
        <d v="2015-08-07T13:45:42"/>
        <d v="2015-08-07T13:45:10"/>
        <d v="2015-08-07T05:19:49"/>
        <d v="2015-08-07T05:19:40"/>
        <d v="2015-08-07T05:19:19"/>
        <d v="2015-08-07T05:19:10"/>
        <d v="2015-08-07T05:06:38"/>
        <d v="2015-08-07T05:05:57"/>
        <d v="2015-08-07T01:44:29"/>
        <d v="2015-08-07T01:34:48"/>
        <d v="2015-08-06T22:27:06"/>
        <d v="2015-08-06T22:21:12"/>
        <d v="2015-08-06T19:10:58"/>
        <d v="2015-08-06T15:57:58"/>
        <d v="2015-08-06T15:57:51"/>
        <d v="2015-08-05T23:38:14"/>
        <d v="2015-08-05T22:43:57"/>
        <d v="2015-08-05T22:42:34"/>
        <d v="2015-08-05T20:07:40"/>
        <d v="2015-08-05T17:37:27"/>
        <d v="2015-08-05T17:00:26"/>
        <d v="2015-08-05T16:23:46"/>
        <d v="2015-08-04T21:24:10"/>
        <d v="2015-08-04T20:50:32"/>
        <d v="2015-08-04T19:30:06"/>
        <d v="2015-08-04T19:27:17"/>
        <d v="2015-08-04T17:29:38"/>
        <d v="2015-08-04T17:18:49"/>
        <d v="2015-08-04T17:12:10"/>
        <d v="2015-08-04T17:11:50"/>
        <d v="2015-08-04T17:08:17"/>
        <d v="2015-08-03T20:51:30"/>
        <d v="2015-08-03T19:54:33"/>
        <d v="2015-08-03T19:26:11"/>
        <d v="2015-08-03T17:11:45"/>
        <d v="2015-08-03T17:11:14"/>
        <d v="2015-08-03T16:46:49"/>
        <d v="2015-08-03T16:41:35"/>
        <d v="2015-08-03T14:02:29"/>
        <d v="2015-08-03T13:48:08"/>
        <d v="2015-08-02T15:33:50"/>
        <d v="2015-08-02T13:34:55"/>
        <d v="2015-08-02T13:34:33"/>
        <d v="2015-08-02T13:33:19"/>
        <d v="2015-08-02T13:33:03"/>
        <d v="2015-08-02T13:30:16"/>
        <d v="2015-08-02T13:30:03"/>
        <d v="2015-08-02T13:28:51"/>
        <d v="2015-08-02T13:28:27"/>
        <d v="2015-08-02T13:27:00"/>
        <d v="2015-08-02T13:26:32"/>
        <d v="2015-08-02T13:25:03"/>
        <d v="2015-08-02T13:24:48"/>
        <d v="2015-08-02T13:23:18"/>
        <d v="2015-08-02T13:23:08"/>
        <d v="2015-08-02T13:19:29"/>
        <d v="2015-08-02T13:19:12"/>
        <d v="2015-08-02T11:38:19"/>
        <d v="2015-08-02T11:38:07"/>
        <d v="2015-08-02T11:36:32"/>
        <d v="2015-08-02T11:36:12"/>
        <d v="2015-08-01T23:32:55"/>
        <d v="2015-08-01T23:01:02"/>
        <d v="2015-08-01T22:51:57"/>
        <d v="2015-08-01T22:41:02"/>
        <d v="2015-08-01T22:29:21"/>
        <d v="2015-08-01T21:11:16"/>
        <d v="2015-08-01T20:33:33"/>
        <d v="2015-08-01T02:23:15"/>
        <d v="2015-08-01T00:58:37"/>
        <d v="2015-08-01T00:42:05"/>
        <d v="2015-08-01T00:41:51"/>
      </sharedItems>
    </cacheField>
    <cacheField name="Duration" numFmtId="21">
      <sharedItems containsSemiMixedTypes="0" containsNonDate="0" containsDate="1" containsString="0" minDate="1899-12-30T00:00:00" maxDate="1899-12-31T00:00:00"/>
    </cacheField>
    <cacheField name="UserId" numFmtId="0">
      <sharedItems count="1957">
        <s v="QhcXdzWDJlJWgW6wafkWKw=="/>
        <s v="OJc/WqW/otw="/>
        <s v="T1h7LCqlVxNByrJtaCwJCA=="/>
        <s v="kF2JgePQ67g8HZ3gGiYpYA=="/>
        <s v="WJXWf6YO2vM="/>
        <s v="M+d4rcdSdBvP9F+pT0yL+g=="/>
        <s v="MtcL0BSx2GM="/>
        <s v="YEOxEFUWvpAJMXAFp4hqkw=="/>
        <s v="j//FetVb8jAv/rwDEP/KNw=="/>
        <s v="Y9n/ZNozLY5gs9U4/mJ/IA=="/>
        <s v="FiJKBds6PKIw925SC54p6A=="/>
        <s v="b40N7wvclg4="/>
        <s v="cd5+vZPqEck="/>
        <s v="x9f/9rJPU8w="/>
        <s v="s/7cYmNUux4="/>
        <s v="KdQz4HwXbmFceGRL/ltJyA=="/>
        <s v="ima47CLYnLc2+KLLRmbE0A=="/>
        <s v="/qDb7thB7o12jL4DI9NsWw=="/>
        <s v="gcmonroe"/>
        <s v="bHwyQAwu0nJi6fjmz1T0Rw=="/>
        <s v="FMTdlSqCybzsIXpKTWEoeA=="/>
        <s v="oVfgvqFoHt8="/>
        <s v="eSkvHDL9ZKGsEjU5nDI7dQ=="/>
        <s v="8Da9bRNKKB8="/>
        <s v="FFGLwI3PjbE+h8UgFC6ojg=="/>
        <s v="WiOQva3yP9c="/>
        <s v="SeV4XknLE8A="/>
        <s v="MIoL3uhj7ROD0GHSCXxn2g=="/>
        <s v="pK5iU5iEiHC2TiNN6/OvSg=="/>
        <s v="ZBl3JQd50NKv31svgInTCA=="/>
        <s v="cnG5Caljeh0="/>
        <s v="F4/HC+EqDIEn5kHr2+wZSA=="/>
        <s v="fytAgNLHY0JRVYQqOwwz2w=="/>
        <s v="s/zZomhDraovM8YCVQeQeQ=="/>
        <s v="q0d385y6aEfHc/peKUb/Rg=="/>
        <s v="ac6+JVueQB4="/>
        <s v="csJ+nb6hjB4="/>
        <s v="vLC+OLfEN0ezPqFUl8tm3Q=="/>
        <s v="m4HSBOtuQ2YxO5ADS0WBQQ=="/>
        <s v="O5cS0BVZ27gJE26raixLHQ=="/>
        <s v="4fL/ADuNzAqNeQhi2DfmXw=="/>
        <s v="jbef1bdYKOA="/>
        <s v="yEymmQguE/0qL72G1H+mlQ=="/>
        <s v="oWirUV5cgcunxZOI1E2SPw=="/>
        <s v="O/d4f9ItR0M="/>
        <s v="mFeSQy8faEc="/>
        <s v="lqQBOiRzf1I="/>
        <s v="cAix1dzfSU7XZ1FbAtmBWA=="/>
        <s v="xlCMMkUptX2V59L7uViaNg=="/>
        <s v="iR/DWhtKE6Ok/SRW6rqeqA=="/>
        <s v="looNERB1L6A="/>
        <s v="Uk2r2+jfMBF9kcRfzSFHLA=="/>
        <s v="3Dbfquw/AJXITimp++/4Mg=="/>
        <s v="+MlLn2fL2kCjY6xV/8Tqxw=="/>
        <s v="kjVkQwUzEacsVgqCNlf9Tw=="/>
        <s v="1XGfMmcdO7/lD5YsvqfBRA=="/>
        <s v="jolu8gGXUTxPWoceKVKm5g=="/>
        <s v="caitlin.tobolski"/>
        <s v="AmVrRqegSdZLpQ7TtnK0Lw=="/>
        <s v="N/dCjz1XY5iGxdmbMU5JTg=="/>
        <s v="l+WBSHidqB0="/>
        <s v="blqU7cQC6mXAxAn9K7+Wlg=="/>
        <s v="s3gGEP5YzyzQLc0VjpCV5A=="/>
        <s v="jcG+35siuPxMsWzudE3fKg=="/>
        <s v="/4aUkItjzzAQmyDNrQaE4g=="/>
        <s v="cdmr9Zk8jKsJRspyXSxUiA=="/>
        <s v="kR/UME7JGiKOU6gqFUtTOA=="/>
        <s v="l17fsstZwl0="/>
        <s v="Ih5oJK3jaP/ZeziuItsZ0A=="/>
        <s v="enHsPR+mab8="/>
        <s v="LB4qv9MjILtwVhmnp2F4CA=="/>
        <s v="TQhhSxk9WtitXnbpeC0lCQ=="/>
        <s v="brmonroe"/>
        <s v="yVecPBSlpoOn39Q+F7Katw=="/>
        <s v="3rcywKqbPdn6Il3Cf7588Q=="/>
        <s v="Z8CXbePguXg="/>
        <s v="sAW5HBhtYDwAD1Mj8vXhYQ=="/>
        <s v="K1FhT4AXKIjASagkvMdpBQ=="/>
        <s v="jaxUUeOoWLI="/>
        <s v="4z3j+2Go2j0="/>
        <s v="+8gCxaqtWP9COBamlV7x3w=="/>
        <s v="gu6fp6Z3BhY02939spxVIg=="/>
        <s v="f1Gh+yoAJEaZ9Zw0MOS1Pg=="/>
        <s v="kjHPlDNmbc8="/>
        <s v="B4B0evnTwfI="/>
        <s v="/yDQmHFtMbt26jVX1PIouA=="/>
        <s v="ki63svglFJpNPDl/j1k+LA=="/>
        <s v="m86Wdr9qn2k="/>
        <s v="V4504ATLGtm4iXJOp8Y6EQ=="/>
        <s v="F6ZGAfmpGBeldfusCH1AqQ=="/>
        <s v="XcfeSj4XoFzScwlcJ2FL+g=="/>
        <s v="stEuCRysMkM="/>
        <s v="RWXnI2+xxT6p3lh6lUYqXA=="/>
        <s v="3HWLl5Wyd2M="/>
        <s v="lpyZHu18dBOqOAk13ag3XA=="/>
        <s v="H4pfO1i5i3A="/>
        <s v="t1NxeZ0Ik2wkhJEN/1MCcA=="/>
        <s v="0FV8PMxJk7JeAUpxam2iuA=="/>
        <s v="m2monroe"/>
        <s v="/kuqTDDRewVsnd1KveTRhw=="/>
        <s v="Czcl6sOmZ+FQkrFhHrbdXA=="/>
        <s v="kktrMuJQ/wHNU1jrgk9Dew=="/>
        <s v="daj5vzNcleYQBtjOeyZfog=="/>
        <s v="0ABMLmvm2/om3k8eTUmThQ=="/>
        <s v="vjkfXeEeQWQW/sea7oxZ8w=="/>
        <s v="dP9PPa+hTpFr/QPSZHHanw=="/>
        <s v="CQMRdNdzFrSRPj0d7aJ7ZQ=="/>
        <s v="rsrkz9MRIFZ/NumClZf8iw=="/>
        <s v="NIkyJszWz5RVRT6pfcAikw=="/>
        <s v="zYzH17VOmtOnZbggSlhI9Q=="/>
        <s v="rTV+rsCXGt0="/>
        <s v="0M1xLg52jZ7mPqhYdddgdA=="/>
        <s v="eavzpa5X00Bu5Hg2F9WETQ=="/>
        <s v="v6oIy4vJqd5PNXqGRpFtdA=="/>
        <s v="uCtwSY1L9IY="/>
        <s v="sNyfhktWqk0gtGmElTeeoQ=="/>
        <s v="RqZmm1JtzaNt35BUBR2RbQ=="/>
        <s v="Grmonroe"/>
        <s v="0lr1R3ahIpV6OH1sld76gQ=="/>
        <s v="b4benkXz76U="/>
        <s v="xF43gIo4WxS7IJg2Jm6D+Q=="/>
        <s v="FklNgPSOcUmsdmJXYDIjyQ=="/>
        <s v="JRv1QCnYrua0jmH7j1mt1A=="/>
        <s v="ccmonroe"/>
        <s v="DzFsm+zKYAvLhZkjhnkHXw=="/>
        <s v="PQrZiMVVkKms+riOK85Osg=="/>
        <s v="BJYp6arqOuxzufcjL7+PrA=="/>
        <s v="LdSfUcdIPsTI2oFpUAzimg=="/>
        <s v="eLYC/Iw9EE0="/>
        <s v="f5zGOgvk/t6guXxHRvop2g=="/>
        <s v="vz0tiKcNqGcyUx16fYfjDg=="/>
        <s v="OL4S0zQJ/NA="/>
        <s v="rilDeAF2B+M="/>
        <s v="F6MW3g+I0P4JJOPj93+OrQ=="/>
        <s v="GFSBG1xjD0I="/>
        <s v="noNUPwKhJtABLDxx5ky3Dg=="/>
        <s v="sQW33/VEf7Qeo5p7I2IbBQ=="/>
        <s v="/VCgVM/ev4U="/>
        <s v="VbE4wMm7InhsVZo80sIveg=="/>
        <s v="TvHRE2oSQ6xp0HDNs5RM9g=="/>
        <s v="J9/C6acZJR0="/>
        <s v="JR2MdS7OD++gMzHXcUhVfw=="/>
        <s v="33hy6Yxn5qrXUwSBsAcniw=="/>
        <s v="nKqsaGU236c4+v/Y9MVIOA=="/>
        <s v="LYtZZ8FYtpJwvV6DrflDKA=="/>
        <s v="tlfKwp1Ol64="/>
        <s v="4olMrb9xLAHdqpq/17jKtg=="/>
        <s v="YtOhxjTC8dMoxCPWcKwjUQ=="/>
        <s v="u1mFdgKRLdGa3tc4iFcFCQ=="/>
        <s v="ik0AYmAuJbAawTPV6bZtow=="/>
        <s v="lOwVp8FtHXqPukXbUlbZTA=="/>
        <s v="JOGqmLExpIk="/>
        <s v="Eew11cu9JKBpIYh1WaQ2bQ=="/>
        <s v="XR1L6PgbmqNC5m6QbJMkig=="/>
        <s v="/ZGNADg1xFk="/>
        <s v="K6WY0zAlGg9G/Yolx4igbg=="/>
        <s v="QmIDFD4kB0Sv45wX9IpNGA=="/>
        <s v="wDF3HlZzEA22K4O6gWgAVg=="/>
        <s v="95qO2OaFvgJrdB/PRUxZcQ=="/>
        <s v="sS/3rMP/E83OS7hCCpHh8g=="/>
        <s v="g4q6A4QS54YMTEzexPnTpw=="/>
        <s v="aNYIBF6c8jI="/>
        <s v="euQgI4tzyPWdJvP48zjUew=="/>
        <s v="WPOolrkVT6c="/>
        <s v="Kuo93sgWo1TRNPe6ie138A=="/>
        <s v="QWEHnhgPuc0="/>
        <s v="lhwlybsVU+dll9w8AMW5zQ=="/>
        <s v="/uUI0zV+buhQJqcf7tJM2g=="/>
        <s v="J9LxLsQIciQ="/>
        <s v="2suvpIbhPgI="/>
        <s v="Te8VuIISRs8="/>
        <s v="SltvVtbsd3+br242UD8+zg=="/>
        <s v="qLLYqEspe/xGUEf7IKh6HA=="/>
        <s v="tkur54lIMUv4Zn9yhJlRdw=="/>
        <s v="Bzu6rgV/TZA="/>
        <s v="Nmp7JbKuiu8="/>
        <s v="eRrc6d+SJUJajFC4oz9pdw=="/>
        <s v="BwFS9wllXVzzry1efKf+pA=="/>
        <s v="YR6BqrXMHsY="/>
        <s v="FAXmdC9mRlo="/>
        <s v="vFI1ZiVncXGA3mTD2l7WwA=="/>
        <s v="bbibbee"/>
        <s v="ogcfxAsf1Wth4e842pwKKw=="/>
        <s v="EcpaguSjREmyWTOiI+8zMw=="/>
        <s v="Vx8cjukmuX8p4IvVgq3MWg=="/>
        <s v="FGyIRRz1hbbsk9LLbbmjuw=="/>
        <s v="XSDVS+2O4s+UMrsUKLiORw=="/>
        <s v="Z7n3PGgLclKPB5h5N2jeJg=="/>
        <s v="Y0H/AYaHRYE="/>
        <s v="vU9akvXFefO3z2N9mpmPeA=="/>
        <s v="VrUhMMt9I40="/>
        <s v="jYfxJ0BfKq2TXiG0UiP0Xw=="/>
        <s v="ovR32TaMJhc="/>
        <s v="j3Jg5Bh5cBooyGwaKwoqrA=="/>
        <s v="3O6lc+Ic3GI="/>
        <s v="pPlvmB2sGocOGMGcq+Tf1w=="/>
        <s v="vPB72hR515cdAoQCypo/qA=="/>
        <s v="Xagvx3edyDToIgVdMLN/Ng=="/>
        <s v="WLZJRiwFfr1oAoLfkuTtYQ=="/>
        <s v="NyX+A5dm6ua7PSC2VrAZUA=="/>
        <s v="VfeMY1oRnvnEVp6az7m/Ww=="/>
        <s v="Eu6ud/5VFiQRPNQwxSX9tA=="/>
        <s v="37OC735HJm4="/>
        <s v="So6hrk/X4lu/IZNVABv0JA=="/>
        <s v="H3c96b/DQNmw46kexPKGYA=="/>
        <s v="uof481re5Rg="/>
        <s v="Y+DTNb+FK4glSJk9Z86ixw=="/>
        <s v="NwkdcEVbYz8="/>
        <s v="n5qBj5eHRCkXCeIRsp7E7Q=="/>
        <s v="zIiKRLze58uC96Ug4fwnOg=="/>
        <s v="/GS8SRgh04I="/>
        <s v="asulliv1"/>
        <s v="S2hwzVcqDus="/>
        <s v="JFv8PECg6MApl/lIKOoPSQ=="/>
        <s v="1ovxNBqxOIUfTUYH4WWeHQ=="/>
        <s v="KM1+gG//Gux2iPeCU98kNQ=="/>
        <s v="/nM6LtudzKe4REpoK7gl8g=="/>
        <s v="v3sTEeVlO5+3fGn+kpz/8Q=="/>
        <s v="rqPcJH7151+HthiJP+24sQ=="/>
        <s v="bIK3hGttp2aipKuMbZAF1g=="/>
        <s v="FeiELGGzVnQzC7L/pPcu2A=="/>
        <s v="ZOASoyRRytHPYp9PGOEzb38PTADIPsaE"/>
        <s v="TgVXcUVV64Y="/>
        <s v="QK2Gq6NElfm9QIk6O/mwVQ=="/>
        <s v="5nDUC/gGpslG2I850s5r6A=="/>
        <s v="crc6UF1bCrMt3X47r5u9Gg=="/>
        <s v="T5igcEat3aLY1ylX8/ydjw=="/>
        <s v="AwhSY+kwwfRymvhCgkvtew=="/>
        <s v="T/DGh0FZ5+4="/>
        <s v="xyNaP+P6G6w="/>
        <s v="I/9e34jOCz8kDsIi3I8teA=="/>
        <s v="dTiHhFljQjU="/>
        <s v="8oqnwi2KnjA="/>
        <s v="EdosXJ+5QmIGwixkgk5+SA=="/>
        <s v="i05HucXp/kw="/>
        <s v="zreWgYLCJfM="/>
        <s v="iv5sA9fl62ACV+RjaCvuFQ=="/>
        <s v="7D/u9TZ+8MvkqSI5UYivyA=="/>
        <s v="cc0HE9jvG9bfuc9U8HE3Bg=="/>
        <s v="uULLLejg1Ks="/>
        <s v="saLXuibJVIJqH7EClG4nSA=="/>
        <s v="reDp58lnPsTnha0pfdonTQ=="/>
        <s v="a1tBJt384/w="/>
        <s v="SEQlYEYibH9OEjTY75llQQ=="/>
        <s v="w+QK4hYzsHzUh34IZNY7tQ=="/>
        <s v="b9jJ5BrayfXbnP1oprzmeg=="/>
        <s v="Xl4EwuTSRkKZAtOT5bTvtw=="/>
        <s v="rnYeK3p5Ea4="/>
        <s v="NmfP+X2k/4BezoeBM6iByg=="/>
        <s v="Mq+akACbH6fI4cWRFNLGHg=="/>
        <s v="CRJjVmUbvRQ="/>
        <s v="kOt55ZU9lW8="/>
        <s v="BGd3AECZ3AE="/>
        <s v="CUJvoG5Eh3IROnrxWFknMA=="/>
        <s v="Ilmg05i8oWA4BlYvMSgVng=="/>
        <s v="5QeC9ZuA3RrKf0XSZ/Babw=="/>
        <s v="B1so8oBitsk="/>
        <s v="nhOmFyFf6AlFyjx+25ZmfA=="/>
        <s v="GAjXbxdOaPLGyXzRXTqULQ=="/>
        <s v="kP4iAL65xHEEGOyp+ki6cA=="/>
        <s v="P6jBNOXOLuI="/>
        <s v="0rJO3K6JIkmPK3b68I7cPg=="/>
        <s v="xQOF0oCiGlc="/>
        <s v="BOB5tEcs2tk="/>
        <s v="mfAeoes6xhc="/>
        <s v="xm9sk6hDIDtTGCeCnVkL3w=="/>
        <s v="ZvPRA3ngvLixBJ9VlGfRQw=="/>
        <s v="9ttIxYUb5AGR9Xglr+UdcQ=="/>
        <s v="QUYhn7JzHCCzBd9CgBL/Cw=="/>
        <s v="ydeICHUz0hw="/>
        <s v="WfTcEq9ks5A="/>
        <s v="aJcAcdX8foxdt0bqgEtANg=="/>
        <s v="AMy1034zpbg="/>
        <s v="98DnJU+TiNEEo20TMggEYQ=="/>
        <s v="in9AVovKSWg="/>
        <s v="jyqh389NoLlegHaSIldA5A=="/>
        <s v="b9G9rZ3lUs8="/>
        <s v="RYmP7OXLEHU="/>
        <s v="L4iIRFaJgT7d5hkXfHwPdg=="/>
        <s v="PwtYfV7NTRqunAZKiCFW3Q=="/>
        <s v="bPPduvIQRWk="/>
        <s v="XYiMc173yu+lb9Z/WNDEtw=="/>
        <s v="bmgWSF58cVg="/>
        <s v="kk3IXHtlLS4eNTFUexntrA=="/>
        <s v="+jzO/qe/VtMtL4Q2dVNbUQ=="/>
        <s v="YNi/y/R3OPsMUioMUAX3jQ=="/>
        <s v="kdjEfQmWNlXZ9NJNqzm+qg=="/>
        <s v="NZsiDGxe1iicUSZMhDfzeA=="/>
        <s v="r0VeN/hVC3s="/>
        <s v="Es1nMT011MLOYz3Ne2zO3A=="/>
        <s v="Ck3XRMadrfY="/>
        <s v="DpnqW3ShOS4="/>
        <s v="gKwl7SwgKDM0QuhLMGusHg=="/>
        <s v="qilF4561Ncs="/>
        <s v="Q6f/h1V7OnFwCxjZPk/fsw=="/>
        <s v="Wb0tvgkbaYqj7TAO3ZS+Yg=="/>
        <s v="2+g6+tHHxylpGocftghT4Q=="/>
        <s v="AhT6jBbqBE6IRRIHdZDadA=="/>
        <s v="004mGMQqOA2dqK3sxtm1kQ=="/>
        <s v="9J2p6Brb3KE="/>
        <s v="F0xhjC3f2CeZ5+fSgQwz5w=="/>
        <s v="DMOp6L6kZv/xMHKqWvlzRQ=="/>
        <s v="1vSiQEYKP/vrMy5lt41bhQ=="/>
        <s v="04sOXE3TV0k="/>
        <s v="NOo6sflJLqvZEbgyxTsDGw=="/>
        <s v="DfKE0KX60V9H2+PuWOZtkw=="/>
        <s v="MvaSD8uUs1SKARXdl2fPlA=="/>
        <s v="GoBvY13nXV4="/>
        <s v="FIdEBFQj230="/>
        <s v="O9LZd0uQ8yg="/>
        <s v="vs5c6PwSDXoQLI9sGu++/Q=="/>
        <s v="eEE9/CUMrAjVvZjjbjw2Ow=="/>
        <s v="MPN5YHtBJxFD3egzZwSmKw=="/>
        <s v="chLFW6pMZDTNBeD+UFazUA=="/>
        <s v="hLmuJDt2PMKgcp5/BjGvHg=="/>
        <s v="gAEBkyGJMhgaTizJDpXQFQ=="/>
        <s v="H5O2bnhKVZI="/>
        <s v="+K1/r6NvJVmUcS4wFOCIJQ=="/>
        <s v="BWoIWuqEDt0MFzjl1Nf1hw=="/>
        <s v="Ga3b8mIzO5blgwAj+mJwMA=="/>
        <s v="wkXjUdMviIQ="/>
        <s v="JxH/diOrI+QX3LN+Y/Qk1w=="/>
        <s v="Y2Ulqxw8a1c="/>
        <s v="pUzJjc5U7vJlzgsCD/Pwxg=="/>
        <s v="2PNd7DXoyrGqCH6E2pyQHQ=="/>
        <s v="EBhlwL3EmlI="/>
        <s v="vC1kXMKmqRgPHZuXXwPccA=="/>
        <s v="9uIi74lggdTgRXU1Bc/OuA=="/>
        <s v="QVSci6FLdUzh+hBZE1hGNw=="/>
        <s v="Atpy7yYkdfCkEmLtd0iIIg=="/>
        <s v="8cpeeqWKBOc="/>
        <s v="spmonroe"/>
        <s v="sg4nhnOrlho="/>
        <s v="23EJ2/7a0DQ="/>
        <s v="PVA4N08oD7w="/>
        <s v="sRe59uYeMnMABZXoMWMbVQ=="/>
        <s v="NRFCDIX8Vcu/QeiLkHw+NA=="/>
        <s v="2yczmM0p/c0="/>
        <s v="LW4QZ/kgaIc="/>
        <s v="odEvP1ueFVs="/>
        <s v="Ax06Rkl8vojG6ZjVAxGjzQ=="/>
        <s v="tHergsZE+YbubyLmxiiStg=="/>
        <s v="Z8bM0YiIPGBYZkYr6sMFaQ=="/>
        <s v="B/UBrT6OBFtOWMsaxM13hg=="/>
        <s v="L4gwa8BFVLmXlKHTHtHuUw=="/>
        <s v="080ZuifoWvlN8AP5UzbivA=="/>
        <s v="HqgCOQFWuie7G7UB23SYAA=="/>
        <s v="H16nyTKtX45NGDnEdQOuRQ=="/>
        <s v="/koowUlB0SZG98Zqr9iNfg=="/>
        <s v="DlxoByOI+a4="/>
        <s v="zXZI1QSrGjw="/>
        <s v="ing5xJB0x6c="/>
        <s v="Eof0SqJuD7AZgDlv7b1+TQ=="/>
        <s v="d9rK9LaVhjM="/>
        <s v="6ZhD6s2UzVA="/>
        <s v="qdmzuuumOjdEYIBAN/Q42g=="/>
        <s v="BEBrIS9rad0="/>
        <s v="lbdB+qccMFk="/>
        <s v="8SjB/68KiGA="/>
        <s v="JUNOYow0LerwvE34KaAk9A=="/>
        <s v="RlTzTTO3nvhohJ1mxpCGZw=="/>
        <s v="rmorace"/>
        <s v="gfv6i3Azwtg+o8sLZtJAKQ=="/>
        <s v="TkMLyObepyUkALI5jguwqg=="/>
        <s v="ASjr7aBPssyATvplwVFubw=="/>
        <s v="FLxn0XMiskqM19haIZkDJQ=="/>
        <s v="gQESaiaO5wP1StRkzKWWxg=="/>
        <s v="YCY4c8E0NfeZz6rPf4G8NA=="/>
        <s v="frQKZ/Qq1feZrK9v/xGsrA=="/>
        <s v="mtpyKSpLbRI5tWK1g7/6nUQKSnVCBwIloxuGApopPI8="/>
        <s v="kAWNyEePiX+C3wl22Sj5BQ=="/>
        <s v="i6LtArKWTFLUF4DJc4pcEA=="/>
        <s v="umcRVv6DcFxy+givSddiGg=="/>
        <s v="+eYasozB5Es="/>
        <s v="OLvR2CjNe1iePsC8Hoc90Q=="/>
        <s v="+QOnkeP/wG8skm8vn4zVHw=="/>
        <s v="cvIzCMefiSHLA9Y9ANndCQ=="/>
        <s v="NYxZUt5w0fellxLkTK/ByQ=="/>
        <s v="pvid2Orvsf5NBsqQYxtUQw=="/>
        <s v="5DpQFjENmHTUAmbAgc3+EA=="/>
        <s v="kTF3DU6RmrU="/>
        <s v="5UuDiEutEYsr5Cv/RGjvvQ=="/>
        <s v="yd5jbM5DT3KBph+1DAy16Q=="/>
        <s v="Y4aUxvhotGGL/HTqVV4BUg=="/>
        <s v="x4NhMztHWWr8c925+HF91Q=="/>
        <s v="tqg2s7HA1DY="/>
        <s v="ddZDCEU2V8I="/>
        <s v="M4DiRdNGHsnPLeuTuhl1Ow=="/>
        <s v="hIRoW6PlMkRqOtGI0Zq2yQ=="/>
        <s v="o101stZE7LcBIF94aJQLUw=="/>
        <s v="n3ie3hI+o4CFunNr8if9lw=="/>
        <s v="DsCouOKg+O0grLLRgtPwaw=="/>
        <s v="Q9jtc0WL32c="/>
        <s v="CgF4seSY83HUQb1f8PhhDw=="/>
        <s v="X/feo4Bv822suWj3DcF62Q=="/>
        <s v="PL6grnNInrY="/>
        <s v="9ODaouYFGUmmnuWs2mipow=="/>
        <s v="IUKwwY1X3HB4BAopOTlsHw=="/>
        <s v="WOkZelQZX4MSkofcHdZvWw=="/>
        <s v="xsE7S+Mp5lk="/>
        <s v="vW6UBZPfHPQ="/>
        <s v="UHmVoZ7GBXK+VJ5aY8Fbjg=="/>
        <s v="0tjTYeJtZcrw2jKyk5zmyg=="/>
        <s v="94OAYKfSFXKLLCuNMnjNSg=="/>
        <s v="UawMLMSgDG4jSlsXfZhWEg=="/>
        <s v="QVDtXP5+38o="/>
        <s v="fIC1wNzSkf5vripEQyx6sg=="/>
        <s v="riEpvH7SNQs="/>
        <s v="jNHD1tdAA7PehG78UvySrw=="/>
        <s v="rD5UdEdiuJYAh4Jr0qJSWQ=="/>
        <s v="slLkq9sEtdoWINHyTXCqsQ=="/>
        <s v="GXyQcB6A6xYysnhA8KhXXw=="/>
        <s v="nZLXac4MuWk="/>
        <s v="dPMf/MC62aBmiFXPCbvl5Q=="/>
        <s v="zNi2+jME4m/6RkcRtXsb4Q=="/>
        <s v="7rgcd98GX1cNAZS1yR3K+A=="/>
        <s v="J0OHPd+fz8jnbA3fxkDw+Q=="/>
        <s v="wg9OXBxMnHkqEvuX/ymrcw=="/>
        <s v="xz+LYNMZd/4="/>
        <s v="TwDBSviZr17UiAYgqXUJZw=="/>
        <s v="H3paz7ssYT1SgS/RxtsVmg=="/>
        <s v="bNr/IvcOnQs="/>
        <s v="jExyqSUnVxG6P867y2inJw=="/>
        <s v="jwhdDZEltMHLmVc2xYnIpA=="/>
        <s v="YmPzFZaTJ+5v78Y6E5oJSQ=="/>
        <s v="GQ2TXin0XQ8rSORRENj9Tw=="/>
        <s v="PqXIW/4ol9syz3FoQTMmXQ=="/>
        <s v="hOPJJ4UCysRKQa+MKbYt8Q=="/>
        <s v="rl84zS0mN9AP8txQSlqQ4A=="/>
        <s v="kemonroe"/>
        <s v="7M1xlk3Gvjg="/>
        <s v="Z/QCwYaE3ngIo43ZMz/yag=="/>
        <s v="0hPU++Sm6zU="/>
        <s v="605WGYIgrb0="/>
        <s v="keb1bsZ5eqo="/>
        <s v="LEbnk1AhfDM="/>
        <s v="3GpvURE7HS8="/>
        <s v="iPump9giOJ0="/>
        <s v="fsUGVwV0TzJHaaWAf2MoHg=="/>
        <s v="nLRLFf/+vTdcKjv+abVBug=="/>
        <s v="f7Ges51X+OXZUCMcHIl9rA=="/>
        <s v="K88X6B4ed38dTMx4EDcHvw=="/>
        <s v="u2pmlpQ2IOvev3EPWIOS7g=="/>
        <s v="XLrLCB6LxVM="/>
        <s v="yVTv50Qd83eiEaZJiVKAFA=="/>
        <s v="o57susBBCzoCU9ekZ3VTNQ=="/>
        <s v="himonroe"/>
        <s v="P2pijrEEXxg="/>
        <s v="kWSmyaydwAM="/>
        <s v="5pPOy+yYkPCUYtD5gLHPFA=="/>
        <s v="BIgrNL1e+0Pn8rEQF+DqXQ=="/>
        <s v="IwCpvHN/l9CgcMrQY5SHDw=="/>
        <s v="Z+vlDqtDL70NOHEY/jPGZg=="/>
        <s v="NkE607/M7Wz1nzO70G7LCw=="/>
        <s v="xxlt9QQE7Hi6lJFtrDGf1w=="/>
        <s v="lLIjsjbzaJA="/>
        <s v="s8TisBF+exJXW+fZLPzPdg=="/>
        <s v="tdxRTcDBfw1IsYaz8HnPNw=="/>
        <s v="Fsvij0/f1J3OAoSWC4hM1w=="/>
        <s v="4Mk9b9YXGKc="/>
        <s v="EqscFKC2VQzvZDYm+uvjhw=="/>
        <s v="sA4C0dhWSHA4vNjdZ+6e6A=="/>
        <s v="Gm/OsHZ31eyW43GPsgmdBQ=="/>
        <s v="6Erx78EIi4WtbjS8obJoyA=="/>
        <s v="AKo/Le1ojho="/>
        <s v="elATMJN6VyTFAjeefNzZw1WgoiuN2Zbb"/>
        <s v="2dATvugi2/k="/>
        <s v="MtgJArhVVULiA7Q7RmM6yQ=="/>
        <s v="4t1LRDQaNhvRBwfDO00ARg=="/>
        <s v="RQnRnXZWxsCeAbqu3Cfe8A=="/>
        <s v="WsftZRXlETEW0eVr6XYDUQ=="/>
        <s v="XTVzSBCtnks="/>
        <s v="Imkxvn74zVq4zRieOEyFJw=="/>
        <s v="GPOQuWetBem8VMf6Aq7mdw=="/>
        <s v="nr+aK1n7inf5fhPWQZldeA=="/>
        <s v="Pv42QqkpciA="/>
        <s v="kgktnnI57i4YpxUjo9LM2w=="/>
        <s v="mKTxALWLuhyVUTbz4U2HGA=="/>
        <s v="TGj96Gw0G5k="/>
        <s v="csiGu/TKc5grXvo555L4GQ=="/>
        <s v="LMBF3MzkpaQPsfNMDrFanA=="/>
        <s v="e1n0ZvTAVfrnpuAb0vu5FA=="/>
        <s v="MyxBlU1nGTfbEA1fEKCAmg=="/>
        <s v="w0eWjy1M7f26ntSAGBNSrA=="/>
        <s v="TXalqH/AKQW4UceQ7EGqHQ=="/>
        <s v="NY/POVGJYX8="/>
        <s v="XZsWFdbC4k+L9yB/+41axQ=="/>
        <s v="TkQ8BlA0eNU="/>
        <s v="hLa80ROcd5y5UkESmjQ3xg=="/>
        <s v="XOrp0fq14yuEjNB9Ce9jXw=="/>
        <s v="lJOxZUCx68G+Nt8buvXiiQ=="/>
        <s v="7X/ufCXo9ywxpbvLTxRz0Q=="/>
        <s v="sFp3GPJmAe8="/>
        <s v="IzzAEUZE3hvbYPwCJypiyQ=="/>
        <s v="m0EZqbZpCNhzmFq/+ArzmA=="/>
        <s v="zs61p1tKWms="/>
        <s v="u9Eyk9f0t08="/>
        <s v="8GCKHnJmYQI="/>
        <s v="PVnRAUzscFdJoOXp8fMrwg=="/>
        <s v="MchGRSsNdSeUrLSOvCJamA=="/>
        <s v="BCzRK2qu3Z0="/>
        <s v="6tI0yllAVDE="/>
        <s v="gywGAlrrip3wxZKVfDaiEg=="/>
        <s v="NNFaF++vEup1q63r9/AECg=="/>
        <s v="piPk1VAPfZg="/>
        <s v="nzHNfcDZ0ofTIwddxRtOQw=="/>
        <s v="+aQ7vxKaFYhHihxROFu2yw=="/>
        <s v="uvXbB1BCueI="/>
        <s v="FWPuL340DRDZOi+0ta2SdA=="/>
        <s v="il/YRRhg2/r4GMKMyF05YA=="/>
        <s v="IC9pra8CIL1AR/L2jxnouw=="/>
        <s v="Jepgyv+9+RzALWsMFdlNPw=="/>
        <s v="d+2nWt9MD/WNBqNLDmTZKw=="/>
        <s v="Nn+NsL2mU1Y="/>
        <s v="yNommIjyw3UzHSpXoBakcQ=="/>
        <s v="WMz8JjbXzmPHQ+1J/12iuw=="/>
        <s v="XENVpXpf6jahNNjgItgXcg=="/>
        <s v="Pv8Bu53piE0="/>
        <s v="N0wOMHnmjkPWybASQp4nLw=="/>
        <s v="Gti/7k0ZbPzMhR78oKKiow=="/>
        <s v="VHuOJQgViXI="/>
        <s v="e8I25RGjeUZMacj9Xq4sbg=="/>
        <s v="AlCzkk9poyc="/>
        <s v="ePTqxQOwyMSoZYuaDjWZpQ=="/>
        <s v="DPvxK8ShAqg="/>
        <s v="cQejDowmtVU="/>
        <s v="tInTO94CGx2M37ECz+fqLw=="/>
        <s v="Bd2+p/6xysSufOv/4YUCoA=="/>
        <s v="AvxQM/OYqsF+XsREUvQFig=="/>
        <s v="b9ds+YphdPQ="/>
        <s v="HBJDhFPLXdw="/>
        <s v="qg0FCpkGdgHtc+QbQyp3Wg=="/>
        <s v="Bhl8R3KHNenS0xQs8188yQ=="/>
        <s v="YKN+P+3iXfI56rEgmuld0w=="/>
        <s v="LVq9dF/xM3AJSXQrUB34Ng=="/>
        <s v="nfT2sHTuOqGrbPpeB34oUw=="/>
        <s v="kYbHQx+Uy7I="/>
        <s v="FLUxzXJRyFrRAJvzBnfWUw=="/>
        <s v="OjTPmRcGAXT2qS263MDCTA=="/>
        <s v="j2XMYw5IxNSByTTf9frNRA=="/>
        <s v="2fc7VxAQexU="/>
        <s v="jJz6D1eHJkVJrvOtaJBMQA=="/>
        <s v="f60HLwwWO40="/>
        <s v="GxuCdG8zaXmwEtb6MvMXfA=="/>
        <s v="Urx/5vGPHQ46bVgj0SiOBg=="/>
        <s v="MPlCGyaE3i4="/>
        <s v="qLtnugAbT9dDdSI8hn7rPA=="/>
        <s v="M5fRRj3lPUc="/>
        <s v="9EPc6tkstPw="/>
        <s v="/gpOmA0WdI0="/>
        <s v="rbgQzTSN4W4="/>
        <s v="AWyl8+ROiO7r8Jr4ts4KUg=="/>
        <s v="IgmqXVgOdpXzmjxTjkkpsA=="/>
        <s v="r016CC3XA0ZlTJQ0LWjaDQ=="/>
        <s v="o4H5IISf38tvv0CAdC1XOg=="/>
        <s v="w20l77uY2ho="/>
        <s v="eniO20sWPZ0="/>
        <s v="RVevHNNOa3U="/>
        <s v="oVPnFm9Rs9I="/>
        <s v="ewMOtarzYpFVdvTN3n8Llg=="/>
        <s v="gcq8JIazG3M="/>
        <s v="EtEQ37DmBXligX7dK+qd/g=="/>
        <s v="P2mFCe45fxSOMkNDtN34Lg=="/>
        <s v="odt0ccDIi6nAGYBWyCFV9g=="/>
        <s v="jtEIWNIWn+k="/>
        <s v="AF5svn61c0IbsU8L38Xhww=="/>
        <s v="zAOSf2+ygK078wlEDX16rQ=="/>
        <s v="jJnEVEF47zk="/>
        <s v="I6ww+EsefqHdAZVTnEeHWQ=="/>
        <s v="pBm4qH9rKdXlmXzReV30+w=="/>
        <s v="tXMSt62aofecsqAbc7F5gA=="/>
        <s v="csg2XZY7btU="/>
        <s v="yDjOWcCcHM71UayaaFI7BA=="/>
        <s v="P2+y4M6TIBllLWd7W6mNvQ=="/>
        <s v="Cl5iLfXlxpl+XHwQGQmeLQ=="/>
        <s v="9nP4qA2gWmuBR/uc4MIekA=="/>
        <s v="sL2Fw3BsB14="/>
        <s v="pTXFtxK04XqL7ej65T8Y6g=="/>
        <s v="3Ivqu+OVnOATxjUKxXh3ew=="/>
        <s v="2Vjw/3inSq0="/>
        <s v="13ZruT1Uqqfe6W6eDxMTvg=="/>
        <s v="vIssEcjlmC0="/>
        <s v="aVJ882KoIGbDzxVq4qcd6g=="/>
        <s v="mCZg1JViAkkYn+7mkWc2bw=="/>
        <s v="XTIRloImYemWRqkhLRpy4w=="/>
        <s v="cPhNHZHo7kqUyub8M9vHaQ=="/>
        <s v="awlhzWODj8CXZCIrCqUCrw=="/>
        <s v="joKGRzHCJGM="/>
        <s v="3wVcTcOt90Y="/>
        <s v="wlctMTNN1wsmVC8hoPZ/IA=="/>
        <s v="5W0VM5ni2n5j6F8PQfgjRg=="/>
        <s v="3MXuh8XjzUAuKVwnLJiBSQ=="/>
        <s v="IDJ7qUjUKMY="/>
        <s v="UbKTdyKamWkwU2qa11foE8rH0I7iHE8j"/>
        <s v="hn0BRY9FZu4ECToTJD3HzQ=="/>
        <s v="YIoIPyEfCWMAoe9ksbBm8eNVC9Cubj3J"/>
        <s v="MPmWstbFSBQ="/>
        <s v="zTvAUw2SfN0sQeLI5JJw+Q=="/>
        <s v="fTZB0dGgX75GU9mPTnrObQ=="/>
        <s v="eIv9Khs2dp4="/>
        <s v="ewYr1hSFajmmICGEd6x4Dg=="/>
        <s v="wV4BFSGMtQL2v04gI/IDWg=="/>
        <s v="flX9VsnnLoo="/>
        <s v="FXXWrcryesc="/>
        <s v="SJmC2NQ4cbnbyaQBtngGWw=="/>
        <s v="5A/n5HyxS18D/qdK84RkUg=="/>
        <s v="LzDMj2GysY24PBF7E8ZInQ=="/>
        <s v="vvNl0a3u/qemsl3WgjxCxA=="/>
        <s v="/PKbhXsejs8yMEUOVyxbYQ=="/>
        <s v="Vca4qZOoNzpQY7HFxeooTw=="/>
        <s v="ly51AWoQ8LLzcklunQVnQg=="/>
        <s v="DgJXrznAOQuJICbEAMmsXQ=="/>
        <s v="tW8jAb5JqonnRz5xQ6aUgA=="/>
        <s v="YnXeb1Leo75Ojv0MH+1o0A=="/>
        <s v="l+u3cr59Ezc6x10d7Mxk7g=="/>
        <s v="nDZTzXfGtXuPcpVH64TZ1w=="/>
        <s v="dMoPxsOszlQ="/>
        <s v="PIF1r59knD8="/>
        <s v="KP8O4FPH55Tnq8bE1Sazsw=="/>
        <s v="rZOjDScE6tsQ8VDDRhuVJw=="/>
        <s v="c9ZhgimBk5s="/>
        <s v="9SxnMlY2xwJwGqvBnWpRkQ=="/>
        <s v="R5c8kAylmOINFA1Y/1aRAg=="/>
        <s v="oyyrgCmlMASD89KFGQavTQ=="/>
        <s v="6dBeEQXj/gcJhzvWXYKrYA=="/>
        <s v="GMqkra35qZ4="/>
        <s v="ZNSQB01fLAs="/>
        <s v="C4HSTZ8ybAnmbD8ChDE0qw=="/>
        <s v="58qXLVq9Lny6lZy1QE7mPg=="/>
        <s v="fJ/veOP4Sh5zW87EFFR44w=="/>
        <s v="GFh3deCAZ7HVAdK9b1K5Kg=="/>
        <s v="Qv2d3BdzPYg="/>
        <s v="ehr/zNXKKmKr5DNvmmpCvg=="/>
        <s v="3ZvYu4t3LZY="/>
        <s v="qGgUeeAwRsPBDWzHKKSG1A=="/>
        <s v="d/BxOCupmrI="/>
        <s v="FAJCpL3oGk0/5mfw6Clh6A=="/>
        <s v="aSecnje7ubUDAfGIWvOXKw=="/>
        <s v="olIsxGoRiEk="/>
        <s v="Ta0xMbp+DdhRgfzlp+8zig=="/>
        <s v="TGf7jFel4O0z9UxYv1OZCA=="/>
        <s v="NFEz7T/+UX9cipCuz8/zxQ=="/>
        <s v="Z4eu/ingSmA="/>
        <s v="5YjFYy6bNCdRZ/bXgYlByQ=="/>
        <s v="UK40qzf3YgjBg+CKkRY1Ig=="/>
        <s v="w3cOd4sAJov053be9jhRpA=="/>
        <s v="3VUAQ+d+pcgs4o1YRlxcQw=="/>
        <s v="DF0iEizMDME="/>
        <s v="dtrYmL8AH9MHymZgqaLcqQ=="/>
        <s v="GU1f3BpAweHgiHV9CNCcjw=="/>
        <s v="RvGqpjNtBQQql/b+7Ootlw=="/>
        <s v="q/4HotSvC9TQC/1oUAHuAA=="/>
        <s v="u1jPUtYVt0U="/>
        <s v="Y4yhgyqAsEpRRsZU0C+o2g=="/>
        <s v="ngxavwJeIg48VfsG/gdxvw=="/>
        <s v="Ep3u19rX1w4="/>
        <s v="1txwtCpYBUBrrvdm8hcRaQ=="/>
        <s v="U9FOMVxYnD8="/>
        <s v="ibOcj6ZlVsMVct81pXzkjA=="/>
        <s v="d5oM8kR4wgw="/>
        <s v="iW6QEYYAQLKBiPiLnE4YqA=="/>
        <s v="Y+ZiogPnS254NTTZBSe/nQ=="/>
        <s v="OgDIScTALngYpWOsGt3Udg=="/>
        <s v="FpRx1Cs/CGo="/>
        <s v="a+Xm8d6kzjs="/>
        <s v="JrmalhtyPceiOYTro6HFHw=="/>
        <s v="ayVlE8Xuh0o="/>
        <s v="xwW0VgUwRJ6RieJOYKBb1g=="/>
        <s v="lF8BNmlwbpORC/oBxg4Hmw=="/>
        <s v="JK8MfQBhCd9DeoD+1nMzvw=="/>
        <s v="nech3X2a+8b1v2zRi9MPZw=="/>
        <s v="VNcStJQZlTA="/>
        <s v="pafZK+czYH0eB+34SUUzBQ=="/>
        <s v="j8EwJta5y3pyoR4fR11KjA=="/>
        <s v="nVy7Ie6BMrfWHVJUvtEqww=="/>
        <s v="MiPwWGEy4Ug="/>
        <s v="Z4xDftIqhmVRhPWPp752hQ=="/>
        <s v="u9yynWREepWv4lFaxw7DGQ=="/>
        <s v="etroup"/>
        <s v="yKJhYr6wqho9QjKZiDnAvA=="/>
        <s v="S710HpZbPiggRRJniq1mlA=="/>
        <s v="9+6lvm/KCn4="/>
        <s v="kRy9gAnbiDh72eXT8TCLjg=="/>
        <s v="cZ3ARIxfTck="/>
        <s v="B/tDn5uxg/M="/>
        <s v="+TIAn1HYfS4="/>
        <s v="AHuwPrH51+4="/>
        <s v="5k/MI3T4tRBUJzOeRn5MdA=="/>
        <s v="2qJSKfDxbIg="/>
        <s v="iM3O2UF9064="/>
        <s v="kELwxDV3Ubg="/>
        <s v="iwpajrpfx+AJ8+XHvxzSXw=="/>
        <s v="0L/IndxFfZ0Cd9TdMKs/rA=="/>
        <s v="5lsly6EyCcs="/>
        <s v="WUswklxGZaekqHAzcLVyew=="/>
        <s v="Gbz7nDLq7eOHze3+DkwTIw=="/>
        <s v="s7KVjmmlRZEDCxbaA3Tg7Q=="/>
        <s v="CqE82WPIFwo="/>
        <s v="IfOGtqIm6Go="/>
        <s v="FJ88KAbxGmZl28XSuJXouw=="/>
        <s v="IIsYzbDFZNHdg79hA+9/7g=="/>
        <s v="bIvpZyH5/FE="/>
        <s v="hKFcGIrxKZ1759ehMYYWwA=="/>
        <s v="hQDmM6n7nEh8YKg+LTkibA=="/>
        <s v="2/WehlnYlmc="/>
        <s v="7Mpzs8Igele2yM3gtUIriw=="/>
        <s v="kJzC1QyOHEo="/>
        <s v="UdB1LSaAs8KLzbIb7xCLgA=="/>
        <s v="7dB083S4piQ="/>
        <s v="65Ia22rs5SzhDWUxUCr8XQ=="/>
        <s v="z7/8CYTY8MEisU0h3PMs/Q=="/>
        <s v="5x8Yq21pk9xzeJboEvWDDQ=="/>
        <s v="2M5wHXDyI1U="/>
        <s v="ioY7TFn3GGfZYyP590YW5Q=="/>
        <s v="9tYD6VJWM9fIFVHfi18F8g=="/>
        <s v="IRUEZ9H+iZcctVlGgZesdg=="/>
        <s v="Qva+xXBOXAgTglGRS8g9RA=="/>
        <s v="R8phWILN75SfMDgD16e5vw=="/>
        <s v="aSEaW9FlPjLQG+2IbLnU8w=="/>
        <s v="l48Vn9EyIKU="/>
        <s v="rGzzu9sd6vc="/>
        <s v="9uc9g8HW1Lp+eKMyI+UvGg=="/>
        <s v="AkkG0xSad/o="/>
        <s v="qNSFdDBKIpE="/>
        <s v="hNh1NcZ0Bl6KcS89x+/GOg=="/>
        <s v="Mpotter"/>
        <s v="MV87LFrTTI0q/TBQE5a6cg=="/>
        <s v="ASjsu3rAqGwWuyDhHJ9msw=="/>
        <s v="jMhKOI94Pn0="/>
        <s v="XtPbUo309pXRf1uSMXaaeQ=="/>
        <s v="HRq2hBV9sWA="/>
        <s v="w3NcZcxjctc="/>
        <s v="SRiZjhxVpXU="/>
        <s v="L8o1mlw8HHTXGXOWM5LUIw=="/>
        <s v="n44IJW0ZsfLOpnAYrA0CdQ=="/>
        <s v="rKmoHcgmTkKdbuT2X+vWfA=="/>
        <s v="Mer4+JFxwCMhxsnFI/9atw=="/>
        <s v="ProZvuLJkKsT7+s2ydbkDw=="/>
        <s v="3aeTq4RkDJN+PMn3puBmJQ=="/>
        <s v="A4ulP05VVuJ/PTJEZcR24w=="/>
        <s v="byd4dEH9dl2EJGFfxFJBZg=="/>
        <s v="2gMO043ZtfSa4Xwfd5ucDA=="/>
        <s v="UZVRUHB/v4sNbsE2M+gRWg=="/>
        <s v="SwxYZ7NSPOneBOBZ2IrJzg=="/>
        <s v="MFrop/UzQw45P1QvBlgfGQ=="/>
        <s v="gGaLsJie+h0="/>
        <s v="lVTKWNH8QkfO0ErGUx6JLg=="/>
        <s v="uVFDeL5Ji9rxUavQ/Gn+Uw=="/>
        <s v="Ijd7IvyrQPjfjML13zrQEQ=="/>
        <s v="tr5pA1kQJA0OQXukszTMtA=="/>
        <s v="p/RutGeYfLQ="/>
        <s v="uLxy92szFNc="/>
        <s v="wwwj2MzAUo4="/>
        <s v="OiuQ6I7XCihLZEqb9GKv1Q=="/>
        <s v="+mkwrs/2pG70yaNKxqYh0A=="/>
        <s v="rDsSfhExD6fvlkcEJNA2Ww=="/>
        <s v="GLC9wESYIlc="/>
        <s v="PBCSq8j2zO6WKQXMzjV3zg=="/>
        <s v="Jix1BYGdlNAfTffXrJbQYQ=="/>
        <s v="CZOTVFO/nWs="/>
        <s v="0ybWSjqDJyDn8D7iQkpWXg=="/>
        <s v="GUqaG6Yv1OBhSONrtF8j/g=="/>
        <s v="dlLsI4Jj4tRjdl7L63NMaw=="/>
        <s v="3Th2jMettzYikMzP85Gfiw=="/>
        <s v="eXq3gFWm/rY="/>
        <s v="uy0B75ouVoM="/>
        <s v="2cyX/kqeIUITKCrVBsYBXw=="/>
        <s v="Bm6o2BiwcCAswm6d2QExTQ=="/>
        <s v="ItoSIOgS2CUIIlzTyShtEw=="/>
        <s v="YIDAWZNT1V7ByYvMsj7m8A=="/>
        <s v="BF4BGWnosmV0VtcHG8dwkg=="/>
        <s v="s/T5D80AR6sqHJ9OYIl1nw=="/>
        <s v="ikS1U8Id6cc8Tx3MiBYZhQ=="/>
        <s v="6jeCuHS+ZzvIZsixvKb5bQ=="/>
        <s v="/QEcTXENJo3fMpq3UKM8LQ=="/>
        <s v="YymE36mQlBV0Q9L3FDA47g=="/>
        <s v="gmAd2bGHIeM="/>
        <s v="uY+u3Jt9JgcCrNiboKyIQw=="/>
        <s v="0k+4rk5nFJGSe2rNzgQA3g=="/>
        <s v="XQ6+55MK1+Xkzq+BqDPMsQ=="/>
        <s v="t3M5/k0T2ho="/>
        <s v="rZlLwUwYImR5tmF892Q4Vw=="/>
        <s v="yH1bpXhdpExCm2yyBtIeoQ=="/>
        <s v="pW6xiSr7SRQ="/>
        <s v="s5fYze/wzBoaadtf2cdurA=="/>
        <s v="oaDE0OYfkP8uyByS4XThZA=="/>
        <s v="L+0fCh/KATk="/>
        <s v="V29nwjWemWY="/>
        <s v="NiXbTccfQP4="/>
        <s v="HpIF+n2yEbjpt0/ONJptOw=="/>
        <s v="enMWm5RD0Y0="/>
        <s v="NJVf6gWaOo3GnQJjIOmBcw=="/>
        <s v="ilo8VmsEbfl8ctxDl9A5cA=="/>
        <s v="lG7qQII3bgdQReChtIQZ1w=="/>
        <s v="gGsaix3euC6msRA4Re717w=="/>
        <s v="sRADFka174usEa2SbiqvdQ=="/>
        <s v="UNqn6HXWagc="/>
        <s v="cVtXRJ18uW0+BVQv/dfs/A=="/>
        <s v="BedrTpx2Fn4YWpjcvlm/Ow=="/>
        <s v="OUJ5HfpqOzZKooB9yrZ7Ng=="/>
        <s v="wdsHaz9STn+wWK4UwG9Gkg=="/>
        <s v="hM2DwO8UflfYQuaPD2TbdQ=="/>
        <s v="pDkGz8gi6P0Vz1Gq8cLKJA=="/>
        <s v="hBKJhhe/qMc="/>
        <s v="GdFa56zzKKj9VRiO6DR+5w=="/>
        <s v="YfzVIWR4Ds9t/Ut6GHisUA=="/>
        <s v="UQQia/07qMM="/>
        <s v="4h4rpS1vn7eWWLsOt6iTdQ=="/>
        <s v="KSXI+81hBfs="/>
        <s v="4fcs1uCbec85nPK4GiR6tA=="/>
        <s v="MpIrZgc7cI+FrRU6kwMt0g=="/>
        <s v="umUiyLgAP/FvJaRyd1rmfg=="/>
        <s v="areichert"/>
        <s v="xKs7xAigtRec4uorxIYLAQ=="/>
        <s v="XsOQk/3y3ydl31+L9ZBZpg=="/>
        <s v="S/FHdmvcxfgXDJpGEG17WQ=="/>
        <s v="LuZYSSjKJbmUQ1qAH/tiuw=="/>
        <s v="WnDOMlrU96x/DXX8aMiJ9Q=="/>
        <s v="SnBg/RxwRRQlMT6mifVI9w=="/>
        <s v="MAC56N2akJDpNh7p7jiJTg=="/>
        <s v="oF3TUl4fENx/Kgs1z0oNMA=="/>
        <s v="3tbk7vRhxmTXKRC38LFvBw=="/>
        <s v="aFM1/LckoYo="/>
        <s v="AO+qBfged7F5UOB/yZq8AQ=="/>
        <s v="oDiFce+MP0lTweIoM8WvFA=="/>
        <s v="OfXlJncko8s="/>
        <s v="pEm3Qib5Rnk="/>
        <s v="Li0jZtcVDH4kyl/Q9Dsdlg=="/>
        <s v="d5EZfx8cbJsvPxYs3h0LCw=="/>
        <s v="Zb8bn5THachVg/qATkPd2Q=="/>
        <s v="xR5q5Wx0C/8="/>
        <s v="vORdQdaBlK47rz27i48Hrg=="/>
        <s v="VKG9E7XvlLZLF0Yg+htdVg=="/>
        <s v="qmSSSsBcVuTj4Omt2LaySA=="/>
        <s v="XbnL6ripWdc="/>
        <s v="RyF521h9btib2vPmdFCAPg=="/>
        <s v="Hlp3IL9yUXeGKCa63mQ13A=="/>
        <s v="Y3KQIWLDuHLtojsKrJ3CCw=="/>
        <s v="KsfDx3QzIfPC43AFzneEsQ=="/>
        <s v="HW25UMIj2vq8xwji0knZ8A=="/>
        <s v="w6eVMy/AX5A="/>
        <s v="gFFyawcF7lZ5oi8+0Z+2Tg=="/>
        <s v="oRWd0hzQQnw="/>
        <s v="aFtlLxlXOL1x2G8WFuSGgg=="/>
        <s v="hHboKNNtBMTqtjzCqG2PWA=="/>
        <s v="6DXwwcBLUDw9+6RxQpaxQg=="/>
        <s v="xGz4GGDvMEE="/>
        <s v="KeZWxGRp3kE="/>
        <s v="+89SPgF3tT6g64IcmtdbYQ=="/>
        <s v="hy0+18vYztHemhYeEFosufwnhNTvQm0u"/>
        <s v="caleblyon98"/>
        <s v="PRfvkYp17U0="/>
        <s v="ot/ZmK3BJMg="/>
        <s v="hGhJZClPlkIjEpsYtwgp7g=="/>
        <s v="d94Ma4Q8Qvkhd7FoQPrO7A=="/>
        <s v="RNJlKYFGjp8="/>
        <s v="rhOzaxp/cNU="/>
        <s v="wRekZUAYtbJq1G8yB+WqCw=="/>
        <s v="WQdm5L6k6zY="/>
        <s v="oW/7r7BaZ5U="/>
        <s v="GmpQvpfEakptUrnRpVTgwA=="/>
        <s v="87bn0iGB8PsRAJL5+o+0ng=="/>
        <s v="uiXsdc7O8M1+YoDd2zz56w=="/>
        <s v="9jL6al1cKew="/>
        <s v="x2a9ybQDe+wPaYdjaBKB7w=="/>
        <s v="uS6K8Q4epYc="/>
        <s v="WAUUvdRyiNcxlGAB1FnnZg=="/>
        <s v="FTxqr9Lx3qffBvVe1ZDW3A=="/>
        <s v="PKOFDmSCyMxWDUdzqO1teg=="/>
        <s v="T0WTqEuOnY7RkGQo9sK8Vw=="/>
        <s v="DkISjhSfrVByQ6rNjMaSdA=="/>
        <s v="qImAhUWcw1POT/s92AyjdQ=="/>
        <s v="GFt6NO4bsX4="/>
        <s v="slsZQRwOJEBu73U4+U1KVQ=="/>
        <s v="ksysfqQ8Ca4XkOrTM/OFSQ=="/>
        <s v="FKni2T7Vuhg="/>
        <s v="JCs6zfaLPZSSRMY6kcV6kw=="/>
        <s v="G55OIESQFhnAhdGZgVBFug=="/>
        <s v="mB/wqqv2WWiSrKDD9BYQXg=="/>
        <s v="P4iOTghPipU="/>
        <s v="s7YZz/WM8ak="/>
        <s v="i4GjeHs3RJs="/>
        <s v="I0BmEoG/mNoNRlM0Cx+X/Q=="/>
        <s v="Wn6asDMfZmZv26x9BxlUog=="/>
        <s v="SYJAxvzDVwy/aLiNHkCMCg=="/>
        <s v="4i4J/W8CcZhbjzzR+X5CPg=="/>
        <s v="LD9452CHR6wKkovkI63bcw=="/>
        <s v="9HuVOzs7nf/ubC0qAXzauQ=="/>
        <s v="BWA/PDaLlYY="/>
        <s v="vztDSwlIShg="/>
        <s v="X5qxRNfOJCFsYUZ227RMRA=="/>
        <s v="eFQAxAV9zF4="/>
        <s v="PoseMfDxRkwN0okAsHYuzw=="/>
        <s v="ghb19WExNwXrKpBkyp0xvg=="/>
        <s v="fFdcLrMqHEAOTlJGW5XOqw=="/>
        <s v="m3znv4RBC3c="/>
        <s v="dEnxx0MQ3+c="/>
        <s v="kDQRqeJYJmPPFUgQGPU17g=="/>
        <s v="7awIyak5tz4="/>
        <s v="kEYD0bKmIiqh/5DEm88yLg=="/>
        <s v="fOJm1P+tHwk="/>
        <s v="j1wFdLIdLKfNJVdTpZdorQ=="/>
        <s v="IxE5SQHWFcFlu9XA+pHu6A=="/>
        <s v="UBYo8mKOwXY="/>
        <s v="45G6O4FAkk4sSiO/y6komQ=="/>
        <s v="b3oeqlWAv3p5dg9rpOSUxA=="/>
        <s v="Jco6bPHiHew="/>
        <s v="1GgO25pc1cO75OIVU0Aw1Q=="/>
        <s v="L3U2ItmfLHZJQULBWCgX/A=="/>
        <s v="xflS9HqdNOOZUOaME7fTxQ=="/>
        <s v="2QQK2X88Po9FOSmtLwk/pw=="/>
        <s v="L2jO3TlAYzS8xpHlrNUxtw=="/>
        <s v="16JUDxW5J6KHnE9dsVq9Pg=="/>
        <s v="J5Qalp/6XXE="/>
        <s v="1h5VWN+UzUuHTR10tY/sbQ=="/>
        <s v="/a36+TQ9bZpONpeX+sF6jA=="/>
        <s v="pM9zQ4TIDlw="/>
        <s v="yxP+3XBoNhqZ/jC1hwpkkQ=="/>
        <s v="zJJZlZWmAvymWZXr2C8TrQ=="/>
        <s v="cFuVRL40QKb+l7UOn9Fc3Q=="/>
        <s v="C+EgmP2JwxuepXqLW9bJ1A=="/>
        <s v="YQLsFoyunrc="/>
        <s v="YDykwGsZSak="/>
        <s v="AjagxxKI8nWrWKOH5PE7tg=="/>
        <s v="SuykGHKwpC22cW1NQv6caQ=="/>
        <s v="5q75ydi6N1Q="/>
        <s v="b7r/l4qaRnA="/>
        <s v="Qw3kiy9cwV0="/>
        <s v="4+RtF0xdFdPAyfEpGx+/aQ=="/>
        <s v="gE5fHm8Wn6Y="/>
        <s v="USDHs7Vr3uo="/>
        <s v="b1RiWsEOCnXTb0xiSvGeZQ=="/>
        <s v="UdQs9sfAVhs="/>
        <s v="4Nda/uFnP/q/sLcvGf+joA=="/>
        <s v="bYS/tO/y5hw="/>
        <s v="37hj/eyW7Y8="/>
        <s v="iYTWv4hFYOs="/>
        <s v="HleCaULmQuZGydqUtMO5RQ=="/>
        <s v="nWa5lafUwFf7caBp3/IUeA=="/>
        <s v="4CrfXHIK7G0="/>
        <s v="uPY5hYgK2RByLsmcKLNgDw=="/>
        <s v="g0kXQNC8/zlgNGe6ynZkzQ=="/>
        <s v="iyycmlodQYByypsR+YZcrw=="/>
        <s v="3+r+XOUsdV49qm2TgfyKiQ=="/>
        <s v="tpv3Y4DG+gl9MYFLazwtoQ=="/>
        <s v="yO2pG0ArhHeH3BFl7mW9hQ=="/>
        <s v="M8+rvsTDacryB4aT0odsOQ=="/>
        <s v="D7D/QCB2CqcIp2MNAfljqA=="/>
        <s v="MWQDg7tcgihoC6JwQ3dMZA=="/>
        <s v="ubS/+AIAWCufmd8EWwAHmg=="/>
        <s v="rz0XIu5mk8Sx9kbgIxn97w=="/>
        <s v="tArDHJLdUQ/ZpKVBpUCeVw=="/>
        <s v="so/h3GJIMb5oxhAi4zGzhg=="/>
        <s v="PDyVR/BYNpyZtnNs+ZAMPg=="/>
        <s v="6un6pRX6A60="/>
        <s v="XBwEWzwR04g="/>
        <s v="SNuKoUtq9wAiVxshV/JQ5g=="/>
        <s v="f3/3gPQCCBE="/>
        <s v="gnZ7aNgKsZUiNnIaqWrmcg=="/>
        <s v="k/3Af3INaEGo/jMRtjPWkY31LQoExmR0"/>
        <s v="TpS0YiWeoqo="/>
        <s v="i6hOmrAl+99XWxTrAM1xVA=="/>
        <s v="VCLniPUOhb18Z+cdVOfWmg=="/>
        <s v="lUaBM08xknUgqMMb7eV01g=="/>
        <s v="Oys2KWRvkjM="/>
        <s v="FpPIH/VIdyYhwUyaqvO2ww=="/>
        <s v="MZAFXAA6y5/b6tBBrimgGw=="/>
        <s v="vkiaAsYaq8A="/>
        <s v="6mMyT+whKJwC8AfHoLgH+Q=="/>
        <s v="q4wuc1a6zmlIIuQB+Ijzag=="/>
        <s v="6XiJdvzv+Gwuap7y84ZtGQ=="/>
        <s v="+YuWk2POdYhVmyNG4cMqGA=="/>
        <s v="V6hMh8glLt98swjAR0YBsw=="/>
        <s v="zocPgobSHwJtTvWv+dFZGQ=="/>
        <s v="vygCtaIn0fhEMhTCYBDq4w=="/>
        <s v="JCZ+k69SQ/MUvqiJ4j65Cw=="/>
        <s v="FiQYD+MM67R00DEK5o+XgA=="/>
        <s v="5h5hwLqXWdw="/>
        <s v="T9a6N+7AFjHAnIlOTUnsRQ=="/>
        <s v="8OpF0BLK1zxPU4cQorWp7Q=="/>
        <s v="SGgyYFeEGyqa1Z7U1iAWSA=="/>
        <s v="dJbE4FPWPCvE32QnaR+fPw=="/>
        <s v="nNlDFvb0WDzAuPjj+V0AoQ=="/>
        <s v="DuIrSuwvIKSxyrsV4+v9ig=="/>
        <s v="kOjDyI7DLQxR2v/5kfYGGQ=="/>
        <s v="lIXp51YstEk="/>
        <s v="0zIOEKrx9nLVDxZDXjaJtQ=="/>
        <s v="cM+E+79p1jARoke46F6EZg=="/>
        <s v="Pu4bs8EyWGc="/>
        <s v="781+N5/QNl0="/>
        <s v="tqGGSMPcHWMW4rU6Jrb6BQ=="/>
        <s v="nWM9iX9nmMLwm5rYFzKqNg=="/>
        <s v="y8Glf9y5h/4/f1tIzett8w=="/>
        <s v="EDL9GIt/5h5/VN/cXK/RQw=="/>
        <s v="xihjqyHdhCqGK1y57H8oBA=="/>
        <s v="YqaCzlbJFr/O2R+X+FKdjQ=="/>
        <s v="huFqkCBfNxvV/EP0oEOfZQ=="/>
        <s v="TG3Vzct/gadXF4acxb0LEA=="/>
        <s v="T7IGQmZQ2QGhAjtR7VG23A=="/>
        <s v="GxreLPmuCWk="/>
        <s v="gCZdbKk+QXE2s6lH0dLByw=="/>
        <s v="DrkSL7Gg+N03D+PfFsFUeQ=="/>
        <s v="yHeXxPRv/cEt/rwzgRGbDw=="/>
        <s v="1i578CvTw9TGnRMs9AU9/Q=="/>
        <s v="r7XtBlpBOc+MLnLl6cp7zQ=="/>
        <s v="SM0YbP3uyTR2TDeyMnTrNw=="/>
        <s v="AB9blHGL8G+SLcWk49v31Q=="/>
        <s v="KadN1Vs1DZnJwsSgUW+3tw=="/>
        <s v="VIMw/J0UXQKO8COLjESmUg=="/>
        <s v="0rDJ2QYT7RKzx0s0uwUDUw=="/>
        <s v="IjEXts1n9sjTVB5a4icydg=="/>
        <s v="WG3S2Takv1BuaDFpMj16rQ=="/>
        <s v="SZm+UZlMn68="/>
        <s v="I9JG4caHURXNsk0jlqGFPA=="/>
        <s v="cZff68/H/ZZ6GmuxiUnjNw=="/>
        <s v="KytXLSTcw/OZRTZrhQZplA=="/>
        <s v="l0sbSQ3L57t7z2f2HlU8TA=="/>
        <s v="j+j2WQpoELk="/>
        <s v="QOEB31Pp1ninsr86CdaudA=="/>
        <s v="Hu9xh7m70G25HSSuI+k2KA=="/>
        <s v="8efI/npqDRCKU0erLQ3K4tswSPe4wI6C"/>
        <s v="6w1KG8eAznUon+zY1gUe5koFRvMtCPzy"/>
        <s v="q6zHHG3HlOY="/>
        <s v="68ykF6vBRMU="/>
        <s v="TpNVYX6YsoylVKPn/Hprh3XkIqJkwEkv"/>
        <s v="z2PmC/loxAK7/jSiCE9QuQ=="/>
        <s v="XU+yrdaLmQ4Zvo0303FPOw=="/>
        <s v="C+jF1xBjtGY="/>
        <s v="C0BooEB6CGM="/>
        <s v="2CL+rM04XR2oR76CtCf29A=="/>
        <s v="wcmonroe"/>
        <s v="FxqE3RKl/gcFExhyXcumiA=="/>
        <s v="oWrQvQUkjMA="/>
        <s v="XcGMwfdSSIKksGEWLp/Kxg=="/>
        <s v="eJMh/Ytuv3KMoVcA695btA=="/>
        <s v="aZ0ySIHJZg5th75CU8GbWg=="/>
        <s v="cnD/FRYQRFY="/>
        <s v="yTd4g/gFKrwWgeg5NMD6YQ=="/>
        <s v="TGbKe0n69CkH4KX7WHYJhQ=="/>
        <s v="t2AdUpt7gIg="/>
        <s v="jA+d+kRUiGXeBvtrzN8rcw=="/>
        <s v="mYKVrVvThucQs1UmVtBZIg=="/>
        <s v="q29V4c9BoM8j0XS+zqq5Fg=="/>
        <s v="RXGGgUsnHvGMjp/xgI6tGA=="/>
        <s v="5r4uiUSgjma31mlKgCs4cw=="/>
        <s v="v9FUAF/pO0Ckhc5SQ1vDlQ=="/>
        <s v="q9G7gxZkUrf6vZruOT3j7Q=="/>
        <s v="CrhSwZtiWiqNCrzoZroLZg=="/>
        <s v="e56lo4Naaqd4IiV7JtA8jA=="/>
        <s v="iKtmUUdk3aFGR3bDfPJKIg=="/>
        <s v="HSd02B1hV+UuKEuAox/c5A=="/>
        <s v="CiqeIDxok5+o6aI1xS0udQ=="/>
        <s v="8TUGngJc/GGymi/WNuc2bw=="/>
        <s v="hEUWQHhTZ2w="/>
        <s v="GBOAOYW48Wi3yJ+RSGmhuA=="/>
        <s v="7Jfv/98PczDY+G/lnFj9/A=="/>
        <s v="Y6qN7MgE3JEwCOWEO/MgtA=="/>
        <s v="Bw/fkqBtykU="/>
        <s v="EhskIfyP9IeBTCMwFgjSGg=="/>
        <s v="thfWiXkNmpo="/>
        <s v="nqSW2j1tjqHuk10n+4kcNg=="/>
        <s v="Bi3fB/BTVFHfyu+PoFjncA=="/>
        <s v="fvhahxBm3yemiL9L8+iSfg=="/>
        <s v="NGLhoA9rDPGU1khgBiF41Q=="/>
        <s v="Blko2xq/jgO36Wnyql2L7g=="/>
        <s v="rIKqAPWTKGw2yC8F4qGMNw=="/>
        <s v="ch4CY938FWY="/>
        <s v="1ZnBli9XL4OATAS+wyADtg=="/>
        <s v="sSV1SjJ3qqXLOzUq3Ckw0Q=="/>
        <s v="wj4gjw1FJqJwrE9O4cqpAA=="/>
        <s v="thI8hinmROPHxvIO2otRPQ=="/>
        <s v="Jxwdyr8j+WqkmKsGxwW3ww=="/>
        <s v="samSvKi1BCY3WCfxiwaWFQ=="/>
        <s v="KZjbRelhSuFQt3B/SPeYhg=="/>
        <s v="GC/XnUNU/zuJarJSB/Hg5Q=="/>
        <s v="Athena"/>
        <s v="yctiwI8d6JJJ4YD9CshYpQ=="/>
        <s v="Ti2w6kDKqV8="/>
        <s v="sFUmXqTYFy+6z/vLAXusIA=="/>
        <s v="cdVVmcGUytADEA/UjmbMAg=="/>
        <s v="2jD+EHoJA5Ne+p6FLFpLrA=="/>
        <s v="27DH8kUKS2DzJJsnd3OVqA=="/>
        <s v="dv+41gzDCTCMZfAVO0RNHg=="/>
        <s v="s+T91Lcum+PD83vVMMvAwA=="/>
        <s v="lm9nKXIMgSQJecmusCzgNg=="/>
        <s v="spfl4fa8AqHr5kPK2uhfeQ=="/>
        <s v="QIxcCgu9bpY="/>
        <s v="/cgkhgOCkgEkGT5xFg3qXQ=="/>
        <s v="DMvK4a8rU4s="/>
        <s v="3ZRWY9WE/4c="/>
        <s v="xiy4DlS0mN/XTKC7mwxT/w=="/>
        <s v="V2+pyjMhGz2sX0LzRmk+vQ=="/>
        <s v="yyoXbyfRP0B1fYxs1//zDg=="/>
        <s v="7vmD3M40W8NX1NLKMNLfuw=="/>
        <s v="GcTFB7Q3S/qV3Ii0/Nj9HA=="/>
        <s v="i3sGoq4ZrM+bD3TQ6wTjdw=="/>
        <s v="m4ZlUHCYsP9j+kCV52btqw=="/>
        <s v="kmitchel"/>
        <s v="qrhMeiomnps="/>
        <s v="/VEI0DGttlWvMv+paZI3Pg=="/>
        <s v="Xn8SMiG9z+ev/SFdMOOdEg=="/>
        <s v="c2LCmOJtOP4="/>
        <s v="bmjCNbkQvzdaGlmarDDq2A=="/>
        <s v="lA6V8uC+9ofegkXSwzM8HQ=="/>
        <s v="U5DLAw/LqVDsYLN6BRhHNA=="/>
        <s v="gbRGVxFY+KU="/>
        <s v="cmDMvzynjsI="/>
        <s v="Wjwp/0kZVCdXoh0pGvV18g=="/>
        <s v="f8pjSh5ycNmjKMwK9a61Hw=="/>
        <s v="drEkOWa5aIf18/jQIhl1eQ=="/>
        <s v="XFqz9V2Vhas="/>
        <s v="EgsNcFci0r8wa+9m39AGYA=="/>
        <s v="6TQI+w+iMgrJfgMryMjexA=="/>
        <s v="tjcapp97"/>
        <s v="Hmng52T66Yk="/>
        <s v="EgeRz7tzP4gXvYnQvTUNHA=="/>
        <s v="24O4Uu6nS2rVc3FjkYhtyA=="/>
        <s v="809p5vLi/uQ="/>
        <s v="S1WLKIP99wF3i4zyMYTqtA=="/>
        <s v="t4r4Gg2a6s4CMsWYYqN+Dw=="/>
        <s v="LADVo7irnTBGKSURsBiQXg=="/>
        <s v="nMSqB9Gea9POoFhr5FWZNg=="/>
        <s v="o3bc0ZTBbd3Tu+9iZWYFUQ=="/>
        <s v="gjIlS7CxGbohp5+ijRjPyA=="/>
        <s v="FLXy9fPAArJaI/tzG8yKGA=="/>
        <s v="+yZRixellQyo4r2zWQ3WSw=="/>
        <s v="IJ2FyXnNhIofsN4oruZ8Rw=="/>
        <s v="52x8OFi1bryKgZZz13fIaQ=="/>
        <s v="/eKZp4w/7qH+f+lKkgo7Ug=="/>
        <s v="JBXACNx0z5cVHIrlTIamzA=="/>
        <s v="uIRXJ0fpCg29If/Ypht/Sg=="/>
        <s v="4EHqESdj9gVhYskAs6UNlQ=="/>
        <s v="blXS3TpuiKQnaYjhWXSyUA=="/>
        <s v="JlIxkUrULBbt8PnprMOzMw=="/>
        <s v="5q86SlQrH1Ux/hkV6IkO7g=="/>
        <s v="YwFf8Vrt6TI="/>
        <s v="JSIcowJhf24="/>
        <s v="g5rTGGwhJnyCF9uP2mV1fw=="/>
        <s v="JGu+Civel/choKCyoGSzjg=="/>
        <s v="kc3A3oPWPj2bmFlIUXyYew=="/>
        <s v="kA8c9SASjjs="/>
        <s v="SIc5qm20+DxnCXi2588w8Q=="/>
        <s v="LOlGt+aMf6qB84gKgSmnrA=="/>
        <s v="teZYd52w6rzSUV1BGpb7FQ=="/>
        <s v="71eyxgDywJHcNjTB2kxRDQ=="/>
        <s v="iiY8tp6VgCpYLmoo1Fsyfw=="/>
        <s v="XywOd03bT7r0lQSCz5Lq9A=="/>
        <s v="1wpJPAmDS9yl6uuh/evf/w=="/>
        <s v="3pEen2Cxlj2buvOqSM7yrw=="/>
        <s v="vqpgg+tKiyrpBXbMOKLDi1X3Q8K1IN0J"/>
        <s v="oPFkLVA8wDs="/>
        <s v="0rnFuPgtwdk="/>
        <s v="MO5SnRgZxeU="/>
        <s v="hR2Q/NmWl/A="/>
        <s v="ejNBDbZV8rrv8IssgmcfqQ=="/>
        <s v="3RKcWG1tN8UF3W5lP/dPZA=="/>
        <s v="QLRXM5dPe2IcUjo5jk3j6w=="/>
        <s v="AwKD2zxmZSv11lNc4cJihg=="/>
        <s v="81bzqGFP+gNSIEdVEebXHQ=="/>
        <s v="T/ymaTco8Hzp5rfJQUGGMw=="/>
        <s v="B3jRjceT7M1q7pHxSma/lQ=="/>
        <s v="EJtJr9oiOOOl9L+au9+xUQ=="/>
        <s v="lrL2vB8APQLiZJLC+iIwDA=="/>
        <s v="SoHhSMpSzaaX+l2hSGTMwQ=="/>
        <s v="zRYTRoCchGI9tx4YRO3frA=="/>
        <s v="6FtW32hlCSSsZAXLiCsulA=="/>
        <s v="6OwUzVNd+HmKFoSlRYI4hg=="/>
        <s v="lieOY236Qp5yVIYCk6r69A=="/>
        <s v="zxtK9R0VJUBYqqrgbijrCA=="/>
        <s v="t08s0dwl924T8VE1MnZ/jg=="/>
        <s v="zg0hSmX9qaYk4BaNhcmt6Q=="/>
        <s v="r1+wg/TN1F6JtkjataQ3MQ=="/>
        <s v="+QIJUp2LR9Bynb4Y3bIAbQ=="/>
        <s v="YjLlfT+pdt4Gsvsd/VKWig=="/>
        <s v="Bm+YI1NSjRjMTX3b9JzEqw=="/>
        <s v="C+CqExUYyX/s1+Sa0x1qzg=="/>
        <s v="dOQmEMoEGbU="/>
        <s v="aO/DWvn2dYRlJzkd5FToOw=="/>
        <s v="B8IXTuvTgXGw8oulcBeOJw=="/>
        <s v="shi.chow"/>
        <s v="a1LGv0hXj8yh7W5mH+0b7Q=="/>
        <s v="1x+iDoCdiEGii3bpP3eAuA=="/>
        <s v="5CdrkHI465k="/>
        <s v="pqfj1sVTbjRevRYgrAdsxw=="/>
        <s v="wY8G7DuPZTaXjHxzT6gdCA=="/>
        <s v="cngnEpJyQDpqlF6mO4iIdw=="/>
        <s v="TynbQD8jDi44bWlayXgmRg=="/>
        <s v="CrWK0eOEjXNH4o4BDG2MYw=="/>
        <s v="x8+M+NKqr2LFOta5soTTqQ=="/>
        <s v="pPniNS/7jBU="/>
        <s v="ynWSOy9/TQr4EBSqecHLug=="/>
        <s v="eAGdX3X9aVVMervK1FRKZg=="/>
        <s v="PtvYM9k+JrW9f4cX0x0JYw=="/>
        <s v="3M8q9LyDrjv+tXpG6TAdFQ=="/>
        <s v="mhQV1BJxjQE="/>
        <s v="Ze6MPNOLOhXM25NEhSteoQ=="/>
        <s v="CXVTXtKVC6P6GhpWjcn6eQ=="/>
        <s v="/UQGE1zXj00="/>
        <s v="NOKXjweMCJExtXO5SVXExA=="/>
        <s v="ev/3+9Tr54vKHRFzDrRIuw=="/>
        <s v="QnfTcom+9Jf7dF4V2+A7XA=="/>
        <s v="x3yRBH4n1vK4x6j7Qfl/MQ=="/>
        <s v="DMjKqgpkc0s="/>
        <s v="jSYZJu9JRJtBQMa6/fYfuw=="/>
        <s v="5qapZEzrDDV4PqY4WrN93A=="/>
        <s v="qrpRD5UQLFZkfNHIoH/8AQ=="/>
        <s v="4PrkYaBvYXsacoBjwsJu/w=="/>
        <s v="PUhZLsUbNWl7DmQzKG3chA=="/>
        <s v="YM/uiJy+AGzz3ViQfcy7Cw=="/>
        <s v="2iB3+/4WfChO8pHqLQWCaQ=="/>
        <s v="HlUdsxPM1VQ="/>
        <s v="Lw/t0EZ7PetVzPeAPML6fw=="/>
        <s v="t0NLx5FTlcFksv4L6dvHAw=="/>
        <s v="laIPrFVDFNMXAtPcttJu2g=="/>
        <s v="H9MYG2QOaaLLkHVI0rda0w=="/>
        <s v="l8oUHcfkwCs="/>
        <s v="SGq4WkOtr+M="/>
        <s v="/85uWEPW7B9q1TgalNRTOQ=="/>
        <s v="LwprxH4/LRPC5QJa/OXuEQ=="/>
        <s v="VBM9n3RW5RsWpKHUDaiUYg=="/>
        <s v="DJUOK/ugYjjpbsByBclJIQ=="/>
        <s v="YXS9oErIZh/qa6zBMXWaaw=="/>
        <s v="kbRxkGLzC0IdU83vjFCoLQ=="/>
        <s v="bH7ELHROxo5+faLMDVFNGw=="/>
        <s v="ro6tWf8bEME="/>
        <s v="OMy5TakvxTI="/>
        <s v="TsaqgmkH19vdKFpKJbRq/w=="/>
        <s v="kjBdNykfftC0URmu8n+obg=="/>
        <s v="8aKQZaX1BwvL18axaQQSTw=="/>
        <s v="OjIIryiKJc5AMfg2qec7sA=="/>
        <s v="E6l1jxw3O5M="/>
        <s v="HnQhG9jZrJalgv3WbGL+sA=="/>
        <s v="YMPQmEFYFXSzpRnp/Jwiow=="/>
        <s v="TAEkNqMVBaSmBUnvhHyICw=="/>
        <s v="T6EsrCUhzrE="/>
        <s v="dUfumn0D7vVw1QWMLRklUQ=="/>
        <s v="2TWXSdI1Wk0O8VjzoZCtPQ=="/>
        <s v="KvNsncesY1yrSWSdZCRqJg=="/>
        <s v="kW6kTkZUjFuiUohlfcaHrQ=="/>
        <s v="0SD3jZUzoXU="/>
        <s v="wHWozwv9iA8Gs0IgWekEMQ=="/>
        <s v="eeTRJTth1FNXaX34bWBirQ=="/>
        <s v="R+dXb4jkdcGQ8fDm9QJ5mQ=="/>
        <s v="pZFR686BwTZ2XGAhSRIC2w=="/>
        <s v="8y7+Gg+HSUH2XJsmCMn3/g=="/>
        <s v="5O9L8mUuo/qioV22FxOiVw=="/>
        <s v="KHatqSdbm3ZwIoMs6VHBQA=="/>
        <s v="5nM2wA6cMAA="/>
        <s v="z3Fn2HPQh/r8Kutw2i4AFA=="/>
        <s v="BWGJpY21yoOSS2P7wvk+hQ=="/>
        <s v="/IZBg+5TuJZiwEWfBxurMA=="/>
        <s v="69xiAywxHwwWjGjSbqRO7w=="/>
        <s v="po9FgT43lijsdhV6jjE33Q=="/>
        <s v="QBw+R7RlpmjQ4guax3QaiA=="/>
        <s v="Bydzp7k2sCVPFs3S9xlX3Q=="/>
        <s v="qkNrLlSLVhP7rvCytA6U5Q=="/>
        <s v="YnZ2RG9+fFtN/i6RYPAJTQ=="/>
        <s v="o8+mGRJzoKQDKDLHIM3GEg=="/>
        <s v="u6fFTZg7k9+m4J4N8ZyUyA=="/>
        <s v="M6dlXd6wXm4nneS+QYLgcA=="/>
        <s v="55q6QFKMpV5lx0YbweFBLQ=="/>
        <s v="GJDZp/4rSiDTDZIc5p/Lxw=="/>
        <s v="i5NtI+Qbne5178FOed3tuQ=="/>
        <s v="etS5DXa/qBw="/>
        <s v="l7kL5oWjWWN+9ckojiEMXQ=="/>
        <s v="UTh0FoiVLCjlXU5ghhozNQ=="/>
        <s v="WE3JwzILYSEmXY3QStSyrQ=="/>
        <s v="IY1J8HyL06QETNNV+nqvXQ=="/>
        <s v="mqydl8UoIJxnced0KVGISg=="/>
        <s v="7UwNGb3otSIZ3EVtvHPzBQ=="/>
        <s v="2QPN1+WZRNPfCW4vXbaFcQ=="/>
        <s v="CaCEYJDWlgUnNH0pA43Wng=="/>
        <s v="C4DyxTf9VoOyAtwX4mHcAw=="/>
        <s v="/AAkoFKmlT8ZDt+MNhUnrA=="/>
        <s v="KOirJ1oC5Atae64nApMo0Q=="/>
        <s v="v3fD8jSu2Ne5fuzJQGp72g=="/>
        <s v="8v/o1PgLx18="/>
        <s v="Zc9MXuokJetPu7cz4jsjVA=="/>
        <s v="Efz+2QAUHdQd4lNTZvFrBg=="/>
        <s v="1jH7WZZlWgU4iAOtclbsdQ=="/>
        <s v="Vs3bjh7pRYlGV/GfcABjvQ=="/>
        <s v="O8BrvIan2kw="/>
        <s v="5K/YbcW6dxFsAiTaUrkY1w=="/>
        <s v="oCfQKXC9MFMiGyxL9MSHxg=="/>
        <s v="1tkw7XOv/nUKUBwHFEb53w=="/>
        <s v="d2KxWclxSCdmMkgj9lQ47g=="/>
        <s v="wGKZPKW944Y="/>
        <s v="f9diIwO0W365eO4OCCHBNw=="/>
        <s v="5iCw/QM6B1o="/>
        <s v="1td/x3p+8F0Ja/YAGCaBqA=="/>
        <s v="iYMf3+QxTYqP8TVukmoS5A=="/>
        <s v="qtvx/PvxeJ0="/>
        <s v="swwaPrCm6kSlb2Jm9UXK/A=="/>
        <s v="nBL41CAD7Dk="/>
        <s v="EWHtgL5temmLucmdq7dfJg=="/>
        <s v="fUTML91liMP+gCFB0to3gA=="/>
        <s v="RHqPQarznGzG8gFtMa31eg=="/>
        <s v="+TzSXdWy9ik="/>
        <s v="jprIFhJXbOw="/>
        <s v="B+kmFEcw9JFYlxTqCQRhCw=="/>
        <s v="8GBAQ3TDckDwVxSGnYGZwQ=="/>
        <s v="4UW3+g/YDQ+nvz7WYGK/9A=="/>
        <s v="7wAQ5vs+LT3LLEMNlwQd8Q=="/>
        <s v="zeCUH/Wd2TG48RQfnDEqGQ=="/>
        <s v="BDbGV22/Aoi+WY9mhegl3g=="/>
        <s v="9T6e6xiZR3Q="/>
        <s v="UC04ZjuedcU="/>
        <s v="APZCGix4j6Mwpj+WeR9Kmw=="/>
        <s v="mT454Ug9Sy3Mq4Q7f8AlAebIVpR9tNRO"/>
        <s v="QhtziY7lZipF5OdZlCNGDQ=="/>
        <s v="pWbZeUawnB42ZOFnLixRgw=="/>
        <s v="0icoLlBqSG2GxKpkRncjFg=="/>
        <s v="tQNUzAc4ANAD2RtCcVx95A=="/>
        <s v="VMMLplOghNvNyol5mgl2ow=="/>
        <s v="mvqIeW4qW0mVmxsWD7dkxg=="/>
        <s v="BdmtWDrCfV4="/>
        <s v="1AvxA2IlGOZA6mqRWPHlAQ=="/>
        <s v="ZLms2G+gEEaVLq785a+Fdg=="/>
        <s v="KG2/76qVvlYvt1JB1or3lQ=="/>
        <s v="5VqVnc8AaYXbS7z/4gyaPA=="/>
        <s v="U7o7iAIaLCRe2mvR8/EeYQ=="/>
        <s v="sIE0ouOtqZ/oAZtGgN1Hmg=="/>
        <s v="uQCKpPwgI6FIdFFJRC7f3w=="/>
        <s v="Tgqy7+/ULOM="/>
        <s v="ONOwFwDvq2nzVvk2exsh4Q=="/>
        <s v="Rl9cYqVvgUA="/>
        <s v="24xWfVJsv9U="/>
        <s v="iKO5WokGwbQ="/>
        <s v="QUC+r2k8OXDePMzy/YlvWw=="/>
        <s v="cglqRCNY5Cc="/>
        <s v="q4acQt4D7pU="/>
        <s v="KMYe2/Iln4+YDsn9vWVGpw=="/>
        <s v="74Fdi/e1+qb28RJzJSiQ+w=="/>
        <s v="/B+Iluy3HOc="/>
        <s v="1k2I0qtiPsQbHNhzpeeTTA=="/>
        <s v="hBGotSUQEbYM2o2R0AN9iA=="/>
        <s v="Y+mSKneF/HL06HOZMBAkxA=="/>
        <s v="A0Za3tNMYffvhzTOEfoEhA=="/>
        <s v="ygrI1Bm4VfM="/>
        <s v="Sr/G/CRTcaLRpmHvelwUNA=="/>
        <s v="FO1ikNpfRw40VkePJRzs/A=="/>
        <s v="xwcLOsTLWgrs9AJLhEs19Q=="/>
        <s v="suF82OAhggLqzvfopqKCXg=="/>
        <s v="DUdu83Ti4R0="/>
        <s v="bjXpgPtXcbo="/>
        <s v="eCaCwAneagErvPnw+N/HVA=="/>
        <s v="mZi7ifs5oXbGQt4rmN/8bA=="/>
        <s v="WYqur+Y0pz4jKHU0YX20hA=="/>
        <s v="UTwUtror3M3Wb20Xy/KI0Q=="/>
        <s v="xkKJsojjHzqQNuxiDztkIQ=="/>
        <s v="2KP1ET+tFHA8ts7X1NBenw=="/>
        <s v="jsqkv9sxzls="/>
        <s v="vDJALRm6SZk="/>
        <s v="AD4N/daacFZwH8Kdxt9k4w=="/>
        <s v="Ma12MinR1wgYAii0yQPhYA=="/>
        <s v="2nJ+vvu5Y0YgbVjRp4X6uQ=="/>
        <s v="SEMWPkrA9KmPxHr+qkG2TA=="/>
        <s v="B1vnXN7/woR/NrNZpB+MdQ=="/>
        <s v="uXjw6DRzJkB7itcNp2eVUg=="/>
        <s v="50kkXvQTc5b12aQ0P7fOng=="/>
        <s v="auJzBIaelgZ7W6t6RUggyg=="/>
        <s v="unghlKKq1Jwr9HrYD/cXqA=="/>
        <s v="ZP99Hc3rxVE3wutmLjUSCw=="/>
        <s v="hE8w+MoXpzk="/>
        <s v="77ckZfu1deiCCXgf3apBJw=="/>
        <s v="EVzvbE1hLmcoMJu0gs1d9Q=="/>
        <s v="JovCL6aUhuN63Sf6tov11A=="/>
        <s v="3Y6BLkoEBMGr1xcpyWLIwg=="/>
        <s v="Ja4Ha1m0JAtQjUE70TNtqQ=="/>
        <s v="72B9eQLQEV6pDEn96HVM3g=="/>
        <s v="kx7x4QphEkwrQTwqVP8iUw=="/>
        <s v="P/pQZ+gtySQRSVRj9TYT2Q=="/>
        <s v="6liYTte8ED8="/>
        <s v="PQYD+2yhIP+oUC+hFGS+wQ=="/>
        <s v="annYbIR52ibR30001cAAJA=="/>
        <s v="sKiKN1/KOCx8uVTvThBT7A=="/>
        <s v="OFe0FCeNAEU="/>
        <s v="PTtTjy64QJCjjkH1tm38dg=="/>
        <s v="duRI0R1iClUHaXR3kUKZMg=="/>
        <s v="KCzn24wLZG9YRyOn/SUE/A=="/>
        <s v="Z0762UNFHI85j0fwWPwqtg=="/>
        <s v="zqf+/5Eihq8WGXjBLx7uag=="/>
        <s v="NAr2XdzcqaI="/>
        <s v="3F94Zu7+RdMhwr+9ZyVQCA=="/>
        <s v="GJCSCOL21ls="/>
        <s v="UsTyjgFVAQfLWLCHyp5aVw=="/>
        <s v="EA3sIYQNCsQ="/>
        <s v="/rddBQTEBG8="/>
        <s v="Zh6Cky/AngWJQ3ZRJvM/4w=="/>
        <s v="8Ck/7MYeETf1a5aRMRcuuw=="/>
        <s v="Efp4sG6DNKaoYqb2w4sl+Q=="/>
        <s v="4RqkQFDYoIvTbYHmA+6oKQ=="/>
        <s v="ipT6hIsuBRVBXrISA4ivCA=="/>
        <s v="m7K2yPuHhZvIjJtmgg0UyQ=="/>
        <s v="e/NAZn8thPA="/>
        <s v="Yw1AW99gG8h0f8sSeB85dg=="/>
        <s v="aCr1ZxLZtrc="/>
        <s v="ddvwLvIFziN4zlv7mg3Uig=="/>
        <s v="etT3hWkPVyj92MuVcVIMbQ=="/>
        <s v="k11eLvGzu6tnH9YZQhEeHA=="/>
        <s v="Co3MrZrGufI3sJI7b7QZBA=="/>
        <s v="cRfIvs+u/xw="/>
        <s v="Ghj5ZR3EJEc3eF3nwI7ZFA=="/>
        <s v="GOGhW4xasPrjR2q7DhGvjQ=="/>
        <s v="vLuRgk2NoI15L0OnlZ5l6g=="/>
        <s v="IeyYP27BKJhUQrBKWmY1Cg=="/>
        <s v="9H3iBV7WIXRd86z3dJYg0Q=="/>
        <s v="qx5Qjy/Ha8s="/>
        <s v="+jd6qaOURl6Li0g4sDvkJA=="/>
        <s v="7ciNHlmKcE4KN7IGyTNVag=="/>
        <s v="if4TB3UfPwuvku8ukO4vBw=="/>
        <s v="5srPvlVeIA+TqR5lyA7axw=="/>
        <s v="o+02v8WV5HRlQmByB/4eSA=="/>
        <s v="mDNQFsbEZaT8iE8Zm0F/Tw=="/>
        <s v="HPSYZegnLI4TVIvth7RaGg=="/>
        <s v="6CkzbuRDp7WcQx/oDDBAJg=="/>
        <s v="NGiKYDXoeCk6mWQZxMIyMQ=="/>
        <s v="go+mo1zibNWad66OtcRhsw=="/>
        <s v="zBfmnXXFcpchFw6oU14PVQ=="/>
        <s v="fsO6/revqhw="/>
        <s v="Hvocylg57zk5wLt91mgKzA=="/>
        <s v="wrJ1SrS8jv8="/>
        <s v="U2Ya2oBmVJB6JHtYE4R7R/vLmrF/tIei30V2wURpWZ4="/>
        <s v="Ghsq5J46m0SLUsdOmLMiBA=="/>
        <s v="20tpereira"/>
        <s v="twb/5BjUui9OUV4YJh4unw=="/>
        <s v="S9j4+oBvZo3AWwPH4vi+1w=="/>
        <s v="LWxbHSQRFXRGp7vJ+6td+g=="/>
        <s v="La/O9g5EOi+e7D9BoSowxw=="/>
        <s v="ljCYcj3Bry0="/>
        <s v="q9fKy+Nk50LGyy6T4CpbpA=="/>
        <s v="Llaj1Orahk0="/>
        <s v="QNjxqPuNFPMstvkJjZiX7A=="/>
        <s v="O4GBEMtGRRodWa1CdwHLvQ=="/>
        <s v="sqfwLWE3Ff3WFZ/LGoXcFw=="/>
        <s v="LI0MhFFwu8wyFZLypOsyNw=="/>
        <s v="dxAQ4bFYQia1kYSu4OH/Dw=="/>
        <s v="paF4cdeNxUYqsV53eSlnAw=="/>
        <s v="7rs61ohY5xc="/>
        <s v="KWgsvHRELu6phI70wmenJw=="/>
        <s v="MtPq+tT8ET7WOGbGEeZ2hw=="/>
        <s v="StwuTTi61MA="/>
        <s v="nT//Zc9FoqIIRAGmz5hiuw=="/>
        <s v="LHXDkqMFhpXL9G07mhV16w=="/>
        <s v="HIu0+dPbyb3UqVT24ixEXg=="/>
        <s v="BXDaZba/dQzgWCyiV5Widw=="/>
        <s v="tmFoQh6Xz6O6hPPm1XudIw=="/>
        <s v="21BbidOQa+bGEa5+ghZpVg=="/>
        <s v="ROq5QZFJI7pUW0mNFSa7cA=="/>
        <s v="0wXRWSocvxiKBiPuA/YbRw=="/>
        <s v="66gqyByT8oUkT4D3vL5j9A=="/>
        <s v="HOGGj19VuhT/t0agv7o4qA=="/>
        <s v="ylU+/xfAvMU="/>
        <s v="sKDQ1afELqA="/>
        <s v="PYFDkuPu2sI="/>
        <s v="eBSJxW+k4Mvbfidyj1w4cw=="/>
        <s v="EhSD6OKl04IOHTj3Z3HhBA=="/>
        <s v="PyfooUBxxa4WUDA/YFGkgw=="/>
        <s v="Fz5pEmDhT8SwzVMnbUgJ5w=="/>
        <s v="iI8JXzzyFcCXXWj3EtPTUw=="/>
        <s v="iGT+WLc4mOxbQLFLRoC8fA=="/>
        <s v="lN7QuB495kJ5LHPjgUnGZg=="/>
        <s v="N8buY21qIro="/>
        <s v="NCnJAKzGEDN1hyEXxUcRju76y2MYB2Kk"/>
        <s v="vv/67h0Iwnv1oVYyCEd5qA=="/>
        <s v="3+h8mAcLomw="/>
        <s v="h12G6rK/863BtJpYcmFxWg=="/>
        <s v="L9U51C4PVr+oo7Tk+38WEA=="/>
        <s v="foZlbLjiWfg="/>
        <s v="hEnQozjtAGPp8pNw8Oue+w=="/>
        <s v="Sohi+cAUZFg="/>
        <s v="8eHwQP0WQSVpSWdcUEek/A=="/>
        <s v="zFW4OZOpYGmh7x88mWniYQ=="/>
        <s v="kPt/X0ZshDBaSromECLUqQ=="/>
        <s v="4S51Poh6IBtC7UmmSkiDzQ=="/>
        <s v="37jW1XQ2ELUW5ZlmUc3Eww=="/>
        <s v="5s+hI6P35Xl0c8CfJDktbg=="/>
        <s v="SIE7EquttE3znDQLfpQTtA=="/>
        <s v="8qb7eCrsKkFQaAc3z77CYA=="/>
        <s v="IA4HfSQb9yhmhdCpa3Uy6A=="/>
        <s v="it+v5exDEM/dAh47PdDbMg=="/>
        <s v="EC2EXXoD8gQ="/>
        <s v="xVZH9K2nBQ9OzHy5HFV5xQ=="/>
        <s v="EWODm0//kJB44kh4gk39vg=="/>
        <s v="ENGmCy7DSCerAUZcUqkdeQ=="/>
        <s v="WJdu5E8uE60="/>
        <s v="ebZSWXNROi8WrVvnhwRXBg=="/>
        <s v="vi3YKzEXvkixMTukKgVsww=="/>
        <s v="+869hpvb+PZVEikgKK4TKQ=="/>
        <s v="i92Sbl7BNsQ="/>
        <s v="H8U3bYhRes8i208hkTyiTQ=="/>
        <s v="9QBFwHpU2xhuXY0jBYT5eg=="/>
        <s v="HkwFskEZ5UBuzC+R9Ixd/Q=="/>
        <s v="FvtNlvYpRPmXGSB/JT/K4w=="/>
        <s v="aG0BORpgTHwXu6c38mqsfA=="/>
        <s v="qJq4R/OCFxo7uPDFnXqQ3Q=="/>
        <s v="qgA3uz+3Sdq5OmK8rLoVYw=="/>
        <s v="jxWL4Sui0L3mOTmQ6WOnoQ=="/>
        <s v="xBaOB5ogfIAS8OBgcF/y6A=="/>
        <s v="YaTLpFgBDwxGo70wVAv0BQ=="/>
        <s v="l/aXz/OgOqQDpm2nM3FOvQ=="/>
        <s v="zWxyXOuAQP8Y4YolMQMoOw=="/>
        <s v="YEjm6QSJNGm0G02VVA4lVg=="/>
        <s v="qU4DfRDenPHKyjC11DWxoQ=="/>
        <s v="pX3AP4bj0jegpgDGs6VtEw=="/>
        <s v="SYZlBvMbK3Y/QotSyEHiXA=="/>
        <s v="/mJkOygkK7M="/>
        <s v="fbePHQOnmKc="/>
        <s v="K7lz2wbhc4c="/>
        <s v="HN6+bS6HTKQ="/>
        <s v="EwzLUD96JLrYiYcggp+fwg=="/>
        <s v="Dm8wGJ28bvxGRk0n5GB6Iw=="/>
        <s v="//g92ZjHfVg9aKog5JevLg=="/>
        <s v="n9mw5P9iAfsgmSi30MGw1g=="/>
        <s v="nrtpZEmyKPIeIkIhot5Wdg=="/>
        <s v="AvEDTsjielKqlsKtYX5EpA=="/>
        <s v="BifvrycZwisHHHtTuZZJ8w=="/>
        <s v="bjt7zk4kf7U="/>
        <s v="r7qWTRA/6FgL7A6dqehntQ=="/>
        <s v="8AsYONxo/Q4="/>
        <s v="zWjF6D/6PwDIc3K4JjdkBg=="/>
        <s v="zEgJAua913+uT3iJ1daD9A=="/>
        <s v="OZfsJi5adfQ0/+YNjZf+Hg=="/>
        <s v="d3RYObyXXmY="/>
        <s v="15BsSKI7sBugwGQN7mwQDg=="/>
        <s v="1PP1imxDpxW8xozq4Cn/+g=="/>
        <s v="LV+c805oubLtRFGDTAqakA=="/>
        <s v="fV3bu5SJom8HA8EsjZB1yg=="/>
        <s v="eVkmOYRdQms5UmmEFxDuBA=="/>
        <s v="rXwZ1E/SUKBr3nLidnhFIw=="/>
        <s v="ooxgQbiM0qQ="/>
        <s v="SFLJQC8Zd3w="/>
        <s v="FaVU67RhYMt5Uq4cpfRpLA=="/>
        <s v="vD12xx3fJa6+yOwhGGc/JQ=="/>
        <s v="pY0/Cv6y25dMHLxyDR7BQw=="/>
        <s v="+W4Hvx7xamgeu2c4613INg=="/>
        <s v="vJMeVAolp23tx1wZXnz2KQ=="/>
        <s v="x1l9y2RdQWml4BsR9SRdtQ=="/>
        <s v="6dtxMCMz8b7i3OhUwgS30w=="/>
        <s v="lmbKwvL4S/Z9Iq82S5mJsw=="/>
        <s v="Ttvvg/48tn61TfXLO2hIdg=="/>
        <s v="Db1lLWIvCmzkP+JTuk+9mw=="/>
        <s v="lSw5i4V8PZgNhxDjw79W0Q=="/>
        <s v="TG0XergSPDbvaQ6ifMaV9R3NryM9q0HM"/>
        <s v="f/zayN1fMoTnkMnx9ppu2Q=="/>
        <s v="IIO/m0kQEOrqE8Q04KZ50Q=="/>
        <s v="oIfovjenBshB+N9840pSIg=="/>
        <s v="Z3fPQgc8m4coVmp13ClA+Q=="/>
        <s v="AucKB9Y0WGT6MS1sEd0hzQ=="/>
        <s v="fgzcft9x0zrGDA39KHkK7g=="/>
        <s v="UWVyScTkS32YT4yMWpKQFg=="/>
        <s v="uRibfPh+jE0wXd1FKpM31Q=="/>
        <s v="94cIXepsjMbsYxshflog/A=="/>
        <s v="z9faKVjvuu/LdWMolb68yA=="/>
        <s v="0oSEwo2zM/wjncDQ1Wb36zeuElgtfx0vR4D+SZGOE1k="/>
        <s v="HbLk6yP9dK3Y7lH7V7/ruQ=="/>
        <s v="5fVY0tNJ/YpFJhz7pLFvIg=="/>
        <s v="KNzilF1zc3/ljDAw3WgvIA=="/>
        <s v="neblhPbLx467+eDlEYO6pg=="/>
        <s v="3GpMpk89qW18bPehcospXA=="/>
        <s v="SjnfSj8WaqRGTw351LFZ9g=="/>
        <s v="y0/eTo+HNgee2VX4aWY7qVuQiF61HfeYON0g0eqyjGeU72PA/myUNA=="/>
        <s v="tsVu9Ks5tWB6uMi5DzP1GA=="/>
        <s v="QsI+VUO/+tQMolRPkB381Q=="/>
        <s v="jJAOFeGNIIoj5n5ijUHWIQ=="/>
        <s v="g4i3XC5wtOwADGI2MCxM1g=="/>
        <s v="oAiM6lrXPRQ="/>
        <s v="HRcr1OXo3+0eCeKCL4to7g=="/>
        <s v="nywO5Y+4tB2SXkadZOxVOQ=="/>
        <s v="ASEtTWFHI1gpTJzsWIYIKw=="/>
        <s v="D9jvULw9GbS61fE+aGhnvA=="/>
        <s v="xhEHa1HkNUAsagmXsHc+Lg=="/>
        <s v="8p+7BtixMmRKyDB4QNWB8Q=="/>
        <s v="UpSSvJV+woc42y/zzhCmyQ=="/>
        <s v="qXzeAmI5JGxUSZ6/HaEsTA=="/>
        <s v="NwNk4NlYWoPHQ2FZEjyq8w=="/>
        <s v="RjbvQ0V5CjpIzZiI6Oa0gw=="/>
        <s v="EO/KsuMiFuXFRHq6tQvKmQ=="/>
        <s v="b1KT+90TK0AKGmyr2hjCXw=="/>
        <s v="AQwgSPy12Kf6FUYhNeFwAg=="/>
        <s v="zC/6heGjK6Sh1qRx3X6Oiw=="/>
        <s v="3tL9C/2o/ar6l+h7OgBnqg=="/>
        <s v="n1LN2gyIjRDeQktnXFD9VA=="/>
        <s v="Ma3GgTnaDsPQnN5PS0/7xA=="/>
        <s v="75mAY9USoPpiTJG+YHe6yw=="/>
        <s v="5JPKi58xL315X1JZpotoZQ=="/>
        <s v="eeavumoTXPz7aGmEnWT8HLy2+Lv7q1jh"/>
        <s v="i4604YqAKd2MseSN6IhmHg=="/>
        <s v="myM1mWEgoCsel5xqBu4Lag=="/>
        <s v="/NoDukb8RDSYeMZwwRu6cQ=="/>
        <s v="Z0dpHVxvmgLhUBoTegcN1g=="/>
        <s v="ppeM2j46yZbz+dUBpTboPw=="/>
        <s v="zEfTtaAduvQ="/>
        <s v="MzAJ7WSM7hYDbkXk1lwT+g=="/>
        <s v="qug31rJJxC5qxzkqSuH22Q=="/>
        <s v="FTxxChKjeo5GfzKUwB1LEQ=="/>
        <s v="Mqx0AEee50tQgprdPloCjQ=="/>
        <s v="UKcMEQY0V1qcDUmUskxKKA=="/>
        <s v="Ny3hriZZ6r0="/>
        <s v="90Z9D4ys1W46061laQmltw=="/>
        <s v="dKY0R3Z7aJoMRIpfwgNwSQ=="/>
        <s v="ixi8hFKUkPU="/>
        <s v="KSIh1w1yjqvhk2Xcp8tt3g=="/>
        <s v="FeA3uO7d838bcVFIT6tgbQ=="/>
        <s v="PwEDRQb/IRGWHSOuMSS1ow=="/>
        <s v="4euSUZMQlAdiDmIE4E5HDA=="/>
        <s v="9g6DI2iqtiY="/>
        <s v="m/R3+oPsftlNtqeJe7Vo8Q=="/>
        <s v="VIJZJoFNnWa3g0aq2VFsaw=="/>
        <s v="8FpQjwX2FMSK4LwzysJ4Vg=="/>
        <s v="ey2dgNVROmCL2Fn1QoxzXg=="/>
        <s v="5MK1lZCrtF0h7aREETDNH/ICydAH1U2i"/>
        <s v="ObZwgm+RRHL2CyI49lg17Q=="/>
        <s v="XOwKNEB85kYBD/TKaPOo0A=="/>
        <s v="Q2fFQhXQP/4="/>
        <s v="3fSNKeFEZ1i/pi7jQvfp4Q=="/>
        <s v="axs7/WvcWLnANhpNGAnOZg=="/>
        <s v="ykN3IFMsk2fi+Upm1Y7aEA=="/>
        <s v="5srIkQp9dlpDbrkl7ZwAhw=="/>
        <s v="U5fLq+PGsAt8j725kYtofA=="/>
        <s v="VjzA0ZJVy0nsfZIYGwP8ZQ=="/>
        <s v="cRABSvEdXQU="/>
        <s v="8e8Q5HcxZ6r1hTnSlmvSfg=="/>
        <s v="0mIxaqvOixq1HA0IwGwRhg=="/>
        <s v="BWUdonmUpD7cNakxX/e3RQ=="/>
        <s v="DIQeVpNNjVHgN1zriXpxqA=="/>
        <s v="nr1K44fHfvlg4EXxdkiBZw=="/>
        <s v="DxZBJ4/ycYIrgNyJNdYB4w=="/>
        <s v="2vDJzmkezFhiZpFiAzIqgw=="/>
        <s v="SexxeLv0jRI="/>
        <s v="ryhy/T9VbZkf67sFXGjk5w=="/>
        <s v="k3J89yJWVLrIpGmlqdLvkg=="/>
        <s v="47StUAOEXKSs9LX4TB790A=="/>
        <s v="BIlT7b0Dgtg="/>
        <s v="ke6ZSTVJW7CDoNSiQaLaTw=="/>
        <s v="I3xEp6d4cqtAOMZHXJCibw=="/>
        <s v="sVLsZB13oxIu/CSX9KuWFQ=="/>
        <s v="di9kygTTtGoWcbCIMm3cBw=="/>
        <s v="GogL14XyEqUgd+5GWO1tgQ=="/>
        <s v="7bgVD9FG9Ok="/>
        <s v="RzlCQlUr5rtR8gMmWQGQ5Q=="/>
        <s v="2t/JDCqxL5UooI62bfhitA=="/>
        <s v="8L8U1DqbJ0MycppDx6+0Hw=="/>
        <s v="GIC8JmRm9u3QB5vsRlpwSg=="/>
        <s v="YVNSl1ssT6mXyxujgfsrBg=="/>
        <s v="K8exJ6H9HD8="/>
        <s v="WelVdkccYLs5DWeUaU+sZQ=="/>
        <s v="fhk5/wsNktqvKBjhK1YycA=="/>
        <s v="+gVEKNhpSgeJq81254tgSw=="/>
        <s v="eAAmDlAt7fMHxdCwtrZmQg=="/>
        <s v="Z8gW1YXOxT+r0XYH0ipscQ=="/>
        <s v="o6UD2kmt7k8xKX1WajYL0A=="/>
        <s v="RAOeA5i4hg8Q6ihrHGEQNg=="/>
        <s v="8fBOtTIKy1ji+VTTc5/SRg=="/>
        <s v="dp8QPvL1loDn0ybtmZdHYA=="/>
        <s v="9f09c2Fz7b+aeCcdhSqvcQ=="/>
        <s v="Xhh6vkynGZzKkC17KQHCIA=="/>
        <s v="NeC7mfFjxnImJxAt0DGisA=="/>
        <s v="hvkO17DM+rA32tRJcrPUdQ=="/>
        <s v="7pAhxXdxZCM="/>
        <s v="OuXYnoO1bidjFvWTGvw/1A=="/>
        <s v="vfKJ9lWrKRG4fXtzbNIN2w=="/>
        <s v="EoU5e2lqyw6/I/6PFM+6bg=="/>
        <s v="Ed2tpLBHIFONrsDiwQ6Fxw=="/>
        <s v="Fm39doqD1bGzDpUDx3V0MA=="/>
        <s v="2YzdquFoLTFuLoCFDfcLbA=="/>
        <s v="0W/uqc7EeuFDNtBVEma5aA=="/>
        <s v="ifYfjxUHB4QKNxtfNQsYhA=="/>
        <s v="M5y088S8aiE2k1QF7XZi/A=="/>
        <s v="EnMH2gX1l6YF0oEDgBNucA=="/>
        <s v="yVRIho72QF4Jl5rh0DhKLQ=="/>
        <s v="3ZtTEnwV9WyZbOwx5FSx3w=="/>
        <s v="O9kDneyqSDYQ9pDrLHGizg=="/>
        <s v="8E5HDIuZPQs="/>
        <s v="B1+PYaWIf4prs+m46tkW8Q=="/>
        <s v="gN6KUEIF6Zv05nfvAsTDqQ=="/>
        <s v="gaqqPJUvDu7I9AL33iOXBw=="/>
        <s v="H+iX1DPvhhk="/>
        <s v="XosyvB2B82bAx/fEVWxlwQ=="/>
        <s v="0AqyhzsrUGMCEpCbgqcDjw=="/>
        <s v="KOclMqtoxnvGaznYh84XUQ=="/>
        <s v="9xVS5/eXj4lJi5cIzuVPAQ=="/>
        <s v="2oiVtjdNnALSKD93mvtcYA=="/>
        <s v="tBm6yYMuwuWz7Sk7+iMV+w=="/>
        <s v="x1vrs+rn1M0="/>
        <s v="fX0n7C2atfhKQZkZDuqdCw=="/>
        <s v="rh3uiVczuqECtuBOieVP+g=="/>
        <s v="GrmIzRF6yS8y6ipYHOzcwg=="/>
        <s v="jJa9kOXbzF0="/>
        <s v="E5wbHli5I8E="/>
        <s v="cux9HXsXvmzt1h99DTX0uQ=="/>
        <s v="mBztoaliCvLGJlJTbNtFQw=="/>
        <s v="nvczMTBJTVetsfXAQ2AMdg=="/>
        <s v="z38wmpso/eY="/>
        <s v="C0ZN1PWCbvU="/>
        <s v="lS1hWtJlHI3q8fwNTqMxtw=="/>
        <s v="fEAUYY99UKs2j4qvEIsmdg=="/>
        <s v="FEL1/r6G6t38XWcBfxVC0A=="/>
        <s v="rnp4j0XyqJDLviAChQ0pGQ=="/>
        <s v="tmvKzpjm5aaDZB5RQ2a5ow=="/>
        <s v="Gy+p/VP8XLc="/>
        <s v="75RBUB3Kf7upELEnAkdmlA=="/>
        <s v="Vgr2wL7H84M="/>
        <s v="h3Yl8Sdl9ooVJWTtKCo1BQ=="/>
        <s v="mx3oftqAIU3wYzBpebEWdg=="/>
        <s v="BNTHNUuSCfyrLhvSXcXrwA=="/>
        <s v="MomELnNlsVaORY+bI9gFxA=="/>
        <s v="CR4ts1G1XfDaJuYbKq8MDg=="/>
        <s v="1zdmW/xOdmX1diurKeGbIw=="/>
        <s v="TsUuVq6hTNQOLzCSygmc5Q=="/>
        <s v="YFWRv6t4/ju1hUUTgl9ccg=="/>
        <s v="q9DBfrZ/NaM="/>
        <s v="Q4NqIPVuH/Gcyh9amcgVfg=="/>
        <s v="jxVJRnsTFb2pC9nnzLPVsA=="/>
        <s v="gpizFNvfopg="/>
        <s v="M/1TMlUqMVw="/>
        <s v="VCznokTo45g="/>
        <s v="d06xdoCZwP5pinzzQy3Abw=="/>
        <s v="cgVg6y7icHs="/>
        <s v="+65TB3wZuEOCyrkJId1I2g=="/>
        <s v="6GyDqzV5cx+b3ZlULwxeqg=="/>
        <s v="NUztwfs2VF6uCi7muddkyw=="/>
        <s v="702M/24YRQm+iI3fW87aAA=="/>
        <s v="2h6IfJvg4jhJsNh69CWZyQ=="/>
        <s v="N0dPt+ZzHsh7YDRHqP7v3w=="/>
        <s v="w1WZJVvfQ+YZh7IUAzd6nQ=="/>
        <s v="holMNzDWc4rH3Fm5HCW7sw=="/>
        <s v="IO1mpJDAQds="/>
        <s v="cox3G2//qPc="/>
        <s v="Av1j53ctuww="/>
        <s v="5Y4aBAmK/+8="/>
        <s v="RiK2q32yTakof4Vne/MkHg=="/>
        <s v="xeUdd8DZ5xjzSCCRyPWorQ=="/>
        <s v="Fkw9xkSXwLs="/>
        <s v="UCv2e1ilRAcYbILdK9eP4g=="/>
        <s v="WnbZUDUfvEY="/>
        <s v="p9AzsHnUcb0="/>
        <s v="7A+/yxODEKs="/>
        <s v="EpknV6ZUwBQDb7B8BYOk3Q=="/>
        <s v="t4K71MyN1iHG2FN0jYWtvg=="/>
        <s v="Fy0nWeWSMlKktm8slyOD4g=="/>
        <s v="aEDbK7NcohQKueE5ME0/pQ=="/>
        <s v="dZDNrGnBcRpXHGH/5Ac9pQ=="/>
        <s v="NowiWhe6/+ch73K2jZq8UA=="/>
        <s v="tqPfmRrFFcmnke4XRyDosg=="/>
        <s v="dpwJQVzed3UMDRrsBIghTQ=="/>
        <s v="jbf6E+L24So="/>
        <s v="a+bB/EMxICQY1fD8rBXLSQ=="/>
        <s v="s7TJC0ovC4rDY3YUto3ZHQ=="/>
        <s v="q8GkroYj065zSqgoLcLB1w=="/>
        <s v="wXvB8lmFBmOud1e3tq9elA=="/>
        <s v="ZCMKiqj3NTOZ6WRduvZLtw=="/>
        <s v="G+ftVg4DIMl3+B3Al75aQw=="/>
        <s v="nB16C5pzZDTe9I80SJJwOg=="/>
        <s v="MB2imN0fL/jJgTiYpOArUw=="/>
        <s v="gN0ODeywtnC8941bgoIO1g=="/>
        <s v="GZsWzT1N6buta6lx5L2qNA=="/>
        <s v="CTbG5PmQ1b9T0ePiaKSZDQ=="/>
        <s v="O2Na5oX1Ol4="/>
        <s v="CRxUHB/zJao="/>
        <s v="FxnFwmpyvP+db0krjzioTg=="/>
        <s v="ychWPmA2UGwlbSaJQh+0Lg=="/>
        <s v="vHQbBVqhUJEht/Yyd/xF9g=="/>
        <s v="RlSwUIOltWWaIX7CGrlebw=="/>
        <s v="UweGSSj80wrn8SCVGjHh7Q=="/>
        <s v="pZQACNtHeVmhq01R6xwBow=="/>
        <s v="K05gZIk4aTMgP/azVQFPAw=="/>
        <s v="XI/6xAYFfu6oa2kFV4XcLw=="/>
        <s v="anxgRDXhmFY="/>
        <s v="6btQaebMP6U="/>
        <s v="2MkZYzyXC6DpmKOA61EzPg=="/>
        <s v="Kd2z72AcuYg="/>
        <s v="08GXzZq1XNQXf0DQSJlljA=="/>
        <s v="JOGhaWNhj+xBgMqwBsf67A=="/>
        <s v="7bfy/+wzV6n1Sb4Lwhq/8A=="/>
        <s v="L9DlaLOavLGhsKK1DHEa4w=="/>
        <s v="U6MK4gBVG0I="/>
        <s v="YkkekejnmQc="/>
        <s v="FbNgQXCpw0LyAApjzuAihA=="/>
        <s v="2MB95Jy7Z9k="/>
        <s v="0H0HA0rYSAIcy22ochBdxA=="/>
        <s v="cxVOcdoYjdQ="/>
        <s v="978GO2Pd6lI/p23vQD/pMA=="/>
        <s v="HTry9uBVL1s="/>
        <s v="cf3bTuYVRAo="/>
        <s v="MxwOgE/IccDGDKyjPV8exg=="/>
        <s v="Po5reqHlxGBMWUNHSvQ7aw=="/>
        <s v="sSZKQYGDDj0AOCAIS6hWsg=="/>
        <s v="99oZyG1gZLYIFguwfesC7w=="/>
        <s v="of6kN3xA71O6GJv/f3GWPg=="/>
        <s v="rJd03aBJmQI="/>
        <s v="0JMwLHYVrmKomgt+9+zj1Q=="/>
        <s v="SpK+a+e42zubO3r4JL860w=="/>
        <s v="Noog2O5MoBPsaVpH4Yn+YA=="/>
        <s v="0Et6QQXrExGIMhPzR7Wu3g=="/>
        <s v="fk2MRzt5tkJYliM+/vTHzQ=="/>
        <s v="W2eoJNLWSzexsOVjtvilBQ=="/>
        <s v="Rljd6tiZ7sGSMEXlCDnbaA=="/>
        <s v="h9wUvwXuF9buXInOVAfjbQ=="/>
        <s v="5qlhkujrce6e8AmwPQUr8w=="/>
        <s v="hopn5g5lk0n5jDTiLMgQSQ=="/>
        <s v="nHAWd9jDfDunJwdbmjK57w=="/>
        <s v="Z7RimK9Rcxg="/>
        <s v="wiswxyEzUDgvM6N/s8j75A=="/>
        <s v="J7G5IoBacnemBn6yW9ANgw=="/>
        <s v="DWdk1ICXrn0kWfQJihfrTA=="/>
        <s v="gE9QAHIpGxC2dnE4+BSteA=="/>
        <s v="G0IU406iE7O0fn++3mfWIQ=="/>
        <s v="PUER8MPL4MdriYZManZmwQ=="/>
        <s v="OKg1RzNBnvfNIjW+hEq/bQ=="/>
        <s v="J71kfnD1Yu+Vn2XqujjUVA=="/>
        <s v="dcMuA2tyQV8="/>
        <s v="2IPxkGUAjR4/6l/3CqG5FQ=="/>
        <s v="trFLYH6ZOYGMWX2SMpoYCA=="/>
        <s v="w/bb55iI8uzxI4IoGizY3w=="/>
        <s v="MoU1SHLRDIDdXzcxeIqaTg=="/>
        <s v="wKUt/jVivDMWNiKqu5hqeQ=="/>
        <s v="FUPu1wQ8SMrP6UStje8HUw=="/>
        <s v="RJ8/stZ7LMrlFx278WYRdg=="/>
        <s v="+EY8EecnmfQ+TepUcIj3/A=="/>
        <s v="ZxNbljTwIU5ixggFJv3UBg=="/>
        <s v="QsGyyk6TNSN09nt4XQf5QA=="/>
        <s v="Zpx4M8bTY5oLUtXiwI+0Dg=="/>
        <s v="q2zjeZe9R6UF5ttjIkkNWg=="/>
        <s v="rHos4hiwSP9HwFZJsBz0Jw=="/>
        <s v="5j1gmAEQPBOJjbSUdJuauA=="/>
        <s v="fbwgMVuXI7Y2EWz6FfSq7Q=="/>
        <s v="bsRXnPFNTRNO9dRjPqM/+w=="/>
        <s v="hZKtGSFq7781VZ01Dli83Q=="/>
        <s v="MvrTchO155A="/>
        <s v="1svdPgHaO5v+n0zi/+PDow=="/>
        <s v="/mLraLNoT6cVwBuNUL5OhA=="/>
        <s v="gBJQrT6+9kkXl5fVyJen6A=="/>
        <s v="h9WgGVWPkzaiv382fXHmgg=="/>
        <s v="YqIqTga+lmn3iLvoN0+4aQ=="/>
        <s v="J+O+sJ5DtAN8lx0tztZ0Pg=="/>
        <s v="UXUR1kFXVI5DBT0LRvixog=="/>
        <s v="YspgC61SdI1iYRCA8fXD+A=="/>
        <s v="ysRIFvnCr7f1Wz92tdaaPw=="/>
        <s v="Z7LNbthakNk="/>
        <s v="nYwABNIViNI9sxl4w7qYLg=="/>
        <s v="QZZuu8xpmjg="/>
        <s v="Hgs1SHWP8vVgHjC2NicmgQ=="/>
        <s v="3DhJWFfoC5Fr3CN263XlYQ=="/>
        <s v="g5uGTdH7+ActAZDTqIdEmA=="/>
        <s v="WvZqlZ1iF3w="/>
        <s v="PkIixi8N7+f94mxtR3IXcg=="/>
        <s v="JNRKv8qZNaSH2DBkv5oJTQ=="/>
        <s v="IJB7TX9JCR1gv6J8nyRspA=="/>
        <s v="lqhKz7+9n0DZFE3K8U+6rQ=="/>
        <s v="JFO+dZ+A9NU="/>
        <s v="Tb1ivyruZwJltL0PdcB2Vw=="/>
        <s v="7c0r5u12a0m2S3+y08yV9Q=="/>
        <s v="ifhtxVFSsslDSWtM81yBUg=="/>
        <s v="ITOCzDLJ0llclWocCmcO6A=="/>
        <s v="W6rBXG/hlpjNZ3ADhAglzg=="/>
        <s v="RPvDcxrOI1AbYMm4CwGEyg=="/>
        <s v="kf418m9OmKxrS5fxRjmBTg=="/>
        <s v="MTBaNGpLsFWJDNUfTigqCQ=="/>
        <s v="AObSN5IWCgm3/Ocf88kNKQ=="/>
        <s v="6v47+citLS5EsaJkYbr3SA=="/>
        <s v="KbLrs8w/nD7aturIc9bMzA=="/>
        <s v="IHvSUjoPWi6OV6W+eIkiHg=="/>
        <s v="Gkr0QNN7k40="/>
        <s v="fznpisefuutYjESrP5LtkQ=="/>
        <s v="3z5ACaQIKiJfIdCAczLMxA=="/>
        <s v="ZHt7z+QSdEuxJLkGlAhu6w=="/>
        <s v="CphB6Ju+YSw="/>
        <s v="q0nUqy3fY9ONbs7yp6Ah5w=="/>
        <s v="ilXehxKDClWB60RFQXipmQ=="/>
        <s v="1GxzbByg6dc="/>
        <s v="G4cL6948WtKfxiGhWb4sCw=="/>
        <s v="Uga2fhnPhz8AP9mxPNw1vA=="/>
        <s v="4Vqa6hrrYx7FJow+2lndTg=="/>
        <s v="B6zzgB8uFJH1ZaqayVcR3A=="/>
        <s v="27w27An7O1Y="/>
        <s v="DovXstiTXnvRCISQtAmRYw=="/>
        <s v="ZrZvUWAyO1jg+0F3NHjuTg=="/>
        <s v="czmMw1NLQfgoMpCvocxmDg=="/>
        <s v="hYWOPC3swsPql51wFhaJhA=="/>
        <s v="ucKjLhbBrW4x/WPyYEgHXQ=="/>
        <s v="w0i3iv+BY9c="/>
        <s v="fbY0SYQZhhk="/>
        <s v="vdAnIA4VvZE="/>
        <s v="n3GYPCJxY/IJGIGbYIvj/w=="/>
        <s v="rwAM3OWzHeE="/>
        <s v="WcR2h43MeV7ovC6fIaZgIQ=="/>
        <s v="NPtz8sjBG4sFsyyC1pNK/w=="/>
        <s v="l0rjLJiNX/eE9p3hO+duvQ=="/>
        <s v="SzQFEgfLOjAL+DSJYBllpg=="/>
        <s v="HOXCkwck/0QmgRW+H6TPVQ=="/>
        <s v="svffOsZ2D/ZQiNjM5QCfMg=="/>
        <s v="hnF/+1Q0a2IF577m3cgi0w=="/>
        <s v="TdSMrElr6Mg="/>
        <s v="N2lqFxnyJcCvtLDVZyFZmA=="/>
        <s v="VgGn4Ip9bfhb40pQcF1Kig=="/>
        <s v="h6lyioHA06xDwo7YuFIxSg=="/>
        <s v="THG60ardWMeSnW6l5I4bfQ=="/>
        <s v="eD0V96GlyqU="/>
        <s v="abTDmg2LlIU="/>
        <s v="u3JlsuOPJ/55AZMQUSaCug=="/>
        <s v="Tmq8Bu5IvcE="/>
        <s v="mtRaNZ/kWDLoWcjxfT6W2A=="/>
        <s v="3tzeg3qsbVvNPnIeN7IKvA=="/>
        <s v="IYGlCnXXezbsqpbuhPTXvw=="/>
        <s v="y6Ip+2T856/Mz4EDhoFLuw=="/>
        <s v="jN4A+1OZNqslRmDiksC0Yg=="/>
        <s v="U0mfEAYGEFyi3WP9FYGLZQ=="/>
        <s v="hzeH4U7HlW9ElH2PXA/00Q=="/>
        <s v="28CbJ1D9bg9PlaFlda5oog=="/>
        <s v="hBRuIYGxuXJ+I94der4upw=="/>
        <s v="pFiNsN2VNu0Gx5m8HI5tOGjybxu0sAOK"/>
        <s v="hYVozzTgp7o3isaZdrKmyA=="/>
        <s v="godd0M0wD9jTZl1yltB2QQ=="/>
        <s v="LcDKNVGv9JMG8Hv9ZWfj6g=="/>
        <s v="dkWh/OLqIQRmEJiZaEkbwQ=="/>
        <s v="PpMoFmNT+eI="/>
        <s v="sruUwcpH7holmRJh9dAPyQ=="/>
        <s v="NjmtVAT3kqg="/>
        <s v="FZaUQstXlPkeypNZxy9o6A=="/>
        <s v="EVHHdcwVFuUUNj5OM/yt7g=="/>
        <s v="wtAx1IOf1ls="/>
        <s v="/jt1JJ0cZTNIPpXndB2L3Q=="/>
        <s v="+FohB38kFQZ1e0icYHFWBg=="/>
        <s v="VQbuicM3Mx3AC+gCXKjvXg=="/>
        <s v="PU6Tv/2rX0NDnWv1BvX2Et5owUo8jsWilMwjFyZWBiM="/>
        <s v="z7RSzBnQc+eg58DPyshPJg=="/>
        <s v="M9SjQ8vBuJw="/>
        <s v="YpZM+1QXI3E="/>
        <s v="D8elZ0MMCXogpg/2KWJgHA=="/>
        <s v="qL7s+ryHFaRV/JEt7ViDvA=="/>
        <s v="nHY8Y/n3RTN97Blqe+NHtA=="/>
        <s v="JAPNgu3iZbizzZOjcsiEmQ=="/>
        <s v="LiJEKPMAiNB4+6aYfKdSjQ=="/>
        <s v="/Ujw8AaEsAXyMQDVyDnvUQ=="/>
        <s v="+68NII1RrOhDEowaCP3Q1w=="/>
        <s v="nXZdNMu2ZjjNl6K7o7MnKw=="/>
        <s v="1NiKJZ0VzTk="/>
        <s v="ThIukixUjdw="/>
        <s v="bniaL98zvE4PKvvPbJQ+PA=="/>
        <s v="WGe38t1dM/9YceQ13f1ZCw=="/>
        <s v="/WVHzEZ329sEGrVR+4q8XA=="/>
        <s v="lylOHyrlnGIlo3cm2bOEAQ=="/>
        <s v="LEBFoLpeRGA48kC85hhhyQ=="/>
        <s v="DawnO1"/>
        <s v="9auRax6J4ck="/>
        <s v="OwCpxjLluVNDBJNDXnTmcQ=="/>
        <s v="Gt7K0mP1hNc="/>
        <s v="pgD/HZIhdvrWEKs7CsGQQQ=="/>
        <s v="u13K4fOwwVo7QTh6hFMAVw=="/>
        <s v="wrQY9JhvDntNJv77gsJYsg=="/>
        <s v="BHtBu0bEwhbWZhA3CjU9qg=="/>
        <s v="YQtJi298ex2alNuS4l9Qiw=="/>
        <s v="NLdURqlzHM26KXpIWU8LHg=="/>
        <s v="66s2F1O+0HrXzt9MIR/fUQ=="/>
        <s v="ugO6AsV7qQY="/>
        <s v="SnKbTG5y0R4="/>
      </sharedItems>
    </cacheField>
    <cacheField name="Library" numFmtId="0">
      <sharedItems count="17">
        <s v="University at Buffalo"/>
        <s v="College at Brockport"/>
        <s v="Hilbert College"/>
        <s v="SUNY Canton"/>
        <s v="Monroe 2-Orleans BOCES"/>
        <s v="Erie Community College"/>
        <s v="St. John Fisher College"/>
        <s v="SUNY Oneonta"/>
        <s v="Niagara County Community College"/>
        <s v="Trocaire College"/>
        <s v="Daemen College"/>
        <s v="SUNY Cobleskill"/>
        <s v="SUNY Potsdam"/>
        <s v="Buffalo State College"/>
        <s v="Houghton College"/>
        <s v="Morrisville State College"/>
        <s v="Monroe Community  College"/>
      </sharedItems>
    </cacheField>
    <cacheField name="Site ID" numFmtId="0">
      <sharedItems/>
    </cacheField>
    <cacheField name="Title" numFmtId="0">
      <sharedItems count="1809">
        <s v="English Phonetics and Phonology : An Introduction"/>
        <s v="Launching and Leading Change Initiatives in Health Care Organizations : Managing Successful Projects"/>
        <s v="Ecological Approaches to Early Modern English Texts : A Field Guide to Reading and Teaching"/>
        <s v="APA Style Simplified : Writing in Psychology, Education, Nursing, and Sociology"/>
        <s v="Pattern Classification"/>
        <s v="Administrator's Guide to School-Community Relations, The"/>
        <s v="LSAT For Dummies"/>
        <s v="Immigrant America : A Portrait"/>
        <s v="Selecting the Right Analyses for Your Data : Quantitative, Qualitative, and Mixed Methods"/>
        <s v="Lean Auditing : Driving Added Value and Efficiency in Internal Audit"/>
        <s v="The Handbook of Technical Analysis + Test Bank : The Practitioner's Comprehensive Guide to Technical Analysis"/>
        <s v="Meggs' History of Graphic Design"/>
        <s v="Forensic Ballistics in Court : Interpretation and Presentation of Firearms Evidence"/>
        <s v="Countdown to the Principalship : How Successful Principals Begin Their School Year"/>
        <s v="Digital Signal Processing Using the ARM Cortex M4"/>
        <s v="Geisha of a Different Kind : Race and Sexuality in Gaysian America"/>
        <s v="Hayao Miyazaki : Japan's Premier Anime Storyteller"/>
        <s v="Fundamentals of Physics Extended"/>
        <s v="Age in America : The Colonial Era to the Present"/>
        <s v="A History of Germany 1918-2014 : The Divided Nation"/>
        <s v="Essentials of Organic Chemistry : For Students of Pharmacy, Medicinal Chemistry and Biological Chemistry"/>
        <s v="Animal Machines"/>
        <s v="Exploring BeagleBone : Tools and Techniques for Building with Embedded Linux"/>
        <s v="Site Analysis : Informing Context-Sensitive and Sustainable Site Planning and Design"/>
        <s v="The Creative Edge : 17 Biographies of Cultural Icons"/>
        <s v="Rediscovering Interlanguage"/>
        <s v="Positive Psychology in Practice : Promoting Human Flourishing in Work, Health, Education, and Everyday Life"/>
        <s v="GRE For Dummies : with Online Practice Tests"/>
        <s v="GRE For Dummies"/>
        <s v="Introducing Physical Geography"/>
        <s v="AutoCAD 2015 and AutoCAD LT 2015 : No Experience Required:Autodesk Official Press"/>
        <s v="DSM-5® Made Easy : The Clinician's Guide to Diagnosis"/>
        <s v="Reliability, Maintainability, and Supportability : Best Practices for Systems Engineers"/>
        <s v="Second Language Acquisition : An Introductory Course"/>
        <s v="Skeletal Trauma Analysis : Case Studies in Context"/>
        <s v="Cold Intimacies : The Making of Emotional Capitalism"/>
        <s v="CISSP (ISC)2 Certified Information Systems Security Professional Official Study Guide"/>
        <s v="Unity 4 Fundamentals : Get Started at Making Games with Unity"/>
        <s v="Brown Boys and Rice Queens : Spellbinding Performance in the Asias"/>
        <s v="Russia, America and the Cold War : 1949-1991 (Revised 2nd Edition)"/>
        <s v="Applied Bayesian Modelling"/>
        <s v="Bayesian Statistics : An Introduction"/>
        <s v="Handbook of Health Psychology and Behavioral Medicine"/>
        <s v="Innovations of Antiquity"/>
        <s v="Heating, Cooling, Lighting : Sustainable Design Methods for Architects"/>
        <s v="Yoga For Dummies"/>
        <s v="Addiction Treatment Planner : Includes DSM-5 Updates"/>
        <s v="Soil Science Simplified"/>
        <s v="Negotiating Corruption : NGOs, Governance and Hybridity in West Africa"/>
        <s v="The Syntax of Possession in Japanese"/>
        <s v="Fundamental Aspects of Operational Risk and Insurance Analytics : A Handbook of Operational Risk"/>
        <s v="The Wiley Handbook of Contextual Behavioral Science"/>
        <s v="Test Validity"/>
        <s v="Fundamentals of Amorphous Solids : Structure and Properties"/>
        <s v="Learning Personalized : The Evolution of the Contemporary Classroom"/>
        <s v="Disability Rights and Wrongs Revisited"/>
        <s v="A Primer of GIS, Second Edition : Fundamental Geographic and Cartographic Concepts"/>
        <s v="Counseling Addicted Families : An Integrated Assessment and Treatment Model"/>
        <s v="Republic : The Influential Classic"/>
        <s v="Treatment of Complex Trauma : A Sequenced, Relationship-Based Approach"/>
        <s v="Introduction to Computation and Modeling for Differential Equations"/>
        <s v="Handbook of Military Social Work"/>
        <s v="Scientific and Pastoral Perspectives on Intercessory Prayer : An Exchange Between Larry Dossey, MD, and Health Care Chaplains"/>
        <s v="Handbook of Practical Program Evaluation"/>
        <s v="Introductory Phonology"/>
        <s v="Real Estate License Exams For Dummies"/>
        <s v="NMR Spectroscopy : Basic Principles, Concepts and Applications in Chemistry"/>
        <s v="One-Dimensional Man : Studies in the Ideology of Advanced Industrial Society"/>
        <s v="MATLAB For Dummies"/>
        <s v="Fourier Transforms : Principles and Applications"/>
        <s v="Wiley CPA Examination Review 2013-2014, Problems and Solutions"/>
        <s v="Music Production: Recording"/>
        <s v="Food and Society : Principles and Paradoxes"/>
        <s v="Electron Flow in Organic Chemistry : A Decision-Based Guide to Organic Mechanisms"/>
        <s v="The 1970s : A New Global History from Civil Rights to Economic Inequality"/>
        <s v="Wiley CPAexcel Exam Review 2015 Study Guide July : Auditing and Attestation"/>
        <s v="A Taste for Brown Bodies : Gay Modernity and Cosmopolitan Desire"/>
        <s v="The Mindful Way through Stress : The Proven 8-Week Path to Health, Happiness, and Well-Being"/>
        <s v="Rise and Fall of American Art, 1940sâ€“1980s : A Geopolitics of Western Art Worlds"/>
        <s v="ABC of Anxiety and Depression"/>
        <s v="Day Trading For Dummies"/>
        <s v="Wandering Mind : What the Brain Does When You're Not Looking"/>
        <s v="Gamification of Learning and Instruction : Game-based Methods and Strategies for Training and Education"/>
        <s v="Child Development, Third Edition : A Practitioner's Guide"/>
        <s v="Consciousness : An Introduction"/>
        <s v="Profiting from Weekly Options : How to Earn Consistent Income Trading Weekly Option Serials"/>
        <s v="Readings in Planning Theory"/>
        <s v="Drunken Monkey : Why We Drink and Abuse Alcohol"/>
        <s v="Making and Managing Public Policy"/>
        <s v="Growing Older : Perspectives on LGBT Aging"/>
        <s v="QuickBooks 2013 For Dummies"/>
        <s v="Photoshop CC Digital Classroom"/>
        <s v="ADA Practical Guide to Patients with Medical Conditions"/>
        <s v="Henry Wallace's 1948 Presidential Campaign and the Future of Postwar Liberalism"/>
        <s v="Evidence-Based Neurology : Management of Neurological Disorders"/>
        <s v="Introduction to Sociological Theory : Theorists, Concepts, and their Applicability to the Twenty-First Century"/>
        <s v="Adorno and the Ends of Philosophy"/>
        <s v="A Companion to American Gothic"/>
        <s v="Psychoanalytic Diagnosis, Second Edition : Understanding Personality Structure in the Clinical Process"/>
        <s v="Lions in the Balance : Man-Eaters, Manes, and Men with Guns"/>
        <s v="Big Bang Theory and Philosophy : Rock, Paper, Scissors, Aristotle, Locke"/>
        <s v="Film Analysis : A Casebook"/>
        <s v="Bellies and Babies : The Business of Maternity and Newborn Photography"/>
        <s v="Urban Planning For Dummies"/>
        <s v="Modern Art : A Critical Introduction"/>
        <s v="Nanomaterials for Environmental Protection"/>
        <s v="Theory for Art History : Adapted from Theory for Religious Studies, by William E. Deal and Timothy K. Beal"/>
        <s v="DSM-5® Diagnosis in the Schools"/>
        <s v="College Counseling for Admissions Professionals : Improving Access and Retention"/>
        <s v="Colonizer and the Colonized"/>
        <s v="Wiley-Blackwell Companion to Economic Geography"/>
        <s v="Architectural Research Methods"/>
        <s v="How Fashion Works : Couture, Ready-to-Wear and Mass Production"/>
        <s v="The Turn to Ethics"/>
        <s v="Signatures of the Visible"/>
        <s v="Barrio Rising : Urban Popular Politics and the Making of Modern Venezuela"/>
        <s v="Feminists Theorize the Political"/>
        <s v="The Complete Family Guide to Schizophrenia : Helping Your Loved One Get the Most Out of Life"/>
        <s v="Minecraft Recipes For Dummies"/>
        <s v="The Liberation of Painting : Modernism and Anarchism in Avant-Guerre Paris"/>
        <s v="Wiley CPA Exam Review 2013, Auditing and Attestation"/>
        <s v="Designing and Conducting Survey Research : A Comprehensive Guide"/>
        <s v="Child Psychopathology, Third Edition"/>
        <s v="Puppies For Dummies"/>
        <s v="Assessment of Childhood Disorders, Fourth Edition"/>
        <s v="Business Ethics"/>
        <s v="Reinforced Concrete Beams, Columns and Frames : Mechanics and Design"/>
        <s v="ASVAB For Dummies, Premier Plus (with Free Online Practice Tests)"/>
        <s v="Dentist's Quick Guide to Medical Conditions"/>
        <s v="Structural Concrete : Theory and Design"/>
        <s v="Fundamentals of Building Construction : Materials and Methods"/>
        <s v="Courtroom as a Space of Resistance : Reflections on the Legacy of the Rivonia Trial"/>
        <s v="Principles of Object-Oriented Modeling and Simulation with Modelica 3.3 : A Cyber-Physical Approach"/>
        <s v="Traumatic Brain Injury"/>
        <s v="Mechanical and Electrical Equipment for Buildings"/>
        <s v="Early Intervention for Reading Difficulties : The Interactive Strategies Approach"/>
        <s v="Social Neuroscience : Key Readings"/>
        <s v="Excommunication : Three Inquiries in Media and Mediation"/>
        <s v="Introduction to Quantum Mechanics"/>
        <s v="Professional AngularJS"/>
        <s v="The Universe in Zero Words : The Story of Mathematics as Told through Equations"/>
        <s v="Hammer and Hoe : Alabama Communists during the Great Depression"/>
        <s v="Typological Studies : Word Order and Relative Clauses"/>
        <s v="Blended : Using Disruptive Innovation to Improve Schools"/>
        <s v="Play Therapy : A Comprehensive Guide to Theory and Practice"/>
        <s v="Short-Selling with the O'Neil Disciples : Turn to the Dark Side of Trading"/>
        <s v="How to Beat the Market Makers at Their Own Game : Uncovering the Mysteries of Day Trading"/>
        <s v="New Trading for a Living : Psychology, Discipline, Trading Tools and Systems, Risk Control, Trade Management"/>
        <s v="Physiologically-Based Pharmacokinetic (PBPK) Modeling and Simulations : Principles, Methods, and Applications in the Pharmaceutical Industry"/>
        <s v="Early Cinema in Russia and its Cultural Reception"/>
        <s v="The Iliad : A New Translation by Peter Green"/>
        <s v="Counseling the Culturally Diverse : Theory and Practice"/>
        <s v="Mindfulness and Acceptance : Expanding the Cognitive-Behavioral Tradition"/>
        <s v="Keywords for Asian American Studies"/>
        <s v="SAT For Dummies"/>
        <s v="The Sexuality of History : Modernity and the Sapphic, 1565-1830"/>
        <s v="Kripke"/>
        <s v="Data Analysis for Continuous School Improvement"/>
        <s v="Multivariate Density Estimation : Theory, Practice, and Visualization"/>
        <s v="Machine Learning in Python : Essential Techniques for Predictive Analysis"/>
        <s v="American English : Dialects and Variation"/>
        <s v="Universal Design : Creating Inclusive Environments"/>
        <s v="Loss Models : From Data to Decisions"/>
        <s v="Fundamentals of Actuarial Mathematics"/>
        <s v="Statistics : 1,001 Practice Problems For Dummies (+ Free Online Practice)"/>
        <s v="Developing Analytic Talent : Becoming a Data Scientist"/>
        <s v="Contemporary Debates in Applied Ethics"/>
        <s v="Cyber Security Management : A Governance, Risk and Compliance Framework"/>
        <s v="Nationalism"/>
        <s v="Voice-Over for Animation"/>
        <s v="Smashing WordPress : Beyond the Blog"/>
        <s v="The Transgender Studies Reader"/>
        <s v="Helping Children Cope With Grief"/>
        <s v="Bereavement : Studies of Grief in Adult Life, Fourth Edition"/>
        <s v="Professional WordPress : Design and Development"/>
        <s v="ESL / ELL Teacher's Survival Guide : Ready-to-Use Strategies, Tools, and Activities for Teaching English Language Learners of All Levels"/>
        <s v="Religion and Legal Pluralism"/>
        <s v="Religion, Politics and Law in the European Union"/>
        <s v="Making Cognitive-Behavioral Therapy Work, Second Edition : Clinical Process for New Practitioners"/>
        <s v="Human Bonding : The Science of Affectional Ties"/>
        <s v="Integrative CBT for Anxiety Disorders : An Evidence-Based Approach to Enhancing Cognitive Behavioural Therapy with Mindfulness and Hypnotherapy"/>
        <s v="Getting a Big Data Job For Dummies"/>
        <s v="Mentors and Mentoring : A Special Issue of the peabody Journal of Education"/>
        <s v="Animal Abuse : Helping Animals and People"/>
        <s v="It's Not Like I'm Poor : How Working Families Make Ends Meet in a Post-Welfare World"/>
        <s v="Emotional Intelligence in Action : Training and Coaching Activities for Leaders, Managers, and Teams"/>
        <s v="Wiley CPAexcel Exam Review 2016 Study Guide January : Auditing and Attestation"/>
        <s v="Wiley CPAexcel Exam Review January 2016 Course Outline : Auditing and Attestation"/>
        <s v="Wiley CPAexcel Exam Review 2016 Focus Notes : Auditing and Attestation"/>
        <s v="Wiley CPAexcel Exam Review 2014 Study Guide, Auditing and Attestation"/>
        <s v="Policing Twentieth Century Ireland : A History of An Garda Síochána"/>
        <s v="R Data Analysis without Programming"/>
        <s v="Applying Emotional Intelligence : A Practitioner's Guide"/>
        <s v="First Person Accounts of Mental Illness and Recovery"/>
        <s v="Living Out Islam : Voices of Gay, Lesbian, and Transgender Muslims"/>
        <s v="Post-Holocaust France and the Jews, 1945-1955"/>
        <s v="French Historical Revolution : The Annales School 1929 - 2014"/>
        <s v="Creative Economies, Creative Communities : Rethinking Place, Policy and Practice"/>
        <s v="Hidden History of Film Style : Cinematographers, Directors, and the Collaborative Process"/>
        <s v="Mentoring and Coaching Tips : How Educators Can Help Each Other"/>
        <s v="Video Production Handbook"/>
        <s v="Aircraft Control and Simulation : Dynamics, Controls Design, and Autonomous Systems"/>
        <s v="CBT For Anxiety Disorders : A Practitioner Book"/>
        <s v="Forensic Psychologists Casebook : Psychological profiling and criminal investigation"/>
        <s v="Message Not Received : Why Business Communication Is Broken and How to Fix It"/>
        <s v="Dude, You're a Fag : Masculinity and Sexuality in High School"/>
        <s v="Secret Agents : The Rosenberg Case, McCarthyism and Fifties America"/>
        <s v="Of Bread, Blood and The Hunger Games : Critical Essays on the Suzanne Collins Trilogy"/>
        <s v="Molecular Catalysts : Structure and Functional Design"/>
        <s v="Queering Teen Culture : All-American Boys and Same-Sex Desire in Film and Television"/>
        <s v="Metatheory for the Twenty-First Century : Critical Realism and Integral Theory in Dialogue"/>
        <s v="Vaccinology : An Essential Guide"/>
        <s v="Motivating Substance Abusers to Enter Treatment : Working with Family Members"/>
        <s v="Rescued from the Nation : Anagarika Dharmapala and the Buddhist World"/>
        <s v="Source : Music of the Avant-garde, 1966–1973"/>
        <s v="Organic Mechanisms : Reactions, Methodology, and Biological Applications"/>
        <s v="Reactions and Syntheses : In the Organic Chemistry Laboratory"/>
        <s v="Cut Adrift : Families in Insecure Times"/>
        <s v="Body Language : It's What You Don't Say That Matters"/>
        <s v="Complete Guide to Strength Training"/>
        <s v="Approaching the Hunger Games Trilogy : A Literary and Cultural Analysis"/>
        <s v="Statistics I &amp; II For Dummies 2 eBook Bundle : Statistics For Dummies &amp; Statistics II For Dummies"/>
        <s v="Treating Complex Traumatic Stress Disorders in Children and Adolescents : Scientific Foundations and Therapeutic Models"/>
        <s v="DBT® Skills Manual for Adolescents"/>
        <s v="Biology Essentials For Dummies"/>
        <s v="Introduction to Probability and Statistics"/>
        <s v="Why Washington Won't Work : Polarization, Political Trust, and the Governing Crisis"/>
        <s v="Life of William Shakespeare : A Critical Biography"/>
        <s v="Sophocles' 'Oedipus the King' : A Reader's Guide"/>
        <s v="Discover Your True North"/>
        <s v="Grief : Difficult Times, Simple Steps"/>
        <s v="Advertising to Children : New Directions, New Media"/>
        <s v="Cyberbullying : Bullying in the Digital Age"/>
        <s v="Celtic Myth and Religion : A Study of Traditional Belief, with Newly Translated Prayers, Poems and Songs"/>
        <s v="The Mestizo Mind : The Intellectual Dynamics of Colonization and Globalization"/>
        <s v="Financial Accounting  (RLE Accounting) : An Introduction"/>
        <s v="Buddhist Psychology and Cognitive-Behavioral Therapy : A Clinician's Guide"/>
        <s v="Applied Meta-Analysis for Social Science Research"/>
        <s v="Piano and Keyboard All-in-One For Dummies"/>
        <s v="Crescent City Girls : The Lives of Young Black Women in Segregated New Orleans"/>
        <s v="Introduction to Cosmology"/>
        <s v="An Introduction to Modern Cosmology"/>
        <s v="Performing Afro-Cuba : Image, Voice, Spectacle in the Making of Race and History"/>
        <s v="The Korean War"/>
        <s v="Cognitive Behavior Therapy : Core Principles for Practice"/>
        <s v="Appraising Personality : The Use of Psychological Tests in the Practice of Medicine"/>
        <s v="The Secular Commedia : Comic Mimesis in Late Eighteenth-Century Music"/>
        <s v="Penny Stocks For Dummies"/>
        <s v="Cisco Networking Essentials"/>
        <s v="162 Keys to School Success : Be the Best, Hire the Best, Train, Inspire and Retain the Best"/>
        <s v="Java : Der Sprachkurs für Einsteiger und Individualisten"/>
        <s v="Migration Across Boundaries : Linking Research to Practice and Experience"/>
        <s v="Immunology : A Short Course"/>
        <s v="A Practical Introduction to Computer Vision with OpenCV"/>
        <s v="Time Series Analysis : Forecasting and Control"/>
        <s v="How To Pass The CPA Exam : The IPassTheCPAExam.com Guide for International Candidates"/>
        <s v="The Encyclopedia of the Novel"/>
        <s v="Escape to Prison : Penal Tourism and the Pull of Punishment"/>
        <s v="Gender Communication Handbook : Conquering Conversational Collisions between Men and Women"/>
        <s v="What Makes Life Worth Living : On Pharmacology"/>
        <s v="Drama Trauma : Specters of Race and Sexuality in Performance, Video and Art"/>
        <s v="Internet Addiction and Online Gaming"/>
        <s v="Yoga All-In-One For Dummies"/>
        <s v="Military Flight Aptitude Tests For Dummies"/>
        <s v="Scientific Bases of Human Anatomy"/>
        <s v="Social Media Marketing All-in-One For Dummies"/>
        <s v="Lighting Up : The Rise of Social Smoking on College Campuses"/>
        <s v="The Study of Music Therapy: Current Issues and Concepts"/>
        <s v="James J. Kilpatrick : Salesman for Segregation"/>
        <s v="Situating the Self : Gender, Community and Postmodernism in Contemporary Ethics"/>
        <s v="Student Loan Mess : How Good Intentions Created a Trillion-Dollar Problem"/>
        <s v="Transforming Youth Serving Organizations to Support Healthy Youth Development : New Directions for Youth Development, Number 139"/>
        <s v="Revoking Citizenship : Expatriation in America from the Colonial Era to the War on Terror"/>
        <s v="Secure the Soul : Christian Piety and Gang Prevention in Guatemala"/>
        <s v="Traumatic Stress : The Effects of Overwhelming Experience on Mind, Body, and Society"/>
        <s v="Starting a Business All-In-One For Dummies"/>
        <s v="Children’s Food Practices in Families and Institutions"/>
        <s v="Gender"/>
        <s v="Gender : In World Perspective"/>
        <s v="Stuff"/>
        <s v="History of Roman Art"/>
        <s v="A Companion to Roman Art"/>
        <s v="Esophageal Cancer and Barrett's Esophagus"/>
        <s v="Handbook of Socialization, Second Edition : Theory and Research"/>
        <s v="Renaissance in the Classroom : Arts Integration and Meaningful Learning"/>
        <s v="Developing Reading Comprehension : Effective Instruction for All Students in PreK-2"/>
        <s v="Reading Instruction That Works, Fourth Edition : The Case for Balanced Teaching"/>
        <s v="Graphic Design as Communication"/>
        <s v="Small Animal Anesthesia Techniques"/>
        <s v="101 Ready-to-Use Excel Formulas"/>
        <s v="Handbook of Research Methods for Studying Daily Life"/>
        <s v="Creating Robust Vocabulary : Frequently Asked Questions and Extended Examples"/>
        <s v="Teaching the Common Core Math Standards with Hands-On Activities, Grades 3-5"/>
        <s v="Beginning Programming with Python For Dummies"/>
        <s v="Math In Plain English : Literacy Strategies for the Mathematics Classroom"/>
        <s v="Java Programming 24-Hour Trainer"/>
        <s v="The Advertising Handbook"/>
        <s v="Emergency Triage : Telephone Triage and Advice"/>
        <s v="Guide to the LEED Green Associate V4 Exam"/>
        <s v="The Discourse of Slavery : From Aphra Behn to Toni Morrison"/>
        <s v="Treatment of Substance Use Disorders"/>
        <s v="Female Rebellion in Young Adult Dystopian Fiction"/>
        <s v="Perfect Meal : The Multisensory Science of Food and Dining"/>
        <s v="Rhetoric, Cultural Studies, and Literacy : Selected Papers From the 1994 Conference of the Rhetoric Society of America"/>
        <s v="A Theory of Contemporary Rhetoric"/>
        <s v="Introducción a la sociolingüística hispánica"/>
        <s v="The Hidden Holocaust? : Gay and Lesbian Persecution in Germany 1933-45"/>
        <s v="Food in the USA : A Reader"/>
        <s v="Healthy Eating and Physical Activity in Out-of-School Time Settings : New Directions for Youth Development, Number 143"/>
        <s v="Insect Histology : Practical Laboratory Techniques"/>
        <s v="Meta-Analysis : A Structural Equation Modeling Approach"/>
        <s v="Macs All-in-One For Dummies"/>
        <s v="Paying with Their Bodies : American War and the Problem of the Disabled Veteran"/>
        <s v="1,001 ASVAB Practice Questions For Dummies (+ Free Online Practice)"/>
        <s v="Disability Incarcerated : Imprisonment and Disability in the United States and Canada"/>
        <s v="Literary Studies : A Practical Guide"/>
        <s v="ASVAB For Dummies Premier PLUS"/>
        <s v="Video Art Theory : A Comparative Approach"/>
        <s v="2015 / 2016 ASVAB For Dummies"/>
        <s v="Teaching English Literature 16–19 : An essential guide"/>
        <s v="2015 / 2016 ASVAB For Dummies with Online Practice"/>
        <s v="New and Old Wars : Organised Violence in a Global Era"/>
        <s v="Housing and Mortgage Markets in Historical Perspective"/>
        <s v="Common Stocks and Uncommon Profits and Other Writings"/>
        <s v="Mastering Autodesk Inventor 2015 and Autodesk Inventor LT 2015 : Autodesk Official Press"/>
        <s v="Television and the Meaning of 'Live' : An Enquiry into the Human Situation"/>
        <s v="Cracking the Tech Career : Insider Advice on Landing a Job at Google, Microsoft, Apple, or any Top Tech Company"/>
        <s v="Introduction to Time Series Analysis and Forecasting"/>
        <s v="Personality and Psychopathology"/>
        <s v="LSAT For Dummies (with Free Online Practice Tests)"/>
        <s v="Blender For Dummies"/>
        <s v="Hyaluronic Acid : Production, Properties, Application in Biology and Medicine"/>
        <s v="Health and Environmental Impact Assessment : An Integrated Approach"/>
        <s v="Sounding New Media : Immersion and Embodiment in the Arts and Culture"/>
        <s v="Breaking the Book : Print Humanities in the Digital Age"/>
        <s v="Official Guide for GMAT Review"/>
        <s v="Media Education : Literacy, Learning and Contemporary Culture"/>
        <s v="Violent Geographies : Fear, Terror, and Political Violence"/>
        <s v="Kinesiology For Dummies"/>
        <s v="Lives in the Balance : Asylum Adjudication by the Department of Homeland Security"/>
        <s v="Jack London : A Writer's Fight for a Better America"/>
        <s v="A Companion to Creative Writing"/>
        <s v="Creative Writing Exercises For Dummies"/>
        <s v="Spatial Analysis in Health Geography"/>
        <s v="Handbook of PTSD, Second Edition : Science and Practice"/>
        <s v="The Student EQ Edge : Emotional Intelligence and Your Academic and Personal Success"/>
        <s v="Literary Theory : An Introduction"/>
        <s v="Essentials of Cognitive Neuroscience"/>
        <s v="Android Phones For Dummies"/>
        <s v="Discover Your True North Fieldbook : A Personal Guide to Finding Your Authentic Leadership"/>
        <s v="Corporate Governance and Banking in China"/>
        <s v="Universal Design for Learning in the Classroom : Practical Applications"/>
        <s v="How to Succeed at Medical School : An Essential Guide to Learning"/>
        <s v="RSMeans Cost Data"/>
        <s v="Darkness Visible : A Study of Vergil's &quot;Aeneid&quot;"/>
        <s v="Technological Innovation, Industrial Evolution, and Economic Growth"/>
        <s v="Economics of Industrial Innovation"/>
        <s v="Food and Gender"/>
        <s v="Stressaholic : 5 Steps to Transform Your Relationship with Stress"/>
        <s v="Kurt Schwitters : Space, Image, Exile"/>
        <s v="&quot;Radical Academia&quot; Understanding the Climates for Campus Activists : New Directions for Higher Education, Number 167"/>
        <s v="Incompressible Flow"/>
        <s v="Interior Lighting for Designers"/>
        <s v="Introduction to Police Work"/>
        <s v="Sound and Music for the Theatre : The Art &amp; Technique of Design"/>
        <s v="The Social Psychology of Gender : How Power and Intimacy Shape Gender Relations"/>
        <s v="Personality Disorders and Eating Disorders : Exploring the Frontier"/>
        <s v="Parenting Beliefs, Behaviors, and Parent-Child Relations : A Cross-Cultural Perspective"/>
        <s v="Transpacific Antiracism : Afro-Asian Solidarity in 20th-Century Black America, Japan, and Okinawa"/>
        <s v="Not Your Mama's Knitting : The Cool and Creative Way to Pick up Sticks"/>
        <s v="DASH Diet For Dummies"/>
        <s v="Unsettled States : Nineteenth-Century American Literary Studies"/>
        <s v="Companion to Forensic Anthropology"/>
        <s v="Measuring Public Space : The Star Model"/>
        <s v="Supply Chain Metrics that Matter"/>
        <s v="Photography Business Secrets : The Savvy Photographer's Guide to Sales, Marketing, and More"/>
        <s v="The Body in Society : An Introduction"/>
        <s v="Taking Charge of ADHD, Third Edition : The Complete, Authoritative Guide for Parents"/>
        <s v="Multilevel Analysis for Applied Research : It's Just Regression!"/>
        <s v="Stock Investing For Dummies"/>
        <s v="Human Impact on the Natural Environment : Past, Present, and Future"/>
        <s v="Applied Logistic Regression"/>
        <s v="Part-Time on the Tenure Track, AEHE Volume 40 Number 5"/>
        <s v="Churchill : Plays One"/>
        <s v="Global Creative Industries"/>
        <s v="Creative Industries and Urban Development : Creative Cities in the 21st Century"/>
        <s v="Cognitive Styles and Learning Strategies : Understanding Style Differences in Learning and Behavior"/>
        <s v="Basic Russian : A Grammar and Workbook"/>
        <s v="Digital Literacy For Dummies"/>
        <s v="Professional C++"/>
        <s v="QuickBooks Online For Dummies"/>
        <s v="Music Theory For Dummies"/>
        <s v="Lighting for Video"/>
        <s v="Assessing and Improving Student Writing in College : A Guide for Institutions, General Education, Departments, and Classrooms"/>
        <s v="American Literature : A History"/>
        <s v="27 Challenges Managers Face : Step-by-Step Solutions to (Nearly) All of Your Management Problems"/>
        <s v="Functional Analysis"/>
        <s v="Pediatric Urology : Surgical Complications and Management"/>
        <s v="Knowledge As Design"/>
        <s v="The Tempest : Critical Essays"/>
        <s v="How the Financial Crisis and Great Recession Affected Higher Education"/>
        <s v="The Student EQ Edge : Emotional Intelligence and Your Academic and Personal Success: Student Workbook"/>
        <s v="The Student EQ Edge : Emotional Intelligence and Your Academic and Personal Success: Facilitation and Activity Guide"/>
        <s v="Getting Started in Stock Investing and Trading"/>
        <s v="Investing for Dummies"/>
        <s v="The Virtue Ethics of Hume and Nietzsche"/>
        <s v="Internet, Phone, Mail, and Mixed-Mode Surveys : The Tailored Design Method"/>
        <s v="Fundamentals of Anatomy and Physiology for Student Nurses"/>
        <s v="ASVAB AFQT For Dummies, with Online Practice Tests"/>
        <s v="Adolescent Mental Health : Prevention and intervention"/>
        <s v="Coaching and Mentoring First-Year and Student Teachers"/>
        <s v="Assembling Culture"/>
        <s v="The Dialectics of Inquiry Across the Historical Social Sciences"/>
        <s v="A Woman's Dilemma : Mercy Otis Warren and the American Revolution"/>
        <s v="The Aztecs"/>
        <s v="Manual of Minor Oral Surgery for the General Dentist"/>
        <s v="Friendship in Medieval Iberia : Historical, Legal and Literary Perspectives"/>
        <s v="Preaching Bondage : John Chrysostom and the Discourse of Slavery in Early Christianity"/>
        <s v="A History of Modernist Literature"/>
        <s v="The Social Lives of Forests : Past, Present, and Future of Woodland Resurgence"/>
        <s v="Reproducing the British Caribbean : Sex, Gender, and Population Politics after Slavery"/>
        <s v="Sociologist and the Historian"/>
        <s v="Art &amp; Science of Technical Analysis : Market Structure, Price Action &amp; Trading Strategies"/>
        <s v="The Archaeology of Iberia : The Dynamics of Change"/>
        <s v="Android Game Programming For Dummies"/>
        <s v="Anarchy, State, and Utopia : An Advanced Guide"/>
        <s v="Arts-Based Research in Education : Foundations for Practice"/>
        <s v="Clothing : A Global History"/>
        <s v="Later Derrida : Reading the Recent Work"/>
        <s v="Modernism"/>
        <s v="Food Industry Design, Technology and Innovation"/>
        <s v="On Tyranny : Corrected and Expanded Edition, Including the Strauss-Kojève Correspondence"/>
        <s v="Multiple Sclerosis and CNS Inflammatory Disorders"/>
        <s v="Make Better Decisions More Often: 30 Minute Reads"/>
        <s v="Moral Blindness : The Loss of Sensitivity in Liquid Modernity"/>
        <s v="Teach Yourself VISUALLY PowerPoint 2016"/>
        <s v="Women in the Middle East and North Africa : Agents of Change"/>
        <s v="Marketing with Social Media : 10 Easy Steps to Success for Business"/>
        <s v="Principles Of Biopsychology"/>
        <s v="The Wiley Blackwell Companion to Political Geography"/>
        <s v="Essential Haematology"/>
        <s v="Millionaire Dropout : Fire Your Boss. Do What You Love. Reclaim Your Life!"/>
        <s v="The 1848 Revolutions"/>
        <s v="Art of Value Investing : How the World's Best Investors Beat the Market"/>
        <s v="Gay and Lesbian Youth"/>
        <s v="Encyclopedia of Pseudoscience : From Alien Abductions to Zone Therapy"/>
        <s v="Building Intimate Relationships : Bridging Treatment, Education, and Enrichment Through the PAIRS Program"/>
        <s v="The Dilemmas of Intimacy : Conceptualization, Assessment, and Treatment"/>
        <s v="Climate Wars : What People Will Be Killed For in the 21st Century"/>
        <s v="Clinician's Guide to Bipolar Disorder : Integrating Pharmacology and Psychotherapy"/>
        <s v="The Psychology of Reading"/>
        <s v="Achievement Now! : How to Assure No Child Is Left Behind"/>
        <s v="Elementary School Scheduling : Enhacing Instruction for Student Achievement"/>
        <s v="From Rigorous Standards to Student Achievement"/>
        <s v="Student Achievement Goal Setting : Using Data to Improve Teaching and Learning"/>
        <s v="Effective Teachers=Student Achievement : What the Research Says"/>
        <s v="Group Dynamics and Team Interventions : Understanding and Improving Team Performance"/>
        <s v="The Anti-Anxiety Workbook : Proven Strategies to Overcome Worry, Phobias, Panic, and Obsessions"/>
        <s v="Signage and Wayfinding Design : A Complete Guide to Creating Environmental Graphic Design Systems"/>
        <s v="CliffsNotes Praxis II : Social Studies Content Knowledge (0081)"/>
        <s v="Bas Jan Ader : Death Is Elsewhere"/>
        <s v="Searching Skills Toolkit : Finding the Evidence"/>
        <s v="Fast-Forward Family : Home, Work, and Relationships in Middle-Class America"/>
        <s v="Distrusting Educational Technology : Critical Questions for Changing Times"/>
        <s v="Building Type Basics for College and University Facilities"/>
        <s v="Piano For Dummies, Book + Online Video &amp; Audio Instruction"/>
        <s v="Office 2016 at Work For Dummies"/>
        <s v="Cultural Politics of Emotion"/>
        <s v="A Companion to Ancient Egyptian Art"/>
        <s v="Pompeii and Herculaneum : A Sourcebook"/>
        <s v="Ghosts of Jim Crow : Ending Racism in Post-Racial America"/>
        <s v="Using Excel for Business Analysis : A Guide to Financial Modelling Fundamentals"/>
        <s v="Freshwater Algae : Identification, Enumeration and Use as Bioindicators"/>
        <s v="The Walking Dead and Philosophy : Shotgun. Machete. Reason."/>
        <s v="The Video Game Theory Reader"/>
        <s v="Acoustic Particle Velocity Measurements Using Laser : Principles, Signal Processing and Applications"/>
        <s v="Introduction to Soil Mechanics"/>
        <s v="Human Genetics and Genomics"/>
        <s v="The Stress Less Workbook : Simple Strategies to Relieve Pressure, Manage Commitments, and Minimize Conflicts"/>
        <s v="The Mindful Way Workbook : An 8-Week Program to Free Yourself from Depression and Emotional Distress"/>
        <s v="On Becoming a Teen Mom : Life before Pregnancy"/>
        <s v="Predictive Analytics For Dummies"/>
        <s v="Bioethics : An Anthology"/>
        <s v="Handbook for Developing Supportive Learning Environments, The"/>
        <s v="Designing for the Theatre"/>
        <s v="Romanticism : An Anthology"/>
        <s v="Zizek and Media Studies : A Reader"/>
        <s v="Genetically Modified and non-Genetically Modified Food Supply Chains : Co-Existence and Traceability"/>
        <s v="Basic Concepts of X-Ray Diffraction"/>
        <s v="Fundamentals of Palliative Care for Student Nurses"/>
        <s v="Unlocking Medical Law and Ethics"/>
        <s v="A Companion to Bioethics"/>
        <s v="Assessing Critical Thinking in Middle and High Schools : Meeting the Common Core"/>
        <s v="Bridging the Gap : Connecting Users to Digital Contents"/>
        <s v="Fabricated : The New World of 3D Printing"/>
        <s v="Theatre Arts on Acting"/>
        <s v="K-Pop : Popular Music, Cultural Amnesia, and Economic Innovation in South Korea"/>
        <s v="Beckett and Musicality"/>
        <s v="Alexander the Great and His Empire : A Short Introduction"/>
        <s v="Alexander the Great : Themes and Issues"/>
        <s v="Fundamentals of Photonics"/>
        <s v="The Actress : Hollywood Acting and the Female Star"/>
        <s v="Clinical Practice of Cognitive Therapy with Children and Adolescents, Second Edition : The Nuts and Bolts"/>
        <s v="Acting Out: The Workbook"/>
        <s v="Deadly Injustice : Trayvon Martin, Race, and the Criminal Justice System"/>
        <s v="Causes of Structural Unemployment : Four Factors that Keep People from the Jobs they Deserve"/>
        <s v="A Companion to Roman Architecture"/>
        <s v="Black Power Movement : Rethinking the Civil Rights-Black Power Era"/>
        <s v="Monster of the Twentieth Century : Kotoku Shusui and Japan's First Anti-Imperialist Movement"/>
        <s v="Site Engineering for Landscape Architects"/>
        <s v="Diversity in Disney Films : Critical Essays on Race, Ethnicity, Gender, Sexuality and Disability"/>
        <s v="Clinical Practice of Pediatric Psychology"/>
        <s v="Controlling Tropical Deforestation"/>
        <s v="Sustainability"/>
        <s v="Circulation of Knowledge in Early Modern English Literature"/>
        <s v="Children and Media : A Global Perspective"/>
        <s v="The Travels of a T-Shirt in the Global Economy : An Economist Examines the Markets, Power, and Politics of World Trade. New Preface and Epilogue with Updates on Economic Issues and Main Characters"/>
        <s v="Weight of Images : Affect, Body Image and Fat in the Media"/>
        <s v="An Introduction to the Archaeology of Ancient Egypt"/>
        <s v="History of Modern Africa : 1800 to the Present"/>
        <s v="Common Core Literacy Lesson Plans : Ready-to-Use Resources, K-5"/>
        <s v="Biodiversity in a Changing Climate : Linking Science and Management in Conservation"/>
        <s v="The Holocaust : The Third Reich and the Jews"/>
        <s v="Successful Group Work : A Practical Guide for Students in Further and Higher Education"/>
        <s v="A World More Concrete : Real Estate and the Remaking of Jim Crow South Florida"/>
        <s v="Spanish Idioms in Practice : Understanding Language and Culture"/>
        <s v="Exploited Earth : Britain's aid and the environment"/>
        <s v="Climate Change : Past, Present, and Future"/>
        <s v="God, Schools, and Government Funding : First Amendment Conundrums"/>
        <s v="Microbiology For Dummies"/>
        <s v="The Birth of Theory"/>
        <s v="Biology and Ecology of Giant Kelp Forests"/>
        <s v="Wetlands"/>
        <s v="DBT® Skills Training Manual, Second Edition"/>
        <s v="Marketing Performance Blueprint : Strategies and Technologies to Build and Measure Business Success"/>
        <s v="Masculinity in the Contemporary Romantic Comedy : Gender as Genre"/>
        <s v="Artificial Intelligence"/>
        <s v="The Book of Yokai : Mysterious Creatures of Japanese Folklore"/>
        <s v="Bananas, Beaches and Bases : Making Feminist Sense of International Politics"/>
        <s v="Professional Services Marketing : How the Best Firms Build Premier Brands, Thriving Lead Generation Engines, and Cultures of Business Development Success"/>
        <s v="Reality Therapy For the 21st Century"/>
        <s v="Successful Outsourcing and Multi-Sourcing"/>
        <s v="Bulimia"/>
        <s v="The Nativist Movement in America : Religious Conflict in the 19th Century"/>
        <s v="Purging the Poorest : Public Housing and the Design Politics of Twice-Cleared Communities"/>
        <s v="Grammar of the Seneca Language"/>
        <s v="Preventing Sexual Violence : Interdisciplinary Approaches to Overcoming a Rape Culture"/>
        <s v="Poor Tom : Living &quot;King Lear&quot;"/>
        <s v="Same-Sex Marriage"/>
        <s v="The Italian Risorgimento"/>
        <s v="Country of Football : Soccer and the Making of Modern Brazil"/>
        <s v="Augustus"/>
        <s v="Poverty in America : A Handbook"/>
        <s v="Pageants, Parlors, and Pretty Women : Race and Beauty in the Twentieth-Century South"/>
        <s v="Ancient Rome : A Sourcebook"/>
        <s v="Research Methods in Second Language Acquisition : A Practical Guide"/>
        <s v="Global Governance of Climate Change : G7, G20, and UN Leadership"/>
        <s v="Abortion Politics : Public Policy in Cross-Cultural Perspective"/>
        <s v="Loving Literature : A Cultural History"/>
        <s v="Human Factors Methods : A Practical Guide for Engineering and Design"/>
        <s v="Self-theories : Their Role in Motivation, Personality, and Development"/>
        <s v="Coming to Mind : The Soul and Its Body"/>
        <s v="Our Choices : Women's Personal Decisions About Abortion"/>
        <s v="Students' Identities and Literacy Learning"/>
        <s v="Blessing Same-Sex Unions : The Perils of Queer Romance and the Confusions of Christian Marriage"/>
        <s v="Textbook of Obesity : Biological, Psychological and Cultural Influences"/>
        <s v="A Breton Landscape : From The Romans To The Second Empire In Eastern Brittany"/>
        <s v="Walden Warming : Climate Change Comes to Thoreau's Woods"/>
        <s v="Coding For Kids For Dummies"/>
        <s v="Ayurveda For Dummies"/>
        <s v="Concrete Revolution : Large Dams, Cold War Geopolitics, and the US Bureau of Reclamation"/>
        <s v="London : The Selden Map and the Making of a Global City, 1549-1689"/>
        <s v="An Engineer's Guide to Mathematica"/>
        <s v="Nonviolent Resistance : A Philosophical Introduction"/>
        <s v="Climate Change and Political Strategy"/>
        <s v="Keynes and Friedman on Laissez-Faire and Planning : ‘Where to draw the line?’"/>
        <s v="Recipe Girl Cookbook"/>
        <s v="Thailand With Your Family"/>
        <s v="Climate Change and Global Health"/>
        <s v="Film Rhythm after Sound : Technology, Music, and Performance"/>
        <s v="Indigenous Studies and Engaged Anthropology : The Collaborative Moment"/>
        <s v="Excel VBA Programming For Dummies"/>
        <s v="Music Theory For Dummies, with Audio CD"/>
        <s v="Dropout Prevention"/>
        <s v="Kitchen and Bath Design Principles : Elements, Form, Styles"/>
        <s v="Ritual Texts for the Afterlife : Orpheus and the Bacchic Gold Tablets"/>
        <s v="Zero Hunger : Political Culture and Antipoverty Policy in Northeast Brazil"/>
        <s v="Companion Animal Ethics"/>
        <s v="Theory of Addiction"/>
        <s v="Contemporary Approach to Substance Use Disorders and Addiction Counseling : A Counselor's Guide to Application and Understanding"/>
        <s v="Companion to Women in the Ancient World"/>
        <s v="Ecofeminism and Systems Thinking"/>
        <s v="Defiant Teens, Second Edition : A Clinician's Manual for Assessment and Family Intervention"/>
        <s v="American Presidents Ranked by Performance, 1789–2012"/>
        <s v="Radical Relations : Lesbian Mothers, Gay Fathers, and Their Children in the United States since World War II"/>
        <s v="Handbook of Psychology, Clinical Psychology"/>
        <s v="Eating and its Disorders"/>
        <s v="The Politics of Belgium : Institutions and Policy under Bipolar and Centrifugal Federalism"/>
        <s v="Eating Disorders and Obesity : A Counselor's Guide to Prevention and Treatment"/>
        <s v="The Constitution of Society : Outline of the Theory of Structuration"/>
        <s v="Comic Books and the Cold War, 1946–1962 : Essays on Graphic Treatment of Communism, the Code and Social Concerns"/>
        <s v="Asperger Syndrome, Second Edition : Assessing and Treating High-Functioning Autism Spectrum Disorders"/>
        <s v="Payback : The Case for Revenge"/>
        <s v="Funnybooks : The Improbable Glories of the Best American Comic Books"/>
        <s v="Black Hole Focus : How Intelligent People Can Create a Powerful Purpose for Their Lives"/>
        <s v="Ancient Greece from Homer to Alexander : The Evidence"/>
        <s v="Biosecurity : The Socio-Politics of Invasive Species and Infectious Diseases"/>
        <s v="Alfred the Great : The King and His England"/>
        <s v="How Memory Works--and How to Make It Work for You : G1196"/>
        <s v="Qualitative Research : A Guide to Design and Implementation"/>
        <s v="Limits to Regional Integration"/>
        <s v="An Early Start for Your Child with Autism : Using Everyday Activities to Help Kids Connect, Communicate, and Learn"/>
        <s v="30 Great Myths about the Romantics"/>
        <s v="China's Economic Transformation"/>
        <s v="Dictionary of Postmodernism"/>
        <s v="Literary Theory: The Basics"/>
        <s v="Defining Duty in the Civil War : Personal Choice, Popular Culture, and the Union Home Front"/>
        <s v="The American Civil War, 1861-1865"/>
        <s v="Critical Care Nursing : Monitoring and Treatment for Advanced Nursing Practice"/>
        <s v="Care Home Handbook"/>
        <s v="Searching for Scientific Womanpower : Technocratic Feminism and the Politics of National Security, 1940-1980"/>
        <s v="Mr. Boston : Official Bartender's Guide"/>
        <s v="Facebook Marketing For Dummies"/>
        <s v="Mediated Youth Cultures : The Internet, Belonging and New Cultural Configurations"/>
        <s v="Alexander of Macedon, 356–323 B.C. : A Historical Biography"/>
        <s v="Global Warming and Climate Change"/>
        <s v="Encyclopedia of Ancient Egypt"/>
        <s v="Organic Chemistry I For Dummies"/>
        <s v="Capital Punishment : A Hazard to a Sustainable Criminal Justice System?"/>
        <s v="Myth of Seneca Falls : Memory and the Women's Suffrage Movement, 1848-1898"/>
        <s v="Global Warming"/>
        <s v="DSM-5 in Action"/>
        <s v="Wiley Blackwell Student Dictionary of Human Evolution"/>
        <s v="Influence of Fraternity and Sorority Involvement : A Critical Analysis of Research (1996 - 2013), AEHE 39:6"/>
        <s v="Unwelcome Harvest : Agriculture and pollution"/>
        <s v="Air Pollution and Human Health"/>
        <s v="Enforcing Pollution Control Laws"/>
        <s v="Global Forest Fragmentation"/>
        <s v="Introduction to Health Promotion"/>
        <s v="Raise : What 4-H Teaches Seven Million Kids and How Its Lessons Could Change Food and Farming Forever"/>
        <s v="Integrated Treatment for Personality Disorder : A Modular Approach"/>
        <s v="Pre-Clinical Dental Skills at a Glance"/>
        <s v="The Ethics of Reality TV : A Philosophical Examination"/>
        <s v="Biochemistry and Molecular Biology of Plants"/>
        <s v="Dynamics of Gender in Early Modern France : Women Writ, Women Writing"/>
        <s v="Networks of Outrage and Hope : Social Movements in the Internet Age"/>
        <s v="Thinking About Art : A Thematic Guide to Art History"/>
        <s v="Ethnomusicology : A Contemporary Reader"/>
        <s v="Check Your English Vocabulary for TOEFL : Essential words and phrases to help you maximize your TOEFL score"/>
        <s v="Urban Politics and Cultural Capital : The Case of Chinese Opera"/>
        <s v="Method Meets Art, Second Edition : Arts-Based Research Practice"/>
        <s v="Supporting Behavior for School Success : A Step-by-Step Guide to Key Strategies"/>
        <s v="Ecosystem Services Come To Town : Greening Cities by Working with Nature"/>
        <s v="The Social Movements Reader : Cases and Concepts"/>
        <s v="Official Guide for GMAT Review 2015 with Online Question Bank and Exclusive Video"/>
        <s v="Handbook of Creative Writing"/>
        <s v="Divided Rule : Sovereignty and Empire in French Tunisia, 1881–1938"/>
        <s v="Boom Summer 2014 : A Journal of California"/>
        <s v="Wiley CIAexcel Exam Review 2016 Focus Notes : Part 1, Internal Audit Basics"/>
        <s v="The Roman Empire : Economy, Society and Culture"/>
        <s v="Applied Research Methods in Public and Nonprofit Organizations"/>
        <s v="Transformational Governance : How Boards Achieve Extraordinary Change"/>
        <s v="Reframing Organizations : Artistry, Choice, and Leadership"/>
        <s v="Exploring Intercultural Communication : Language in Action"/>
        <s v="Stress Management for Teachers : A Proactive Guide"/>
        <s v="Postcolonial Studies : An Anthology"/>
        <s v="Beginning Programming with Java For Dummies"/>
        <s v="Treatment Plans and Interventions for Depression and Anxiety Disorders, 2e"/>
        <s v="Hegel"/>
        <s v="Handbook of Depression, Third Edition"/>
        <s v="Music, Social Media and Global Mobility : MySpace, Facebook, YouTube"/>
        <s v="Educational Activity Programs for Older Adults : A 12-Month Idea Guide for Adult Education Instructors and Activity Directors in Gerontology"/>
        <s v="Postcolonial Historical Novel : Realism, Allegory, and the Representation of Contested Pasts"/>
        <s v="Religious Conversion : History, Experience and Meaning"/>
        <s v="Human Behavior in the Social Environment : Theories for Social Work Practice"/>
        <s v="Treating Traumatic Bereavement : A Practitioner's Guide"/>
        <s v="Drone Warfare"/>
        <s v="Criminal Investigation : An Introduction to Principles and Practice"/>
        <s v="Investigative Interviewing : Rights, Research, Regulation"/>
        <s v="Freedom's Children : The 1938 Labor Rebellion and the Birth of Modern Jamaica"/>
        <s v="From Eve to Evolution : Darwin, Science, and Women's Rights in Gilded Age America"/>
        <s v="Partnering for Recovery in Mental Health : A Practical Guide to Person-Centered Planning"/>
        <s v="Social Systems Theory and Judicial Review : Taking Jurisprudence Seriously"/>
        <s v="A Short History of the Modern Media"/>
        <s v="Bullying Interventions in Schools : Six Basic Approaches"/>
        <s v="Sex in China"/>
        <s v="Global Manga : 'Japanese' Comics without Japan?"/>
        <s v="Lucid Dreaming : The Paradox of Consciousness During Sleep"/>
        <s v="Dreams, A Portal to the Source"/>
        <s v="Religion and Society in the Diocese of St Davids 1485–2011"/>
        <s v="Those Damned Immigrants : America’s Hysteria over Undocumented Immigration"/>
        <s v="From Brown to Meredith : The Long Struggle for School Desegregation in Louisville, Kentucky, 1954-2007"/>
        <s v="The Affirmative Action Debate"/>
        <s v="Affirmative Action, Hate Speech, and Tenure : Narratives About Race and Law in the Academy"/>
        <s v="Handbook of Health Social Work"/>
        <s v="Galileo's Idol : Gianfrancesco Sagredo and the Politics of Knowledge"/>
        <s v="Gun Policy in the United States and Canada : The Impact of Mass Murders and Assassinations on Gun Control"/>
        <s v="Environmental Ethics : An Overview for theTwenty-First Century"/>
        <s v="The Anthropology of Infectious Disease : International Health Perspectives"/>
        <s v="Young People's Understandings of Men's Violence Against Women"/>
        <s v="What Works for Whom?, Second Edition : A Critical Review of Treatments for Children and Adolescents"/>
        <s v="Collective Action and the Civil Rights Movement"/>
        <s v="Fracking : The Operations and Environmental Consequences of Hydraulic Fracturing"/>
        <s v="Hagia Sophia and the Byzantine Aesthetic Experience"/>
        <s v="Teaching and Researching: Autonomy in Language Learning"/>
        <s v="Greece : A Short History of a Long Story, 7,000 BCE to the Present"/>
        <s v="Data Mining and Predictive Analytics"/>
        <s v="Cognitive-Behavioral Treatment of Perfectionism"/>
        <s v="Civil War Wests : Testing the Limits of the United States"/>
        <s v="Ethics in Practice : An Anthology"/>
        <s v="Change Leadership in Higher Education : A Practical Guide to Academic Transformation"/>
        <s v="Buy This Book : Studies in Advertising and Consumption"/>
        <s v="Working with Risk : Skills for Contemporary Social Work"/>
        <s v="Courage to Teach : Exploring the Inner Landscape of a Teacher's Life"/>
        <s v="Building Academic Language : Meeting Common Core Standards Across Disciplines, Grades 5-12"/>
        <s v="The New Math : A Political History"/>
        <s v="Forensic Psychology"/>
        <s v="Dyslexia and Information and Communications Technology, Second Edition : A Guide for Teachers and Parents"/>
        <s v="Supporting Children with Dyslexia"/>
        <s v="Drugs of Abuse"/>
        <s v="Social Media, Social Genres : Making Sense of the Ordinary"/>
        <s v="Bullying Prevention and Intervention : Realistic Strategies for Schools"/>
        <s v="Drunk Driving : An American Dilemma"/>
        <s v="Renewable Energy and Energy Efficiency : Assessment of Projects and Policies"/>
        <s v="‘And so began the Irish Nation’ : Nationality, National Consciousness and Nationalism in Pre-modern Ireland"/>
        <s v="Black against Empire : The History and Politics of the Black Panther Party"/>
        <s v="Drunk Driving in America : Strategies and Approaches to Treatment"/>
        <s v="Cross-Cultural Management : Culture and Management across the World"/>
        <s v="Theories of Development, Third Edition : Contentions, Arguments, Alternatives"/>
        <s v="The Bipolar Workbook, Second Edition : Tools for Controlling Your Mood Swings"/>
        <s v="Liberty and Union : A Constitutional History of the United States, volume 2"/>
        <s v="Darwin Deleted : Imagining a World without Darwin"/>
        <s v="Sexual Dysfunction, Third Edition : A Guide for Assessment and Treatment"/>
        <s v="Slaughterhouse : Chicago's Union Stock Yard and the World It Made"/>
        <s v="Foetal Condition : A Sociology of Engendering and Abortion"/>
        <s v="The Politics of Energy : Challenges for a Sustainable Future"/>
        <s v="Cyberbullying : Development, Consequences, Risk and Protective Factors"/>
        <s v="Darwin's Orchids : Then and Now"/>
        <s v="Gracey's Meat Hygiene"/>
        <s v="British Humanitarianism and the Congo Reform Movement, 1896-1913"/>
        <s v="The Politics of Elite Corruption in Africa : Uganda in Comparative African Perspective"/>
        <s v="50 Great Myths of Human Sexuality"/>
        <s v="Greek Religion : Archaic and Classical"/>
        <s v="Initiation in Ancient Greek Rituals and Narratives : New Critical Perspectives"/>
        <s v="Rethinking Dance History : A Reader"/>
        <s v="The Transparent Teacher : Taking Charge of Your Instruction with Peer-Collected Classroom Data"/>
        <s v="Media Sociology : A Reappraisal"/>
        <s v="Toxic Schools : High-Poverty Education in New York and Amsterdam"/>
        <s v="Freedom to Change : Four Strategies to Put Your Inner Drive into Overdrive"/>
        <s v="The Psychology of Workplace Technology"/>
        <s v="Motherhood and Representation : The Mother in Popular Culture and Melodrama"/>
        <s v="The Work of Leaders : How Vision, Alignment, and Execution Will Change the Way You Lead"/>
        <s v="Handbook of PTSD : Science and Practice"/>
        <s v="Unsafe Abortion and Women's Health : Change and Liberalization"/>
        <s v="Tattoos - Philosophy for Everyone : I Ink, Therefore I Am"/>
        <s v="Geriatric Depression : A Clinical Guide"/>
        <s v="What Great Teachers Do Differently : 17 Things That Matter Most"/>
        <s v="Quantifying Systemic Risk"/>
        <s v="Meningitis : Cellular and Molecular Basis. 26. Advances in Molecular and Cellular Microbiology"/>
        <s v="Prologue to Violence : Child Abuse, Dissociation, and Crime"/>
        <s v="Women in Ancient Greece : A Sourcebook"/>
        <s v="Key Performance Indicators : Developing, Implementing, and Using Winning KPIs"/>
        <s v="The Spectrum Of Child Abuse : Assessment, Treatment And Prevention"/>
        <s v="Treating Adolescents"/>
        <s v="A Respectable Army : The Military Origins of the Republic, 1763-1789"/>
        <s v="Art and Adventure of Leadership : Understanding Failure, Resilience and Success"/>
        <s v="The Beauty of a Social Problem : Photography, Autonomy, Economy"/>
        <s v="Group Policy : Fundamentals, Security, and the Managed Desktop"/>
        <s v="Doing Dialectical Behavior Therapy : A Practical Guide"/>
        <s v="Teach Yourself VISUALLY Search Engine Optimization (SEO)"/>
        <s v="Sherlock Holmes for the 21st Century : Essays on New Adaptations"/>
        <s v="Conceiving Freedom : Women of Color, Gender, and the Abolition of Slavery in Havana and Rio de Janeiro"/>
        <s v="Spatial Design Education : New Directions for Pedagogy in Architecture and Beyond"/>
        <s v="Word 2013 For Dummies"/>
        <s v="Politics of Immigration : Contradictions of the Liberal State"/>
        <s v="The Quest for the Nazi Personality : A Psychological Investigation of Nazi War Criminals"/>
        <s v="The Beast Reawakens : Fascism's Resurgence from Hitler's Spymasters to Today's Neo-Nazi Groups and Right-Wing Extremists"/>
        <s v="Interaction and Coevolution"/>
        <s v="Wilfrid Sellars : Naturalism with a Normative Turn"/>
        <s v="DBT® Skills Training Handouts and Worksheets, Second Edition"/>
        <s v="Natural Environments and Human Health"/>
        <s v="Auditor's Guide to IT Auditing"/>
        <s v="Responsive Guided Reading in Grades K-5 : Simplifying Small-Group Instruction"/>
        <s v="Affordable Care Act For Dummies"/>
        <s v="Disability and Popular Culture : Focusing Passion, Creating Community and Expressing Defiance"/>
        <s v="Disability, Obesity and Ageing : Popular Media Identifications"/>
        <s v="The Social Media Handbook"/>
        <s v="Fashion Cultures : Theories, Explorations and Analysis"/>
        <s v="In the Culture Society : Art, Fashion and Popular Music"/>
        <s v="Handbook of Professional Development in Education : Successful Models and Practices, PreK-12"/>
        <s v="The Future of Quality News Journalism : A Cross-Continental Analysis"/>
        <s v="Equine Science"/>
        <s v="Multimethod Clinical Assessment"/>
        <s v="Extraordinary Conditions : Culture and Experience in Mental Illness"/>
        <s v="SAT For Dummies, Two eBook Bundle : SAT For Dummies and SAT Math For Dummies"/>
        <s v="Substance Abuse Issues Among Families in Diverse Populations"/>
        <s v="Performing Data Analysis Using IBM SPSS"/>
        <s v="Changing Image of Affordable Housing : Design, Gentrification and Community in Canada and Europe"/>
        <s v="A Ministry of Presence : Chaplaincy, Spiritual Care, and the Law"/>
        <s v="Refugees and the Myth of Human Rights : Life Outside the Pale of the Law"/>
        <s v="Cognitive-Behavioral Therapy in Groups"/>
        <s v="Women, Gender, Remittances and Development in the Global South"/>
        <s v="ADA Practical Guide to Substance Use Disorders and Safe Prescribing"/>
        <s v="Case Studies in Child, Adolescent, and Family Treatment"/>
        <s v="Integrated Treatment for Dual Disorders : A Guide to Effective Practice"/>
        <s v="TKO Hiring! : Ten Knockout Strategies for Recruiting, Interviewing, and Hiring Great People"/>
        <s v="Code Red : How to Protect Your Savings From the Coming Crisis"/>
        <s v="Taoism For Dummies"/>
        <s v="Building a Culture of Support : Strategies for School Leaders"/>
        <s v="An Archive of Hope : Harvey Milk's Speeches and Writings"/>
        <s v="Packaged Pleasures : How Technology and Marketing Revolutionized Desire"/>
        <s v="Children and the Internet"/>
        <s v="Colombia"/>
        <s v="Reading Without Limits : Teaching Strategies to Build Independent Reading for Life"/>
        <s v="Choosing the Future for American Juvenile Justice"/>
        <s v="Enterprise Data Governance : Reference and Master Data Management Semantic Modeling"/>
        <s v="A History of Egypt from the End of the Neolithic Period to the Death of Cleopatra VII B.C. 30 (Routledge Revivals) : Vol. III: Egypt Under the Amenemhāts and Hyksos"/>
        <s v="Three Kingdoms : A Historical Novel"/>
        <s v="Socialnomics : How Social Media Transforms the Way We Live and Do Business"/>
        <s v="Regulating Fraud (Routledge Revivals) : White-Collar Crime and the Criminal Process"/>
        <s v="Women and the First World War"/>
        <s v="Humans : An Introduction to Four-Field Anthropology"/>
        <s v="Motivational Interviewing, Third Edition : Helping People Change"/>
        <s v="ECGs for Beginners"/>
        <s v="Secret World of Red Wolves : The Fight to Save North America's Other Wolf"/>
        <s v="Sport and Spectacle in the Ancient World"/>
        <s v="The Gods of Ancient Rome : Religion in Everyday Life from Archaic to Imperial Times"/>
        <s v="Preventing Human Trafficking : Education and NGOs in Thailand"/>
        <s v="Facebook Marketing : An Hour a Day"/>
        <s v="Social TV : How Marketers Can Reach and Engage Audiences by Connecting Television to the Web, Social Media, and Mobile"/>
        <s v="Applying Theory to Generalist Social Work Practice"/>
        <s v="Dialogue and Dementia : Cognitive and Communicative Resources for Engagement"/>
        <s v="Relativistic Quantum Chemistry : The Fundamental Theory of Molecular Science"/>
        <s v="Teachings of the Sikh Gurus : Selections from the Sikh Scriptures"/>
        <s v="More Guns, Less Crime : Understanding Crime and Gun Control Laws, Third Edition"/>
        <s v="Applied Qualitative Research Design : A Total Quality Framework Approach"/>
        <s v="W. E. B. Du Bois and The Souls of Black Folk"/>
        <s v="How Outer Space Made America : Geography, Organization and the Cosmic Sublime"/>
        <s v="After They Closed the Gates : Jewish Illegal Immigration to the United States, 1921-1965"/>
        <s v="Handbook of Social and Emotional Learning : Research and Practice"/>
        <s v="Dreamland of Humanists : Warburg, Cassirer, Panofsky, and the Hamburg School"/>
        <s v="Rural Women in Leadership : Positive Factors in Leadership Development"/>
        <s v="Systemic Racism : A Theory of Oppression"/>
        <s v="Invasive Species in a Globalized World : Ecological, Social, and Legal Perspectives on Policy"/>
        <s v="Disciplined Entrepreneurship : 24 Steps to a Successful Startup"/>
        <s v="Life in Crisis : The Ethical Journey of Doctors Without Borders"/>
        <s v="Equine Behaviour : Principles and Practice"/>
        <s v="The Science of Equestrian Sports : Theory, Practice and Performance of the Equestrian Rider"/>
        <s v="Climate Change Impact and Adaptation in Agricultural Systems"/>
        <s v="Shark! Shark!"/>
        <s v="Emperor Theophilos and the East, 829–842 : Court and Frontier in Byzantium during the Last Phase of Iconoclasm"/>
        <s v="New Methods of Literacy Research"/>
        <s v="Latin American Dictators of the 20th Century : The Lives and Regimes of 15 Rulers"/>
        <s v="NEPA in the Courts : A Legal Analysis of the National Environmental Policy Act"/>
        <s v="Mobile Communication"/>
        <s v="Introduction to Digital Mobile Communication"/>
        <s v="Introduction to Veterinary Medical Ethics : Theory and Cases"/>
        <s v="Strength and Conditioning for Young Athletes : Science and application"/>
        <s v="Eichmann's Jews : The Jewish Administration of Holocaust Vienna, 1938-1945"/>
        <s v="Internet Studies : Past, Present and Future Directions"/>
        <s v="Commercial Management : Theory and Practice"/>
        <s v="The Way to Make Wine : How to Craft Superb Table Wines at Home"/>
        <s v="DSLR Filmmaker's Handbook : Real-World Production Techniques"/>
        <s v="Something's in the Air : Race, Crime, and the Legalization of Marijuana"/>
        <s v="School Mission Statement, The : Values, Goals, and Identities in American Education"/>
        <s v="Philosophical Perspectives on Teacher Education"/>
        <s v="Neuroinflammation : New Insights into Beneficial and Detrimental Functions"/>
        <s v="Organization : Contemporary Principles and Practice"/>
        <s v="Good Catholics : The Battle over Abortion in the Catholic Church"/>
        <s v="Learning and the E-Generation"/>
        <s v="King James's Bible : A Selection"/>
        <s v="Teach Yourself VISUALLY Access 2013"/>
        <s v="Access 2013 fur Dummies"/>
        <s v="Working with Emotion in Cognitive-Behavioral Therapy : Techniques for Clinical Practice"/>
        <s v="Brazil"/>
        <s v="Parenting Culture Studies"/>
        <s v="Facilitating Resilience and Recovery Following Trauma"/>
        <s v="Writing Technology : Studies on the Materiality of Literacy"/>
        <s v="Female Aggression"/>
        <s v="Terrorism : A Philosophical Investigation"/>
        <s v="In Search of Cell History : The Evolution of Life's Building Blocks"/>
        <s v="Skillful Teacher : On Technique, Trust, and Responsiveness in the Classroom"/>
        <s v="Afterlives of the Psychiatric Asylum : Recycling Concepts, Sites and Memories"/>
        <s v="Wedding Planning For Dummies"/>
        <s v="Exercising Influence : A Guide for Making Things Happen at Work, at Home, and in Your Community"/>
        <s v="Gamechangers : Creating Innovative Strategies for Business and Brands; New Approaches to Strategy, Innovation and Marketing"/>
        <s v="Succession Planning for Financial Advisors : Building an Enduring Business"/>
        <s v="Essential Manager : How to Thrive in the Global Information Jungle"/>
        <s v="Phantom Limb : Amputation, Embodiment, and Prosthetic Technology"/>
        <s v="Creative Interventions with Traumatized Children, Second Edition : Creative Arts and Play Therapy, eds Malchiodi and Crenshaw"/>
        <s v="Statistics : An Introduction using R"/>
        <s v="Wiley Blackwell Anthology of African American Literature, Volume 2 : 1920 to the Present"/>
        <s v="Telling the Story : The Heart and Soul of Successful Leadership"/>
        <s v="Quinoa : Botany, Production and Uses"/>
        <s v="Teach Like a Champion Field Guide : A Practical Resource to Make the 49 Techniques Your Own"/>
        <s v="Wiley CPA Exam Review 2012, Auditing and Attestation"/>
        <s v="Muslim Citizens in the West : Spaces and Agents of Inclusion and Exclusion"/>
        <s v="Bereavement and Support : Healing in a Group Environment"/>
        <s v="Discrimination and the Law"/>
        <s v="Ancient Symbology in Fantasy Literature : A Psychological Study"/>
        <s v="Sport, Animals, and Society"/>
        <s v="College : What it Was, Is, and Should Be"/>
        <s v="Reproducing Racism : How Everyday Choices Lock In White Advantage"/>
        <s v="Discovery of the South Shetland Islands, 1819–1820 : The Journal of Midshipman C. W. Poynter"/>
        <s v="General and Molecular Pharmacology : Principles of Drug Action"/>
        <s v="Physics of Living Processes : A Mesoscopic Approach"/>
        <s v="Racing Rules Companion 2013 - 2016"/>
        <s v="Forensic Entomology : An Introduction"/>
        <s v="Classical Music For Dummies"/>
        <s v="The State of College Access and Completion : Improving College Success for Students from Underrepresented Groups"/>
        <s v="Subprime Cities : The Political Economy of Mortgage Markets"/>
        <s v="Traumatic Childbirth"/>
        <s v="Feminist Theory and the Philosophies of Man"/>
        <s v="Equine Injury, Therapy and Rehabilitation"/>
        <s v="Housing and the Financial Crisis"/>
        <s v="Great Irish Famine"/>
        <s v="Assessment for Reading Instruction, Third Edition"/>
        <s v="Social Group Work Today and Tomorrow : Moving From Theory to Advanced Training and Practice"/>
        <s v="Wilson–Johnson Correspondence, 1964–69"/>
        <s v="Vietnam : Explaining America's Lost War"/>
        <s v="Mitochondrial Diseases"/>
        <s v="The Art and Science of Personality Development"/>
        <s v="Intellectual Property and Genetically Modified Organisms : A Convergence in Laws"/>
        <s v="African Traditions in the Study of Religion, Diaspora and Gendered Societies"/>
        <s v="Collaborative City : Opportunities and Struggles for Blacks and Latinos in U.S. Cities"/>
        <s v="Pan-Africanism, and the Politics of African Citizenship and Identity"/>
        <s v="The Italian Renaissance : Culture and Society in Italy"/>
        <s v="Spaces of Hate : Geographies of Discrimination and Intolerance in the U.S.A."/>
        <s v="Italian All-in-One For Dummies"/>
        <s v="Hieroglyphic Egyptian : An Introduction to the Language and Literature of the Middle Kingdom"/>
        <s v="Applied Linguistics"/>
        <s v="MRI at a Glance"/>
        <s v="New Netherland Connections : Intimate Networks and Atlantic Ties in Seventeenth-Century America"/>
        <s v="Cognitive Behavioural Therapy Workbook For Dummies"/>
        <s v="Finding Your Roots : The Official Companion to the PBS Series"/>
        <s v="Calculus For Dummies"/>
        <s v="Hunger and Work in a Savage Tribe : A Functional Study of Nutrition Among the Southern Bantu"/>
        <s v="Dress Casual : How College Students Redefined American Style"/>
        <s v="The Delectable Negro : Human Consumption and Homoeroticism within US Slave Culture"/>
        <s v="Public School Advantage : Why Public Schools Outperform Private Schools"/>
        <s v="Hidden History of Early Childhood Education"/>
        <s v="Nutrition for Sport and Exercise : A Practical Guide"/>
        <s v="Psychology"/>
        <s v="Fundamentals of Enzyme Kinetics"/>
        <s v="Autobiography of Mark Twain, Volume 3 : The Complete and Authoritative Edition"/>
        <s v="On the Run : Fugitive Life in an American City"/>
        <s v="Panel Data Analysis using EViews"/>
        <s v="Resilience in Social-Ecological Systems : The Role of Learning and Education"/>
        <s v="Recognition, Sovereignty Struggles, and Indigenous Rights in the United States : A Sourcebook"/>
        <s v="Exploring the Solar System"/>
        <s v="Designing Teacher Evaluation Systems : New Guidance from the Measures of Effective Teaching Project"/>
        <s v="Fraud and Fraud Detection : A Data Analytics Approach"/>
        <s v="Signature Derrida"/>
        <s v="Cognitive Behavioral Group Therapy : Challenges and Opportunities"/>
        <s v="Addiction Potential of Abused Drugs and Drug Classes"/>
        <s v="Enhancing and Expanding Undergraduate Research : A Systems Approach: New Directions for Higher Education, Number 169"/>
        <s v="New American Suburb : Poverty, Race and the Economic Crisis"/>
        <s v="Categorical Data Analysis"/>
        <s v="Paleo Answer : 7 Days to Lose Weight, Feel Great, Stay Young"/>
        <s v="Hollywood Action and Adventure Film"/>
        <s v="Promoting Academic Success with English Language Learners : Best Practices for RTI"/>
        <s v="Ethical Journalist : Making Responsible Decisions in the Digital Age"/>
        <s v="More Than Medicine : A History of the Feminist Women's Health Movement"/>
        <s v="Managing Cultural Heritage : An International Research Perspective"/>
        <s v="All Edge : Inside the New Workplace Networks"/>
        <s v="Teaching Word Recognition : Effective Strategies for Students with Learning Difficulties"/>
        <s v="Diamonds"/>
        <s v="Business Networking For Dummies"/>
        <s v="Latino Generation : Voices of the New America"/>
        <s v="Critical Gaming : Interactive History and Virtual Heritage"/>
        <s v="Political Philosophy"/>
        <s v="Generation on a Tightrope : A Portrait of Today's College Student"/>
        <s v="Practitioner Teacher Inquiry and Research"/>
        <s v="The Fragmented Forest : Island Biogeography Theory and the Preservation of Biotic Diversity"/>
        <s v="TV Crime Drama"/>
        <s v="HTML and CSS : Design and Build Websites"/>
        <s v="Long Shadow of Antiquity : What Have the Greeks and Romans Done for Us?"/>
        <s v="Western Flyer : Steinbeck's Boat, the Sea of Cortez, and the Saga of Pacific Fisheries"/>
        <s v="Leadership Challenge : How to Make Extraordinary Things Happen in Organizations"/>
        <s v="Religio Duplex : How the Enlightenment Reinvented Egyptian Religion"/>
        <s v="Home Recording For Musicians For Dummies"/>
        <s v="DSM-IV-TR in Action"/>
        <s v="Change One Thing! : Make one change and embrace a happier, more successful you"/>
        <s v="Be Brilliant Every Day"/>
        <s v="Art of Being a Brilliant Teenager"/>
        <s v="Kids Gone Wild : From Rainbow Parties to Sexting, Understanding the Hype Over Teen Sex"/>
        <s v="Drugs of Abuse : Pharmacology and Molecular Mechanisms"/>
        <s v="Acquisition and Performance of Sports Skills"/>
        <s v="Fashioned Body"/>
        <s v="Bookkeeping and Accounting All-in-One For Dummies"/>
        <s v="The Future of Illusion : Political Theology and Early Modern Texts"/>
        <s v="Paging God : Religion in the Halls of Medicine"/>
        <s v="Visions of Zion : Ethiopians and Rastafari in the Search for the Promised Land"/>
        <s v="Sacred Relics : Pieces of the Past in Nineteenth-Century America"/>
        <s v="Eurasian Regionalisms and Russian Foreign Policy"/>
        <s v="HTML5 eLearning Kit For Dummies"/>
        <s v="Differential Diagnosis in Small Animal Medicine"/>
        <s v="History of Japan"/>
        <s v="Cleft Palate Speech : Assessment and Intervention"/>
        <s v="Philosophical Writing : An Introduction"/>
        <s v="Actor-Network Theory and Crime Studies : Explorations in Science and Technology"/>
        <s v="Controlling Contested Places : Late Antique Antioch and the Spatial Politics of Religious Controversy"/>
        <s v="Second Growth : The Promise of Tropical Forest Regeneration in an Age of Deforestation"/>
        <s v="Gender and Sexuality in Muslim Cultures"/>
        <s v="The Spectacular Favela : Violence in Modern Brazil"/>
        <s v="Perception Beyond Gestalt : Progress in vision research"/>
        <s v="Common Threads : A Cultural History of Clothing in American Catholicism"/>
        <s v="Jolt : Shake Up Your Thinking and Upgrade Your Impact for Extraordinary Success"/>
        <s v="Mindfulness at Work For Dummies"/>
        <s v="Leadership Meta-Competencies : Discovering Hidden Virtues"/>
        <s v="Racism in the Nation's Service : Government Workers and the Color Line in Woodrow Wilson's America"/>
        <s v="Trauma and Orthopaedics at a Glance"/>
        <s v="Forensic Archaeology : A Global Perspective"/>
        <s v="Life After Brain Injury : Survivors' Stories"/>
        <s v="Survivor Stories"/>
        <s v="Gender and Song in Early Modern England"/>
        <s v="Music Therapy Handbook"/>
        <s v="Smashing jQuery : Professional Techniques with Ajax and JQuery"/>
        <s v="Sexuality : A Psychosocial Manifesto"/>
        <s v="The Violence of Care : Rape Victims, Forensic Nurses, and Sexual Assault Intervention"/>
        <s v="Social Executive : How to Master Social Media and Why its Good for Business"/>
        <s v="Environmental Science : A Self-Teaching Guide"/>
        <s v="Adventures in Raspberry Pi"/>
        <s v="King and Court in Ancient Persia 559 to 331 BCE"/>
        <s v="Atlas of Human Infectious Diseases"/>
        <s v="Spectacular Girls : Media Fascination and Celebrity Culture"/>
        <s v="Lexical-Functional Syntax"/>
        <s v="Men, Masculinity And Social Welfare"/>
        <s v="Arduino For Dummies"/>
        <s v="Artificial Transmission Lines for RF and Microwave Applications"/>
        <s v="Critical Media Studies : An Introduction"/>
        <s v="Economic Analysis of the Digital Economy"/>
        <s v="Organic Stereochemistry : Experimental and Computational Methods"/>
        <s v="The Ethics of Sex and Alzheimer's"/>
        <s v="Geographies of Health and Development"/>
        <s v="1,001 GRE Practice Questions For Dummies (+ Free Online Practice)"/>
        <s v="Knitting For Dummies"/>
        <s v="Collaborative Learning Techniques : A Handbook for College Faculty"/>
        <s v="The Sexual Abuse of Children : Volume II: Clinical Issues"/>
        <s v="Autophagy, Infection, and the Immune Response"/>
        <s v="Modern Techniques for Pathogen Detection"/>
        <s v="Drugs : From Discovery to Approval"/>
        <s v="Cannabis : Evolution and Ethnobotany"/>
        <s v="Proactive Strategies for Protecting Species : Pre-Listing Conservation and the Endangered Species Act"/>
        <s v="Financial Independence (Getting to Point X) : An Advisor's Guide to Comprehensive Wealth Management"/>
        <s v="Early Years Nutrition and Healthy Weight"/>
        <s v="African Immigrants in Contemporary Spanish Texts : Crossing the Strait"/>
        <s v="Stop Throwing Money Away : Turn Clutter to Cash, Trash to Treasure--And Save the Planet While You're at It"/>
        <s v="Critical Thinking Skills For Dummies"/>
        <s v="Medical Statistics : A Guide to SPSS, Data Analysis and Critical Appraisal"/>
        <s v="S.U.M.O (Shut Up, Move On) : The Straight-Talking Guide to Succeeding in Life"/>
        <s v="Shoppernomics : How to Shorten and Focus the Shoppers' Routes to Purchase"/>
        <s v="African American Culture and Society After Rodney King : Provocations and Protests, Progression and 'Post-Racialism'"/>
        <s v="Classwide Positive Behavior Interventions and Supports : A Guide to Proactive Classroom Management"/>
        <s v="Employee Engagement For Dummies"/>
        <s v="Native Wine Grapes of Italy"/>
        <s v="Labor Movements : Global Perspectives"/>
        <s v="Bullying at School : What We Know and What We Can Do"/>
        <s v="Covered in Ink : Tattoos, Women and the Politics of the Body"/>
        <s v="Appealing to Justice : Prisoner Grievances, Rights, and Carceral Logic"/>
        <s v="Mobile Learning : A Handbook for Developers, Educators, and Learners"/>
        <s v="Deconstructing Dignity : A Critique of the Right-to-Die Debate"/>
        <s v="Insatiable Appetites : Imperial Encounters with Cannibals in the North Atlantic World"/>
        <s v="Advancing Gerontological Social Work Education"/>
        <s v="Volunteerism in Geriatric Settings"/>
        <s v="Phytopharmacy : An Evidence-Based Guide to Herbal Medicinal Products"/>
        <s v="Theory and Explanation in Social Psychology"/>
        <s v="Cannabinoids"/>
        <s v="Fundamentals of Oral Histology and Physiology"/>
        <s v="Lecture Notes : Immunology"/>
        <s v="Essential Clinical Global Health"/>
        <s v="Blood Cells : A Practical Guide"/>
        <s v="Fundamentals of Applied Pathophysiology : An Essential Guide for Nursing and Healthcare Students"/>
        <s v="Symptoms in the Pharmacy : A Guide to the Management of Common Illnesses"/>
        <s v="Lecture Notes: Clinical Biochemistry"/>
        <s v="Religion and Immigration : Migrant Faiths in North America and Western Europe"/>
        <s v="Nursing Diagnoses 2015-17 : Definitions and Classification"/>
        <s v="Clinical Dermatology"/>
        <s v="Gluten-Free All-In-One For Dummies"/>
        <s v="Exploring Religion in Ancient Egypt"/>
        <s v="Best Practices in Writing Instruction, Second Edition"/>
        <s v="Best Practices in Literacy Instruction, Fifth Edition"/>
        <s v="Living Gluten-Free For Dummies"/>
        <s v="Excel Data Analysis For Dummies"/>
        <s v="Automobile Electrical and Electronic Systems"/>
        <s v="Applied Microsoft Business Intelligence"/>
        <s v="War Plays by Women : An International Anthology"/>
        <s v="Mixed Emotions : Beyond Fear and Hatred in International Conflict"/>
        <s v="Digital Media and Society : Transforming Economics, Politics and Social Practices"/>
        <s v="The Dog : Its Behavior, Nutrition, and Health"/>
        <s v="Understanding Bitcoin : Cryptography, Engineering and Economics"/>
        <s v="Equine Exercise Physiology"/>
        <s v="Navigating Art Therapy : A Therapist’s Companion"/>
        <s v="Medicine, Health and the Arts : Approaches to the Medical Humanities"/>
        <s v="Images of Art Therapy (Psychology Revivals) : New Developments in Theory and Practice"/>
        <s v="Case Studies in Health Communication"/>
        <s v="Becoming a Profession (Psychology Revivals) : The History of Art Therapy in Britain 1940-82"/>
        <s v="Art Therapy With Families In Crisis : Overcoming Resistance Through Nonverbal Expression"/>
        <s v="Child and Adolescent Therapy : Science and Art"/>
        <s v="Creative Arts in Counseling"/>
        <s v="Visions of the City : Utopianism, Power and Politics in Twentieth Century Urbanism"/>
        <s v="World as Design : Writings of Design"/>
        <s v="Religious Bodies Politic : Rituals of Sovereignty in Buryat Buddhism"/>
        <s v="Christian Spirituality : An Introduction"/>
        <s v="Wellness Syndrome"/>
        <s v="Working Capital Management : Applications and Case Studies"/>
        <s v="WordPress For Dummies"/>
        <s v="An Unlikely Union : The Love-Hate Story of New York's Irish and Italians"/>
        <s v="High Throughput Analysis for Food Safety"/>
        <s v="Aftershock Investor : A Crash Course in Staying Afloat in a Sinking Economy"/>
        <s v="Doing Ethnography Today : Theories, Methods, Exercises"/>
        <s v="Islamic State : The Digital Caliphate"/>
        <s v="Studying Comics and Graphic Novels"/>
        <s v="Seven Disciplines of A Leader"/>
        <s v="Drawing the Landscape"/>
        <s v="Immigration and Population"/>
        <s v="Feminist Evaluation and Research : Theory and Practice"/>
        <s v="Cultural DNA : The Psychology of Globalization"/>
        <s v="Handbook of Mindfulness : Theory, Research, and Practice"/>
        <s v="Ashgate Research Companion to Anthropology"/>
        <s v="Observing by Hand : Sketching the Nebulae in the Nineteenth Century"/>
        <s v="Lost Classroom, Lost Community : Catholic Schools' Importance in Urban America"/>
        <s v="The Common Core Coaching Book : Strategies to Help Teachers Address the K-5 ELA Standards"/>
        <s v="Cut Loose : Jobless and Hopeless in an Unfair Economy"/>
        <s v="Theoretical and Computational Aerodynamics"/>
        <s v="Organic Production and Food Quality : A Down to Earth Analysis"/>
        <s v="Family Violence : Explanations and Evidence-Based Clinical Practice"/>
        <s v="JavaFX For Dummies"/>
        <s v="101 Ways to Make Learning Active Beyond the Classroom"/>
        <s v="Urban Revolution Now : Henri Lefebvre in Social Research and Architecture"/>
        <s v="Fish"/>
        <s v="Language and Culture in EU Law : Multidisciplinary Perspectives"/>
        <s v="Essential Concepts in Sociology"/>
        <s v="Becoming Salmon : Aquaculture and the Domestication of a Fish"/>
        <s v="Child and Adolescent Therapy, Fourth Edition : Cognitive-Behavioral Procedures"/>
        <s v="Mindfulness-Based Cognitive Therapy for Bipolar Disorder"/>
        <s v="Teaching Word Recognition, Second Edition : Effective Strategies for Students with Learning Difficulties"/>
        <s v="Ebola Myths and Facts For Dummies"/>
        <s v="Animal Nutrition with Transgenic Plants"/>
        <s v="Inclusive Instruction : Evidence-Based Practices for Teaching Students with Disabilities"/>
        <s v="Clinical Handbook of Psychological Disorders, Fifth Edition : A Step-by-Step Treatment Manual"/>
        <s v="Communities and Networks : Using Social Network Analysis to Rethink Urban and Community Studies"/>
        <s v="Internal Combustion Engines : Applied Thermosciences"/>
        <s v="Controlling the Message : New Media in American Political Campaigns"/>
        <s v="Great Myths of Child Development"/>
        <s v="Global Energy Dilemmas"/>
        <s v="Business Ethics Through Movies : A Case Study Approach"/>
        <s v="Mandolin Exercises For Dummies"/>
        <s v="Selling Digital Music, Formatting Culture"/>
        <s v="What is Slavery?"/>
        <s v="Savage Frontier : Making News and Security on the Argentine Border"/>
        <s v="Web Development with jQuery"/>
        <s v="Unending Hunger : Tracing Women and Food Insecurity Across Borders"/>
        <s v="Psychopathy : An Introduction to Biological Findings and Their Implications"/>
        <s v="Exploring Arduino : Tools and Techniques for Engineering Wizardry"/>
        <s v="Irina Baronova and the Ballets Russes de Monte Carlo"/>
        <s v="China-Japan Border Dispute : Islands of Contention in Multidisciplinary Perspective"/>
        <s v="Invisible Hands : Self-Organization and the Eighteenth Century"/>
        <s v="Medieval Way of War : Studies in Medieval Military History in Honor of Bernard S. Bachrach"/>
        <s v="Schema Therapy with Couples : A Practitioner's Guide to Healing Relationships"/>
        <s v="Computer Games and the Social Imaginary"/>
        <s v="Stress and Your Health : From Vulnerability to Resilience"/>
        <s v="Flawed System/Flawed Self : Job Searching and Unemployment Experiences"/>
        <s v="Body Language For Dummies"/>
        <s v="Judgments of the European Court of Human Rights – Effects and Implementation"/>
        <s v="Essentials of Child and Adolescent Psychopathology"/>
        <s v="Concise Encyclopedia of Communication"/>
        <s v="Beyond Consumer Capitalism : Media and the Limits to Imagination"/>
        <s v="Semi-Organic Growth : Tactics and Strategies Behind Google's Success"/>
        <s v="Freedom's Ballot : African American Political Struggles in Chicago from Abolition to the Great Migration"/>
        <s v="The Scholar Denied : W. E. B. Du Bois and the Birth of Modern Sociology"/>
        <s v="Motivational Interviewing in the Treatment of Psychological Problems, Second Edition"/>
        <s v="How to Teach Adults : Plan Your Class, Teach Your Students, Change the World, Expanded Edition"/>
        <s v="22 Ideas to Fix the World : Conversations with the World's Foremost Thinkers"/>
        <s v="The Profitable Consultant : Starting, Growing, and Selling Your Expertise"/>
        <s v="MBA On The Go: 30 Minute Reads"/>
        <s v="Mindfulness Pocketbook : Little Exercises for a Calmer Life"/>
        <s v="Handbook of Self and Identity, Second Edition"/>
        <s v="Oldest Living Things in the World"/>
        <s v="Explaining Reading, Third Edition : A Resource for Explicit Teaching of the Common Core Standards"/>
        <s v="The Business Skills Collection: 30 Minute Reads"/>
        <s v="Essaying the Past : How to Read, Write and Think about History"/>
        <s v="Bathroom Fix-Ups : More Than 50 Projects for Every Skill Level"/>
        <s v="Gender and Global Justice"/>
        <s v="Mindfulness and Schema Therapy : A Practical Guide"/>
        <s v="Mindfulness for Therapists : Understanding Mindfulness for Professional Effectiveness and Personal Well-Being"/>
        <s v="Cost Accounting For Dummies"/>
        <s v="Epigenetics in Cancer"/>
        <s v="Collage in Twentieth-Century Art, Literature, and Culture : Joseph Cornell, William Burroughs, Frank O’Hara, and Bob Dylan"/>
        <s v="Habitats : Private Lives in the Big City"/>
        <s v="Illustrated Guide to Door Hardware : Design, Specification, Selection"/>
        <s v="Materials for Interior Environments"/>
        <s v="Kitchen Planning : Guidelines, Codes, Standards"/>
        <s v="Kitchen &amp; Bath Design Presentation : Drawing, Plans, Digital Rendering"/>
        <s v="Bath Planning : Guidelines, Codes, Standards"/>
        <s v="Leaders At Work Digital Book Set"/>
        <s v="Clinical Child Psychiatry"/>
        <s v="Formed From This Soil : An Introduction to the Diverse History of Religion in America"/>
        <s v="Resilience Engineering in Practice, Volume 2 : Becoming Resilient"/>
        <s v="Food Politics : How the Food Industry Influences Nutrition and Health"/>
        <s v="Antarctic Ecosystems : An Extreme Environment in a Changing World"/>
        <s v="Dying, Death, Burial and Commemoration in Reformation Europe"/>
        <s v="Sudden Death : Medicine and Religion in Eighteenth-Century Rome"/>
        <s v="Hostile Intent and Counter-Terrorism : Human Factors Theory and Application"/>
        <s v="When Middle-Class Parents Choose Urban Schools : Class, Race, and the Challenge of Equity in Public Education"/>
        <s v="Reading Celebrity Gossip Magazines"/>
        <s v="Compliance Revolution : How Compliance Needs to Change to Survive"/>
        <s v="The Punishment Imperative : The Rise and Failure of Mass Incarceration in America"/>
        <s v="Value-creation in Middle Market Private Equity"/>
        <s v="Earthquakes : Models, Statistics, Testable Forecasts"/>
        <s v="Being Right or Making Money"/>
        <s v="Windows Azure Developer's e-Book Bundle"/>
        <s v="Greater than Equal : African American Struggles for Schools and Citizenship in North Carolina, 1919-1965"/>
        <s v="Screen-Smart Parenting : How to Find Balance and Benefit in Your Child's Use of Social Media, Apps, and Digital Devices"/>
        <s v="Muslim American Women on Campus : Undergraduate Social Life and Identity"/>
        <s v="Skiing into Modernity : A Cultural and Environmental History"/>
        <s v="Science and Technology in World History, Volume 3 : The Black Death, the Renaissance, the Reformation and the Scientific Revolution"/>
        <s v="Phonological Awareness : From Research to Practice"/>
        <s v="Max Weber : Readings And Commentary On Modernity"/>
        <s v="Introduction to Statistics Through Resampling Methods and R"/>
        <s v="The Reading Specialist, Third Edition : Leadership and Coaching for the Classroom, School, and Community"/>
        <s v="Harlem : The Unmaking of a Ghetto"/>
        <s v="Fire under the Ashes : An Atlantic History of the English Revolution"/>
        <s v="Failing Our Veterans : The G.I. Bill and the Vietnam Generation"/>
        <s v="Children and Youth During the Gilded Age and Progressive Era"/>
        <s v="Selecting Effective Treatments : A Comprehensive, Systematic Guide to Treating Mental Disorders, DSM-5 E-Chapter Update"/>
        <s v="Aristotle's Teaching in the &quot;Politics&quot;"/>
        <s v="Brain Stimulation : Methodologies and Interventions"/>
        <s v="Juicing and Smoothies For Dummies"/>
        <s v="Essential Travel Medicine"/>
        <s v="Natural Disasters in a Global Environment"/>
        <s v="Digital Interface Design and Application"/>
        <s v="Peter Drucker's Five Most Important Questions : Enduring Wisdom for Today's Leaders"/>
        <s v="More Important Than the Music : A History of Jazz Discography"/>
        <s v="Resilient Classrooms, Second Edition : Creating Healthy Environments for Learning"/>
        <s v="Islamic Theological Themes : A Primary Source Reader"/>
        <s v="Communicable Diseases in Developing Countries : Stopping the global epidemics of HIV/AIDS, Tuberculosis, Malaria and Diarrhea"/>
        <s v="Race and Immigration"/>
        <s v="Everyday Magic in Early Modern Europe"/>
        <s v="Lesbian Geographies : Gender, Place and Power"/>
        <s v="A Taste of Progress: Food at International and World Exhibitions in the Nineteenth and Twentieth Centuries"/>
        <s v="Going to Market : Women, Trade and Social Relations in Early Modern English Towns, c. 1550-1650"/>
        <s v="Unbuilt Utopian Cities 1460 to 1900: Reconstructing their Architecture and Political Philosophy"/>
        <s v="Butchery and Sausage-Making For Dummies"/>
        <s v="Early Antiquity"/>
        <s v="Cyberbullying : What Counselors Need to Know"/>
        <s v="Comparative Method : Moving Beyond Qualitative and Quantitative Strategies"/>
        <s v="Unofficial Guide to Walt Disney World with Kids 2013"/>
        <s v="Boundary Issues in Counseling : Multiple Roles and Responsibilities"/>
        <s v="Art of Problem Solving in Organic Chemistry"/>
        <s v="Pathophysiology for Nurses at a Glance"/>
        <s v="History of China"/>
        <s v="The Killing Consensus : Police, Organized Crime, and the Regulation of Life and Death in Urban Brazil"/>
        <s v="Home Buying Kit For Dummies"/>
        <s v="Small Business Taxes For Dummies"/>
        <s v="Advancing Social Justice : Tools, Pedagogies, and Strategies to Transform Your Campus"/>
        <s v="HTML5 Foundations"/>
        <s v="The Filth of Progress : Immigrants, Americans, and the Building of Canals and Railroads in the West"/>
        <s v="Black Slaves, Indian Masters : Slavery, Emancipation, and Citizenship in the Native American South"/>
        <s v="Linking Leadership to Student Learning"/>
        <s v="Theories of International Relations : Contending Approaches to World Politics"/>
        <s v="Microfinance Mirage : The Politics of Poverty, Social Capital and Women's Empowerment in Ethiopia"/>
        <s v="Calculus : 1,001 Practice Problems For Dummies (+ Free Online Practice)"/>
        <s v="Western Art and the Wider World"/>
        <s v="Weight Training For Dummies"/>
        <s v="Tory World : Deep History and the Tory Theme in British Foreign Policy, 1679-2014"/>
        <s v="Design for Policy"/>
        <s v="World Heritage, Urban Design and Tourism : Three Cities in the Middle East"/>
        <s v="Transformational Tourism : Tourist Perspectives"/>
        <s v="Teach Yourself VISUALLY WordPress"/>
        <s v="African &amp; American : West Africans in Post-Civil Rights America"/>
        <s v="Economic Regulation and Its Reform : What Have We Learned?"/>
        <s v="Basic English Grammar For Dummies"/>
        <s v="Listening to Killers : Lessons Learned from My Twenty Years as a Psychological Expert Witness in Murder Cases"/>
        <s v="A Taste of Power : Food and American Identities"/>
        <s v="Environmental Psychology : An Introduction"/>
        <s v="ABC of Sports and Exercise Medicine"/>
        <s v="Great Myths of Aging"/>
        <s v="Making England Western : Occidentalism, Race, and Imperial Culture"/>
        <s v="Space Architecture : The New Frontier for Design Research"/>
        <s v="Managing Religious Diversity in the Workplace : Examples from Around the World"/>
        <s v="Wiley Series 55 Exam Review 2014 + Test Bank : The Equity Trader Qualification Examination"/>
        <s v="E-Voting Case Law : A Comparative Analysis"/>
        <s v="Modern Food, Moral Food : Self-Control, Science, and the Rise of Modern American Eating in the Early Twentieth Century"/>
        <s v="Customer Experience For Dummies"/>
        <s v="The Railway Journey : The Industrialization of Time and Space in the Nineteenth Century"/>
        <s v="Social Media Engagement For Dummies"/>
        <s v="Introduction to Tissue Engineering : Applications and Challenges"/>
        <s v="PHP, MySQL, JavaScript &amp; HTML5 All-in-One For Dummies"/>
        <s v="Sustainable Plastics : Environmental Assessments of Biobased, Biodegradable, and Recycled Plastics"/>
        <s v="Phonetics For Dummies"/>
        <s v="Economics and Youth Violence : Crime, Disadvantage, and Community"/>
        <s v="Guide to Online Course Design : Strategies for Student Success"/>
        <s v="Child and Adolescent Behavioral Health : A Resource for Advanced Practice Psychiatric and Primary Care Practitioners in Nursing"/>
        <s v="Rapid Instructional Design : Learning ID Fast and Right"/>
        <s v="Real-Life Decorating"/>
        <s v="Sabrina Soto on Home Design : A Layer-by-Layer Approach to Turning Your Ideas into the Home of Your Dreams"/>
        <s v="No Place Like Home : Tips and techniques for real family-friendly home design"/>
        <s v="Fiber Gathering : Knit, Crochet, Spin, and Dye More Than 25 Projects Inspired by America's Festivals"/>
        <s v="Make Stuff Together : 24 Simple Projects to Create as a Family"/>
        <s v="Make and Takes for Kids : 50 Crafts Throughout the Year"/>
        <s v="Make Money with Your Digital Photography"/>
        <s v="Do I Need to See the Doctor : The Home-Treatment Encyclopedia - Written by Medical Doctors (2nd Edition)"/>
        <s v="Better Birth : The Ultimate Guide to Childbirth from Home Births to Hospitals"/>
        <s v="Survival Guide for Rookie Moms : The Things You Need to Know, That No One Ever Tells You"/>
        <s v="Sewing Bits and Pieces : 35 Projects Using Fabric Scraps"/>
        <s v="Sewing with Oilcloth"/>
        <s v="Mr. Boston : Holiday Cocktails"/>
        <s v="Organize Yourself!"/>
        <s v="Storage with Style"/>
        <s v="New American Homestead : Sustainable, Self-Sufficient Living in the Country or in the City"/>
        <s v="Teach Your Children Tables"/>
        <s v="Beginning JavaScript"/>
        <s v="The World of Maps : Map Reading and Interpretation for the 21st Century"/>
        <s v="Teaching the Common Core Math Standards with Hands-On Activities, Grades K-2"/>
        <s v="Probabilities : The Little Numbers That Rule Our Lives"/>
        <s v="Funds : Private Equity, Hedge and All Core Structures"/>
        <s v="Russian : A Self-Teaching Guide"/>
        <s v="A Democratic Constitution for Public Education"/>
        <s v="Jim Crow Wisdom : Memory and Identity in Black America since 1940"/>
        <s v="Building Type Basics for Senior Living"/>
        <s v="Alcohol : A History"/>
        <s v="Accounting For Dummies"/>
        <s v="Predictive Analytics : The Power to Predict Who Will Click, Buy, Lie, or Die"/>
        <s v="Introduction to Computational Contact Mechanics : A Geometrical Approach"/>
        <s v="Solutions Manual to accompany An Introduction to Numerical Methods and Analysis"/>
        <s v="Introductory Modern Algebra : A Historical Approach"/>
        <s v="Fundamentals of Calculus"/>
        <s v="Python Projects"/>
        <s v="Elementary Number Theory with Programming"/>
        <s v="Batman and Psychology : A Dark and Stormy Knight"/>
        <s v="You Win in the Locker Room First : The 7 C's to Build a Winning Team in Business, Sports, and Life"/>
        <s v="Top Dog : Impress and Influence Everyone You Meet"/>
        <s v="From Coveralls to Zoot Suits : The Lives of Mexican American Women on the World War II Home Front"/>
        <s v="Race, Place, and Suburban Policing : Too Close for Comfort"/>
        <s v="Employer Brand Management : Practical Lessons from the World's Leading Employers"/>
        <s v="Smashing Wordpress - Beyond the Blog"/>
        <s v="Social Change Anytime Everywhere : How to Implement Online Multichannel Strategies to Spark Advocacy, Raise Money, and Engage your Community"/>
        <s v="Understanding Language and Literacy Development : Diverse Learners in the Classroom"/>
        <s v="Mindful Eating For Dummies"/>
        <s v="How the Other Half Ate : A History of Working-Class Meals at the Turn of the Century"/>
        <s v="Terrestrial Hydrometeorology"/>
        <s v="Problems and Solutions in Mathematical Finance : Stochastic Calculus"/>
        <s v="Alice in Wonderland : SAMPLE BOOK"/>
        <s v="Against Hybridity : Social Impasses in a Globalizing World"/>
        <s v="Strategic Directions for Career Services Within the University Setting : New Directions for Student Services, Number 148"/>
        <s v="Learning the Language of Addiction Counseling"/>
        <s v="Calculus II For Dummies"/>
        <s v="Propellants and Explosives : Thermochemical Aspects of Combustion"/>
        <s v="Play Therapy Interventions to Enhance Resilience"/>
        <s v="Death Penalty, Volume I"/>
        <s v="Play Therapy with Children and Adolescents in Crisis, Fourth Edition"/>
        <s v="Dawkins' God : From The Selfish Gene to The God Delusion"/>
        <s v="Women in the Middle East : Past and Present"/>
        <s v="Cheap on Crime : Recession-Era Politics and the Transformation of American Punishment"/>
        <s v="Designing Interiors"/>
        <s v="American Medical Association Guide to Home Caregiving"/>
        <s v="Cybercrime and Cyber Warfare"/>
        <s v="Medical Career Basics Course For Dummies, 2 eBook Bundle : Medical Ethics For Dummies &amp; Clinical Anatomy For Dummies"/>
        <s v="Anesthesia Complications in the Dental Office"/>
        <s v="Hospital-Based Palliative Medicine : A Practical, Evidence-Based Approach"/>
        <s v="Practical Medical Procedures at a Glance"/>
        <s v="Art of Company Valuation and Financial Statement Analysis : A Value Investor's Guide with Real-life Case Studies"/>
        <s v="Image, Text, Architecture : The Utopics of the Architectural Media"/>
        <s v="Baroque in Architectural Culture, 1880-1980"/>
        <s v="Transcultural Architecture : The Limits and Opportunities of Critical Regionalism"/>
        <s v="Spain : Updated Edition"/>
        <s v="History of the Ancient Near East, ca. 3000-323 BC"/>
        <s v="Getting Over OCD : A 10-Step Workbook for Taking Back Your Life"/>
        <s v="When You're NOT Expecting : An Infertility Survival Guide"/>
        <s v="Mother of All Pregnancy Books"/>
        <s v="Menstruation and Procreation in Early Modern France"/>
        <s v="History of Family Planning in Twentieth-Century Peru"/>
        <s v="Complete Book of Framing : An Illustrated Guide for Residential Construction"/>
        <s v="Social Media Bible : Tactics, Tools, and Strategies for Business Success"/>
        <s v="CliffsNotes GMAT"/>
        <s v="Inclusive Organizational Transformation : An African Perspective on Human Niches and Diversity of Thought"/>
        <s v="Victorian Poets : A Critical Reader"/>
        <s v="Philosophy of Pseudoscience : Reconsidering the Demarcation Problem"/>
        <s v="Animal Manure Recycling : Treatment and Management"/>
        <s v="Measuring Economic Sustainability and Progress"/>
        <s v="Aerosol Technology : Properties, Behavior, and Measurement of Airborne Particles"/>
        <s v="Brief History of Ancient Greek"/>
        <s v="The Accommodated Animal : Cosmopolity in Shakespearean Locales"/>
        <s v="Promotional Cultures : The Rise and Spread of Advertising, Public Relations, Marketing and Branding"/>
        <s v="Buyer Personas : How to Gain Insight into your Customer's Expectations, Align your Marketing Strategies, and Win More Business"/>
        <s v="Concert of Civilizations : The Common Roots of Western and Islamic Constitutionalism"/>
        <s v="Rich Bride Poor Bride : Your Ultimate Wedding Planning Guide"/>
        <s v="Marketing Pathfinder : Key Concepts and Cases for Marketing Strategy and Decision Making"/>
        <s v="Contemporary Debates in Bioethics"/>
        <s v="2050 : Designing Our Tomorrow"/>
        <s v="Mindfulness For Dummies"/>
        <s v="Mindfulness : Be mindful. Live in the moment."/>
        <s v="Frommer's® Paris 2013"/>
        <s v="Mental Health Nursing at a Glance"/>
        <s v="Casebook of Evidence-Based Therapy for Eating Disorders"/>
        <s v="Wind Power in Power Systems"/>
        <s v="International Rule of Law and Professional Ethics"/>
        <s v="Virtue and Economy : Essays on Morality and Markets"/>
        <s v="Principles and Practice of Sex Therapy, Fifth Edition"/>
        <s v="Handbook of Dealing with Workplace Bullying"/>
        <s v="Leading Apple With Steve Jobs : Management Lessons From a Controversial Genius"/>
        <s v="Architecture of Home in Cairo : Socio-Spatial Practice of the Hawari's Everyday Life"/>
        <s v="British Infantry Battalion Commanders in the First World War"/>
        <s v="Health Behavior : Theory, Research, and Practice"/>
        <s v="Isotope Geochemistry"/>
        <s v="Student Guidance &amp; Development"/>
        <s v="Neighboring Faiths : Christianity, Islam, and Judaism in the Middle Ages and Today"/>
        <s v="Legal Lexicography : A Comparative Perspective"/>
        <s v="French Revolution and the Rise of Napoleon"/>
        <s v="The Language of the Modes : Studies in the History of Polyphonic Modality"/>
        <s v="Feminism"/>
        <s v="Beginning R : The Statistical Programming Language"/>
        <s v="From Sight to Light : The Passage from Ancient to Modern Optics"/>
        <s v="Coffee : Emerging Health Effects and Disease Prevention"/>
        <s v="Aspects of Roman History 31 BC-AD 117"/>
        <s v="Olympic Housing : A Critical Review of London 2012's Legacy"/>
        <s v="Mandela's Children : Growing Up in Post-Apartheid South Africa"/>
        <s v="South Africa : The Rise and Fall of Apartheid"/>
        <s v="Africa in the Age of Globalisation : Perceptions, Misperceptions and Realities"/>
        <s v="The SketchUp Workflow for Architecture : Modeling Buildings, Visualizing Design, and Creating Construction Documents with SketchUp Pro and LayOut"/>
        <s v="Project Life Cycle Economics : Cost Estimation, Management and Effectiveness in Construction Projects"/>
        <s v="Smith, Currie and Hancock's Common Sense Construction Law : A Practical Guide for the Construction Professional"/>
        <s v="Green Building Illustrated"/>
        <s v="Essentials of Energy Technology : Sources, Transport, Storage, Conservation"/>
        <s v="Emergency Medical Services : Clinical Practice and Systems Oversight, 2 Volume Set"/>
        <s v="Anatomy and Physiology for Nurses at a Glance"/>
        <s v="Geriatric Emergencies"/>
        <s v="Fundamentals of Paramedic Practice : A Systems Approach"/>
        <s v="Construction Grammar and its Application to English"/>
        <s v="Royal Marsden Manual of Clinical Nursing Procedures"/>
        <s v="Getting Older : How We're Coping with the Grey Areas of Aging"/>
        <s v="Sun, Wind, and Light : Architectural Design Strategies"/>
        <s v="Construction Contracting : A Practical Guide to Company Management"/>
        <s v="The Taxpayers Guide 2014-2015"/>
        <s v="How to Manage Dementia in General Practice"/>
        <s v="Environmental Gerontology : What Now?"/>
        <s v="Barry's Advanced Construction of Buildings"/>
        <s v="Kitchen &amp; Bath Products and Materials : Cabinetry, Equipment, Surfaces"/>
        <s v="Building Construction Illustrated"/>
        <s v="Hydrogeology : Principles and Practice"/>
        <s v="Philosophy and the Idea of Communism : Alain Badiou in conversation with Peter Engelmann"/>
        <s v="Bioinformatics and Functional Genomics"/>
        <s v="Minibeasts : The World of Invertebrates and Insects"/>
        <s v="Landscape Genetics : Concepts, Methods, Applications"/>
        <s v="Parrots of the Wild : A Natural History of the World's Most Captivating Birds"/>
        <s v="Field Guide to Birds of the Northern California Coast"/>
        <s v="Introduction to Population Ecology"/>
        <s v="Challenging History in the Museum : International Perspectives"/>
        <s v="The Brilliance of Bioenergy : In Business and In Practice"/>
        <s v="Gypsum Construction Handbook"/>
        <s v="Novel Process Windows : Innovative Gates to Intensified and Sustainable Chemical Processes"/>
        <s v="The Codes Guidebook for Interiors"/>
        <s v="Barry's Introduction to Construction of Buildings"/>
        <s v="Sustainable Residential Interiors"/>
        <s v="Kitchen and Bath Lighting : Concept, Design, Light"/>
        <s v="Landscape Lighting Book"/>
        <s v="Older Adult Psychotherapy Treatment Planner, with DSM-5 Updates, 2nd Edition"/>
        <s v="EY Tax Guide 2015"/>
        <s v="Management of Construction Projects"/>
        <s v="Professional Practice for Interior Designers"/>
        <s v="Smart Grid Standards : Specifications, Requirements, and Technologies"/>
        <s v="Rare Metal Technology 2015"/>
        <s v="Natural Gas : Fuel for the 21st Century"/>
        <s v="Kitchen &amp; Bath Residential Construction and Systems"/>
        <s v="Solar Technology : The Earthscan Expert Guide to Using Solar Energy for Heating, Cooling and Electricity"/>
        <s v="Solar and Heat Pump Systems for Residential Buildings"/>
        <s v="Wiley Tax Preparer : A Guide to Form 1040"/>
        <s v="5 Gears : How to Be Present and Productive When There Is Never Enough Time"/>
        <s v="Advanced Excel Reporting for Management Accountants"/>
        <s v="Enough Bull : How to Retire Well without the Stock Market, Mutual Funds, or Even an Investment Advisor"/>
        <s v="1,001 Accounting Practice Problems For Dummies"/>
        <s v="The Biological Foundations of Organizational Behavior"/>
        <s v="Wiley IFRS 2015 : Interpretation and Application of International Financial Reporting Standards"/>
        <s v="Wiley CPAexcel Exam Review 2015 Study Guide July : Financial Accounting and Reporting"/>
        <s v="Wiley CPAexcel Exam Review 2015 Study Guide July : Regulation"/>
        <s v="Wiley CIAexcel Exam Review 2015, Part 3 : Internal Audit Knowledge Elements"/>
        <s v="Wiley CPAexcel Exam Review 2015 Focus Notes : Financial Accounting and Reporting"/>
        <s v="Wiley GAAP 2015 : Interpretation and Application of Generally Accepted Accounting Principles 2015"/>
        <s v="101 Excel 2013 Tips, Tricks and Timesavers"/>
        <s v="Excel 2013 Power Programming with VBA"/>
        <s v="Excel 2013 Formulas"/>
        <s v="Excel Dashboards and Reports"/>
        <s v="Excel VBA 24-Hour Trainer"/>
        <s v="Interior Design Productivity Toolbox : Checklists and Best Practices to Manage Your Workflow"/>
        <s v="Clinical Applications of Digital Dental Technology"/>
        <s v="No One Ever Told Us That : Money and Life Lessons for Young Adults"/>
        <s v="Protocols for High-Risk Pregnancies : An Evidence-Based Approach"/>
        <s v="101 Ways To Save Money On Your Tax - Legally! 2015-2016"/>
        <s v="Ethics of Personalised Medicine : Critical Perspectives"/>
        <s v="Circadian Medicine"/>
        <s v="ADHD Book of Lists : A Practical Guide for Helping Children and Teens with Attention Deficit Disorders"/>
        <s v="Fundamentals of Children's Anatomy and Physiology : A Textbook for Nursing and Healthcare Students"/>
        <s v="Self-determination in Health Care : A Property Approach to the Protection of Patients' Rights"/>
        <s v="Aftershock : Protect Yourself and Profit in the Next Global Financial Meltdown"/>
        <s v="Medical Billing and Coding For Dummies"/>
        <s v="Pocket Guide to Teaching for Clinical Instructors"/>
        <s v="Careful Eating : Bodies, Food and Care"/>
        <s v="Darwin's Sciences"/>
        <s v="Optimization Modeling with Spreadsheets"/>
        <s v="An Imperialist Love Story : Desert Romances and the War on Terror"/>
        <s v="Critical and Creative Thinking : A Brief Guide for Teachers"/>
        <s v="Researching Medical Education"/>
        <s v="Textbook of Geriatric Dentistry"/>
        <s v="Examination of the Newborn : An Evidence-Based Guide"/>
        <s v="Emotion"/>
        <s v="Essential Clinical Neuroanatomy"/>
        <s v="Wireless Communications Systems Design"/>
        <s v="Medical Gases : Production, Applications, and Safety"/>
        <s v="Not Gay : Sex between Straight White Men"/>
        <s v="Happiness Choice : The Five Decisions That Will Take You From Where You Are to Where You Want to Be"/>
        <s v="Classic Questions and Contemporary Film : An Introduction to Philosophy"/>
        <s v="Bilingual Education : Teachers' Narratives"/>
        <s v="Critical Discourse Analysis : The Critical Study of Language"/>
        <s v="Environmental Microbiology : From Genomes to Biogeochemistry"/>
        <s v="Circle of the 9 Muses : A Storytelling Field Guide for Innovators and Meaning Makers"/>
        <s v="Textbook of Non-Medical Prescribing"/>
        <s v="Fundamentals of Scientific Research : An Introductory Laboratory Manual"/>
        <s v="MRI : Basic Principles and Applications"/>
        <s v="Radicals, Revolutionaries, and Terrorists"/>
        <s v="Teaching Physical Education : A Handbook for Primary and Secondary School Teachers"/>
        <s v="Ethnopharmacology"/>
        <s v="PSAT / NMSQT For Dummies"/>
        <s v="American Wine Economics : An Exploration of the U.S. Wine Industry"/>
        <s v="Love and Hate : Psychoanalytic Perspectives"/>
        <s v="iPad at Work For Dummies"/>
        <s v="On Love : A Philosophy for the Twenty-First Century"/>
        <s v="The Marriage Buyout : The Troubled Trajectory of U.S. Alimony Law"/>
        <s v="DIY Financial Advisor : A Simple Solution to Build and Protect Your Wealth"/>
        <s v="Group Therapy Treatment Planner, with DSM-5 Updates"/>
        <s v="How to Develop Your Career in Dentistry"/>
        <s v="Basics of Dental Technology : A Step by Step Approach"/>
        <s v="JavaScript For Kids For Dummies"/>
        <s v="Early Childhood Oral Health"/>
        <s v="NMR in Pharmaceutical Science"/>
        <s v="Bookkeeping All-In-One For Dummies"/>
        <s v="Early Earth : Accretion and Differentiation"/>
        <s v="Spreadable Media : Creating Value and Meaning in a Networked Culture"/>
        <s v="Expert Report Writing in Toxicology : Forensic, Scientific and Legal Aspects"/>
        <s v="Approaching Jonathan Edwards : The Evolution of a Persona"/>
        <s v="Advising Student Groups and Organizations"/>
        <s v="SAS Essentials : Mastering SAS for Data Analytics"/>
        <s v="Highways, Byways, and Road Systems in the Pre-Modern World"/>
        <s v="SQL fur Dummies"/>
        <s v="SQL For Dummies"/>
        <s v="Understanding Jihad"/>
        <s v="An Intimate Distance : Women, Artists and the Body"/>
        <s v="Citizens of Asian America : Democracy and Race during the Cold War"/>
        <s v="Grand Opera : The Story of the Met"/>
        <s v="Tuberculosis : Laboratory Diagnosis and Treatment Strategies"/>
        <s v="Patient Safety Culture : Theory, Methods and Application"/>
        <s v="R For Dummies"/>
        <s v="How To Talk To Absolutely Anyone : Confident Communication in Every Situation"/>
        <s v="Talk, Talk, Talk : The Cultural Life of Everyday Conversation"/>
        <s v="Ethics of Deconstruction : Derrida and Levinas"/>
        <s v="Children, Spirituality, Loss and Recovery"/>
        <s v="Naked : A Cultural History of American Nudism"/>
        <s v="Treatment Strategies for Substance Abuse and Process Addictions"/>
        <s v="The Heidegger Dictionary"/>
        <s v="Farm Animal Anesthesia : Cattle, Small Ruminants, Camelids, and Pigs"/>
        <s v="Rednecks, Queers, and Country Music"/>
        <s v="Islam and Other Religions : Pathways to Dialogue"/>
        <s v="Java For Dummies"/>
        <s v="Physics I Practice Problems For Dummies (+ Free Online Practice)"/>
        <s v="Christianity in the Modern World : Changes and Controversies"/>
        <s v="Digital Renaissance of Work : Delivering Digital Workplaces Fit for the Future"/>
        <s v="Dora Bruder"/>
        <s v="Beyond the Standard Model of Elementary Particle Physics"/>
        <s v="Treating Traumatized Children : A Casebook of Evidence-Based Therapies"/>
        <s v="Perspectives on Structure and Mechanism in Organic Chemistry"/>
        <s v="March's Advanced Organic Chemistry : Reactions, Mechanisms, and Structure"/>
        <s v="Get Rich with Dividends : A Proven System for Earning Double-Digit Returns"/>
        <s v="Supply Chain Visibility : From Theory to Practice"/>
        <s v="Amateur Cinema : The Rise of North American Moviemaking, 1923-1960"/>
        <s v="Encyclopaedia of Brewing"/>
        <s v="Spatial Simulation : Exploring Pattern and Process"/>
        <s v="Little 'Red Scares' : Anti-Communism and Political Repression in the United States, 1921-1946"/>
        <s v="French All-in-One For Dummies"/>
        <s v="Diversity at Work : The Practice of Inclusion"/>
        <s v="Plant Breeding"/>
        <s v="Concepts in Biotechnology : History, Science and Business"/>
        <s v="Theories of Multiculturalism : An Introduction"/>
        <s v="Anatomy and Physiology Workbook For Dummies"/>
        <s v="Transforming Citizenships : Transgender Articulations of the Law"/>
        <s v="Developing Restorative Justice Jurisprudence : Rethinking Responses to Criminal Wrongdoing"/>
        <s v="Fairy Tales, Myth, and Psychoanalytic Theory : Feminism and Retelling the Tale"/>
        <s v="Handbook of Electronic and Digital Acquisitions"/>
        <s v="Crimes against Nature : Squatters, Poachers, Thieves, and the Hidden History of American Conservation"/>
        <s v="The Informal Media Economy"/>
        <s v="Secular State Under Siege : Religion and Politics in Europe and America"/>
        <s v="Transcultural Communication"/>
        <s v="Practices of Selfhood"/>
        <s v="Latino Politics"/>
        <s v="Global Economy in Turbulent Times"/>
        <s v="Social Movements in Times of Austerity : Bringing Capitalism Back Into Protest Analysis"/>
        <s v="Groups as Agents"/>
        <s v="The Lure of Technocracy"/>
        <s v="General Theory of Victims"/>
        <s v="Ethnicity in China: A Critical Introduction"/>
        <s v="Native America : A History"/>
        <s v="What is Genocide?"/>
        <s v="Jerusalem : The Spatial Politics of a Divided Metropolis"/>
        <s v="Why the World Does Not Exist"/>
        <s v="Civil Resistance Today"/>
        <s v="Sex Addiction : A Critical History"/>
        <s v="Human Rights and Social Equality : Challenges for Social Work:Social Work-Social Development Volume I"/>
        <s v="Setting the Scene : Perspectives on Twentieth-Century Theatre Architecture"/>
        <s v="Mindfulness-Oriented Interventions for Trauma : Integrating Contemplative Practices"/>
        <s v="Tasting French Terroir : The History of an Idea"/>
        <s v="Food in Time and Place : The American Historical Association Companion to Food History"/>
        <s v="Word of Mouth : What We Talk About When We Talk About Food"/>
        <s v="All in Your Head : Making Sense of Pediatric Pain"/>
        <s v="Rebalancing Public Partnership : Innovative Practice Between Government and Nonprofits from Around the World"/>
        <s v="Gandhi in Political Theory : Truth, Law and Experiment"/>
        <s v="Critical Observations in Radiology for Medical Students"/>
        <s v="Axel Honneth"/>
        <s v="Ethnographic State : France and the Invention of Moroccan Islam"/>
        <s v="Persons and Things : From the Body's Point of View"/>
        <s v="Global Democratic Theory : A Critical Introduction"/>
        <s v="The End of Representative Politics"/>
        <s v="What is African American History?"/>
        <s v="Mobile Selves : Race, Migration, and Belonging in Peru and the U.S."/>
        <s v="The Securitization of Society : Crime, Risk, and Social Order"/>
        <s v="Ethnology and Empire : Languages, Literature, and the Making of the North American Borderlands"/>
        <s v="Empire, Colony, Postcolony"/>
        <s v="Phenomenology : An Introduction"/>
        <s v="Politics of Affect"/>
        <s v="Existentialist Moment : The Rise of Sartre as a Public Intellectual"/>
        <s v="Virginia Woolf and the Materiality of Theory : Sex, Animal, Life"/>
        <s v="Trust Matters : Leadership for Successful Schools"/>
        <s v="New York and Amsterdam : Immigration and the New Urban Landscape"/>
        <s v="The Possibility of Culture : Pleasure and Moral Development in Kant's Aesthetics"/>
        <s v="Virtue"/>
        <s v="Off-Screen Cinema : Isidore Isou and the Lettrist Avant-Garde"/>
        <s v="French Grammar For Dummies"/>
        <s v="Conceptions of Professionalism : Meaningful Standards in Financial Planning"/>
        <s v="Teaching Children with Autism to Mind-Read : The Workbook"/>
        <s v="Health Care Professionalism at a Glance"/>
        <s v="Research Process in Nursing"/>
        <s v="Dynamics of Law and Morality : A Pluralist Account of Legal Interactionism"/>
        <s v="Designing Early Literacy Programs, Second Edition : Differentiated Instruction in Preschool and Kindergarten"/>
        <s v="Office for iPad and Mac For Dummies"/>
        <s v="Mental Illness in the Workplace : Psychological Disability Management"/>
        <s v="Cancer Nutrition and Recipes For Dummies"/>
        <s v="Aztecs"/>
        <s v="The Battle of Bretton Woods : John Maynard Keynes, Harry Dexter White, and the Making of a New World Order"/>
        <s v="Interanimations : Receiving Modern German Philosophy"/>
        <s v="Fuckology : Critical Essays on John Money's Diagnostic Concepts"/>
        <s v="Popular Music Matters : Essays in Honour of Simon Frith"/>
        <s v="Pevsner : The Complete Broadcast Talks:Architecture and Art on Radio and Television, 1945-1977"/>
        <s v="Making Waves: The Story of Variationist Sociolinguistics"/>
        <s v="Level Up! The Guide to Great Video Game Design"/>
        <s v="Neo-Hegelian Theology : The God of Greatest Hospitality"/>
        <s v="Critical Geographies of Cycling : History, Political Economy and Culture"/>
        <s v="Field Guide to Grasses of California"/>
        <s v="Seeds : The Ecology of Regeneration in Plant Communities"/>
        <s v="Soil Chemistry"/>
        <s v="Greek Polis and the Invention of Democracy : A Politico-cultural Transformation and Its Interpretations"/>
        <s v="Guide to the English School in International Studies"/>
        <s v="Freedom's Right : The Social Foundations of Democratic Life"/>
        <s v="Short History of Migration"/>
        <s v="Introduction to the English School of International Relations : The Societal Approach"/>
        <s v="Dismantling Diasporas : Rethinking the Geographies of Diasporic Identity, Connection and Development"/>
        <s v="Mapping the Renaissance World : The Geographical Imagination in the Age of Discovery"/>
        <s v="Point Is To Change It : Geographies of Hope and Survival in an Age of Crisis"/>
        <s v="Longevity Seekers : Science, Business, and the Fountain of Youth"/>
        <s v="Failed States and the Origins of Violence : A Comparative Analysis of State Failure as a Root Cause of Terrorism and Political Violence"/>
        <s v="Negotiations in the Case Law of the International Court of Justice : A Functional Analysis"/>
        <s v="Teaching Strategic Processes in Reading, Second Edition"/>
        <s v="Beginning Microsoft SQL Server 2012 Programming"/>
        <s v="The Music Industry : Music in the Cloud"/>
        <s v="Smartphones as Locative Media"/>
        <s v="Visual Pollution : Advertising, Signage and Environmental Quality"/>
        <s v="Wildlife Ecology, Conservation, and Management"/>
        <s v="Disability and Discourse Analysis"/>
        <s v="Golden Holocaust : Origins of the Cigarette Catastrophe and the Case for Abolition"/>
        <s v="Judicial System and Reform in Post-Mao China : Stumbling Towards Justice"/>
        <s v="Cosmopolitanism and International Relations Theory"/>
        <s v="Ecology of North American Freshwater Fishes"/>
        <s v="The Data Warehouse Toolkit : The Definitive Guide to Dimensional Modeling"/>
        <s v="Age of Irreverence : A New History of Laughter in China"/>
        <s v="Embodiment : Phenomenological, Religious and Deconstructive Views on Living and Dying"/>
        <s v="Chronic Youth : Disability, Sexuality, and U.S. Media Cultures of Rehabilitation"/>
        <s v="Belonging : Solidarity and Division in Modern Societies"/>
        <s v="Human Geography : A Concise Introduction"/>
        <s v="Cuisine and Empire : Cooking in World History"/>
        <s v="Adult Nursing at a Glance"/>
        <s v="Greening of Architecture : A Critical History and Survey of Contemporary Sustainable Architecture and Urban Design"/>
        <s v="New Encyclopedia of Southern Culture : Volume 24: Race"/>
        <s v="From Rome to Byzantium AD 363 to 565 : The Transformation of Ancient Rome"/>
        <s v="Attention-Deficit Hyperactivity Disorder, Fourth Edition : A Handbook for Diagnosis and Treatment"/>
        <s v="Schubert's Lieder and the Philosophy of Early German Romanticism"/>
        <s v="Museum Space : Where Architecture Meets Museology"/>
        <s v="How Reason Almost Lost Its Mind : The Strange Career of Cold War Rationality"/>
        <s v="Contemporary Perspectives on Jane Jacobs : Reassessing the Impacts of an Urban Visionary"/>
        <s v="Sasanian World through Georgian Eyes : Caucasia and the Iranian Commonwealth in Late Antique Georgian Literature"/>
        <s v="Empire, Education, and Indigenous Childhoods : Nineteenth-Century Missionary Infant Schools in Three British Colonies"/>
        <s v="Representing Children in Chinese and U.S. Children's Literature"/>
        <s v="Traveling the 38th Parallel : A Water Line around the World"/>
        <s v="Learner-Centered Teaching : Five Key Changes to Practice"/>
        <s v="Invasive Species and Global Climate Change"/>
        <s v="Reading Literature Historically : Drama and Poetry from Chaucer to the Reformation"/>
        <s v="Female Transgression in Early Modern Britain : Literary and Historical Explorations"/>
        <s v="Towards a Refugee Oriented Right of Asylum"/>
        <s v="Spanish Grammar For Dummies"/>
        <s v="Richard Baxter's Reformed Liturgy : A Puritan Alternative to the Book of Common Prayer"/>
        <s v="Brewing Justice : Fair Trade Coffee, Sustainability, and Survival"/>
        <s v="30 Years After : Issues and Representations of the Falklands War"/>
        <s v="Sovereignty in Post-Sovereign Society : A Systems Theory of European Constitutionalism"/>
        <s v="Seeing the Light : Exploring Ethics Through Movies"/>
        <s v="Big Bucks : The Explosion of the Art Market in the 21st Century"/>
        <s v="Manhood and the Making of the Military : Conscription, Military Service and Masculinity in Finland, 1917–39"/>
        <s v="Fishes: A Guide to Their Diversity"/>
        <s v="Museum Representations of Maoist China : From Cultural Revolution to Commie Kitsch"/>
        <s v="Music and Transcendence"/>
        <s v="Manuscript Inscriptions in Early English Printed Music"/>
        <s v="Small Musical Worlds in the Mediterranean : Ethnicity, Globalization and Greek Cypriot Children's Musical Identities"/>
        <s v="Magister Jacobus de Ispania, Author of the Speculum musicae"/>
        <s v="Twenty-First-Century Legacy of the Beatles : Liverpool and Popular Music Heritage Tourism"/>
        <s v="From the chanson française to the canzone d'autore in the 1960s and 1970s : Authenticity, Authority, Influence"/>
        <s v="Pevsner : The BBC Years:Listening to the Visual Arts"/>
        <s v="Cracks in the Dome : Fractured Histories of Empire in the Zanzibar Museum, 1897-1964"/>
        <s v="Meaning of Modern Architecture : Its Inner Necessity and an Empathetic Reading"/>
        <s v="Show Must Go On! Popular Song in Britain During the First World War"/>
        <s v="Royal Fever : The British Monarchy in Consumer Culture"/>
        <s v="Classicism of the Twenties : Art, Music, and Literature"/>
        <s v="Linear Regression Analysis"/>
        <s v="Statistics for Exercise Science and Health with Microsoft Office Excel"/>
        <s v="Museums, Migration and Identity in Europe : Peoples, Places and Identities"/>
        <s v="Mobility and Migration Choices : Thresholds to Crossing Borders"/>
        <s v="How Forests Think : Toward an Anthropology Beyond the Human"/>
        <s v="Nomadic and Indigenous Spaces : Productions and Cognitions"/>
        <s v="Data Warehouse Lifecycle Toolkit"/>
        <s v="Washington Brotherhood : Politics, Social Life, and the Coming of the Civil War"/>
        <s v="Venezuela"/>
        <s v="Animal Andrology : Theories and Applications"/>
        <s v="Shamanism, Discourse, Modernity"/>
        <s v="Reading Intervention in the Primary Grades : A Common-Sense Guide to RTI"/>
        <s v="Comprehension Instruction, Third Edition : Research-Based Best Practices"/>
        <s v="The Final Pagan Generation"/>
        <s v="Anatomy and Anatomists in Early Modern Spain"/>
        <s v="Global Shift, Seventh Edition : Mapping the Changing Contours of the World Economy"/>
        <s v="History of Western Philosophy"/>
        <s v="Linux Essentials"/>
        <s v="The Birth of Territory"/>
        <s v="Life on Display : Revolutionizing U.S. Museums of Science and Natural History in the Twentieth Century"/>
        <s v="Mapping Gendered Routes and Spaces in the Early Modern World"/>
        <s v="iPhone Portable Genius"/>
        <s v="Attachment Theory and Research : New Directions and Emerging Themes"/>
        <s v="Emergent Urbanism : Urban Planning &amp; Design in Times of Structural and Systemic Change"/>
        <s v="Confirmatory Factor Analysis for Applied Research, Second Edition"/>
        <s v="101 Ready-To-Use Excel Macros"/>
        <s v="OS X Yosemite For Dummies"/>
        <s v="Large Carnivore Conservation : Integrating Science and Policy in the North American West"/>
        <s v="Secular Powers : Humility in Modern Political Thought"/>
        <s v="ADHD in the Schools, Third Edition : Assessment and Intervention Strategies"/>
        <s v="Between Cultural Diversity and Common Heritage : Legal and Religious Perspectives on the Sacred Places of the Mediterranean"/>
        <s v="Nursing Diagnoses 2012-14 : Definitions and Classification"/>
        <s v="What the Rest Think of the West : Since 600 AD"/>
        <s v="Evernote For Dummies"/>
        <s v="Liminality and the Modern : Living Through the In-Between"/>
        <s v="Invisible Chains : Overcoming Coercive Control in Your Intimate Relationship"/>
        <s v="Motivational Interviewing in Social Work Practice"/>
        <s v="Failure to Prevent World War I : The Unexpected Armageddon"/>
        <s v="Human Microbiota and Microbiome"/>
        <s v="Introduction to Community and Public Health"/>
        <s v="Explaining Abnormal Behavior : A Cognitive Neuroscience Perspective"/>
        <s v="Inventing Baby Food : Taste, Health, and the Industrialization of the American Diet"/>
        <s v="Patient Safety : Perspectives on Evidence, Information and Knowledge Transfer"/>
        <s v="Statistics and Probability with Applications for Engineers and Scientists"/>
        <s v="Improving Diets and Nutrition : Food-based Approaches"/>
        <s v="Global Social Transformation and Social Action : The Role of Social Workers:Social Work-Social Development Volume III"/>
        <s v="The Aims of Higher Education : Problems of Morality and Justice"/>
        <s v="Elephants and Kings : An Environmental History"/>
        <s v="Internal Migration : Geographical Perspectives and Processes"/>
        <s v="Hitchcock on Hitchcock, Volume 1 : Selected Writings and Interviews"/>
        <s v="Hitchcock on Hitchcock, Volume 2 : Selected Writings and Interviews"/>
        <s v="Arendt Contra Sociology : Theory, Society and its Science"/>
        <s v="Affectionate Authorities : Fathers and Fatherly Roles in Late Medieval Basel"/>
        <s v="Disability Services and Disability Studies in Higher Education : History, Contexts, and Social Impacts"/>
        <s v="Doug Kass on the Market : A Life on TheStreet"/>
        <s v="Beyond the Second Sophistic : Adventures in Greek Postclassicism"/>
        <s v="Teach Yourself VISUALLY OS X Yosemite"/>
        <s v="Shameless : The Canine and the Feminine in Ancient Greece"/>
        <s v="Communication, Sport and Disability : The Case of Power Soccer"/>
        <s v="Vitamin K2 and the Calcium Paradox : How a Little-Known Vitamin Could Save Your Life"/>
        <s v="Caring : A Relational Approach to Ethics and Moral Education"/>
        <s v="Qualitative Research from Start to Finish, Second Edition"/>
        <s v="Muslim Spain Reconsidered : From 711 to 1502"/>
        <s v="Reconstructing Restorative Justice Philosophy"/>
        <s v="Reflections on Imagination : Human Capacity and Ethnographic Method"/>
        <s v="Raspberries. Crop Production Science in Horticulture 23"/>
        <s v="CSS3 Foundations"/>
        <s v="Resource Handbook for Academic Deans"/>
        <s v="Wild Animal Skins in Victorian Britain : Zoos, Collections, Portraits, and Maps"/>
        <s v="Past Mobilities : Archaeological Approaches to Movement and Mobility"/>
        <s v="Empire of Religion : Imperialism and Comparative Religion"/>
        <s v="App Empire : Make Money, Have a Life, and Let Technology Work for You"/>
        <s v="The Neighbor : Three Inquiries in Political Theology, with a new Preface"/>
        <s v="Handbook of Autism and Pervasive Developmental Disorders, Assessment, Interventions, and Policy : Assessment, Interventions, and Policy"/>
        <s v="Building a Latino Civil Rights Movement : Puerto Ricans, African Americans, and the Pursuit of Racial Justice in New York City"/>
        <s v="Politics of Nostalgia in the Arabic Novel : Nation-State, Modernity and Tradition"/>
        <s v="Poetry of Jack Spicer"/>
        <s v="Unexpected : Narrative Temporality and the Philosophy of Surprise"/>
        <s v="Muriel Rukeyser and Documentary : The Poetics of Connection"/>
        <s v="New Frontiers : Law and Society in the Roman World"/>
        <s v="Plane Queer : Labor, Sexuality, and AIDS in the History of Male Flight Attendants"/>
        <s v="Honey, Olives, Octopus : Adventures at the Greek Table"/>
        <s v="Dual-Process Theories of the Social Mind"/>
      </sharedItems>
    </cacheField>
    <cacheField name="Document ID" numFmtId="0">
      <sharedItems containsSemiMixedTypes="0" containsString="0" containsNumber="1" containsInteger="1" minValue="183311" maxValue="4218781"/>
    </cacheField>
    <cacheField name="Publisher" numFmtId="0">
      <sharedItems count="21">
        <s v="Wiley"/>
        <s v="Ashgate Publishing Ltd"/>
        <s v="Taylor and Francis"/>
        <s v="University of California Press"/>
        <s v="Guilford Publications"/>
        <s v="NYU Press"/>
        <s v="Infobase Publishing"/>
        <s v="CABI"/>
        <s v="Wiley Textbooks"/>
        <s v="John Wiley &amp; Sons"/>
        <s v="Princeton University Press"/>
        <s v="University of Chicago Press"/>
        <s v="The University of North Carolina Press"/>
        <s v="John Wiley &amp; Sons, Incorporated"/>
        <s v="McFarland &amp; Company, Inc., Publishers"/>
        <s v="Bloomsbury Publishing"/>
        <s v="Palgrave Macmillan"/>
        <s v="Edinburgh University Press"/>
        <s v="Marshall Cavendish"/>
        <s v="John Wiley &amp; Sons, Inc."/>
        <s v="Joshua James Press"/>
      </sharedItems>
    </cacheField>
    <cacheField name="Subject" numFmtId="0">
      <sharedItems containsBlank="1"/>
    </cacheField>
    <cacheField name="eISBN" numFmtId="0">
      <sharedItems/>
    </cacheField>
    <cacheField name="Browsed" numFmtId="0">
      <sharedItems containsBlank="1" longText="1"/>
    </cacheField>
    <cacheField name="Total Pages Read" numFmtId="0">
      <sharedItems containsSemiMixedTypes="0" containsString="0" containsNumber="1" containsInteger="1" minValue="0" maxValue="387"/>
    </cacheField>
    <cacheField name="Copied" numFmtId="0">
      <sharedItems containsBlank="1"/>
    </cacheField>
    <cacheField name="Printed" numFmtId="0">
      <sharedItems containsBlank="1" longText="1"/>
    </cacheField>
    <cacheField name="Downloaded" numFmtId="0">
      <sharedItems/>
    </cacheField>
    <cacheField name="Type" numFmtId="0">
      <sharedItems count="4">
        <s v="Owned Loan"/>
        <s v="Owned Browse"/>
        <s v="Unowned Loan"/>
        <s v="Unowned Browse"/>
      </sharedItems>
    </cacheField>
    <cacheField name="LoanStart" numFmtId="0">
      <sharedItems containsNonDate="0" containsDate="1" containsString="0" containsBlank="1" minDate="2015-07-27T13:00:32" maxDate="2016-01-31T23:46:03"/>
    </cacheField>
    <cacheField name="LoanDays" numFmtId="0">
      <sharedItems containsString="0" containsBlank="1" containsNumber="1" containsInteger="1" minValue="1" maxValue="7"/>
    </cacheField>
    <cacheField name="IP" numFmtId="0">
      <sharedItems/>
    </cacheField>
    <cacheField name="LCC" numFmtId="0">
      <sharedItems containsBlank="1" containsMixedTypes="1" containsNumber="1" containsInteger="1" minValue="90024335" maxValue="2015015240"/>
    </cacheField>
    <cacheField name="Dewey" numFmtId="0">
      <sharedItems containsBlank="1" containsMixedTypes="1" containsNumber="1" minValue="1.3028500000000001" maxValue="987.06299999999999"/>
    </cacheField>
    <cacheField name="PublicationDate" numFmtId="0">
      <sharedItems containsDate="1" containsMixedTypes="1" minDate="1990-03-01T00:00:00" maxDate="2109-01-0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51">
  <r>
    <x v="0"/>
    <d v="1899-12-30T00:00:00"/>
    <x v="0"/>
    <x v="0"/>
    <s v="Buffalo"/>
    <x v="0"/>
    <n v="1120290"/>
    <x v="0"/>
    <s v="Language/Linguistics"/>
    <s v="9781118347478"/>
    <m/>
    <n v="0"/>
    <m/>
    <m/>
    <s v="Yes"/>
    <x v="0"/>
    <d v="2016-01-26T05:17:15"/>
    <n v="7"/>
    <s v="128.205.114.91"/>
    <s v="PE1133 .C34 2012"/>
    <n v="421"/>
    <d v="2012-07-11T00:00:00"/>
  </r>
  <r>
    <x v="1"/>
    <d v="1899-12-30T00:00:00"/>
    <x v="0"/>
    <x v="0"/>
    <s v="Buffalo"/>
    <x v="0"/>
    <n v="1120290"/>
    <x v="0"/>
    <s v="Language/Linguistics"/>
    <s v="9781118347478"/>
    <m/>
    <n v="0"/>
    <m/>
    <m/>
    <s v="Yes"/>
    <x v="0"/>
    <d v="2016-01-26T05:17:15"/>
    <n v="7"/>
    <s v="128.205.114.91"/>
    <s v="PE1133 .C34 2012"/>
    <n v="421"/>
    <d v="2012-07-11T00:00:00"/>
  </r>
  <r>
    <x v="2"/>
    <d v="1899-12-30T00:00:03"/>
    <x v="0"/>
    <x v="0"/>
    <s v="Buffalo"/>
    <x v="0"/>
    <n v="1120290"/>
    <x v="0"/>
    <s v="Language/Linguistics"/>
    <s v="9781118347478"/>
    <s v=",1,2,3"/>
    <n v="3"/>
    <m/>
    <m/>
    <s v="No"/>
    <x v="0"/>
    <d v="2016-01-26T05:17:15"/>
    <n v="7"/>
    <s v="128.205.114.91"/>
    <s v="PE1133 .C34 2012"/>
    <n v="421"/>
    <d v="2012-07-11T00:00:00"/>
  </r>
  <r>
    <x v="3"/>
    <d v="1899-12-30T00:00:31"/>
    <x v="1"/>
    <x v="1"/>
    <s v="brockport"/>
    <x v="1"/>
    <n v="1684620"/>
    <x v="0"/>
    <s v="Health; Social Science"/>
    <s v="9781118418925"/>
    <s v=",11,13,14,15,12,20,9"/>
    <n v="7"/>
    <m/>
    <m/>
    <s v="Yes"/>
    <x v="0"/>
    <d v="2016-01-31T23:46:03"/>
    <n v="7"/>
    <s v="137.21.7.121"/>
    <s v="RA971 -- .S56 2014eb"/>
    <n v="362.10680000000002"/>
    <d v="2014-04-30T00:00:00"/>
  </r>
  <r>
    <x v="3"/>
    <d v="1899-12-30T00:00:00"/>
    <x v="1"/>
    <x v="1"/>
    <s v="brockport"/>
    <x v="1"/>
    <n v="1684620"/>
    <x v="0"/>
    <s v="Health; Social Science"/>
    <s v="9781118418925"/>
    <m/>
    <n v="0"/>
    <m/>
    <m/>
    <s v="No"/>
    <x v="0"/>
    <d v="2016-01-31T23:46:03"/>
    <n v="7"/>
    <s v="137.21.7.121"/>
    <s v="RA971 -- .S56 2014eb"/>
    <n v="362.10680000000002"/>
    <d v="2014-04-30T00:00:00"/>
  </r>
  <r>
    <x v="4"/>
    <d v="1899-12-30T00:00:17"/>
    <x v="1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5"/>
    <d v="1899-12-30T00:00:00"/>
    <x v="2"/>
    <x v="0"/>
    <s v="Buffalo"/>
    <x v="2"/>
    <n v="2068034"/>
    <x v="1"/>
    <m/>
    <s v="9781472416742"/>
    <m/>
    <n v="0"/>
    <m/>
    <s v=",56,57,58,59,60,61,62,63,64,65,66,67"/>
    <s v="No"/>
    <x v="2"/>
    <d v="2016-01-31T23:40:23"/>
    <n v="1"/>
    <s v="128.205.114.91"/>
    <m/>
    <s v="820.9''36"/>
    <d v="2015-08-28T00:00:00"/>
  </r>
  <r>
    <x v="6"/>
    <d v="1899-12-30T00:01:03"/>
    <x v="2"/>
    <x v="0"/>
    <s v="Buffalo"/>
    <x v="2"/>
    <n v="2068034"/>
    <x v="1"/>
    <m/>
    <s v="9781472416742"/>
    <s v=",1,56,57,58,54,55,2"/>
    <n v="7"/>
    <m/>
    <m/>
    <s v="No"/>
    <x v="3"/>
    <m/>
    <m/>
    <s v="128.205.114.91"/>
    <m/>
    <s v="820.9''36"/>
    <d v="2015-08-28T00:00:00"/>
  </r>
  <r>
    <x v="7"/>
    <d v="1899-12-30T00:01:11"/>
    <x v="3"/>
    <x v="0"/>
    <s v="Buffalo"/>
    <x v="3"/>
    <n v="822040"/>
    <x v="0"/>
    <s v="Literature; Psychology"/>
    <s v="9781118289099"/>
    <s v=",105,83,73"/>
    <n v="3"/>
    <m/>
    <m/>
    <s v="No"/>
    <x v="0"/>
    <d v="2016-01-31T23:37:50"/>
    <n v="7"/>
    <s v="128.205.114.91"/>
    <s v="BF76.7 -- .B447 2012eb"/>
    <s v="808.06/615"/>
    <d v="2012-03-22T00:00:00"/>
  </r>
  <r>
    <x v="8"/>
    <d v="1899-12-30T00:01:47"/>
    <x v="3"/>
    <x v="0"/>
    <s v="Buffalo"/>
    <x v="3"/>
    <n v="822040"/>
    <x v="0"/>
    <s v="Literature; Psychology"/>
    <s v="9781118289099"/>
    <s v=",1,2,3,23,24,25,21,22,35,36,37,33,34,83,84,85,81,82,73,74,75,71,72,114,115,116,112,113,105,106,107,103,104"/>
    <n v="33"/>
    <m/>
    <m/>
    <s v="No"/>
    <x v="1"/>
    <m/>
    <m/>
    <s v="128.205.114.91"/>
    <s v="BF76.7 -- .B447 2012eb"/>
    <s v="808.06/615"/>
    <d v="2012-03-22T00:00:00"/>
  </r>
  <r>
    <x v="9"/>
    <d v="1899-12-30T02:24:48"/>
    <x v="4"/>
    <x v="1"/>
    <s v="brockport"/>
    <x v="1"/>
    <n v="1684620"/>
    <x v="0"/>
    <s v="Health; Social Science"/>
    <s v="9781118418925"/>
    <s v=",17,18,19,20,18,19,20,15,14,13,25,26,27,23,24,28,29,30,31,32,33,34,37,38,39,35,36,41,40,43,42,9,6,7,44,1,3,45,46,47,48,49,50,51,52,53,54,55,56"/>
    <n v="46"/>
    <m/>
    <m/>
    <s v="No"/>
    <x v="0"/>
    <d v="2016-01-31T22:46:32"/>
    <n v="7"/>
    <s v="137.21.7.121"/>
    <s v="RA971 -- .S56 2014eb"/>
    <n v="362.10680000000002"/>
    <d v="2014-04-30T00:00:00"/>
  </r>
  <r>
    <x v="10"/>
    <d v="1899-12-30T00:00:06"/>
    <x v="5"/>
    <x v="0"/>
    <s v="Buffalo"/>
    <x v="4"/>
    <n v="699526"/>
    <x v="0"/>
    <s v="Science; Computer Science/IT"/>
    <s v="9781118586006"/>
    <s v=",2,2"/>
    <n v="1"/>
    <m/>
    <m/>
    <s v="Yes"/>
    <x v="0"/>
    <d v="2016-01-31T22:22:16"/>
    <n v="7"/>
    <s v="128.205.114.91"/>
    <s v="Q327 -- .D83 2001eb"/>
    <n v="6.4"/>
    <d v="2012-11-09T00:00:00"/>
  </r>
  <r>
    <x v="11"/>
    <d v="1899-12-30T00:00:06"/>
    <x v="5"/>
    <x v="0"/>
    <s v="Buffalo"/>
    <x v="4"/>
    <n v="699526"/>
    <x v="0"/>
    <s v="Science; Computer Science/IT"/>
    <s v="9781118586006"/>
    <s v=",1,2,3,2,1,3"/>
    <n v="3"/>
    <m/>
    <m/>
    <s v="No"/>
    <x v="0"/>
    <d v="2016-01-31T22:22:16"/>
    <n v="7"/>
    <s v="128.205.114.91"/>
    <s v="Q327 -- .D83 2001eb"/>
    <n v="6.4"/>
    <d v="2012-11-09T00:00:00"/>
  </r>
  <r>
    <x v="12"/>
    <d v="1899-12-30T00:50:13"/>
    <x v="6"/>
    <x v="1"/>
    <s v="brockport"/>
    <x v="5"/>
    <n v="1474788"/>
    <x v="2"/>
    <s v="Education"/>
    <s v="9781317922407"/>
    <s v=",300,301,302,304,305,306,307,308,309,310,311,312,313,314,315,316,317,318,319,320,321,322,323,324,325,326,327,328,329,330,331,332,333,334,335,336,337,338,339,340,341,342,343,344,345,346,347,348,349,350,351,352,353,354,355,356,357,358,359,360,361,362,364,365,366,367,369,370,356,346,330,316,310,312,308,309,306,307,301,299,300,297,298,296,295,294,293,292,288,289,290,291,298,299,300,301,302,303,304,305,306,307,308,309,310,311,312,313,314,315"/>
    <n v="81"/>
    <s v=",295"/>
    <m/>
    <s v="No"/>
    <x v="2"/>
    <d v="2016-01-31T22:24:06"/>
    <n v="1"/>
    <s v="137.21.7.121"/>
    <s v="LC221 -- .P39 2013eb"/>
    <n v="371.19200000000001"/>
    <d v="2013-10-11T00:00:00"/>
  </r>
  <r>
    <x v="13"/>
    <d v="1899-12-30T00:00:00"/>
    <x v="5"/>
    <x v="0"/>
    <s v="Buffalo"/>
    <x v="4"/>
    <n v="699526"/>
    <x v="0"/>
    <s v="Science; Computer Science/IT"/>
    <s v="9781118586006"/>
    <m/>
    <n v="0"/>
    <m/>
    <m/>
    <s v="Yes"/>
    <x v="0"/>
    <d v="2016-01-31T22:22:16"/>
    <n v="7"/>
    <s v="128.205.114.91"/>
    <s v="Q327 -- .D83 2001eb"/>
    <n v="6.4"/>
    <d v="2012-11-09T00:00:00"/>
  </r>
  <r>
    <x v="14"/>
    <d v="1899-12-30T00:00:04"/>
    <x v="5"/>
    <x v="0"/>
    <s v="Buffalo"/>
    <x v="4"/>
    <n v="699526"/>
    <x v="0"/>
    <s v="Science; Computer Science/IT"/>
    <s v="9781118586006"/>
    <s v=",1,2,2,3,3,1"/>
    <n v="3"/>
    <m/>
    <m/>
    <s v="No"/>
    <x v="0"/>
    <d v="2016-01-31T22:22:16"/>
    <n v="7"/>
    <s v="128.205.114.91"/>
    <s v="Q327 -- .D83 2001eb"/>
    <n v="6.4"/>
    <d v="2012-11-09T00:00:00"/>
  </r>
  <r>
    <x v="15"/>
    <d v="1899-12-30T00:00:04"/>
    <x v="5"/>
    <x v="0"/>
    <s v="Buffalo"/>
    <x v="4"/>
    <n v="699526"/>
    <x v="0"/>
    <s v="Science; Computer Science/IT"/>
    <s v="9781118586006"/>
    <m/>
    <n v="0"/>
    <m/>
    <m/>
    <s v="No"/>
    <x v="1"/>
    <m/>
    <m/>
    <s v="128.205.114.91"/>
    <s v="Q327 -- .D83 2001eb"/>
    <n v="6.4"/>
    <d v="2012-11-09T00:00:00"/>
  </r>
  <r>
    <x v="16"/>
    <d v="1899-12-30T00:24:41"/>
    <x v="4"/>
    <x v="1"/>
    <s v="brockport"/>
    <x v="1"/>
    <n v="1684620"/>
    <x v="0"/>
    <s v="Health; Social Science"/>
    <s v="9781118418925"/>
    <s v=",1,2,3,13,14,15,11,12,16,17,18,19,20,31,32,33,30,29,35,36,37,38,39,40,41,42,43,34,13,14,15,11,12,16"/>
    <n v="28"/>
    <m/>
    <m/>
    <s v="No"/>
    <x v="1"/>
    <m/>
    <m/>
    <s v="137.21.7.121"/>
    <s v="RA971 -- .S56 2014eb"/>
    <n v="362.10680000000002"/>
    <d v="2014-04-30T00:00:00"/>
  </r>
  <r>
    <x v="17"/>
    <d v="1899-12-30T00:00:05"/>
    <x v="5"/>
    <x v="0"/>
    <s v="Buffalo"/>
    <x v="4"/>
    <n v="699526"/>
    <x v="0"/>
    <s v="Science; Computer Science/IT"/>
    <s v="9781118586006"/>
    <s v=",1,2,3"/>
    <n v="3"/>
    <m/>
    <m/>
    <s v="No"/>
    <x v="1"/>
    <m/>
    <m/>
    <s v="128.205.114.91"/>
    <s v="Q327 -- .D83 2001eb"/>
    <n v="6.4"/>
    <d v="2012-11-09T00:00:00"/>
  </r>
  <r>
    <x v="18"/>
    <d v="1899-12-30T00:00:04"/>
    <x v="5"/>
    <x v="0"/>
    <s v="Buffalo"/>
    <x v="4"/>
    <n v="699526"/>
    <x v="0"/>
    <s v="Science; Computer Science/IT"/>
    <s v="9781118586006"/>
    <s v=",1,2,3"/>
    <n v="3"/>
    <m/>
    <m/>
    <s v="No"/>
    <x v="1"/>
    <m/>
    <m/>
    <s v="128.205.114.91"/>
    <s v="Q327 -- .D83 2001eb"/>
    <n v="6.4"/>
    <d v="2012-11-09T00:00:00"/>
  </r>
  <r>
    <x v="19"/>
    <d v="1899-12-30T00:05:12"/>
    <x v="6"/>
    <x v="1"/>
    <s v="brockport"/>
    <x v="5"/>
    <n v="1474788"/>
    <x v="2"/>
    <s v="Education"/>
    <s v="9781317922407"/>
    <s v=",1,2,3,78,79,77,76,80,81,82,320,321,322,319,318,317,316,314,313,301,302,303,299,300,298,297,296,295,294,293"/>
    <n v="30"/>
    <m/>
    <m/>
    <s v="No"/>
    <x v="3"/>
    <m/>
    <m/>
    <s v="137.21.7.121"/>
    <s v="LC221 -- .P39 2013eb"/>
    <n v="371.19200000000001"/>
    <d v="2013-10-11T00:00:00"/>
  </r>
  <r>
    <x v="20"/>
    <d v="1899-12-30T00:09:49"/>
    <x v="5"/>
    <x v="0"/>
    <s v="Buffalo"/>
    <x v="4"/>
    <n v="699526"/>
    <x v="0"/>
    <s v="Science; Computer Science/IT"/>
    <s v="9781118586006"/>
    <s v=",1,2,3,25,26,27,23,24,625,626,627,623,624"/>
    <n v="13"/>
    <m/>
    <m/>
    <s v="No"/>
    <x v="1"/>
    <m/>
    <m/>
    <s v="128.205.114.91"/>
    <s v="Q327 -- .D83 2001eb"/>
    <n v="6.4"/>
    <d v="2012-11-09T00:00:00"/>
  </r>
  <r>
    <x v="21"/>
    <d v="1899-12-30T00:48:32"/>
    <x v="7"/>
    <x v="0"/>
    <s v="Buffalo"/>
    <x v="6"/>
    <n v="1635363"/>
    <x v="0"/>
    <s v="Law"/>
    <s v="9781118678206"/>
    <s v=",1,2,3,96,97,98,94,95,99,123,124,125,121,122,126,127,128,100,101,121,129,130,131,132,133"/>
    <n v="24"/>
    <m/>
    <m/>
    <s v="No"/>
    <x v="0"/>
    <d v="2016-01-26T00:10:14"/>
    <n v="7"/>
    <s v="128.205.114.91"/>
    <s v="KF285.Z9 -- H38 2014eb"/>
    <n v="340.07600000000002"/>
    <d v="2014-02-14T00:00:00"/>
  </r>
  <r>
    <x v="22"/>
    <d v="1899-12-30T00:00:11"/>
    <x v="8"/>
    <x v="0"/>
    <s v="Buffalo"/>
    <x v="7"/>
    <n v="1711065"/>
    <x v="3"/>
    <s v="Political Science; Social Science"/>
    <s v="9780520959156"/>
    <s v=",1,2,3,4,5"/>
    <n v="5"/>
    <m/>
    <m/>
    <s v="No"/>
    <x v="1"/>
    <m/>
    <m/>
    <s v="128.205.114.91"/>
    <s v="JV6450 -- .P67 2014eb"/>
    <s v="304.8/73"/>
    <d v="2014-08-30T00:00:00"/>
  </r>
  <r>
    <x v="23"/>
    <d v="1899-12-30T00:36:47"/>
    <x v="9"/>
    <x v="0"/>
    <s v="Buffalo"/>
    <x v="8"/>
    <n v="1683360"/>
    <x v="4"/>
    <s v="General Works/Reference; Social Science"/>
    <s v="9781462516032"/>
    <s v=",1,144,145,146,142,143,2,147,148,149,150,151,152,153,154,155,156,157,158,159,127,128,129,125,126,130,131,132,133,134,135,136,137,138,139,140,141,142,143,144,145,146,147,148,149,150,151,152,153,395,396,397,393,394"/>
    <n v="42"/>
    <m/>
    <m/>
    <s v="No"/>
    <x v="0"/>
    <d v="2016-01-31T15:03:34"/>
    <n v="7"/>
    <s v="128.205.114.91"/>
    <s v="H62 -- .S454 2014eb"/>
    <n v="1.42"/>
    <d v="2014-07-03T00:00:00"/>
  </r>
  <r>
    <x v="24"/>
    <d v="1899-12-30T00:00:11"/>
    <x v="10"/>
    <x v="0"/>
    <s v="Buffalo"/>
    <x v="9"/>
    <n v="1882153"/>
    <x v="0"/>
    <s v="Business/Management"/>
    <s v="9781118896891"/>
    <s v=",1,2,3,4,5,6,7"/>
    <n v="7"/>
    <m/>
    <m/>
    <s v="No"/>
    <x v="3"/>
    <m/>
    <m/>
    <s v="128.205.114.91"/>
    <s v="HF5668.25 -- .P367 2015eb"/>
    <s v="657/.458"/>
    <d v="2014-12-01T00:00:00"/>
  </r>
  <r>
    <x v="25"/>
    <d v="1899-12-30T02:46:08"/>
    <x v="11"/>
    <x v="1"/>
    <s v="brockport"/>
    <x v="1"/>
    <n v="1684620"/>
    <x v="0"/>
    <s v="Health; Social Science"/>
    <s v="9781118418925"/>
    <s v=",1,1,2,3,2,3,2,2,4,4,5,5,6,6,7,7,8,8,9,9,11,11,12,13,12,10,13,10,14,14,15,15,16,16,17,17,18,18,19,19,20,20,21,21,22,22,23,23,24,24,25,25,26,26,27,27,28,28,29,29,30,30,31,31,32,32,33,33,34,34,35,35,36,36,37,37,38,38,39,39,40,40,35,34,33,32,31,30,29,34,35,36,31,36,37,38,39,40,41,41,42,42,37,36,41,42,43,43,44,44,45,45,46,46,47,47,48,48,49,49,50,50,45,44,43,42,41,46,47,48,49,50,51,51,52,52,53,53,54,54,55,55,56,56,25,26,27,23,24,79,79,80,80,81,81,77,78,78,59,59,60,61,60,61,57,58,58,62,62,50,51,52,48,49,53,54,55,56,57,52,51,50,55,56,57"/>
    <n v="67"/>
    <m/>
    <m/>
    <s v="No"/>
    <x v="0"/>
    <d v="2016-01-28T19:28:17"/>
    <n v="7"/>
    <s v="137.21.7.121"/>
    <s v="RA971 -- .S56 2014eb"/>
    <n v="362.10680000000002"/>
    <d v="2014-04-30T00:00:00"/>
  </r>
  <r>
    <x v="26"/>
    <d v="1899-12-30T00:04:32"/>
    <x v="12"/>
    <x v="1"/>
    <s v="brockport"/>
    <x v="1"/>
    <n v="1684620"/>
    <x v="0"/>
    <s v="Health; Social Science"/>
    <s v="9781118418925"/>
    <s v=",5,6,7,11,12,13,19,20,21,26,27,28,24,25,29,30"/>
    <n v="16"/>
    <s v=",1"/>
    <m/>
    <s v="No"/>
    <x v="0"/>
    <d v="2016-01-31T19:45:34"/>
    <n v="7"/>
    <s v="137.21.7.121"/>
    <s v="RA971 -- .S56 2014eb"/>
    <n v="362.10680000000002"/>
    <d v="2014-04-30T00:00:00"/>
  </r>
  <r>
    <x v="27"/>
    <d v="1899-12-30T00:00:12"/>
    <x v="12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28"/>
    <d v="1899-12-30T00:00:08"/>
    <x v="13"/>
    <x v="0"/>
    <s v="Buffalo"/>
    <x v="10"/>
    <n v="4035861"/>
    <x v="0"/>
    <s v="Business/Management; Economics"/>
    <s v="9781118498927"/>
    <s v=",1,2,3,4,5"/>
    <n v="5"/>
    <m/>
    <m/>
    <s v="No"/>
    <x v="3"/>
    <m/>
    <m/>
    <s v="128.205.114.91"/>
    <s v="HG4529 -- .L56 2016eb"/>
    <n v="332.63204200000001"/>
    <d v="2015-06-08T00:00:00"/>
  </r>
  <r>
    <x v="29"/>
    <d v="1899-12-30T00:07:49"/>
    <x v="14"/>
    <x v="1"/>
    <s v="brockport"/>
    <x v="11"/>
    <n v="693176"/>
    <x v="0"/>
    <s v="Engineering: Manufacturing; General Works/Reference; Engineering"/>
    <s v="9781118017746"/>
    <s v=",1,2,3,38,39,40,41,42,43,44,45,46,47,48,49,50,47,48,49,45,46,50,51,52,53,54,55,56,57,58,59,60,61,62,63"/>
    <n v="29"/>
    <m/>
    <m/>
    <s v="No"/>
    <x v="0"/>
    <d v="2016-01-26T22:11:59"/>
    <n v="7"/>
    <s v="137.21.7.121"/>
    <s v="Z246 -- .M43 2012eb"/>
    <s v="686.2/209"/>
    <d v="2011-10-19T00:00:00"/>
  </r>
  <r>
    <x v="30"/>
    <d v="1899-12-30T00:00:03"/>
    <x v="15"/>
    <x v="2"/>
    <s v="hilbert"/>
    <x v="12"/>
    <n v="1154341"/>
    <x v="0"/>
    <s v="Social Science"/>
    <s v="9781118505014"/>
    <s v=",1,2,3"/>
    <n v="3"/>
    <m/>
    <m/>
    <s v="No"/>
    <x v="1"/>
    <m/>
    <m/>
    <s v="72.45.217.43"/>
    <s v="HV8077 -- .H4293 2013eb"/>
    <s v="363.25/62"/>
    <d v="2013-03-11T00:00:00"/>
  </r>
  <r>
    <x v="31"/>
    <d v="1899-12-30T00:04:40"/>
    <x v="16"/>
    <x v="3"/>
    <s v="canton"/>
    <x v="11"/>
    <n v="693176"/>
    <x v="0"/>
    <s v="Engineering: Manufacturing; General Works/Reference; Engineering"/>
    <s v="9781118017746"/>
    <s v=",30,31,32,33,34,35,36,37,38,39,40,41,42,80,81,82,78,83,79,84,85,86,87,88,89,90,91,92,93,94,95,96,97,114,115,116,112,113,117,118,156,157,158,154,159,155,160,161,162,163,164,165,166,167,50,51,62,63,64,60,61,65,66,67,68,69,70,71,72,73,74,75,76,77,78,79,80,81,84,85,86,82,83,87"/>
    <n v="74"/>
    <m/>
    <m/>
    <s v="No"/>
    <x v="0"/>
    <d v="2016-01-31T18:40:46"/>
    <n v="7"/>
    <s v="137.37.33.33"/>
    <s v="Z246 -- .M43 2012eb"/>
    <s v="686.2/209"/>
    <d v="2011-10-19T00:00:00"/>
  </r>
  <r>
    <x v="32"/>
    <d v="1899-12-30T00:41:49"/>
    <x v="6"/>
    <x v="1"/>
    <s v="brockport"/>
    <x v="13"/>
    <n v="1474736"/>
    <x v="2"/>
    <m/>
    <s v="9781317923275"/>
    <s v=",1,2,3,365,366,363,364,368,369,370,371,372,373,374,367"/>
    <n v="15"/>
    <m/>
    <m/>
    <s v="Yes"/>
    <x v="2"/>
    <d v="2016-01-31T18:13:17"/>
    <n v="1"/>
    <s v="137.21.7.121"/>
    <m/>
    <m/>
    <d v="2013-10-11T00:00:00"/>
  </r>
  <r>
    <x v="33"/>
    <d v="1899-12-30T00:12:16"/>
    <x v="16"/>
    <x v="3"/>
    <s v="canton"/>
    <x v="11"/>
    <n v="693176"/>
    <x v="0"/>
    <s v="Engineering: Manufacturing; General Works/Reference; Engineering"/>
    <s v="9781118017746"/>
    <s v=",1,2,3,22,23,24,20,21,25,23,24,22,25,21,23,20,25,1,3,2,7,8,9,5,6,10,4,26,27,28,29"/>
    <n v="20"/>
    <m/>
    <m/>
    <s v="No"/>
    <x v="1"/>
    <m/>
    <m/>
    <s v="137.37.33.33"/>
    <s v="Z246 -- .M43 2012eb"/>
    <s v="686.2/209"/>
    <d v="2011-10-19T00:00:00"/>
  </r>
  <r>
    <x v="34"/>
    <d v="1899-12-30T00:15:46"/>
    <x v="6"/>
    <x v="1"/>
    <s v="brockport"/>
    <x v="13"/>
    <n v="1474736"/>
    <x v="2"/>
    <m/>
    <s v="9781317923275"/>
    <s v=",372,373,374,375,403,404,405,401,402,406,376,377,378,379,380,381,382,359,360,361,357,358,355,356,353,354,362,363,327,328,329,325,326,330,331,332,333,334,335,336,337,338,339,344,345,347,348,349,346,362,363,364,360,361,365,366,367,368,369,370,371,372,373,374"/>
    <n v="57"/>
    <m/>
    <m/>
    <s v="No"/>
    <x v="2"/>
    <d v="2016-01-31T18:13:17"/>
    <n v="1"/>
    <s v="137.21.7.121"/>
    <m/>
    <m/>
    <d v="2013-10-11T00:00:00"/>
  </r>
  <r>
    <x v="35"/>
    <d v="1899-12-30T00:05:05"/>
    <x v="6"/>
    <x v="1"/>
    <s v="brockport"/>
    <x v="13"/>
    <n v="1474736"/>
    <x v="2"/>
    <m/>
    <s v="9781317923275"/>
    <s v=",1,2,3,25,26,27,23,24,28,29,30,31,32,33,34,35,36,37,38,39,40,41,42,43,44,45,187,188,189,186,190,191,192,193,194,327,328,329,325,326,330,332,333,365,366,367,363,364,368,369,370,371"/>
    <n v="52"/>
    <m/>
    <m/>
    <s v="No"/>
    <x v="3"/>
    <m/>
    <m/>
    <s v="137.21.7.121"/>
    <m/>
    <m/>
    <d v="2013-10-11T00:00:00"/>
  </r>
  <r>
    <x v="36"/>
    <d v="1899-12-30T00:00:00"/>
    <x v="13"/>
    <x v="0"/>
    <s v="Buffalo"/>
    <x v="14"/>
    <n v="4054152"/>
    <x v="0"/>
    <m/>
    <s v="9781119078197"/>
    <m/>
    <n v="0"/>
    <m/>
    <m/>
    <s v="Yes"/>
    <x v="0"/>
    <d v="2016-01-31T17:49:32"/>
    <n v="7"/>
    <s v="128.205.114.91"/>
    <m/>
    <m/>
    <d v="2015-09-21T00:00:00"/>
  </r>
  <r>
    <x v="36"/>
    <d v="1899-12-30T00:00:00"/>
    <x v="13"/>
    <x v="0"/>
    <s v="Buffalo"/>
    <x v="14"/>
    <n v="4054152"/>
    <x v="0"/>
    <m/>
    <s v="9781119078197"/>
    <m/>
    <n v="0"/>
    <m/>
    <m/>
    <s v="No"/>
    <x v="0"/>
    <d v="2016-01-31T17:49:32"/>
    <n v="7"/>
    <s v="128.205.114.91"/>
    <m/>
    <m/>
    <d v="2015-09-21T00:00:00"/>
  </r>
  <r>
    <x v="37"/>
    <d v="1899-12-30T00:01:39"/>
    <x v="13"/>
    <x v="0"/>
    <s v="Buffalo"/>
    <x v="14"/>
    <n v="4054152"/>
    <x v="0"/>
    <m/>
    <s v="9781119078197"/>
    <s v=",1,2,3,4,6,15,16,17,14,13,17,13,14,18"/>
    <n v="11"/>
    <m/>
    <m/>
    <s v="No"/>
    <x v="3"/>
    <m/>
    <m/>
    <s v="128.205.114.91"/>
    <m/>
    <m/>
    <d v="2015-09-21T00:00:00"/>
  </r>
  <r>
    <x v="38"/>
    <d v="1899-12-30T01:00:47"/>
    <x v="11"/>
    <x v="1"/>
    <s v="brockport"/>
    <x v="1"/>
    <n v="1684620"/>
    <x v="0"/>
    <s v="Health; Social Science"/>
    <s v="9781118418925"/>
    <s v=",1,2,3,4,5,6,7,8,9,10,11,12,13,14,15,16,2,1,3,1,2,3,1,2,3,1,2,3,4,19,20,21,13,14,15,11,12,16,1,2,3,1,2,3,4,13,14,15,11,12,16,17,18,1,2,3,1,2,3,4,5,13,14,15,11,12,16,17,18,1,3,2"/>
    <n v="21"/>
    <m/>
    <m/>
    <s v="Yes"/>
    <x v="0"/>
    <d v="2016-01-28T19:28:17"/>
    <n v="7"/>
    <s v="137.21.7.121"/>
    <s v="RA971 -- .S56 2014eb"/>
    <n v="362.10680000000002"/>
    <d v="2014-04-30T00:00:00"/>
  </r>
  <r>
    <x v="39"/>
    <d v="1899-12-30T00:00:08"/>
    <x v="11"/>
    <x v="1"/>
    <s v="brockport"/>
    <x v="1"/>
    <n v="1684620"/>
    <x v="0"/>
    <s v="Health; Social Science"/>
    <s v="9781118418925"/>
    <s v=",1,2,3"/>
    <n v="3"/>
    <m/>
    <m/>
    <s v="Yes"/>
    <x v="0"/>
    <d v="2016-01-28T19:28:17"/>
    <n v="7"/>
    <s v="137.21.7.121"/>
    <s v="RA971 -- .S56 2014eb"/>
    <n v="362.10680000000002"/>
    <d v="2014-04-30T00:00:00"/>
  </r>
  <r>
    <x v="40"/>
    <d v="1899-12-30T00:00:03"/>
    <x v="11"/>
    <x v="1"/>
    <s v="brockport"/>
    <x v="1"/>
    <n v="1684620"/>
    <x v="0"/>
    <s v="Health; Social Science"/>
    <s v="9781118418925"/>
    <s v=",1,2,3"/>
    <n v="3"/>
    <m/>
    <m/>
    <s v="No"/>
    <x v="0"/>
    <d v="2016-01-28T19:28:17"/>
    <n v="7"/>
    <s v="137.21.7.121"/>
    <s v="RA971 -- .S56 2014eb"/>
    <n v="362.10680000000002"/>
    <d v="2014-04-30T00:00:00"/>
  </r>
  <r>
    <x v="41"/>
    <d v="1899-12-30T00:02:24"/>
    <x v="17"/>
    <x v="0"/>
    <s v="Buffalo"/>
    <x v="15"/>
    <n v="3564338"/>
    <x v="5"/>
    <s v="Social Science"/>
    <s v="9781479824700"/>
    <s v=",1,2,3,16,17,18,14,15,19"/>
    <n v="9"/>
    <m/>
    <m/>
    <s v="No"/>
    <x v="0"/>
    <d v="2016-01-30T19:36:57"/>
    <n v="7"/>
    <s v="128.205.114.91"/>
    <s v="HQ76.2.U5 -- .H36 2015eb"/>
    <s v="306.76089/95073"/>
    <d v="2015-05-08T00:00:00"/>
  </r>
  <r>
    <x v="42"/>
    <d v="1899-12-30T00:07:36"/>
    <x v="11"/>
    <x v="1"/>
    <s v="brockport"/>
    <x v="1"/>
    <n v="1684620"/>
    <x v="0"/>
    <s v="Health; Social Science"/>
    <s v="9781118418925"/>
    <s v=",16,16"/>
    <n v="1"/>
    <m/>
    <m/>
    <s v="Yes"/>
    <x v="0"/>
    <d v="2016-01-28T19:28:17"/>
    <n v="7"/>
    <s v="137.21.7.121"/>
    <s v="RA971 -- .S56 2014eb"/>
    <n v="362.10680000000002"/>
    <d v="2014-04-30T00:00:00"/>
  </r>
  <r>
    <x v="43"/>
    <d v="1899-12-30T00:01:04"/>
    <x v="11"/>
    <x v="1"/>
    <s v="brockport"/>
    <x v="1"/>
    <n v="1684620"/>
    <x v="0"/>
    <s v="Health; Social Science"/>
    <s v="9781118418925"/>
    <s v=",1,2,1,2,3,3,2,2,19,20,19,20,21,21,17,18,18,11,11,12,12,13,13,9,10,10,14,14,15,15"/>
    <n v="15"/>
    <m/>
    <m/>
    <s v="No"/>
    <x v="0"/>
    <d v="2016-01-28T19:28:17"/>
    <n v="7"/>
    <s v="137.21.7.121"/>
    <s v="RA971 -- .S56 2014eb"/>
    <n v="362.10680000000002"/>
    <d v="2014-04-30T00:00:00"/>
  </r>
  <r>
    <x v="44"/>
    <d v="1899-12-30T00:12:15"/>
    <x v="18"/>
    <x v="4"/>
    <s v="monroe2boces"/>
    <x v="16"/>
    <n v="877717"/>
    <x v="6"/>
    <s v="Fine Arts"/>
    <s v="9781438139265"/>
    <s v=",1,2,3,79,80,81,77,78,82"/>
    <n v="9"/>
    <m/>
    <m/>
    <s v="No"/>
    <x v="0"/>
    <d v="2016-01-30T18:38:20"/>
    <n v="7"/>
    <s v="104.229.32.13"/>
    <s v="PN1998.3.M577 -- L46 2012eb"/>
    <s v="791.4302/33092; B"/>
    <d v="2012-01-01T00:00:00"/>
  </r>
  <r>
    <x v="45"/>
    <d v="1899-12-30T00:00:00"/>
    <x v="9"/>
    <x v="0"/>
    <s v="Buffalo"/>
    <x v="8"/>
    <n v="1683360"/>
    <x v="4"/>
    <s v="General Works/Reference; Social Science"/>
    <s v="9781462516032"/>
    <m/>
    <n v="0"/>
    <m/>
    <m/>
    <s v="No"/>
    <x v="0"/>
    <d v="2016-01-31T15:03:34"/>
    <n v="7"/>
    <s v="128.205.114.91"/>
    <s v="H62 -- .S454 2014eb"/>
    <n v="1.42"/>
    <d v="2014-07-03T00:00:00"/>
  </r>
  <r>
    <x v="46"/>
    <d v="1899-12-30T00:00:25"/>
    <x v="9"/>
    <x v="0"/>
    <s v="Buffalo"/>
    <x v="8"/>
    <n v="1683360"/>
    <x v="4"/>
    <s v="General Works/Reference; Social Science"/>
    <s v="9781462516032"/>
    <s v=",1,2,3,25,26,27,23,24,25,2"/>
    <n v="8"/>
    <m/>
    <m/>
    <s v="No"/>
    <x v="1"/>
    <m/>
    <m/>
    <s v="128.205.114.91"/>
    <s v="H62 -- .S454 2014eb"/>
    <n v="1.42"/>
    <d v="2014-07-03T00:00:00"/>
  </r>
  <r>
    <x v="47"/>
    <d v="1899-12-30T00:01:22"/>
    <x v="9"/>
    <x v="0"/>
    <s v="Buffalo"/>
    <x v="8"/>
    <n v="1683360"/>
    <x v="4"/>
    <s v="General Works/Reference; Social Science"/>
    <s v="9781462516032"/>
    <s v=",1,2,3,25,26,27,23,24,28,29,30"/>
    <n v="11"/>
    <m/>
    <m/>
    <s v="No"/>
    <x v="1"/>
    <m/>
    <m/>
    <s v="128.205.114.91"/>
    <s v="H62 -- .S454 2014eb"/>
    <n v="1.42"/>
    <d v="2014-07-03T00:00:00"/>
  </r>
  <r>
    <x v="48"/>
    <d v="1899-12-30T00:00:44"/>
    <x v="19"/>
    <x v="5"/>
    <s v="erie"/>
    <x v="17"/>
    <n v="3059079"/>
    <x v="0"/>
    <s v="Science; Science: Physics"/>
    <s v="9781118473818"/>
    <s v=",1,2,3,35,36,37,33,34,35"/>
    <n v="8"/>
    <m/>
    <m/>
    <s v="No"/>
    <x v="3"/>
    <m/>
    <m/>
    <s v="199.29.6.54"/>
    <s v="QC21.3 -- .H35 2014eb"/>
    <n v="530"/>
    <d v="2013-05-07T00:00:00"/>
  </r>
  <r>
    <x v="49"/>
    <d v="1899-12-30T00:00:00"/>
    <x v="20"/>
    <x v="0"/>
    <s v="Buffalo"/>
    <x v="18"/>
    <n v="3564336"/>
    <x v="5"/>
    <s v="Social Science"/>
    <s v="9781479840595"/>
    <m/>
    <n v="0"/>
    <m/>
    <s v=",1,2,3,4,5,32,33,34,35,36,37,38,39,40,41,42,43,44,45,46,47,48,49,50,51,52,53,54,55"/>
    <s v="Yes"/>
    <x v="0"/>
    <d v="2016-01-31T04:02:40"/>
    <n v="7"/>
    <s v="128.205.114.91"/>
    <s v="HN90.S6 -- .A345 2015eb"/>
    <n v="305.26097299999998"/>
    <d v="2015-05-22T00:00:00"/>
  </r>
  <r>
    <x v="49"/>
    <d v="1899-12-30T00:00:00"/>
    <x v="20"/>
    <x v="0"/>
    <s v="Buffalo"/>
    <x v="18"/>
    <n v="3564336"/>
    <x v="5"/>
    <s v="Social Science"/>
    <s v="9781479840595"/>
    <m/>
    <n v="0"/>
    <m/>
    <m/>
    <s v="No"/>
    <x v="0"/>
    <d v="2016-01-31T04:02:40"/>
    <n v="7"/>
    <s v="128.205.114.91"/>
    <s v="HN90.S6 -- .A345 2015eb"/>
    <n v="305.26097299999998"/>
    <d v="2015-05-22T00:00:00"/>
  </r>
  <r>
    <x v="50"/>
    <d v="1899-12-30T00:01:04"/>
    <x v="20"/>
    <x v="0"/>
    <s v="Buffalo"/>
    <x v="18"/>
    <n v="3564336"/>
    <x v="5"/>
    <s v="Social Science"/>
    <s v="9781479840595"/>
    <s v=",1,2,3,32,33,34,30,31,32,56"/>
    <n v="9"/>
    <m/>
    <m/>
    <s v="No"/>
    <x v="3"/>
    <m/>
    <m/>
    <s v="128.205.114.91"/>
    <s v="HN90.S6 -- .A345 2015eb"/>
    <n v="305.26097299999998"/>
    <d v="2015-05-22T00:00:00"/>
  </r>
  <r>
    <x v="51"/>
    <d v="1899-12-30T00:00:41"/>
    <x v="21"/>
    <x v="0"/>
    <s v="Buffalo"/>
    <x v="19"/>
    <n v="1816951"/>
    <x v="0"/>
    <s v="History"/>
    <s v="9781118776131"/>
    <s v=",38"/>
    <n v="1"/>
    <m/>
    <m/>
    <s v="Yes"/>
    <x v="2"/>
    <d v="2016-01-31T03:46:24"/>
    <n v="1"/>
    <s v="128.205.114.91"/>
    <s v="DD17"/>
    <n v="943.08699999999999"/>
    <d v="2014-10-13T00:00:00"/>
  </r>
  <r>
    <x v="51"/>
    <d v="1899-12-30T00:00:00"/>
    <x v="21"/>
    <x v="0"/>
    <s v="Buffalo"/>
    <x v="19"/>
    <n v="1816951"/>
    <x v="0"/>
    <s v="History"/>
    <s v="9781118776131"/>
    <m/>
    <n v="0"/>
    <m/>
    <m/>
    <s v="No"/>
    <x v="2"/>
    <d v="2016-01-31T03:46:24"/>
    <n v="1"/>
    <s v="128.205.114.91"/>
    <s v="DD17"/>
    <n v="943.08699999999999"/>
    <d v="2014-10-13T00:00:00"/>
  </r>
  <r>
    <x v="52"/>
    <d v="1899-12-30T00:01:48"/>
    <x v="21"/>
    <x v="0"/>
    <s v="Buffalo"/>
    <x v="19"/>
    <n v="1816951"/>
    <x v="0"/>
    <s v="History"/>
    <s v="9781118776131"/>
    <s v=",1,2,3,7,8,9,5,6,31,32,33,29,30,34,35,36,37"/>
    <n v="17"/>
    <m/>
    <m/>
    <s v="No"/>
    <x v="3"/>
    <m/>
    <m/>
    <s v="128.205.114.91"/>
    <s v="DD17"/>
    <n v="943.08699999999999"/>
    <d v="2014-10-13T00:00:00"/>
  </r>
  <r>
    <x v="53"/>
    <d v="1899-12-30T00:00:47"/>
    <x v="17"/>
    <x v="0"/>
    <s v="Buffalo"/>
    <x v="15"/>
    <n v="3564338"/>
    <x v="5"/>
    <s v="Social Science"/>
    <s v="9781479824700"/>
    <s v=",1,2,3,16,17,18,14,15"/>
    <n v="8"/>
    <m/>
    <m/>
    <s v="No"/>
    <x v="0"/>
    <d v="2016-01-30T19:36:57"/>
    <n v="7"/>
    <s v="128.205.114.91"/>
    <s v="HQ76.2.U5 -- .H36 2015eb"/>
    <s v="306.76089/95073"/>
    <d v="2015-05-08T00:00:00"/>
  </r>
  <r>
    <x v="54"/>
    <d v="1899-12-30T01:57:45"/>
    <x v="7"/>
    <x v="0"/>
    <s v="Buffalo"/>
    <x v="6"/>
    <n v="1635363"/>
    <x v="0"/>
    <s v="Law"/>
    <s v="9781118678206"/>
    <s v=",1,2,3,93,94,95,96,97,113,114,115,111,112,116,98,99,103,104,105,106,107,108,102,109,110,111,121,122,123,119,120,124,125,100,101,117,118,126,127,128,129,130,131"/>
    <n v="42"/>
    <m/>
    <m/>
    <s v="No"/>
    <x v="0"/>
    <d v="2016-01-26T00:10:14"/>
    <n v="7"/>
    <s v="128.205.114.91"/>
    <s v="KF285.Z9 -- H38 2014eb"/>
    <n v="340.07600000000002"/>
    <d v="2014-02-14T00:00:00"/>
  </r>
  <r>
    <x v="55"/>
    <d v="1899-12-30T00:00:03"/>
    <x v="13"/>
    <x v="0"/>
    <s v="Buffalo"/>
    <x v="20"/>
    <n v="1158634"/>
    <x v="0"/>
    <s v="Science; Science: Chemistry"/>
    <s v="9781118681961"/>
    <s v=",1,2,3"/>
    <n v="3"/>
    <m/>
    <m/>
    <s v="No"/>
    <x v="1"/>
    <m/>
    <m/>
    <s v="128.205.114.91"/>
    <s v="QD251.3 -- .D49 2006eb"/>
    <n v="547"/>
    <d v="2013-04-02T00:00:00"/>
  </r>
  <r>
    <x v="56"/>
    <d v="1899-12-30T00:58:38"/>
    <x v="7"/>
    <x v="0"/>
    <s v="Buffalo"/>
    <x v="6"/>
    <n v="1635363"/>
    <x v="0"/>
    <s v="Law"/>
    <s v="9781118678206"/>
    <s v=",1,2,3,22,23,24,20,21,31,32,33,29,30,19,25,26,27,28,29,34,35,36,37,38,39,40,41,42,43,93,94,95,91,92,96,97,98,99,100,103,104,105,106,101,107,108,109,110,101,102,111,112,113"/>
    <n v="51"/>
    <m/>
    <m/>
    <s v="No"/>
    <x v="0"/>
    <d v="2016-01-26T00:10:14"/>
    <n v="7"/>
    <s v="128.205.114.91"/>
    <s v="KF285.Z9 -- H38 2014eb"/>
    <n v="340.07600000000002"/>
    <d v="2014-02-14T00:00:00"/>
  </r>
  <r>
    <x v="57"/>
    <d v="1899-12-30T00:00:00"/>
    <x v="17"/>
    <x v="0"/>
    <s v="Buffalo"/>
    <x v="15"/>
    <n v="3564338"/>
    <x v="5"/>
    <s v="Social Science"/>
    <s v="9781479824700"/>
    <s v=",19"/>
    <n v="1"/>
    <m/>
    <m/>
    <s v="No"/>
    <x v="0"/>
    <d v="2016-01-30T19:36:57"/>
    <n v="7"/>
    <s v="128.205.114.91"/>
    <s v="HQ76.2.U5 -- .H36 2015eb"/>
    <s v="306.76089/95073"/>
    <d v="2015-05-08T00:00:00"/>
  </r>
  <r>
    <x v="58"/>
    <d v="1899-12-30T00:29:35"/>
    <x v="17"/>
    <x v="0"/>
    <s v="Buffalo"/>
    <x v="15"/>
    <n v="3564338"/>
    <x v="5"/>
    <s v="Social Science"/>
    <s v="9781479824700"/>
    <s v=",1,2,3,16,17,10,11,12,8,9,13,14,15,16,17,18"/>
    <n v="14"/>
    <m/>
    <m/>
    <s v="No"/>
    <x v="3"/>
    <m/>
    <m/>
    <s v="128.205.114.91"/>
    <s v="HQ76.2.U5 -- .H36 2015eb"/>
    <s v="306.76089/95073"/>
    <d v="2015-05-08T00:00:00"/>
  </r>
  <r>
    <x v="59"/>
    <d v="1899-12-30T00:01:18"/>
    <x v="22"/>
    <x v="0"/>
    <s v="Buffalo"/>
    <x v="21"/>
    <n v="1158037"/>
    <x v="7"/>
    <s v="Agriculture"/>
    <s v="9781780642987"/>
    <s v=",1,2,3,47,48,49,45,46,50,51,52,53,54,16,17,18,14,15,19,20,21,22,23,24,25,26,45,46"/>
    <n v="26"/>
    <m/>
    <m/>
    <s v="No"/>
    <x v="3"/>
    <m/>
    <m/>
    <s v="128.205.114.91"/>
    <m/>
    <n v="636.08320000000003"/>
    <d v="2013-03-04T00:00:00"/>
  </r>
  <r>
    <x v="60"/>
    <d v="1899-12-30T00:01:43"/>
    <x v="13"/>
    <x v="0"/>
    <s v="Buffalo"/>
    <x v="22"/>
    <n v="1882235"/>
    <x v="0"/>
    <s v="Engineering; Computer Science/IT; Engineering: Electrical"/>
    <s v="9781118935217"/>
    <s v=",1,3,2,71,72,73,69,70,74,75,79,80,81,82,83,172,173,169"/>
    <n v="18"/>
    <m/>
    <m/>
    <s v="No"/>
    <x v="3"/>
    <m/>
    <m/>
    <s v="128.205.114.91"/>
    <s v="TK7895 .E42"/>
    <s v="006.2; 006.22"/>
    <d v="2014-12-05T00:00:00"/>
  </r>
  <r>
    <x v="61"/>
    <d v="1899-12-30T00:00:04"/>
    <x v="18"/>
    <x v="4"/>
    <s v="monroe2boces"/>
    <x v="16"/>
    <n v="877717"/>
    <x v="6"/>
    <s v="Fine Arts"/>
    <s v="9781438139265"/>
    <s v=",6,5,4,7"/>
    <n v="4"/>
    <m/>
    <m/>
    <s v="No"/>
    <x v="0"/>
    <d v="2016-01-30T18:38:20"/>
    <n v="7"/>
    <s v="104.229.32.13"/>
    <s v="PN1998.3.M577 -- L46 2012eb"/>
    <s v="791.4302/33092; B"/>
    <d v="2012-01-01T00:00:00"/>
  </r>
  <r>
    <x v="62"/>
    <d v="1899-12-30T00:11:25"/>
    <x v="18"/>
    <x v="4"/>
    <s v="monroe2boces"/>
    <x v="16"/>
    <n v="877717"/>
    <x v="6"/>
    <s v="Fine Arts"/>
    <s v="9781438139265"/>
    <s v=",1,2,3"/>
    <n v="3"/>
    <m/>
    <m/>
    <s v="No"/>
    <x v="1"/>
    <m/>
    <m/>
    <s v="104.229.32.13"/>
    <s v="PN1998.3.M577 -- L46 2012eb"/>
    <s v="791.4302/33092; B"/>
    <d v="2012-01-01T00:00:00"/>
  </r>
  <r>
    <x v="63"/>
    <d v="1899-12-30T00:00:42"/>
    <x v="23"/>
    <x v="1"/>
    <s v="brockport"/>
    <x v="11"/>
    <n v="693176"/>
    <x v="0"/>
    <s v="Engineering: Manufacturing; General Works/Reference; Engineering"/>
    <s v="9781118017746"/>
    <s v=",1,2,3,4,38,39,36,40,37"/>
    <n v="9"/>
    <m/>
    <m/>
    <s v="No"/>
    <x v="0"/>
    <d v="2016-01-27T16:58:49"/>
    <n v="7"/>
    <s v="137.21.7.121"/>
    <s v="Z246 -- .M43 2012eb"/>
    <s v="686.2/209"/>
    <d v="2011-10-19T00:00:00"/>
  </r>
  <r>
    <x v="64"/>
    <d v="1899-12-30T00:00:00"/>
    <x v="23"/>
    <x v="1"/>
    <s v="brockport"/>
    <x v="11"/>
    <n v="693176"/>
    <x v="0"/>
    <s v="Engineering: Manufacturing; General Works/Reference; Engineering"/>
    <s v="9781118017746"/>
    <m/>
    <n v="0"/>
    <m/>
    <m/>
    <s v="Yes"/>
    <x v="0"/>
    <d v="2016-01-27T16:58:49"/>
    <n v="7"/>
    <s v="137.21.7.121"/>
    <s v="Z246 -- .M43 2012eb"/>
    <s v="686.2/209"/>
    <d v="2011-10-19T00:00:00"/>
  </r>
  <r>
    <x v="65"/>
    <d v="1899-12-30T00:00:36"/>
    <x v="23"/>
    <x v="1"/>
    <s v="brockport"/>
    <x v="11"/>
    <n v="693176"/>
    <x v="0"/>
    <s v="Engineering: Manufacturing; General Works/Reference; Engineering"/>
    <s v="9781118017746"/>
    <s v=",1,2,3,38,39,40,36,37"/>
    <n v="8"/>
    <s v=",38"/>
    <m/>
    <s v="No"/>
    <x v="0"/>
    <d v="2016-01-27T16:58:49"/>
    <n v="7"/>
    <s v="137.21.7.121"/>
    <s v="Z246 -- .M43 2012eb"/>
    <s v="686.2/209"/>
    <d v="2011-10-19T00:00:00"/>
  </r>
  <r>
    <x v="66"/>
    <d v="1899-12-30T00:03:21"/>
    <x v="23"/>
    <x v="1"/>
    <s v="brockport"/>
    <x v="11"/>
    <n v="693176"/>
    <x v="0"/>
    <s v="Engineering: Manufacturing; General Works/Reference; Engineering"/>
    <s v="9781118017746"/>
    <s v=",1,2,3,38,39,40,36,37"/>
    <n v="8"/>
    <s v=",38"/>
    <m/>
    <s v="No"/>
    <x v="0"/>
    <d v="2016-01-27T16:58:49"/>
    <n v="7"/>
    <s v="137.21.7.121"/>
    <s v="Z246 -- .M43 2012eb"/>
    <s v="686.2/209"/>
    <d v="2011-10-19T00:00:00"/>
  </r>
  <r>
    <x v="67"/>
    <d v="1899-12-30T00:00:24"/>
    <x v="24"/>
    <x v="0"/>
    <s v="Buffalo"/>
    <x v="23"/>
    <n v="1120063"/>
    <x v="0"/>
    <s v="Architecture"/>
    <s v="9781118418932"/>
    <s v=",1"/>
    <n v="1"/>
    <s v=",1"/>
    <m/>
    <s v="No"/>
    <x v="0"/>
    <d v="2016-01-30T17:42:27"/>
    <n v="7"/>
    <s v="128.205.114.91"/>
    <s v="NA2540.5 -- .L34 2013eb"/>
    <n v="720.28"/>
    <d v="2013-01-29T00:00:00"/>
  </r>
  <r>
    <x v="68"/>
    <d v="1899-12-30T00:00:16"/>
    <x v="24"/>
    <x v="0"/>
    <s v="Buffalo"/>
    <x v="23"/>
    <n v="1120063"/>
    <x v="0"/>
    <s v="Architecture"/>
    <s v="9781118418932"/>
    <s v=",1,2,3,1"/>
    <n v="3"/>
    <m/>
    <m/>
    <s v="No"/>
    <x v="1"/>
    <m/>
    <m/>
    <s v="128.205.114.91"/>
    <s v="NA2540.5 -- .L34 2013eb"/>
    <n v="720.28"/>
    <d v="2013-01-29T00:00:00"/>
  </r>
  <r>
    <x v="69"/>
    <d v="1899-12-30T00:01:33"/>
    <x v="25"/>
    <x v="1"/>
    <s v="brockport"/>
    <x v="1"/>
    <n v="1684620"/>
    <x v="0"/>
    <s v="Health; Social Science"/>
    <s v="9781118418925"/>
    <s v=",1"/>
    <n v="1"/>
    <m/>
    <m/>
    <s v="Yes"/>
    <x v="0"/>
    <d v="2016-01-30T17:18:04"/>
    <n v="7"/>
    <s v="137.21.7.121"/>
    <s v="RA971 -- .S56 2014eb"/>
    <n v="362.10680000000002"/>
    <d v="2014-04-30T00:00:00"/>
  </r>
  <r>
    <x v="70"/>
    <d v="1899-12-30T00:00:03"/>
    <x v="25"/>
    <x v="1"/>
    <s v="brockport"/>
    <x v="1"/>
    <n v="1684620"/>
    <x v="0"/>
    <s v="Health; Social Science"/>
    <s v="9781118418925"/>
    <s v=",1,2,3"/>
    <n v="3"/>
    <m/>
    <m/>
    <s v="No"/>
    <x v="0"/>
    <d v="2016-01-30T17:18:04"/>
    <n v="7"/>
    <s v="137.21.7.121"/>
    <s v="RA971 -- .S56 2014eb"/>
    <n v="362.10680000000002"/>
    <d v="2014-04-30T00:00:00"/>
  </r>
  <r>
    <x v="71"/>
    <d v="1899-12-30T00:13:05"/>
    <x v="25"/>
    <x v="1"/>
    <s v="brockport"/>
    <x v="1"/>
    <n v="1684620"/>
    <x v="0"/>
    <s v="Health; Social Science"/>
    <s v="9781118418925"/>
    <s v=",5,6,7,8,9,10,11,5,6,7,8,10"/>
    <n v="7"/>
    <m/>
    <m/>
    <s v="Yes"/>
    <x v="0"/>
    <d v="2016-01-30T17:18:04"/>
    <n v="7"/>
    <s v="137.21.7.121"/>
    <s v="RA971 -- .S56 2014eb"/>
    <n v="362.10680000000002"/>
    <d v="2014-04-30T00:00:00"/>
  </r>
  <r>
    <x v="71"/>
    <d v="1899-12-30T00:00:00"/>
    <x v="25"/>
    <x v="1"/>
    <s v="brockport"/>
    <x v="1"/>
    <n v="1684620"/>
    <x v="0"/>
    <s v="Health; Social Science"/>
    <s v="9781118418925"/>
    <m/>
    <n v="0"/>
    <m/>
    <m/>
    <s v="No"/>
    <x v="0"/>
    <d v="2016-01-30T17:18:04"/>
    <n v="7"/>
    <s v="137.21.7.121"/>
    <s v="RA971 -- .S56 2014eb"/>
    <n v="362.10680000000002"/>
    <d v="2014-04-30T00:00:00"/>
  </r>
  <r>
    <x v="72"/>
    <d v="1899-12-30T00:00:03"/>
    <x v="16"/>
    <x v="3"/>
    <s v="canton"/>
    <x v="24"/>
    <n v="849909"/>
    <x v="0"/>
    <s v="Social Science; History; Psychology"/>
    <s v="9781118319451"/>
    <s v=",1,2,3"/>
    <n v="3"/>
    <m/>
    <m/>
    <s v="No"/>
    <x v="1"/>
    <m/>
    <m/>
    <s v="137.37.33.33"/>
    <s v="BF411 .T39"/>
    <s v="306; 920.02"/>
    <d v="2012-01-24T00:00:00"/>
  </r>
  <r>
    <x v="73"/>
    <d v="1899-12-30T00:00:21"/>
    <x v="25"/>
    <x v="1"/>
    <s v="brockport"/>
    <x v="1"/>
    <n v="1684620"/>
    <x v="0"/>
    <s v="Health; Social Science"/>
    <s v="9781118418925"/>
    <s v=",1,2,3,4"/>
    <n v="4"/>
    <m/>
    <m/>
    <s v="No"/>
    <x v="1"/>
    <m/>
    <m/>
    <s v="137.21.7.121"/>
    <s v="RA971 -- .S56 2014eb"/>
    <n v="362.10680000000002"/>
    <d v="2014-04-30T00:00:00"/>
  </r>
  <r>
    <x v="74"/>
    <d v="1899-12-30T00:04:43"/>
    <x v="26"/>
    <x v="6"/>
    <s v="sjfc"/>
    <x v="3"/>
    <n v="822040"/>
    <x v="0"/>
    <s v="Literature; Psychology"/>
    <s v="9781118289099"/>
    <s v=",1,2,3,17,18,19,15,16,114,115,116,112,113,119,120,121,117,118,122,123,124,117,126"/>
    <n v="22"/>
    <m/>
    <m/>
    <s v="No"/>
    <x v="1"/>
    <m/>
    <m/>
    <s v="149.69.254.57"/>
    <s v="BF76.7 -- .B447 2012eb"/>
    <s v="808.06/615"/>
    <d v="2012-03-22T00:00:00"/>
  </r>
  <r>
    <x v="75"/>
    <d v="1899-12-30T00:16:11"/>
    <x v="13"/>
    <x v="0"/>
    <s v="Buffalo"/>
    <x v="25"/>
    <n v="1574790"/>
    <x v="2"/>
    <s v="Language/Linguistics"/>
    <s v="9781317898610"/>
    <s v=",13,14,15,16,17,18,4,3,1,5,6,7,8,9,10,11,12,13,14,15,16,17,18,19,20"/>
    <n v="19"/>
    <m/>
    <m/>
    <s v="No"/>
    <x v="2"/>
    <d v="2016-01-30T16:29:01"/>
    <n v="1"/>
    <s v="128.205.114.91"/>
    <n v="90024335"/>
    <n v="401.93"/>
    <d v="2013-12-02T00:00:00"/>
  </r>
  <r>
    <x v="76"/>
    <d v="1899-12-30T00:06:24"/>
    <x v="13"/>
    <x v="0"/>
    <s v="Buffalo"/>
    <x v="25"/>
    <n v="1574790"/>
    <x v="2"/>
    <s v="Language/Linguistics"/>
    <s v="9781317898610"/>
    <s v=",1,2,3,4,5,6,7,8,9,10,11,12"/>
    <n v="12"/>
    <m/>
    <m/>
    <s v="No"/>
    <x v="3"/>
    <m/>
    <m/>
    <s v="128.205.114.91"/>
    <n v="90024335"/>
    <n v="401.93"/>
    <d v="2013-12-02T00:00:00"/>
  </r>
  <r>
    <x v="77"/>
    <d v="1899-12-30T00:00:03"/>
    <x v="26"/>
    <x v="6"/>
    <s v="sjfc"/>
    <x v="26"/>
    <n v="1895579"/>
    <x v="0"/>
    <s v="Psychology"/>
    <s v="9781118757178"/>
    <s v=",1,2,3"/>
    <n v="3"/>
    <m/>
    <m/>
    <s v="No"/>
    <x v="3"/>
    <m/>
    <m/>
    <s v="149.69.254.57"/>
    <s v="BF204.6 -- .P675 2015eb"/>
    <s v="150.19/88"/>
    <d v="2015-03-09T00:00:00"/>
  </r>
  <r>
    <x v="78"/>
    <d v="1899-12-30T00:04:10"/>
    <x v="27"/>
    <x v="0"/>
    <s v="Buffalo"/>
    <x v="27"/>
    <n v="1895140"/>
    <x v="0"/>
    <s v="Education"/>
    <s v="9781118911488"/>
    <s v=",4"/>
    <n v="1"/>
    <m/>
    <m/>
    <s v="Yes"/>
    <x v="0"/>
    <d v="2016-01-30T15:24:53"/>
    <n v="7"/>
    <s v="128.205.114.91"/>
    <s v="LB2367.4 .G743 2015"/>
    <n v="378.1662"/>
    <d v="2015-03-23T00:00:00"/>
  </r>
  <r>
    <x v="79"/>
    <d v="1899-12-30T00:00:00"/>
    <x v="27"/>
    <x v="0"/>
    <s v="Buffalo"/>
    <x v="27"/>
    <n v="1895140"/>
    <x v="0"/>
    <s v="Education"/>
    <s v="9781118911488"/>
    <m/>
    <n v="0"/>
    <m/>
    <m/>
    <s v="Yes"/>
    <x v="0"/>
    <d v="2016-01-30T15:24:53"/>
    <n v="7"/>
    <s v="128.205.114.91"/>
    <s v="LB2367.4 .G743 2015"/>
    <n v="378.1662"/>
    <d v="2015-03-23T00:00:00"/>
  </r>
  <r>
    <x v="80"/>
    <d v="1899-12-30T00:00:03"/>
    <x v="27"/>
    <x v="0"/>
    <s v="Buffalo"/>
    <x v="27"/>
    <n v="1895140"/>
    <x v="0"/>
    <s v="Education"/>
    <s v="9781118911488"/>
    <s v=",1,2,3"/>
    <n v="3"/>
    <m/>
    <m/>
    <s v="No"/>
    <x v="0"/>
    <d v="2016-01-30T15:24:53"/>
    <n v="7"/>
    <s v="128.205.114.91"/>
    <s v="LB2367.4 .G743 2015"/>
    <n v="378.1662"/>
    <d v="2015-03-23T00:00:00"/>
  </r>
  <r>
    <x v="81"/>
    <d v="1899-12-30T00:00:00"/>
    <x v="27"/>
    <x v="0"/>
    <s v="Buffalo"/>
    <x v="27"/>
    <n v="1895140"/>
    <x v="0"/>
    <s v="Education"/>
    <s v="9781118911488"/>
    <m/>
    <n v="0"/>
    <m/>
    <m/>
    <s v="Yes"/>
    <x v="0"/>
    <d v="2016-01-30T15:24:53"/>
    <n v="7"/>
    <s v="128.205.114.91"/>
    <s v="LB2367.4 .G743 2015"/>
    <n v="378.1662"/>
    <d v="2015-03-23T00:00:00"/>
  </r>
  <r>
    <x v="81"/>
    <d v="1899-12-30T00:00:00"/>
    <x v="27"/>
    <x v="0"/>
    <s v="Buffalo"/>
    <x v="27"/>
    <n v="1895140"/>
    <x v="0"/>
    <s v="Education"/>
    <s v="9781118911488"/>
    <m/>
    <n v="0"/>
    <m/>
    <m/>
    <s v="No"/>
    <x v="0"/>
    <d v="2016-01-30T15:24:53"/>
    <n v="7"/>
    <s v="128.205.114.91"/>
    <s v="LB2367.4 .G743 2015"/>
    <n v="378.1662"/>
    <d v="2015-03-23T00:00:00"/>
  </r>
  <r>
    <x v="82"/>
    <d v="1899-12-30T00:00:13"/>
    <x v="27"/>
    <x v="0"/>
    <s v="Buffalo"/>
    <x v="27"/>
    <n v="1895140"/>
    <x v="0"/>
    <s v="Education"/>
    <s v="9781118911488"/>
    <s v=",1,2,3"/>
    <n v="3"/>
    <m/>
    <m/>
    <s v="No"/>
    <x v="3"/>
    <m/>
    <m/>
    <s v="128.205.114.91"/>
    <s v="LB2367.4 .G743 2015"/>
    <n v="378.1662"/>
    <d v="2015-03-23T00:00:00"/>
  </r>
  <r>
    <x v="83"/>
    <d v="1899-12-30T00:00:00"/>
    <x v="27"/>
    <x v="0"/>
    <s v="Buffalo"/>
    <x v="28"/>
    <n v="1895348"/>
    <x v="0"/>
    <s v="Education"/>
    <s v="9781119068839"/>
    <m/>
    <n v="0"/>
    <m/>
    <m/>
    <s v="Yes"/>
    <x v="0"/>
    <d v="2016-01-30T15:16:28"/>
    <n v="7"/>
    <s v="128.205.114.91"/>
    <s v="LB2367.4"/>
    <n v="378.16640000000001"/>
    <d v="2015-05-27T00:00:00"/>
  </r>
  <r>
    <x v="83"/>
    <d v="1899-12-30T00:00:00"/>
    <x v="27"/>
    <x v="0"/>
    <s v="Buffalo"/>
    <x v="28"/>
    <n v="1895348"/>
    <x v="0"/>
    <s v="Education"/>
    <s v="9781119068839"/>
    <m/>
    <n v="0"/>
    <m/>
    <m/>
    <s v="No"/>
    <x v="0"/>
    <d v="2016-01-30T15:16:28"/>
    <n v="7"/>
    <s v="128.205.114.91"/>
    <s v="LB2367.4"/>
    <n v="378.16640000000001"/>
    <d v="2015-05-27T00:00:00"/>
  </r>
  <r>
    <x v="84"/>
    <d v="1899-12-30T00:01:28"/>
    <x v="27"/>
    <x v="0"/>
    <s v="Buffalo"/>
    <x v="28"/>
    <n v="1895348"/>
    <x v="0"/>
    <s v="Education"/>
    <s v="9781119068839"/>
    <s v=",1,5,6,7,3,4,8,9,10,11,12,13,2,14,15,16,17,18,19,20"/>
    <n v="20"/>
    <m/>
    <m/>
    <s v="No"/>
    <x v="1"/>
    <m/>
    <m/>
    <s v="128.205.114.91"/>
    <s v="LB2367.4"/>
    <n v="378.16640000000001"/>
    <d v="2015-05-27T00:00:00"/>
  </r>
  <r>
    <x v="85"/>
    <d v="1899-12-30T00:06:49"/>
    <x v="18"/>
    <x v="4"/>
    <s v="monroe2boces"/>
    <x v="16"/>
    <n v="877717"/>
    <x v="6"/>
    <s v="Fine Arts"/>
    <s v="9781438139265"/>
    <s v=",1,2,3,12,13,14,25,26,27,23,24,28,29,66,67,68,64,65,79,80,81,77,78,82,83,80"/>
    <n v="25"/>
    <m/>
    <m/>
    <s v="No"/>
    <x v="1"/>
    <m/>
    <m/>
    <s v="104.229.32.13"/>
    <s v="PN1998.3.M577 -- L46 2012eb"/>
    <s v="791.4302/33092; B"/>
    <d v="2012-01-01T00:00:00"/>
  </r>
  <r>
    <x v="86"/>
    <d v="1899-12-30T00:33:44"/>
    <x v="14"/>
    <x v="1"/>
    <s v="brockport"/>
    <x v="11"/>
    <n v="693176"/>
    <x v="0"/>
    <s v="Engineering: Manufacturing; General Works/Reference; Engineering"/>
    <s v="9781118017746"/>
    <s v=",1,2,3,38,39,40,36,37,38,39,40,36,37,41,42,43,44,45,46,47,48,49,50,51,52"/>
    <n v="20"/>
    <m/>
    <m/>
    <s v="No"/>
    <x v="0"/>
    <d v="2016-01-26T22:11:59"/>
    <n v="7"/>
    <s v="137.21.7.121"/>
    <s v="Z246 -- .M43 2012eb"/>
    <s v="686.2/209"/>
    <d v="2011-10-19T00:00:00"/>
  </r>
  <r>
    <x v="87"/>
    <d v="1899-12-30T00:20:40"/>
    <x v="0"/>
    <x v="0"/>
    <s v="Buffalo"/>
    <x v="0"/>
    <n v="1120290"/>
    <x v="0"/>
    <s v="Language/Linguistics"/>
    <s v="9781118347478"/>
    <s v=",1,2,3,42,44,43,40,41,45,46,47,48,49,50,51,52,53,54"/>
    <n v="18"/>
    <m/>
    <m/>
    <s v="No"/>
    <x v="0"/>
    <d v="2016-01-26T05:17:15"/>
    <n v="7"/>
    <s v="128.205.114.91"/>
    <s v="PE1133 .C34 2012"/>
    <n v="421"/>
    <d v="2012-07-11T00:00:00"/>
  </r>
  <r>
    <x v="88"/>
    <d v="1899-12-30T00:00:00"/>
    <x v="0"/>
    <x v="0"/>
    <s v="Buffalo"/>
    <x v="0"/>
    <n v="1120290"/>
    <x v="0"/>
    <s v="Language/Linguistics"/>
    <s v="9781118347478"/>
    <m/>
    <n v="0"/>
    <m/>
    <m/>
    <s v="Yes"/>
    <x v="0"/>
    <d v="2016-01-26T05:17:15"/>
    <n v="7"/>
    <s v="128.205.114.91"/>
    <s v="PE1133 .C34 2012"/>
    <n v="421"/>
    <d v="2012-07-11T00:00:00"/>
  </r>
  <r>
    <x v="89"/>
    <d v="1899-12-30T00:00:00"/>
    <x v="0"/>
    <x v="0"/>
    <s v="Buffalo"/>
    <x v="0"/>
    <n v="1120290"/>
    <x v="0"/>
    <s v="Language/Linguistics"/>
    <s v="9781118347478"/>
    <m/>
    <n v="0"/>
    <m/>
    <m/>
    <s v="Yes"/>
    <x v="0"/>
    <d v="2016-01-26T05:17:15"/>
    <n v="7"/>
    <s v="128.205.114.91"/>
    <s v="PE1133 .C34 2012"/>
    <n v="421"/>
    <d v="2012-07-11T00:00:00"/>
  </r>
  <r>
    <x v="90"/>
    <d v="1899-12-30T00:16:19"/>
    <x v="0"/>
    <x v="0"/>
    <s v="Buffalo"/>
    <x v="0"/>
    <n v="1120290"/>
    <x v="0"/>
    <s v="Language/Linguistics"/>
    <s v="9781118347478"/>
    <s v=",40"/>
    <n v="1"/>
    <m/>
    <m/>
    <s v="Yes"/>
    <x v="0"/>
    <d v="2016-01-26T05:17:15"/>
    <n v="7"/>
    <s v="128.205.114.91"/>
    <s v="PE1133 .C34 2012"/>
    <n v="421"/>
    <d v="2012-07-11T00:00:00"/>
  </r>
  <r>
    <x v="91"/>
    <d v="1899-12-30T00:00:00"/>
    <x v="0"/>
    <x v="0"/>
    <s v="Buffalo"/>
    <x v="0"/>
    <n v="1120290"/>
    <x v="0"/>
    <s v="Language/Linguistics"/>
    <s v="9781118347478"/>
    <m/>
    <n v="0"/>
    <m/>
    <m/>
    <s v="Yes"/>
    <x v="0"/>
    <d v="2016-01-26T05:17:15"/>
    <n v="7"/>
    <s v="128.205.114.91"/>
    <s v="PE1133 .C34 2012"/>
    <n v="421"/>
    <d v="2012-07-11T00:00:00"/>
  </r>
  <r>
    <x v="92"/>
    <d v="1899-12-30T00:00:28"/>
    <x v="0"/>
    <x v="0"/>
    <s v="Buffalo"/>
    <x v="0"/>
    <n v="1120290"/>
    <x v="0"/>
    <s v="Language/Linguistics"/>
    <s v="9781118347478"/>
    <s v=",1,2,3,40,41,42,38,39"/>
    <n v="8"/>
    <m/>
    <m/>
    <s v="No"/>
    <x v="0"/>
    <d v="2016-01-26T05:17:15"/>
    <n v="7"/>
    <s v="128.205.114.91"/>
    <s v="PE1133 .C34 2012"/>
    <n v="421"/>
    <d v="2012-07-11T00:00:00"/>
  </r>
  <r>
    <x v="93"/>
    <d v="1899-12-30T00:30:52"/>
    <x v="28"/>
    <x v="0"/>
    <s v="Buffalo"/>
    <x v="29"/>
    <n v="1935742"/>
    <x v="8"/>
    <s v="Science; Science: Geology"/>
    <s v="9781118473252"/>
    <s v=",30,31,32,28,29,43,36,18,30,31"/>
    <n v="8"/>
    <m/>
    <m/>
    <s v="No"/>
    <x v="0"/>
    <d v="2016-01-30T00:15:19"/>
    <n v="7"/>
    <s v="128.205.114.91"/>
    <s v="GB54.5"/>
    <n v="550"/>
    <d v="2013-03-27T00:00:00"/>
  </r>
  <r>
    <x v="94"/>
    <d v="1899-12-30T00:29:09"/>
    <x v="28"/>
    <x v="0"/>
    <s v="Buffalo"/>
    <x v="29"/>
    <n v="1935742"/>
    <x v="8"/>
    <s v="Science; Science: Geology"/>
    <s v="9781118473252"/>
    <s v=",1,2,3"/>
    <n v="3"/>
    <m/>
    <m/>
    <s v="No"/>
    <x v="1"/>
    <m/>
    <m/>
    <s v="128.205.114.91"/>
    <s v="GB54.5"/>
    <n v="550"/>
    <d v="2013-03-27T00:00:00"/>
  </r>
  <r>
    <x v="95"/>
    <d v="1899-12-30T00:00:32"/>
    <x v="18"/>
    <x v="4"/>
    <s v="monroe2boces"/>
    <x v="16"/>
    <n v="877717"/>
    <x v="6"/>
    <s v="Fine Arts"/>
    <s v="9781438139265"/>
    <s v=",1,2,3,4,5,6,7,8,9,10,11,12,13,14"/>
    <n v="14"/>
    <m/>
    <m/>
    <s v="No"/>
    <x v="1"/>
    <m/>
    <m/>
    <s v="104.229.32.13"/>
    <s v="PN1998.3.M577 -- L46 2012eb"/>
    <s v="791.4302/33092; B"/>
    <d v="2012-01-01T00:00:00"/>
  </r>
  <r>
    <x v="96"/>
    <d v="1899-12-30T00:00:03"/>
    <x v="29"/>
    <x v="0"/>
    <s v="Buffalo"/>
    <x v="30"/>
    <n v="1708807"/>
    <x v="0"/>
    <s v="Computer Science/IT; Engineering; Engineering: General"/>
    <s v="9781118932490"/>
    <s v=",1,2,3"/>
    <n v="3"/>
    <m/>
    <m/>
    <s v="No"/>
    <x v="3"/>
    <m/>
    <m/>
    <s v="128.205.114.91"/>
    <s v="T385 -- .G533 2014eb"/>
    <n v="6.6868999999999996"/>
    <d v="2014-06-03T00:00:00"/>
  </r>
  <r>
    <x v="97"/>
    <d v="1899-12-30T00:00:04"/>
    <x v="28"/>
    <x v="0"/>
    <s v="Buffalo"/>
    <x v="29"/>
    <n v="1935742"/>
    <x v="8"/>
    <s v="Science; Science: Geology"/>
    <s v="9781118473252"/>
    <s v=",1,2,3"/>
    <n v="3"/>
    <m/>
    <m/>
    <s v="No"/>
    <x v="1"/>
    <m/>
    <m/>
    <s v="128.205.114.91"/>
    <s v="GB54.5"/>
    <n v="550"/>
    <d v="2013-03-27T00:00:00"/>
  </r>
  <r>
    <x v="98"/>
    <d v="1899-12-30T00:04:26"/>
    <x v="30"/>
    <x v="0"/>
    <s v="Buffalo"/>
    <x v="31"/>
    <n v="1682559"/>
    <x v="4"/>
    <s v="Medicine"/>
    <s v="9781462515431"/>
    <s v=",1,2,3,4,5,6,7,8,9,31,32,33,29,30,34"/>
    <n v="15"/>
    <m/>
    <m/>
    <s v="No"/>
    <x v="1"/>
    <m/>
    <m/>
    <s v="128.205.114.91"/>
    <s v="RC469 -- .M677 2014eb"/>
    <n v="616.89"/>
    <d v="2014-05-10T00:00:00"/>
  </r>
  <r>
    <x v="99"/>
    <d v="1899-12-30T00:00:23"/>
    <x v="31"/>
    <x v="0"/>
    <s v="Buffalo"/>
    <x v="32"/>
    <n v="1896020"/>
    <x v="0"/>
    <s v="Engineering; Engineering: General; Engineering: Civil"/>
    <s v="9781119058304"/>
    <s v=",1,2,3,27,28,29,25,26,180,181,177,178"/>
    <n v="12"/>
    <m/>
    <m/>
    <s v="No"/>
    <x v="3"/>
    <m/>
    <m/>
    <s v="128.205.114.91"/>
    <s v="TA169 -- .T676 2015eb"/>
    <s v="620/.00452"/>
    <d v="2015-02-25T00:00:00"/>
  </r>
  <r>
    <x v="100"/>
    <d v="1899-12-30T00:00:00"/>
    <x v="32"/>
    <x v="0"/>
    <s v="Buffalo"/>
    <x v="33"/>
    <n v="1356283"/>
    <x v="2"/>
    <s v="Language/Linguistics"/>
    <s v="9781136488801"/>
    <s v=",15"/>
    <n v="1"/>
    <m/>
    <m/>
    <s v="No"/>
    <x v="2"/>
    <d v="2016-01-29T22:08:17"/>
    <n v="1"/>
    <s v="128.205.114.91"/>
    <s v="P118.2 -- .S424 2013eb"/>
    <n v="401.93"/>
    <d v="2013-08-21T00:00:00"/>
  </r>
  <r>
    <x v="101"/>
    <d v="1899-12-30T00:00:03"/>
    <x v="33"/>
    <x v="7"/>
    <s v="oneonta"/>
    <x v="34"/>
    <n v="1895434"/>
    <x v="0"/>
    <m/>
    <s v="9781118384206"/>
    <s v=",1,2,3"/>
    <n v="3"/>
    <m/>
    <m/>
    <s v="No"/>
    <x v="3"/>
    <m/>
    <m/>
    <s v="137.141.13.2"/>
    <m/>
    <m/>
    <d v="2015-04-28T00:00:00"/>
  </r>
  <r>
    <x v="102"/>
    <d v="1899-12-30T00:15:00"/>
    <x v="32"/>
    <x v="0"/>
    <s v="Buffalo"/>
    <x v="33"/>
    <n v="1356283"/>
    <x v="2"/>
    <s v="Language/Linguistics"/>
    <s v="9781136488801"/>
    <s v=",1,2,3,4,5,6,7,8,9,10,11,12,13,14,15,16,17,18,19,20,2"/>
    <n v="20"/>
    <m/>
    <m/>
    <s v="No"/>
    <x v="3"/>
    <m/>
    <m/>
    <s v="128.205.114.91"/>
    <s v="P118.2 -- .S424 2013eb"/>
    <n v="401.93"/>
    <d v="2013-08-21T00:00:00"/>
  </r>
  <r>
    <x v="103"/>
    <d v="1899-12-30T00:00:42"/>
    <x v="13"/>
    <x v="0"/>
    <s v="Buffalo"/>
    <x v="35"/>
    <n v="1180918"/>
    <x v="0"/>
    <s v="Social Science; Business/Management"/>
    <s v="9780745658070"/>
    <s v=",2,2,7,7,9,9,8,5,8,6,6,10,10,11,11"/>
    <n v="8"/>
    <m/>
    <m/>
    <s v="Yes"/>
    <x v="2"/>
    <d v="2016-01-29T21:46:25"/>
    <n v="1"/>
    <s v="128.205.114.91"/>
    <s v="HB501 .I565"/>
    <n v="306.34201899999999"/>
    <d v="2013-04-23T00:00:00"/>
  </r>
  <r>
    <x v="103"/>
    <d v="1899-12-30T00:00:00"/>
    <x v="13"/>
    <x v="0"/>
    <s v="Buffalo"/>
    <x v="35"/>
    <n v="1180918"/>
    <x v="0"/>
    <s v="Social Science; Business/Management"/>
    <s v="9780745658070"/>
    <m/>
    <n v="0"/>
    <m/>
    <m/>
    <s v="No"/>
    <x v="2"/>
    <d v="2016-01-29T21:46:25"/>
    <n v="1"/>
    <s v="128.205.114.91"/>
    <s v="HB501 .I565"/>
    <n v="306.34201899999999"/>
    <d v="2013-04-23T00:00:00"/>
  </r>
  <r>
    <x v="104"/>
    <d v="1899-12-30T00:00:15"/>
    <x v="13"/>
    <x v="0"/>
    <s v="Buffalo"/>
    <x v="35"/>
    <n v="1180918"/>
    <x v="0"/>
    <s v="Social Science; Business/Management"/>
    <s v="9780745658070"/>
    <s v=",1,2,2,3,3,1"/>
    <n v="3"/>
    <m/>
    <m/>
    <s v="No"/>
    <x v="3"/>
    <m/>
    <m/>
    <s v="128.205.114.91"/>
    <s v="HB501 .I565"/>
    <n v="306.34201899999999"/>
    <d v="2013-04-23T00:00:00"/>
  </r>
  <r>
    <x v="105"/>
    <d v="1899-12-30T00:03:25"/>
    <x v="34"/>
    <x v="0"/>
    <s v="Buffalo"/>
    <x v="4"/>
    <n v="699526"/>
    <x v="0"/>
    <s v="Science; Computer Science/IT"/>
    <s v="9781118586006"/>
    <s v=",1,2,3,4,5,6,7,8,9,10,11,12,13,14,15,16,17,18,19,20,21,22,23,24,25,26,27"/>
    <n v="27"/>
    <m/>
    <m/>
    <s v="No"/>
    <x v="1"/>
    <m/>
    <m/>
    <s v="128.205.114.91"/>
    <s v="Q327 -- .D83 2001eb"/>
    <n v="6.4"/>
    <d v="2012-11-09T00:00:00"/>
  </r>
  <r>
    <x v="106"/>
    <d v="1899-12-30T01:26:14"/>
    <x v="35"/>
    <x v="0"/>
    <s v="Buffalo"/>
    <x v="7"/>
    <n v="1711065"/>
    <x v="3"/>
    <s v="Political Science; Social Science"/>
    <s v="9780520959156"/>
    <s v=",1,2,2,3,3,1,57,58,57,59,58,59,55,56,56,54,59,2,1,2,2,3,3,4,4,1,58,59,58,60,59,60,56,57,57,2,55,60,61,61,62,63,62,63,58,63,64,64,65,65,59,58,57,56,55,60,55,60,61,62,57,56,61,62,63,64,65,66,66,67,67,62,67,68,68,69,69,100,101,100,102,101,102,98,99,99,97,96,95,40,41,40,42,41,38,42,39,39,43,43,44,44,45,45,46,46,47,47,48,48,49,49,50,45,50,51,51,52,52,53,53,54,54,55,56,57,58,59,60,61,62,63,64,65,66,67,68,69,70,70,71,71,72,72,73,73,74,74,75,75,70,75,76,76,77,77,78,78,79,79,80,80,81,81,82,82,83,78,83,83,84,84,85,85,86,86,87,87,88,88,89,89,91,91,92,92,93,93,94,95,94,96,97,98,99,100,101,102,97,96,101,96,95,94,93,92,91,90,89,94,95,96,97,92,91,90,89,88,87,86,91,85,84,83,82,81,80,79,78,77,76,81,82,83,84,85,86,87,88,89,90,91,92,93,93,94"/>
    <n v="69"/>
    <m/>
    <m/>
    <s v="No"/>
    <x v="1"/>
    <m/>
    <m/>
    <s v="128.205.114.91"/>
    <s v="JV6450 -- .P67 2014eb"/>
    <s v="304.8/73"/>
    <d v="2014-08-30T00:00:00"/>
  </r>
  <r>
    <x v="107"/>
    <d v="1899-12-30T01:09:19"/>
    <x v="7"/>
    <x v="0"/>
    <s v="Buffalo"/>
    <x v="6"/>
    <n v="1635363"/>
    <x v="0"/>
    <s v="Law"/>
    <s v="9781118678206"/>
    <s v=",1,2,3,121,122,123,119,120,124,125,126,127,128,129,119,130,131,132,133"/>
    <n v="18"/>
    <m/>
    <m/>
    <s v="No"/>
    <x v="0"/>
    <d v="2016-01-26T00:10:14"/>
    <n v="7"/>
    <s v="128.205.114.91"/>
    <s v="KF285.Z9 -- H38 2014eb"/>
    <n v="340.07600000000002"/>
    <d v="2014-02-14T00:00:00"/>
  </r>
  <r>
    <x v="108"/>
    <d v="1899-12-30T00:00:00"/>
    <x v="13"/>
    <x v="0"/>
    <s v="Buffalo"/>
    <x v="36"/>
    <n v="4040731"/>
    <x v="0"/>
    <s v="Computer Science/IT"/>
    <s v="9781119042754"/>
    <m/>
    <n v="0"/>
    <m/>
    <m/>
    <s v="Yes"/>
    <x v="0"/>
    <d v="2016-01-29T19:30:26"/>
    <n v="7"/>
    <s v="128.205.114.91"/>
    <s v="QA76.9.A25 -- .S749 2015eb"/>
    <n v="5.8"/>
    <d v="2015-09-11T00:00:00"/>
  </r>
  <r>
    <x v="108"/>
    <d v="1899-12-30T00:00:00"/>
    <x v="13"/>
    <x v="0"/>
    <s v="Buffalo"/>
    <x v="36"/>
    <n v="4040731"/>
    <x v="0"/>
    <s v="Computer Science/IT"/>
    <s v="9781119042754"/>
    <m/>
    <n v="0"/>
    <m/>
    <m/>
    <s v="No"/>
    <x v="0"/>
    <d v="2016-01-29T19:30:26"/>
    <n v="7"/>
    <s v="128.205.114.91"/>
    <s v="QA76.9.A25 -- .S749 2015eb"/>
    <n v="5.8"/>
    <d v="2015-09-11T00:00:00"/>
  </r>
  <r>
    <x v="109"/>
    <d v="1899-12-30T00:00:19"/>
    <x v="13"/>
    <x v="0"/>
    <s v="Buffalo"/>
    <x v="36"/>
    <n v="4040731"/>
    <x v="0"/>
    <s v="Computer Science/IT"/>
    <s v="9781119042754"/>
    <s v=",1,2,3"/>
    <n v="3"/>
    <m/>
    <m/>
    <s v="No"/>
    <x v="3"/>
    <m/>
    <m/>
    <s v="128.205.114.91"/>
    <s v="QA76.9.A25 -- .S749 2015eb"/>
    <n v="5.8"/>
    <d v="2015-09-11T00:00:00"/>
  </r>
  <r>
    <x v="110"/>
    <d v="1899-12-30T00:00:56"/>
    <x v="13"/>
    <x v="0"/>
    <s v="Buffalo"/>
    <x v="36"/>
    <n v="4040731"/>
    <x v="0"/>
    <s v="Computer Science/IT"/>
    <s v="9781119042754"/>
    <s v=",1,2,3,4,5,6,7,8,9,10,11,12,13,14,15,16,17,18,19,20,21"/>
    <n v="21"/>
    <m/>
    <m/>
    <s v="No"/>
    <x v="3"/>
    <m/>
    <m/>
    <s v="128.205.114.91"/>
    <s v="QA76.9.A25 -- .S749 2015eb"/>
    <n v="5.8"/>
    <d v="2015-09-11T00:00:00"/>
  </r>
  <r>
    <x v="111"/>
    <d v="1899-12-30T00:30:02"/>
    <x v="13"/>
    <x v="0"/>
    <s v="Buffalo"/>
    <x v="37"/>
    <n v="1575985"/>
    <x v="2"/>
    <s v="Computer Science/IT; Sport &amp; Recreation"/>
    <s v="9781135921811"/>
    <s v=",1,28,29,30,26,27,2,31,1,45,46,47,44,43,2,48,49"/>
    <n v="15"/>
    <m/>
    <m/>
    <s v="No"/>
    <x v="2"/>
    <d v="2016-01-29T19:09:56"/>
    <n v="1"/>
    <s v="128.205.114.91"/>
    <s v="QA76.76.C672 -- .T498 2014eb"/>
    <n v="794.81525999999997"/>
    <d v="2013-12-04T00:00:00"/>
  </r>
  <r>
    <x v="112"/>
    <d v="1899-12-30T00:02:02"/>
    <x v="36"/>
    <x v="0"/>
    <s v="Buffalo"/>
    <x v="38"/>
    <n v="1463596"/>
    <x v="5"/>
    <s v="Social Science"/>
    <s v="9780814760567"/>
    <s v=",214,214,215,216,212,213,217,218,219,220,223,229,236,239,241,242,243,244,240,238"/>
    <n v="19"/>
    <m/>
    <s v=",8,9,10,11,12,13,14,15,16,17,18,19,20,21,22,23,24,25,26,27,28,29,30,31,32,33,34,35,36,37,38,39,40,41,42,43,44,45,46,47,48,49,50,51,52,53,54,55,56,57,58,59,60,61,62,63,190,191,192,193,194,195,196,197,198,199,200,201,202,203,204,205,206,207,208,209,210,211,212,213,214,215,216,217,218,240,241,242"/>
    <s v="No"/>
    <x v="2"/>
    <d v="2016-01-29T19:00:20"/>
    <n v="1"/>
    <s v="128.205.114.91"/>
    <s v="HQ76.3.A78 -- L56 2014eb"/>
    <n v="305.30950000000001"/>
    <d v="2013-11-22T00:00:00"/>
  </r>
  <r>
    <x v="113"/>
    <d v="1899-12-30T00:01:29"/>
    <x v="36"/>
    <x v="0"/>
    <s v="Buffalo"/>
    <x v="38"/>
    <n v="1463596"/>
    <x v="5"/>
    <s v="Social Science"/>
    <s v="9780814760567"/>
    <s v=",1,2,3,4,5,6,7,8,2,9,10,11,12,13,14,15,16,17,18,19,20,21,22,23,24,25,26,27,28,29,30,31,32,33,34,35,36,37,38,39,40,41,42,43,44,45,46,47,48,49,47"/>
    <n v="49"/>
    <m/>
    <m/>
    <s v="No"/>
    <x v="3"/>
    <m/>
    <m/>
    <s v="128.205.114.91"/>
    <s v="HQ76.3.A78 -- L56 2014eb"/>
    <n v="305.30950000000001"/>
    <d v="2013-11-22T00:00:00"/>
  </r>
  <r>
    <x v="114"/>
    <d v="1899-12-30T00:15:25"/>
    <x v="37"/>
    <x v="0"/>
    <s v="Buffalo"/>
    <x v="39"/>
    <n v="1569855"/>
    <x v="2"/>
    <s v="History; Political Science"/>
    <s v="9781317863878"/>
    <s v=",98,98,93,98,99,99,94,99,100,100,101,101,102,102,103,103,104,104,105,105,106,106,107,107,108,108,109,109,110,110,111,111,112,112,107,106,105,104,103,102,101,100,99,98,97,96,95,94,93,98,99,100,101,102"/>
    <n v="20"/>
    <m/>
    <m/>
    <s v="No"/>
    <x v="2"/>
    <d v="2016-01-29T18:52:44"/>
    <n v="1"/>
    <s v="128.205.114.91"/>
    <s v="E183.8.S65 -- M33 2013eb"/>
    <n v="327.47073"/>
    <d v="2013-11-04T00:00:00"/>
  </r>
  <r>
    <x v="115"/>
    <d v="1899-12-30T00:05:10"/>
    <x v="37"/>
    <x v="0"/>
    <s v="Buffalo"/>
    <x v="39"/>
    <n v="1569855"/>
    <x v="2"/>
    <s v="History; Political Science"/>
    <s v="9781317863878"/>
    <s v=",1,2,3,3,2,1,2,2,94,94,95,96,95,92,96,93,93,73,74,73,75,71,74,75,72,72,76,76,94,95,94,95,92,96,96,93,93,97,97"/>
    <n v="15"/>
    <m/>
    <m/>
    <s v="No"/>
    <x v="3"/>
    <m/>
    <m/>
    <s v="128.205.114.91"/>
    <s v="E183.8.S65 -- M33 2013eb"/>
    <n v="327.47073"/>
    <d v="2013-11-04T00:00:00"/>
  </r>
  <r>
    <x v="116"/>
    <d v="1899-12-30T00:45:18"/>
    <x v="13"/>
    <x v="0"/>
    <s v="Buffalo"/>
    <x v="37"/>
    <n v="1575985"/>
    <x v="2"/>
    <s v="Computer Science/IT; Sport &amp; Recreation"/>
    <s v="9781135921811"/>
    <s v=",1,2,3,4,5,6,7,8,9,10,11,20,21,22,18,23,19,24,25,26,2,27,28"/>
    <n v="22"/>
    <m/>
    <m/>
    <s v="No"/>
    <x v="3"/>
    <m/>
    <m/>
    <s v="128.205.114.91"/>
    <s v="QA76.76.C672 -- .T498 2014eb"/>
    <n v="794.81525999999997"/>
    <d v="2013-12-04T00:00:00"/>
  </r>
  <r>
    <x v="117"/>
    <d v="1899-12-30T00:29:30"/>
    <x v="13"/>
    <x v="0"/>
    <s v="Buffalo"/>
    <x v="40"/>
    <n v="1695071"/>
    <x v="0"/>
    <s v="Mathematics"/>
    <s v="9781118895054"/>
    <s v=",1,3,4,5,2,111,112,113,109,110,114,115"/>
    <n v="12"/>
    <m/>
    <m/>
    <s v="No"/>
    <x v="2"/>
    <d v="2016-01-29T18:20:07"/>
    <n v="1"/>
    <s v="128.205.114.91"/>
    <s v="QA279.5 -- .C649 2014eb"/>
    <s v="519.5/42"/>
    <d v="2014-05-23T00:00:00"/>
  </r>
  <r>
    <x v="118"/>
    <d v="1899-12-30T00:46:32"/>
    <x v="13"/>
    <x v="0"/>
    <s v="Buffalo"/>
    <x v="40"/>
    <n v="1695071"/>
    <x v="0"/>
    <s v="Mathematics"/>
    <s v="9781118895054"/>
    <s v=",1,2,3"/>
    <n v="3"/>
    <m/>
    <m/>
    <s v="No"/>
    <x v="3"/>
    <m/>
    <m/>
    <s v="128.205.114.91"/>
    <s v="QA279.5 -- .C649 2014eb"/>
    <s v="519.5/42"/>
    <d v="2014-05-23T00:00:00"/>
  </r>
  <r>
    <x v="119"/>
    <d v="1899-12-30T00:00:00"/>
    <x v="13"/>
    <x v="0"/>
    <s v="Buffalo"/>
    <x v="41"/>
    <n v="945113"/>
    <x v="0"/>
    <s v="Mathematics"/>
    <s v="9781118359754"/>
    <s v=",4"/>
    <n v="1"/>
    <m/>
    <m/>
    <s v="No"/>
    <x v="0"/>
    <d v="2016-01-29T17:25:57"/>
    <n v="7"/>
    <s v="128.205.114.91"/>
    <s v="QA279.5 -- .L44 2012eb"/>
    <s v="519.5/42"/>
    <d v="2012-06-12T00:00:00"/>
  </r>
  <r>
    <x v="120"/>
    <d v="1899-12-30T00:00:00"/>
    <x v="38"/>
    <x v="7"/>
    <s v="oneonta"/>
    <x v="42"/>
    <n v="570368"/>
    <x v="4"/>
    <s v="Medicine"/>
    <s v="9781606238974"/>
    <m/>
    <n v="0"/>
    <m/>
    <s v=",138,139,140,141,142,143,144,145,146,147,148,149,150,21,22,23,24,25,26,27,28,29,30,31,32,33,34,35,36,37,38,39,40,41,42,43,44,45,46"/>
    <s v="No"/>
    <x v="2"/>
    <d v="2016-01-29T17:16:10"/>
    <n v="1"/>
    <s v="137.141.13.2"/>
    <s v="R726.7 -- .H365 2010eb"/>
    <n v="616.00189999999998"/>
    <d v="2014-05-14T00:00:00"/>
  </r>
  <r>
    <x v="121"/>
    <d v="1899-12-30T00:10:29"/>
    <x v="13"/>
    <x v="0"/>
    <s v="Buffalo"/>
    <x v="41"/>
    <n v="945113"/>
    <x v="0"/>
    <s v="Mathematics"/>
    <s v="9781118359754"/>
    <s v=",1,2,3"/>
    <n v="3"/>
    <m/>
    <m/>
    <s v="No"/>
    <x v="1"/>
    <m/>
    <m/>
    <s v="128.205.114.91"/>
    <s v="QA279.5 -- .L44 2012eb"/>
    <s v="519.5/42"/>
    <d v="2012-06-12T00:00:00"/>
  </r>
  <r>
    <x v="122"/>
    <d v="1899-12-30T00:02:15"/>
    <x v="38"/>
    <x v="7"/>
    <s v="oneonta"/>
    <x v="42"/>
    <n v="570368"/>
    <x v="4"/>
    <s v="Medicine"/>
    <s v="9781606238974"/>
    <s v=",1,2,3,4,5,4,6,7,8,9,10,11,12,13,14,16,15,17,138,139,140,136,137,141,134"/>
    <n v="24"/>
    <m/>
    <m/>
    <s v="No"/>
    <x v="3"/>
    <m/>
    <m/>
    <s v="137.141.13.2"/>
    <s v="R726.7 -- .H365 2010eb"/>
    <n v="616.00189999999998"/>
    <d v="2014-05-14T00:00:00"/>
  </r>
  <r>
    <x v="123"/>
    <d v="1899-12-30T00:01:30"/>
    <x v="39"/>
    <x v="0"/>
    <s v="Buffalo"/>
    <x v="43"/>
    <n v="1565213"/>
    <x v="2"/>
    <s v="Literature"/>
    <s v="9781317761181"/>
    <s v=",1,2,3,417,418,419,415,416,518,519,520,517,515,516,514,513,420"/>
    <n v="17"/>
    <s v=",1"/>
    <s v="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501,502,503,504,505,506,507,508,509,510,511,512,513,514,515,516,517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501,502,503,504,505,506,507,508,509,510,511,512,513,514,515,516,517"/>
    <s v="No"/>
    <x v="2"/>
    <d v="2016-01-28T21:29:16"/>
    <n v="1"/>
    <s v="128.205.114.91"/>
    <s v="PA3003.I56"/>
    <n v="880.09"/>
    <d v="2013-11-19T00:00:00"/>
  </r>
  <r>
    <x v="124"/>
    <d v="1899-12-30T00:00:38"/>
    <x v="37"/>
    <x v="0"/>
    <s v="Buffalo"/>
    <x v="39"/>
    <n v="1569855"/>
    <x v="2"/>
    <s v="History; Political Science"/>
    <s v="9781317863878"/>
    <s v=",1,2,3,4,94,95,96,92,93,94,95,96,92,93"/>
    <n v="9"/>
    <m/>
    <m/>
    <s v="No"/>
    <x v="3"/>
    <m/>
    <m/>
    <s v="128.205.114.91"/>
    <s v="E183.8.S65 -- M33 2013eb"/>
    <n v="327.47073"/>
    <d v="2013-11-04T00:00:00"/>
  </r>
  <r>
    <x v="125"/>
    <d v="1899-12-30T01:16:19"/>
    <x v="11"/>
    <x v="1"/>
    <s v="brockport"/>
    <x v="1"/>
    <n v="1684620"/>
    <x v="0"/>
    <s v="Health; Social Science"/>
    <s v="9781118418925"/>
    <s v=",13,14,15,11,12,16,17,18,19,20,21,16,15,14,13,19,20,21,25,26,27,23,24,28,29,30,31,32,33,30,28,31,29,30,31,27,28,32,33,34,35,36,37,38,39,40,41,42,43,44,45,40,41,42,40,41,42,38,39,37,36,35,34,33,32,31,30,29,28,27,26,25,31,32,33,34,35,36,37,38,39,40,41,42,43,44,45,46,47,48,49,50,51,52,53,54,55,56,57,58,59,60,61,62,63,64,65,66,67,68,69,70,71,72,73,74,75,76,77,78,79,80,81,82,83,84,85,86,87,88,89,90,91,92,93,94,95,96,97,98,99,100,101,102,103,104,105,106,107,100,99,97,19,1,2,3"/>
    <n v="99"/>
    <s v=",13,13,14,14,15,16,17,18,26,27"/>
    <m/>
    <s v="Yes"/>
    <x v="0"/>
    <d v="2016-01-28T19:28:17"/>
    <n v="7"/>
    <s v="137.21.7.121"/>
    <s v="RA971 -- .S56 2014eb"/>
    <n v="362.10680000000002"/>
    <d v="2014-04-30T00:00:00"/>
  </r>
  <r>
    <x v="126"/>
    <d v="1899-12-30T00:00:03"/>
    <x v="11"/>
    <x v="1"/>
    <s v="brockport"/>
    <x v="1"/>
    <n v="1684620"/>
    <x v="0"/>
    <s v="Health; Social Science"/>
    <s v="9781118418925"/>
    <s v=",1,2,3"/>
    <n v="3"/>
    <m/>
    <m/>
    <s v="No"/>
    <x v="0"/>
    <d v="2016-01-28T19:28:17"/>
    <n v="7"/>
    <s v="137.21.7.121"/>
    <s v="RA971 -- .S56 2014eb"/>
    <n v="362.10680000000002"/>
    <d v="2014-04-30T00:00:00"/>
  </r>
  <r>
    <x v="127"/>
    <d v="1899-12-30T00:00:31"/>
    <x v="11"/>
    <x v="1"/>
    <s v="brockport"/>
    <x v="1"/>
    <n v="1684620"/>
    <x v="0"/>
    <s v="Health; Social Science"/>
    <s v="9781118418925"/>
    <s v=",1,2,3,13,14,15,11,12,16,15,16,12,13"/>
    <n v="9"/>
    <s v=",14"/>
    <m/>
    <s v="No"/>
    <x v="0"/>
    <d v="2016-01-28T19:28:17"/>
    <n v="7"/>
    <s v="137.21.7.121"/>
    <s v="RA971 -- .S56 2014eb"/>
    <n v="362.10680000000002"/>
    <d v="2014-04-30T00:00:00"/>
  </r>
  <r>
    <x v="128"/>
    <d v="1899-12-30T00:00:00"/>
    <x v="11"/>
    <x v="1"/>
    <s v="brockport"/>
    <x v="1"/>
    <n v="1684620"/>
    <x v="0"/>
    <s v="Health; Social Science"/>
    <s v="9781118418925"/>
    <m/>
    <n v="0"/>
    <m/>
    <m/>
    <s v="Yes"/>
    <x v="0"/>
    <d v="2016-01-28T19:28:17"/>
    <n v="7"/>
    <s v="137.21.7.121"/>
    <s v="RA971 -- .S56 2014eb"/>
    <n v="362.10680000000002"/>
    <d v="2014-04-30T00:00:00"/>
  </r>
  <r>
    <x v="129"/>
    <d v="1899-12-30T00:00:00"/>
    <x v="11"/>
    <x v="1"/>
    <s v="brockport"/>
    <x v="1"/>
    <n v="1684620"/>
    <x v="0"/>
    <s v="Health; Social Science"/>
    <s v="9781118418925"/>
    <m/>
    <n v="0"/>
    <m/>
    <m/>
    <s v="Yes"/>
    <x v="0"/>
    <d v="2016-01-28T19:28:17"/>
    <n v="7"/>
    <s v="137.21.7.121"/>
    <s v="RA971 -- .S56 2014eb"/>
    <n v="362.10680000000002"/>
    <d v="2014-04-30T00:00:00"/>
  </r>
  <r>
    <x v="130"/>
    <d v="1899-12-30T00:00:06"/>
    <x v="11"/>
    <x v="1"/>
    <s v="brockport"/>
    <x v="1"/>
    <n v="1684620"/>
    <x v="0"/>
    <s v="Health; Social Science"/>
    <s v="9781118418925"/>
    <s v=",1,2,3"/>
    <n v="3"/>
    <s v=",1"/>
    <m/>
    <s v="No"/>
    <x v="0"/>
    <d v="2016-01-28T19:28:17"/>
    <n v="7"/>
    <s v="137.21.7.121"/>
    <s v="RA971 -- .S56 2014eb"/>
    <n v="362.10680000000002"/>
    <d v="2014-04-30T00:00:00"/>
  </r>
  <r>
    <x v="131"/>
    <d v="1899-12-30T01:29:59"/>
    <x v="35"/>
    <x v="0"/>
    <s v="Buffalo"/>
    <x v="7"/>
    <n v="1711065"/>
    <x v="3"/>
    <s v="Political Science; Social Science"/>
    <s v="9780520959156"/>
    <s v=",1,2,2,3,1,3,40,41,40,42,41,42,38,39,39,2,40,40,43,43,38,43,44,44,45,45,46,46,47,48,47,48,43,42,41,46,47,48,43,48,49,49,50,50,51,51,46,51,51,46,51,46,51,52,52,53,53,54,54,55,55,56,56"/>
    <n v="22"/>
    <m/>
    <m/>
    <s v="No"/>
    <x v="1"/>
    <m/>
    <m/>
    <s v="128.205.114.91"/>
    <s v="JV6450 -- .P67 2014eb"/>
    <s v="304.8/73"/>
    <d v="2014-08-30T00:00:00"/>
  </r>
  <r>
    <x v="132"/>
    <d v="1899-12-30T00:07:46"/>
    <x v="40"/>
    <x v="0"/>
    <s v="Buffalo"/>
    <x v="44"/>
    <n v="1794558"/>
    <x v="0"/>
    <s v="Engineering: Construction; Engineering"/>
    <s v="9781118821725"/>
    <s v=",86,87,95,96,97,93,94,98,99,100,101,102,549,550,551,547,548,552,553,554,555,556,557,558,559,560,561,562,563,564,565,566,567,568,569,570,571,572,573,574,575,576,577,578,579,580,581,582,583,584,585,586,587,588,589,590,591,592,593,594,595,596,597,598,542,541,540,538,539,537,535,536"/>
    <n v="72"/>
    <m/>
    <m/>
    <s v="No"/>
    <x v="2"/>
    <d v="2016-01-29T15:37:53"/>
    <n v="1"/>
    <s v="128.205.114.91"/>
    <s v="TH7222 -- .L33 2015eb"/>
    <n v="697"/>
    <d v="2014-09-23T00:00:00"/>
  </r>
  <r>
    <x v="133"/>
    <d v="1899-12-30T00:12:39"/>
    <x v="40"/>
    <x v="0"/>
    <s v="Buffalo"/>
    <x v="44"/>
    <n v="1794558"/>
    <x v="0"/>
    <s v="Engineering: Construction; Engineering"/>
    <s v="9781118821725"/>
    <s v=",1,2,3,92,93,94,90,91,89,88,87,86,84,85,83,81,82"/>
    <n v="17"/>
    <m/>
    <m/>
    <s v="No"/>
    <x v="3"/>
    <m/>
    <m/>
    <s v="128.205.114.91"/>
    <s v="TH7222 -- .L33 2015eb"/>
    <n v="697"/>
    <d v="2014-09-23T00:00:00"/>
  </r>
  <r>
    <x v="134"/>
    <d v="1899-12-30T00:04:21"/>
    <x v="41"/>
    <x v="1"/>
    <s v="brockport"/>
    <x v="45"/>
    <n v="1691426"/>
    <x v="0"/>
    <s v="Social Science; Health"/>
    <s v="9781118839492"/>
    <s v=",76,77,78,79,80,81,82,83,84,85,86,87,88,89,90,91,92,93,94,95,96,97,73,74,75,71,72,76,76"/>
    <n v="27"/>
    <m/>
    <s v=",73,74,75,76,77,78,79,80,81,82,83,84,85,86,87,88,89,90,91,92,93,94"/>
    <s v="No"/>
    <x v="0"/>
    <d v="2016-01-29T14:55:43"/>
    <n v="7"/>
    <s v="137.21.7.121"/>
    <s v="RA781.7 -- .P396 2014eb"/>
    <n v="613.70460000000003"/>
    <d v="2014-05-13T00:00:00"/>
  </r>
  <r>
    <x v="135"/>
    <d v="1899-12-30T00:00:35"/>
    <x v="41"/>
    <x v="1"/>
    <s v="brockport"/>
    <x v="45"/>
    <n v="1691426"/>
    <x v="0"/>
    <s v="Social Science; Health"/>
    <s v="9781118839492"/>
    <s v=",1,2,3,73,74,75,71,72,76,2,71,71,72"/>
    <n v="9"/>
    <m/>
    <m/>
    <s v="No"/>
    <x v="1"/>
    <m/>
    <m/>
    <s v="137.21.7.121"/>
    <s v="RA781.7 -- .P396 2014eb"/>
    <n v="613.70460000000003"/>
    <d v="2014-05-13T00:00:00"/>
  </r>
  <r>
    <x v="136"/>
    <d v="1899-12-30T00:33:40"/>
    <x v="13"/>
    <x v="0"/>
    <s v="Buffalo"/>
    <x v="7"/>
    <n v="1711065"/>
    <x v="3"/>
    <s v="Political Science; Social Science"/>
    <s v="9780520959156"/>
    <s v=",1,2,3,4,5,6,7,8,9,40,41,42,38,39,37,2,43"/>
    <n v="16"/>
    <m/>
    <m/>
    <s v="No"/>
    <x v="1"/>
    <m/>
    <m/>
    <s v="128.205.114.91"/>
    <s v="JV6450 -- .P67 2014eb"/>
    <s v="304.8/73"/>
    <d v="2014-08-30T00:00:00"/>
  </r>
  <r>
    <x v="137"/>
    <d v="1899-12-30T00:00:23"/>
    <x v="42"/>
    <x v="8"/>
    <s v="niagaracc"/>
    <x v="46"/>
    <n v="1602291"/>
    <x v="0"/>
    <s v="Health; Social Science; Medicine"/>
    <s v="9781118817001"/>
    <s v=",1,2,3,4,5,6,7,8,9,10,11,12,13,14,15,16,17,18"/>
    <n v="18"/>
    <m/>
    <m/>
    <s v="No"/>
    <x v="1"/>
    <m/>
    <m/>
    <s v="132.174.254.37"/>
    <s v="RC564.15 -- .P47 2014eb"/>
    <n v="362.29"/>
    <d v="2014-01-10T00:00:00"/>
  </r>
  <r>
    <x v="138"/>
    <d v="1899-12-30T00:01:12"/>
    <x v="43"/>
    <x v="7"/>
    <s v="oneonta"/>
    <x v="47"/>
    <n v="4036197"/>
    <x v="0"/>
    <s v="Agriculture"/>
    <s v="9781118540633"/>
    <s v=",1,2,3,88,85"/>
    <n v="5"/>
    <m/>
    <m/>
    <s v="No"/>
    <x v="0"/>
    <d v="2016-01-28T21:31:08"/>
    <n v="7"/>
    <s v="137.141.13.2"/>
    <s v="S591 -- .S655 2016eb"/>
    <n v="631.4"/>
    <d v="2015-10-05T00:00:00"/>
  </r>
  <r>
    <x v="139"/>
    <d v="1899-12-30T00:00:25"/>
    <x v="44"/>
    <x v="5"/>
    <s v="erie"/>
    <x v="48"/>
    <n v="4217944"/>
    <x v="2"/>
    <s v="Political Science"/>
    <s v="9781317216247"/>
    <s v=",1,2,3,4,5,6,7"/>
    <n v="7"/>
    <m/>
    <m/>
    <s v="No"/>
    <x v="3"/>
    <m/>
    <m/>
    <s v="199.29.6.54"/>
    <m/>
    <n v="351.06066900000002"/>
    <d v="2013-12-30T00:00:00"/>
  </r>
  <r>
    <x v="140"/>
    <d v="1899-12-30T00:00:00"/>
    <x v="45"/>
    <x v="0"/>
    <s v="Buffalo"/>
    <x v="49"/>
    <n v="1581687"/>
    <x v="2"/>
    <s v="Language/Linguistics"/>
    <s v="9781136722257"/>
    <m/>
    <n v="0"/>
    <m/>
    <m/>
    <s v="Yes"/>
    <x v="2"/>
    <d v="2016-01-29T05:27:19"/>
    <n v="1"/>
    <s v="128.205.114.91"/>
    <s v="PL629.P66 -- T78 2013eb"/>
    <n v="495.65"/>
    <d v="2013-12-16T00:00:00"/>
  </r>
  <r>
    <x v="140"/>
    <d v="1899-12-30T00:00:00"/>
    <x v="45"/>
    <x v="0"/>
    <s v="Buffalo"/>
    <x v="49"/>
    <n v="1581687"/>
    <x v="2"/>
    <s v="Language/Linguistics"/>
    <s v="9781136722257"/>
    <m/>
    <n v="0"/>
    <m/>
    <m/>
    <s v="No"/>
    <x v="2"/>
    <d v="2016-01-29T05:27:19"/>
    <n v="1"/>
    <s v="128.205.114.91"/>
    <s v="PL629.P66 -- T78 2013eb"/>
    <n v="495.65"/>
    <d v="2013-12-16T00:00:00"/>
  </r>
  <r>
    <x v="141"/>
    <d v="1899-12-30T00:00:30"/>
    <x v="45"/>
    <x v="0"/>
    <s v="Buffalo"/>
    <x v="49"/>
    <n v="1581687"/>
    <x v="2"/>
    <s v="Language/Linguistics"/>
    <s v="9781136722257"/>
    <s v=",1,2,3,4,5,6,7"/>
    <n v="7"/>
    <m/>
    <m/>
    <s v="No"/>
    <x v="3"/>
    <m/>
    <m/>
    <s v="128.205.114.91"/>
    <s v="PL629.P66 -- T78 2013eb"/>
    <n v="495.65"/>
    <d v="2013-12-16T00:00:00"/>
  </r>
  <r>
    <x v="142"/>
    <d v="1899-12-30T00:00:00"/>
    <x v="45"/>
    <x v="0"/>
    <s v="Buffalo"/>
    <x v="50"/>
    <n v="1895498"/>
    <x v="0"/>
    <s v="Business/Management"/>
    <s v="9781118573020"/>
    <m/>
    <n v="0"/>
    <m/>
    <m/>
    <s v="Yes"/>
    <x v="2"/>
    <d v="2016-01-29T05:18:44"/>
    <n v="1"/>
    <s v="128.205.114.91"/>
    <s v="HD61 -- .C778 2015eb"/>
    <s v="658.15/5"/>
    <d v="2015-01-20T00:00:00"/>
  </r>
  <r>
    <x v="142"/>
    <d v="1899-12-30T00:00:00"/>
    <x v="45"/>
    <x v="0"/>
    <s v="Buffalo"/>
    <x v="50"/>
    <n v="1895498"/>
    <x v="0"/>
    <s v="Business/Management"/>
    <s v="9781118573020"/>
    <m/>
    <n v="0"/>
    <m/>
    <m/>
    <s v="No"/>
    <x v="2"/>
    <d v="2016-01-29T05:18:44"/>
    <n v="1"/>
    <s v="128.205.114.91"/>
    <s v="HD61 -- .C778 2015eb"/>
    <s v="658.15/5"/>
    <d v="2015-01-20T00:00:00"/>
  </r>
  <r>
    <x v="143"/>
    <d v="1899-12-30T00:00:27"/>
    <x v="45"/>
    <x v="0"/>
    <s v="Buffalo"/>
    <x v="50"/>
    <n v="1895498"/>
    <x v="0"/>
    <s v="Business/Management"/>
    <s v="9781118573020"/>
    <s v=",1,2,3,4,5,6,7,8"/>
    <n v="8"/>
    <m/>
    <m/>
    <s v="No"/>
    <x v="3"/>
    <m/>
    <m/>
    <s v="128.205.114.91"/>
    <s v="HD61 -- .C778 2015eb"/>
    <s v="658.15/5"/>
    <d v="2015-01-20T00:00:00"/>
  </r>
  <r>
    <x v="144"/>
    <d v="1899-12-30T00:00:00"/>
    <x v="45"/>
    <x v="0"/>
    <s v="Buffalo"/>
    <x v="51"/>
    <n v="4093335"/>
    <x v="0"/>
    <m/>
    <s v="9781118489864"/>
    <m/>
    <n v="0"/>
    <m/>
    <m/>
    <s v="Yes"/>
    <x v="0"/>
    <d v="2016-01-29T05:13:33"/>
    <n v="7"/>
    <s v="128.205.114.91"/>
    <m/>
    <m/>
    <d v="2015-04-01T00:00:00"/>
  </r>
  <r>
    <x v="144"/>
    <d v="1899-12-30T00:00:00"/>
    <x v="45"/>
    <x v="0"/>
    <s v="Buffalo"/>
    <x v="51"/>
    <n v="4093335"/>
    <x v="0"/>
    <m/>
    <s v="9781118489864"/>
    <m/>
    <n v="0"/>
    <m/>
    <m/>
    <s v="No"/>
    <x v="0"/>
    <d v="2016-01-29T05:13:33"/>
    <n v="7"/>
    <s v="128.205.114.91"/>
    <m/>
    <m/>
    <d v="2015-04-01T00:00:00"/>
  </r>
  <r>
    <x v="145"/>
    <d v="1899-12-30T00:00:22"/>
    <x v="45"/>
    <x v="0"/>
    <s v="Buffalo"/>
    <x v="51"/>
    <n v="4093335"/>
    <x v="0"/>
    <m/>
    <s v="9781118489864"/>
    <s v=",1,2,3"/>
    <n v="3"/>
    <m/>
    <m/>
    <s v="No"/>
    <x v="3"/>
    <m/>
    <m/>
    <s v="128.205.114.91"/>
    <m/>
    <m/>
    <d v="2015-04-01T00:00:00"/>
  </r>
  <r>
    <x v="146"/>
    <d v="1899-12-30T00:10:41"/>
    <x v="23"/>
    <x v="1"/>
    <s v="brockport"/>
    <x v="11"/>
    <n v="693176"/>
    <x v="0"/>
    <s v="Engineering: Manufacturing; General Works/Reference; Engineering"/>
    <s v="9781118017746"/>
    <s v=",1,2,3,38,39,40,36,37,41,39,40,41,42"/>
    <n v="10"/>
    <s v=",38"/>
    <m/>
    <s v="No"/>
    <x v="0"/>
    <d v="2016-01-27T16:58:49"/>
    <n v="7"/>
    <s v="137.21.7.121"/>
    <s v="Z246 -- .M43 2012eb"/>
    <s v="686.2/209"/>
    <d v="2011-10-19T00:00:00"/>
  </r>
  <r>
    <x v="147"/>
    <d v="1899-12-30T00:00:00"/>
    <x v="46"/>
    <x v="1"/>
    <s v="brockport"/>
    <x v="1"/>
    <n v="1684620"/>
    <x v="0"/>
    <s v="Health; Social Science"/>
    <s v="9781118418925"/>
    <m/>
    <n v="0"/>
    <m/>
    <m/>
    <s v="Yes"/>
    <x v="0"/>
    <d v="2016-01-28T20:28:30"/>
    <n v="7"/>
    <s v="137.21.7.121"/>
    <s v="RA971 -- .S56 2014eb"/>
    <n v="362.10680000000002"/>
    <d v="2014-04-30T00:00:00"/>
  </r>
  <r>
    <x v="148"/>
    <d v="1899-12-30T00:00:04"/>
    <x v="47"/>
    <x v="9"/>
    <s v="trocaire"/>
    <x v="52"/>
    <n v="1272892"/>
    <x v="2"/>
    <s v="Education"/>
    <s v="9781136564529"/>
    <s v=",1,2,3"/>
    <n v="3"/>
    <m/>
    <m/>
    <s v="No"/>
    <x v="3"/>
    <m/>
    <m/>
    <s v="173.225.62.67"/>
    <s v="LB3060.7.T"/>
    <n v="371.26013"/>
    <d v="2013-07-04T00:00:00"/>
  </r>
  <r>
    <x v="149"/>
    <d v="1899-12-30T00:00:00"/>
    <x v="48"/>
    <x v="0"/>
    <s v="Buffalo"/>
    <x v="53"/>
    <n v="1896074"/>
    <x v="0"/>
    <s v="Science; Science: Physics"/>
    <s v="9783527682171"/>
    <m/>
    <n v="0"/>
    <m/>
    <m/>
    <s v="Yes"/>
    <x v="2"/>
    <d v="2016-01-29T02:01:02"/>
    <n v="7"/>
    <s v="128.205.114.91"/>
    <s v="QC176.8.A44 -- .S733 2015eb"/>
    <n v="530.41300000000001"/>
    <d v="2014-12-22T00:00:00"/>
  </r>
  <r>
    <x v="149"/>
    <d v="1899-12-30T00:00:00"/>
    <x v="48"/>
    <x v="0"/>
    <s v="Buffalo"/>
    <x v="53"/>
    <n v="1896074"/>
    <x v="0"/>
    <s v="Science; Science: Physics"/>
    <s v="9783527682171"/>
    <m/>
    <n v="0"/>
    <m/>
    <m/>
    <s v="No"/>
    <x v="2"/>
    <d v="2016-01-29T02:01:02"/>
    <n v="7"/>
    <s v="128.205.114.91"/>
    <s v="QC176.8.A44 -- .S733 2015eb"/>
    <n v="530.41300000000001"/>
    <d v="2014-12-22T00:00:00"/>
  </r>
  <r>
    <x v="150"/>
    <d v="1899-12-30T00:00:53"/>
    <x v="48"/>
    <x v="0"/>
    <s v="Buffalo"/>
    <x v="53"/>
    <n v="1896074"/>
    <x v="0"/>
    <s v="Science; Science: Physics"/>
    <s v="9783527682171"/>
    <s v=",1,2,3,76,77,78,74,75,76"/>
    <n v="8"/>
    <m/>
    <m/>
    <s v="No"/>
    <x v="3"/>
    <m/>
    <m/>
    <s v="128.205.114.91"/>
    <s v="QC176.8.A44 -- .S733 2015eb"/>
    <n v="530.41300000000001"/>
    <d v="2014-12-22T00:00:00"/>
  </r>
  <r>
    <x v="151"/>
    <d v="1899-12-30T00:00:00"/>
    <x v="46"/>
    <x v="1"/>
    <s v="brockport"/>
    <x v="1"/>
    <n v="1684620"/>
    <x v="0"/>
    <s v="Health; Social Science"/>
    <s v="9781118418925"/>
    <m/>
    <n v="0"/>
    <m/>
    <m/>
    <s v="Yes"/>
    <x v="0"/>
    <d v="2016-01-28T20:28:30"/>
    <n v="7"/>
    <s v="137.21.7.121"/>
    <s v="RA971 -- .S56 2014eb"/>
    <n v="362.10680000000002"/>
    <d v="2014-04-30T00:00:00"/>
  </r>
  <r>
    <x v="152"/>
    <d v="1899-12-30T00:00:06"/>
    <x v="46"/>
    <x v="1"/>
    <s v="brockport"/>
    <x v="1"/>
    <n v="1684620"/>
    <x v="0"/>
    <s v="Health; Social Science"/>
    <s v="9781118418925"/>
    <s v=",1,2,3"/>
    <n v="3"/>
    <m/>
    <m/>
    <s v="No"/>
    <x v="0"/>
    <d v="2016-01-28T20:28:30"/>
    <n v="7"/>
    <s v="137.21.7.121"/>
    <s v="RA971 -- .S56 2014eb"/>
    <n v="362.10680000000002"/>
    <d v="2014-04-30T00:00:00"/>
  </r>
  <r>
    <x v="153"/>
    <d v="1899-12-30T00:00:45"/>
    <x v="13"/>
    <x v="0"/>
    <s v="Buffalo"/>
    <x v="7"/>
    <n v="1711065"/>
    <x v="3"/>
    <s v="Political Science; Social Science"/>
    <s v="9780520959156"/>
    <s v=",1,8,9,10,6,7,3,4,5,2,40,41,42,100,101,102,139,140,175,176,177,173,174,190,191,192,168,142,138,136,137"/>
    <n v="31"/>
    <m/>
    <m/>
    <s v="No"/>
    <x v="1"/>
    <m/>
    <m/>
    <s v="128.205.114.91"/>
    <s v="JV6450 -- .P67 2014eb"/>
    <s v="304.8/73"/>
    <d v="2014-08-30T00:00:00"/>
  </r>
  <r>
    <x v="154"/>
    <d v="1899-12-30T00:00:03"/>
    <x v="13"/>
    <x v="0"/>
    <s v="Buffalo"/>
    <x v="7"/>
    <n v="1711065"/>
    <x v="3"/>
    <s v="Political Science; Social Science"/>
    <s v="9780520959156"/>
    <s v=",1,2,3"/>
    <n v="3"/>
    <m/>
    <m/>
    <s v="No"/>
    <x v="1"/>
    <m/>
    <m/>
    <s v="128.205.114.91"/>
    <s v="JV6450 -- .P67 2014eb"/>
    <s v="304.8/73"/>
    <d v="2014-08-30T00:00:00"/>
  </r>
  <r>
    <x v="155"/>
    <d v="1899-12-30T00:00:24"/>
    <x v="49"/>
    <x v="7"/>
    <s v="oneonta"/>
    <x v="54"/>
    <n v="1895729"/>
    <x v="0"/>
    <s v="Education"/>
    <s v="9781118904817"/>
    <s v=",185,186,187,183,184,188,189,190"/>
    <n v="8"/>
    <m/>
    <m/>
    <s v="No"/>
    <x v="0"/>
    <d v="2016-01-29T00:25:20"/>
    <n v="7"/>
    <s v="137.141.13.2"/>
    <s v="LB1031 -- .Z583 2015eb"/>
    <n v="371.10199999999998"/>
    <d v="2015-02-10T00:00:00"/>
  </r>
  <r>
    <x v="156"/>
    <d v="1899-12-30T00:05:11"/>
    <x v="49"/>
    <x v="7"/>
    <s v="oneonta"/>
    <x v="54"/>
    <n v="1895729"/>
    <x v="0"/>
    <s v="Education"/>
    <s v="9781118904817"/>
    <s v=",1,2,3,81,82,83,79,80,84,70,85,86,87,88,117,118,119,115,116,120,122,121,124,123,125,126,127,128,129,130,131,132,133,134,135,136,137,138,139,174,175,176,172,173"/>
    <n v="44"/>
    <m/>
    <m/>
    <s v="No"/>
    <x v="3"/>
    <m/>
    <m/>
    <s v="137.141.13.2"/>
    <s v="LB1031 -- .Z583 2015eb"/>
    <n v="371.10199999999998"/>
    <d v="2015-02-10T00:00:00"/>
  </r>
  <r>
    <x v="157"/>
    <d v="1899-12-30T00:24:05"/>
    <x v="13"/>
    <x v="0"/>
    <s v="Buffalo"/>
    <x v="7"/>
    <n v="1711065"/>
    <x v="3"/>
    <s v="Political Science; Social Science"/>
    <s v="9780520959156"/>
    <s v=",1,2,3,15,12,9,1,9,10,11,7,8"/>
    <n v="10"/>
    <m/>
    <m/>
    <s v="No"/>
    <x v="1"/>
    <m/>
    <m/>
    <s v="128.205.114.91"/>
    <s v="JV6450 -- .P67 2014eb"/>
    <s v="304.8/73"/>
    <d v="2014-08-30T00:00:00"/>
  </r>
  <r>
    <x v="158"/>
    <d v="1899-12-30T00:00:19"/>
    <x v="50"/>
    <x v="1"/>
    <s v="brockport"/>
    <x v="55"/>
    <n v="1524194"/>
    <x v="2"/>
    <s v="Social Science"/>
    <s v="9781134577590"/>
    <s v=",1,2,3,8,9,10,6,7,11"/>
    <n v="9"/>
    <m/>
    <m/>
    <s v="No"/>
    <x v="3"/>
    <m/>
    <m/>
    <s v="137.21.7.121"/>
    <s v="HV1568.2 -- .S53 2014eb"/>
    <n v="305.90800000000002"/>
    <d v="2013-10-07T00:00:00"/>
  </r>
  <r>
    <x v="159"/>
    <d v="1899-12-30T00:00:00"/>
    <x v="51"/>
    <x v="0"/>
    <s v="Buffalo"/>
    <x v="56"/>
    <n v="4000652"/>
    <x v="4"/>
    <s v="Geography/Travel"/>
    <s v="9781462522200"/>
    <m/>
    <n v="0"/>
    <m/>
    <m/>
    <s v="Yes"/>
    <x v="2"/>
    <d v="2016-01-29T00:13:30"/>
    <n v="7"/>
    <s v="128.205.114.91"/>
    <s v="G70.212 -- .H38 2015eb"/>
    <n v="910.28499999999997"/>
    <d v="2015-11-23T00:00:00"/>
  </r>
  <r>
    <x v="159"/>
    <d v="1899-12-30T00:00:00"/>
    <x v="51"/>
    <x v="0"/>
    <s v="Buffalo"/>
    <x v="56"/>
    <n v="4000652"/>
    <x v="4"/>
    <s v="Geography/Travel"/>
    <s v="9781462522200"/>
    <m/>
    <n v="0"/>
    <m/>
    <m/>
    <s v="No"/>
    <x v="2"/>
    <d v="2016-01-29T00:13:30"/>
    <n v="7"/>
    <s v="128.205.114.91"/>
    <s v="G70.212 -- .H38 2015eb"/>
    <n v="910.28499999999997"/>
    <d v="2015-11-23T00:00:00"/>
  </r>
  <r>
    <x v="160"/>
    <d v="1899-12-30T00:00:12"/>
    <x v="51"/>
    <x v="0"/>
    <s v="Buffalo"/>
    <x v="56"/>
    <n v="4000652"/>
    <x v="4"/>
    <s v="Geography/Travel"/>
    <s v="9781462522200"/>
    <s v=",1,2,3"/>
    <n v="3"/>
    <m/>
    <m/>
    <s v="No"/>
    <x v="3"/>
    <m/>
    <m/>
    <s v="128.205.114.91"/>
    <s v="G70.212 -- .H38 2015eb"/>
    <n v="910.28499999999997"/>
    <d v="2015-11-23T00:00:00"/>
  </r>
  <r>
    <x v="161"/>
    <d v="1899-12-30T00:00:22"/>
    <x v="52"/>
    <x v="0"/>
    <s v="Buffalo"/>
    <x v="57"/>
    <n v="290052"/>
    <x v="2"/>
    <s v="Medicine; Health; Social Science"/>
    <s v="9781136750168"/>
    <s v=",1,2,3,4,5"/>
    <n v="5"/>
    <m/>
    <m/>
    <s v="No"/>
    <x v="3"/>
    <m/>
    <m/>
    <s v="128.205.114.91"/>
    <s v="RC564 -- .J83 2006eb"/>
    <n v="362.29"/>
    <d v="2013-08-16T00:00:00"/>
  </r>
  <r>
    <x v="162"/>
    <d v="1899-12-30T00:06:38"/>
    <x v="53"/>
    <x v="5"/>
    <s v="erie"/>
    <x v="58"/>
    <n v="822062"/>
    <x v="0"/>
    <s v="Political Science; Literature; Fiction"/>
    <s v="9780857083272"/>
    <s v=",1,2,3,4,33,34,35,31,36,32,37,38,39,40,41,42,43,44,45,46,47,48,49,50,51,52,53,54"/>
    <n v="28"/>
    <m/>
    <m/>
    <s v="No"/>
    <x v="0"/>
    <d v="2016-01-27T00:25:17"/>
    <n v="7"/>
    <s v="199.29.6.54"/>
    <s v="PA4279 -- .R4 2012eb"/>
    <s v="321.07; 321/.07"/>
    <d v="2012-04-26T00:00:00"/>
  </r>
  <r>
    <x v="163"/>
    <d v="1899-12-30T00:00:52"/>
    <x v="13"/>
    <x v="0"/>
    <s v="Buffalo"/>
    <x v="4"/>
    <n v="699526"/>
    <x v="0"/>
    <s v="Science; Computer Science/IT"/>
    <s v="9781118586006"/>
    <s v=",1,2,3,1,9,5,4,4,5,330,72"/>
    <n v="8"/>
    <m/>
    <m/>
    <s v="No"/>
    <x v="0"/>
    <d v="2016-01-27T20:31:18"/>
    <n v="7"/>
    <s v="128.205.114.91"/>
    <s v="Q327 -- .D83 2001eb"/>
    <n v="6.4"/>
    <d v="2012-11-09T00:00:00"/>
  </r>
  <r>
    <x v="164"/>
    <d v="1899-12-30T00:00:04"/>
    <x v="13"/>
    <x v="0"/>
    <s v="Buffalo"/>
    <x v="4"/>
    <n v="699526"/>
    <x v="0"/>
    <s v="Science; Computer Science/IT"/>
    <s v="9781118586006"/>
    <s v=",1,2,3"/>
    <n v="3"/>
    <m/>
    <m/>
    <s v="No"/>
    <x v="0"/>
    <d v="2016-01-27T20:31:18"/>
    <n v="7"/>
    <s v="128.205.114.91"/>
    <s v="Q327 -- .D83 2001eb"/>
    <n v="6.4"/>
    <d v="2012-11-09T00:00:00"/>
  </r>
  <r>
    <x v="165"/>
    <d v="1899-12-30T00:03:31"/>
    <x v="54"/>
    <x v="0"/>
    <s v="Buffalo"/>
    <x v="59"/>
    <n v="1034772"/>
    <x v="4"/>
    <s v="Medicine"/>
    <s v="9781462507184"/>
    <s v=",1,2,3,4,5,27,28,29,25,26,52,53,54,50,51,112,144,145,113,114,110,111,146,142,143,147,148,149,150,151,152,153,154,20,23,24,25,26,22,27,28,29,30,31,32,34,35,36,37,33"/>
    <n v="45"/>
    <m/>
    <m/>
    <s v="No"/>
    <x v="3"/>
    <m/>
    <m/>
    <s v="128.205.114.91"/>
    <s v="RC552.P67 -- C69 2012eb"/>
    <n v="616.85599999999999"/>
    <d v="2014-06-25T00:00:00"/>
  </r>
  <r>
    <x v="166"/>
    <d v="1899-12-30T00:00:00"/>
    <x v="46"/>
    <x v="1"/>
    <s v="brockport"/>
    <x v="1"/>
    <n v="1684620"/>
    <x v="0"/>
    <s v="Health; Social Science"/>
    <s v="9781118418925"/>
    <m/>
    <n v="0"/>
    <m/>
    <m/>
    <s v="Yes"/>
    <x v="0"/>
    <d v="2016-01-28T20:28:30"/>
    <n v="7"/>
    <s v="137.21.7.121"/>
    <s v="RA971 -- .S56 2014eb"/>
    <n v="362.10680000000002"/>
    <d v="2014-04-30T00:00:00"/>
  </r>
  <r>
    <x v="167"/>
    <d v="1899-12-30T00:01:56"/>
    <x v="46"/>
    <x v="1"/>
    <s v="brockport"/>
    <x v="1"/>
    <n v="1684620"/>
    <x v="0"/>
    <s v="Health; Social Science"/>
    <s v="9781118418925"/>
    <s v=",1,2,3,4,5,6,7,6,7,8,9,10,11,12,13,14,15,16,17,4,1,3,5,6,7,8,9,10,54,55,56,52,53,57,58,59,60,61,62,63,64,65,66,67,68,69,70,71,72,73,74,75,76,1,3"/>
    <n v="42"/>
    <m/>
    <m/>
    <s v="No"/>
    <x v="0"/>
    <d v="2016-01-28T20:28:30"/>
    <n v="7"/>
    <s v="137.21.7.121"/>
    <s v="RA971 -- .S56 2014eb"/>
    <n v="362.10680000000002"/>
    <d v="2014-04-30T00:00:00"/>
  </r>
  <r>
    <x v="168"/>
    <d v="1899-12-30T00:00:47"/>
    <x v="46"/>
    <x v="1"/>
    <s v="brockport"/>
    <x v="1"/>
    <n v="1684620"/>
    <x v="0"/>
    <s v="Health; Social Science"/>
    <s v="9781118418925"/>
    <s v=",4,5,1"/>
    <n v="3"/>
    <m/>
    <m/>
    <s v="Yes"/>
    <x v="0"/>
    <d v="2016-01-28T20:28:30"/>
    <n v="7"/>
    <s v="137.21.7.121"/>
    <s v="RA971 -- .S56 2014eb"/>
    <n v="362.10680000000002"/>
    <d v="2014-04-30T00:00:00"/>
  </r>
  <r>
    <x v="169"/>
    <d v="1899-12-30T00:00:00"/>
    <x v="46"/>
    <x v="1"/>
    <s v="brockport"/>
    <x v="1"/>
    <n v="1684620"/>
    <x v="0"/>
    <s v="Health; Social Science"/>
    <s v="9781118418925"/>
    <m/>
    <n v="0"/>
    <m/>
    <m/>
    <s v="Yes"/>
    <x v="0"/>
    <d v="2016-01-28T20:28:30"/>
    <n v="7"/>
    <s v="137.21.7.121"/>
    <s v="RA971 -- .S56 2014eb"/>
    <n v="362.10680000000002"/>
    <d v="2014-04-30T00:00:00"/>
  </r>
  <r>
    <x v="170"/>
    <d v="1899-12-30T00:36:59"/>
    <x v="43"/>
    <x v="7"/>
    <s v="oneonta"/>
    <x v="47"/>
    <n v="4036197"/>
    <x v="0"/>
    <s v="Agriculture"/>
    <s v="9781118540633"/>
    <s v=",40,41,40,39,17,17,40,41,42,41,40"/>
    <n v="5"/>
    <m/>
    <m/>
    <s v="No"/>
    <x v="0"/>
    <d v="2016-01-28T21:31:08"/>
    <n v="7"/>
    <s v="137.141.13.2"/>
    <s v="S591 -- .S655 2016eb"/>
    <n v="631.4"/>
    <d v="2015-10-05T00:00:00"/>
  </r>
  <r>
    <x v="171"/>
    <d v="1899-12-30T00:00:00"/>
    <x v="39"/>
    <x v="0"/>
    <s v="Buffalo"/>
    <x v="43"/>
    <n v="1565213"/>
    <x v="2"/>
    <s v="Literature"/>
    <s v="9781317761181"/>
    <m/>
    <n v="0"/>
    <m/>
    <m/>
    <s v="No"/>
    <x v="2"/>
    <d v="2016-01-28T21:29:16"/>
    <n v="1"/>
    <s v="128.205.114.91"/>
    <s v="PA3003.I56"/>
    <n v="880.09"/>
    <d v="2013-11-19T00:00:00"/>
  </r>
  <r>
    <x v="172"/>
    <d v="1899-12-30T00:01:56"/>
    <x v="39"/>
    <x v="0"/>
    <s v="Buffalo"/>
    <x v="43"/>
    <n v="1565213"/>
    <x v="2"/>
    <s v="Literature"/>
    <s v="9781317761181"/>
    <s v=",1,2,1,2,3,3,2,2,203,204,203,204,205,205,202,201,202,206,206,200,201,417,418,417,418,419,419,415,416,416,420,420,421,421,422,422,423,423,424,424,425,425,426,426,427,427,428,428,429,429,430,430,431,431,432,432,433,433,434,434,435,435,430,430,430,430,430,417"/>
    <n v="31"/>
    <m/>
    <m/>
    <s v="No"/>
    <x v="3"/>
    <m/>
    <m/>
    <s v="128.205.114.91"/>
    <s v="PA3003.I56"/>
    <n v="880.09"/>
    <d v="2013-11-19T00:00:00"/>
  </r>
  <r>
    <x v="173"/>
    <d v="1899-12-30T00:07:43"/>
    <x v="43"/>
    <x v="7"/>
    <s v="oneonta"/>
    <x v="47"/>
    <n v="4036197"/>
    <x v="0"/>
    <s v="Agriculture"/>
    <s v="9781118540633"/>
    <s v=",1,2,3,1,20,21,22,38,39"/>
    <n v="8"/>
    <m/>
    <m/>
    <s v="No"/>
    <x v="3"/>
    <m/>
    <m/>
    <s v="137.141.13.2"/>
    <s v="S591 -- .S655 2016eb"/>
    <n v="631.4"/>
    <d v="2015-10-05T00:00:00"/>
  </r>
  <r>
    <x v="174"/>
    <d v="1899-12-30T00:00:01"/>
    <x v="55"/>
    <x v="0"/>
    <s v="Buffalo"/>
    <x v="60"/>
    <n v="1211842"/>
    <x v="0"/>
    <s v="Mathematics"/>
    <s v="9781118626214"/>
    <s v=",18,19"/>
    <n v="2"/>
    <m/>
    <m/>
    <s v="No"/>
    <x v="0"/>
    <d v="2016-01-28T21:23:10"/>
    <n v="7"/>
    <s v="128.205.114.91"/>
    <s v="QA371.5.D37 E37 2013"/>
    <s v="515.350285; 515/.350285"/>
    <d v="2013-06-05T00:00:00"/>
  </r>
  <r>
    <x v="175"/>
    <d v="1899-12-30T00:00:38"/>
    <x v="55"/>
    <x v="0"/>
    <s v="Buffalo"/>
    <x v="60"/>
    <n v="4040556"/>
    <x v="0"/>
    <s v="Mathematics"/>
    <s v="9781119018469"/>
    <s v=",33,34,35,36,37,38"/>
    <n v="6"/>
    <m/>
    <m/>
    <s v="No"/>
    <x v="0"/>
    <d v="2016-01-28T21:22:30"/>
    <n v="7"/>
    <s v="128.205.114.91"/>
    <s v="QA371.5.D37 -- .E37 2016eb"/>
    <s v="515/.350285"/>
    <d v="2015-09-16T00:00:00"/>
  </r>
  <r>
    <x v="176"/>
    <d v="1899-12-30T00:05:03"/>
    <x v="55"/>
    <x v="0"/>
    <s v="Buffalo"/>
    <x v="60"/>
    <n v="4040556"/>
    <x v="0"/>
    <s v="Mathematics"/>
    <s v="9781119018469"/>
    <s v=",1,2,3,12,13,14,10,11,15,16,17,18,19,20,21,22,23,24,25,26,27,28,29,30,31,32"/>
    <n v="26"/>
    <m/>
    <m/>
    <s v="No"/>
    <x v="3"/>
    <m/>
    <m/>
    <s v="128.205.114.91"/>
    <s v="QA371.5.D37 -- .E37 2016eb"/>
    <s v="515/.350285"/>
    <d v="2015-09-16T00:00:00"/>
  </r>
  <r>
    <x v="177"/>
    <d v="1899-12-30T00:06:07"/>
    <x v="55"/>
    <x v="0"/>
    <s v="Buffalo"/>
    <x v="60"/>
    <n v="1211842"/>
    <x v="0"/>
    <s v="Mathematics"/>
    <s v="9781118626214"/>
    <s v=",1,2,3,14,15,16,12,13,17"/>
    <n v="9"/>
    <m/>
    <m/>
    <s v="No"/>
    <x v="3"/>
    <m/>
    <m/>
    <s v="128.205.114.91"/>
    <s v="QA371.5.D37 E37 2013"/>
    <s v="515.350285; 515/.350285"/>
    <d v="2013-06-05T00:00:00"/>
  </r>
  <r>
    <x v="178"/>
    <d v="1899-12-30T00:00:57"/>
    <x v="46"/>
    <x v="1"/>
    <s v="brockport"/>
    <x v="1"/>
    <n v="1684620"/>
    <x v="0"/>
    <s v="Health; Social Science"/>
    <s v="9781118418925"/>
    <s v=",4,5"/>
    <n v="2"/>
    <m/>
    <m/>
    <s v="Yes"/>
    <x v="0"/>
    <d v="2016-01-28T20:28:30"/>
    <n v="7"/>
    <s v="137.21.7.121"/>
    <s v="RA971 -- .S56 2014eb"/>
    <n v="362.10680000000002"/>
    <d v="2014-04-30T00:00:00"/>
  </r>
  <r>
    <x v="179"/>
    <d v="1899-12-30T00:00:00"/>
    <x v="46"/>
    <x v="1"/>
    <s v="brockport"/>
    <x v="1"/>
    <n v="1684620"/>
    <x v="0"/>
    <s v="Health; Social Science"/>
    <s v="9781118418925"/>
    <m/>
    <n v="0"/>
    <m/>
    <m/>
    <s v="Yes"/>
    <x v="0"/>
    <d v="2016-01-28T20:28:30"/>
    <n v="7"/>
    <s v="137.21.7.121"/>
    <s v="RA971 -- .S56 2014eb"/>
    <n v="362.10680000000002"/>
    <d v="2014-04-30T00:00:00"/>
  </r>
  <r>
    <x v="179"/>
    <d v="1899-12-30T00:00:00"/>
    <x v="46"/>
    <x v="1"/>
    <s v="brockport"/>
    <x v="1"/>
    <n v="1684620"/>
    <x v="0"/>
    <s v="Health; Social Science"/>
    <s v="9781118418925"/>
    <m/>
    <n v="0"/>
    <m/>
    <m/>
    <s v="No"/>
    <x v="0"/>
    <d v="2016-01-28T20:28:30"/>
    <n v="7"/>
    <s v="137.21.7.121"/>
    <s v="RA971 -- .S56 2014eb"/>
    <n v="362.10680000000002"/>
    <d v="2014-04-30T00:00:00"/>
  </r>
  <r>
    <x v="180"/>
    <d v="1899-12-30T00:02:13"/>
    <x v="46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181"/>
    <d v="1899-12-30T00:00:32"/>
    <x v="56"/>
    <x v="0"/>
    <s v="Buffalo"/>
    <x v="61"/>
    <n v="1092851"/>
    <x v="0"/>
    <s v="Military Science; Social Science"/>
    <s v="9781118333051"/>
    <s v=",73,74"/>
    <n v="2"/>
    <m/>
    <m/>
    <s v="No"/>
    <x v="0"/>
    <d v="2016-01-28T19:45:08"/>
    <n v="7"/>
    <s v="128.205.114.91"/>
    <s v="UH755 -- .H36 2013eb"/>
    <s v="355.345; 362.8"/>
    <d v="2012-11-27T00:00:00"/>
  </r>
  <r>
    <x v="182"/>
    <d v="1899-12-30T00:10:58"/>
    <x v="56"/>
    <x v="0"/>
    <s v="Buffalo"/>
    <x v="61"/>
    <n v="1092851"/>
    <x v="0"/>
    <s v="Military Science; Social Science"/>
    <s v="9781118333051"/>
    <s v=",1,2,3,11,12,13,9,10,65,66,67,63,64,68,69,70,71,72,73,68,67,66,65,70,71,72"/>
    <n v="19"/>
    <m/>
    <m/>
    <s v="No"/>
    <x v="1"/>
    <m/>
    <m/>
    <s v="128.205.114.91"/>
    <s v="UH755 -- .H36 2013eb"/>
    <s v="355.345; 362.8"/>
    <d v="2012-11-27T00:00:00"/>
  </r>
  <r>
    <x v="183"/>
    <d v="1899-12-30T00:02:42"/>
    <x v="57"/>
    <x v="10"/>
    <s v="daemen"/>
    <x v="62"/>
    <n v="1501538"/>
    <x v="2"/>
    <s v="Religion"/>
    <s v="9781317971245"/>
    <s v=",1,2,2,3,3,1,2,2,16,17,16,17,18,18,14,15,15,19,19,20,20,21,21,21,22,22,23,23,24,24,25,25,26,26,27,27,54,54,55,56,55,56,52,53,53,57,57,98,98,94,95,95,99,99,100,100,101,101,103,103,104,104,105,105,132,132,133,133,134,134,130"/>
    <n v="36"/>
    <m/>
    <m/>
    <s v="No"/>
    <x v="3"/>
    <m/>
    <m/>
    <s v="38.123.35.150"/>
    <s v="BV220 -- .S354 2012eb"/>
    <n v="248.32"/>
    <d v="2013-10-23T00:00:00"/>
  </r>
  <r>
    <x v="184"/>
    <d v="1899-12-30T00:01:04"/>
    <x v="13"/>
    <x v="0"/>
    <s v="Buffalo"/>
    <x v="17"/>
    <n v="3059079"/>
    <x v="0"/>
    <s v="Science; Science: Physics"/>
    <s v="9781118473818"/>
    <s v=",1,2,3,470,471,472,468,473,474,475,476,477,478,479,480"/>
    <n v="15"/>
    <m/>
    <m/>
    <s v="No"/>
    <x v="3"/>
    <m/>
    <m/>
    <s v="128.205.114.91"/>
    <s v="QC21.3 -- .H35 2014eb"/>
    <n v="530"/>
    <d v="2013-05-07T00:00:00"/>
  </r>
  <r>
    <x v="185"/>
    <d v="1899-12-30T00:05:41"/>
    <x v="11"/>
    <x v="1"/>
    <s v="brockport"/>
    <x v="1"/>
    <n v="1684620"/>
    <x v="0"/>
    <s v="Health; Social Science"/>
    <s v="9781118418925"/>
    <s v=",4,5,6,7,8,9,10,11,12,13,14,15,16,16,17"/>
    <n v="14"/>
    <s v=",13,13,14,17"/>
    <m/>
    <s v="Yes"/>
    <x v="0"/>
    <d v="2016-01-28T19:28:17"/>
    <n v="7"/>
    <s v="137.21.7.121"/>
    <s v="RA971 -- .S56 2014eb"/>
    <n v="362.10680000000002"/>
    <d v="2014-04-30T00:00:00"/>
  </r>
  <r>
    <x v="186"/>
    <d v="1899-12-30T00:00:00"/>
    <x v="11"/>
    <x v="1"/>
    <s v="brockport"/>
    <x v="1"/>
    <n v="1684620"/>
    <x v="0"/>
    <s v="Health; Social Science"/>
    <s v="9781118418925"/>
    <m/>
    <n v="0"/>
    <m/>
    <m/>
    <s v="Yes"/>
    <x v="0"/>
    <d v="2016-01-28T19:28:17"/>
    <n v="7"/>
    <s v="137.21.7.121"/>
    <s v="RA971 -- .S56 2014eb"/>
    <n v="362.10680000000002"/>
    <d v="2014-04-30T00:00:00"/>
  </r>
  <r>
    <x v="186"/>
    <d v="1899-12-30T00:00:00"/>
    <x v="11"/>
    <x v="1"/>
    <s v="brockport"/>
    <x v="1"/>
    <n v="1684620"/>
    <x v="0"/>
    <s v="Health; Social Science"/>
    <s v="9781118418925"/>
    <m/>
    <n v="0"/>
    <m/>
    <m/>
    <s v="No"/>
    <x v="0"/>
    <d v="2016-01-28T19:28:17"/>
    <n v="7"/>
    <s v="137.21.7.121"/>
    <s v="RA971 -- .S56 2014eb"/>
    <n v="362.10680000000002"/>
    <d v="2014-04-30T00:00:00"/>
  </r>
  <r>
    <x v="187"/>
    <d v="1899-12-30T00:00:18"/>
    <x v="11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188"/>
    <d v="1899-12-30T00:00:00"/>
    <x v="58"/>
    <x v="1"/>
    <s v="brockport"/>
    <x v="63"/>
    <n v="2144898"/>
    <x v="0"/>
    <s v="Business/Management; Social Science"/>
    <s v="9781118893692"/>
    <m/>
    <n v="0"/>
    <m/>
    <s v=",104,105,106,107,108,109,110,111,112,113,114,115,116,117,118,119,120,121,122,123,124,125,126,127,128,129,104,105,106,107,108,109,110,111,112,113,114,115,116,117,118,119,120,121,122,123,124,125,126,127,128,129"/>
    <s v="No"/>
    <x v="0"/>
    <d v="2016-01-28T19:27:27"/>
    <n v="7"/>
    <s v="137.21.7.121"/>
    <s v="H97"/>
    <n v="658.4"/>
    <d v="2015-08-06T00:00:00"/>
  </r>
  <r>
    <x v="189"/>
    <d v="1899-12-30T00:01:29"/>
    <x v="58"/>
    <x v="1"/>
    <s v="brockport"/>
    <x v="63"/>
    <n v="2144898"/>
    <x v="0"/>
    <s v="Business/Management; Social Science"/>
    <s v="9781118893692"/>
    <s v=",104,105,106,102,1,103,2,107,108,109,110,111,112,113,114,115,116,117,118,119,120,121,122,123,124,125,126,127,128,129,130,131,132,127,125,126,124,123,121,120,118,117,115,114,113,112,110,111,109,108,107,106,105,104,103,102"/>
    <n v="33"/>
    <m/>
    <m/>
    <s v="No"/>
    <x v="3"/>
    <m/>
    <m/>
    <s v="137.21.7.121"/>
    <s v="H97"/>
    <n v="658.4"/>
    <d v="2015-08-06T00:00:00"/>
  </r>
  <r>
    <x v="190"/>
    <d v="1899-12-30T01:03:39"/>
    <x v="13"/>
    <x v="0"/>
    <s v="Buffalo"/>
    <x v="64"/>
    <n v="836614"/>
    <x v="9"/>
    <s v="Language/Linguistics"/>
    <s v="9781118315958"/>
    <s v=",20,21,22,23,24,25,26,27,28,29,30,31,32,33,34,35,36,37,38,39,40,41,36,12,13,14,30,29,28,26,31,27,25,24,23,22,21,20,19,18,17,16,15,11,10,32,326,327,328,324,325,329,330,58,59,57,55,56,54,53,52,51,50,49"/>
    <n v="50"/>
    <m/>
    <m/>
    <s v="No"/>
    <x v="0"/>
    <d v="2016-01-28T19:18:13"/>
    <n v="7"/>
    <s v="128.205.114.91"/>
    <s v="P217 -- .H346 2009eb"/>
    <n v="414"/>
    <d v="2011-12-15T00:00:00"/>
  </r>
  <r>
    <x v="191"/>
    <d v="1899-12-30T00:16:42"/>
    <x v="13"/>
    <x v="0"/>
    <s v="Buffalo"/>
    <x v="64"/>
    <n v="836614"/>
    <x v="9"/>
    <s v="Language/Linguistics"/>
    <s v="9781118315958"/>
    <s v=",1,2,3,4,5,6,7,8,9,10,11,12,13,14,15,16,17,18,19"/>
    <n v="19"/>
    <m/>
    <m/>
    <s v="No"/>
    <x v="1"/>
    <m/>
    <m/>
    <s v="128.205.114.91"/>
    <s v="P217 -- .H346 2009eb"/>
    <n v="414"/>
    <d v="2011-12-15T00:00:00"/>
  </r>
  <r>
    <x v="192"/>
    <d v="1899-12-30T00:00:28"/>
    <x v="13"/>
    <x v="0"/>
    <s v="Buffalo"/>
    <x v="65"/>
    <n v="1273518"/>
    <x v="0"/>
    <s v="Economics; Business/Management"/>
    <s v="9781118572818"/>
    <s v=",1,2,3,4,5,6,7,8,9,10,11,12,13,14,15,16,17,18,19,23,45,46,47,43,44"/>
    <n v="25"/>
    <m/>
    <m/>
    <s v="No"/>
    <x v="3"/>
    <m/>
    <m/>
    <s v="128.205.114.91"/>
    <s v="HD278 -- .Y644 2013eb"/>
    <n v="333.33076"/>
    <d v="2013-06-28T00:00:00"/>
  </r>
  <r>
    <x v="193"/>
    <d v="1899-12-30T00:00:00"/>
    <x v="59"/>
    <x v="0"/>
    <s v="Buffalo"/>
    <x v="66"/>
    <n v="1569644"/>
    <x v="0"/>
    <s v="Science: Chemistry; Science"/>
    <s v="9783527674756"/>
    <m/>
    <n v="0"/>
    <m/>
    <m/>
    <s v="Yes"/>
    <x v="0"/>
    <d v="2016-01-28T18:55:42"/>
    <n v="7"/>
    <s v="128.205.114.91"/>
    <s v="QD96.N8 -- .G68 2013eb"/>
    <n v="543.08770000000004"/>
    <d v="2013-11-22T00:00:00"/>
  </r>
  <r>
    <x v="193"/>
    <d v="1899-12-30T00:00:00"/>
    <x v="59"/>
    <x v="0"/>
    <s v="Buffalo"/>
    <x v="66"/>
    <n v="1569644"/>
    <x v="0"/>
    <s v="Science: Chemistry; Science"/>
    <s v="9783527674756"/>
    <m/>
    <n v="0"/>
    <m/>
    <m/>
    <s v="No"/>
    <x v="0"/>
    <d v="2016-01-28T18:55:42"/>
    <n v="7"/>
    <s v="128.205.114.91"/>
    <s v="QD96.N8 -- .G68 2013eb"/>
    <n v="543.08770000000004"/>
    <d v="2013-11-22T00:00:00"/>
  </r>
  <r>
    <x v="194"/>
    <d v="1899-12-30T00:02:20"/>
    <x v="60"/>
    <x v="1"/>
    <s v="brockport"/>
    <x v="1"/>
    <n v="1684620"/>
    <x v="0"/>
    <s v="Health; Social Science"/>
    <s v="9781118418925"/>
    <s v=",1,2,3,25,26,27,21,22,23,5,6,7,8,9,11,12,13,14,15,2,16,17,18,19,20,21,16"/>
    <n v="24"/>
    <m/>
    <m/>
    <s v="No"/>
    <x v="1"/>
    <m/>
    <m/>
    <s v="137.21.7.121"/>
    <s v="RA971 -- .S56 2014eb"/>
    <n v="362.10680000000002"/>
    <d v="2014-04-30T00:00:00"/>
  </r>
  <r>
    <x v="195"/>
    <d v="1899-12-30T00:00:25"/>
    <x v="59"/>
    <x v="0"/>
    <s v="Buffalo"/>
    <x v="66"/>
    <n v="1569644"/>
    <x v="0"/>
    <s v="Science: Chemistry; Science"/>
    <s v="9783527674756"/>
    <s v=",1,2,3,43,16"/>
    <n v="5"/>
    <m/>
    <m/>
    <s v="No"/>
    <x v="3"/>
    <m/>
    <m/>
    <s v="128.205.114.91"/>
    <s v="QD96.N8 -- .G68 2013eb"/>
    <n v="543.08770000000004"/>
    <d v="2013-11-22T00:00:00"/>
  </r>
  <r>
    <x v="196"/>
    <d v="1899-12-30T00:00:53"/>
    <x v="61"/>
    <x v="0"/>
    <s v="Buffalo"/>
    <x v="67"/>
    <n v="1474672"/>
    <x v="2"/>
    <s v="Social Science"/>
    <s v="9781134438808"/>
    <s v=",2,9,8,8,8,6,11,11,11,12,12,13,13,14,14,15,15"/>
    <n v="9"/>
    <m/>
    <m/>
    <s v="No"/>
    <x v="2"/>
    <d v="2016-01-28T18:25:04"/>
    <n v="1"/>
    <s v="128.205.114.91"/>
    <s v="HM101.M268"/>
    <n v="301"/>
    <d v="2013-10-11T00:00:00"/>
  </r>
  <r>
    <x v="197"/>
    <d v="1899-12-30T00:00:13"/>
    <x v="61"/>
    <x v="0"/>
    <s v="Buffalo"/>
    <x v="67"/>
    <n v="1474672"/>
    <x v="2"/>
    <s v="Social Science"/>
    <s v="9781134438808"/>
    <s v=",1,2,2,1,3,3,4,4,5,5,6,6,7,7,8,8,10,10,9,9,11,11"/>
    <n v="11"/>
    <m/>
    <m/>
    <s v="No"/>
    <x v="3"/>
    <m/>
    <m/>
    <s v="128.205.114.91"/>
    <s v="HM101.M268"/>
    <n v="301"/>
    <d v="2013-10-11T00:00:00"/>
  </r>
  <r>
    <x v="198"/>
    <d v="1899-12-30T00:02:25"/>
    <x v="19"/>
    <x v="5"/>
    <s v="erie"/>
    <x v="17"/>
    <n v="3059079"/>
    <x v="0"/>
    <s v="Science; Science: Physics"/>
    <s v="9781118473818"/>
    <s v=",35"/>
    <n v="1"/>
    <m/>
    <m/>
    <s v="Yes"/>
    <x v="2"/>
    <d v="2016-01-28T16:08:23"/>
    <n v="1"/>
    <s v="199.29.6.54"/>
    <s v="QC21.3 -- .H35 2014eb"/>
    <n v="530"/>
    <d v="2013-05-07T00:00:00"/>
  </r>
  <r>
    <x v="199"/>
    <d v="1899-12-30T00:01:21"/>
    <x v="62"/>
    <x v="0"/>
    <s v="Buffalo"/>
    <x v="68"/>
    <n v="1822529"/>
    <x v="0"/>
    <s v="Mathematics"/>
    <s v="9781118824344"/>
    <s v=",1,2,3,4,5,6,7,8,9"/>
    <n v="9"/>
    <m/>
    <m/>
    <s v="No"/>
    <x v="1"/>
    <m/>
    <m/>
    <s v="128.205.114.91"/>
    <s v="QA297 -- .S59 2015eb"/>
    <n v="519.4"/>
    <d v="2014-10-20T00:00:00"/>
  </r>
  <r>
    <x v="200"/>
    <d v="1899-12-30T00:00:08"/>
    <x v="63"/>
    <x v="0"/>
    <s v="Buffalo"/>
    <x v="69"/>
    <n v="1810513"/>
    <x v="0"/>
    <s v="Mathematics; Engineering; Engineering: Electrical"/>
    <s v="9781118901694"/>
    <s v=",1,2,3"/>
    <n v="3"/>
    <m/>
    <m/>
    <s v="No"/>
    <x v="3"/>
    <m/>
    <m/>
    <s v="128.205.114.91"/>
    <s v="TK5102.9 -- .H365 2014eb"/>
    <s v="515/.723"/>
    <d v="2014-10-01T00:00:00"/>
  </r>
  <r>
    <x v="201"/>
    <d v="1899-12-30T00:03:28"/>
    <x v="59"/>
    <x v="0"/>
    <s v="Buffalo"/>
    <x v="66"/>
    <n v="1569644"/>
    <x v="0"/>
    <s v="Science: Chemistry; Science"/>
    <s v="9783527674756"/>
    <s v=",1,2,3,4,5,6,7,8,9,10,11,12,18,25,26,27,23,24,21,19,17,13,14,15,11,12,10,7,8,9,5,6,11,12,14,15,16,17,18,19,20,21,22,23,24,25,26,27,28,29,31,34,35,36,32,37,33,38,39,40,41,42,43,44,45,46,47,48,51,52,53,54,55,395,404,440,441,442,443,439,497,533,683,735,736,733,734,722,675,676,627,628,629,455,109"/>
    <n v="74"/>
    <m/>
    <m/>
    <s v="No"/>
    <x v="3"/>
    <m/>
    <m/>
    <s v="128.205.114.91"/>
    <s v="QD96.N8 -- .G68 2013eb"/>
    <n v="543.08770000000004"/>
    <d v="2013-11-22T00:00:00"/>
  </r>
  <r>
    <x v="202"/>
    <d v="1899-12-30T00:00:03"/>
    <x v="64"/>
    <x v="6"/>
    <s v="sjfc"/>
    <x v="70"/>
    <n v="1222131"/>
    <x v="0"/>
    <s v="Business/Management"/>
    <s v="9781118760048"/>
    <s v=",1,2,3"/>
    <n v="3"/>
    <m/>
    <m/>
    <s v="No"/>
    <x v="1"/>
    <m/>
    <m/>
    <s v="149.69.254.57"/>
    <s v="HF5659 .W384 2013"/>
    <n v="657"/>
    <d v="2013-06-21T00:00:00"/>
  </r>
  <r>
    <x v="203"/>
    <d v="1899-12-30T00:04:47"/>
    <x v="65"/>
    <x v="0"/>
    <s v="Buffalo"/>
    <x v="71"/>
    <n v="1251060"/>
    <x v="2"/>
    <s v="Fine Arts"/>
    <s v="9781136126222"/>
    <s v=",71,128,129,126,127,130,106,124,126,125,122,123,431,432,433,429,430,434,435,436,437,438,439,440,376,377,378,374,375,379,380,381"/>
    <n v="31"/>
    <m/>
    <m/>
    <s v="Yes"/>
    <x v="2"/>
    <d v="2016-01-28T16:59:56"/>
    <n v="1"/>
    <s v="128.205.114.91"/>
    <s v="ML3790 -- .F49 2013eb"/>
    <n v="781.49"/>
    <d v="2013-07-04T00:00:00"/>
  </r>
  <r>
    <x v="203"/>
    <d v="1899-12-30T00:00:00"/>
    <x v="65"/>
    <x v="0"/>
    <s v="Buffalo"/>
    <x v="71"/>
    <n v="1251060"/>
    <x v="2"/>
    <s v="Fine Arts"/>
    <s v="9781136126222"/>
    <m/>
    <n v="0"/>
    <m/>
    <m/>
    <s v="No"/>
    <x v="2"/>
    <d v="2016-01-28T16:59:56"/>
    <n v="1"/>
    <s v="128.205.114.91"/>
    <s v="ML3790 -- .F49 2013eb"/>
    <n v="781.49"/>
    <d v="2013-07-04T00:00:00"/>
  </r>
  <r>
    <x v="204"/>
    <d v="1899-12-30T00:02:13"/>
    <x v="65"/>
    <x v="0"/>
    <s v="Buffalo"/>
    <x v="71"/>
    <n v="1251060"/>
    <x v="2"/>
    <s v="Fine Arts"/>
    <s v="9781136126222"/>
    <s v=",1,2,3,29,30,31,27,28"/>
    <n v="8"/>
    <m/>
    <m/>
    <s v="No"/>
    <x v="3"/>
    <m/>
    <m/>
    <s v="128.205.114.91"/>
    <s v="ML3790 -- .F49 2013eb"/>
    <n v="781.49"/>
    <d v="2013-07-04T00:00:00"/>
  </r>
  <r>
    <x v="205"/>
    <d v="1899-12-30T00:00:00"/>
    <x v="66"/>
    <x v="0"/>
    <s v="Buffalo"/>
    <x v="72"/>
    <n v="1166794"/>
    <x v="0"/>
    <s v="Social Science"/>
    <s v="9780745663906"/>
    <m/>
    <n v="0"/>
    <m/>
    <s v=",48,49,50,51,52,53,54,55,56,57,58,59,60,61,62,63,64,65,66,67,68,69,70,71,72,73,74,75,76,77,78,79,80,81,82,83,84,85,86,87,88,89,90,91,92,93,94,95,96,97,98,99,100,101,102,103,104,105,106,107,108,109,110,111,112,113,114,115,116,117,118,119,120,121,122,123,124,125,126,127,128,129"/>
    <s v="No"/>
    <x v="2"/>
    <d v="2016-01-28T16:49:35"/>
    <n v="1"/>
    <s v="128.205.114.91"/>
    <s v="GT2855 .G868 2013"/>
    <n v="394.12"/>
    <d v="2013-04-03T00:00:00"/>
  </r>
  <r>
    <x v="206"/>
    <d v="1899-12-30T00:05:05"/>
    <x v="13"/>
    <x v="0"/>
    <s v="Buffalo"/>
    <x v="6"/>
    <n v="1635363"/>
    <x v="0"/>
    <s v="Law"/>
    <s v="9781118678206"/>
    <s v=",1,2,3,1,3,2,4,4,5,5,6,6,7,7,8,8,2,9,9,10,11,11,10,12,12,13,13,14,14,15,15,16,16,17,17,18,18,19,19,20,20,21,21,22,22,23,23,24,24,25,25,26,26,27,27,28,28,29,29,30,30,31,31,32,32,33,33,34,34,29,34,29,19,20,21,17,18,22,23,24,25,26,27,27,22,27,22,27,22,27,22,27"/>
    <n v="34"/>
    <m/>
    <m/>
    <s v="No"/>
    <x v="1"/>
    <m/>
    <m/>
    <s v="128.205.114.91"/>
    <s v="KF285.Z9 -- H38 2014eb"/>
    <n v="340.07600000000002"/>
    <d v="2014-02-14T00:00:00"/>
  </r>
  <r>
    <x v="207"/>
    <d v="1899-12-30T00:05:57"/>
    <x v="66"/>
    <x v="0"/>
    <s v="Buffalo"/>
    <x v="72"/>
    <n v="1166794"/>
    <x v="0"/>
    <s v="Social Science"/>
    <s v="9780745663906"/>
    <s v=",1,2,3,48,49,50,46,47"/>
    <n v="8"/>
    <m/>
    <m/>
    <s v="No"/>
    <x v="3"/>
    <m/>
    <m/>
    <s v="128.205.114.91"/>
    <s v="GT2855 .G868 2013"/>
    <n v="394.12"/>
    <d v="2013-04-03T00:00:00"/>
  </r>
  <r>
    <x v="208"/>
    <d v="1899-12-30T00:00:03"/>
    <x v="67"/>
    <x v="5"/>
    <s v="erie"/>
    <x v="73"/>
    <n v="1119505"/>
    <x v="0"/>
    <s v="Science: Chemistry; Science"/>
    <s v="9781118355015"/>
    <s v=",1,2,3"/>
    <n v="3"/>
    <m/>
    <m/>
    <s v="No"/>
    <x v="1"/>
    <m/>
    <m/>
    <s v="199.29.6.54"/>
    <s v="QD251.3 -- .S38 2013eb"/>
    <s v="547/.128"/>
    <d v="2013-01-28T00:00:00"/>
  </r>
  <r>
    <x v="209"/>
    <d v="1899-12-30T00:00:00"/>
    <x v="19"/>
    <x v="5"/>
    <s v="erie"/>
    <x v="17"/>
    <n v="3059079"/>
    <x v="0"/>
    <s v="Science; Science: Physics"/>
    <s v="9781118473818"/>
    <s v=",37"/>
    <n v="1"/>
    <m/>
    <m/>
    <s v="No"/>
    <x v="2"/>
    <d v="2016-01-28T16:08:23"/>
    <n v="1"/>
    <s v="199.29.6.54"/>
    <s v="QC21.3 -- .H35 2014eb"/>
    <n v="530"/>
    <d v="2013-05-07T00:00:00"/>
  </r>
  <r>
    <x v="210"/>
    <d v="1899-12-30T01:05:08"/>
    <x v="68"/>
    <x v="6"/>
    <s v="sjfc"/>
    <x v="74"/>
    <n v="768534"/>
    <x v="10"/>
    <s v="History; Geography/Travel"/>
    <s v="9781400839704"/>
    <s v=",1,2,3,51,52,53,49,50,47,48,46,45,44,2,43,41,42,39,40,38,37,36,35,34,40,41,42,37,42,43,44,45,47,48,49,46,50,51,52,53,45,44,49,50,51,52,53,54,55,56,57,58,59,60,51,52,49,50,48,47,46,51,48,53,48,46,47,51,52,53,54,48,49,46,47,51"/>
    <n v="30"/>
    <m/>
    <m/>
    <s v="No"/>
    <x v="1"/>
    <m/>
    <m/>
    <s v="149.69.254.57"/>
    <s v="E839 -- .B59 2012eb"/>
    <s v="909.82/7"/>
    <d v="2011-10-31T00:00:00"/>
  </r>
  <r>
    <x v="211"/>
    <d v="1899-12-30T01:06:12"/>
    <x v="64"/>
    <x v="6"/>
    <s v="sjfc"/>
    <x v="75"/>
    <n v="1986951"/>
    <x v="0"/>
    <s v="Business/Management"/>
    <s v="9781119130468"/>
    <s v=",1,2,3,497,498,499,495,496,499,500,501,496,495,500,500,501,502,503,504,505,506,497,496,502,503,497,496,503,504,505,499,498,497"/>
    <n v="15"/>
    <s v=",497,498,497,497"/>
    <m/>
    <s v="No"/>
    <x v="0"/>
    <d v="2016-01-25T15:50:04"/>
    <n v="7"/>
    <s v="149.69.254.57"/>
    <s v="HF5661"/>
    <n v="657.07600000000002"/>
    <d v="2015-05-19T00:00:00"/>
  </r>
  <r>
    <x v="212"/>
    <d v="1899-12-30T00:20:20"/>
    <x v="19"/>
    <x v="5"/>
    <s v="erie"/>
    <x v="17"/>
    <n v="3059079"/>
    <x v="0"/>
    <s v="Science; Science: Physics"/>
    <s v="9781118473818"/>
    <s v=",1,2,3,34,35,36,32,33"/>
    <n v="8"/>
    <m/>
    <m/>
    <s v="No"/>
    <x v="3"/>
    <m/>
    <m/>
    <s v="199.29.6.54"/>
    <s v="QC21.3 -- .H35 2014eb"/>
    <n v="530"/>
    <d v="2013-05-07T00:00:00"/>
  </r>
  <r>
    <x v="213"/>
    <d v="1899-12-30T00:00:00"/>
    <x v="36"/>
    <x v="0"/>
    <s v="Buffalo"/>
    <x v="76"/>
    <n v="4004181"/>
    <x v="5"/>
    <m/>
    <s v="9781479846757"/>
    <m/>
    <n v="0"/>
    <m/>
    <m/>
    <s v="No"/>
    <x v="0"/>
    <d v="2016-01-28T15:47:55"/>
    <n v="7"/>
    <s v="128.205.114.91"/>
    <m/>
    <m/>
    <d v="2015-10-30T00:00:00"/>
  </r>
  <r>
    <x v="214"/>
    <d v="1899-12-30T00:00:13"/>
    <x v="36"/>
    <x v="0"/>
    <s v="Buffalo"/>
    <x v="76"/>
    <n v="4004181"/>
    <x v="5"/>
    <m/>
    <s v="9781479846757"/>
    <s v=",1,2,3"/>
    <n v="3"/>
    <m/>
    <m/>
    <s v="No"/>
    <x v="3"/>
    <m/>
    <m/>
    <s v="128.205.114.91"/>
    <m/>
    <m/>
    <d v="2015-10-30T00:00:00"/>
  </r>
  <r>
    <x v="215"/>
    <d v="1899-12-30T00:06:31"/>
    <x v="69"/>
    <x v="0"/>
    <s v="Buffalo"/>
    <x v="77"/>
    <n v="1760735"/>
    <x v="4"/>
    <s v="Social Science; Health"/>
    <s v="9781462518289"/>
    <s v=",173,174,175,171,172,176,177,178,179,180,181,182,183,184,185,186,187,188,189,190,191,192,193,194,195,196,197,198,199,200,251,252,253,249,250,254,255,256,257,258,259,260,261"/>
    <n v="43"/>
    <m/>
    <s v=",97,98,99,100,101,102,103,104,105,106,107,108,109,110,111,112,113,114,115,116,117,118,119,120,121,122,123,180,181,182,183,184,185,186"/>
    <s v="Yes"/>
    <x v="2"/>
    <d v="2016-01-28T15:39:10"/>
    <n v="1"/>
    <s v="128.205.114.91"/>
    <s v="RA785 -- .A43 2015eb"/>
    <n v="613"/>
    <d v="2014-12-19T00:00:00"/>
  </r>
  <r>
    <x v="216"/>
    <d v="1899-12-30T00:01:29"/>
    <x v="69"/>
    <x v="0"/>
    <s v="Buffalo"/>
    <x v="77"/>
    <n v="1760735"/>
    <x v="4"/>
    <s v="Social Science; Health"/>
    <s v="9781462518289"/>
    <s v=",66,67,63,64,90,95,96,97,98,94,99,68,69,70,71,72,73,74,75,76,77,78,79,100,101"/>
    <n v="25"/>
    <m/>
    <m/>
    <s v="No"/>
    <x v="2"/>
    <d v="2016-01-28T15:39:10"/>
    <n v="1"/>
    <s v="128.205.114.91"/>
    <s v="RA785 -- .A43 2015eb"/>
    <n v="613"/>
    <d v="2014-12-19T00:00:00"/>
  </r>
  <r>
    <x v="217"/>
    <d v="1899-12-30T00:04:33"/>
    <x v="70"/>
    <x v="3"/>
    <s v="canton"/>
    <x v="78"/>
    <n v="2039131"/>
    <x v="1"/>
    <s v="Fine Arts"/>
    <s v="9781472471314"/>
    <s v=",1,2,3,71,72,73,69,70,76,75,74,75,93,83,62,1,3,7,9,11"/>
    <n v="17"/>
    <m/>
    <m/>
    <s v="No"/>
    <x v="3"/>
    <m/>
    <m/>
    <s v="137.37.33.33"/>
    <s v="N72.S6 D67 2015"/>
    <s v="709.04''5"/>
    <d v="2015-06-28T00:00:00"/>
  </r>
  <r>
    <x v="218"/>
    <d v="1899-12-30T00:11:04"/>
    <x v="69"/>
    <x v="0"/>
    <s v="Buffalo"/>
    <x v="77"/>
    <n v="1760735"/>
    <x v="4"/>
    <s v="Social Science; Health"/>
    <s v="9781462518289"/>
    <s v=",1,2,3,54,55,56,52,53,57,58,59,60,61,65,66,67,63,64,68,69,70,71,72,73,74,337,338,335,336"/>
    <n v="29"/>
    <m/>
    <m/>
    <s v="No"/>
    <x v="3"/>
    <m/>
    <m/>
    <s v="128.205.114.91"/>
    <s v="RA785 -- .A43 2015eb"/>
    <n v="613"/>
    <d v="2014-12-19T00:00:00"/>
  </r>
  <r>
    <x v="219"/>
    <d v="1899-12-30T00:00:00"/>
    <x v="67"/>
    <x v="5"/>
    <s v="erie"/>
    <x v="79"/>
    <n v="1757960"/>
    <x v="0"/>
    <s v="Medicine"/>
    <s v="9781118780770"/>
    <m/>
    <n v="0"/>
    <s v=",13,13,13"/>
    <m/>
    <s v="No"/>
    <x v="0"/>
    <d v="2016-01-28T14:43:57"/>
    <n v="7"/>
    <s v="199.29.6.54"/>
    <s v="RC537 -- .A236 2014eb"/>
    <s v="616.85/27"/>
    <d v="2014-07-30T00:00:00"/>
  </r>
  <r>
    <x v="220"/>
    <d v="1899-12-30T00:00:27"/>
    <x v="67"/>
    <x v="5"/>
    <s v="erie"/>
    <x v="79"/>
    <n v="1757960"/>
    <x v="0"/>
    <s v="Medicine"/>
    <s v="9781118780770"/>
    <s v=",1,2,3,13,14,15,11,12"/>
    <n v="8"/>
    <m/>
    <m/>
    <s v="No"/>
    <x v="1"/>
    <m/>
    <m/>
    <s v="199.29.6.54"/>
    <s v="RC537 -- .A236 2014eb"/>
    <s v="616.85/27"/>
    <d v="2014-07-30T00:00:00"/>
  </r>
  <r>
    <x v="221"/>
    <d v="1899-12-30T00:14:54"/>
    <x v="71"/>
    <x v="0"/>
    <s v="Buffalo"/>
    <x v="80"/>
    <n v="1603265"/>
    <x v="0"/>
    <s v="Economics; Business/Management"/>
    <s v="9781118808139"/>
    <s v=",1,2,3,115,116,117,113,114,118,119,120,120,121"/>
    <n v="12"/>
    <m/>
    <m/>
    <s v="No"/>
    <x v="0"/>
    <d v="2016-01-28T07:03:46"/>
    <n v="7"/>
    <s v="128.205.114.91"/>
    <s v="HG4515.95 -- .L648 2014eb"/>
    <n v="332.642"/>
    <d v="2014-01-24T00:00:00"/>
  </r>
  <r>
    <x v="222"/>
    <d v="1899-12-30T00:00:21"/>
    <x v="72"/>
    <x v="4"/>
    <s v="monroe2boces"/>
    <x v="81"/>
    <n v="3038781"/>
    <x v="11"/>
    <s v="Psychology"/>
    <s v="9780226238753"/>
    <s v=",1,3,2,76,62,46,47,44,45,2"/>
    <n v="9"/>
    <m/>
    <m/>
    <s v="No"/>
    <x v="3"/>
    <m/>
    <m/>
    <s v="216.226.102.163"/>
    <s v="BF201 -- .C67 2015eb"/>
    <n v="153"/>
    <d v="2015-04-01T00:00:00"/>
  </r>
  <r>
    <x v="223"/>
    <d v="1899-12-30T00:00:42"/>
    <x v="72"/>
    <x v="4"/>
    <s v="monroe2boces"/>
    <x v="81"/>
    <n v="3038781"/>
    <x v="11"/>
    <s v="Psychology"/>
    <s v="9780226238753"/>
    <s v=",1,2,3,4,5,6,62,63,64,61,66"/>
    <n v="11"/>
    <m/>
    <m/>
    <s v="No"/>
    <x v="3"/>
    <m/>
    <m/>
    <s v="216.226.102.163"/>
    <s v="BF201 -- .C67 2015eb"/>
    <n v="153"/>
    <d v="2015-04-01T00:00:00"/>
  </r>
  <r>
    <x v="224"/>
    <d v="1899-12-30T00:00:00"/>
    <x v="73"/>
    <x v="1"/>
    <s v="brockport"/>
    <x v="82"/>
    <n v="821714"/>
    <x v="0"/>
    <s v="Business/Management; Education"/>
    <s v="9781118192009"/>
    <m/>
    <n v="0"/>
    <m/>
    <m/>
    <s v="Yes"/>
    <x v="0"/>
    <d v="2016-01-28T14:20:33"/>
    <n v="7"/>
    <s v="137.21.7.121"/>
    <s v="LB1029.G3 -- K364 2012eb"/>
    <s v="371.33/4; 371.334; 658.312404"/>
    <d v="2012-04-13T00:00:00"/>
  </r>
  <r>
    <x v="224"/>
    <d v="1899-12-30T00:00:00"/>
    <x v="73"/>
    <x v="1"/>
    <s v="brockport"/>
    <x v="82"/>
    <n v="821714"/>
    <x v="0"/>
    <s v="Business/Management; Education"/>
    <s v="9781118192009"/>
    <m/>
    <n v="0"/>
    <m/>
    <m/>
    <s v="No"/>
    <x v="0"/>
    <d v="2016-01-28T14:20:33"/>
    <n v="7"/>
    <s v="137.21.7.121"/>
    <s v="LB1029.G3 -- K364 2012eb"/>
    <s v="371.33/4; 371.334; 658.312404"/>
    <d v="2012-04-13T00:00:00"/>
  </r>
  <r>
    <x v="225"/>
    <d v="1899-12-30T00:00:24"/>
    <x v="73"/>
    <x v="1"/>
    <s v="brockport"/>
    <x v="82"/>
    <n v="821714"/>
    <x v="0"/>
    <s v="Business/Management; Education"/>
    <s v="9781118192009"/>
    <s v=",1,2,2,3,3,1,2,2"/>
    <n v="3"/>
    <m/>
    <m/>
    <s v="No"/>
    <x v="1"/>
    <m/>
    <m/>
    <s v="137.21.7.121"/>
    <s v="LB1029.G3 -- K364 2012eb"/>
    <s v="371.33/4; 371.334; 658.312404"/>
    <d v="2012-04-13T00:00:00"/>
  </r>
  <r>
    <x v="226"/>
    <d v="1899-12-30T00:02:54"/>
    <x v="13"/>
    <x v="0"/>
    <s v="Buffalo"/>
    <x v="4"/>
    <n v="699526"/>
    <x v="0"/>
    <s v="Science; Computer Science/IT"/>
    <s v="9781118586006"/>
    <s v=",4,5,6,7,8,9,10,11,12,13,14,15,16,17,18,19,20,21"/>
    <n v="18"/>
    <m/>
    <m/>
    <s v="Yes"/>
    <x v="0"/>
    <d v="2016-01-27T20:31:18"/>
    <n v="7"/>
    <s v="128.205.114.91"/>
    <s v="Q327 -- .D83 2001eb"/>
    <n v="6.4"/>
    <d v="2012-11-09T00:00:00"/>
  </r>
  <r>
    <x v="227"/>
    <d v="1899-12-30T00:00:04"/>
    <x v="13"/>
    <x v="0"/>
    <s v="Buffalo"/>
    <x v="4"/>
    <n v="699526"/>
    <x v="0"/>
    <s v="Science; Computer Science/IT"/>
    <s v="9781118586006"/>
    <s v=",1,2,3"/>
    <n v="3"/>
    <m/>
    <m/>
    <s v="No"/>
    <x v="0"/>
    <d v="2016-01-27T20:31:18"/>
    <n v="7"/>
    <s v="128.205.114.91"/>
    <s v="Q327 -- .D83 2001eb"/>
    <n v="6.4"/>
    <d v="2012-11-09T00:00:00"/>
  </r>
  <r>
    <x v="228"/>
    <d v="1899-12-30T00:02:04"/>
    <x v="74"/>
    <x v="0"/>
    <s v="Buffalo"/>
    <x v="83"/>
    <n v="554836"/>
    <x v="4"/>
    <s v="Social Science"/>
    <s v="9781606239117"/>
    <s v=",79,80,81,77,78,82,83,84,85,86,81,80,79,78,77,100,76,74,70,71,72,79,96,115,116,117,113,114,118,119,120,121,122,123,124,125,126,127,128,129,130,131,132,133,134,135,136,137,138,139,140,141,142,143,144,145,146,140"/>
    <n v="51"/>
    <m/>
    <m/>
    <s v="No"/>
    <x v="2"/>
    <d v="2016-01-28T13:32:31"/>
    <n v="1"/>
    <s v="128.205.114.91"/>
    <s v="HQ767.9 -- .D38 2011eb"/>
    <n v="362.7"/>
    <d v="2014-05-14T00:00:00"/>
  </r>
  <r>
    <x v="229"/>
    <d v="1899-12-30T00:01:15"/>
    <x v="74"/>
    <x v="0"/>
    <s v="Buffalo"/>
    <x v="83"/>
    <n v="554836"/>
    <x v="4"/>
    <s v="Social Science"/>
    <s v="9781606239117"/>
    <s v=",1,2,3,4,5,16,17,18,14,15,19,20,21"/>
    <n v="13"/>
    <m/>
    <m/>
    <s v="No"/>
    <x v="3"/>
    <m/>
    <m/>
    <s v="128.205.114.91"/>
    <s v="HQ767.9 -- .D38 2011eb"/>
    <n v="362.7"/>
    <d v="2014-05-14T00:00:00"/>
  </r>
  <r>
    <x v="230"/>
    <d v="1899-12-30T00:00:00"/>
    <x v="75"/>
    <x v="0"/>
    <s v="Buffalo"/>
    <x v="84"/>
    <n v="615860"/>
    <x v="2"/>
    <s v="Psychology; Philosophy"/>
    <s v="9781444128277"/>
    <m/>
    <n v="0"/>
    <m/>
    <s v=",377,378,379,380,381,382,383,384,385,386,387,388,389,390,391,392,393,394,395,396,397,398,399,400,401,402,403,404,405,406,407,408,409,410,411,412,413,414,415,416,417,418,419,420,421,422,423,424,425,426,427,428,429,430,431,432,433,434,435,436,437,438,439,440,441,442,443,444,445,446,447,448,449,450,451,452"/>
    <s v="No"/>
    <x v="0"/>
    <d v="2016-01-28T09:08:49"/>
    <n v="7"/>
    <s v="128.205.114.91"/>
    <s v="B808.9 .B528 2010"/>
    <n v="153"/>
    <d v="2013-11-26T00:00:00"/>
  </r>
  <r>
    <x v="231"/>
    <d v="1899-12-30T00:00:43"/>
    <x v="75"/>
    <x v="0"/>
    <s v="Buffalo"/>
    <x v="84"/>
    <n v="615860"/>
    <x v="2"/>
    <s v="Psychology; Philosophy"/>
    <s v="9781444128277"/>
    <s v=",1,2,3,1"/>
    <n v="3"/>
    <m/>
    <m/>
    <s v="No"/>
    <x v="1"/>
    <m/>
    <m/>
    <s v="128.205.114.91"/>
    <s v="B808.9 .B528 2010"/>
    <n v="153"/>
    <d v="2013-11-26T00:00:00"/>
  </r>
  <r>
    <x v="232"/>
    <d v="1899-12-30T00:00:45"/>
    <x v="76"/>
    <x v="0"/>
    <s v="Buffalo"/>
    <x v="84"/>
    <n v="615860"/>
    <x v="2"/>
    <s v="Psychology; Philosophy"/>
    <s v="9781444128277"/>
    <s v=",1,2,3,1"/>
    <n v="3"/>
    <m/>
    <s v=",305,306,307,308,309,310,311,312,313,314,315,316,317,318,319,320,321,322,323,324,325,326,327,328,329,330,331,332,333,334,335,336,337,338,339,340,341,342,343,344,345,346,347,348,349,350,351,352,353,354,355,356,357,358,359,360,361,362,363,364,365,366,367,368,369,370,371,372,373,374,375,376"/>
    <s v="No"/>
    <x v="0"/>
    <d v="2016-01-27T16:19:14"/>
    <n v="7"/>
    <s v="128.205.114.91"/>
    <s v="B808.9 .B528 2010"/>
    <n v="153"/>
    <d v="2013-11-26T00:00:00"/>
  </r>
  <r>
    <x v="233"/>
    <d v="1899-12-30T00:00:15"/>
    <x v="77"/>
    <x v="0"/>
    <s v="Buffalo"/>
    <x v="84"/>
    <n v="615860"/>
    <x v="2"/>
    <s v="Psychology; Philosophy"/>
    <s v="9781444128277"/>
    <s v=",1,2,3"/>
    <n v="3"/>
    <m/>
    <m/>
    <s v="No"/>
    <x v="0"/>
    <d v="2016-01-27T10:32:49"/>
    <n v="7"/>
    <s v="128.205.114.91"/>
    <s v="B808.9 .B528 2010"/>
    <n v="153"/>
    <d v="2013-11-26T00:00:00"/>
  </r>
  <r>
    <x v="234"/>
    <d v="1899-12-30T00:04:26"/>
    <x v="78"/>
    <x v="0"/>
    <s v="Buffalo"/>
    <x v="84"/>
    <n v="615860"/>
    <x v="2"/>
    <s v="Psychology; Philosophy"/>
    <s v="9781444128277"/>
    <s v=",1,2,3,22,23,24,20,21,25"/>
    <n v="9"/>
    <m/>
    <m/>
    <s v="No"/>
    <x v="1"/>
    <m/>
    <m/>
    <s v="128.205.114.91"/>
    <s v="B808.9 .B528 2010"/>
    <n v="153"/>
    <d v="2013-11-26T00:00:00"/>
  </r>
  <r>
    <x v="235"/>
    <d v="1899-12-30T00:00:46"/>
    <x v="79"/>
    <x v="0"/>
    <s v="Buffalo"/>
    <x v="84"/>
    <n v="615860"/>
    <x v="2"/>
    <s v="Psychology; Philosophy"/>
    <s v="9781444128277"/>
    <s v=",1,2,3,1"/>
    <n v="3"/>
    <m/>
    <s v="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"/>
    <s v="No"/>
    <x v="0"/>
    <d v="2016-01-27T14:51:46"/>
    <n v="7"/>
    <s v="128.205.114.91"/>
    <s v="B808.9 .B528 2010"/>
    <n v="153"/>
    <d v="2013-11-26T00:00:00"/>
  </r>
  <r>
    <x v="236"/>
    <d v="1899-12-30T00:00:00"/>
    <x v="80"/>
    <x v="0"/>
    <s v="Buffalo"/>
    <x v="84"/>
    <n v="615860"/>
    <x v="2"/>
    <s v="Psychology; Philosophy"/>
    <s v="9781444128277"/>
    <m/>
    <n v="0"/>
    <m/>
    <s v="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"/>
    <s v="No"/>
    <x v="0"/>
    <d v="2016-01-28T07:25:54"/>
    <n v="7"/>
    <s v="128.205.114.91"/>
    <s v="B808.9 .B528 2010"/>
    <n v="153"/>
    <d v="2013-11-26T00:00:00"/>
  </r>
  <r>
    <x v="237"/>
    <d v="1899-12-30T00:00:44"/>
    <x v="80"/>
    <x v="0"/>
    <s v="Buffalo"/>
    <x v="84"/>
    <n v="615860"/>
    <x v="2"/>
    <s v="Psychology; Philosophy"/>
    <s v="9781444128277"/>
    <s v=",1,2,3,1"/>
    <n v="3"/>
    <m/>
    <m/>
    <s v="No"/>
    <x v="1"/>
    <m/>
    <m/>
    <s v="128.205.114.91"/>
    <s v="B808.9 .B528 2010"/>
    <n v="153"/>
    <d v="2013-11-26T00:00:00"/>
  </r>
  <r>
    <x v="238"/>
    <d v="1899-12-30T00:44:31"/>
    <x v="71"/>
    <x v="0"/>
    <s v="Buffalo"/>
    <x v="80"/>
    <n v="1603265"/>
    <x v="0"/>
    <s v="Economics; Business/Management"/>
    <s v="9781118808139"/>
    <s v=",28,29,30,31,32,33,34,35,36,37,38,39,40,41,42,43,44,45,46,47,48,49,50,51,52,53,54,55,56,57,58,59,60,61,62,113,114,115,111,112,116,117"/>
    <n v="42"/>
    <m/>
    <m/>
    <s v="No"/>
    <x v="0"/>
    <d v="2016-01-28T07:03:46"/>
    <n v="7"/>
    <s v="128.205.114.91"/>
    <s v="HG4515.95 -- .L648 2014eb"/>
    <n v="332.642"/>
    <d v="2014-01-24T00:00:00"/>
  </r>
  <r>
    <x v="239"/>
    <d v="1899-12-30T00:00:00"/>
    <x v="81"/>
    <x v="0"/>
    <s v="Buffalo"/>
    <x v="85"/>
    <n v="1895855"/>
    <x v="0"/>
    <s v="Economics; Business/Management"/>
    <s v="9781118980958"/>
    <m/>
    <n v="0"/>
    <m/>
    <m/>
    <s v="Yes"/>
    <x v="0"/>
    <d v="2016-01-28T06:53:15"/>
    <n v="7"/>
    <s v="128.205.114.91"/>
    <s v="HG6024.A3 -- .S454 2015eb"/>
    <s v="332.64/53"/>
    <d v="2015-01-30T00:00:00"/>
  </r>
  <r>
    <x v="239"/>
    <d v="1899-12-30T00:00:00"/>
    <x v="81"/>
    <x v="0"/>
    <s v="Buffalo"/>
    <x v="85"/>
    <n v="1895855"/>
    <x v="0"/>
    <s v="Economics; Business/Management"/>
    <s v="9781118980958"/>
    <m/>
    <n v="0"/>
    <m/>
    <m/>
    <s v="No"/>
    <x v="0"/>
    <d v="2016-01-28T06:53:15"/>
    <n v="7"/>
    <s v="128.205.114.91"/>
    <s v="HG6024.A3 -- .S454 2015eb"/>
    <s v="332.64/53"/>
    <d v="2015-01-30T00:00:00"/>
  </r>
  <r>
    <x v="240"/>
    <d v="1899-12-30T00:00:16"/>
    <x v="81"/>
    <x v="0"/>
    <s v="Buffalo"/>
    <x v="85"/>
    <n v="1895855"/>
    <x v="0"/>
    <s v="Economics; Business/Management"/>
    <s v="9781118980958"/>
    <s v=",1,2,3"/>
    <n v="3"/>
    <m/>
    <m/>
    <s v="No"/>
    <x v="1"/>
    <m/>
    <m/>
    <s v="128.205.114.91"/>
    <s v="HG6024.A3 -- .S454 2015eb"/>
    <s v="332.64/53"/>
    <d v="2015-01-30T00:00:00"/>
  </r>
  <r>
    <x v="241"/>
    <d v="1899-12-30T00:13:53"/>
    <x v="71"/>
    <x v="0"/>
    <s v="Buffalo"/>
    <x v="80"/>
    <n v="1603265"/>
    <x v="0"/>
    <s v="Economics; Business/Management"/>
    <s v="9781118808139"/>
    <s v=",1,2,3,18,19,20,16,17,21,22,23,24,5,6,7,4,25,26,27"/>
    <n v="19"/>
    <m/>
    <m/>
    <s v="No"/>
    <x v="1"/>
    <m/>
    <m/>
    <s v="128.205.114.91"/>
    <s v="HG4515.95 -- .L648 2014eb"/>
    <n v="332.642"/>
    <d v="2014-01-24T00:00:00"/>
  </r>
  <r>
    <x v="242"/>
    <d v="1899-12-30T00:50:45"/>
    <x v="79"/>
    <x v="0"/>
    <s v="Buffalo"/>
    <x v="84"/>
    <n v="615860"/>
    <x v="2"/>
    <s v="Psychology; Philosophy"/>
    <s v="9781444128277"/>
    <s v=",1,3,2,23,24,22,25,21,38,39,40,37,36,35,34,33,31,32,30,29,28,27,166,164,167,165,168,169,186,187,188,185,184,183"/>
    <n v="34"/>
    <m/>
    <m/>
    <s v="No"/>
    <x v="0"/>
    <d v="2016-01-27T14:51:46"/>
    <n v="7"/>
    <s v="128.205.114.91"/>
    <s v="B808.9 .B528 2010"/>
    <n v="153"/>
    <d v="2013-11-26T00:00:00"/>
  </r>
  <r>
    <x v="243"/>
    <d v="1899-12-30T00:05:10"/>
    <x v="82"/>
    <x v="0"/>
    <s v="Buffalo"/>
    <x v="86"/>
    <n v="4043002"/>
    <x v="0"/>
    <s v="Social Science"/>
    <s v="9781119045076"/>
    <s v=",121,122"/>
    <n v="2"/>
    <m/>
    <m/>
    <s v="No"/>
    <x v="0"/>
    <d v="2016-01-28T06:17:45"/>
    <n v="7"/>
    <s v="128.205.114.91"/>
    <s v="HT165.5 -- .R433 2016eb"/>
    <n v="307.1216"/>
    <d v="2015-10-19T00:00:00"/>
  </r>
  <r>
    <x v="244"/>
    <d v="1899-12-30T00:07:02"/>
    <x v="82"/>
    <x v="0"/>
    <s v="Buffalo"/>
    <x v="86"/>
    <n v="4043002"/>
    <x v="0"/>
    <s v="Social Science"/>
    <s v="9781119045076"/>
    <s v=",1,2,3,11,12,13,4,118,119,120,116,117"/>
    <n v="12"/>
    <m/>
    <m/>
    <s v="No"/>
    <x v="3"/>
    <m/>
    <m/>
    <s v="128.205.114.91"/>
    <s v="HT165.5 -- .R433 2016eb"/>
    <n v="307.1216"/>
    <d v="2015-10-19T00:00:00"/>
  </r>
  <r>
    <x v="245"/>
    <d v="1899-12-30T00:00:12"/>
    <x v="78"/>
    <x v="0"/>
    <s v="Buffalo"/>
    <x v="84"/>
    <n v="615860"/>
    <x v="2"/>
    <s v="Psychology; Philosophy"/>
    <s v="9781444128277"/>
    <s v=",1,2,3"/>
    <n v="3"/>
    <m/>
    <m/>
    <s v="No"/>
    <x v="1"/>
    <m/>
    <m/>
    <s v="128.205.114.91"/>
    <s v="B808.9 .B528 2010"/>
    <n v="153"/>
    <d v="2013-11-26T00:00:00"/>
  </r>
  <r>
    <x v="246"/>
    <d v="1899-12-30T01:23:24"/>
    <x v="77"/>
    <x v="0"/>
    <s v="Buffalo"/>
    <x v="84"/>
    <n v="615860"/>
    <x v="2"/>
    <s v="Psychology; Philosophy"/>
    <s v="9781444128277"/>
    <s v=",1,16,17,18,19,20,21,22,23,24,25,26,27,28,29,30,31,32,33,34,35,36,37,38"/>
    <n v="24"/>
    <m/>
    <s v="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"/>
    <s v="Yes"/>
    <x v="0"/>
    <d v="2016-01-27T10:32:49"/>
    <n v="7"/>
    <s v="128.205.114.91"/>
    <s v="B808.9 .B528 2010"/>
    <n v="153"/>
    <d v="2013-11-26T00:00:00"/>
  </r>
  <r>
    <x v="247"/>
    <d v="1899-12-30T00:00:11"/>
    <x v="77"/>
    <x v="0"/>
    <s v="Buffalo"/>
    <x v="84"/>
    <n v="615860"/>
    <x v="2"/>
    <s v="Psychology; Philosophy"/>
    <s v="9781444128277"/>
    <s v=",1,2,3"/>
    <n v="3"/>
    <m/>
    <m/>
    <s v="No"/>
    <x v="0"/>
    <d v="2016-01-27T10:32:49"/>
    <n v="7"/>
    <s v="128.205.114.91"/>
    <s v="B808.9 .B528 2010"/>
    <n v="153"/>
    <d v="2013-11-26T00:00:00"/>
  </r>
  <r>
    <x v="248"/>
    <d v="1899-12-30T00:08:29"/>
    <x v="83"/>
    <x v="3"/>
    <s v="canton"/>
    <x v="87"/>
    <n v="1597004"/>
    <x v="3"/>
    <s v="Social Science"/>
    <s v="9780520958173"/>
    <s v=",1,2,3,4,5,6,7,8,97,98,99,95,96,100,101,134,135,136,132,133,137,11,9,10,12,13,14,15"/>
    <n v="28"/>
    <m/>
    <m/>
    <s v="No"/>
    <x v="1"/>
    <m/>
    <m/>
    <s v="137.37.33.33"/>
    <s v="GT2884 -- .D84 2014eb"/>
    <s v="394.1/3"/>
    <d v="2014-05-01T00:00:00"/>
  </r>
  <r>
    <x v="249"/>
    <d v="1899-12-30T00:05:12"/>
    <x v="84"/>
    <x v="1"/>
    <s v="brockport"/>
    <x v="88"/>
    <n v="1434024"/>
    <x v="2"/>
    <s v="Social Science; Political Science"/>
    <s v="9781135016906"/>
    <s v=",1,69,70,71,67,68,2,72,73,74,75,76,77,78,79,80,81,82,83,84,85,86,87,88,89,90,91,92,93,94,95,96,97,98,99,100,101,102"/>
    <n v="38"/>
    <m/>
    <m/>
    <s v="No"/>
    <x v="3"/>
    <m/>
    <m/>
    <s v="137.21.7.121"/>
    <s v="H97 -- .M54 2014eb"/>
    <n v="352.34"/>
    <d v="2013-10-01T00:00:00"/>
  </r>
  <r>
    <x v="250"/>
    <d v="1899-12-30T01:41:08"/>
    <x v="0"/>
    <x v="0"/>
    <s v="Buffalo"/>
    <x v="0"/>
    <n v="1120290"/>
    <x v="0"/>
    <s v="Language/Linguistics"/>
    <s v="9781118347478"/>
    <s v=",1,2,3,34,35,36,32,33,31,30,29,28,27,26,1,27,26,28,24,25,35,36,34,32,33,2,37,38,39,40"/>
    <n v="20"/>
    <m/>
    <m/>
    <s v="No"/>
    <x v="0"/>
    <d v="2016-01-26T05:17:15"/>
    <n v="7"/>
    <s v="128.205.114.91"/>
    <s v="PE1133 .C34 2012"/>
    <n v="421"/>
    <d v="2012-07-11T00:00:00"/>
  </r>
  <r>
    <x v="251"/>
    <d v="1899-12-30T02:43:04"/>
    <x v="7"/>
    <x v="0"/>
    <s v="Buffalo"/>
    <x v="6"/>
    <n v="1635363"/>
    <x v="0"/>
    <s v="Law"/>
    <s v="9781118678206"/>
    <s v=",1,2,3,113,114,115,111,112,1,112,113,114,110,111,115,2,116,1,116,117,118,114,115,2,119,120,121,122,123,124,125,126,127,128,129,130,131,132,133,113"/>
    <n v="27"/>
    <m/>
    <m/>
    <s v="No"/>
    <x v="0"/>
    <d v="2016-01-26T00:10:14"/>
    <n v="7"/>
    <s v="128.205.114.91"/>
    <s v="KF285.Z9 -- H38 2014eb"/>
    <n v="340.07600000000002"/>
    <d v="2014-02-14T00:00:00"/>
  </r>
  <r>
    <x v="252"/>
    <d v="1899-12-30T00:06:11"/>
    <x v="79"/>
    <x v="0"/>
    <s v="Buffalo"/>
    <x v="84"/>
    <n v="615860"/>
    <x v="2"/>
    <s v="Psychology; Philosophy"/>
    <s v="9781444128277"/>
    <s v=",1,2,3,23,25,24,22,21,27,26,28,29,30,31,32,33,34,35"/>
    <n v="18"/>
    <m/>
    <m/>
    <s v="No"/>
    <x v="0"/>
    <d v="2016-01-27T14:51:46"/>
    <n v="7"/>
    <s v="128.205.114.91"/>
    <s v="B808.9 .B528 2010"/>
    <n v="153"/>
    <d v="2013-11-26T00:00:00"/>
  </r>
  <r>
    <x v="253"/>
    <d v="1899-12-30T00:01:43"/>
    <x v="85"/>
    <x v="0"/>
    <s v="Buffalo"/>
    <x v="89"/>
    <n v="1396513"/>
    <x v="2"/>
    <s v="Social Science"/>
    <s v="9781317992165"/>
    <s v=",1,3,2,4,5,6,7,8,9,10"/>
    <n v="10"/>
    <m/>
    <m/>
    <s v="No"/>
    <x v="3"/>
    <m/>
    <m/>
    <s v="128.205.114.91"/>
    <m/>
    <n v="306.7660846"/>
    <d v="2013-09-13T00:00:00"/>
  </r>
  <r>
    <x v="254"/>
    <d v="1899-12-30T00:48:55"/>
    <x v="7"/>
    <x v="0"/>
    <s v="Buffalo"/>
    <x v="6"/>
    <n v="1635363"/>
    <x v="0"/>
    <s v="Law"/>
    <s v="9781118678206"/>
    <s v=",1,2,3,103,104,105,101,102,106,107,108,109,110,111,112"/>
    <n v="15"/>
    <m/>
    <m/>
    <s v="No"/>
    <x v="0"/>
    <d v="2016-01-26T00:10:14"/>
    <n v="7"/>
    <s v="128.205.114.91"/>
    <s v="KF285.Z9 -- H38 2014eb"/>
    <n v="340.07600000000002"/>
    <d v="2014-02-14T00:00:00"/>
  </r>
  <r>
    <x v="255"/>
    <d v="1899-12-30T00:02:57"/>
    <x v="79"/>
    <x v="0"/>
    <s v="Buffalo"/>
    <x v="84"/>
    <n v="615860"/>
    <x v="2"/>
    <s v="Psychology; Philosophy"/>
    <s v="9781444128277"/>
    <s v=",4,5,10,11,12,13,9,14,15,16,17,25,23,24,21,22,20,18,19,26,27,28,29,30,31,32,33,34,35,38,39,40,41,42,37,36"/>
    <n v="36"/>
    <m/>
    <m/>
    <s v="Yes"/>
    <x v="0"/>
    <d v="2016-01-27T14:51:46"/>
    <n v="7"/>
    <s v="128.205.114.91"/>
    <s v="B808.9 .B528 2010"/>
    <n v="153"/>
    <d v="2013-11-26T00:00:00"/>
  </r>
  <r>
    <x v="256"/>
    <d v="1899-12-30T00:00:08"/>
    <x v="79"/>
    <x v="0"/>
    <s v="Buffalo"/>
    <x v="84"/>
    <n v="615860"/>
    <x v="2"/>
    <s v="Psychology; Philosophy"/>
    <s v="9781444128277"/>
    <s v=",1,2,3"/>
    <n v="3"/>
    <m/>
    <m/>
    <s v="No"/>
    <x v="0"/>
    <d v="2016-01-27T14:51:46"/>
    <n v="7"/>
    <s v="128.205.114.91"/>
    <s v="B808.9 .B528 2010"/>
    <n v="153"/>
    <d v="2013-11-26T00:00:00"/>
  </r>
  <r>
    <x v="257"/>
    <d v="1899-12-30T00:00:19"/>
    <x v="16"/>
    <x v="3"/>
    <s v="canton"/>
    <x v="11"/>
    <n v="693176"/>
    <x v="0"/>
    <s v="Engineering: Manufacturing; General Works/Reference; Engineering"/>
    <s v="9781118017746"/>
    <s v=",1,3,2,18,20,19,22,23,24,21"/>
    <n v="10"/>
    <m/>
    <m/>
    <s v="No"/>
    <x v="1"/>
    <m/>
    <m/>
    <s v="137.37.33.33"/>
    <s v="Z246 -- .M43 2012eb"/>
    <s v="686.2/209"/>
    <d v="2011-10-19T00:00:00"/>
  </r>
  <r>
    <x v="258"/>
    <d v="1899-12-30T00:00:03"/>
    <x v="72"/>
    <x v="4"/>
    <s v="monroe2boces"/>
    <x v="90"/>
    <n v="915765"/>
    <x v="0"/>
    <s v="Business/Management"/>
    <s v="9781118461983"/>
    <s v=",1,2,3"/>
    <n v="3"/>
    <m/>
    <m/>
    <s v="No"/>
    <x v="1"/>
    <m/>
    <m/>
    <s v="74.39.196.130"/>
    <s v="HF5679"/>
    <n v="657.02855360000001"/>
    <d v="2012-10-09T00:00:00"/>
  </r>
  <r>
    <x v="259"/>
    <d v="1899-12-30T00:01:40"/>
    <x v="72"/>
    <x v="4"/>
    <s v="monroe2boces"/>
    <x v="91"/>
    <n v="1273524"/>
    <x v="0"/>
    <s v="Computer Science/IT; Engineering; Engineering: General"/>
    <s v="9781118738771"/>
    <s v=",1,2,3,61,62,63,59,60,64,65,37,38,39,35,36"/>
    <n v="15"/>
    <m/>
    <m/>
    <s v="No"/>
    <x v="1"/>
    <m/>
    <m/>
    <s v="74.39.196.130"/>
    <s v="T385 -- .S658 2013eb"/>
    <n v="6.6859999999999999"/>
    <d v="2013-07-02T00:00:00"/>
  </r>
  <r>
    <x v="260"/>
    <d v="1899-12-30T00:02:35"/>
    <x v="86"/>
    <x v="11"/>
    <s v="cobleskill"/>
    <x v="24"/>
    <n v="849909"/>
    <x v="0"/>
    <s v="Social Science; History; Psychology"/>
    <s v="9781118319451"/>
    <s v=",1,169,170,171,167,168,172,173,2,167,174,175,176,177,178,179,180,181,182,183,184,185,186,187,188,201,202,203,199,200,198,197,196,195,194,193,192,191,190,188,189,187,161,162,163,159,160,158,167"/>
    <n v="45"/>
    <m/>
    <m/>
    <s v="No"/>
    <x v="1"/>
    <m/>
    <m/>
    <s v="137.36.32.34"/>
    <s v="BF411 .T39"/>
    <s v="306; 920.02"/>
    <d v="2012-01-24T00:00:00"/>
  </r>
  <r>
    <x v="261"/>
    <d v="1899-12-30T00:24:27"/>
    <x v="13"/>
    <x v="0"/>
    <s v="Buffalo"/>
    <x v="4"/>
    <n v="699526"/>
    <x v="0"/>
    <s v="Science; Computer Science/IT"/>
    <s v="9781118586006"/>
    <s v=",105,106,107,42,43,41,40,500,501,502,498,499,503,504,505,506,505,506,507,508"/>
    <n v="18"/>
    <m/>
    <m/>
    <s v="No"/>
    <x v="0"/>
    <d v="2016-01-27T20:31:18"/>
    <n v="7"/>
    <s v="128.205.114.91"/>
    <s v="Q327 -- .D83 2001eb"/>
    <n v="6.4"/>
    <d v="2012-11-09T00:00:00"/>
  </r>
  <r>
    <x v="262"/>
    <d v="1899-12-30T00:10:01"/>
    <x v="13"/>
    <x v="0"/>
    <s v="Buffalo"/>
    <x v="4"/>
    <n v="699526"/>
    <x v="0"/>
    <s v="Science; Computer Science/IT"/>
    <s v="9781118586006"/>
    <s v=",1,2,3,4,5,6,7,8,9,10,11,12,13,7,13,14,15,16,17,18,19,625,626,627,623,624,628,629,630,631,632,633,634,635,636,637,638,639,640,641,642,643,644,645,646,647,648,649,650,651,652,653,654,655,656,657,658,659,660,661,44,45,46,42,43,47,48,49,50,51,52,53,54,55,56,57,58,59,60,61,62,63,64,65,66,67,68,69,70,71,72,73,74,75,76,77,78,79,80,81,82,83,84,85,86,87,88,89,90,91,92,93,94,95,96,97,98,99,100,101,102,103,104"/>
    <n v="121"/>
    <m/>
    <m/>
    <s v="No"/>
    <x v="1"/>
    <m/>
    <m/>
    <s v="128.205.114.91"/>
    <s v="Q327 -- .D83 2001eb"/>
    <n v="6.4"/>
    <d v="2012-11-09T00:00:00"/>
  </r>
  <r>
    <x v="263"/>
    <d v="1899-12-30T00:00:35"/>
    <x v="87"/>
    <x v="0"/>
    <s v="Buffalo"/>
    <x v="92"/>
    <n v="2166474"/>
    <x v="0"/>
    <s v="Medicine"/>
    <s v="9781118929285"/>
    <s v=",1,2,3,85,86,87,83,84,88,89"/>
    <n v="10"/>
    <m/>
    <m/>
    <s v="No"/>
    <x v="1"/>
    <m/>
    <m/>
    <s v="128.205.114.91"/>
    <s v="RK56"/>
    <n v="617.6"/>
    <d v="2015-06-01T00:00:00"/>
  </r>
  <r>
    <x v="264"/>
    <d v="1899-12-30T00:08:47"/>
    <x v="88"/>
    <x v="0"/>
    <s v="Buffalo"/>
    <x v="2"/>
    <n v="2068034"/>
    <x v="1"/>
    <m/>
    <s v="9781472416742"/>
    <s v=",67,67,68,68,63,62,60,61,65,58,59,55,54,56,57"/>
    <n v="13"/>
    <m/>
    <m/>
    <s v="No"/>
    <x v="2"/>
    <d v="2016-01-27T19:30:37"/>
    <n v="1"/>
    <s v="128.205.114.91"/>
    <m/>
    <s v="820.9''36"/>
    <d v="2015-08-28T00:00:00"/>
  </r>
  <r>
    <x v="265"/>
    <d v="1899-12-30T00:09:31"/>
    <x v="88"/>
    <x v="0"/>
    <s v="Buffalo"/>
    <x v="2"/>
    <n v="2068034"/>
    <x v="1"/>
    <m/>
    <s v="9781472416742"/>
    <s v=",1,56,57,54,56,57,58,55,1,58,55,59,59,61,63,56,2,2,61,62,63,62,60,60,64,66,65,65,66,64"/>
    <n v="15"/>
    <m/>
    <m/>
    <s v="No"/>
    <x v="3"/>
    <m/>
    <m/>
    <s v="128.205.114.91"/>
    <m/>
    <s v="820.9''36"/>
    <d v="2015-08-28T00:00:00"/>
  </r>
  <r>
    <x v="266"/>
    <d v="1899-12-30T00:00:07"/>
    <x v="89"/>
    <x v="0"/>
    <s v="Buffalo"/>
    <x v="64"/>
    <n v="836614"/>
    <x v="9"/>
    <s v="Language/Linguistics"/>
    <s v="9781118315958"/>
    <s v=",1,3,2"/>
    <n v="3"/>
    <m/>
    <m/>
    <s v="No"/>
    <x v="1"/>
    <m/>
    <m/>
    <s v="128.205.114.91"/>
    <s v="P217 -- .H346 2009eb"/>
    <n v="414"/>
    <d v="2011-12-15T00:00:00"/>
  </r>
  <r>
    <x v="267"/>
    <d v="1899-12-30T00:04:41"/>
    <x v="13"/>
    <x v="0"/>
    <s v="Buffalo"/>
    <x v="93"/>
    <n v="1120523"/>
    <x v="12"/>
    <s v="History"/>
    <s v="9781469607924"/>
    <s v=",13,14,15,16"/>
    <n v="4"/>
    <m/>
    <m/>
    <s v="No"/>
    <x v="2"/>
    <d v="2016-01-27T18:58:42"/>
    <n v="1"/>
    <s v="128.205.114.91"/>
    <s v="E748.W23 -- D48 2013eb"/>
    <n v="973.91800000000001"/>
    <d v="2013-05-27T00:00:00"/>
  </r>
  <r>
    <x v="268"/>
    <d v="1899-12-30T00:06:25"/>
    <x v="13"/>
    <x v="0"/>
    <s v="Buffalo"/>
    <x v="93"/>
    <n v="1120523"/>
    <x v="12"/>
    <s v="History"/>
    <s v="9781469607924"/>
    <s v=",1,2,3,4,2,5,6,7,8,9,10,11,12"/>
    <n v="12"/>
    <m/>
    <m/>
    <s v="No"/>
    <x v="3"/>
    <m/>
    <m/>
    <s v="128.205.114.91"/>
    <s v="E748.W23 -- D48 2013eb"/>
    <n v="973.91800000000001"/>
    <d v="2013-05-27T00:00:00"/>
  </r>
  <r>
    <x v="269"/>
    <d v="1899-12-30T00:00:00"/>
    <x v="90"/>
    <x v="0"/>
    <s v="Buffalo"/>
    <x v="94"/>
    <n v="4040911"/>
    <x v="0"/>
    <s v="Medicine"/>
    <s v="9781119067337"/>
    <m/>
    <n v="0"/>
    <m/>
    <m/>
    <s v="Yes"/>
    <x v="0"/>
    <d v="2016-01-27T18:36:08"/>
    <n v="7"/>
    <s v="128.205.114.91"/>
    <s v="RC346 -- .E953 2015eb"/>
    <n v="616.79999999999995"/>
    <d v="2015-09-08T00:00:00"/>
  </r>
  <r>
    <x v="270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271"/>
    <d v="1899-12-30T00:00:18"/>
    <x v="90"/>
    <x v="0"/>
    <s v="Buffalo"/>
    <x v="94"/>
    <n v="4040911"/>
    <x v="0"/>
    <s v="Medicine"/>
    <s v="9781119067337"/>
    <s v=",2,2"/>
    <n v="1"/>
    <m/>
    <m/>
    <s v="Yes"/>
    <x v="0"/>
    <d v="2016-01-27T18:36:08"/>
    <n v="7"/>
    <s v="128.205.114.91"/>
    <s v="RC346 -- .E953 2015eb"/>
    <n v="616.79999999999995"/>
    <d v="2015-09-08T00:00:00"/>
  </r>
  <r>
    <x v="271"/>
    <d v="1899-12-30T00:00:00"/>
    <x v="90"/>
    <x v="0"/>
    <s v="Buffalo"/>
    <x v="94"/>
    <n v="4040911"/>
    <x v="0"/>
    <s v="Medicine"/>
    <s v="9781119067337"/>
    <m/>
    <n v="0"/>
    <m/>
    <m/>
    <s v="No"/>
    <x v="0"/>
    <d v="2016-01-27T18:36:08"/>
    <n v="7"/>
    <s v="128.205.114.91"/>
    <s v="RC346 -- .E953 2015eb"/>
    <n v="616.79999999999995"/>
    <d v="2015-09-08T00:00:00"/>
  </r>
  <r>
    <x v="272"/>
    <d v="1899-12-30T00:00:12"/>
    <x v="90"/>
    <x v="0"/>
    <s v="Buffalo"/>
    <x v="94"/>
    <n v="4040911"/>
    <x v="0"/>
    <s v="Medicine"/>
    <s v="9781119067337"/>
    <s v=",1,2,1,3,3,2"/>
    <n v="3"/>
    <m/>
    <m/>
    <s v="No"/>
    <x v="3"/>
    <m/>
    <m/>
    <s v="128.205.114.91"/>
    <s v="RC346 -- .E953 2015eb"/>
    <n v="616.79999999999995"/>
    <d v="2015-09-08T00:00:00"/>
  </r>
  <r>
    <x v="273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274"/>
    <d v="1899-12-30T00:00:05"/>
    <x v="91"/>
    <x v="1"/>
    <s v="brockport"/>
    <x v="1"/>
    <n v="1684620"/>
    <x v="0"/>
    <s v="Health; Social Science"/>
    <s v="9781118418925"/>
    <s v=",1,2,3"/>
    <n v="3"/>
    <m/>
    <m/>
    <s v="No"/>
    <x v="0"/>
    <d v="2016-01-26T21:34:36"/>
    <n v="7"/>
    <s v="137.21.7.121"/>
    <s v="RA971 -- .S56 2014eb"/>
    <n v="362.10680000000002"/>
    <d v="2014-04-30T00:00:00"/>
  </r>
  <r>
    <x v="275"/>
    <d v="1899-12-30T00:00:27"/>
    <x v="92"/>
    <x v="12"/>
    <s v="potsdam"/>
    <x v="95"/>
    <n v="1566387"/>
    <x v="0"/>
    <s v="Social Science"/>
    <s v="9781118471906"/>
    <s v=",1,2,3,53,54,55,51,52,56,57,58"/>
    <n v="11"/>
    <m/>
    <m/>
    <s v="No"/>
    <x v="0"/>
    <d v="2016-01-25T16:04:17"/>
    <n v="7"/>
    <s v="137.143.104.94"/>
    <s v="HM585 -- .D555 2014eb"/>
    <n v="301"/>
    <d v="2013-11-18T00:00:00"/>
  </r>
  <r>
    <x v="276"/>
    <d v="1899-12-30T00:00:09"/>
    <x v="78"/>
    <x v="0"/>
    <s v="Buffalo"/>
    <x v="84"/>
    <n v="615860"/>
    <x v="2"/>
    <s v="Psychology; Philosophy"/>
    <s v="9781444128277"/>
    <s v=",1,2,3"/>
    <n v="3"/>
    <m/>
    <m/>
    <s v="No"/>
    <x v="1"/>
    <m/>
    <m/>
    <s v="128.205.114.91"/>
    <s v="B808.9 .B528 2010"/>
    <n v="153"/>
    <d v="2013-11-26T00:00:00"/>
  </r>
  <r>
    <x v="277"/>
    <d v="1899-12-30T00:01:15"/>
    <x v="13"/>
    <x v="0"/>
    <s v="Buffalo"/>
    <x v="96"/>
    <n v="1414118"/>
    <x v="0"/>
    <s v="Philosophy"/>
    <s v="9780745679006"/>
    <s v=",25,26"/>
    <n v="2"/>
    <m/>
    <m/>
    <s v="No"/>
    <x v="2"/>
    <d v="2016-01-27T17:54:13"/>
    <n v="1"/>
    <s v="128.205.114.91"/>
    <s v="B3199.A34 -- B69 2013eb"/>
    <n v="193"/>
    <d v="2013-09-18T00:00:00"/>
  </r>
  <r>
    <x v="278"/>
    <d v="1899-12-30T00:00:03"/>
    <x v="93"/>
    <x v="1"/>
    <s v="brockport"/>
    <x v="1"/>
    <n v="1684620"/>
    <x v="0"/>
    <s v="Health; Social Science"/>
    <s v="9781118418925"/>
    <s v=",1,2,3"/>
    <n v="3"/>
    <m/>
    <m/>
    <s v="No"/>
    <x v="0"/>
    <d v="2016-01-27T17:39:28"/>
    <n v="7"/>
    <s v="137.21.7.121"/>
    <s v="RA971 -- .S56 2014eb"/>
    <n v="362.10680000000002"/>
    <d v="2014-04-30T00:00:00"/>
  </r>
  <r>
    <x v="279"/>
    <d v="1899-12-30T00:05:35"/>
    <x v="13"/>
    <x v="0"/>
    <s v="Buffalo"/>
    <x v="96"/>
    <n v="1414118"/>
    <x v="0"/>
    <s v="Philosophy"/>
    <s v="9780745679006"/>
    <s v=",1,2,3,4,5,6,7,8,9,10,11,12,13,14,15,16,17,18,19,20,21,22,23,24"/>
    <n v="24"/>
    <m/>
    <m/>
    <s v="No"/>
    <x v="3"/>
    <m/>
    <m/>
    <s v="128.205.114.91"/>
    <s v="B3199.A34 -- B69 2013eb"/>
    <n v="193"/>
    <d v="2013-09-18T00:00:00"/>
  </r>
  <r>
    <x v="280"/>
    <d v="1899-12-30T01:53:10"/>
    <x v="64"/>
    <x v="6"/>
    <s v="sjfc"/>
    <x v="75"/>
    <n v="1986951"/>
    <x v="0"/>
    <s v="Business/Management"/>
    <s v="9781119130468"/>
    <s v=",1,2,3,457,458,459,455,460,461,462,463,464,2,465,466,467,468,469,470,471,472,473,474,475,476,477,478,470,478,479,480,481,482,483,484,485,486,487,488,489,490,491,492,493,494,495,496,497,498,499"/>
    <n v="47"/>
    <s v=",473,475,476,476,478,483"/>
    <m/>
    <s v="No"/>
    <x v="0"/>
    <d v="2016-01-25T15:50:04"/>
    <n v="7"/>
    <s v="149.69.254.57"/>
    <s v="HF5661"/>
    <n v="657.07600000000002"/>
    <d v="2015-05-19T00:00:00"/>
  </r>
  <r>
    <x v="281"/>
    <d v="1899-12-30T00:07:38"/>
    <x v="93"/>
    <x v="1"/>
    <s v="brockport"/>
    <x v="1"/>
    <n v="1684620"/>
    <x v="0"/>
    <s v="Health; Social Science"/>
    <s v="9781118418925"/>
    <s v=",4,5,6,7,8,9,10,11,12,13,14,15,16,17,18,19,20,21,22,23,24,25,26,27,28,29,30,31"/>
    <n v="28"/>
    <m/>
    <m/>
    <s v="Yes"/>
    <x v="0"/>
    <d v="2016-01-27T17:39:28"/>
    <n v="7"/>
    <s v="137.21.7.121"/>
    <s v="RA971 -- .S56 2014eb"/>
    <n v="362.10680000000002"/>
    <d v="2014-04-30T00:00:00"/>
  </r>
  <r>
    <x v="281"/>
    <d v="1899-12-30T00:00:00"/>
    <x v="93"/>
    <x v="1"/>
    <s v="brockport"/>
    <x v="1"/>
    <n v="1684620"/>
    <x v="0"/>
    <s v="Health; Social Science"/>
    <s v="9781118418925"/>
    <m/>
    <n v="0"/>
    <m/>
    <m/>
    <s v="No"/>
    <x v="0"/>
    <d v="2016-01-27T17:39:28"/>
    <n v="7"/>
    <s v="137.21.7.121"/>
    <s v="RA971 -- .S56 2014eb"/>
    <n v="362.10680000000002"/>
    <d v="2014-04-30T00:00:00"/>
  </r>
  <r>
    <x v="282"/>
    <d v="1899-12-30T00:00:32"/>
    <x v="93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283"/>
    <d v="1899-12-30T00:07:21"/>
    <x v="23"/>
    <x v="1"/>
    <s v="brockport"/>
    <x v="11"/>
    <n v="693176"/>
    <x v="0"/>
    <s v="Engineering: Manufacturing; General Works/Reference; Engineering"/>
    <s v="9781118017746"/>
    <s v=",25,24,23,22,21,27,28,29,23,22,20,26,25,21,14,13,18,29,21,22,23,24,20,25,26,27,28,29,30,31,32,33,27,26,25,24,23,22,21,20"/>
    <n v="17"/>
    <s v=",23"/>
    <m/>
    <s v="No"/>
    <x v="0"/>
    <d v="2016-01-27T17:09:10"/>
    <n v="7"/>
    <s v="137.21.7.121"/>
    <s v="Z246 -- .M43 2012eb"/>
    <s v="686.2/209"/>
    <d v="2011-10-19T00:00:00"/>
  </r>
  <r>
    <x v="284"/>
    <d v="1899-12-30T00:03:58"/>
    <x v="94"/>
    <x v="0"/>
    <s v="Buffalo"/>
    <x v="97"/>
    <n v="4036752"/>
    <x v="0"/>
    <s v="Literature"/>
    <s v="9781118608425"/>
    <s v=",33,34,35,36,43,44,45,41,42,46,47,48,49,50,52,57,58,55,56,60,61"/>
    <n v="21"/>
    <m/>
    <m/>
    <s v="No"/>
    <x v="2"/>
    <d v="2016-01-27T17:03:20"/>
    <n v="1"/>
    <s v="128.205.114.91"/>
    <m/>
    <n v="813.08729089999997"/>
    <d v="2013-09-10T00:00:00"/>
  </r>
  <r>
    <x v="285"/>
    <d v="1899-12-30T00:58:35"/>
    <x v="23"/>
    <x v="1"/>
    <s v="brockport"/>
    <x v="11"/>
    <n v="693176"/>
    <x v="0"/>
    <s v="Engineering: Manufacturing; General Works/Reference; Engineering"/>
    <s v="9781118017746"/>
    <s v=",26,17,11,7,5,2,1,3,18,19,20,16,17,22,23,24,21,35,36,25,26,38,37,35,33,31,29,28,27,22,21,26,27,28,29,30,31,32,33,18,20,23,25,28,27,26,47,42,40,38,36,34,32,35,39,37,34,28,34,35,35,39,40,38,37,36,37,38,39,40,40,41,42,43,44,45,46,47,48,49,50,51,52,43,42,41,40,46,47,48,49,50,44"/>
    <n v="43"/>
    <s v=",23,1,23,24,25,23,24,25,27,28,31,31,32,34,35,37"/>
    <m/>
    <s v="No"/>
    <x v="0"/>
    <d v="2016-01-27T16:58:49"/>
    <n v="7"/>
    <s v="137.21.7.121"/>
    <s v="Z246 -- .M43 2012eb"/>
    <s v="686.2/209"/>
    <d v="2011-10-19T00:00:00"/>
  </r>
  <r>
    <x v="286"/>
    <d v="1899-12-30T00:01:33"/>
    <x v="23"/>
    <x v="1"/>
    <s v="brockport"/>
    <x v="11"/>
    <n v="693176"/>
    <x v="0"/>
    <s v="Engineering: Manufacturing; General Works/Reference; Engineering"/>
    <s v="9781118017746"/>
    <s v=",1,2,3,12,13,7,5,22,23,24,20,21,25"/>
    <n v="13"/>
    <m/>
    <m/>
    <s v="No"/>
    <x v="1"/>
    <m/>
    <m/>
    <s v="137.21.7.121"/>
    <s v="Z246 -- .M43 2012eb"/>
    <s v="686.2/209"/>
    <d v="2011-10-19T00:00:00"/>
  </r>
  <r>
    <x v="287"/>
    <d v="1899-12-30T00:07:42"/>
    <x v="94"/>
    <x v="0"/>
    <s v="Buffalo"/>
    <x v="97"/>
    <n v="4036752"/>
    <x v="0"/>
    <s v="Literature"/>
    <s v="9781118608425"/>
    <s v=",1,2,3,5,6,7,4,8,9,10,11,12,13,15,17,18,19,20,22,23,24,25,26,27,28,29,30,31,32"/>
    <n v="29"/>
    <m/>
    <m/>
    <s v="No"/>
    <x v="3"/>
    <m/>
    <m/>
    <s v="128.205.114.91"/>
    <m/>
    <n v="813.08729089999997"/>
    <d v="2013-09-10T00:00:00"/>
  </r>
  <r>
    <x v="288"/>
    <d v="1899-12-30T00:00:00"/>
    <x v="95"/>
    <x v="0"/>
    <s v="Buffalo"/>
    <x v="31"/>
    <n v="1682559"/>
    <x v="4"/>
    <s v="Medicine"/>
    <s v="9781462515431"/>
    <m/>
    <n v="0"/>
    <m/>
    <m/>
    <s v="Yes"/>
    <x v="0"/>
    <d v="2016-01-27T16:49:41"/>
    <n v="7"/>
    <s v="128.205.114.91"/>
    <s v="RC469 -- .M677 2014eb"/>
    <n v="616.89"/>
    <d v="2014-05-10T00:00:00"/>
  </r>
  <r>
    <x v="289"/>
    <d v="1899-12-30T00:01:10"/>
    <x v="95"/>
    <x v="0"/>
    <s v="Buffalo"/>
    <x v="31"/>
    <n v="1682559"/>
    <x v="4"/>
    <s v="Medicine"/>
    <s v="9781462515431"/>
    <s v=",1,1"/>
    <n v="1"/>
    <m/>
    <m/>
    <s v="No"/>
    <x v="0"/>
    <d v="2016-01-27T16:49:41"/>
    <n v="7"/>
    <s v="128.205.114.91"/>
    <s v="RC469 -- .M677 2014eb"/>
    <n v="616.89"/>
    <d v="2014-05-10T00:00:00"/>
  </r>
  <r>
    <x v="290"/>
    <d v="1899-12-30T00:20:08"/>
    <x v="23"/>
    <x v="1"/>
    <s v="brockport"/>
    <x v="11"/>
    <n v="693176"/>
    <x v="0"/>
    <s v="Engineering: Manufacturing; General Works/Reference; Engineering"/>
    <s v="9781118017746"/>
    <s v=",1,3,2,22,23,24,20,21,55,62,46,35,36,37,38,34,39,40,41,42,43,44,45,46,47,48,49,50,51,52,19,16,5,4,6,22,23,24,20,21,27,19,8,1,5,13,4,3,15,16,9,19,26,28,29,30,27"/>
    <n v="43"/>
    <m/>
    <m/>
    <s v="No"/>
    <x v="1"/>
    <m/>
    <m/>
    <s v="137.21.7.121"/>
    <s v="Z246 -- .M43 2012eb"/>
    <s v="686.2/209"/>
    <d v="2011-10-19T00:00:00"/>
  </r>
  <r>
    <x v="291"/>
    <d v="1899-12-30T00:03:51"/>
    <x v="95"/>
    <x v="0"/>
    <s v="Buffalo"/>
    <x v="31"/>
    <n v="1682559"/>
    <x v="4"/>
    <s v="Medicine"/>
    <s v="9781462515431"/>
    <s v=",1,2,3,1,1,3,3,5,5,6,6,7,7,11,11,13,13,1,1"/>
    <n v="8"/>
    <m/>
    <m/>
    <s v="No"/>
    <x v="1"/>
    <m/>
    <m/>
    <s v="128.205.114.91"/>
    <s v="RC469 -- .M677 2014eb"/>
    <n v="616.89"/>
    <d v="2014-05-10T00:00:00"/>
  </r>
  <r>
    <x v="292"/>
    <d v="1899-12-30T00:08:14"/>
    <x v="96"/>
    <x v="0"/>
    <s v="Buffalo"/>
    <x v="98"/>
    <n v="735603"/>
    <x v="4"/>
    <s v="Medicine"/>
    <s v="9781609184971"/>
    <s v=",1,2,3,4,5,6,7,8,10,11,9,12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8,189,187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80,279,281,282,283,284,286,285,287,288,289,290,291,292,293,294,295,296,297,298,299,300,301,302,303,304,306,307,308,305,305,1,2,3,1,2,3"/>
    <n v="308"/>
    <m/>
    <m/>
    <s v="No"/>
    <x v="2"/>
    <d v="2016-01-24T04:26:33"/>
    <n v="7"/>
    <s v="128.205.114.91"/>
    <s v="RC489.T95 -- M38 2011eb"/>
    <n v="616.89170000000001"/>
    <d v="2014-05-14T00:00:00"/>
  </r>
  <r>
    <x v="293"/>
    <d v="1899-12-30T00:00:03"/>
    <x v="97"/>
    <x v="0"/>
    <s v="Buffalo"/>
    <x v="4"/>
    <n v="699526"/>
    <x v="0"/>
    <s v="Science; Computer Science/IT"/>
    <s v="9781118586006"/>
    <s v=",1,2,3"/>
    <n v="3"/>
    <s v=",1"/>
    <m/>
    <s v="No"/>
    <x v="0"/>
    <d v="2016-01-27T15:45:19"/>
    <n v="7"/>
    <s v="128.205.114.91"/>
    <s v="Q327 -- .D83 2001eb"/>
    <n v="6.4"/>
    <d v="2012-11-09T00:00:00"/>
  </r>
  <r>
    <x v="294"/>
    <d v="1899-12-30T00:07:32"/>
    <x v="76"/>
    <x v="0"/>
    <s v="Buffalo"/>
    <x v="84"/>
    <n v="615860"/>
    <x v="2"/>
    <s v="Psychology; Philosophy"/>
    <s v="9781444128277"/>
    <s v=",21,27,27,28"/>
    <n v="3"/>
    <m/>
    <m/>
    <s v="No"/>
    <x v="0"/>
    <d v="2016-01-27T16:19:14"/>
    <n v="7"/>
    <s v="128.205.114.91"/>
    <s v="B808.9 .B528 2010"/>
    <n v="153"/>
    <d v="2013-11-26T00:00:00"/>
  </r>
  <r>
    <x v="295"/>
    <d v="1899-12-30T00:00:03"/>
    <x v="97"/>
    <x v="0"/>
    <s v="Buffalo"/>
    <x v="4"/>
    <n v="699526"/>
    <x v="0"/>
    <s v="Science; Computer Science/IT"/>
    <s v="9781118586006"/>
    <s v=",1,2,3"/>
    <n v="3"/>
    <m/>
    <s v=",239,239,240,240,241,242,243,244,245,246,247,248,248,249,250,251,251,252,253,254,255,256,257,258,259,259,260,261,262,263,264,265,266,267,268,269,270,271,272,273,274,275,276,277,277,278,279,280,280,281,282,283,284,285,286,287,288"/>
    <s v="No"/>
    <x v="0"/>
    <d v="2016-01-27T15:45:19"/>
    <n v="7"/>
    <s v="128.205.114.91"/>
    <s v="Q327 -- .D83 2001eb"/>
    <n v="6.4"/>
    <d v="2012-11-09T00:00:00"/>
  </r>
  <r>
    <x v="296"/>
    <d v="1899-12-30T00:00:00"/>
    <x v="97"/>
    <x v="0"/>
    <s v="Buffalo"/>
    <x v="4"/>
    <n v="699526"/>
    <x v="0"/>
    <s v="Science; Computer Science/IT"/>
    <s v="9781118586006"/>
    <m/>
    <n v="0"/>
    <m/>
    <s v=",25,25,25,26,27,28,29,30,31,32,33,33,33,34,35,36,37,38,38,38,39,39,39,40,40,40,41,41,41,41,42,43,44,44,45,46,47,48,49,50,51,52,53,53,54,55,56,57,58,59,60,60,61,62,63,64,65,66,67,68,69,70,70,71,72,72,73,74,75,76,77,78,78,79,80,81,82,83,84,85,86,87,87,88,89,90,91,92,93,94,95,96,97,98,99,100,101,102,103,104,105,106,107,108,108,109,109,110,111,112,112,113,114,115,115,116,116,117,118,119,119,120,121,122,123,124,125,126,126,127,128,129,130,131,131,132,133,134,135,136,137,138,139,140,141,142,143,144,145,146,147,148,149,150,151,152,152,153,153,154,155,156,157,158,159,160,161,162,163,163,164,165,166,167,168,169,170,171,172,173,174,175,176,177,178,179,180,181,182,183,184,185,185,185,186,187,188,189,190,191,191,192,192,193,194,195,196,197,198,198,199,200,201,201,202,203,204,204,205,206,207,208,209,210,211,211,212,213,214,215,216,217,218,219,220,221,222,223,224,225,226,227,228,229,230,231,232,233,234,235,236,237,238"/>
    <s v="Yes"/>
    <x v="0"/>
    <d v="2016-01-27T15:45:19"/>
    <n v="7"/>
    <s v="128.205.114.91"/>
    <s v="Q327 -- .D83 2001eb"/>
    <n v="6.4"/>
    <d v="2012-11-09T00:00:00"/>
  </r>
  <r>
    <x v="297"/>
    <d v="1899-12-30T00:00:00"/>
    <x v="97"/>
    <x v="0"/>
    <s v="Buffalo"/>
    <x v="4"/>
    <n v="699526"/>
    <x v="0"/>
    <s v="Science; Computer Science/IT"/>
    <s v="9781118586006"/>
    <m/>
    <n v="0"/>
    <m/>
    <m/>
    <s v="Yes"/>
    <x v="0"/>
    <d v="2016-01-27T15:45:19"/>
    <n v="7"/>
    <s v="128.205.114.91"/>
    <s v="Q327 -- .D83 2001eb"/>
    <n v="6.4"/>
    <d v="2012-11-09T00:00:00"/>
  </r>
  <r>
    <x v="298"/>
    <d v="1899-12-30T00:00:57"/>
    <x v="98"/>
    <x v="4"/>
    <s v="monroe2boces"/>
    <x v="99"/>
    <n v="3570607"/>
    <x v="11"/>
    <s v="Science; Science: Zoology"/>
    <s v="9780226093000"/>
    <s v=",1,2,3,65,66,67,63,64,68,69,70,71,72,73,74"/>
    <n v="15"/>
    <m/>
    <m/>
    <s v="No"/>
    <x v="3"/>
    <m/>
    <m/>
    <s v="216.226.102.163"/>
    <s v="QL737.C23 -- P32 2015eb"/>
    <s v="599.75709678/27"/>
    <d v="2015-09-01T00:00:00"/>
  </r>
  <r>
    <x v="299"/>
    <d v="1899-12-30T00:32:53"/>
    <x v="76"/>
    <x v="0"/>
    <s v="Buffalo"/>
    <x v="84"/>
    <n v="615860"/>
    <x v="2"/>
    <s v="Psychology; Philosophy"/>
    <s v="9781444128277"/>
    <s v=",1,2,3,7,8,4,5,6,7,8,9,23,24,25,21,22,26,27,28,26"/>
    <n v="17"/>
    <m/>
    <m/>
    <s v="No"/>
    <x v="1"/>
    <m/>
    <m/>
    <s v="128.205.114.91"/>
    <s v="B808.9 .B528 2010"/>
    <n v="153"/>
    <d v="2013-11-26T00:00:00"/>
  </r>
  <r>
    <x v="300"/>
    <d v="1899-12-30T00:00:03"/>
    <x v="97"/>
    <x v="0"/>
    <s v="Buffalo"/>
    <x v="4"/>
    <n v="699526"/>
    <x v="0"/>
    <s v="Science; Computer Science/IT"/>
    <s v="9781118586006"/>
    <s v=",1,2,3"/>
    <n v="3"/>
    <m/>
    <s v=",25,25,25,26,27,28,29,30,31,32,33,33,33,34,35,36,37,38,38,38,39,39,39,40,40,40,41,41,41,41,42,43,44,44,45,46,47,48,49,50,51,52,53,53,54,55,56,57,58,59,60,60,61,62,63,64,65,66,67,68,69,70,70,71,72,72,73,74,75,76,77,78,78,79,80,81,82,83,84,85,86,87,87,88,89,90,91,92,93,94,95,96,97,98,99,100,101,102,103,104,105,106,107,108,108,109,109,110,111,112,112,113,114,115,115,116,116,117,118,119,119,120,121,122,123,124,125,126,126,127,128,129,130,131,131,132,133,134,135,136,137,138,139,140,141,142,143,144,145,146,147,148,149,150,151,152,152,153,153,154,155,156,157,158,159,160,161,162,163,163,164,165,166,167,168,169,170,171,172,173,174,175,176,177,178,179,180,181,182,183,184"/>
    <s v="No"/>
    <x v="0"/>
    <d v="2016-01-27T15:45:19"/>
    <n v="7"/>
    <s v="128.205.114.91"/>
    <s v="Q327 -- .D83 2001eb"/>
    <n v="6.4"/>
    <d v="2012-11-09T00:00:00"/>
  </r>
  <r>
    <x v="301"/>
    <d v="1899-12-30T00:00:00"/>
    <x v="97"/>
    <x v="0"/>
    <s v="Buffalo"/>
    <x v="4"/>
    <n v="699526"/>
    <x v="0"/>
    <s v="Science; Computer Science/IT"/>
    <s v="9781118586006"/>
    <m/>
    <n v="0"/>
    <m/>
    <m/>
    <s v="No"/>
    <x v="0"/>
    <d v="2016-01-27T15:45:19"/>
    <n v="7"/>
    <s v="128.205.114.91"/>
    <s v="Q327 -- .D83 2001eb"/>
    <n v="6.4"/>
    <d v="2012-11-09T00:00:00"/>
  </r>
  <r>
    <x v="302"/>
    <d v="1899-12-30T00:01:36"/>
    <x v="97"/>
    <x v="0"/>
    <s v="Buffalo"/>
    <x v="4"/>
    <n v="699526"/>
    <x v="0"/>
    <s v="Science; Computer Science/IT"/>
    <s v="9781118586006"/>
    <s v=",1,2,3,9,19,25,211,218,237,238,239,240,241,243,5,1,25,25,26,27,23,24,29,39,40,1,2,3"/>
    <n v="22"/>
    <m/>
    <m/>
    <s v="No"/>
    <x v="1"/>
    <m/>
    <m/>
    <s v="128.205.114.91"/>
    <s v="Q327 -- .D83 2001eb"/>
    <n v="6.4"/>
    <d v="2012-11-09T00:00:00"/>
  </r>
  <r>
    <x v="303"/>
    <d v="1899-12-30T00:34:10"/>
    <x v="64"/>
    <x v="6"/>
    <s v="sjfc"/>
    <x v="75"/>
    <n v="1986951"/>
    <x v="0"/>
    <s v="Business/Management"/>
    <s v="9781119130468"/>
    <s v=",1,2,3,457,458,459,460,461,2,462,463,464,465,466,467,468,469,470,471,472,473,474,475,476,477,478,472,471,470,469,469,475,476,477,478,473,472,471,470,469,468,467"/>
    <n v="25"/>
    <s v=",472,472,472"/>
    <m/>
    <s v="No"/>
    <x v="0"/>
    <d v="2016-01-25T15:50:04"/>
    <n v="7"/>
    <s v="149.69.254.57"/>
    <s v="HF5661"/>
    <n v="657.07600000000002"/>
    <d v="2015-05-19T00:00:00"/>
  </r>
  <r>
    <x v="304"/>
    <d v="1899-12-30T00:10:45"/>
    <x v="99"/>
    <x v="0"/>
    <s v="Buffalo"/>
    <x v="7"/>
    <n v="1711065"/>
    <x v="3"/>
    <s v="Political Science; Social Science"/>
    <s v="9780520959156"/>
    <s v=",43,44,45,46,47,48,49,50,51,52,53,54,55,56,57,58,59,60,61,62,63,64,65,66,67,68,69,70,71,72,73,74,75,76,77,78,79,80,81,82,83,84,85,86,87,88,89,90,91,92,93,94,95,96,97,98,99,100,101,102"/>
    <n v="60"/>
    <m/>
    <m/>
    <s v="No"/>
    <x v="0"/>
    <d v="2016-01-27T15:20:07"/>
    <n v="7"/>
    <s v="128.205.114.91"/>
    <s v="JV6450 -- .P67 2014eb"/>
    <s v="304.8/73"/>
    <d v="2014-08-30T00:00:00"/>
  </r>
  <r>
    <x v="305"/>
    <d v="1899-12-30T00:00:07"/>
    <x v="98"/>
    <x v="4"/>
    <s v="monroe2boces"/>
    <x v="100"/>
    <n v="821783"/>
    <x v="0"/>
    <s v="Fine Arts"/>
    <s v="9781118222522"/>
    <s v=",1,2,3,19,20,21,17,18"/>
    <n v="8"/>
    <m/>
    <m/>
    <s v="No"/>
    <x v="1"/>
    <m/>
    <m/>
    <s v="216.226.102.163"/>
    <s v="PN1992.77.B485 -- B54 2012eb"/>
    <s v="791.45/72"/>
    <d v="2012-03-30T00:00:00"/>
  </r>
  <r>
    <x v="306"/>
    <d v="1899-12-30T00:10:44"/>
    <x v="99"/>
    <x v="0"/>
    <s v="Buffalo"/>
    <x v="7"/>
    <n v="1711065"/>
    <x v="3"/>
    <s v="Political Science; Social Science"/>
    <s v="9780520959156"/>
    <s v=",1,2,3,40,41,42,38,39,100,101,102"/>
    <n v="11"/>
    <m/>
    <m/>
    <s v="No"/>
    <x v="1"/>
    <m/>
    <m/>
    <s v="128.205.114.91"/>
    <s v="JV6450 -- .P67 2014eb"/>
    <s v="304.8/73"/>
    <d v="2014-08-30T00:00:00"/>
  </r>
  <r>
    <x v="307"/>
    <d v="1899-12-30T00:00:18"/>
    <x v="100"/>
    <x v="0"/>
    <s v="Buffalo"/>
    <x v="101"/>
    <n v="1895761"/>
    <x v="0"/>
    <s v="Fine Arts"/>
    <s v="9781118926963"/>
    <s v=",1,2,3,13,14,15,11,12,16,17,18"/>
    <n v="11"/>
    <m/>
    <m/>
    <s v="No"/>
    <x v="3"/>
    <m/>
    <m/>
    <s v="128.205.114.91"/>
    <s v="PN1995 -- .C3529 2015eb"/>
    <s v="791.43/75"/>
    <d v="2015-02-09T00:00:00"/>
  </r>
  <r>
    <x v="308"/>
    <d v="1899-12-30T00:37:11"/>
    <x v="77"/>
    <x v="0"/>
    <s v="Buffalo"/>
    <x v="84"/>
    <n v="615860"/>
    <x v="2"/>
    <s v="Psychology; Philosophy"/>
    <s v="9781444128277"/>
    <s v=",1,16,17,18,14,15,2,19,13,15,16,17,17,18"/>
    <n v="9"/>
    <m/>
    <m/>
    <s v="No"/>
    <x v="0"/>
    <d v="2016-01-27T10:32:49"/>
    <n v="7"/>
    <s v="128.205.114.91"/>
    <s v="B808.9 .B528 2010"/>
    <n v="153"/>
    <d v="2013-11-26T00:00:00"/>
  </r>
  <r>
    <x v="309"/>
    <d v="1899-12-30T00:02:27"/>
    <x v="77"/>
    <x v="0"/>
    <s v="Buffalo"/>
    <x v="84"/>
    <n v="615860"/>
    <x v="2"/>
    <s v="Psychology; Philosophy"/>
    <s v="9781444128277"/>
    <s v=",1,2,3,22,23,24,22,23,22,22,22,22,16,16,16"/>
    <n v="7"/>
    <m/>
    <m/>
    <s v="No"/>
    <x v="0"/>
    <d v="2016-01-27T10:32:49"/>
    <n v="7"/>
    <s v="128.205.114.91"/>
    <s v="B808.9 .B528 2010"/>
    <n v="153"/>
    <d v="2013-11-26T00:00:00"/>
  </r>
  <r>
    <x v="310"/>
    <d v="1899-12-30T00:10:39"/>
    <x v="79"/>
    <x v="0"/>
    <s v="Buffalo"/>
    <x v="84"/>
    <n v="615860"/>
    <x v="2"/>
    <s v="Psychology; Philosophy"/>
    <s v="9781444128277"/>
    <s v=",21,22,23,24,25"/>
    <n v="5"/>
    <m/>
    <m/>
    <s v="No"/>
    <x v="0"/>
    <d v="2016-01-27T14:51:46"/>
    <n v="7"/>
    <s v="128.205.114.91"/>
    <s v="B808.9 .B528 2010"/>
    <n v="153"/>
    <d v="2013-11-26T00:00:00"/>
  </r>
  <r>
    <x v="311"/>
    <d v="1899-12-30T00:00:20"/>
    <x v="101"/>
    <x v="0"/>
    <s v="Buffalo"/>
    <x v="84"/>
    <n v="615860"/>
    <x v="2"/>
    <s v="Psychology; Philosophy"/>
    <s v="9781444128277"/>
    <s v=",13,14,13,14,15,11,15"/>
    <n v="4"/>
    <m/>
    <m/>
    <s v="Yes"/>
    <x v="0"/>
    <d v="2016-01-27T14:45:09"/>
    <n v="7"/>
    <s v="128.205.114.91"/>
    <s v="B808.9 .B528 2010"/>
    <n v="153"/>
    <d v="2013-11-26T00:00:00"/>
  </r>
  <r>
    <x v="312"/>
    <d v="1899-12-30T00:00:57"/>
    <x v="101"/>
    <x v="0"/>
    <s v="Buffalo"/>
    <x v="84"/>
    <n v="615860"/>
    <x v="2"/>
    <s v="Psychology; Philosophy"/>
    <s v="9781444128277"/>
    <s v=",1,2,3,2,3,1,2,2,4,5,6,4,5,6,7,8,7,8,10,9,10,9,11,12,11,12"/>
    <n v="12"/>
    <m/>
    <m/>
    <s v="No"/>
    <x v="0"/>
    <d v="2016-01-27T14:45:09"/>
    <n v="7"/>
    <s v="128.205.114.91"/>
    <s v="B808.9 .B528 2010"/>
    <n v="153"/>
    <d v="2013-11-26T00:00:00"/>
  </r>
  <r>
    <x v="313"/>
    <d v="1899-12-30T00:00:00"/>
    <x v="101"/>
    <x v="0"/>
    <s v="Buffalo"/>
    <x v="84"/>
    <n v="615860"/>
    <x v="2"/>
    <s v="Psychology; Philosophy"/>
    <s v="9781444128277"/>
    <m/>
    <n v="0"/>
    <m/>
    <m/>
    <s v="Yes"/>
    <x v="0"/>
    <d v="2016-01-27T14:45:09"/>
    <n v="7"/>
    <s v="128.205.114.91"/>
    <s v="B808.9 .B528 2010"/>
    <n v="153"/>
    <d v="2013-11-26T00:00:00"/>
  </r>
  <r>
    <x v="314"/>
    <d v="1899-12-30T00:00:00"/>
    <x v="101"/>
    <x v="0"/>
    <s v="Buffalo"/>
    <x v="84"/>
    <n v="615860"/>
    <x v="2"/>
    <s v="Psychology; Philosophy"/>
    <s v="9781444128277"/>
    <m/>
    <n v="0"/>
    <m/>
    <m/>
    <s v="Yes"/>
    <x v="0"/>
    <d v="2016-01-27T14:45:09"/>
    <n v="7"/>
    <s v="128.205.114.91"/>
    <s v="B808.9 .B528 2010"/>
    <n v="153"/>
    <d v="2013-11-26T00:00:00"/>
  </r>
  <r>
    <x v="315"/>
    <d v="1899-12-30T00:00:00"/>
    <x v="101"/>
    <x v="0"/>
    <s v="Buffalo"/>
    <x v="84"/>
    <n v="615860"/>
    <x v="2"/>
    <s v="Psychology; Philosophy"/>
    <s v="9781444128277"/>
    <m/>
    <n v="0"/>
    <m/>
    <m/>
    <s v="No"/>
    <x v="0"/>
    <d v="2016-01-27T14:45:09"/>
    <n v="7"/>
    <s v="128.205.114.91"/>
    <s v="B808.9 .B528 2010"/>
    <n v="153"/>
    <d v="2013-11-26T00:00:00"/>
  </r>
  <r>
    <x v="316"/>
    <d v="1899-12-30T00:00:45"/>
    <x v="101"/>
    <x v="0"/>
    <s v="Buffalo"/>
    <x v="84"/>
    <n v="615860"/>
    <x v="2"/>
    <s v="Psychology; Philosophy"/>
    <s v="9781444128277"/>
    <s v=",1,2,3,2,3,2,1,2,4,4"/>
    <n v="4"/>
    <m/>
    <m/>
    <s v="No"/>
    <x v="1"/>
    <m/>
    <m/>
    <s v="128.205.114.91"/>
    <s v="B808.9 .B528 2010"/>
    <n v="153"/>
    <d v="2013-11-26T00:00:00"/>
  </r>
  <r>
    <x v="317"/>
    <d v="1899-12-30T00:10:41"/>
    <x v="79"/>
    <x v="0"/>
    <s v="Buffalo"/>
    <x v="84"/>
    <n v="615860"/>
    <x v="2"/>
    <s v="Psychology; Philosophy"/>
    <s v="9781444128277"/>
    <s v=",1,3,2,16,18,17,14,15,19,20"/>
    <n v="10"/>
    <m/>
    <m/>
    <s v="No"/>
    <x v="1"/>
    <m/>
    <m/>
    <s v="128.205.114.91"/>
    <s v="B808.9 .B528 2010"/>
    <n v="153"/>
    <d v="2013-11-26T00:00:00"/>
  </r>
  <r>
    <x v="318"/>
    <d v="1899-12-30T00:02:00"/>
    <x v="102"/>
    <x v="1"/>
    <s v="brockport"/>
    <x v="102"/>
    <n v="1358560"/>
    <x v="0"/>
    <s v="Fine Arts"/>
    <s v="9781118407523"/>
    <s v=",1,2,3,4,5,6,7,8,9,10,2,11,12,13,14,15,16,17,174,175,176,172,173,177,178,179,180,181,182,183"/>
    <n v="29"/>
    <m/>
    <m/>
    <s v="No"/>
    <x v="3"/>
    <m/>
    <m/>
    <s v="137.21.7.121"/>
    <s v="TR681.P67 .P384 2013"/>
    <n v="779.24"/>
    <d v="2013-08-21T00:00:00"/>
  </r>
  <r>
    <x v="319"/>
    <d v="1899-12-30T00:25:07"/>
    <x v="103"/>
    <x v="0"/>
    <s v="Buffalo"/>
    <x v="64"/>
    <n v="836614"/>
    <x v="9"/>
    <s v="Language/Linguistics"/>
    <s v="9781118315958"/>
    <s v=",1,2,3,4,7,12,13,14,10,11,15,16,17,18,19,14,20,21,22,23,24,25,26,27,28,29,30,31,31"/>
    <n v="27"/>
    <m/>
    <m/>
    <s v="No"/>
    <x v="0"/>
    <d v="2016-01-23T21:13:46"/>
    <n v="7"/>
    <s v="128.205.114.91"/>
    <s v="P217 -- .H346 2009eb"/>
    <n v="414"/>
    <d v="2011-12-15T00:00:00"/>
  </r>
  <r>
    <x v="320"/>
    <d v="1899-12-30T00:00:06"/>
    <x v="77"/>
    <x v="0"/>
    <s v="Buffalo"/>
    <x v="84"/>
    <n v="615860"/>
    <x v="2"/>
    <s v="Psychology; Philosophy"/>
    <s v="9781444128277"/>
    <s v=",22,12,16"/>
    <n v="3"/>
    <m/>
    <m/>
    <s v="No"/>
    <x v="0"/>
    <d v="2016-01-27T10:32:49"/>
    <n v="7"/>
    <s v="128.205.114.91"/>
    <s v="B808.9 .B528 2010"/>
    <n v="153"/>
    <d v="2013-11-26T00:00:00"/>
  </r>
  <r>
    <x v="321"/>
    <d v="1899-12-30T00:22:18"/>
    <x v="77"/>
    <x v="0"/>
    <s v="Buffalo"/>
    <x v="84"/>
    <n v="615860"/>
    <x v="2"/>
    <s v="Psychology; Philosophy"/>
    <s v="9781444128277"/>
    <s v=",1,2,3,1"/>
    <n v="3"/>
    <m/>
    <m/>
    <s v="No"/>
    <x v="1"/>
    <m/>
    <m/>
    <s v="128.205.114.91"/>
    <s v="B808.9 .B528 2010"/>
    <n v="153"/>
    <d v="2013-11-26T00:00:00"/>
  </r>
  <r>
    <x v="322"/>
    <d v="1899-12-30T00:00:13"/>
    <x v="104"/>
    <x v="0"/>
    <s v="Buffalo"/>
    <x v="103"/>
    <n v="865191"/>
    <x v="0"/>
    <s v="Social Science"/>
    <s v="9781118101681"/>
    <s v=",1,2,3,1"/>
    <n v="3"/>
    <m/>
    <m/>
    <s v="No"/>
    <x v="1"/>
    <m/>
    <m/>
    <s v="128.205.114.91"/>
    <s v="HT166 -- .Y565 2012eb"/>
    <s v="307.1/216; 307.1216; 307.1416"/>
    <d v="2012-02-21T00:00:00"/>
  </r>
  <r>
    <x v="323"/>
    <d v="1899-12-30T00:03:36"/>
    <x v="105"/>
    <x v="0"/>
    <s v="Buffalo"/>
    <x v="104"/>
    <n v="1569834"/>
    <x v="2"/>
    <s v="Fine Arts"/>
    <s v="9781317972471"/>
    <s v=",308,309,310,307,306,311,312,313,314,261,262,263,259,260"/>
    <n v="14"/>
    <m/>
    <s v=",261,262,263,264,308,309,310,311,312,313,314,315"/>
    <s v="Yes"/>
    <x v="2"/>
    <d v="2016-01-27T08:28:16"/>
    <n v="7"/>
    <s v="128.205.114.91"/>
    <s v="N6494.M64 -- M44 2005eb"/>
    <n v="709.04"/>
    <d v="2013-11-26T00:00:00"/>
  </r>
  <r>
    <x v="323"/>
    <d v="1899-12-30T00:00:00"/>
    <x v="105"/>
    <x v="0"/>
    <s v="Buffalo"/>
    <x v="104"/>
    <n v="1569834"/>
    <x v="2"/>
    <s v="Fine Arts"/>
    <s v="9781317972471"/>
    <m/>
    <n v="0"/>
    <m/>
    <m/>
    <s v="No"/>
    <x v="2"/>
    <d v="2016-01-27T08:28:16"/>
    <n v="7"/>
    <s v="128.205.114.91"/>
    <s v="N6494.M64 -- M44 2005eb"/>
    <n v="709.04"/>
    <d v="2013-11-26T00:00:00"/>
  </r>
  <r>
    <x v="324"/>
    <d v="1899-12-30T00:00:45"/>
    <x v="105"/>
    <x v="0"/>
    <s v="Buffalo"/>
    <x v="104"/>
    <n v="1569834"/>
    <x v="2"/>
    <s v="Fine Arts"/>
    <s v="9781317972471"/>
    <s v=",1,2,3"/>
    <n v="3"/>
    <m/>
    <m/>
    <s v="No"/>
    <x v="3"/>
    <m/>
    <m/>
    <s v="128.205.114.91"/>
    <s v="N6494.M64 -- M44 2005eb"/>
    <n v="709.04"/>
    <d v="2013-11-26T00:00:00"/>
  </r>
  <r>
    <x v="325"/>
    <d v="1899-12-30T00:01:25"/>
    <x v="106"/>
    <x v="0"/>
    <s v="Buffalo"/>
    <x v="105"/>
    <n v="1775206"/>
    <x v="0"/>
    <s v="Engineering: Environmental; Engineering"/>
    <s v="9781118845356"/>
    <s v=",1,2,3,27,28,29,25,26,30,31,32,33,34,35,36,37,38,39,40,41"/>
    <n v="20"/>
    <m/>
    <m/>
    <s v="No"/>
    <x v="3"/>
    <m/>
    <m/>
    <s v="128.205.114.91"/>
    <s v="TD192 -- .N354 2014eb"/>
    <s v="628.028/4"/>
    <d v="2014-08-25T00:00:00"/>
  </r>
  <r>
    <x v="326"/>
    <d v="1899-12-30T00:06:36"/>
    <x v="77"/>
    <x v="0"/>
    <s v="Buffalo"/>
    <x v="84"/>
    <n v="615860"/>
    <x v="2"/>
    <s v="Psychology; Philosophy"/>
    <s v="9781444128277"/>
    <s v=",1,2,3,1,2,16,17,18,19,20,21,22,23,24,25,26,27,28,29"/>
    <n v="17"/>
    <m/>
    <m/>
    <s v="No"/>
    <x v="1"/>
    <m/>
    <m/>
    <s v="128.205.114.91"/>
    <s v="B808.9 .B528 2010"/>
    <n v="153"/>
    <d v="2013-11-26T00:00:00"/>
  </r>
  <r>
    <x v="327"/>
    <d v="1899-12-30T00:00:00"/>
    <x v="105"/>
    <x v="0"/>
    <s v="Buffalo"/>
    <x v="106"/>
    <n v="1397236"/>
    <x v="2"/>
    <s v="Fine Arts"/>
    <s v="9781135871451"/>
    <m/>
    <n v="0"/>
    <m/>
    <m/>
    <s v="Yes"/>
    <x v="2"/>
    <d v="2016-01-27T06:20:08"/>
    <n v="7"/>
    <s v="128.205.114.91"/>
    <s v="N7480 -- .E46 2005eb"/>
    <n v="701.18"/>
    <d v="2013-09-13T00:00:00"/>
  </r>
  <r>
    <x v="327"/>
    <d v="1899-12-30T00:00:00"/>
    <x v="105"/>
    <x v="0"/>
    <s v="Buffalo"/>
    <x v="106"/>
    <n v="1397236"/>
    <x v="2"/>
    <s v="Fine Arts"/>
    <s v="9781135871451"/>
    <m/>
    <n v="0"/>
    <m/>
    <m/>
    <s v="No"/>
    <x v="2"/>
    <d v="2016-01-27T06:20:08"/>
    <n v="7"/>
    <s v="128.205.114.91"/>
    <s v="N7480 -- .E46 2005eb"/>
    <n v="701.18"/>
    <d v="2013-09-13T00:00:00"/>
  </r>
  <r>
    <x v="328"/>
    <d v="1899-12-30T00:00:27"/>
    <x v="105"/>
    <x v="0"/>
    <s v="Buffalo"/>
    <x v="106"/>
    <n v="1397236"/>
    <x v="2"/>
    <s v="Fine Arts"/>
    <s v="9781135871451"/>
    <s v=",1,2,3"/>
    <n v="3"/>
    <m/>
    <m/>
    <s v="No"/>
    <x v="3"/>
    <m/>
    <m/>
    <s v="128.205.114.91"/>
    <s v="N7480 -- .E46 2005eb"/>
    <n v="701.18"/>
    <d v="2013-09-13T00:00:00"/>
  </r>
  <r>
    <x v="329"/>
    <d v="1899-12-30T00:16:40"/>
    <x v="107"/>
    <x v="0"/>
    <s v="Buffalo"/>
    <x v="17"/>
    <n v="3059079"/>
    <x v="0"/>
    <s v="Science; Science: Physics"/>
    <s v="9781118473818"/>
    <s v=",1,2,3,4,5,6,7,8,9,10,11,24,34,35,36,32,33,37,1411,1412,1413,1410,1409,1408,1407,38"/>
    <n v="26"/>
    <m/>
    <m/>
    <s v="No"/>
    <x v="2"/>
    <d v="2016-01-27T04:01:27"/>
    <n v="1"/>
    <s v="128.205.114.91"/>
    <s v="QC21.3 -- .H35 2014eb"/>
    <n v="530"/>
    <d v="2013-05-07T00:00:00"/>
  </r>
  <r>
    <x v="330"/>
    <d v="1899-12-30T00:49:39"/>
    <x v="107"/>
    <x v="0"/>
    <s v="Buffalo"/>
    <x v="17"/>
    <n v="3059079"/>
    <x v="0"/>
    <s v="Science; Science: Physics"/>
    <s v="9781118473818"/>
    <s v=",1,2,3,4,5,6,7,5,6,7,1,4,5,6,2,3,1,3,4,5,2"/>
    <n v="7"/>
    <m/>
    <m/>
    <s v="No"/>
    <x v="3"/>
    <m/>
    <m/>
    <s v="128.205.114.91"/>
    <s v="QC21.3 -- .H35 2014eb"/>
    <n v="530"/>
    <d v="2013-05-07T00:00:00"/>
  </r>
  <r>
    <x v="331"/>
    <d v="1899-12-30T00:00:20"/>
    <x v="107"/>
    <x v="0"/>
    <s v="Buffalo"/>
    <x v="17"/>
    <n v="3059079"/>
    <x v="0"/>
    <s v="Science; Science: Physics"/>
    <s v="9781118473818"/>
    <s v=",1,2,3,1,3,4,5,2"/>
    <n v="5"/>
    <m/>
    <m/>
    <s v="No"/>
    <x v="3"/>
    <m/>
    <m/>
    <s v="128.205.114.91"/>
    <s v="QC21.3 -- .H35 2014eb"/>
    <n v="530"/>
    <d v="2013-05-07T00:00:00"/>
  </r>
  <r>
    <x v="332"/>
    <d v="1899-12-30T00:00:44"/>
    <x v="107"/>
    <x v="0"/>
    <s v="Buffalo"/>
    <x v="17"/>
    <n v="3059079"/>
    <x v="0"/>
    <s v="Science; Science: Physics"/>
    <s v="9781118473818"/>
    <s v=",1,2,3,1,90"/>
    <n v="4"/>
    <m/>
    <m/>
    <s v="No"/>
    <x v="3"/>
    <m/>
    <m/>
    <s v="128.205.114.91"/>
    <s v="QC21.3 -- .H35 2014eb"/>
    <n v="530"/>
    <d v="2013-05-07T00:00:00"/>
  </r>
  <r>
    <x v="333"/>
    <d v="1899-12-30T00:00:10"/>
    <x v="83"/>
    <x v="3"/>
    <s v="canton"/>
    <x v="107"/>
    <n v="4000670"/>
    <x v="4"/>
    <m/>
    <s v="9781462523740"/>
    <s v=",1,3,2"/>
    <n v="3"/>
    <m/>
    <m/>
    <s v="No"/>
    <x v="3"/>
    <m/>
    <m/>
    <s v="137.37.33.33"/>
    <m/>
    <m/>
    <d v="2015-12-01T00:00:00"/>
  </r>
  <r>
    <x v="334"/>
    <d v="1899-12-30T00:00:00"/>
    <x v="108"/>
    <x v="0"/>
    <s v="Buffalo"/>
    <x v="23"/>
    <n v="1120063"/>
    <x v="0"/>
    <s v="Architecture"/>
    <s v="9781118418932"/>
    <m/>
    <n v="0"/>
    <m/>
    <m/>
    <s v="Yes"/>
    <x v="0"/>
    <d v="2016-01-27T01:32:37"/>
    <n v="7"/>
    <s v="128.205.114.91"/>
    <s v="NA2540.5 -- .L34 2013eb"/>
    <n v="720.28"/>
    <d v="2013-01-29T00:00:00"/>
  </r>
  <r>
    <x v="334"/>
    <d v="1899-12-30T00:00:00"/>
    <x v="108"/>
    <x v="0"/>
    <s v="Buffalo"/>
    <x v="23"/>
    <n v="1120063"/>
    <x v="0"/>
    <s v="Architecture"/>
    <s v="9781118418932"/>
    <m/>
    <n v="0"/>
    <m/>
    <m/>
    <s v="No"/>
    <x v="0"/>
    <d v="2016-01-27T01:32:37"/>
    <n v="7"/>
    <s v="128.205.114.91"/>
    <s v="NA2540.5 -- .L34 2013eb"/>
    <n v="720.28"/>
    <d v="2013-01-29T00:00:00"/>
  </r>
  <r>
    <x v="335"/>
    <d v="1899-12-30T00:01:28"/>
    <x v="108"/>
    <x v="0"/>
    <s v="Buffalo"/>
    <x v="23"/>
    <n v="1120063"/>
    <x v="0"/>
    <s v="Architecture"/>
    <s v="9781118418932"/>
    <s v=",1,2,3,1,2"/>
    <n v="3"/>
    <m/>
    <m/>
    <s v="No"/>
    <x v="1"/>
    <m/>
    <m/>
    <s v="128.205.114.91"/>
    <s v="NA2540.5 -- .L34 2013eb"/>
    <n v="720.28"/>
    <d v="2013-01-29T00:00:00"/>
  </r>
  <r>
    <x v="336"/>
    <d v="1899-12-30T00:03:14"/>
    <x v="109"/>
    <x v="0"/>
    <s v="Buffalo"/>
    <x v="108"/>
    <n v="1524130"/>
    <x v="2"/>
    <s v="Education"/>
    <s v="9781136276804"/>
    <s v=",6,7,8,9,10,11,12,13,14,15,17,18,19,13,20"/>
    <n v="14"/>
    <s v=",3,16"/>
    <m/>
    <s v="No"/>
    <x v="2"/>
    <d v="2016-01-27T01:24:20"/>
    <n v="1"/>
    <s v="128.205.114.91"/>
    <s v="LB1620.5 -- .D83 2014eb"/>
    <n v="378.161"/>
    <d v="2013-10-30T00:00:00"/>
  </r>
  <r>
    <x v="337"/>
    <d v="1899-12-30T00:00:35"/>
    <x v="109"/>
    <x v="0"/>
    <s v="Buffalo"/>
    <x v="108"/>
    <n v="1524130"/>
    <x v="2"/>
    <s v="Education"/>
    <s v="9781136276804"/>
    <s v=",1,2,3,4,5"/>
    <n v="5"/>
    <m/>
    <m/>
    <s v="No"/>
    <x v="3"/>
    <m/>
    <m/>
    <s v="128.205.114.91"/>
    <s v="LB1620.5 -- .D83 2014eb"/>
    <n v="378.161"/>
    <d v="2013-10-30T00:00:00"/>
  </r>
  <r>
    <x v="338"/>
    <d v="1899-12-30T00:00:04"/>
    <x v="36"/>
    <x v="0"/>
    <s v="Buffalo"/>
    <x v="76"/>
    <n v="4004181"/>
    <x v="5"/>
    <m/>
    <s v="9781479846757"/>
    <s v=",1,2,3"/>
    <n v="3"/>
    <m/>
    <m/>
    <s v="No"/>
    <x v="3"/>
    <m/>
    <m/>
    <s v="128.205.114.91"/>
    <m/>
    <m/>
    <d v="2015-10-30T00:00:00"/>
  </r>
  <r>
    <x v="339"/>
    <d v="1899-12-30T00:00:37"/>
    <x v="13"/>
    <x v="0"/>
    <s v="Buffalo"/>
    <x v="109"/>
    <n v="1273192"/>
    <x v="2"/>
    <s v="Political Science"/>
    <s v="9781315065670"/>
    <s v=",1,2,3,4,5,6,8,9,10,11,7"/>
    <n v="11"/>
    <m/>
    <m/>
    <s v="No"/>
    <x v="3"/>
    <m/>
    <m/>
    <s v="128.205.114.91"/>
    <s v="JV51 -- .M46 2003eb"/>
    <s v="325.3; 325/.3"/>
    <d v="2013-07-01T00:00:00"/>
  </r>
  <r>
    <x v="340"/>
    <d v="1899-12-30T01:45:15"/>
    <x v="53"/>
    <x v="5"/>
    <s v="erie"/>
    <x v="58"/>
    <n v="822062"/>
    <x v="0"/>
    <s v="Political Science; Literature; Fiction"/>
    <s v="9780857083272"/>
    <s v=",44,45,46,47,48,49,50,51,52,53,54,55,56,57,58,58,1,59,60,56,57,61,2,62,63,64,65,66,67,68,69,70,71,72,73,74,75"/>
    <n v="34"/>
    <m/>
    <m/>
    <s v="No"/>
    <x v="0"/>
    <d v="2016-01-27T00:25:17"/>
    <n v="7"/>
    <s v="199.29.6.54"/>
    <s v="PA4279 -- .R4 2012eb"/>
    <s v="321.07; 321/.07"/>
    <d v="2012-04-26T00:00:00"/>
  </r>
  <r>
    <x v="341"/>
    <d v="1899-12-30T00:00:03"/>
    <x v="13"/>
    <x v="0"/>
    <s v="Buffalo"/>
    <x v="110"/>
    <n v="865178"/>
    <x v="0"/>
    <s v="Economics; Business/Management"/>
    <s v="9781444362367"/>
    <s v=",1,2,3"/>
    <n v="3"/>
    <m/>
    <m/>
    <s v="No"/>
    <x v="1"/>
    <m/>
    <m/>
    <s v="128.205.114.91"/>
    <s v="HF1025 -- .W582 2012eb"/>
    <n v="330.9"/>
    <d v="2012-02-06T00:00:00"/>
  </r>
  <r>
    <x v="342"/>
    <d v="1899-12-30T00:52:47"/>
    <x v="53"/>
    <x v="5"/>
    <s v="erie"/>
    <x v="58"/>
    <n v="822062"/>
    <x v="0"/>
    <s v="Political Science; Literature; Fiction"/>
    <s v="9780857083272"/>
    <s v=",1,2,3,33,34,35,31,32,36,37,38,39,40,41,42,43"/>
    <n v="16"/>
    <m/>
    <m/>
    <s v="No"/>
    <x v="1"/>
    <m/>
    <m/>
    <s v="199.29.6.54"/>
    <s v="PA4279 -- .R4 2012eb"/>
    <s v="321.07; 321/.07"/>
    <d v="2012-04-26T00:00:00"/>
  </r>
  <r>
    <x v="343"/>
    <d v="1899-12-30T00:00:16"/>
    <x v="110"/>
    <x v="1"/>
    <s v="brockport"/>
    <x v="1"/>
    <n v="1684620"/>
    <x v="0"/>
    <s v="Health; Social Science"/>
    <s v="9781118418925"/>
    <s v=",2,2"/>
    <n v="1"/>
    <m/>
    <m/>
    <s v="Yes"/>
    <x v="0"/>
    <d v="2016-01-26T18:20:49"/>
    <n v="7"/>
    <s v="137.21.7.121"/>
    <s v="RA971 -- .S56 2014eb"/>
    <n v="362.10680000000002"/>
    <d v="2014-04-30T00:00:00"/>
  </r>
  <r>
    <x v="344"/>
    <d v="1899-12-30T00:00:07"/>
    <x v="110"/>
    <x v="1"/>
    <s v="brockport"/>
    <x v="1"/>
    <n v="1684620"/>
    <x v="0"/>
    <s v="Health; Social Science"/>
    <s v="9781118418925"/>
    <s v=",1,2,2,3,1,3"/>
    <n v="3"/>
    <m/>
    <m/>
    <s v="No"/>
    <x v="0"/>
    <d v="2016-01-26T18:20:49"/>
    <n v="7"/>
    <s v="137.21.7.121"/>
    <s v="RA971 -- .S56 2014eb"/>
    <n v="362.10680000000002"/>
    <d v="2014-04-30T00:00:00"/>
  </r>
  <r>
    <x v="345"/>
    <d v="1899-12-30T00:00:37"/>
    <x v="111"/>
    <x v="0"/>
    <s v="Buffalo"/>
    <x v="4"/>
    <n v="699526"/>
    <x v="0"/>
    <s v="Science; Computer Science/IT"/>
    <s v="9781118586006"/>
    <s v=",1,2,3,1,237"/>
    <n v="4"/>
    <m/>
    <s v="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"/>
    <s v="No"/>
    <x v="0"/>
    <d v="2016-01-26T22:18:50"/>
    <n v="7"/>
    <s v="128.205.114.91"/>
    <s v="Q327 -- .D83 2001eb"/>
    <n v="6.4"/>
    <d v="2012-11-09T00:00:00"/>
  </r>
  <r>
    <x v="346"/>
    <d v="1899-12-30T00:00:00"/>
    <x v="111"/>
    <x v="0"/>
    <s v="Buffalo"/>
    <x v="4"/>
    <n v="699526"/>
    <x v="0"/>
    <s v="Science; Computer Science/IT"/>
    <s v="9781118586006"/>
    <m/>
    <n v="0"/>
    <m/>
    <s v=",5,6,7,8,9,10,11,12,13,14,15,16,17,18,19,20,21,22,23,24,25,25,25,26,27,28,29,30,31,32,33,33,33,34,35,36,37,38,38,38,39,39,39,40,40,40,41,41,41,41,42,43"/>
    <s v="No"/>
    <x v="0"/>
    <d v="2016-01-26T22:18:50"/>
    <n v="7"/>
    <s v="128.205.114.91"/>
    <s v="Q327 -- .D83 2001eb"/>
    <n v="6.4"/>
    <d v="2012-11-09T00:00:00"/>
  </r>
  <r>
    <x v="347"/>
    <d v="1899-12-30T00:00:27"/>
    <x v="111"/>
    <x v="0"/>
    <s v="Buffalo"/>
    <x v="4"/>
    <n v="699526"/>
    <x v="0"/>
    <s v="Science; Computer Science/IT"/>
    <s v="9781118586006"/>
    <s v=",1,2,3,1,5"/>
    <n v="4"/>
    <m/>
    <m/>
    <s v="No"/>
    <x v="1"/>
    <m/>
    <m/>
    <s v="128.205.114.91"/>
    <s v="Q327 -- .D83 2001eb"/>
    <n v="6.4"/>
    <d v="2012-11-09T00:00:00"/>
  </r>
  <r>
    <x v="348"/>
    <d v="1899-12-30T00:09:54"/>
    <x v="14"/>
    <x v="1"/>
    <s v="brockport"/>
    <x v="11"/>
    <n v="693176"/>
    <x v="0"/>
    <s v="Engineering: Manufacturing; General Works/Reference; Engineering"/>
    <s v="9781118017746"/>
    <s v=",27,28,29,30,31,32,33,34,35,36,37,38,39,40"/>
    <n v="14"/>
    <m/>
    <m/>
    <s v="No"/>
    <x v="0"/>
    <d v="2016-01-26T22:11:59"/>
    <n v="7"/>
    <s v="137.21.7.121"/>
    <s v="Z246 -- .M43 2012eb"/>
    <s v="686.2/209"/>
    <d v="2011-10-19T00:00:00"/>
  </r>
  <r>
    <x v="349"/>
    <d v="1899-12-30T00:00:00"/>
    <x v="112"/>
    <x v="0"/>
    <s v="Buffalo"/>
    <x v="111"/>
    <n v="1166322"/>
    <x v="0"/>
    <s v="Architecture"/>
    <s v="9781118418512"/>
    <m/>
    <n v="0"/>
    <m/>
    <s v=",325,325,326,327,328,328,329,330,330,331,332,333,334,335,335,336,337,338,339,340,341,341,342,343,344,345,346,347,348,349,350,351,352,353,354,355,356,357,358,359,360,361,361,362,362,363,364,365,366,367,368,368,368,369,370,371,372,372,373,374,375,375,376,377,378,379,380,381,382,383,384,385,386,387,388,389,390"/>
    <s v="Yes"/>
    <x v="0"/>
    <d v="2016-01-26T17:45:17"/>
    <n v="7"/>
    <s v="128.205.114.91"/>
    <s v="NA2000 -- .G76 2013eb"/>
    <n v="720.072"/>
    <d v="2013-04-03T00:00:00"/>
  </r>
  <r>
    <x v="350"/>
    <d v="1899-12-30T00:00:03"/>
    <x v="112"/>
    <x v="0"/>
    <s v="Buffalo"/>
    <x v="111"/>
    <n v="1166322"/>
    <x v="0"/>
    <s v="Architecture"/>
    <s v="9781118418512"/>
    <s v=",1,2,3"/>
    <n v="3"/>
    <m/>
    <m/>
    <s v="No"/>
    <x v="0"/>
    <d v="2016-01-26T17:45:17"/>
    <n v="7"/>
    <s v="128.205.114.91"/>
    <s v="NA2000 -- .G76 2013eb"/>
    <n v="720.072"/>
    <d v="2013-04-03T00:00:00"/>
  </r>
  <r>
    <x v="351"/>
    <d v="1899-12-30T00:00:24"/>
    <x v="113"/>
    <x v="0"/>
    <s v="Buffalo"/>
    <x v="112"/>
    <n v="694178"/>
    <x v="0"/>
    <s v="Social Science; Fine Arts"/>
    <s v="9780632057528"/>
    <s v=",1,2,1,2,3,3,2,2,4,4"/>
    <n v="4"/>
    <m/>
    <m/>
    <s v="No"/>
    <x v="3"/>
    <m/>
    <m/>
    <s v="128.205.114.91"/>
    <s v="TT497 -- .W33 2004eb"/>
    <n v="391"/>
    <d v="2013-09-03T00:00:00"/>
  </r>
  <r>
    <x v="352"/>
    <d v="1899-12-30T00:13:55"/>
    <x v="14"/>
    <x v="1"/>
    <s v="brockport"/>
    <x v="11"/>
    <n v="693176"/>
    <x v="0"/>
    <s v="Engineering: Manufacturing; General Works/Reference; Engineering"/>
    <s v="9781118017746"/>
    <s v=",1,2,3,22,23,24,20,21,22,23,24,20,21,25,26"/>
    <n v="10"/>
    <m/>
    <m/>
    <s v="No"/>
    <x v="1"/>
    <m/>
    <m/>
    <s v="137.21.7.121"/>
    <s v="Z246 -- .M43 2012eb"/>
    <s v="686.2/209"/>
    <d v="2011-10-19T00:00:00"/>
  </r>
  <r>
    <x v="353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354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355"/>
    <d v="1899-12-30T00:00:11"/>
    <x v="114"/>
    <x v="0"/>
    <s v="Buffalo"/>
    <x v="113"/>
    <n v="1461033"/>
    <x v="2"/>
    <s v="Philosophy"/>
    <s v="9781135205263"/>
    <s v=",44"/>
    <n v="1"/>
    <s v=",44"/>
    <s v=",44,45,46,47,48,49,50,51,52,53,54,55,56,57,58,59,60,61"/>
    <s v="No"/>
    <x v="2"/>
    <d v="2016-01-26T21:40:28"/>
    <n v="1"/>
    <s v="128.205.114.91"/>
    <s v="BJ19 -- .T87 2000eb"/>
    <n v="170"/>
    <d v="2013-10-08T00:00:00"/>
  </r>
  <r>
    <x v="356"/>
    <d v="1899-12-30T00:01:26"/>
    <x v="114"/>
    <x v="0"/>
    <s v="Buffalo"/>
    <x v="113"/>
    <n v="1461033"/>
    <x v="2"/>
    <s v="Philosophy"/>
    <s v="9781135205263"/>
    <s v=",1,2,2,1,3,3,44,44,45,46,45,46,42,43,43,6,6,7,7,8,8,4,5,5,2,9,9,10,11,11,10,12,12,10,44"/>
    <n v="17"/>
    <m/>
    <m/>
    <s v="No"/>
    <x v="3"/>
    <m/>
    <m/>
    <s v="128.205.114.91"/>
    <s v="BJ19 -- .T87 2000eb"/>
    <n v="170"/>
    <d v="2013-10-08T00:00:00"/>
  </r>
  <r>
    <x v="357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358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359"/>
    <d v="1899-12-30T00:00:00"/>
    <x v="91"/>
    <x v="1"/>
    <s v="brockport"/>
    <x v="1"/>
    <n v="1684620"/>
    <x v="0"/>
    <s v="Health; Social Science"/>
    <s v="9781118418925"/>
    <m/>
    <n v="0"/>
    <m/>
    <m/>
    <s v="Yes"/>
    <x v="0"/>
    <d v="2016-01-26T21:34:36"/>
    <n v="7"/>
    <s v="137.21.7.121"/>
    <s v="RA971 -- .S56 2014eb"/>
    <n v="362.10680000000002"/>
    <d v="2014-04-30T00:00:00"/>
  </r>
  <r>
    <x v="359"/>
    <d v="1899-12-30T00:00:00"/>
    <x v="91"/>
    <x v="1"/>
    <s v="brockport"/>
    <x v="1"/>
    <n v="1684620"/>
    <x v="0"/>
    <s v="Health; Social Science"/>
    <s v="9781118418925"/>
    <m/>
    <n v="0"/>
    <m/>
    <m/>
    <s v="No"/>
    <x v="0"/>
    <d v="2016-01-26T21:34:36"/>
    <n v="7"/>
    <s v="137.21.7.121"/>
    <s v="RA971 -- .S56 2014eb"/>
    <n v="362.10680000000002"/>
    <d v="2014-04-30T00:00:00"/>
  </r>
  <r>
    <x v="360"/>
    <d v="1899-12-30T00:02:03"/>
    <x v="91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361"/>
    <d v="1899-12-30T00:00:09"/>
    <x v="13"/>
    <x v="0"/>
    <s v="Buffalo"/>
    <x v="114"/>
    <n v="1487047"/>
    <x v="2"/>
    <s v="Fine Arts"/>
    <s v="9781135200220"/>
    <s v=",1,2,3"/>
    <n v="3"/>
    <m/>
    <m/>
    <s v="No"/>
    <x v="3"/>
    <m/>
    <m/>
    <s v="128.205.114.91"/>
    <s v="PN1994 -- .J36 2012eb"/>
    <n v="791.43"/>
    <d v="2013-10-18T00:00:00"/>
  </r>
  <r>
    <x v="362"/>
    <d v="1899-12-30T00:02:27"/>
    <x v="115"/>
    <x v="0"/>
    <s v="Buffalo"/>
    <x v="115"/>
    <n v="1882098"/>
    <x v="3"/>
    <s v="History"/>
    <s v="9780520959187"/>
    <s v=",1,2,3,4,5,6,7,8,9,10,11,12,13,14,15,16,17,18,19,20,21,22,23,24,25,26,27,28,29,30,31,32,33,34,35,36,37,38,39,40,41,42,43,44,45,46,47,48,49,50,52,53,54,55,56,57,58,59,60,248,249,250,251,252,253,254,255,256,257,258,259,260,261,262,263,264,265,266,267,268"/>
    <n v="80"/>
    <m/>
    <m/>
    <s v="No"/>
    <x v="3"/>
    <m/>
    <m/>
    <s v="128.205.114.91"/>
    <s v="F2341.C257"/>
    <n v="987.06299999999999"/>
    <d v="2015-07-24T00:00:00"/>
  </r>
  <r>
    <x v="363"/>
    <d v="1899-12-30T00:00:05"/>
    <x v="13"/>
    <x v="0"/>
    <s v="Buffalo"/>
    <x v="116"/>
    <n v="3061340"/>
    <x v="2"/>
    <s v="Social Science"/>
    <s v="9780203723999"/>
    <s v=",1,404,405,406,402,403"/>
    <n v="6"/>
    <m/>
    <m/>
    <s v="No"/>
    <x v="3"/>
    <m/>
    <m/>
    <s v="128.205.114.91"/>
    <s v="HQ1190 -- .F48 1992eb"/>
    <s v="305.42/01"/>
    <d v="2013-10-01T00:00:00"/>
  </r>
  <r>
    <x v="364"/>
    <d v="1899-12-30T00:00:30"/>
    <x v="116"/>
    <x v="3"/>
    <s v="canton"/>
    <x v="117"/>
    <n v="306744"/>
    <x v="4"/>
    <s v="Medicine"/>
    <s v="9781593855109"/>
    <s v=",1,2,3,105,106,107,103,104"/>
    <n v="8"/>
    <m/>
    <m/>
    <s v="No"/>
    <x v="3"/>
    <m/>
    <m/>
    <s v="137.37.33.33"/>
    <s v="RC514 -- .M84 2006eb"/>
    <n v="616.89800000000002"/>
    <d v="2014-05-14T00:00:00"/>
  </r>
  <r>
    <x v="365"/>
    <d v="1899-12-30T00:00:03"/>
    <x v="117"/>
    <x v="4"/>
    <s v="monroe2boces"/>
    <x v="118"/>
    <n v="1809742"/>
    <x v="0"/>
    <s v="Sport &amp; Recreation"/>
    <s v="9781118968291"/>
    <s v=",1,1,2,2,3,3"/>
    <n v="3"/>
    <m/>
    <m/>
    <s v="No"/>
    <x v="1"/>
    <m/>
    <m/>
    <s v="216.226.127.171"/>
    <s v="GV1469.35.M535 -- .S739 2015eb"/>
    <n v="794.8"/>
    <d v="2014-09-29T00:00:00"/>
  </r>
  <r>
    <x v="366"/>
    <d v="1899-12-30T00:00:38"/>
    <x v="14"/>
    <x v="1"/>
    <s v="brockport"/>
    <x v="11"/>
    <n v="693176"/>
    <x v="0"/>
    <s v="Engineering: Manufacturing; General Works/Reference; Engineering"/>
    <s v="9781118017746"/>
    <s v=",1,2,3,4,5,18,19,20,16,17,21"/>
    <n v="11"/>
    <m/>
    <m/>
    <s v="No"/>
    <x v="1"/>
    <m/>
    <m/>
    <s v="137.21.7.121"/>
    <s v="Z246 -- .M43 2012eb"/>
    <s v="686.2/209"/>
    <d v="2011-10-19T00:00:00"/>
  </r>
  <r>
    <x v="367"/>
    <d v="1899-12-30T00:02:14"/>
    <x v="118"/>
    <x v="3"/>
    <s v="canton"/>
    <x v="119"/>
    <n v="1543734"/>
    <x v="11"/>
    <s v="Fine Arts"/>
    <s v="9780226002422"/>
    <s v=",1,2,3,4,12,13,14,10,11,15,16,17,18,19,8,9,10,36,37,38,34,35"/>
    <n v="21"/>
    <m/>
    <m/>
    <s v="No"/>
    <x v="3"/>
    <m/>
    <m/>
    <s v="137.37.33.33"/>
    <s v="ND550"/>
    <s v="759.4/36109041"/>
    <d v="2013-11-08T00:00:00"/>
  </r>
  <r>
    <x v="368"/>
    <d v="1899-12-30T00:00:09"/>
    <x v="110"/>
    <x v="1"/>
    <s v="brockport"/>
    <x v="1"/>
    <n v="1684620"/>
    <x v="0"/>
    <s v="Health; Social Science"/>
    <s v="9781118418925"/>
    <s v=",2,2"/>
    <n v="1"/>
    <m/>
    <m/>
    <s v="Yes"/>
    <x v="0"/>
    <d v="2016-01-26T18:20:49"/>
    <n v="7"/>
    <s v="137.21.7.121"/>
    <s v="RA971 -- .S56 2014eb"/>
    <n v="362.10680000000002"/>
    <d v="2014-04-30T00:00:00"/>
  </r>
  <r>
    <x v="368"/>
    <d v="1899-12-30T00:00:00"/>
    <x v="110"/>
    <x v="1"/>
    <s v="brockport"/>
    <x v="1"/>
    <n v="1684620"/>
    <x v="0"/>
    <s v="Health; Social Science"/>
    <s v="9781118418925"/>
    <m/>
    <n v="0"/>
    <m/>
    <m/>
    <s v="No"/>
    <x v="0"/>
    <d v="2016-01-26T18:20:49"/>
    <n v="7"/>
    <s v="137.21.7.121"/>
    <s v="RA971 -- .S56 2014eb"/>
    <n v="362.10680000000002"/>
    <d v="2014-04-30T00:00:00"/>
  </r>
  <r>
    <x v="369"/>
    <d v="1899-12-30T00:00:14"/>
    <x v="110"/>
    <x v="1"/>
    <s v="brockport"/>
    <x v="1"/>
    <n v="1684620"/>
    <x v="0"/>
    <s v="Health; Social Science"/>
    <s v="9781118418925"/>
    <s v=",1,2,2,1,3,3"/>
    <n v="3"/>
    <m/>
    <m/>
    <s v="No"/>
    <x v="1"/>
    <m/>
    <m/>
    <s v="137.21.7.121"/>
    <s v="RA971 -- .S56 2014eb"/>
    <n v="362.10680000000002"/>
    <d v="2014-04-30T00:00:00"/>
  </r>
  <r>
    <x v="370"/>
    <d v="1899-12-30T00:00:17"/>
    <x v="7"/>
    <x v="0"/>
    <s v="Buffalo"/>
    <x v="6"/>
    <n v="1635363"/>
    <x v="0"/>
    <s v="Law"/>
    <s v="9781118678206"/>
    <s v=",1,2,3,103,104,105,101,102"/>
    <n v="8"/>
    <m/>
    <m/>
    <s v="No"/>
    <x v="0"/>
    <d v="2016-01-26T00:10:14"/>
    <n v="7"/>
    <s v="128.205.114.91"/>
    <s v="KF285.Z9 -- H38 2014eb"/>
    <n v="340.07600000000002"/>
    <d v="2014-02-14T00:00:00"/>
  </r>
  <r>
    <x v="371"/>
    <d v="1899-12-30T00:04:15"/>
    <x v="112"/>
    <x v="0"/>
    <s v="Buffalo"/>
    <x v="111"/>
    <n v="1166322"/>
    <x v="0"/>
    <s v="Architecture"/>
    <s v="9781118418512"/>
    <s v=",329,391,392,393,390,388,389,387,361,362,363,359,360"/>
    <n v="13"/>
    <m/>
    <m/>
    <s v="Yes"/>
    <x v="0"/>
    <d v="2016-01-26T17:45:17"/>
    <n v="7"/>
    <s v="128.205.114.91"/>
    <s v="NA2000 -- .G76 2013eb"/>
    <n v="720.072"/>
    <d v="2013-04-03T00:00:00"/>
  </r>
  <r>
    <x v="371"/>
    <d v="1899-12-30T00:00:00"/>
    <x v="112"/>
    <x v="0"/>
    <s v="Buffalo"/>
    <x v="111"/>
    <n v="1166322"/>
    <x v="0"/>
    <s v="Architecture"/>
    <s v="9781118418512"/>
    <m/>
    <n v="0"/>
    <m/>
    <m/>
    <s v="No"/>
    <x v="0"/>
    <d v="2016-01-26T17:45:17"/>
    <n v="7"/>
    <s v="128.205.114.91"/>
    <s v="NA2000 -- .G76 2013eb"/>
    <n v="720.072"/>
    <d v="2013-04-03T00:00:00"/>
  </r>
  <r>
    <x v="372"/>
    <d v="1899-12-30T00:03:17"/>
    <x v="112"/>
    <x v="0"/>
    <s v="Buffalo"/>
    <x v="111"/>
    <n v="1166322"/>
    <x v="0"/>
    <s v="Architecture"/>
    <s v="9781118418512"/>
    <s v=",1,2,3,27,28,29,25,26,30,33,34,35,31,32,36,37,38,113,114,115,111,112,116,325,326,327,323,324,328"/>
    <n v="29"/>
    <m/>
    <m/>
    <s v="No"/>
    <x v="1"/>
    <m/>
    <m/>
    <s v="128.205.114.91"/>
    <s v="NA2000 -- .G76 2013eb"/>
    <n v="720.072"/>
    <d v="2013-04-03T00:00:00"/>
  </r>
  <r>
    <x v="373"/>
    <d v="1899-12-30T02:17:19"/>
    <x v="119"/>
    <x v="1"/>
    <s v="brockport"/>
    <x v="11"/>
    <n v="693176"/>
    <x v="0"/>
    <s v="Engineering: Manufacturing; General Works/Reference; Engineering"/>
    <s v="9781118017746"/>
    <s v=",1,2,2,3,3,1,2,2,22,23,24,20,21,23,21,22,24,25,25,26,27,28,27,28,29,30,31,31,29,26,30,32,33,32,34,34,35,35,36,37,38,38,33,7,8,7,37,5,9,6,6,8,9,36,22,23,24,20,21,25,26,27,28,23,28,23,28,29,30,31,26,31,32,33,27,26,28,31,26,31,32,33,28,33,34,35,36,37,38,39,40,35,34,40,39,33,32,37,38,39,40,34,39,40,41,42,41,42,44,43,45,45,43,44,46,47,47,46,48,48,49,50,50,51,49,51,52,47,46,45,40,34,52,35,36,37,38,39,40,41,42,37,42,43,44,45,39,44,45,46,47,48,49,50,51,46,45,43,44,42,41,46,47,42,41,46,47,48,49,50,45,44,49,44,49,44,49,50,51,52,46,51,46,51,52,53,54,48,49,53"/>
    <n v="43"/>
    <m/>
    <m/>
    <s v="No"/>
    <x v="0"/>
    <d v="2016-01-25T22:26:29"/>
    <n v="7"/>
    <s v="137.21.7.121"/>
    <s v="Z246 -- .M43 2012eb"/>
    <s v="686.2/209"/>
    <d v="2011-10-19T00:00:00"/>
  </r>
  <r>
    <x v="374"/>
    <d v="1899-12-30T00:00:00"/>
    <x v="120"/>
    <x v="0"/>
    <s v="Buffalo"/>
    <x v="84"/>
    <n v="615860"/>
    <x v="2"/>
    <s v="Psychology; Philosophy"/>
    <s v="9781444128277"/>
    <m/>
    <n v="0"/>
    <m/>
    <m/>
    <s v="Yes"/>
    <x v="0"/>
    <d v="2016-01-26T15:56:09"/>
    <n v="7"/>
    <s v="128.205.114.91"/>
    <s v="B808.9 .B528 2010"/>
    <n v="153"/>
    <d v="2013-11-26T00:00:00"/>
  </r>
  <r>
    <x v="375"/>
    <d v="1899-12-30T00:02:50"/>
    <x v="120"/>
    <x v="0"/>
    <s v="Buffalo"/>
    <x v="84"/>
    <n v="615860"/>
    <x v="2"/>
    <s v="Psychology; Philosophy"/>
    <s v="9781444128277"/>
    <s v=",1,23,7,22,23,23,38,23,24,24,24,24"/>
    <n v="6"/>
    <m/>
    <m/>
    <s v="Yes"/>
    <x v="0"/>
    <d v="2016-01-26T15:56:09"/>
    <n v="7"/>
    <s v="128.205.114.91"/>
    <s v="B808.9 .B528 2010"/>
    <n v="153"/>
    <d v="2013-11-26T00:00:00"/>
  </r>
  <r>
    <x v="375"/>
    <d v="1899-12-30T00:00:00"/>
    <x v="120"/>
    <x v="0"/>
    <s v="Buffalo"/>
    <x v="84"/>
    <n v="615860"/>
    <x v="2"/>
    <s v="Psychology; Philosophy"/>
    <s v="9781444128277"/>
    <m/>
    <n v="0"/>
    <m/>
    <m/>
    <s v="No"/>
    <x v="0"/>
    <d v="2016-01-26T15:56:09"/>
    <n v="7"/>
    <s v="128.205.114.91"/>
    <s v="B808.9 .B528 2010"/>
    <n v="153"/>
    <d v="2013-11-26T00:00:00"/>
  </r>
  <r>
    <x v="376"/>
    <d v="1899-12-30T00:00:44"/>
    <x v="120"/>
    <x v="0"/>
    <s v="Buffalo"/>
    <x v="84"/>
    <n v="615860"/>
    <x v="2"/>
    <s v="Psychology; Philosophy"/>
    <s v="9781444128277"/>
    <s v=",1,2,3"/>
    <n v="3"/>
    <m/>
    <m/>
    <s v="No"/>
    <x v="3"/>
    <m/>
    <m/>
    <s v="128.205.114.91"/>
    <s v="B808.9 .B528 2010"/>
    <n v="153"/>
    <d v="2013-11-26T00:00:00"/>
  </r>
  <r>
    <x v="377"/>
    <d v="1899-12-30T01:19:03"/>
    <x v="64"/>
    <x v="6"/>
    <s v="sjfc"/>
    <x v="75"/>
    <n v="1986951"/>
    <x v="0"/>
    <s v="Business/Management"/>
    <s v="9781119130468"/>
    <s v=",1,2,3,457,458,459,455,456,460,461,462,463,464,465,466,467,468,462,467,467,462,467,468,468,469,470,471,472,473,474,475,476,477,478,473,472,471,470,469,468,467,466,465,471,471,472,473,468,474,475,468,474,475,476,477,478,469,468,467,473,474,475,476,477,478"/>
    <n v="27"/>
    <s v=",464,469,469,471"/>
    <m/>
    <s v="No"/>
    <x v="0"/>
    <d v="2016-01-25T15:50:04"/>
    <n v="7"/>
    <s v="149.69.254.57"/>
    <s v="HF5661"/>
    <n v="657.07600000000002"/>
    <d v="2015-05-19T00:00:00"/>
  </r>
  <r>
    <x v="378"/>
    <d v="1899-12-30T00:00:03"/>
    <x v="64"/>
    <x v="6"/>
    <s v="sjfc"/>
    <x v="120"/>
    <n v="947579"/>
    <x v="0"/>
    <s v="Business/Management"/>
    <s v="9781118419632"/>
    <s v=",1,2,3"/>
    <n v="3"/>
    <m/>
    <m/>
    <s v="No"/>
    <x v="1"/>
    <m/>
    <m/>
    <s v="149.69.254.57"/>
    <s v="HF5667 .C67 2012"/>
    <n v="657.45"/>
    <d v="2012-11-28T00:00:00"/>
  </r>
  <r>
    <x v="379"/>
    <d v="1899-12-30T00:00:16"/>
    <x v="121"/>
    <x v="0"/>
    <s v="Buffalo"/>
    <x v="121"/>
    <n v="1757959"/>
    <x v="0"/>
    <s v="Mathematics; Social Science"/>
    <s v="9781118767023"/>
    <s v=",1,2,3,185,186,187,183,184"/>
    <n v="8"/>
    <m/>
    <m/>
    <s v="No"/>
    <x v="0"/>
    <d v="2016-01-25T15:32:07"/>
    <n v="7"/>
    <s v="128.205.114.91"/>
    <s v="HA31.2 .R43 2014"/>
    <s v="519.5; 519.52"/>
    <d v="2014-07-30T00:00:00"/>
  </r>
  <r>
    <x v="380"/>
    <d v="1899-12-30T00:06:25"/>
    <x v="7"/>
    <x v="0"/>
    <s v="Buffalo"/>
    <x v="6"/>
    <n v="1635363"/>
    <x v="0"/>
    <s v="Law"/>
    <s v="9781118678206"/>
    <s v=",1,2,3,1,2,3,103,104,103,105,104,105,101,102,102,2,106,106,107,107,102,107"/>
    <n v="10"/>
    <m/>
    <m/>
    <s v="No"/>
    <x v="0"/>
    <d v="2016-01-26T00:10:14"/>
    <n v="7"/>
    <s v="128.205.114.91"/>
    <s v="KF285.Z9 -- H38 2014eb"/>
    <n v="340.07600000000002"/>
    <d v="2014-02-14T00:00:00"/>
  </r>
  <r>
    <x v="381"/>
    <d v="1899-12-30T00:00:03"/>
    <x v="122"/>
    <x v="12"/>
    <s v="potsdam"/>
    <x v="122"/>
    <n v="1715305"/>
    <x v="4"/>
    <s v="Medicine"/>
    <s v="9781462516742"/>
    <s v=",1,11,12,13,9,10"/>
    <n v="6"/>
    <m/>
    <m/>
    <s v="No"/>
    <x v="0"/>
    <d v="2016-01-26T14:14:02"/>
    <n v="7"/>
    <s v="137.143.104.94"/>
    <s v="RJ499 -- .C455 2014eb"/>
    <n v="618.9289"/>
    <d v="2014-09-04T00:00:00"/>
  </r>
  <r>
    <x v="382"/>
    <d v="1899-12-30T00:05:57"/>
    <x v="123"/>
    <x v="4"/>
    <s v="monroe2boces"/>
    <x v="123"/>
    <n v="817860"/>
    <x v="0"/>
    <s v="Agriculture"/>
    <s v="9781118206362"/>
    <s v=",1,2,3,4,5,6,9,10,11,7,8,23,24,25,21,26,22,27,28,29,30,31,33,34,35,36,37,38"/>
    <n v="28"/>
    <m/>
    <m/>
    <s v="No"/>
    <x v="1"/>
    <m/>
    <m/>
    <s v="24.103.152.138"/>
    <s v="SF427 -- .H754 2012eb"/>
    <s v="636.7/07; 636.707"/>
    <d v="2012-01-31T00:00:00"/>
  </r>
  <r>
    <x v="383"/>
    <d v="1899-12-30T00:01:33"/>
    <x v="123"/>
    <x v="4"/>
    <s v="monroe2boces"/>
    <x v="123"/>
    <n v="817860"/>
    <x v="0"/>
    <s v="Agriculture"/>
    <s v="9781118206362"/>
    <s v=",1,2,3,4,5,6,10,11,7,8,9,14,15,16,17,13,18,19,20,12,5,6,7,8,9,10,11,12"/>
    <n v="20"/>
    <m/>
    <m/>
    <s v="No"/>
    <x v="1"/>
    <m/>
    <m/>
    <s v="24.103.152.138"/>
    <s v="SF427 -- .H754 2012eb"/>
    <s v="636.7/07; 636.707"/>
    <d v="2012-01-31T00:00:00"/>
  </r>
  <r>
    <x v="384"/>
    <d v="1899-12-30T00:25:58"/>
    <x v="122"/>
    <x v="12"/>
    <s v="potsdam"/>
    <x v="122"/>
    <n v="1715305"/>
    <x v="4"/>
    <s v="Medicine"/>
    <s v="9781462516742"/>
    <s v=",1,2,3,4,5,6,7,3,1,2,3,4,5,6,7,8,9,10,11"/>
    <n v="11"/>
    <m/>
    <m/>
    <s v="No"/>
    <x v="1"/>
    <m/>
    <m/>
    <s v="137.143.104.94"/>
    <s v="RJ499 -- .C455 2014eb"/>
    <n v="618.9289"/>
    <d v="2014-09-04T00:00:00"/>
  </r>
  <r>
    <x v="385"/>
    <d v="1899-12-30T00:02:01"/>
    <x v="13"/>
    <x v="0"/>
    <s v="Buffalo"/>
    <x v="7"/>
    <n v="1711065"/>
    <x v="3"/>
    <s v="Political Science; Social Science"/>
    <s v="9780520959156"/>
    <s v=",1,2,3,40,41,42,38,39,43,44,45,46,47,48,49,50,51,52,53,54,55,56,57,58,59,60,61,100,101,102,99,97,98,95,94,91"/>
    <n v="36"/>
    <m/>
    <m/>
    <s v="No"/>
    <x v="1"/>
    <m/>
    <m/>
    <s v="128.205.114.91"/>
    <s v="JV6450 -- .P67 2014eb"/>
    <s v="304.8/73"/>
    <d v="2014-08-30T00:00:00"/>
  </r>
  <r>
    <x v="386"/>
    <d v="1899-12-30T00:18:00"/>
    <x v="124"/>
    <x v="0"/>
    <s v="Buffalo"/>
    <x v="124"/>
    <n v="406013"/>
    <x v="4"/>
    <s v="Medicine"/>
    <s v="9781593858452"/>
    <s v=",1,2,3,16,17,18,14,15,19,20,21,22,23,24,27,28,29,30,26,31,2,32,33,34,35,36,31,37,38,39,40,41,42,43,44,45,46,47,48,49,50,51,52,53,54"/>
    <n v="43"/>
    <m/>
    <m/>
    <s v="No"/>
    <x v="2"/>
    <d v="2016-01-26T03:57:03"/>
    <n v="1"/>
    <s v="128.205.114.91"/>
    <s v="RJ503.5 -- .B43 2007eb"/>
    <n v="618.9289"/>
    <d v="2014-05-14T00:00:00"/>
  </r>
  <r>
    <x v="387"/>
    <d v="1899-12-30T00:00:45"/>
    <x v="120"/>
    <x v="0"/>
    <s v="Buffalo"/>
    <x v="84"/>
    <n v="615860"/>
    <x v="2"/>
    <s v="Psychology; Philosophy"/>
    <s v="9781444128277"/>
    <s v=",1,2,3,1"/>
    <n v="3"/>
    <m/>
    <m/>
    <s v="No"/>
    <x v="3"/>
    <m/>
    <m/>
    <s v="128.205.114.91"/>
    <s v="B808.9 .B528 2010"/>
    <n v="153"/>
    <d v="2013-11-26T00:00:00"/>
  </r>
  <r>
    <x v="388"/>
    <d v="1899-12-30T00:01:28"/>
    <x v="125"/>
    <x v="0"/>
    <s v="Buffalo"/>
    <x v="125"/>
    <n v="1221573"/>
    <x v="0"/>
    <s v="Business/Management; Philosophy"/>
    <s v="9781118658116"/>
    <s v=",1,2,3,4,326"/>
    <n v="5"/>
    <m/>
    <m/>
    <s v="No"/>
    <x v="1"/>
    <m/>
    <m/>
    <s v="128.205.114.91"/>
    <s v="HF5387 .B86626 2013"/>
    <n v="174.4"/>
    <d v="2013-06-19T00:00:00"/>
  </r>
  <r>
    <x v="389"/>
    <d v="1899-12-30T00:00:27"/>
    <x v="125"/>
    <x v="0"/>
    <s v="Buffalo"/>
    <x v="125"/>
    <n v="1221573"/>
    <x v="0"/>
    <s v="Business/Management; Philosophy"/>
    <s v="9781118658116"/>
    <s v=",1,2,3,4,6,5"/>
    <n v="6"/>
    <m/>
    <m/>
    <s v="No"/>
    <x v="1"/>
    <m/>
    <m/>
    <s v="128.205.114.91"/>
    <s v="HF5387 .B86626 2013"/>
    <n v="174.4"/>
    <d v="2013-06-19T00:00:00"/>
  </r>
  <r>
    <x v="390"/>
    <d v="1899-12-30T00:02:56"/>
    <x v="126"/>
    <x v="0"/>
    <s v="Buffalo"/>
    <x v="126"/>
    <n v="1124030"/>
    <x v="0"/>
    <s v="Engineering: Civil; Engineering"/>
    <s v="9781118639467"/>
    <s v=",1,2,3,4,19,20,21,17,18,22,23,24,269,270,271,267,268,272"/>
    <n v="18"/>
    <m/>
    <m/>
    <s v="No"/>
    <x v="3"/>
    <m/>
    <m/>
    <s v="128.205.114.91"/>
    <s v="TA683.2 -- .C37 2013eb"/>
    <n v="624.18340000000001"/>
    <d v="2013-02-13T00:00:00"/>
  </r>
  <r>
    <x v="391"/>
    <d v="1899-12-30T00:03:16"/>
    <x v="79"/>
    <x v="0"/>
    <s v="Buffalo"/>
    <x v="84"/>
    <n v="615860"/>
    <x v="2"/>
    <s v="Psychology; Philosophy"/>
    <s v="9781444128277"/>
    <s v=",6,7,8,9,10,11,12,13,14,15,16,17,18,19,20,21,22,23"/>
    <n v="18"/>
    <s v=",3"/>
    <m/>
    <s v="No"/>
    <x v="2"/>
    <d v="2016-01-26T07:28:16"/>
    <n v="1"/>
    <s v="128.205.114.91"/>
    <s v="B808.9 .B528 2010"/>
    <n v="153"/>
    <d v="2013-11-26T00:00:00"/>
  </r>
  <r>
    <x v="392"/>
    <d v="1899-12-30T00:02:09"/>
    <x v="79"/>
    <x v="0"/>
    <s v="Buffalo"/>
    <x v="84"/>
    <n v="615860"/>
    <x v="2"/>
    <s v="Psychology; Philosophy"/>
    <s v="9781444128277"/>
    <s v=",1,3,2,4,5"/>
    <n v="5"/>
    <m/>
    <m/>
    <s v="No"/>
    <x v="3"/>
    <m/>
    <m/>
    <s v="128.205.114.91"/>
    <s v="B808.9 .B528 2010"/>
    <n v="153"/>
    <d v="2013-11-26T00:00:00"/>
  </r>
  <r>
    <x v="393"/>
    <d v="1899-12-30T00:08:34"/>
    <x v="78"/>
    <x v="0"/>
    <s v="Buffalo"/>
    <x v="84"/>
    <n v="615860"/>
    <x v="2"/>
    <s v="Psychology; Philosophy"/>
    <s v="9781444128277"/>
    <s v=",12,16,17,18,14,15,22,12,4,13,7,9,19,10,11,8,20,21,23,24,22,23,24,21,20,16,17,18,14,15"/>
    <n v="19"/>
    <s v=",22"/>
    <m/>
    <s v="Yes"/>
    <x v="2"/>
    <d v="2016-01-26T06:40:30"/>
    <n v="1"/>
    <s v="128.205.114.91"/>
    <s v="B808.9 .B528 2010"/>
    <n v="153"/>
    <d v="2013-11-26T00:00:00"/>
  </r>
  <r>
    <x v="394"/>
    <d v="1899-12-30T00:02:54"/>
    <x v="78"/>
    <x v="0"/>
    <s v="Buffalo"/>
    <x v="84"/>
    <n v="615860"/>
    <x v="2"/>
    <s v="Psychology; Philosophy"/>
    <s v="9781444128277"/>
    <s v=",1,23,7,22,16,38"/>
    <n v="6"/>
    <s v=",1"/>
    <m/>
    <s v="No"/>
    <x v="2"/>
    <d v="2016-01-26T06:40:30"/>
    <n v="1"/>
    <s v="128.205.114.91"/>
    <s v="B808.9 .B528 2010"/>
    <n v="153"/>
    <d v="2013-11-26T00:00:00"/>
  </r>
  <r>
    <x v="395"/>
    <d v="1899-12-30T00:00:55"/>
    <x v="78"/>
    <x v="0"/>
    <s v="Buffalo"/>
    <x v="84"/>
    <n v="615860"/>
    <x v="2"/>
    <s v="Psychology; Philosophy"/>
    <s v="9781444128277"/>
    <s v=",1,2,3"/>
    <n v="3"/>
    <m/>
    <m/>
    <s v="No"/>
    <x v="3"/>
    <m/>
    <m/>
    <s v="128.205.114.91"/>
    <s v="B808.9 .B528 2010"/>
    <n v="153"/>
    <d v="2013-11-26T00:00:00"/>
  </r>
  <r>
    <x v="396"/>
    <d v="1899-12-30T00:00:00"/>
    <x v="77"/>
    <x v="0"/>
    <s v="Buffalo"/>
    <x v="84"/>
    <n v="615860"/>
    <x v="2"/>
    <s v="Psychology; Philosophy"/>
    <s v="9781444128277"/>
    <m/>
    <n v="0"/>
    <m/>
    <m/>
    <s v="Yes"/>
    <x v="2"/>
    <d v="2016-01-26T06:09:37"/>
    <n v="1"/>
    <s v="128.205.114.91"/>
    <s v="B808.9 .B528 2010"/>
    <n v="153"/>
    <d v="2013-11-26T00:00:00"/>
  </r>
  <r>
    <x v="397"/>
    <d v="1899-12-30T00:00:00"/>
    <x v="77"/>
    <x v="0"/>
    <s v="Buffalo"/>
    <x v="84"/>
    <n v="615860"/>
    <x v="2"/>
    <s v="Psychology; Philosophy"/>
    <s v="9781444128277"/>
    <m/>
    <n v="0"/>
    <m/>
    <m/>
    <s v="Yes"/>
    <x v="2"/>
    <d v="2016-01-26T06:09:37"/>
    <n v="1"/>
    <s v="128.205.114.91"/>
    <s v="B808.9 .B528 2010"/>
    <n v="153"/>
    <d v="2013-11-26T00:00:00"/>
  </r>
  <r>
    <x v="398"/>
    <d v="1899-12-30T00:00:00"/>
    <x v="77"/>
    <x v="0"/>
    <s v="Buffalo"/>
    <x v="84"/>
    <n v="615860"/>
    <x v="2"/>
    <s v="Psychology; Philosophy"/>
    <s v="9781444128277"/>
    <m/>
    <n v="0"/>
    <m/>
    <m/>
    <s v="Yes"/>
    <x v="2"/>
    <d v="2016-01-26T06:09:37"/>
    <n v="1"/>
    <s v="128.205.114.91"/>
    <s v="B808.9 .B528 2010"/>
    <n v="153"/>
    <d v="2013-11-26T00:00:00"/>
  </r>
  <r>
    <x v="399"/>
    <d v="1899-12-30T00:00:36"/>
    <x v="127"/>
    <x v="3"/>
    <s v="canton"/>
    <x v="127"/>
    <n v="1166311"/>
    <x v="0"/>
    <s v="Military Science"/>
    <s v="9781118525616"/>
    <s v=",1,2,3,4,5,6,7"/>
    <n v="7"/>
    <m/>
    <m/>
    <s v="No"/>
    <x v="1"/>
    <m/>
    <m/>
    <s v="137.37.33.33"/>
    <s v="U408.5 .P384 2013"/>
    <n v="355.00700000000001"/>
    <d v="2013-04-02T00:00:00"/>
  </r>
  <r>
    <x v="400"/>
    <d v="1899-12-30T00:03:45"/>
    <x v="77"/>
    <x v="0"/>
    <s v="Buffalo"/>
    <x v="84"/>
    <n v="615860"/>
    <x v="2"/>
    <s v="Psychology; Philosophy"/>
    <s v="9781444128277"/>
    <s v=",1,4,7,12,16,22,23,38,24"/>
    <n v="9"/>
    <s v=",1"/>
    <m/>
    <s v="No"/>
    <x v="2"/>
    <d v="2016-01-26T06:09:37"/>
    <n v="1"/>
    <s v="128.205.114.91"/>
    <s v="B808.9 .B528 2010"/>
    <n v="153"/>
    <d v="2013-11-26T00:00:00"/>
  </r>
  <r>
    <x v="401"/>
    <d v="1899-12-30T00:01:50"/>
    <x v="77"/>
    <x v="0"/>
    <s v="Buffalo"/>
    <x v="84"/>
    <n v="615860"/>
    <x v="2"/>
    <s v="Psychology; Philosophy"/>
    <s v="9781444128277"/>
    <s v=",1,2,3,4,5,6,7,8,9,10,11,12"/>
    <n v="12"/>
    <m/>
    <m/>
    <s v="No"/>
    <x v="3"/>
    <m/>
    <m/>
    <s v="128.205.114.91"/>
    <s v="B808.9 .B528 2010"/>
    <n v="153"/>
    <d v="2013-11-26T00:00:00"/>
  </r>
  <r>
    <x v="402"/>
    <d v="1899-12-30T00:14:28"/>
    <x v="0"/>
    <x v="0"/>
    <s v="Buffalo"/>
    <x v="0"/>
    <n v="1120290"/>
    <x v="0"/>
    <s v="Language/Linguistics"/>
    <s v="9781118347478"/>
    <s v=",34,35,36,37,38,39,40,41,1,41,42,43,39,40"/>
    <n v="11"/>
    <m/>
    <m/>
    <s v="No"/>
    <x v="0"/>
    <d v="2016-01-26T05:17:15"/>
    <n v="7"/>
    <s v="128.205.114.91"/>
    <s v="PE1133 .C34 2012"/>
    <n v="421"/>
    <d v="2012-07-11T00:00:00"/>
  </r>
  <r>
    <x v="403"/>
    <d v="1899-12-30T00:10:26"/>
    <x v="0"/>
    <x v="0"/>
    <s v="Buffalo"/>
    <x v="0"/>
    <n v="1120290"/>
    <x v="0"/>
    <s v="Language/Linguistics"/>
    <s v="9781118347478"/>
    <s v=",1,2,3,4,5,6,7,8,9,10,11,12,13,14,15,16,17,18,19,20,21,22,23,24,25,26,27,28,29,30,31,32,33"/>
    <n v="33"/>
    <m/>
    <m/>
    <s v="No"/>
    <x v="1"/>
    <m/>
    <m/>
    <s v="128.205.114.91"/>
    <s v="PE1133 .C34 2012"/>
    <n v="421"/>
    <d v="2012-07-11T00:00:00"/>
  </r>
  <r>
    <x v="404"/>
    <d v="1899-12-30T01:21:20"/>
    <x v="128"/>
    <x v="1"/>
    <s v="brockport"/>
    <x v="1"/>
    <n v="1684620"/>
    <x v="0"/>
    <s v="Health; Social Science"/>
    <s v="9781118418925"/>
    <s v=",1,4,5,6,7,8,9,10,11,13,12,14,15,16,17,18,19,20,21,22,23,24,25,26,27,28,29,30,31,32,33,34,35,36,37,38,39,40,41,42"/>
    <n v="40"/>
    <m/>
    <m/>
    <s v="Yes"/>
    <x v="0"/>
    <d v="2016-01-26T04:05:21"/>
    <n v="7"/>
    <s v="137.21.7.121"/>
    <s v="RA971 -- .S56 2014eb"/>
    <n v="362.10680000000002"/>
    <d v="2014-04-30T00:00:00"/>
  </r>
  <r>
    <x v="404"/>
    <d v="1899-12-30T00:00:00"/>
    <x v="128"/>
    <x v="1"/>
    <s v="brockport"/>
    <x v="1"/>
    <n v="1684620"/>
    <x v="0"/>
    <s v="Health; Social Science"/>
    <s v="9781118418925"/>
    <m/>
    <n v="0"/>
    <m/>
    <m/>
    <s v="No"/>
    <x v="0"/>
    <d v="2016-01-26T04:05:21"/>
    <n v="7"/>
    <s v="137.21.7.121"/>
    <s v="RA971 -- .S56 2014eb"/>
    <n v="362.10680000000002"/>
    <d v="2014-04-30T00:00:00"/>
  </r>
  <r>
    <x v="405"/>
    <d v="1899-12-30T00:00:16"/>
    <x v="128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406"/>
    <d v="1899-12-30T00:19:01"/>
    <x v="129"/>
    <x v="0"/>
    <s v="Buffalo"/>
    <x v="128"/>
    <n v="1895799"/>
    <x v="0"/>
    <s v="Science; Medicine; Science: Anatomy/Physiology"/>
    <s v="9781118953082"/>
    <s v=",109,111,110,108,107,112,113,114,115,116,117,118,119,120,121,122,123,124"/>
    <n v="18"/>
    <m/>
    <m/>
    <s v="No"/>
    <x v="0"/>
    <d v="2016-01-26T04:01:34"/>
    <n v="7"/>
    <s v="128.205.114.91"/>
    <s v="RK51 -- .D468 2015eb"/>
    <n v="612.31023617599999"/>
    <d v="2015-04-15T00:00:00"/>
  </r>
  <r>
    <x v="407"/>
    <d v="1899-12-30T00:00:35"/>
    <x v="129"/>
    <x v="0"/>
    <s v="Buffalo"/>
    <x v="128"/>
    <n v="1895799"/>
    <x v="0"/>
    <s v="Science; Medicine; Science: Anatomy/Physiology"/>
    <s v="9781118953082"/>
    <s v=",1,2,3"/>
    <n v="3"/>
    <m/>
    <m/>
    <s v="No"/>
    <x v="3"/>
    <m/>
    <m/>
    <s v="128.205.114.91"/>
    <s v="RK51 -- .D468 2015eb"/>
    <n v="612.31023617599999"/>
    <d v="2015-04-15T00:00:00"/>
  </r>
  <r>
    <x v="408"/>
    <d v="1899-12-30T01:25:44"/>
    <x v="124"/>
    <x v="0"/>
    <s v="Buffalo"/>
    <x v="124"/>
    <n v="406013"/>
    <x v="4"/>
    <s v="Medicine"/>
    <s v="9781593858452"/>
    <s v=",19,20,21,22,23,24,25,26,27,28,29,30,31,32,33"/>
    <n v="15"/>
    <m/>
    <m/>
    <s v="No"/>
    <x v="2"/>
    <d v="2016-01-26T03:57:03"/>
    <n v="1"/>
    <s v="128.205.114.91"/>
    <s v="RJ503.5 -- .B43 2007eb"/>
    <n v="618.9289"/>
    <d v="2014-05-14T00:00:00"/>
  </r>
  <r>
    <x v="409"/>
    <d v="1899-12-30T00:08:10"/>
    <x v="124"/>
    <x v="0"/>
    <s v="Buffalo"/>
    <x v="124"/>
    <n v="406013"/>
    <x v="4"/>
    <s v="Medicine"/>
    <s v="9781593858452"/>
    <s v=",1,2,3,16,17,18,15,14"/>
    <n v="8"/>
    <m/>
    <m/>
    <s v="No"/>
    <x v="3"/>
    <m/>
    <m/>
    <s v="128.205.114.91"/>
    <s v="RJ503.5 -- .B43 2007eb"/>
    <n v="618.9289"/>
    <d v="2014-05-14T00:00:00"/>
  </r>
  <r>
    <x v="410"/>
    <d v="1899-12-30T00:02:10"/>
    <x v="126"/>
    <x v="0"/>
    <s v="Buffalo"/>
    <x v="129"/>
    <n v="817848"/>
    <x v="0"/>
    <s v="Engineering; Engineering: Civil"/>
    <s v="9781118205624"/>
    <s v=",1,2,3,915,916,917,913,914,918,912,919,921,920"/>
    <n v="13"/>
    <m/>
    <m/>
    <s v="No"/>
    <x v="1"/>
    <m/>
    <m/>
    <s v="128.205.114.91"/>
    <s v="TA683.2 -- .H365 2012eb"/>
    <s v="624.1/8341"/>
    <d v="2012-04-20T00:00:00"/>
  </r>
  <r>
    <x v="411"/>
    <d v="1899-12-30T00:00:45"/>
    <x v="130"/>
    <x v="0"/>
    <s v="Buffalo"/>
    <x v="130"/>
    <n v="1411616"/>
    <x v="0"/>
    <s v="Engineering: Construction; Engineering"/>
    <s v="9781118419199"/>
    <s v=",1,2,3,327,328,329,325,326,330"/>
    <n v="9"/>
    <m/>
    <m/>
    <s v="No"/>
    <x v="3"/>
    <m/>
    <m/>
    <s v="128.205.114.91"/>
    <s v="TH145 -- .A417 2013eb"/>
    <n v="690"/>
    <d v="2013-09-20T00:00:00"/>
  </r>
  <r>
    <x v="412"/>
    <d v="1899-12-30T00:00:00"/>
    <x v="131"/>
    <x v="1"/>
    <s v="brockport"/>
    <x v="1"/>
    <n v="1684620"/>
    <x v="0"/>
    <s v="Health; Social Science"/>
    <s v="9781118418925"/>
    <m/>
    <n v="0"/>
    <m/>
    <m/>
    <s v="Yes"/>
    <x v="0"/>
    <d v="2016-01-26T01:47:37"/>
    <n v="7"/>
    <s v="137.21.7.121"/>
    <s v="RA971 -- .S56 2014eb"/>
    <n v="362.10680000000002"/>
    <d v="2014-04-30T00:00:00"/>
  </r>
  <r>
    <x v="413"/>
    <d v="1899-12-30T00:00:00"/>
    <x v="131"/>
    <x v="1"/>
    <s v="brockport"/>
    <x v="1"/>
    <n v="1684620"/>
    <x v="0"/>
    <s v="Health; Social Science"/>
    <s v="9781118418925"/>
    <m/>
    <n v="0"/>
    <m/>
    <m/>
    <s v="Yes"/>
    <x v="0"/>
    <d v="2016-01-26T01:47:37"/>
    <n v="7"/>
    <s v="137.21.7.121"/>
    <s v="RA971 -- .S56 2014eb"/>
    <n v="362.10680000000002"/>
    <d v="2014-04-30T00:00:00"/>
  </r>
  <r>
    <x v="413"/>
    <d v="1899-12-30T00:00:00"/>
    <x v="131"/>
    <x v="1"/>
    <s v="brockport"/>
    <x v="1"/>
    <n v="1684620"/>
    <x v="0"/>
    <s v="Health; Social Science"/>
    <s v="9781118418925"/>
    <m/>
    <n v="0"/>
    <m/>
    <m/>
    <s v="No"/>
    <x v="0"/>
    <d v="2016-01-26T01:47:37"/>
    <n v="7"/>
    <s v="137.21.7.121"/>
    <s v="RA971 -- .S56 2014eb"/>
    <n v="362.10680000000002"/>
    <d v="2014-04-30T00:00:00"/>
  </r>
  <r>
    <x v="414"/>
    <d v="1899-12-30T00:00:00"/>
    <x v="132"/>
    <x v="1"/>
    <s v="brockport"/>
    <x v="1"/>
    <n v="1684620"/>
    <x v="0"/>
    <s v="Health; Social Science"/>
    <s v="9781118418925"/>
    <m/>
    <n v="0"/>
    <m/>
    <m/>
    <s v="Yes"/>
    <x v="0"/>
    <d v="2016-01-26T01:47:33"/>
    <n v="7"/>
    <s v="137.21.7.121"/>
    <s v="RA971 -- .S56 2014eb"/>
    <n v="362.10680000000002"/>
    <d v="2014-04-30T00:00:00"/>
  </r>
  <r>
    <x v="414"/>
    <d v="1899-12-30T00:00:00"/>
    <x v="132"/>
    <x v="1"/>
    <s v="brockport"/>
    <x v="1"/>
    <n v="1684620"/>
    <x v="0"/>
    <s v="Health; Social Science"/>
    <s v="9781118418925"/>
    <m/>
    <n v="0"/>
    <m/>
    <m/>
    <s v="No"/>
    <x v="0"/>
    <d v="2016-01-26T01:47:33"/>
    <n v="7"/>
    <s v="137.21.7.121"/>
    <s v="RA971 -- .S56 2014eb"/>
    <n v="362.10680000000002"/>
    <d v="2014-04-30T00:00:00"/>
  </r>
  <r>
    <x v="415"/>
    <d v="1899-12-30T00:00:16"/>
    <x v="132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416"/>
    <d v="1899-12-30T00:00:23"/>
    <x v="131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417"/>
    <d v="1899-12-30T00:00:33"/>
    <x v="133"/>
    <x v="1"/>
    <s v="brockport"/>
    <x v="1"/>
    <n v="1684620"/>
    <x v="0"/>
    <s v="Health; Social Science"/>
    <s v="9781118418925"/>
    <s v=",1,2,3,4,5,6,7,8,9,10"/>
    <n v="10"/>
    <m/>
    <m/>
    <s v="No"/>
    <x v="1"/>
    <m/>
    <m/>
    <s v="137.21.7.121"/>
    <s v="RA971 -- .S56 2014eb"/>
    <n v="362.10680000000002"/>
    <d v="2014-04-30T00:00:00"/>
  </r>
  <r>
    <x v="418"/>
    <d v="1899-12-30T00:10:33"/>
    <x v="7"/>
    <x v="0"/>
    <s v="Buffalo"/>
    <x v="6"/>
    <n v="1635363"/>
    <x v="0"/>
    <s v="Law"/>
    <s v="9781118678206"/>
    <s v=",1,2,3,93,94,95,91,92,96,97,98,99,100,101,102,103,104,105"/>
    <n v="18"/>
    <m/>
    <m/>
    <s v="No"/>
    <x v="0"/>
    <d v="2016-01-26T00:10:14"/>
    <n v="7"/>
    <s v="128.205.114.91"/>
    <s v="KF285.Z9 -- H38 2014eb"/>
    <n v="340.07600000000002"/>
    <d v="2014-02-14T00:00:00"/>
  </r>
  <r>
    <x v="419"/>
    <d v="1899-12-30T00:02:22"/>
    <x v="134"/>
    <x v="2"/>
    <s v="hilbert"/>
    <x v="131"/>
    <n v="2079233"/>
    <x v="1"/>
    <s v="Law"/>
    <s v="9781472444615"/>
    <s v=",1,2,3,76,77,94,95,96,92,93,97"/>
    <n v="11"/>
    <m/>
    <m/>
    <s v="No"/>
    <x v="3"/>
    <m/>
    <m/>
    <s v="72.45.217.43"/>
    <s v="KTL42.R58 C68 2015"/>
    <s v="345.68''0231"/>
    <d v="2015-08-28T00:00:00"/>
  </r>
  <r>
    <x v="420"/>
    <d v="1899-12-30T00:00:10"/>
    <x v="135"/>
    <x v="0"/>
    <s v="Buffalo"/>
    <x v="132"/>
    <n v="1895674"/>
    <x v="0"/>
    <s v="Computer Science/IT"/>
    <s v="9781118858974"/>
    <s v=",37,38,39,35,40,41,36,34,42,43"/>
    <n v="10"/>
    <m/>
    <m/>
    <s v="No"/>
    <x v="2"/>
    <d v="2016-01-26T00:34:21"/>
    <n v="1"/>
    <s v="128.205.114.91"/>
    <s v="QA76.64 -- .F758 2015eb"/>
    <s v="005.1/17"/>
    <d v="2014-12-19T00:00:00"/>
  </r>
  <r>
    <x v="421"/>
    <d v="1899-12-30T00:00:21"/>
    <x v="136"/>
    <x v="0"/>
    <s v="Buffalo"/>
    <x v="0"/>
    <n v="1120290"/>
    <x v="0"/>
    <s v="Language/Linguistics"/>
    <s v="9781118347478"/>
    <s v=",1,25,27,26,23,24,2"/>
    <n v="7"/>
    <m/>
    <m/>
    <s v="No"/>
    <x v="1"/>
    <m/>
    <m/>
    <s v="128.205.114.91"/>
    <s v="PE1133 .C34 2012"/>
    <n v="421"/>
    <d v="2012-07-11T00:00:00"/>
  </r>
  <r>
    <x v="422"/>
    <d v="1899-12-30T00:01:16"/>
    <x v="137"/>
    <x v="0"/>
    <s v="Buffalo"/>
    <x v="133"/>
    <n v="1901845"/>
    <x v="0"/>
    <s v="Medicine"/>
    <s v="9781118656334"/>
    <s v=",1,3,2,186,187,188,184,185,189"/>
    <n v="9"/>
    <m/>
    <m/>
    <s v="No"/>
    <x v="3"/>
    <m/>
    <m/>
    <s v="128.205.114.91"/>
    <s v="RC387.5 -- .T73 2015eb"/>
    <s v="617.4/81044"/>
    <d v="2014-12-16T00:00:00"/>
  </r>
  <r>
    <x v="423"/>
    <d v="1899-12-30T00:18:07"/>
    <x v="135"/>
    <x v="0"/>
    <s v="Buffalo"/>
    <x v="132"/>
    <n v="1895674"/>
    <x v="0"/>
    <s v="Computer Science/IT"/>
    <s v="9781118858974"/>
    <s v=",1,2,3"/>
    <n v="3"/>
    <m/>
    <m/>
    <s v="No"/>
    <x v="3"/>
    <m/>
    <m/>
    <s v="128.205.114.91"/>
    <s v="QA76.64 -- .F758 2015eb"/>
    <s v="005.1/17"/>
    <d v="2014-12-19T00:00:00"/>
  </r>
  <r>
    <x v="424"/>
    <d v="1899-12-30T01:01:35"/>
    <x v="7"/>
    <x v="0"/>
    <s v="Buffalo"/>
    <x v="6"/>
    <n v="1635363"/>
    <x v="0"/>
    <s v="Law"/>
    <s v="9781118678206"/>
    <s v=",76,77,78,79,80,81,82,83,84,85,86,87,88,89,90,91,92"/>
    <n v="17"/>
    <m/>
    <m/>
    <s v="No"/>
    <x v="0"/>
    <d v="2016-01-26T00:10:14"/>
    <n v="7"/>
    <s v="128.205.114.91"/>
    <s v="KF285.Z9 -- H38 2014eb"/>
    <n v="340.07600000000002"/>
    <d v="2014-02-14T00:00:00"/>
  </r>
  <r>
    <x v="425"/>
    <d v="1899-12-30T00:00:58"/>
    <x v="130"/>
    <x v="0"/>
    <s v="Buffalo"/>
    <x v="134"/>
    <n v="1791341"/>
    <x v="0"/>
    <s v="Engineering; Engineering: Construction"/>
    <s v="9781118862285"/>
    <s v=",1,2,3,4,5,6"/>
    <n v="6"/>
    <m/>
    <m/>
    <s v="No"/>
    <x v="1"/>
    <m/>
    <m/>
    <s v="128.205.114.91"/>
    <s v="TH6010 -- .G766 2015eb"/>
    <n v="696"/>
    <d v="2014-09-17T00:00:00"/>
  </r>
  <r>
    <x v="426"/>
    <d v="1899-12-30T00:00:00"/>
    <x v="26"/>
    <x v="6"/>
    <s v="sjfc"/>
    <x v="135"/>
    <n v="544120"/>
    <x v="4"/>
    <s v="Education"/>
    <s v="9781606238561"/>
    <m/>
    <n v="0"/>
    <m/>
    <s v=",23,24,25,26,83,84,85,86,87,88,89"/>
    <s v="No"/>
    <x v="2"/>
    <d v="2016-01-26T00:08:16"/>
    <n v="1"/>
    <s v="149.69.254.57"/>
    <s v="LB1050.5 -- .S228 2010eb"/>
    <n v="372.43"/>
    <d v="2014-05-14T00:00:00"/>
  </r>
  <r>
    <x v="427"/>
    <d v="1899-12-30T00:00:12"/>
    <x v="26"/>
    <x v="6"/>
    <s v="sjfc"/>
    <x v="135"/>
    <n v="544120"/>
    <x v="4"/>
    <s v="Education"/>
    <s v="9781606238561"/>
    <s v=",1,2,3,17,18,19,20,21,22,23,24"/>
    <n v="11"/>
    <m/>
    <m/>
    <s v="No"/>
    <x v="3"/>
    <m/>
    <m/>
    <s v="149.69.254.57"/>
    <s v="LB1050.5 -- .S228 2010eb"/>
    <n v="372.43"/>
    <d v="2014-05-14T00:00:00"/>
  </r>
  <r>
    <x v="428"/>
    <d v="1899-12-30T00:00:49"/>
    <x v="130"/>
    <x v="0"/>
    <s v="Buffalo"/>
    <x v="130"/>
    <n v="1411616"/>
    <x v="0"/>
    <s v="Engineering: Construction; Engineering"/>
    <s v="9781118419199"/>
    <s v=",1,2,3,4,5,6,7,8,9"/>
    <n v="9"/>
    <m/>
    <m/>
    <s v="No"/>
    <x v="3"/>
    <m/>
    <m/>
    <s v="128.205.114.91"/>
    <s v="TH145 -- .A417 2013eb"/>
    <n v="690"/>
    <d v="2013-09-20T00:00:00"/>
  </r>
  <r>
    <x v="429"/>
    <d v="1899-12-30T00:16:19"/>
    <x v="7"/>
    <x v="0"/>
    <s v="Buffalo"/>
    <x v="6"/>
    <n v="1635363"/>
    <x v="0"/>
    <s v="Law"/>
    <s v="9781118678206"/>
    <s v=",1,2,3,31,32,33,29,30,31,34,35,33,34,35,36,31,32,33,29,34,30,35,51,52,53,49,50,54,55,56,57,58,59,60,61,62,63,64,65,66,67,68,69,70,71,72,73,74,75"/>
    <n v="38"/>
    <m/>
    <m/>
    <s v="No"/>
    <x v="1"/>
    <m/>
    <m/>
    <s v="128.205.114.91"/>
    <s v="KF285.Z9 -- H38 2014eb"/>
    <n v="340.07600000000002"/>
    <d v="2014-02-14T00:00:00"/>
  </r>
  <r>
    <x v="430"/>
    <d v="1899-12-30T00:00:04"/>
    <x v="13"/>
    <x v="0"/>
    <s v="Buffalo"/>
    <x v="29"/>
    <n v="1935742"/>
    <x v="8"/>
    <s v="Science; Science: Geology"/>
    <s v="9781118473252"/>
    <s v=",1,2,3"/>
    <n v="3"/>
    <m/>
    <m/>
    <s v="No"/>
    <x v="1"/>
    <m/>
    <m/>
    <s v="128.205.114.91"/>
    <s v="GB54.5"/>
    <n v="550"/>
    <d v="2013-03-27T00:00:00"/>
  </r>
  <r>
    <x v="431"/>
    <d v="1899-12-30T00:03:43"/>
    <x v="119"/>
    <x v="1"/>
    <s v="brockport"/>
    <x v="11"/>
    <n v="693176"/>
    <x v="0"/>
    <s v="Engineering: Manufacturing; General Works/Reference; Engineering"/>
    <s v="9781118017746"/>
    <s v=",464,465,464,465,466,466,467,468,467,468,469,469,470,470,471,471,472,472,473,473,474,475,476,471,475,22,23,24,476,20,474,21,25,19,18,17,22,17,22,23,24"/>
    <n v="22"/>
    <m/>
    <m/>
    <s v="No"/>
    <x v="0"/>
    <d v="2016-01-25T22:26:29"/>
    <n v="7"/>
    <s v="137.21.7.121"/>
    <s v="Z246 -- .M43 2012eb"/>
    <s v="686.2/209"/>
    <d v="2011-10-19T00:00:00"/>
  </r>
  <r>
    <x v="432"/>
    <d v="1899-12-30T00:10:33"/>
    <x v="119"/>
    <x v="1"/>
    <s v="brockport"/>
    <x v="11"/>
    <n v="693176"/>
    <x v="0"/>
    <s v="Engineering: Manufacturing; General Works/Reference; Engineering"/>
    <s v="9781118017746"/>
    <s v=",2,3,1,3,2,1,2,2,4,4,4,4,5,6,5,6,7,8,7,8,3,2,1,4,4,5,6,7,8,9,9,22,23,21,20,22,21,24,23,24,25,20,25,19,18,23,24,25,26,26,27,28,27,23,28,406,408,407,408,405,406,407,404,405,409,410,409,411,411,412,410,411,412,452,454,453,452,451,454,451,453,450,455,455,456,456,457,458,457,452,449,458,449,450,451,447,448,448,452,453,454,455,456,457,458,459,459,460,460,461,461,462,462,463,463"/>
    <n v="46"/>
    <m/>
    <m/>
    <s v="No"/>
    <x v="1"/>
    <m/>
    <m/>
    <s v="137.21.7.121"/>
    <s v="Z246 -- .M43 2012eb"/>
    <s v="686.2/209"/>
    <d v="2011-10-19T00:00:00"/>
  </r>
  <r>
    <x v="433"/>
    <d v="1899-12-30T00:00:33"/>
    <x v="131"/>
    <x v="1"/>
    <s v="brockport"/>
    <x v="1"/>
    <n v="1684620"/>
    <x v="0"/>
    <s v="Health; Social Science"/>
    <s v="9781118418925"/>
    <s v=",1,2,3,4,5,6,7,8"/>
    <n v="8"/>
    <m/>
    <m/>
    <s v="No"/>
    <x v="1"/>
    <m/>
    <m/>
    <s v="137.21.7.121"/>
    <s v="RA971 -- .S56 2014eb"/>
    <n v="362.10680000000002"/>
    <d v="2014-04-30T00:00:00"/>
  </r>
  <r>
    <x v="434"/>
    <d v="1899-12-30T00:00:17"/>
    <x v="13"/>
    <x v="0"/>
    <s v="Buffalo"/>
    <x v="136"/>
    <n v="183311"/>
    <x v="2"/>
    <s v="Science: Biology/Natural History; Psychology; Science"/>
    <s v="9781135112097"/>
    <s v=",1,44,45,46,42,43"/>
    <n v="6"/>
    <m/>
    <m/>
    <s v="No"/>
    <x v="3"/>
    <m/>
    <m/>
    <s v="128.205.114.91"/>
    <s v="QP360 -- .S595 2005eb"/>
    <n v="153"/>
    <d v="2013-09-05T00:00:00"/>
  </r>
  <r>
    <x v="435"/>
    <d v="1899-12-30T00:00:00"/>
    <x v="138"/>
    <x v="0"/>
    <s v="Buffalo"/>
    <x v="137"/>
    <n v="3038474"/>
    <x v="11"/>
    <s v="Social Science"/>
    <s v="9780226925233"/>
    <s v=",175"/>
    <n v="1"/>
    <m/>
    <m/>
    <s v="No"/>
    <x v="2"/>
    <d v="2016-01-25T20:33:21"/>
    <n v="1"/>
    <s v="128.205.114.91"/>
    <s v="HM1166 -- .E93 2013eb"/>
    <n v="302.2"/>
    <d v="2013-12-01T00:00:00"/>
  </r>
  <r>
    <x v="436"/>
    <d v="1899-12-30T00:31:39"/>
    <x v="138"/>
    <x v="0"/>
    <s v="Buffalo"/>
    <x v="137"/>
    <n v="3038474"/>
    <x v="11"/>
    <s v="Social Science"/>
    <s v="9780226925233"/>
    <s v=",1,2,3,158,159,160,156,157,161,162,163,164,165,166,167,168,169,170,171,172,173,171,172,173,169,170,174"/>
    <n v="22"/>
    <m/>
    <m/>
    <s v="No"/>
    <x v="3"/>
    <m/>
    <m/>
    <s v="128.205.114.91"/>
    <s v="HM1166 -- .E93 2013eb"/>
    <n v="302.2"/>
    <d v="2013-12-01T00:00:00"/>
  </r>
  <r>
    <x v="437"/>
    <d v="1899-12-30T00:00:40"/>
    <x v="13"/>
    <x v="0"/>
    <s v="Buffalo"/>
    <x v="138"/>
    <n v="694171"/>
    <x v="0"/>
    <s v="Science; Science: Physics"/>
    <s v="9780470865156"/>
    <s v=",1,2,3,15,16,17,18,20,24,25,26,22,16,17,13,14,106,107,108,104,105,109"/>
    <n v="20"/>
    <m/>
    <m/>
    <s v="No"/>
    <x v="3"/>
    <m/>
    <m/>
    <s v="128.205.114.91"/>
    <s v="QC173.96"/>
    <n v="530.12"/>
    <d v="2013-05-20T00:00:00"/>
  </r>
  <r>
    <x v="438"/>
    <d v="1899-12-30T00:00:15"/>
    <x v="139"/>
    <x v="0"/>
    <s v="Buffalo"/>
    <x v="139"/>
    <n v="1895104"/>
    <x v="0"/>
    <s v="Computer Science/IT; General Works/Reference"/>
    <s v="9781118832097"/>
    <s v=",1,2,3,87,88,89,85,86"/>
    <n v="8"/>
    <m/>
    <m/>
    <s v="No"/>
    <x v="0"/>
    <d v="2016-01-25T19:05:15"/>
    <n v="7"/>
    <s v="128.205.114.91"/>
    <s v="QA76.76.76.A54 -- .K377 2015eb"/>
    <n v="16.005800000000001"/>
    <d v="2015-04-17T00:00:00"/>
  </r>
  <r>
    <x v="439"/>
    <d v="1899-12-30T00:10:20"/>
    <x v="139"/>
    <x v="0"/>
    <s v="Buffalo"/>
    <x v="139"/>
    <n v="1895104"/>
    <x v="0"/>
    <s v="Computer Science/IT; General Works/Reference"/>
    <s v="9781118832097"/>
    <s v=",1,2,3,47,48,49,45,46,47,48,49,46,45,42,43,44,40,41,39"/>
    <n v="14"/>
    <m/>
    <m/>
    <s v="No"/>
    <x v="3"/>
    <m/>
    <m/>
    <s v="128.205.114.91"/>
    <s v="QA76.76.76.A54 -- .K377 2015eb"/>
    <n v="16.005800000000001"/>
    <d v="2015-04-17T00:00:00"/>
  </r>
  <r>
    <x v="440"/>
    <d v="1899-12-30T00:00:02"/>
    <x v="140"/>
    <x v="9"/>
    <s v="trocaire"/>
    <x v="140"/>
    <n v="1315428"/>
    <x v="10"/>
    <s v="Mathematics"/>
    <s v="9781400841684"/>
    <m/>
    <n v="0"/>
    <m/>
    <m/>
    <s v="No"/>
    <x v="1"/>
    <m/>
    <m/>
    <s v="173.225.62.67"/>
    <s v="QA211 -- .M16 2012eb"/>
    <n v="512.94000000000005"/>
    <d v="2012-04-09T00:00:00"/>
  </r>
  <r>
    <x v="441"/>
    <d v="1899-12-30T00:01:54"/>
    <x v="32"/>
    <x v="0"/>
    <s v="Buffalo"/>
    <x v="64"/>
    <n v="836614"/>
    <x v="9"/>
    <s v="Language/Linguistics"/>
    <s v="9781118315958"/>
    <s v=",1,2,3,4,5,6,114,115,116,112,113,30,31,32,28,29,33,34,35,36,37,38,39,40,41,2,42,43,44,45,46,47,48,49,50,51,52,53,54,55,56,57,58,59,60,12,11,13,14,10,9,8,7,6,5,4,3,2,1,12,44,54,57,52,55,56,57,58,53,54,55,59,60"/>
    <n v="52"/>
    <m/>
    <m/>
    <s v="No"/>
    <x v="0"/>
    <d v="2016-01-25T16:27:21"/>
    <n v="7"/>
    <s v="128.205.114.91"/>
    <s v="P217 -- .H346 2009eb"/>
    <n v="414"/>
    <d v="2011-12-15T00:00:00"/>
  </r>
  <r>
    <x v="442"/>
    <d v="1899-12-30T00:03:43"/>
    <x v="32"/>
    <x v="0"/>
    <s v="Buffalo"/>
    <x v="64"/>
    <n v="836614"/>
    <x v="9"/>
    <s v="Language/Linguistics"/>
    <s v="9781118315958"/>
    <s v=",4,1"/>
    <n v="2"/>
    <m/>
    <s v=",12,13,14,15,16,17,18,19,20,21,22,23,24,25,26,27,28,29,30,31,32,33,34,35,36,37,38,39,40,41,42,43,44,45,46,47,48,49,50,51,52,53,54,55,56,57"/>
    <s v="Yes"/>
    <x v="0"/>
    <d v="2016-01-25T16:27:21"/>
    <n v="7"/>
    <s v="128.205.114.91"/>
    <s v="P217 -- .H346 2009eb"/>
    <n v="414"/>
    <d v="2011-12-15T00:00:00"/>
  </r>
  <r>
    <x v="443"/>
    <d v="1899-12-30T00:00:00"/>
    <x v="32"/>
    <x v="0"/>
    <s v="Buffalo"/>
    <x v="64"/>
    <n v="836614"/>
    <x v="9"/>
    <s v="Language/Linguistics"/>
    <s v="9781118315958"/>
    <m/>
    <n v="0"/>
    <m/>
    <m/>
    <s v="Yes"/>
    <x v="0"/>
    <d v="2016-01-25T16:27:21"/>
    <n v="7"/>
    <s v="128.205.114.91"/>
    <s v="P217 -- .H346 2009eb"/>
    <n v="414"/>
    <d v="2011-12-15T00:00:00"/>
  </r>
  <r>
    <x v="444"/>
    <d v="1899-12-30T00:35:59"/>
    <x v="141"/>
    <x v="0"/>
    <s v="Buffalo"/>
    <x v="92"/>
    <n v="2166474"/>
    <x v="0"/>
    <s v="Medicine"/>
    <s v="9781118929285"/>
    <s v=",160,159,158,157,166,167"/>
    <n v="6"/>
    <m/>
    <m/>
    <s v="No"/>
    <x v="0"/>
    <d v="2016-01-25T16:43:04"/>
    <n v="7"/>
    <s v="128.205.114.91"/>
    <s v="RK56"/>
    <n v="617.6"/>
    <d v="2015-06-01T00:00:00"/>
  </r>
  <r>
    <x v="445"/>
    <d v="1899-12-30T00:00:03"/>
    <x v="32"/>
    <x v="0"/>
    <s v="Buffalo"/>
    <x v="64"/>
    <n v="836614"/>
    <x v="9"/>
    <s v="Language/Linguistics"/>
    <s v="9781118315958"/>
    <s v=",1,2,3"/>
    <n v="3"/>
    <m/>
    <m/>
    <s v="No"/>
    <x v="0"/>
    <d v="2016-01-25T16:27:21"/>
    <n v="7"/>
    <s v="128.205.114.91"/>
    <s v="P217 -- .H346 2009eb"/>
    <n v="414"/>
    <d v="2011-12-15T00:00:00"/>
  </r>
  <r>
    <x v="446"/>
    <d v="1899-12-30T00:00:00"/>
    <x v="32"/>
    <x v="0"/>
    <s v="Buffalo"/>
    <x v="64"/>
    <n v="836614"/>
    <x v="9"/>
    <s v="Language/Linguistics"/>
    <s v="9781118315958"/>
    <m/>
    <n v="0"/>
    <m/>
    <m/>
    <s v="Yes"/>
    <x v="0"/>
    <d v="2016-01-25T16:27:21"/>
    <n v="7"/>
    <s v="128.205.114.91"/>
    <s v="P217 -- .H346 2009eb"/>
    <n v="414"/>
    <d v="2011-12-15T00:00:00"/>
  </r>
  <r>
    <x v="447"/>
    <d v="1899-12-30T00:00:40"/>
    <x v="32"/>
    <x v="0"/>
    <s v="Buffalo"/>
    <x v="64"/>
    <n v="836614"/>
    <x v="9"/>
    <s v="Language/Linguistics"/>
    <s v="9781118315958"/>
    <s v=",1,2,3,1,4,5,6,7,8,9,10,11,12,13,14,15,16,17,18,19,20"/>
    <n v="20"/>
    <s v=",3"/>
    <m/>
    <s v="No"/>
    <x v="0"/>
    <d v="2016-01-25T16:27:21"/>
    <n v="7"/>
    <s v="128.205.114.91"/>
    <s v="P217 -- .H346 2009eb"/>
    <n v="414"/>
    <d v="2011-12-15T00:00:00"/>
  </r>
  <r>
    <x v="448"/>
    <d v="1899-12-30T00:02:46"/>
    <x v="32"/>
    <x v="0"/>
    <s v="Buffalo"/>
    <x v="64"/>
    <n v="836614"/>
    <x v="9"/>
    <s v="Language/Linguistics"/>
    <s v="9781118315958"/>
    <s v=",8"/>
    <n v="1"/>
    <m/>
    <m/>
    <s v="Yes"/>
    <x v="0"/>
    <d v="2016-01-25T16:27:21"/>
    <n v="7"/>
    <s v="128.205.114.91"/>
    <s v="P217 -- .H346 2009eb"/>
    <n v="414"/>
    <d v="2011-12-15T00:00:00"/>
  </r>
  <r>
    <x v="448"/>
    <d v="1899-12-30T00:00:00"/>
    <x v="32"/>
    <x v="0"/>
    <s v="Buffalo"/>
    <x v="64"/>
    <n v="836614"/>
    <x v="9"/>
    <s v="Language/Linguistics"/>
    <s v="9781118315958"/>
    <m/>
    <n v="0"/>
    <m/>
    <m/>
    <s v="No"/>
    <x v="0"/>
    <d v="2016-01-25T16:27:21"/>
    <n v="7"/>
    <s v="128.205.114.91"/>
    <s v="P217 -- .H346 2009eb"/>
    <n v="414"/>
    <d v="2011-12-15T00:00:00"/>
  </r>
  <r>
    <x v="449"/>
    <d v="1899-12-30T00:00:22"/>
    <x v="32"/>
    <x v="0"/>
    <s v="Buffalo"/>
    <x v="64"/>
    <n v="836614"/>
    <x v="9"/>
    <s v="Language/Linguistics"/>
    <s v="9781118315958"/>
    <s v=",1,2,3,4,5,6,7,8,9,10"/>
    <n v="10"/>
    <m/>
    <m/>
    <s v="No"/>
    <x v="1"/>
    <m/>
    <m/>
    <s v="128.205.114.91"/>
    <s v="P217 -- .H346 2009eb"/>
    <n v="414"/>
    <d v="2011-12-15T00:00:00"/>
  </r>
  <r>
    <x v="450"/>
    <d v="1899-12-30T00:19:20"/>
    <x v="141"/>
    <x v="0"/>
    <s v="Buffalo"/>
    <x v="92"/>
    <n v="2166474"/>
    <x v="0"/>
    <s v="Medicine"/>
    <s v="9781118929285"/>
    <s v=",1,2,3,1,2,3,2,149,150,151,147,148,152,153,154,155,156,157,158,159,160,161,163,164,165,165,166,164,1,163,2,149,150,151,147,157,158,159,155,156,154,160,161,162"/>
    <n v="23"/>
    <m/>
    <m/>
    <s v="No"/>
    <x v="1"/>
    <m/>
    <m/>
    <s v="128.205.114.91"/>
    <s v="RK56"/>
    <n v="617.6"/>
    <d v="2015-06-01T00:00:00"/>
  </r>
  <r>
    <x v="451"/>
    <d v="1899-12-30T00:00:35"/>
    <x v="92"/>
    <x v="12"/>
    <s v="potsdam"/>
    <x v="95"/>
    <n v="1566387"/>
    <x v="0"/>
    <s v="Social Science"/>
    <s v="9781118471906"/>
    <s v=",1,2,1,2,3,4"/>
    <n v="4"/>
    <m/>
    <m/>
    <s v="Yes"/>
    <x v="0"/>
    <d v="2016-01-25T16:04:17"/>
    <n v="7"/>
    <s v="137.143.104.94"/>
    <s v="HM585 -- .D555 2014eb"/>
    <n v="301"/>
    <d v="2013-11-18T00:00:00"/>
  </r>
  <r>
    <x v="452"/>
    <d v="1899-12-30T00:01:33"/>
    <x v="142"/>
    <x v="0"/>
    <s v="Buffalo"/>
    <x v="141"/>
    <n v="3571161"/>
    <x v="12"/>
    <s v="Social Science; Military Science"/>
    <s v="9781469625508"/>
    <s v=",1,2,3,391,392,393,389,390,388,193,194,195,191,192,196,392,393,389,163,164,165,161,162"/>
    <n v="20"/>
    <m/>
    <m/>
    <s v="No"/>
    <x v="3"/>
    <m/>
    <m/>
    <s v="128.205.114.91"/>
    <s v="HX91.A2 -- .K455 2015eb"/>
    <n v="355.00922730000002"/>
    <d v="2015-08-01T00:00:00"/>
  </r>
  <r>
    <x v="453"/>
    <d v="1899-12-30T00:00:21"/>
    <x v="13"/>
    <x v="0"/>
    <s v="Buffalo"/>
    <x v="33"/>
    <n v="1356283"/>
    <x v="2"/>
    <s v="Language/Linguistics"/>
    <s v="9781136488801"/>
    <s v=",1,2,2,1,3,3,4,4,5,5,6,6,7,7,8,9,8,10,10,11,9,11,12,12,7,2"/>
    <n v="12"/>
    <m/>
    <m/>
    <s v="No"/>
    <x v="3"/>
    <m/>
    <m/>
    <s v="128.205.114.91"/>
    <s v="P118.2 -- .S424 2013eb"/>
    <n v="401.93"/>
    <d v="2013-08-21T00:00:00"/>
  </r>
  <r>
    <x v="454"/>
    <d v="1899-12-30T00:03:22"/>
    <x v="92"/>
    <x v="12"/>
    <s v="potsdam"/>
    <x v="95"/>
    <n v="1566387"/>
    <x v="0"/>
    <s v="Social Science"/>
    <s v="9781118471906"/>
    <s v=",4,5,6,7,8,9,10,11,12,13,14,15,16,17,18,19,20,21,22,14,13,12,11,10,9,8,7,5,6,3,4,1"/>
    <n v="21"/>
    <m/>
    <m/>
    <s v="Yes"/>
    <x v="0"/>
    <d v="2016-01-25T16:04:17"/>
    <n v="7"/>
    <s v="137.143.104.94"/>
    <s v="HM585 -- .D555 2014eb"/>
    <n v="301"/>
    <d v="2013-11-18T00:00:00"/>
  </r>
  <r>
    <x v="455"/>
    <d v="1899-12-30T00:00:00"/>
    <x v="92"/>
    <x v="12"/>
    <s v="potsdam"/>
    <x v="95"/>
    <n v="1566387"/>
    <x v="0"/>
    <s v="Social Science"/>
    <s v="9781118471906"/>
    <m/>
    <n v="0"/>
    <m/>
    <m/>
    <s v="Yes"/>
    <x v="0"/>
    <d v="2016-01-25T16:04:17"/>
    <n v="7"/>
    <s v="137.143.104.94"/>
    <s v="HM585 -- .D555 2014eb"/>
    <n v="301"/>
    <d v="2013-11-18T00:00:00"/>
  </r>
  <r>
    <x v="456"/>
    <d v="1899-12-30T00:00:00"/>
    <x v="92"/>
    <x v="12"/>
    <s v="potsdam"/>
    <x v="95"/>
    <n v="1566387"/>
    <x v="0"/>
    <s v="Social Science"/>
    <s v="9781118471906"/>
    <m/>
    <n v="0"/>
    <s v=",1,1"/>
    <m/>
    <s v="No"/>
    <x v="0"/>
    <d v="2016-01-25T16:04:17"/>
    <n v="7"/>
    <s v="137.143.104.94"/>
    <s v="HM585 -- .D555 2014eb"/>
    <n v="301"/>
    <d v="2013-11-18T00:00:00"/>
  </r>
  <r>
    <x v="457"/>
    <d v="1899-12-30T00:01:12"/>
    <x v="92"/>
    <x v="12"/>
    <s v="potsdam"/>
    <x v="95"/>
    <n v="1566387"/>
    <x v="0"/>
    <s v="Social Science"/>
    <s v="9781118471906"/>
    <s v=",1,2,3,1,1"/>
    <n v="3"/>
    <m/>
    <m/>
    <s v="No"/>
    <x v="1"/>
    <m/>
    <m/>
    <s v="137.143.104.94"/>
    <s v="HM585 -- .D555 2014eb"/>
    <n v="301"/>
    <d v="2013-11-18T00:00:00"/>
  </r>
  <r>
    <x v="458"/>
    <d v="1899-12-30T00:49:20"/>
    <x v="121"/>
    <x v="0"/>
    <s v="Buffalo"/>
    <x v="121"/>
    <n v="1757959"/>
    <x v="0"/>
    <s v="Mathematics; Social Science"/>
    <s v="9781118767023"/>
    <s v=",1,2,3,23,24,21,22,25,26,27,28,29,30,31,32,33,34,35,36,37,38,39,40,41,42,43,44,45,46,47,48,49,50,51,52,53,54,55,56,57,58,59,60,61,62,63,64,65,66,67,68,69,70,71,72,73,74,75,76,77,78,79,80,81,82,83,84,85,86,87,88"/>
    <n v="71"/>
    <m/>
    <m/>
    <s v="No"/>
    <x v="0"/>
    <d v="2016-01-25T15:32:07"/>
    <n v="7"/>
    <s v="128.205.114.91"/>
    <s v="HA31.2 .R43 2014"/>
    <s v="519.5; 519.52"/>
    <d v="2014-07-30T00:00:00"/>
  </r>
  <r>
    <x v="459"/>
    <d v="1899-12-30T00:55:10"/>
    <x v="64"/>
    <x v="6"/>
    <s v="sjfc"/>
    <x v="75"/>
    <n v="1986951"/>
    <x v="0"/>
    <s v="Business/Management"/>
    <s v="9781119130468"/>
    <s v=",463,464,464,465,466,467,468,460,465,466"/>
    <n v="7"/>
    <s v=",461,462,463"/>
    <m/>
    <s v="No"/>
    <x v="0"/>
    <d v="2016-01-25T15:50:04"/>
    <n v="7"/>
    <s v="149.69.254.57"/>
    <s v="HF5661"/>
    <n v="657.07600000000002"/>
    <d v="2015-05-19T00:00:00"/>
  </r>
  <r>
    <x v="460"/>
    <d v="1899-12-30T00:02:15"/>
    <x v="13"/>
    <x v="0"/>
    <s v="Buffalo"/>
    <x v="142"/>
    <n v="1619425"/>
    <x v="2"/>
    <s v="Language/Linguistics"/>
    <s v="9781317691242"/>
    <s v=",1,2,3,12,13,14,10,11,15,17,18,19,20,21,16,11,10,8,9,6,7,5,3,4,22,20,21,23,25,26,27"/>
    <n v="26"/>
    <m/>
    <m/>
    <s v="No"/>
    <x v="3"/>
    <m/>
    <m/>
    <s v="128.205.114.91"/>
    <s v="P204 -- .C56 2013eb"/>
    <n v="415"/>
    <d v="2013-12-30T00:00:00"/>
  </r>
  <r>
    <x v="461"/>
    <d v="1899-12-30T00:12:37"/>
    <x v="64"/>
    <x v="6"/>
    <s v="sjfc"/>
    <x v="75"/>
    <n v="1986951"/>
    <x v="0"/>
    <s v="Business/Management"/>
    <s v="9781119130468"/>
    <s v=",1,2,3,497,498,499,495,496,457,459,458,2,455,456,460,461,461,462,463"/>
    <n v="17"/>
    <m/>
    <m/>
    <s v="No"/>
    <x v="1"/>
    <m/>
    <m/>
    <s v="149.69.254.57"/>
    <s v="HF5661"/>
    <n v="657.07600000000002"/>
    <d v="2015-05-19T00:00:00"/>
  </r>
  <r>
    <x v="462"/>
    <d v="1899-12-30T00:29:00"/>
    <x v="121"/>
    <x v="0"/>
    <s v="Buffalo"/>
    <x v="121"/>
    <n v="1757959"/>
    <x v="0"/>
    <s v="Mathematics; Social Science"/>
    <s v="9781118767023"/>
    <s v=",1,2,3,185,186,187,183,184,188,189,190,191,192,193,194,195,196,197,198,199,200,201,185,186,187,265,267,264,266,263,262,261,268,269"/>
    <n v="31"/>
    <m/>
    <s v=",185,186,187,188,189,190,191,192,193,194,195,196,197,198"/>
    <s v="No"/>
    <x v="0"/>
    <d v="2016-01-25T15:32:07"/>
    <n v="7"/>
    <s v="128.205.114.91"/>
    <s v="HA31.2 .R43 2014"/>
    <s v="519.5; 519.52"/>
    <d v="2014-07-30T00:00:00"/>
  </r>
  <r>
    <x v="463"/>
    <d v="1899-12-30T00:00:52"/>
    <x v="13"/>
    <x v="0"/>
    <s v="Buffalo"/>
    <x v="33"/>
    <n v="1356283"/>
    <x v="2"/>
    <s v="Language/Linguistics"/>
    <s v="9781136488801"/>
    <s v=",1,1,2,3,2,3,46,46,48,48,44,47,45,45,47,2,42,43,43,41,46,47,48,43,48,43,48,49,50,50,49,77,78,78,79,79,77,75,76,76"/>
    <n v="18"/>
    <m/>
    <m/>
    <s v="No"/>
    <x v="3"/>
    <m/>
    <m/>
    <s v="128.205.114.91"/>
    <s v="P118.2 -- .S424 2013eb"/>
    <n v="401.93"/>
    <d v="2013-08-21T00:00:00"/>
  </r>
  <r>
    <x v="464"/>
    <d v="1899-12-30T00:00:04"/>
    <x v="143"/>
    <x v="0"/>
    <s v="Buffalo"/>
    <x v="143"/>
    <n v="1818250"/>
    <x v="0"/>
    <s v="Education"/>
    <s v="9781118955178"/>
    <s v=",1,3,2"/>
    <n v="3"/>
    <m/>
    <m/>
    <s v="No"/>
    <x v="1"/>
    <m/>
    <m/>
    <s v="128.205.114.91"/>
    <s v="LB1028.5 -- .H676 2015eb"/>
    <n v="371.3"/>
    <d v="2014-10-13T00:00:00"/>
  </r>
  <r>
    <x v="465"/>
    <d v="1899-12-30T00:01:45"/>
    <x v="13"/>
    <x v="0"/>
    <s v="Buffalo"/>
    <x v="105"/>
    <n v="1775206"/>
    <x v="0"/>
    <s v="Engineering: Environmental; Engineering"/>
    <s v="9781118845356"/>
    <s v=",1,2,3,121,119,120,124,125"/>
    <n v="8"/>
    <m/>
    <m/>
    <s v="No"/>
    <x v="3"/>
    <m/>
    <m/>
    <s v="128.205.114.91"/>
    <s v="TD192 -- .N354 2014eb"/>
    <s v="628.028/4"/>
    <d v="2014-08-25T00:00:00"/>
  </r>
  <r>
    <x v="466"/>
    <d v="1899-12-30T01:04:46"/>
    <x v="121"/>
    <x v="0"/>
    <s v="Buffalo"/>
    <x v="121"/>
    <n v="1757959"/>
    <x v="0"/>
    <s v="Mathematics; Social Science"/>
    <s v="9781118767023"/>
    <s v=",1,2,3"/>
    <n v="3"/>
    <m/>
    <m/>
    <s v="No"/>
    <x v="1"/>
    <m/>
    <m/>
    <s v="128.205.114.91"/>
    <s v="HA31.2 .R43 2014"/>
    <s v="519.5; 519.52"/>
    <d v="2014-07-30T00:00:00"/>
  </r>
  <r>
    <x v="467"/>
    <d v="1899-12-30T00:00:22"/>
    <x v="144"/>
    <x v="12"/>
    <s v="potsdam"/>
    <x v="121"/>
    <n v="1757959"/>
    <x v="0"/>
    <s v="Mathematics; Social Science"/>
    <s v="9781118767023"/>
    <s v=",1,314,315,316,312,313,2"/>
    <n v="7"/>
    <m/>
    <s v=",314,314,314,315,316,316,316,317,318,318"/>
    <s v="No"/>
    <x v="0"/>
    <d v="2016-01-19T20:29:03"/>
    <n v="7"/>
    <s v="137.143.104.94"/>
    <s v="HA31.2 .R43 2014"/>
    <s v="519.5; 519.52"/>
    <d v="2014-07-30T00:00:00"/>
  </r>
  <r>
    <x v="468"/>
    <d v="1899-12-30T00:03:29"/>
    <x v="145"/>
    <x v="0"/>
    <s v="Buffalo"/>
    <x v="10"/>
    <n v="4035861"/>
    <x v="0"/>
    <s v="Business/Management; Economics"/>
    <s v="9781118498927"/>
    <s v=",1,2,3,69,70,69,71,67,68,72,73"/>
    <n v="10"/>
    <m/>
    <m/>
    <s v="No"/>
    <x v="3"/>
    <m/>
    <m/>
    <s v="128.205.114.91"/>
    <s v="HG4529 -- .L56 2016eb"/>
    <n v="332.63204200000001"/>
    <d v="2015-06-08T00:00:00"/>
  </r>
  <r>
    <x v="469"/>
    <d v="1899-12-30T00:00:13"/>
    <x v="13"/>
    <x v="0"/>
    <s v="Buffalo"/>
    <x v="144"/>
    <n v="1760717"/>
    <x v="4"/>
    <s v="Medicine"/>
    <s v="9781462517640"/>
    <s v=",1,2,3,37,33"/>
    <n v="5"/>
    <m/>
    <m/>
    <s v="No"/>
    <x v="1"/>
    <m/>
    <m/>
    <s v="128.205.114.91"/>
    <s v="RJ505.P6 -- .P539 2015eb"/>
    <n v="618.9289"/>
    <d v="2014-11-17T00:00:00"/>
  </r>
  <r>
    <x v="470"/>
    <d v="1899-12-30T00:00:00"/>
    <x v="81"/>
    <x v="0"/>
    <s v="Buffalo"/>
    <x v="145"/>
    <n v="1895835"/>
    <x v="0"/>
    <s v="Economics; Business/Management"/>
    <s v="9781118970997"/>
    <m/>
    <n v="0"/>
    <m/>
    <m/>
    <s v="Yes"/>
    <x v="0"/>
    <d v="2016-01-25T05:31:49"/>
    <n v="7"/>
    <s v="128.205.114.91"/>
    <s v="HG6041 -- .M673 2015eb"/>
    <s v="332.63/228"/>
    <d v="2015-04-13T00:00:00"/>
  </r>
  <r>
    <x v="471"/>
    <d v="1899-12-30T00:00:05"/>
    <x v="81"/>
    <x v="0"/>
    <s v="Buffalo"/>
    <x v="145"/>
    <n v="1895835"/>
    <x v="0"/>
    <s v="Economics; Business/Management"/>
    <s v="9781118970997"/>
    <s v=",1,2,3"/>
    <n v="3"/>
    <m/>
    <m/>
    <s v="No"/>
    <x v="0"/>
    <d v="2016-01-25T05:31:49"/>
    <n v="7"/>
    <s v="128.205.114.91"/>
    <s v="HG6041 -- .M673 2015eb"/>
    <s v="332.63/228"/>
    <d v="2015-04-13T00:00:00"/>
  </r>
  <r>
    <x v="472"/>
    <d v="1899-12-30T00:09:43"/>
    <x v="81"/>
    <x v="0"/>
    <s v="Buffalo"/>
    <x v="146"/>
    <n v="1757096"/>
    <x v="0"/>
    <s v="Economics; Business/Management"/>
    <s v="9781118745472"/>
    <s v=",1,2,3,1"/>
    <n v="3"/>
    <m/>
    <m/>
    <s v="Yes"/>
    <x v="0"/>
    <d v="2016-01-25T07:04:23"/>
    <n v="7"/>
    <s v="128.205.114.91"/>
    <s v="HG4521 -- .P898 2014eb"/>
    <s v="332.64/2"/>
    <d v="2014-07-28T00:00:00"/>
  </r>
  <r>
    <x v="472"/>
    <d v="1899-12-30T00:00:00"/>
    <x v="81"/>
    <x v="0"/>
    <s v="Buffalo"/>
    <x v="146"/>
    <n v="1757096"/>
    <x v="0"/>
    <s v="Economics; Business/Management"/>
    <s v="9781118745472"/>
    <m/>
    <n v="0"/>
    <m/>
    <m/>
    <s v="No"/>
    <x v="0"/>
    <d v="2016-01-25T07:04:23"/>
    <n v="7"/>
    <s v="128.205.114.91"/>
    <s v="HG4521 -- .P898 2014eb"/>
    <s v="332.64/2"/>
    <d v="2014-07-28T00:00:00"/>
  </r>
  <r>
    <x v="473"/>
    <d v="1899-12-30T00:00:23"/>
    <x v="81"/>
    <x v="0"/>
    <s v="Buffalo"/>
    <x v="146"/>
    <n v="1757096"/>
    <x v="0"/>
    <s v="Economics; Business/Management"/>
    <s v="9781118745472"/>
    <s v=",1,3,2"/>
    <n v="3"/>
    <m/>
    <m/>
    <s v="No"/>
    <x v="1"/>
    <m/>
    <m/>
    <s v="128.205.114.91"/>
    <s v="HG4521 -- .P898 2014eb"/>
    <s v="332.64/2"/>
    <d v="2014-07-28T00:00:00"/>
  </r>
  <r>
    <x v="474"/>
    <d v="1899-12-30T00:00:05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75"/>
    <d v="1899-12-30T00:00:04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76"/>
    <d v="1899-12-30T00:00:04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77"/>
    <d v="1899-12-30T00:00:00"/>
    <x v="81"/>
    <x v="0"/>
    <s v="Buffalo"/>
    <x v="147"/>
    <n v="1809741"/>
    <x v="0"/>
    <s v="Business/Management"/>
    <s v="9781118963685"/>
    <m/>
    <n v="0"/>
    <m/>
    <m/>
    <s v="Yes"/>
    <x v="0"/>
    <d v="2016-01-25T06:13:02"/>
    <n v="7"/>
    <s v="128.205.114.91"/>
    <s v="HD61 -- .E434 2014eb"/>
    <n v="658.15499999999997"/>
    <d v="2014-09-29T00:00:00"/>
  </r>
  <r>
    <x v="478"/>
    <d v="1899-12-30T00:00:05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79"/>
    <d v="1899-12-30T00:00:00"/>
    <x v="81"/>
    <x v="0"/>
    <s v="Buffalo"/>
    <x v="147"/>
    <n v="1809741"/>
    <x v="0"/>
    <s v="Business/Management"/>
    <s v="9781118963685"/>
    <m/>
    <n v="0"/>
    <m/>
    <m/>
    <s v="Yes"/>
    <x v="0"/>
    <d v="2016-01-25T06:13:02"/>
    <n v="7"/>
    <s v="128.205.114.91"/>
    <s v="HD61 -- .E434 2014eb"/>
    <n v="658.15499999999997"/>
    <d v="2014-09-29T00:00:00"/>
  </r>
  <r>
    <x v="480"/>
    <d v="1899-12-30T00:00:04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81"/>
    <d v="1899-12-30T00:00:00"/>
    <x v="81"/>
    <x v="0"/>
    <s v="Buffalo"/>
    <x v="147"/>
    <n v="1809741"/>
    <x v="0"/>
    <s v="Business/Management"/>
    <s v="9781118963685"/>
    <m/>
    <n v="0"/>
    <m/>
    <m/>
    <s v="Yes"/>
    <x v="0"/>
    <d v="2016-01-25T06:13:02"/>
    <n v="7"/>
    <s v="128.205.114.91"/>
    <s v="HD61 -- .E434 2014eb"/>
    <n v="658.15499999999997"/>
    <d v="2014-09-29T00:00:00"/>
  </r>
  <r>
    <x v="482"/>
    <d v="1899-12-30T00:01:17"/>
    <x v="81"/>
    <x v="0"/>
    <s v="Buffalo"/>
    <x v="147"/>
    <n v="1809741"/>
    <x v="0"/>
    <s v="Business/Management"/>
    <s v="9781118963685"/>
    <s v=",1,3,2"/>
    <n v="3"/>
    <m/>
    <m/>
    <s v="Yes"/>
    <x v="0"/>
    <d v="2016-01-25T06:13:02"/>
    <n v="7"/>
    <s v="128.205.114.91"/>
    <s v="HD61 -- .E434 2014eb"/>
    <n v="658.15499999999997"/>
    <d v="2014-09-29T00:00:00"/>
  </r>
  <r>
    <x v="483"/>
    <d v="1899-12-30T00:00:05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84"/>
    <d v="1899-12-30T00:00:00"/>
    <x v="81"/>
    <x v="0"/>
    <s v="Buffalo"/>
    <x v="147"/>
    <n v="1809741"/>
    <x v="0"/>
    <s v="Business/Management"/>
    <s v="9781118963685"/>
    <m/>
    <n v="0"/>
    <m/>
    <m/>
    <s v="Yes"/>
    <x v="0"/>
    <d v="2016-01-25T06:13:02"/>
    <n v="7"/>
    <s v="128.205.114.91"/>
    <s v="HD61 -- .E434 2014eb"/>
    <n v="658.15499999999997"/>
    <d v="2014-09-29T00:00:00"/>
  </r>
  <r>
    <x v="485"/>
    <d v="1899-12-30T00:00:05"/>
    <x v="81"/>
    <x v="0"/>
    <s v="Buffalo"/>
    <x v="147"/>
    <n v="1809741"/>
    <x v="0"/>
    <s v="Business/Management"/>
    <s v="9781118963685"/>
    <s v=",1,2,3"/>
    <n v="3"/>
    <m/>
    <m/>
    <s v="No"/>
    <x v="0"/>
    <d v="2016-01-25T06:13:02"/>
    <n v="7"/>
    <s v="128.205.114.91"/>
    <s v="HD61 -- .E434 2014eb"/>
    <n v="658.15499999999997"/>
    <d v="2014-09-29T00:00:00"/>
  </r>
  <r>
    <x v="486"/>
    <d v="1899-12-30T00:00:00"/>
    <x v="81"/>
    <x v="0"/>
    <s v="Buffalo"/>
    <x v="147"/>
    <n v="1809741"/>
    <x v="0"/>
    <s v="Business/Management"/>
    <s v="9781118963685"/>
    <m/>
    <n v="0"/>
    <m/>
    <m/>
    <s v="Yes"/>
    <x v="0"/>
    <d v="2016-01-25T06:13:02"/>
    <n v="7"/>
    <s v="128.205.114.91"/>
    <s v="HD61 -- .E434 2014eb"/>
    <n v="658.15499999999997"/>
    <d v="2014-09-29T00:00:00"/>
  </r>
  <r>
    <x v="486"/>
    <d v="1899-12-30T00:00:00"/>
    <x v="81"/>
    <x v="0"/>
    <s v="Buffalo"/>
    <x v="147"/>
    <n v="1809741"/>
    <x v="0"/>
    <s v="Business/Management"/>
    <s v="9781118963685"/>
    <m/>
    <n v="0"/>
    <m/>
    <m/>
    <s v="No"/>
    <x v="0"/>
    <d v="2016-01-25T06:13:02"/>
    <n v="7"/>
    <s v="128.205.114.91"/>
    <s v="HD61 -- .E434 2014eb"/>
    <n v="658.15499999999997"/>
    <d v="2014-09-29T00:00:00"/>
  </r>
  <r>
    <x v="487"/>
    <d v="1899-12-30T00:00:13"/>
    <x v="81"/>
    <x v="0"/>
    <s v="Buffalo"/>
    <x v="147"/>
    <n v="1809741"/>
    <x v="0"/>
    <s v="Business/Management"/>
    <s v="9781118963685"/>
    <s v=",1,2,3"/>
    <n v="3"/>
    <m/>
    <m/>
    <s v="No"/>
    <x v="3"/>
    <m/>
    <m/>
    <s v="128.205.114.91"/>
    <s v="HD61 -- .E434 2014eb"/>
    <n v="658.15499999999997"/>
    <d v="2014-09-29T00:00:00"/>
  </r>
  <r>
    <x v="488"/>
    <d v="1899-12-30T00:00:00"/>
    <x v="81"/>
    <x v="0"/>
    <s v="Buffalo"/>
    <x v="145"/>
    <n v="1895835"/>
    <x v="0"/>
    <s v="Economics; Business/Management"/>
    <s v="9781118970997"/>
    <m/>
    <n v="0"/>
    <m/>
    <m/>
    <s v="Yes"/>
    <x v="0"/>
    <d v="2016-01-25T05:31:49"/>
    <n v="7"/>
    <s v="128.205.114.91"/>
    <s v="HG6041 -- .M673 2015eb"/>
    <s v="332.63/228"/>
    <d v="2015-04-13T00:00:00"/>
  </r>
  <r>
    <x v="489"/>
    <d v="1899-12-30T00:00:05"/>
    <x v="81"/>
    <x v="0"/>
    <s v="Buffalo"/>
    <x v="145"/>
    <n v="1895835"/>
    <x v="0"/>
    <s v="Economics; Business/Management"/>
    <s v="9781118970997"/>
    <s v=",1,2,3"/>
    <n v="3"/>
    <m/>
    <m/>
    <s v="No"/>
    <x v="0"/>
    <d v="2016-01-25T05:31:49"/>
    <n v="7"/>
    <s v="128.205.114.91"/>
    <s v="HG6041 -- .M673 2015eb"/>
    <s v="332.63/228"/>
    <d v="2015-04-13T00:00:00"/>
  </r>
  <r>
    <x v="490"/>
    <d v="1899-12-30T00:00:04"/>
    <x v="81"/>
    <x v="0"/>
    <s v="Buffalo"/>
    <x v="145"/>
    <n v="1895835"/>
    <x v="0"/>
    <s v="Economics; Business/Management"/>
    <s v="9781118970997"/>
    <s v=",1,2,3"/>
    <n v="3"/>
    <m/>
    <m/>
    <s v="No"/>
    <x v="0"/>
    <d v="2016-01-25T05:31:49"/>
    <n v="7"/>
    <s v="128.205.114.91"/>
    <s v="HG6041 -- .M673 2015eb"/>
    <s v="332.63/228"/>
    <d v="2015-04-13T00:00:00"/>
  </r>
  <r>
    <x v="491"/>
    <d v="1899-12-30T00:05:16"/>
    <x v="81"/>
    <x v="0"/>
    <s v="Buffalo"/>
    <x v="145"/>
    <n v="1895835"/>
    <x v="0"/>
    <s v="Economics; Business/Management"/>
    <s v="9781118970997"/>
    <s v=",4,5,1,2,3,4,5,6,7,8,8,9,10,11,11,13,12,9,10,8,11,1,2,3,4,5"/>
    <n v="13"/>
    <m/>
    <m/>
    <s v="Yes"/>
    <x v="0"/>
    <d v="2016-01-25T05:31:49"/>
    <n v="7"/>
    <s v="128.205.114.91"/>
    <s v="HG6041 -- .M673 2015eb"/>
    <s v="332.63/228"/>
    <d v="2015-04-13T00:00:00"/>
  </r>
  <r>
    <x v="491"/>
    <d v="1899-12-30T00:00:00"/>
    <x v="81"/>
    <x v="0"/>
    <s v="Buffalo"/>
    <x v="145"/>
    <n v="1895835"/>
    <x v="0"/>
    <s v="Economics; Business/Management"/>
    <s v="9781118970997"/>
    <m/>
    <n v="0"/>
    <m/>
    <m/>
    <s v="No"/>
    <x v="0"/>
    <d v="2016-01-25T05:31:49"/>
    <n v="7"/>
    <s v="128.205.114.91"/>
    <s v="HG6041 -- .M673 2015eb"/>
    <s v="332.63/228"/>
    <d v="2015-04-13T00:00:00"/>
  </r>
  <r>
    <x v="492"/>
    <d v="1899-12-30T00:00:20"/>
    <x v="81"/>
    <x v="0"/>
    <s v="Buffalo"/>
    <x v="145"/>
    <n v="1895835"/>
    <x v="0"/>
    <s v="Economics; Business/Management"/>
    <s v="9781118970997"/>
    <s v=",1,2,3"/>
    <n v="3"/>
    <m/>
    <m/>
    <s v="No"/>
    <x v="3"/>
    <m/>
    <m/>
    <s v="128.205.114.91"/>
    <s v="HG6041 -- .M673 2015eb"/>
    <s v="332.63/228"/>
    <d v="2015-04-13T00:00:00"/>
  </r>
  <r>
    <x v="493"/>
    <d v="1899-12-30T00:04:41"/>
    <x v="129"/>
    <x v="0"/>
    <s v="Buffalo"/>
    <x v="128"/>
    <n v="1895799"/>
    <x v="0"/>
    <s v="Science; Medicine; Science: Anatomy/Physiology"/>
    <s v="9781118953082"/>
    <s v=",1,2,3,114,115,116,112,113,111,110,109,108,107,117,118,119,120,121,122,123,124"/>
    <n v="21"/>
    <m/>
    <m/>
    <s v="No"/>
    <x v="3"/>
    <m/>
    <m/>
    <s v="128.205.114.91"/>
    <s v="RK51 -- .D468 2015eb"/>
    <n v="612.31023617599999"/>
    <d v="2015-04-15T00:00:00"/>
  </r>
  <r>
    <x v="494"/>
    <d v="1899-12-30T00:12:42"/>
    <x v="146"/>
    <x v="0"/>
    <s v="Buffalo"/>
    <x v="148"/>
    <n v="818462"/>
    <x v="0"/>
    <s v="Medicine; Pharmacy"/>
    <s v="9781118140383"/>
    <s v=",39,40,41,42,43,44,45,46,47,48,49,50,51,52,53,54,55,56,57,58,59,60,61,62,63,64,65,66,67,68,69,70,71,72,73,74,75,76,77,78,79,80,81,82,83,84,85,86,87,88,89,90,91,92,93,94,96,97,102,100,103,104,106,105,107,108,109,110,111,112,113,114,115,116,117,118"/>
    <n v="76"/>
    <s v=",33"/>
    <m/>
    <s v="No"/>
    <x v="0"/>
    <d v="2016-01-25T04:56:48"/>
    <n v="7"/>
    <s v="128.205.114.91"/>
    <s v="RM301.5 -- .P48 2011eb"/>
    <s v="615/.7"/>
    <d v="2012-02-29T00:00:00"/>
  </r>
  <r>
    <x v="495"/>
    <d v="1899-12-30T00:01:04"/>
    <x v="146"/>
    <x v="0"/>
    <s v="Buffalo"/>
    <x v="148"/>
    <n v="818462"/>
    <x v="0"/>
    <s v="Medicine; Pharmacy"/>
    <s v="9781118140383"/>
    <s v=",1,2,3,4,5,6,36,37,38,35,33,34,32,31"/>
    <n v="14"/>
    <m/>
    <m/>
    <s v="No"/>
    <x v="1"/>
    <m/>
    <m/>
    <s v="128.205.114.91"/>
    <s v="RM301.5 -- .P48 2011eb"/>
    <s v="615/.7"/>
    <d v="2012-02-29T00:00:00"/>
  </r>
  <r>
    <x v="496"/>
    <d v="1899-12-30T00:52:30"/>
    <x v="147"/>
    <x v="0"/>
    <s v="Buffalo"/>
    <x v="149"/>
    <n v="1579820"/>
    <x v="2"/>
    <s v="Fine Arts"/>
    <s v="9781317928379"/>
    <s v=",172,173,174,175,176,177,178,179,180,181,182,183,184,185,186,187,188"/>
    <n v="17"/>
    <m/>
    <m/>
    <s v="No"/>
    <x v="2"/>
    <d v="2016-01-25T02:45:02"/>
    <n v="1"/>
    <s v="128.205.114.91"/>
    <s v="PN1993.5.R9 -- T7513 2014eb"/>
    <n v="791.43094699999995"/>
    <d v="2013-12-13T00:00:00"/>
  </r>
  <r>
    <x v="497"/>
    <d v="1899-12-30T00:01:42"/>
    <x v="147"/>
    <x v="0"/>
    <s v="Buffalo"/>
    <x v="149"/>
    <n v="1579820"/>
    <x v="2"/>
    <s v="Fine Arts"/>
    <s v="9781317928379"/>
    <s v=",1,2,3,160,161,162,158,159,163,164,165,166,167,168,169,170,171"/>
    <n v="17"/>
    <m/>
    <m/>
    <s v="No"/>
    <x v="3"/>
    <m/>
    <m/>
    <s v="128.205.114.91"/>
    <s v="PN1993.5.R9 -- T7513 2014eb"/>
    <n v="791.43094699999995"/>
    <d v="2013-12-13T00:00:00"/>
  </r>
  <r>
    <x v="498"/>
    <d v="1899-12-30T00:00:06"/>
    <x v="148"/>
    <x v="1"/>
    <s v="brockport"/>
    <x v="150"/>
    <n v="1882108"/>
    <x v="3"/>
    <s v="Literature"/>
    <s v="9780520961326"/>
    <s v=",1,2,3"/>
    <n v="3"/>
    <m/>
    <m/>
    <s v="No"/>
    <x v="1"/>
    <m/>
    <m/>
    <s v="137.21.7.121"/>
    <s v="PA4025.A2 -- .H664 2015eb"/>
    <n v="883"/>
    <d v="2015-05-14T00:00:00"/>
  </r>
  <r>
    <x v="499"/>
    <d v="1899-12-30T00:00:54"/>
    <x v="148"/>
    <x v="1"/>
    <s v="brockport"/>
    <x v="58"/>
    <n v="822062"/>
    <x v="0"/>
    <s v="Political Science; Literature; Fiction"/>
    <s v="9780857083272"/>
    <s v=",1,2,3,10,11,12,8,9"/>
    <n v="8"/>
    <m/>
    <m/>
    <s v="No"/>
    <x v="1"/>
    <m/>
    <m/>
    <s v="137.21.7.121"/>
    <s v="PA4279 -- .R4 2012eb"/>
    <s v="321.07; 321/.07"/>
    <d v="2012-04-26T00:00:00"/>
  </r>
  <r>
    <x v="500"/>
    <d v="1899-12-30T00:03:05"/>
    <x v="149"/>
    <x v="0"/>
    <s v="Buffalo"/>
    <x v="151"/>
    <n v="4189578"/>
    <x v="0"/>
    <m/>
    <s v="9781119084334"/>
    <s v=",1,2,3,4,5,6"/>
    <n v="6"/>
    <m/>
    <m/>
    <s v="No"/>
    <x v="3"/>
    <m/>
    <m/>
    <s v="128.205.114.91"/>
    <m/>
    <m/>
    <d v="2015-12-11T00:00:00"/>
  </r>
  <r>
    <x v="501"/>
    <d v="1899-12-30T00:00:03"/>
    <x v="149"/>
    <x v="0"/>
    <s v="Buffalo"/>
    <x v="151"/>
    <n v="968030"/>
    <x v="0"/>
    <s v="Psychology"/>
    <s v="9781118285138"/>
    <s v=",1,2,3"/>
    <n v="3"/>
    <m/>
    <m/>
    <s v="No"/>
    <x v="1"/>
    <m/>
    <m/>
    <s v="128.205.114.91"/>
    <s v="BF637.C6 -- S85 2013eb"/>
    <n v="158.30000000000001"/>
    <d v="2012-07-10T00:00:00"/>
  </r>
  <r>
    <x v="502"/>
    <d v="1899-12-30T00:30:34"/>
    <x v="150"/>
    <x v="0"/>
    <s v="Buffalo"/>
    <x v="152"/>
    <n v="330580"/>
    <x v="4"/>
    <s v="Medicine"/>
    <s v="9781593859398"/>
    <s v=",1,2,3,5,6,7,4,74,95,123,133,142,155,165,166,167,168,164,169,170,168,169,170,166,167,171,172,173,174,175,176,177,178,179,180,181"/>
    <n v="31"/>
    <m/>
    <m/>
    <s v="No"/>
    <x v="0"/>
    <d v="2016-01-21T20:39:17"/>
    <n v="7"/>
    <s v="128.205.114.91"/>
    <s v="RC489.C63 -- M55 2004eb"/>
    <n v="616.89142000000004"/>
    <d v="2014-05-14T00:00:00"/>
  </r>
  <r>
    <x v="503"/>
    <d v="1899-12-30T02:18:16"/>
    <x v="151"/>
    <x v="1"/>
    <s v="brockport"/>
    <x v="45"/>
    <n v="1691426"/>
    <x v="0"/>
    <s v="Social Science; Health"/>
    <s v="9781118839492"/>
    <s v=",1,2,3,13,37,41,56,57,58,122,153,171,174,178,179,180,181,177,176,175,182,183,184,185,186,187,188,189,190,191,192,193,194,195,196,197,198,199,200,201,202,409,306,214,215,216,213,212,186,205,206,207,203,204,265,266,267,263,264,268,269,270,271,272,273,274,275,276,277,278,279,280,281,282,283,284,285,286,287,288,289,290,291,292,293,294,295,296,297,298,299,300,301,302,303,304,305,307,308,309,310,311,312,313,314,315,316,317,318,319,320,321,322,323,324,325,326,327,328,329,330,331,332,333,334,335,336,337,338,339,340,341,342,343,344,345,346,347,348,349,350,351,352,353,354,355"/>
    <n v="145"/>
    <m/>
    <m/>
    <s v="No"/>
    <x v="0"/>
    <d v="2016-01-24T00:39:17"/>
    <n v="7"/>
    <s v="137.21.7.121"/>
    <s v="RA781.7 -- .P396 2014eb"/>
    <n v="613.70460000000003"/>
    <d v="2014-05-13T00:00:00"/>
  </r>
  <r>
    <x v="504"/>
    <d v="1899-12-30T00:00:00"/>
    <x v="96"/>
    <x v="0"/>
    <s v="Buffalo"/>
    <x v="98"/>
    <n v="735603"/>
    <x v="4"/>
    <s v="Medicine"/>
    <s v="9781609184971"/>
    <m/>
    <n v="0"/>
    <m/>
    <m/>
    <s v="Yes"/>
    <x v="2"/>
    <d v="2016-01-24T04:26:33"/>
    <n v="7"/>
    <s v="128.205.114.91"/>
    <s v="RC489.T95 -- M38 2011eb"/>
    <n v="616.89170000000001"/>
    <d v="2014-05-14T00:00:00"/>
  </r>
  <r>
    <x v="505"/>
    <d v="1899-12-30T00:00:22"/>
    <x v="96"/>
    <x v="0"/>
    <s v="Buffalo"/>
    <x v="98"/>
    <n v="735603"/>
    <x v="4"/>
    <s v="Medicine"/>
    <s v="9781609184971"/>
    <s v=",1,2,3,1,1"/>
    <n v="3"/>
    <m/>
    <m/>
    <s v="Yes"/>
    <x v="2"/>
    <d v="2016-01-24T04:26:33"/>
    <n v="7"/>
    <s v="128.205.114.91"/>
    <s v="RC489.T95 -- M38 2011eb"/>
    <n v="616.89170000000001"/>
    <d v="2014-05-14T00:00:00"/>
  </r>
  <r>
    <x v="506"/>
    <d v="1899-12-30T00:00:03"/>
    <x v="96"/>
    <x v="0"/>
    <s v="Buffalo"/>
    <x v="98"/>
    <n v="735603"/>
    <x v="4"/>
    <s v="Medicine"/>
    <s v="9781609184971"/>
    <s v=",1,2,3"/>
    <n v="3"/>
    <m/>
    <m/>
    <s v="No"/>
    <x v="2"/>
    <d v="2016-01-24T04:26:33"/>
    <n v="7"/>
    <s v="128.205.114.91"/>
    <s v="RC489.T95 -- M38 2011eb"/>
    <n v="616.89170000000001"/>
    <d v="2014-05-14T00:00:00"/>
  </r>
  <r>
    <x v="507"/>
    <d v="1899-12-30T00:03:52"/>
    <x v="152"/>
    <x v="6"/>
    <s v="sjfc"/>
    <x v="135"/>
    <n v="544120"/>
    <x v="4"/>
    <s v="Education"/>
    <s v="9781606238561"/>
    <s v=",1,2,3,4,5,6,7,8,9,11,10,12,13,14,15,16,17,18,19,20,21,23,22,24,25,26,27,28,85,84,81,83,82,86,87,88,89,90,91,92"/>
    <n v="40"/>
    <m/>
    <m/>
    <s v="No"/>
    <x v="3"/>
    <m/>
    <m/>
    <s v="149.69.254.57"/>
    <s v="LB1050.5 -- .S228 2010eb"/>
    <n v="372.43"/>
    <d v="2014-05-14T00:00:00"/>
  </r>
  <r>
    <x v="508"/>
    <d v="1899-12-30T00:01:28"/>
    <x v="153"/>
    <x v="0"/>
    <s v="Buffalo"/>
    <x v="153"/>
    <n v="3564347"/>
    <x v="5"/>
    <s v="History; Social Science"/>
    <s v="9781479883851"/>
    <s v=",1,2,3,6,7,8,4,5"/>
    <n v="8"/>
    <m/>
    <m/>
    <s v="No"/>
    <x v="3"/>
    <m/>
    <m/>
    <s v="128.205.114.91"/>
    <s v="E184.A75 -- .K499 2015eb"/>
    <s v="305.895/073"/>
    <d v="2015-05-08T00:00:00"/>
  </r>
  <r>
    <x v="509"/>
    <d v="1899-12-30T00:03:26"/>
    <x v="147"/>
    <x v="0"/>
    <s v="Buffalo"/>
    <x v="149"/>
    <n v="1579820"/>
    <x v="2"/>
    <s v="Fine Arts"/>
    <s v="9781317928379"/>
    <s v=",1,2,3,4,5,6,7,8,9,10,11,12,160,161,162,158,159,163,170,171,172,169,173,174,175,176,177,178,179,180"/>
    <n v="30"/>
    <m/>
    <m/>
    <s v="No"/>
    <x v="3"/>
    <m/>
    <m/>
    <s v="128.205.114.91"/>
    <s v="PN1993.5.R9 -- T7513 2014eb"/>
    <n v="791.43094699999995"/>
    <d v="2013-12-13T00:00:00"/>
  </r>
  <r>
    <x v="510"/>
    <d v="1899-12-30T00:08:45"/>
    <x v="154"/>
    <x v="1"/>
    <s v="brockport"/>
    <x v="45"/>
    <n v="1691426"/>
    <x v="0"/>
    <s v="Social Science; Health"/>
    <s v="9781118839492"/>
    <s v=",1,2,3,177,178,179,175,181,182,183,180,184,185,186,187,275,277,276,274,273,177,178,179,175,176,9,10,11,7,8,256,257,258,254,255,145,146,147,143,144,331,354,355,356,352,353"/>
    <n v="42"/>
    <m/>
    <m/>
    <s v="No"/>
    <x v="0"/>
    <d v="2016-01-20T06:14:51"/>
    <n v="7"/>
    <s v="137.21.7.121"/>
    <s v="RA781.7 -- .P396 2014eb"/>
    <n v="613.70460000000003"/>
    <d v="2014-05-13T00:00:00"/>
  </r>
  <r>
    <x v="511"/>
    <d v="1899-12-30T00:01:36"/>
    <x v="155"/>
    <x v="0"/>
    <s v="Buffalo"/>
    <x v="154"/>
    <n v="1895740"/>
    <x v="0"/>
    <s v="Education"/>
    <s v="9781118911419"/>
    <s v=",1,2,3,4,5,6,7,8,9,10,11,12,13,14,15,16,17,18,19,20,21,22,23,24,25,26"/>
    <n v="26"/>
    <m/>
    <m/>
    <s v="No"/>
    <x v="1"/>
    <m/>
    <m/>
    <s v="128.205.114.91"/>
    <s v="LB2353.57 .W384 2015"/>
    <n v="378.1662"/>
    <d v="2015-03-19T00:00:00"/>
  </r>
  <r>
    <x v="512"/>
    <d v="1899-12-30T00:05:01"/>
    <x v="156"/>
    <x v="0"/>
    <s v="Buffalo"/>
    <x v="155"/>
    <n v="1866477"/>
    <x v="11"/>
    <s v="Literature"/>
    <s v="9780226187877"/>
    <s v=",16,16,17,17,18,18,19,19,20,20,21,21,22,22"/>
    <n v="7"/>
    <m/>
    <m/>
    <s v="No"/>
    <x v="2"/>
    <d v="2016-01-24T22:15:17"/>
    <n v="1"/>
    <s v="128.205.114.91"/>
    <s v="PN56"/>
    <s v="809/.9335206643"/>
    <d v="2014-12-05T00:00:00"/>
  </r>
  <r>
    <x v="513"/>
    <d v="1899-12-30T00:06:10"/>
    <x v="156"/>
    <x v="0"/>
    <s v="Buffalo"/>
    <x v="155"/>
    <n v="1866477"/>
    <x v="11"/>
    <s v="Literature"/>
    <s v="9780226187877"/>
    <s v=",1,2,2,1,3,3,2,2,4,5,4,5,6,6,7,7,8,9,8,9,3,8,9,10,10,11,11,12,13,12,14,15,13,14,15,15"/>
    <n v="15"/>
    <m/>
    <m/>
    <s v="No"/>
    <x v="3"/>
    <m/>
    <m/>
    <s v="128.205.114.91"/>
    <s v="PN56"/>
    <s v="809/.9335206643"/>
    <d v="2014-12-05T00:00:00"/>
  </r>
  <r>
    <x v="514"/>
    <d v="1899-12-30T00:21:03"/>
    <x v="154"/>
    <x v="1"/>
    <s v="brockport"/>
    <x v="45"/>
    <n v="1691426"/>
    <x v="0"/>
    <s v="Social Science; Health"/>
    <s v="9781118839492"/>
    <s v=",1,2,3,28,29,30,26,27,31,38,28,29,31,32,33,35,37,34,341,342,343,339,340,408,409,410,406,407,35,36,37,33,344,339"/>
    <n v="27"/>
    <m/>
    <m/>
    <s v="No"/>
    <x v="0"/>
    <d v="2016-01-20T06:14:51"/>
    <n v="7"/>
    <s v="137.21.7.121"/>
    <s v="RA781.7 -- .P396 2014eb"/>
    <n v="613.70460000000003"/>
    <d v="2014-05-13T00:00:00"/>
  </r>
  <r>
    <x v="515"/>
    <d v="1899-12-30T00:00:15"/>
    <x v="157"/>
    <x v="6"/>
    <s v="sjfc"/>
    <x v="156"/>
    <n v="1166796"/>
    <x v="0"/>
    <s v="Philosophy"/>
    <s v="9780745663944"/>
    <s v=",15,16,17,18,25,33,34,35,31,32"/>
    <n v="10"/>
    <m/>
    <m/>
    <s v="No"/>
    <x v="2"/>
    <d v="2016-01-24T21:58:09"/>
    <n v="1"/>
    <s v="149.69.254.57"/>
    <s v="B945.K794 B874 2013"/>
    <n v="191"/>
    <d v="2013-04-03T00:00:00"/>
  </r>
  <r>
    <x v="516"/>
    <d v="1899-12-30T00:08:31"/>
    <x v="157"/>
    <x v="6"/>
    <s v="sjfc"/>
    <x v="156"/>
    <n v="1166796"/>
    <x v="0"/>
    <s v="Philosophy"/>
    <s v="9780745663944"/>
    <s v=",1,2,3,4,5,6,7,8,9,10,11,12"/>
    <n v="12"/>
    <m/>
    <m/>
    <s v="No"/>
    <x v="3"/>
    <m/>
    <m/>
    <s v="149.69.254.57"/>
    <s v="B945.K794 B874 2013"/>
    <n v="191"/>
    <d v="2013-04-03T00:00:00"/>
  </r>
  <r>
    <x v="517"/>
    <d v="1899-12-30T00:01:06"/>
    <x v="158"/>
    <x v="0"/>
    <s v="Buffalo"/>
    <x v="39"/>
    <n v="1569855"/>
    <x v="2"/>
    <s v="History; Political Science"/>
    <s v="9781317863878"/>
    <s v=",1,2,3,4,5,76,77,78,74,75,73,6,7"/>
    <n v="13"/>
    <m/>
    <m/>
    <s v="No"/>
    <x v="3"/>
    <m/>
    <m/>
    <s v="128.205.114.91"/>
    <s v="E183.8.S65 -- M33 2013eb"/>
    <n v="327.47073"/>
    <d v="2013-11-04T00:00:00"/>
  </r>
  <r>
    <x v="518"/>
    <d v="1899-12-30T00:01:09"/>
    <x v="68"/>
    <x v="6"/>
    <s v="sjfc"/>
    <x v="74"/>
    <n v="768534"/>
    <x v="10"/>
    <s v="History; Geography/Travel"/>
    <s v="9781400839704"/>
    <s v=",1,2,3,53,54,55,51,52"/>
    <n v="8"/>
    <s v=",53,53"/>
    <m/>
    <s v="No"/>
    <x v="1"/>
    <m/>
    <m/>
    <s v="149.69.254.57"/>
    <s v="E839 -- .B59 2012eb"/>
    <s v="909.82/7"/>
    <d v="2011-10-31T00:00:00"/>
  </r>
  <r>
    <x v="519"/>
    <d v="1899-12-30T00:01:36"/>
    <x v="159"/>
    <x v="6"/>
    <s v="sjfc"/>
    <x v="157"/>
    <n v="1480778"/>
    <x v="2"/>
    <s v="Education"/>
    <s v="9781317801290"/>
    <s v=",1,2,3,4,5,6,26,27,28,24,25,29,30,31,32,33,34,35,36"/>
    <n v="19"/>
    <m/>
    <m/>
    <s v="No"/>
    <x v="3"/>
    <m/>
    <m/>
    <s v="149.69.254.57"/>
    <s v="LB1028.46 -- .B47 2013eb"/>
    <n v="371.334"/>
    <d v="2013-10-15T00:00:00"/>
  </r>
  <r>
    <x v="520"/>
    <d v="1899-12-30T00:14:37"/>
    <x v="138"/>
    <x v="0"/>
    <s v="Buffalo"/>
    <x v="137"/>
    <n v="3038474"/>
    <x v="11"/>
    <s v="Social Science"/>
    <s v="9780226925233"/>
    <s v=",1,169,170,171,167,168,172,181,182,183,179,189,195,196,197,2,203,204,205,201,202,207,208,209,206,210,211,212,198,173,150,157,163,174,175,174"/>
    <n v="35"/>
    <m/>
    <m/>
    <s v="No"/>
    <x v="2"/>
    <d v="2016-01-24T19:37:51"/>
    <n v="1"/>
    <s v="128.205.114.91"/>
    <s v="HM1166 -- .E93 2013eb"/>
    <n v="302.2"/>
    <d v="2013-12-01T00:00:00"/>
  </r>
  <r>
    <x v="521"/>
    <d v="1899-12-30T00:02:14"/>
    <x v="103"/>
    <x v="0"/>
    <s v="Buffalo"/>
    <x v="64"/>
    <n v="836614"/>
    <x v="9"/>
    <s v="Language/Linguistics"/>
    <s v="9781118315958"/>
    <s v=",1,2,3,9,10,11,7,8,5,3,4,5,6,7,8,9,10,11,12,13"/>
    <n v="13"/>
    <m/>
    <m/>
    <s v="No"/>
    <x v="0"/>
    <d v="2016-01-23T21:13:46"/>
    <n v="7"/>
    <s v="128.205.114.91"/>
    <s v="P217 -- .H346 2009eb"/>
    <n v="414"/>
    <d v="2011-12-15T00:00:00"/>
  </r>
  <r>
    <x v="522"/>
    <d v="1899-12-30T00:43:59"/>
    <x v="138"/>
    <x v="0"/>
    <s v="Buffalo"/>
    <x v="137"/>
    <n v="3038474"/>
    <x v="11"/>
    <s v="Social Science"/>
    <s v="9780226925233"/>
    <s v=",1,2,3,158,159,160,156,157,161,162,163,165,163,161,164,162,166,167,168,169"/>
    <n v="17"/>
    <m/>
    <m/>
    <s v="No"/>
    <x v="3"/>
    <m/>
    <m/>
    <s v="128.205.114.91"/>
    <s v="HM1166 -- .E93 2013eb"/>
    <n v="302.2"/>
    <d v="2013-12-01T00:00:00"/>
  </r>
  <r>
    <x v="523"/>
    <d v="1899-12-30T00:08:47"/>
    <x v="160"/>
    <x v="0"/>
    <s v="Buffalo"/>
    <x v="158"/>
    <n v="1895499"/>
    <x v="0"/>
    <s v="Mathematics"/>
    <s v="9781118575482"/>
    <s v=",70,71,72,73,157,159,155,156,56,57,58,54,55,59,60,61,62,63,64,66,67,68,65,67,64,63,62,60,61,68,69,70,67,71,72"/>
    <n v="24"/>
    <m/>
    <m/>
    <s v="No"/>
    <x v="0"/>
    <d v="2016-01-24T18:53:26"/>
    <n v="7"/>
    <s v="128.205.114.91"/>
    <s v="QA276.8 -- .S368 2015eb"/>
    <s v="519.5/35"/>
    <d v="2015-03-12T00:00:00"/>
  </r>
  <r>
    <x v="524"/>
    <d v="1899-12-30T00:12:14"/>
    <x v="160"/>
    <x v="0"/>
    <s v="Buffalo"/>
    <x v="158"/>
    <n v="1895499"/>
    <x v="0"/>
    <s v="Mathematics"/>
    <s v="9781118575482"/>
    <s v=",1,2,3,4,56,57,58,54,59,55,60,61,62,63,64,65,66,67,68,69"/>
    <n v="20"/>
    <m/>
    <m/>
    <s v="No"/>
    <x v="3"/>
    <m/>
    <m/>
    <s v="128.205.114.91"/>
    <s v="QA276.8 -- .S368 2015eb"/>
    <s v="519.5/35"/>
    <d v="2015-03-12T00:00:00"/>
  </r>
  <r>
    <x v="525"/>
    <d v="1899-12-30T00:25:36"/>
    <x v="161"/>
    <x v="0"/>
    <s v="Buffalo"/>
    <x v="159"/>
    <n v="1895171"/>
    <x v="0"/>
    <s v="Computer Science/IT"/>
    <s v="9781118961759"/>
    <s v=",28,29,29,35,36,37,33,34,32,31,30,29,28,27,28,27,37,38,39,40"/>
    <n v="14"/>
    <m/>
    <m/>
    <s v="No"/>
    <x v="0"/>
    <d v="2016-01-24T18:16:44"/>
    <n v="7"/>
    <s v="128.205.114.91"/>
    <s v="TK5105.888 .B384 2015"/>
    <n v="6.76"/>
    <d v="2015-03-31T00:00:00"/>
  </r>
  <r>
    <x v="526"/>
    <d v="1899-12-30T00:07:29"/>
    <x v="161"/>
    <x v="0"/>
    <s v="Buffalo"/>
    <x v="159"/>
    <n v="1895171"/>
    <x v="0"/>
    <s v="Computer Science/IT"/>
    <s v="9781118961759"/>
    <s v=",1,2,3,1,19,20,21,17,18,19,35,36,37,33,34,35,19,25,19,20,25,25,26,27,24,23,25,26,27,23,24,32,31,10,1,2,3,26,27"/>
    <n v="21"/>
    <m/>
    <m/>
    <s v="No"/>
    <x v="3"/>
    <m/>
    <m/>
    <s v="128.205.114.91"/>
    <s v="TK5105.888 .B384 2015"/>
    <n v="6.76"/>
    <d v="2015-03-31T00:00:00"/>
  </r>
  <r>
    <x v="527"/>
    <d v="1899-12-30T00:00:12"/>
    <x v="162"/>
    <x v="0"/>
    <s v="Buffalo"/>
    <x v="8"/>
    <n v="1683360"/>
    <x v="4"/>
    <s v="General Works/Reference; Social Science"/>
    <s v="9781462516032"/>
    <s v=",1,2,3,4,5,8,9,10"/>
    <n v="8"/>
    <m/>
    <m/>
    <s v="No"/>
    <x v="1"/>
    <m/>
    <m/>
    <s v="128.205.114.91"/>
    <s v="H62 -- .S454 2014eb"/>
    <n v="1.42"/>
    <d v="2014-07-03T00:00:00"/>
  </r>
  <r>
    <x v="528"/>
    <d v="1899-12-30T00:00:12"/>
    <x v="162"/>
    <x v="0"/>
    <s v="Buffalo"/>
    <x v="8"/>
    <n v="1683360"/>
    <x v="4"/>
    <s v="General Works/Reference; Social Science"/>
    <s v="9781462516032"/>
    <s v=",1,2,3,4,5,3"/>
    <n v="5"/>
    <m/>
    <m/>
    <s v="No"/>
    <x v="1"/>
    <m/>
    <m/>
    <s v="128.205.114.91"/>
    <s v="H62 -- .S454 2014eb"/>
    <n v="1.42"/>
    <d v="2014-07-03T00:00:00"/>
  </r>
  <r>
    <x v="529"/>
    <d v="1899-12-30T00:00:03"/>
    <x v="163"/>
    <x v="1"/>
    <s v="brockport"/>
    <x v="160"/>
    <n v="4042995"/>
    <x v="0"/>
    <s v="Language/Linguistics"/>
    <s v="9781118391433"/>
    <s v=",1"/>
    <n v="1"/>
    <s v=",1"/>
    <m/>
    <s v="No"/>
    <x v="0"/>
    <d v="2016-01-24T15:00:28"/>
    <n v="7"/>
    <s v="137.21.7.121"/>
    <s v="PE2841 -- .W654 2016eb"/>
    <s v="427/.973"/>
    <d v="2015-10-19T00:00:00"/>
  </r>
  <r>
    <x v="530"/>
    <d v="1899-12-30T00:00:26"/>
    <x v="163"/>
    <x v="1"/>
    <s v="brockport"/>
    <x v="160"/>
    <n v="4042995"/>
    <x v="0"/>
    <s v="Language/Linguistics"/>
    <s v="9781118391433"/>
    <s v=",1,2,3,4,1"/>
    <n v="4"/>
    <m/>
    <m/>
    <s v="No"/>
    <x v="3"/>
    <m/>
    <m/>
    <s v="137.21.7.121"/>
    <s v="PE2841 -- .W654 2016eb"/>
    <s v="427/.973"/>
    <d v="2015-10-19T00:00:00"/>
  </r>
  <r>
    <x v="531"/>
    <d v="1899-12-30T00:06:05"/>
    <x v="164"/>
    <x v="0"/>
    <s v="Buffalo"/>
    <x v="161"/>
    <n v="821663"/>
    <x v="0"/>
    <s v="Architecture"/>
    <s v="9781118168479"/>
    <s v=",1,2,3,21,22,23,19,20,24,25,26,27,28,29,30,31,32,33,34,35,36,37,38,39"/>
    <n v="24"/>
    <m/>
    <m/>
    <s v="No"/>
    <x v="1"/>
    <m/>
    <m/>
    <s v="128.205.114.91"/>
    <s v="NA2547 -- .S74 2012eb"/>
    <n v="729"/>
    <d v="2012-03-05T00:00:00"/>
  </r>
  <r>
    <x v="532"/>
    <d v="1899-12-30T00:00:41"/>
    <x v="165"/>
    <x v="1"/>
    <s v="brockport"/>
    <x v="162"/>
    <n v="698666"/>
    <x v="0"/>
    <s v="Social Science; Business/Management"/>
    <s v="9780470391334"/>
    <s v=",31,32,33,34,35"/>
    <n v="5"/>
    <m/>
    <m/>
    <s v="No"/>
    <x v="0"/>
    <d v="2016-01-24T10:25:37"/>
    <n v="7"/>
    <s v="137.21.7.121"/>
    <s v="HG8781 -- .K583 2008eb"/>
    <s v="368/.01"/>
    <d v="2012-01-25T00:00:00"/>
  </r>
  <r>
    <x v="533"/>
    <d v="1899-12-30T00:10:05"/>
    <x v="165"/>
    <x v="1"/>
    <s v="brockport"/>
    <x v="162"/>
    <n v="698666"/>
    <x v="0"/>
    <s v="Social Science; Business/Management"/>
    <s v="9780470391334"/>
    <s v=",1,2,3,7,8,9,5,6,10,11,12,13,14,15,16,17,18,19,20,21,22,25,26,23,24,27,28,29,30"/>
    <n v="29"/>
    <m/>
    <m/>
    <s v="No"/>
    <x v="1"/>
    <m/>
    <m/>
    <s v="137.21.7.121"/>
    <s v="HG8781 -- .K583 2008eb"/>
    <s v="368/.01"/>
    <d v="2012-01-25T00:00:00"/>
  </r>
  <r>
    <x v="534"/>
    <d v="1899-12-30T00:03:45"/>
    <x v="165"/>
    <x v="1"/>
    <s v="brockport"/>
    <x v="163"/>
    <n v="1826894"/>
    <x v="0"/>
    <s v="Social Science; Business/Management"/>
    <s v="9781118782491"/>
    <s v=",308,309,310,311,312,313,314,315,316,317,318,319,320,321,323,324,325,322"/>
    <n v="18"/>
    <m/>
    <m/>
    <s v="No"/>
    <x v="2"/>
    <d v="2016-01-24T10:11:50"/>
    <n v="1"/>
    <s v="137.21.7.121"/>
    <s v="HG8781 -- .P76 2015eb"/>
    <s v="368/.01"/>
    <d v="2014-10-27T00:00:00"/>
  </r>
  <r>
    <x v="535"/>
    <d v="1899-12-30T00:07:04"/>
    <x v="165"/>
    <x v="1"/>
    <s v="brockport"/>
    <x v="163"/>
    <n v="1826894"/>
    <x v="0"/>
    <s v="Social Science; Business/Management"/>
    <s v="9781118782491"/>
    <s v=",1,2,3,9,10,11,7,8,12,13,14,15,16,17,18,19,20,21,22,305,306,307,303,304"/>
    <n v="24"/>
    <m/>
    <m/>
    <s v="No"/>
    <x v="3"/>
    <m/>
    <m/>
    <s v="137.21.7.121"/>
    <s v="HG8781 -- .P76 2015eb"/>
    <s v="368/.01"/>
    <d v="2014-10-27T00:00:00"/>
  </r>
  <r>
    <x v="536"/>
    <d v="1899-12-30T00:06:23"/>
    <x v="165"/>
    <x v="1"/>
    <s v="brockport"/>
    <x v="164"/>
    <n v="1744258"/>
    <x v="0"/>
    <s v="Mathematics"/>
    <s v="9781118776162"/>
    <s v=",1,7,8,9,5,6,2,10,11,12,13,14,17,18,19,16,15,20,18,19,20,17,16,22,21,45,46,47,43,44,48"/>
    <n v="26"/>
    <m/>
    <m/>
    <s v="No"/>
    <x v="1"/>
    <m/>
    <m/>
    <s v="137.21.7.121"/>
    <s v="QA139 -- .S73 2014eb"/>
    <n v="513.07600000000002"/>
    <d v="2014-07-15T00:00:00"/>
  </r>
  <r>
    <x v="537"/>
    <d v="1899-12-30T00:04:19"/>
    <x v="166"/>
    <x v="0"/>
    <s v="Buffalo"/>
    <x v="1"/>
    <n v="1684620"/>
    <x v="0"/>
    <s v="Health; Social Science"/>
    <s v="9781118418925"/>
    <s v=",1,26,27,28,24,25,2,29,31,32,33,30,34,35,36,37,38,39,40,41,42,43,44,45,46,47,50,51,52,49,48,79,77,78,75,87,88,89,85,86,123,122,124,121,120,125"/>
    <n v="46"/>
    <m/>
    <m/>
    <s v="No"/>
    <x v="1"/>
    <m/>
    <m/>
    <s v="128.205.114.91"/>
    <s v="RA971 -- .S56 2014eb"/>
    <n v="362.10680000000002"/>
    <d v="2014-04-30T00:00:00"/>
  </r>
  <r>
    <x v="538"/>
    <d v="1899-12-30T00:05:43"/>
    <x v="96"/>
    <x v="0"/>
    <s v="Buffalo"/>
    <x v="98"/>
    <n v="735603"/>
    <x v="4"/>
    <s v="Medicine"/>
    <s v="9781609184971"/>
    <s v=",1,2,3,4,11,12,13,14,10,30,31,32,36,37,38,34,35,39,40,41,42,43,44,1,44,45,46,42,43,40,41,39,38,2"/>
    <n v="25"/>
    <m/>
    <m/>
    <s v="No"/>
    <x v="2"/>
    <d v="2016-01-24T04:26:33"/>
    <n v="7"/>
    <s v="128.205.114.91"/>
    <s v="RC489.T95 -- M38 2011eb"/>
    <n v="616.89170000000001"/>
    <d v="2014-05-14T00:00:00"/>
  </r>
  <r>
    <x v="539"/>
    <d v="1899-12-30T00:14:08"/>
    <x v="96"/>
    <x v="0"/>
    <s v="Buffalo"/>
    <x v="98"/>
    <n v="735603"/>
    <x v="4"/>
    <s v="Medicine"/>
    <s v="9781609184971"/>
    <s v=",1,2,3,4,5,6,7,8,9,10,11,12,13,14,15,16,17,18,19,20,21,22,23,24,25,26,27,28,29,30,31,32,33,34,35,36,37,38,39,40,41,42,43,44,45,46"/>
    <n v="46"/>
    <m/>
    <m/>
    <s v="Yes"/>
    <x v="2"/>
    <d v="2016-01-24T04:26:33"/>
    <n v="7"/>
    <s v="128.205.114.91"/>
    <s v="RC489.T95 -- M38 2011eb"/>
    <n v="616.89170000000001"/>
    <d v="2014-05-14T00:00:00"/>
  </r>
  <r>
    <x v="539"/>
    <d v="1899-12-30T00:00:00"/>
    <x v="96"/>
    <x v="0"/>
    <s v="Buffalo"/>
    <x v="98"/>
    <n v="735603"/>
    <x v="4"/>
    <s v="Medicine"/>
    <s v="9781609184971"/>
    <m/>
    <n v="0"/>
    <m/>
    <m/>
    <s v="No"/>
    <x v="2"/>
    <d v="2016-01-24T04:26:33"/>
    <n v="7"/>
    <s v="128.205.114.91"/>
    <s v="RC489.T95 -- M38 2011eb"/>
    <n v="616.89170000000001"/>
    <d v="2014-05-14T00:00:00"/>
  </r>
  <r>
    <x v="540"/>
    <d v="1899-12-30T00:01:26"/>
    <x v="96"/>
    <x v="0"/>
    <s v="Buffalo"/>
    <x v="98"/>
    <n v="735603"/>
    <x v="4"/>
    <s v="Medicine"/>
    <s v="9781609184971"/>
    <s v=",1,2,3,24,25,26,22,23,27,21,20,22,22"/>
    <n v="11"/>
    <m/>
    <m/>
    <s v="No"/>
    <x v="3"/>
    <m/>
    <m/>
    <s v="128.205.114.91"/>
    <s v="RC489.T95 -- M38 2011eb"/>
    <n v="616.89170000000001"/>
    <d v="2014-05-14T00:00:00"/>
  </r>
  <r>
    <x v="541"/>
    <d v="1899-12-30T00:00:47"/>
    <x v="161"/>
    <x v="0"/>
    <s v="Buffalo"/>
    <x v="165"/>
    <n v="1662668"/>
    <x v="0"/>
    <s v="Computer Science/IT"/>
    <s v="9781118810095"/>
    <s v=",1,2,3,4,5,6,7,8,9,10,11,12,13,14,15,16,17,18,19,20,21,22,23,24,25"/>
    <n v="25"/>
    <m/>
    <m/>
    <s v="No"/>
    <x v="1"/>
    <m/>
    <m/>
    <s v="128.205.114.91"/>
    <s v="QA76.9 .D343"/>
    <s v="006.3; 006.312"/>
    <d v="2014-03-24T00:00:00"/>
  </r>
  <r>
    <x v="542"/>
    <d v="1899-12-30T00:43:04"/>
    <x v="167"/>
    <x v="0"/>
    <s v="Buffalo"/>
    <x v="166"/>
    <n v="1597998"/>
    <x v="0"/>
    <s v="Philosophy"/>
    <s v="9781118479834"/>
    <s v=",72,73,74,74,1,76,75,72,73,2,71,70,69,68,67,66,65"/>
    <n v="14"/>
    <m/>
    <m/>
    <s v="No"/>
    <x v="0"/>
    <d v="2016-01-24T03:34:29"/>
    <n v="7"/>
    <s v="128.205.114.91"/>
    <s v="BJ1031 -- .C668 2014eb"/>
    <n v="170"/>
    <d v="2014-01-14T00:00:00"/>
  </r>
  <r>
    <x v="543"/>
    <d v="1899-12-30T00:11:27"/>
    <x v="167"/>
    <x v="0"/>
    <s v="Buffalo"/>
    <x v="166"/>
    <n v="1597998"/>
    <x v="0"/>
    <s v="Philosophy"/>
    <s v="9781118479834"/>
    <s v=",1,2,3,4,67,68,69,65,66,70,71"/>
    <n v="11"/>
    <m/>
    <m/>
    <s v="No"/>
    <x v="1"/>
    <m/>
    <m/>
    <s v="128.205.114.91"/>
    <s v="BJ1031 -- .C668 2014eb"/>
    <n v="170"/>
    <d v="2014-01-14T00:00:00"/>
  </r>
  <r>
    <x v="544"/>
    <d v="1899-12-30T00:00:22"/>
    <x v="168"/>
    <x v="0"/>
    <s v="Buffalo"/>
    <x v="167"/>
    <n v="1746990"/>
    <x v="1"/>
    <s v="Business/Management"/>
    <s v="9781472432100"/>
    <s v=",1,18,19,20,16,17,21,22,2"/>
    <n v="9"/>
    <m/>
    <m/>
    <s v="No"/>
    <x v="3"/>
    <m/>
    <m/>
    <s v="128.205.114.91"/>
    <s v="HF5548.37 -- .T74 2014eb"/>
    <s v="658.4/78"/>
    <d v="2014-09-28T00:00:00"/>
  </r>
  <r>
    <x v="545"/>
    <d v="1899-12-30T00:00:15"/>
    <x v="13"/>
    <x v="0"/>
    <s v="Buffalo"/>
    <x v="168"/>
    <n v="1184135"/>
    <x v="0"/>
    <s v="Political Science"/>
    <s v="9780745659671"/>
    <s v=",1,2,3,4,5,6"/>
    <n v="6"/>
    <m/>
    <m/>
    <s v="No"/>
    <x v="3"/>
    <m/>
    <m/>
    <s v="128.205.114.91"/>
    <s v="JC311"/>
    <n v="320.54000000000002"/>
    <d v="2013-04-26T00:00:00"/>
  </r>
  <r>
    <x v="546"/>
    <d v="1899-12-30T07:59:10"/>
    <x v="151"/>
    <x v="1"/>
    <s v="brockport"/>
    <x v="45"/>
    <n v="1691426"/>
    <x v="0"/>
    <s v="Social Science; Health"/>
    <s v="9781118839492"/>
    <s v=",108,107,109,106,105,110,111,113,114,115,116,117,118,119,120,121,122,123,124,125,126,127,128,129,130,131,132,133,134,135,140,141,142,143,139,144,148,149,150,146,147,151,152,153,154,155,156,157,158,159,160,161,162,163,164,165,166,167,168,169,170,171,172,173,174,175,176,182,187,190,191,192,188,189,186,185,184,183,181,180,179,178,177,114,30,1,2,3"/>
    <n v="87"/>
    <m/>
    <m/>
    <s v="No"/>
    <x v="0"/>
    <d v="2016-01-24T00:39:17"/>
    <n v="7"/>
    <s v="137.21.7.121"/>
    <s v="RA781.7 -- .P396 2014eb"/>
    <n v="613.70460000000003"/>
    <d v="2014-05-13T00:00:00"/>
  </r>
  <r>
    <x v="547"/>
    <d v="1899-12-30T00:13:17"/>
    <x v="151"/>
    <x v="1"/>
    <s v="brockport"/>
    <x v="45"/>
    <n v="1691426"/>
    <x v="0"/>
    <s v="Social Science; Health"/>
    <s v="9781118839492"/>
    <s v=",1,2,3,26,88,153,154,155,112,84,75,76,77,73,74,79,80,81,82,78,83,85,86,87,89,90,91,92,93,94,95,96,97,98,99,100,101,102,103,104"/>
    <n v="40"/>
    <m/>
    <m/>
    <s v="No"/>
    <x v="1"/>
    <m/>
    <m/>
    <s v="137.21.7.121"/>
    <s v="RA781.7 -- .P396 2014eb"/>
    <n v="613.70460000000003"/>
    <d v="2014-05-13T00:00:00"/>
  </r>
  <r>
    <x v="548"/>
    <d v="1899-12-30T00:00:36"/>
    <x v="169"/>
    <x v="1"/>
    <s v="brockport"/>
    <x v="169"/>
    <n v="629931"/>
    <x v="2"/>
    <s v="Fine Arts"/>
    <s v="9780080927770"/>
    <s v=",1,2,3,4,5,6,7,8,9,10,11,12,13,14,15,16,17,18"/>
    <n v="18"/>
    <m/>
    <m/>
    <s v="No"/>
    <x v="3"/>
    <m/>
    <m/>
    <s v="137.21.7.121"/>
    <s v="PN1995.9.V63 -- W75 2009eb"/>
    <s v="778.5/347"/>
    <d v="2013-07-24T00:00:00"/>
  </r>
  <r>
    <x v="549"/>
    <d v="1899-12-30T00:00:24"/>
    <x v="144"/>
    <x v="12"/>
    <s v="potsdam"/>
    <x v="121"/>
    <n v="1757959"/>
    <x v="0"/>
    <s v="Mathematics; Social Science"/>
    <s v="9781118767023"/>
    <s v=",1,56,57,58,54,55,59,2,53"/>
    <n v="9"/>
    <m/>
    <m/>
    <s v="No"/>
    <x v="0"/>
    <d v="2016-01-19T20:29:03"/>
    <n v="7"/>
    <s v="137.143.104.94"/>
    <s v="HA31.2 .R43 2014"/>
    <s v="519.5; 519.52"/>
    <d v="2014-07-30T00:00:00"/>
  </r>
  <r>
    <x v="550"/>
    <d v="1899-12-30T01:34:15"/>
    <x v="13"/>
    <x v="0"/>
    <s v="Buffalo"/>
    <x v="137"/>
    <n v="3038474"/>
    <x v="11"/>
    <s v="Social Science"/>
    <s v="9780226925233"/>
    <s v=",162,163,164,165,166,167,168,169"/>
    <n v="8"/>
    <m/>
    <m/>
    <s v="No"/>
    <x v="2"/>
    <d v="2016-01-23T21:28:32"/>
    <n v="1"/>
    <s v="128.205.114.91"/>
    <s v="HM1166 -- .E93 2013eb"/>
    <n v="302.2"/>
    <d v="2013-12-01T00:00:00"/>
  </r>
  <r>
    <x v="551"/>
    <d v="1899-12-30T00:05:50"/>
    <x v="13"/>
    <x v="0"/>
    <s v="Buffalo"/>
    <x v="137"/>
    <n v="3038474"/>
    <x v="11"/>
    <s v="Social Science"/>
    <s v="9780226925233"/>
    <s v=",1,2,3,158,159,160,156,157,158,159,160,156,157,161"/>
    <n v="9"/>
    <m/>
    <m/>
    <s v="No"/>
    <x v="3"/>
    <m/>
    <m/>
    <s v="128.205.114.91"/>
    <s v="HM1166 -- .E93 2013eb"/>
    <n v="302.2"/>
    <d v="2013-12-01T00:00:00"/>
  </r>
  <r>
    <x v="552"/>
    <d v="1899-12-30T00:00:00"/>
    <x v="103"/>
    <x v="0"/>
    <s v="Buffalo"/>
    <x v="64"/>
    <n v="836614"/>
    <x v="9"/>
    <s v="Language/Linguistics"/>
    <s v="9781118315958"/>
    <m/>
    <n v="0"/>
    <m/>
    <m/>
    <s v="Yes"/>
    <x v="0"/>
    <d v="2016-01-23T21:13:46"/>
    <n v="7"/>
    <s v="128.205.114.91"/>
    <s v="P217 -- .H346 2009eb"/>
    <n v="414"/>
    <d v="2011-12-15T00:00:00"/>
  </r>
  <r>
    <x v="552"/>
    <d v="1899-12-30T00:00:00"/>
    <x v="103"/>
    <x v="0"/>
    <s v="Buffalo"/>
    <x v="64"/>
    <n v="836614"/>
    <x v="9"/>
    <s v="Language/Linguistics"/>
    <s v="9781118315958"/>
    <m/>
    <n v="0"/>
    <m/>
    <m/>
    <s v="No"/>
    <x v="0"/>
    <d v="2016-01-23T21:13:46"/>
    <n v="7"/>
    <s v="128.205.114.91"/>
    <s v="P217 -- .H346 2009eb"/>
    <n v="414"/>
    <d v="2011-12-15T00:00:00"/>
  </r>
  <r>
    <x v="553"/>
    <d v="1899-12-30T00:00:28"/>
    <x v="103"/>
    <x v="0"/>
    <s v="Buffalo"/>
    <x v="64"/>
    <n v="836614"/>
    <x v="9"/>
    <s v="Language/Linguistics"/>
    <s v="9781118315958"/>
    <s v=",1,2,3"/>
    <n v="3"/>
    <m/>
    <m/>
    <s v="No"/>
    <x v="1"/>
    <m/>
    <m/>
    <s v="128.205.114.91"/>
    <s v="P217 -- .H346 2009eb"/>
    <n v="414"/>
    <d v="2011-12-15T00:00:00"/>
  </r>
  <r>
    <x v="554"/>
    <d v="1899-12-30T00:00:03"/>
    <x v="68"/>
    <x v="6"/>
    <s v="sjfc"/>
    <x v="74"/>
    <n v="768534"/>
    <x v="10"/>
    <s v="History; Geography/Travel"/>
    <s v="9781400839704"/>
    <s v=",1,2,3"/>
    <n v="3"/>
    <m/>
    <m/>
    <s v="No"/>
    <x v="1"/>
    <m/>
    <m/>
    <s v="149.69.254.57"/>
    <s v="E839 -- .B59 2012eb"/>
    <s v="909.82/7"/>
    <d v="2011-10-31T00:00:00"/>
  </r>
  <r>
    <x v="555"/>
    <d v="1899-12-30T01:44:02"/>
    <x v="68"/>
    <x v="6"/>
    <s v="sjfc"/>
    <x v="74"/>
    <n v="768534"/>
    <x v="10"/>
    <s v="History; Geography/Travel"/>
    <s v="9781400839704"/>
    <s v=",1,2,3,2,53,54,55,51,52,1,2"/>
    <n v="8"/>
    <m/>
    <m/>
    <s v="No"/>
    <x v="1"/>
    <m/>
    <m/>
    <s v="149.69.254.57"/>
    <s v="E839 -- .B59 2012eb"/>
    <s v="909.82/7"/>
    <d v="2011-10-31T00:00:00"/>
  </r>
  <r>
    <x v="556"/>
    <d v="1899-12-30T00:11:36"/>
    <x v="170"/>
    <x v="9"/>
    <s v="trocaire"/>
    <x v="170"/>
    <n v="1636080"/>
    <x v="13"/>
    <s v="Computer Science/IT"/>
    <s v="9781118600702"/>
    <s v=",58,57,56"/>
    <n v="3"/>
    <m/>
    <m/>
    <s v="No"/>
    <x v="0"/>
    <d v="2016-01-23T17:16:33"/>
    <n v="7"/>
    <s v="173.225.62.67"/>
    <s v="TK5105.8885.W66 -- H43 2014eb"/>
    <n v="6.7519999999999998"/>
    <d v="2014-03-03T00:00:00"/>
  </r>
  <r>
    <x v="557"/>
    <d v="1899-12-30T00:01:33"/>
    <x v="171"/>
    <x v="0"/>
    <s v="Buffalo"/>
    <x v="171"/>
    <n v="1487097"/>
    <x v="2"/>
    <s v="Social Science"/>
    <s v="9781135398842"/>
    <s v=",1,3,2,6,7,8,4,5,9,10,11"/>
    <n v="11"/>
    <m/>
    <m/>
    <s v="No"/>
    <x v="3"/>
    <m/>
    <m/>
    <s v="128.205.114.91"/>
    <s v="HQ77.9 -- .T72 2006eb"/>
    <n v="306.76799999999997"/>
    <d v="2013-10-18T00:00:00"/>
  </r>
  <r>
    <x v="558"/>
    <d v="1899-12-30T00:00:22"/>
    <x v="172"/>
    <x v="0"/>
    <s v="Buffalo"/>
    <x v="172"/>
    <n v="1356236"/>
    <x v="2"/>
    <s v="Psychology"/>
    <s v="9781135059699"/>
    <s v=",1,2,3,2,3,1,2,2"/>
    <n v="3"/>
    <m/>
    <m/>
    <s v="No"/>
    <x v="3"/>
    <m/>
    <m/>
    <s v="128.205.114.91"/>
    <s v="BF723.G75W"/>
    <n v="155.93700000000001"/>
    <d v="2013-08-21T00:00:00"/>
  </r>
  <r>
    <x v="559"/>
    <d v="1899-12-30T00:00:38"/>
    <x v="172"/>
    <x v="0"/>
    <s v="Buffalo"/>
    <x v="173"/>
    <n v="1582028"/>
    <x v="2"/>
    <s v="Psychology"/>
    <s v="9781317850823"/>
    <s v=",1,1,2,3,2,3,2,2,188,188,189,190,190,186,189,187,187,191,191,172,172,173,174,173,174,170,175,175,171,176,176"/>
    <n v="16"/>
    <m/>
    <m/>
    <s v="No"/>
    <x v="3"/>
    <m/>
    <m/>
    <s v="128.205.114.91"/>
    <s v="BF575.G7 -- P37 2010eb"/>
    <n v="155.93700000000001"/>
    <d v="2013-12-16T00:00:00"/>
  </r>
  <r>
    <x v="560"/>
    <d v="1899-12-30T00:31:48"/>
    <x v="170"/>
    <x v="9"/>
    <s v="trocaire"/>
    <x v="170"/>
    <n v="1636080"/>
    <x v="13"/>
    <s v="Computer Science/IT"/>
    <s v="9781118600702"/>
    <s v=",1,2,3,21,22,23,19,20,41,42,43,39,40,44,45,46,39,41,42,43,44,47,53,57"/>
    <n v="19"/>
    <m/>
    <m/>
    <s v="No"/>
    <x v="1"/>
    <m/>
    <m/>
    <s v="173.225.62.67"/>
    <s v="TK5105.8885.W66 -- H43 2014eb"/>
    <n v="6.7519999999999998"/>
    <d v="2014-03-03T00:00:00"/>
  </r>
  <r>
    <x v="561"/>
    <d v="1899-12-30T00:00:03"/>
    <x v="170"/>
    <x v="9"/>
    <s v="trocaire"/>
    <x v="174"/>
    <n v="1895867"/>
    <x v="0"/>
    <s v="Computer Science/IT"/>
    <s v="9781118987186"/>
    <s v=",1,2,3"/>
    <n v="3"/>
    <m/>
    <m/>
    <s v="No"/>
    <x v="3"/>
    <m/>
    <m/>
    <s v="173.225.62.67"/>
    <s v="TK5105.8885.W66 -- W55 2015eb"/>
    <n v="6.7519999999999998"/>
    <d v="2014-12-17T00:00:00"/>
  </r>
  <r>
    <x v="562"/>
    <d v="1899-12-30T00:00:22"/>
    <x v="172"/>
    <x v="0"/>
    <s v="Buffalo"/>
    <x v="173"/>
    <n v="1582028"/>
    <x v="2"/>
    <s v="Psychology"/>
    <s v="9781317850823"/>
    <s v=",1,2,1,3,2,3,2,2"/>
    <n v="3"/>
    <m/>
    <m/>
    <s v="No"/>
    <x v="3"/>
    <m/>
    <m/>
    <s v="128.205.114.91"/>
    <s v="BF575.G7 -- P37 2010eb"/>
    <n v="155.93700000000001"/>
    <d v="2013-12-16T00:00:00"/>
  </r>
  <r>
    <x v="563"/>
    <d v="1899-12-30T01:41:47"/>
    <x v="68"/>
    <x v="6"/>
    <s v="sjfc"/>
    <x v="74"/>
    <n v="768534"/>
    <x v="10"/>
    <s v="History; Geography/Travel"/>
    <s v="9781400839704"/>
    <s v=",1,2,3,68,69,70,66,67,65,63,64,61,62,60,2,59,58,57,56,55,54,53,51,52,50,49,48,47,46,52,53,54,55,50,56,57,58,59,60,61,62,63,65,64,64,65,66,67,1,2,3,4,5,6,7,8,9,10,11,12,13,299,297,298,65,66,67,63,64,68,69,70,1,2,3"/>
    <n v="41"/>
    <s v=",59,59,60,60,60,60,61,61,63,63,65,65"/>
    <m/>
    <s v="No"/>
    <x v="1"/>
    <m/>
    <m/>
    <s v="149.69.254.57"/>
    <s v="E839 -- .B59 2012eb"/>
    <s v="909.82/7"/>
    <d v="2011-10-31T00:00:00"/>
  </r>
  <r>
    <x v="564"/>
    <d v="1899-12-30T00:09:44"/>
    <x v="173"/>
    <x v="0"/>
    <s v="Buffalo"/>
    <x v="175"/>
    <n v="875809"/>
    <x v="0"/>
    <s v="Language/Linguistics"/>
    <s v="9781118223598"/>
    <s v=",22,23,22,23,24,24,25,25,26,26,27,27,28,28,29,29"/>
    <n v="8"/>
    <m/>
    <m/>
    <s v="No"/>
    <x v="0"/>
    <d v="2016-01-23T15:50:02"/>
    <n v="7"/>
    <s v="128.205.114.91"/>
    <s v="PE1128.A2 -- F455 2012eb"/>
    <n v="428.00709999999998"/>
    <d v="2012-08-07T00:00:00"/>
  </r>
  <r>
    <x v="565"/>
    <d v="1899-12-30T00:16:13"/>
    <x v="173"/>
    <x v="0"/>
    <s v="Buffalo"/>
    <x v="175"/>
    <n v="875809"/>
    <x v="0"/>
    <s v="Language/Linguistics"/>
    <s v="9781118223598"/>
    <s v=",1,3,2,2,3,2,2,1,5,6,4,4,5,6,8,7,8,9,7,9,10,12,11,12,10,11,13,15,14,14,13,15,16,17,19,18,16,17,18,19,20,20,21,21"/>
    <n v="21"/>
    <m/>
    <m/>
    <s v="No"/>
    <x v="1"/>
    <m/>
    <m/>
    <s v="128.205.114.91"/>
    <s v="PE1128.A2 -- F455 2012eb"/>
    <n v="428.00709999999998"/>
    <d v="2012-08-07T00:00:00"/>
  </r>
  <r>
    <x v="566"/>
    <d v="1899-12-30T00:00:00"/>
    <x v="174"/>
    <x v="0"/>
    <s v="Buffalo"/>
    <x v="176"/>
    <n v="2058061"/>
    <x v="1"/>
    <s v="Law"/>
    <s v="9781472462350"/>
    <m/>
    <n v="0"/>
    <m/>
    <m/>
    <s v="Yes"/>
    <x v="2"/>
    <d v="2016-01-23T09:15:50"/>
    <n v="1"/>
    <s v="128.205.114.91"/>
    <s v="K3280 .R4285 2015"/>
    <s v="342.08/52; 342.08''52"/>
    <d v="2015-07-28T00:00:00"/>
  </r>
  <r>
    <x v="566"/>
    <d v="1899-12-30T00:00:00"/>
    <x v="174"/>
    <x v="0"/>
    <s v="Buffalo"/>
    <x v="176"/>
    <n v="2058061"/>
    <x v="1"/>
    <s v="Law"/>
    <s v="9781472462350"/>
    <m/>
    <n v="0"/>
    <m/>
    <m/>
    <s v="No"/>
    <x v="2"/>
    <d v="2016-01-23T09:15:50"/>
    <n v="1"/>
    <s v="128.205.114.91"/>
    <s v="K3280 .R4285 2015"/>
    <s v="342.08/52; 342.08''52"/>
    <d v="2015-07-28T00:00:00"/>
  </r>
  <r>
    <x v="567"/>
    <d v="1899-12-30T00:00:12"/>
    <x v="174"/>
    <x v="0"/>
    <s v="Buffalo"/>
    <x v="176"/>
    <n v="2058061"/>
    <x v="1"/>
    <s v="Law"/>
    <s v="9781472462350"/>
    <s v=",1,2,3"/>
    <n v="3"/>
    <m/>
    <m/>
    <s v="No"/>
    <x v="3"/>
    <m/>
    <m/>
    <s v="128.205.114.91"/>
    <s v="K3280 .R4285 2015"/>
    <s v="342.08/52; 342.08''52"/>
    <d v="2015-07-28T00:00:00"/>
  </r>
  <r>
    <x v="568"/>
    <d v="1899-12-30T00:00:00"/>
    <x v="174"/>
    <x v="0"/>
    <s v="Buffalo"/>
    <x v="177"/>
    <n v="1397204"/>
    <x v="2"/>
    <s v="Religion"/>
    <s v="9781317990819"/>
    <m/>
    <n v="0"/>
    <m/>
    <m/>
    <s v="Yes"/>
    <x v="2"/>
    <d v="2016-01-23T09:12:26"/>
    <n v="1"/>
    <s v="128.205.114.91"/>
    <m/>
    <n v="261.70940000000002"/>
    <d v="2013-09-13T00:00:00"/>
  </r>
  <r>
    <x v="569"/>
    <d v="1899-12-30T00:00:05"/>
    <x v="174"/>
    <x v="0"/>
    <s v="Buffalo"/>
    <x v="177"/>
    <n v="1397204"/>
    <x v="2"/>
    <s v="Religion"/>
    <s v="9781317990819"/>
    <s v=",1,2,3"/>
    <n v="3"/>
    <m/>
    <m/>
    <s v="No"/>
    <x v="2"/>
    <d v="2016-01-23T09:12:26"/>
    <n v="1"/>
    <s v="128.205.114.91"/>
    <m/>
    <n v="261.70940000000002"/>
    <d v="2013-09-13T00:00:00"/>
  </r>
  <r>
    <x v="570"/>
    <d v="1899-12-30T00:00:00"/>
    <x v="174"/>
    <x v="0"/>
    <s v="Buffalo"/>
    <x v="177"/>
    <n v="1397204"/>
    <x v="2"/>
    <s v="Religion"/>
    <s v="9781317990819"/>
    <m/>
    <n v="0"/>
    <m/>
    <m/>
    <s v="Yes"/>
    <x v="2"/>
    <d v="2016-01-23T09:12:26"/>
    <n v="1"/>
    <s v="128.205.114.91"/>
    <m/>
    <n v="261.70940000000002"/>
    <d v="2013-09-13T00:00:00"/>
  </r>
  <r>
    <x v="570"/>
    <d v="1899-12-30T00:00:00"/>
    <x v="174"/>
    <x v="0"/>
    <s v="Buffalo"/>
    <x v="177"/>
    <n v="1397204"/>
    <x v="2"/>
    <s v="Religion"/>
    <s v="9781317990819"/>
    <m/>
    <n v="0"/>
    <m/>
    <m/>
    <s v="No"/>
    <x v="2"/>
    <d v="2016-01-23T09:12:26"/>
    <n v="1"/>
    <s v="128.205.114.91"/>
    <m/>
    <n v="261.70940000000002"/>
    <d v="2013-09-13T00:00:00"/>
  </r>
  <r>
    <x v="571"/>
    <d v="1899-12-30T00:00:19"/>
    <x v="174"/>
    <x v="0"/>
    <s v="Buffalo"/>
    <x v="177"/>
    <n v="1397204"/>
    <x v="2"/>
    <s v="Religion"/>
    <s v="9781317990819"/>
    <s v=",1,2,3"/>
    <n v="3"/>
    <m/>
    <m/>
    <s v="No"/>
    <x v="3"/>
    <m/>
    <m/>
    <s v="128.205.114.91"/>
    <m/>
    <n v="261.70940000000002"/>
    <d v="2013-09-13T00:00:00"/>
  </r>
  <r>
    <x v="572"/>
    <d v="1899-12-30T00:03:00"/>
    <x v="175"/>
    <x v="0"/>
    <s v="Buffalo"/>
    <x v="178"/>
    <n v="570363"/>
    <x v="4"/>
    <s v="Medicine"/>
    <s v="9781606239148"/>
    <s v=",1,2,3,4,5,6,7,8,9,10,11,12,13,14,15,16,17,18,19,20,21,22,23,24,25,26,27,28,29,30,31,32,33,34,35,36,37,38"/>
    <n v="38"/>
    <m/>
    <m/>
    <s v="No"/>
    <x v="3"/>
    <m/>
    <m/>
    <s v="128.205.114.91"/>
    <s v="RC489.C63 -- L44 2010eb"/>
    <n v="616.89142500000003"/>
    <d v="2014-05-14T00:00:00"/>
  </r>
  <r>
    <x v="573"/>
    <d v="1899-12-30T00:00:00"/>
    <x v="149"/>
    <x v="0"/>
    <s v="Buffalo"/>
    <x v="179"/>
    <n v="1191579"/>
    <x v="4"/>
    <s v="Psychology"/>
    <s v="9781462510719"/>
    <m/>
    <n v="0"/>
    <m/>
    <s v=",299,300,301,302,303,304,305,306,307,308,309,310,311,312,313,314,315,316,317,318,319,320,321,322,323,324,325,326,327,328,329,330,331,299,300,301,302,303,304,305,306,307,308,309,310,311,312,313,314,315,316,317,318,319,320,321,322,323,324,325,326,327,328,329,330,331"/>
    <s v="No"/>
    <x v="0"/>
    <d v="2016-01-23T04:59:13"/>
    <n v="7"/>
    <s v="128.205.114.91"/>
    <s v="BF575.F66 -- H84 2013eb"/>
    <n v="158.19999999999999"/>
    <d v="2014-05-14T00:00:00"/>
  </r>
  <r>
    <x v="574"/>
    <d v="1899-12-30T00:01:45"/>
    <x v="149"/>
    <x v="0"/>
    <s v="Buffalo"/>
    <x v="179"/>
    <n v="1191579"/>
    <x v="4"/>
    <s v="Psychology"/>
    <s v="9781462510719"/>
    <s v=",1,2,3,299,300,301,297,298,302,303,304"/>
    <n v="11"/>
    <m/>
    <m/>
    <s v="No"/>
    <x v="3"/>
    <m/>
    <m/>
    <s v="128.205.114.91"/>
    <s v="BF575.F66 -- H84 2013eb"/>
    <n v="158.19999999999999"/>
    <d v="2014-05-14T00:00:00"/>
  </r>
  <r>
    <x v="575"/>
    <d v="1899-12-30T00:00:16"/>
    <x v="172"/>
    <x v="0"/>
    <s v="Buffalo"/>
    <x v="172"/>
    <n v="1356236"/>
    <x v="2"/>
    <s v="Psychology"/>
    <s v="9781135059699"/>
    <s v=",1,2,3,49,50,51,47,48"/>
    <n v="8"/>
    <m/>
    <m/>
    <s v="No"/>
    <x v="3"/>
    <m/>
    <m/>
    <s v="128.205.114.91"/>
    <s v="BF723.G75W"/>
    <n v="155.93700000000001"/>
    <d v="2013-08-21T00:00:00"/>
  </r>
  <r>
    <x v="576"/>
    <d v="1899-12-30T00:02:46"/>
    <x v="149"/>
    <x v="0"/>
    <s v="Buffalo"/>
    <x v="180"/>
    <n v="4042975"/>
    <x v="0"/>
    <s v="Medicine"/>
    <s v="9781118509883"/>
    <s v=",1,2,3,4,5,6,7,8,9,10,11,14,15,16,17,18,21,26,32,39,46,47,48,44,45,49,50,51,52,53,54,55"/>
    <n v="32"/>
    <m/>
    <m/>
    <s v="No"/>
    <x v="0"/>
    <d v="2016-01-21T21:11:43"/>
    <n v="7"/>
    <s v="128.205.114.91"/>
    <s v="RC531 -- .A43 2016eb"/>
    <s v="616.85/2206"/>
    <d v="2015-10-19T00:00:00"/>
  </r>
  <r>
    <x v="577"/>
    <d v="1899-12-30T00:03:02"/>
    <x v="176"/>
    <x v="0"/>
    <s v="Buffalo"/>
    <x v="181"/>
    <n v="1887755"/>
    <x v="0"/>
    <s v="Computer Science/IT"/>
    <s v="9781118903834"/>
    <s v=",1,2,3,1,1,4,5,6,7,8,9,5,6,7,3,4,5,6,7,3,8,9,4,10,11,12,13,14,15,16,17,18"/>
    <n v="18"/>
    <m/>
    <m/>
    <s v="No"/>
    <x v="3"/>
    <m/>
    <m/>
    <s v="128.205.114.91"/>
    <s v="QA76.9.D32 -- .W555 2015eb"/>
    <n v="6.3120229999999999"/>
    <d v="2014-12-10T00:00:00"/>
  </r>
  <r>
    <x v="578"/>
    <d v="1899-12-30T00:04:19"/>
    <x v="177"/>
    <x v="6"/>
    <s v="sjfc"/>
    <x v="182"/>
    <n v="1582022"/>
    <x v="2"/>
    <s v="Education"/>
    <s v="9781135490980"/>
    <s v=",4,5,6,7,8,9,10,11,12,13,14,15,16,17,18,19,20,21,22,23,24,25,26,27,28,29,30,31,32,33,34,35,36,37,118,119,120,116,117,121,122"/>
    <n v="41"/>
    <m/>
    <m/>
    <s v="Yes"/>
    <x v="2"/>
    <d v="2016-01-23T01:55:53"/>
    <n v="1"/>
    <s v="149.69.254.57"/>
    <s v="LB1731.4 -- .M467 2010eb"/>
    <n v="371.14600000000002"/>
    <d v="2013-12-16T00:00:00"/>
  </r>
  <r>
    <x v="578"/>
    <d v="1899-12-30T00:00:00"/>
    <x v="177"/>
    <x v="6"/>
    <s v="sjfc"/>
    <x v="182"/>
    <n v="1582022"/>
    <x v="2"/>
    <s v="Education"/>
    <s v="9781135490980"/>
    <m/>
    <n v="0"/>
    <m/>
    <m/>
    <s v="No"/>
    <x v="2"/>
    <d v="2016-01-23T01:55:53"/>
    <n v="1"/>
    <s v="149.69.254.57"/>
    <s v="LB1731.4 -- .M467 2010eb"/>
    <n v="371.14600000000002"/>
    <d v="2013-12-16T00:00:00"/>
  </r>
  <r>
    <x v="579"/>
    <d v="1899-12-30T00:00:35"/>
    <x v="177"/>
    <x v="6"/>
    <s v="sjfc"/>
    <x v="182"/>
    <n v="1582022"/>
    <x v="2"/>
    <s v="Education"/>
    <s v="9781135490980"/>
    <s v=",1,2,3"/>
    <n v="3"/>
    <m/>
    <m/>
    <s v="No"/>
    <x v="3"/>
    <m/>
    <m/>
    <s v="149.69.254.57"/>
    <s v="LB1731.4 -- .M467 2010eb"/>
    <n v="371.14600000000002"/>
    <d v="2013-12-16T00:00:00"/>
  </r>
  <r>
    <x v="580"/>
    <d v="1899-12-30T00:34:47"/>
    <x v="68"/>
    <x v="6"/>
    <s v="sjfc"/>
    <x v="74"/>
    <n v="768534"/>
    <x v="10"/>
    <s v="History; Geography/Travel"/>
    <s v="9781400839704"/>
    <s v=",1,2,3,68,69,70,66,67,65,63,64,62,61,59,60,58,57,56,55,54,53,52,51,50,49,48,47,45,46,44"/>
    <n v="30"/>
    <s v=",51,51,51,51"/>
    <m/>
    <s v="No"/>
    <x v="1"/>
    <m/>
    <m/>
    <s v="149.69.254.57"/>
    <s v="E839 -- .B59 2012eb"/>
    <s v="909.82/7"/>
    <d v="2011-10-31T00:00:00"/>
  </r>
  <r>
    <x v="581"/>
    <d v="1899-12-30T00:00:22"/>
    <x v="178"/>
    <x v="1"/>
    <s v="brockport"/>
    <x v="183"/>
    <n v="1220302"/>
    <x v="7"/>
    <s v="Agriculture; Social Science"/>
    <s v="9781780641188"/>
    <s v=",1,2,3,5,20,21,19,22,13,8"/>
    <n v="10"/>
    <m/>
    <m/>
    <s v="No"/>
    <x v="0"/>
    <d v="2016-01-22T22:52:57"/>
    <n v="7"/>
    <s v="137.21.7.121"/>
    <s v="HV4708 -- .T57 2013eb"/>
    <n v="636.08320000000003"/>
    <d v="2013-01-01T00:00:00"/>
  </r>
  <r>
    <x v="582"/>
    <d v="1899-12-30T00:00:00"/>
    <x v="178"/>
    <x v="1"/>
    <s v="brockport"/>
    <x v="183"/>
    <n v="1220302"/>
    <x v="7"/>
    <s v="Agriculture; Social Science"/>
    <s v="9781780641188"/>
    <m/>
    <n v="0"/>
    <m/>
    <m/>
    <s v="Yes"/>
    <x v="0"/>
    <d v="2016-01-22T22:52:57"/>
    <n v="7"/>
    <s v="137.21.7.121"/>
    <s v="HV4708 -- .T57 2013eb"/>
    <n v="636.08320000000003"/>
    <d v="2013-01-01T00:00:00"/>
  </r>
  <r>
    <x v="583"/>
    <d v="1899-12-30T00:03:04"/>
    <x v="178"/>
    <x v="1"/>
    <s v="brockport"/>
    <x v="183"/>
    <n v="1220302"/>
    <x v="7"/>
    <s v="Agriculture; Social Science"/>
    <s v="9781780641188"/>
    <s v=",1,1,1,19,24"/>
    <n v="3"/>
    <s v=",1,1"/>
    <m/>
    <s v="No"/>
    <x v="0"/>
    <d v="2016-01-22T22:52:57"/>
    <n v="7"/>
    <s v="137.21.7.121"/>
    <s v="HV4708 -- .T57 2013eb"/>
    <n v="636.08320000000003"/>
    <d v="2013-01-01T00:00:00"/>
  </r>
  <r>
    <x v="584"/>
    <d v="1899-12-30T00:00:27"/>
    <x v="178"/>
    <x v="1"/>
    <s v="brockport"/>
    <x v="183"/>
    <n v="1220302"/>
    <x v="7"/>
    <s v="Agriculture; Social Science"/>
    <s v="9781780641188"/>
    <s v=",1,2,3,7,10"/>
    <n v="5"/>
    <m/>
    <m/>
    <s v="No"/>
    <x v="1"/>
    <m/>
    <m/>
    <s v="137.21.7.121"/>
    <s v="HV4708 -- .T57 2013eb"/>
    <n v="636.08320000000003"/>
    <d v="2013-01-01T00:00:00"/>
  </r>
  <r>
    <x v="585"/>
    <d v="1899-12-30T00:00:00"/>
    <x v="179"/>
    <x v="0"/>
    <s v="Buffalo"/>
    <x v="184"/>
    <n v="1710997"/>
    <x v="3"/>
    <s v="Business/Management; Economics"/>
    <s v="9780520959224"/>
    <m/>
    <n v="0"/>
    <m/>
    <m/>
    <s v="Yes"/>
    <x v="0"/>
    <d v="2016-01-22T21:22:02"/>
    <n v="7"/>
    <s v="128.205.114.91"/>
    <s v="HD8072.5 -- .I87 2014eb"/>
    <s v="332.0240086/9420973"/>
    <d v="2015-01-14T00:00:00"/>
  </r>
  <r>
    <x v="585"/>
    <d v="1899-12-30T00:00:00"/>
    <x v="179"/>
    <x v="0"/>
    <s v="Buffalo"/>
    <x v="184"/>
    <n v="1710997"/>
    <x v="3"/>
    <s v="Business/Management; Economics"/>
    <s v="9780520959224"/>
    <m/>
    <n v="0"/>
    <m/>
    <m/>
    <s v="No"/>
    <x v="0"/>
    <d v="2016-01-22T21:22:02"/>
    <n v="7"/>
    <s v="128.205.114.91"/>
    <s v="HD8072.5 -- .I87 2014eb"/>
    <s v="332.0240086/9420973"/>
    <d v="2015-01-14T00:00:00"/>
  </r>
  <r>
    <x v="586"/>
    <d v="1899-12-30T00:00:35"/>
    <x v="179"/>
    <x v="0"/>
    <s v="Buffalo"/>
    <x v="184"/>
    <n v="1710997"/>
    <x v="3"/>
    <s v="Business/Management; Economics"/>
    <s v="9780520959224"/>
    <s v=",1,2,3,37,38,39,35,36,2"/>
    <n v="8"/>
    <m/>
    <m/>
    <s v="No"/>
    <x v="3"/>
    <m/>
    <m/>
    <s v="128.205.114.91"/>
    <s v="HD8072.5 -- .I87 2014eb"/>
    <s v="332.0240086/9420973"/>
    <d v="2015-01-14T00:00:00"/>
  </r>
  <r>
    <x v="587"/>
    <d v="1899-12-30T00:00:21"/>
    <x v="88"/>
    <x v="0"/>
    <s v="Buffalo"/>
    <x v="2"/>
    <n v="2068034"/>
    <x v="1"/>
    <m/>
    <s v="9781472416742"/>
    <s v=",1,2,2,3,3,1,48,50,56,50,48,56,57,49,58,55,54,58,57,55,49,68,68,70,69,70,69,67,66,67,64,65,2"/>
    <n v="18"/>
    <m/>
    <m/>
    <s v="No"/>
    <x v="2"/>
    <d v="2016-01-22T20:15:15"/>
    <n v="1"/>
    <s v="128.205.114.91"/>
    <m/>
    <s v="820.9''36"/>
    <d v="2015-08-28T00:00:00"/>
  </r>
  <r>
    <x v="588"/>
    <d v="1899-12-30T00:10:38"/>
    <x v="88"/>
    <x v="0"/>
    <s v="Buffalo"/>
    <x v="2"/>
    <n v="2068034"/>
    <x v="1"/>
    <m/>
    <s v="9781472416742"/>
    <s v=",1,2,3,1,2,3,80,81,80,81,82,79,82,78,79,2,83,84,83,84,85,85,86,86,87,87,88,88,90,90,91,89,86,89,91,70,71,70,72,71,68,72,69,69,73,74,73,74,75,75,76,76,77,78,77,79,80,81,82,77,56,56,57,58,54,58,57,55,55,1,2,3"/>
    <n v="32"/>
    <m/>
    <m/>
    <s v="No"/>
    <x v="2"/>
    <d v="2016-01-22T20:15:15"/>
    <n v="1"/>
    <s v="128.205.114.91"/>
    <m/>
    <s v="820.9''36"/>
    <d v="2015-08-28T00:00:00"/>
  </r>
  <r>
    <x v="589"/>
    <d v="1899-12-30T00:10:52"/>
    <x v="88"/>
    <x v="0"/>
    <s v="Buffalo"/>
    <x v="2"/>
    <n v="2068034"/>
    <x v="1"/>
    <m/>
    <s v="9781472416742"/>
    <s v=",27,27,28,28,29,29,30,30,31,31,26,31,32,32,33,33,34,34,35,35,36,37,36,38,37,38,56,57,56,57,54,55,58,55,58,59,59,60,60,61,61,62,62,63,63,64,64,65,65,66,66,67,67,68,68,69,69,56,57,58,54,55,59,60,61,62,63,64,65,66,67,68,69,116,261,261,262,263,262,274,275,263,273,274,275,273,272,268,265,268,263,265,267,261,267,205,137,205,137,138,138,135,139,136,139,136,134,133,131,74,131,75,74,72,76,75"/>
    <n v="53"/>
    <m/>
    <m/>
    <s v="No"/>
    <x v="2"/>
    <d v="2016-01-22T20:15:15"/>
    <n v="1"/>
    <s v="128.205.114.91"/>
    <m/>
    <s v="820.9''36"/>
    <d v="2015-08-28T00:00:00"/>
  </r>
  <r>
    <x v="590"/>
    <d v="1899-12-30T00:05:14"/>
    <x v="88"/>
    <x v="0"/>
    <s v="Buffalo"/>
    <x v="2"/>
    <n v="2068034"/>
    <x v="1"/>
    <m/>
    <s v="9781472416742"/>
    <s v=",1,2,3,2,3,1,2,2,100,101,102,100,101,98,102,99,99,103,103,104,105,104,105,106,106,107,107,108,108,109,109,110,110,111,111,118,118,120,119,116,120,119,117,117,174,175,174,172,176,175,173,176,173,177,177,178,178,179,179,180,180,181,181,182,182,183,183,184,184,185,185,186,186,187,187,20,22,21,18,20,19,22,21,19,23,24,23,24,25,25,26,26"/>
    <n v="47"/>
    <m/>
    <m/>
    <s v="No"/>
    <x v="3"/>
    <m/>
    <m/>
    <s v="128.205.114.91"/>
    <m/>
    <s v="820.9''36"/>
    <d v="2015-08-28T00:00:00"/>
  </r>
  <r>
    <x v="591"/>
    <d v="1899-12-30T00:00:53"/>
    <x v="180"/>
    <x v="0"/>
    <s v="Buffalo"/>
    <x v="8"/>
    <n v="1683360"/>
    <x v="4"/>
    <s v="General Works/Reference; Social Science"/>
    <s v="9781462516032"/>
    <s v=",1,2,3,25,26,27,23,24"/>
    <n v="8"/>
    <m/>
    <m/>
    <s v="No"/>
    <x v="1"/>
    <m/>
    <m/>
    <s v="128.205.114.91"/>
    <s v="H62 -- .S454 2014eb"/>
    <n v="1.42"/>
    <d v="2014-07-03T00:00:00"/>
  </r>
  <r>
    <x v="592"/>
    <d v="1899-12-30T00:00:00"/>
    <x v="181"/>
    <x v="4"/>
    <s v="monroe2boces"/>
    <x v="185"/>
    <n v="817445"/>
    <x v="0"/>
    <s v="Business/Management"/>
    <s v="9781118171264"/>
    <m/>
    <n v="0"/>
    <m/>
    <m/>
    <s v="Yes"/>
    <x v="0"/>
    <d v="2016-01-22T19:47:38"/>
    <n v="7"/>
    <s v="216.226.102.163"/>
    <s v="HD30.4 -- .H84 2012eb"/>
    <s v="658.31243; 658.4/071245"/>
    <d v="2011-12-30T00:00:00"/>
  </r>
  <r>
    <x v="593"/>
    <d v="1899-12-30T00:00:02"/>
    <x v="181"/>
    <x v="4"/>
    <s v="monroe2boces"/>
    <x v="185"/>
    <n v="817445"/>
    <x v="0"/>
    <s v="Business/Management"/>
    <s v="9781118171264"/>
    <s v=",1,2,3"/>
    <n v="3"/>
    <m/>
    <m/>
    <s v="No"/>
    <x v="0"/>
    <d v="2016-01-22T19:47:38"/>
    <n v="7"/>
    <s v="216.226.102.163"/>
    <s v="HD30.4 -- .H84 2012eb"/>
    <s v="658.31243; 658.4/071245"/>
    <d v="2011-12-30T00:00:00"/>
  </r>
  <r>
    <x v="594"/>
    <d v="1899-12-30T00:00:00"/>
    <x v="181"/>
    <x v="4"/>
    <s v="monroe2boces"/>
    <x v="185"/>
    <n v="817445"/>
    <x v="0"/>
    <s v="Business/Management"/>
    <s v="9781118171264"/>
    <s v=",4"/>
    <n v="1"/>
    <m/>
    <m/>
    <s v="No"/>
    <x v="0"/>
    <d v="2016-01-22T19:47:38"/>
    <n v="7"/>
    <s v="216.226.102.163"/>
    <s v="HD30.4 -- .H84 2012eb"/>
    <s v="658.31243; 658.4/071245"/>
    <d v="2011-12-30T00:00:00"/>
  </r>
  <r>
    <x v="595"/>
    <d v="1899-12-30T00:20:15"/>
    <x v="181"/>
    <x v="4"/>
    <s v="monroe2boces"/>
    <x v="185"/>
    <n v="817445"/>
    <x v="0"/>
    <s v="Business/Management"/>
    <s v="9781118171264"/>
    <s v=",1,2,3,4,5,6,7,8"/>
    <n v="8"/>
    <m/>
    <m/>
    <s v="No"/>
    <x v="1"/>
    <m/>
    <m/>
    <s v="216.226.102.163"/>
    <s v="HD30.4 -- .H84 2012eb"/>
    <s v="658.31243; 658.4/071245"/>
    <d v="2011-12-30T00:00:00"/>
  </r>
  <r>
    <x v="596"/>
    <d v="1899-12-30T00:00:29"/>
    <x v="170"/>
    <x v="9"/>
    <s v="trocaire"/>
    <x v="58"/>
    <n v="822062"/>
    <x v="0"/>
    <s v="Political Science; Literature; Fiction"/>
    <s v="9780857083272"/>
    <s v=",1,2,3,27,28,29,25,26"/>
    <n v="8"/>
    <m/>
    <m/>
    <s v="No"/>
    <x v="1"/>
    <m/>
    <m/>
    <s v="173.225.62.67"/>
    <s v="PA4279 -- .R4 2012eb"/>
    <s v="321.07; 321/.07"/>
    <d v="2012-04-26T00:00:00"/>
  </r>
  <r>
    <x v="597"/>
    <d v="1899-12-30T00:05:48"/>
    <x v="64"/>
    <x v="6"/>
    <s v="sjfc"/>
    <x v="75"/>
    <n v="1986951"/>
    <x v="0"/>
    <s v="Business/Management"/>
    <s v="9781119130468"/>
    <s v=",1,2,3,457,458,459,455,456,460,461,462"/>
    <n v="11"/>
    <m/>
    <m/>
    <s v="No"/>
    <x v="0"/>
    <d v="2016-01-18T15:27:31"/>
    <n v="7"/>
    <s v="149.69.254.57"/>
    <s v="HF5661"/>
    <n v="657.07600000000002"/>
    <d v="2015-05-19T00:00:00"/>
  </r>
  <r>
    <x v="598"/>
    <d v="1899-12-30T00:00:04"/>
    <x v="64"/>
    <x v="6"/>
    <s v="sjfc"/>
    <x v="186"/>
    <n v="4206589"/>
    <x v="0"/>
    <m/>
    <s v="9781119256595"/>
    <s v=",1,2,3"/>
    <n v="3"/>
    <m/>
    <m/>
    <s v="No"/>
    <x v="1"/>
    <m/>
    <m/>
    <s v="149.69.254.57"/>
    <m/>
    <m/>
    <d v="2015-12-14T00:00:00"/>
  </r>
  <r>
    <x v="599"/>
    <d v="1899-12-30T00:02:48"/>
    <x v="64"/>
    <x v="6"/>
    <s v="sjfc"/>
    <x v="187"/>
    <n v="4185085"/>
    <x v="0"/>
    <m/>
    <s v="9781119238782"/>
    <s v=",1,2,3,4,5,6,7,8,9,10,11,12,13,14,15,16,17,18,19,20,21,22,23,24,25,26,27,29,30,31"/>
    <n v="30"/>
    <m/>
    <m/>
    <s v="No"/>
    <x v="3"/>
    <m/>
    <m/>
    <s v="149.69.254.57"/>
    <m/>
    <m/>
    <d v="2015-11-30T00:00:00"/>
  </r>
  <r>
    <x v="600"/>
    <d v="1899-12-30T00:00:59"/>
    <x v="64"/>
    <x v="6"/>
    <s v="sjfc"/>
    <x v="188"/>
    <n v="4206576"/>
    <x v="0"/>
    <m/>
    <s v="9781119240907"/>
    <s v=",1,2,3,106,107,108,105,104,109,110,111,112,113,114,115"/>
    <n v="15"/>
    <m/>
    <m/>
    <s v="No"/>
    <x v="3"/>
    <m/>
    <m/>
    <s v="149.69.254.57"/>
    <m/>
    <m/>
    <d v="2015-12-16T00:00:00"/>
  </r>
  <r>
    <x v="601"/>
    <d v="1899-12-30T00:00:06"/>
    <x v="64"/>
    <x v="6"/>
    <s v="sjfc"/>
    <x v="186"/>
    <n v="4206589"/>
    <x v="0"/>
    <m/>
    <s v="9781119256595"/>
    <s v=",1,2,3"/>
    <n v="3"/>
    <m/>
    <m/>
    <s v="No"/>
    <x v="1"/>
    <m/>
    <m/>
    <s v="149.69.254.57"/>
    <m/>
    <m/>
    <d v="2015-12-14T00:00:00"/>
  </r>
  <r>
    <x v="602"/>
    <d v="1899-12-30T00:00:03"/>
    <x v="64"/>
    <x v="6"/>
    <s v="sjfc"/>
    <x v="189"/>
    <n v="1557279"/>
    <x v="0"/>
    <s v="Business/Management"/>
    <s v="9781118863664"/>
    <s v=",1"/>
    <n v="1"/>
    <m/>
    <m/>
    <s v="No"/>
    <x v="1"/>
    <m/>
    <m/>
    <s v="149.69.254.57"/>
    <s v="HF5661 -- .W384 2014eb"/>
    <n v="657.37800000000004"/>
    <d v="2013-11-07T00:00:00"/>
  </r>
  <r>
    <x v="603"/>
    <d v="1899-12-30T00:07:24"/>
    <x v="182"/>
    <x v="0"/>
    <s v="Buffalo"/>
    <x v="168"/>
    <n v="1184135"/>
    <x v="0"/>
    <s v="Political Science"/>
    <s v="9780745659671"/>
    <s v=",20,21"/>
    <n v="2"/>
    <m/>
    <m/>
    <s v="No"/>
    <x v="2"/>
    <d v="2016-01-22T17:45:14"/>
    <n v="1"/>
    <s v="128.205.114.91"/>
    <s v="JC311"/>
    <n v="320.54000000000002"/>
    <d v="2013-04-26T00:00:00"/>
  </r>
  <r>
    <x v="604"/>
    <d v="1899-12-30T00:06:56"/>
    <x v="182"/>
    <x v="0"/>
    <s v="Buffalo"/>
    <x v="168"/>
    <n v="1184135"/>
    <x v="0"/>
    <s v="Political Science"/>
    <s v="9780745659671"/>
    <s v=",1,2,3,17,18,19,15,16,13,14,11,12"/>
    <n v="12"/>
    <m/>
    <m/>
    <s v="No"/>
    <x v="3"/>
    <m/>
    <m/>
    <s v="128.205.114.91"/>
    <s v="JC311"/>
    <n v="320.54000000000002"/>
    <d v="2013-04-26T00:00:00"/>
  </r>
  <r>
    <x v="605"/>
    <d v="1899-12-30T00:01:09"/>
    <x v="13"/>
    <x v="0"/>
    <s v="Buffalo"/>
    <x v="190"/>
    <n v="1344537"/>
    <x v="2"/>
    <s v="Social Science"/>
    <s v="9781135089559"/>
    <s v=",1,94,95,96,92,93,97,98,2,99,100,101,102,103,104,105,106,107,108,109,110"/>
    <n v="21"/>
    <m/>
    <m/>
    <s v="No"/>
    <x v="3"/>
    <m/>
    <m/>
    <s v="128.205.114.91"/>
    <s v="HV8198.A2 -- .C663 2014eb"/>
    <n v="363.2094170904"/>
    <d v="2013-08-15T00:00:00"/>
  </r>
  <r>
    <x v="606"/>
    <d v="1899-12-30T00:00:18"/>
    <x v="183"/>
    <x v="7"/>
    <s v="oneonta"/>
    <x v="191"/>
    <n v="1579792"/>
    <x v="2"/>
    <s v="Mathematics"/>
    <s v="9781317931676"/>
    <s v=",11,12,13,14,15,16,17"/>
    <n v="7"/>
    <s v=",15"/>
    <m/>
    <s v="No"/>
    <x v="2"/>
    <d v="2016-01-22T17:19:12"/>
    <n v="1"/>
    <s v="137.141.13.2"/>
    <s v="QA276.45.R3 -- G46 2014eb"/>
    <n v="519.5"/>
    <d v="2013-12-13T00:00:00"/>
  </r>
  <r>
    <x v="607"/>
    <d v="1899-12-30T00:00:39"/>
    <x v="184"/>
    <x v="0"/>
    <s v="Buffalo"/>
    <x v="127"/>
    <n v="1166311"/>
    <x v="0"/>
    <s v="Military Science"/>
    <s v="9781118525616"/>
    <s v=",1,2,3,7,13,14,15,11,12"/>
    <n v="9"/>
    <m/>
    <m/>
    <s v="No"/>
    <x v="1"/>
    <m/>
    <m/>
    <s v="128.205.114.91"/>
    <s v="U408.5 .P384 2013"/>
    <n v="355.00700000000001"/>
    <d v="2013-04-02T00:00:00"/>
  </r>
  <r>
    <x v="608"/>
    <d v="1899-12-30T00:05:02"/>
    <x v="183"/>
    <x v="7"/>
    <s v="oneonta"/>
    <x v="191"/>
    <n v="1579792"/>
    <x v="2"/>
    <s v="Mathematics"/>
    <s v="9781317931676"/>
    <s v=",1,2,3,4,5,6,7,8,9,10"/>
    <n v="10"/>
    <m/>
    <m/>
    <s v="No"/>
    <x v="3"/>
    <m/>
    <m/>
    <s v="137.141.13.2"/>
    <s v="QA276.45.R3 -- G46 2014eb"/>
    <n v="519.5"/>
    <d v="2013-12-13T00:00:00"/>
  </r>
  <r>
    <x v="609"/>
    <d v="1899-12-30T00:00:22"/>
    <x v="13"/>
    <x v="0"/>
    <s v="Buffalo"/>
    <x v="192"/>
    <n v="1582003"/>
    <x v="2"/>
    <s v="Psychology"/>
    <s v="9781317710004"/>
    <s v=",1,2,2,1,3,3,2,2"/>
    <n v="3"/>
    <m/>
    <m/>
    <s v="No"/>
    <x v="3"/>
    <m/>
    <m/>
    <s v="128.205.114.91"/>
    <s v="BF576 -- .I47 2007eb"/>
    <n v="152.4"/>
    <d v="2013-12-16T00:00:00"/>
  </r>
  <r>
    <x v="610"/>
    <d v="1899-12-30T00:08:24"/>
    <x v="185"/>
    <x v="12"/>
    <s v="potsdam"/>
    <x v="193"/>
    <n v="995746"/>
    <x v="0"/>
    <s v="Medicine; Health; Social Science"/>
    <s v="9781118233931"/>
    <s v=",1,2,3,27,28,29,25,26,30,31,32,87,88,89,85,86,90,91,92,142,143,144,140,141,145,146,147,148,194,195,196,176,177,178,174,175,192,193,197,198,199,200,201,202,203,204,205,206,207"/>
    <n v="49"/>
    <m/>
    <m/>
    <s v="No"/>
    <x v="1"/>
    <m/>
    <m/>
    <s v="137.143.104.94"/>
    <s v="RA790.A1; RC489.R46"/>
    <n v="362.20922000000002"/>
    <d v="2012-08-06T00:00:00"/>
  </r>
  <r>
    <x v="611"/>
    <d v="1899-12-30T00:01:35"/>
    <x v="185"/>
    <x v="12"/>
    <s v="potsdam"/>
    <x v="79"/>
    <n v="1757960"/>
    <x v="0"/>
    <s v="Medicine"/>
    <s v="9781118780770"/>
    <s v=",1,2,3,4,5,6,7,8,9,10,11,12,13,14,15,16,17"/>
    <n v="17"/>
    <m/>
    <m/>
    <s v="No"/>
    <x v="1"/>
    <m/>
    <m/>
    <s v="137.143.104.94"/>
    <s v="RC537 -- .A236 2014eb"/>
    <s v="616.85/27"/>
    <d v="2014-07-30T00:00:00"/>
  </r>
  <r>
    <x v="612"/>
    <d v="1899-12-30T00:07:07"/>
    <x v="186"/>
    <x v="0"/>
    <s v="Buffalo"/>
    <x v="194"/>
    <n v="1481109"/>
    <x v="5"/>
    <s v="Religion"/>
    <s v="9780814707968"/>
    <s v=",19,20,21,22,23,24,25,26,27,28,29,30,31,32,33,34,35,36,37,38,39,40,41,42,43,44,45,46,47,48,49,50,51,52,53,54,55"/>
    <n v="37"/>
    <m/>
    <m/>
    <s v="No"/>
    <x v="2"/>
    <d v="2016-01-22T15:26:34"/>
    <n v="1"/>
    <s v="128.205.114.91"/>
    <s v="BP188.14.H65 -- K84 2013eb"/>
    <n v="297.08663999999999"/>
    <d v="2013-12-06T00:00:00"/>
  </r>
  <r>
    <x v="613"/>
    <d v="1899-12-30T00:05:29"/>
    <x v="186"/>
    <x v="0"/>
    <s v="Buffalo"/>
    <x v="194"/>
    <n v="1481109"/>
    <x v="5"/>
    <s v="Religion"/>
    <s v="9780814707968"/>
    <s v=",1,2,3,4,5,6,7,8,9,10,11,12,13,14,15,16,17,18"/>
    <n v="18"/>
    <m/>
    <m/>
    <s v="No"/>
    <x v="3"/>
    <m/>
    <m/>
    <s v="128.205.114.91"/>
    <s v="BP188.14.H65 -- K84 2013eb"/>
    <n v="297.08663999999999"/>
    <d v="2013-12-06T00:00:00"/>
  </r>
  <r>
    <x v="614"/>
    <d v="1899-12-30T01:40:30"/>
    <x v="64"/>
    <x v="6"/>
    <s v="sjfc"/>
    <x v="75"/>
    <n v="1986951"/>
    <x v="0"/>
    <s v="Business/Management"/>
    <s v="9781119130468"/>
    <s v=",1,2,3,457,458,459,455,456,460,460,461,462,463,464,465,466,467,468,461,460,459,458,457,456,461,456,462,463,462,463,457,463,458,458,457"/>
    <n v="17"/>
    <s v=",457,458,458"/>
    <m/>
    <s v="No"/>
    <x v="0"/>
    <d v="2016-01-18T15:27:31"/>
    <n v="7"/>
    <s v="149.69.254.57"/>
    <s v="HF5661"/>
    <n v="657.07600000000002"/>
    <d v="2015-05-19T00:00:00"/>
  </r>
  <r>
    <x v="615"/>
    <d v="1899-12-30T00:00:03"/>
    <x v="123"/>
    <x v="4"/>
    <s v="monroe2boces"/>
    <x v="123"/>
    <n v="817860"/>
    <x v="0"/>
    <s v="Agriculture"/>
    <s v="9781118206362"/>
    <s v=",1,2,3"/>
    <n v="3"/>
    <m/>
    <m/>
    <s v="No"/>
    <x v="1"/>
    <m/>
    <m/>
    <s v="24.103.152.138"/>
    <s v="SF427 -- .H754 2012eb"/>
    <s v="636.7/07; 636.707"/>
    <d v="2012-01-31T00:00:00"/>
  </r>
  <r>
    <x v="616"/>
    <d v="1899-12-30T00:00:27"/>
    <x v="185"/>
    <x v="12"/>
    <s v="potsdam"/>
    <x v="195"/>
    <n v="2058138"/>
    <x v="5"/>
    <s v="Social Science; History"/>
    <s v="9781479869145"/>
    <s v=",1,2,3,4,5,6,7,8,9,10,11,12,13,14,15,16,17,18,19,20,21,22,23,24,25,26"/>
    <n v="26"/>
    <m/>
    <m/>
    <s v="No"/>
    <x v="3"/>
    <m/>
    <m/>
    <s v="137.143.104.94"/>
    <s v="DS135.F83 P67 2015"/>
    <n v="305.89240439999998"/>
    <d v="2015-06-12T00:00:00"/>
  </r>
  <r>
    <x v="617"/>
    <d v="1899-12-30T00:01:56"/>
    <x v="185"/>
    <x v="12"/>
    <s v="potsdam"/>
    <x v="196"/>
    <n v="2030288"/>
    <x v="0"/>
    <s v="History; Geography/Travel"/>
    <s v="9780745689371"/>
    <s v=",1,2,3,4,5,6,7,8,9,10,11,13,16,18,20,22,23,24,25,26,28,29,31,30,32,33,34,35,367,368,369,365,366,370,371,372,374,375,376,373,377,378,380,381,382,379,383"/>
    <n v="47"/>
    <m/>
    <m/>
    <s v="No"/>
    <x v="1"/>
    <m/>
    <m/>
    <s v="137.143.104.94"/>
    <s v="D16; DC36.9"/>
    <n v="907.20439999999996"/>
    <d v="2015-01-20T00:00:00"/>
  </r>
  <r>
    <x v="618"/>
    <d v="1899-12-30T00:00:07"/>
    <x v="185"/>
    <x v="12"/>
    <s v="potsdam"/>
    <x v="197"/>
    <n v="2110646"/>
    <x v="1"/>
    <s v="Social Science; Business/Management"/>
    <s v="9781472451385"/>
    <s v=",1,2,3,4,7,6,5"/>
    <n v="7"/>
    <m/>
    <m/>
    <s v="No"/>
    <x v="3"/>
    <m/>
    <m/>
    <s v="137.143.104.94"/>
    <s v="HD9999.C9472 C736 2015"/>
    <n v="306.3"/>
    <d v="2015-09-28T00:00:00"/>
  </r>
  <r>
    <x v="619"/>
    <d v="1899-12-30T00:00:49"/>
    <x v="185"/>
    <x v="12"/>
    <s v="potsdam"/>
    <x v="197"/>
    <n v="2110646"/>
    <x v="1"/>
    <s v="Social Science; Business/Management"/>
    <s v="9781472451385"/>
    <s v=",1,2,3,4,5,8,9,10,11,7,12,14,15,16,17,13,20,19,21,18,50,51,52,48,49"/>
    <n v="25"/>
    <m/>
    <m/>
    <s v="No"/>
    <x v="3"/>
    <m/>
    <m/>
    <s v="137.143.104.94"/>
    <s v="HD9999.C9472 C736 2015"/>
    <n v="306.3"/>
    <d v="2015-09-28T00:00:00"/>
  </r>
  <r>
    <x v="620"/>
    <d v="1899-12-30T00:01:21"/>
    <x v="123"/>
    <x v="4"/>
    <s v="monroe2boces"/>
    <x v="123"/>
    <n v="817860"/>
    <x v="0"/>
    <s v="Agriculture"/>
    <s v="9781118206362"/>
    <s v=",1,2,3,131,128,120,121,122,118,119,117,115,116"/>
    <n v="13"/>
    <m/>
    <m/>
    <s v="No"/>
    <x v="1"/>
    <m/>
    <m/>
    <s v="24.103.152.138"/>
    <s v="SF427 -- .H754 2012eb"/>
    <s v="636.7/07; 636.707"/>
    <d v="2012-01-31T00:00:00"/>
  </r>
  <r>
    <x v="621"/>
    <d v="1899-12-30T00:00:02"/>
    <x v="98"/>
    <x v="4"/>
    <s v="monroe2boces"/>
    <x v="123"/>
    <n v="817860"/>
    <x v="0"/>
    <s v="Agriculture"/>
    <s v="9781118206362"/>
    <s v=",1,2,3"/>
    <n v="3"/>
    <m/>
    <m/>
    <s v="No"/>
    <x v="1"/>
    <m/>
    <m/>
    <s v="24.103.152.138"/>
    <s v="SF427 -- .H754 2012eb"/>
    <s v="636.7/07; 636.707"/>
    <d v="2012-01-31T00:00:00"/>
  </r>
  <r>
    <x v="622"/>
    <d v="1899-12-30T00:00:00"/>
    <x v="187"/>
    <x v="13"/>
    <s v="buffalostate"/>
    <x v="198"/>
    <n v="1882092"/>
    <x v="3"/>
    <s v="Fine Arts"/>
    <s v="9780520959927"/>
    <m/>
    <n v="0"/>
    <m/>
    <s v=",80,81,82,83,84,85,86,87,88,89,90,91,92,93,94,95,96,97,98,99,100,101,102,103,104,105,106,107,108,109,110,111,112,113,114,115,116,117,118,119"/>
    <s v="No"/>
    <x v="2"/>
    <d v="2016-01-22T04:17:21"/>
    <n v="1"/>
    <s v="136.183.11.43"/>
    <s v="PN1993.5.U6 -- .B34 2015eb"/>
    <s v="791.4302/3"/>
    <d v="2015-04-30T00:00:00"/>
  </r>
  <r>
    <x v="623"/>
    <d v="1899-12-30T00:00:45"/>
    <x v="187"/>
    <x v="13"/>
    <s v="buffalostate"/>
    <x v="198"/>
    <n v="1882092"/>
    <x v="3"/>
    <s v="Fine Arts"/>
    <s v="9780520959927"/>
    <s v=",1,2,3,81,82,78,79,56,57,58,54,80"/>
    <n v="12"/>
    <m/>
    <m/>
    <s v="No"/>
    <x v="3"/>
    <m/>
    <m/>
    <s v="136.183.11.43"/>
    <s v="PN1993.5.U6 -- .B34 2015eb"/>
    <s v="791.4302/3"/>
    <d v="2015-04-30T00:00:00"/>
  </r>
  <r>
    <x v="624"/>
    <d v="1899-12-30T00:03:41"/>
    <x v="188"/>
    <x v="1"/>
    <s v="brockport"/>
    <x v="199"/>
    <n v="1441217"/>
    <x v="2"/>
    <s v="Education"/>
    <s v="9781317921899"/>
    <s v=",7,8,9,18,19,20,17,16,21,22,15,13,12,11"/>
    <n v="14"/>
    <m/>
    <m/>
    <s v="No"/>
    <x v="2"/>
    <d v="2016-01-22T02:22:20"/>
    <n v="1"/>
    <s v="137.21.7.121"/>
    <s v="LB1731.4 -- .W38 2013eb"/>
    <n v="371.10199999999998"/>
    <d v="2013-10-02T00:00:00"/>
  </r>
  <r>
    <x v="625"/>
    <d v="1899-12-30T00:00:03"/>
    <x v="189"/>
    <x v="1"/>
    <s v="brockport"/>
    <x v="200"/>
    <n v="298457"/>
    <x v="2"/>
    <s v="Engineering; Engineering: Electrical; Fine Arts"/>
    <s v="9780080520599"/>
    <s v=",1,2,3"/>
    <n v="3"/>
    <m/>
    <m/>
    <s v="No"/>
    <x v="2"/>
    <d v="2016-01-21T15:44:05"/>
    <n v="1"/>
    <s v="137.21.7.121"/>
    <s v="TK6655.V5 -- .M555 2001eb"/>
    <n v="778.59"/>
    <d v="2013-10-28T00:00:00"/>
  </r>
  <r>
    <x v="626"/>
    <d v="1899-12-30T00:12:22"/>
    <x v="188"/>
    <x v="1"/>
    <s v="brockport"/>
    <x v="199"/>
    <n v="1441217"/>
    <x v="2"/>
    <s v="Education"/>
    <s v="9781317921899"/>
    <s v=",1,2,3,4,5,6"/>
    <n v="6"/>
    <m/>
    <m/>
    <s v="No"/>
    <x v="3"/>
    <m/>
    <m/>
    <s v="137.21.7.121"/>
    <s v="LB1731.4 -- .W38 2013eb"/>
    <n v="371.10199999999998"/>
    <d v="2013-10-02T00:00:00"/>
  </r>
  <r>
    <x v="627"/>
    <d v="1899-12-30T00:00:06"/>
    <x v="190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628"/>
    <d v="1899-12-30T00:02:27"/>
    <x v="190"/>
    <x v="1"/>
    <s v="brockport"/>
    <x v="45"/>
    <n v="1691426"/>
    <x v="0"/>
    <s v="Social Science; Health"/>
    <s v="9781118839492"/>
    <s v=",1,2,3,1,2,3"/>
    <n v="3"/>
    <m/>
    <m/>
    <s v="No"/>
    <x v="1"/>
    <m/>
    <m/>
    <s v="137.21.7.121"/>
    <s v="RA781.7 -- .P396 2014eb"/>
    <n v="613.70460000000003"/>
    <d v="2014-05-13T00:00:00"/>
  </r>
  <r>
    <x v="629"/>
    <d v="1899-12-30T00:01:28"/>
    <x v="172"/>
    <x v="0"/>
    <s v="Buffalo"/>
    <x v="173"/>
    <n v="1582028"/>
    <x v="2"/>
    <s v="Psychology"/>
    <s v="9781317850823"/>
    <s v=",181,182"/>
    <n v="2"/>
    <m/>
    <m/>
    <s v="No"/>
    <x v="2"/>
    <d v="2016-01-22T01:32:25"/>
    <n v="1"/>
    <s v="128.205.114.91"/>
    <s v="BF575.G7 -- P37 2010eb"/>
    <n v="155.93700000000001"/>
    <d v="2013-12-16T00:00:00"/>
  </r>
  <r>
    <x v="630"/>
    <d v="1899-12-30T00:12:31"/>
    <x v="172"/>
    <x v="0"/>
    <s v="Buffalo"/>
    <x v="173"/>
    <n v="1582028"/>
    <x v="2"/>
    <s v="Psychology"/>
    <s v="9781317850823"/>
    <s v=",1,2,3,172,173,174,170,171,107,108,109,105,106,175,176,177,178,179,180"/>
    <n v="19"/>
    <m/>
    <m/>
    <s v="No"/>
    <x v="3"/>
    <m/>
    <m/>
    <s v="128.205.114.91"/>
    <s v="BF575.G7 -- P37 2010eb"/>
    <n v="155.93700000000001"/>
    <d v="2013-12-16T00:00:00"/>
  </r>
  <r>
    <x v="631"/>
    <d v="1899-12-30T00:00:00"/>
    <x v="172"/>
    <x v="0"/>
    <s v="Buffalo"/>
    <x v="172"/>
    <n v="1356236"/>
    <x v="2"/>
    <s v="Psychology"/>
    <s v="9781135059699"/>
    <s v=",46"/>
    <n v="1"/>
    <m/>
    <m/>
    <s v="No"/>
    <x v="2"/>
    <d v="2016-01-22T01:10:48"/>
    <n v="1"/>
    <s v="128.205.114.91"/>
    <s v="BF723.G75W"/>
    <n v="155.93700000000001"/>
    <d v="2013-08-21T00:00:00"/>
  </r>
  <r>
    <x v="632"/>
    <d v="1899-12-30T00:08:55"/>
    <x v="172"/>
    <x v="0"/>
    <s v="Buffalo"/>
    <x v="172"/>
    <n v="1356236"/>
    <x v="2"/>
    <s v="Psychology"/>
    <s v="9781135059699"/>
    <s v=",1,2,3,49,50,51,47,48,52"/>
    <n v="9"/>
    <m/>
    <m/>
    <s v="No"/>
    <x v="3"/>
    <m/>
    <m/>
    <s v="128.205.114.91"/>
    <s v="BF723.G75W"/>
    <n v="155.93700000000001"/>
    <d v="2013-08-21T00:00:00"/>
  </r>
  <r>
    <x v="633"/>
    <d v="1899-12-30T00:10:57"/>
    <x v="191"/>
    <x v="0"/>
    <s v="Buffalo"/>
    <x v="201"/>
    <n v="4039442"/>
    <x v="0"/>
    <s v="Engineering: Mechanical; Engineering: General; Engineering"/>
    <s v="9781118870976"/>
    <s v=",1,4,301,303,299,300,401,399,403,498,500,501,600,601,700,701,800,801,843,842,841"/>
    <n v="21"/>
    <m/>
    <s v=",601,602,603,604,605,606,607,608,609,610,611,612,613,614,615,616,617,618,619,620,621,622,623,624,625,626,627,628,629,630,631,632,633,634,635,636,637,638,639,640,641,642,643,644,645,646,647,648,649,650,651,652,653,654,655,656,657,658,659,660,661,662,663,664,665,666,667,668,669,670,671,672,673,674,675,676,677,678,679,680,681,682,683,684,685,686,687,688,689,690,691,692,693,694,695,696,697,698,699,700,701,702,703,704,705,706,707,708,709,710,711,712,713,714,715,716,717,718,719,720,721,722,723,724,725,726,727,728,729,730,731,732,733,734,735,736,737,738,739,740,741,742,743,744,745,746,747,748,749,750,751,752,753,754,755,756,757,758,759,760,761,762,763,764,765,766,767,768,769,770,771,772,773,774,775,776,777,778,779,780,781,782,783,784,785,786,787,788,789,790,791,792,793,794,795,796,797,798,799,800,801,802,803,804,805,806,807,808,809,810,811,812,813,814,815,816,817,818,819,820,821,822,823,824,825,826,827,828,829,830,831,832,833,834,835,836,837,838,839,840,841,842,843,844,845"/>
    <s v="No"/>
    <x v="0"/>
    <d v="2016-01-21T23:18:11"/>
    <n v="7"/>
    <s v="128.205.114.91"/>
    <s v="TL678 -- .S748 2016eb"/>
    <n v="629.13499999999999"/>
    <d v="2015-10-02T00:00:00"/>
  </r>
  <r>
    <x v="634"/>
    <d v="1899-12-30T00:00:06"/>
    <x v="191"/>
    <x v="0"/>
    <s v="Buffalo"/>
    <x v="201"/>
    <n v="4039442"/>
    <x v="0"/>
    <s v="Engineering: Mechanical; Engineering: General; Engineering"/>
    <s v="9781118870976"/>
    <s v=",1,2,3"/>
    <n v="3"/>
    <m/>
    <m/>
    <s v="No"/>
    <x v="1"/>
    <m/>
    <m/>
    <s v="128.205.114.91"/>
    <s v="TL678 -- .S748 2016eb"/>
    <n v="629.13499999999999"/>
    <d v="2015-10-02T00:00:00"/>
  </r>
  <r>
    <x v="635"/>
    <d v="1899-12-30T00:00:00"/>
    <x v="192"/>
    <x v="0"/>
    <s v="Buffalo"/>
    <x v="201"/>
    <n v="4039442"/>
    <x v="0"/>
    <s v="Engineering: Mechanical; Engineering: General; Engineering"/>
    <s v="9781118870976"/>
    <m/>
    <n v="0"/>
    <m/>
    <s v=",301,302,303,304,305,306,307,308,309,310,311,312,313,314,315,316,317,318,319,320,321,322,323,324,325,326,327,328,329,330,331,332,333,334,335,336,337,338,339,340,341,342,343,344,345,346,347,348,349,350,351,352,353,354,355,356,357,358,359,360,361,362,363,364,365,366,367,368,369,370,371,372,373,374,375,376,377,378,379,380,381,382,383,384,385,386,387,388,389,390,391,392,393,394,395,396,397,398,399,400,401,402,403,404,405,406,407,408,409,410,411,412,413,414,415,416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401,402,403,404,405,406,407,408,409,410,411,412,413,414,415,416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498,499,500,501,502,503,504,505,506,507,508,509,510,511,512,513,514,515,516,517,518,519,520,521,522,523,524,525,526,527,528,529,530,531,532,533,534,535,536,537,538,539,540,541,542,543,544,545,546,547,548,549,550,551,552,553,554,555,556,557,558,559,560,561,562,563,564,565,566,567,568,569,570,571,572,573,574,575,576,577,578,579,580,581,582,583,584,585,586,587,588,589,590,591,592,593,594,595,596,597,598,599,600"/>
    <s v="No"/>
    <x v="0"/>
    <d v="2016-01-21T23:11:23"/>
    <n v="7"/>
    <s v="128.205.114.91"/>
    <s v="TL678 -- .S748 2016eb"/>
    <n v="629.13499999999999"/>
    <d v="2015-10-02T00:00:00"/>
  </r>
  <r>
    <x v="636"/>
    <d v="1899-12-30T00:00:10"/>
    <x v="192"/>
    <x v="0"/>
    <s v="Buffalo"/>
    <x v="201"/>
    <n v="4039442"/>
    <x v="0"/>
    <s v="Engineering: Mechanical; Engineering: General; Engineering"/>
    <s v="9781118870976"/>
    <s v=",1,2,3"/>
    <n v="3"/>
    <m/>
    <m/>
    <s v="No"/>
    <x v="1"/>
    <m/>
    <m/>
    <s v="128.205.114.91"/>
    <s v="TL678 -- .S748 2016eb"/>
    <n v="629.13499999999999"/>
    <d v="2015-10-02T00:00:00"/>
  </r>
  <r>
    <x v="637"/>
    <d v="1899-12-30T03:43:03"/>
    <x v="68"/>
    <x v="6"/>
    <s v="sjfc"/>
    <x v="74"/>
    <n v="768534"/>
    <x v="10"/>
    <s v="History; Geography/Travel"/>
    <s v="9781400839704"/>
    <s v=",1,2,3,4,5,6,7,8,9,10,11,12,13,14,15,16,17,34,35,36,32,33,37,38,39,40,1,3,4,5,6,7,11,36,1,15,23,18,6,7,8,9,37,38,39,35,36,34,51,52,53,32,33,29,30,31,26,27,28,24,25,23,1,3,4,5,6,7,8,9,10,11,12,13,14,15,16,17,18,19,20,21,22,40,41,42,43,44,45,46,47,48,49,60,61,62,58,59,57,56,55,54,50,48,48,63,64,65,66,67,68,69,70,71,72,73,74,75,79,80,81,78,76,77,82,83,84,85,86,87,88,89,90,91,105,106,107,103,104"/>
    <n v="96"/>
    <s v=",26,26,27,27,37,37,47,47,48,48,53,53,53,53,63,63,64,64,73,73,74,74,73,73,79,79"/>
    <m/>
    <s v="No"/>
    <x v="1"/>
    <m/>
    <m/>
    <s v="149.69.254.57"/>
    <s v="E839 -- .B59 2012eb"/>
    <s v="909.82/7"/>
    <d v="2011-10-31T00:00:00"/>
  </r>
  <r>
    <x v="638"/>
    <d v="1899-12-30T00:01:55"/>
    <x v="149"/>
    <x v="0"/>
    <s v="Buffalo"/>
    <x v="202"/>
    <n v="915727"/>
    <x v="0"/>
    <s v="Medicine"/>
    <s v="9781118316764"/>
    <s v=",1,2,3,69,70,71,68,67,72,74,75,84,102,119,135,138,139,140,137,134,136,132,133"/>
    <n v="23"/>
    <m/>
    <s v=",69,70,71,72,73,74,75,76,77,78,79,80,81,82,83,84,85,86,87,88,89,90,91,92,93,94,95,96,97"/>
    <s v="No"/>
    <x v="0"/>
    <d v="2016-01-21T21:11:15"/>
    <n v="7"/>
    <s v="128.205.114.91"/>
    <s v="RC531 -- .C42 2013eb"/>
    <s v="616.85/22"/>
    <d v="2013-03-04T00:00:00"/>
  </r>
  <r>
    <x v="639"/>
    <d v="1899-12-30T00:00:21"/>
    <x v="26"/>
    <x v="6"/>
    <s v="sjfc"/>
    <x v="203"/>
    <n v="449628"/>
    <x v="2"/>
    <s v="Health; Social Science"/>
    <s v="9781134028863"/>
    <s v=",1,2,3,32,33,34,30,31"/>
    <n v="8"/>
    <m/>
    <m/>
    <s v="No"/>
    <x v="3"/>
    <m/>
    <m/>
    <s v="149.69.254.57"/>
    <s v="RA1148"/>
    <n v="364.3"/>
    <d v="2013-07-23T00:00:00"/>
  </r>
  <r>
    <x v="640"/>
    <d v="1899-12-30T00:00:01"/>
    <x v="149"/>
    <x v="0"/>
    <s v="Buffalo"/>
    <x v="180"/>
    <n v="4042975"/>
    <x v="0"/>
    <s v="Medicine"/>
    <s v="9781118509883"/>
    <s v=",1,2,3"/>
    <n v="3"/>
    <m/>
    <m/>
    <s v="No"/>
    <x v="0"/>
    <d v="2016-01-21T21:11:43"/>
    <n v="7"/>
    <s v="128.205.114.91"/>
    <s v="RC531 -- .A43 2016eb"/>
    <s v="616.85/2206"/>
    <d v="2015-10-19T00:00:00"/>
  </r>
  <r>
    <x v="641"/>
    <d v="1899-12-30T00:14:12"/>
    <x v="149"/>
    <x v="0"/>
    <s v="Buffalo"/>
    <x v="202"/>
    <n v="915727"/>
    <x v="0"/>
    <s v="Medicine"/>
    <s v="9781118316764"/>
    <s v=",67,65,66,67,73,74,75,76,77,78,79,80,81,82,83,84,85,86,87,88,89,90,91,92,93,94,95,96,97,98,99,100,101"/>
    <n v="32"/>
    <m/>
    <m/>
    <s v="No"/>
    <x v="0"/>
    <d v="2016-01-21T21:11:15"/>
    <n v="7"/>
    <s v="128.205.114.91"/>
    <s v="RC531 -- .C42 2013eb"/>
    <s v="616.85/22"/>
    <d v="2013-03-04T00:00:00"/>
  </r>
  <r>
    <x v="642"/>
    <d v="1899-12-30T00:10:14"/>
    <x v="193"/>
    <x v="1"/>
    <s v="brockport"/>
    <x v="204"/>
    <n v="1896000"/>
    <x v="0"/>
    <s v="Business/Management"/>
    <s v="9781119048121"/>
    <s v=",17,18,149,150,154,144,146,142,143,147,158,159,175,178,174,173,179,180,181,182,176,177,183,184,185,186,188,189,234,235,236,233,203,204,205"/>
    <n v="35"/>
    <m/>
    <m/>
    <s v="No"/>
    <x v="0"/>
    <d v="2016-01-21T21:07:54"/>
    <n v="7"/>
    <s v="137.21.7.121"/>
    <s v="HF5718 -- .S565 2015eb"/>
    <n v="651.70000000000005"/>
    <d v="2015-02-13T00:00:00"/>
  </r>
  <r>
    <x v="643"/>
    <d v="1899-12-30T00:05:47"/>
    <x v="193"/>
    <x v="1"/>
    <s v="brockport"/>
    <x v="204"/>
    <n v="1896000"/>
    <x v="0"/>
    <s v="Business/Management"/>
    <s v="9781119048121"/>
    <s v=",1,14,15,16,12,13,2"/>
    <n v="7"/>
    <m/>
    <m/>
    <s v="No"/>
    <x v="3"/>
    <m/>
    <m/>
    <s v="137.21.7.121"/>
    <s v="HF5718 -- .S565 2015eb"/>
    <n v="651.70000000000005"/>
    <d v="2015-02-13T00:00:00"/>
  </r>
  <r>
    <x v="644"/>
    <d v="1899-12-30T00:14:35"/>
    <x v="149"/>
    <x v="0"/>
    <s v="Buffalo"/>
    <x v="202"/>
    <n v="915727"/>
    <x v="0"/>
    <s v="Medicine"/>
    <s v="9781118316764"/>
    <s v=",1,2,3,69,70,71,67,68,72"/>
    <n v="9"/>
    <m/>
    <m/>
    <s v="No"/>
    <x v="1"/>
    <m/>
    <m/>
    <s v="128.205.114.91"/>
    <s v="RC531 -- .C42 2013eb"/>
    <s v="616.85/22"/>
    <d v="2013-03-04T00:00:00"/>
  </r>
  <r>
    <x v="645"/>
    <d v="1899-12-30T00:19:58"/>
    <x v="149"/>
    <x v="0"/>
    <s v="Buffalo"/>
    <x v="180"/>
    <n v="4042975"/>
    <x v="0"/>
    <s v="Medicine"/>
    <s v="9781118509883"/>
    <s v=",1,2,3"/>
    <n v="3"/>
    <m/>
    <m/>
    <s v="No"/>
    <x v="3"/>
    <m/>
    <m/>
    <s v="128.205.114.91"/>
    <s v="RC531 -- .A43 2016eb"/>
    <s v="616.85/2206"/>
    <d v="2015-10-19T00:00:00"/>
  </r>
  <r>
    <x v="646"/>
    <d v="1899-12-30T00:00:00"/>
    <x v="194"/>
    <x v="0"/>
    <s v="Buffalo"/>
    <x v="201"/>
    <n v="4039442"/>
    <x v="0"/>
    <s v="Engineering: Mechanical; Engineering: General; Engineering"/>
    <s v="9781118870976"/>
    <m/>
    <n v="0"/>
    <s v=",63"/>
    <s v="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"/>
    <s v="No"/>
    <x v="0"/>
    <d v="2016-01-21T20:49:11"/>
    <n v="7"/>
    <s v="128.205.114.91"/>
    <s v="TL678 -- .S748 2016eb"/>
    <n v="629.13499999999999"/>
    <d v="2015-10-02T00:00:00"/>
  </r>
  <r>
    <x v="647"/>
    <d v="1899-12-30T00:02:07"/>
    <x v="194"/>
    <x v="0"/>
    <s v="Buffalo"/>
    <x v="201"/>
    <n v="4039442"/>
    <x v="0"/>
    <s v="Engineering: Mechanical; Engineering: General; Engineering"/>
    <s v="9781118870976"/>
    <s v=",1,2,3,67,9,1,2,3,4,5,6,7,8,9,10,11,12,13,14,15,16,17,18,19,20,21,22,23,24,25,26,27,28,29,30,31,32,33,34,35,36,37,38,39,40,41,42,43,44,45,46,47,48,49,50,51,52,53,54,55,56,57,58,59,60,61,63,65"/>
    <n v="64"/>
    <m/>
    <m/>
    <s v="No"/>
    <x v="1"/>
    <m/>
    <m/>
    <s v="128.205.114.91"/>
    <s v="TL678 -- .S748 2016eb"/>
    <n v="629.13499999999999"/>
    <d v="2015-10-02T00:00:00"/>
  </r>
  <r>
    <x v="648"/>
    <d v="1899-12-30T00:00:03"/>
    <x v="144"/>
    <x v="12"/>
    <s v="potsdam"/>
    <x v="121"/>
    <n v="1757959"/>
    <x v="0"/>
    <s v="Mathematics; Social Science"/>
    <s v="9781118767023"/>
    <s v=",1,2,3"/>
    <n v="3"/>
    <m/>
    <s v=",314,314,314,315,316,316,316,317,318,318"/>
    <s v="No"/>
    <x v="0"/>
    <d v="2016-01-19T20:29:03"/>
    <n v="7"/>
    <s v="137.143.104.94"/>
    <s v="HA31.2 .R43 2014"/>
    <s v="519.5; 519.52"/>
    <d v="2014-07-30T00:00:00"/>
  </r>
  <r>
    <x v="649"/>
    <d v="1899-12-30T00:00:00"/>
    <x v="195"/>
    <x v="6"/>
    <s v="sjfc"/>
    <x v="205"/>
    <n v="784539"/>
    <x v="3"/>
    <s v="Social Science"/>
    <s v="9780520950696"/>
    <m/>
    <n v="0"/>
    <m/>
    <m/>
    <s v="Yes"/>
    <x v="0"/>
    <d v="2016-01-21T20:36:01"/>
    <n v="7"/>
    <s v="149.69.254.57"/>
    <s v="HQ797 -- .P37 2012eb"/>
    <s v="306.76; 306.76/40835109794"/>
    <d v="2011-11-01T00:00:00"/>
  </r>
  <r>
    <x v="650"/>
    <d v="1899-12-30T00:18:35"/>
    <x v="150"/>
    <x v="0"/>
    <s v="Buffalo"/>
    <x v="152"/>
    <n v="330580"/>
    <x v="4"/>
    <s v="Medicine"/>
    <s v="9781593859398"/>
    <s v=",159,160,161,162,163,164,165,166,167,168,169,170"/>
    <n v="12"/>
    <m/>
    <m/>
    <s v="No"/>
    <x v="0"/>
    <d v="2016-01-21T20:39:17"/>
    <n v="7"/>
    <s v="128.205.114.91"/>
    <s v="RC489.C63 -- M55 2004eb"/>
    <n v="616.89142000000004"/>
    <d v="2014-05-14T00:00:00"/>
  </r>
  <r>
    <x v="651"/>
    <d v="1899-12-30T00:00:23"/>
    <x v="195"/>
    <x v="6"/>
    <s v="sjfc"/>
    <x v="205"/>
    <n v="784539"/>
    <x v="3"/>
    <s v="Social Science"/>
    <s v="9780520950696"/>
    <s v=",1,1,2,3"/>
    <n v="3"/>
    <m/>
    <m/>
    <s v="Yes"/>
    <x v="0"/>
    <d v="2016-01-21T20:36:01"/>
    <n v="7"/>
    <s v="149.69.254.57"/>
    <s v="HQ797 -- .P37 2012eb"/>
    <s v="306.76; 306.76/40835109794"/>
    <d v="2011-11-01T00:00:00"/>
  </r>
  <r>
    <x v="652"/>
    <d v="1899-12-30T00:00:00"/>
    <x v="195"/>
    <x v="6"/>
    <s v="sjfc"/>
    <x v="205"/>
    <n v="784539"/>
    <x v="3"/>
    <s v="Social Science"/>
    <s v="9780520950696"/>
    <m/>
    <n v="0"/>
    <m/>
    <m/>
    <s v="Yes"/>
    <x v="0"/>
    <d v="2016-01-21T20:36:01"/>
    <n v="7"/>
    <s v="149.69.254.57"/>
    <s v="HQ797 -- .P37 2012eb"/>
    <s v="306.76; 306.76/40835109794"/>
    <d v="2011-11-01T00:00:00"/>
  </r>
  <r>
    <x v="652"/>
    <d v="1899-12-30T00:00:00"/>
    <x v="195"/>
    <x v="6"/>
    <s v="sjfc"/>
    <x v="205"/>
    <n v="784539"/>
    <x v="3"/>
    <s v="Social Science"/>
    <s v="9780520950696"/>
    <m/>
    <n v="0"/>
    <m/>
    <m/>
    <s v="No"/>
    <x v="0"/>
    <d v="2016-01-21T20:36:01"/>
    <n v="7"/>
    <s v="149.69.254.57"/>
    <s v="HQ797 -- .P37 2012eb"/>
    <s v="306.76; 306.76/40835109794"/>
    <d v="2011-11-01T00:00:00"/>
  </r>
  <r>
    <x v="653"/>
    <d v="1899-12-30T00:03:04"/>
    <x v="195"/>
    <x v="6"/>
    <s v="sjfc"/>
    <x v="205"/>
    <n v="784539"/>
    <x v="3"/>
    <s v="Social Science"/>
    <s v="9780520950696"/>
    <s v=",1,2,3,4,5,6,7,8,9,10,11,12,13,14,15,16,17,18"/>
    <n v="18"/>
    <m/>
    <m/>
    <s v="No"/>
    <x v="1"/>
    <m/>
    <m/>
    <s v="149.69.254.57"/>
    <s v="HQ797 -- .P37 2012eb"/>
    <s v="306.76; 306.76/40835109794"/>
    <d v="2011-11-01T00:00:00"/>
  </r>
  <r>
    <x v="654"/>
    <d v="1899-12-30T00:10:28"/>
    <x v="150"/>
    <x v="0"/>
    <s v="Buffalo"/>
    <x v="152"/>
    <n v="330580"/>
    <x v="4"/>
    <s v="Medicine"/>
    <s v="9781593859398"/>
    <s v=",1,2,3,1,2,3,4,5,6,12,13,14,64,81,102,108,123,137,141,148,149,150,147,146,145,151,152,153,154,155,156,157,158"/>
    <n v="30"/>
    <m/>
    <m/>
    <s v="No"/>
    <x v="1"/>
    <m/>
    <m/>
    <s v="128.205.114.91"/>
    <s v="RC489.C63 -- M55 2004eb"/>
    <n v="616.89142000000004"/>
    <d v="2014-05-14T00:00:00"/>
  </r>
  <r>
    <x v="655"/>
    <d v="1899-12-30T00:00:30"/>
    <x v="196"/>
    <x v="0"/>
    <s v="Buffalo"/>
    <x v="206"/>
    <n v="1486870"/>
    <x v="2"/>
    <s v="Social Science"/>
    <s v="9781135206949"/>
    <s v=",1,2,3,268,269,270,266,267,271"/>
    <n v="9"/>
    <m/>
    <m/>
    <s v="No"/>
    <x v="3"/>
    <m/>
    <m/>
    <s v="128.205.114.91"/>
    <s v="HX84.R578S"/>
    <n v="364.131097309045"/>
    <d v="2013-10-18T00:00:00"/>
  </r>
  <r>
    <x v="656"/>
    <d v="1899-12-30T00:00:00"/>
    <x v="197"/>
    <x v="1"/>
    <s v="brockport"/>
    <x v="207"/>
    <n v="979950"/>
    <x v="14"/>
    <s v="Literature"/>
    <s v="9781476600321"/>
    <m/>
    <n v="0"/>
    <m/>
    <s v=",58,59,60,61,62,63,64,65,66,67"/>
    <s v="No"/>
    <x v="0"/>
    <d v="2016-01-21T18:47:04"/>
    <n v="7"/>
    <s v="137.21.7.121"/>
    <s v="PS3603.O4558 -- Z84 2012eb"/>
    <s v="813/.6"/>
    <d v="2012-07-10T00:00:00"/>
  </r>
  <r>
    <x v="657"/>
    <d v="1899-12-30T00:01:20"/>
    <x v="197"/>
    <x v="1"/>
    <s v="brockport"/>
    <x v="207"/>
    <n v="979950"/>
    <x v="14"/>
    <s v="Literature"/>
    <s v="9781476600321"/>
    <s v=",1,2,3,58,59,60,57,56"/>
    <n v="8"/>
    <m/>
    <m/>
    <s v="No"/>
    <x v="1"/>
    <m/>
    <m/>
    <s v="137.21.7.121"/>
    <s v="PS3603.O4558 -- Z84 2012eb"/>
    <s v="813/.6"/>
    <d v="2012-07-10T00:00:00"/>
  </r>
  <r>
    <x v="658"/>
    <d v="1899-12-30T00:00:04"/>
    <x v="133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659"/>
    <d v="1899-12-30T00:00:33"/>
    <x v="198"/>
    <x v="0"/>
    <s v="Buffalo"/>
    <x v="208"/>
    <n v="1719859"/>
    <x v="0"/>
    <s v="Engineering: Chemical; Engineering"/>
    <s v="9783527673308"/>
    <s v=",1,2,3,31,32,33,29,30,34,35"/>
    <n v="10"/>
    <m/>
    <m/>
    <s v="No"/>
    <x v="3"/>
    <m/>
    <m/>
    <s v="128.205.114.91"/>
    <s v="TP159.C3 -- .M654 2014eb"/>
    <n v="660.29949999999997"/>
    <d v="2014-06-23T00:00:00"/>
  </r>
  <r>
    <x v="660"/>
    <d v="1899-12-30T00:00:00"/>
    <x v="18"/>
    <x v="4"/>
    <s v="monroe2boces"/>
    <x v="16"/>
    <n v="877717"/>
    <x v="6"/>
    <s v="Fine Arts"/>
    <s v="9781438139265"/>
    <s v=",82"/>
    <n v="1"/>
    <m/>
    <m/>
    <s v="No"/>
    <x v="0"/>
    <d v="2016-01-21T16:16:44"/>
    <n v="7"/>
    <s v="216.226.127.140"/>
    <s v="PN1998.3.M577 -- L46 2012eb"/>
    <s v="791.4302/33092; B"/>
    <d v="2012-01-01T00:00:00"/>
  </r>
  <r>
    <x v="661"/>
    <d v="1899-12-30T00:01:05"/>
    <x v="13"/>
    <x v="0"/>
    <s v="Buffalo"/>
    <x v="201"/>
    <n v="4039442"/>
    <x v="0"/>
    <s v="Engineering: Mechanical; Engineering: General; Engineering"/>
    <s v="9781118870976"/>
    <s v=",1"/>
    <n v="1"/>
    <s v=",1"/>
    <m/>
    <s v="No"/>
    <x v="0"/>
    <d v="2016-01-21T16:13:39"/>
    <n v="7"/>
    <s v="128.205.114.91"/>
    <s v="TL678 -- .S748 2016eb"/>
    <n v="629.13499999999999"/>
    <d v="2015-10-02T00:00:00"/>
  </r>
  <r>
    <x v="662"/>
    <d v="1899-12-30T00:02:40"/>
    <x v="13"/>
    <x v="0"/>
    <s v="Buffalo"/>
    <x v="201"/>
    <n v="4039442"/>
    <x v="0"/>
    <s v="Engineering: Mechanical; Engineering: General; Engineering"/>
    <s v="9781118870976"/>
    <s v=",1,2,3,4,5,6,7,8,9,10,45,46,47,43,44,42,41,25,19,20,21,22,18,23,24,26,27,28,29,30,31,32,33,34,35,36,37,38,39,40,41,42,43,44,45,46,47,48,49,50,52,53,54,55,56,57,59,60,63,61,1"/>
    <n v="53"/>
    <m/>
    <m/>
    <s v="No"/>
    <x v="3"/>
    <m/>
    <m/>
    <s v="128.205.114.91"/>
    <s v="TL678 -- .S748 2016eb"/>
    <n v="629.13499999999999"/>
    <d v="2015-10-02T00:00:00"/>
  </r>
  <r>
    <x v="663"/>
    <d v="1899-12-30T00:15:03"/>
    <x v="18"/>
    <x v="4"/>
    <s v="monroe2boces"/>
    <x v="16"/>
    <n v="877717"/>
    <x v="6"/>
    <s v="Fine Arts"/>
    <s v="9781438139265"/>
    <s v=",1,2,3,4,26,74,101,110,111,113,114,110,112,98,39,1,1,2,3,1,3,2,12,13,14,10,11,15,16,17,18,19,20,21,14,13,12,11,10,79,80,81,77,78,82"/>
    <n v="32"/>
    <m/>
    <m/>
    <s v="No"/>
    <x v="1"/>
    <m/>
    <m/>
    <s v="216.226.127.140"/>
    <s v="PN1998.3.M577 -- L46 2012eb"/>
    <s v="791.4302/33092; B"/>
    <d v="2012-01-01T00:00:00"/>
  </r>
  <r>
    <x v="664"/>
    <d v="1899-12-30T00:00:02"/>
    <x v="18"/>
    <x v="4"/>
    <s v="monroe2boces"/>
    <x v="16"/>
    <n v="877717"/>
    <x v="6"/>
    <s v="Fine Arts"/>
    <s v="9781438139265"/>
    <s v=",1,2"/>
    <n v="2"/>
    <m/>
    <m/>
    <s v="No"/>
    <x v="1"/>
    <m/>
    <m/>
    <s v="216.226.127.140"/>
    <s v="PN1998.3.M577 -- L46 2012eb"/>
    <s v="791.4302/33092; B"/>
    <d v="2012-01-01T00:00:00"/>
  </r>
  <r>
    <x v="665"/>
    <d v="1899-12-30T00:04:18"/>
    <x v="13"/>
    <x v="0"/>
    <s v="Buffalo"/>
    <x v="209"/>
    <n v="1581915"/>
    <x v="2"/>
    <s v="Fine Arts"/>
    <s v="9781317766223"/>
    <s v=",1,2,3,282,283,284,280,281,285,286,287,288,289"/>
    <n v="13"/>
    <m/>
    <m/>
    <s v="No"/>
    <x v="3"/>
    <m/>
    <m/>
    <s v="128.205.114.91"/>
    <s v="PN1995.9.Y6 -- D45 2008eb"/>
    <n v="791.43635300000005"/>
    <d v="2013-12-16T00:00:00"/>
  </r>
  <r>
    <x v="666"/>
    <d v="1899-12-30T00:14:08"/>
    <x v="189"/>
    <x v="1"/>
    <s v="brockport"/>
    <x v="200"/>
    <n v="298457"/>
    <x v="2"/>
    <s v="Engineering; Engineering: Electrical; Fine Arts"/>
    <s v="9780080520599"/>
    <s v=",1,2,3,14,15,16,12,13,17,18,25,26,27,23,24,14,15,16,12,13,17,11,9,7,1,2,3,4,5,6,18,19,20,13,12,19,20,21"/>
    <n v="24"/>
    <m/>
    <m/>
    <s v="No"/>
    <x v="2"/>
    <d v="2016-01-21T15:44:05"/>
    <n v="1"/>
    <s v="137.21.7.121"/>
    <s v="TK6655.V5 -- .M555 2001eb"/>
    <n v="778.59"/>
    <d v="2013-10-28T00:00:00"/>
  </r>
  <r>
    <x v="667"/>
    <d v="1899-12-30T00:00:11"/>
    <x v="189"/>
    <x v="1"/>
    <s v="brockport"/>
    <x v="200"/>
    <n v="298457"/>
    <x v="2"/>
    <s v="Engineering; Engineering: Electrical; Fine Arts"/>
    <s v="9780080520599"/>
    <s v=",23,24,25,21,22,26,27,28,29"/>
    <n v="9"/>
    <m/>
    <m/>
    <s v="No"/>
    <x v="2"/>
    <d v="2016-01-21T15:44:05"/>
    <n v="1"/>
    <s v="137.21.7.121"/>
    <s v="TK6655.V5 -- .M555 2001eb"/>
    <n v="778.59"/>
    <d v="2013-10-28T00:00:00"/>
  </r>
  <r>
    <x v="668"/>
    <d v="1899-12-30T00:00:41"/>
    <x v="199"/>
    <x v="5"/>
    <s v="erie"/>
    <x v="175"/>
    <n v="875809"/>
    <x v="0"/>
    <s v="Language/Linguistics"/>
    <s v="9781118223598"/>
    <s v=",1,2,3,55,56,57,53,54,58,59"/>
    <n v="10"/>
    <m/>
    <m/>
    <s v="No"/>
    <x v="1"/>
    <m/>
    <m/>
    <s v="199.29.6.54"/>
    <s v="PE1128.A2 -- F455 2012eb"/>
    <n v="428.00709999999998"/>
    <d v="2012-08-07T00:00:00"/>
  </r>
  <r>
    <x v="669"/>
    <d v="1899-12-30T00:00:00"/>
    <x v="185"/>
    <x v="12"/>
    <s v="potsdam"/>
    <x v="210"/>
    <n v="4218781"/>
    <x v="2"/>
    <s v="Social Science"/>
    <s v="9781317423829"/>
    <m/>
    <n v="0"/>
    <s v=",2"/>
    <m/>
    <s v="No"/>
    <x v="2"/>
    <d v="2016-01-21T15:06:57"/>
    <n v="1"/>
    <s v="137.143.104.94"/>
    <s v="HM571"/>
    <n v="303.01"/>
    <d v="2013-10-10T00:00:00"/>
  </r>
  <r>
    <x v="670"/>
    <d v="1899-12-30T00:01:41"/>
    <x v="185"/>
    <x v="12"/>
    <s v="potsdam"/>
    <x v="210"/>
    <n v="4218781"/>
    <x v="2"/>
    <s v="Social Science"/>
    <s v="9781317423829"/>
    <s v=",1,2,3,4"/>
    <n v="4"/>
    <m/>
    <m/>
    <s v="No"/>
    <x v="3"/>
    <m/>
    <m/>
    <s v="137.143.104.94"/>
    <s v="HM571"/>
    <n v="303.01"/>
    <d v="2013-10-10T00:00:00"/>
  </r>
  <r>
    <x v="671"/>
    <d v="1899-12-30T01:56:49"/>
    <x v="64"/>
    <x v="6"/>
    <s v="sjfc"/>
    <x v="75"/>
    <n v="1986951"/>
    <x v="0"/>
    <s v="Business/Management"/>
    <s v="9781119130468"/>
    <s v=",1,2,3,425,426,427,423,424,424,1,425,426,422,423,427,428,429,430,2,431,432,433,434,435,436,437,438,439,440,441,442,443,444,432,431,430,429,428,427,443,444,445,446,447,448,449,451,452,453,454,455,456,457,458,459,460,461,462,463,464,465,467,468"/>
    <n v="48"/>
    <s v=",429,430"/>
    <m/>
    <s v="No"/>
    <x v="0"/>
    <d v="2016-01-18T15:27:31"/>
    <n v="7"/>
    <s v="149.69.254.57"/>
    <s v="HF5661"/>
    <n v="657.07600000000002"/>
    <d v="2015-05-19T00:00:00"/>
  </r>
  <r>
    <x v="672"/>
    <d v="1899-12-30T00:00:54"/>
    <x v="193"/>
    <x v="1"/>
    <s v="brockport"/>
    <x v="200"/>
    <n v="298457"/>
    <x v="2"/>
    <s v="Engineering; Engineering: Electrical; Fine Arts"/>
    <s v="9780080520599"/>
    <s v=",19,19,20,21,20,17,21,18,18,16,15,14,13,12,17,18,19,20,15,14,13,12,11,16"/>
    <n v="11"/>
    <m/>
    <m/>
    <s v="No"/>
    <x v="2"/>
    <d v="2016-01-21T14:48:50"/>
    <n v="1"/>
    <s v="137.21.7.121"/>
    <s v="TK6655.V5 -- .M555 2001eb"/>
    <n v="778.59"/>
    <d v="2013-10-28T00:00:00"/>
  </r>
  <r>
    <x v="673"/>
    <d v="1899-12-30T00:02:49"/>
    <x v="193"/>
    <x v="1"/>
    <s v="brockport"/>
    <x v="200"/>
    <n v="298457"/>
    <x v="2"/>
    <s v="Engineering; Engineering: Electrical; Fine Arts"/>
    <s v="9780080520599"/>
    <s v=",1,2,3,4"/>
    <n v="4"/>
    <m/>
    <m/>
    <s v="No"/>
    <x v="3"/>
    <m/>
    <m/>
    <s v="137.21.7.121"/>
    <s v="TK6655.V5 -- .M555 2001eb"/>
    <n v="778.59"/>
    <d v="2013-10-28T00:00:00"/>
  </r>
  <r>
    <x v="674"/>
    <d v="1899-12-30T00:57:09"/>
    <x v="189"/>
    <x v="1"/>
    <s v="brockport"/>
    <x v="200"/>
    <n v="298457"/>
    <x v="2"/>
    <s v="Engineering; Engineering: Electrical; Fine Arts"/>
    <s v="9780080520599"/>
    <s v=",1,2,3,4,5,6,7,8,9,10,11,14,15,16,12,13,17,18,19,20"/>
    <n v="20"/>
    <m/>
    <m/>
    <s v="No"/>
    <x v="3"/>
    <m/>
    <m/>
    <s v="137.21.7.121"/>
    <s v="TK6655.V5 -- .M555 2001eb"/>
    <n v="778.59"/>
    <d v="2013-10-28T00:00:00"/>
  </r>
  <r>
    <x v="675"/>
    <d v="1899-12-30T00:15:55"/>
    <x v="193"/>
    <x v="1"/>
    <s v="brockport"/>
    <x v="200"/>
    <n v="298457"/>
    <x v="2"/>
    <s v="Engineering; Engineering: Electrical; Fine Arts"/>
    <s v="9780080520599"/>
    <s v=",1,2,2,3,1,3,2,2"/>
    <n v="3"/>
    <m/>
    <m/>
    <s v="No"/>
    <x v="3"/>
    <m/>
    <m/>
    <s v="137.21.7.121"/>
    <s v="TK6655.V5 -- .M555 2001eb"/>
    <n v="778.59"/>
    <d v="2013-10-28T00:00:00"/>
  </r>
  <r>
    <x v="676"/>
    <d v="1899-12-30T00:00:30"/>
    <x v="193"/>
    <x v="1"/>
    <s v="brockport"/>
    <x v="200"/>
    <n v="298457"/>
    <x v="2"/>
    <s v="Engineering; Engineering: Electrical; Fine Arts"/>
    <s v="9780080520599"/>
    <s v=",1,2,3,4,5,6"/>
    <n v="6"/>
    <m/>
    <m/>
    <s v="No"/>
    <x v="3"/>
    <m/>
    <m/>
    <s v="137.21.7.121"/>
    <s v="TK6655.V5 -- .M555 2001eb"/>
    <n v="778.59"/>
    <d v="2013-10-28T00:00:00"/>
  </r>
  <r>
    <x v="677"/>
    <d v="1899-12-30T00:03:02"/>
    <x v="84"/>
    <x v="1"/>
    <s v="brockport"/>
    <x v="211"/>
    <n v="1884289"/>
    <x v="0"/>
    <s v="Medicine; Pharmacy; Health; Social Science"/>
    <s v="9781118636282"/>
    <s v=",347,348,349,345,346,361,368,369,370,366,367,365,363,364,356,355,357,354,353"/>
    <n v="19"/>
    <s v=",366,355"/>
    <s v=",347,347,348,348,349,350,350,351,351,352,352,352,353,353,353,354,355,356,357,358,359,360,361,361,362,362,362,363,364,364,365,365,366,367,368,369"/>
    <s v="Yes"/>
    <x v="0"/>
    <d v="2016-01-20T15:07:58"/>
    <n v="7"/>
    <s v="137.21.7.121"/>
    <s v="RA638 -- .V33 2015eb"/>
    <s v="615.3/72"/>
    <d v="2014-12-04T00:00:00"/>
  </r>
  <r>
    <x v="678"/>
    <d v="1899-12-30T00:00:04"/>
    <x v="84"/>
    <x v="1"/>
    <s v="brockport"/>
    <x v="211"/>
    <n v="1884289"/>
    <x v="0"/>
    <s v="Medicine; Pharmacy; Health; Social Science"/>
    <s v="9781118636282"/>
    <s v=",1,2,3"/>
    <n v="3"/>
    <m/>
    <m/>
    <s v="No"/>
    <x v="0"/>
    <d v="2016-01-20T15:07:58"/>
    <n v="7"/>
    <s v="137.21.7.121"/>
    <s v="RA638 -- .V33 2015eb"/>
    <s v="615.3/72"/>
    <d v="2014-12-04T00:00:00"/>
  </r>
  <r>
    <x v="679"/>
    <d v="1899-12-30T00:00:22"/>
    <x v="200"/>
    <x v="0"/>
    <s v="Buffalo"/>
    <x v="212"/>
    <n v="406039"/>
    <x v="4"/>
    <s v="Health; Medicine; Social Science"/>
    <s v="9781606231432"/>
    <s v=",1,1,2,2,3,3,2,2"/>
    <n v="3"/>
    <m/>
    <m/>
    <s v="No"/>
    <x v="3"/>
    <m/>
    <m/>
    <s v="128.205.114.91"/>
    <s v="RC564 -- .S566 2004eb"/>
    <n v="362.29199999999997"/>
    <d v="2014-05-14T00:00:00"/>
  </r>
  <r>
    <x v="680"/>
    <d v="1899-12-30T00:38:07"/>
    <x v="201"/>
    <x v="0"/>
    <s v="Buffalo"/>
    <x v="213"/>
    <n v="1863797"/>
    <x v="11"/>
    <s v="Religion"/>
    <s v="9780226199108"/>
    <s v=",19,20,21,22,23,24,25,26,27,28,29,30,31,32,33,34,35,36,37,252,253,254,250,251,255,256,257,258,259,260,261,262,263,264,265,266,267,268,269,270,271,272,273,274,275,276,277,278,279,280,281,282,283,285,286,287,288,289,290,291,292,293,294,295,296,297,298,299,300,301,302,303,304,305,306,307,308,309,310,311,313,314,315,316,317,318,319,127,128,129,125,126,130,131,132,133,134,135,136,137,138,139,140,141,142,143,144,145,146,147,148,149,150,151,152,153,154,155,156,157,159,160,161,162,163,164,165,166,167,168,169,170,171,172,173,174,175,176,177,178,179,197,198,199,195,196,200,201,202,203,204,205,206,207,208,209,210,211,212,63,64,65,62,61,66,67,68,69,70,71,72,73,74,387,388,389,386,384,385,383,381,382,320,321,322,323,324,325,326,327,328,329,330,331,332,333,334,335,336,337,338,339,340,341,342,343,344"/>
    <n v="207"/>
    <m/>
    <m/>
    <s v="No"/>
    <x v="2"/>
    <d v="2016-01-21T03:56:55"/>
    <n v="1"/>
    <s v="128.205.114.91"/>
    <s v="BQ950"/>
    <n v="294.30919999999998"/>
    <d v="2015-01-13T00:00:00"/>
  </r>
  <r>
    <x v="681"/>
    <d v="1899-12-30T00:05:35"/>
    <x v="201"/>
    <x v="0"/>
    <s v="Buffalo"/>
    <x v="213"/>
    <n v="1863797"/>
    <x v="11"/>
    <s v="Religion"/>
    <s v="9780226199108"/>
    <s v=",1,2,3,8,9,10,6,7,12,13,14,11,15,16,17,18"/>
    <n v="16"/>
    <m/>
    <m/>
    <s v="No"/>
    <x v="3"/>
    <m/>
    <m/>
    <s v="128.205.114.91"/>
    <s v="BQ950"/>
    <n v="294.30919999999998"/>
    <d v="2015-01-13T00:00:00"/>
  </r>
  <r>
    <x v="682"/>
    <d v="1899-12-30T00:00:00"/>
    <x v="202"/>
    <x v="0"/>
    <s v="Buffalo"/>
    <x v="214"/>
    <n v="730024"/>
    <x v="3"/>
    <s v="Fine Arts"/>
    <s v="9780520947375"/>
    <m/>
    <n v="0"/>
    <m/>
    <m/>
    <s v="Yes"/>
    <x v="2"/>
    <d v="2016-01-21T02:17:23"/>
    <n v="7"/>
    <s v="128.205.114.91"/>
    <s v="ML197 .S695 2011"/>
    <n v="780"/>
    <d v="2014-05-14T00:00:00"/>
  </r>
  <r>
    <x v="682"/>
    <d v="1899-12-30T00:00:00"/>
    <x v="202"/>
    <x v="0"/>
    <s v="Buffalo"/>
    <x v="214"/>
    <n v="730024"/>
    <x v="3"/>
    <s v="Fine Arts"/>
    <s v="9780520947375"/>
    <m/>
    <n v="0"/>
    <m/>
    <m/>
    <s v="No"/>
    <x v="2"/>
    <d v="2016-01-21T02:17:23"/>
    <n v="7"/>
    <s v="128.205.114.91"/>
    <s v="ML197 .S695 2011"/>
    <n v="780"/>
    <d v="2014-05-14T00:00:00"/>
  </r>
  <r>
    <x v="683"/>
    <d v="1899-12-30T00:01:58"/>
    <x v="202"/>
    <x v="0"/>
    <s v="Buffalo"/>
    <x v="214"/>
    <n v="730024"/>
    <x v="3"/>
    <s v="Fine Arts"/>
    <s v="9780520947375"/>
    <s v=",1,2,3,1,8,12,18,26,28,34"/>
    <n v="9"/>
    <m/>
    <m/>
    <s v="No"/>
    <x v="3"/>
    <m/>
    <m/>
    <s v="128.205.114.91"/>
    <s v="ML197 .S695 2011"/>
    <n v="780"/>
    <d v="2014-05-14T00:00:00"/>
  </r>
  <r>
    <x v="684"/>
    <d v="1899-12-30T00:20:35"/>
    <x v="203"/>
    <x v="0"/>
    <s v="Buffalo"/>
    <x v="142"/>
    <n v="1619425"/>
    <x v="2"/>
    <s v="Language/Linguistics"/>
    <s v="9781317691242"/>
    <s v=",1,2,3,4,5,6,7,8,9,10,11,12,13,14,15,16,17,18,19"/>
    <n v="19"/>
    <m/>
    <m/>
    <s v="Yes"/>
    <x v="2"/>
    <d v="2016-01-21T01:09:29"/>
    <n v="1"/>
    <s v="128.205.114.91"/>
    <s v="P204 -- .C56 2013eb"/>
    <n v="415"/>
    <d v="2013-12-30T00:00:00"/>
  </r>
  <r>
    <x v="685"/>
    <d v="1899-12-30T00:00:04"/>
    <x v="203"/>
    <x v="0"/>
    <s v="Buffalo"/>
    <x v="142"/>
    <n v="1619425"/>
    <x v="2"/>
    <s v="Language/Linguistics"/>
    <s v="9781317691242"/>
    <s v=",1,2,3"/>
    <n v="3"/>
    <m/>
    <m/>
    <s v="No"/>
    <x v="2"/>
    <d v="2016-01-21T01:09:29"/>
    <n v="1"/>
    <s v="128.205.114.91"/>
    <s v="P204 -- .C56 2013eb"/>
    <n v="415"/>
    <d v="2013-12-30T00:00:00"/>
  </r>
  <r>
    <x v="686"/>
    <d v="1899-12-30T00:00:00"/>
    <x v="203"/>
    <x v="0"/>
    <s v="Buffalo"/>
    <x v="142"/>
    <n v="1619425"/>
    <x v="2"/>
    <s v="Language/Linguistics"/>
    <s v="9781317691242"/>
    <m/>
    <n v="0"/>
    <m/>
    <m/>
    <s v="Yes"/>
    <x v="2"/>
    <d v="2016-01-21T01:09:29"/>
    <n v="1"/>
    <s v="128.205.114.91"/>
    <s v="P204 -- .C56 2013eb"/>
    <n v="415"/>
    <d v="2013-12-30T00:00:00"/>
  </r>
  <r>
    <x v="687"/>
    <d v="1899-12-30T00:00:31"/>
    <x v="203"/>
    <x v="0"/>
    <s v="Buffalo"/>
    <x v="142"/>
    <n v="1619425"/>
    <x v="2"/>
    <s v="Language/Linguistics"/>
    <s v="9781317691242"/>
    <s v=",1,3,4,5,2,6,7,5,24"/>
    <n v="8"/>
    <m/>
    <m/>
    <s v="Yes"/>
    <x v="2"/>
    <d v="2016-01-21T01:09:29"/>
    <n v="1"/>
    <s v="128.205.114.91"/>
    <s v="P204 -- .C56 2013eb"/>
    <n v="415"/>
    <d v="2013-12-30T00:00:00"/>
  </r>
  <r>
    <x v="688"/>
    <d v="1899-12-30T00:00:02"/>
    <x v="203"/>
    <x v="0"/>
    <s v="Buffalo"/>
    <x v="142"/>
    <n v="1619425"/>
    <x v="2"/>
    <s v="Language/Linguistics"/>
    <s v="9781317691242"/>
    <s v=",1,3,4,5,2"/>
    <n v="5"/>
    <m/>
    <m/>
    <s v="No"/>
    <x v="2"/>
    <d v="2016-01-21T01:09:29"/>
    <n v="1"/>
    <s v="128.205.114.91"/>
    <s v="P204 -- .C56 2013eb"/>
    <n v="415"/>
    <d v="2013-12-30T00:00:00"/>
  </r>
  <r>
    <x v="689"/>
    <d v="1899-12-30T00:37:00"/>
    <x v="203"/>
    <x v="0"/>
    <s v="Buffalo"/>
    <x v="142"/>
    <n v="1619425"/>
    <x v="2"/>
    <s v="Language/Linguistics"/>
    <s v="9781317691242"/>
    <s v=",1,2,3"/>
    <n v="3"/>
    <m/>
    <m/>
    <s v="No"/>
    <x v="3"/>
    <m/>
    <m/>
    <s v="128.205.114.91"/>
    <s v="P204 -- .C56 2013eb"/>
    <n v="415"/>
    <d v="2013-12-30T00:00:00"/>
  </r>
  <r>
    <x v="690"/>
    <d v="1899-12-30T00:13:29"/>
    <x v="64"/>
    <x v="6"/>
    <s v="sjfc"/>
    <x v="75"/>
    <n v="1986951"/>
    <x v="0"/>
    <s v="Business/Management"/>
    <s v="9781119130468"/>
    <s v=",1,2,3,425,427,423,424,426,428,429,430,431,432,433,434,435,436,437,438,439,440,441,442,443,444"/>
    <n v="25"/>
    <m/>
    <m/>
    <s v="No"/>
    <x v="0"/>
    <d v="2016-01-18T15:27:31"/>
    <n v="7"/>
    <s v="149.69.254.57"/>
    <s v="HF5661"/>
    <n v="657.07600000000002"/>
    <d v="2015-05-19T00:00:00"/>
  </r>
  <r>
    <x v="691"/>
    <d v="1899-12-30T00:03:50"/>
    <x v="204"/>
    <x v="1"/>
    <s v="brockport"/>
    <x v="207"/>
    <n v="979950"/>
    <x v="14"/>
    <s v="Literature"/>
    <s v="9781476600321"/>
    <s v=",1,2,3,58,59,60,56,57,61,62,63,64,65,66,67,61,60,59,58,68,69,70,71,67,72"/>
    <n v="20"/>
    <m/>
    <m/>
    <s v="No"/>
    <x v="1"/>
    <m/>
    <m/>
    <s v="137.21.7.121"/>
    <s v="PS3603.O4558 -- Z84 2012eb"/>
    <s v="813/.6"/>
    <d v="2012-07-10T00:00:00"/>
  </r>
  <r>
    <x v="692"/>
    <d v="1899-12-30T00:08:51"/>
    <x v="41"/>
    <x v="1"/>
    <s v="brockport"/>
    <x v="45"/>
    <n v="1691426"/>
    <x v="0"/>
    <s v="Social Science; Health"/>
    <s v="9781118839492"/>
    <s v=",1,2,3,340,341,342,339,338,348,346,349,347,350,340,343,344,345,351,29,30,31,27,28,340,338,327,328,329,330,326,331,332,333,334,335,336,337,338,340,340"/>
    <n v="34"/>
    <m/>
    <m/>
    <s v="No"/>
    <x v="1"/>
    <m/>
    <m/>
    <s v="137.21.7.121"/>
    <s v="RA781.7 -- .P396 2014eb"/>
    <n v="613.70460000000003"/>
    <d v="2014-05-13T00:00:00"/>
  </r>
  <r>
    <x v="693"/>
    <d v="1899-12-30T00:00:34"/>
    <x v="198"/>
    <x v="0"/>
    <s v="Buffalo"/>
    <x v="215"/>
    <n v="1211841"/>
    <x v="0"/>
    <s v="Science; Science: Chemistry"/>
    <s v="9781118507971"/>
    <s v=",1,3,2,191,192,189,190,194,195,196,197,198"/>
    <n v="12"/>
    <m/>
    <m/>
    <s v="No"/>
    <x v="3"/>
    <m/>
    <m/>
    <s v="128.205.114.91"/>
    <s v="QD502.5 -- .S86 2013eb"/>
    <s v="547/.139"/>
    <d v="2013-06-05T00:00:00"/>
  </r>
  <r>
    <x v="694"/>
    <d v="1899-12-30T00:00:03"/>
    <x v="198"/>
    <x v="0"/>
    <s v="Buffalo"/>
    <x v="216"/>
    <n v="1985846"/>
    <x v="0"/>
    <s v="Science; Science: Chemistry"/>
    <s v="9783527688746"/>
    <s v=",1,2,3"/>
    <n v="3"/>
    <m/>
    <m/>
    <s v="No"/>
    <x v="3"/>
    <m/>
    <m/>
    <s v="128.205.114.91"/>
    <s v="QD261 .T384 2015"/>
    <n v="547.20000000000005"/>
    <d v="2015-02-23T00:00:00"/>
  </r>
  <r>
    <x v="695"/>
    <d v="1899-12-30T00:00:27"/>
    <x v="98"/>
    <x v="4"/>
    <s v="monroe2boces"/>
    <x v="217"/>
    <n v="1674237"/>
    <x v="3"/>
    <s v="Social Science"/>
    <s v="9780520958456"/>
    <s v=",1,2,3,4,5,6,7,8,9,10,2,11,12,13,14"/>
    <n v="14"/>
    <m/>
    <m/>
    <s v="No"/>
    <x v="1"/>
    <m/>
    <m/>
    <s v="216.226.102.163"/>
    <s v="HM821 -- .C676 2014eb"/>
    <n v="305.800973"/>
    <d v="2014-07-31T00:00:00"/>
  </r>
  <r>
    <x v="696"/>
    <d v="1899-12-30T00:00:44"/>
    <x v="98"/>
    <x v="4"/>
    <s v="monroe2boces"/>
    <x v="218"/>
    <n v="860474"/>
    <x v="0"/>
    <s v="Social Science; Psychology"/>
    <s v="9780857082909"/>
    <s v=",1,2,3,4,5,6,7,8,9,10,11,12,13,2,14,15,16,17,18,19"/>
    <n v="19"/>
    <m/>
    <m/>
    <s v="No"/>
    <x v="1"/>
    <m/>
    <m/>
    <s v="216.226.102.163"/>
    <s v="BF637.N66 -- P44 2012eb"/>
    <s v="153; 302.222"/>
    <d v="2012-02-08T00:00:00"/>
  </r>
  <r>
    <x v="697"/>
    <d v="1899-12-30T00:07:20"/>
    <x v="98"/>
    <x v="4"/>
    <s v="monroe2boces"/>
    <x v="207"/>
    <n v="979950"/>
    <x v="14"/>
    <s v="Literature"/>
    <s v="9781476600321"/>
    <s v=",1,2,3,4,5,6,7,8,9,10,11,12,2,1,5,7,17,19,20,23,21,4,5,6"/>
    <n v="17"/>
    <m/>
    <m/>
    <s v="No"/>
    <x v="1"/>
    <m/>
    <m/>
    <s v="216.226.102.163"/>
    <s v="PS3603.O4558 -- Z84 2012eb"/>
    <s v="813/.6"/>
    <d v="2012-07-10T00:00:00"/>
  </r>
  <r>
    <x v="698"/>
    <d v="1899-12-30T00:01:51"/>
    <x v="84"/>
    <x v="1"/>
    <s v="brockport"/>
    <x v="211"/>
    <n v="1884289"/>
    <x v="0"/>
    <s v="Medicine; Pharmacy; Health; Social Science"/>
    <s v="9781118636282"/>
    <s v=",350,351,352,353,354,355,356,357,358,359,360,361,362,363,391,392,393"/>
    <n v="17"/>
    <m/>
    <s v=",335,336,337,338,339,340,341,342,343,344,345,346,347,348,349,350,351,352,353,354,355,356,357,358,359,360,361,362,363,364,365,366,367,368,369,347,348,349,350,351,352,353,354,355,356,357,358,359,360,361,362,363,364,365,366,367,368,369"/>
    <s v="Yes"/>
    <x v="0"/>
    <d v="2016-01-20T15:07:58"/>
    <n v="7"/>
    <s v="137.21.7.121"/>
    <s v="RA638 -- .V33 2015eb"/>
    <s v="615.3/72"/>
    <d v="2014-12-04T00:00:00"/>
  </r>
  <r>
    <x v="699"/>
    <d v="1899-12-30T00:11:48"/>
    <x v="84"/>
    <x v="1"/>
    <s v="brockport"/>
    <x v="211"/>
    <n v="1884289"/>
    <x v="0"/>
    <s v="Medicine; Pharmacy; Health; Social Science"/>
    <s v="9781118636282"/>
    <s v=",1,2,3,5,6,9,10,11,12,8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2,203,204,205,206,208,209,210,211,212,213,214,215,216,217,219,221,222,223,220,224,225,226,227,228,229,230,231,232,233,234,235,236,237,238,239,240,241,242,243,244,245,246,247,248,249,250,251,252,253,254,255,259,260,261,257,262,263,264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40,341,342,343,344,345,346,347,348,349"/>
    <n v="340"/>
    <m/>
    <m/>
    <s v="No"/>
    <x v="0"/>
    <d v="2016-01-20T15:07:58"/>
    <n v="7"/>
    <s v="137.21.7.121"/>
    <s v="RA638 -- .V33 2015eb"/>
    <s v="615.3/72"/>
    <d v="2014-12-04T00:00:00"/>
  </r>
  <r>
    <x v="700"/>
    <d v="1899-12-30T00:01:26"/>
    <x v="205"/>
    <x v="0"/>
    <s v="Buffalo"/>
    <x v="92"/>
    <n v="2166474"/>
    <x v="0"/>
    <s v="Medicine"/>
    <s v="9781118929285"/>
    <s v=",1,2,3,4,5,6,36,37,38,34,35,36,39"/>
    <n v="12"/>
    <m/>
    <m/>
    <s v="No"/>
    <x v="1"/>
    <m/>
    <m/>
    <s v="128.205.114.91"/>
    <s v="RK56"/>
    <n v="617.6"/>
    <d v="2015-06-01T00:00:00"/>
  </r>
  <r>
    <x v="701"/>
    <d v="1899-12-30T00:49:12"/>
    <x v="72"/>
    <x v="4"/>
    <s v="monroe2boces"/>
    <x v="219"/>
    <n v="1310741"/>
    <x v="15"/>
    <s v="Health; Sport &amp; Recreation"/>
    <s v="9781408107461"/>
    <s v=",21,22,23,19,20,24,25,26,18,17,24,25,25,26,27,28,27,28,29,30,31,32,33,34,35,36,37,23,29,32,33,34,31,30,35,36,37,38"/>
    <n v="22"/>
    <m/>
    <s v=",6,7,8,9,10,11,12,13,14,15,16,21,22,24,26,27,28,29,30,31,32,33,34"/>
    <s v="No"/>
    <x v="0"/>
    <d v="2016-01-20T18:58:13"/>
    <n v="7"/>
    <s v="74.39.196.130"/>
    <s v="GV546"/>
    <n v="613.71"/>
    <d v="2009-01-01T00:00:00"/>
  </r>
  <r>
    <x v="702"/>
    <d v="1899-12-30T00:04:22"/>
    <x v="72"/>
    <x v="4"/>
    <s v="monroe2boces"/>
    <x v="219"/>
    <n v="1310741"/>
    <x v="15"/>
    <s v="Health; Sport &amp; Recreation"/>
    <s v="9781408107461"/>
    <s v=",1,2,3,4,5,6,7,8,14,15,16,575,576,573,574,572,571,569,570,567,568,566,551,552,553,549,550,21,22,23,19,20,6,7,8,4,5,9,10,11,12,13,14,15,16,17,18,24,470,471,472,468,469,473,14,15,16,12,6,7,8,4,5,9,35,36,37,33,17,18,19,20"/>
    <n v="50"/>
    <m/>
    <m/>
    <s v="No"/>
    <x v="1"/>
    <m/>
    <m/>
    <s v="74.39.196.130"/>
    <s v="GV546"/>
    <n v="613.71"/>
    <d v="2009-01-01T00:00:00"/>
  </r>
  <r>
    <x v="703"/>
    <d v="1899-12-30T00:02:37"/>
    <x v="206"/>
    <x v="0"/>
    <s v="Buffalo"/>
    <x v="7"/>
    <n v="1711065"/>
    <x v="3"/>
    <s v="Political Science; Social Science"/>
    <s v="9780520959156"/>
    <s v=",1,2,3,40,41,42,38,39,43,44,45,46,47,48,49,50,51,52,53,54,55,56,57,58,59,60,61,100,101,102,98,103,104,105,106,107,108,139,140,138,136,137,141,142,134,135"/>
    <n v="46"/>
    <m/>
    <m/>
    <s v="No"/>
    <x v="1"/>
    <m/>
    <m/>
    <s v="128.205.114.91"/>
    <s v="JV6450 -- .P67 2014eb"/>
    <s v="304.8/73"/>
    <d v="2014-08-30T00:00:00"/>
  </r>
  <r>
    <x v="704"/>
    <d v="1899-12-30T00:01:43"/>
    <x v="197"/>
    <x v="1"/>
    <s v="brockport"/>
    <x v="220"/>
    <n v="979949"/>
    <x v="14"/>
    <s v="Literature"/>
    <s v="9780786493234"/>
    <s v=",186,187,188,184,185,196,197,198,194,195"/>
    <n v="10"/>
    <m/>
    <s v=",51,52,53,54,55,56,57,58,59,60,61,62,63,64,65,66,67,68,69"/>
    <s v="No"/>
    <x v="0"/>
    <d v="2016-01-20T18:15:37"/>
    <n v="7"/>
    <s v="137.21.7.121"/>
    <s v="PS3603.O4558 -- Z6845 2012eb"/>
    <s v="813/.6"/>
    <d v="2012-07-12T00:00:00"/>
  </r>
  <r>
    <x v="705"/>
    <d v="1899-12-30T00:00:15"/>
    <x v="197"/>
    <x v="1"/>
    <s v="brockport"/>
    <x v="220"/>
    <n v="979949"/>
    <x v="14"/>
    <s v="Literature"/>
    <s v="9780786493234"/>
    <s v=",1,2,3,51,52,53,49,50"/>
    <n v="8"/>
    <m/>
    <m/>
    <s v="No"/>
    <x v="1"/>
    <m/>
    <m/>
    <s v="137.21.7.121"/>
    <s v="PS3603.O4558 -- Z6845 2012eb"/>
    <s v="813/.6"/>
    <d v="2012-07-12T00:00:00"/>
  </r>
  <r>
    <x v="706"/>
    <d v="1899-12-30T00:01:05"/>
    <x v="151"/>
    <x v="1"/>
    <s v="brockport"/>
    <x v="45"/>
    <n v="1691426"/>
    <x v="0"/>
    <s v="Social Science; Health"/>
    <s v="9781118839492"/>
    <s v=",1,2,3,29,59,73,76,145,146,147,143,144,2,142,141,140,139,138,119,102,96,97,98,95,93,94,92,91,98,99"/>
    <n v="28"/>
    <m/>
    <m/>
    <s v="No"/>
    <x v="0"/>
    <d v="2016-01-15T23:12:34"/>
    <n v="7"/>
    <s v="137.21.7.121"/>
    <s v="RA781.7 -- .P396 2014eb"/>
    <n v="613.70460000000003"/>
    <d v="2014-05-13T00:00:00"/>
  </r>
  <r>
    <x v="707"/>
    <d v="1899-12-30T00:00:07"/>
    <x v="13"/>
    <x v="0"/>
    <s v="Buffalo"/>
    <x v="221"/>
    <n v="1120734"/>
    <x v="0"/>
    <s v="Social Science; Mathematics"/>
    <s v="9781118595671"/>
    <s v=",1,2,3"/>
    <n v="3"/>
    <m/>
    <m/>
    <s v="No"/>
    <x v="3"/>
    <m/>
    <m/>
    <s v="128.205.114.91"/>
    <s v="HA29"/>
    <n v="519.5"/>
    <d v="2013-01-03T00:00:00"/>
  </r>
  <r>
    <x v="708"/>
    <d v="1899-12-30T00:03:11"/>
    <x v="207"/>
    <x v="0"/>
    <s v="Buffalo"/>
    <x v="222"/>
    <n v="1215395"/>
    <x v="4"/>
    <s v="Medicine"/>
    <s v="9781462509522"/>
    <s v=",243,246,244,247,248,333,334,335,331,332,347,348,349"/>
    <n v="13"/>
    <s v=",243"/>
    <s v=",243,244,245,246,247,248,249,250,251,252,253,254,255,256,257,258,259,260,261,262,263,264"/>
    <s v="Yes"/>
    <x v="2"/>
    <d v="2016-01-20T17:49:34"/>
    <n v="1"/>
    <s v="128.205.114.91"/>
    <s v="RJ506.P66 -- T743 2013eb"/>
    <n v="616.85599999999999"/>
    <d v="2014-05-14T00:00:00"/>
  </r>
  <r>
    <x v="708"/>
    <d v="1899-12-30T00:00:00"/>
    <x v="207"/>
    <x v="0"/>
    <s v="Buffalo"/>
    <x v="222"/>
    <n v="1215395"/>
    <x v="4"/>
    <s v="Medicine"/>
    <s v="9781462509522"/>
    <m/>
    <n v="0"/>
    <m/>
    <m/>
    <s v="No"/>
    <x v="2"/>
    <d v="2016-01-20T17:49:34"/>
    <n v="1"/>
    <s v="128.205.114.91"/>
    <s v="RJ506.P66 -- T743 2013eb"/>
    <n v="616.85599999999999"/>
    <d v="2014-05-14T00:00:00"/>
  </r>
  <r>
    <x v="709"/>
    <d v="1899-12-30T00:00:59"/>
    <x v="207"/>
    <x v="0"/>
    <s v="Buffalo"/>
    <x v="222"/>
    <n v="1215395"/>
    <x v="4"/>
    <s v="Medicine"/>
    <s v="9781462509522"/>
    <s v=",1,243,244,245,241,242,246,2,243,243,243"/>
    <n v="8"/>
    <m/>
    <m/>
    <s v="No"/>
    <x v="3"/>
    <m/>
    <m/>
    <s v="128.205.114.91"/>
    <s v="RJ506.P66 -- T743 2013eb"/>
    <n v="616.85599999999999"/>
    <d v="2014-05-14T00:00:00"/>
  </r>
  <r>
    <x v="710"/>
    <d v="1899-12-30T00:00:00"/>
    <x v="208"/>
    <x v="1"/>
    <s v="brockport"/>
    <x v="171"/>
    <n v="1487097"/>
    <x v="2"/>
    <s v="Social Science"/>
    <s v="9781135398842"/>
    <m/>
    <n v="0"/>
    <m/>
    <s v=",274,275,276,277,278,279,280,281,282,283,284,285,286,287,288,289,290,291,292,293,294,295,296,297"/>
    <s v="No"/>
    <x v="2"/>
    <d v="2016-01-20T17:43:13"/>
    <n v="1"/>
    <s v="137.21.7.121"/>
    <s v="HQ77.9 -- .T72 2006eb"/>
    <n v="306.76799999999997"/>
    <d v="2013-10-18T00:00:00"/>
  </r>
  <r>
    <x v="711"/>
    <d v="1899-12-30T00:02:55"/>
    <x v="208"/>
    <x v="1"/>
    <s v="brockport"/>
    <x v="171"/>
    <n v="1487097"/>
    <x v="2"/>
    <s v="Social Science"/>
    <s v="9781135398842"/>
    <s v=",1,2,3,274,275,276,272,273,274,294,295"/>
    <n v="10"/>
    <m/>
    <m/>
    <s v="No"/>
    <x v="3"/>
    <m/>
    <m/>
    <s v="137.21.7.121"/>
    <s v="HQ77.9 -- .T72 2006eb"/>
    <n v="306.76799999999997"/>
    <d v="2013-10-18T00:00:00"/>
  </r>
  <r>
    <x v="712"/>
    <d v="1899-12-30T00:02:52"/>
    <x v="26"/>
    <x v="6"/>
    <s v="sjfc"/>
    <x v="153"/>
    <n v="3564347"/>
    <x v="5"/>
    <s v="History; Social Science"/>
    <s v="9781479883851"/>
    <s v=",1,2,3,194,192,193,197,134,135,133,132,242,239,240,196,197,195,199,200,201,202,203,204,205,284,300,297,295,296,293,294,298,299,301,281,272,270,269,271,268,266,267,265,264,263"/>
    <n v="44"/>
    <m/>
    <m/>
    <s v="No"/>
    <x v="3"/>
    <m/>
    <m/>
    <s v="149.69.254.57"/>
    <s v="E184.A75 -- .K499 2015eb"/>
    <s v="305.895/073"/>
    <d v="2015-05-08T00:00:00"/>
  </r>
  <r>
    <x v="713"/>
    <d v="1899-12-30T00:02:39"/>
    <x v="209"/>
    <x v="0"/>
    <s v="Buffalo"/>
    <x v="223"/>
    <n v="1777859"/>
    <x v="4"/>
    <s v="Medicine"/>
    <s v="9781462515479"/>
    <s v=",1,2,3,297,298,299,300,301,302,303,304,305,306,307,308,309,310,297,298,296,295,300,301,302,303,309,310,311,312,313,314,315,316,317,318"/>
    <n v="27"/>
    <m/>
    <s v=",303,306"/>
    <s v="No"/>
    <x v="0"/>
    <d v="2016-01-20T16:24:03"/>
    <n v="7"/>
    <s v="128.205.114.91"/>
    <s v="RC489.B4 -- .R36 2015eb"/>
    <s v="616.89/142"/>
    <d v="2014-11-10T00:00:00"/>
  </r>
  <r>
    <x v="714"/>
    <d v="1899-12-30T01:06:21"/>
    <x v="210"/>
    <x v="1"/>
    <s v="brockport"/>
    <x v="45"/>
    <n v="1691426"/>
    <x v="0"/>
    <s v="Social Science; Health"/>
    <s v="9781118839492"/>
    <s v=",1,41,42,43,39,40,2,99,100,101,97,98,102,103,104,105,106,107,108,103,100,101,97,98,109,110,111,107,108,112,113,108,103,104,105,101,102,107"/>
    <n v="24"/>
    <m/>
    <s v=",99,100,101,102,103,104,105,106,109,110,111,112,113,114,115,116,117,118,119,120,121,122,123,124,125,126,127,128,129,130,131,132,151,152,153,154,155,156,157,158,159,160,161,162,163,164,165,166,167,168,169,170,171,172,173,174,175,176,177,178,179,180,181,182,183,184,185,186,187,188,189,190,191,192,306,307,308,309,310,311,312,313,314,315,316,317,318,319,320,321,322,323,324,325,326,327,328,329,330,331,332,333,334,335,336,337,338,339,340,341,342,343,344,345,346,347,348,349,350,351,352,353,354"/>
    <s v="No"/>
    <x v="0"/>
    <d v="2016-01-17T02:33:31"/>
    <n v="7"/>
    <s v="137.21.7.121"/>
    <s v="RA781.7 -- .P396 2014eb"/>
    <n v="613.70460000000003"/>
    <d v="2014-05-13T00:00:00"/>
  </r>
  <r>
    <x v="715"/>
    <d v="1899-12-30T00:23:03"/>
    <x v="209"/>
    <x v="0"/>
    <s v="Buffalo"/>
    <x v="223"/>
    <n v="1777859"/>
    <x v="4"/>
    <s v="Medicine"/>
    <s v="9781462515479"/>
    <s v=",297,298,299,300,296,295,301,302,303,304,305,306"/>
    <n v="12"/>
    <m/>
    <s v=",299,300"/>
    <s v="No"/>
    <x v="0"/>
    <d v="2016-01-20T16:24:03"/>
    <n v="7"/>
    <s v="128.205.114.91"/>
    <s v="RC489.B4 -- .R36 2015eb"/>
    <s v="616.89/142"/>
    <d v="2014-11-10T00:00:00"/>
  </r>
  <r>
    <x v="716"/>
    <d v="1899-12-30T00:00:08"/>
    <x v="209"/>
    <x v="0"/>
    <s v="Buffalo"/>
    <x v="223"/>
    <n v="1777859"/>
    <x v="4"/>
    <s v="Medicine"/>
    <s v="9781462515479"/>
    <s v=",1,2,3,21,22,23,19,20"/>
    <n v="8"/>
    <m/>
    <m/>
    <s v="No"/>
    <x v="1"/>
    <m/>
    <m/>
    <s v="128.205.114.91"/>
    <s v="RC489.B4 -- .R36 2015eb"/>
    <s v="616.89/142"/>
    <d v="2014-11-10T00:00:00"/>
  </r>
  <r>
    <x v="717"/>
    <d v="1899-12-30T00:02:16"/>
    <x v="211"/>
    <x v="10"/>
    <s v="daemen"/>
    <x v="224"/>
    <n v="698108"/>
    <x v="0"/>
    <s v="Science; Science: Biology/Natural History"/>
    <s v="9781118095805"/>
    <s v=",116,117,118,114,115,116,11,12,13,9,10"/>
    <n v="10"/>
    <m/>
    <m/>
    <s v="No"/>
    <x v="2"/>
    <d v="2016-01-20T16:20:30"/>
    <n v="1"/>
    <s v="38.123.32.158"/>
    <s v="QH307.2 .K73 2011"/>
    <n v="570"/>
    <d v="2015-10-23T00:00:00"/>
  </r>
  <r>
    <x v="718"/>
    <d v="1899-12-30T06:18:27"/>
    <x v="212"/>
    <x v="1"/>
    <s v="brockport"/>
    <x v="45"/>
    <n v="1691426"/>
    <x v="0"/>
    <s v="Social Science; Health"/>
    <s v="9781118839492"/>
    <s v=",185,166,167,168,164,165,182,183,184,185,186,187,188,189,190,191,192,193,194,195,196,188,186,185,184,183,182,181,226,227,228,224,225,306,307,308,304,305,309,310,311,312,313,314,315,316,317,318,319,320,321,322,323,324,325,326,327,328,329,330,331,332,333,334,335,338,339,337,336,340,341,342,343,344,345,346,347,336,337,338,334,339,335,340,348,349,350,351,352,353,354,355,356,357,182,183,184,180,181,191,186,187,188,185,183,181,180"/>
    <n v="81"/>
    <m/>
    <m/>
    <s v="No"/>
    <x v="0"/>
    <d v="2016-01-20T16:14:39"/>
    <n v="7"/>
    <s v="137.21.7.121"/>
    <s v="RA781.7 -- .P396 2014eb"/>
    <n v="613.70460000000003"/>
    <d v="2014-05-13T00:00:00"/>
  </r>
  <r>
    <x v="719"/>
    <d v="1899-12-30T00:08:22"/>
    <x v="204"/>
    <x v="1"/>
    <s v="brockport"/>
    <x v="220"/>
    <n v="979949"/>
    <x v="14"/>
    <s v="Literature"/>
    <s v="9780786493234"/>
    <s v=",54,55,56,57,58,59,60,61,62,63,64,65,66,67,68,69,70,71,72"/>
    <n v="19"/>
    <m/>
    <m/>
    <s v="Yes"/>
    <x v="0"/>
    <d v="2016-01-20T15:44:58"/>
    <n v="7"/>
    <s v="137.21.7.121"/>
    <s v="PS3603.O4558 -- Z6845 2012eb"/>
    <s v="813/.6"/>
    <d v="2012-07-12T00:00:00"/>
  </r>
  <r>
    <x v="720"/>
    <d v="1899-12-30T00:00:10"/>
    <x v="204"/>
    <x v="1"/>
    <s v="brockport"/>
    <x v="220"/>
    <n v="979949"/>
    <x v="14"/>
    <s v="Literature"/>
    <s v="9780786493234"/>
    <s v=",1,2,3,51,52,53,49,50"/>
    <n v="8"/>
    <m/>
    <m/>
    <s v="No"/>
    <x v="0"/>
    <d v="2016-01-20T15:44:58"/>
    <n v="7"/>
    <s v="137.21.7.121"/>
    <s v="PS3603.O4558 -- Z6845 2012eb"/>
    <s v="813/.6"/>
    <d v="2012-07-12T00:00:00"/>
  </r>
  <r>
    <x v="721"/>
    <d v="1899-12-30T00:00:23"/>
    <x v="204"/>
    <x v="1"/>
    <s v="brockport"/>
    <x v="220"/>
    <n v="979949"/>
    <x v="14"/>
    <s v="Literature"/>
    <s v="9780786493234"/>
    <s v=",1,51,52,53,49,50,54,48,46,40,33,24,25,26,2,22,23"/>
    <n v="17"/>
    <m/>
    <m/>
    <s v="No"/>
    <x v="0"/>
    <d v="2016-01-20T15:44:58"/>
    <n v="7"/>
    <s v="137.21.7.121"/>
    <s v="PS3603.O4558 -- Z6845 2012eb"/>
    <s v="813/.6"/>
    <d v="2012-07-12T00:00:00"/>
  </r>
  <r>
    <x v="722"/>
    <d v="1899-12-30T00:03:49"/>
    <x v="204"/>
    <x v="1"/>
    <s v="brockport"/>
    <x v="220"/>
    <n v="979949"/>
    <x v="14"/>
    <s v="Literature"/>
    <s v="9780786493234"/>
    <s v=",54,55,56,57,58,59,60,61,62,63,64,65,66,67,68,69,70,71,72,51,52,53,49,50,54,55,59,62,63,64,65,66,67,68,69,70"/>
    <n v="24"/>
    <s v=",51,69,51,51"/>
    <m/>
    <s v="Yes"/>
    <x v="0"/>
    <d v="2016-01-20T15:44:58"/>
    <n v="7"/>
    <s v="137.21.7.121"/>
    <s v="PS3603.O4558 -- Z6845 2012eb"/>
    <s v="813/.6"/>
    <d v="2012-07-12T00:00:00"/>
  </r>
  <r>
    <x v="723"/>
    <d v="1899-12-30T00:01:26"/>
    <x v="204"/>
    <x v="1"/>
    <s v="brockport"/>
    <x v="220"/>
    <n v="979949"/>
    <x v="14"/>
    <s v="Literature"/>
    <s v="9780786493234"/>
    <s v=",54,55,56,57,58,59,60,61,62,63,64,65,66,67,68,69,70,71,72,51,52,53,49,50"/>
    <n v="24"/>
    <s v=",51,66"/>
    <m/>
    <s v="Yes"/>
    <x v="0"/>
    <d v="2016-01-20T15:44:58"/>
    <n v="7"/>
    <s v="137.21.7.121"/>
    <s v="PS3603.O4558 -- Z6845 2012eb"/>
    <s v="813/.6"/>
    <d v="2012-07-12T00:00:00"/>
  </r>
  <r>
    <x v="723"/>
    <d v="1899-12-30T00:00:00"/>
    <x v="204"/>
    <x v="1"/>
    <s v="brockport"/>
    <x v="220"/>
    <n v="979949"/>
    <x v="14"/>
    <s v="Literature"/>
    <s v="9780786493234"/>
    <m/>
    <n v="0"/>
    <m/>
    <m/>
    <s v="No"/>
    <x v="0"/>
    <d v="2016-01-20T15:44:58"/>
    <n v="7"/>
    <s v="137.21.7.121"/>
    <s v="PS3603.O4558 -- Z6845 2012eb"/>
    <s v="813/.6"/>
    <d v="2012-07-12T00:00:00"/>
  </r>
  <r>
    <x v="724"/>
    <d v="1899-12-30T00:00:26"/>
    <x v="204"/>
    <x v="1"/>
    <s v="brockport"/>
    <x v="220"/>
    <n v="979949"/>
    <x v="14"/>
    <s v="Literature"/>
    <s v="9780786493234"/>
    <s v=",1,2,3,51,52,53,49,50"/>
    <n v="8"/>
    <m/>
    <m/>
    <s v="No"/>
    <x v="1"/>
    <m/>
    <m/>
    <s v="137.21.7.121"/>
    <s v="PS3603.O4558 -- Z6845 2012eb"/>
    <s v="813/.6"/>
    <d v="2012-07-12T00:00:00"/>
  </r>
  <r>
    <x v="725"/>
    <d v="1899-12-30T00:03:04"/>
    <x v="84"/>
    <x v="1"/>
    <s v="brockport"/>
    <x v="211"/>
    <n v="1884289"/>
    <x v="0"/>
    <s v="Medicine; Pharmacy; Health; Social Science"/>
    <s v="9781118636282"/>
    <s v=",377,376,374,375,378,373,372,362,363,361,359,360,364,365,366,367,368,369,370,371,357,353,349,350,351,347,348,346,345,344"/>
    <n v="30"/>
    <m/>
    <s v=",347,348,349,350,351,352,353,354,355,356,357,358,359,360,361,362,363,364,365,366,367,368,369"/>
    <s v="Yes"/>
    <x v="0"/>
    <d v="2016-01-20T15:07:58"/>
    <n v="7"/>
    <s v="137.21.7.121"/>
    <s v="RA638 -- .V33 2015eb"/>
    <s v="615.3/72"/>
    <d v="2014-12-04T00:00:00"/>
  </r>
  <r>
    <x v="726"/>
    <d v="1899-12-30T00:36:19"/>
    <x v="213"/>
    <x v="12"/>
    <s v="potsdam"/>
    <x v="225"/>
    <n v="2144891"/>
    <x v="0"/>
    <s v="Mathematics; Engineering: Civil; Engineering"/>
    <s v="9781118799680"/>
    <s v=",1,2,2,3,3,1,91,92,91,92,93,89,93,94,94,95,95,104,2,104,101,101,102,102,103,99,103,100,100,104,105,105,106,106,107,107,102,107,108,108,109,109,110,110,105,110,111,111,112,112,107,106,111,106,111,112,113,113,108,113,108,113,114,114,109,114,115,115,110,111,109,111,112,113,114,110,115,110,115,116,116,110,109,108,107,106,111,112,113,113,114,115,110,115,116,111,116,117,117,118,118,119,119,120,120,121,121,122,122,123,118,123,123,118,123,118"/>
    <n v="34"/>
    <m/>
    <m/>
    <s v="No"/>
    <x v="0"/>
    <d v="2016-01-19T23:24:09"/>
    <n v="7"/>
    <s v="137.143.104.94"/>
    <s v="TA340"/>
    <n v="519.5"/>
    <d v="2015-08-06T00:00:00"/>
  </r>
  <r>
    <x v="726"/>
    <d v="1899-12-30T00:00:00"/>
    <x v="213"/>
    <x v="12"/>
    <s v="potsdam"/>
    <x v="225"/>
    <n v="2144891"/>
    <x v="0"/>
    <s v="Mathematics; Engineering: Civil; Engineering"/>
    <s v="9781118799680"/>
    <m/>
    <n v="0"/>
    <m/>
    <m/>
    <s v="No"/>
    <x v="0"/>
    <d v="2016-01-19T23:24:09"/>
    <n v="7"/>
    <s v="137.143.104.94"/>
    <s v="TA340"/>
    <n v="519.5"/>
    <d v="2015-08-06T00:00:00"/>
  </r>
  <r>
    <x v="727"/>
    <d v="1899-12-30T01:29:36"/>
    <x v="64"/>
    <x v="6"/>
    <s v="sjfc"/>
    <x v="75"/>
    <n v="1986951"/>
    <x v="0"/>
    <s v="Business/Management"/>
    <s v="9781119130468"/>
    <s v=",1,2,3,425,426,427,423,424,428,428,428,429,430,430,431,432,433,434,412,413,414,411,409,410,425,426,427,423,424,428,429,430,1,2,3,425,426,427,423,424,428,429,430,431,432,433,434,435,436,437,438,439,440,441,442,443,444,445,446,447,448,449,450,451,452,453,454,455,456,457,458,459,460,461,462,463,464,465,466,467,468,469,470"/>
    <n v="57"/>
    <s v=",426,426,426,427,427,427,1,427,428"/>
    <m/>
    <s v="No"/>
    <x v="0"/>
    <d v="2016-01-18T15:27:31"/>
    <n v="7"/>
    <s v="149.69.254.57"/>
    <s v="HF5661"/>
    <n v="657.07600000000002"/>
    <d v="2015-05-19T00:00:00"/>
  </r>
  <r>
    <x v="728"/>
    <d v="1899-12-30T00:58:07"/>
    <x v="211"/>
    <x v="10"/>
    <s v="daemen"/>
    <x v="224"/>
    <n v="698108"/>
    <x v="0"/>
    <s v="Science; Science: Biology/Natural History"/>
    <s v="9781118095805"/>
    <s v=",1,2,3"/>
    <n v="3"/>
    <m/>
    <m/>
    <s v="No"/>
    <x v="3"/>
    <m/>
    <m/>
    <s v="38.123.32.158"/>
    <s v="QH307.2 .K73 2011"/>
    <n v="570"/>
    <d v="2015-10-23T00:00:00"/>
  </r>
  <r>
    <x v="729"/>
    <d v="1899-12-30T00:00:00"/>
    <x v="84"/>
    <x v="1"/>
    <s v="brockport"/>
    <x v="211"/>
    <n v="1884289"/>
    <x v="0"/>
    <s v="Medicine; Pharmacy; Health; Social Science"/>
    <s v="9781118636282"/>
    <m/>
    <n v="0"/>
    <s v=",369"/>
    <s v=",347,347,348,348,349,350,350,351,351,352,352,352,353,353,353,354,355,356,357,358,359,360,361,361,362,362,362,363,364,364,365,365,366,367,368,369"/>
    <s v="Yes"/>
    <x v="0"/>
    <d v="2016-01-20T15:07:58"/>
    <n v="7"/>
    <s v="137.21.7.121"/>
    <s v="RA638 -- .V33 2015eb"/>
    <s v="615.3/72"/>
    <d v="2014-12-04T00:00:00"/>
  </r>
  <r>
    <x v="730"/>
    <d v="1899-12-30T00:00:00"/>
    <x v="84"/>
    <x v="1"/>
    <s v="brockport"/>
    <x v="211"/>
    <n v="1884289"/>
    <x v="0"/>
    <s v="Medicine; Pharmacy; Health; Social Science"/>
    <s v="9781118636282"/>
    <m/>
    <n v="0"/>
    <m/>
    <m/>
    <s v="Yes"/>
    <x v="0"/>
    <d v="2016-01-20T15:07:58"/>
    <n v="7"/>
    <s v="137.21.7.121"/>
    <s v="RA638 -- .V33 2015eb"/>
    <s v="615.3/72"/>
    <d v="2014-12-04T00:00:00"/>
  </r>
  <r>
    <x v="731"/>
    <d v="1899-12-30T00:07:00"/>
    <x v="84"/>
    <x v="1"/>
    <s v="brockport"/>
    <x v="211"/>
    <n v="1884289"/>
    <x v="0"/>
    <s v="Medicine; Pharmacy; Health; Social Science"/>
    <s v="9781118636282"/>
    <s v=",347,348,349,346,345,351,352,353,350,354,355,356,357,358,359,360,361,362,363,364,365,366,367,368,369,370,371,372"/>
    <n v="28"/>
    <m/>
    <m/>
    <s v="No"/>
    <x v="0"/>
    <d v="2016-01-20T15:07:58"/>
    <n v="7"/>
    <s v="137.21.7.121"/>
    <s v="RA638 -- .V33 2015eb"/>
    <s v="615.3/72"/>
    <d v="2014-12-04T00:00:00"/>
  </r>
  <r>
    <x v="732"/>
    <d v="1899-12-30T00:03:14"/>
    <x v="84"/>
    <x v="1"/>
    <s v="brockport"/>
    <x v="211"/>
    <n v="1884289"/>
    <x v="0"/>
    <s v="Medicine; Pharmacy; Health; Social Science"/>
    <s v="9781118636282"/>
    <s v=",1,2,3,224,226,223,225,222,228,227,229,230,231,232,234,235,236,237"/>
    <n v="18"/>
    <m/>
    <m/>
    <s v="No"/>
    <x v="1"/>
    <m/>
    <m/>
    <s v="137.21.7.121"/>
    <s v="RA638 -- .V33 2015eb"/>
    <s v="615.3/72"/>
    <d v="2014-12-04T00:00:00"/>
  </r>
  <r>
    <x v="733"/>
    <d v="1899-12-30T01:26:22"/>
    <x v="212"/>
    <x v="1"/>
    <s v="brockport"/>
    <x v="45"/>
    <n v="1691426"/>
    <x v="0"/>
    <s v="Social Science; Health"/>
    <s v="9781118839492"/>
    <s v=",1,2,3,40,47,36,37,38,34,35,213,214,215,211,212,177,178,179,175,176,180,181,182,176,175,174,173"/>
    <n v="25"/>
    <m/>
    <m/>
    <s v="No"/>
    <x v="1"/>
    <m/>
    <m/>
    <s v="137.21.7.121"/>
    <s v="RA781.7 -- .P396 2014eb"/>
    <n v="613.70460000000003"/>
    <d v="2014-05-13T00:00:00"/>
  </r>
  <r>
    <x v="734"/>
    <d v="1899-12-30T00:00:07"/>
    <x v="214"/>
    <x v="12"/>
    <s v="potsdam"/>
    <x v="226"/>
    <n v="3570599"/>
    <x v="11"/>
    <s v="Political Science; History"/>
    <s v="9780226299358"/>
    <s v=",14,15"/>
    <n v="2"/>
    <m/>
    <m/>
    <s v="No"/>
    <x v="2"/>
    <d v="2016-01-20T14:21:43"/>
    <n v="1"/>
    <s v="137.143.104.94"/>
    <s v="E893 -- .H48 2015eb"/>
    <n v="324.20972999999998"/>
    <d v="2015-09-01T00:00:00"/>
  </r>
  <r>
    <x v="735"/>
    <d v="1899-12-30T00:29:51"/>
    <x v="214"/>
    <x v="12"/>
    <s v="potsdam"/>
    <x v="226"/>
    <n v="3570599"/>
    <x v="11"/>
    <s v="Political Science; History"/>
    <s v="9780226299358"/>
    <s v=",1,2,3,1,14"/>
    <n v="4"/>
    <m/>
    <m/>
    <s v="No"/>
    <x v="3"/>
    <m/>
    <m/>
    <s v="137.143.104.94"/>
    <s v="E893 -- .H48 2015eb"/>
    <n v="324.20972999999998"/>
    <d v="2015-09-01T00:00:00"/>
  </r>
  <r>
    <x v="736"/>
    <d v="1899-12-30T00:00:42"/>
    <x v="214"/>
    <x v="12"/>
    <s v="potsdam"/>
    <x v="226"/>
    <n v="3570599"/>
    <x v="11"/>
    <s v="Political Science; History"/>
    <s v="9780226299358"/>
    <s v=",1,2,3,4,5,6,7,8,9,10,11,12,13,14,15,16"/>
    <n v="16"/>
    <m/>
    <m/>
    <s v="No"/>
    <x v="3"/>
    <m/>
    <m/>
    <s v="137.143.104.94"/>
    <s v="E893 -- .H48 2015eb"/>
    <n v="324.20972999999998"/>
    <d v="2015-09-01T00:00:00"/>
  </r>
  <r>
    <x v="737"/>
    <d v="1899-12-30T00:00:03"/>
    <x v="215"/>
    <x v="13"/>
    <s v="buffalostate"/>
    <x v="227"/>
    <n v="871501"/>
    <x v="0"/>
    <s v="Literature"/>
    <s v="9781118231760"/>
    <s v=",1,2,3"/>
    <n v="3"/>
    <m/>
    <m/>
    <s v="No"/>
    <x v="1"/>
    <m/>
    <m/>
    <s v="136.183.11.43"/>
    <s v="PR2894 -- .P68 2012eb"/>
    <s v="822.3/3; B"/>
    <d v="2012-03-01T00:00:00"/>
  </r>
  <r>
    <x v="738"/>
    <d v="1899-12-30T00:00:00"/>
    <x v="154"/>
    <x v="1"/>
    <s v="brockport"/>
    <x v="45"/>
    <n v="1691426"/>
    <x v="0"/>
    <s v="Social Science; Health"/>
    <s v="9781118839492"/>
    <m/>
    <n v="0"/>
    <m/>
    <m/>
    <s v="No"/>
    <x v="0"/>
    <d v="2016-01-20T06:14:51"/>
    <n v="7"/>
    <s v="137.21.7.121"/>
    <s v="RA781.7 -- .P396 2014eb"/>
    <n v="613.70460000000003"/>
    <d v="2014-05-13T00:00:00"/>
  </r>
  <r>
    <x v="739"/>
    <d v="1899-12-30T00:29:37"/>
    <x v="154"/>
    <x v="1"/>
    <s v="brockport"/>
    <x v="45"/>
    <n v="1691426"/>
    <x v="0"/>
    <s v="Social Science; Health"/>
    <s v="9781118839492"/>
    <m/>
    <n v="0"/>
    <m/>
    <m/>
    <s v="No"/>
    <x v="1"/>
    <m/>
    <m/>
    <s v="137.21.7.121"/>
    <s v="RA781.7 -- .P396 2014eb"/>
    <n v="613.70460000000003"/>
    <d v="2014-05-13T00:00:00"/>
  </r>
  <r>
    <x v="740"/>
    <d v="1899-12-30T00:01:27"/>
    <x v="98"/>
    <x v="4"/>
    <s v="monroe2boces"/>
    <x v="228"/>
    <n v="894589"/>
    <x v="15"/>
    <s v="Literature"/>
    <s v="9781441124906"/>
    <s v=",164,165,166,162,163,56,57,58,54,55,59,60,61,62,63,64,65,102,104,103,105,100,101,98,99,97,95,96,94,92,93"/>
    <n v="31"/>
    <m/>
    <m/>
    <s v="Yes"/>
    <x v="0"/>
    <d v="2016-01-20T04:17:17"/>
    <n v="7"/>
    <s v="66.66.205.64"/>
    <s v="PA4413.O7 -- S54 2012eb"/>
    <n v="882.01"/>
    <d v="2012-03-08T00:00:00"/>
  </r>
  <r>
    <x v="740"/>
    <d v="1899-12-30T00:00:00"/>
    <x v="98"/>
    <x v="4"/>
    <s v="monroe2boces"/>
    <x v="228"/>
    <n v="894589"/>
    <x v="15"/>
    <s v="Literature"/>
    <s v="9781441124906"/>
    <m/>
    <n v="0"/>
    <m/>
    <m/>
    <s v="No"/>
    <x v="0"/>
    <d v="2016-01-20T04:17:17"/>
    <n v="7"/>
    <s v="66.66.205.64"/>
    <s v="PA4413.O7 -- S54 2012eb"/>
    <n v="882.01"/>
    <d v="2012-03-08T00:00:00"/>
  </r>
  <r>
    <x v="741"/>
    <d v="1899-12-30T00:00:10"/>
    <x v="98"/>
    <x v="4"/>
    <s v="monroe2boces"/>
    <x v="228"/>
    <n v="894589"/>
    <x v="15"/>
    <s v="Literature"/>
    <s v="9781441124906"/>
    <s v=",1,2,3"/>
    <n v="3"/>
    <m/>
    <m/>
    <s v="No"/>
    <x v="1"/>
    <m/>
    <m/>
    <s v="66.66.205.64"/>
    <s v="PA4413.O7 -- S54 2012eb"/>
    <n v="882.01"/>
    <d v="2012-03-08T00:00:00"/>
  </r>
  <r>
    <x v="742"/>
    <d v="1899-12-30T00:18:53"/>
    <x v="216"/>
    <x v="0"/>
    <s v="Buffalo"/>
    <x v="17"/>
    <n v="3059079"/>
    <x v="0"/>
    <s v="Science; Science: Physics"/>
    <s v="9781118473818"/>
    <s v=",25,29,28,27,26"/>
    <n v="5"/>
    <m/>
    <m/>
    <s v="No"/>
    <x v="2"/>
    <d v="2016-01-20T02:09:01"/>
    <n v="1"/>
    <s v="128.205.114.91"/>
    <s v="QC21.3 -- .H35 2014eb"/>
    <n v="530"/>
    <d v="2013-05-07T00:00:00"/>
  </r>
  <r>
    <x v="743"/>
    <d v="1899-12-30T00:11:45"/>
    <x v="216"/>
    <x v="0"/>
    <s v="Buffalo"/>
    <x v="17"/>
    <n v="3059079"/>
    <x v="0"/>
    <s v="Science; Science: Physics"/>
    <s v="9781118473818"/>
    <s v=",1,2,3,32,33,34,30,31,35,36,29,28,27,26"/>
    <n v="14"/>
    <m/>
    <m/>
    <s v="No"/>
    <x v="3"/>
    <m/>
    <m/>
    <s v="128.205.114.91"/>
    <s v="QC21.3 -- .H35 2014eb"/>
    <n v="530"/>
    <d v="2013-05-07T00:00:00"/>
  </r>
  <r>
    <x v="744"/>
    <d v="1899-12-30T00:05:51"/>
    <x v="213"/>
    <x v="12"/>
    <s v="potsdam"/>
    <x v="225"/>
    <n v="2144891"/>
    <x v="0"/>
    <s v="Mathematics; Engineering: Civil; Engineering"/>
    <s v="9781118799680"/>
    <s v=",98,99,100,101"/>
    <n v="4"/>
    <m/>
    <m/>
    <s v="No"/>
    <x v="0"/>
    <d v="2016-01-19T23:24:09"/>
    <n v="7"/>
    <s v="137.143.104.94"/>
    <s v="TA340"/>
    <n v="519.5"/>
    <d v="2015-08-06T00:00:00"/>
  </r>
  <r>
    <x v="745"/>
    <d v="1899-12-30T00:05:15"/>
    <x v="213"/>
    <x v="12"/>
    <s v="potsdam"/>
    <x v="225"/>
    <n v="2144891"/>
    <x v="0"/>
    <s v="Mathematics; Engineering: Civil; Engineering"/>
    <s v="9781118799680"/>
    <s v=",1,2,3,91,92,93,90,89,94,95,96,97"/>
    <n v="12"/>
    <m/>
    <m/>
    <s v="No"/>
    <x v="3"/>
    <m/>
    <m/>
    <s v="137.143.104.94"/>
    <s v="TA340"/>
    <n v="519.5"/>
    <d v="2015-08-06T00:00:00"/>
  </r>
  <r>
    <x v="746"/>
    <d v="1899-12-30T00:00:00"/>
    <x v="144"/>
    <x v="12"/>
    <s v="potsdam"/>
    <x v="8"/>
    <n v="1683360"/>
    <x v="4"/>
    <s v="General Works/Reference; Social Science"/>
    <s v="9781462516032"/>
    <m/>
    <n v="0"/>
    <m/>
    <s v=",35,35,36,37,38,39,40,41,42,43,44,45,46,47,48,49,50,51,52,53,54,55,56,57,58,59"/>
    <s v="No"/>
    <x v="0"/>
    <d v="2016-01-19T20:42:29"/>
    <n v="7"/>
    <s v="137.143.104.94"/>
    <s v="H62 -- .S454 2014eb"/>
    <n v="1.42"/>
    <d v="2014-07-03T00:00:00"/>
  </r>
  <r>
    <x v="747"/>
    <d v="1899-12-30T00:01:28"/>
    <x v="144"/>
    <x v="12"/>
    <s v="potsdam"/>
    <x v="8"/>
    <n v="1683360"/>
    <x v="4"/>
    <s v="General Works/Reference; Social Science"/>
    <s v="9781462516032"/>
    <s v=",1,2,3,25,26,27,23,24,35,36,37,33,34"/>
    <n v="13"/>
    <m/>
    <m/>
    <s v="No"/>
    <x v="1"/>
    <m/>
    <m/>
    <s v="137.143.104.94"/>
    <s v="H62 -- .S454 2014eb"/>
    <n v="1.42"/>
    <d v="2014-07-03T00:00:00"/>
  </r>
  <r>
    <x v="748"/>
    <d v="1899-12-30T00:01:45"/>
    <x v="217"/>
    <x v="0"/>
    <s v="Buffalo"/>
    <x v="221"/>
    <n v="1120734"/>
    <x v="0"/>
    <s v="Social Science; Mathematics"/>
    <s v="9781118595671"/>
    <s v=",1,1,1,2,2,3,3,5,5,6,6,4,4,92,92,93,93,2,304,304,305,305,306,306,302,303,303,307,307,308,308,309,309"/>
    <n v="16"/>
    <m/>
    <m/>
    <s v="No"/>
    <x v="3"/>
    <m/>
    <m/>
    <s v="128.205.114.91"/>
    <s v="HA29"/>
    <n v="519.5"/>
    <d v="2013-01-03T00:00:00"/>
  </r>
  <r>
    <x v="749"/>
    <d v="1899-12-30T00:02:15"/>
    <x v="144"/>
    <x v="12"/>
    <s v="potsdam"/>
    <x v="121"/>
    <n v="1757959"/>
    <x v="0"/>
    <s v="Mathematics; Social Science"/>
    <s v="9781118767023"/>
    <s v=",28,20,16,17,18,14,15,50,51,52,48,49,47,45,46,44,42,43,36,37,38,34,35,27,23,24"/>
    <n v="26"/>
    <m/>
    <s v=",25,26,27,28,29,30,30,31,32,33,34,35,36,37,38,39,40,41,42,43,44,45,46,47,48,49,50,50,51,51,52,52,53,53,54,54,54,55,55,56,57"/>
    <s v="Yes"/>
    <x v="0"/>
    <d v="2016-01-19T20:29:03"/>
    <n v="7"/>
    <s v="137.143.104.94"/>
    <s v="HA31.2 .R43 2014"/>
    <s v="519.5; 519.52"/>
    <d v="2014-07-30T00:00:00"/>
  </r>
  <r>
    <x v="749"/>
    <d v="1899-12-30T00:00:00"/>
    <x v="144"/>
    <x v="12"/>
    <s v="potsdam"/>
    <x v="121"/>
    <n v="1757959"/>
    <x v="0"/>
    <s v="Mathematics; Social Science"/>
    <s v="9781118767023"/>
    <m/>
    <n v="0"/>
    <m/>
    <m/>
    <s v="No"/>
    <x v="0"/>
    <d v="2016-01-19T20:29:03"/>
    <n v="7"/>
    <s v="137.143.104.94"/>
    <s v="HA31.2 .R43 2014"/>
    <s v="519.5; 519.52"/>
    <d v="2014-07-30T00:00:00"/>
  </r>
  <r>
    <x v="750"/>
    <d v="1899-12-30T00:01:17"/>
    <x v="144"/>
    <x v="12"/>
    <s v="potsdam"/>
    <x v="121"/>
    <n v="1757959"/>
    <x v="0"/>
    <s v="Mathematics; Social Science"/>
    <s v="9781118767023"/>
    <s v=",1,2,3,25,26,27,23,24,28,42,72,102,115,21"/>
    <n v="14"/>
    <m/>
    <m/>
    <s v="No"/>
    <x v="3"/>
    <m/>
    <m/>
    <s v="137.143.104.94"/>
    <s v="HA31.2 .R43 2014"/>
    <s v="519.5; 519.52"/>
    <d v="2014-07-30T00:00:00"/>
  </r>
  <r>
    <x v="751"/>
    <d v="1899-12-30T00:00:08"/>
    <x v="218"/>
    <x v="0"/>
    <s v="Buffalo"/>
    <x v="229"/>
    <n v="2090105"/>
    <x v="0"/>
    <s v="Business/Management"/>
    <s v="9781119082972"/>
    <s v=",1,41,42,43,39,40"/>
    <n v="6"/>
    <m/>
    <m/>
    <s v="No"/>
    <x v="1"/>
    <m/>
    <m/>
    <s v="128.205.114.91"/>
    <s v="HD57.7 .G45814 2015"/>
    <s v="658.4/092"/>
    <d v="2015-07-09T00:00:00"/>
  </r>
  <r>
    <x v="752"/>
    <d v="1899-12-30T00:00:04"/>
    <x v="219"/>
    <x v="0"/>
    <s v="Buffalo"/>
    <x v="74"/>
    <n v="768534"/>
    <x v="10"/>
    <s v="History; Geography/Travel"/>
    <s v="9781400839704"/>
    <s v=",1,2,3"/>
    <n v="3"/>
    <m/>
    <m/>
    <s v="No"/>
    <x v="1"/>
    <m/>
    <m/>
    <s v="128.205.114.91"/>
    <s v="E839 -- .B59 2012eb"/>
    <s v="909.82/7"/>
    <d v="2011-10-31T00:00:00"/>
  </r>
  <r>
    <x v="753"/>
    <d v="1899-12-30T00:46:40"/>
    <x v="219"/>
    <x v="0"/>
    <s v="Buffalo"/>
    <x v="74"/>
    <n v="768534"/>
    <x v="10"/>
    <s v="History; Geography/Travel"/>
    <s v="9781400839704"/>
    <s v=",1,2,3,16,17,18,14,15,13,12,18,19,20,21,22,23,24,25,26,28,29,37,39,36,35,40,41,43,44,45,46,47,49,50,52,53,54,1,54,55,53,52,56,2"/>
    <n v="38"/>
    <m/>
    <m/>
    <s v="No"/>
    <x v="1"/>
    <m/>
    <m/>
    <s v="128.205.114.91"/>
    <s v="E839 -- .B59 2012eb"/>
    <s v="909.82/7"/>
    <d v="2011-10-31T00:00:00"/>
  </r>
  <r>
    <x v="754"/>
    <d v="1899-12-30T00:01:35"/>
    <x v="152"/>
    <x v="6"/>
    <s v="sjfc"/>
    <x v="135"/>
    <n v="544120"/>
    <x v="4"/>
    <s v="Education"/>
    <s v="9781606238561"/>
    <s v=",357,357,358,355,355,351,351,352,353,353,349,352,350,350,348,348,347,346,347,344,344,99,1,99,2,3,4,5,6,1,4,4,5"/>
    <n v="19"/>
    <m/>
    <m/>
    <s v="No"/>
    <x v="2"/>
    <d v="2016-01-19T17:21:41"/>
    <n v="1"/>
    <s v="149.69.254.57"/>
    <s v="LB1050.5 -- .S228 2010eb"/>
    <n v="372.43"/>
    <d v="2014-05-14T00:00:00"/>
  </r>
  <r>
    <x v="755"/>
    <d v="1899-12-30T00:02:40"/>
    <x v="152"/>
    <x v="6"/>
    <s v="sjfc"/>
    <x v="135"/>
    <n v="544120"/>
    <x v="4"/>
    <s v="Education"/>
    <s v="9781606238561"/>
    <s v=",1,1,1,2,3,2,3,4,6,4,6,5,7,5,7,8,3,8,9,4,9,2,1,3,2,2,4,5,11,15,11,15,65,65,79,79,383,384,383,384,382,381,382,380,378,375,370,375,369,370,369,371,367,371,368,366,368,369,365,363,364,362,361,360,362,359,356,356"/>
    <n v="34"/>
    <m/>
    <m/>
    <s v="No"/>
    <x v="3"/>
    <m/>
    <m/>
    <s v="149.69.254.57"/>
    <s v="LB1050.5 -- .S228 2010eb"/>
    <n v="372.43"/>
    <d v="2014-05-14T00:00:00"/>
  </r>
  <r>
    <x v="756"/>
    <d v="1899-12-30T00:00:34"/>
    <x v="220"/>
    <x v="0"/>
    <s v="Buffalo"/>
    <x v="172"/>
    <n v="1356236"/>
    <x v="2"/>
    <s v="Psychology"/>
    <s v="9781135059699"/>
    <s v=",39,1,41,40,37,38,42,43,2,44,45,46,47,48,49"/>
    <n v="15"/>
    <m/>
    <m/>
    <s v="No"/>
    <x v="3"/>
    <m/>
    <m/>
    <s v="128.205.114.91"/>
    <s v="BF723.G75W"/>
    <n v="155.93700000000001"/>
    <d v="2013-08-21T00:00:00"/>
  </r>
  <r>
    <x v="757"/>
    <d v="1899-12-30T00:02:03"/>
    <x v="220"/>
    <x v="0"/>
    <s v="Buffalo"/>
    <x v="230"/>
    <n v="1356118"/>
    <x v="2"/>
    <s v="Social Science; Psychology"/>
    <s v="9781135058661"/>
    <s v=",1,76,77,78,74,75,79,81,2,82,38,39,40,36,37,41,42,43,44,47,48,12,13,14,11,10,15,16,17,18,19,20,21,22,23,24,25,26,27"/>
    <n v="39"/>
    <m/>
    <m/>
    <s v="No"/>
    <x v="3"/>
    <m/>
    <m/>
    <s v="128.205.114.91"/>
    <s v="BF575.G7W3"/>
    <n v="306.89999999999998"/>
    <d v="2013-08-21T00:00:00"/>
  </r>
  <r>
    <x v="758"/>
    <d v="1899-12-30T00:05:04"/>
    <x v="98"/>
    <x v="4"/>
    <s v="monroe2boces"/>
    <x v="231"/>
    <n v="1779911"/>
    <x v="16"/>
    <s v="Business/Management"/>
    <s v="9781137313256"/>
    <s v=",1,2,3,4,5,32,33,34,30,31,2,35,30,29,28,27,25,26,24,22,23,21,19,20,18,17,16"/>
    <n v="25"/>
    <m/>
    <m/>
    <s v="No"/>
    <x v="1"/>
    <m/>
    <m/>
    <s v="216.226.102.163"/>
    <s v="HF5415.32 -- .A384 2014eb"/>
    <n v="659.10829999999999"/>
    <d v="2014-08-29T00:00:00"/>
  </r>
  <r>
    <x v="759"/>
    <d v="1899-12-30T00:00:21"/>
    <x v="98"/>
    <x v="4"/>
    <s v="monroe2boces"/>
    <x v="232"/>
    <n v="822111"/>
    <x v="0"/>
    <s v="Social Science"/>
    <s v="9781444356922"/>
    <s v=",1,2,3,4,5,70,71,72,68,69"/>
    <n v="10"/>
    <m/>
    <m/>
    <s v="No"/>
    <x v="1"/>
    <m/>
    <m/>
    <s v="216.226.102.163"/>
    <s v="HV6773 -- .K69 2012eb"/>
    <s v="302.34/3"/>
    <d v="2012-02-16T00:00:00"/>
  </r>
  <r>
    <x v="760"/>
    <d v="1899-12-30T00:00:03"/>
    <x v="221"/>
    <x v="14"/>
    <s v="houghton"/>
    <x v="233"/>
    <n v="800719"/>
    <x v="14"/>
    <s v="Religion"/>
    <s v="9780786487035"/>
    <s v=",1,2,3"/>
    <n v="3"/>
    <m/>
    <m/>
    <s v="No"/>
    <x v="1"/>
    <m/>
    <m/>
    <s v="96.43.64.169"/>
    <s v="BL900 -- .M447 2012eb"/>
    <s v="299/.16"/>
    <d v="2011-10-17T00:00:00"/>
  </r>
  <r>
    <x v="761"/>
    <d v="1899-12-30T00:03:50"/>
    <x v="211"/>
    <x v="10"/>
    <s v="daemen"/>
    <x v="224"/>
    <n v="698108"/>
    <x v="0"/>
    <s v="Science; Science: Biology/Natural History"/>
    <s v="9781118095805"/>
    <s v=",66,67"/>
    <n v="2"/>
    <m/>
    <m/>
    <s v="No"/>
    <x v="2"/>
    <d v="2016-01-19T14:16:41"/>
    <n v="1"/>
    <s v="38.123.32.158"/>
    <s v="QH307.2 .K73 2011"/>
    <n v="570"/>
    <d v="2015-10-23T00:00:00"/>
  </r>
  <r>
    <x v="762"/>
    <d v="1899-12-30T00:06:05"/>
    <x v="211"/>
    <x v="10"/>
    <s v="daemen"/>
    <x v="224"/>
    <n v="698108"/>
    <x v="0"/>
    <s v="Science; Science: Biology/Natural History"/>
    <s v="9781118095805"/>
    <s v=",1,2,3,63,61,62,66,65"/>
    <n v="8"/>
    <m/>
    <m/>
    <s v="No"/>
    <x v="3"/>
    <m/>
    <m/>
    <s v="38.123.32.158"/>
    <s v="QH307.2 .K73 2011"/>
    <n v="570"/>
    <d v="2015-10-23T00:00:00"/>
  </r>
  <r>
    <x v="763"/>
    <d v="1899-12-30T00:01:21"/>
    <x v="105"/>
    <x v="0"/>
    <s v="Buffalo"/>
    <x v="104"/>
    <n v="1569834"/>
    <x v="2"/>
    <s v="Fine Arts"/>
    <s v="9781317972471"/>
    <s v=",4,5,6,7,8,9,11,12,13"/>
    <n v="9"/>
    <m/>
    <m/>
    <s v="Yes"/>
    <x v="2"/>
    <d v="2016-01-18T13:41:19"/>
    <n v="7"/>
    <s v="128.205.114.91"/>
    <s v="N6494.M64 -- M44 2005eb"/>
    <n v="709.04"/>
    <d v="2013-11-26T00:00:00"/>
  </r>
  <r>
    <x v="764"/>
    <d v="1899-12-30T00:00:45"/>
    <x v="105"/>
    <x v="0"/>
    <s v="Buffalo"/>
    <x v="104"/>
    <n v="1569834"/>
    <x v="2"/>
    <s v="Fine Arts"/>
    <s v="9781317972471"/>
    <s v=",1,2,3"/>
    <n v="3"/>
    <m/>
    <m/>
    <s v="No"/>
    <x v="2"/>
    <d v="2016-01-18T13:41:19"/>
    <n v="7"/>
    <s v="128.205.114.91"/>
    <s v="N6494.M64 -- M44 2005eb"/>
    <n v="709.04"/>
    <d v="2013-11-26T00:00:00"/>
  </r>
  <r>
    <x v="765"/>
    <d v="1899-12-30T00:01:01"/>
    <x v="222"/>
    <x v="0"/>
    <s v="Buffalo"/>
    <x v="234"/>
    <n v="1487107"/>
    <x v="2"/>
    <s v="History"/>
    <s v="9781136697333"/>
    <s v=",14,15,16,17,18,19,20,21,18"/>
    <n v="8"/>
    <m/>
    <s v=",14,15,16,17,20,21,22,23,24,25,26,27,28,29,30,31,32,33,34,35,36,37,38,39,40,41,42,43,44,45,120,121,122,123,124,125,126,127,128,129,130,131,132,133"/>
    <s v="No"/>
    <x v="2"/>
    <d v="2016-01-19T04:53:59"/>
    <n v="1"/>
    <s v="128.205.114.91"/>
    <s v="F1408.3 -- .G7813 2002eb"/>
    <n v="980"/>
    <d v="2013-10-18T00:00:00"/>
  </r>
  <r>
    <x v="766"/>
    <d v="1899-12-30T00:01:37"/>
    <x v="222"/>
    <x v="0"/>
    <s v="Buffalo"/>
    <x v="234"/>
    <n v="1487107"/>
    <x v="2"/>
    <s v="History"/>
    <s v="9781136697333"/>
    <s v=",1,2,3"/>
    <n v="3"/>
    <m/>
    <m/>
    <s v="No"/>
    <x v="3"/>
    <m/>
    <m/>
    <s v="128.205.114.91"/>
    <s v="F1408.3 -- .G7813 2002eb"/>
    <n v="980"/>
    <d v="2013-10-18T00:00:00"/>
  </r>
  <r>
    <x v="767"/>
    <d v="1899-12-30T00:00:00"/>
    <x v="105"/>
    <x v="0"/>
    <s v="Buffalo"/>
    <x v="104"/>
    <n v="1569834"/>
    <x v="2"/>
    <s v="Fine Arts"/>
    <s v="9781317972471"/>
    <m/>
    <n v="0"/>
    <m/>
    <m/>
    <s v="No"/>
    <x v="2"/>
    <d v="2016-01-18T13:41:19"/>
    <n v="7"/>
    <s v="128.205.114.91"/>
    <s v="N6494.M64 -- M44 2005eb"/>
    <n v="709.04"/>
    <d v="2013-11-26T00:00:00"/>
  </r>
  <r>
    <x v="768"/>
    <d v="1899-12-30T01:19:22"/>
    <x v="223"/>
    <x v="0"/>
    <s v="Buffalo"/>
    <x v="235"/>
    <n v="1576121"/>
    <x v="2"/>
    <s v="Business/Management"/>
    <s v="9781134602933"/>
    <s v=",15,32,33,34,30,31,35,19,20,21,17,18,22,23,24,25,26,27,28,29,31,32,33,34"/>
    <n v="20"/>
    <m/>
    <m/>
    <s v="No"/>
    <x v="2"/>
    <d v="2016-01-19T03:02:06"/>
    <n v="1"/>
    <s v="128.205.114.91"/>
    <s v="HF5635 -- .B535 2014eb"/>
    <n v="657"/>
    <d v="2013-10-22T00:00:00"/>
  </r>
  <r>
    <x v="769"/>
    <d v="1899-12-30T00:06:01"/>
    <x v="223"/>
    <x v="0"/>
    <s v="Buffalo"/>
    <x v="235"/>
    <n v="1576121"/>
    <x v="2"/>
    <s v="Business/Management"/>
    <s v="9781134602933"/>
    <s v=",1,3,2,11,12,13,9,10,14"/>
    <n v="9"/>
    <m/>
    <m/>
    <s v="No"/>
    <x v="3"/>
    <m/>
    <m/>
    <s v="128.205.114.91"/>
    <s v="HF5635 -- .B535 2014eb"/>
    <n v="657"/>
    <d v="2013-10-22T00:00:00"/>
  </r>
  <r>
    <x v="770"/>
    <d v="1899-12-30T00:04:50"/>
    <x v="224"/>
    <x v="0"/>
    <s v="Buffalo"/>
    <x v="236"/>
    <n v="4000661"/>
    <x v="4"/>
    <m/>
    <s v="9781462523283"/>
    <s v=",1,2,3,25,26,27,23,24,41,42,43,40,39,47,48,49,45,46,66,64,65"/>
    <n v="21"/>
    <m/>
    <m/>
    <s v="No"/>
    <x v="3"/>
    <m/>
    <m/>
    <s v="128.205.114.91"/>
    <m/>
    <m/>
    <d v="2015-10-07T00:00:00"/>
  </r>
  <r>
    <x v="771"/>
    <d v="1899-12-30T00:02:57"/>
    <x v="171"/>
    <x v="0"/>
    <s v="Buffalo"/>
    <x v="171"/>
    <n v="1487097"/>
    <x v="2"/>
    <s v="Social Science"/>
    <s v="9781135398842"/>
    <s v=",1,2,3,18,19,20,16,17,21,22,23,24,25,26,27,28,29,30,31,32,33,34"/>
    <n v="22"/>
    <m/>
    <m/>
    <s v="No"/>
    <x v="2"/>
    <d v="2016-01-18T19:09:09"/>
    <n v="1"/>
    <s v="128.205.114.91"/>
    <s v="HQ77.9 -- .T72 2006eb"/>
    <n v="306.76799999999997"/>
    <d v="2013-10-18T00:00:00"/>
  </r>
  <r>
    <x v="772"/>
    <d v="1899-12-30T00:21:36"/>
    <x v="150"/>
    <x v="0"/>
    <s v="Buffalo"/>
    <x v="152"/>
    <n v="330580"/>
    <x v="4"/>
    <s v="Medicine"/>
    <s v="9781593859398"/>
    <s v=",1,2,3,1,2,3,4,5,6,7,8,9,46,84,101,110,131,144,147,148,149,146,145,150,151,152,153,154,155,156,157,158,159,218,242,250,251,91,28,95,123,164,165,163,161,162,160,310,311,312,308,309,335,336,334,333,332,331,330,329,328,327,326,325,324,323,321,322,320,318"/>
    <n v="67"/>
    <m/>
    <m/>
    <s v="No"/>
    <x v="0"/>
    <d v="2016-01-14T00:06:51"/>
    <n v="7"/>
    <s v="128.205.114.91"/>
    <s v="RC489.C63 -- M55 2004eb"/>
    <n v="616.89142000000004"/>
    <d v="2014-05-14T00:00:00"/>
  </r>
  <r>
    <x v="773"/>
    <d v="1899-12-30T00:00:04"/>
    <x v="26"/>
    <x v="6"/>
    <s v="sjfc"/>
    <x v="61"/>
    <n v="1092851"/>
    <x v="0"/>
    <s v="Military Science; Social Science"/>
    <s v="9781118333051"/>
    <s v=",1,2,3"/>
    <n v="3"/>
    <m/>
    <m/>
    <s v="No"/>
    <x v="1"/>
    <m/>
    <m/>
    <s v="149.69.254.57"/>
    <s v="UH755 -- .H36 2013eb"/>
    <s v="355.345; 362.8"/>
    <d v="2012-11-27T00:00:00"/>
  </r>
  <r>
    <x v="774"/>
    <d v="1899-12-30T00:09:24"/>
    <x v="171"/>
    <x v="0"/>
    <s v="Buffalo"/>
    <x v="171"/>
    <n v="1487097"/>
    <x v="2"/>
    <s v="Social Science"/>
    <s v="9781135398842"/>
    <s v=",1,3,2,4,5,6,7,8,9,10,11,18,19,20,16,17,21,22,23,24,25,26,27,28,29,30,31,32,33,34"/>
    <n v="30"/>
    <m/>
    <m/>
    <s v="No"/>
    <x v="2"/>
    <d v="2016-01-18T19:09:09"/>
    <n v="1"/>
    <s v="128.205.114.91"/>
    <s v="HQ77.9 -- .T72 2006eb"/>
    <n v="306.76799999999997"/>
    <d v="2013-10-18T00:00:00"/>
  </r>
  <r>
    <x v="775"/>
    <d v="1899-12-30T00:16:43"/>
    <x v="171"/>
    <x v="0"/>
    <s v="Buffalo"/>
    <x v="171"/>
    <n v="1487097"/>
    <x v="2"/>
    <s v="Social Science"/>
    <s v="9781135398842"/>
    <s v=",38,40,37,39,36,18,19,20,16,17,21,22,23,24,24,25,26,27,28,29,30,31,32,33,34,35,36,1,2,3,4,5,6,7,8,9,10,11,12,13,14,15,16,17,18,19,20,21,25,29"/>
    <n v="40"/>
    <m/>
    <m/>
    <s v="No"/>
    <x v="2"/>
    <d v="2016-01-18T19:09:09"/>
    <n v="1"/>
    <s v="128.205.114.91"/>
    <s v="HQ77.9 -- .T72 2006eb"/>
    <n v="306.76799999999997"/>
    <d v="2013-10-18T00:00:00"/>
  </r>
  <r>
    <x v="776"/>
    <d v="1899-12-30T00:06:49"/>
    <x v="171"/>
    <x v="0"/>
    <s v="Buffalo"/>
    <x v="171"/>
    <n v="1487097"/>
    <x v="2"/>
    <s v="Social Science"/>
    <s v="9781135398842"/>
    <s v=",1,2,3,4,5,6,7,8,9,10,11,715,716,717,713,714"/>
    <n v="16"/>
    <m/>
    <m/>
    <s v="No"/>
    <x v="3"/>
    <m/>
    <m/>
    <s v="128.205.114.91"/>
    <s v="HQ77.9 -- .T72 2006eb"/>
    <n v="306.76799999999997"/>
    <d v="2013-10-18T00:00:00"/>
  </r>
  <r>
    <x v="777"/>
    <d v="1899-12-30T00:01:04"/>
    <x v="225"/>
    <x v="7"/>
    <s v="oneonta"/>
    <x v="237"/>
    <n v="759913"/>
    <x v="4"/>
    <s v="Social Science"/>
    <s v="9781609185008"/>
    <s v=",1,34,35,36,32,33,2,37,38"/>
    <n v="9"/>
    <m/>
    <m/>
    <s v="No"/>
    <x v="3"/>
    <m/>
    <m/>
    <s v="137.141.13.2"/>
    <s v="HA29 -- .C286 2012eb"/>
    <n v="300.72000000000003"/>
    <d v="2014-05-14T00:00:00"/>
  </r>
  <r>
    <x v="778"/>
    <d v="1899-12-30T00:00:00"/>
    <x v="226"/>
    <x v="0"/>
    <s v="Buffalo"/>
    <x v="238"/>
    <n v="1673295"/>
    <x v="0"/>
    <s v="Fine Arts"/>
    <s v="9781118837443"/>
    <m/>
    <n v="0"/>
    <m/>
    <m/>
    <s v="Yes"/>
    <x v="2"/>
    <d v="2016-01-18T17:10:12"/>
    <n v="7"/>
    <s v="128.205.114.91"/>
    <s v="MT220 -- .D39 2014eb"/>
    <n v="786.19299999999998"/>
    <d v="2014-04-08T00:00:00"/>
  </r>
  <r>
    <x v="779"/>
    <d v="1899-12-30T00:00:00"/>
    <x v="226"/>
    <x v="0"/>
    <s v="Buffalo"/>
    <x v="238"/>
    <n v="1673295"/>
    <x v="0"/>
    <s v="Fine Arts"/>
    <s v="9781118837443"/>
    <m/>
    <n v="0"/>
    <m/>
    <m/>
    <s v="Yes"/>
    <x v="2"/>
    <d v="2016-01-18T17:10:12"/>
    <n v="7"/>
    <s v="128.205.114.91"/>
    <s v="MT220 -- .D39 2014eb"/>
    <n v="786.19299999999998"/>
    <d v="2014-04-08T00:00:00"/>
  </r>
  <r>
    <x v="780"/>
    <d v="1899-12-30T00:10:59"/>
    <x v="226"/>
    <x v="0"/>
    <s v="Buffalo"/>
    <x v="238"/>
    <n v="1673295"/>
    <x v="0"/>
    <s v="Fine Arts"/>
    <s v="9781118837443"/>
    <s v=",19,20,21,19,20,21,22,22,23,24,23,25,24,25,26,22,27,26,27,29,28,24,28,29,29,30,31,32,31,30,32,33,34,35,34,33,35,36,37,36,38,37,38,39,40,39,41,40,42,41,43,42,43,44,44,45,46,47,45,46,47,48,1,3,2,48,1,2,4,5,6,7,119,120,119,117,121,120,118,121,118,122,123,122,123,124,124,125,125,126,126"/>
    <n v="47"/>
    <m/>
    <m/>
    <s v="Yes"/>
    <x v="2"/>
    <d v="2016-01-18T17:10:12"/>
    <n v="7"/>
    <s v="128.205.114.91"/>
    <s v="MT220 -- .D39 2014eb"/>
    <n v="786.19299999999998"/>
    <d v="2014-04-08T00:00:00"/>
  </r>
  <r>
    <x v="781"/>
    <d v="1899-12-30T00:00:00"/>
    <x v="226"/>
    <x v="0"/>
    <s v="Buffalo"/>
    <x v="238"/>
    <n v="1673295"/>
    <x v="0"/>
    <s v="Fine Arts"/>
    <s v="9781118837443"/>
    <m/>
    <n v="0"/>
    <m/>
    <m/>
    <s v="Yes"/>
    <x v="2"/>
    <d v="2016-01-18T17:10:12"/>
    <n v="7"/>
    <s v="128.205.114.91"/>
    <s v="MT220 -- .D39 2014eb"/>
    <n v="786.19299999999998"/>
    <d v="2014-04-08T00:00:00"/>
  </r>
  <r>
    <x v="782"/>
    <d v="1899-12-30T00:01:59"/>
    <x v="226"/>
    <x v="0"/>
    <s v="Buffalo"/>
    <x v="238"/>
    <n v="1673295"/>
    <x v="0"/>
    <s v="Fine Arts"/>
    <s v="9781118837443"/>
    <s v=",4,4,4,5,6,2,3,5,6,3,7,8,3,7,8,6,7,8,6,4,5,7,8,5,3,8,9,10,9,10,11,11,12,12,13,14,13,14,15,15,16,16,17,17,18,18"/>
    <n v="17"/>
    <m/>
    <m/>
    <s v="Yes"/>
    <x v="2"/>
    <d v="2016-01-18T17:10:12"/>
    <n v="7"/>
    <s v="128.205.114.91"/>
    <s v="MT220 -- .D39 2014eb"/>
    <n v="786.19299999999998"/>
    <d v="2014-04-08T00:00:00"/>
  </r>
  <r>
    <x v="782"/>
    <d v="1899-12-30T00:00:00"/>
    <x v="226"/>
    <x v="0"/>
    <s v="Buffalo"/>
    <x v="238"/>
    <n v="1673295"/>
    <x v="0"/>
    <s v="Fine Arts"/>
    <s v="9781118837443"/>
    <m/>
    <n v="0"/>
    <m/>
    <m/>
    <s v="No"/>
    <x v="2"/>
    <d v="2016-01-18T17:10:12"/>
    <n v="7"/>
    <s v="128.205.114.91"/>
    <s v="MT220 -- .D39 2014eb"/>
    <n v="786.19299999999998"/>
    <d v="2014-04-08T00:00:00"/>
  </r>
  <r>
    <x v="783"/>
    <d v="1899-12-30T00:01:30"/>
    <x v="226"/>
    <x v="0"/>
    <s v="Buffalo"/>
    <x v="238"/>
    <n v="1673295"/>
    <x v="0"/>
    <s v="Fine Arts"/>
    <s v="9781118837443"/>
    <s v=",1,2,3,1,3,2,2,4,2,5,4,1,4,5,6,2,3,2,2"/>
    <n v="6"/>
    <m/>
    <m/>
    <s v="No"/>
    <x v="3"/>
    <m/>
    <m/>
    <s v="128.205.114.91"/>
    <s v="MT220 -- .D39 2014eb"/>
    <n v="786.19299999999998"/>
    <d v="2014-04-08T00:00:00"/>
  </r>
  <r>
    <x v="784"/>
    <d v="1899-12-30T00:02:11"/>
    <x v="36"/>
    <x v="0"/>
    <s v="Buffalo"/>
    <x v="239"/>
    <n v="3571149"/>
    <x v="12"/>
    <s v="History; Social Science"/>
    <s v="9781469622828"/>
    <s v=",1,2,3,4,5,6,7,8,9,10,11,12,13,14,15,16,17,18,19,20"/>
    <n v="20"/>
    <m/>
    <m/>
    <s v="No"/>
    <x v="3"/>
    <m/>
    <m/>
    <s v="128.205.114.91"/>
    <s v="F379.N59 -- .S566 2015eb"/>
    <s v="305.48/896073076335"/>
    <d v="2015-07-01T00:00:00"/>
  </r>
  <r>
    <x v="785"/>
    <d v="1899-12-30T01:33:07"/>
    <x v="64"/>
    <x v="6"/>
    <s v="sjfc"/>
    <x v="75"/>
    <n v="1986951"/>
    <x v="0"/>
    <s v="Business/Management"/>
    <s v="9781119130468"/>
    <s v=",369,370,371,372,373,369,370,364,371,372,373,365,370,365,371,371,372,373,373,365,366,369,370,371,364,359,361,357,358,360,347,348,349,345,346,350,351,340,341,342,338,339,335,336,337,331,332,329,330,333,457,458,459,455,425,426,427,423,424,503,504,505,501,502,506,508,509,510,507,511,512,513,514,515,516,517,518,519,521,520,522,524,525,526,527,523"/>
    <n v="69"/>
    <s v=",366,366,366,523,523"/>
    <m/>
    <s v="No"/>
    <x v="0"/>
    <d v="2016-01-18T15:27:31"/>
    <n v="7"/>
    <s v="149.69.254.57"/>
    <s v="HF5661"/>
    <n v="657.07600000000002"/>
    <d v="2015-05-19T00:00:00"/>
  </r>
  <r>
    <x v="786"/>
    <d v="1899-12-30T00:14:29"/>
    <x v="64"/>
    <x v="6"/>
    <s v="sjfc"/>
    <x v="75"/>
    <n v="1986951"/>
    <x v="0"/>
    <s v="Business/Management"/>
    <s v="9781119130468"/>
    <s v=",1,2,3,327,328,329,325,326,330,331,332,333,334,335,336,337,338,339,340,341,342,343,344,345,346,347,348,343,342,349,350,351,352,353,354,355,356,357,358,359,360,361,362,363,364,366,367,368,369,370,371,372,373,367,366,364,365,370,364,363"/>
    <n v="52"/>
    <m/>
    <m/>
    <s v="No"/>
    <x v="1"/>
    <m/>
    <m/>
    <s v="149.69.254.57"/>
    <s v="HF5661"/>
    <n v="657.07600000000002"/>
    <d v="2015-05-19T00:00:00"/>
  </r>
  <r>
    <x v="787"/>
    <d v="1899-12-30T00:00:03"/>
    <x v="64"/>
    <x v="6"/>
    <s v="sjfc"/>
    <x v="186"/>
    <n v="4206589"/>
    <x v="0"/>
    <m/>
    <s v="9781119256595"/>
    <s v=",1,2,3"/>
    <n v="3"/>
    <m/>
    <m/>
    <s v="No"/>
    <x v="1"/>
    <m/>
    <m/>
    <s v="149.69.254.57"/>
    <m/>
    <m/>
    <d v="2015-12-14T00:00:00"/>
  </r>
  <r>
    <x v="788"/>
    <d v="1899-12-30T00:00:25"/>
    <x v="64"/>
    <x v="6"/>
    <s v="sjfc"/>
    <x v="75"/>
    <n v="1986951"/>
    <x v="0"/>
    <s v="Business/Management"/>
    <s v="9781119130468"/>
    <s v=",1,2,3,425,426,427,428,429"/>
    <n v="8"/>
    <m/>
    <m/>
    <s v="No"/>
    <x v="1"/>
    <m/>
    <m/>
    <s v="149.69.254.57"/>
    <s v="HF5661"/>
    <n v="657.07600000000002"/>
    <d v="2015-05-19T00:00:00"/>
  </r>
  <r>
    <x v="789"/>
    <d v="1899-12-30T00:03:26"/>
    <x v="105"/>
    <x v="0"/>
    <s v="Buffalo"/>
    <x v="104"/>
    <n v="1569834"/>
    <x v="2"/>
    <s v="Fine Arts"/>
    <s v="9781317972471"/>
    <s v=",12,13,14,17,18,19,20,16,18"/>
    <n v="8"/>
    <m/>
    <m/>
    <s v="Yes"/>
    <x v="2"/>
    <d v="2016-01-18T13:41:19"/>
    <n v="7"/>
    <s v="128.205.114.91"/>
    <s v="N6494.M64 -- M44 2005eb"/>
    <n v="709.04"/>
    <d v="2013-11-26T00:00:00"/>
  </r>
  <r>
    <x v="790"/>
    <d v="1899-12-30T00:19:33"/>
    <x v="105"/>
    <x v="0"/>
    <s v="Buffalo"/>
    <x v="104"/>
    <n v="1569834"/>
    <x v="2"/>
    <s v="Fine Arts"/>
    <s v="9781317972471"/>
    <s v=",5,11,12,13,14,15,16,17,18,19,20,21,13,12,11,9,10,7,8,6,11"/>
    <n v="17"/>
    <m/>
    <s v=",1,8,9,10,22,23,24,25,26,27,28,29,30,31,32,33,34,35,36,37,38,39,40,41,42,43,44,45,46,47,48,49,50,51,52,53,54,55,56,57,58,59,60,61,62,63,64,65,66,1,8,9,10,22,23,24,25,26,27,28,29,30,31,32,33,34,35,36,37,38,39,67,68,69,70,71,72,73,74,75,76,77,78,79,80,81,82,83,84,85,86,87,88,89,90,91,92,93,94,95,96,97,98,99,100,101,102,103,104,105,106,107,108,109,110,111,112,113,114,115,116,117,118,119,120,121,122,123,124,125,126,127,128,129"/>
    <s v="Yes"/>
    <x v="2"/>
    <d v="2016-01-18T13:41:19"/>
    <n v="7"/>
    <s v="128.205.114.91"/>
    <s v="N6494.M64 -- M44 2005eb"/>
    <n v="709.04"/>
    <d v="2013-11-26T00:00:00"/>
  </r>
  <r>
    <x v="790"/>
    <d v="1899-12-30T00:00:00"/>
    <x v="105"/>
    <x v="0"/>
    <s v="Buffalo"/>
    <x v="104"/>
    <n v="1569834"/>
    <x v="2"/>
    <s v="Fine Arts"/>
    <s v="9781317972471"/>
    <m/>
    <n v="0"/>
    <m/>
    <m/>
    <s v="No"/>
    <x v="2"/>
    <d v="2016-01-18T13:41:19"/>
    <n v="7"/>
    <s v="128.205.114.91"/>
    <s v="N6494.M64 -- M44 2005eb"/>
    <n v="709.04"/>
    <d v="2013-11-26T00:00:00"/>
  </r>
  <r>
    <x v="791"/>
    <d v="1899-12-30T00:02:09"/>
    <x v="105"/>
    <x v="0"/>
    <s v="Buffalo"/>
    <x v="104"/>
    <n v="1569834"/>
    <x v="2"/>
    <s v="Fine Arts"/>
    <s v="9781317972471"/>
    <s v=",1,2,3,4,5,6,7,8,9,10"/>
    <n v="10"/>
    <m/>
    <m/>
    <s v="No"/>
    <x v="3"/>
    <m/>
    <m/>
    <s v="128.205.114.91"/>
    <s v="N6494.M64 -- M44 2005eb"/>
    <n v="709.04"/>
    <d v="2013-11-26T00:00:00"/>
  </r>
  <r>
    <x v="792"/>
    <d v="1899-12-30T00:00:38"/>
    <x v="227"/>
    <x v="0"/>
    <s v="Buffalo"/>
    <x v="240"/>
    <n v="1980340"/>
    <x v="0"/>
    <s v="Science: Astronomy; Science"/>
    <s v="9781118923283"/>
    <s v=",1,2,3,4,23,24,22,21,25,26,27,28,29,30,31,32,33,34"/>
    <n v="18"/>
    <m/>
    <m/>
    <s v="No"/>
    <x v="3"/>
    <m/>
    <m/>
    <s v="128.205.114.91"/>
    <s v="QB981 -- .R667 2015eb"/>
    <n v="523.1"/>
    <d v="2015-02-25T00:00:00"/>
  </r>
  <r>
    <x v="793"/>
    <d v="1899-12-30T00:00:28"/>
    <x v="227"/>
    <x v="0"/>
    <s v="Buffalo"/>
    <x v="241"/>
    <n v="4037674"/>
    <x v="0"/>
    <s v="Science; Science: Astronomy"/>
    <s v="9781118690253"/>
    <s v=",1,2,3,4,5,6,7,8,9"/>
    <n v="9"/>
    <m/>
    <m/>
    <s v="No"/>
    <x v="3"/>
    <m/>
    <m/>
    <s v="128.205.114.91"/>
    <s v="QB981 -- .L533 2015eb"/>
    <n v="523.1"/>
    <d v="2015-04-27T00:00:00"/>
  </r>
  <r>
    <x v="794"/>
    <d v="1899-12-30T00:00:00"/>
    <x v="105"/>
    <x v="0"/>
    <s v="Buffalo"/>
    <x v="106"/>
    <n v="1397236"/>
    <x v="2"/>
    <s v="Fine Arts"/>
    <s v="9781135871451"/>
    <m/>
    <n v="0"/>
    <m/>
    <m/>
    <s v="Yes"/>
    <x v="2"/>
    <d v="2016-01-18T13:14:20"/>
    <n v="7"/>
    <s v="128.205.114.91"/>
    <s v="N7480 -- .E46 2005eb"/>
    <n v="701.18"/>
    <d v="2013-09-13T00:00:00"/>
  </r>
  <r>
    <x v="794"/>
    <d v="1899-12-30T00:00:00"/>
    <x v="105"/>
    <x v="0"/>
    <s v="Buffalo"/>
    <x v="106"/>
    <n v="1397236"/>
    <x v="2"/>
    <s v="Fine Arts"/>
    <s v="9781135871451"/>
    <m/>
    <n v="0"/>
    <m/>
    <m/>
    <s v="No"/>
    <x v="2"/>
    <d v="2016-01-18T13:14:20"/>
    <n v="7"/>
    <s v="128.205.114.91"/>
    <s v="N7480 -- .E46 2005eb"/>
    <n v="701.18"/>
    <d v="2013-09-13T00:00:00"/>
  </r>
  <r>
    <x v="795"/>
    <d v="1899-12-30T00:00:17"/>
    <x v="105"/>
    <x v="0"/>
    <s v="Buffalo"/>
    <x v="106"/>
    <n v="1397236"/>
    <x v="2"/>
    <s v="Fine Arts"/>
    <s v="9781135871451"/>
    <s v=",1,2,3"/>
    <n v="3"/>
    <m/>
    <m/>
    <s v="No"/>
    <x v="3"/>
    <m/>
    <m/>
    <s v="128.205.114.91"/>
    <s v="N7480 -- .E46 2005eb"/>
    <n v="701.18"/>
    <d v="2013-09-13T00:00:00"/>
  </r>
  <r>
    <x v="796"/>
    <d v="1899-12-30T00:01:36"/>
    <x v="228"/>
    <x v="0"/>
    <s v="Buffalo"/>
    <x v="242"/>
    <n v="3038556"/>
    <x v="11"/>
    <s v="History; Social Science"/>
    <s v="9780226119199"/>
    <s v=",1,234,235,236,232,233,2,237,238,60,61,62,58,59,63,64,65,66,64"/>
    <n v="18"/>
    <m/>
    <m/>
    <s v="No"/>
    <x v="3"/>
    <m/>
    <m/>
    <s v="128.205.114.91"/>
    <s v="F1789.N3 -- .W57 2014eb"/>
    <s v="305.896/07291"/>
    <d v="2014-06-01T00:00:00"/>
  </r>
  <r>
    <x v="797"/>
    <d v="1899-12-30T00:00:06"/>
    <x v="228"/>
    <x v="0"/>
    <s v="Buffalo"/>
    <x v="242"/>
    <n v="3038556"/>
    <x v="11"/>
    <s v="History; Social Science"/>
    <s v="9780226119199"/>
    <s v=",1,2,3"/>
    <n v="3"/>
    <m/>
    <m/>
    <s v="No"/>
    <x v="3"/>
    <m/>
    <m/>
    <s v="128.205.114.91"/>
    <s v="F1789.N3 -- .W57 2014eb"/>
    <s v="305.896/07291"/>
    <d v="2014-06-01T00:00:00"/>
  </r>
  <r>
    <x v="798"/>
    <d v="1899-12-30T00:02:25"/>
    <x v="229"/>
    <x v="0"/>
    <s v="Buffalo"/>
    <x v="243"/>
    <n v="1574789"/>
    <x v="2"/>
    <s v="History"/>
    <s v="9781317882237"/>
    <s v=",1,2,3,4,5,6,7,8,9,10,123,124,125,126,122,127,208,205,206,207,204"/>
    <n v="21"/>
    <m/>
    <m/>
    <s v="No"/>
    <x v="3"/>
    <m/>
    <m/>
    <s v="128.205.114.91"/>
    <s v="DS918 -- .L44 2013eb"/>
    <n v="951.90419999999995"/>
    <d v="2013-12-02T00:00:00"/>
  </r>
  <r>
    <x v="799"/>
    <d v="1899-12-30T00:02:03"/>
    <x v="175"/>
    <x v="0"/>
    <s v="Buffalo"/>
    <x v="244"/>
    <n v="848510"/>
    <x v="0"/>
    <s v="Medicine"/>
    <s v="9781118220481"/>
    <s v=",1,2,3,4,5,6,7,8,9,10,11,12,13,14,15,16,17,18,19,20,21,22,23,24"/>
    <n v="24"/>
    <m/>
    <m/>
    <s v="No"/>
    <x v="1"/>
    <m/>
    <m/>
    <s v="128.205.114.91"/>
    <s v="RC489.C63 -- C64 2012eb"/>
    <s v="616.89/1425"/>
    <d v="2012-06-06T00:00:00"/>
  </r>
  <r>
    <x v="800"/>
    <d v="1899-12-30T00:00:29"/>
    <x v="230"/>
    <x v="0"/>
    <s v="Buffalo"/>
    <x v="245"/>
    <n v="3061113"/>
    <x v="2"/>
    <s v="Medicine"/>
    <s v="9781315010199"/>
    <s v=",1,2,3,61,62,63,59,67,64"/>
    <n v="9"/>
    <m/>
    <m/>
    <s v="No"/>
    <x v="3"/>
    <m/>
    <m/>
    <s v="128.205.114.91"/>
    <s v="RC467 -- .H37 2001eb"/>
    <m/>
    <d v="2013-09-01T00:00:00"/>
  </r>
  <r>
    <x v="801"/>
    <d v="1899-12-30T00:01:19"/>
    <x v="231"/>
    <x v="0"/>
    <s v="Buffalo"/>
    <x v="103"/>
    <n v="865191"/>
    <x v="0"/>
    <s v="Social Science"/>
    <s v="9781118101681"/>
    <s v=",1,2,3,167,168,169,165,166,170"/>
    <n v="9"/>
    <m/>
    <m/>
    <s v="No"/>
    <x v="1"/>
    <m/>
    <m/>
    <s v="128.205.114.91"/>
    <s v="HT166 -- .Y565 2012eb"/>
    <s v="307.1/216; 307.1216; 307.1416"/>
    <d v="2012-02-21T00:00:00"/>
  </r>
  <r>
    <x v="802"/>
    <d v="1899-12-30T00:02:26"/>
    <x v="226"/>
    <x v="0"/>
    <s v="Buffalo"/>
    <x v="6"/>
    <n v="1635363"/>
    <x v="0"/>
    <s v="Law"/>
    <s v="9781118678206"/>
    <s v=",1,2,3,4,5,6,1,7,8,9,10,226,353,354,355,352,351"/>
    <n v="16"/>
    <m/>
    <m/>
    <s v="No"/>
    <x v="1"/>
    <m/>
    <m/>
    <s v="128.205.114.91"/>
    <s v="KF285.Z9 -- H38 2014eb"/>
    <n v="340.07600000000002"/>
    <d v="2014-02-14T00:00:00"/>
  </r>
  <r>
    <x v="803"/>
    <d v="1899-12-30T00:00:00"/>
    <x v="232"/>
    <x v="1"/>
    <s v="brockport"/>
    <x v="45"/>
    <n v="1691426"/>
    <x v="0"/>
    <s v="Social Science; Health"/>
    <s v="9781118839492"/>
    <m/>
    <n v="0"/>
    <m/>
    <m/>
    <s v="No"/>
    <x v="0"/>
    <d v="2016-01-17T19:21:59"/>
    <n v="7"/>
    <s v="137.21.7.121"/>
    <s v="RA781.7 -- .P396 2014eb"/>
    <n v="613.70460000000003"/>
    <d v="2014-05-13T00:00:00"/>
  </r>
  <r>
    <x v="804"/>
    <d v="1899-12-30T00:10:11"/>
    <x v="232"/>
    <x v="1"/>
    <s v="brockport"/>
    <x v="45"/>
    <n v="1691426"/>
    <x v="0"/>
    <s v="Social Science; Health"/>
    <s v="9781118839492"/>
    <m/>
    <n v="0"/>
    <m/>
    <m/>
    <s v="No"/>
    <x v="1"/>
    <m/>
    <m/>
    <s v="137.21.7.121"/>
    <s v="RA781.7 -- .P396 2014eb"/>
    <n v="613.70460000000003"/>
    <d v="2014-05-13T00:00:00"/>
  </r>
  <r>
    <x v="805"/>
    <d v="1899-12-30T00:00:34"/>
    <x v="233"/>
    <x v="0"/>
    <s v="Buffalo"/>
    <x v="31"/>
    <n v="1682559"/>
    <x v="4"/>
    <s v="Medicine"/>
    <s v="9781462515431"/>
    <s v=",1,2,3,4,1,2,3,213,214,215,211,212,216,217,2,218"/>
    <n v="12"/>
    <m/>
    <m/>
    <s v="No"/>
    <x v="1"/>
    <m/>
    <m/>
    <s v="128.205.114.91"/>
    <s v="RC469 -- .M677 2014eb"/>
    <n v="616.89"/>
    <d v="2014-05-10T00:00:00"/>
  </r>
  <r>
    <x v="806"/>
    <d v="1899-12-30T00:25:52"/>
    <x v="150"/>
    <x v="0"/>
    <s v="Buffalo"/>
    <x v="152"/>
    <n v="330580"/>
    <x v="4"/>
    <s v="Medicine"/>
    <s v="9781593859398"/>
    <s v=",1,2,3,4,39,55,65,92,105,145,146,144,142,143,141,2,140,139,138,137,136,133,134,132,130,131,128,129,127,126,125,124,126,128,127,124,125,123,129,130,131,132,133,134,135,136,137,138,139,140,141,142,143,144,145,146,147,148,149"/>
    <n v="36"/>
    <m/>
    <m/>
    <s v="No"/>
    <x v="0"/>
    <d v="2016-01-14T00:06:51"/>
    <n v="7"/>
    <s v="128.205.114.91"/>
    <s v="RC489.C63 -- M55 2004eb"/>
    <n v="616.89142000000004"/>
    <d v="2014-05-14T00:00:00"/>
  </r>
  <r>
    <x v="807"/>
    <d v="1899-12-30T03:49:57"/>
    <x v="210"/>
    <x v="1"/>
    <s v="brockport"/>
    <x v="45"/>
    <n v="1691426"/>
    <x v="0"/>
    <s v="Social Science; Health"/>
    <s v="9781118839492"/>
    <s v=",1,25,26,27,23,24,28,2,29,30,31,32,33,34,35,36,37,38,39,40,41,42,51,52,53,49,50,54,55,56,57,58,59,60,61,60,61,62,63,62,63,64,65,66,67,68,69,70,65,71,72,73,74,75,73,74,75,71,72,73,74,75,71,72,76,77,78,79,80,81,82,83,84,85,86,87,88,89,90,91,92,93,94,95,96,83,84,85,81,82,73,74,75,71,72,29,30,31,27,28,327,328,329,325,326,330,331,332,333,334,335,336,336,337,338,339,340,334,333,332,331,330,336,337,337,338,339,340,341,342,343,336,335,334,333,332,331,336,336,337,338,339,340,341,342,343,335,335"/>
    <n v="89"/>
    <s v=",73,73,338"/>
    <m/>
    <s v="No"/>
    <x v="0"/>
    <d v="2016-01-17T02:33:31"/>
    <n v="7"/>
    <s v="137.21.7.121"/>
    <s v="RA781.7 -- .P396 2014eb"/>
    <n v="613.70460000000003"/>
    <d v="2014-05-13T00:00:00"/>
  </r>
  <r>
    <x v="808"/>
    <d v="1899-12-30T01:08:48"/>
    <x v="234"/>
    <x v="1"/>
    <s v="brockport"/>
    <x v="45"/>
    <n v="1691426"/>
    <x v="0"/>
    <s v="Social Science; Health"/>
    <s v="9781118839492"/>
    <s v=",1,2,3,107,108,109,105,106,110,112,111,125,126,127,123,124,128,129,130,131,132,133,134,135,151,152,153,149,150,154,155,156,157,158,159,160,161,162,163,164,165,166,167,168,169,170,171,172,173,174,175,176,177,178,179,180,181,182,183,184,185,186,187,188,189,190,191,192,193,194,195,196,197,198,199,201,202,208,213,214,215,219,224,225,227,226,223,228,229,233,238,243,246,247,248,244,245,249,250,251,283,284,285,281,282,305,306,307,303,304,302,308,309,310,311,312,313,314,315,316,317,318,319,320,321,322,323,324,325,326,327,328,329,330,331,332,333"/>
    <n v="137"/>
    <m/>
    <m/>
    <s v="No"/>
    <x v="0"/>
    <d v="2016-01-16T21:11:54"/>
    <n v="7"/>
    <s v="137.21.7.121"/>
    <s v="RA781.7 -- .P396 2014eb"/>
    <n v="613.70460000000003"/>
    <d v="2014-05-13T00:00:00"/>
  </r>
  <r>
    <x v="809"/>
    <d v="1899-12-30T00:00:25"/>
    <x v="234"/>
    <x v="1"/>
    <s v="brockport"/>
    <x v="45"/>
    <n v="1691426"/>
    <x v="0"/>
    <s v="Social Science; Health"/>
    <s v="9781118839492"/>
    <s v=",1,2,3,125,126,127,123,124,128,129,130"/>
    <n v="11"/>
    <m/>
    <m/>
    <s v="No"/>
    <x v="0"/>
    <d v="2016-01-16T21:11:54"/>
    <n v="7"/>
    <s v="137.21.7.121"/>
    <s v="RA781.7 -- .P396 2014eb"/>
    <n v="613.70460000000003"/>
    <d v="2014-05-13T00:00:00"/>
  </r>
  <r>
    <x v="810"/>
    <d v="1899-12-30T00:36:54"/>
    <x v="235"/>
    <x v="1"/>
    <s v="brockport"/>
    <x v="45"/>
    <n v="1691426"/>
    <x v="0"/>
    <s v="Social Science; Health"/>
    <s v="9781118839492"/>
    <s v=",1,3,2,41,42,43,39,40,44,45,73,74,75,71,72,76,77,78,79,178,179,180,177,176,182,183,184,181,185,186,187,331,332,333,329,330,334,335,336,337"/>
    <n v="40"/>
    <m/>
    <m/>
    <s v="No"/>
    <x v="0"/>
    <d v="2016-01-16T02:05:52"/>
    <n v="7"/>
    <s v="137.21.7.121"/>
    <s v="RA781.7 -- .P396 2014eb"/>
    <n v="613.70460000000003"/>
    <d v="2014-05-13T00:00:00"/>
  </r>
  <r>
    <x v="811"/>
    <d v="1899-12-30T00:02:10"/>
    <x v="210"/>
    <x v="1"/>
    <s v="brockport"/>
    <x v="45"/>
    <n v="1691426"/>
    <x v="0"/>
    <s v="Social Science; Health"/>
    <s v="9781118839492"/>
    <s v=",31,32"/>
    <n v="2"/>
    <m/>
    <m/>
    <s v="No"/>
    <x v="0"/>
    <d v="2016-01-17T02:33:31"/>
    <n v="7"/>
    <s v="137.21.7.121"/>
    <s v="RA781.7 -- .P396 2014eb"/>
    <n v="613.70460000000003"/>
    <d v="2014-05-13T00:00:00"/>
  </r>
  <r>
    <x v="812"/>
    <d v="1899-12-30T00:12:03"/>
    <x v="210"/>
    <x v="1"/>
    <s v="brockport"/>
    <x v="45"/>
    <n v="1691426"/>
    <x v="0"/>
    <s v="Social Science; Health"/>
    <s v="9781118839492"/>
    <s v=",1,25,26,27,23,24,28,29,21,22,20,19,2,30"/>
    <n v="14"/>
    <m/>
    <m/>
    <s v="No"/>
    <x v="1"/>
    <m/>
    <m/>
    <s v="137.21.7.121"/>
    <s v="RA781.7 -- .P396 2014eb"/>
    <n v="613.70460000000003"/>
    <d v="2014-05-13T00:00:00"/>
  </r>
  <r>
    <x v="813"/>
    <d v="1899-12-30T00:00:22"/>
    <x v="236"/>
    <x v="0"/>
    <s v="Buffalo"/>
    <x v="246"/>
    <n v="1707328"/>
    <x v="3"/>
    <s v="Fine Arts"/>
    <s v="9780520958876"/>
    <s v=",1,67,68,65,66,70,71,2"/>
    <n v="8"/>
    <m/>
    <m/>
    <s v="No"/>
    <x v="1"/>
    <m/>
    <m/>
    <s v="128.205.114.91"/>
    <s v="ML195 -- .A45 2014eb"/>
    <n v="780.90329999999994"/>
    <d v="2014-06-07T00:00:00"/>
  </r>
  <r>
    <x v="814"/>
    <d v="1899-12-30T00:04:21"/>
    <x v="237"/>
    <x v="0"/>
    <s v="Buffalo"/>
    <x v="8"/>
    <n v="1683360"/>
    <x v="4"/>
    <s v="General Works/Reference; Social Science"/>
    <s v="9781462516032"/>
    <s v=",1,2,3,347,348,349,350,351,352,353,355,356,357,354,358,359,360,361,362"/>
    <n v="19"/>
    <m/>
    <m/>
    <s v="No"/>
    <x v="1"/>
    <m/>
    <m/>
    <s v="128.205.114.91"/>
    <s v="H62 -- .S454 2014eb"/>
    <n v="1.42"/>
    <d v="2014-07-03T00:00:00"/>
  </r>
  <r>
    <x v="815"/>
    <d v="1899-12-30T00:02:00"/>
    <x v="7"/>
    <x v="0"/>
    <s v="Buffalo"/>
    <x v="6"/>
    <n v="1635363"/>
    <x v="0"/>
    <s v="Law"/>
    <s v="9781118678206"/>
    <s v=",1,2,3,51,52,53,54,50,63,64,65,61,62,66,31,32,33,29,30,34,67,68,69,70,71,72,73,74,75,76,77"/>
    <n v="31"/>
    <m/>
    <m/>
    <s v="No"/>
    <x v="1"/>
    <m/>
    <m/>
    <s v="128.205.114.91"/>
    <s v="KF285.Z9 -- H38 2014eb"/>
    <n v="340.07600000000002"/>
    <d v="2014-02-14T00:00:00"/>
  </r>
  <r>
    <x v="816"/>
    <d v="1899-12-30T00:09:20"/>
    <x v="234"/>
    <x v="1"/>
    <s v="brockport"/>
    <x v="45"/>
    <n v="1691426"/>
    <x v="0"/>
    <s v="Social Science; Health"/>
    <s v="9781118839492"/>
    <s v=",121,122,123,124,125,126,127,128,129"/>
    <n v="9"/>
    <m/>
    <m/>
    <s v="No"/>
    <x v="0"/>
    <d v="2016-01-16T21:11:54"/>
    <n v="7"/>
    <s v="137.21.7.121"/>
    <s v="RA781.7 -- .P396 2014eb"/>
    <n v="613.70460000000003"/>
    <d v="2014-05-13T00:00:00"/>
  </r>
  <r>
    <x v="817"/>
    <d v="1899-12-30T00:10:20"/>
    <x v="234"/>
    <x v="1"/>
    <s v="brockport"/>
    <x v="45"/>
    <n v="1691426"/>
    <x v="0"/>
    <s v="Social Science; Health"/>
    <s v="9781118839492"/>
    <s v=",1,2,3,97,98,99,95,96,106,101,100,102,103,104,105,106,107,108,109,110,111,112,113,114,115,116,117,118,119,120"/>
    <n v="29"/>
    <m/>
    <m/>
    <s v="No"/>
    <x v="1"/>
    <m/>
    <m/>
    <s v="137.21.7.121"/>
    <s v="RA781.7 -- .P396 2014eb"/>
    <n v="613.70460000000003"/>
    <d v="2014-05-13T00:00:00"/>
  </r>
  <r>
    <x v="818"/>
    <d v="1899-12-30T01:02:59"/>
    <x v="71"/>
    <x v="0"/>
    <s v="Buffalo"/>
    <x v="247"/>
    <n v="1161538"/>
    <x v="0"/>
    <s v="Business/Management; Economics"/>
    <s v="9781118521755"/>
    <s v=",1,2,3,137,138,139,135,136,140,141,142,143,138,144,145,146,147,149,150,150,1,151,152,148,149,147,146,2,151,152,153,154,155,156,157,158,159,161,162,160"/>
    <n v="31"/>
    <m/>
    <m/>
    <s v="No"/>
    <x v="0"/>
    <d v="2016-01-13T06:51:25"/>
    <n v="7"/>
    <s v="128.205.114.91"/>
    <s v="HG6041 -- .L44 2013eb"/>
    <n v="332.63220000000001"/>
    <d v="2013-03-26T00:00:00"/>
  </r>
  <r>
    <x v="819"/>
    <d v="1899-12-30T00:58:07"/>
    <x v="71"/>
    <x v="0"/>
    <s v="Buffalo"/>
    <x v="247"/>
    <n v="1161538"/>
    <x v="0"/>
    <s v="Business/Management; Economics"/>
    <s v="9781118521755"/>
    <s v=",1,2,3,127,128,129,125,126,130,124,130,131,132,133,134,135,136,137,138,139,140,141"/>
    <n v="21"/>
    <m/>
    <m/>
    <s v="No"/>
    <x v="0"/>
    <d v="2016-01-13T06:51:25"/>
    <n v="7"/>
    <s v="128.205.114.91"/>
    <s v="HG6041 -- .L44 2013eb"/>
    <n v="332.63220000000001"/>
    <d v="2013-03-26T00:00:00"/>
  </r>
  <r>
    <x v="820"/>
    <d v="1899-12-30T00:00:04"/>
    <x v="238"/>
    <x v="5"/>
    <s v="erie"/>
    <x v="248"/>
    <n v="817836"/>
    <x v="0"/>
    <s v="Computer Science/IT"/>
    <s v="9781118203835"/>
    <s v=",1,2,2,3,1,3"/>
    <n v="3"/>
    <m/>
    <m/>
    <s v="No"/>
    <x v="0"/>
    <d v="2016-01-16T16:22:57"/>
    <n v="7"/>
    <s v="199.29.6.54"/>
    <s v="TK5105.5 -- .M36 2012eb"/>
    <n v="4.6500000000000004"/>
    <d v="2011-10-18T00:00:00"/>
  </r>
  <r>
    <x v="821"/>
    <d v="1899-12-30T00:00:00"/>
    <x v="238"/>
    <x v="5"/>
    <s v="erie"/>
    <x v="248"/>
    <n v="817836"/>
    <x v="0"/>
    <s v="Computer Science/IT"/>
    <s v="9781118203835"/>
    <m/>
    <n v="0"/>
    <m/>
    <m/>
    <s v="Yes"/>
    <x v="0"/>
    <d v="2016-01-16T16:22:57"/>
    <n v="7"/>
    <s v="199.29.6.54"/>
    <s v="TK5105.5 -- .M36 2012eb"/>
    <n v="4.6500000000000004"/>
    <d v="2011-10-18T00:00:00"/>
  </r>
  <r>
    <x v="822"/>
    <d v="1899-12-30T00:00:13"/>
    <x v="238"/>
    <x v="5"/>
    <s v="erie"/>
    <x v="248"/>
    <n v="817836"/>
    <x v="0"/>
    <s v="Computer Science/IT"/>
    <s v="9781118203835"/>
    <s v=",376"/>
    <n v="1"/>
    <m/>
    <m/>
    <s v="Yes"/>
    <x v="0"/>
    <d v="2016-01-16T16:22:57"/>
    <n v="7"/>
    <s v="199.29.6.54"/>
    <s v="TK5105.5 -- .M36 2012eb"/>
    <n v="4.6500000000000004"/>
    <d v="2011-10-18T00:00:00"/>
  </r>
  <r>
    <x v="823"/>
    <d v="1899-12-30T00:00:00"/>
    <x v="238"/>
    <x v="5"/>
    <s v="erie"/>
    <x v="248"/>
    <n v="817836"/>
    <x v="0"/>
    <s v="Computer Science/IT"/>
    <s v="9781118203835"/>
    <m/>
    <n v="0"/>
    <m/>
    <m/>
    <s v="Yes"/>
    <x v="0"/>
    <d v="2016-01-16T16:22:57"/>
    <n v="7"/>
    <s v="199.29.6.54"/>
    <s v="TK5105.5 -- .M36 2012eb"/>
    <n v="4.6500000000000004"/>
    <d v="2011-10-18T00:00:00"/>
  </r>
  <r>
    <x v="824"/>
    <d v="1899-12-30T00:00:37"/>
    <x v="238"/>
    <x v="5"/>
    <s v="erie"/>
    <x v="248"/>
    <n v="817836"/>
    <x v="0"/>
    <s v="Computer Science/IT"/>
    <s v="9781118203835"/>
    <s v=",1,2,3,375,376,377,373,374,378"/>
    <n v="9"/>
    <m/>
    <m/>
    <s v="No"/>
    <x v="0"/>
    <d v="2016-01-16T16:22:57"/>
    <n v="7"/>
    <s v="199.29.6.54"/>
    <s v="TK5105.5 -- .M36 2012eb"/>
    <n v="4.6500000000000004"/>
    <d v="2011-10-18T00:00:00"/>
  </r>
  <r>
    <x v="825"/>
    <d v="1899-12-30T00:03:33"/>
    <x v="238"/>
    <x v="5"/>
    <s v="erie"/>
    <x v="248"/>
    <n v="817836"/>
    <x v="0"/>
    <s v="Computer Science/IT"/>
    <s v="9781118203835"/>
    <s v=",1"/>
    <n v="1"/>
    <m/>
    <m/>
    <s v="Yes"/>
    <x v="0"/>
    <d v="2016-01-16T16:22:57"/>
    <n v="7"/>
    <s v="199.29.6.54"/>
    <s v="TK5105.5 -- .M36 2012eb"/>
    <n v="4.6500000000000004"/>
    <d v="2011-10-18T00:00:00"/>
  </r>
  <r>
    <x v="825"/>
    <d v="1899-12-30T00:00:00"/>
    <x v="238"/>
    <x v="5"/>
    <s v="erie"/>
    <x v="248"/>
    <n v="817836"/>
    <x v="0"/>
    <s v="Computer Science/IT"/>
    <s v="9781118203835"/>
    <m/>
    <n v="0"/>
    <m/>
    <m/>
    <s v="No"/>
    <x v="0"/>
    <d v="2016-01-16T16:22:57"/>
    <n v="7"/>
    <s v="199.29.6.54"/>
    <s v="TK5105.5 -- .M36 2012eb"/>
    <n v="4.6500000000000004"/>
    <d v="2011-10-18T00:00:00"/>
  </r>
  <r>
    <x v="826"/>
    <d v="1899-12-30T00:18:31"/>
    <x v="238"/>
    <x v="5"/>
    <s v="erie"/>
    <x v="248"/>
    <n v="817836"/>
    <x v="0"/>
    <s v="Computer Science/IT"/>
    <s v="9781118203835"/>
    <s v=",1,2,3"/>
    <n v="3"/>
    <m/>
    <m/>
    <s v="No"/>
    <x v="1"/>
    <m/>
    <m/>
    <s v="199.29.6.54"/>
    <s v="TK5105.5 -- .M36 2012eb"/>
    <n v="4.6500000000000004"/>
    <d v="2011-10-18T00:00:00"/>
  </r>
  <r>
    <x v="827"/>
    <d v="1899-12-30T00:00:17"/>
    <x v="239"/>
    <x v="2"/>
    <s v="hilbert"/>
    <x v="249"/>
    <n v="1397521"/>
    <x v="2"/>
    <s v="Education"/>
    <s v="9781317925286"/>
    <s v=",1,2,3,4,5,6,7,8,9,10"/>
    <n v="10"/>
    <m/>
    <m/>
    <s v="No"/>
    <x v="3"/>
    <m/>
    <m/>
    <s v="72.45.217.43"/>
    <s v="LB2835.25 -- .S33 2010eb"/>
    <n v="371.1"/>
    <d v="2013-09-13T00:00:00"/>
  </r>
  <r>
    <x v="828"/>
    <d v="1899-12-30T00:00:10"/>
    <x v="212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829"/>
    <d v="1899-12-30T00:00:16"/>
    <x v="240"/>
    <x v="6"/>
    <s v="sjfc"/>
    <x v="250"/>
    <n v="1221172"/>
    <x v="0"/>
    <s v="Computer Science/IT"/>
    <s v="9783527677160"/>
    <s v=",1,2,3,4,5,6,7,8,9"/>
    <n v="9"/>
    <m/>
    <m/>
    <s v="No"/>
    <x v="3"/>
    <m/>
    <m/>
    <s v="149.69.254.57"/>
    <s v="QA76.73 .J38"/>
    <s v="005.13; 005.133"/>
    <d v="2013-06-17T00:00:00"/>
  </r>
  <r>
    <x v="830"/>
    <d v="1899-12-30T00:03:26"/>
    <x v="241"/>
    <x v="0"/>
    <s v="Buffalo"/>
    <x v="27"/>
    <n v="1895140"/>
    <x v="0"/>
    <s v="Education"/>
    <s v="9781118911488"/>
    <s v=",1,2,3,241,242,243,239,240,244,245,246,247,248,250,251,252,253,249,254,255,256,257,258,259,260,261,262,263,264,265,266,267,268,269,270,271,272,273,274,275,276,277,278"/>
    <n v="43"/>
    <m/>
    <m/>
    <s v="No"/>
    <x v="3"/>
    <m/>
    <m/>
    <s v="128.205.114.91"/>
    <s v="LB2367.4 .G743 2015"/>
    <n v="378.1662"/>
    <d v="2015-03-23T00:00:00"/>
  </r>
  <r>
    <x v="831"/>
    <d v="1899-12-30T00:00:37"/>
    <x v="241"/>
    <x v="0"/>
    <s v="Buffalo"/>
    <x v="28"/>
    <n v="1895348"/>
    <x v="0"/>
    <s v="Education"/>
    <s v="9781119068839"/>
    <s v=",1,2,3,21,22,23,19,20,35,36,37,33,34,38,32,39,40,41,42,11,6,7,8,4,5"/>
    <n v="25"/>
    <m/>
    <m/>
    <s v="No"/>
    <x v="1"/>
    <m/>
    <m/>
    <s v="128.205.114.91"/>
    <s v="LB2367.4"/>
    <n v="378.16640000000001"/>
    <d v="2015-05-27T00:00:00"/>
  </r>
  <r>
    <x v="832"/>
    <d v="1899-12-30T00:03:37"/>
    <x v="235"/>
    <x v="1"/>
    <s v="brockport"/>
    <x v="45"/>
    <n v="1691426"/>
    <x v="0"/>
    <s v="Social Science; Health"/>
    <s v="9781118839492"/>
    <s v=",5,8,7,9,11,12,13,14,15,16,17,18,19,20,25,26,27,23,24,28,29,30,31,32"/>
    <n v="24"/>
    <m/>
    <m/>
    <s v="No"/>
    <x v="0"/>
    <d v="2016-01-16T02:05:52"/>
    <n v="7"/>
    <s v="137.21.7.121"/>
    <s v="RA781.7 -- .P396 2014eb"/>
    <n v="613.70460000000003"/>
    <d v="2014-05-13T00:00:00"/>
  </r>
  <r>
    <x v="833"/>
    <d v="1899-12-30T00:03:24"/>
    <x v="242"/>
    <x v="0"/>
    <s v="Buffalo"/>
    <x v="251"/>
    <n v="2058072"/>
    <x v="1"/>
    <s v="Political Science; Social Science"/>
    <s v="9781472440501"/>
    <s v=",180,180,181,182,178,179,222,220,221,183,184,185,186,187,188,189,190,191,192,193,194,195,196,197,198,199"/>
    <n v="25"/>
    <m/>
    <s v=",46,47,48,49,50,51,52,53,54,55,56,57,58,59,60,61,62,63,64,65,180,181,182,183,184,185,186,187,188,189,190,191,192,193,194,195,196,197,198,199"/>
    <s v="No"/>
    <x v="2"/>
    <d v="2016-01-16T02:00:32"/>
    <n v="1"/>
    <s v="128.205.114.91"/>
    <s v="JV6013.5 .M53 2015"/>
    <n v="304.80720000000002"/>
    <d v="2015-07-28T00:00:00"/>
  </r>
  <r>
    <x v="834"/>
    <d v="1899-12-30T00:02:22"/>
    <x v="242"/>
    <x v="0"/>
    <s v="Buffalo"/>
    <x v="251"/>
    <n v="2058072"/>
    <x v="1"/>
    <s v="Political Science; Social Science"/>
    <s v="9781472440501"/>
    <s v=",1,2,3,46,47,48,44,45,49,50,51,52,53,54,55,56,57,58,59,60,61,62,63,64,65,66,64"/>
    <n v="26"/>
    <m/>
    <m/>
    <s v="No"/>
    <x v="3"/>
    <m/>
    <m/>
    <s v="128.205.114.91"/>
    <s v="JV6013.5 .M53 2015"/>
    <n v="304.80720000000002"/>
    <d v="2015-07-28T00:00:00"/>
  </r>
  <r>
    <x v="835"/>
    <d v="1899-12-30T00:13:58"/>
    <x v="235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836"/>
    <d v="1899-12-30T07:06:38"/>
    <x v="151"/>
    <x v="1"/>
    <s v="brockport"/>
    <x v="45"/>
    <n v="1691426"/>
    <x v="0"/>
    <s v="Social Science; Health"/>
    <s v="9781118839492"/>
    <s v=",35,36,37,38,39,40,41,42,43,44,46,45,47,48,49,50,51,52,53,54,55,56,57,58,59,60,61,62,63,64,65,66,67,68,69,70,71,72,73,74,75,76,77,78,79,80,81,82,83,84,85,86,87,88,89,90,91,92,93,94,95,96"/>
    <n v="62"/>
    <m/>
    <m/>
    <s v="No"/>
    <x v="0"/>
    <d v="2016-01-15T23:12:34"/>
    <n v="7"/>
    <s v="137.21.7.121"/>
    <s v="RA781.7 -- .P396 2014eb"/>
    <n v="613.70460000000003"/>
    <d v="2014-05-13T00:00:00"/>
  </r>
  <r>
    <x v="837"/>
    <d v="1899-12-30T00:13:06"/>
    <x v="151"/>
    <x v="1"/>
    <s v="brockport"/>
    <x v="45"/>
    <n v="1691426"/>
    <x v="0"/>
    <s v="Social Science; Health"/>
    <s v="9781118839492"/>
    <s v=",1,2,3,4,5,6,7,8,9,10,11,12,13,14,15,16,17,18,19,20,21,22,23,24,25,26,27,28,29,30,31,32,33,34"/>
    <n v="34"/>
    <m/>
    <m/>
    <s v="No"/>
    <x v="1"/>
    <m/>
    <m/>
    <s v="137.21.7.121"/>
    <s v="RA781.7 -- .P396 2014eb"/>
    <n v="613.70460000000003"/>
    <d v="2014-05-13T00:00:00"/>
  </r>
  <r>
    <x v="838"/>
    <d v="1899-12-30T00:11:25"/>
    <x v="13"/>
    <x v="0"/>
    <s v="Buffalo"/>
    <x v="252"/>
    <n v="1936429"/>
    <x v="0"/>
    <s v="Medicine; Science; Science: Biology/Natural History"/>
    <s v="9781118396902"/>
    <s v=",5,6,7,8,9,1,10,9,7,11,8,12,13,14,15,2,13"/>
    <n v="13"/>
    <s v=",2"/>
    <m/>
    <s v="No"/>
    <x v="0"/>
    <d v="2016-01-15T22:41:55"/>
    <n v="7"/>
    <s v="128.205.114.91"/>
    <s v="QR181"/>
    <n v="616.07899999999995"/>
    <d v="2015-01-28T00:00:00"/>
  </r>
  <r>
    <x v="839"/>
    <d v="1899-12-30T00:02:05"/>
    <x v="13"/>
    <x v="0"/>
    <s v="Buffalo"/>
    <x v="252"/>
    <n v="1936429"/>
    <x v="0"/>
    <s v="Medicine; Science; Science: Biology/Natural History"/>
    <s v="9781118396902"/>
    <s v=",1,2,3,4,5,6,7,8,9,1,2"/>
    <n v="9"/>
    <m/>
    <m/>
    <s v="No"/>
    <x v="3"/>
    <m/>
    <m/>
    <s v="128.205.114.91"/>
    <s v="QR181"/>
    <n v="616.07899999999995"/>
    <d v="2015-01-28T00:00:00"/>
  </r>
  <r>
    <x v="840"/>
    <d v="1899-12-30T00:00:31"/>
    <x v="13"/>
    <x v="0"/>
    <s v="Buffalo"/>
    <x v="252"/>
    <n v="1936429"/>
    <x v="0"/>
    <s v="Medicine; Science; Science: Biology/Natural History"/>
    <s v="9781118396902"/>
    <s v=",1,2,3,4,5"/>
    <n v="5"/>
    <m/>
    <m/>
    <s v="No"/>
    <x v="3"/>
    <m/>
    <m/>
    <s v="128.205.114.91"/>
    <s v="QR181"/>
    <n v="616.07899999999995"/>
    <d v="2015-01-28T00:00:00"/>
  </r>
  <r>
    <x v="841"/>
    <d v="1899-12-30T00:00:23"/>
    <x v="243"/>
    <x v="0"/>
    <s v="Buffalo"/>
    <x v="253"/>
    <n v="1659273"/>
    <x v="0"/>
    <s v="Engineering: Civil; Computer Science/IT; Engineering"/>
    <s v="9781118848739"/>
    <s v=",1,2,2,1,3,3,4,4,32,33,32,34,34,30,33,31,54,55,54,56,55,52,31,56,53,53,130,131,132,130,132,131,128,129,2,129"/>
    <n v="19"/>
    <m/>
    <m/>
    <s v="No"/>
    <x v="3"/>
    <m/>
    <m/>
    <s v="128.205.114.91"/>
    <s v="TA1634 .D396 2014"/>
    <s v="006.3/7; 006.37"/>
    <d v="2014-03-20T00:00:00"/>
  </r>
  <r>
    <x v="842"/>
    <d v="1899-12-30T00:03:47"/>
    <x v="213"/>
    <x v="12"/>
    <s v="potsdam"/>
    <x v="254"/>
    <n v="2064681"/>
    <x v="0"/>
    <s v="Engineering; Mathematics; Engineering: Mechanical"/>
    <s v="9781118674918"/>
    <s v=",1"/>
    <n v="1"/>
    <m/>
    <m/>
    <s v="Yes"/>
    <x v="0"/>
    <d v="2016-01-15T19:04:31"/>
    <n v="7"/>
    <s v="137.143.104.94"/>
    <s v="TJ216"/>
    <n v="519.54999999999995"/>
    <d v="2015-06-02T00:00:00"/>
  </r>
  <r>
    <x v="843"/>
    <d v="1899-12-30T00:00:31"/>
    <x v="213"/>
    <x v="12"/>
    <s v="potsdam"/>
    <x v="254"/>
    <n v="2064681"/>
    <x v="0"/>
    <s v="Engineering; Mathematics; Engineering: Mechanical"/>
    <s v="9781118674918"/>
    <s v=",1,2,2,3"/>
    <n v="3"/>
    <m/>
    <m/>
    <s v="Yes"/>
    <x v="0"/>
    <d v="2016-01-15T19:04:31"/>
    <n v="7"/>
    <s v="137.143.104.94"/>
    <s v="TJ216"/>
    <n v="519.54999999999995"/>
    <d v="2015-06-02T00:00:00"/>
  </r>
  <r>
    <x v="843"/>
    <d v="1899-12-30T00:00:00"/>
    <x v="213"/>
    <x v="12"/>
    <s v="potsdam"/>
    <x v="254"/>
    <n v="2064681"/>
    <x v="0"/>
    <s v="Engineering; Mathematics; Engineering: Mechanical"/>
    <s v="9781118674918"/>
    <m/>
    <n v="0"/>
    <m/>
    <m/>
    <s v="No"/>
    <x v="0"/>
    <d v="2016-01-15T19:04:31"/>
    <n v="7"/>
    <s v="137.143.104.94"/>
    <s v="TJ216"/>
    <n v="519.54999999999995"/>
    <d v="2015-06-02T00:00:00"/>
  </r>
  <r>
    <x v="844"/>
    <d v="1899-12-30T00:00:21"/>
    <x v="213"/>
    <x v="12"/>
    <s v="potsdam"/>
    <x v="254"/>
    <n v="2064681"/>
    <x v="0"/>
    <s v="Engineering; Mathematics; Engineering: Mechanical"/>
    <s v="9781118674918"/>
    <s v=",1,2,2,3,1,3"/>
    <n v="3"/>
    <m/>
    <m/>
    <s v="No"/>
    <x v="3"/>
    <m/>
    <m/>
    <s v="137.143.104.94"/>
    <s v="TJ216"/>
    <n v="519.54999999999995"/>
    <d v="2015-06-02T00:00:00"/>
  </r>
  <r>
    <x v="845"/>
    <d v="1899-12-30T00:00:10"/>
    <x v="244"/>
    <x v="0"/>
    <s v="Buffalo"/>
    <x v="255"/>
    <n v="1245117"/>
    <x v="0"/>
    <s v="Business/Management"/>
    <s v="9781118613252"/>
    <s v=",1,2,3,4,5,6"/>
    <n v="6"/>
    <m/>
    <m/>
    <s v="No"/>
    <x v="3"/>
    <m/>
    <m/>
    <s v="128.205.114.91"/>
    <s v="HF5661"/>
    <n v="657.07600000000002"/>
    <d v="2013-06-26T00:00:00"/>
  </r>
  <r>
    <x v="846"/>
    <d v="1899-12-30T00:04:23"/>
    <x v="245"/>
    <x v="13"/>
    <s v="buffalostate"/>
    <x v="164"/>
    <n v="1744258"/>
    <x v="0"/>
    <s v="Mathematics"/>
    <s v="9781118776162"/>
    <s v=",1,2,3,4,5,6,7,8,9,10,11,12,13,14,15,16,17,18,19,20,21,22,23,24,25,26,27,28,29,30,31,32,33,34,35,36,37,38,39,40,41,42,43,44,45,46,47,48,49,50,51,52,53,54,55,56,57,58,59,60,61,62,63,64,65,66,67,68,69,70,71,72,73,74,75,76,77,78,79,80,81,82,83,84,85,86,87,88,89,90,91,92,93,177,178,179,175,180,176,181,182,183,184,185,186,481,482,483,479,484,485"/>
    <n v="111"/>
    <m/>
    <m/>
    <s v="No"/>
    <x v="1"/>
    <m/>
    <m/>
    <s v="136.183.11.43"/>
    <s v="QA139 -- .S73 2014eb"/>
    <n v="513.07600000000002"/>
    <d v="2014-07-15T00:00:00"/>
  </r>
  <r>
    <x v="847"/>
    <d v="1899-12-30T00:00:00"/>
    <x v="246"/>
    <x v="1"/>
    <s v="brockport"/>
    <x v="256"/>
    <n v="1635066"/>
    <x v="0"/>
    <s v="Literature"/>
    <s v="9781118779071"/>
    <m/>
    <n v="0"/>
    <m/>
    <s v=",298,299,300,301,302,303,304,305,306,307,308,309"/>
    <s v="No"/>
    <x v="2"/>
    <d v="2016-01-15T16:28:27"/>
    <n v="1"/>
    <s v="137.21.7.121"/>
    <s v="PN41 .E488 2014"/>
    <s v="809.3/003"/>
    <d v="2014-02-11T00:00:00"/>
  </r>
  <r>
    <x v="848"/>
    <d v="1899-12-30T00:00:53"/>
    <x v="246"/>
    <x v="1"/>
    <s v="brockport"/>
    <x v="256"/>
    <n v="1635066"/>
    <x v="0"/>
    <s v="Literature"/>
    <s v="9781118779071"/>
    <s v=",1,298,299,298,300,299,300,1,297,296,297,301,301,302,2,302,2,303,303,304,304,305,305,306,306,307,307,308,308,309,309,310,310,311,311,312,312,307"/>
    <n v="19"/>
    <m/>
    <m/>
    <s v="No"/>
    <x v="3"/>
    <m/>
    <m/>
    <s v="137.21.7.121"/>
    <s v="PN41 .E488 2014"/>
    <s v="809.3/003"/>
    <d v="2014-02-11T00:00:00"/>
  </r>
  <r>
    <x v="849"/>
    <d v="1899-12-30T00:00:30"/>
    <x v="247"/>
    <x v="7"/>
    <s v="oneonta"/>
    <x v="257"/>
    <n v="1882094"/>
    <x v="3"/>
    <s v="Geography/Travel; Social Science"/>
    <s v="9780520961500"/>
    <s v=",1,3,2,108,110,107,106,15,16,17,13,14"/>
    <n v="12"/>
    <m/>
    <m/>
    <s v="No"/>
    <x v="3"/>
    <m/>
    <m/>
    <s v="137.141.13.2"/>
    <s v="G156.5.D37 -- .W45 2015eb"/>
    <n v="365"/>
    <d v="2015-04-30T00:00:00"/>
  </r>
  <r>
    <x v="850"/>
    <d v="1899-12-30T01:16:45"/>
    <x v="40"/>
    <x v="0"/>
    <s v="Buffalo"/>
    <x v="44"/>
    <n v="1794558"/>
    <x v="0"/>
    <s v="Engineering: Construction; Engineering"/>
    <s v="9781118821725"/>
    <s v=",418,419,383,384,5,6,7,4,41,42,43,39,381,372,1,372,373,374,370,371,7,8,9,5,6,10,11,12,2,13,549,550,551,547,548,552,553,554,555,556,557,558,559,560,561,562,563,564,565,566,567,569,582,583,584,581,580,585,586,587,588,589,590,591,592,593,594,595,596,597,598,599"/>
    <n v="68"/>
    <m/>
    <m/>
    <s v="No"/>
    <x v="2"/>
    <d v="2016-01-15T15:24:38"/>
    <n v="1"/>
    <s v="128.205.114.91"/>
    <s v="TH7222 -- .L33 2015eb"/>
    <n v="697"/>
    <d v="2014-09-23T00:00:00"/>
  </r>
  <r>
    <x v="851"/>
    <d v="1899-12-30T00:05:06"/>
    <x v="40"/>
    <x v="0"/>
    <s v="Buffalo"/>
    <x v="44"/>
    <n v="1794558"/>
    <x v="0"/>
    <s v="Engineering: Construction; Engineering"/>
    <s v="9781118821725"/>
    <s v=",1,2,3,21,22,23,24,20,25,26,27,28,29,30,31,32,33,385,386,387,383,384,388,389,390,391,392,393,395,394,396,397,398,399,400,401,402,403,404,405,406,407,408,409,410,411,412,413,414,415,416,417"/>
    <n v="52"/>
    <m/>
    <m/>
    <s v="No"/>
    <x v="3"/>
    <m/>
    <m/>
    <s v="128.205.114.91"/>
    <s v="TH7222 -- .L33 2015eb"/>
    <n v="697"/>
    <d v="2014-09-23T00:00:00"/>
  </r>
  <r>
    <x v="852"/>
    <d v="1899-12-30T00:19:51"/>
    <x v="247"/>
    <x v="7"/>
    <s v="oneonta"/>
    <x v="258"/>
    <n v="821827"/>
    <x v="0"/>
    <s v="Social Science"/>
    <s v="9781118225349"/>
    <s v=",58,75,76,77,78,79,80,81"/>
    <n v="8"/>
    <m/>
    <m/>
    <s v="No"/>
    <x v="0"/>
    <d v="2016-01-15T15:17:24"/>
    <n v="7"/>
    <s v="137.141.13.2"/>
    <s v="HM1166 -- .N448 2012eb"/>
    <n v="302"/>
    <d v="2012-04-30T00:00:00"/>
  </r>
  <r>
    <x v="853"/>
    <d v="1899-12-30T01:47:26"/>
    <x v="248"/>
    <x v="0"/>
    <s v="Buffalo"/>
    <x v="259"/>
    <n v="1566385"/>
    <x v="0"/>
    <s v="Literature; Religion"/>
    <s v="9780745662718"/>
    <s v=",1,2,3,37,38,39,35,36,40,41,42,43,44,45,45,1,46,47,43,44,2,144,145,146,142,143,147,148,149,150,151,152,1,151,153,152,149,150,2,37,38,39,35,36,40,41,42,43,44,45,46,47,48,49,153,50,51,154,52,53,54"/>
    <n v="36"/>
    <m/>
    <m/>
    <s v="No"/>
    <x v="2"/>
    <d v="2016-01-14T21:11:33"/>
    <n v="1"/>
    <s v="128.205.114.91"/>
    <s v="PQ2643.A26 -- .S754 2013eb"/>
    <n v="204.4"/>
    <d v="2014-03-10T00:00:00"/>
  </r>
  <r>
    <x v="854"/>
    <d v="1899-12-30T00:15:01"/>
    <x v="247"/>
    <x v="7"/>
    <s v="oneonta"/>
    <x v="258"/>
    <n v="821827"/>
    <x v="0"/>
    <s v="Social Science"/>
    <s v="9781118225349"/>
    <s v=",1,2,3,74,75,76,72,73,61,62,63,59,60,64,65,66,67,68,69,70,71,72,73,75,59"/>
    <n v="21"/>
    <m/>
    <m/>
    <s v="No"/>
    <x v="1"/>
    <m/>
    <m/>
    <s v="137.141.13.2"/>
    <s v="HM1166 -- .N448 2012eb"/>
    <n v="302"/>
    <d v="2012-04-30T00:00:00"/>
  </r>
  <r>
    <x v="855"/>
    <d v="1899-12-30T00:00:48"/>
    <x v="249"/>
    <x v="0"/>
    <s v="Buffalo"/>
    <x v="260"/>
    <n v="1539145"/>
    <x v="2"/>
    <s v="Literature; Fine Arts"/>
    <s v="9781136207730"/>
    <s v=",1,2,3,4,5,6,7,8,9,10,11"/>
    <n v="11"/>
    <m/>
    <m/>
    <s v="No"/>
    <x v="3"/>
    <m/>
    <m/>
    <s v="128.205.114.91"/>
    <s v="PS338.S63 -- M86 1997eb"/>
    <n v="792.09730000000002"/>
    <d v="2013-11-05T00:00:00"/>
  </r>
  <r>
    <x v="856"/>
    <d v="1899-12-30T00:07:30"/>
    <x v="250"/>
    <x v="1"/>
    <s v="brockport"/>
    <x v="45"/>
    <n v="1691426"/>
    <x v="0"/>
    <s v="Social Science; Health"/>
    <s v="9781118839492"/>
    <s v=",1,2,3,309,310,311,307,308,312,313,314,315,316,317,318,319,320,321,322,323,324,325,326,327,328,329,330,331,332,333,334,335,336,337,338,339,340,341,342,343,344,345,346,347,348,349,350,351,352,353,354,355,356"/>
    <n v="53"/>
    <m/>
    <m/>
    <s v="No"/>
    <x v="0"/>
    <d v="2016-01-15T07:06:56"/>
    <n v="7"/>
    <s v="137.21.7.121"/>
    <s v="RA781.7 -- .P396 2014eb"/>
    <n v="613.70460000000003"/>
    <d v="2014-05-13T00:00:00"/>
  </r>
  <r>
    <x v="857"/>
    <d v="1899-12-30T00:00:03"/>
    <x v="250"/>
    <x v="1"/>
    <s v="brockport"/>
    <x v="45"/>
    <n v="1691426"/>
    <x v="0"/>
    <s v="Social Science; Health"/>
    <s v="9781118839492"/>
    <m/>
    <n v="0"/>
    <m/>
    <m/>
    <s v="No"/>
    <x v="1"/>
    <m/>
    <m/>
    <s v="137.21.7.121"/>
    <s v="RA781.7 -- .P396 2014eb"/>
    <n v="613.70460000000003"/>
    <d v="2014-05-13T00:00:00"/>
  </r>
  <r>
    <x v="858"/>
    <d v="1899-12-30T00:01:02"/>
    <x v="251"/>
    <x v="0"/>
    <s v="Buffalo"/>
    <x v="261"/>
    <n v="902995"/>
    <x v="6"/>
    <s v="Medicine"/>
    <s v="9781438139234"/>
    <s v=",1,2,3,4,5,6,7,8,9,10,11"/>
    <n v="11"/>
    <m/>
    <m/>
    <s v="No"/>
    <x v="1"/>
    <m/>
    <m/>
    <s v="128.205.114.91"/>
    <s v="RC569.5.I54 -- M37 2012eb"/>
    <s v="616.85/84"/>
    <d v="2012-03-01T00:00:00"/>
  </r>
  <r>
    <x v="859"/>
    <d v="1899-12-30T00:00:01"/>
    <x v="190"/>
    <x v="1"/>
    <s v="brockport"/>
    <x v="262"/>
    <n v="1895936"/>
    <x v="0"/>
    <s v="Social Science; Health"/>
    <s v="9781119022763"/>
    <s v=",1,2,3"/>
    <n v="3"/>
    <m/>
    <m/>
    <s v="No"/>
    <x v="0"/>
    <d v="2016-01-15T03:15:16"/>
    <n v="7"/>
    <s v="137.21.7.121"/>
    <s v="RA781.7 -- .Y643 2015eb"/>
    <n v="613.70460000000003"/>
    <d v="2015-02-18T00:00:00"/>
  </r>
  <r>
    <x v="860"/>
    <d v="1899-12-30T00:13:48"/>
    <x v="190"/>
    <x v="1"/>
    <s v="brockport"/>
    <x v="262"/>
    <n v="1895936"/>
    <x v="0"/>
    <s v="Social Science; Health"/>
    <s v="9781119022763"/>
    <s v=",1,2,3"/>
    <n v="3"/>
    <m/>
    <m/>
    <s v="No"/>
    <x v="1"/>
    <m/>
    <m/>
    <s v="137.21.7.121"/>
    <s v="RA781.7 -- .Y643 2015eb"/>
    <n v="613.70460000000003"/>
    <d v="2015-02-18T00:00:00"/>
  </r>
  <r>
    <x v="861"/>
    <d v="1899-12-30T00:40:36"/>
    <x v="252"/>
    <x v="0"/>
    <s v="Buffalo"/>
    <x v="263"/>
    <n v="821733"/>
    <x v="0"/>
    <s v="Military Science"/>
    <s v="9781118220627"/>
    <s v=",1,2,3,90,92,88,89,93,94,87,85,86,1,91,92,93,89,90,2,94,95,96,99,100,101,97,98,86,87,88,84,85"/>
    <n v="21"/>
    <m/>
    <m/>
    <s v="No"/>
    <x v="0"/>
    <d v="2016-01-14T20:44:58"/>
    <n v="7"/>
    <s v="128.205.114.91"/>
    <m/>
    <n v="358.41550973"/>
    <d v="2013-06-04T00:00:00"/>
  </r>
  <r>
    <x v="862"/>
    <d v="1899-12-30T00:00:51"/>
    <x v="253"/>
    <x v="0"/>
    <s v="Buffalo"/>
    <x v="264"/>
    <n v="1895602"/>
    <x v="0"/>
    <s v="Science; Science: Biology/Natural History"/>
    <s v="9781118789100"/>
    <s v=",4,5,6,7,8,21,22,23,19,20,24,25,26,33,34,35,31,32,36,37"/>
    <n v="20"/>
    <m/>
    <m/>
    <s v="No"/>
    <x v="0"/>
    <d v="2016-01-15T02:51:51"/>
    <n v="7"/>
    <s v="128.205.114.91"/>
    <s v="QP34.5"/>
    <n v="599.9"/>
    <d v="2015-06-03T00:00:00"/>
  </r>
  <r>
    <x v="863"/>
    <d v="1899-12-30T00:34:35"/>
    <x v="253"/>
    <x v="0"/>
    <s v="Buffalo"/>
    <x v="264"/>
    <n v="1895602"/>
    <x v="0"/>
    <s v="Science; Science: Biology/Natural History"/>
    <s v="9781118789100"/>
    <s v=",1,2,3"/>
    <n v="3"/>
    <m/>
    <m/>
    <s v="No"/>
    <x v="1"/>
    <m/>
    <m/>
    <s v="128.205.114.91"/>
    <s v="QP34.5"/>
    <n v="599.9"/>
    <d v="2015-06-03T00:00:00"/>
  </r>
  <r>
    <x v="864"/>
    <d v="1899-12-30T00:00:01"/>
    <x v="13"/>
    <x v="0"/>
    <s v="Buffalo"/>
    <x v="265"/>
    <n v="1895161"/>
    <x v="0"/>
    <s v="Business/Management"/>
    <s v="9781118951378"/>
    <s v=",1"/>
    <n v="1"/>
    <m/>
    <m/>
    <s v="No"/>
    <x v="3"/>
    <m/>
    <m/>
    <s v="128.205.114.91"/>
    <s v="HF5414 -- .Z566 2015eb"/>
    <n v="658.87199999999996"/>
    <d v="2015-04-09T00:00:00"/>
  </r>
  <r>
    <x v="865"/>
    <d v="1899-12-30T00:08:57"/>
    <x v="254"/>
    <x v="0"/>
    <s v="Buffalo"/>
    <x v="266"/>
    <n v="1911629"/>
    <x v="5"/>
    <s v="Health; Social Science"/>
    <s v="9781479812523"/>
    <s v=",1,16,1,16,18,17,18,14,17,15,19,2,20,37,38,39,36,35,40,161,162,163,159,160,164,165,166,167,168,169,170,171,172,173,174,175,176,182,183,184,180,181,1,16,17"/>
    <n v="38"/>
    <m/>
    <m/>
    <s v="No"/>
    <x v="0"/>
    <d v="2016-01-15T00:53:30"/>
    <n v="7"/>
    <s v="128.205.114.91"/>
    <s v="HV5760 -- .N53 2015eb"/>
    <s v="362.29/608420973"/>
    <d v="2015-02-13T00:00:00"/>
  </r>
  <r>
    <x v="866"/>
    <d v="1899-12-30T00:03:22"/>
    <x v="255"/>
    <x v="0"/>
    <s v="Buffalo"/>
    <x v="267"/>
    <n v="1576078"/>
    <x v="2"/>
    <s v="Fine Arts; Medicine"/>
    <s v="9781134691838"/>
    <s v=",1,2,3,4,5,56,58,57,54,55,59,60"/>
    <n v="12"/>
    <m/>
    <m/>
    <s v="No"/>
    <x v="3"/>
    <m/>
    <m/>
    <s v="128.205.114.91"/>
    <s v="ML3920 -- .A173 2014eb"/>
    <n v="615.85154"/>
    <d v="2013-12-06T00:00:00"/>
  </r>
  <r>
    <x v="867"/>
    <d v="1899-12-30T02:25:39"/>
    <x v="256"/>
    <x v="1"/>
    <s v="brockport"/>
    <x v="45"/>
    <n v="1691426"/>
    <x v="0"/>
    <s v="Social Science; Health"/>
    <s v="9781118839492"/>
    <s v=",1,2,3,127,141,199,209,245,251,252,267,275,280,297,298,299,295,296,290,283,284,285,281,282,292,305,307,308,309,312,315,316,317,318,314,319,320,321,322,323,324,325,326,327,328,329,330,331,332,333,334,335,336,337,338,339,340,341,342,343,344,345,346,347,348,349,350,351,352,353,354,355,356,357,313,311,310,306,304,303"/>
    <n v="80"/>
    <m/>
    <m/>
    <s v="No"/>
    <x v="0"/>
    <d v="2016-01-12T00:56:11"/>
    <n v="7"/>
    <s v="137.21.7.121"/>
    <s v="RA781.7 -- .P396 2014eb"/>
    <n v="613.70460000000003"/>
    <d v="2014-05-13T00:00:00"/>
  </r>
  <r>
    <x v="868"/>
    <d v="1899-12-30T02:01:23"/>
    <x v="254"/>
    <x v="0"/>
    <s v="Buffalo"/>
    <x v="266"/>
    <n v="1911629"/>
    <x v="5"/>
    <s v="Health; Social Science"/>
    <s v="9781479812523"/>
    <s v=",1,2,2,3,3,1,2,2,4,4,5,5,6,6,7,7,8,8,9,9,10,10,11,11,12,12,13,13,14,14,15,15,16,16"/>
    <n v="16"/>
    <m/>
    <m/>
    <s v="No"/>
    <x v="3"/>
    <m/>
    <m/>
    <s v="128.205.114.91"/>
    <s v="HV5760 -- .N53 2015eb"/>
    <s v="362.29/608420973"/>
    <d v="2015-02-13T00:00:00"/>
  </r>
  <r>
    <x v="869"/>
    <d v="1899-12-30T00:00:23"/>
    <x v="235"/>
    <x v="1"/>
    <s v="brockport"/>
    <x v="45"/>
    <n v="1691426"/>
    <x v="0"/>
    <s v="Social Science; Health"/>
    <s v="9781118839492"/>
    <s v=",1,2,3,4,5,6,7,8,2"/>
    <n v="8"/>
    <m/>
    <m/>
    <s v="No"/>
    <x v="1"/>
    <m/>
    <m/>
    <s v="137.21.7.121"/>
    <s v="RA781.7 -- .P396 2014eb"/>
    <n v="613.70460000000003"/>
    <d v="2014-05-13T00:00:00"/>
  </r>
  <r>
    <x v="870"/>
    <d v="1899-12-30T00:24:53"/>
    <x v="150"/>
    <x v="0"/>
    <s v="Buffalo"/>
    <x v="152"/>
    <n v="330580"/>
    <x v="4"/>
    <s v="Medicine"/>
    <s v="9781593859398"/>
    <s v=",1,2,3,4,5,7,6,8,67,87,106,122,120,119,118,117,115,116,114,113,115,116,117,113,114,118,119,120,121,122,123,124,125,126,127,128"/>
    <n v="27"/>
    <m/>
    <m/>
    <s v="No"/>
    <x v="0"/>
    <d v="2016-01-14T00:06:51"/>
    <n v="7"/>
    <s v="128.205.114.91"/>
    <s v="RC489.C63 -- M55 2004eb"/>
    <n v="616.89142000000004"/>
    <d v="2014-05-14T00:00:00"/>
  </r>
  <r>
    <x v="871"/>
    <d v="1899-12-30T01:38:59"/>
    <x v="248"/>
    <x v="0"/>
    <s v="Buffalo"/>
    <x v="259"/>
    <n v="1566385"/>
    <x v="0"/>
    <s v="Literature; Religion"/>
    <s v="9780745662718"/>
    <s v=",147,148,28,149,29,30,31,150,32,33,34,35,36,1,36,151,37,38,34,35,2,39,40,41"/>
    <n v="21"/>
    <m/>
    <m/>
    <s v="No"/>
    <x v="2"/>
    <d v="2016-01-14T21:11:33"/>
    <n v="1"/>
    <s v="128.205.114.91"/>
    <s v="PQ2643.A26 -- .S754 2013eb"/>
    <n v="204.4"/>
    <d v="2014-03-10T00:00:00"/>
  </r>
  <r>
    <x v="872"/>
    <d v="1899-12-30T00:05:18"/>
    <x v="248"/>
    <x v="0"/>
    <s v="Buffalo"/>
    <x v="259"/>
    <n v="1566385"/>
    <x v="0"/>
    <s v="Literature; Religion"/>
    <s v="9780745662718"/>
    <s v=",1,2,3,1,3,4,5,2,19,20,18,21,17,22,23,24,25,26,1,26,27,28,25,24,2,144,145,142,27,143,146"/>
    <n v="22"/>
    <m/>
    <m/>
    <s v="No"/>
    <x v="3"/>
    <m/>
    <m/>
    <s v="128.205.114.91"/>
    <s v="PQ2643.A26 -- .S754 2013eb"/>
    <n v="204.4"/>
    <d v="2014-03-10T00:00:00"/>
  </r>
  <r>
    <x v="873"/>
    <d v="1899-12-30T00:08:59"/>
    <x v="252"/>
    <x v="0"/>
    <s v="Buffalo"/>
    <x v="263"/>
    <n v="821733"/>
    <x v="0"/>
    <s v="Military Science"/>
    <s v="9781118220627"/>
    <s v=",75,75,78,75,75,75,78,75,75,76,78,79,80,81,87,88,89,85,86,101,102,103,99,100,97,177,178,179,175,176,82,83,84,86,87,88,89,94,95,96,97,98,99,100"/>
    <n v="29"/>
    <m/>
    <m/>
    <s v="No"/>
    <x v="0"/>
    <d v="2016-01-14T20:44:58"/>
    <n v="7"/>
    <s v="128.205.114.91"/>
    <m/>
    <n v="358.41550973"/>
    <d v="2013-06-04T00:00:00"/>
  </r>
  <r>
    <x v="874"/>
    <d v="1899-12-30T00:13:16"/>
    <x v="252"/>
    <x v="0"/>
    <s v="Buffalo"/>
    <x v="263"/>
    <n v="821733"/>
    <x v="0"/>
    <s v="Military Science"/>
    <s v="9781118220627"/>
    <s v=",1,2,3,9,51,52,53,49,50,54,55,56,57,58,59,60,61,62,63,64,65,66,67,68,69,75,77,73,74"/>
    <n v="29"/>
    <m/>
    <m/>
    <s v="No"/>
    <x v="1"/>
    <m/>
    <m/>
    <s v="128.205.114.91"/>
    <m/>
    <n v="358.41550973"/>
    <d v="2013-06-04T00:00:00"/>
  </r>
  <r>
    <x v="875"/>
    <d v="1899-12-30T00:00:45"/>
    <x v="257"/>
    <x v="13"/>
    <s v="buffalostate"/>
    <x v="268"/>
    <n v="1120531"/>
    <x v="12"/>
    <s v="Journalism"/>
    <s v="9781469602141"/>
    <s v=",1,2,3,268,269,270,266,267,271,273,274,281,283,284"/>
    <n v="14"/>
    <m/>
    <m/>
    <s v="No"/>
    <x v="3"/>
    <m/>
    <m/>
    <s v="136.183.11.43"/>
    <s v="PN4874.K5355 -- H87 2013eb"/>
    <s v="070/.92/4; B"/>
    <d v="2013-05-01T00:00:00"/>
  </r>
  <r>
    <x v="876"/>
    <d v="1899-12-30T00:00:04"/>
    <x v="13"/>
    <x v="0"/>
    <s v="Buffalo"/>
    <x v="269"/>
    <n v="1935675"/>
    <x v="0"/>
    <s v="Philosophy"/>
    <s v="9780745672625"/>
    <s v=",1,2,3"/>
    <n v="3"/>
    <m/>
    <m/>
    <s v="No"/>
    <x v="3"/>
    <m/>
    <m/>
    <s v="128.205.114.91"/>
    <s v="BJ1012 -- .B46 1992eb"/>
    <n v="170"/>
    <d v="2013-05-28T00:00:00"/>
  </r>
  <r>
    <x v="877"/>
    <d v="1899-12-30T00:01:22"/>
    <x v="258"/>
    <x v="0"/>
    <s v="Buffalo"/>
    <x v="270"/>
    <n v="1637652"/>
    <x v="3"/>
    <s v="Education"/>
    <s v="9780520958449"/>
    <s v=",1,1,2,1,2,3,3,4,4,5,5,9,9,10,10,11,11,13,12,12,2,14,13,14,15,15,10,15,16,16,17,17,19,19,24,24,25,25,26,26,22,27,27,28,28,29,30,31,29,30,31,32,32"/>
    <n v="25"/>
    <m/>
    <m/>
    <s v="No"/>
    <x v="1"/>
    <m/>
    <m/>
    <s v="128.205.114.91"/>
    <s v="LB2340.2 -- .B478 2014eb"/>
    <s v="378.3/62"/>
    <d v="2014-05-02T00:00:00"/>
  </r>
  <r>
    <x v="878"/>
    <d v="1899-12-30T00:01:32"/>
    <x v="259"/>
    <x v="12"/>
    <s v="potsdam"/>
    <x v="271"/>
    <n v="1501638"/>
    <x v="0"/>
    <s v="Social Science"/>
    <s v="9781118825150"/>
    <s v=",1,2,3,4,13,14,15,11,12,16,17,18,19,20,21,22,23,28,29,30,31,32,33,34,35,36,37"/>
    <n v="27"/>
    <m/>
    <m/>
    <s v="No"/>
    <x v="3"/>
    <m/>
    <m/>
    <s v="137.143.104.94"/>
    <s v="HV1421 -- .T736 2013eb"/>
    <n v="362.7"/>
    <d v="2013-10-23T00:00:00"/>
  </r>
  <r>
    <x v="879"/>
    <d v="1899-12-30T00:31:15"/>
    <x v="64"/>
    <x v="6"/>
    <s v="sjfc"/>
    <x v="75"/>
    <n v="1986951"/>
    <x v="0"/>
    <s v="Business/Management"/>
    <s v="9781119130468"/>
    <s v=",1,2,3,327,328,329,325,326,330,331,332,333,334,335,336,337,338,339,340,330,328,329,326,327,331,332,333,334,335,336,337,338,339,340,341,342,343,344,345,346,347,348,349,350,351,352,353,354,355,357,358,359,360,361,362,363,364,365,366,367,369,370,371,372,373,374,375,376,377,378,380,405,406,403,404,425,426,423,424,427,457,458,459,455,456,460,461,497,498,499,495,496,500,501,502,503,504,505,506,507,508,509,510,511,512,513,514,515,516,517,518,519,520,521,522,525,526,527,523,524,528,529,530,531,532,533"/>
    <n v="111"/>
    <m/>
    <m/>
    <s v="No"/>
    <x v="0"/>
    <d v="2016-01-08T20:17:51"/>
    <n v="7"/>
    <s v="149.69.254.57"/>
    <s v="HF5661"/>
    <n v="657.07600000000002"/>
    <d v="2015-05-19T00:00:00"/>
  </r>
  <r>
    <x v="880"/>
    <d v="1899-12-30T00:00:20"/>
    <x v="260"/>
    <x v="0"/>
    <s v="Buffalo"/>
    <x v="272"/>
    <n v="1926298"/>
    <x v="5"/>
    <s v="Law; Political Science"/>
    <s v="9780814724774"/>
    <s v=",1,2,2,3,3,4,4,1,12,13,13,12,14,10,14,11,11,2"/>
    <n v="9"/>
    <m/>
    <m/>
    <s v="No"/>
    <x v="0"/>
    <d v="2016-01-14T18:19:21"/>
    <n v="7"/>
    <s v="128.205.114.91"/>
    <s v="KF4715 .H47 2015"/>
    <s v="323.6/40973; 323.640973"/>
    <d v="2015-02-06T00:00:00"/>
  </r>
  <r>
    <x v="881"/>
    <d v="1899-12-30T00:00:10"/>
    <x v="261"/>
    <x v="0"/>
    <s v="Buffalo"/>
    <x v="273"/>
    <n v="1711060"/>
    <x v="3"/>
    <s v="Social Science"/>
    <s v="9780520960091"/>
    <s v=",123,124,125,121,127,128,129,126"/>
    <n v="8"/>
    <m/>
    <m/>
    <s v="No"/>
    <x v="2"/>
    <d v="2016-01-14T18:18:02"/>
    <n v="1"/>
    <s v="128.205.114.91"/>
    <s v="HV6439.G92 -- .G923 2015eb"/>
    <n v="364.4"/>
    <d v="2015-01-16T00:00:00"/>
  </r>
  <r>
    <x v="882"/>
    <d v="1899-12-30T00:21:15"/>
    <x v="261"/>
    <x v="0"/>
    <s v="Buffalo"/>
    <x v="273"/>
    <n v="1711060"/>
    <x v="3"/>
    <s v="Social Science"/>
    <s v="9780520960091"/>
    <s v=",1,2,3,4,5,6,7,8,9,10,11,12,13,14,15,16"/>
    <n v="16"/>
    <m/>
    <m/>
    <s v="No"/>
    <x v="3"/>
    <m/>
    <m/>
    <s v="128.205.114.91"/>
    <s v="HV6439.G92 -- .G923 2015eb"/>
    <n v="364.4"/>
    <d v="2015-01-16T00:00:00"/>
  </r>
  <r>
    <x v="883"/>
    <d v="1899-12-30T00:09:33"/>
    <x v="262"/>
    <x v="1"/>
    <s v="brockport"/>
    <x v="45"/>
    <n v="1691426"/>
    <x v="0"/>
    <s v="Social Science; Health"/>
    <s v="9781118839492"/>
    <s v=",1,2,3,125,126,127,123,124,197,198,199,195,233,234,235,231,232,305,306,307,303,304,308,309,310,311,312,313,314,315,316,317,318,319,320,321,322,323,324,325,326,327,328,329,330,331,332,333,334,335,336,337,338,339,340,341,342,343,344,345,346,347,348,349,350,351,352,353,354,355,356"/>
    <n v="71"/>
    <m/>
    <m/>
    <s v="No"/>
    <x v="0"/>
    <d v="2016-01-13T15:54:02"/>
    <n v="7"/>
    <s v="137.21.7.121"/>
    <s v="RA781.7 -- .P396 2014eb"/>
    <n v="613.70460000000003"/>
    <d v="2014-05-13T00:00:00"/>
  </r>
  <r>
    <x v="884"/>
    <d v="1899-12-30T00:10:45"/>
    <x v="262"/>
    <x v="1"/>
    <s v="brockport"/>
    <x v="45"/>
    <n v="1691426"/>
    <x v="0"/>
    <s v="Social Science; Health"/>
    <s v="9781118839492"/>
    <s v=",1,2,3,169,170,171,167,168,172,173,174,175,176,177,178,179,180,181,182,183,184,185,186,187,188,189,190,191,192,193,194,195,151,152,153,149,150,154,155,156,157,158,159,160,167,173,174,175,182,183,184,180,181,185,186,187,188,180,179,178,177,176,162,163,164,161,160,165"/>
    <n v="49"/>
    <m/>
    <m/>
    <s v="No"/>
    <x v="0"/>
    <d v="2016-01-13T15:54:02"/>
    <n v="7"/>
    <s v="137.21.7.121"/>
    <s v="RA781.7 -- .P396 2014eb"/>
    <n v="613.70460000000003"/>
    <d v="2014-05-13T00:00:00"/>
  </r>
  <r>
    <x v="885"/>
    <d v="1899-12-30T00:03:27"/>
    <x v="164"/>
    <x v="0"/>
    <s v="Buffalo"/>
    <x v="44"/>
    <n v="1794558"/>
    <x v="0"/>
    <s v="Engineering: Construction; Engineering"/>
    <s v="9781118821725"/>
    <s v=",1,2,3,37,38,39,35,36,40"/>
    <n v="9"/>
    <m/>
    <m/>
    <s v="No"/>
    <x v="3"/>
    <m/>
    <m/>
    <s v="128.205.114.91"/>
    <s v="TH7222 -- .L33 2015eb"/>
    <n v="697"/>
    <d v="2014-09-23T00:00:00"/>
  </r>
  <r>
    <x v="886"/>
    <d v="1899-12-30T00:01:07"/>
    <x v="238"/>
    <x v="5"/>
    <s v="erie"/>
    <x v="248"/>
    <n v="817836"/>
    <x v="0"/>
    <s v="Computer Science/IT"/>
    <s v="9781118203835"/>
    <s v=",1,2,3,4,2"/>
    <n v="4"/>
    <m/>
    <m/>
    <s v="No"/>
    <x v="1"/>
    <m/>
    <m/>
    <s v="199.29.6.54"/>
    <s v="TK5105.5 -- .M36 2012eb"/>
    <n v="4.6500000000000004"/>
    <d v="2011-10-18T00:00:00"/>
  </r>
  <r>
    <x v="887"/>
    <d v="1899-12-30T01:21:34"/>
    <x v="260"/>
    <x v="0"/>
    <s v="Buffalo"/>
    <x v="272"/>
    <n v="1926298"/>
    <x v="5"/>
    <s v="Law; Political Science"/>
    <s v="9780814724774"/>
    <s v=",1,2,2,3,3,1,2,2"/>
    <n v="3"/>
    <m/>
    <m/>
    <s v="No"/>
    <x v="3"/>
    <m/>
    <m/>
    <s v="128.205.114.91"/>
    <s v="KF4715 .H47 2015"/>
    <s v="323.6/40973; 323.640973"/>
    <d v="2015-02-06T00:00:00"/>
  </r>
  <r>
    <x v="888"/>
    <d v="1899-12-30T00:00:00"/>
    <x v="263"/>
    <x v="1"/>
    <s v="brockport"/>
    <x v="274"/>
    <n v="330594"/>
    <x v="4"/>
    <s v="Social Science; Medicine; Health"/>
    <s v="9781593859503"/>
    <m/>
    <n v="0"/>
    <m/>
    <m/>
    <s v="Yes"/>
    <x v="2"/>
    <d v="2016-01-14T16:39:13"/>
    <n v="1"/>
    <s v="137.21.7.121"/>
    <s v="RC552.P67 -- T758 1996eb"/>
    <n v="362.1968"/>
    <d v="2014-05-14T00:00:00"/>
  </r>
  <r>
    <x v="889"/>
    <d v="1899-12-30T00:00:33"/>
    <x v="263"/>
    <x v="1"/>
    <s v="brockport"/>
    <x v="274"/>
    <n v="330594"/>
    <x v="4"/>
    <s v="Social Science; Medicine; Health"/>
    <s v="9781593859503"/>
    <s v=",1,2,3,4,5,6,7,8,9,10"/>
    <n v="10"/>
    <s v=",8"/>
    <m/>
    <s v="No"/>
    <x v="2"/>
    <d v="2016-01-14T16:39:13"/>
    <n v="1"/>
    <s v="137.21.7.121"/>
    <s v="RC552.P67 -- T758 1996eb"/>
    <n v="362.1968"/>
    <d v="2014-05-14T00:00:00"/>
  </r>
  <r>
    <x v="890"/>
    <d v="1899-12-30T00:00:20"/>
    <x v="264"/>
    <x v="1"/>
    <s v="brockport"/>
    <x v="45"/>
    <n v="1691426"/>
    <x v="0"/>
    <s v="Social Science; Health"/>
    <s v="9781118839492"/>
    <s v=",1,2,3,177,178,179,175,176"/>
    <n v="8"/>
    <m/>
    <m/>
    <s v="No"/>
    <x v="0"/>
    <d v="2016-01-11T00:29:37"/>
    <n v="7"/>
    <s v="137.21.7.121"/>
    <s v="RA781.7 -- .P396 2014eb"/>
    <n v="613.70460000000003"/>
    <d v="2014-05-13T00:00:00"/>
  </r>
  <r>
    <x v="891"/>
    <d v="1899-12-30T00:00:00"/>
    <x v="263"/>
    <x v="1"/>
    <s v="brockport"/>
    <x v="274"/>
    <n v="330594"/>
    <x v="4"/>
    <s v="Social Science; Medicine; Health"/>
    <s v="9781593859503"/>
    <m/>
    <n v="0"/>
    <m/>
    <m/>
    <s v="Yes"/>
    <x v="2"/>
    <d v="2016-01-14T16:39:13"/>
    <n v="1"/>
    <s v="137.21.7.121"/>
    <s v="RC552.P67 -- T758 1996eb"/>
    <n v="362.1968"/>
    <d v="2014-05-14T00:00:00"/>
  </r>
  <r>
    <x v="892"/>
    <d v="1899-12-30T00:00:00"/>
    <x v="263"/>
    <x v="1"/>
    <s v="brockport"/>
    <x v="274"/>
    <n v="330594"/>
    <x v="4"/>
    <s v="Social Science; Medicine; Health"/>
    <s v="9781593859503"/>
    <m/>
    <n v="0"/>
    <m/>
    <m/>
    <s v="Yes"/>
    <x v="2"/>
    <d v="2016-01-14T16:39:13"/>
    <n v="1"/>
    <s v="137.21.7.121"/>
    <s v="RC552.P67 -- T758 1996eb"/>
    <n v="362.1968"/>
    <d v="2014-05-14T00:00:00"/>
  </r>
  <r>
    <x v="893"/>
    <d v="1899-12-30T00:00:00"/>
    <x v="263"/>
    <x v="1"/>
    <s v="brockport"/>
    <x v="274"/>
    <n v="330594"/>
    <x v="4"/>
    <s v="Social Science; Medicine; Health"/>
    <s v="9781593859503"/>
    <m/>
    <n v="0"/>
    <s v=",1,1"/>
    <m/>
    <s v="No"/>
    <x v="2"/>
    <d v="2016-01-14T16:39:13"/>
    <n v="1"/>
    <s v="137.21.7.121"/>
    <s v="RC552.P67 -- T758 1996eb"/>
    <n v="362.1968"/>
    <d v="2014-05-14T00:00:00"/>
  </r>
  <r>
    <x v="894"/>
    <d v="1899-12-30T00:00:08"/>
    <x v="265"/>
    <x v="0"/>
    <s v="Buffalo"/>
    <x v="275"/>
    <n v="1895307"/>
    <x v="0"/>
    <s v="Business/Management"/>
    <s v="9781119049074"/>
    <s v=",137,138,139"/>
    <n v="3"/>
    <m/>
    <m/>
    <s v="No"/>
    <x v="0"/>
    <d v="2016-01-14T16:38:49"/>
    <n v="7"/>
    <s v="128.205.114.91"/>
    <s v="HD30.4 .S384 2015"/>
    <n v="658.10923300000002"/>
    <d v="2015-04-15T00:00:00"/>
  </r>
  <r>
    <x v="895"/>
    <d v="1899-12-30T00:03:00"/>
    <x v="216"/>
    <x v="0"/>
    <s v="Buffalo"/>
    <x v="17"/>
    <n v="3059079"/>
    <x v="0"/>
    <s v="Science; Science: Physics"/>
    <s v="9781118473818"/>
    <s v=",1,2,3,2,3,1,4,4,2,2,2,5,27,31,34,35,36"/>
    <n v="10"/>
    <m/>
    <m/>
    <s v="No"/>
    <x v="3"/>
    <m/>
    <m/>
    <s v="128.205.114.91"/>
    <s v="QC21.3 -- .H35 2014eb"/>
    <n v="530"/>
    <d v="2013-05-07T00:00:00"/>
  </r>
  <r>
    <x v="896"/>
    <d v="1899-12-30T00:04:44"/>
    <x v="263"/>
    <x v="1"/>
    <s v="brockport"/>
    <x v="274"/>
    <n v="330594"/>
    <x v="4"/>
    <s v="Social Science; Medicine; Health"/>
    <s v="9781593859503"/>
    <s v=",1,2,3,4,5,6,7,8,9,10,11,12,13,14,15,16,17,18,19,20,21,22,23,24,25,26,30,35,37,38,39,40,36,41,51,125,359,512,621,622,623,624,620,625,626,627,628,479,362,248,21,1,2,3"/>
    <n v="50"/>
    <m/>
    <m/>
    <s v="No"/>
    <x v="3"/>
    <m/>
    <m/>
    <s v="137.21.7.121"/>
    <s v="RC552.P67 -- T758 1996eb"/>
    <n v="362.1968"/>
    <d v="2014-05-14T00:00:00"/>
  </r>
  <r>
    <x v="897"/>
    <d v="1899-12-30T00:05:17"/>
    <x v="265"/>
    <x v="0"/>
    <s v="Buffalo"/>
    <x v="275"/>
    <n v="1895307"/>
    <x v="0"/>
    <s v="Business/Management"/>
    <s v="9781119049074"/>
    <s v=",1,2,3,4,5,9,10,11,7,8,12,13,14,15,16,17,18,19,20,21,22,121,122,123,119,120,124,125,127,128,129,130,131,132,133,134,135,136"/>
    <n v="38"/>
    <m/>
    <m/>
    <s v="No"/>
    <x v="3"/>
    <m/>
    <m/>
    <s v="128.205.114.91"/>
    <s v="HD30.4 .S384 2015"/>
    <n v="658.10923300000002"/>
    <d v="2015-04-15T00:00:00"/>
  </r>
  <r>
    <x v="898"/>
    <d v="1899-12-30T00:03:23"/>
    <x v="266"/>
    <x v="0"/>
    <s v="Buffalo"/>
    <x v="276"/>
    <n v="1397376"/>
    <x v="2"/>
    <s v="Social Science"/>
    <s v="9781317985952"/>
    <s v=",1,2,3,8,9,10,6,7,11,5"/>
    <n v="10"/>
    <m/>
    <m/>
    <s v="No"/>
    <x v="3"/>
    <m/>
    <m/>
    <s v="128.205.114.91"/>
    <m/>
    <n v="394.12"/>
    <d v="2013-09-13T00:00:00"/>
  </r>
  <r>
    <x v="899"/>
    <d v="1899-12-30T00:00:00"/>
    <x v="171"/>
    <x v="0"/>
    <s v="Buffalo"/>
    <x v="277"/>
    <n v="1166802"/>
    <x v="0"/>
    <s v="Social Science"/>
    <s v="9780745664507"/>
    <s v=",10"/>
    <n v="1"/>
    <m/>
    <m/>
    <s v="No"/>
    <x v="2"/>
    <d v="2016-01-14T16:14:18"/>
    <n v="1"/>
    <s v="128.205.114.91"/>
    <s v="HQ1075 -- .B73 2013eb"/>
    <n v="305.3"/>
    <d v="2013-04-03T00:00:00"/>
  </r>
  <r>
    <x v="900"/>
    <d v="1899-12-30T00:06:30"/>
    <x v="171"/>
    <x v="0"/>
    <s v="Buffalo"/>
    <x v="277"/>
    <n v="1166802"/>
    <x v="0"/>
    <s v="Social Science"/>
    <s v="9780745664507"/>
    <s v=",1,2,3,7,8,9,5,6"/>
    <n v="8"/>
    <m/>
    <m/>
    <s v="No"/>
    <x v="3"/>
    <m/>
    <m/>
    <s v="128.205.114.91"/>
    <s v="HQ1075 -- .B73 2013eb"/>
    <n v="305.3"/>
    <d v="2013-04-03T00:00:00"/>
  </r>
  <r>
    <x v="901"/>
    <d v="1899-12-30T00:04:48"/>
    <x v="171"/>
    <x v="0"/>
    <s v="Buffalo"/>
    <x v="278"/>
    <n v="4029932"/>
    <x v="0"/>
    <s v="Social Science"/>
    <s v="9780745687322"/>
    <s v=",1,2,3,9,11,10,7,8,12,13,14,15,17,18"/>
    <n v="14"/>
    <m/>
    <m/>
    <s v="No"/>
    <x v="3"/>
    <m/>
    <m/>
    <s v="128.205.114.91"/>
    <m/>
    <n v="305.3"/>
    <d v="2014-12-10T00:00:00"/>
  </r>
  <r>
    <x v="902"/>
    <d v="1899-12-30T00:05:42"/>
    <x v="267"/>
    <x v="6"/>
    <s v="sjfc"/>
    <x v="95"/>
    <n v="1566387"/>
    <x v="0"/>
    <s v="Social Science"/>
    <s v="9781118471906"/>
    <s v=",1,2,3,271,272,273,269,270,274,275,276,456,457,458,454,455"/>
    <n v="16"/>
    <m/>
    <m/>
    <s v="No"/>
    <x v="1"/>
    <m/>
    <m/>
    <s v="149.69.254.57"/>
    <s v="HM585 -- .D555 2014eb"/>
    <n v="301"/>
    <d v="2013-11-18T00:00:00"/>
  </r>
  <r>
    <x v="903"/>
    <d v="1899-12-30T00:00:17"/>
    <x v="26"/>
    <x v="6"/>
    <s v="sjfc"/>
    <x v="279"/>
    <n v="4029438"/>
    <x v="0"/>
    <s v="Social Science"/>
    <s v="9780745654966"/>
    <s v=",1,2,3,8,9,16,34,23,24,25,26,27,28,29,30,31,32,33,34"/>
    <n v="18"/>
    <m/>
    <m/>
    <s v="No"/>
    <x v="3"/>
    <m/>
    <m/>
    <s v="149.69.254.57"/>
    <s v="GN406.M55 2010"/>
    <n v="306"/>
    <d v="2013-04-25T00:00:00"/>
  </r>
  <r>
    <x v="904"/>
    <d v="1899-12-30T01:47:24"/>
    <x v="64"/>
    <x v="6"/>
    <s v="sjfc"/>
    <x v="75"/>
    <n v="1986951"/>
    <x v="0"/>
    <s v="Business/Management"/>
    <s v="9781119130468"/>
    <s v=",1,2,3,327,328,329,325,326,330,331,332,333,334,335,336,337,338,339,340,341,342,338,1,336,337,338,334,339,340,341,2,342,343,342,343,342,342,1,343,344,340,341,1,341,342,343,339,340,1,341,342,343,339,340"/>
    <n v="23"/>
    <s v=",335,335,336,339,342"/>
    <m/>
    <s v="No"/>
    <x v="0"/>
    <d v="2016-01-08T20:17:51"/>
    <n v="7"/>
    <s v="149.69.254.57"/>
    <s v="HF5661"/>
    <n v="657.07600000000002"/>
    <d v="2015-05-19T00:00:00"/>
  </r>
  <r>
    <x v="905"/>
    <d v="1899-12-30T00:00:03"/>
    <x v="40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906"/>
    <d v="1899-12-30T00:13:26"/>
    <x v="268"/>
    <x v="0"/>
    <s v="Buffalo"/>
    <x v="280"/>
    <n v="1887116"/>
    <x v="0"/>
    <s v="Fine Arts"/>
    <s v="9781118885413"/>
    <s v=",241,242,243,239,240,244,245,246,247,251,252,253,249,250,254,255,256,257,258,259,260,261,262,263,252,251,250,249,261,262,293,294,295,291,292,296,298,315,316,317,313,314,318,319,320,321,322,356,357,354,355,359,360,198,196,201,188,189,186,160,161,162,158,159,163,164,165,166,167,168,169,176,177,178,174,175,179,116,117,118,114,115,119,120,121,106,108,104,109,81,82,83,79,80,173,174,179,203,204,205,201,202"/>
    <n v="93"/>
    <m/>
    <m/>
    <s v="No"/>
    <x v="2"/>
    <d v="2016-01-14T15:14:16"/>
    <n v="1"/>
    <s v="128.205.114.91"/>
    <s v="N5740 -- .T83 2015eb"/>
    <n v="709.37"/>
    <d v="2014-12-04T00:00:00"/>
  </r>
  <r>
    <x v="907"/>
    <d v="1899-12-30T01:04:31"/>
    <x v="269"/>
    <x v="1"/>
    <s v="brockport"/>
    <x v="45"/>
    <n v="1691426"/>
    <x v="0"/>
    <s v="Social Science; Health"/>
    <s v="9781118839492"/>
    <s v=",1,2,3,97,98,99,95,96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51,152,153,149,150,154,155,156,157"/>
    <n v="88"/>
    <m/>
    <m/>
    <s v="No"/>
    <x v="0"/>
    <d v="2016-01-13T01:16:49"/>
    <n v="7"/>
    <s v="137.21.7.121"/>
    <s v="RA781.7 -- .P396 2014eb"/>
    <n v="613.70460000000003"/>
    <d v="2014-05-13T00:00:00"/>
  </r>
  <r>
    <x v="908"/>
    <d v="1899-12-30T00:05:01"/>
    <x v="268"/>
    <x v="0"/>
    <s v="Buffalo"/>
    <x v="280"/>
    <n v="1887116"/>
    <x v="0"/>
    <s v="Fine Arts"/>
    <s v="9781118885413"/>
    <s v=",1,2,3,10,11,12,8,9,13,14,15,54,55,56,52,53,176,177,178,174,175,179,204,203,205,201,206,207,208,209,202,216,217"/>
    <n v="33"/>
    <m/>
    <m/>
    <s v="No"/>
    <x v="3"/>
    <m/>
    <m/>
    <s v="128.205.114.91"/>
    <s v="N5740 -- .T83 2015eb"/>
    <n v="709.37"/>
    <d v="2014-12-04T00:00:00"/>
  </r>
  <r>
    <x v="909"/>
    <d v="1899-12-30T00:00:04"/>
    <x v="268"/>
    <x v="0"/>
    <s v="Buffalo"/>
    <x v="281"/>
    <n v="4039553"/>
    <x v="0"/>
    <s v="Fine Arts"/>
    <s v="9781118886045"/>
    <s v=",1,2,3"/>
    <n v="3"/>
    <m/>
    <m/>
    <s v="No"/>
    <x v="1"/>
    <m/>
    <m/>
    <s v="128.205.114.91"/>
    <s v="N5760 -- .C667 2015eb"/>
    <n v="709.37"/>
    <d v="2015-09-09T00:00:00"/>
  </r>
  <r>
    <x v="910"/>
    <d v="1899-12-30T00:08:59"/>
    <x v="270"/>
    <x v="0"/>
    <s v="Buffalo"/>
    <x v="282"/>
    <n v="4037303"/>
    <x v="0"/>
    <s v="Medicine"/>
    <s v="9781118655184"/>
    <s v=",449,454,455,456,457,458,459,460,461,462,463,464,456,455,454,453,451,452,449,450,447,448,446,445,444,443,442,1,441,442,443,439,440,2,438,437,436,434,435,433,218,219,220,221,217,216,214,215"/>
    <n v="42"/>
    <m/>
    <m/>
    <s v="No"/>
    <x v="0"/>
    <d v="2016-01-14T14:56:51"/>
    <n v="7"/>
    <s v="128.205.114.91"/>
    <s v="RC280.E8 -- .S537 2015eb"/>
    <s v="616.99/432"/>
    <d v="2015-09-14T00:00:00"/>
  </r>
  <r>
    <x v="911"/>
    <d v="1899-12-30T00:06:39"/>
    <x v="270"/>
    <x v="0"/>
    <s v="Buffalo"/>
    <x v="282"/>
    <n v="4037303"/>
    <x v="0"/>
    <s v="Medicine"/>
    <s v="9781118655184"/>
    <s v=",1,2,3,4,5,6,7,8,9,10,11,12,13,14,15,16,17,101,102,103,99,100,104,105,106,107,108,109,109,453,454,450,451"/>
    <n v="32"/>
    <m/>
    <m/>
    <s v="No"/>
    <x v="3"/>
    <m/>
    <m/>
    <s v="128.205.114.91"/>
    <s v="RC280.E8 -- .S537 2015eb"/>
    <s v="616.99/432"/>
    <d v="2015-09-14T00:00:00"/>
  </r>
  <r>
    <x v="912"/>
    <d v="1899-12-30T00:01:58"/>
    <x v="261"/>
    <x v="0"/>
    <s v="Buffalo"/>
    <x v="273"/>
    <n v="1711060"/>
    <x v="3"/>
    <s v="Social Science"/>
    <s v="9780520960091"/>
    <s v=",1,2,3,19,20,21,17,18,25,26,27,28,24,29,30,31,32,33,34,35,36,37,38,39,40,41,42,43,44,45,46,47,48,49,50,51,52,53,54,55,56,57,58,59,11,12,13,9,10,14,15,16,17,18,19,20,21,22,23"/>
    <n v="54"/>
    <m/>
    <m/>
    <s v="No"/>
    <x v="3"/>
    <m/>
    <m/>
    <s v="128.205.114.91"/>
    <s v="HV6439.G92 -- .G923 2015eb"/>
    <n v="364.4"/>
    <d v="2015-01-16T00:00:00"/>
  </r>
  <r>
    <x v="913"/>
    <d v="1899-12-30T00:41:51"/>
    <x v="250"/>
    <x v="1"/>
    <s v="brockport"/>
    <x v="45"/>
    <n v="1691426"/>
    <x v="0"/>
    <s v="Social Science; Health"/>
    <s v="9781118839492"/>
    <s v=",1,2,3,73,74,75,71,72,76,151,152,153,149,150,141,142,143,139,140,133,134,135,131,132,98,99,100,96,97,101,102,103,177,178,179,175,176,180,181,182,183,184,185,186,187,188,189,190,191,192,193,194,195,196,197,198,199,200,233,234,235,231,232,236,237,238,239,240,241,242,243,244,245,249,252,253,254,255,251,256,283,284,285,281,282,286,287,288,289,290,291,292,293,294,295,296,297,298,299,300,301,302,303,304,305,306,307,308,309,310,311,312,313,314,315,316,317,318,319,320,321,322,323,324,325,326,327,328,329,330,331,332,333,334,335,336,337"/>
    <n v="137"/>
    <m/>
    <m/>
    <s v="No"/>
    <x v="0"/>
    <d v="2016-01-08T01:48:20"/>
    <n v="7"/>
    <s v="137.21.7.121"/>
    <s v="RA781.7 -- .P396 2014eb"/>
    <n v="613.70460000000003"/>
    <d v="2014-05-13T00:00:00"/>
  </r>
  <r>
    <x v="914"/>
    <d v="1899-12-30T00:03:59"/>
    <x v="151"/>
    <x v="1"/>
    <s v="brockport"/>
    <x v="45"/>
    <n v="1691426"/>
    <x v="0"/>
    <s v="Social Science; Health"/>
    <s v="9781118839492"/>
    <s v=",1,2,3,10,17,18,19,15,16,20,21,22,23,24,25,26,27,28,49,47,46,42,43,44,40,41,39,38,37,36,35,34,33,32,31,30,29"/>
    <n v="37"/>
    <m/>
    <m/>
    <s v="No"/>
    <x v="1"/>
    <m/>
    <m/>
    <s v="137.21.7.121"/>
    <s v="RA781.7 -- .P396 2014eb"/>
    <n v="613.70460000000003"/>
    <d v="2014-05-13T00:00:00"/>
  </r>
  <r>
    <x v="915"/>
    <d v="1899-12-30T01:30:30"/>
    <x v="212"/>
    <x v="1"/>
    <s v="brockport"/>
    <x v="45"/>
    <n v="1691426"/>
    <x v="0"/>
    <s v="Social Science; Health"/>
    <s v="9781118839492"/>
    <s v=",1,2,3,60,61,62,58,59,63,67,65,66,64,68,69,70,71,72,73,76,77,78,75,74,79,80,81,82,83,84,85,86,87,88,89,90,98,96,97,94,95,93,92,91,99"/>
    <n v="45"/>
    <m/>
    <m/>
    <s v="No"/>
    <x v="0"/>
    <d v="2016-01-08T15:30:43"/>
    <n v="7"/>
    <s v="137.21.7.121"/>
    <s v="RA781.7 -- .P396 2014eb"/>
    <n v="613.70460000000003"/>
    <d v="2014-05-13T00:00:00"/>
  </r>
  <r>
    <x v="916"/>
    <d v="1899-12-30T01:30:11"/>
    <x v="256"/>
    <x v="1"/>
    <s v="brockport"/>
    <x v="45"/>
    <n v="1691426"/>
    <x v="0"/>
    <s v="Social Science; Health"/>
    <s v="9781118839492"/>
    <s v=",1,2,3,77,127,149,155,156,157,167,175,191,268,300,301,302,298,299,303,304,305,306,307,308,309,1,309,310,311,307,308,2,306,305,304,303,312,313,314,315,316,317,318,319,320,321,322,323,324,325,326,327,328,329,330,331,332"/>
    <n v="48"/>
    <m/>
    <m/>
    <s v="No"/>
    <x v="0"/>
    <d v="2016-01-12T00:56:11"/>
    <n v="7"/>
    <s v="137.21.7.121"/>
    <s v="RA781.7 -- .P396 2014eb"/>
    <n v="613.70460000000003"/>
    <d v="2014-05-13T00:00:00"/>
  </r>
  <r>
    <x v="917"/>
    <d v="1899-12-30T00:02:04"/>
    <x v="271"/>
    <x v="0"/>
    <s v="Buffalo"/>
    <x v="227"/>
    <n v="871501"/>
    <x v="0"/>
    <s v="Literature"/>
    <s v="9781118231760"/>
    <s v=",1,2,3,6,24,21,4,7,8,9,5,195,196,197,193,194"/>
    <n v="16"/>
    <m/>
    <m/>
    <s v="No"/>
    <x v="1"/>
    <m/>
    <m/>
    <s v="128.205.114.91"/>
    <s v="PR2894 -- .P68 2012eb"/>
    <s v="822.3/3; B"/>
    <d v="2012-03-01T00:00:00"/>
  </r>
  <r>
    <x v="918"/>
    <d v="1899-12-30T00:00:00"/>
    <x v="267"/>
    <x v="6"/>
    <s v="sjfc"/>
    <x v="283"/>
    <n v="1768753"/>
    <x v="4"/>
    <s v="Social Science"/>
    <s v="9781462518371"/>
    <m/>
    <n v="0"/>
    <m/>
    <s v=",321,322,323,324,325,326,327,328,329,330,331,332,333,334,335,336,337,338,339,340,341,342"/>
    <s v="Yes"/>
    <x v="0"/>
    <d v="2016-01-11T15:53:20"/>
    <n v="7"/>
    <s v="149.69.254.57"/>
    <s v="HM686 -- .H36 2015eb"/>
    <s v="303.3/2"/>
    <d v="2014-11-10T00:00:00"/>
  </r>
  <r>
    <x v="919"/>
    <d v="1899-12-30T00:00:56"/>
    <x v="267"/>
    <x v="6"/>
    <s v="sjfc"/>
    <x v="283"/>
    <n v="1768753"/>
    <x v="4"/>
    <s v="Social Science"/>
    <s v="9781462518371"/>
    <s v=",342,343,344,345"/>
    <n v="4"/>
    <m/>
    <m/>
    <s v="Yes"/>
    <x v="0"/>
    <d v="2016-01-11T15:53:20"/>
    <n v="7"/>
    <s v="149.69.254.57"/>
    <s v="HM686 -- .H36 2015eb"/>
    <s v="303.3/2"/>
    <d v="2014-11-10T00:00:00"/>
  </r>
  <r>
    <x v="920"/>
    <d v="1899-12-30T00:04:53"/>
    <x v="267"/>
    <x v="6"/>
    <s v="sjfc"/>
    <x v="283"/>
    <n v="1768753"/>
    <x v="4"/>
    <s v="Social Science"/>
    <s v="9781462518371"/>
    <s v=",1,23,24,25,21,22,32,39,40,41,42,38,2,178,179,180,176,177,181,182,321,322,323,319,320,324,325,326,327,328,329,330,331,332,333,334,335,337,336,338,339,340,341"/>
    <n v="43"/>
    <m/>
    <m/>
    <s v="No"/>
    <x v="0"/>
    <d v="2016-01-11T15:53:20"/>
    <n v="7"/>
    <s v="149.69.254.57"/>
    <s v="HM686 -- .H36 2015eb"/>
    <s v="303.3/2"/>
    <d v="2014-11-10T00:00:00"/>
  </r>
  <r>
    <x v="921"/>
    <d v="1899-12-30T00:03:04"/>
    <x v="150"/>
    <x v="0"/>
    <s v="Buffalo"/>
    <x v="152"/>
    <n v="330580"/>
    <x v="4"/>
    <s v="Medicine"/>
    <s v="9781593859398"/>
    <s v=",1,2,3,7,264,265,266,336,334,335,332,333,331,330,329,327,328,326,325,323,324,322,133,125,113,114,115,116,112,117,115,116,117,113,114,118,119,120,121,122,123,124,125,126,127,128,129,130,131,132,133,134,135,136,137,138"/>
    <n v="49"/>
    <m/>
    <m/>
    <s v="No"/>
    <x v="0"/>
    <d v="2016-01-14T00:06:51"/>
    <n v="7"/>
    <s v="128.205.114.91"/>
    <s v="RC489.C63 -- M55 2004eb"/>
    <n v="616.89142000000004"/>
    <d v="2014-05-14T00:00:00"/>
  </r>
  <r>
    <x v="922"/>
    <d v="1899-12-30T00:03:52"/>
    <x v="272"/>
    <x v="1"/>
    <s v="brockport"/>
    <x v="284"/>
    <n v="474540"/>
    <x v="2"/>
    <s v="Fine Arts"/>
    <s v="9781410604910"/>
    <s v=",1,2,3,4,5,6"/>
    <n v="6"/>
    <m/>
    <m/>
    <s v="No"/>
    <x v="3"/>
    <m/>
    <m/>
    <s v="137.21.7.121"/>
    <s v="NX280 -- .R46 2001eb"/>
    <s v="700.71073; 700/.71/073"/>
    <d v="2013-09-05T00:00:00"/>
  </r>
  <r>
    <x v="923"/>
    <d v="1899-12-30T00:11:55"/>
    <x v="150"/>
    <x v="0"/>
    <s v="Buffalo"/>
    <x v="152"/>
    <n v="330580"/>
    <x v="4"/>
    <s v="Medicine"/>
    <s v="9781593859398"/>
    <s v=",105,106,107,108,109,110,111,112,113,114,115,116,117"/>
    <n v="13"/>
    <m/>
    <m/>
    <s v="No"/>
    <x v="0"/>
    <d v="2016-01-14T00:06:51"/>
    <n v="7"/>
    <s v="128.205.114.91"/>
    <s v="RC489.C63 -- M55 2004eb"/>
    <n v="616.89142000000004"/>
    <d v="2014-05-14T00:00:00"/>
  </r>
  <r>
    <x v="924"/>
    <d v="1899-12-30T00:05:06"/>
    <x v="150"/>
    <x v="0"/>
    <s v="Buffalo"/>
    <x v="152"/>
    <n v="330580"/>
    <x v="4"/>
    <s v="Medicine"/>
    <s v="9781593859398"/>
    <s v=",1,2,3,13,37,71,125,132,115,113,108,105,103,99,97,98,100,96,101,102,101,102,103,99,100,104"/>
    <n v="21"/>
    <m/>
    <m/>
    <s v="No"/>
    <x v="3"/>
    <m/>
    <m/>
    <s v="128.205.114.91"/>
    <s v="RC489.C63 -- M55 2004eb"/>
    <n v="616.89142000000004"/>
    <d v="2014-05-14T00:00:00"/>
  </r>
  <r>
    <x v="925"/>
    <d v="1899-12-30T00:03:24"/>
    <x v="273"/>
    <x v="13"/>
    <s v="buffalostate"/>
    <x v="285"/>
    <n v="1815426"/>
    <x v="4"/>
    <s v="Education"/>
    <s v="9781462519781"/>
    <s v=",1,2,3,19,20,21,17,18,22,23,24,25,26,27,28,29,124,125,122,126,123,127,128,121,120,114,115,116,112,100,101,102,98,99,103,137,138,139,140,136,160,161,162,158,159,163"/>
    <n v="46"/>
    <m/>
    <m/>
    <s v="No"/>
    <x v="3"/>
    <m/>
    <m/>
    <s v="136.183.11.43"/>
    <s v="LB1573.7 -- .S734 2015eb"/>
    <n v="372.47"/>
    <d v="2015-02-04T00:00:00"/>
  </r>
  <r>
    <x v="926"/>
    <d v="1899-12-30T00:00:43"/>
    <x v="273"/>
    <x v="13"/>
    <s v="buffalostate"/>
    <x v="286"/>
    <n v="1760710"/>
    <x v="4"/>
    <s v="Education"/>
    <s v="9781462516865"/>
    <s v=",1,2,3,9,10,11,7,8,287,288,289,285,286,290"/>
    <n v="14"/>
    <m/>
    <m/>
    <s v="No"/>
    <x v="3"/>
    <m/>
    <m/>
    <s v="136.183.11.43"/>
    <s v="LB1573 -- .P72 2015eb"/>
    <n v="372.41"/>
    <d v="2014-10-29T00:00:00"/>
  </r>
  <r>
    <x v="927"/>
    <d v="1899-12-30T00:10:24"/>
    <x v="267"/>
    <x v="6"/>
    <s v="sjfc"/>
    <x v="283"/>
    <n v="1768753"/>
    <x v="4"/>
    <s v="Social Science"/>
    <s v="9781462518371"/>
    <s v=",1,2,3,636,637,638,635,634,633,632,681,682,683,679,680,684,685"/>
    <n v="17"/>
    <m/>
    <m/>
    <s v="No"/>
    <x v="0"/>
    <d v="2016-01-11T15:53:20"/>
    <n v="7"/>
    <s v="149.69.254.57"/>
    <s v="HM686 -- .H36 2015eb"/>
    <s v="303.3/2"/>
    <d v="2014-11-10T00:00:00"/>
  </r>
  <r>
    <x v="928"/>
    <d v="1899-12-30T00:00:14"/>
    <x v="274"/>
    <x v="0"/>
    <s v="Buffalo"/>
    <x v="287"/>
    <n v="1273176"/>
    <x v="2"/>
    <s v="Fine Arts"/>
    <s v="9781136477225"/>
    <s v=",102,103,104,105,106,107,112,113"/>
    <n v="8"/>
    <m/>
    <m/>
    <s v="No"/>
    <x v="2"/>
    <d v="2016-01-13T22:20:39"/>
    <n v="1"/>
    <s v="128.205.114.91"/>
    <s v="NC997 -- .B28 2005eb"/>
    <n v="741.6"/>
    <d v="2013-07-04T00:00:00"/>
  </r>
  <r>
    <x v="929"/>
    <d v="1899-12-30T00:05:02"/>
    <x v="274"/>
    <x v="0"/>
    <s v="Buffalo"/>
    <x v="287"/>
    <n v="1273176"/>
    <x v="2"/>
    <s v="Fine Arts"/>
    <s v="9781136477225"/>
    <s v=",1,2,3,4,5,6,7,8,9,10,11,12,13,14,15,16,17,18,19,20,21,22,23,24,25,26,27,28,29,30,31,32,33,34,35,36,37,38,39,40,41,42,43,44,45,46,108,109,110,111,98,65,64,63,66,67,68,69,71,72,73,74,70,75,91,101,100"/>
    <n v="67"/>
    <m/>
    <m/>
    <s v="No"/>
    <x v="3"/>
    <m/>
    <m/>
    <s v="128.205.114.91"/>
    <s v="NC997 -- .B28 2005eb"/>
    <n v="741.6"/>
    <d v="2013-07-04T00:00:00"/>
  </r>
  <r>
    <x v="930"/>
    <d v="1899-12-30T00:00:03"/>
    <x v="275"/>
    <x v="0"/>
    <s v="Buffalo"/>
    <x v="7"/>
    <n v="1711065"/>
    <x v="3"/>
    <s v="Political Science; Social Science"/>
    <s v="9780520959156"/>
    <s v=",1,2,3"/>
    <n v="3"/>
    <m/>
    <m/>
    <s v="No"/>
    <x v="1"/>
    <m/>
    <m/>
    <s v="128.205.114.91"/>
    <s v="JV6450 -- .P67 2014eb"/>
    <s v="304.8/73"/>
    <d v="2014-08-30T00:00:00"/>
  </r>
  <r>
    <x v="931"/>
    <d v="1899-12-30T00:00:32"/>
    <x v="64"/>
    <x v="6"/>
    <s v="sjfc"/>
    <x v="189"/>
    <n v="1557279"/>
    <x v="0"/>
    <s v="Business/Management"/>
    <s v="9781118863664"/>
    <s v=",366,367,369,370,371,372,373,374"/>
    <n v="8"/>
    <m/>
    <m/>
    <s v="No"/>
    <x v="0"/>
    <d v="2016-01-13T18:56:59"/>
    <n v="7"/>
    <s v="149.69.254.57"/>
    <s v="HF5661 -- .W384 2014eb"/>
    <n v="657.37800000000004"/>
    <d v="2013-11-07T00:00:00"/>
  </r>
  <r>
    <x v="932"/>
    <d v="1899-12-30T00:23:02"/>
    <x v="64"/>
    <x v="6"/>
    <s v="sjfc"/>
    <x v="189"/>
    <n v="1557279"/>
    <x v="0"/>
    <s v="Business/Management"/>
    <s v="9781118863664"/>
    <s v=",1,2,3,355,356,357,353,354,358,360,361,362,363,365"/>
    <n v="14"/>
    <m/>
    <m/>
    <s v="No"/>
    <x v="1"/>
    <m/>
    <m/>
    <s v="149.69.254.57"/>
    <s v="HF5661 -- .W384 2014eb"/>
    <n v="657.37800000000004"/>
    <d v="2013-11-07T00:00:00"/>
  </r>
  <r>
    <x v="933"/>
    <d v="1899-12-30T00:00:09"/>
    <x v="13"/>
    <x v="0"/>
    <s v="Buffalo"/>
    <x v="288"/>
    <n v="1598285"/>
    <x v="0"/>
    <s v="Agriculture; Medicine"/>
    <s v="9781118810835"/>
    <s v=",62,67,68,63"/>
    <n v="4"/>
    <m/>
    <m/>
    <s v="No"/>
    <x v="2"/>
    <d v="2016-01-13T18:32:54"/>
    <n v="1"/>
    <s v="128.205.114.91"/>
    <s v="SF914 -- .S545 2014eb"/>
    <n v="617.96"/>
    <d v="2014-01-15T00:00:00"/>
  </r>
  <r>
    <x v="934"/>
    <d v="1899-12-30T00:18:04"/>
    <x v="276"/>
    <x v="0"/>
    <s v="Buffalo"/>
    <x v="58"/>
    <n v="822062"/>
    <x v="0"/>
    <s v="Political Science; Literature; Fiction"/>
    <s v="9780857083272"/>
    <s v=",1,2,3,109,110,111,107,108,112,2,113,114,237,238,239,240,241,275,276,277,278,274,279,311,312,313,314,315,27,28,29,30,31,10,11,12,8,9,32,33,34,115,116,114,115,116,112,115,114,116,112,113,47,48,49,45,46,50,44,51,52,53,47,56,57,58,54,55,124,125,126,122,123,127,121,120,119,128,129,130,131,132,133"/>
    <n v="72"/>
    <m/>
    <m/>
    <s v="No"/>
    <x v="0"/>
    <d v="2016-01-13T18:19:31"/>
    <n v="7"/>
    <s v="128.205.114.91"/>
    <s v="PA4279 -- .R4 2012eb"/>
    <s v="321.07; 321/.07"/>
    <d v="2012-04-26T00:00:00"/>
  </r>
  <r>
    <x v="935"/>
    <d v="1899-12-30T00:05:49"/>
    <x v="13"/>
    <x v="0"/>
    <s v="Buffalo"/>
    <x v="288"/>
    <n v="1598285"/>
    <x v="0"/>
    <s v="Agriculture; Medicine"/>
    <s v="9781118810835"/>
    <s v=",1,2,2,3,3,1,4,4,5,5,6,6,7,8,8,2,7,9,9,10,10,10,5,7,10,11,11,12,12,6,5,106,107,107,108,104,106,105,108,105,109,109,110,110,111,111,112,112,114,113,115,113,115,114,116,116,117,117,112,109,107,106,105,104,103,103,101,102,102,100,99,98,96,97,97,95,94,97,93,92,91,90,88,89,89,86,85,82,85,82,81,81,83,83,80,79,80,77,77,76,76,75,75,73,74,74,72,71,68,67,67,68,71,69,69,66,66,64,65,63"/>
    <n v="63"/>
    <m/>
    <m/>
    <s v="No"/>
    <x v="3"/>
    <m/>
    <m/>
    <s v="128.205.114.91"/>
    <s v="SF914 -- .S545 2014eb"/>
    <n v="617.96"/>
    <d v="2014-01-15T00:00:00"/>
  </r>
  <r>
    <x v="936"/>
    <d v="1899-12-30T01:52:40"/>
    <x v="277"/>
    <x v="1"/>
    <s v="brockport"/>
    <x v="45"/>
    <n v="1691426"/>
    <x v="0"/>
    <s v="Social Science; Health"/>
    <s v="9781118839492"/>
    <s v=",32,33,34,35,36,1,36,37,38,34,35,2"/>
    <n v="9"/>
    <m/>
    <m/>
    <s v="No"/>
    <x v="0"/>
    <d v="2016-01-13T18:24:08"/>
    <n v="7"/>
    <s v="137.21.7.121"/>
    <s v="RA781.7 -- .P396 2014eb"/>
    <n v="613.70460000000003"/>
    <d v="2014-05-13T00:00:00"/>
  </r>
  <r>
    <x v="937"/>
    <d v="1899-12-30T00:11:32"/>
    <x v="276"/>
    <x v="0"/>
    <s v="Buffalo"/>
    <x v="58"/>
    <n v="822062"/>
    <x v="0"/>
    <s v="Political Science; Literature; Fiction"/>
    <s v="9780857083272"/>
    <s v=",157,158,109,110,111,112,108,113,114,115,116,117,118,119,1,2,3,217,218,219,215,216,382,383,384,380,381,266,267,268,264,265,50,51,52,48,49,53,54,55,56,224,225,226,222,223,227,228,229,407,38,39,40,36,37"/>
    <n v="55"/>
    <m/>
    <m/>
    <s v="No"/>
    <x v="0"/>
    <d v="2016-01-13T18:19:31"/>
    <n v="7"/>
    <s v="128.205.114.91"/>
    <s v="PA4279 -- .R4 2012eb"/>
    <s v="321.07; 321/.07"/>
    <d v="2012-04-26T00:00:00"/>
  </r>
  <r>
    <x v="938"/>
    <d v="1899-12-30T00:14:38"/>
    <x v="277"/>
    <x v="1"/>
    <s v="brockport"/>
    <x v="45"/>
    <n v="1691426"/>
    <x v="0"/>
    <s v="Social Science; Health"/>
    <s v="9781118839492"/>
    <s v=",1,2,3,26,25,27,24,23,28,29,30,31,25,24,23,22,28,29,30"/>
    <n v="13"/>
    <m/>
    <m/>
    <s v="No"/>
    <x v="1"/>
    <m/>
    <m/>
    <s v="137.21.7.121"/>
    <s v="RA781.7 -- .P396 2014eb"/>
    <n v="613.70460000000003"/>
    <d v="2014-05-13T00:00:00"/>
  </r>
  <r>
    <x v="939"/>
    <d v="1899-12-30T00:10:22"/>
    <x v="276"/>
    <x v="0"/>
    <s v="Buffalo"/>
    <x v="58"/>
    <n v="822062"/>
    <x v="0"/>
    <s v="Political Science; Literature; Fiction"/>
    <s v="9780857083272"/>
    <s v=",1,2,3,153,154,155,156,152"/>
    <n v="8"/>
    <m/>
    <m/>
    <s v="No"/>
    <x v="1"/>
    <m/>
    <m/>
    <s v="128.205.114.91"/>
    <s v="PA4279 -- .R4 2012eb"/>
    <s v="321.07; 321/.07"/>
    <d v="2012-04-26T00:00:00"/>
  </r>
  <r>
    <x v="940"/>
    <d v="1899-12-30T00:03:37"/>
    <x v="26"/>
    <x v="6"/>
    <s v="sjfc"/>
    <x v="289"/>
    <n v="1742830"/>
    <x v="0"/>
    <s v="Science: Chemistry; Science"/>
    <s v="9781118902899"/>
    <s v=",1,221,223,222,219,220,224,225,226,227,228,229,230,2,21,22,23,19,20,24,25,81,82,83,80,79,77,78,51,52,53,49,50,44,45,41,42,40,46,22,23,24,20,21,25,26,27,28,29,30,31,32,33,34,35,36,37,38,39,43,44,45,46"/>
    <n v="54"/>
    <m/>
    <m/>
    <s v="No"/>
    <x v="1"/>
    <m/>
    <m/>
    <s v="149.69.254.57"/>
    <s v="QD39.3.S67 -- .A449 2014eb"/>
    <n v="542.855369"/>
    <d v="2014-07-14T00:00:00"/>
  </r>
  <r>
    <x v="941"/>
    <d v="1899-12-30T01:00:17"/>
    <x v="71"/>
    <x v="0"/>
    <s v="Buffalo"/>
    <x v="247"/>
    <n v="1161538"/>
    <x v="0"/>
    <s v="Business/Management; Economics"/>
    <s v="9781118521755"/>
    <s v=",1,3,2,114,116,113,112,115,117,118,119,120,121,122,123,124,125,126,127,128,129,130,131,132,133"/>
    <n v="25"/>
    <m/>
    <m/>
    <s v="No"/>
    <x v="0"/>
    <d v="2016-01-13T06:51:25"/>
    <n v="7"/>
    <s v="128.205.114.91"/>
    <s v="HG6041 -- .L44 2013eb"/>
    <n v="332.63220000000001"/>
    <d v="2013-03-26T00:00:00"/>
  </r>
  <r>
    <x v="942"/>
    <d v="1899-12-30T00:00:00"/>
    <x v="278"/>
    <x v="0"/>
    <s v="Buffalo"/>
    <x v="0"/>
    <n v="1120290"/>
    <x v="0"/>
    <s v="Language/Linguistics"/>
    <s v="9781118347478"/>
    <m/>
    <n v="0"/>
    <m/>
    <m/>
    <s v="No"/>
    <x v="0"/>
    <d v="2016-01-13T17:08:13"/>
    <n v="7"/>
    <s v="128.205.114.91"/>
    <s v="PE1133 .C34 2012"/>
    <n v="421"/>
    <d v="2012-07-11T00:00:00"/>
  </r>
  <r>
    <x v="943"/>
    <d v="1899-12-30T00:02:48"/>
    <x v="278"/>
    <x v="0"/>
    <s v="Buffalo"/>
    <x v="0"/>
    <n v="1120290"/>
    <x v="0"/>
    <s v="Language/Linguistics"/>
    <s v="9781118347478"/>
    <s v=",1,2,3,10,11,12,8,9,26,27,28,24,25,23,35,36,37,33,34,77,78,79,75,76,80,81,76,75"/>
    <n v="26"/>
    <m/>
    <m/>
    <s v="No"/>
    <x v="1"/>
    <m/>
    <m/>
    <s v="128.205.114.91"/>
    <s v="PE1133 .C34 2012"/>
    <n v="421"/>
    <d v="2012-07-11T00:00:00"/>
  </r>
  <r>
    <x v="944"/>
    <d v="1899-12-30T00:03:32"/>
    <x v="279"/>
    <x v="0"/>
    <s v="Buffalo"/>
    <x v="290"/>
    <n v="800606"/>
    <x v="4"/>
    <s v="Psychology"/>
    <s v="9781609187484"/>
    <s v=",33"/>
    <n v="1"/>
    <m/>
    <s v=",5,33,34,35,36,37,38,39,40,41,42,43,44,45,46,47,48,49,50,51,52,53,54,55,56,57,58,59,60,61,62,63,64,65,66,67,68,69,70,71,72"/>
    <s v="No"/>
    <x v="0"/>
    <d v="2016-01-13T16:59:33"/>
    <n v="7"/>
    <s v="128.205.114.91"/>
    <s v="BF199 -- .H364 2012eb"/>
    <n v="150.72"/>
    <d v="2014-05-14T00:00:00"/>
  </r>
  <r>
    <x v="945"/>
    <d v="1899-12-30T00:00:15"/>
    <x v="279"/>
    <x v="0"/>
    <s v="Buffalo"/>
    <x v="290"/>
    <n v="800606"/>
    <x v="4"/>
    <s v="Psychology"/>
    <s v="9781609187484"/>
    <s v=",1,2,3,33,34,35,31,32,33"/>
    <n v="8"/>
    <m/>
    <m/>
    <s v="No"/>
    <x v="3"/>
    <m/>
    <m/>
    <s v="128.205.114.91"/>
    <s v="BF199 -- .H364 2012eb"/>
    <n v="150.72"/>
    <d v="2014-05-14T00:00:00"/>
  </r>
  <r>
    <x v="946"/>
    <d v="1899-12-30T00:01:39"/>
    <x v="280"/>
    <x v="1"/>
    <s v="brockport"/>
    <x v="291"/>
    <n v="2040242"/>
    <x v="4"/>
    <s v="Language/Linguistics; Education"/>
    <s v="9781462523948"/>
    <s v=",1,2,3,15,16,17,13,14,18,9,10,11,8,7,12"/>
    <n v="15"/>
    <m/>
    <m/>
    <s v="No"/>
    <x v="3"/>
    <m/>
    <m/>
    <s v="137.21.7.121"/>
    <s v="LB1574.5 .B44 2015"/>
    <n v="428.20710000000003"/>
    <d v="2015-07-06T00:00:00"/>
  </r>
  <r>
    <x v="947"/>
    <d v="1899-12-30T00:07:45"/>
    <x v="262"/>
    <x v="1"/>
    <s v="brockport"/>
    <x v="45"/>
    <n v="1691426"/>
    <x v="0"/>
    <s v="Social Science; Health"/>
    <s v="9781118839492"/>
    <s v=",115,116,117,118,119,120,121,122,123,124,125,126,127,128,129,130,131,132,133,134,135,151,152,153,149,150,154,155,156,157,158,159,160,161,162,125,126,127,123,124,130,132,133,134,131"/>
    <n v="35"/>
    <m/>
    <m/>
    <s v="No"/>
    <x v="0"/>
    <d v="2016-01-13T15:54:02"/>
    <n v="7"/>
    <s v="137.21.7.121"/>
    <s v="RA781.7 -- .P396 2014eb"/>
    <n v="613.70460000000003"/>
    <d v="2014-05-13T00:00:00"/>
  </r>
  <r>
    <x v="948"/>
    <d v="1899-12-30T00:04:38"/>
    <x v="262"/>
    <x v="1"/>
    <s v="brockport"/>
    <x v="45"/>
    <n v="1691426"/>
    <x v="0"/>
    <s v="Social Science; Health"/>
    <s v="9781118839492"/>
    <s v=",1,2,3,97,98,99,95,96,100,101,102,103,104,105,106,107,108,109,110,111,112,113,114"/>
    <n v="23"/>
    <m/>
    <m/>
    <s v="No"/>
    <x v="1"/>
    <m/>
    <m/>
    <s v="137.21.7.121"/>
    <s v="RA781.7 -- .P396 2014eb"/>
    <n v="613.70460000000003"/>
    <d v="2014-05-13T00:00:00"/>
  </r>
  <r>
    <x v="949"/>
    <d v="1899-12-30T00:00:00"/>
    <x v="281"/>
    <x v="13"/>
    <s v="buffalostate"/>
    <x v="292"/>
    <n v="1635364"/>
    <x v="0"/>
    <s v="Mathematics"/>
    <s v="9781118710449"/>
    <m/>
    <n v="0"/>
    <m/>
    <s v=",87,88,89,90,91,92"/>
    <s v="No"/>
    <x v="0"/>
    <d v="2016-01-13T15:40:34"/>
    <n v="7"/>
    <s v="136.183.11.43"/>
    <s v="QA135.6 -- .M87 2014eb"/>
    <n v="510.71273000000002"/>
    <d v="2014-02-14T00:00:00"/>
  </r>
  <r>
    <x v="950"/>
    <d v="1899-12-30T00:00:57"/>
    <x v="281"/>
    <x v="13"/>
    <s v="buffalostate"/>
    <x v="292"/>
    <n v="1635364"/>
    <x v="0"/>
    <s v="Mathematics"/>
    <s v="9781118710449"/>
    <s v=",1,2,3,88,85,86,92"/>
    <n v="7"/>
    <m/>
    <m/>
    <s v="No"/>
    <x v="1"/>
    <m/>
    <m/>
    <s v="136.183.11.43"/>
    <s v="QA135.6 -- .M87 2014eb"/>
    <n v="510.71273000000002"/>
    <d v="2014-02-14T00:00:00"/>
  </r>
  <r>
    <x v="951"/>
    <d v="1899-12-30T00:12:21"/>
    <x v="64"/>
    <x v="6"/>
    <s v="sjfc"/>
    <x v="75"/>
    <n v="1986951"/>
    <x v="0"/>
    <s v="Business/Management"/>
    <s v="9781119130468"/>
    <s v=",1,2,3,327,328,329,325,330,331,332,333,334,329,335,337,338,339,342,343,344,340,341,345,347,348,349,346"/>
    <n v="26"/>
    <m/>
    <m/>
    <s v="No"/>
    <x v="0"/>
    <d v="2016-01-08T20:17:51"/>
    <n v="7"/>
    <s v="149.69.254.57"/>
    <s v="HF5661"/>
    <n v="657.07600000000002"/>
    <d v="2015-05-19T00:00:00"/>
  </r>
  <r>
    <x v="952"/>
    <d v="1899-12-30T00:02:31"/>
    <x v="41"/>
    <x v="1"/>
    <s v="brockport"/>
    <x v="45"/>
    <n v="1691426"/>
    <x v="0"/>
    <s v="Social Science; Health"/>
    <s v="9781118839492"/>
    <s v=",1,2,3,73,74,75,71,72,80,76,77,78,65,66,67,64,63,68,69,70"/>
    <n v="20"/>
    <m/>
    <m/>
    <s v="No"/>
    <x v="1"/>
    <m/>
    <m/>
    <s v="137.21.7.121"/>
    <s v="RA781.7 -- .P396 2014eb"/>
    <n v="613.70460000000003"/>
    <d v="2014-05-13T00:00:00"/>
  </r>
  <r>
    <x v="953"/>
    <d v="1899-12-30T00:08:38"/>
    <x v="282"/>
    <x v="1"/>
    <s v="brockport"/>
    <x v="45"/>
    <n v="1691426"/>
    <x v="0"/>
    <s v="Social Science; Health"/>
    <s v="9781118839492"/>
    <s v=",1,2,3,27,28,29,25,26,30,31,32,33,34,25,26,39,40,41,37,38"/>
    <n v="18"/>
    <m/>
    <m/>
    <s v="No"/>
    <x v="0"/>
    <d v="2016-01-07T03:35:10"/>
    <n v="7"/>
    <s v="137.21.7.121"/>
    <s v="RA781.7 -- .P396 2014eb"/>
    <n v="613.70460000000003"/>
    <d v="2014-05-13T00:00:00"/>
  </r>
  <r>
    <x v="954"/>
    <d v="1899-12-30T00:00:49"/>
    <x v="26"/>
    <x v="6"/>
    <s v="sjfc"/>
    <x v="293"/>
    <n v="1775471"/>
    <x v="0"/>
    <s v="Computer Science/IT"/>
    <s v="9781118891490"/>
    <s v=",1,2,3"/>
    <n v="3"/>
    <m/>
    <m/>
    <s v="No"/>
    <x v="1"/>
    <m/>
    <m/>
    <s v="149.69.254.57"/>
    <s v="QA76.73.P98 -- .M845 2014eb"/>
    <n v="5.133"/>
    <d v="2014-08-26T00:00:00"/>
  </r>
  <r>
    <x v="955"/>
    <d v="1899-12-30T00:01:01"/>
    <x v="282"/>
    <x v="1"/>
    <s v="brockport"/>
    <x v="45"/>
    <n v="1691426"/>
    <x v="0"/>
    <s v="Social Science; Health"/>
    <s v="9781118839492"/>
    <s v=",1,1,2,3,3,2,2,2,40,41,40,42,41,42,43,43,39,44,44"/>
    <n v="9"/>
    <m/>
    <m/>
    <s v="No"/>
    <x v="0"/>
    <d v="2016-01-07T03:35:10"/>
    <n v="7"/>
    <s v="137.21.7.121"/>
    <s v="RA781.7 -- .P396 2014eb"/>
    <n v="613.70460000000003"/>
    <d v="2014-05-13T00:00:00"/>
  </r>
  <r>
    <x v="956"/>
    <d v="1899-12-30T00:23:48"/>
    <x v="282"/>
    <x v="1"/>
    <s v="brockport"/>
    <x v="45"/>
    <n v="1691426"/>
    <x v="0"/>
    <s v="Social Science; Health"/>
    <s v="9781118839492"/>
    <s v=",1,2,3,51,52,53,49,50,54,55,56,57,58,59,60,61,42,43,44,40,41,46,47,48,45,49,50,51,52,53"/>
    <n v="25"/>
    <m/>
    <m/>
    <s v="No"/>
    <x v="0"/>
    <d v="2016-01-07T03:35:10"/>
    <n v="7"/>
    <s v="137.21.7.121"/>
    <s v="RA781.7 -- .P396 2014eb"/>
    <n v="613.70460000000003"/>
    <d v="2014-05-13T00:00:00"/>
  </r>
  <r>
    <x v="957"/>
    <d v="1899-12-30T00:02:27"/>
    <x v="13"/>
    <x v="0"/>
    <s v="Buffalo"/>
    <x v="0"/>
    <n v="1120290"/>
    <x v="0"/>
    <s v="Language/Linguistics"/>
    <s v="9781118347478"/>
    <s v=",1,2,3,4,5,1,10,20,203,138"/>
    <n v="9"/>
    <m/>
    <m/>
    <s v="No"/>
    <x v="1"/>
    <m/>
    <m/>
    <s v="128.205.114.91"/>
    <s v="PE1133 .C34 2012"/>
    <n v="421"/>
    <d v="2012-07-11T00:00:00"/>
  </r>
  <r>
    <x v="958"/>
    <d v="1899-12-30T00:08:31"/>
    <x v="250"/>
    <x v="1"/>
    <s v="brockport"/>
    <x v="45"/>
    <n v="1691426"/>
    <x v="0"/>
    <s v="Social Science; Health"/>
    <s v="9781118839492"/>
    <s v=",1,2,3,185,186,187,183,184,188,189,190,191,192,193,194,195,196,197,198,199"/>
    <n v="20"/>
    <m/>
    <m/>
    <s v="No"/>
    <x v="0"/>
    <d v="2016-01-08T01:48:20"/>
    <n v="7"/>
    <s v="137.21.7.121"/>
    <s v="RA781.7 -- .P396 2014eb"/>
    <n v="613.70460000000003"/>
    <d v="2014-05-13T00:00:00"/>
  </r>
  <r>
    <x v="959"/>
    <d v="1899-12-30T00:05:10"/>
    <x v="71"/>
    <x v="0"/>
    <s v="Buffalo"/>
    <x v="247"/>
    <n v="1161538"/>
    <x v="0"/>
    <s v="Business/Management; Economics"/>
    <s v="9781118521755"/>
    <s v=",1,2,3,114,115,116,113,117,118,119,120,121,122,123"/>
    <n v="14"/>
    <m/>
    <m/>
    <s v="No"/>
    <x v="0"/>
    <d v="2016-01-13T06:51:25"/>
    <n v="7"/>
    <s v="128.205.114.91"/>
    <s v="HG6041 -- .L44 2013eb"/>
    <n v="332.63220000000001"/>
    <d v="2013-03-26T00:00:00"/>
  </r>
  <r>
    <x v="960"/>
    <d v="1899-12-30T00:23:37"/>
    <x v="71"/>
    <x v="0"/>
    <s v="Buffalo"/>
    <x v="247"/>
    <n v="1161538"/>
    <x v="0"/>
    <s v="Business/Management; Economics"/>
    <s v="9781118521755"/>
    <s v=",1,2,114,115,116,113,117,118,119,120,121,122"/>
    <n v="12"/>
    <m/>
    <m/>
    <s v="No"/>
    <x v="1"/>
    <m/>
    <m/>
    <s v="128.205.114.91"/>
    <s v="HG6041 -- .L44 2013eb"/>
    <n v="332.63220000000001"/>
    <d v="2013-03-26T00:00:00"/>
  </r>
  <r>
    <x v="961"/>
    <d v="1899-12-30T01:05:01"/>
    <x v="212"/>
    <x v="1"/>
    <s v="brockport"/>
    <x v="45"/>
    <n v="1691426"/>
    <x v="0"/>
    <s v="Social Science; Health"/>
    <s v="9781118839492"/>
    <s v=",1,2,3,57,59,55,56,58,60,61,73,62,63,64,65,66,67,68,69,70,71,72"/>
    <n v="22"/>
    <m/>
    <m/>
    <s v="No"/>
    <x v="0"/>
    <d v="2016-01-08T15:30:43"/>
    <n v="7"/>
    <s v="137.21.7.121"/>
    <s v="RA781.7 -- .P396 2014eb"/>
    <n v="613.70460000000003"/>
    <d v="2014-05-13T00:00:00"/>
  </r>
  <r>
    <x v="962"/>
    <d v="1899-12-30T00:00:00"/>
    <x v="283"/>
    <x v="1"/>
    <s v="brockport"/>
    <x v="294"/>
    <n v="1441204"/>
    <x v="2"/>
    <s v="Mathematics"/>
    <s v="9781317926757"/>
    <m/>
    <n v="0"/>
    <m/>
    <m/>
    <s v="Yes"/>
    <x v="2"/>
    <d v="2016-01-13T02:56:17"/>
    <n v="1"/>
    <s v="137.21.7.121"/>
    <m/>
    <n v="510.71199999999999"/>
    <d v="2013-10-02T00:00:00"/>
  </r>
  <r>
    <x v="963"/>
    <d v="1899-12-30T00:17:42"/>
    <x v="283"/>
    <x v="1"/>
    <s v="brockport"/>
    <x v="294"/>
    <n v="1441204"/>
    <x v="2"/>
    <s v="Mathematics"/>
    <s v="9781317926757"/>
    <s v=",36,46,47,44,45,48,49,50,51,52,53,54,55,56,57,58,59,60,61,62,63,64,65,66,67,68,69,70,71,72,73,74,75,76,78,79,80,81,82,83,84,85,86,87,88,95,90,89,91,92,93,94,96,97,98,99,100,101,102,103,104,105"/>
    <n v="62"/>
    <m/>
    <m/>
    <s v="No"/>
    <x v="2"/>
    <d v="2016-01-13T02:56:17"/>
    <n v="1"/>
    <s v="137.21.7.121"/>
    <m/>
    <n v="510.71199999999999"/>
    <d v="2013-10-02T00:00:00"/>
  </r>
  <r>
    <x v="964"/>
    <d v="1899-12-30T00:05:30"/>
    <x v="283"/>
    <x v="1"/>
    <s v="brockport"/>
    <x v="294"/>
    <n v="1441204"/>
    <x v="2"/>
    <s v="Mathematics"/>
    <s v="9781317926757"/>
    <s v=",1,2,3,4,5,6,7,8,9,10,11,12,13,14,15,16,17,18,19,20,21,22,23,24,25,26,27,28,29,30,31,32,33,34,35"/>
    <n v="35"/>
    <m/>
    <m/>
    <s v="No"/>
    <x v="3"/>
    <m/>
    <m/>
    <s v="137.21.7.121"/>
    <m/>
    <n v="510.71199999999999"/>
    <d v="2013-10-02T00:00:00"/>
  </r>
  <r>
    <x v="965"/>
    <d v="1899-12-30T00:00:57"/>
    <x v="284"/>
    <x v="0"/>
    <s v="Buffalo"/>
    <x v="295"/>
    <n v="1895162"/>
    <x v="0"/>
    <s v="Computer Science/IT"/>
    <s v="9781118951576"/>
    <s v=",1,2,3"/>
    <n v="3"/>
    <m/>
    <m/>
    <s v="No"/>
    <x v="3"/>
    <m/>
    <m/>
    <s v="128.205.114.91"/>
    <s v="QA76.73 .J38 F34 2015"/>
    <s v="005.2; 005.2762"/>
    <d v="2015-06-04T00:00:00"/>
  </r>
  <r>
    <x v="966"/>
    <d v="1899-12-30T00:00:03"/>
    <x v="269"/>
    <x v="1"/>
    <s v="brockport"/>
    <x v="45"/>
    <n v="1691426"/>
    <x v="0"/>
    <s v="Social Science; Health"/>
    <s v="9781118839492"/>
    <s v=",397,398,399,395,396"/>
    <n v="5"/>
    <m/>
    <m/>
    <s v="No"/>
    <x v="0"/>
    <d v="2016-01-13T01:16:49"/>
    <n v="7"/>
    <s v="137.21.7.121"/>
    <s v="RA781.7 -- .P396 2014eb"/>
    <n v="613.70460000000003"/>
    <d v="2014-05-13T00:00:00"/>
  </r>
  <r>
    <x v="967"/>
    <d v="1899-12-30T00:13:37"/>
    <x v="269"/>
    <x v="1"/>
    <s v="brockport"/>
    <x v="45"/>
    <n v="1691426"/>
    <x v="0"/>
    <s v="Social Science; Health"/>
    <s v="9781118839492"/>
    <s v=",1,2,3,25,26,27,23,24,28,29,30,31,32,33,7,8,9,5,6,10,59,60,61,57,58,62,63,64"/>
    <n v="28"/>
    <m/>
    <m/>
    <s v="No"/>
    <x v="1"/>
    <m/>
    <m/>
    <s v="137.21.7.121"/>
    <s v="RA781.7 -- .P396 2014eb"/>
    <n v="613.70460000000003"/>
    <d v="2014-05-13T00:00:00"/>
  </r>
  <r>
    <x v="968"/>
    <d v="1899-12-30T00:46:22"/>
    <x v="256"/>
    <x v="1"/>
    <s v="brockport"/>
    <x v="45"/>
    <n v="1691426"/>
    <x v="0"/>
    <s v="Social Science; Health"/>
    <s v="9781118839492"/>
    <s v=",1,2,3,4,55,65,67,68,69,66,70,100,105,106,107,104,166,167,168,211,212,213,202,195,194,193,191,192,189,184,185,186,183,182,187,181,180,179,178,177,176,175,188,190,196,197"/>
    <n v="46"/>
    <m/>
    <m/>
    <s v="No"/>
    <x v="0"/>
    <d v="2016-01-12T00:56:11"/>
    <n v="7"/>
    <s v="137.21.7.121"/>
    <s v="RA781.7 -- .P396 2014eb"/>
    <n v="613.70460000000003"/>
    <d v="2014-05-13T00:00:00"/>
  </r>
  <r>
    <x v="969"/>
    <d v="1899-12-30T00:03:58"/>
    <x v="285"/>
    <x v="0"/>
    <s v="Buffalo"/>
    <x v="296"/>
    <n v="1397211"/>
    <x v="2"/>
    <s v="Business/Management"/>
    <s v="9781134718924"/>
    <s v=",1,2,3,4,6,7,8,5,59,60,61,57,58,62,63,64,65,66"/>
    <n v="18"/>
    <m/>
    <m/>
    <s v="No"/>
    <x v="3"/>
    <m/>
    <m/>
    <s v="128.205.114.91"/>
    <s v="HF5823 -- .B7273 2009eb"/>
    <n v="659.1"/>
    <d v="2013-09-13T00:00:00"/>
  </r>
  <r>
    <x v="970"/>
    <d v="1899-12-30T00:36:27"/>
    <x v="212"/>
    <x v="1"/>
    <s v="brockport"/>
    <x v="45"/>
    <n v="1691426"/>
    <x v="0"/>
    <s v="Social Science; Health"/>
    <s v="9781118839492"/>
    <s v=",1,2,3,54,55,56,52,53,51,43,44,45,41,66,68,69,70,63,42,39,40,61,63,56,57,60,58,59,80,76,77,78,74,75,62,46"/>
    <n v="34"/>
    <m/>
    <m/>
    <s v="No"/>
    <x v="0"/>
    <d v="2016-01-08T15:30:43"/>
    <n v="7"/>
    <s v="137.21.7.121"/>
    <s v="RA781.7 -- .P396 2014eb"/>
    <n v="613.70460000000003"/>
    <d v="2014-05-13T00:00:00"/>
  </r>
  <r>
    <x v="971"/>
    <d v="1899-12-30T00:02:22"/>
    <x v="286"/>
    <x v="0"/>
    <s v="Buffalo"/>
    <x v="297"/>
    <n v="2122525"/>
    <x v="0"/>
    <s v="Health; Medicine; Social Science"/>
    <s v="9781118369432"/>
    <s v=",1,2,3,21,22,23,19,20,24,175,127,26,7,2,8,3,4,22,23,24,20,21,25,26,19,27,28,29,30,31,32,33,34,35,36,37,47,48,49,50,46,51,154,155,156,152,153,157,158,159,160,161,162,163,164"/>
    <n v="46"/>
    <m/>
    <m/>
    <s v="No"/>
    <x v="1"/>
    <m/>
    <m/>
    <s v="128.205.114.91"/>
    <s v="RC86.7 .E384 2015"/>
    <n v="362.18"/>
    <d v="2015-05-26T00:00:00"/>
  </r>
  <r>
    <x v="972"/>
    <d v="1899-12-30T00:00:00"/>
    <x v="287"/>
    <x v="0"/>
    <s v="Buffalo"/>
    <x v="298"/>
    <n v="1809736"/>
    <x v="0"/>
    <s v="Engineering: Construction; Architecture; Engineering"/>
    <s v="9781118870242"/>
    <m/>
    <n v="0"/>
    <m/>
    <s v=",230,231,232,233,234,235,236,237,238,239,240,241,242,243,244,245,246,247,248,249,250,251,252,253,254,255,256,257,258,259,260,261,262,263,264,265,266,267,268,269,270,271,272,273,274,275,276,277,278,279,280,281,282,283,284,285,286,287"/>
    <s v="No"/>
    <x v="0"/>
    <d v="2016-01-12T22:29:15"/>
    <n v="7"/>
    <s v="128.205.114.91"/>
    <s v="TH880 .C68 2014"/>
    <n v="720.47076000000004"/>
    <d v="2014-09-29T00:00:00"/>
  </r>
  <r>
    <x v="973"/>
    <d v="1899-12-30T00:00:11"/>
    <x v="287"/>
    <x v="0"/>
    <s v="Buffalo"/>
    <x v="298"/>
    <n v="1809736"/>
    <x v="0"/>
    <s v="Engineering: Construction; Architecture; Engineering"/>
    <s v="9781118870242"/>
    <s v=",1,2,3"/>
    <n v="3"/>
    <m/>
    <m/>
    <s v="No"/>
    <x v="1"/>
    <m/>
    <m/>
    <s v="128.205.114.91"/>
    <s v="TH880 .C68 2014"/>
    <n v="720.47076000000004"/>
    <d v="2014-09-29T00:00:00"/>
  </r>
  <r>
    <x v="974"/>
    <d v="1899-12-30T00:00:26"/>
    <x v="288"/>
    <x v="1"/>
    <s v="brockport"/>
    <x v="299"/>
    <n v="1583284"/>
    <x v="2"/>
    <s v="Literature"/>
    <s v="9781317761938"/>
    <s v=",206"/>
    <n v="1"/>
    <m/>
    <m/>
    <s v="Yes"/>
    <x v="2"/>
    <d v="2016-01-12T20:47:14"/>
    <n v="7"/>
    <s v="137.21.7.121"/>
    <s v="PR408.S57 -- .D573 2013eb"/>
    <n v="820.93550000000005"/>
    <d v="2013-12-19T00:00:00"/>
  </r>
  <r>
    <x v="974"/>
    <d v="1899-12-30T00:00:00"/>
    <x v="288"/>
    <x v="1"/>
    <s v="brockport"/>
    <x v="299"/>
    <n v="1583284"/>
    <x v="2"/>
    <s v="Literature"/>
    <s v="9781317761938"/>
    <m/>
    <n v="0"/>
    <m/>
    <m/>
    <s v="No"/>
    <x v="2"/>
    <d v="2016-01-12T20:47:14"/>
    <n v="7"/>
    <s v="137.21.7.121"/>
    <s v="PR408.S57 -- .D573 2013eb"/>
    <n v="820.93550000000005"/>
    <d v="2013-12-19T00:00:00"/>
  </r>
  <r>
    <x v="975"/>
    <d v="1899-12-30T00:01:02"/>
    <x v="288"/>
    <x v="1"/>
    <s v="brockport"/>
    <x v="299"/>
    <n v="1583284"/>
    <x v="2"/>
    <s v="Literature"/>
    <s v="9781317761938"/>
    <s v=",1,212,213,214,210,211,215,216,217,2,218"/>
    <n v="11"/>
    <m/>
    <m/>
    <s v="No"/>
    <x v="3"/>
    <m/>
    <m/>
    <s v="137.21.7.121"/>
    <s v="PR408.S57 -- .D573 2013eb"/>
    <n v="820.93550000000005"/>
    <d v="2013-12-19T00:00:00"/>
  </r>
  <r>
    <x v="976"/>
    <d v="1899-12-30T00:11:03"/>
    <x v="289"/>
    <x v="0"/>
    <s v="Buffalo"/>
    <x v="300"/>
    <n v="1356113"/>
    <x v="2"/>
    <s v="Medicine"/>
    <s v="9781135953560"/>
    <s v=",14,17,18,19,20,21,22,23,24,25,26,27,28,29,30,31,32,33,34,35,36,37,38,39,40,41,42,43,44,45"/>
    <n v="30"/>
    <m/>
    <m/>
    <s v="No"/>
    <x v="2"/>
    <d v="2016-01-12T20:41:51"/>
    <n v="1"/>
    <s v="128.205.114.91"/>
    <s v="RC564.T745"/>
    <n v="616.86059999999998"/>
    <d v="2013-08-21T00:00:00"/>
  </r>
  <r>
    <x v="977"/>
    <d v="1899-12-30T00:06:39"/>
    <x v="289"/>
    <x v="0"/>
    <s v="Buffalo"/>
    <x v="300"/>
    <n v="1356113"/>
    <x v="2"/>
    <s v="Medicine"/>
    <s v="9781135953560"/>
    <s v=",1,2,3,12,13,14,11,10,8,9,2,15,16"/>
    <n v="12"/>
    <m/>
    <m/>
    <s v="No"/>
    <x v="3"/>
    <m/>
    <m/>
    <s v="128.205.114.91"/>
    <s v="RC564.T745"/>
    <n v="616.86059999999998"/>
    <d v="2013-08-21T00:00:00"/>
  </r>
  <r>
    <x v="978"/>
    <d v="1899-12-30T00:00:41"/>
    <x v="290"/>
    <x v="6"/>
    <s v="sjfc"/>
    <x v="301"/>
    <n v="1692797"/>
    <x v="1"/>
    <s v="Literature"/>
    <s v="9781472431509"/>
    <s v=",107,113,117,120,121,122,123,119,118,116,114,115"/>
    <n v="12"/>
    <s v=",110"/>
    <s v=",110,111,112,113,114,115,116,117,118,119,120,121"/>
    <s v="Yes"/>
    <x v="0"/>
    <d v="2016-01-12T18:25:22"/>
    <n v="7"/>
    <s v="149.69.254.57"/>
    <s v="PS374.Y57 -- .F46 2014eb"/>
    <s v="813.009/9283"/>
    <d v="2014-07-28T00:00:00"/>
  </r>
  <r>
    <x v="979"/>
    <d v="1899-12-30T00:00:00"/>
    <x v="290"/>
    <x v="6"/>
    <s v="sjfc"/>
    <x v="301"/>
    <n v="1692797"/>
    <x v="1"/>
    <s v="Literature"/>
    <s v="9781472431509"/>
    <m/>
    <n v="0"/>
    <s v=",110"/>
    <m/>
    <s v="No"/>
    <x v="0"/>
    <d v="2016-01-12T18:25:22"/>
    <n v="7"/>
    <s v="149.69.254.57"/>
    <s v="PS374.Y57 -- .F46 2014eb"/>
    <s v="813.009/9283"/>
    <d v="2014-07-28T00:00:00"/>
  </r>
  <r>
    <x v="980"/>
    <d v="1899-12-30T00:00:29"/>
    <x v="290"/>
    <x v="6"/>
    <s v="sjfc"/>
    <x v="301"/>
    <n v="1692797"/>
    <x v="1"/>
    <s v="Literature"/>
    <s v="9781472431509"/>
    <s v=",1,2,3,110,111,112,108,109"/>
    <n v="8"/>
    <m/>
    <m/>
    <s v="No"/>
    <x v="1"/>
    <m/>
    <m/>
    <s v="149.69.254.57"/>
    <s v="PS374.Y57 -- .F46 2014eb"/>
    <s v="813.009/9283"/>
    <d v="2014-07-28T00:00:00"/>
  </r>
  <r>
    <x v="981"/>
    <d v="1899-12-30T00:01:50"/>
    <x v="291"/>
    <x v="1"/>
    <s v="brockport"/>
    <x v="45"/>
    <n v="1691426"/>
    <x v="0"/>
    <s v="Social Science; Health"/>
    <s v="9781118839492"/>
    <s v=",1,2,3,91,92,93,89,90,94,95,2,96,90,1"/>
    <n v="11"/>
    <m/>
    <m/>
    <s v="No"/>
    <x v="0"/>
    <d v="2016-01-05T20:55:29"/>
    <n v="7"/>
    <s v="137.21.7.121"/>
    <s v="RA781.7 -- .P396 2014eb"/>
    <n v="613.70460000000003"/>
    <d v="2014-05-13T00:00:00"/>
  </r>
  <r>
    <x v="982"/>
    <d v="1899-12-30T00:23:16"/>
    <x v="292"/>
    <x v="0"/>
    <s v="Buffalo"/>
    <x v="302"/>
    <n v="1732296"/>
    <x v="0"/>
    <s v="Health; Home Economics"/>
    <s v="9781118490945"/>
    <s v=",1,2,3,4,5,6,7,8,9,10,11,12,13,15,14,16,17,18,19,20,21,27,28,25,26,29,38,40,39,37,36,60,61,62,59,58,63"/>
    <n v="37"/>
    <m/>
    <m/>
    <s v="No"/>
    <x v="2"/>
    <d v="2016-01-11T22:28:56"/>
    <n v="1"/>
    <s v="128.205.114.91"/>
    <s v="TX631 -- .S646 2014eb"/>
    <s v="641.01/3"/>
    <d v="2014-07-08T00:00:00"/>
  </r>
  <r>
    <x v="983"/>
    <d v="1899-12-30T00:05:23"/>
    <x v="262"/>
    <x v="1"/>
    <s v="brockport"/>
    <x v="45"/>
    <n v="1691426"/>
    <x v="0"/>
    <s v="Social Science; Health"/>
    <s v="9781118839492"/>
    <s v=",1,2,3,25,26,27,23,24,28,29,30,31,32,33,34,35,36,37,38,39,40,41,50,57,58,59,55,56"/>
    <n v="28"/>
    <m/>
    <m/>
    <s v="No"/>
    <x v="1"/>
    <m/>
    <m/>
    <s v="137.21.7.121"/>
    <s v="RA781.7 -- .P396 2014eb"/>
    <n v="613.70460000000003"/>
    <d v="2014-05-13T00:00:00"/>
  </r>
  <r>
    <x v="984"/>
    <d v="1899-12-30T01:13:32"/>
    <x v="291"/>
    <x v="1"/>
    <s v="brockport"/>
    <x v="45"/>
    <n v="1691426"/>
    <x v="0"/>
    <s v="Social Science; Health"/>
    <s v="9781118839492"/>
    <s v=",1,2,3,64,65,66,62,63,67,62,67,68,69,70,71,72,73,73,74,74,75,76,77,78,79,74,80,81,82,83,84,85,85,86,87,88,89,89,84,90,91,86,86,92,93,94,95,90,90,91,2,90,94,93,92,91,95,96,90"/>
    <n v="38"/>
    <m/>
    <s v=",92"/>
    <s v="No"/>
    <x v="0"/>
    <d v="2016-01-05T20:55:29"/>
    <n v="7"/>
    <s v="137.21.7.121"/>
    <s v="RA781.7 -- .P396 2014eb"/>
    <n v="613.70460000000003"/>
    <d v="2014-05-13T00:00:00"/>
  </r>
  <r>
    <x v="985"/>
    <d v="1899-12-30T00:08:43"/>
    <x v="293"/>
    <x v="1"/>
    <s v="brockport"/>
    <x v="95"/>
    <n v="1566387"/>
    <x v="0"/>
    <s v="Social Science"/>
    <s v="9781118471906"/>
    <s v=",476,492,493,494,490,516,534,543,545,554,527,518,519,520,517,522,523,537,538,539,535,536,548,549,550,546,547,544,542,540,541,530,528,529,531,532,533,507,486,476,497,478,477,457,447,412,366,344,314,290,272,189,111,42,1,2,3,115,498,499,495,496,487,480,481,482,479"/>
    <n v="66"/>
    <s v=",473,473,474,475,475"/>
    <s v=",473"/>
    <s v="No"/>
    <x v="0"/>
    <d v="2016-01-12T16:32:37"/>
    <n v="7"/>
    <s v="137.21.7.121"/>
    <s v="HM585 -- .D555 2014eb"/>
    <n v="301"/>
    <d v="2013-11-18T00:00:00"/>
  </r>
  <r>
    <x v="986"/>
    <d v="1899-12-30T00:00:39"/>
    <x v="293"/>
    <x v="1"/>
    <s v="brockport"/>
    <x v="95"/>
    <n v="1566387"/>
    <x v="0"/>
    <s v="Social Science"/>
    <s v="9781118471906"/>
    <s v=",1,473,475,474,471,472,2"/>
    <n v="7"/>
    <m/>
    <m/>
    <s v="No"/>
    <x v="1"/>
    <m/>
    <m/>
    <s v="137.21.7.121"/>
    <s v="HM585 -- .D555 2014eb"/>
    <n v="301"/>
    <d v="2013-11-18T00:00:00"/>
  </r>
  <r>
    <x v="986"/>
    <d v="1899-12-30T00:00:00"/>
    <x v="293"/>
    <x v="1"/>
    <s v="brockport"/>
    <x v="95"/>
    <n v="1566387"/>
    <x v="0"/>
    <s v="Social Science"/>
    <s v="9781118471906"/>
    <m/>
    <n v="0"/>
    <m/>
    <m/>
    <s v="No"/>
    <x v="1"/>
    <m/>
    <m/>
    <s v="137.21.7.121"/>
    <s v="HM585 -- .D555 2014eb"/>
    <n v="301"/>
    <d v="2013-11-18T00:00:00"/>
  </r>
  <r>
    <x v="987"/>
    <d v="1899-12-30T00:35:19"/>
    <x v="64"/>
    <x v="6"/>
    <s v="sjfc"/>
    <x v="75"/>
    <n v="1986951"/>
    <x v="0"/>
    <s v="Business/Management"/>
    <s v="9781119130468"/>
    <s v=",2,3,1,327,329,325,326,330,331,332,333,334,335,336,337"/>
    <n v="15"/>
    <s v=",331"/>
    <m/>
    <s v="No"/>
    <x v="0"/>
    <d v="2016-01-08T20:17:51"/>
    <n v="7"/>
    <s v="149.69.254.57"/>
    <s v="HF5661"/>
    <n v="657.07600000000002"/>
    <d v="2015-05-19T00:00:00"/>
  </r>
  <r>
    <x v="988"/>
    <d v="1899-12-30T00:00:05"/>
    <x v="64"/>
    <x v="6"/>
    <s v="sjfc"/>
    <x v="75"/>
    <n v="1986951"/>
    <x v="0"/>
    <s v="Business/Management"/>
    <s v="9781119130468"/>
    <s v=",1,2,3"/>
    <n v="3"/>
    <m/>
    <m/>
    <s v="No"/>
    <x v="0"/>
    <d v="2016-01-08T20:17:51"/>
    <n v="7"/>
    <s v="149.69.254.57"/>
    <s v="HF5661"/>
    <n v="657.07600000000002"/>
    <d v="2015-05-19T00:00:00"/>
  </r>
  <r>
    <x v="989"/>
    <d v="1899-12-30T00:01:26"/>
    <x v="294"/>
    <x v="0"/>
    <s v="Buffalo"/>
    <x v="303"/>
    <n v="1539385"/>
    <x v="2"/>
    <s v="Language/Linguistics; Literature"/>
    <s v="9781136689659"/>
    <s v=",1,3,2,6,7,8,4,5,9,10,202,203,204,205,206,207,208,174,175,171,172"/>
    <n v="21"/>
    <m/>
    <m/>
    <s v="No"/>
    <x v="3"/>
    <m/>
    <m/>
    <s v="128.205.114.91"/>
    <s v="P301 -- .R4714 1995eb"/>
    <n v="808"/>
    <d v="2013-11-05T00:00:00"/>
  </r>
  <r>
    <x v="990"/>
    <d v="1899-12-30T00:01:13"/>
    <x v="294"/>
    <x v="0"/>
    <s v="Buffalo"/>
    <x v="304"/>
    <n v="1356315"/>
    <x v="2"/>
    <s v="Language/Linguistics; Literature"/>
    <s v="9781136471865"/>
    <s v=",181,182,183,179,209,210,211,207,208"/>
    <n v="9"/>
    <m/>
    <m/>
    <s v="No"/>
    <x v="2"/>
    <d v="2016-01-12T13:36:57"/>
    <n v="1"/>
    <s v="128.205.114.91"/>
    <s v="P301 -- .T48 2014eb"/>
    <n v="808.04200000000003"/>
    <d v="2013-08-22T00:00:00"/>
  </r>
  <r>
    <x v="991"/>
    <d v="1899-12-30T00:05:11"/>
    <x v="294"/>
    <x v="0"/>
    <s v="Buffalo"/>
    <x v="304"/>
    <n v="1356315"/>
    <x v="2"/>
    <s v="Language/Linguistics; Literature"/>
    <s v="9781136471865"/>
    <s v=",1,3,2,216,217,218,214,215,219,220,221,222,223,224,42,43,44,40,41,39,38,36,37,42,43,44,206,207,208,204,205,209,210,216,217,218,214,215,219,220,221,222,223,224"/>
    <n v="30"/>
    <m/>
    <m/>
    <s v="No"/>
    <x v="3"/>
    <m/>
    <m/>
    <s v="128.205.114.91"/>
    <s v="P301 -- .T48 2014eb"/>
    <n v="808.04200000000003"/>
    <d v="2013-08-22T00:00:00"/>
  </r>
  <r>
    <x v="992"/>
    <d v="1899-12-30T02:40:55"/>
    <x v="212"/>
    <x v="1"/>
    <s v="brockport"/>
    <x v="45"/>
    <n v="1691426"/>
    <x v="0"/>
    <s v="Social Science; Health"/>
    <s v="9781118839492"/>
    <s v=",1,2,3,25,26,27,23,24,28,29,30,31,32,33,34,35,36,37,38,39,40,40,41,42,43,44,45,46,47,48,49,50,51,52,53,54,55"/>
    <n v="36"/>
    <m/>
    <m/>
    <s v="No"/>
    <x v="0"/>
    <d v="2016-01-08T15:30:43"/>
    <n v="7"/>
    <s v="137.21.7.121"/>
    <s v="RA781.7 -- .P396 2014eb"/>
    <n v="613.70460000000003"/>
    <d v="2014-05-13T00:00:00"/>
  </r>
  <r>
    <x v="993"/>
    <d v="1899-12-30T00:00:20"/>
    <x v="295"/>
    <x v="0"/>
    <s v="Buffalo"/>
    <x v="305"/>
    <n v="1562421"/>
    <x v="0"/>
    <s v="Language/Linguistics"/>
    <s v="9781118587928"/>
    <s v=",1,2,3,28,29,30,26,27,28"/>
    <n v="8"/>
    <m/>
    <m/>
    <s v="No"/>
    <x v="2"/>
    <d v="2016-01-11T21:11:13"/>
    <n v="1"/>
    <s v="128.205.114.91"/>
    <s v="PC4074.75 -- .D53 2014eb"/>
    <s v="460.01/9"/>
    <d v="2013-11-11T00:00:00"/>
  </r>
  <r>
    <x v="994"/>
    <d v="1899-12-30T00:00:21"/>
    <x v="21"/>
    <x v="0"/>
    <s v="Buffalo"/>
    <x v="306"/>
    <n v="1356259"/>
    <x v="2"/>
    <s v="Social Science; Environmental Studies; Economics"/>
    <s v="9781134260980"/>
    <s v=",38,39"/>
    <n v="2"/>
    <m/>
    <m/>
    <s v="No"/>
    <x v="2"/>
    <d v="2016-01-12T03:26:37"/>
    <n v="1"/>
    <s v="128.205.114.91"/>
    <s v="HQ76.3.G4 -- H6613 1995eb"/>
    <n v="333.7"/>
    <d v="2013-08-21T00:00:00"/>
  </r>
  <r>
    <x v="995"/>
    <d v="1899-12-30T00:05:21"/>
    <x v="21"/>
    <x v="0"/>
    <s v="Buffalo"/>
    <x v="306"/>
    <n v="1356259"/>
    <x v="2"/>
    <s v="Social Science; Environmental Studies; Economics"/>
    <s v="9781134260980"/>
    <s v=",1,2,3,4,5,8,9,10,7,6,11,12,13,14,15,16,17,18,19,20,21,22,23,24,25,26,27,28,29,30,31,32,33,34,35,36,37"/>
    <n v="37"/>
    <m/>
    <m/>
    <s v="No"/>
    <x v="3"/>
    <m/>
    <m/>
    <s v="128.205.114.91"/>
    <s v="HQ76.3.G4 -- H6613 1995eb"/>
    <n v="333.7"/>
    <d v="2013-08-21T00:00:00"/>
  </r>
  <r>
    <x v="996"/>
    <d v="1899-12-30T00:00:00"/>
    <x v="296"/>
    <x v="0"/>
    <s v="Buffalo"/>
    <x v="307"/>
    <n v="1487202"/>
    <x v="2"/>
    <s v="Home Economics; Social Science"/>
    <s v="9781135323523"/>
    <m/>
    <n v="0"/>
    <m/>
    <m/>
    <s v="Yes"/>
    <x v="2"/>
    <d v="2016-01-12T03:09:53"/>
    <n v="1"/>
    <s v="128.205.114.91"/>
    <s v="GT2853.U5 -- F663 2002eb"/>
    <n v="641.300973"/>
    <d v="2013-10-18T00:00:00"/>
  </r>
  <r>
    <x v="997"/>
    <d v="1899-12-30T00:00:00"/>
    <x v="296"/>
    <x v="0"/>
    <s v="Buffalo"/>
    <x v="307"/>
    <n v="1487202"/>
    <x v="2"/>
    <s v="Home Economics; Social Science"/>
    <s v="9781135323523"/>
    <m/>
    <n v="0"/>
    <m/>
    <m/>
    <s v="Yes"/>
    <x v="2"/>
    <d v="2016-01-12T03:09:53"/>
    <n v="1"/>
    <s v="128.205.114.91"/>
    <s v="GT2853.U5 -- F663 2002eb"/>
    <n v="641.300973"/>
    <d v="2013-10-18T00:00:00"/>
  </r>
  <r>
    <x v="997"/>
    <d v="1899-12-30T00:00:00"/>
    <x v="296"/>
    <x v="0"/>
    <s v="Buffalo"/>
    <x v="307"/>
    <n v="1487202"/>
    <x v="2"/>
    <s v="Home Economics; Social Science"/>
    <s v="9781135323523"/>
    <m/>
    <n v="0"/>
    <m/>
    <m/>
    <s v="No"/>
    <x v="2"/>
    <d v="2016-01-12T03:09:53"/>
    <n v="1"/>
    <s v="128.205.114.91"/>
    <s v="GT2853.U5 -- F663 2002eb"/>
    <n v="641.300973"/>
    <d v="2013-10-18T00:00:00"/>
  </r>
  <r>
    <x v="998"/>
    <d v="1899-12-30T00:00:30"/>
    <x v="296"/>
    <x v="0"/>
    <s v="Buffalo"/>
    <x v="307"/>
    <n v="1487202"/>
    <x v="2"/>
    <s v="Home Economics; Social Science"/>
    <s v="9781135323523"/>
    <s v=",1,2,3"/>
    <n v="3"/>
    <m/>
    <m/>
    <s v="No"/>
    <x v="3"/>
    <m/>
    <m/>
    <s v="128.205.114.91"/>
    <s v="GT2853.U5 -- F663 2002eb"/>
    <n v="641.300973"/>
    <d v="2013-10-18T00:00:00"/>
  </r>
  <r>
    <x v="999"/>
    <d v="1899-12-30T00:00:41"/>
    <x v="9"/>
    <x v="0"/>
    <s v="Buffalo"/>
    <x v="8"/>
    <n v="1683360"/>
    <x v="4"/>
    <s v="General Works/Reference; Social Science"/>
    <s v="9781462516032"/>
    <s v=",1,2,3,387,389,388,386,385,390,392,391,393,394,395"/>
    <n v="14"/>
    <m/>
    <m/>
    <s v="No"/>
    <x v="1"/>
    <m/>
    <m/>
    <s v="128.205.114.91"/>
    <s v="H62 -- .S454 2014eb"/>
    <n v="1.42"/>
    <d v="2014-07-03T00:00:00"/>
  </r>
  <r>
    <x v="1000"/>
    <d v="1899-12-30T00:55:10"/>
    <x v="295"/>
    <x v="0"/>
    <s v="Buffalo"/>
    <x v="305"/>
    <n v="1562421"/>
    <x v="0"/>
    <s v="Language/Linguistics"/>
    <s v="9781118587928"/>
    <s v=",1,2,3,151,152,153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334,278,278,278,278,278,278,279,280,281,282,283,284,285,286,287,288,289,290,291,292,293,294,295,296,297,298,299,300,301,302,303,304,305,306,307,308,309,310,311,312,313,314,315,316,317,318,319,320,321,322,323,324,325,326,327,328,329,330,331,332,333,334"/>
    <n v="187"/>
    <m/>
    <m/>
    <s v="No"/>
    <x v="2"/>
    <d v="2016-01-11T21:11:13"/>
    <n v="1"/>
    <s v="128.205.114.91"/>
    <s v="PC4074.75 -- .D53 2014eb"/>
    <s v="460.01/9"/>
    <d v="2013-11-11T00:00:00"/>
  </r>
  <r>
    <x v="1001"/>
    <d v="1899-12-30T00:02:44"/>
    <x v="295"/>
    <x v="0"/>
    <s v="Buffalo"/>
    <x v="305"/>
    <n v="1562421"/>
    <x v="0"/>
    <s v="Language/Linguistics"/>
    <s v="9781118587928"/>
    <s v=",1,2,3,128,129,130,126,127,128,150,150,150,150,150,150,150,150,150,150,150,150,150"/>
    <n v="9"/>
    <m/>
    <m/>
    <s v="No"/>
    <x v="2"/>
    <d v="2016-01-11T21:11:13"/>
    <n v="1"/>
    <s v="128.205.114.91"/>
    <s v="PC4074.75 -- .D53 2014eb"/>
    <s v="460.01/9"/>
    <d v="2013-11-11T00:00:00"/>
  </r>
  <r>
    <x v="1002"/>
    <d v="1899-12-30T00:02:45"/>
    <x v="150"/>
    <x v="0"/>
    <s v="Buffalo"/>
    <x v="152"/>
    <n v="330580"/>
    <x v="4"/>
    <s v="Medicine"/>
    <s v="9781593859398"/>
    <s v=",103,104"/>
    <n v="2"/>
    <m/>
    <m/>
    <s v="No"/>
    <x v="2"/>
    <d v="2016-01-12T01:19:02"/>
    <n v="1"/>
    <s v="128.205.114.91"/>
    <s v="RC489.C63 -- M55 2004eb"/>
    <n v="616.89142000000004"/>
    <d v="2014-05-14T00:00:00"/>
  </r>
  <r>
    <x v="1003"/>
    <d v="1899-12-30T00:07:57"/>
    <x v="295"/>
    <x v="0"/>
    <s v="Buffalo"/>
    <x v="305"/>
    <n v="1562421"/>
    <x v="0"/>
    <s v="Language/Linguistics"/>
    <s v="9781118587928"/>
    <s v=",1,2,3,88,90,89,86,87,125,126,127,123,124,128,129,126,127,128,129,130,131,132,133,134,135,136,137,138,139,140,141,142,143,144,145,146,147,148,149,150,149"/>
    <n v="36"/>
    <m/>
    <m/>
    <s v="No"/>
    <x v="2"/>
    <d v="2016-01-11T21:11:13"/>
    <n v="1"/>
    <s v="128.205.114.91"/>
    <s v="PC4074.75 -- .D53 2014eb"/>
    <s v="460.01/9"/>
    <d v="2013-11-11T00:00:00"/>
  </r>
  <r>
    <x v="1004"/>
    <d v="1899-12-30T00:44:28"/>
    <x v="256"/>
    <x v="1"/>
    <s v="brockport"/>
    <x v="45"/>
    <n v="1691426"/>
    <x v="0"/>
    <s v="Social Science; Health"/>
    <s v="9781118839492"/>
    <s v=",171,172,173,174,175,176,177,178,179,95,79,80,81,77,78,82,83,84,85,86,91,92,93,94"/>
    <n v="24"/>
    <m/>
    <m/>
    <s v="No"/>
    <x v="0"/>
    <d v="2016-01-12T00:56:11"/>
    <n v="7"/>
    <s v="137.21.7.121"/>
    <s v="RA781.7 -- .P396 2014eb"/>
    <n v="613.70460000000003"/>
    <d v="2014-05-13T00:00:00"/>
  </r>
  <r>
    <x v="1005"/>
    <d v="1899-12-30T00:29:20"/>
    <x v="150"/>
    <x v="0"/>
    <s v="Buffalo"/>
    <x v="152"/>
    <n v="330580"/>
    <x v="4"/>
    <s v="Medicine"/>
    <s v="9781593859398"/>
    <s v=",1,2,3,4,5,37,43,49,76,89,100,101,102,99,97,98,96,95,94,93,92,91,90"/>
    <n v="23"/>
    <m/>
    <m/>
    <s v="No"/>
    <x v="3"/>
    <m/>
    <m/>
    <s v="128.205.114.91"/>
    <s v="RC489.C63 -- M55 2004eb"/>
    <n v="616.89142000000004"/>
    <d v="2014-05-14T00:00:00"/>
  </r>
  <r>
    <x v="1006"/>
    <d v="1899-12-30T01:53:05"/>
    <x v="248"/>
    <x v="0"/>
    <s v="Buffalo"/>
    <x v="259"/>
    <n v="1566385"/>
    <x v="0"/>
    <s v="Literature; Religion"/>
    <s v="9780745662718"/>
    <s v=",15,15,16,1,17,13,14,2,1,2,3,4,4,1,5,6,2,3,144,145,146,142,143,147,16,17,18,19,20,21,22,23,24,148,25,26,1,26,28,27,24,25,2,29,149"/>
    <n v="31"/>
    <m/>
    <m/>
    <s v="No"/>
    <x v="2"/>
    <d v="2016-01-12T00:26:46"/>
    <n v="1"/>
    <s v="128.205.114.91"/>
    <s v="PQ2643.A26 -- .S754 2013eb"/>
    <n v="204.4"/>
    <d v="2014-03-10T00:00:00"/>
  </r>
  <r>
    <x v="1007"/>
    <d v="1899-12-30T00:06:32"/>
    <x v="248"/>
    <x v="0"/>
    <s v="Buffalo"/>
    <x v="259"/>
    <n v="1566385"/>
    <x v="0"/>
    <s v="Literature; Religion"/>
    <s v="9780745662718"/>
    <s v=",1,2,3,4,5,6,7,8,9,10,11,12,13,14"/>
    <n v="14"/>
    <m/>
    <m/>
    <s v="No"/>
    <x v="3"/>
    <m/>
    <m/>
    <s v="128.205.114.91"/>
    <s v="PQ2643.A26 -- .S754 2013eb"/>
    <n v="204.4"/>
    <d v="2014-03-10T00:00:00"/>
  </r>
  <r>
    <x v="1008"/>
    <d v="1899-12-30T01:22:51"/>
    <x v="295"/>
    <x v="0"/>
    <s v="Buffalo"/>
    <x v="305"/>
    <n v="1562421"/>
    <x v="0"/>
    <s v="Language/Linguistics"/>
    <s v="9781118587928"/>
    <s v="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"/>
    <n v="125"/>
    <m/>
    <m/>
    <s v="Yes"/>
    <x v="2"/>
    <d v="2016-01-11T21:11:13"/>
    <n v="1"/>
    <s v="128.205.114.91"/>
    <s v="PC4074.75 -- .D53 2014eb"/>
    <s v="460.01/9"/>
    <d v="2013-11-11T00:00:00"/>
  </r>
  <r>
    <x v="1009"/>
    <d v="1899-12-30T00:00:06"/>
    <x v="295"/>
    <x v="0"/>
    <s v="Buffalo"/>
    <x v="305"/>
    <n v="1562421"/>
    <x v="0"/>
    <s v="Language/Linguistics"/>
    <s v="9781118587928"/>
    <s v=",1,2,3"/>
    <n v="3"/>
    <m/>
    <m/>
    <s v="No"/>
    <x v="2"/>
    <d v="2016-01-11T21:11:13"/>
    <n v="1"/>
    <s v="128.205.114.91"/>
    <s v="PC4074.75 -- .D53 2014eb"/>
    <s v="460.01/9"/>
    <d v="2013-11-11T00:00:00"/>
  </r>
  <r>
    <x v="1010"/>
    <d v="1899-12-30T01:06:14"/>
    <x v="256"/>
    <x v="1"/>
    <s v="brockport"/>
    <x v="45"/>
    <n v="1691426"/>
    <x v="0"/>
    <s v="Social Science; Health"/>
    <s v="9781118839492"/>
    <s v=",1,2,3,6,17,18,19,20,16,23,45,46,47,48,49,50,69,87,88,89,90,137,138,139,140,141,136,103,98,97,99,100,96,101,102,104,105,106,107,108,109,110,111,112,113,114,115,116,117,118,119,120,121,122,123,124,125,126,127,128,129,130,131,132,133,134,135,142,143,144,145,146,147,148,149,150,151,152,153,154,155,156,157,158,159,160,161,162,163,164,165,166,167,168,169,170"/>
    <n v="96"/>
    <m/>
    <m/>
    <s v="No"/>
    <x v="0"/>
    <d v="2016-01-05T00:53:45"/>
    <n v="7"/>
    <s v="137.21.7.121"/>
    <s v="RA781.7 -- .P396 2014eb"/>
    <n v="613.70460000000003"/>
    <d v="2014-05-13T00:00:00"/>
  </r>
  <r>
    <x v="1011"/>
    <d v="1899-12-30T00:01:02"/>
    <x v="150"/>
    <x v="0"/>
    <s v="Buffalo"/>
    <x v="152"/>
    <n v="330580"/>
    <x v="4"/>
    <s v="Medicine"/>
    <s v="9781593859398"/>
    <s v=",1,2,3,4,5,6,7,8,9,10,11,48,50,68,71,77,76,80,83,82,78,79,81,84,85,86,87,88,89,90,91,92,93"/>
    <n v="33"/>
    <m/>
    <m/>
    <s v="No"/>
    <x v="3"/>
    <m/>
    <m/>
    <s v="128.205.114.91"/>
    <s v="RC489.C63 -- M55 2004eb"/>
    <n v="616.89142000000004"/>
    <d v="2014-05-14T00:00:00"/>
  </r>
  <r>
    <x v="1012"/>
    <d v="1899-12-30T00:00:51"/>
    <x v="297"/>
    <x v="0"/>
    <s v="Buffalo"/>
    <x v="308"/>
    <n v="1895993"/>
    <x v="0"/>
    <s v="Psychology; Health"/>
    <s v="9781119045724"/>
    <s v=",1,2,3,53,54,55,51,52,56,58,59,60,57,61"/>
    <n v="14"/>
    <m/>
    <m/>
    <s v="No"/>
    <x v="3"/>
    <m/>
    <m/>
    <s v="128.205.114.91"/>
    <s v="TX364 -- .H43 2014eb"/>
    <n v="155.4"/>
    <d v="2014-12-29T00:00:00"/>
  </r>
  <r>
    <x v="1013"/>
    <d v="1899-12-30T01:46:49"/>
    <x v="292"/>
    <x v="0"/>
    <s v="Buffalo"/>
    <x v="302"/>
    <n v="1732296"/>
    <x v="0"/>
    <s v="Health; Home Economics"/>
    <s v="9781118490945"/>
    <s v=",4,5,1"/>
    <n v="3"/>
    <m/>
    <m/>
    <s v="No"/>
    <x v="2"/>
    <d v="2016-01-11T22:28:56"/>
    <n v="1"/>
    <s v="128.205.114.91"/>
    <s v="TX631 -- .S646 2014eb"/>
    <s v="641.01/3"/>
    <d v="2014-07-08T00:00:00"/>
  </r>
  <r>
    <x v="1014"/>
    <d v="1899-12-30T00:19:51"/>
    <x v="292"/>
    <x v="0"/>
    <s v="Buffalo"/>
    <x v="302"/>
    <n v="1732296"/>
    <x v="0"/>
    <s v="Health; Home Economics"/>
    <s v="9781118490945"/>
    <s v=",1,2,3"/>
    <n v="3"/>
    <m/>
    <m/>
    <s v="No"/>
    <x v="3"/>
    <m/>
    <m/>
    <s v="128.205.114.91"/>
    <s v="TX631 -- .S646 2014eb"/>
    <s v="641.01/3"/>
    <d v="2014-07-08T00:00:00"/>
  </r>
  <r>
    <x v="1015"/>
    <d v="1899-12-30T00:00:00"/>
    <x v="298"/>
    <x v="0"/>
    <s v="Buffalo"/>
    <x v="298"/>
    <n v="1809736"/>
    <x v="0"/>
    <s v="Engineering: Construction; Architecture; Engineering"/>
    <s v="9781118870242"/>
    <m/>
    <n v="0"/>
    <m/>
    <s v="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"/>
    <s v="No"/>
    <x v="0"/>
    <d v="2016-01-11T21:54:04"/>
    <n v="7"/>
    <s v="128.205.114.91"/>
    <s v="TH880 .C68 2014"/>
    <n v="720.47076000000004"/>
    <d v="2014-09-29T00:00:00"/>
  </r>
  <r>
    <x v="1016"/>
    <d v="1899-12-30T00:00:16"/>
    <x v="298"/>
    <x v="0"/>
    <s v="Buffalo"/>
    <x v="298"/>
    <n v="1809736"/>
    <x v="0"/>
    <s v="Engineering: Construction; Architecture; Engineering"/>
    <s v="9781118870242"/>
    <s v=",1,2,3"/>
    <n v="3"/>
    <m/>
    <m/>
    <s v="No"/>
    <x v="1"/>
    <m/>
    <m/>
    <s v="128.205.114.91"/>
    <s v="TH880 .C68 2014"/>
    <n v="720.47076000000004"/>
    <d v="2014-09-29T00:00:00"/>
  </r>
  <r>
    <x v="1017"/>
    <d v="1899-12-30T00:00:00"/>
    <x v="295"/>
    <x v="0"/>
    <s v="Buffalo"/>
    <x v="305"/>
    <n v="1562421"/>
    <x v="0"/>
    <s v="Language/Linguistics"/>
    <s v="9781118587928"/>
    <m/>
    <n v="0"/>
    <m/>
    <m/>
    <s v="Yes"/>
    <x v="2"/>
    <d v="2016-01-11T21:11:13"/>
    <n v="1"/>
    <s v="128.205.114.91"/>
    <s v="PC4074.75 -- .D53 2014eb"/>
    <s v="460.01/9"/>
    <d v="2013-11-11T00:00:00"/>
  </r>
  <r>
    <x v="1018"/>
    <d v="1899-12-30T00:00:00"/>
    <x v="295"/>
    <x v="0"/>
    <s v="Buffalo"/>
    <x v="305"/>
    <n v="1562421"/>
    <x v="0"/>
    <s v="Language/Linguistics"/>
    <s v="9781118587928"/>
    <m/>
    <n v="0"/>
    <m/>
    <m/>
    <s v="Yes"/>
    <x v="2"/>
    <d v="2016-01-11T21:11:13"/>
    <n v="1"/>
    <s v="128.205.114.91"/>
    <s v="PC4074.75 -- .D53 2014eb"/>
    <s v="460.01/9"/>
    <d v="2013-11-11T00:00:00"/>
  </r>
  <r>
    <x v="1018"/>
    <d v="1899-12-30T00:00:00"/>
    <x v="295"/>
    <x v="0"/>
    <s v="Buffalo"/>
    <x v="305"/>
    <n v="1562421"/>
    <x v="0"/>
    <s v="Language/Linguistics"/>
    <s v="9781118587928"/>
    <m/>
    <n v="0"/>
    <m/>
    <m/>
    <s v="No"/>
    <x v="2"/>
    <d v="2016-01-11T21:11:13"/>
    <n v="1"/>
    <s v="128.205.114.91"/>
    <s v="PC4074.75 -- .D53 2014eb"/>
    <s v="460.01/9"/>
    <d v="2013-11-11T00:00:00"/>
  </r>
  <r>
    <x v="1019"/>
    <d v="1899-12-30T00:02:49"/>
    <x v="295"/>
    <x v="0"/>
    <s v="Buffalo"/>
    <x v="305"/>
    <n v="1562421"/>
    <x v="0"/>
    <s v="Language/Linguistics"/>
    <s v="9781118587928"/>
    <s v=",1,2,3,4,5,6,7,8,9,10,11,9,1"/>
    <n v="11"/>
    <m/>
    <m/>
    <s v="No"/>
    <x v="3"/>
    <m/>
    <m/>
    <s v="128.205.114.91"/>
    <s v="PC4074.75 -- .D53 2014eb"/>
    <s v="460.01/9"/>
    <d v="2013-11-11T00:00:00"/>
  </r>
  <r>
    <x v="1020"/>
    <d v="1899-12-30T03:49:52"/>
    <x v="299"/>
    <x v="1"/>
    <s v="brockport"/>
    <x v="45"/>
    <n v="1691426"/>
    <x v="0"/>
    <s v="Social Science; Health"/>
    <s v="9781118839492"/>
    <s v=",1,2,3,98,99,100,96,97,101,102,103,104,73,74,75,71,72,76,77,78,79,80,81,82,83,84,85,86,99,100,96,97,101,102,103,104,105,106,107,108,342,343,344,340,341,51,52,53,49,50,54,27,28,29,25,26,30,31,36,26,16,17,18,15,14,13,18,19,25,26,32,33,34,35,36,37,38,39,40,41,42,43,44,45,46,47,331,332,333,329,330,334,335,336,337,338,339,342,343,341"/>
    <n v="84"/>
    <m/>
    <m/>
    <s v="No"/>
    <x v="0"/>
    <d v="2016-01-07T22:19:43"/>
    <n v="7"/>
    <s v="137.21.7.121"/>
    <s v="RA781.7 -- .P396 2014eb"/>
    <n v="613.70460000000003"/>
    <d v="2014-05-13T00:00:00"/>
  </r>
  <r>
    <x v="1021"/>
    <d v="1899-12-30T00:09:25"/>
    <x v="300"/>
    <x v="0"/>
    <s v="Buffalo"/>
    <x v="298"/>
    <n v="1809736"/>
    <x v="0"/>
    <s v="Engineering: Construction; Architecture; Engineering"/>
    <s v="9781118870242"/>
    <s v=",1,2,3,101,99,100,104,21,22,23,19,20,73,74,75,71,72,133,134,135,131,132,127,128,129,125,130,126,133,134,135,136,138,139"/>
    <n v="31"/>
    <m/>
    <s v=",101,102,103,104,105,106,107,108,109,110,111,112,113,114,115"/>
    <s v="No"/>
    <x v="0"/>
    <d v="2016-01-11T20:57:52"/>
    <n v="7"/>
    <s v="128.205.114.91"/>
    <s v="TH880 .C68 2014"/>
    <n v="720.47076000000004"/>
    <d v="2014-09-29T00:00:00"/>
  </r>
  <r>
    <x v="1022"/>
    <d v="1899-12-30T00:00:00"/>
    <x v="300"/>
    <x v="0"/>
    <s v="Buffalo"/>
    <x v="298"/>
    <n v="1809736"/>
    <x v="0"/>
    <s v="Engineering: Construction; Architecture; Engineering"/>
    <s v="9781118870242"/>
    <m/>
    <n v="0"/>
    <s v=",20"/>
    <s v="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"/>
    <s v="No"/>
    <x v="0"/>
    <d v="2016-01-11T20:57:52"/>
    <n v="7"/>
    <s v="128.205.114.91"/>
    <s v="TH880 .C68 2014"/>
    <n v="720.47076000000004"/>
    <d v="2014-09-29T00:00:00"/>
  </r>
  <r>
    <x v="1023"/>
    <d v="1899-12-30T00:01:33"/>
    <x v="300"/>
    <x v="0"/>
    <s v="Buffalo"/>
    <x v="298"/>
    <n v="1809736"/>
    <x v="0"/>
    <s v="Engineering: Construction; Architecture; Engineering"/>
    <s v="9781118870242"/>
    <s v=",1,2,3,4,5,6,7,8,9,10,11,12,13,14,15,16,14,21,21,22,23,19,20,18,20"/>
    <n v="22"/>
    <m/>
    <m/>
    <s v="No"/>
    <x v="1"/>
    <m/>
    <m/>
    <s v="128.205.114.91"/>
    <s v="TH880 .C68 2014"/>
    <n v="720.47076000000004"/>
    <d v="2014-09-29T00:00:00"/>
  </r>
  <r>
    <x v="1024"/>
    <d v="1899-12-30T00:00:01"/>
    <x v="13"/>
    <x v="0"/>
    <s v="Buffalo"/>
    <x v="309"/>
    <n v="1811632"/>
    <x v="0"/>
    <s v="Science; Science: Zoology"/>
    <s v="9781118875711"/>
    <s v=",1,2,3"/>
    <n v="3"/>
    <m/>
    <m/>
    <s v="No"/>
    <x v="2"/>
    <d v="2016-01-11T20:45:08"/>
    <n v="1"/>
    <s v="128.205.114.91"/>
    <s v="QL464 -- .B34 2015eb"/>
    <n v="595.70000000000005"/>
    <d v="2014-10-03T00:00:00"/>
  </r>
  <r>
    <x v="1025"/>
    <d v="1899-12-30T00:11:03"/>
    <x v="13"/>
    <x v="0"/>
    <s v="Buffalo"/>
    <x v="309"/>
    <n v="1811632"/>
    <x v="0"/>
    <s v="Science; Science: Zoology"/>
    <s v="9781118875711"/>
    <s v=",1,2,3,4,5,6,7,8,9,10,11,12,13,14,15,16,17,18,19,20,21,22"/>
    <n v="22"/>
    <m/>
    <m/>
    <s v="No"/>
    <x v="3"/>
    <m/>
    <m/>
    <s v="128.205.114.91"/>
    <s v="QL464 -- .B34 2015eb"/>
    <n v="595.70000000000005"/>
    <d v="2014-10-03T00:00:00"/>
  </r>
  <r>
    <x v="1026"/>
    <d v="1899-12-30T00:04:49"/>
    <x v="301"/>
    <x v="0"/>
    <s v="Buffalo"/>
    <x v="310"/>
    <n v="1895808"/>
    <x v="0"/>
    <s v="General Works/Reference; Mathematics"/>
    <s v="9781118957837"/>
    <s v=",1,2,3,337,338,339,335,336,340,341,342,343,344,345,346,347,348,349,350,351,352,353,354,355,356,357,358,359,360,361,362,363,364,365,366,367,368"/>
    <n v="37"/>
    <m/>
    <m/>
    <s v="No"/>
    <x v="3"/>
    <m/>
    <m/>
    <s v="128.205.114.91"/>
    <s v="QA278.4 -- .C44 2015eb"/>
    <s v="001.4/22"/>
    <d v="2015-03-26T00:00:00"/>
  </r>
  <r>
    <x v="1027"/>
    <d v="1899-12-30T00:06:27"/>
    <x v="302"/>
    <x v="13"/>
    <s v="buffalostate"/>
    <x v="311"/>
    <n v="1676782"/>
    <x v="0"/>
    <s v="Computer Science/IT"/>
    <s v="9781118825860"/>
    <s v=",1,2,3,606,604,605,245,246,243,248,250,252,343,345,341,342,346,1,183,184,367,364,365,363,361,362,369,370,733,732,299,301,297,298,302,303,304,305,306,307,308,309,310,311,312,313,315,316,310,4,5,6,3,7,8,9,10,11,12,14,15,16,12,13,27,28,29,25,26,30,31"/>
    <n v="67"/>
    <m/>
    <m/>
    <s v="No"/>
    <x v="1"/>
    <m/>
    <m/>
    <s v="136.183.11.43"/>
    <s v="QA76.8"/>
    <n v="4.165"/>
    <d v="2014-04-17T00:00:00"/>
  </r>
  <r>
    <x v="1028"/>
    <d v="1899-12-30T00:13:47"/>
    <x v="291"/>
    <x v="1"/>
    <s v="brockport"/>
    <x v="45"/>
    <n v="1691426"/>
    <x v="0"/>
    <s v="Social Science; Health"/>
    <s v="9781118839492"/>
    <s v=",1,2,3,22,83,156,169,170,171,168,166,167,49,50,51,47,48,52,53,54,55,56,57,58,59,60,61,55,54,53,60,61"/>
    <n v="27"/>
    <m/>
    <m/>
    <s v="No"/>
    <x v="0"/>
    <d v="2016-01-05T20:55:29"/>
    <n v="7"/>
    <s v="137.21.7.121"/>
    <s v="RA781.7 -- .P396 2014eb"/>
    <n v="613.70460000000003"/>
    <d v="2014-05-13T00:00:00"/>
  </r>
  <r>
    <x v="1029"/>
    <d v="1899-12-30T00:01:59"/>
    <x v="303"/>
    <x v="1"/>
    <s v="brockport"/>
    <x v="45"/>
    <n v="1691426"/>
    <x v="0"/>
    <s v="Social Science; Health"/>
    <s v="9781118839492"/>
    <s v=",95,95,93,94,98,97,96,92,92,91,96,91,90,93,89,88,93,94,95,96,97,98,99,100,101,102,103,104,102,103,104,100,101,105,106,107,108,109,110,111,112,113,114,114,115,115,116,116,117,117,118,118"/>
    <n v="31"/>
    <m/>
    <m/>
    <s v="No"/>
    <x v="0"/>
    <d v="2016-01-11T17:07:39"/>
    <n v="7"/>
    <s v="137.21.7.121"/>
    <s v="RA781.7 -- .P396 2014eb"/>
    <n v="613.70460000000003"/>
    <d v="2014-05-13T00:00:00"/>
  </r>
  <r>
    <x v="1030"/>
    <d v="1899-12-30T00:18:20"/>
    <x v="64"/>
    <x v="6"/>
    <s v="sjfc"/>
    <x v="75"/>
    <n v="1986951"/>
    <x v="0"/>
    <s v="Business/Management"/>
    <s v="9781119130468"/>
    <s v=",1,2,3,374,375,376,372,373,396,397,398,394,395,374,375,376,372,373,374,375,376,372,373"/>
    <n v="13"/>
    <s v=",374"/>
    <m/>
    <s v="No"/>
    <x v="0"/>
    <d v="2016-01-08T20:17:51"/>
    <n v="7"/>
    <s v="149.69.254.57"/>
    <s v="HF5661"/>
    <n v="657.07600000000002"/>
    <d v="2015-05-19T00:00:00"/>
  </r>
  <r>
    <x v="1031"/>
    <d v="1899-12-30T00:40:48"/>
    <x v="303"/>
    <x v="1"/>
    <s v="brockport"/>
    <x v="45"/>
    <n v="1691426"/>
    <x v="0"/>
    <s v="Social Science; Health"/>
    <s v="9781118839492"/>
    <s v=",1,2,3,3,1,2,41,42,43,41,43,42,39,44,44,45,46,45,46,47,2,47,95,96,95,96,93,97,94,97,94,98,98,99,99,100,100,101,102,101,102,103,103,104,104,105,105,106,107,108,107,106,108,109,109,110,111,110,111,113,112,108,112,113,110"/>
    <n v="32"/>
    <m/>
    <m/>
    <s v="No"/>
    <x v="1"/>
    <m/>
    <m/>
    <s v="137.21.7.121"/>
    <s v="RA781.7 -- .P396 2014eb"/>
    <n v="613.70460000000003"/>
    <d v="2014-05-13T00:00:00"/>
  </r>
  <r>
    <x v="1032"/>
    <d v="1899-12-30T02:05:36"/>
    <x v="71"/>
    <x v="0"/>
    <s v="Buffalo"/>
    <x v="247"/>
    <n v="1161538"/>
    <x v="0"/>
    <s v="Business/Management; Economics"/>
    <s v="9781118521755"/>
    <s v=",1,2,3,84,85,86,82,83,87,88,89,90,91,92,93,94,95,96,97,98,99,100,101,102,103,104,105,106,101,107,108,109,110,111,112,113,114,115,116,117,118,118,118,119,119,120,121,122,123,124,113,112"/>
    <n v="46"/>
    <m/>
    <m/>
    <s v="No"/>
    <x v="0"/>
    <d v="2016-01-05T13:28:20"/>
    <n v="7"/>
    <s v="128.205.114.91"/>
    <s v="HG6041 -- .L44 2013eb"/>
    <n v="332.63220000000001"/>
    <d v="2013-03-26T00:00:00"/>
  </r>
  <r>
    <x v="1033"/>
    <d v="1899-12-30T00:17:08"/>
    <x v="267"/>
    <x v="6"/>
    <s v="sjfc"/>
    <x v="283"/>
    <n v="1768753"/>
    <x v="4"/>
    <s v="Social Science"/>
    <s v="9781462518371"/>
    <s v=",331,331,1,3"/>
    <n v="3"/>
    <m/>
    <m/>
    <s v="Yes"/>
    <x v="0"/>
    <d v="2016-01-11T15:53:20"/>
    <n v="7"/>
    <s v="149.69.254.57"/>
    <s v="HM686 -- .H36 2015eb"/>
    <s v="303.3/2"/>
    <d v="2014-11-10T00:00:00"/>
  </r>
  <r>
    <x v="1033"/>
    <d v="1899-12-30T00:00:00"/>
    <x v="267"/>
    <x v="6"/>
    <s v="sjfc"/>
    <x v="283"/>
    <n v="1768753"/>
    <x v="4"/>
    <s v="Social Science"/>
    <s v="9781462518371"/>
    <m/>
    <n v="0"/>
    <m/>
    <m/>
    <s v="No"/>
    <x v="0"/>
    <d v="2016-01-11T15:53:20"/>
    <n v="7"/>
    <s v="149.69.254.57"/>
    <s v="HM686 -- .H36 2015eb"/>
    <s v="303.3/2"/>
    <d v="2014-11-10T00:00:00"/>
  </r>
  <r>
    <x v="1034"/>
    <d v="1899-12-30T00:07:54"/>
    <x v="267"/>
    <x v="6"/>
    <s v="sjfc"/>
    <x v="283"/>
    <n v="1768753"/>
    <x v="4"/>
    <s v="Social Science"/>
    <s v="9781462518371"/>
    <s v=",1,2,3,321,322,323,319,320,324,325,326,327,328,329,330,331,332,333,334,335,336"/>
    <n v="21"/>
    <m/>
    <m/>
    <s v="No"/>
    <x v="1"/>
    <m/>
    <m/>
    <s v="149.69.254.57"/>
    <s v="HM686 -- .H36 2015eb"/>
    <s v="303.3/2"/>
    <d v="2014-11-10T00:00:00"/>
  </r>
  <r>
    <x v="1035"/>
    <d v="1899-12-30T01:06:52"/>
    <x v="64"/>
    <x v="6"/>
    <s v="sjfc"/>
    <x v="75"/>
    <n v="1986951"/>
    <x v="0"/>
    <s v="Business/Management"/>
    <s v="9781119130468"/>
    <s v=",1,2,3,327,328,329,325,326,330,331,332,333,326,325,330,325,325,325,331,332,333,331,332,327,333,332,333,328,327,334,372,371,369,370,396,397,396,397,398,1,398,396,397"/>
    <n v="20"/>
    <s v=",328"/>
    <m/>
    <s v="No"/>
    <x v="0"/>
    <d v="2016-01-08T20:17:51"/>
    <n v="7"/>
    <s v="149.69.254.57"/>
    <s v="HF5661"/>
    <n v="657.07600000000002"/>
    <d v="2015-05-19T00:00:00"/>
  </r>
  <r>
    <x v="1036"/>
    <d v="1899-12-30T01:21:52"/>
    <x v="304"/>
    <x v="1"/>
    <s v="brockport"/>
    <x v="312"/>
    <n v="3038714"/>
    <x v="11"/>
    <s v="Military Science; Social Science"/>
    <s v="9780226210124"/>
    <s v=",16,15,16,11,17,18,12,19,20,21,22,17,23,24,25,26,27,28,29,30,128,129,130,126,127,131,132,160,161,162,158,159,163,164,165,166,167,168,197,198,199,195,196,200,201,202,203,268,269,270,266,267,271,272,273,274,275,276,277,278,279,280,281,295,296,297,293,294,298,299,300,301,303,302,304,305,306,307,308,309,310,311,312,313,314,315"/>
    <n v="84"/>
    <s v=",13,14,15,20,128,299,309,310"/>
    <m/>
    <s v="No"/>
    <x v="2"/>
    <d v="2016-01-11T14:35:27"/>
    <n v="1"/>
    <s v="137.21.7.121"/>
    <s v="UB363 -- .K56 2015eb"/>
    <s v="362.4086/970973"/>
    <d v="2015-03-01T00:00:00"/>
  </r>
  <r>
    <x v="1037"/>
    <d v="1899-12-30T00:06:39"/>
    <x v="304"/>
    <x v="1"/>
    <s v="brockport"/>
    <x v="312"/>
    <n v="3038714"/>
    <x v="11"/>
    <s v="Military Science; Social Science"/>
    <s v="9780226210124"/>
    <s v=",1,2,3,12,13,14,10,11,15"/>
    <n v="9"/>
    <m/>
    <m/>
    <s v="No"/>
    <x v="3"/>
    <m/>
    <m/>
    <s v="137.21.7.121"/>
    <s v="UB363 -- .K56 2015eb"/>
    <s v="362.4086/970973"/>
    <d v="2015-03-01T00:00:00"/>
  </r>
  <r>
    <x v="1038"/>
    <d v="1899-12-30T00:14:32"/>
    <x v="241"/>
    <x v="0"/>
    <s v="Buffalo"/>
    <x v="313"/>
    <n v="1358564"/>
    <x v="0"/>
    <s v="Military Science"/>
    <s v="9781118646267"/>
    <s v=",1,2,3,1,2,3,124,125,126,122,123,155,156,157,153,154,191,224,225,226,227,223,228,229,230,231,243,302,299,300,301,297,298,296,292,290,284,282,283,280,279,272,273,274,270,271,267,265,121,266,263,264,268,269,270,271,120,119,118,117,273,274,275,276,277,127,278,279,128,129,280,130,281,131"/>
    <n v="65"/>
    <m/>
    <m/>
    <s v="No"/>
    <x v="0"/>
    <d v="2016-01-08T01:50:05"/>
    <n v="7"/>
    <s v="128.205.114.91"/>
    <s v="U408.5 -- .P69 2013eb"/>
    <n v="355.00760000000002"/>
    <d v="2013-08-01T00:00:00"/>
  </r>
  <r>
    <x v="1039"/>
    <d v="1899-12-30T00:15:16"/>
    <x v="241"/>
    <x v="0"/>
    <s v="Buffalo"/>
    <x v="313"/>
    <n v="1358564"/>
    <x v="0"/>
    <s v="Military Science"/>
    <s v="9781118646267"/>
    <s v=",1,2,3,115,116,117,113,118,114,1,2,3,153,154,155,156,157,200,208,207,209,210,211,212,213,231,257,258,259,260,261,262,263,264,124,125,126,122,123,128,129,130,131,127,132,133,134,57,54,265,119,266,267,268,269,120,270,271,272,273,274,275"/>
    <n v="59"/>
    <m/>
    <m/>
    <s v="No"/>
    <x v="0"/>
    <d v="2016-01-08T01:50:05"/>
    <n v="7"/>
    <s v="128.205.114.91"/>
    <s v="U408.5 -- .P69 2013eb"/>
    <n v="355.00760000000002"/>
    <d v="2013-08-01T00:00:00"/>
  </r>
  <r>
    <x v="1040"/>
    <d v="1899-12-30T00:31:28"/>
    <x v="71"/>
    <x v="0"/>
    <s v="Buffalo"/>
    <x v="247"/>
    <n v="1161538"/>
    <x v="0"/>
    <s v="Business/Management; Economics"/>
    <s v="9781118521755"/>
    <s v=",1,2,3,77,78,79,75,76,80,81,82,83,84,85,86,87"/>
    <n v="16"/>
    <m/>
    <m/>
    <s v="No"/>
    <x v="0"/>
    <d v="2016-01-05T13:28:20"/>
    <n v="7"/>
    <s v="128.205.114.91"/>
    <s v="HG6041 -- .L44 2013eb"/>
    <n v="332.63220000000001"/>
    <d v="2013-03-26T00:00:00"/>
  </r>
  <r>
    <x v="1041"/>
    <d v="1899-12-30T00:03:35"/>
    <x v="234"/>
    <x v="1"/>
    <s v="brockport"/>
    <x v="45"/>
    <n v="1691426"/>
    <x v="0"/>
    <s v="Social Science; Health"/>
    <s v="9781118839492"/>
    <s v=",1,2,3,97,98,99,95,96,103,100,2,1,3,97,98,99,95,96"/>
    <n v="10"/>
    <m/>
    <m/>
    <s v="No"/>
    <x v="0"/>
    <d v="2016-01-06T22:43:01"/>
    <n v="7"/>
    <s v="137.21.7.121"/>
    <s v="RA781.7 -- .P396 2014eb"/>
    <n v="613.70460000000003"/>
    <d v="2014-05-13T00:00:00"/>
  </r>
  <r>
    <x v="1042"/>
    <d v="1899-12-30T00:00:14"/>
    <x v="305"/>
    <x v="13"/>
    <s v="buffalostate"/>
    <x v="314"/>
    <n v="1765699"/>
    <x v="16"/>
    <s v="Social Science"/>
    <s v="9781137388476"/>
    <s v=",1,2,3,20,30"/>
    <n v="5"/>
    <m/>
    <m/>
    <s v="No"/>
    <x v="1"/>
    <m/>
    <m/>
    <s v="136.183.11.43"/>
    <s v="HV1568 -- .D5688 2014eb"/>
    <s v="365/.60870973"/>
    <d v="2014-05-29T00:00:00"/>
  </r>
  <r>
    <x v="1043"/>
    <d v="1899-12-30T00:01:31"/>
    <x v="294"/>
    <x v="0"/>
    <s v="Buffalo"/>
    <x v="315"/>
    <n v="3061187"/>
    <x v="2"/>
    <s v="Literature"/>
    <s v="9781315856018"/>
    <s v=",1,2,3,6,7,8,4,5,9,10,11"/>
    <n v="11"/>
    <m/>
    <m/>
    <s v="No"/>
    <x v="3"/>
    <m/>
    <m/>
    <s v="128.205.114.91"/>
    <s v="PR33 -- .P84 2014eb"/>
    <s v="820.71/1"/>
    <d v="2013-12-01T00:00:00"/>
  </r>
  <r>
    <x v="1044"/>
    <d v="1899-12-30T04:35:15"/>
    <x v="241"/>
    <x v="0"/>
    <s v="Buffalo"/>
    <x v="316"/>
    <n v="3058958"/>
    <x v="9"/>
    <s v="Military Science"/>
    <s v="9781118525500"/>
    <s v=",1,2,3,79,80,81,77,78,82,83,84,85,93,94,98,99,96,100,97,102,103,101,105,1,105,106,107,103,104,2,79,80,81,77,78,98,102,100,101,108,109,110,111,112,113,114,115,116,117,119,120,121,118,122,123,124,125,126,127,128,129,130,131,132,133,134,135,136,137,138,139,140,141,142,143,144,153,154,155,151,152,145,147,146,1,146,147,148,144,145,149,2,150,151,152,153,154,155,157,1,157,158,159,155,156,2,160,161,162,163,164,165,171,172,169,170,174,175,1,175,173,174,2"/>
    <n v="91"/>
    <m/>
    <m/>
    <s v="No"/>
    <x v="2"/>
    <d v="2016-01-11T02:26:05"/>
    <n v="1"/>
    <s v="128.205.114.91"/>
    <s v="U408.5 -- .P694 2013eb"/>
    <n v="355.00760000000002"/>
    <d v="2013-05-06T00:00:00"/>
  </r>
  <r>
    <x v="1045"/>
    <d v="1899-12-30T00:01:54"/>
    <x v="241"/>
    <x v="0"/>
    <s v="Buffalo"/>
    <x v="316"/>
    <n v="3058958"/>
    <x v="9"/>
    <s v="Military Science"/>
    <s v="9781118525500"/>
    <s v=",83,1,83,81,82,84,85,2,1,2,3,4,1,4,5,6,2,3,1,3,4,5,2"/>
    <n v="11"/>
    <m/>
    <m/>
    <s v="No"/>
    <x v="2"/>
    <d v="2016-01-11T02:26:05"/>
    <n v="1"/>
    <s v="128.205.114.91"/>
    <s v="U408.5 -- .P694 2013eb"/>
    <n v="355.00760000000002"/>
    <d v="2013-05-06T00:00:00"/>
  </r>
  <r>
    <x v="1046"/>
    <d v="1899-12-30T00:09:43"/>
    <x v="241"/>
    <x v="0"/>
    <s v="Buffalo"/>
    <x v="316"/>
    <n v="3058958"/>
    <x v="9"/>
    <s v="Military Science"/>
    <s v="9781118525500"/>
    <s v=",1,2,3,5,6,77,78,79,80,76,82"/>
    <n v="11"/>
    <m/>
    <m/>
    <s v="No"/>
    <x v="3"/>
    <m/>
    <m/>
    <s v="128.205.114.91"/>
    <s v="U408.5 -- .P694 2013eb"/>
    <n v="355.00760000000002"/>
    <d v="2013-05-06T00:00:00"/>
  </r>
  <r>
    <x v="1047"/>
    <d v="1899-12-30T00:04:25"/>
    <x v="241"/>
    <x v="0"/>
    <s v="Buffalo"/>
    <x v="313"/>
    <n v="1358564"/>
    <x v="0"/>
    <s v="Military Science"/>
    <s v="9781118646267"/>
    <s v=",1,2,3,1,3,2,15,14,53,54,55,51,52,87,88,89,85,86,87,88,89,85,86,155,156,157,153,154,158,159,160,196,208,209,210,90,206,211,212,213,214,215,216,217,218,219,220,221,222,223,224,225,226,227,228,229,230,231,232,233,234,235,236,237,238,239,240,241"/>
    <n v="60"/>
    <m/>
    <m/>
    <s v="No"/>
    <x v="0"/>
    <d v="2016-01-08T01:50:05"/>
    <n v="7"/>
    <s v="128.205.114.91"/>
    <s v="U408.5 -- .P69 2013eb"/>
    <n v="355.00760000000002"/>
    <d v="2013-08-01T00:00:00"/>
  </r>
  <r>
    <x v="1048"/>
    <d v="1899-12-30T00:16:17"/>
    <x v="306"/>
    <x v="0"/>
    <s v="Buffalo"/>
    <x v="317"/>
    <n v="2006078"/>
    <x v="0"/>
    <s v="Fine Arts"/>
    <s v="9781118475386"/>
    <s v=",1,2,3,4,5,6,7,8,9,10,11,12,13,14,15,16,17,18,19,20,21,22,23,24,25,26,27,28,29,30,31,32,33,34,35,36,37,38,39,40,41,42"/>
    <n v="42"/>
    <m/>
    <m/>
    <s v="No"/>
    <x v="0"/>
    <d v="2016-01-09T16:53:49"/>
    <n v="7"/>
    <s v="128.205.114.91"/>
    <s v="N6494.V53 -- .W47 2016eb"/>
    <n v="777"/>
    <d v="2015-03-26T00:00:00"/>
  </r>
  <r>
    <x v="1049"/>
    <d v="1899-12-30T00:37:50"/>
    <x v="264"/>
    <x v="1"/>
    <s v="brockport"/>
    <x v="45"/>
    <n v="1691426"/>
    <x v="0"/>
    <s v="Social Science; Health"/>
    <s v="9781118839492"/>
    <s v=",1,2,3,97,98,99,95,96,100,101,102,103,104,105,106,107,108,109,110,111,112,113,114,115,116,117,118,119,120,121,122,123,124,125,126,127,151,152,153,149,150,154,155,156,157,158,159,160,161,162,163,164,165,166,167,168,169,170,171,172,173,174,175,176,177,178,179"/>
    <n v="67"/>
    <m/>
    <m/>
    <s v="No"/>
    <x v="0"/>
    <d v="2016-01-11T00:29:37"/>
    <n v="7"/>
    <s v="137.21.7.121"/>
    <s v="RA781.7 -- .P396 2014eb"/>
    <n v="613.70460000000003"/>
    <d v="2014-05-13T00:00:00"/>
  </r>
  <r>
    <x v="1050"/>
    <d v="1899-12-30T00:00:03"/>
    <x v="264"/>
    <x v="1"/>
    <s v="brockport"/>
    <x v="45"/>
    <n v="1691426"/>
    <x v="0"/>
    <s v="Social Science; Health"/>
    <s v="9781118839492"/>
    <m/>
    <n v="0"/>
    <m/>
    <m/>
    <s v="No"/>
    <x v="1"/>
    <m/>
    <m/>
    <s v="137.21.7.121"/>
    <s v="RA781.7 -- .P396 2014eb"/>
    <n v="613.70460000000003"/>
    <d v="2014-05-13T00:00:00"/>
  </r>
  <r>
    <x v="1051"/>
    <d v="1899-12-30T00:24:13"/>
    <x v="306"/>
    <x v="0"/>
    <s v="Buffalo"/>
    <x v="317"/>
    <n v="2006078"/>
    <x v="0"/>
    <s v="Fine Arts"/>
    <s v="9781118475386"/>
    <s v=",1,2,3,4,5,6,7,8,9,10,11,12,13,14,15,16,17,18,19,20,21,22,23,24,25,26,27,28,29,30,31"/>
    <n v="31"/>
    <m/>
    <m/>
    <s v="No"/>
    <x v="0"/>
    <d v="2016-01-09T16:53:49"/>
    <n v="7"/>
    <s v="128.205.114.91"/>
    <s v="N6494.V53 -- .W47 2016eb"/>
    <n v="777"/>
    <d v="2015-03-26T00:00:00"/>
  </r>
  <r>
    <x v="1052"/>
    <d v="1899-12-30T00:35:59"/>
    <x v="307"/>
    <x v="1"/>
    <s v="brockport"/>
    <x v="45"/>
    <n v="1691426"/>
    <x v="0"/>
    <s v="Social Science; Health"/>
    <s v="9781118839492"/>
    <s v=",103,104,105,106,107,108,109,104,110,111,112,113,114,115,116,117,118,119,120,121,122,123,124,125,126,127,128,129,130,131,132"/>
    <n v="30"/>
    <m/>
    <m/>
    <s v="No"/>
    <x v="0"/>
    <d v="2016-01-10T21:14:49"/>
    <n v="7"/>
    <s v="137.21.7.121"/>
    <s v="RA781.7 -- .P396 2014eb"/>
    <n v="613.70460000000003"/>
    <d v="2014-05-13T00:00:00"/>
  </r>
  <r>
    <x v="1053"/>
    <d v="1899-12-30T00:11:25"/>
    <x v="307"/>
    <x v="1"/>
    <s v="brockport"/>
    <x v="45"/>
    <n v="1691426"/>
    <x v="0"/>
    <s v="Social Science; Health"/>
    <s v="9781118839492"/>
    <s v=",1,2,3,97,98,99,95,96,100,101,102"/>
    <n v="11"/>
    <m/>
    <m/>
    <s v="No"/>
    <x v="1"/>
    <m/>
    <m/>
    <s v="137.21.7.121"/>
    <s v="RA781.7 -- .P396 2014eb"/>
    <n v="613.70460000000003"/>
    <d v="2014-05-13T00:00:00"/>
  </r>
  <r>
    <x v="1054"/>
    <d v="1899-12-30T02:49:17"/>
    <x v="241"/>
    <x v="0"/>
    <s v="Buffalo"/>
    <x v="318"/>
    <n v="1895286"/>
    <x v="0"/>
    <s v="Military Science"/>
    <s v="9781119038351"/>
    <s v=",1,2,3,255,256,257,253,254,258,269,270,271,272,268,274,275,276,273,274,275,262,1,3,2,255,256,257,253,254,258,276,277,278,279,224,225,226,222,223,301,302,303,299,300,304,305,306,280,281,282,1,282,283,284,280,281,285,2,286,307,279,288,289,290,291,292,293,294,309,310,311,308,295,287"/>
    <n v="56"/>
    <m/>
    <m/>
    <s v="No"/>
    <x v="0"/>
    <d v="2016-01-10T18:16:06"/>
    <n v="7"/>
    <s v="128.205.114.91"/>
    <s v="U408.5"/>
    <n v="355.61"/>
    <d v="2015-05-07T00:00:00"/>
  </r>
  <r>
    <x v="1055"/>
    <d v="1899-12-30T00:02:50"/>
    <x v="246"/>
    <x v="1"/>
    <s v="brockport"/>
    <x v="319"/>
    <n v="1318975"/>
    <x v="2"/>
    <s v="Literature"/>
    <s v="9781136310416"/>
    <s v=",2,2,45,18,49,49,49,49,49,49,50,51,52,53,54,55"/>
    <n v="10"/>
    <m/>
    <m/>
    <s v="No"/>
    <x v="2"/>
    <d v="2016-01-10T19:06:23"/>
    <n v="1"/>
    <s v="137.21.7.121"/>
    <s v="PR33 -- .A84 2013eb"/>
    <n v="820"/>
    <d v="2013-07-18T00:00:00"/>
  </r>
  <r>
    <x v="1056"/>
    <d v="1899-12-30T00:00:18"/>
    <x v="246"/>
    <x v="1"/>
    <s v="brockport"/>
    <x v="319"/>
    <n v="1318975"/>
    <x v="2"/>
    <s v="Literature"/>
    <s v="9781136310416"/>
    <s v=",1,2,1,2,3,3,1"/>
    <n v="3"/>
    <m/>
    <m/>
    <s v="No"/>
    <x v="3"/>
    <m/>
    <m/>
    <s v="137.21.7.121"/>
    <s v="PR33 -- .A84 2013eb"/>
    <n v="820"/>
    <d v="2013-07-18T00:00:00"/>
  </r>
  <r>
    <x v="1057"/>
    <d v="1899-12-30T00:01:59"/>
    <x v="241"/>
    <x v="0"/>
    <s v="Buffalo"/>
    <x v="318"/>
    <n v="1895286"/>
    <x v="0"/>
    <s v="Military Science"/>
    <s v="9781119038351"/>
    <s v=",255,256,257,253,254,270,271,272,268,269"/>
    <n v="10"/>
    <m/>
    <s v=",224,270"/>
    <s v="No"/>
    <x v="0"/>
    <d v="2016-01-10T18:16:06"/>
    <n v="7"/>
    <s v="128.205.114.91"/>
    <s v="U408.5"/>
    <n v="355.61"/>
    <d v="2015-05-07T00:00:00"/>
  </r>
  <r>
    <x v="1058"/>
    <d v="1899-12-30T00:00:59"/>
    <x v="241"/>
    <x v="0"/>
    <s v="Buffalo"/>
    <x v="318"/>
    <n v="1895286"/>
    <x v="0"/>
    <s v="Military Science"/>
    <s v="9781119038351"/>
    <s v=",1,2,3,224,225,226,222,223"/>
    <n v="8"/>
    <m/>
    <m/>
    <s v="No"/>
    <x v="1"/>
    <m/>
    <m/>
    <s v="128.205.114.91"/>
    <s v="U408.5"/>
    <n v="355.61"/>
    <d v="2015-05-07T00:00:00"/>
  </r>
  <r>
    <x v="1059"/>
    <d v="1899-12-30T06:00:06"/>
    <x v="256"/>
    <x v="1"/>
    <s v="brockport"/>
    <x v="45"/>
    <n v="1691426"/>
    <x v="0"/>
    <s v="Social Science; Health"/>
    <s v="9781118839492"/>
    <s v=",1,2,3,4,21,101,123,90,69,70,71,67,68,72,73,74,75,76,77,78,79,80,81,82,83,84,85,86,87,88,89,90,91,92,93,94,95,96,97,98,99,20,8,9,10,11,12,31,38,44,45,46,42,43,40,41,39,38,37,36,35,33,34,32,31,30,29,28,27,26,25,24,23,32,33,34,35,36,37,38,39,40,98,166,173,182,186,193,194,195,191,192,196,148,86,87,88,89,126,144,145,146,143,142,140,133,132,131,130,129,127,128,124,122,121,123,120,118,108,109,110,106,107,105,104,103,101,102,100,99,98,97,96,95,100,101,102,103,104,105,106,107,108,109,94,102,103,104,105,106,107,108,109,110,111,112,113,114"/>
    <n v="114"/>
    <m/>
    <m/>
    <s v="No"/>
    <x v="0"/>
    <d v="2016-01-05T00:53:45"/>
    <n v="7"/>
    <s v="137.21.7.121"/>
    <s v="RA781.7 -- .P396 2014eb"/>
    <n v="613.70460000000003"/>
    <d v="2014-05-13T00:00:00"/>
  </r>
  <r>
    <x v="1060"/>
    <d v="1899-12-30T00:00:13"/>
    <x v="232"/>
    <x v="1"/>
    <s v="brockport"/>
    <x v="45"/>
    <n v="1691426"/>
    <x v="0"/>
    <s v="Social Science; Health"/>
    <s v="9781118839492"/>
    <s v=",27,28,29,25,26,36,37,38,34,35"/>
    <n v="10"/>
    <m/>
    <m/>
    <s v="No"/>
    <x v="0"/>
    <d v="2016-01-10T17:21:08"/>
    <n v="7"/>
    <s v="137.21.7.121"/>
    <s v="RA781.7 -- .P396 2014eb"/>
    <n v="613.70460000000003"/>
    <d v="2014-05-13T00:00:00"/>
  </r>
  <r>
    <x v="1061"/>
    <d v="1899-12-30T00:00:00"/>
    <x v="241"/>
    <x v="0"/>
    <s v="Buffalo"/>
    <x v="320"/>
    <n v="2006127"/>
    <x v="0"/>
    <s v="Military Science"/>
    <s v="9781119038474"/>
    <s v=",227"/>
    <n v="1"/>
    <m/>
    <m/>
    <s v="No"/>
    <x v="0"/>
    <d v="2016-01-10T16:34:21"/>
    <n v="7"/>
    <s v="128.205.114.91"/>
    <s v="U408.5 -- .P694 2015eb"/>
    <n v="355.00760000000002"/>
    <d v="2015-03-27T00:00:00"/>
  </r>
  <r>
    <x v="1062"/>
    <d v="1899-12-30T00:05:17"/>
    <x v="241"/>
    <x v="0"/>
    <s v="Buffalo"/>
    <x v="320"/>
    <n v="2006127"/>
    <x v="0"/>
    <s v="Military Science"/>
    <s v="9781119038474"/>
    <s v=",1,2,3,28,29,30,26,27,31,32,33,34,35,57,58,59,55,56,92,93,94,90,91,115,116,117,113,114,165,166,167,163,164,168,196,197,198,199,195,223,224,225,221,222,226"/>
    <n v="45"/>
    <m/>
    <m/>
    <s v="No"/>
    <x v="3"/>
    <m/>
    <m/>
    <s v="128.205.114.91"/>
    <s v="U408.5 -- .P694 2015eb"/>
    <n v="355.00760000000002"/>
    <d v="2015-03-27T00:00:00"/>
  </r>
  <r>
    <x v="1063"/>
    <d v="1899-12-30T01:04:04"/>
    <x v="232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1064"/>
    <d v="1899-12-30T06:29:21"/>
    <x v="269"/>
    <x v="1"/>
    <s v="brockport"/>
    <x v="45"/>
    <n v="1691426"/>
    <x v="0"/>
    <s v="Social Science; Health"/>
    <s v="9781118839492"/>
    <s v=",1,2,3,40,41,42,38,39,43,51,52,53,50,49,54,55,56,57,58,59,60,61,62,63,64,65,66,67,68,69,70,71,72,73,74,75,76,77,78,79,80,81,82,83,84,85,86,87,88,89,90,91,92,93,94,95,96,97,7,8,9,5,6,10,11,12,13,14,15,16,17,18,9,8,5,6,27,28,29,25,26,30,31,332,333,334,330,331,335,336,337,338,339,27,28,29,25,26,30,31,332,333,334,330,331"/>
    <n v="89"/>
    <m/>
    <m/>
    <s v="No"/>
    <x v="0"/>
    <d v="2016-01-04T23:59:15"/>
    <n v="7"/>
    <s v="137.21.7.121"/>
    <s v="RA781.7 -- .P396 2014eb"/>
    <n v="613.70460000000003"/>
    <d v="2014-05-13T00:00:00"/>
  </r>
  <r>
    <x v="1065"/>
    <d v="1899-12-30T03:13:05"/>
    <x v="308"/>
    <x v="0"/>
    <s v="Buffalo"/>
    <x v="321"/>
    <n v="1184140"/>
    <x v="0"/>
    <s v="Military Science; Social Science"/>
    <s v="9780745663036"/>
    <s v=",119,119,120,120,121,121,122,122,123,123,124,124,125,125,126,126,127,127,128,128,129,129,130,130,131,131,132,132,133,133,134,134,135,135,135,1,135,137,136,137,133,136,134,1,134,138,138,2,2,139,139,140,140,141,141,142,142,143,143,144,144,145,145,146,146,147,147,148,148,149,149,150,150,151,151,152,152,153,153,154,154,155,155,156,156,157,157,158,158,159,159,160,160,161,161,162,162,163,163,164,164,165,165,166,166,167,167,168,168,169,169,170,170,171,171,172,172,173,173,174,174,175,175,176,176,177,177,178,178,179,179,180,180,181,181,182,182,183,183,184,184,185,185,186,186,187,187,188,188,189,189,190,190,191,191,192,192,193,193,194,194,195,195,196,196,197,197,198,198,199,199,200,200,201,201,202,202,203,203,204,204,205,205,206,206,207,207,208,208,209,209,210,210,211,211,212,212,213,213,214,214,215,215,216,216,217,217,218,218,219,219,220,220,221,221,222,222,223,223,224,224,225,225,226,226,227,227,228,228,229,229,230,230,231,231,232,232,233,233,234,234,235,235,236,236,237,237,238,238"/>
    <n v="122"/>
    <m/>
    <m/>
    <s v="No"/>
    <x v="2"/>
    <d v="2016-01-10T13:11:00"/>
    <n v="1"/>
    <s v="128.205.114.91"/>
    <s v="U240 .K34"/>
    <n v="303.66000000000003"/>
    <d v="2013-04-26T00:00:00"/>
  </r>
  <r>
    <x v="1066"/>
    <d v="1899-12-30T00:05:48"/>
    <x v="308"/>
    <x v="0"/>
    <s v="Buffalo"/>
    <x v="321"/>
    <n v="1184140"/>
    <x v="0"/>
    <s v="Military Science; Social Science"/>
    <s v="9780745663036"/>
    <s v=",1,2,2,3,3,1,85,86,85,87,86,87,83,84,84,108,109,108,110,109,110,106,107,107,2,111,111,112,112,113,113,114,114,115,115,116,116,117,117,118,118"/>
    <n v="21"/>
    <m/>
    <m/>
    <s v="No"/>
    <x v="3"/>
    <m/>
    <m/>
    <s v="128.205.114.91"/>
    <s v="U240 .K34"/>
    <n v="303.66000000000003"/>
    <d v="2013-04-26T00:00:00"/>
  </r>
  <r>
    <x v="1067"/>
    <d v="1899-12-30T00:00:27"/>
    <x v="269"/>
    <x v="1"/>
    <s v="brockport"/>
    <x v="45"/>
    <n v="1691426"/>
    <x v="0"/>
    <s v="Social Science; Health"/>
    <s v="9781118839492"/>
    <s v=",1,3"/>
    <n v="2"/>
    <m/>
    <m/>
    <s v="No"/>
    <x v="0"/>
    <d v="2016-01-04T23:59:15"/>
    <n v="7"/>
    <s v="137.21.7.121"/>
    <s v="RA781.7 -- .P396 2014eb"/>
    <n v="613.70460000000003"/>
    <d v="2014-05-13T00:00:00"/>
  </r>
  <r>
    <x v="1068"/>
    <d v="1899-12-30T00:00:00"/>
    <x v="105"/>
    <x v="0"/>
    <s v="Buffalo"/>
    <x v="106"/>
    <n v="1397236"/>
    <x v="2"/>
    <s v="Fine Arts"/>
    <s v="9781135871451"/>
    <m/>
    <n v="0"/>
    <m/>
    <m/>
    <s v="Yes"/>
    <x v="2"/>
    <d v="2016-01-10T11:36:19"/>
    <n v="7"/>
    <s v="128.205.114.91"/>
    <s v="N7480 -- .E46 2005eb"/>
    <n v="701.18"/>
    <d v="2013-09-13T00:00:00"/>
  </r>
  <r>
    <x v="1068"/>
    <d v="1899-12-30T00:00:00"/>
    <x v="105"/>
    <x v="0"/>
    <s v="Buffalo"/>
    <x v="106"/>
    <n v="1397236"/>
    <x v="2"/>
    <s v="Fine Arts"/>
    <s v="9781135871451"/>
    <m/>
    <n v="0"/>
    <m/>
    <m/>
    <s v="No"/>
    <x v="2"/>
    <d v="2016-01-10T11:36:19"/>
    <n v="7"/>
    <s v="128.205.114.91"/>
    <s v="N7480 -- .E46 2005eb"/>
    <n v="701.18"/>
    <d v="2013-09-13T00:00:00"/>
  </r>
  <r>
    <x v="1069"/>
    <d v="1899-12-30T00:00:22"/>
    <x v="105"/>
    <x v="0"/>
    <s v="Buffalo"/>
    <x v="106"/>
    <n v="1397236"/>
    <x v="2"/>
    <s v="Fine Arts"/>
    <s v="9781135871451"/>
    <s v=",1,2,3"/>
    <n v="3"/>
    <m/>
    <m/>
    <s v="No"/>
    <x v="3"/>
    <m/>
    <m/>
    <s v="128.205.114.91"/>
    <s v="N7480 -- .E46 2005eb"/>
    <n v="701.18"/>
    <d v="2013-09-13T00:00:00"/>
  </r>
  <r>
    <x v="1070"/>
    <d v="1899-12-30T00:48:09"/>
    <x v="264"/>
    <x v="1"/>
    <s v="brockport"/>
    <x v="45"/>
    <n v="1691426"/>
    <x v="0"/>
    <s v="Social Science; Health"/>
    <s v="9781118839492"/>
    <s v=",1,2,3,97,98,99,95,96,107,108,109,105,106,151,152,153,149,150,154,101,102,103,104,100"/>
    <n v="24"/>
    <m/>
    <m/>
    <s v="No"/>
    <x v="0"/>
    <d v="2016-01-03T22:10:16"/>
    <n v="7"/>
    <s v="137.21.7.121"/>
    <s v="RA781.7 -- .P396 2014eb"/>
    <n v="613.70460000000003"/>
    <d v="2014-05-13T00:00:00"/>
  </r>
  <r>
    <x v="1071"/>
    <d v="1899-12-30T00:00:12"/>
    <x v="309"/>
    <x v="1"/>
    <s v="brockport"/>
    <x v="322"/>
    <n v="1728048"/>
    <x v="11"/>
    <s v="Economics; Business/Management"/>
    <s v="9780226093284"/>
    <s v=",1,2,3,4,5,6,7"/>
    <n v="7"/>
    <m/>
    <m/>
    <s v="No"/>
    <x v="3"/>
    <m/>
    <m/>
    <s v="137.21.7.121"/>
    <s v="HD7293"/>
    <s v="333.33/80973"/>
    <d v="2014-10-17T00:00:00"/>
  </r>
  <r>
    <x v="1072"/>
    <d v="1899-12-30T00:33:28"/>
    <x v="241"/>
    <x v="0"/>
    <s v="Buffalo"/>
    <x v="313"/>
    <n v="1358564"/>
    <x v="0"/>
    <s v="Military Science"/>
    <s v="9781118646267"/>
    <s v=",1,2,3,155,156,157,153,159,199,200,201,197,198,1,2,3,81,82,83,79,80,84,85,86,87,88,202,208,209,213,214,215,211,212,236,237,238,234,235,239,240,241"/>
    <n v="39"/>
    <m/>
    <m/>
    <s v="No"/>
    <x v="0"/>
    <d v="2016-01-08T01:50:05"/>
    <n v="7"/>
    <s v="128.205.114.91"/>
    <s v="U408.5 -- .P69 2013eb"/>
    <n v="355.00760000000002"/>
    <d v="2013-08-01T00:00:00"/>
  </r>
  <r>
    <x v="1073"/>
    <d v="1899-12-30T00:00:00"/>
    <x v="310"/>
    <x v="0"/>
    <s v="Buffalo"/>
    <x v="323"/>
    <n v="2011349"/>
    <x v="0"/>
    <s v="Economics; Business/Management"/>
    <s v="9781119143123"/>
    <m/>
    <n v="0"/>
    <m/>
    <m/>
    <s v="Yes"/>
    <x v="0"/>
    <d v="2016-01-10T05:03:02"/>
    <n v="7"/>
    <s v="128.205.114.91"/>
    <s v="HG4661 -- .F574 2003eb"/>
    <n v="332.63200000000001"/>
    <d v="2015-04-03T00:00:00"/>
  </r>
  <r>
    <x v="1074"/>
    <d v="1899-12-30T00:00:00"/>
    <x v="310"/>
    <x v="0"/>
    <s v="Buffalo"/>
    <x v="323"/>
    <n v="2011349"/>
    <x v="0"/>
    <s v="Economics; Business/Management"/>
    <s v="9781119143123"/>
    <m/>
    <n v="0"/>
    <s v=",3"/>
    <m/>
    <s v="No"/>
    <x v="0"/>
    <d v="2016-01-10T05:03:02"/>
    <n v="7"/>
    <s v="128.205.114.91"/>
    <s v="HG4661 -- .F574 2003eb"/>
    <n v="332.63200000000001"/>
    <d v="2015-04-03T00:00:00"/>
  </r>
  <r>
    <x v="1075"/>
    <d v="1899-12-30T00:04:00"/>
    <x v="310"/>
    <x v="0"/>
    <s v="Buffalo"/>
    <x v="247"/>
    <n v="1161538"/>
    <x v="0"/>
    <s v="Business/Management; Economics"/>
    <s v="9781118521755"/>
    <s v=",1,2,3,4,5,6,30,31,93,304,43"/>
    <n v="11"/>
    <m/>
    <m/>
    <s v="No"/>
    <x v="1"/>
    <m/>
    <m/>
    <s v="128.205.114.91"/>
    <s v="HG6041 -- .L44 2013eb"/>
    <n v="332.63220000000001"/>
    <d v="2013-03-26T00:00:00"/>
  </r>
  <r>
    <x v="1076"/>
    <d v="1899-12-30T00:02:42"/>
    <x v="310"/>
    <x v="0"/>
    <s v="Buffalo"/>
    <x v="323"/>
    <n v="2011349"/>
    <x v="0"/>
    <s v="Economics; Business/Management"/>
    <s v="9781119143123"/>
    <s v=",1,2,3,4,5,6,7,8,9,10,11,12,314,320,321,318,319,1,2,3"/>
    <n v="17"/>
    <m/>
    <m/>
    <s v="No"/>
    <x v="3"/>
    <m/>
    <m/>
    <s v="128.205.114.91"/>
    <s v="HG4661 -- .F574 2003eb"/>
    <n v="332.63200000000001"/>
    <d v="2015-04-03T00:00:00"/>
  </r>
  <r>
    <x v="1077"/>
    <d v="1899-12-30T00:19:40"/>
    <x v="269"/>
    <x v="1"/>
    <s v="brockport"/>
    <x v="45"/>
    <n v="1691426"/>
    <x v="0"/>
    <s v="Social Science; Health"/>
    <s v="9781118839492"/>
    <s v=",1,2,3,37,39,35,36,38,34,33,32"/>
    <n v="11"/>
    <m/>
    <m/>
    <s v="No"/>
    <x v="0"/>
    <d v="2016-01-04T23:59:15"/>
    <n v="7"/>
    <s v="137.21.7.121"/>
    <s v="RA781.7 -- .P396 2014eb"/>
    <n v="613.70460000000003"/>
    <d v="2014-05-13T00:00:00"/>
  </r>
  <r>
    <x v="1078"/>
    <d v="1899-12-30T00:40:23"/>
    <x v="241"/>
    <x v="0"/>
    <s v="Buffalo"/>
    <x v="313"/>
    <n v="1358564"/>
    <x v="0"/>
    <s v="Military Science"/>
    <s v="9781118646267"/>
    <s v=",1,2,3,81,82,83,79,84,80,85,88,91,89,87,86"/>
    <n v="15"/>
    <m/>
    <m/>
    <s v="No"/>
    <x v="0"/>
    <d v="2016-01-08T01:50:05"/>
    <n v="7"/>
    <s v="128.205.114.91"/>
    <s v="U408.5 -- .P69 2013eb"/>
    <n v="355.00760000000002"/>
    <d v="2013-08-01T00:00:00"/>
  </r>
  <r>
    <x v="1079"/>
    <d v="1899-12-30T00:43:45"/>
    <x v="241"/>
    <x v="0"/>
    <s v="Buffalo"/>
    <x v="313"/>
    <n v="1358564"/>
    <x v="0"/>
    <s v="Military Science"/>
    <s v="9781118646267"/>
    <s v=",1,2,3,155,156,157,153,154,152,183,236,237,238,232,229,230,231,228,233,234,235"/>
    <n v="21"/>
    <m/>
    <m/>
    <s v="No"/>
    <x v="0"/>
    <d v="2016-01-08T01:50:05"/>
    <n v="7"/>
    <s v="128.205.114.91"/>
    <s v="U408.5 -- .P69 2013eb"/>
    <n v="355.00760000000002"/>
    <d v="2013-08-01T00:00:00"/>
  </r>
  <r>
    <x v="1080"/>
    <d v="1899-12-30T00:00:00"/>
    <x v="7"/>
    <x v="0"/>
    <s v="Buffalo"/>
    <x v="6"/>
    <n v="1635363"/>
    <x v="0"/>
    <s v="Law"/>
    <s v="9781118678206"/>
    <m/>
    <n v="0"/>
    <m/>
    <m/>
    <s v="Yes"/>
    <x v="0"/>
    <d v="2016-01-09T04:48:36"/>
    <n v="7"/>
    <s v="128.205.114.91"/>
    <s v="KF285.Z9 -- H38 2014eb"/>
    <n v="340.07600000000002"/>
    <d v="2014-02-14T00:00:00"/>
  </r>
  <r>
    <x v="1081"/>
    <d v="1899-12-30T00:00:50"/>
    <x v="307"/>
    <x v="1"/>
    <s v="brockport"/>
    <x v="45"/>
    <n v="1691426"/>
    <x v="0"/>
    <s v="Social Science; Health"/>
    <s v="9781118839492"/>
    <s v=",1,2,3,9,14,15,16,12,13"/>
    <n v="9"/>
    <m/>
    <m/>
    <s v="No"/>
    <x v="1"/>
    <m/>
    <m/>
    <s v="137.21.7.121"/>
    <s v="RA781.7 -- .P396 2014eb"/>
    <n v="613.70460000000003"/>
    <d v="2014-05-13T00:00:00"/>
  </r>
  <r>
    <x v="1082"/>
    <d v="1899-12-30T00:01:05"/>
    <x v="7"/>
    <x v="0"/>
    <s v="Buffalo"/>
    <x v="6"/>
    <n v="1635363"/>
    <x v="0"/>
    <s v="Law"/>
    <s v="9781118678206"/>
    <s v=",52,53,54,50,51,60,61,62,58,59,63,64,65,66,67,57,56,55"/>
    <n v="18"/>
    <m/>
    <m/>
    <s v="Yes"/>
    <x v="0"/>
    <d v="2016-01-09T04:48:36"/>
    <n v="7"/>
    <s v="128.205.114.91"/>
    <s v="KF285.Z9 -- H38 2014eb"/>
    <n v="340.07600000000002"/>
    <d v="2014-02-14T00:00:00"/>
  </r>
  <r>
    <x v="1083"/>
    <d v="1899-12-30T00:00:04"/>
    <x v="7"/>
    <x v="0"/>
    <s v="Buffalo"/>
    <x v="6"/>
    <n v="1635363"/>
    <x v="0"/>
    <s v="Law"/>
    <s v="9781118678206"/>
    <s v=",1,2,3"/>
    <n v="3"/>
    <m/>
    <m/>
    <s v="No"/>
    <x v="0"/>
    <d v="2016-01-09T04:48:36"/>
    <n v="7"/>
    <s v="128.205.114.91"/>
    <s v="KF285.Z9 -- H38 2014eb"/>
    <n v="340.07600000000002"/>
    <d v="2014-02-14T00:00:00"/>
  </r>
  <r>
    <x v="1084"/>
    <d v="1899-12-30T00:01:09"/>
    <x v="311"/>
    <x v="0"/>
    <s v="Buffalo"/>
    <x v="324"/>
    <n v="1691999"/>
    <x v="0"/>
    <s v="Engineering: General; Engineering: Civil; Engineering"/>
    <s v="9781118910061"/>
    <s v=",1,2,3,4,15,16,17,13,14,18,19,20,21,22,23,24,25,26,27,28,29,30"/>
    <n v="22"/>
    <m/>
    <m/>
    <s v="No"/>
    <x v="3"/>
    <m/>
    <m/>
    <s v="128.205.114.91"/>
    <s v="TA177 -- .W34 2014eb"/>
    <n v="620.00109999999995"/>
    <d v="2014-05-16T00:00:00"/>
  </r>
  <r>
    <x v="1085"/>
    <d v="1899-12-30T03:38:55"/>
    <x v="241"/>
    <x v="0"/>
    <s v="Buffalo"/>
    <x v="313"/>
    <n v="1358564"/>
    <x v="0"/>
    <s v="Military Science"/>
    <s v="9781118646267"/>
    <s v=",1,2,3,153,154,155,151,152,156,157,158,204,213,222,233,234,235,231,232,236,250,251,252,253,248,242,239,237,238,235,236,234,233,232,231,230,229,227,228,225,226,224,220,219,221,217,218,222,223,224,225,226,1,226,227,228,224,225,229,2,230,231,232"/>
    <n v="42"/>
    <m/>
    <m/>
    <s v="No"/>
    <x v="0"/>
    <d v="2016-01-08T01:50:05"/>
    <n v="7"/>
    <s v="128.205.114.91"/>
    <s v="U408.5 -- .P69 2013eb"/>
    <n v="355.00760000000002"/>
    <d v="2013-08-01T00:00:00"/>
  </r>
  <r>
    <x v="1086"/>
    <d v="1899-12-30T00:30:30"/>
    <x v="241"/>
    <x v="0"/>
    <s v="Buffalo"/>
    <x v="313"/>
    <n v="1358564"/>
    <x v="0"/>
    <s v="Military Science"/>
    <s v="9781118646267"/>
    <s v=",1,2,3,77,78,79,75,76,80,81,83,84,85,86,87,88,89,90,81,82,83,80"/>
    <n v="19"/>
    <m/>
    <m/>
    <s v="No"/>
    <x v="0"/>
    <d v="2016-01-08T01:50:05"/>
    <n v="7"/>
    <s v="128.205.114.91"/>
    <s v="U408.5 -- .P69 2013eb"/>
    <n v="355.00760000000002"/>
    <d v="2013-08-01T00:00:00"/>
  </r>
  <r>
    <x v="1087"/>
    <d v="1899-12-30T00:00:00"/>
    <x v="312"/>
    <x v="0"/>
    <s v="Buffalo"/>
    <x v="325"/>
    <n v="1605586"/>
    <x v="0"/>
    <s v="Engineering: Electrical; Engineering; Social Science"/>
    <s v="9780745679624"/>
    <m/>
    <n v="0"/>
    <m/>
    <m/>
    <s v="Yes"/>
    <x v="2"/>
    <d v="2016-01-09T18:56:41"/>
    <n v="7"/>
    <s v="128.205.114.91"/>
    <s v="TK6630 -- .S336 2014eb"/>
    <n v="302.23450000000003"/>
    <d v="2014-01-27T00:00:00"/>
  </r>
  <r>
    <x v="1088"/>
    <d v="1899-12-30T00:02:39"/>
    <x v="269"/>
    <x v="1"/>
    <s v="brockport"/>
    <x v="45"/>
    <n v="1691426"/>
    <x v="0"/>
    <s v="Social Science; Health"/>
    <s v="9781118839492"/>
    <s v=",1,2,3,4,5,6,7,8,30,31,32,28,29,33,34,35,36"/>
    <n v="17"/>
    <m/>
    <m/>
    <s v="No"/>
    <x v="0"/>
    <d v="2016-01-04T23:59:15"/>
    <n v="7"/>
    <s v="137.21.7.121"/>
    <s v="RA781.7 -- .P396 2014eb"/>
    <n v="613.70460000000003"/>
    <d v="2014-05-13T00:00:00"/>
  </r>
  <r>
    <x v="1089"/>
    <d v="1899-12-30T00:00:00"/>
    <x v="312"/>
    <x v="0"/>
    <s v="Buffalo"/>
    <x v="325"/>
    <n v="1605586"/>
    <x v="0"/>
    <s v="Engineering: Electrical; Engineering; Social Science"/>
    <s v="9780745679624"/>
    <m/>
    <n v="0"/>
    <m/>
    <m/>
    <s v="Yes"/>
    <x v="2"/>
    <d v="2016-01-09T18:56:41"/>
    <n v="7"/>
    <s v="128.205.114.91"/>
    <s v="TK6630 -- .S336 2014eb"/>
    <n v="302.23450000000003"/>
    <d v="2014-01-27T00:00:00"/>
  </r>
  <r>
    <x v="1089"/>
    <d v="1899-12-30T00:00:00"/>
    <x v="312"/>
    <x v="0"/>
    <s v="Buffalo"/>
    <x v="325"/>
    <n v="1605586"/>
    <x v="0"/>
    <s v="Engineering: Electrical; Engineering; Social Science"/>
    <s v="9780745679624"/>
    <m/>
    <n v="0"/>
    <m/>
    <m/>
    <s v="No"/>
    <x v="2"/>
    <d v="2016-01-09T18:56:41"/>
    <n v="7"/>
    <s v="128.205.114.91"/>
    <s v="TK6630 -- .S336 2014eb"/>
    <n v="302.23450000000003"/>
    <d v="2014-01-27T00:00:00"/>
  </r>
  <r>
    <x v="1090"/>
    <d v="1899-12-30T00:00:26"/>
    <x v="312"/>
    <x v="0"/>
    <s v="Buffalo"/>
    <x v="325"/>
    <n v="1605586"/>
    <x v="0"/>
    <s v="Engineering: Electrical; Engineering; Social Science"/>
    <s v="9780745679624"/>
    <s v=",1,2,3"/>
    <n v="3"/>
    <m/>
    <m/>
    <s v="No"/>
    <x v="3"/>
    <m/>
    <m/>
    <s v="128.205.114.91"/>
    <s v="TK6630 -- .S336 2014eb"/>
    <n v="302.23450000000003"/>
    <d v="2014-01-27T00:00:00"/>
  </r>
  <r>
    <x v="1091"/>
    <d v="1899-12-30T01:04:13"/>
    <x v="13"/>
    <x v="0"/>
    <s v="Buffalo"/>
    <x v="326"/>
    <n v="1779318"/>
    <x v="0"/>
    <s v="Computer Science/IT"/>
    <s v="9781118968093"/>
    <s v=",19,20,21,27,28,1,28,29,30,26,27,24,25,22,2,23,1,23,24,25,21,22,27,28,29,26,2,30,31,32,33,34,35,36,37,38,39,40,41,42,43,47,51,55,59,63,67,71,76,80,84,88,17,21,25,50,54,58,62,66,75,79,83,87,91,1,8,12,16,20,1,20,21,22,18,19,2,40,41,42,38,39,43,44,45,46,47,48,49,50,51,52,53,54,55,56,57,58,59,60,61,62,63,64,65,66,67,68,69"/>
    <n v="68"/>
    <m/>
    <m/>
    <s v="No"/>
    <x v="0"/>
    <d v="2016-01-09T17:49:53"/>
    <n v="7"/>
    <s v="128.205.114.91"/>
    <s v="QA76.25 -- .M336 2014eb"/>
    <n v="4.0229999999999997"/>
    <d v="2014-09-02T00:00:00"/>
  </r>
  <r>
    <x v="1092"/>
    <d v="1899-12-30T00:16:19"/>
    <x v="13"/>
    <x v="0"/>
    <s v="Buffalo"/>
    <x v="326"/>
    <n v="1779318"/>
    <x v="0"/>
    <s v="Computer Science/IT"/>
    <s v="9781118968093"/>
    <s v=",1,2,3,13,14,15,11,12,22,23,8,10,9,18,16,7,26,24,25,17"/>
    <n v="20"/>
    <m/>
    <m/>
    <s v="No"/>
    <x v="1"/>
    <m/>
    <m/>
    <s v="128.205.114.91"/>
    <s v="QA76.25 -- .M336 2014eb"/>
    <n v="4.0229999999999997"/>
    <d v="2014-09-02T00:00:00"/>
  </r>
  <r>
    <x v="1093"/>
    <d v="1899-12-30T00:00:31"/>
    <x v="269"/>
    <x v="1"/>
    <s v="brockport"/>
    <x v="45"/>
    <n v="1691426"/>
    <x v="0"/>
    <s v="Social Science; Health"/>
    <s v="9781118839492"/>
    <s v=",1,2,3"/>
    <n v="3"/>
    <m/>
    <m/>
    <s v="No"/>
    <x v="0"/>
    <d v="2016-01-04T23:59:15"/>
    <n v="7"/>
    <s v="137.21.7.121"/>
    <s v="RA781.7 -- .P396 2014eb"/>
    <n v="613.70460000000003"/>
    <d v="2014-05-13T00:00:00"/>
  </r>
  <r>
    <x v="1094"/>
    <d v="1899-12-30T00:01:40"/>
    <x v="306"/>
    <x v="0"/>
    <s v="Buffalo"/>
    <x v="317"/>
    <n v="2006078"/>
    <x v="0"/>
    <s v="Fine Arts"/>
    <s v="9781118475386"/>
    <s v=",4,5,6,7,8,9"/>
    <n v="6"/>
    <m/>
    <m/>
    <s v="No"/>
    <x v="0"/>
    <d v="2016-01-09T16:53:49"/>
    <n v="7"/>
    <s v="128.205.114.91"/>
    <s v="N6494.V53 -- .W47 2016eb"/>
    <n v="777"/>
    <d v="2015-03-26T00:00:00"/>
  </r>
  <r>
    <x v="1095"/>
    <d v="1899-12-30T00:01:52"/>
    <x v="306"/>
    <x v="0"/>
    <s v="Buffalo"/>
    <x v="317"/>
    <n v="2006078"/>
    <x v="0"/>
    <s v="Fine Arts"/>
    <s v="9781118475386"/>
    <s v=",1,2,3"/>
    <n v="3"/>
    <m/>
    <m/>
    <s v="No"/>
    <x v="3"/>
    <m/>
    <m/>
    <s v="128.205.114.91"/>
    <s v="N6494.V53 -- .W47 2016eb"/>
    <n v="777"/>
    <d v="2015-03-26T00:00:00"/>
  </r>
  <r>
    <x v="1096"/>
    <d v="1899-12-30T00:03:25"/>
    <x v="306"/>
    <x v="0"/>
    <s v="Buffalo"/>
    <x v="317"/>
    <n v="2006078"/>
    <x v="0"/>
    <s v="Fine Arts"/>
    <s v="9781118475386"/>
    <m/>
    <n v="0"/>
    <m/>
    <m/>
    <s v="No"/>
    <x v="3"/>
    <m/>
    <m/>
    <s v="128.205.114.91"/>
    <s v="N6494.V53 -- .W47 2016eb"/>
    <n v="777"/>
    <d v="2015-03-26T00:00:00"/>
  </r>
  <r>
    <x v="1097"/>
    <d v="1899-12-30T01:51:44"/>
    <x v="299"/>
    <x v="1"/>
    <s v="brockport"/>
    <x v="45"/>
    <n v="1691426"/>
    <x v="0"/>
    <s v="Social Science; Health"/>
    <s v="9781118839492"/>
    <s v=",1,2,3,30,31,32,28,29,33,34,35,36,37,332,333,334,330,331,335,336,337,338"/>
    <n v="22"/>
    <m/>
    <m/>
    <s v="No"/>
    <x v="0"/>
    <d v="2016-01-07T22:19:43"/>
    <n v="7"/>
    <s v="137.21.7.121"/>
    <s v="RA781.7 -- .P396 2014eb"/>
    <n v="613.70460000000003"/>
    <d v="2014-05-13T00:00:00"/>
  </r>
  <r>
    <x v="1098"/>
    <d v="1899-12-30T01:39:46"/>
    <x v="241"/>
    <x v="0"/>
    <s v="Buffalo"/>
    <x v="313"/>
    <n v="1358564"/>
    <x v="0"/>
    <s v="Military Science"/>
    <s v="9781118646267"/>
    <s v=",1,2,3,1,2,3,155,156,157,153,154,158,159,162,163,164,160,161,165,166,167,168,169,170,171,172,181,182,183,184,180,72,73,74,70,71,75,76,77,78,79,155,156,157,153,154,158,159,160,161,162,163,205,203,202,204,198,199,206,211,220,219,221,217,218,216,215,214,213,212,217,218,1,218,219,220,216,217,221,2"/>
    <n v="56"/>
    <m/>
    <m/>
    <s v="No"/>
    <x v="0"/>
    <d v="2016-01-08T01:50:05"/>
    <n v="7"/>
    <s v="128.205.114.91"/>
    <s v="U408.5 -- .P69 2013eb"/>
    <n v="355.00760000000002"/>
    <d v="2013-08-01T00:00:00"/>
  </r>
  <r>
    <x v="1099"/>
    <d v="1899-12-30T02:04:43"/>
    <x v="308"/>
    <x v="0"/>
    <s v="Buffalo"/>
    <x v="321"/>
    <n v="1184140"/>
    <x v="0"/>
    <s v="Military Science; Social Science"/>
    <s v="9780745663036"/>
    <s v=",19,19,20,20,21,21,22,22,23,23,24,24,25,25,26,26,27,27,28,28,29,29,30,30,31,31,32,32,33,33,34,34,35,35,36,36,37,37,38,38,39,39,40,40,41,41,42,42,43,43,44,44,45,45,46,46,47,47,48,48,49,49,50,50,51,51,52,52,53,53,54,54,55,55,56,56,57,57,58,58,59,59,60,60,61,61,62,62,63,63,64,64,65,65,66,66,67,67,68,68,69,69,70,70,71,71,72,72,73,73,74,74,75,75,1,75,76,75,77,76,77,73,74,74,1,78,78,2,2,79,79,80,80,81,81,82,82,83,83,84,84,85,85,86,86,87,87,88,88,89,89,90,90,91,91,92,92,93,93,94,94,95,95,96,96,97,97,98,98,99,99,100,100,101,101,102,102,103,103,104,104,105,105,106,106,107,107,108,108,109,109,110,110"/>
    <n v="94"/>
    <m/>
    <m/>
    <s v="No"/>
    <x v="2"/>
    <d v="2016-01-09T12:51:09"/>
    <n v="1"/>
    <s v="128.205.114.91"/>
    <s v="U240 .K34"/>
    <n v="303.66000000000003"/>
    <d v="2013-04-26T00:00:00"/>
  </r>
  <r>
    <x v="1100"/>
    <d v="1899-12-30T00:05:03"/>
    <x v="308"/>
    <x v="0"/>
    <s v="Buffalo"/>
    <x v="321"/>
    <n v="1184140"/>
    <x v="0"/>
    <s v="Military Science; Social Science"/>
    <s v="9780745663036"/>
    <s v=",1,2,2,3,3,1,4,2,4,2,5,5,6,6,7,7,8,8,9,9,10,10,11,11,12,12,13,13,14,14,15,15,16,16,17,17,18,18"/>
    <n v="18"/>
    <m/>
    <m/>
    <s v="No"/>
    <x v="3"/>
    <m/>
    <m/>
    <s v="128.205.114.91"/>
    <s v="U240 .K34"/>
    <n v="303.66000000000003"/>
    <d v="2013-04-26T00:00:00"/>
  </r>
  <r>
    <x v="1101"/>
    <d v="1899-12-30T00:02:09"/>
    <x v="313"/>
    <x v="0"/>
    <s v="Buffalo"/>
    <x v="327"/>
    <n v="1895570"/>
    <x v="0"/>
    <s v="Mathematics"/>
    <s v="9781118745229"/>
    <s v=",1,2,3,4,5,6,7,8,9,10,11,12,13,14,15,16,17,18,19,20,21,22,23,24,25,26,27,28,29,30,31,32,33,34"/>
    <n v="34"/>
    <m/>
    <m/>
    <s v="No"/>
    <x v="1"/>
    <m/>
    <m/>
    <s v="128.205.114.91"/>
    <s v="QA280 -- .M668 2015eb"/>
    <n v="519.54999999999995"/>
    <d v="2015-03-30T00:00:00"/>
  </r>
  <r>
    <x v="1102"/>
    <d v="1899-12-30T02:32:29"/>
    <x v="241"/>
    <x v="0"/>
    <s v="Buffalo"/>
    <x v="313"/>
    <n v="1358564"/>
    <x v="0"/>
    <s v="Military Science"/>
    <s v="9781118646267"/>
    <s v=",1,2,3,155,156,157,153,154,160,189,191,187,179,180,181,177,178,182,183,184,185,186,188,190,192,193,194,195,196,197,198,199,200,201,202,203,204,205,206,207,208,209,210,211,212,213,1,213,214,215,211,212,2,216,217,218"/>
    <n v="51"/>
    <m/>
    <m/>
    <s v="No"/>
    <x v="0"/>
    <d v="2016-01-08T01:50:05"/>
    <n v="7"/>
    <s v="128.205.114.91"/>
    <s v="U408.5 -- .P69 2013eb"/>
    <n v="355.00760000000002"/>
    <d v="2013-08-01T00:00:00"/>
  </r>
  <r>
    <x v="1103"/>
    <d v="1899-12-30T02:35:35"/>
    <x v="241"/>
    <x v="0"/>
    <s v="Buffalo"/>
    <x v="313"/>
    <n v="1358564"/>
    <x v="0"/>
    <s v="Military Science"/>
    <s v="9781118646267"/>
    <s v=",1,2,3,72,73,74,71,69,70,75,76,77,78,79,71,72,69,70,89,90,91,88,86,87,85"/>
    <n v="21"/>
    <m/>
    <m/>
    <s v="No"/>
    <x v="0"/>
    <d v="2016-01-08T01:50:05"/>
    <n v="7"/>
    <s v="128.205.114.91"/>
    <s v="U408.5 -- .P69 2013eb"/>
    <n v="355.00760000000002"/>
    <d v="2013-08-01T00:00:00"/>
  </r>
  <r>
    <x v="1104"/>
    <d v="1899-12-30T01:22:29"/>
    <x v="7"/>
    <x v="0"/>
    <s v="Buffalo"/>
    <x v="6"/>
    <n v="1635363"/>
    <x v="0"/>
    <s v="Law"/>
    <s v="9781118678206"/>
    <s v=",26,27,28,29,30,31,32,33,34,35,36,37,38,39,40,41,42,43,44,45,46,49,50,51,47,48,52,53,54,55,56"/>
    <n v="31"/>
    <m/>
    <m/>
    <s v="No"/>
    <x v="0"/>
    <d v="2016-01-09T04:48:36"/>
    <n v="7"/>
    <s v="128.205.114.91"/>
    <s v="KF285.Z9 -- H38 2014eb"/>
    <n v="340.07600000000002"/>
    <d v="2014-02-14T00:00:00"/>
  </r>
  <r>
    <x v="1105"/>
    <d v="1899-12-30T00:11:11"/>
    <x v="7"/>
    <x v="0"/>
    <s v="Buffalo"/>
    <x v="6"/>
    <n v="1635363"/>
    <x v="0"/>
    <s v="Law"/>
    <s v="9781118678206"/>
    <s v=",1,2,3,4,6,5,7,8,9,10,11,12,13,14,16,15,17,18,19,20,21,22,23,24,25"/>
    <n v="25"/>
    <m/>
    <m/>
    <s v="No"/>
    <x v="1"/>
    <m/>
    <m/>
    <s v="128.205.114.91"/>
    <s v="KF285.Z9 -- H38 2014eb"/>
    <n v="340.07600000000002"/>
    <d v="2014-02-14T00:00:00"/>
  </r>
  <r>
    <x v="1106"/>
    <d v="1899-12-30T00:42:10"/>
    <x v="13"/>
    <x v="0"/>
    <s v="Buffalo"/>
    <x v="328"/>
    <n v="2040247"/>
    <x v="4"/>
    <s v="Medicine; Psychology"/>
    <s v="9781462523825"/>
    <s v=",85,86,87,88,89,90,91,92,93,416,415,94,95,96,98,97,99,100,101,102,103,104,105,106,107,108,109,110,111,112,113,114,115"/>
    <n v="33"/>
    <m/>
    <m/>
    <s v="No"/>
    <x v="2"/>
    <d v="2016-01-09T02:30:49"/>
    <n v="1"/>
    <s v="128.205.114.91"/>
    <s v="RC554"/>
    <n v="155.19999999999999"/>
    <d v="2015-07-06T00:00:00"/>
  </r>
  <r>
    <x v="1107"/>
    <d v="1899-12-30T00:07:56"/>
    <x v="13"/>
    <x v="0"/>
    <s v="Buffalo"/>
    <x v="328"/>
    <n v="2040247"/>
    <x v="4"/>
    <s v="Medicine; Psychology"/>
    <s v="9781462523825"/>
    <s v=",1,2,3,85,86,87,83,84,85,86,87,86,87,83,84"/>
    <n v="8"/>
    <m/>
    <m/>
    <s v="No"/>
    <x v="3"/>
    <m/>
    <m/>
    <s v="128.205.114.91"/>
    <s v="RC554"/>
    <n v="155.19999999999999"/>
    <d v="2015-07-06T00:00:00"/>
  </r>
  <r>
    <x v="1108"/>
    <d v="1899-12-30T03:46:00"/>
    <x v="241"/>
    <x v="0"/>
    <s v="Buffalo"/>
    <x v="313"/>
    <n v="1358564"/>
    <x v="0"/>
    <s v="Military Science"/>
    <s v="9781118646267"/>
    <s v=",1,2,3,61,62,63,59,60,1,2,3,155,156,157,153,154,158,159,160,161,162,163,164,165,166,167,168,169,170,171,172,173,174,179,180,181,182,183,184,185,186,187,188,189,190,191,192,193,194,195,196,197,198,199,200,201,202,203,204,155,156,157,158,159,160,161,162,169,210,208,209,207,206,205,202,199,197,195,194,193,189,187,185,179,178,177,176,175,174,180,181,182,183,184,186,188,190,64,65,66,67,1,66,68,67,68,64,65,155,156,157,153,158,159,181,199,2,200,201,197,198,202,69,203,70,204,71,72,205,205,1,207,206,203,204,65,66,67,63,64,68,69,70,71,72,2,73,74,114,126,121,122,123,119,120,81,82,83,79,80,84,85,86,87,88,206,207,208,75,209,210,211,76,212"/>
    <n v="98"/>
    <m/>
    <m/>
    <s v="No"/>
    <x v="0"/>
    <d v="2016-01-08T01:50:05"/>
    <n v="7"/>
    <s v="128.205.114.91"/>
    <s v="U408.5 -- .P69 2013eb"/>
    <n v="355.00760000000002"/>
    <d v="2013-08-01T00:00:00"/>
  </r>
  <r>
    <x v="1109"/>
    <d v="1899-12-30T00:00:07"/>
    <x v="7"/>
    <x v="0"/>
    <s v="Buffalo"/>
    <x v="329"/>
    <n v="1775467"/>
    <x v="0"/>
    <s v="Law"/>
    <s v="9781118678121"/>
    <s v=",1,2,3,4,5,6,7"/>
    <n v="7"/>
    <m/>
    <m/>
    <s v="No"/>
    <x v="1"/>
    <m/>
    <m/>
    <s v="128.205.114.91"/>
    <s v="KF285.Z9 -- .H383 2014eb"/>
    <n v="342.07600000000002"/>
    <d v="2014-08-26T00:00:00"/>
  </r>
  <r>
    <x v="1110"/>
    <d v="1899-12-30T00:09:53"/>
    <x v="64"/>
    <x v="6"/>
    <s v="sjfc"/>
    <x v="75"/>
    <n v="1986951"/>
    <x v="0"/>
    <s v="Business/Management"/>
    <s v="9781119130468"/>
    <s v=",330,331,325,330,331,332,333,334"/>
    <n v="6"/>
    <s v=",327,328"/>
    <m/>
    <s v="No"/>
    <x v="0"/>
    <d v="2016-01-08T20:17:51"/>
    <n v="7"/>
    <s v="149.69.254.57"/>
    <s v="HF5661"/>
    <n v="657.07600000000002"/>
    <d v="2015-05-19T00:00:00"/>
  </r>
  <r>
    <x v="1111"/>
    <d v="1899-12-30T00:04:29"/>
    <x v="64"/>
    <x v="6"/>
    <s v="sjfc"/>
    <x v="75"/>
    <n v="1986951"/>
    <x v="0"/>
    <s v="Business/Management"/>
    <s v="9781119130468"/>
    <s v=",1,2,3,111,112,113,109,110,114,115,116,241,242,243,239,240,327,328,329,325,326"/>
    <n v="21"/>
    <m/>
    <m/>
    <s v="No"/>
    <x v="1"/>
    <m/>
    <m/>
    <s v="149.69.254.57"/>
    <s v="HF5661"/>
    <n v="657.07600000000002"/>
    <d v="2015-05-19T00:00:00"/>
  </r>
  <r>
    <x v="1111"/>
    <d v="1899-12-30T00:00:09"/>
    <x v="314"/>
    <x v="0"/>
    <s v="Buffalo"/>
    <x v="330"/>
    <n v="2028559"/>
    <x v="0"/>
    <s v="Fine Arts"/>
    <s v="9781119047001"/>
    <s v=",1,2,3"/>
    <n v="3"/>
    <m/>
    <m/>
    <s v="No"/>
    <x v="3"/>
    <m/>
    <m/>
    <s v="128.205.114.91"/>
    <s v="TR897.72.B55 -- .V36 2015eb"/>
    <n v="777.7"/>
    <d v="2015-04-13T00:00:00"/>
  </r>
  <r>
    <x v="1112"/>
    <d v="1899-12-30T00:00:50"/>
    <x v="64"/>
    <x v="6"/>
    <s v="sjfc"/>
    <x v="187"/>
    <n v="4185085"/>
    <x v="0"/>
    <m/>
    <s v="9781119238782"/>
    <s v=",1,2,3,4,1,5,4"/>
    <n v="5"/>
    <m/>
    <m/>
    <s v="No"/>
    <x v="3"/>
    <m/>
    <m/>
    <s v="149.69.254.57"/>
    <m/>
    <m/>
    <d v="2015-11-30T00:00:00"/>
  </r>
  <r>
    <x v="1113"/>
    <d v="1899-12-30T00:00:11"/>
    <x v="64"/>
    <x v="6"/>
    <s v="sjfc"/>
    <x v="187"/>
    <n v="4185085"/>
    <x v="0"/>
    <m/>
    <s v="9781119238782"/>
    <s v=",1,2,3,4"/>
    <n v="4"/>
    <m/>
    <m/>
    <s v="No"/>
    <x v="3"/>
    <m/>
    <m/>
    <s v="149.69.254.57"/>
    <m/>
    <m/>
    <d v="2015-11-30T00:00:00"/>
  </r>
  <r>
    <x v="1114"/>
    <d v="1899-12-30T00:01:05"/>
    <x v="64"/>
    <x v="6"/>
    <s v="sjfc"/>
    <x v="188"/>
    <n v="4206576"/>
    <x v="0"/>
    <m/>
    <s v="9781119240907"/>
    <s v=",1,2,3,20,21,22,18,19,2,3,4,1,8,9,10,6,7,11,12,13,14,15,20,21,22,18,19,32,33,34,35,36,45,46,47,43,44,98,99,100"/>
    <n v="32"/>
    <m/>
    <m/>
    <s v="No"/>
    <x v="3"/>
    <m/>
    <m/>
    <s v="149.69.254.57"/>
    <m/>
    <m/>
    <d v="2015-12-16T00:00:00"/>
  </r>
  <r>
    <x v="1115"/>
    <d v="1899-12-30T00:00:56"/>
    <x v="64"/>
    <x v="6"/>
    <s v="sjfc"/>
    <x v="186"/>
    <n v="4206589"/>
    <x v="0"/>
    <m/>
    <s v="9781119256595"/>
    <s v=",1,2,3,4,5,6,7,8,40,41,42,38,39,78,79,80,76,77,81,75,73,74,72,70,68,69,67"/>
    <n v="27"/>
    <m/>
    <m/>
    <s v="No"/>
    <x v="0"/>
    <d v="2016-01-08T19:59:22"/>
    <n v="7"/>
    <s v="149.69.254.57"/>
    <m/>
    <m/>
    <d v="2015-12-14T00:00:00"/>
  </r>
  <r>
    <x v="1116"/>
    <d v="1899-12-30T00:03:46"/>
    <x v="64"/>
    <x v="6"/>
    <s v="sjfc"/>
    <x v="186"/>
    <n v="4206589"/>
    <x v="0"/>
    <m/>
    <s v="9781119256595"/>
    <s v=",216,217,218,214,215,219,214,220,221,215,216,168,165,170,165,164,2,3,4,1,1566,1567,1568,1564,1565,1403,1404,1405,1401,1402"/>
    <n v="26"/>
    <m/>
    <m/>
    <s v="No"/>
    <x v="0"/>
    <d v="2016-01-08T19:59:22"/>
    <n v="7"/>
    <s v="149.69.254.57"/>
    <m/>
    <m/>
    <d v="2015-12-14T00:00:00"/>
  </r>
  <r>
    <x v="1117"/>
    <d v="1899-12-30T00:07:13"/>
    <x v="64"/>
    <x v="6"/>
    <s v="sjfc"/>
    <x v="186"/>
    <n v="4206589"/>
    <x v="0"/>
    <m/>
    <s v="9781119256595"/>
    <s v=",1,2,3,40,41,38,81,77,78,161,162,163,159,160,214,219,220,1,220,221,218,219,222,161,162,163,159,160,216,217,218,214,215,2,219,220,221,222,223,224,225,227,228"/>
    <n v="28"/>
    <m/>
    <m/>
    <s v="No"/>
    <x v="3"/>
    <m/>
    <m/>
    <s v="149.69.254.57"/>
    <m/>
    <m/>
    <d v="2015-12-14T00:00:00"/>
  </r>
  <r>
    <x v="1118"/>
    <d v="1899-12-30T00:07:09"/>
    <x v="315"/>
    <x v="0"/>
    <s v="Buffalo"/>
    <x v="326"/>
    <n v="1779318"/>
    <x v="0"/>
    <s v="Computer Science/IT"/>
    <s v="9781118968093"/>
    <s v=",7,8,1,2,3,4"/>
    <n v="6"/>
    <s v=",11"/>
    <m/>
    <s v="No"/>
    <x v="0"/>
    <d v="2016-01-08T19:34:26"/>
    <n v="7"/>
    <s v="128.205.114.91"/>
    <s v="QA76.25 -- .M336 2014eb"/>
    <n v="4.0229999999999997"/>
    <d v="2014-09-02T00:00:00"/>
  </r>
  <r>
    <x v="1119"/>
    <d v="1899-12-30T00:02:26"/>
    <x v="315"/>
    <x v="0"/>
    <s v="Buffalo"/>
    <x v="326"/>
    <n v="1779318"/>
    <x v="0"/>
    <s v="Computer Science/IT"/>
    <s v="9781118968093"/>
    <s v=",1,2,3,4,8,8,14,14,14,14,1,2,3,4,5,6,7,13,14,15,11,12,10,9"/>
    <n v="15"/>
    <m/>
    <m/>
    <s v="No"/>
    <x v="3"/>
    <m/>
    <m/>
    <s v="128.205.114.91"/>
    <s v="QA76.25 -- .M336 2014eb"/>
    <n v="4.0229999999999997"/>
    <d v="2014-09-02T00:00:00"/>
  </r>
  <r>
    <x v="1120"/>
    <d v="1899-12-30T00:00:42"/>
    <x v="316"/>
    <x v="0"/>
    <s v="Buffalo"/>
    <x v="331"/>
    <n v="1895546"/>
    <x v="0"/>
    <s v="Science: Anatomy/Physiology; Science; Science: Biology/Natural History"/>
    <s v="9781118695937"/>
    <s v=",1,202,204,200,2,199,197"/>
    <n v="7"/>
    <m/>
    <m/>
    <s v="No"/>
    <x v="3"/>
    <m/>
    <m/>
    <s v="128.205.114.91"/>
    <s v="QP702.H8 -- .S459 2015eb"/>
    <n v="612.01578199999994"/>
    <d v="2014-12-22T00:00:00"/>
  </r>
  <r>
    <x v="1121"/>
    <d v="1899-12-30T00:00:43"/>
    <x v="317"/>
    <x v="0"/>
    <s v="Buffalo"/>
    <x v="332"/>
    <n v="1542969"/>
    <x v="2"/>
    <s v="Social Science; Health"/>
    <s v="9781134066940"/>
    <s v=",1,2,3,4,5,6,7,8,9,10,11,12"/>
    <n v="12"/>
    <m/>
    <m/>
    <s v="No"/>
    <x v="3"/>
    <m/>
    <m/>
    <s v="128.205.114.91"/>
    <s v="RA566.29 .H32 2013"/>
    <m/>
    <d v="2013-11-05T00:00:00"/>
  </r>
  <r>
    <x v="1122"/>
    <d v="1899-12-30T00:00:00"/>
    <x v="318"/>
    <x v="0"/>
    <s v="Buffalo"/>
    <x v="333"/>
    <n v="837299"/>
    <x v="3"/>
    <s v="Philosophy; Fine Arts; Social Science"/>
    <s v="9780520944848"/>
    <m/>
    <n v="0"/>
    <m/>
    <s v=",14,15,16,17,18,19,20,21,22,23,24,25,26,27,28,29,30"/>
    <s v="No"/>
    <x v="2"/>
    <d v="2016-01-08T17:44:48"/>
    <n v="1"/>
    <s v="128.205.114.91"/>
    <s v="BD331; NX650"/>
    <n v="302.23"/>
    <d v="2014-05-14T00:00:00"/>
  </r>
  <r>
    <x v="1123"/>
    <d v="1899-12-30T00:01:59"/>
    <x v="318"/>
    <x v="0"/>
    <s v="Buffalo"/>
    <x v="333"/>
    <n v="837299"/>
    <x v="3"/>
    <s v="Philosophy; Fine Arts; Social Science"/>
    <s v="9780520944848"/>
    <s v=",1,2,3,149,150,151,147,148,152,14,15,16,12,13,17,18"/>
    <n v="16"/>
    <m/>
    <m/>
    <s v="No"/>
    <x v="3"/>
    <m/>
    <m/>
    <s v="128.205.114.91"/>
    <s v="BD331; NX650"/>
    <n v="302.23"/>
    <d v="2014-05-14T00:00:00"/>
  </r>
  <r>
    <x v="1124"/>
    <d v="1899-12-30T00:29:33"/>
    <x v="318"/>
    <x v="0"/>
    <s v="Buffalo"/>
    <x v="334"/>
    <n v="4033617"/>
    <x v="0"/>
    <s v="General Works/Reference"/>
    <s v="9781118274446"/>
    <s v=",2,13,14,14,14,14,14,15,16,12,13,17,15,18,19,61,63,59,60"/>
    <n v="13"/>
    <s v=",1"/>
    <m/>
    <s v="No"/>
    <x v="0"/>
    <d v="2016-01-08T17:26:23"/>
    <n v="7"/>
    <s v="128.205.114.91"/>
    <s v="Z1003 -- .M363 2015eb"/>
    <n v="2"/>
    <d v="2015-05-14T00:00:00"/>
  </r>
  <r>
    <x v="1125"/>
    <d v="1899-12-30T00:00:20"/>
    <x v="318"/>
    <x v="0"/>
    <s v="Buffalo"/>
    <x v="334"/>
    <n v="4033617"/>
    <x v="0"/>
    <s v="General Works/Reference"/>
    <s v="9781118274446"/>
    <s v=",1,2,3,1"/>
    <n v="3"/>
    <m/>
    <m/>
    <s v="No"/>
    <x v="3"/>
    <m/>
    <m/>
    <s v="128.205.114.91"/>
    <s v="Z1003 -- .M363 2015eb"/>
    <n v="2"/>
    <d v="2015-05-14T00:00:00"/>
  </r>
  <r>
    <x v="1126"/>
    <d v="1899-12-30T01:01:40"/>
    <x v="319"/>
    <x v="13"/>
    <s v="buffalostate"/>
    <x v="335"/>
    <n v="821801"/>
    <x v="0"/>
    <s v="Education; Business/Management"/>
    <s v="9781118224144"/>
    <s v=",13,14,15,16,17,18,19,20,21,22,23,24,25,26,27,28,48,49,50,46,47,45,51"/>
    <n v="23"/>
    <m/>
    <m/>
    <s v="No"/>
    <x v="0"/>
    <d v="2016-01-08T17:19:30"/>
    <n v="7"/>
    <s v="136.183.11.43"/>
    <s v="HF1118 .O33; LB2367.3 .O34"/>
    <n v="658.00760000000002"/>
    <d v="2012-03-06T00:00:00"/>
  </r>
  <r>
    <x v="1127"/>
    <d v="1899-12-30T00:14:44"/>
    <x v="319"/>
    <x v="13"/>
    <s v="buffalostate"/>
    <x v="335"/>
    <n v="821801"/>
    <x v="0"/>
    <s v="Education; Business/Management"/>
    <s v="9781118224144"/>
    <s v=",1,2,3,4,5,6,7,8,9,10,11,12"/>
    <n v="12"/>
    <m/>
    <m/>
    <s v="No"/>
    <x v="1"/>
    <m/>
    <m/>
    <s v="136.183.11.43"/>
    <s v="HF1118 .O33; LB2367.3 .O34"/>
    <n v="658.00760000000002"/>
    <d v="2012-03-06T00:00:00"/>
  </r>
  <r>
    <x v="1128"/>
    <d v="1899-12-30T00:01:13"/>
    <x v="18"/>
    <x v="4"/>
    <s v="monroe2boces"/>
    <x v="16"/>
    <n v="877717"/>
    <x v="6"/>
    <s v="Fine Arts"/>
    <s v="9781438139265"/>
    <s v=",1,2,3,3,2,1,3,1,2,5,7,9,20,50,19"/>
    <n v="9"/>
    <m/>
    <m/>
    <s v="No"/>
    <x v="0"/>
    <d v="2016-01-08T16:07:50"/>
    <n v="7"/>
    <s v="216.226.127.140"/>
    <s v="PN1998.3.M577 -- L46 2012eb"/>
    <s v="791.4302/33092; B"/>
    <d v="2012-01-01T00:00:00"/>
  </r>
  <r>
    <x v="1129"/>
    <d v="1899-12-30T00:02:00"/>
    <x v="18"/>
    <x v="4"/>
    <s v="monroe2boces"/>
    <x v="16"/>
    <n v="877717"/>
    <x v="6"/>
    <s v="Fine Arts"/>
    <s v="9781438139265"/>
    <s v=",4,5,6,7,8,9,10,11,12,13,14,15"/>
    <n v="12"/>
    <s v=",1,12,13,13"/>
    <m/>
    <s v="No"/>
    <x v="0"/>
    <d v="2016-01-08T16:07:50"/>
    <n v="7"/>
    <s v="216.226.127.140"/>
    <s v="PN1998.3.M577 -- L46 2012eb"/>
    <s v="791.4302/33092; B"/>
    <d v="2012-01-01T00:00:00"/>
  </r>
  <r>
    <x v="1130"/>
    <d v="1899-12-30T00:05:38"/>
    <x v="18"/>
    <x v="4"/>
    <s v="monroe2boces"/>
    <x v="16"/>
    <n v="877717"/>
    <x v="6"/>
    <s v="Fine Arts"/>
    <s v="9781438139265"/>
    <s v=",1,3,2,4,5,6,7,8,9,10,11,12,13,14,15,2,16,17,3,2,1"/>
    <n v="17"/>
    <m/>
    <m/>
    <s v="No"/>
    <x v="1"/>
    <m/>
    <m/>
    <s v="216.226.127.140"/>
    <s v="PN1998.3.M577 -- L46 2012eb"/>
    <s v="791.4302/33092; B"/>
    <d v="2012-01-01T00:00:00"/>
  </r>
  <r>
    <x v="1131"/>
    <d v="1899-12-30T00:00:22"/>
    <x v="308"/>
    <x v="0"/>
    <s v="Buffalo"/>
    <x v="321"/>
    <n v="1184140"/>
    <x v="0"/>
    <s v="Military Science; Social Science"/>
    <s v="9780745663036"/>
    <s v=",1,2,2,3,3,1,2,2"/>
    <n v="3"/>
    <m/>
    <m/>
    <s v="No"/>
    <x v="3"/>
    <m/>
    <m/>
    <s v="128.205.114.91"/>
    <s v="U240 .K34"/>
    <n v="303.66000000000003"/>
    <d v="2013-04-26T00:00:00"/>
  </r>
  <r>
    <x v="1132"/>
    <d v="1899-12-30T01:04:10"/>
    <x v="212"/>
    <x v="1"/>
    <s v="brockport"/>
    <x v="45"/>
    <n v="1691426"/>
    <x v="0"/>
    <s v="Social Science; Health"/>
    <s v="9781118839492"/>
    <s v=",29,31,32,33,30"/>
    <n v="5"/>
    <m/>
    <m/>
    <s v="No"/>
    <x v="0"/>
    <d v="2016-01-08T15:30:43"/>
    <n v="7"/>
    <s v="137.21.7.121"/>
    <s v="RA781.7 -- .P396 2014eb"/>
    <n v="613.70460000000003"/>
    <d v="2014-05-13T00:00:00"/>
  </r>
  <r>
    <x v="1133"/>
    <d v="1899-12-30T00:10:48"/>
    <x v="212"/>
    <x v="1"/>
    <s v="brockport"/>
    <x v="45"/>
    <n v="1691426"/>
    <x v="0"/>
    <s v="Social Science; Health"/>
    <s v="9781118839492"/>
    <s v=",1,2,3,25,26,27,23,24,28,33,20,21,28"/>
    <n v="12"/>
    <m/>
    <m/>
    <s v="No"/>
    <x v="1"/>
    <m/>
    <m/>
    <s v="137.21.7.121"/>
    <s v="RA781.7 -- .P396 2014eb"/>
    <n v="613.70460000000003"/>
    <d v="2014-05-13T00:00:00"/>
  </r>
  <r>
    <x v="1134"/>
    <d v="1899-12-30T00:00:22"/>
    <x v="320"/>
    <x v="0"/>
    <s v="Buffalo"/>
    <x v="336"/>
    <n v="4029575"/>
    <x v="0"/>
    <s v="Social Science"/>
    <s v="9780745659411"/>
    <s v=",1,2,2,3,3,1,2,2"/>
    <n v="3"/>
    <m/>
    <m/>
    <s v="No"/>
    <x v="3"/>
    <m/>
    <m/>
    <s v="128.205.114.91"/>
    <n v="2002155222"/>
    <n v="302.23"/>
    <d v="2013-05-02T00:00:00"/>
  </r>
  <r>
    <x v="1135"/>
    <d v="1899-12-30T00:19:25"/>
    <x v="269"/>
    <x v="1"/>
    <s v="brockport"/>
    <x v="45"/>
    <n v="1691426"/>
    <x v="0"/>
    <s v="Social Science; Health"/>
    <s v="9781118839492"/>
    <s v=",1,2,3,25,26,27,23,25,25,23,25,27,28,29,24,21,22,30,31,32,33,34,35,36,37"/>
    <n v="20"/>
    <m/>
    <m/>
    <s v="No"/>
    <x v="0"/>
    <d v="2016-01-04T23:59:15"/>
    <n v="7"/>
    <s v="137.21.7.121"/>
    <s v="RA781.7 -- .P396 2014eb"/>
    <n v="613.70460000000003"/>
    <d v="2014-05-13T00:00:00"/>
  </r>
  <r>
    <x v="1136"/>
    <d v="1899-12-30T00:17:04"/>
    <x v="71"/>
    <x v="0"/>
    <s v="Buffalo"/>
    <x v="247"/>
    <n v="1161538"/>
    <x v="0"/>
    <s v="Business/Management; Economics"/>
    <s v="9781118521755"/>
    <s v=",1,2,3,77,78,79,75,76,80,81,82,83,84"/>
    <n v="13"/>
    <m/>
    <m/>
    <s v="No"/>
    <x v="0"/>
    <d v="2016-01-05T13:28:20"/>
    <n v="7"/>
    <s v="128.205.114.91"/>
    <s v="HG6041 -- .L44 2013eb"/>
    <n v="332.63220000000001"/>
    <d v="2013-03-26T00:00:00"/>
  </r>
  <r>
    <x v="1137"/>
    <d v="1899-12-30T00:10:47"/>
    <x v="71"/>
    <x v="0"/>
    <s v="Buffalo"/>
    <x v="247"/>
    <n v="1161538"/>
    <x v="0"/>
    <s v="Business/Management; Economics"/>
    <s v="9781118521755"/>
    <s v=",1,2,3,77,73,74,75,72,71,76,78,79"/>
    <n v="12"/>
    <m/>
    <m/>
    <s v="No"/>
    <x v="0"/>
    <d v="2016-01-05T13:28:20"/>
    <n v="7"/>
    <s v="128.205.114.91"/>
    <s v="HG6041 -- .L44 2013eb"/>
    <n v="332.63220000000001"/>
    <d v="2013-03-26T00:00:00"/>
  </r>
  <r>
    <x v="1138"/>
    <d v="1899-12-30T00:01:42"/>
    <x v="71"/>
    <x v="0"/>
    <s v="Buffalo"/>
    <x v="247"/>
    <n v="1161538"/>
    <x v="0"/>
    <s v="Business/Management; Economics"/>
    <s v="9781118521755"/>
    <s v=",1,2,3,73,74,75,71,72,76,77,78,78"/>
    <n v="11"/>
    <m/>
    <m/>
    <s v="No"/>
    <x v="0"/>
    <d v="2016-01-05T13:28:20"/>
    <n v="7"/>
    <s v="128.205.114.91"/>
    <s v="HG6041 -- .L44 2013eb"/>
    <n v="332.63220000000001"/>
    <d v="2013-03-26T00:00:00"/>
  </r>
  <r>
    <x v="1139"/>
    <d v="1899-12-30T00:06:31"/>
    <x v="321"/>
    <x v="0"/>
    <s v="Buffalo"/>
    <x v="337"/>
    <n v="1487169"/>
    <x v="2"/>
    <s v="Social Science"/>
    <s v="9781135929060"/>
    <s v=",12,13,14"/>
    <n v="3"/>
    <m/>
    <m/>
    <s v="No"/>
    <x v="2"/>
    <d v="2016-01-08T05:50:12"/>
    <n v="1"/>
    <s v="128.205.114.91"/>
    <m/>
    <n v="303.60000000000002"/>
    <d v="2013-10-18T00:00:00"/>
  </r>
  <r>
    <x v="1140"/>
    <d v="1899-12-30T00:11:19"/>
    <x v="321"/>
    <x v="0"/>
    <s v="Buffalo"/>
    <x v="337"/>
    <n v="1487169"/>
    <x v="2"/>
    <s v="Social Science"/>
    <s v="9781135929060"/>
    <s v=",1,8,9,10,6,7,2,11"/>
    <n v="8"/>
    <m/>
    <m/>
    <s v="No"/>
    <x v="3"/>
    <m/>
    <m/>
    <s v="128.205.114.91"/>
    <m/>
    <n v="303.60000000000002"/>
    <d v="2013-10-18T00:00:00"/>
  </r>
  <r>
    <x v="1141"/>
    <d v="1899-12-30T01:10:08"/>
    <x v="241"/>
    <x v="0"/>
    <s v="Buffalo"/>
    <x v="313"/>
    <n v="1358564"/>
    <x v="0"/>
    <s v="Military Science"/>
    <s v="9781118646267"/>
    <s v=",1,2,3,155,156,157,153,154,72,73,74,70,71,61,62,63,59,60,1,2,3,155,156,157,153,165,224,225,226,222,223,177,178,179,175,176,180,181,182,183,184,185,186,187,188,189,190,191,192,193,194,64,195,196,197,65,66,198"/>
    <n v="51"/>
    <m/>
    <m/>
    <s v="No"/>
    <x v="0"/>
    <d v="2016-01-08T01:50:05"/>
    <n v="7"/>
    <s v="128.205.114.91"/>
    <s v="U408.5 -- .P69 2013eb"/>
    <n v="355.00760000000002"/>
    <d v="2013-08-01T00:00:00"/>
  </r>
  <r>
    <x v="1142"/>
    <d v="1899-12-30T00:00:00"/>
    <x v="322"/>
    <x v="1"/>
    <s v="brockport"/>
    <x v="338"/>
    <n v="1609393"/>
    <x v="0"/>
    <s v="Science: Anatomy/Physiology; Science; Science: Biology/Natural History"/>
    <s v="9781118549247"/>
    <m/>
    <n v="0"/>
    <m/>
    <m/>
    <s v="Yes"/>
    <x v="0"/>
    <d v="2016-01-08T04:56:03"/>
    <n v="7"/>
    <s v="137.21.7.121"/>
    <s v="QP303 -- .G537 2014eb"/>
    <n v="612.76"/>
    <d v="2014-01-30T00:00:00"/>
  </r>
  <r>
    <x v="1143"/>
    <d v="1899-12-30T00:00:00"/>
    <x v="322"/>
    <x v="1"/>
    <s v="brockport"/>
    <x v="338"/>
    <n v="1609393"/>
    <x v="0"/>
    <s v="Science: Anatomy/Physiology; Science; Science: Biology/Natural History"/>
    <s v="9781118549247"/>
    <m/>
    <n v="0"/>
    <m/>
    <m/>
    <s v="Yes"/>
    <x v="0"/>
    <d v="2016-01-08T04:56:03"/>
    <n v="7"/>
    <s v="137.21.7.121"/>
    <s v="QP303 -- .G537 2014eb"/>
    <n v="612.76"/>
    <d v="2014-01-30T00:00:00"/>
  </r>
  <r>
    <x v="1143"/>
    <d v="1899-12-30T00:00:00"/>
    <x v="322"/>
    <x v="1"/>
    <s v="brockport"/>
    <x v="338"/>
    <n v="1609393"/>
    <x v="0"/>
    <s v="Science: Anatomy/Physiology; Science; Science: Biology/Natural History"/>
    <s v="9781118549247"/>
    <m/>
    <n v="0"/>
    <m/>
    <m/>
    <s v="No"/>
    <x v="0"/>
    <d v="2016-01-08T04:56:03"/>
    <n v="7"/>
    <s v="137.21.7.121"/>
    <s v="QP303 -- .G537 2014eb"/>
    <n v="612.76"/>
    <d v="2014-01-30T00:00:00"/>
  </r>
  <r>
    <x v="1144"/>
    <d v="1899-12-30T00:00:45"/>
    <x v="322"/>
    <x v="1"/>
    <s v="brockport"/>
    <x v="338"/>
    <n v="1609393"/>
    <x v="0"/>
    <s v="Science: Anatomy/Physiology; Science; Science: Biology/Natural History"/>
    <s v="9781118549247"/>
    <s v=",1,3,2,1,4,5"/>
    <n v="5"/>
    <m/>
    <m/>
    <s v="No"/>
    <x v="3"/>
    <m/>
    <m/>
    <s v="137.21.7.121"/>
    <s v="QP303 -- .G537 2014eb"/>
    <n v="612.76"/>
    <d v="2014-01-30T00:00:00"/>
  </r>
  <r>
    <x v="1145"/>
    <d v="1899-12-30T00:02:31"/>
    <x v="212"/>
    <x v="1"/>
    <s v="brockport"/>
    <x v="45"/>
    <n v="1691426"/>
    <x v="0"/>
    <s v="Social Science; Health"/>
    <s v="9781118839492"/>
    <s v=",1,2,3,25,26,27,23,24"/>
    <n v="8"/>
    <m/>
    <m/>
    <s v="No"/>
    <x v="1"/>
    <m/>
    <m/>
    <s v="137.21.7.121"/>
    <s v="RA781.7 -- .P396 2014eb"/>
    <n v="613.70460000000003"/>
    <d v="2014-05-13T00:00:00"/>
  </r>
  <r>
    <x v="1146"/>
    <d v="1899-12-30T00:48:31"/>
    <x v="250"/>
    <x v="1"/>
    <s v="brockport"/>
    <x v="45"/>
    <n v="1691426"/>
    <x v="0"/>
    <s v="Social Science; Health"/>
    <s v="9781118839492"/>
    <s v=",1,2,3,59,60,61,57,58,62,56,55,63,64,65,66,67,68,69,70,71,72,73,74,75,76,77,78,79,80,81,82,83,84,85,86,87,88,89,90,91,92,93,94,95,96,97,98,99"/>
    <n v="48"/>
    <m/>
    <m/>
    <s v="No"/>
    <x v="0"/>
    <d v="2016-01-08T01:48:20"/>
    <n v="7"/>
    <s v="137.21.7.121"/>
    <s v="RA781.7 -- .P396 2014eb"/>
    <n v="613.70460000000003"/>
    <d v="2014-05-13T00:00:00"/>
  </r>
  <r>
    <x v="1147"/>
    <d v="1899-12-30T00:00:49"/>
    <x v="323"/>
    <x v="0"/>
    <s v="Buffalo"/>
    <x v="339"/>
    <n v="1572866"/>
    <x v="5"/>
    <s v="Law"/>
    <s v="9780814708774"/>
    <s v=",1,2,3,58,59,60,56,57,61,8,9,10,6,7,11,12,13"/>
    <n v="17"/>
    <m/>
    <m/>
    <s v="No"/>
    <x v="3"/>
    <m/>
    <m/>
    <s v="128.205.114.91"/>
    <s v="KF4836 -- .S35 2014eb"/>
    <s v="342.7308/3"/>
    <d v="2014-01-03T00:00:00"/>
  </r>
  <r>
    <x v="1148"/>
    <d v="1899-12-30T00:05:40"/>
    <x v="324"/>
    <x v="0"/>
    <s v="Buffalo"/>
    <x v="326"/>
    <n v="1779318"/>
    <x v="0"/>
    <s v="Computer Science/IT"/>
    <s v="9781118968093"/>
    <s v=",114,115,116,112,113,117,118,119,120,121,122,123,124,185,186,187,184,188,189,190,191,192,193"/>
    <n v="23"/>
    <m/>
    <m/>
    <s v="No"/>
    <x v="2"/>
    <d v="2016-01-08T02:56:28"/>
    <n v="1"/>
    <s v="128.205.114.91"/>
    <s v="QA76.25 -- .M336 2014eb"/>
    <n v="4.0229999999999997"/>
    <d v="2014-09-02T00:00:00"/>
  </r>
  <r>
    <x v="1149"/>
    <d v="1899-12-30T00:05:16"/>
    <x v="324"/>
    <x v="0"/>
    <s v="Buffalo"/>
    <x v="326"/>
    <n v="1779318"/>
    <x v="0"/>
    <s v="Computer Science/IT"/>
    <s v="9781118968093"/>
    <s v=",1,2,3,4,30,31,32,28,29,33,34,49,50,51,47,48,52,53,54"/>
    <n v="19"/>
    <m/>
    <m/>
    <s v="No"/>
    <x v="3"/>
    <m/>
    <m/>
    <s v="128.205.114.91"/>
    <s v="QA76.25 -- .M336 2014eb"/>
    <n v="4.0229999999999997"/>
    <d v="2014-09-02T00:00:00"/>
  </r>
  <r>
    <x v="1150"/>
    <d v="1899-12-30T01:48:07"/>
    <x v="241"/>
    <x v="0"/>
    <s v="Buffalo"/>
    <x v="313"/>
    <n v="1358564"/>
    <x v="0"/>
    <s v="Military Science"/>
    <s v="9781118646267"/>
    <s v=",1,2,3,155,156,157,153,154,158,159,160,161,181,207,208,206,211,212,210,209,205,198,196,182,170,171,172,173,169,174,175,176,177,178,179,180,54,183,57,184,58,185,186,59,187,60,188,189,61,190,191,62,69,70,71,68,66,67,65,64,63"/>
    <n v="61"/>
    <m/>
    <m/>
    <s v="No"/>
    <x v="0"/>
    <d v="2016-01-08T01:50:05"/>
    <n v="7"/>
    <s v="128.205.114.91"/>
    <s v="U408.5 -- .P69 2013eb"/>
    <n v="355.00760000000002"/>
    <d v="2013-08-01T00:00:00"/>
  </r>
  <r>
    <x v="1151"/>
    <d v="1899-12-30T00:15:59"/>
    <x v="250"/>
    <x v="1"/>
    <s v="brockport"/>
    <x v="45"/>
    <n v="1691426"/>
    <x v="0"/>
    <s v="Social Science; Health"/>
    <s v="9781118839492"/>
    <s v=",33,34,35,36,37,38,39,40,41,42,43,44,45,46,47,48,49,50,51,52,53,54,55,56,57,58,59,60,61,62,63,64,65,66,67,68,69,70,71,72,73,74,75,76,77,78,79,80"/>
    <n v="48"/>
    <m/>
    <m/>
    <s v="No"/>
    <x v="0"/>
    <d v="2016-01-08T01:48:20"/>
    <n v="7"/>
    <s v="137.21.7.121"/>
    <s v="RA781.7 -- .P396 2014eb"/>
    <n v="613.70460000000003"/>
    <d v="2014-05-13T00:00:00"/>
  </r>
  <r>
    <x v="1152"/>
    <d v="1899-12-30T00:07:53"/>
    <x v="241"/>
    <x v="0"/>
    <s v="Buffalo"/>
    <x v="313"/>
    <n v="1358564"/>
    <x v="0"/>
    <s v="Military Science"/>
    <s v="9781118646267"/>
    <s v=",1,2,3,53,54,55,51,52,56"/>
    <n v="9"/>
    <m/>
    <m/>
    <s v="No"/>
    <x v="1"/>
    <m/>
    <m/>
    <s v="128.205.114.91"/>
    <s v="U408.5 -- .P69 2013eb"/>
    <n v="355.00760000000002"/>
    <d v="2013-08-01T00:00:00"/>
  </r>
  <r>
    <x v="1153"/>
    <d v="1899-12-30T00:12:24"/>
    <x v="250"/>
    <x v="1"/>
    <s v="brockport"/>
    <x v="45"/>
    <n v="1691426"/>
    <x v="0"/>
    <s v="Social Science; Health"/>
    <s v="9781118839492"/>
    <s v=",1,2,3,4,5,6,7,8,9,10,11,12,13,14,15,16,17,18,19,20,21,22,23,24,25,26,27,28,29,30,31,32"/>
    <n v="32"/>
    <m/>
    <m/>
    <s v="No"/>
    <x v="1"/>
    <m/>
    <m/>
    <s v="137.21.7.121"/>
    <s v="RA781.7 -- .P396 2014eb"/>
    <n v="613.70460000000003"/>
    <d v="2014-05-13T00:00:00"/>
  </r>
  <r>
    <x v="1154"/>
    <d v="1899-12-30T00:01:51"/>
    <x v="325"/>
    <x v="0"/>
    <s v="Buffalo"/>
    <x v="340"/>
    <n v="3571162"/>
    <x v="12"/>
    <s v="Literature"/>
    <s v="9781469625065"/>
    <s v=",21,22,23,24,25"/>
    <n v="5"/>
    <m/>
    <m/>
    <s v="No"/>
    <x v="2"/>
    <d v="2016-01-08T01:05:29"/>
    <n v="1"/>
    <s v="128.205.114.91"/>
    <s v="PS3523.O46 -- Z884 2015eb"/>
    <s v="813/.52"/>
    <d v="2015-09-01T00:00:00"/>
  </r>
  <r>
    <x v="1155"/>
    <d v="1899-12-30T00:06:12"/>
    <x v="325"/>
    <x v="0"/>
    <s v="Buffalo"/>
    <x v="340"/>
    <n v="3571162"/>
    <x v="12"/>
    <s v="Literature"/>
    <s v="9781469625065"/>
    <s v=",1,2,3,16,17,18,14,15,19,20"/>
    <n v="10"/>
    <m/>
    <m/>
    <s v="No"/>
    <x v="3"/>
    <m/>
    <m/>
    <s v="128.205.114.91"/>
    <s v="PS3523.O46 -- Z884 2015eb"/>
    <s v="813/.52"/>
    <d v="2015-09-01T00:00:00"/>
  </r>
  <r>
    <x v="1156"/>
    <d v="1899-12-30T00:15:30"/>
    <x v="311"/>
    <x v="0"/>
    <s v="Buffalo"/>
    <x v="324"/>
    <n v="1691999"/>
    <x v="0"/>
    <s v="Engineering: General; Engineering: Civil; Engineering"/>
    <s v="9781118910061"/>
    <s v=",34,35,36,37,35,15,38,39,40,41,42"/>
    <n v="10"/>
    <s v=",15"/>
    <m/>
    <s v="No"/>
    <x v="2"/>
    <d v="2016-01-08T00:28:47"/>
    <n v="1"/>
    <s v="128.205.114.91"/>
    <s v="TA177 -- .W34 2014eb"/>
    <n v="620.00109999999995"/>
    <d v="2014-05-16T00:00:00"/>
  </r>
  <r>
    <x v="1157"/>
    <d v="1899-12-30T00:05:05"/>
    <x v="311"/>
    <x v="0"/>
    <s v="Buffalo"/>
    <x v="324"/>
    <n v="1691999"/>
    <x v="0"/>
    <s v="Engineering: General; Engineering: Civil; Engineering"/>
    <s v="9781118910061"/>
    <s v=",1,2,3,4,5,6,7,8,9,10,11,12,13,14,15,16,17,18,19,20,21,22,23,24,25,26,27,28,29,30,31,32,33"/>
    <n v="33"/>
    <m/>
    <m/>
    <s v="No"/>
    <x v="3"/>
    <m/>
    <m/>
    <s v="128.205.114.91"/>
    <s v="TA177 -- .W34 2014eb"/>
    <n v="620.00109999999995"/>
    <d v="2014-05-16T00:00:00"/>
  </r>
  <r>
    <x v="1158"/>
    <d v="1899-12-30T00:01:14"/>
    <x v="246"/>
    <x v="1"/>
    <s v="brockport"/>
    <x v="341"/>
    <n v="4034187"/>
    <x v="0"/>
    <s v="Literature"/>
    <s v="9781118325773"/>
    <s v=",1,2,3,84,85,86,87,83,88,39,40,41,37,38,42,43,44,45,46,47,48,49,50,51"/>
    <n v="24"/>
    <m/>
    <m/>
    <s v="No"/>
    <x v="3"/>
    <m/>
    <m/>
    <s v="137.21.7.121"/>
    <m/>
    <n v="808.04200000000003"/>
    <d v="2013-03-18T00:00:00"/>
  </r>
  <r>
    <x v="1159"/>
    <d v="1899-12-30T00:00:40"/>
    <x v="246"/>
    <x v="1"/>
    <s v="brockport"/>
    <x v="342"/>
    <n v="1784598"/>
    <x v="0"/>
    <s v="Literature"/>
    <s v="9781118921074"/>
    <s v=",1,2,3,24,25,26,22,23,27"/>
    <n v="9"/>
    <m/>
    <m/>
    <s v="No"/>
    <x v="3"/>
    <m/>
    <m/>
    <s v="137.21.7.121"/>
    <s v="PN189 -- .M34 2014eb"/>
    <n v="808.02"/>
    <d v="2014-09-11T00:00:00"/>
  </r>
  <r>
    <x v="1160"/>
    <d v="1899-12-30T00:04:29"/>
    <x v="326"/>
    <x v="0"/>
    <s v="Buffalo"/>
    <x v="343"/>
    <n v="2095573"/>
    <x v="1"/>
    <s v="Health; Social Science; Medicine"/>
    <s v="9781472416209"/>
    <s v=",10,4,108,109,110,106,108,107,111,112,113,114,115,116,117,118,119,117,120,121,122,104,105,1,2,3"/>
    <n v="24"/>
    <m/>
    <m/>
    <s v="No"/>
    <x v="2"/>
    <d v="2016-01-07T23:24:21"/>
    <n v="1"/>
    <s v="128.205.114.91"/>
    <s v="RA652.2.M3 .P384 2015"/>
    <s v="614.4027; 614.4''2"/>
    <d v="2015-09-28T00:00:00"/>
  </r>
  <r>
    <x v="1161"/>
    <d v="1899-12-30T00:06:09"/>
    <x v="326"/>
    <x v="0"/>
    <s v="Buffalo"/>
    <x v="343"/>
    <n v="2095573"/>
    <x v="1"/>
    <s v="Health; Social Science; Medicine"/>
    <s v="9781472416209"/>
    <s v=",1,2,3,4,5,6,7,8,9"/>
    <n v="9"/>
    <m/>
    <m/>
    <s v="No"/>
    <x v="3"/>
    <m/>
    <m/>
    <s v="128.205.114.91"/>
    <s v="RA652.2.M3 .P384 2015"/>
    <s v="614.4027; 614.4''2"/>
    <d v="2015-09-28T00:00:00"/>
  </r>
  <r>
    <x v="1162"/>
    <d v="1899-12-30T00:00:54"/>
    <x v="327"/>
    <x v="0"/>
    <s v="Buffalo"/>
    <x v="27"/>
    <n v="1895140"/>
    <x v="0"/>
    <s v="Education"/>
    <s v="9781118911488"/>
    <s v=",27,28,29,30,31,32,33,34,76,80,77,48,60,67,68,69,65,66,70"/>
    <n v="19"/>
    <m/>
    <m/>
    <s v="No"/>
    <x v="2"/>
    <d v="2016-01-07T23:04:26"/>
    <n v="1"/>
    <s v="128.205.114.91"/>
    <s v="LB2367.4 .G743 2015"/>
    <n v="378.1662"/>
    <d v="2015-03-23T00:00:00"/>
  </r>
  <r>
    <x v="1163"/>
    <d v="1899-12-30T00:05:51"/>
    <x v="327"/>
    <x v="0"/>
    <s v="Buffalo"/>
    <x v="27"/>
    <n v="1895140"/>
    <x v="0"/>
    <s v="Education"/>
    <s v="9781118911488"/>
    <s v=",1,2,3,24,25,26,22,23"/>
    <n v="8"/>
    <m/>
    <m/>
    <s v="No"/>
    <x v="3"/>
    <m/>
    <m/>
    <s v="128.205.114.91"/>
    <s v="LB2367.4 .G743 2015"/>
    <n v="378.1662"/>
    <d v="2015-03-23T00:00:00"/>
  </r>
  <r>
    <x v="1164"/>
    <d v="1899-12-30T01:12:17"/>
    <x v="299"/>
    <x v="1"/>
    <s v="brockport"/>
    <x v="45"/>
    <n v="1691426"/>
    <x v="0"/>
    <s v="Social Science; Health"/>
    <s v="9781118839492"/>
    <s v=",1,2,3,4,5,6,7,8,9,10,329,330,327,328,325,326,331,332,333,334,335,25,26,27,23,24,28,29,30,33,34,334,335,336,337,338,339"/>
    <n v="35"/>
    <m/>
    <m/>
    <s v="No"/>
    <x v="0"/>
    <d v="2016-01-07T22:19:43"/>
    <n v="7"/>
    <s v="137.21.7.121"/>
    <s v="RA781.7 -- .P396 2014eb"/>
    <n v="613.70460000000003"/>
    <d v="2014-05-13T00:00:00"/>
  </r>
  <r>
    <x v="1165"/>
    <d v="1899-12-30T00:03:37"/>
    <x v="328"/>
    <x v="0"/>
    <s v="Buffalo"/>
    <x v="344"/>
    <n v="1691133"/>
    <x v="4"/>
    <s v="Medicine"/>
    <s v="9781462516278"/>
    <s v=",202,203,389,390,391,387,392,388,393,394,395,396,397,398,399,400,401,402,403,404,405"/>
    <n v="21"/>
    <m/>
    <s v=",186,187,188,189,190,191,192,193,194,195,196,197,198,199,200,201,202,203,204,389,390,391,392,393,394,395,396,397,398,399,400,401,402,403,404,405,406,407,408,409,410"/>
    <s v="Yes"/>
    <x v="0"/>
    <d v="2016-01-06T21:43:51"/>
    <n v="7"/>
    <s v="128.205.114.91"/>
    <s v="RC552.P67 -- .H353 2014eb"/>
    <s v="616.85/21"/>
    <d v="2014-05-15T00:00:00"/>
  </r>
  <r>
    <x v="1166"/>
    <d v="1899-12-30T00:07:19"/>
    <x v="328"/>
    <x v="0"/>
    <s v="Buffalo"/>
    <x v="344"/>
    <n v="1691133"/>
    <x v="4"/>
    <s v="Medicine"/>
    <s v="9781462516278"/>
    <s v=",1,2,3,389,390,391,387,388,392,393,394,395,396,397,398,399,400,2,401,402,403,404,405,406,407,186,187,188,184,189,185,190,191,192,193,194,195,196,197,198,199,200,201"/>
    <n v="42"/>
    <m/>
    <m/>
    <s v="No"/>
    <x v="0"/>
    <d v="2016-01-06T21:43:51"/>
    <n v="7"/>
    <s v="128.205.114.91"/>
    <s v="RC552.P67 -- .H353 2014eb"/>
    <s v="616.85/21"/>
    <d v="2014-05-15T00:00:00"/>
  </r>
  <r>
    <x v="1167"/>
    <d v="1899-12-30T00:07:35"/>
    <x v="299"/>
    <x v="1"/>
    <s v="brockport"/>
    <x v="45"/>
    <n v="1691426"/>
    <x v="0"/>
    <s v="Social Science; Health"/>
    <s v="9781118839492"/>
    <s v=",329,330,331,327,328,332,333,334,335,336,337,338,339"/>
    <n v="13"/>
    <m/>
    <m/>
    <s v="No"/>
    <x v="0"/>
    <d v="2016-01-07T22:19:43"/>
    <n v="7"/>
    <s v="137.21.7.121"/>
    <s v="RA781.7 -- .P396 2014eb"/>
    <n v="613.70460000000003"/>
    <d v="2014-05-13T00:00:00"/>
  </r>
  <r>
    <x v="1168"/>
    <d v="1899-12-30T00:38:55"/>
    <x v="299"/>
    <x v="1"/>
    <s v="brockport"/>
    <x v="45"/>
    <n v="1691426"/>
    <x v="0"/>
    <s v="Social Science; Health"/>
    <s v="9781118839492"/>
    <s v=",1,2,3,27,28,29,25,26,30,31"/>
    <n v="10"/>
    <m/>
    <m/>
    <s v="No"/>
    <x v="1"/>
    <m/>
    <m/>
    <s v="137.21.7.121"/>
    <s v="RA781.7 -- .P396 2014eb"/>
    <n v="613.70460000000003"/>
    <d v="2014-05-13T00:00:00"/>
  </r>
  <r>
    <x v="1169"/>
    <d v="1899-12-30T00:03:59"/>
    <x v="329"/>
    <x v="0"/>
    <s v="Buffalo"/>
    <x v="345"/>
    <n v="1119449"/>
    <x v="0"/>
    <s v="Psychology"/>
    <s v="9781118482230"/>
    <s v=",15,16,17,13,18,19,32,7,8,6,4,5,3,2,1,9,30,31,32,28,29,33,34,35,36,37,38,39,40,33,34,36,37,38,35"/>
    <n v="28"/>
    <m/>
    <s v=",5,6,16,17,18,19,20,21,22,5,6,16,17,18,19,20,21,22,6,5,6,16,17,18,19,20,21,22,30,31,32,33,34,35,36"/>
    <s v="No"/>
    <x v="0"/>
    <d v="2016-01-07T21:37:41"/>
    <n v="7"/>
    <s v="128.205.114.91"/>
    <s v="BF576 .S737 2013"/>
    <s v="152.4; 152.4024378198"/>
    <d v="2013-01-28T00:00:00"/>
  </r>
  <r>
    <x v="1170"/>
    <d v="1899-12-30T00:00:18"/>
    <x v="329"/>
    <x v="0"/>
    <s v="Buffalo"/>
    <x v="345"/>
    <n v="1119449"/>
    <x v="0"/>
    <s v="Psychology"/>
    <s v="9781118482230"/>
    <s v=",1,2,3,30,31,32,28,29,27"/>
    <n v="9"/>
    <m/>
    <m/>
    <s v="No"/>
    <x v="1"/>
    <m/>
    <m/>
    <s v="128.205.114.91"/>
    <s v="BF576 .S737 2013"/>
    <s v="152.4; 152.4024378198"/>
    <d v="2013-01-28T00:00:00"/>
  </r>
  <r>
    <x v="1171"/>
    <d v="1899-12-30T00:08:00"/>
    <x v="328"/>
    <x v="0"/>
    <s v="Buffalo"/>
    <x v="344"/>
    <n v="1691133"/>
    <x v="4"/>
    <s v="Medicine"/>
    <s v="9781462516278"/>
    <s v=",1,2,3,41,42,43,39,44,40,45,46,47,48,49,50,51,52,53,54,55,56,389,390,391,387,392,388,393,394,395,396,397,398,399,400,401,402,403,404,405,406,407"/>
    <n v="42"/>
    <m/>
    <m/>
    <s v="No"/>
    <x v="0"/>
    <d v="2016-01-06T21:43:51"/>
    <n v="7"/>
    <s v="128.205.114.91"/>
    <s v="RC552.P67 -- .H353 2014eb"/>
    <s v="616.85/21"/>
    <d v="2014-05-15T00:00:00"/>
  </r>
  <r>
    <x v="1172"/>
    <d v="1899-12-30T00:00:36"/>
    <x v="13"/>
    <x v="0"/>
    <s v="Buffalo"/>
    <x v="346"/>
    <n v="827065"/>
    <x v="0"/>
    <s v="Literature"/>
    <s v="9781118306291"/>
    <s v=",1,2,3,4,5,6,7,8,9,45,46,2,47,62,75,76,77,78,79,80,81,82,83,84,85,86,87"/>
    <n v="26"/>
    <m/>
    <m/>
    <s v="No"/>
    <x v="1"/>
    <m/>
    <m/>
    <s v="128.205.114.91"/>
    <s v="PN94 -- .E2 2008eb"/>
    <s v="801/.950904"/>
    <d v="2011-11-30T00:00:00"/>
  </r>
  <r>
    <x v="1173"/>
    <d v="1899-12-30T00:44:53"/>
    <x v="330"/>
    <x v="1"/>
    <s v="brockport"/>
    <x v="45"/>
    <n v="1691426"/>
    <x v="0"/>
    <s v="Social Science; Health"/>
    <s v="9781118839492"/>
    <s v=",29,30,31,25,31,32,33"/>
    <n v="6"/>
    <m/>
    <m/>
    <s v="No"/>
    <x v="0"/>
    <d v="2016-01-07T20:34:36"/>
    <n v="7"/>
    <s v="137.21.7.121"/>
    <s v="RA781.7 -- .P396 2014eb"/>
    <n v="613.70460000000003"/>
    <d v="2014-05-13T00:00:00"/>
  </r>
  <r>
    <x v="1174"/>
    <d v="1899-12-30T00:20:28"/>
    <x v="330"/>
    <x v="1"/>
    <s v="brockport"/>
    <x v="45"/>
    <n v="1691426"/>
    <x v="0"/>
    <s v="Social Science; Health"/>
    <s v="9781118839492"/>
    <s v=",1,2,3,4,7,9,10,13,17,18,19,15,16,20,21,22,25,26,27,23,24,32,33,34,30,31,29,28,28"/>
    <n v="28"/>
    <m/>
    <m/>
    <s v="No"/>
    <x v="1"/>
    <m/>
    <m/>
    <s v="137.21.7.121"/>
    <s v="RA781.7 -- .P396 2014eb"/>
    <n v="613.70460000000003"/>
    <d v="2014-05-13T00:00:00"/>
  </r>
  <r>
    <x v="1175"/>
    <d v="1899-12-30T00:51:35"/>
    <x v="150"/>
    <x v="0"/>
    <s v="Buffalo"/>
    <x v="152"/>
    <n v="330580"/>
    <x v="4"/>
    <s v="Medicine"/>
    <s v="9781593859398"/>
    <s v=",1,2,3,38,50,84,86,74,75,76,72,73,71,70,2,69,77,78,79,80,81,82,83,84,1,2,3,17,18,19,15,16,6,8,5,4,7,9,5,10,11,12,13,14,15,3,2,18,19,16,93,184,282,278,279,280,276,277,281,282,283,284,285,286,287,288,289,290,291,292,293,294,295,296,297,298,299,300,301,302,303,304,305,306,307,308,309,310,311,176,144,60,50,52,68,80,83,84,85,81,86,87,88,89,90,91,92,93,94"/>
    <n v="89"/>
    <m/>
    <m/>
    <s v="No"/>
    <x v="2"/>
    <d v="2016-01-03T17:36:42"/>
    <n v="7"/>
    <s v="128.205.114.91"/>
    <s v="RC489.C63 -- M55 2004eb"/>
    <n v="616.89142000000004"/>
    <d v="2014-05-14T00:00:00"/>
  </r>
  <r>
    <x v="1176"/>
    <d v="1899-12-30T00:11:08"/>
    <x v="269"/>
    <x v="1"/>
    <s v="brockport"/>
    <x v="45"/>
    <n v="1691426"/>
    <x v="0"/>
    <s v="Social Science; Health"/>
    <s v="9781118839492"/>
    <s v=",1,2,3,25,26,27,24,23,28"/>
    <n v="9"/>
    <m/>
    <m/>
    <s v="No"/>
    <x v="0"/>
    <d v="2016-01-04T23:59:15"/>
    <n v="7"/>
    <s v="137.21.7.121"/>
    <s v="RA781.7 -- .P396 2014eb"/>
    <n v="613.70460000000003"/>
    <d v="2014-05-13T00:00:00"/>
  </r>
  <r>
    <x v="1177"/>
    <d v="1899-12-30T00:01:13"/>
    <x v="275"/>
    <x v="0"/>
    <s v="Buffalo"/>
    <x v="7"/>
    <n v="1711065"/>
    <x v="3"/>
    <s v="Political Science; Social Science"/>
    <s v="9780520959156"/>
    <s v=",1,2,3,42,38,39,2,100,101,98,99,103,40,41,102,175,176,177,173,174"/>
    <n v="19"/>
    <m/>
    <m/>
    <s v="No"/>
    <x v="1"/>
    <m/>
    <m/>
    <s v="128.205.114.91"/>
    <s v="JV6450 -- .P67 2014eb"/>
    <s v="304.8/73"/>
    <d v="2014-08-30T00:00:00"/>
  </r>
  <r>
    <x v="1178"/>
    <d v="1899-12-30T00:20:36"/>
    <x v="71"/>
    <x v="0"/>
    <s v="Buffalo"/>
    <x v="247"/>
    <n v="1161538"/>
    <x v="0"/>
    <s v="Business/Management; Economics"/>
    <s v="9781118521755"/>
    <s v=",1,2,3,237,238,239,235,236,240,241,242,243,244,245,246,247,248,249,250,252,251,253,254,255,256,257,259,258,260,261,262,263,264,265,266,69,70,71,67,68,66,71,72,73,74,75,74,75"/>
    <n v="45"/>
    <m/>
    <m/>
    <s v="No"/>
    <x v="0"/>
    <d v="2016-01-05T13:28:20"/>
    <n v="7"/>
    <s v="128.205.114.91"/>
    <s v="HG6041 -- .L44 2013eb"/>
    <n v="332.63220000000001"/>
    <d v="2013-03-26T00:00:00"/>
  </r>
  <r>
    <x v="1179"/>
    <d v="1899-12-30T00:02:09"/>
    <x v="30"/>
    <x v="0"/>
    <s v="Buffalo"/>
    <x v="42"/>
    <n v="570368"/>
    <x v="4"/>
    <s v="Medicine"/>
    <s v="9781606238974"/>
    <s v=",1,2,3,15,16,17,13,14,18,2,19,480,481,482,478,479,483,484,485,486,487,488,489,490,491"/>
    <n v="24"/>
    <m/>
    <m/>
    <s v="No"/>
    <x v="3"/>
    <m/>
    <m/>
    <s v="128.205.114.91"/>
    <s v="R726.7 -- .H365 2010eb"/>
    <n v="616.00189999999998"/>
    <d v="2014-05-14T00:00:00"/>
  </r>
  <r>
    <x v="1180"/>
    <d v="1899-12-30T01:20:06"/>
    <x v="291"/>
    <x v="1"/>
    <s v="brockport"/>
    <x v="45"/>
    <n v="1691426"/>
    <x v="0"/>
    <s v="Social Science; Health"/>
    <s v="9781118839492"/>
    <s v=",4,5,7,8,10,11,12,13,14,15,16,17,18,19,20,21,22,23,24,25,26,27,28,29,30,31"/>
    <n v="26"/>
    <m/>
    <m/>
    <s v="Yes"/>
    <x v="0"/>
    <d v="2016-01-05T20:55:29"/>
    <n v="7"/>
    <s v="137.21.7.121"/>
    <s v="RA781.7 -- .P396 2014eb"/>
    <n v="613.70460000000003"/>
    <d v="2014-05-13T00:00:00"/>
  </r>
  <r>
    <x v="1181"/>
    <d v="1899-12-30T00:00:06"/>
    <x v="291"/>
    <x v="1"/>
    <s v="brockport"/>
    <x v="45"/>
    <n v="1691426"/>
    <x v="0"/>
    <s v="Social Science; Health"/>
    <s v="9781118839492"/>
    <s v=",1,2,3"/>
    <n v="3"/>
    <m/>
    <m/>
    <s v="No"/>
    <x v="0"/>
    <d v="2016-01-05T20:55:29"/>
    <n v="7"/>
    <s v="137.21.7.121"/>
    <s v="RA781.7 -- .P396 2014eb"/>
    <n v="613.70460000000003"/>
    <d v="2014-05-13T00:00:00"/>
  </r>
  <r>
    <x v="1182"/>
    <d v="1899-12-30T00:00:08"/>
    <x v="213"/>
    <x v="12"/>
    <s v="potsdam"/>
    <x v="347"/>
    <n v="1919320"/>
    <x v="0"/>
    <s v="Science: Anatomy/Physiology; Science: Biology/Natural History; Science"/>
    <s v="9781118468265"/>
    <s v=",349,348,349,347,347,350,350,346"/>
    <n v="5"/>
    <m/>
    <m/>
    <s v="No"/>
    <x v="0"/>
    <d v="2016-01-07T16:01:49"/>
    <n v="7"/>
    <s v="137.143.104.94"/>
    <s v="QP360 -- .P675 2015eb"/>
    <s v="612.8/23342"/>
    <d v="2015-01-08T00:00:00"/>
  </r>
  <r>
    <x v="1183"/>
    <d v="1899-12-30T00:05:01"/>
    <x v="213"/>
    <x v="12"/>
    <s v="potsdam"/>
    <x v="347"/>
    <n v="1919320"/>
    <x v="0"/>
    <s v="Science: Anatomy/Physiology; Science: Biology/Natural History; Science"/>
    <s v="9781118468265"/>
    <s v=",1,2,2,3,1,3,2,2,82,83,82,84,83,80,84,81,81,85,85,86,86,87,87,23,23,21,22,22,348"/>
    <n v="15"/>
    <m/>
    <m/>
    <s v="No"/>
    <x v="3"/>
    <m/>
    <m/>
    <s v="137.143.104.94"/>
    <s v="QP360 -- .P675 2015eb"/>
    <s v="612.8/23342"/>
    <d v="2015-01-08T00:00:00"/>
  </r>
  <r>
    <x v="1184"/>
    <d v="1899-12-30T00:00:30"/>
    <x v="331"/>
    <x v="4"/>
    <s v="monroe2boces"/>
    <x v="348"/>
    <n v="818128"/>
    <x v="0"/>
    <s v="Computer Science/IT"/>
    <s v="9781118226551"/>
    <s v=",1,2,3,4,5,6"/>
    <n v="6"/>
    <m/>
    <m/>
    <s v="No"/>
    <x v="1"/>
    <m/>
    <m/>
    <s v="216.226.109.96"/>
    <s v="TK5105.885.G66 -- G66 2012eb"/>
    <n v="4.1675000000000004"/>
    <d v="2012-02-29T00:00:00"/>
  </r>
  <r>
    <x v="1185"/>
    <d v="1899-12-30T00:01:31"/>
    <x v="331"/>
    <x v="4"/>
    <s v="monroe2boces"/>
    <x v="348"/>
    <n v="818128"/>
    <x v="0"/>
    <s v="Computer Science/IT"/>
    <s v="9781118226551"/>
    <s v=",1,2,3,4,5,6,7,8,9,10,5,2,11,12,13,14,15,16,17,18,19,20,21,22,23,24,25,26,27,28,29,35,36,38,39,40,41,42,43,44,47,45,46"/>
    <n v="41"/>
    <m/>
    <m/>
    <s v="No"/>
    <x v="1"/>
    <m/>
    <m/>
    <s v="216.226.109.96"/>
    <s v="TK5105.885.G66 -- G66 2012eb"/>
    <n v="4.1675000000000004"/>
    <d v="2012-02-29T00:00:00"/>
  </r>
  <r>
    <x v="1186"/>
    <d v="1899-12-30T00:00:45"/>
    <x v="331"/>
    <x v="4"/>
    <s v="monroe2boces"/>
    <x v="348"/>
    <n v="818128"/>
    <x v="0"/>
    <s v="Computer Science/IT"/>
    <s v="9781118226551"/>
    <s v=",1,2,3,4,5,6,7,39,40,42,38"/>
    <n v="11"/>
    <m/>
    <m/>
    <s v="No"/>
    <x v="1"/>
    <m/>
    <m/>
    <s v="216.226.109.96"/>
    <s v="TK5105.885.G66 -- G66 2012eb"/>
    <n v="4.1675000000000004"/>
    <d v="2012-02-29T00:00:00"/>
  </r>
  <r>
    <x v="1187"/>
    <d v="1899-12-30T00:00:37"/>
    <x v="41"/>
    <x v="1"/>
    <s v="brockport"/>
    <x v="45"/>
    <n v="1691426"/>
    <x v="0"/>
    <s v="Social Science; Health"/>
    <s v="9781118839492"/>
    <s v=",1,2,3,1,2,3"/>
    <n v="3"/>
    <m/>
    <m/>
    <s v="No"/>
    <x v="1"/>
    <m/>
    <m/>
    <s v="137.21.7.121"/>
    <s v="RA781.7 -- .P396 2014eb"/>
    <n v="613.70460000000003"/>
    <d v="2014-05-13T00:00:00"/>
  </r>
  <r>
    <x v="1188"/>
    <d v="1899-12-30T00:00:47"/>
    <x v="332"/>
    <x v="1"/>
    <s v="brockport"/>
    <x v="349"/>
    <n v="2122524"/>
    <x v="0"/>
    <s v="Business/Management"/>
    <s v="9781119103561"/>
    <s v=",1,27,28,27,1,29,28,29,25,26,26,2,2,79,80,79,80,81,81,82,82,83,83"/>
    <n v="12"/>
    <s v=",27"/>
    <m/>
    <s v="No"/>
    <x v="0"/>
    <d v="2016-01-07T14:58:06"/>
    <n v="7"/>
    <s v="137.21.7.121"/>
    <s v="HD57.7 .C384 2015"/>
    <n v="658.4"/>
    <d v="2015-07-14T00:00:00"/>
  </r>
  <r>
    <x v="1189"/>
    <d v="1899-12-30T00:05:57"/>
    <x v="332"/>
    <x v="1"/>
    <s v="brockport"/>
    <x v="349"/>
    <n v="2122524"/>
    <x v="0"/>
    <s v="Business/Management"/>
    <s v="9781119103561"/>
    <s v=",27,39,27"/>
    <n v="2"/>
    <s v=",27,27"/>
    <s v=",27,28,29,30,31,32,33,34,35,36,37,38,39,40"/>
    <s v="No"/>
    <x v="0"/>
    <d v="2016-01-07T14:58:06"/>
    <n v="7"/>
    <s v="137.21.7.121"/>
    <s v="HD57.7 .C384 2015"/>
    <n v="658.4"/>
    <d v="2015-07-14T00:00:00"/>
  </r>
  <r>
    <x v="1190"/>
    <d v="1899-12-30T00:03:51"/>
    <x v="332"/>
    <x v="1"/>
    <s v="brockport"/>
    <x v="349"/>
    <n v="2122524"/>
    <x v="0"/>
    <s v="Business/Management"/>
    <s v="9781119103561"/>
    <s v=",1,2,2,1,3,3,4,4,5,5,41,42,41,43,42,43,39,40,40,44,2,44,143,143,145,144,145,144,141,142,142,203,204,203,204,205,205,201,206,206,207,208,207,208,209,209,210,211,211,210,212,212,213,213,214,215,214,215,236,236,237,237,238,238,235,235,234,234,233,231,232,236,237,238,239,239,240,240,241,241,242,242,243,243,249,249,250,251,250,251,252,252,253,253,27,28,28,29,29,27,25,26,26,30,30,31,31,29,32,32,27,26,25"/>
    <n v="56"/>
    <m/>
    <m/>
    <s v="No"/>
    <x v="1"/>
    <m/>
    <m/>
    <s v="137.21.7.121"/>
    <s v="HD57.7 .C384 2015"/>
    <n v="658.4"/>
    <d v="2015-07-14T00:00:00"/>
  </r>
  <r>
    <x v="1191"/>
    <d v="1899-12-30T00:00:00"/>
    <x v="333"/>
    <x v="0"/>
    <s v="Buffalo"/>
    <x v="350"/>
    <n v="3061325"/>
    <x v="2"/>
    <s v="Business/Management; Economics"/>
    <s v="9780203078365"/>
    <m/>
    <n v="0"/>
    <m/>
    <m/>
    <s v="Yes"/>
    <x v="2"/>
    <d v="2016-01-07T14:18:18"/>
    <n v="1"/>
    <s v="128.205.114.91"/>
    <s v="HG3334 -- .T46 2013eb"/>
    <n v="332.10951"/>
    <d v="2013-09-01T00:00:00"/>
  </r>
  <r>
    <x v="1191"/>
    <d v="1899-12-30T00:00:00"/>
    <x v="333"/>
    <x v="0"/>
    <s v="Buffalo"/>
    <x v="350"/>
    <n v="3061325"/>
    <x v="2"/>
    <s v="Business/Management; Economics"/>
    <s v="9780203078365"/>
    <m/>
    <n v="0"/>
    <m/>
    <m/>
    <s v="No"/>
    <x v="2"/>
    <d v="2016-01-07T14:18:18"/>
    <n v="1"/>
    <s v="128.205.114.91"/>
    <s v="HG3334 -- .T46 2013eb"/>
    <n v="332.10951"/>
    <d v="2013-09-01T00:00:00"/>
  </r>
  <r>
    <x v="1192"/>
    <d v="1899-12-30T00:05:23"/>
    <x v="333"/>
    <x v="0"/>
    <s v="Buffalo"/>
    <x v="350"/>
    <n v="3061325"/>
    <x v="2"/>
    <s v="Business/Management; Economics"/>
    <s v="9780203078365"/>
    <s v=",1,2,3"/>
    <n v="3"/>
    <m/>
    <m/>
    <s v="No"/>
    <x v="3"/>
    <m/>
    <m/>
    <s v="128.205.114.91"/>
    <s v="HG3334 -- .T46 2013eb"/>
    <n v="332.10951"/>
    <d v="2013-09-01T00:00:00"/>
  </r>
  <r>
    <x v="1193"/>
    <d v="1899-12-30T00:00:07"/>
    <x v="71"/>
    <x v="0"/>
    <s v="Buffalo"/>
    <x v="247"/>
    <n v="1161538"/>
    <x v="0"/>
    <s v="Business/Management; Economics"/>
    <s v="9781118521755"/>
    <s v=",1,2,3"/>
    <n v="3"/>
    <m/>
    <m/>
    <s v="No"/>
    <x v="0"/>
    <d v="2016-01-05T13:28:20"/>
    <n v="7"/>
    <s v="128.205.114.91"/>
    <s v="HG6041 -- .L44 2013eb"/>
    <n v="332.63220000000001"/>
    <d v="2013-03-26T00:00:00"/>
  </r>
  <r>
    <x v="1194"/>
    <d v="1899-12-30T01:16:55"/>
    <x v="71"/>
    <x v="0"/>
    <s v="Buffalo"/>
    <x v="247"/>
    <n v="1161538"/>
    <x v="0"/>
    <s v="Business/Management; Economics"/>
    <s v="9781118521755"/>
    <s v=",1,2,3,51,52,53,50,49,54,55,56,57,58,59,60,61,62,63,64,65,66,67,68,69"/>
    <n v="24"/>
    <m/>
    <m/>
    <s v="No"/>
    <x v="0"/>
    <d v="2016-01-05T13:28:20"/>
    <n v="7"/>
    <s v="128.205.114.91"/>
    <s v="HG6041 -- .L44 2013eb"/>
    <n v="332.63220000000001"/>
    <d v="2013-03-26T00:00:00"/>
  </r>
  <r>
    <x v="1195"/>
    <d v="1899-12-30T00:00:22"/>
    <x v="282"/>
    <x v="1"/>
    <s v="brockport"/>
    <x v="45"/>
    <n v="1691426"/>
    <x v="0"/>
    <s v="Social Science; Health"/>
    <s v="9781118839492"/>
    <s v=",41,42,43,39,40,44,46,47,48,45"/>
    <n v="10"/>
    <m/>
    <m/>
    <s v="No"/>
    <x v="0"/>
    <d v="2016-01-07T03:35:10"/>
    <n v="7"/>
    <s v="137.21.7.121"/>
    <s v="RA781.7 -- .P396 2014eb"/>
    <n v="613.70460000000003"/>
    <d v="2014-05-13T00:00:00"/>
  </r>
  <r>
    <x v="1196"/>
    <d v="1899-12-30T00:16:53"/>
    <x v="282"/>
    <x v="1"/>
    <s v="brockport"/>
    <x v="45"/>
    <n v="1691426"/>
    <x v="0"/>
    <s v="Social Science; Health"/>
    <s v="9781118839492"/>
    <s v=",1,2,3,25,26,27,23,24,28,29,27,28,29,25,26,27,28,29,25,30,31,32,33"/>
    <n v="14"/>
    <m/>
    <m/>
    <s v="No"/>
    <x v="1"/>
    <m/>
    <m/>
    <s v="137.21.7.121"/>
    <s v="RA781.7 -- .P396 2014eb"/>
    <n v="613.70460000000003"/>
    <d v="2014-05-13T00:00:00"/>
  </r>
  <r>
    <x v="1197"/>
    <d v="1899-12-30T00:05:25"/>
    <x v="282"/>
    <x v="1"/>
    <s v="brockport"/>
    <x v="45"/>
    <n v="1691426"/>
    <x v="0"/>
    <s v="Social Science; Health"/>
    <s v="9781118839492"/>
    <s v=",1,2,3,25,26,27,23,24,28,29,30,31,32,33,34,61,60,62,58,59"/>
    <n v="20"/>
    <m/>
    <m/>
    <s v="No"/>
    <x v="1"/>
    <m/>
    <m/>
    <s v="137.21.7.121"/>
    <s v="RA781.7 -- .P396 2014eb"/>
    <n v="613.70460000000003"/>
    <d v="2014-05-13T00:00:00"/>
  </r>
  <r>
    <x v="1198"/>
    <d v="1899-12-30T00:02:21"/>
    <x v="241"/>
    <x v="0"/>
    <s v="Buffalo"/>
    <x v="313"/>
    <n v="1358564"/>
    <x v="0"/>
    <s v="Military Science"/>
    <s v="9781118646267"/>
    <s v=",1,2,3,1,2,3,155,156,157,153,154,149,150,151,148,147,152,158,253,272,280,283,284,285,286,287,288,289,290,291,292,293,294,295,296,297"/>
    <n v="33"/>
    <m/>
    <m/>
    <s v="No"/>
    <x v="1"/>
    <m/>
    <m/>
    <s v="128.205.114.91"/>
    <s v="U408.5 -- .P69 2013eb"/>
    <n v="355.00760000000002"/>
    <d v="2013-08-01T00:00:00"/>
  </r>
  <r>
    <x v="1199"/>
    <d v="1899-12-30T00:14:18"/>
    <x v="334"/>
    <x v="0"/>
    <s v="Buffalo"/>
    <x v="351"/>
    <n v="981495"/>
    <x v="4"/>
    <s v="Education"/>
    <s v="9781462506361"/>
    <s v=",33,35,34,31,32,36,37,38,39,40,41,42,43,44,45,46,47,48,49,50,51,52,53,54,55,56,57,58,73,74,75,71,72"/>
    <n v="33"/>
    <m/>
    <s v=",43"/>
    <s v="No"/>
    <x v="0"/>
    <d v="2016-01-06T23:46:38"/>
    <n v="7"/>
    <s v="128.205.114.91"/>
    <s v="LB1031 -- .U52 2012eb"/>
    <n v="371.39429999999999"/>
    <d v="2015-04-13T00:00:00"/>
  </r>
  <r>
    <x v="1200"/>
    <d v="1899-12-30T00:00:49"/>
    <x v="190"/>
    <x v="1"/>
    <s v="brockport"/>
    <x v="45"/>
    <n v="1691426"/>
    <x v="0"/>
    <s v="Social Science; Health"/>
    <s v="9781118839492"/>
    <s v=",29,30,31,32,33,34,35,36,37,38,39"/>
    <n v="11"/>
    <m/>
    <m/>
    <s v="No"/>
    <x v="0"/>
    <d v="2016-01-06T23:39:52"/>
    <n v="7"/>
    <s v="137.21.7.121"/>
    <s v="RA781.7 -- .P396 2014eb"/>
    <n v="613.70460000000003"/>
    <d v="2014-05-13T00:00:00"/>
  </r>
  <r>
    <x v="1201"/>
    <d v="1899-12-30T00:11:00"/>
    <x v="334"/>
    <x v="0"/>
    <s v="Buffalo"/>
    <x v="351"/>
    <n v="981495"/>
    <x v="4"/>
    <s v="Education"/>
    <s v="9781462506361"/>
    <s v=",1,3,2,23,24,25,21,22,26,27"/>
    <n v="10"/>
    <m/>
    <m/>
    <s v="No"/>
    <x v="1"/>
    <m/>
    <m/>
    <s v="128.205.114.91"/>
    <s v="LB1031 -- .U52 2012eb"/>
    <n v="371.39429999999999"/>
    <d v="2015-04-13T00:00:00"/>
  </r>
  <r>
    <x v="1202"/>
    <d v="1899-12-30T00:11:44"/>
    <x v="190"/>
    <x v="1"/>
    <s v="brockport"/>
    <x v="45"/>
    <n v="1691426"/>
    <x v="0"/>
    <s v="Social Science; Health"/>
    <s v="9781118839492"/>
    <s v=",1,2,3,19,20,21,17,18,22,23,24,25,26,27,28,16"/>
    <n v="16"/>
    <m/>
    <m/>
    <s v="No"/>
    <x v="1"/>
    <m/>
    <m/>
    <s v="137.21.7.121"/>
    <s v="RA781.7 -- .P396 2014eb"/>
    <n v="613.70460000000003"/>
    <d v="2014-05-13T00:00:00"/>
  </r>
  <r>
    <x v="1203"/>
    <d v="1899-12-30T00:00:13"/>
    <x v="335"/>
    <x v="0"/>
    <s v="Buffalo"/>
    <x v="352"/>
    <n v="1998747"/>
    <x v="0"/>
    <s v="Medicine"/>
    <s v="9781118703397"/>
    <s v=",1,2,3"/>
    <n v="3"/>
    <m/>
    <m/>
    <s v="No"/>
    <x v="1"/>
    <m/>
    <m/>
    <s v="128.205.114.91"/>
    <s v="R737"/>
    <s v="610.71/1"/>
    <d v="2015-06-08T00:00:00"/>
  </r>
  <r>
    <x v="1204"/>
    <d v="1899-12-30T03:22:05"/>
    <x v="234"/>
    <x v="1"/>
    <s v="brockport"/>
    <x v="45"/>
    <n v="1691426"/>
    <x v="0"/>
    <s v="Social Science; Health"/>
    <s v="9781118839492"/>
    <s v=",29,30,31,32,33,34,35,36,37,38,39,40,41,42,51,52,53,49,50,54,55,56,57,58,59,60,61,62,63,64,65,66,67,68,69,70,71,72,73,74,75,76,77,78,79,80,81,82,83,84,85,86,87,88,89,90,91,92,93,94,95,96,97,98,99"/>
    <n v="65"/>
    <m/>
    <m/>
    <s v="No"/>
    <x v="0"/>
    <d v="2016-01-06T22:43:01"/>
    <n v="7"/>
    <s v="137.21.7.121"/>
    <s v="RA781.7 -- .P396 2014eb"/>
    <n v="613.70460000000003"/>
    <d v="2014-05-13T00:00:00"/>
  </r>
  <r>
    <x v="1205"/>
    <d v="1899-12-30T00:00:03"/>
    <x v="336"/>
    <x v="0"/>
    <s v="Buffalo"/>
    <x v="353"/>
    <n v="843674"/>
    <x v="0"/>
    <s v="Engineering: Construction; Engineering"/>
    <s v="9781118348444"/>
    <s v=",1,2,3"/>
    <n v="3"/>
    <m/>
    <m/>
    <s v="No"/>
    <x v="1"/>
    <m/>
    <m/>
    <s v="128.205.114.91"/>
    <s v="TH435 -- .R76 2012eb"/>
    <n v="692.50972999999999"/>
    <d v="2012-02-21T00:00:00"/>
  </r>
  <r>
    <x v="1206"/>
    <d v="1899-12-30T00:13:35"/>
    <x v="234"/>
    <x v="1"/>
    <s v="brockport"/>
    <x v="45"/>
    <n v="1691426"/>
    <x v="0"/>
    <s v="Social Science; Health"/>
    <s v="9781118839492"/>
    <s v=",1,2,3,5,6,7,4,9,8,10,11,12,13,14,15,16,17,18,19,20,21,22,23,24,25,26,27,28"/>
    <n v="28"/>
    <m/>
    <m/>
    <s v="No"/>
    <x v="1"/>
    <m/>
    <m/>
    <s v="137.21.7.121"/>
    <s v="RA781.7 -- .P396 2014eb"/>
    <n v="613.70460000000003"/>
    <d v="2014-05-13T00:00:00"/>
  </r>
  <r>
    <x v="1207"/>
    <d v="1899-12-30T00:00:10"/>
    <x v="291"/>
    <x v="1"/>
    <s v="brockport"/>
    <x v="45"/>
    <n v="1691426"/>
    <x v="0"/>
    <s v="Social Science; Health"/>
    <s v="9781118839492"/>
    <s v=",1,2,3,4,5"/>
    <n v="5"/>
    <m/>
    <m/>
    <s v="No"/>
    <x v="0"/>
    <d v="2016-01-05T20:55:29"/>
    <n v="7"/>
    <s v="137.21.7.121"/>
    <s v="RA781.7 -- .P396 2014eb"/>
    <n v="613.70460000000003"/>
    <d v="2014-05-13T00:00:00"/>
  </r>
  <r>
    <x v="1208"/>
    <d v="1899-12-30T00:06:20"/>
    <x v="291"/>
    <x v="1"/>
    <s v="brockport"/>
    <x v="45"/>
    <n v="1691426"/>
    <x v="0"/>
    <s v="Social Science; Health"/>
    <s v="9781118839492"/>
    <s v=",4,5,6,7,8,9,10,11,12,13,37,38,39,35,36,40,41,42"/>
    <n v="18"/>
    <m/>
    <m/>
    <s v="Yes"/>
    <x v="0"/>
    <d v="2016-01-05T20:55:29"/>
    <n v="7"/>
    <s v="137.21.7.121"/>
    <s v="RA781.7 -- .P396 2014eb"/>
    <n v="613.70460000000003"/>
    <d v="2014-05-13T00:00:00"/>
  </r>
  <r>
    <x v="1209"/>
    <d v="1899-12-30T00:03:24"/>
    <x v="291"/>
    <x v="1"/>
    <s v="brockport"/>
    <x v="45"/>
    <n v="1691426"/>
    <x v="0"/>
    <s v="Social Science; Health"/>
    <s v="9781118839492"/>
    <s v=",40,1,2,3"/>
    <n v="4"/>
    <m/>
    <m/>
    <s v="Yes"/>
    <x v="0"/>
    <d v="2016-01-05T20:55:29"/>
    <n v="7"/>
    <s v="137.21.7.121"/>
    <s v="RA781.7 -- .P396 2014eb"/>
    <n v="613.70460000000003"/>
    <d v="2014-05-13T00:00:00"/>
  </r>
  <r>
    <x v="1210"/>
    <d v="1899-12-30T00:07:24"/>
    <x v="291"/>
    <x v="1"/>
    <s v="brockport"/>
    <x v="45"/>
    <n v="1691426"/>
    <x v="0"/>
    <s v="Social Science; Health"/>
    <s v="9781118839492"/>
    <s v=",39,37,40"/>
    <n v="3"/>
    <m/>
    <m/>
    <s v="Yes"/>
    <x v="0"/>
    <d v="2016-01-05T20:55:29"/>
    <n v="7"/>
    <s v="137.21.7.121"/>
    <s v="RA781.7 -- .P396 2014eb"/>
    <n v="613.70460000000003"/>
    <d v="2014-05-13T00:00:00"/>
  </r>
  <r>
    <x v="1211"/>
    <d v="1899-12-30T00:34:36"/>
    <x v="328"/>
    <x v="0"/>
    <s v="Buffalo"/>
    <x v="344"/>
    <n v="1691133"/>
    <x v="4"/>
    <s v="Medicine"/>
    <s v="9781462516278"/>
    <s v=",405,406,407,408,409,410,41,42,43,39,40,44,45,46,47,48,49,50,51,52,53,54,55,56,166,167,168,164,186,187,188,184,185,58,59,60,57,61,62,63,64,65,66,67,68,69,70,71,72,73,74,75,76,77,78,47"/>
    <n v="55"/>
    <m/>
    <m/>
    <s v="No"/>
    <x v="0"/>
    <d v="2016-01-06T21:43:51"/>
    <n v="7"/>
    <s v="128.205.114.91"/>
    <s v="RC552.P67 -- .H353 2014eb"/>
    <s v="616.85/21"/>
    <d v="2014-05-15T00:00:00"/>
  </r>
  <r>
    <x v="1212"/>
    <d v="1899-12-30T00:10:32"/>
    <x v="328"/>
    <x v="0"/>
    <s v="Buffalo"/>
    <x v="344"/>
    <n v="1691133"/>
    <x v="4"/>
    <s v="Medicine"/>
    <s v="9781462516278"/>
    <s v=",1,2,3,389,390,391,387,388,392,393,394,395,396,397,398,399,400,401,402,403,404"/>
    <n v="21"/>
    <m/>
    <m/>
    <s v="No"/>
    <x v="1"/>
    <m/>
    <m/>
    <s v="128.205.114.91"/>
    <s v="RC552.P67 -- .H353 2014eb"/>
    <s v="616.85/21"/>
    <d v="2014-05-15T00:00:00"/>
  </r>
  <r>
    <x v="1213"/>
    <d v="1899-12-30T00:22:53"/>
    <x v="291"/>
    <x v="1"/>
    <s v="brockport"/>
    <x v="45"/>
    <n v="1691426"/>
    <x v="0"/>
    <s v="Social Science; Health"/>
    <s v="9781118839492"/>
    <s v=",1,2,3,4,5,6,7,8,9,10,11,12,13,14,15,16,17,18,19,20,21,22,23,24,25,26,27,28,29,30,31,32,33,34,35,36,37,38"/>
    <n v="38"/>
    <m/>
    <m/>
    <s v="No"/>
    <x v="0"/>
    <d v="2016-01-05T20:55:29"/>
    <n v="7"/>
    <s v="137.21.7.121"/>
    <s v="RA781.7 -- .P396 2014eb"/>
    <n v="613.70460000000003"/>
    <d v="2014-05-13T00:00:00"/>
  </r>
  <r>
    <x v="1214"/>
    <d v="1899-12-30T00:00:51"/>
    <x v="210"/>
    <x v="1"/>
    <s v="brockport"/>
    <x v="45"/>
    <n v="1691426"/>
    <x v="0"/>
    <s v="Social Science; Health"/>
    <s v="9781118839492"/>
    <s v=",1,2,3,4,5,7,6,8,8,9,10,11"/>
    <n v="11"/>
    <m/>
    <m/>
    <s v="No"/>
    <x v="1"/>
    <m/>
    <m/>
    <s v="137.21.7.121"/>
    <s v="RA781.7 -- .P396 2014eb"/>
    <n v="613.70460000000003"/>
    <d v="2014-05-13T00:00:00"/>
  </r>
  <r>
    <x v="1215"/>
    <d v="1899-12-30T00:02:57"/>
    <x v="337"/>
    <x v="1"/>
    <s v="brockport"/>
    <x v="354"/>
    <n v="1982572"/>
    <x v="11"/>
    <s v="Literature"/>
    <s v="9780226252377"/>
    <s v=",1,2,3,185,186,187,183,184,142,143,144,140,141,145,146,147,148,142,141,140,139,148,149,143,27,28,29,25,26,30"/>
    <n v="25"/>
    <m/>
    <m/>
    <s v="No"/>
    <x v="3"/>
    <m/>
    <m/>
    <s v="137.21.7.121"/>
    <s v="PA6825"/>
    <s v="873/.01"/>
    <d v="2015-01-20T00:00:00"/>
  </r>
  <r>
    <x v="1216"/>
    <d v="1899-12-30T00:00:20"/>
    <x v="337"/>
    <x v="1"/>
    <s v="brockport"/>
    <x v="354"/>
    <n v="1982572"/>
    <x v="11"/>
    <s v="Literature"/>
    <s v="9780226252377"/>
    <s v=",1,2,3,1,2,3"/>
    <n v="3"/>
    <m/>
    <m/>
    <s v="No"/>
    <x v="3"/>
    <m/>
    <m/>
    <s v="137.21.7.121"/>
    <s v="PA6825"/>
    <s v="873/.01"/>
    <d v="2015-01-20T00:00:00"/>
  </r>
  <r>
    <x v="1217"/>
    <d v="1899-12-30T00:30:51"/>
    <x v="338"/>
    <x v="0"/>
    <s v="Buffalo"/>
    <x v="28"/>
    <n v="1895348"/>
    <x v="0"/>
    <s v="Education"/>
    <s v="9781119068839"/>
    <s v=",1,62,63,64,60,61,2,65,62,1,63,64,60,61,46,47,48,44,45,49,2,65,62,1,63,64,60,61,46,47,48,44,45,49,2,47,48,49,45,46,62,63,64,60,61,65,40,41,42,38,39,44,50,51,66"/>
    <n v="22"/>
    <m/>
    <m/>
    <s v="No"/>
    <x v="0"/>
    <d v="2016-01-06T17:08:58"/>
    <n v="7"/>
    <s v="128.205.114.91"/>
    <s v="LB2367.4"/>
    <n v="378.16640000000001"/>
    <d v="2015-05-27T00:00:00"/>
  </r>
  <r>
    <x v="1218"/>
    <d v="1899-12-30T00:53:33"/>
    <x v="71"/>
    <x v="0"/>
    <s v="Buffalo"/>
    <x v="247"/>
    <n v="1161538"/>
    <x v="0"/>
    <s v="Business/Management; Economics"/>
    <s v="9781118521755"/>
    <s v=",1,2,3,43,44,45,41,42,46,47,48,47,48,49,50,51,52,53,54,55,56,57"/>
    <n v="20"/>
    <m/>
    <m/>
    <s v="No"/>
    <x v="0"/>
    <d v="2016-01-05T13:28:20"/>
    <n v="7"/>
    <s v="128.205.114.91"/>
    <s v="HG6041 -- .L44 2013eb"/>
    <n v="332.63220000000001"/>
    <d v="2013-03-26T00:00:00"/>
  </r>
  <r>
    <x v="1219"/>
    <d v="1899-12-30T00:04:29"/>
    <x v="339"/>
    <x v="0"/>
    <s v="Buffalo"/>
    <x v="355"/>
    <n v="1569742"/>
    <x v="2"/>
    <s v="Economics; Business/Management"/>
    <s v="9781135651985"/>
    <s v=",1,2,3,18,19,20,16,17,2,15,14,13"/>
    <n v="11"/>
    <m/>
    <m/>
    <s v="No"/>
    <x v="2"/>
    <d v="2016-01-06T14:58:55"/>
    <n v="1"/>
    <s v="128.205.114.91"/>
    <s v="HC79.T4 -- P36 2013eb"/>
    <n v="338.06400000000002"/>
    <d v="2013-11-26T00:00:00"/>
  </r>
  <r>
    <x v="1220"/>
    <d v="1899-12-30T00:00:56"/>
    <x v="339"/>
    <x v="0"/>
    <s v="Buffalo"/>
    <x v="356"/>
    <n v="3061321"/>
    <x v="2"/>
    <s v="Business/Management; Economics"/>
    <s v="9780203064474"/>
    <s v=",1,2,3,4,5,6,12,13,14,10,11"/>
    <n v="11"/>
    <m/>
    <m/>
    <s v="No"/>
    <x v="3"/>
    <m/>
    <m/>
    <s v="128.205.114.91"/>
    <s v="HD45 -- .F725 2004eb"/>
    <s v="338/.06"/>
    <d v="2013-10-01T00:00:00"/>
  </r>
  <r>
    <x v="1221"/>
    <d v="1899-12-30T00:07:35"/>
    <x v="299"/>
    <x v="1"/>
    <s v="brockport"/>
    <x v="45"/>
    <n v="1691426"/>
    <x v="0"/>
    <s v="Social Science; Health"/>
    <s v="9781118839492"/>
    <s v=",1,2,3,27,25,26,24,23,28"/>
    <n v="9"/>
    <m/>
    <m/>
    <s v="No"/>
    <x v="1"/>
    <m/>
    <m/>
    <s v="137.21.7.121"/>
    <s v="RA781.7 -- .P396 2014eb"/>
    <n v="613.70460000000003"/>
    <d v="2014-05-13T00:00:00"/>
  </r>
  <r>
    <x v="1222"/>
    <d v="1899-12-30T00:00:03"/>
    <x v="198"/>
    <x v="0"/>
    <s v="Buffalo"/>
    <x v="138"/>
    <n v="694171"/>
    <x v="0"/>
    <s v="Science; Science: Physics"/>
    <s v="9780470865156"/>
    <s v=",1,2,3"/>
    <n v="3"/>
    <m/>
    <m/>
    <s v="No"/>
    <x v="3"/>
    <m/>
    <m/>
    <s v="128.205.114.91"/>
    <s v="QC173.96"/>
    <n v="530.12"/>
    <d v="2013-05-20T00:00:00"/>
  </r>
  <r>
    <x v="1223"/>
    <d v="1899-12-30T00:00:21"/>
    <x v="338"/>
    <x v="0"/>
    <s v="Buffalo"/>
    <x v="28"/>
    <n v="1895348"/>
    <x v="0"/>
    <s v="Education"/>
    <s v="9781119068839"/>
    <s v=",1,46,48,47,44,45,2"/>
    <n v="7"/>
    <m/>
    <m/>
    <s v="No"/>
    <x v="0"/>
    <d v="2016-01-06T17:08:58"/>
    <n v="7"/>
    <s v="128.205.114.91"/>
    <s v="LB2367.4"/>
    <n v="378.16640000000001"/>
    <d v="2015-05-27T00:00:00"/>
  </r>
  <r>
    <x v="1224"/>
    <d v="1899-12-30T00:01:43"/>
    <x v="338"/>
    <x v="0"/>
    <s v="Buffalo"/>
    <x v="28"/>
    <n v="1895348"/>
    <x v="0"/>
    <s v="Education"/>
    <s v="9781119068839"/>
    <s v=",43,23,24,25,21,22,19,20,17,18,46,47,48,44,45"/>
    <n v="15"/>
    <m/>
    <m/>
    <s v="No"/>
    <x v="0"/>
    <d v="2016-01-06T17:08:58"/>
    <n v="7"/>
    <s v="128.205.114.91"/>
    <s v="LB2367.4"/>
    <n v="378.16640000000001"/>
    <d v="2015-05-27T00:00:00"/>
  </r>
  <r>
    <x v="1225"/>
    <d v="1899-12-30T00:08:06"/>
    <x v="338"/>
    <x v="0"/>
    <s v="Buffalo"/>
    <x v="28"/>
    <n v="1895348"/>
    <x v="0"/>
    <s v="Education"/>
    <s v="9781119068839"/>
    <s v=",1,41,42,43,39,40,2,59,60,61,57,58,62,37,38,42"/>
    <n v="15"/>
    <m/>
    <m/>
    <s v="No"/>
    <x v="1"/>
    <m/>
    <m/>
    <s v="128.205.114.91"/>
    <s v="LB2367.4"/>
    <n v="378.16640000000001"/>
    <d v="2015-05-27T00:00:00"/>
  </r>
  <r>
    <x v="1226"/>
    <d v="1899-12-30T00:09:07"/>
    <x v="340"/>
    <x v="0"/>
    <s v="Buffalo"/>
    <x v="357"/>
    <n v="3061145"/>
    <x v="2"/>
    <s v="Social Science"/>
    <s v="9781315079424"/>
    <s v=",15,16,17,18,19,20,21,22,23,24"/>
    <n v="10"/>
    <m/>
    <m/>
    <s v="No"/>
    <x v="2"/>
    <d v="2016-01-06T15:46:19"/>
    <n v="1"/>
    <s v="128.205.114.91"/>
    <s v="GT2860 -- .F66 2004eb"/>
    <n v="363.8"/>
    <d v="2013-11-01T00:00:00"/>
  </r>
  <r>
    <x v="1227"/>
    <d v="1899-12-30T00:12:11"/>
    <x v="340"/>
    <x v="0"/>
    <s v="Buffalo"/>
    <x v="357"/>
    <n v="3061145"/>
    <x v="2"/>
    <s v="Social Science"/>
    <s v="9781315079424"/>
    <s v=",1,2,3,12,13,14,10,11"/>
    <n v="8"/>
    <m/>
    <m/>
    <s v="No"/>
    <x v="3"/>
    <m/>
    <m/>
    <s v="128.205.114.91"/>
    <s v="GT2860 -- .F66 2004eb"/>
    <n v="363.8"/>
    <d v="2013-11-01T00:00:00"/>
  </r>
  <r>
    <x v="1228"/>
    <d v="1899-12-30T00:13:10"/>
    <x v="13"/>
    <x v="0"/>
    <s v="Buffalo"/>
    <x v="345"/>
    <n v="1119449"/>
    <x v="0"/>
    <s v="Psychology"/>
    <s v="9781118482230"/>
    <s v=",39,40,41,42,17,18,19,15,16,20,21,22,23,24,25,26,27,25,28,29,30,31,32,33,35,36,37,38,34,27,25,24,23,22,21,23"/>
    <n v="28"/>
    <s v=",30,31,32,33,34,35,36,23,24,27,28"/>
    <m/>
    <s v="No"/>
    <x v="0"/>
    <d v="2016-01-06T15:20:37"/>
    <n v="7"/>
    <s v="128.205.114.91"/>
    <s v="BF576 .S737 2013"/>
    <s v="152.4; 152.4024378198"/>
    <d v="2013-01-28T00:00:00"/>
  </r>
  <r>
    <x v="1229"/>
    <d v="1899-12-30T00:01:28"/>
    <x v="13"/>
    <x v="0"/>
    <s v="Buffalo"/>
    <x v="345"/>
    <n v="1119449"/>
    <x v="0"/>
    <s v="Psychology"/>
    <s v="9781118482230"/>
    <s v=",1,2,3,30,31,32,28,29,33,34,35,36,37,38,39,40,41,42,43,35,34,33,32,31,30,29,27,28,26"/>
    <n v="21"/>
    <m/>
    <m/>
    <s v="No"/>
    <x v="1"/>
    <m/>
    <m/>
    <s v="128.205.114.91"/>
    <s v="BF576 .S737 2013"/>
    <s v="152.4; 152.4024378198"/>
    <d v="2013-01-28T00:00:00"/>
  </r>
  <r>
    <x v="1230"/>
    <d v="1899-12-30T00:00:30"/>
    <x v="339"/>
    <x v="0"/>
    <s v="Buffalo"/>
    <x v="355"/>
    <n v="1569742"/>
    <x v="2"/>
    <s v="Economics; Business/Management"/>
    <s v="9781135651985"/>
    <s v=",3,1,5,2,4,12,13,14,10,11,2,18,19,20,16,17"/>
    <n v="15"/>
    <m/>
    <m/>
    <s v="No"/>
    <x v="2"/>
    <d v="2016-01-06T14:58:55"/>
    <n v="1"/>
    <s v="128.205.114.91"/>
    <s v="HC79.T4 -- P36 2013eb"/>
    <n v="338.06400000000002"/>
    <d v="2013-11-26T00:00:00"/>
  </r>
  <r>
    <x v="1231"/>
    <d v="1899-12-30T00:01:25"/>
    <x v="198"/>
    <x v="0"/>
    <s v="Buffalo"/>
    <x v="138"/>
    <n v="694171"/>
    <x v="0"/>
    <s v="Science; Science: Physics"/>
    <s v="9780470865156"/>
    <s v=",1,219,220,221,217,218,222,223,224,225,226,2,120,121,122,118,119,117,116,115,114,113,112,110,111,109,107,108,106,104,105"/>
    <n v="31"/>
    <m/>
    <m/>
    <s v="No"/>
    <x v="3"/>
    <m/>
    <m/>
    <s v="128.205.114.91"/>
    <s v="QC173.96"/>
    <n v="530.12"/>
    <d v="2013-05-20T00:00:00"/>
  </r>
  <r>
    <x v="1232"/>
    <d v="1899-12-30T01:10:50"/>
    <x v="339"/>
    <x v="0"/>
    <s v="Buffalo"/>
    <x v="355"/>
    <n v="1569742"/>
    <x v="2"/>
    <s v="Economics; Business/Management"/>
    <s v="9781135651985"/>
    <s v=",1,2,3"/>
    <n v="3"/>
    <m/>
    <m/>
    <s v="No"/>
    <x v="3"/>
    <m/>
    <m/>
    <s v="128.205.114.91"/>
    <s v="HC79.T4 -- P36 2013eb"/>
    <n v="338.06400000000002"/>
    <d v="2013-11-26T00:00:00"/>
  </r>
  <r>
    <x v="1233"/>
    <d v="1899-12-30T00:00:32"/>
    <x v="71"/>
    <x v="0"/>
    <s v="Buffalo"/>
    <x v="247"/>
    <n v="1161538"/>
    <x v="0"/>
    <s v="Business/Management; Economics"/>
    <s v="9781118521755"/>
    <s v=",1,2,3,45,46"/>
    <n v="5"/>
    <m/>
    <m/>
    <s v="No"/>
    <x v="0"/>
    <d v="2016-01-05T13:28:20"/>
    <n v="7"/>
    <s v="128.205.114.91"/>
    <s v="HG6041 -- .L44 2013eb"/>
    <n v="332.63220000000001"/>
    <d v="2013-03-26T00:00:00"/>
  </r>
  <r>
    <x v="1234"/>
    <d v="1899-12-30T00:00:08"/>
    <x v="71"/>
    <x v="0"/>
    <s v="Buffalo"/>
    <x v="247"/>
    <n v="1161538"/>
    <x v="0"/>
    <s v="Business/Management; Economics"/>
    <s v="9781118521755"/>
    <s v=",1,2,3"/>
    <n v="3"/>
    <m/>
    <m/>
    <s v="No"/>
    <x v="0"/>
    <d v="2016-01-05T13:28:20"/>
    <n v="7"/>
    <s v="128.205.114.91"/>
    <s v="HG6041 -- .L44 2013eb"/>
    <n v="332.63220000000001"/>
    <d v="2013-03-26T00:00:00"/>
  </r>
  <r>
    <x v="1235"/>
    <d v="1899-12-30T00:00:09"/>
    <x v="341"/>
    <x v="2"/>
    <s v="hilbert"/>
    <x v="358"/>
    <n v="1584165"/>
    <x v="0"/>
    <s v="Psychology"/>
    <s v="9781118841358"/>
    <s v=",26,27,28,29,30,31"/>
    <n v="6"/>
    <m/>
    <m/>
    <s v="No"/>
    <x v="2"/>
    <d v="2016-01-06T05:17:19"/>
    <n v="1"/>
    <s v="72.45.217.43"/>
    <s v="BF575.S75 .H375 2013"/>
    <n v="155.9042"/>
    <d v="2013-12-20T00:00:00"/>
  </r>
  <r>
    <x v="1236"/>
    <d v="1899-12-30T00:05:24"/>
    <x v="341"/>
    <x v="2"/>
    <s v="hilbert"/>
    <x v="358"/>
    <n v="1584165"/>
    <x v="0"/>
    <s v="Psychology"/>
    <s v="9781118841358"/>
    <s v=",1,2,3,4,5,6,7,8,9,10,11,12,13,14,15,16,17,18,19,20,21,22,23,24,25"/>
    <n v="25"/>
    <m/>
    <m/>
    <s v="No"/>
    <x v="3"/>
    <m/>
    <m/>
    <s v="72.45.217.43"/>
    <s v="BF575.S75 .H375 2013"/>
    <n v="155.9042"/>
    <d v="2013-12-20T00:00:00"/>
  </r>
  <r>
    <x v="1237"/>
    <d v="1899-12-30T00:10:05"/>
    <x v="342"/>
    <x v="0"/>
    <s v="Buffalo"/>
    <x v="359"/>
    <n v="3038511"/>
    <x v="11"/>
    <s v="Fine Arts"/>
    <s v="9780226090375"/>
    <s v=",27,28,29,30,31,32,34,33,35,36"/>
    <n v="10"/>
    <m/>
    <m/>
    <s v="No"/>
    <x v="2"/>
    <d v="2016-01-06T05:06:02"/>
    <n v="1"/>
    <s v="128.205.114.91"/>
    <s v="N6888.S42 -- .L85 2014eb"/>
    <n v="709.2"/>
    <d v="2014-02-01T00:00:00"/>
  </r>
  <r>
    <x v="1238"/>
    <d v="1899-12-30T00:05:58"/>
    <x v="342"/>
    <x v="0"/>
    <s v="Buffalo"/>
    <x v="359"/>
    <n v="3038511"/>
    <x v="11"/>
    <s v="Fine Arts"/>
    <s v="9780226090375"/>
    <s v=",1,2,3,4,5,6,7,8,9,10,11,12,13,14,15,16,17,18,19,20,21,22,23,24,25,26"/>
    <n v="26"/>
    <m/>
    <m/>
    <s v="No"/>
    <x v="3"/>
    <m/>
    <m/>
    <s v="128.205.114.91"/>
    <s v="N6888.S42 -- .L85 2014eb"/>
    <n v="709.2"/>
    <d v="2014-02-01T00:00:00"/>
  </r>
  <r>
    <x v="1239"/>
    <d v="1899-12-30T00:09:21"/>
    <x v="338"/>
    <x v="0"/>
    <s v="Buffalo"/>
    <x v="28"/>
    <n v="817313"/>
    <x v="0"/>
    <s v="Education"/>
    <s v="9781118136829"/>
    <s v=",1,25,27,26,23,24,28,29,30,31,32,2,33,34,35"/>
    <n v="15"/>
    <m/>
    <m/>
    <s v="No"/>
    <x v="0"/>
    <d v="2016-01-06T01:20:10"/>
    <n v="7"/>
    <s v="128.205.114.91"/>
    <s v="LB2367.4 -- .W65 2012eb"/>
    <n v="378.16640000000001"/>
    <d v="2012-01-10T00:00:00"/>
  </r>
  <r>
    <x v="1240"/>
    <d v="1899-12-30T01:12:12"/>
    <x v="256"/>
    <x v="1"/>
    <s v="brockport"/>
    <x v="45"/>
    <n v="1691426"/>
    <x v="0"/>
    <s v="Social Science; Health"/>
    <s v="9781118839492"/>
    <s v=",1,2,3,4,5,6,7,8,9,10,11,12,14,15,13,16,17,18,26,49,50,51,52,48,53,54,55,56,57,58,59,60,61,62,63,64,65,66,67,68,69,70,71,72,73,74,75"/>
    <n v="47"/>
    <m/>
    <m/>
    <s v="No"/>
    <x v="0"/>
    <d v="2016-01-05T00:53:45"/>
    <n v="7"/>
    <s v="137.21.7.121"/>
    <s v="RA781.7 -- .P396 2014eb"/>
    <n v="613.70460000000003"/>
    <d v="2014-05-13T00:00:00"/>
  </r>
  <r>
    <x v="1241"/>
    <d v="1899-12-30T00:01:45"/>
    <x v="256"/>
    <x v="1"/>
    <s v="brockport"/>
    <x v="45"/>
    <n v="1691426"/>
    <x v="0"/>
    <s v="Social Science; Health"/>
    <s v="9781118839492"/>
    <s v=",1,2,3,4,8,26,29,30,31,32,28,33,34,35,36,37,38,39,40,41,42,43,44,45,46,47,48,49,50,51,52,53,54"/>
    <n v="33"/>
    <m/>
    <m/>
    <s v="No"/>
    <x v="0"/>
    <d v="2016-01-05T00:53:45"/>
    <n v="7"/>
    <s v="137.21.7.121"/>
    <s v="RA781.7 -- .P396 2014eb"/>
    <n v="613.70460000000003"/>
    <d v="2014-05-13T00:00:00"/>
  </r>
  <r>
    <x v="1242"/>
    <d v="1899-12-30T01:42:44"/>
    <x v="338"/>
    <x v="0"/>
    <s v="Buffalo"/>
    <x v="28"/>
    <n v="817313"/>
    <x v="0"/>
    <s v="Education"/>
    <s v="9781118136829"/>
    <s v=",1,22,23,24,20,21,2,25"/>
    <n v="8"/>
    <m/>
    <m/>
    <s v="No"/>
    <x v="1"/>
    <m/>
    <m/>
    <s v="128.205.114.91"/>
    <s v="LB2367.4 -- .W65 2012eb"/>
    <n v="378.16640000000001"/>
    <d v="2012-01-10T00:00:00"/>
  </r>
  <r>
    <x v="1243"/>
    <d v="1899-12-30T00:09:18"/>
    <x v="150"/>
    <x v="0"/>
    <s v="Buffalo"/>
    <x v="152"/>
    <n v="330580"/>
    <x v="4"/>
    <s v="Medicine"/>
    <s v="9781593859398"/>
    <s v=",1,2,3,4,5,6,7,70,71,72,100,89,77,75,68,69,67,73,74"/>
    <n v="19"/>
    <m/>
    <m/>
    <s v="No"/>
    <x v="2"/>
    <d v="2016-01-03T17:36:42"/>
    <n v="7"/>
    <s v="128.205.114.91"/>
    <s v="RC489.C63 -- M55 2004eb"/>
    <n v="616.89142000000004"/>
    <d v="2014-05-14T00:00:00"/>
  </r>
  <r>
    <x v="1244"/>
    <d v="1899-12-30T00:03:15"/>
    <x v="338"/>
    <x v="0"/>
    <s v="Buffalo"/>
    <x v="28"/>
    <n v="1895348"/>
    <x v="0"/>
    <s v="Education"/>
    <s v="9781119068839"/>
    <s v=",1,15,16,17,13,14,18,19,20,21,2,22,23,24,25"/>
    <n v="15"/>
    <m/>
    <m/>
    <s v="No"/>
    <x v="1"/>
    <m/>
    <m/>
    <s v="128.205.114.91"/>
    <s v="LB2367.4"/>
    <n v="378.16640000000001"/>
    <d v="2015-05-27T00:00:00"/>
  </r>
  <r>
    <x v="1245"/>
    <d v="1899-12-30T00:13:33"/>
    <x v="343"/>
    <x v="12"/>
    <s v="potsdam"/>
    <x v="360"/>
    <n v="1800880"/>
    <x v="0"/>
    <s v="Education"/>
    <s v="9781118966983"/>
    <s v=",37,38,39,35,36,40,41,42,43,44,45,46,47,48,49"/>
    <n v="15"/>
    <m/>
    <s v=",9,7,8,9,10,11,12,13,14,15,16,17,18,19,20,21,37,38,39,40,41,42,43,44,45,46,47"/>
    <s v="No"/>
    <x v="2"/>
    <d v="2016-01-05T21:37:03"/>
    <n v="1"/>
    <s v="137.143.104.94"/>
    <s v="LA229 -- .R33 2014eb"/>
    <n v="378.19810973"/>
    <d v="2014-09-25T00:00:00"/>
  </r>
  <r>
    <x v="1246"/>
    <d v="1899-12-30T00:01:36"/>
    <x v="343"/>
    <x v="12"/>
    <s v="potsdam"/>
    <x v="360"/>
    <n v="1800880"/>
    <x v="0"/>
    <s v="Education"/>
    <s v="9781118966983"/>
    <s v=",1,2,3,4,5,6,7,8,9,10,11,12,13,14,15,16,17,18,19,20,21,22,23"/>
    <n v="23"/>
    <m/>
    <m/>
    <s v="No"/>
    <x v="3"/>
    <m/>
    <m/>
    <s v="137.143.104.94"/>
    <s v="LA229 -- .R33 2014eb"/>
    <n v="378.19810973"/>
    <d v="2014-09-25T00:00:00"/>
  </r>
  <r>
    <x v="1247"/>
    <d v="1899-12-30T00:05:19"/>
    <x v="291"/>
    <x v="1"/>
    <s v="brockport"/>
    <x v="45"/>
    <n v="1691426"/>
    <x v="0"/>
    <s v="Social Science; Health"/>
    <s v="9781118839492"/>
    <s v=",27,28,29,30,25,24,23,22,21,20,19,18,17,16,15,14,19,20,21,22,23,24,25,26,27,28,29,30"/>
    <n v="17"/>
    <m/>
    <m/>
    <s v="No"/>
    <x v="0"/>
    <d v="2016-01-05T20:55:29"/>
    <n v="7"/>
    <s v="137.21.7.121"/>
    <s v="RA781.7 -- .P396 2014eb"/>
    <n v="613.70460000000003"/>
    <d v="2014-05-13T00:00:00"/>
  </r>
  <r>
    <x v="1248"/>
    <d v="1899-12-30T01:16:24"/>
    <x v="264"/>
    <x v="1"/>
    <s v="brockport"/>
    <x v="45"/>
    <n v="1691426"/>
    <x v="0"/>
    <s v="Social Science; Health"/>
    <s v="9781118839492"/>
    <s v=",1,2,3,4,5,6,7,8,9,10,11,12,13,14,15,16,17,18,19,20,21,22,23,24,25,26,27,28,29,30,31,32,33,34,25,24,23,22,21,20,19,18,17,27,28,29,25,26,30,31"/>
    <n v="34"/>
    <m/>
    <m/>
    <s v="No"/>
    <x v="0"/>
    <d v="2016-01-03T22:10:16"/>
    <n v="7"/>
    <s v="137.21.7.121"/>
    <s v="RA781.7 -- .P396 2014eb"/>
    <n v="613.70460000000003"/>
    <d v="2014-05-13T00:00:00"/>
  </r>
  <r>
    <x v="1249"/>
    <d v="1899-12-30T00:00:00"/>
    <x v="81"/>
    <x v="0"/>
    <s v="Buffalo"/>
    <x v="147"/>
    <n v="1809741"/>
    <x v="0"/>
    <s v="Business/Management"/>
    <s v="9781118963685"/>
    <m/>
    <n v="0"/>
    <m/>
    <m/>
    <s v="Yes"/>
    <x v="2"/>
    <d v="2016-01-05T19:46:59"/>
    <n v="7"/>
    <s v="128.205.114.91"/>
    <s v="HD61 -- .E434 2014eb"/>
    <n v="658.15499999999997"/>
    <d v="2014-09-29T00:00:00"/>
  </r>
  <r>
    <x v="1249"/>
    <d v="1899-12-30T00:00:00"/>
    <x v="81"/>
    <x v="0"/>
    <s v="Buffalo"/>
    <x v="147"/>
    <n v="1809741"/>
    <x v="0"/>
    <s v="Business/Management"/>
    <s v="9781118963685"/>
    <m/>
    <n v="0"/>
    <m/>
    <m/>
    <s v="No"/>
    <x v="2"/>
    <d v="2016-01-05T19:46:59"/>
    <n v="7"/>
    <s v="128.205.114.91"/>
    <s v="HD61 -- .E434 2014eb"/>
    <n v="658.15499999999997"/>
    <d v="2014-09-29T00:00:00"/>
  </r>
  <r>
    <x v="1250"/>
    <d v="1899-12-30T00:00:21"/>
    <x v="81"/>
    <x v="0"/>
    <s v="Buffalo"/>
    <x v="147"/>
    <n v="1809741"/>
    <x v="0"/>
    <s v="Business/Management"/>
    <s v="9781118963685"/>
    <s v=",1,2,3"/>
    <n v="3"/>
    <m/>
    <m/>
    <s v="No"/>
    <x v="3"/>
    <m/>
    <m/>
    <s v="128.205.114.91"/>
    <s v="HD61 -- .E434 2014eb"/>
    <n v="658.15499999999997"/>
    <d v="2014-09-29T00:00:00"/>
  </r>
  <r>
    <x v="1251"/>
    <d v="1899-12-30T00:00:08"/>
    <x v="344"/>
    <x v="12"/>
    <s v="potsdam"/>
    <x v="361"/>
    <n v="1273516"/>
    <x v="0"/>
    <s v="Science: Physics; Engineering: Civil; Science; Engineering"/>
    <s v="9781118418451"/>
    <s v=",1,2,3,6,7,8,4,5"/>
    <n v="8"/>
    <m/>
    <m/>
    <s v="No"/>
    <x v="1"/>
    <m/>
    <m/>
    <s v="137.143.104.94"/>
    <s v="TA357 -- .P368 2013eb"/>
    <s v="532/.051"/>
    <d v="2013-07-03T00:00:00"/>
  </r>
  <r>
    <x v="1252"/>
    <d v="1899-12-30T00:00:19"/>
    <x v="344"/>
    <x v="12"/>
    <s v="potsdam"/>
    <x v="362"/>
    <n v="1895443"/>
    <x v="0"/>
    <s v="Engineering; Engineering: Electrical; Architecture"/>
    <s v="9781118417713"/>
    <s v=",1,2,3,4,5,6,7,8"/>
    <n v="8"/>
    <m/>
    <m/>
    <s v="No"/>
    <x v="1"/>
    <m/>
    <m/>
    <s v="137.143.104.94"/>
    <s v="TK4175 -- .G67 2014eb"/>
    <s v="729/.28"/>
    <d v="2015-01-28T00:00:00"/>
  </r>
  <r>
    <x v="1253"/>
    <d v="1899-12-30T00:00:09"/>
    <x v="344"/>
    <x v="12"/>
    <s v="potsdam"/>
    <x v="363"/>
    <n v="449587"/>
    <x v="2"/>
    <s v="Social Science"/>
    <s v="9781843926313"/>
    <s v=",1,2,3,6,5,7,4"/>
    <n v="7"/>
    <m/>
    <m/>
    <s v="No"/>
    <x v="3"/>
    <m/>
    <m/>
    <s v="137.143.104.94"/>
    <s v="HV8195.A2 -- I58 2007eb"/>
    <n v="363.20940999999999"/>
    <d v="2013-09-05T00:00:00"/>
  </r>
  <r>
    <x v="1254"/>
    <d v="1899-12-30T00:00:09"/>
    <x v="344"/>
    <x v="12"/>
    <s v="potsdam"/>
    <x v="364"/>
    <n v="428555"/>
    <x v="2"/>
    <s v="Fine Arts"/>
    <s v="9780080927732"/>
    <s v=",1,2,3,5,6,7,4"/>
    <n v="7"/>
    <m/>
    <m/>
    <s v="No"/>
    <x v="3"/>
    <m/>
    <m/>
    <s v="137.143.104.94"/>
    <s v="PN2091.S6 -- K3 2009eb"/>
    <s v="792.02/4; 792.024"/>
    <d v="2013-07-24T00:00:00"/>
  </r>
  <r>
    <x v="1255"/>
    <d v="1899-12-30T00:00:12"/>
    <x v="344"/>
    <x v="12"/>
    <s v="potsdam"/>
    <x v="365"/>
    <n v="352288"/>
    <x v="4"/>
    <s v="Social Science"/>
    <s v="9781606230602"/>
    <s v=",1,2,3,15,16,17,13,14"/>
    <n v="8"/>
    <m/>
    <m/>
    <s v="No"/>
    <x v="3"/>
    <m/>
    <m/>
    <s v="137.143.104.94"/>
    <s v="HM1106 -- .R83 2008eb"/>
    <n v="305.3"/>
    <d v="2014-05-14T00:00:00"/>
  </r>
  <r>
    <x v="1256"/>
    <d v="1899-12-30T00:00:09"/>
    <x v="344"/>
    <x v="12"/>
    <s v="potsdam"/>
    <x v="366"/>
    <n v="293604"/>
    <x v="2"/>
    <s v="Medicine"/>
    <s v="9780203957097"/>
    <s v=",1,2,3,5,6,7,4"/>
    <n v="7"/>
    <m/>
    <m/>
    <s v="No"/>
    <x v="3"/>
    <m/>
    <m/>
    <s v="137.143.104.94"/>
    <s v="RC554 -- .P471 2006eb"/>
    <s v="616.85/26"/>
    <d v="2013-08-21T00:00:00"/>
  </r>
  <r>
    <x v="1257"/>
    <d v="1899-12-30T00:00:17"/>
    <x v="344"/>
    <x v="12"/>
    <s v="potsdam"/>
    <x v="367"/>
    <n v="291393"/>
    <x v="2"/>
    <s v="Social Science"/>
    <s v="9780203942901"/>
    <s v=",1,2,3,4,5,6,7,8"/>
    <n v="8"/>
    <m/>
    <m/>
    <s v="No"/>
    <x v="3"/>
    <m/>
    <m/>
    <s v="137.143.104.94"/>
    <s v="HQ755.8 -- .P379128 2006eb"/>
    <n v="306.87400000000002"/>
    <d v="2013-09-05T00:00:00"/>
  </r>
  <r>
    <x v="1258"/>
    <d v="1899-12-30T00:00:12"/>
    <x v="344"/>
    <x v="12"/>
    <s v="potsdam"/>
    <x v="17"/>
    <n v="3059079"/>
    <x v="0"/>
    <s v="Science; Science: Physics"/>
    <s v="9781118473818"/>
    <s v=",1,2,3,6,7,8,4,5"/>
    <n v="8"/>
    <m/>
    <m/>
    <s v="No"/>
    <x v="3"/>
    <m/>
    <m/>
    <s v="137.143.104.94"/>
    <s v="QC21.3 -- .H35 2014eb"/>
    <n v="530"/>
    <d v="2013-05-07T00:00:00"/>
  </r>
  <r>
    <x v="1259"/>
    <d v="1899-12-30T00:00:03"/>
    <x v="36"/>
    <x v="0"/>
    <s v="Buffalo"/>
    <x v="368"/>
    <n v="1214388"/>
    <x v="5"/>
    <s v="History; Social Science"/>
    <s v="9780814762653"/>
    <s v=",1,2,3"/>
    <n v="3"/>
    <m/>
    <m/>
    <s v="No"/>
    <x v="3"/>
    <m/>
    <m/>
    <s v="128.205.114.91"/>
    <s v="E185.625 -- .O55 2013eb"/>
    <s v="305.896/073052"/>
    <d v="2013-07-01T00:00:00"/>
  </r>
  <r>
    <x v="1260"/>
    <d v="1899-12-30T00:00:05"/>
    <x v="36"/>
    <x v="0"/>
    <s v="Buffalo"/>
    <x v="368"/>
    <n v="1214388"/>
    <x v="5"/>
    <s v="History; Social Science"/>
    <s v="9780814762653"/>
    <s v=",1,2,3,4,5"/>
    <n v="5"/>
    <m/>
    <m/>
    <s v="No"/>
    <x v="3"/>
    <m/>
    <m/>
    <s v="128.205.114.91"/>
    <s v="E185.625 -- .O55 2013eb"/>
    <s v="305.896/073052"/>
    <d v="2013-07-01T00:00:00"/>
  </r>
  <r>
    <x v="1261"/>
    <d v="1899-12-30T01:55:58"/>
    <x v="291"/>
    <x v="1"/>
    <s v="brockport"/>
    <x v="45"/>
    <n v="1691426"/>
    <x v="0"/>
    <s v="Social Science; Health"/>
    <s v="9781118839492"/>
    <s v=",1,2,3,23,24,25,21,22,26"/>
    <n v="9"/>
    <m/>
    <m/>
    <s v="No"/>
    <x v="1"/>
    <m/>
    <m/>
    <s v="137.21.7.121"/>
    <s v="RA781.7 -- .P396 2014eb"/>
    <n v="613.70460000000003"/>
    <d v="2014-05-13T00:00:00"/>
  </r>
  <r>
    <x v="1262"/>
    <d v="1899-12-30T00:00:29"/>
    <x v="344"/>
    <x v="12"/>
    <s v="potsdam"/>
    <x v="367"/>
    <n v="291393"/>
    <x v="2"/>
    <s v="Social Science"/>
    <s v="9780203942901"/>
    <s v=",1,2,3,4,5,6,7,8,9,10,11,12,13"/>
    <n v="13"/>
    <m/>
    <m/>
    <s v="No"/>
    <x v="3"/>
    <m/>
    <m/>
    <s v="137.143.104.94"/>
    <s v="HQ755.8 -- .P379128 2006eb"/>
    <n v="306.87400000000002"/>
    <d v="2013-09-05T00:00:00"/>
  </r>
  <r>
    <x v="1263"/>
    <d v="1899-12-30T00:01:55"/>
    <x v="344"/>
    <x v="12"/>
    <s v="potsdam"/>
    <x v="369"/>
    <n v="3057725"/>
    <x v="0"/>
    <s v="Fine Arts"/>
    <s v="9780470099667"/>
    <s v=",1,2,3,6,7,8,9,5,10,11,12,13,14,111,112,109,110,114,116,120,129,131,127,132,128"/>
    <n v="25"/>
    <m/>
    <m/>
    <s v="No"/>
    <x v="1"/>
    <m/>
    <m/>
    <s v="137.143.104.94"/>
    <s v="TT825 -- .D48 2006eb"/>
    <s v="746.43/2"/>
    <d v="2006-09-19T00:00:00"/>
  </r>
  <r>
    <x v="1264"/>
    <d v="1899-12-30T00:59:18"/>
    <x v="345"/>
    <x v="0"/>
    <s v="Buffalo"/>
    <x v="370"/>
    <n v="1765094"/>
    <x v="0"/>
    <s v="Medicine; Pharmacy"/>
    <s v="9781118880890"/>
    <s v=",32,33,34,35,36,37,38,39,40,41,42,43,44,45,46,47,48,49,50,51,52,53,54,55,56,57,58,59,60,61,62,63,64,65,66,67,68,69,70,71,72,73,74,75,76,77,78,79,80,81,82,83,84,85,86,87,88,89,90,91,93,94,95,97,99,100,102,103,104,105,107,109,110,112,115,116,118,119,120,121,122,123,124,125,126,127,128,132,133,135,136,137,138,140,141,142,144,146,145,146,147,148,149,150,152,153,154,156,158,159,160,161,162,163,161,162,164,165,166,167,168,169,170,171,172,173,174,176,178,179,182,183,184,185,186,188,189,190,191,192,193,194,195,196,197,198,199,200,201,202,203,204,205,200,206,207,208,209,210,211,212,213,214,215,216,217,218,219,220,221,222,224,218,217,216,212,223,224,225,226,229,230,231,233,235,236,237,238,239,241,242,243,246,247,248,249,250,252,253,254,255,256,257,251,258,259,260,254,261,262,265,266,267,268,269,270,271,272,273,274,275,276,277,278,279,280,281,282,283,284,285,286,287,288,289,290,291,292,293,294,295,296,297,298,302,303,304,305,307,308,309,310,311,312,313,314,316,317,318,319,321,322,323,324,326,329,331,332"/>
    <n v="258"/>
    <m/>
    <s v=",161,162,161,162,163,164,165,166,167,168,169,170,214,214,215,216,217,218,219,220,221,222,249,250,251,252,253,254,255,256,257,258,259,260,261,262,263,264,265,266,267,268,269,270,271,272,273,274,275,276,277,278,279,280,281,282"/>
    <s v="No"/>
    <x v="0"/>
    <d v="2016-01-05T16:48:30"/>
    <n v="7"/>
    <s v="128.205.114.91"/>
    <s v="RM217 -- .S263 2014eb"/>
    <n v="615.85400000000004"/>
    <d v="2014-08-07T00:00:00"/>
  </r>
  <r>
    <x v="1265"/>
    <d v="1899-12-30T00:15:21"/>
    <x v="345"/>
    <x v="0"/>
    <s v="Buffalo"/>
    <x v="370"/>
    <n v="1765094"/>
    <x v="0"/>
    <s v="Medicine; Pharmacy"/>
    <s v="9781118880890"/>
    <s v=",1,2,3,4,5,6,7,8,9,10,11,12,13,14,15,16,17,18,19,20,21,22,23,24,25,26,27,28,29,30,30,31"/>
    <n v="31"/>
    <m/>
    <m/>
    <s v="No"/>
    <x v="1"/>
    <m/>
    <m/>
    <s v="128.205.114.91"/>
    <s v="RM217 -- .S263 2014eb"/>
    <n v="615.85400000000004"/>
    <d v="2014-08-07T00:00:00"/>
  </r>
  <r>
    <x v="1266"/>
    <d v="1899-12-30T01:26:22"/>
    <x v="71"/>
    <x v="0"/>
    <s v="Buffalo"/>
    <x v="247"/>
    <n v="1161538"/>
    <x v="0"/>
    <s v="Business/Management; Economics"/>
    <s v="9781118521755"/>
    <s v=",1,2,3,25,26,27,23,24,28,29,30,31,32,33,33,34,35,36,37,38,33,38,39,40,41,42,37,43,44,45,46"/>
    <n v="27"/>
    <m/>
    <m/>
    <s v="No"/>
    <x v="0"/>
    <d v="2016-01-05T13:28:20"/>
    <n v="7"/>
    <s v="128.205.114.91"/>
    <s v="HG6041 -- .L44 2013eb"/>
    <n v="332.63220000000001"/>
    <d v="2013-03-26T00:00:00"/>
  </r>
  <r>
    <x v="1267"/>
    <d v="1899-12-30T00:00:00"/>
    <x v="325"/>
    <x v="0"/>
    <s v="Buffalo"/>
    <x v="371"/>
    <n v="1747371"/>
    <x v="5"/>
    <s v="Literature"/>
    <s v="9781479818334"/>
    <m/>
    <n v="0"/>
    <m/>
    <m/>
    <s v="Yes"/>
    <x v="0"/>
    <d v="2016-01-05T15:29:40"/>
    <n v="7"/>
    <s v="128.205.114.91"/>
    <s v="PS201 -- .U57 2014eb"/>
    <s v="810.9/003"/>
    <d v="2014-08-15T00:00:00"/>
  </r>
  <r>
    <x v="1267"/>
    <d v="1899-12-30T00:00:00"/>
    <x v="325"/>
    <x v="0"/>
    <s v="Buffalo"/>
    <x v="371"/>
    <n v="1747371"/>
    <x v="5"/>
    <s v="Literature"/>
    <s v="9781479818334"/>
    <m/>
    <n v="0"/>
    <m/>
    <m/>
    <s v="No"/>
    <x v="0"/>
    <d v="2016-01-05T15:29:40"/>
    <n v="7"/>
    <s v="128.205.114.91"/>
    <s v="PS201 -- .U57 2014eb"/>
    <s v="810.9/003"/>
    <d v="2014-08-15T00:00:00"/>
  </r>
  <r>
    <x v="1268"/>
    <d v="1899-12-30T00:00:34"/>
    <x v="325"/>
    <x v="0"/>
    <s v="Buffalo"/>
    <x v="371"/>
    <n v="1747371"/>
    <x v="5"/>
    <s v="Literature"/>
    <s v="9781479818334"/>
    <s v=",1,2,2,3,1,3,2,2"/>
    <n v="3"/>
    <m/>
    <m/>
    <s v="No"/>
    <x v="3"/>
    <m/>
    <m/>
    <s v="128.205.114.91"/>
    <s v="PS201 -- .U57 2014eb"/>
    <s v="810.9/003"/>
    <d v="2014-08-15T00:00:00"/>
  </r>
  <r>
    <x v="1269"/>
    <d v="1899-12-30T00:00:10"/>
    <x v="325"/>
    <x v="0"/>
    <s v="Buffalo"/>
    <x v="340"/>
    <n v="3571162"/>
    <x v="12"/>
    <s v="Literature"/>
    <s v="9781469625065"/>
    <s v=",2,2"/>
    <n v="1"/>
    <m/>
    <m/>
    <s v="Yes"/>
    <x v="2"/>
    <d v="2016-01-05T15:24:07"/>
    <n v="1"/>
    <s v="128.205.114.91"/>
    <s v="PS3523.O46 -- Z884 2015eb"/>
    <s v="813/.52"/>
    <d v="2015-09-01T00:00:00"/>
  </r>
  <r>
    <x v="1269"/>
    <d v="1899-12-30T00:00:00"/>
    <x v="325"/>
    <x v="0"/>
    <s v="Buffalo"/>
    <x v="340"/>
    <n v="3571162"/>
    <x v="12"/>
    <s v="Literature"/>
    <s v="9781469625065"/>
    <m/>
    <n v="0"/>
    <m/>
    <m/>
    <s v="No"/>
    <x v="2"/>
    <d v="2016-01-05T15:24:07"/>
    <n v="1"/>
    <s v="128.205.114.91"/>
    <s v="PS3523.O46 -- Z884 2015eb"/>
    <s v="813/.52"/>
    <d v="2015-09-01T00:00:00"/>
  </r>
  <r>
    <x v="1270"/>
    <d v="1899-12-30T00:00:13"/>
    <x v="325"/>
    <x v="0"/>
    <s v="Buffalo"/>
    <x v="340"/>
    <n v="3571162"/>
    <x v="12"/>
    <s v="Literature"/>
    <s v="9781469625065"/>
    <s v=",1,2,2,3,1,3"/>
    <n v="3"/>
    <m/>
    <m/>
    <s v="No"/>
    <x v="3"/>
    <m/>
    <m/>
    <s v="128.205.114.91"/>
    <s v="PS3523.O46 -- Z884 2015eb"/>
    <s v="813/.52"/>
    <d v="2015-09-01T00:00:00"/>
  </r>
  <r>
    <x v="1271"/>
    <d v="1899-12-30T00:00:38"/>
    <x v="346"/>
    <x v="0"/>
    <s v="Buffalo"/>
    <x v="372"/>
    <n v="877782"/>
    <x v="0"/>
    <s v="Social Science; Science: Biology/Natural History; Science"/>
    <s v="9781118255407"/>
    <s v=",1,2,3,7,8,9,5,6,10,11"/>
    <n v="10"/>
    <m/>
    <m/>
    <s v="No"/>
    <x v="1"/>
    <m/>
    <m/>
    <s v="128.205.114.91"/>
    <s v="GN69.8 -- .C659 2012eb"/>
    <n v="599.9"/>
    <d v="2012-03-26T00:00:00"/>
  </r>
  <r>
    <x v="1272"/>
    <d v="1899-12-30T00:00:19"/>
    <x v="347"/>
    <x v="0"/>
    <s v="Buffalo"/>
    <x v="39"/>
    <n v="1569855"/>
    <x v="2"/>
    <s v="History; Political Science"/>
    <s v="9781317863878"/>
    <s v=",1,2,3,5,6,7,4"/>
    <n v="7"/>
    <m/>
    <m/>
    <s v="No"/>
    <x v="3"/>
    <m/>
    <m/>
    <s v="128.205.114.91"/>
    <s v="E183.8.S65 -- M33 2013eb"/>
    <n v="327.47073"/>
    <d v="2013-11-04T00:00:00"/>
  </r>
  <r>
    <x v="1273"/>
    <d v="1899-12-30T00:00:00"/>
    <x v="348"/>
    <x v="0"/>
    <s v="Buffalo"/>
    <x v="373"/>
    <n v="1774183"/>
    <x v="1"/>
    <s v="Social Science"/>
    <s v="9781409467465"/>
    <m/>
    <n v="0"/>
    <m/>
    <s v=",1,2,3,4,5,6,7,22,22,23,24,25,26,27,28,29,30,31,32,33,34,35,36,36,37,38,39,40,41,42,43,44,45,46,47,48,49,50,51,52,53,54,55,56,57,58,59,60,61,62,63,64,65,66,67,68,69,70,71,72,73,74,75,76,77,78,79,80,1,1,1,1,1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100,101"/>
    <s v="No"/>
    <x v="2"/>
    <d v="2016-01-05T14:59:47"/>
    <n v="1"/>
    <s v="128.205.114.91"/>
    <s v="HT185 -- .V37 2014eb"/>
    <n v="307.76"/>
    <d v="2014-10-28T00:00:00"/>
  </r>
  <r>
    <x v="1274"/>
    <d v="1899-12-30T00:00:10"/>
    <x v="348"/>
    <x v="0"/>
    <s v="Buffalo"/>
    <x v="373"/>
    <n v="1774183"/>
    <x v="1"/>
    <s v="Social Science"/>
    <s v="9781409467465"/>
    <s v=",1,3,2"/>
    <n v="3"/>
    <m/>
    <m/>
    <s v="No"/>
    <x v="3"/>
    <m/>
    <m/>
    <s v="128.205.114.91"/>
    <s v="HT185 -- .V37 2014eb"/>
    <n v="307.76"/>
    <d v="2014-10-28T00:00:00"/>
  </r>
  <r>
    <x v="1275"/>
    <d v="1899-12-30T00:00:31"/>
    <x v="349"/>
    <x v="1"/>
    <s v="brockport"/>
    <x v="262"/>
    <n v="1895936"/>
    <x v="0"/>
    <s v="Social Science; Health"/>
    <s v="9781119022763"/>
    <s v=",9,10,11,12,13,14,15,16,17,18,19,20,52,125,150,151,155,156,157,153,154"/>
    <n v="21"/>
    <m/>
    <s v=",61,62,63,64,65,66,67,68,69,70,71,72,73,74,75,76,455,456,457,458,459,460,461,462,463,464,465,466,467,468,469,470,471,472,473,474,475,476,477,478,479,480,481,482,483,484,485,486,487,488,489,490,491,492,493,494,495,496,497,498,499,500,501,502,503,504,505,506,507,508,509,510,511,512,513,514,515,516,517,518,519,520,521,522,523,524,525,526,527,528,529,530,531,532,533,534,535,536,537,538,539,540,541,542,543,544,545,546,547,548,549,550,551,552,553"/>
    <s v="No"/>
    <x v="0"/>
    <d v="2016-01-05T13:45:14"/>
    <n v="7"/>
    <s v="137.21.7.121"/>
    <s v="RA781.7 -- .Y643 2015eb"/>
    <n v="613.70460000000003"/>
    <d v="2015-02-18T00:00:00"/>
  </r>
  <r>
    <x v="1276"/>
    <d v="1899-12-30T00:05:20"/>
    <x v="349"/>
    <x v="1"/>
    <s v="brockport"/>
    <x v="262"/>
    <n v="1895936"/>
    <x v="0"/>
    <s v="Social Science; Health"/>
    <s v="9781119022763"/>
    <s v=",1,2,3,4,5,6,7,8"/>
    <n v="8"/>
    <m/>
    <m/>
    <s v="No"/>
    <x v="3"/>
    <m/>
    <m/>
    <s v="137.21.7.121"/>
    <s v="RA781.7 -- .Y643 2015eb"/>
    <n v="613.70460000000003"/>
    <d v="2015-02-18T00:00:00"/>
  </r>
  <r>
    <x v="1277"/>
    <d v="1899-12-30T00:00:03"/>
    <x v="349"/>
    <x v="1"/>
    <s v="brockport"/>
    <x v="45"/>
    <n v="1691426"/>
    <x v="0"/>
    <s v="Social Science; Health"/>
    <s v="9781118839492"/>
    <s v=",1,2,3"/>
    <n v="3"/>
    <m/>
    <m/>
    <s v="No"/>
    <x v="0"/>
    <d v="2015-12-29T21:06:16"/>
    <n v="7"/>
    <s v="137.21.7.121"/>
    <s v="RA781.7 -- .P396 2014eb"/>
    <n v="613.70460000000003"/>
    <d v="2014-05-13T00:00:00"/>
  </r>
  <r>
    <x v="1278"/>
    <d v="1899-12-30T00:06:42"/>
    <x v="71"/>
    <x v="0"/>
    <s v="Buffalo"/>
    <x v="247"/>
    <n v="1161538"/>
    <x v="0"/>
    <s v="Business/Management; Economics"/>
    <s v="9781118521755"/>
    <s v=",81,82,83,84,85,86,87,88,89,90,91,92,93,94,95,96,97,98,99,100,101,102,103,103,104,105,106,107,108,109,110,111,112,113,114"/>
    <n v="34"/>
    <m/>
    <m/>
    <s v="No"/>
    <x v="0"/>
    <d v="2016-01-05T13:28:20"/>
    <n v="7"/>
    <s v="128.205.114.91"/>
    <s v="HG6041 -- .L44 2013eb"/>
    <n v="332.63220000000001"/>
    <d v="2013-03-26T00:00:00"/>
  </r>
  <r>
    <x v="1279"/>
    <d v="1899-12-30T00:10:03"/>
    <x v="71"/>
    <x v="0"/>
    <s v="Buffalo"/>
    <x v="247"/>
    <n v="1161538"/>
    <x v="0"/>
    <s v="Business/Management; Economics"/>
    <s v="9781118521755"/>
    <s v=",1,2,3,4,5,6,7,8,9,10,11,12,13,14,15,16,11,60,61,62,59,63,64,65,67,66,68,69,70,71,72,73,74,75,76,77,78,79,80"/>
    <n v="38"/>
    <m/>
    <m/>
    <s v="No"/>
    <x v="1"/>
    <m/>
    <m/>
    <s v="128.205.114.91"/>
    <s v="HG6041 -- .L44 2013eb"/>
    <n v="332.63220000000001"/>
    <d v="2013-03-26T00:00:00"/>
  </r>
  <r>
    <x v="1280"/>
    <d v="1899-12-30T00:00:09"/>
    <x v="350"/>
    <x v="1"/>
    <s v="brockport"/>
    <x v="374"/>
    <n v="1889219"/>
    <x v="0"/>
    <s v="Business/Management"/>
    <s v="9781118938980"/>
    <s v=",1,2,3"/>
    <n v="3"/>
    <m/>
    <m/>
    <s v="No"/>
    <x v="3"/>
    <m/>
    <m/>
    <s v="137.21.7.121"/>
    <s v="HD38.5 -- .C345 2015eb"/>
    <n v="658.5"/>
    <d v="2014-12-08T00:00:00"/>
  </r>
  <r>
    <x v="1281"/>
    <d v="1899-12-30T00:28:06"/>
    <x v="351"/>
    <x v="1"/>
    <s v="brockport"/>
    <x v="45"/>
    <n v="1691426"/>
    <x v="0"/>
    <s v="Social Science; Health"/>
    <s v="9781118839492"/>
    <s v=",35,36,37,33,34,32,31,38,39,40,41,42,43,45,46,47,48,44,49,50,51,52,53,54,55,56,57,58,59,60,61"/>
    <n v="31"/>
    <m/>
    <m/>
    <s v="No"/>
    <x v="0"/>
    <d v="2016-01-05T03:59:01"/>
    <n v="7"/>
    <s v="137.21.7.121"/>
    <s v="RA781.7 -- .P396 2014eb"/>
    <n v="613.70460000000003"/>
    <d v="2014-05-13T00:00:00"/>
  </r>
  <r>
    <x v="1282"/>
    <d v="1899-12-30T00:11:18"/>
    <x v="351"/>
    <x v="1"/>
    <s v="brockport"/>
    <x v="45"/>
    <n v="1691426"/>
    <x v="0"/>
    <s v="Social Science; Health"/>
    <s v="9781118839492"/>
    <s v=",1,2,3,4,5,6,7,8,9,10,11,12,13,14,15,16,17,18,19,20,21,22,23,24,25,26,27,28,29,30"/>
    <n v="30"/>
    <m/>
    <m/>
    <s v="No"/>
    <x v="1"/>
    <m/>
    <m/>
    <s v="137.21.7.121"/>
    <s v="RA781.7 -- .P396 2014eb"/>
    <n v="613.70460000000003"/>
    <d v="2014-05-13T00:00:00"/>
  </r>
  <r>
    <x v="1283"/>
    <d v="1899-12-30T00:00:00"/>
    <x v="241"/>
    <x v="0"/>
    <s v="Buffalo"/>
    <x v="313"/>
    <n v="1358564"/>
    <x v="0"/>
    <s v="Military Science"/>
    <s v="9781118646267"/>
    <m/>
    <n v="0"/>
    <m/>
    <m/>
    <s v="Yes"/>
    <x v="0"/>
    <d v="2015-12-30T20:34:41"/>
    <n v="7"/>
    <s v="128.205.114.91"/>
    <s v="U408.5 -- .P69 2013eb"/>
    <n v="355.00760000000002"/>
    <d v="2013-08-01T00:00:00"/>
  </r>
  <r>
    <x v="1284"/>
    <d v="1899-12-30T00:00:04"/>
    <x v="241"/>
    <x v="0"/>
    <s v="Buffalo"/>
    <x v="313"/>
    <n v="1358564"/>
    <x v="0"/>
    <s v="Military Science"/>
    <s v="9781118646267"/>
    <s v=",1,2,3"/>
    <n v="3"/>
    <m/>
    <m/>
    <s v="No"/>
    <x v="0"/>
    <d v="2015-12-30T20:34:41"/>
    <n v="7"/>
    <s v="128.205.114.91"/>
    <s v="U408.5 -- .P69 2013eb"/>
    <n v="355.00760000000002"/>
    <d v="2013-08-01T00:00:00"/>
  </r>
  <r>
    <x v="1285"/>
    <d v="1899-12-30T00:00:00"/>
    <x v="241"/>
    <x v="0"/>
    <s v="Buffalo"/>
    <x v="313"/>
    <n v="1358564"/>
    <x v="0"/>
    <s v="Military Science"/>
    <s v="9781118646267"/>
    <m/>
    <n v="0"/>
    <m/>
    <m/>
    <s v="Yes"/>
    <x v="0"/>
    <d v="2015-12-30T20:34:41"/>
    <n v="7"/>
    <s v="128.205.114.91"/>
    <s v="U408.5 -- .P69 2013eb"/>
    <n v="355.00760000000002"/>
    <d v="2013-08-01T00:00:00"/>
  </r>
  <r>
    <x v="1286"/>
    <d v="1899-12-30T00:00:07"/>
    <x v="241"/>
    <x v="0"/>
    <s v="Buffalo"/>
    <x v="313"/>
    <n v="1358564"/>
    <x v="0"/>
    <s v="Military Science"/>
    <s v="9781118646267"/>
    <s v=",1,2,3"/>
    <n v="3"/>
    <m/>
    <m/>
    <s v="No"/>
    <x v="0"/>
    <d v="2015-12-30T20:34:41"/>
    <n v="7"/>
    <s v="128.205.114.91"/>
    <s v="U408.5 -- .P69 2013eb"/>
    <n v="355.00760000000002"/>
    <d v="2013-08-01T00:00:00"/>
  </r>
  <r>
    <x v="1287"/>
    <d v="1899-12-30T00:00:06"/>
    <x v="241"/>
    <x v="0"/>
    <s v="Buffalo"/>
    <x v="313"/>
    <n v="1358564"/>
    <x v="0"/>
    <s v="Military Science"/>
    <s v="9781118646267"/>
    <s v=",1,3,2"/>
    <n v="3"/>
    <m/>
    <m/>
    <s v="No"/>
    <x v="0"/>
    <d v="2015-12-30T20:34:41"/>
    <n v="7"/>
    <s v="128.205.114.91"/>
    <s v="U408.5 -- .P69 2013eb"/>
    <n v="355.00760000000002"/>
    <d v="2013-08-01T00:00:00"/>
  </r>
  <r>
    <x v="1288"/>
    <d v="1899-12-30T00:01:32"/>
    <x v="241"/>
    <x v="0"/>
    <s v="Buffalo"/>
    <x v="313"/>
    <n v="1358564"/>
    <x v="0"/>
    <s v="Military Science"/>
    <s v="9781118646267"/>
    <s v=",1,2,3,29,53,54,55,51,52,56,65,66,67,64,63,68,69,70,71,72,73"/>
    <n v="21"/>
    <m/>
    <m/>
    <s v="No"/>
    <x v="0"/>
    <d v="2015-12-30T20:34:41"/>
    <n v="7"/>
    <s v="128.205.114.91"/>
    <s v="U408.5 -- .P69 2013eb"/>
    <n v="355.00760000000002"/>
    <d v="2013-08-01T00:00:00"/>
  </r>
  <r>
    <x v="1289"/>
    <d v="1899-12-30T00:03:56"/>
    <x v="241"/>
    <x v="0"/>
    <s v="Buffalo"/>
    <x v="313"/>
    <n v="1358564"/>
    <x v="0"/>
    <s v="Military Science"/>
    <s v="9781118646267"/>
    <s v=",2,3,1,155,156,157,154,153,158,164,165,166,167,163"/>
    <n v="14"/>
    <m/>
    <m/>
    <s v="No"/>
    <x v="0"/>
    <d v="2015-12-30T20:34:41"/>
    <n v="7"/>
    <s v="128.205.114.91"/>
    <s v="U408.5 -- .P69 2013eb"/>
    <n v="355.00760000000002"/>
    <d v="2013-08-01T00:00:00"/>
  </r>
  <r>
    <x v="1290"/>
    <d v="1899-12-30T00:03:03"/>
    <x v="352"/>
    <x v="8"/>
    <s v="niagaracc"/>
    <x v="375"/>
    <n v="1143563"/>
    <x v="0"/>
    <s v="Fine Arts"/>
    <s v="9781118526477"/>
    <s v=",1,2,3,52,53,54,50,132,133,134,130,131,128,129,127,135,139,137,138,142"/>
    <n v="20"/>
    <m/>
    <m/>
    <s v="No"/>
    <x v="3"/>
    <m/>
    <m/>
    <s v="132.174.254.37"/>
    <s v="TR581 -- .W45 2013eb"/>
    <n v="770.68"/>
    <d v="2013-02-28T00:00:00"/>
  </r>
  <r>
    <x v="1291"/>
    <d v="1899-12-30T00:00:08"/>
    <x v="351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1292"/>
    <d v="1899-12-30T01:11:09"/>
    <x v="256"/>
    <x v="1"/>
    <s v="brockport"/>
    <x v="45"/>
    <n v="1691426"/>
    <x v="0"/>
    <s v="Social Science; Health"/>
    <s v="9781118839492"/>
    <s v=",1,22,23,24,20,21,19,2,25,26,27,28,29,30,31,32,33,34,35,36,37,38,39,40,41,42,43"/>
    <n v="27"/>
    <m/>
    <m/>
    <s v="No"/>
    <x v="0"/>
    <d v="2016-01-05T00:53:45"/>
    <n v="7"/>
    <s v="137.21.7.121"/>
    <s v="RA781.7 -- .P396 2014eb"/>
    <n v="613.70460000000003"/>
    <d v="2014-05-13T00:00:00"/>
  </r>
  <r>
    <x v="1293"/>
    <d v="1899-12-30T00:01:09"/>
    <x v="269"/>
    <x v="1"/>
    <s v="brockport"/>
    <x v="45"/>
    <n v="1691426"/>
    <x v="0"/>
    <s v="Social Science; Health"/>
    <s v="9781118839492"/>
    <s v=",5,6"/>
    <n v="2"/>
    <m/>
    <m/>
    <s v="Yes"/>
    <x v="0"/>
    <d v="2016-01-04T23:59:15"/>
    <n v="7"/>
    <s v="137.21.7.121"/>
    <s v="RA781.7 -- .P396 2014eb"/>
    <n v="613.70460000000003"/>
    <d v="2014-05-13T00:00:00"/>
  </r>
  <r>
    <x v="1293"/>
    <d v="1899-12-30T00:00:00"/>
    <x v="269"/>
    <x v="1"/>
    <s v="brockport"/>
    <x v="45"/>
    <n v="1691426"/>
    <x v="0"/>
    <s v="Social Science; Health"/>
    <s v="9781118839492"/>
    <m/>
    <n v="0"/>
    <m/>
    <m/>
    <s v="No"/>
    <x v="0"/>
    <d v="2016-01-04T23:59:15"/>
    <n v="7"/>
    <s v="137.21.7.121"/>
    <s v="RA781.7 -- .P396 2014eb"/>
    <n v="613.70460000000003"/>
    <d v="2014-05-13T00:00:00"/>
  </r>
  <r>
    <x v="1294"/>
    <d v="1899-12-30T00:04:30"/>
    <x v="269"/>
    <x v="1"/>
    <s v="brockport"/>
    <x v="45"/>
    <n v="1691426"/>
    <x v="0"/>
    <s v="Social Science; Health"/>
    <s v="9781118839492"/>
    <s v=",1,2,3,4"/>
    <n v="4"/>
    <m/>
    <m/>
    <s v="No"/>
    <x v="1"/>
    <m/>
    <m/>
    <s v="137.21.7.121"/>
    <s v="RA781.7 -- .P396 2014eb"/>
    <n v="613.70460000000003"/>
    <d v="2014-05-13T00:00:00"/>
  </r>
  <r>
    <x v="1295"/>
    <d v="1899-12-30T01:57:13"/>
    <x v="256"/>
    <x v="1"/>
    <s v="brockport"/>
    <x v="45"/>
    <n v="1691426"/>
    <x v="0"/>
    <s v="Social Science; Health"/>
    <s v="9781118839492"/>
    <s v=",1,2,3,4,5,6,7,8,9,10,11,12,13,14,15,23,24,25,21,22,26,27,29,30,31,28,32,33,34,35,36,26,25,24,22,21,20,19,18,17,16,22"/>
    <n v="36"/>
    <m/>
    <m/>
    <s v="No"/>
    <x v="1"/>
    <m/>
    <m/>
    <s v="137.21.7.121"/>
    <s v="RA781.7 -- .P396 2014eb"/>
    <n v="613.70460000000003"/>
    <d v="2014-05-13T00:00:00"/>
  </r>
  <r>
    <x v="1296"/>
    <d v="1899-12-30T00:12:20"/>
    <x v="241"/>
    <x v="0"/>
    <s v="Buffalo"/>
    <x v="313"/>
    <n v="1358564"/>
    <x v="0"/>
    <s v="Military Science"/>
    <s v="9781118646267"/>
    <s v=",1,2,3,144,145,146,182,183,184,185,181,145,146,142,143,147,148,149,150"/>
    <n v="17"/>
    <m/>
    <m/>
    <s v="No"/>
    <x v="0"/>
    <d v="2015-12-30T20:34:41"/>
    <n v="7"/>
    <s v="128.205.114.91"/>
    <s v="U408.5 -- .P69 2013eb"/>
    <n v="355.00760000000002"/>
    <d v="2013-08-01T00:00:00"/>
  </r>
  <r>
    <x v="1297"/>
    <d v="1899-12-30T00:42:19"/>
    <x v="241"/>
    <x v="0"/>
    <s v="Buffalo"/>
    <x v="313"/>
    <n v="1358564"/>
    <x v="0"/>
    <s v="Military Science"/>
    <s v="9781118646267"/>
    <s v=",1,2,3,124,125,126,122,123,1,2,3,153,154,155,151,152,173,176,190,221,222,223,250,271,270,272,268,269,274,304,302,298,296,297,295,278,275,276,273,277,278,279,280,281,282,283,284,285,286,287,288,289,290,291,127,142,143,144,141,140,139,138,144,292,146,293,147,149,150,294,295,296"/>
    <n v="65"/>
    <m/>
    <m/>
    <s v="No"/>
    <x v="0"/>
    <d v="2015-12-30T20:34:41"/>
    <n v="7"/>
    <s v="128.205.114.91"/>
    <s v="U408.5 -- .P69 2013eb"/>
    <n v="355.00760000000002"/>
    <d v="2013-08-01T00:00:00"/>
  </r>
  <r>
    <x v="1298"/>
    <d v="1899-12-30T00:20:30"/>
    <x v="150"/>
    <x v="0"/>
    <s v="Buffalo"/>
    <x v="152"/>
    <n v="330580"/>
    <x v="4"/>
    <s v="Medicine"/>
    <s v="9781593859398"/>
    <s v=",1,2,3,11,18,31,35,38,43,68,76,77,59,54,55,56,53,57,58,59,60,61,62,63,64,65,66,67,68,69,70,71,72,73"/>
    <n v="32"/>
    <m/>
    <m/>
    <s v="No"/>
    <x v="2"/>
    <d v="2016-01-03T17:36:42"/>
    <n v="7"/>
    <s v="128.205.114.91"/>
    <s v="RC489.C63 -- M55 2004eb"/>
    <n v="616.89142000000004"/>
    <d v="2014-05-14T00:00:00"/>
  </r>
  <r>
    <x v="1299"/>
    <d v="1899-12-30T00:16:56"/>
    <x v="353"/>
    <x v="1"/>
    <s v="brockport"/>
    <x v="376"/>
    <n v="1166797"/>
    <x v="0"/>
    <s v="Social Science"/>
    <s v="9780745664002"/>
    <s v=",1,24,24,24,25,26,24,25,22,26,23,23,27,27,28,28,29,29,30,30,31,31,32,32,33,33,34,34,7,8,9,5,6,4,3,2,1,4,5,3,6,7,8,9,24,24,24,24,25,25,25,24,266,26,26,27,27"/>
    <n v="23"/>
    <s v=",24"/>
    <m/>
    <s v="No"/>
    <x v="2"/>
    <d v="2016-01-04T21:17:18"/>
    <n v="1"/>
    <s v="137.21.7.121"/>
    <s v="GT495 .H69"/>
    <n v="306.39999999999998"/>
    <d v="2013-04-03T00:00:00"/>
  </r>
  <r>
    <x v="1300"/>
    <d v="1899-12-30T00:01:40"/>
    <x v="353"/>
    <x v="1"/>
    <s v="brockport"/>
    <x v="376"/>
    <n v="1166797"/>
    <x v="0"/>
    <s v="Social Science"/>
    <s v="9780745664002"/>
    <s v=",1,2,2,3,3,1,4,4,7,7,9,8,9,8,5,6,6,2,10,10,4,5,3,2,4,7,8,1,2,3,1"/>
    <n v="10"/>
    <m/>
    <m/>
    <s v="No"/>
    <x v="3"/>
    <m/>
    <m/>
    <s v="137.21.7.121"/>
    <s v="GT495 .H69"/>
    <n v="306.39999999999998"/>
    <d v="2013-04-03T00:00:00"/>
  </r>
  <r>
    <x v="1301"/>
    <d v="1899-12-30T00:00:43"/>
    <x v="354"/>
    <x v="0"/>
    <s v="Buffalo"/>
    <x v="161"/>
    <n v="821663"/>
    <x v="0"/>
    <s v="Architecture"/>
    <s v="9781118168479"/>
    <s v=",1,2,3,2,3,1,4,4,2,2,5,5"/>
    <n v="5"/>
    <m/>
    <m/>
    <s v="No"/>
    <x v="1"/>
    <m/>
    <m/>
    <s v="128.205.114.91"/>
    <s v="NA2547 -- .S74 2012eb"/>
    <n v="729"/>
    <d v="2012-03-05T00:00:00"/>
  </r>
  <r>
    <x v="1302"/>
    <d v="1899-12-30T00:00:12"/>
    <x v="355"/>
    <x v="0"/>
    <s v="Buffalo"/>
    <x v="326"/>
    <n v="1779318"/>
    <x v="0"/>
    <s v="Computer Science/IT"/>
    <s v="9781118968093"/>
    <s v=",1,2,3,1"/>
    <n v="3"/>
    <m/>
    <m/>
    <s v="No"/>
    <x v="3"/>
    <m/>
    <m/>
    <s v="128.205.114.91"/>
    <s v="QA76.25 -- .M336 2014eb"/>
    <n v="4.0229999999999997"/>
    <d v="2014-09-02T00:00:00"/>
  </r>
  <r>
    <x v="1303"/>
    <d v="1899-12-30T00:00:02"/>
    <x v="26"/>
    <x v="6"/>
    <s v="sjfc"/>
    <x v="377"/>
    <n v="1186393"/>
    <x v="4"/>
    <s v="Medicine"/>
    <s v="9781462508525"/>
    <s v=",1,2,3"/>
    <n v="3"/>
    <m/>
    <m/>
    <s v="No"/>
    <x v="0"/>
    <d v="2016-01-04T18:09:49"/>
    <n v="7"/>
    <s v="149.69.254.57"/>
    <s v="RJ506.H9 -- B373 2013eb"/>
    <n v="618.92849999999999"/>
    <d v="2014-05-14T00:00:00"/>
  </r>
  <r>
    <x v="1304"/>
    <d v="1899-12-30T00:00:02"/>
    <x v="26"/>
    <x v="6"/>
    <s v="sjfc"/>
    <x v="377"/>
    <n v="1186393"/>
    <x v="4"/>
    <s v="Medicine"/>
    <s v="9781462508525"/>
    <s v=",1,2,3"/>
    <n v="3"/>
    <m/>
    <m/>
    <s v="No"/>
    <x v="0"/>
    <d v="2016-01-04T18:09:49"/>
    <n v="7"/>
    <s v="149.69.254.57"/>
    <s v="RJ506.H9 -- B373 2013eb"/>
    <n v="618.92849999999999"/>
    <d v="2014-05-14T00:00:00"/>
  </r>
  <r>
    <x v="1305"/>
    <d v="1899-12-30T00:00:03"/>
    <x v="26"/>
    <x v="6"/>
    <s v="sjfc"/>
    <x v="377"/>
    <n v="1186393"/>
    <x v="4"/>
    <s v="Medicine"/>
    <s v="9781462508525"/>
    <s v=",1,2,3"/>
    <n v="3"/>
    <m/>
    <m/>
    <s v="No"/>
    <x v="0"/>
    <d v="2016-01-04T18:09:49"/>
    <n v="7"/>
    <s v="149.69.254.57"/>
    <s v="RJ506.H9 -- B373 2013eb"/>
    <n v="618.92849999999999"/>
    <d v="2014-05-14T00:00:00"/>
  </r>
  <r>
    <x v="1306"/>
    <d v="1899-12-30T00:00:14"/>
    <x v="26"/>
    <x v="6"/>
    <s v="sjfc"/>
    <x v="377"/>
    <n v="1186393"/>
    <x v="4"/>
    <s v="Medicine"/>
    <s v="9781462508525"/>
    <s v=",270,266"/>
    <n v="2"/>
    <m/>
    <s v=",1,2,3,4,10,203,204,205,206,207,208,209,210,211,212,213,214,215,216,217,218,219,220,221,222,223,224,225,226,227,228,229,230,231"/>
    <s v="No"/>
    <x v="0"/>
    <d v="2016-01-04T18:09:49"/>
    <n v="7"/>
    <s v="149.69.254.57"/>
    <s v="RJ506.H9 -- B373 2013eb"/>
    <n v="618.92849999999999"/>
    <d v="2014-05-14T00:00:00"/>
  </r>
  <r>
    <x v="1307"/>
    <d v="1899-12-30T00:00:10"/>
    <x v="356"/>
    <x v="0"/>
    <s v="Buffalo"/>
    <x v="378"/>
    <n v="362571"/>
    <x v="4"/>
    <s v="General Works/Reference; Social Science"/>
    <s v="9781606232224"/>
    <s v=",1,2,3,30,31,32,28,29,33"/>
    <n v="9"/>
    <m/>
    <m/>
    <s v="No"/>
    <x v="3"/>
    <m/>
    <m/>
    <s v="128.205.114.91"/>
    <s v="H61.25 -- .B53 2007eb"/>
    <n v="1.4219999999999999"/>
    <d v="2014-05-14T00:00:00"/>
  </r>
  <r>
    <x v="1308"/>
    <d v="1899-12-30T00:02:11"/>
    <x v="26"/>
    <x v="6"/>
    <s v="sjfc"/>
    <x v="377"/>
    <n v="1186393"/>
    <x v="4"/>
    <s v="Medicine"/>
    <s v="9781462508525"/>
    <s v=",1,2,3,4,5,6,7,8,9,13,14,15,11,12,203,204,205,201,202,206,207,208,209,210,211,212,213,214,215,216,217,218,219,232,233,234,230,231,229,204,200,205,248,249,250,268,269,271,272,273,274,275,277,279,280,281,278,285,286,287,283,284,282"/>
    <n v="61"/>
    <m/>
    <m/>
    <s v="No"/>
    <x v="1"/>
    <m/>
    <m/>
    <s v="149.69.254.57"/>
    <s v="RJ506.H9 -- B373 2013eb"/>
    <n v="618.92849999999999"/>
    <d v="2014-05-14T00:00:00"/>
  </r>
  <r>
    <x v="1309"/>
    <d v="1899-12-30T01:27:55"/>
    <x v="71"/>
    <x v="0"/>
    <s v="Buffalo"/>
    <x v="379"/>
    <n v="1110728"/>
    <x v="0"/>
    <s v="Business/Management; Economics"/>
    <s v="9781118461204"/>
    <s v=",1,2,3,37,38,39,35,36,40,40,41,42,43,44,38,44,45,46,47,48,49,50,51,52,53,54,55,56,57,58,59,60,61"/>
    <n v="30"/>
    <m/>
    <m/>
    <s v="No"/>
    <x v="0"/>
    <d v="2016-01-01T16:39:30"/>
    <n v="7"/>
    <s v="128.205.114.91"/>
    <s v="HG4910 -- .M53 2013eb"/>
    <s v="332.63/22"/>
    <d v="2013-01-09T00:00:00"/>
  </r>
  <r>
    <x v="1310"/>
    <d v="1899-12-30T01:29:38"/>
    <x v="241"/>
    <x v="0"/>
    <s v="Buffalo"/>
    <x v="313"/>
    <n v="1358564"/>
    <x v="0"/>
    <s v="Military Science"/>
    <s v="9781118646267"/>
    <s v=",1,2,3,133,134,135,131,132,136,1,2,3,153,154,155,151,152,160,234,239,244,253,254,255,251,252,2,268,270,277,278,279,280,276,281,282,283,284,285,144,145,146,142,152,151,153,139,138,140,141,143,145,146,147,148,149,150,131,137,286,138,287,139,288,140,289,141,290,142,145,146,143,147,149,150"/>
    <n v="54"/>
    <m/>
    <m/>
    <s v="No"/>
    <x v="0"/>
    <d v="2015-12-30T20:34:41"/>
    <n v="7"/>
    <s v="128.205.114.91"/>
    <s v="U408.5 -- .P69 2013eb"/>
    <n v="355.00760000000002"/>
    <d v="2013-08-01T00:00:00"/>
  </r>
  <r>
    <x v="1311"/>
    <d v="1899-12-30T00:00:18"/>
    <x v="357"/>
    <x v="1"/>
    <s v="brockport"/>
    <x v="95"/>
    <n v="1566387"/>
    <x v="0"/>
    <s v="Social Science"/>
    <s v="9781118471906"/>
    <s v=",1,2,3,4"/>
    <n v="4"/>
    <m/>
    <m/>
    <s v="No"/>
    <x v="1"/>
    <m/>
    <m/>
    <s v="137.21.7.121"/>
    <s v="HM585 -- .D555 2014eb"/>
    <n v="301"/>
    <d v="2013-11-18T00:00:00"/>
  </r>
  <r>
    <x v="1312"/>
    <d v="1899-12-30T00:18:05"/>
    <x v="358"/>
    <x v="1"/>
    <s v="brockport"/>
    <x v="380"/>
    <n v="1165085"/>
    <x v="0"/>
    <s v="Social Science; Environmental Studies"/>
    <s v="9781118578254"/>
    <s v=",228,230,229,226,227,225,230,231,232,1,3,4,5,6,7,8,8"/>
    <n v="15"/>
    <s v=",234,230"/>
    <m/>
    <s v="No"/>
    <x v="0"/>
    <d v="2016-01-04T16:43:39"/>
    <n v="7"/>
    <s v="137.21.7.121"/>
    <s v="GF75 -- .G68 2013eb"/>
    <n v="304.2"/>
    <d v="2013-04-02T00:00:00"/>
  </r>
  <r>
    <x v="1313"/>
    <d v="1899-12-30T00:02:40"/>
    <x v="358"/>
    <x v="1"/>
    <s v="brockport"/>
    <x v="380"/>
    <n v="1165085"/>
    <x v="0"/>
    <s v="Social Science; Environmental Studies"/>
    <s v="9781118578254"/>
    <s v=",1,2,3,234,235,236,232,233,231,230,236"/>
    <n v="10"/>
    <m/>
    <m/>
    <s v="No"/>
    <x v="3"/>
    <m/>
    <m/>
    <s v="137.21.7.121"/>
    <s v="GF75 -- .G68 2013eb"/>
    <n v="304.2"/>
    <d v="2013-04-02T00:00:00"/>
  </r>
  <r>
    <x v="1314"/>
    <d v="1899-12-30T00:01:33"/>
    <x v="359"/>
    <x v="0"/>
    <s v="Buffalo"/>
    <x v="381"/>
    <n v="1138225"/>
    <x v="0"/>
    <s v="Mathematics"/>
    <s v="9781118548356"/>
    <s v=",19,20,21,17,22,24,18,16,17,20,21,323,324,325,321,326,327,328,329,330,331,332,333,322,317,313,303,297,293,19,20,21,17,18"/>
    <n v="26"/>
    <s v=",19"/>
    <s v=",19,329,19,20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"/>
    <s v="No"/>
    <x v="0"/>
    <d v="2016-01-04T16:33:42"/>
    <n v="7"/>
    <s v="128.205.114.91"/>
    <s v="QA278.2 .H67 2013"/>
    <n v="519.53599999999994"/>
    <d v="2013-02-26T00:00:00"/>
  </r>
  <r>
    <x v="1315"/>
    <d v="1899-12-30T00:15:01"/>
    <x v="359"/>
    <x v="0"/>
    <s v="Buffalo"/>
    <x v="381"/>
    <n v="1138225"/>
    <x v="0"/>
    <s v="Mathematics"/>
    <s v="9781118548356"/>
    <s v=",1,2,3,4,5,6,7,2"/>
    <n v="7"/>
    <m/>
    <m/>
    <s v="No"/>
    <x v="1"/>
    <m/>
    <m/>
    <s v="128.205.114.91"/>
    <s v="QA278.2 .H67 2013"/>
    <n v="519.53599999999994"/>
    <d v="2013-02-26T00:00:00"/>
  </r>
  <r>
    <x v="1316"/>
    <d v="1899-12-30T00:00:06"/>
    <x v="190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1317"/>
    <d v="1899-12-30T00:43:38"/>
    <x v="267"/>
    <x v="6"/>
    <s v="sjfc"/>
    <x v="382"/>
    <n v="1823956"/>
    <x v="0"/>
    <s v="Education"/>
    <s v="9781118995976"/>
    <s v=",6,5,4"/>
    <n v="3"/>
    <m/>
    <s v=",11,12,13,14,147,148,149,150,151,152,153,154,155,156,157,158,159,160,161,162,163,164,165,166"/>
    <s v="Yes"/>
    <x v="2"/>
    <d v="2016-01-04T14:46:43"/>
    <n v="7"/>
    <s v="149.69.254.57"/>
    <s v="LB2335.7 -- .H473 2014eb"/>
    <n v="378.12200000000001"/>
    <d v="2014-10-22T00:00:00"/>
  </r>
  <r>
    <x v="1318"/>
    <d v="1899-12-30T00:00:00"/>
    <x v="267"/>
    <x v="6"/>
    <s v="sjfc"/>
    <x v="382"/>
    <n v="1823956"/>
    <x v="0"/>
    <s v="Education"/>
    <s v="9781118995976"/>
    <m/>
    <n v="0"/>
    <m/>
    <m/>
    <s v="Yes"/>
    <x v="2"/>
    <d v="2016-01-04T14:46:43"/>
    <n v="7"/>
    <s v="149.69.254.57"/>
    <s v="LB2335.7 -- .H473 2014eb"/>
    <n v="378.12200000000001"/>
    <d v="2014-10-22T00:00:00"/>
  </r>
  <r>
    <x v="1319"/>
    <d v="1899-12-30T00:00:00"/>
    <x v="267"/>
    <x v="6"/>
    <s v="sjfc"/>
    <x v="382"/>
    <n v="1823956"/>
    <x v="0"/>
    <s v="Education"/>
    <s v="9781118995976"/>
    <m/>
    <n v="0"/>
    <m/>
    <m/>
    <s v="Yes"/>
    <x v="2"/>
    <d v="2016-01-04T14:46:43"/>
    <n v="7"/>
    <s v="149.69.254.57"/>
    <s v="LB2335.7 -- .H473 2014eb"/>
    <n v="378.12200000000001"/>
    <d v="2014-10-22T00:00:00"/>
  </r>
  <r>
    <x v="1320"/>
    <d v="1899-12-30T00:00:00"/>
    <x v="267"/>
    <x v="6"/>
    <s v="sjfc"/>
    <x v="382"/>
    <n v="1823956"/>
    <x v="0"/>
    <s v="Education"/>
    <s v="9781118995976"/>
    <m/>
    <n v="0"/>
    <m/>
    <m/>
    <s v="Yes"/>
    <x v="2"/>
    <d v="2016-01-04T14:46:43"/>
    <n v="7"/>
    <s v="149.69.254.57"/>
    <s v="LB2335.7 -- .H473 2014eb"/>
    <n v="378.12200000000001"/>
    <d v="2014-10-22T00:00:00"/>
  </r>
  <r>
    <x v="1321"/>
    <d v="1899-12-30T00:00:00"/>
    <x v="267"/>
    <x v="6"/>
    <s v="sjfc"/>
    <x v="382"/>
    <n v="1823956"/>
    <x v="0"/>
    <s v="Education"/>
    <s v="9781118995976"/>
    <m/>
    <n v="0"/>
    <m/>
    <m/>
    <s v="Yes"/>
    <x v="2"/>
    <d v="2016-01-04T14:46:43"/>
    <n v="7"/>
    <s v="149.69.254.57"/>
    <s v="LB2335.7 -- .H473 2014eb"/>
    <n v="378.12200000000001"/>
    <d v="2014-10-22T00:00:00"/>
  </r>
  <r>
    <x v="1322"/>
    <d v="1899-12-30T00:00:00"/>
    <x v="267"/>
    <x v="6"/>
    <s v="sjfc"/>
    <x v="382"/>
    <n v="1823956"/>
    <x v="0"/>
    <s v="Education"/>
    <s v="9781118995976"/>
    <m/>
    <n v="0"/>
    <m/>
    <m/>
    <s v="Yes"/>
    <x v="2"/>
    <d v="2016-01-04T14:46:43"/>
    <n v="7"/>
    <s v="149.69.254.57"/>
    <s v="LB2335.7 -- .H473 2014eb"/>
    <n v="378.12200000000001"/>
    <d v="2014-10-22T00:00:00"/>
  </r>
  <r>
    <x v="1323"/>
    <d v="1899-12-30T00:00:00"/>
    <x v="267"/>
    <x v="6"/>
    <s v="sjfc"/>
    <x v="382"/>
    <n v="1823956"/>
    <x v="0"/>
    <s v="Education"/>
    <s v="9781118995976"/>
    <m/>
    <n v="0"/>
    <m/>
    <m/>
    <s v="Yes"/>
    <x v="2"/>
    <d v="2016-01-04T14:46:43"/>
    <n v="7"/>
    <s v="149.69.254.57"/>
    <s v="LB2335.7 -- .H473 2014eb"/>
    <n v="378.12200000000001"/>
    <d v="2014-10-22T00:00:00"/>
  </r>
  <r>
    <x v="1323"/>
    <d v="1899-12-30T00:00:00"/>
    <x v="267"/>
    <x v="6"/>
    <s v="sjfc"/>
    <x v="382"/>
    <n v="1823956"/>
    <x v="0"/>
    <s v="Education"/>
    <s v="9781118995976"/>
    <m/>
    <n v="0"/>
    <m/>
    <m/>
    <s v="No"/>
    <x v="2"/>
    <d v="2016-01-04T14:46:43"/>
    <n v="7"/>
    <s v="149.69.254.57"/>
    <s v="LB2335.7 -- .H473 2014eb"/>
    <n v="378.12200000000001"/>
    <d v="2014-10-22T00:00:00"/>
  </r>
  <r>
    <x v="1324"/>
    <d v="1899-12-30T00:01:28"/>
    <x v="267"/>
    <x v="6"/>
    <s v="sjfc"/>
    <x v="382"/>
    <n v="1823956"/>
    <x v="0"/>
    <s v="Education"/>
    <s v="9781118995976"/>
    <s v=",1,2,3,4,5,6,7,8,9,10,11,12"/>
    <n v="12"/>
    <m/>
    <m/>
    <s v="No"/>
    <x v="3"/>
    <m/>
    <m/>
    <s v="149.69.254.57"/>
    <s v="LB2335.7 -- .H473 2014eb"/>
    <n v="378.12200000000001"/>
    <d v="2014-10-22T00:00:00"/>
  </r>
  <r>
    <x v="1325"/>
    <d v="1899-12-30T00:01:23"/>
    <x v="210"/>
    <x v="1"/>
    <s v="brockport"/>
    <x v="45"/>
    <n v="1691426"/>
    <x v="0"/>
    <s v="Social Science; Health"/>
    <s v="9781118839492"/>
    <s v=",1,2,3,4,5,6,7,8"/>
    <n v="8"/>
    <m/>
    <m/>
    <s v="No"/>
    <x v="1"/>
    <m/>
    <m/>
    <s v="137.21.7.121"/>
    <s v="RA781.7 -- .P396 2014eb"/>
    <n v="613.70460000000003"/>
    <d v="2014-05-13T00:00:00"/>
  </r>
  <r>
    <x v="1326"/>
    <d v="1899-12-30T00:00:48"/>
    <x v="360"/>
    <x v="0"/>
    <s v="Buffalo"/>
    <x v="225"/>
    <n v="2144891"/>
    <x v="0"/>
    <s v="Mathematics; Engineering: Civil; Engineering"/>
    <s v="9781118799680"/>
    <s v=",1,2,3,50,51,52,48,49,53,54"/>
    <n v="10"/>
    <m/>
    <m/>
    <s v="No"/>
    <x v="3"/>
    <m/>
    <m/>
    <s v="128.205.114.91"/>
    <s v="TA340"/>
    <n v="519.5"/>
    <d v="2015-08-06T00:00:00"/>
  </r>
  <r>
    <x v="1327"/>
    <d v="1899-12-30T00:06:24"/>
    <x v="360"/>
    <x v="0"/>
    <s v="Buffalo"/>
    <x v="164"/>
    <n v="1744258"/>
    <x v="0"/>
    <s v="Mathematics"/>
    <s v="9781118776162"/>
    <s v=",1,2,3,19,20,21,17,23,24,18,45,46,47,43,44,48,49,50,51,52,53,54,481,482,483,479,480,484,485,486,487,488,489,490,491,492,493,494,495"/>
    <n v="39"/>
    <m/>
    <m/>
    <s v="No"/>
    <x v="1"/>
    <m/>
    <m/>
    <s v="128.205.114.91"/>
    <s v="QA139 -- .S73 2014eb"/>
    <n v="513.07600000000002"/>
    <d v="2014-07-15T00:00:00"/>
  </r>
  <r>
    <x v="1328"/>
    <d v="1899-12-30T00:03:11"/>
    <x v="262"/>
    <x v="1"/>
    <s v="brockport"/>
    <x v="45"/>
    <n v="1691426"/>
    <x v="0"/>
    <s v="Social Science; Health"/>
    <s v="9781118839492"/>
    <s v=",1,2,3,1,22,19,18,19,20,21,22"/>
    <n v="8"/>
    <m/>
    <m/>
    <s v="No"/>
    <x v="1"/>
    <m/>
    <m/>
    <s v="137.21.7.121"/>
    <s v="RA781.7 -- .P396 2014eb"/>
    <n v="613.70460000000003"/>
    <d v="2014-05-13T00:00:00"/>
  </r>
  <r>
    <x v="1329"/>
    <d v="1899-12-30T00:11:05"/>
    <x v="264"/>
    <x v="1"/>
    <s v="brockport"/>
    <x v="45"/>
    <n v="1691426"/>
    <x v="0"/>
    <s v="Social Science; Health"/>
    <s v="9781118839492"/>
    <s v=",1,2,3,4,59,60,61,57,58,62,1,62,63,64,61,60,2,25,26,27,23,24,28,409,410,21,22,29,30,31,32,33,33,1,34,35,31,32,2,36,37,38,39,40,41,42,43,44,45,46,47,48,49,50,51,52,53,54"/>
    <n v="48"/>
    <s v=",411,411"/>
    <m/>
    <s v="No"/>
    <x v="0"/>
    <d v="2016-01-03T22:10:16"/>
    <n v="7"/>
    <s v="137.21.7.121"/>
    <s v="RA781.7 -- .P396 2014eb"/>
    <n v="613.70460000000003"/>
    <d v="2014-05-13T00:00:00"/>
  </r>
  <r>
    <x v="1330"/>
    <d v="1899-12-30T00:01:56"/>
    <x v="36"/>
    <x v="0"/>
    <s v="Buffalo"/>
    <x v="383"/>
    <n v="1355949"/>
    <x v="2"/>
    <s v="Literature"/>
    <s v="9781136797736"/>
    <s v=",1,2,3,258,259,260,256,257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"/>
    <n v="85"/>
    <m/>
    <m/>
    <s v="No"/>
    <x v="3"/>
    <m/>
    <m/>
    <s v="128.205.114.91"/>
    <s v="PR6053.H786 -- A19 1985eb"/>
    <n v="822.91399999999999"/>
    <d v="2013-08-21T00:00:00"/>
  </r>
  <r>
    <x v="1331"/>
    <d v="1899-12-30T00:00:00"/>
    <x v="154"/>
    <x v="1"/>
    <s v="brockport"/>
    <x v="45"/>
    <n v="1691426"/>
    <x v="0"/>
    <s v="Social Science; Health"/>
    <s v="9781118839492"/>
    <m/>
    <n v="0"/>
    <m/>
    <m/>
    <s v="Yes"/>
    <x v="0"/>
    <d v="2016-01-04T06:49:33"/>
    <n v="7"/>
    <s v="137.21.7.121"/>
    <s v="RA781.7 -- .P396 2014eb"/>
    <n v="613.70460000000003"/>
    <d v="2014-05-13T00:00:00"/>
  </r>
  <r>
    <x v="1332"/>
    <d v="1899-12-30T00:00:07"/>
    <x v="154"/>
    <x v="1"/>
    <s v="brockport"/>
    <x v="45"/>
    <n v="1691426"/>
    <x v="0"/>
    <s v="Social Science; Health"/>
    <s v="9781118839492"/>
    <s v=",1,2,3"/>
    <n v="3"/>
    <m/>
    <m/>
    <s v="No"/>
    <x v="0"/>
    <d v="2016-01-04T06:49:33"/>
    <n v="7"/>
    <s v="137.21.7.121"/>
    <s v="RA781.7 -- .P396 2014eb"/>
    <n v="613.70460000000003"/>
    <d v="2014-05-13T00:00:00"/>
  </r>
  <r>
    <x v="1333"/>
    <d v="1899-12-30T00:00:00"/>
    <x v="154"/>
    <x v="1"/>
    <s v="brockport"/>
    <x v="45"/>
    <n v="1691426"/>
    <x v="0"/>
    <s v="Social Science; Health"/>
    <s v="9781118839492"/>
    <m/>
    <n v="0"/>
    <m/>
    <m/>
    <s v="Yes"/>
    <x v="0"/>
    <d v="2016-01-04T06:49:33"/>
    <n v="7"/>
    <s v="137.21.7.121"/>
    <s v="RA781.7 -- .P396 2014eb"/>
    <n v="613.70460000000003"/>
    <d v="2014-05-13T00:00:00"/>
  </r>
  <r>
    <x v="1334"/>
    <d v="1899-12-30T00:00:00"/>
    <x v="154"/>
    <x v="1"/>
    <s v="brockport"/>
    <x v="45"/>
    <n v="1691426"/>
    <x v="0"/>
    <s v="Social Science; Health"/>
    <s v="9781118839492"/>
    <m/>
    <n v="0"/>
    <m/>
    <m/>
    <s v="Yes"/>
    <x v="0"/>
    <d v="2016-01-04T06:49:33"/>
    <n v="7"/>
    <s v="137.21.7.121"/>
    <s v="RA781.7 -- .P396 2014eb"/>
    <n v="613.70460000000003"/>
    <d v="2014-05-13T00:00:00"/>
  </r>
  <r>
    <x v="1335"/>
    <d v="1899-12-30T00:00:00"/>
    <x v="154"/>
    <x v="1"/>
    <s v="brockport"/>
    <x v="45"/>
    <n v="1691426"/>
    <x v="0"/>
    <s v="Social Science; Health"/>
    <s v="9781118839492"/>
    <m/>
    <n v="0"/>
    <m/>
    <m/>
    <s v="Yes"/>
    <x v="0"/>
    <d v="2016-01-04T06:49:33"/>
    <n v="7"/>
    <s v="137.21.7.121"/>
    <s v="RA781.7 -- .P396 2014eb"/>
    <n v="613.70460000000003"/>
    <d v="2014-05-13T00:00:00"/>
  </r>
  <r>
    <x v="1335"/>
    <d v="1899-12-30T00:00:00"/>
    <x v="154"/>
    <x v="1"/>
    <s v="brockport"/>
    <x v="45"/>
    <n v="1691426"/>
    <x v="0"/>
    <s v="Social Science; Health"/>
    <s v="9781118839492"/>
    <m/>
    <n v="0"/>
    <m/>
    <m/>
    <s v="No"/>
    <x v="0"/>
    <d v="2016-01-04T06:49:33"/>
    <n v="7"/>
    <s v="137.21.7.121"/>
    <s v="RA781.7 -- .P396 2014eb"/>
    <n v="613.70460000000003"/>
    <d v="2014-05-13T00:00:00"/>
  </r>
  <r>
    <x v="1336"/>
    <d v="1899-12-30T00:01:01"/>
    <x v="154"/>
    <x v="1"/>
    <s v="brockport"/>
    <x v="45"/>
    <n v="1691426"/>
    <x v="0"/>
    <s v="Social Science; Health"/>
    <s v="9781118839492"/>
    <s v=",1,2,3,4,5,6,7,8,9"/>
    <n v="9"/>
    <m/>
    <m/>
    <s v="No"/>
    <x v="1"/>
    <m/>
    <m/>
    <s v="137.21.7.121"/>
    <s v="RA781.7 -- .P396 2014eb"/>
    <n v="613.70460000000003"/>
    <d v="2014-05-13T00:00:00"/>
  </r>
  <r>
    <x v="1337"/>
    <d v="1899-12-30T00:00:28"/>
    <x v="282"/>
    <x v="1"/>
    <s v="brockport"/>
    <x v="45"/>
    <n v="1691426"/>
    <x v="0"/>
    <s v="Social Science; Health"/>
    <s v="9781118839492"/>
    <s v=",1,2,3,4,5,6,7,8,9,10,11,12,13,14,15,17,18,19,20,21,22"/>
    <n v="21"/>
    <m/>
    <m/>
    <s v="No"/>
    <x v="1"/>
    <m/>
    <m/>
    <s v="137.21.7.121"/>
    <s v="RA781.7 -- .P396 2014eb"/>
    <n v="613.70460000000003"/>
    <d v="2014-05-13T00:00:00"/>
  </r>
  <r>
    <x v="1338"/>
    <d v="1899-12-30T00:00:00"/>
    <x v="361"/>
    <x v="10"/>
    <s v="daemen"/>
    <x v="384"/>
    <n v="1367685"/>
    <x v="0"/>
    <s v="Economics; Business/Management"/>
    <s v="9780745678832"/>
    <m/>
    <n v="0"/>
    <m/>
    <m/>
    <s v="Yes"/>
    <x v="2"/>
    <d v="2016-01-03T13:32:25"/>
    <n v="1"/>
    <s v="108.17.26.12"/>
    <s v="HD9999.C9472 -- F54 2013eb"/>
    <n v="338.76170000000002"/>
    <d v="2013-08-27T00:00:00"/>
  </r>
  <r>
    <x v="1339"/>
    <d v="1899-12-30T00:00:03"/>
    <x v="361"/>
    <x v="10"/>
    <s v="daemen"/>
    <x v="384"/>
    <n v="1367685"/>
    <x v="0"/>
    <s v="Economics; Business/Management"/>
    <s v="9780745678832"/>
    <s v=",1,2,3"/>
    <n v="3"/>
    <m/>
    <m/>
    <s v="No"/>
    <x v="2"/>
    <d v="2016-01-03T13:32:25"/>
    <n v="1"/>
    <s v="108.17.26.12"/>
    <s v="HD9999.C9472 -- F54 2013eb"/>
    <n v="338.76170000000002"/>
    <d v="2013-08-27T00:00:00"/>
  </r>
  <r>
    <x v="1340"/>
    <d v="1899-12-30T00:00:00"/>
    <x v="361"/>
    <x v="10"/>
    <s v="daemen"/>
    <x v="384"/>
    <n v="1367685"/>
    <x v="0"/>
    <s v="Economics; Business/Management"/>
    <s v="9780745678832"/>
    <m/>
    <n v="0"/>
    <m/>
    <m/>
    <s v="Yes"/>
    <x v="2"/>
    <d v="2016-01-03T13:32:25"/>
    <n v="1"/>
    <s v="108.17.26.12"/>
    <s v="HD9999.C9472 -- F54 2013eb"/>
    <n v="338.76170000000002"/>
    <d v="2013-08-27T00:00:00"/>
  </r>
  <r>
    <x v="1341"/>
    <d v="1899-12-30T00:00:19"/>
    <x v="361"/>
    <x v="10"/>
    <s v="daemen"/>
    <x v="384"/>
    <n v="1367685"/>
    <x v="0"/>
    <s v="Economics; Business/Management"/>
    <s v="9780745678832"/>
    <s v=",1,2,3,4"/>
    <n v="4"/>
    <s v=",1"/>
    <m/>
    <s v="No"/>
    <x v="2"/>
    <d v="2016-01-03T13:32:25"/>
    <n v="1"/>
    <s v="108.17.26.12"/>
    <s v="HD9999.C9472 -- F54 2013eb"/>
    <n v="338.76170000000002"/>
    <d v="2013-08-27T00:00:00"/>
  </r>
  <r>
    <x v="1342"/>
    <d v="1899-12-30T00:00:00"/>
    <x v="361"/>
    <x v="10"/>
    <s v="daemen"/>
    <x v="385"/>
    <n v="1521098"/>
    <x v="2"/>
    <s v="Economics; Business/Management"/>
    <s v="9781317967286"/>
    <m/>
    <n v="0"/>
    <m/>
    <m/>
    <s v="Yes"/>
    <x v="2"/>
    <d v="2016-01-03T12:24:48"/>
    <n v="1"/>
    <s v="108.17.26.12"/>
    <m/>
    <n v="338.47699999999998"/>
    <d v="2013-10-31T00:00:00"/>
  </r>
  <r>
    <x v="1343"/>
    <d v="1899-12-30T00:00:28"/>
    <x v="361"/>
    <x v="10"/>
    <s v="daemen"/>
    <x v="385"/>
    <n v="1521098"/>
    <x v="2"/>
    <s v="Economics; Business/Management"/>
    <s v="9781317967286"/>
    <s v=",1,2,3,4,5,6,9,12,16,17,19,22,24,26,28,30,31,33,38,37,39,35,36,34"/>
    <n v="24"/>
    <s v=",36,36"/>
    <m/>
    <s v="No"/>
    <x v="2"/>
    <d v="2016-01-03T12:24:48"/>
    <n v="1"/>
    <s v="108.17.26.12"/>
    <m/>
    <n v="338.47699999999998"/>
    <d v="2013-10-31T00:00:00"/>
  </r>
  <r>
    <x v="1344"/>
    <d v="1899-12-30T02:29:52"/>
    <x v="241"/>
    <x v="0"/>
    <s v="Buffalo"/>
    <x v="313"/>
    <n v="1358564"/>
    <x v="0"/>
    <s v="Military Science"/>
    <s v="9781118646267"/>
    <s v=",1,2,3,155,156,157,153,154,210,262,263,264,260,261,265,269,270,271,267,268,272,273,274,275,276,277,278,279,280,281,282,283,284"/>
    <n v="33"/>
    <m/>
    <m/>
    <s v="No"/>
    <x v="0"/>
    <d v="2015-12-30T20:34:41"/>
    <n v="7"/>
    <s v="128.205.114.91"/>
    <s v="U408.5 -- .P69 2013eb"/>
    <n v="355.00760000000002"/>
    <d v="2013-08-01T00:00:00"/>
  </r>
  <r>
    <x v="1345"/>
    <d v="1899-12-30T00:00:36"/>
    <x v="41"/>
    <x v="1"/>
    <s v="brockport"/>
    <x v="45"/>
    <n v="1691426"/>
    <x v="0"/>
    <s v="Social Science; Health"/>
    <s v="9781118839492"/>
    <s v=",1,2,3,25,26,27,23,24,32,33,34,30,31"/>
    <n v="13"/>
    <m/>
    <m/>
    <s v="No"/>
    <x v="1"/>
    <m/>
    <m/>
    <s v="137.21.7.121"/>
    <s v="RA781.7 -- .P396 2014eb"/>
    <n v="613.70460000000003"/>
    <d v="2014-05-13T00:00:00"/>
  </r>
  <r>
    <x v="1346"/>
    <d v="1899-12-30T00:00:05"/>
    <x v="237"/>
    <x v="0"/>
    <s v="Buffalo"/>
    <x v="386"/>
    <n v="1501456"/>
    <x v="2"/>
    <s v="Education"/>
    <s v="9781134096343"/>
    <s v=",1,2,3"/>
    <n v="3"/>
    <m/>
    <m/>
    <s v="No"/>
    <x v="3"/>
    <m/>
    <m/>
    <s v="128.205.114.91"/>
    <n v="98149933"/>
    <n v="370.15199999999999"/>
    <d v="1998-03-01T00:00:00"/>
  </r>
  <r>
    <x v="1347"/>
    <d v="1899-12-30T00:02:15"/>
    <x v="362"/>
    <x v="0"/>
    <s v="Buffalo"/>
    <x v="387"/>
    <n v="3061241"/>
    <x v="2"/>
    <s v="Language/Linguistics"/>
    <s v="9780203559017"/>
    <s v=",1,2,3,4,5,6,7,8,9,10,11,12,13,14,15,16,17,18"/>
    <n v="18"/>
    <m/>
    <m/>
    <s v="No"/>
    <x v="3"/>
    <m/>
    <m/>
    <s v="128.205.114.91"/>
    <s v="PG2112 -- .B375 2013eb"/>
    <s v="491.782/421"/>
    <d v="2013-08-01T00:00:00"/>
  </r>
  <r>
    <x v="1348"/>
    <d v="1899-12-30T02:17:42"/>
    <x v="241"/>
    <x v="0"/>
    <s v="Buffalo"/>
    <x v="313"/>
    <n v="1358564"/>
    <x v="0"/>
    <s v="Military Science"/>
    <s v="9781118646267"/>
    <s v=",1,2,3,119,120,121,117,118,1,2,3,155,156,157,153,154,203,204,240,241,245,249,250,251,259,266,267,268,264,265,269,270,122,123,124,125,126,130,131,132,133,134,129,128,127"/>
    <n v="42"/>
    <m/>
    <m/>
    <s v="No"/>
    <x v="0"/>
    <d v="2015-12-30T20:34:41"/>
    <n v="7"/>
    <s v="128.205.114.91"/>
    <s v="U408.5 -- .P69 2013eb"/>
    <n v="355.00760000000002"/>
    <d v="2013-08-01T00:00:00"/>
  </r>
  <r>
    <x v="1349"/>
    <d v="1899-12-30T00:02:03"/>
    <x v="13"/>
    <x v="0"/>
    <s v="Buffalo"/>
    <x v="28"/>
    <n v="1895348"/>
    <x v="0"/>
    <s v="Education"/>
    <s v="9781119068839"/>
    <s v=",1,2,3,4,23,24,25,21,22,26,46,47,48,44,45,49,50,51,52"/>
    <n v="19"/>
    <m/>
    <m/>
    <s v="No"/>
    <x v="1"/>
    <m/>
    <m/>
    <s v="128.205.114.91"/>
    <s v="LB2367.4"/>
    <n v="378.16640000000001"/>
    <d v="2015-05-27T00:00:00"/>
  </r>
  <r>
    <x v="1350"/>
    <d v="1899-12-30T01:42:23"/>
    <x v="363"/>
    <x v="1"/>
    <s v="brockport"/>
    <x v="45"/>
    <n v="1691426"/>
    <x v="0"/>
    <s v="Social Science; Health"/>
    <s v="9781118839492"/>
    <s v=",1,2,3,177,178,179,175,176,180,181,182,183,184,143,144,145,141,142,146,147,148,149,150,185,186,187,188,189,190,191,192,194,193,195,196,197,198,199,200,201,202,203,204,205,160,116,117,118,114,115,110,111,112,108,109,113,106,107,105,119,165,166,167,163,164,168,169,170,171"/>
    <n v="69"/>
    <m/>
    <m/>
    <s v="No"/>
    <x v="0"/>
    <d v="2015-12-28T16:35:11"/>
    <n v="7"/>
    <s v="137.21.7.121"/>
    <s v="RA781.7 -- .P396 2014eb"/>
    <n v="613.70460000000003"/>
    <d v="2014-05-13T00:00:00"/>
  </r>
  <r>
    <x v="1351"/>
    <d v="1899-12-30T00:00:05"/>
    <x v="364"/>
    <x v="0"/>
    <s v="Buffalo"/>
    <x v="388"/>
    <n v="1813091"/>
    <x v="0"/>
    <s v="Computer Science/IT"/>
    <s v="9781118963074"/>
    <s v=",1,2,3"/>
    <n v="3"/>
    <m/>
    <m/>
    <s v="No"/>
    <x v="3"/>
    <m/>
    <m/>
    <s v="128.205.114.91"/>
    <s v="QA76.9.C64 -- .W467 2015eb"/>
    <n v="4"/>
    <d v="2014-10-07T00:00:00"/>
  </r>
  <r>
    <x v="1352"/>
    <d v="1899-12-30T00:46:51"/>
    <x v="264"/>
    <x v="1"/>
    <s v="brockport"/>
    <x v="45"/>
    <n v="1691426"/>
    <x v="0"/>
    <s v="Social Science; Health"/>
    <s v="9781118839492"/>
    <s v=",30,31,32,33,34,35,36,37,38,39,40,41,42,43,44,45,46,47,48,49,50,51,52,53,54,55,56,57,58,59,60,61,62,63,64,77,79,78,75,76,73,74,71,72,70,69,68,67,66,65"/>
    <n v="50"/>
    <m/>
    <m/>
    <s v="No"/>
    <x v="0"/>
    <d v="2016-01-03T22:10:16"/>
    <n v="7"/>
    <s v="137.21.7.121"/>
    <s v="RA781.7 -- .P396 2014eb"/>
    <n v="613.70460000000003"/>
    <d v="2014-05-13T00:00:00"/>
  </r>
  <r>
    <x v="1353"/>
    <d v="1899-12-30T00:15:33"/>
    <x v="264"/>
    <x v="1"/>
    <s v="brockport"/>
    <x v="45"/>
    <n v="1691426"/>
    <x v="0"/>
    <s v="Social Science; Health"/>
    <s v="9781118839492"/>
    <s v=",1,2,3,4,25,26,27,23,24,25,26,27,23,24,28,26,27,28,3,4,5,1,2,25,26,27,28,23,24,29"/>
    <n v="12"/>
    <m/>
    <m/>
    <s v="No"/>
    <x v="1"/>
    <m/>
    <m/>
    <s v="137.21.7.121"/>
    <s v="RA781.7 -- .P396 2014eb"/>
    <n v="613.70460000000003"/>
    <d v="2014-05-13T00:00:00"/>
  </r>
  <r>
    <x v="1354"/>
    <d v="1899-12-30T00:00:31"/>
    <x v="241"/>
    <x v="0"/>
    <s v="Buffalo"/>
    <x v="313"/>
    <n v="1358564"/>
    <x v="0"/>
    <s v="Military Science"/>
    <s v="9781118646267"/>
    <s v=",1,2,3,144,146,145,142,143,141,140,147"/>
    <n v="11"/>
    <m/>
    <m/>
    <s v="No"/>
    <x v="0"/>
    <d v="2015-12-30T20:34:41"/>
    <n v="7"/>
    <s v="128.205.114.91"/>
    <s v="U408.5 -- .P69 2013eb"/>
    <n v="355.00760000000002"/>
    <d v="2013-08-01T00:00:00"/>
  </r>
  <r>
    <x v="1355"/>
    <d v="1899-12-30T00:18:45"/>
    <x v="241"/>
    <x v="0"/>
    <s v="Buffalo"/>
    <x v="313"/>
    <n v="1358564"/>
    <x v="0"/>
    <s v="Military Science"/>
    <s v="9781118646267"/>
    <s v=",1,2,3,155,156,157,153,154,158,159,163,164,167,187,190,195,197,207,208,209,206,230,231,232,228,233,229,239,240,241,244,245,246,247,248,249,250,251,252,259,268,270,269,271,267,266,265,264,270,271,272"/>
    <n v="49"/>
    <m/>
    <m/>
    <s v="No"/>
    <x v="0"/>
    <d v="2015-12-30T20:34:41"/>
    <n v="7"/>
    <s v="128.205.114.91"/>
    <s v="U408.5 -- .P69 2013eb"/>
    <n v="355.00760000000002"/>
    <d v="2013-08-01T00:00:00"/>
  </r>
  <r>
    <x v="1356"/>
    <d v="1899-12-30T00:37:38"/>
    <x v="241"/>
    <x v="0"/>
    <s v="Buffalo"/>
    <x v="313"/>
    <n v="1358564"/>
    <x v="0"/>
    <s v="Military Science"/>
    <s v="9781118646267"/>
    <s v=",1,2,3,116,117,118,114,119,120,121,2,122,123,124,125,126,127,128,129,130,131,132,133,134,135,129,128,127,125,126,124,122,123,114,115"/>
    <n v="25"/>
    <m/>
    <m/>
    <s v="No"/>
    <x v="0"/>
    <d v="2015-12-30T20:34:41"/>
    <n v="7"/>
    <s v="128.205.114.91"/>
    <s v="U408.5 -- .P69 2013eb"/>
    <n v="355.00760000000002"/>
    <d v="2013-08-01T00:00:00"/>
  </r>
  <r>
    <x v="1357"/>
    <d v="1899-12-30T00:13:25"/>
    <x v="241"/>
    <x v="0"/>
    <s v="Buffalo"/>
    <x v="313"/>
    <n v="1358564"/>
    <x v="0"/>
    <s v="Military Science"/>
    <s v="9781118646267"/>
    <s v=",1,2,3,153,154,155,151,152,156,157,158,159,160,161,162,163,164,165,193,204,225,233,234,235,236,255,256,257,253,254,252,257,258,259,260,261,262,263,264,265,266,267,268"/>
    <n v="42"/>
    <m/>
    <m/>
    <s v="No"/>
    <x v="0"/>
    <d v="2015-12-30T20:34:41"/>
    <n v="7"/>
    <s v="128.205.114.91"/>
    <s v="U408.5 -- .P69 2013eb"/>
    <n v="355.00760000000002"/>
    <d v="2013-08-01T00:00:00"/>
  </r>
  <r>
    <x v="1358"/>
    <d v="1899-12-30T00:03:45"/>
    <x v="164"/>
    <x v="0"/>
    <s v="Buffalo"/>
    <x v="161"/>
    <n v="821663"/>
    <x v="0"/>
    <s v="Architecture"/>
    <s v="9781118168479"/>
    <s v=",1,2,3,35,36,37,33,34,38,39,40,41,42,43"/>
    <n v="14"/>
    <m/>
    <m/>
    <s v="No"/>
    <x v="0"/>
    <d v="2016-01-03T10:43:30"/>
    <n v="7"/>
    <s v="128.205.114.91"/>
    <s v="NA2547 -- .S74 2012eb"/>
    <n v="729"/>
    <d v="2012-03-05T00:00:00"/>
  </r>
  <r>
    <x v="1359"/>
    <d v="1899-12-30T00:34:00"/>
    <x v="150"/>
    <x v="0"/>
    <s v="Buffalo"/>
    <x v="152"/>
    <n v="330580"/>
    <x v="4"/>
    <s v="Medicine"/>
    <s v="9781593859398"/>
    <s v=",1,2,3,31,32,103,175,154,123,109,99,93,79,72,64,54,51,37,33,34,35,36,37,38,39,40,41,42,43,44,45,46,47,48,38,34,33,32,31,40,41,32,30,31,29,28,27,26,25,24,41,42,43,44,45,47,48,42,334,335,336,333,332,330,331,329,327,328,326,325,323,324,322,320,321,278,256,248,92,79,68,59,53,55,50,49,42,43,41,47,48,51,52"/>
    <n v="68"/>
    <m/>
    <m/>
    <s v="Yes"/>
    <x v="2"/>
    <d v="2016-01-03T17:36:42"/>
    <n v="7"/>
    <s v="128.205.114.91"/>
    <s v="RC489.C63 -- M55 2004eb"/>
    <n v="616.89142000000004"/>
    <d v="2014-05-14T00:00:00"/>
  </r>
  <r>
    <x v="1359"/>
    <d v="1899-12-30T00:00:00"/>
    <x v="150"/>
    <x v="0"/>
    <s v="Buffalo"/>
    <x v="152"/>
    <n v="330580"/>
    <x v="4"/>
    <s v="Medicine"/>
    <s v="9781593859398"/>
    <m/>
    <n v="0"/>
    <m/>
    <m/>
    <s v="No"/>
    <x v="2"/>
    <d v="2016-01-03T17:36:42"/>
    <n v="7"/>
    <s v="128.205.114.91"/>
    <s v="RC489.C63 -- M55 2004eb"/>
    <n v="616.89142000000004"/>
    <d v="2014-05-14T00:00:00"/>
  </r>
  <r>
    <x v="1360"/>
    <d v="1899-12-30T00:00:31"/>
    <x v="150"/>
    <x v="0"/>
    <s v="Buffalo"/>
    <x v="152"/>
    <n v="330580"/>
    <x v="4"/>
    <s v="Medicine"/>
    <s v="9781593859398"/>
    <s v=",1,2,3"/>
    <n v="3"/>
    <m/>
    <m/>
    <s v="No"/>
    <x v="3"/>
    <m/>
    <m/>
    <s v="128.205.114.91"/>
    <s v="RC489.C63 -- M55 2004eb"/>
    <n v="616.89142000000004"/>
    <d v="2014-05-14T00:00:00"/>
  </r>
  <r>
    <x v="1361"/>
    <d v="1899-12-30T00:00:05"/>
    <x v="150"/>
    <x v="0"/>
    <s v="Buffalo"/>
    <x v="152"/>
    <n v="330580"/>
    <x v="4"/>
    <s v="Medicine"/>
    <s v="9781593859398"/>
    <s v=",1,2,3"/>
    <n v="3"/>
    <m/>
    <m/>
    <s v="No"/>
    <x v="3"/>
    <m/>
    <m/>
    <s v="128.205.114.91"/>
    <s v="RC489.C63 -- M55 2004eb"/>
    <n v="616.89142000000004"/>
    <d v="2014-05-14T00:00:00"/>
  </r>
  <r>
    <x v="1362"/>
    <d v="1899-12-30T00:04:18"/>
    <x v="241"/>
    <x v="0"/>
    <s v="Buffalo"/>
    <x v="313"/>
    <n v="1358564"/>
    <x v="0"/>
    <s v="Military Science"/>
    <s v="9781118646267"/>
    <s v=",1,2,3,115,116,117,113,114,118,1,2,3,115,116,117,113,114,118,153,154,155,151,156,157,177,178,179,180,176,181,182,183,184,185,186,187,188,189,191,190,192,193,195,197,198,199,200,202,215,214,216,212,213,211,223,230,231,232,233,235,234,236,279,280,281,278,276,277,274,275,279,280,270,269,268,266,267,264,265,263,262,261,260"/>
    <n v="72"/>
    <m/>
    <m/>
    <s v="No"/>
    <x v="0"/>
    <d v="2015-12-30T20:34:41"/>
    <n v="7"/>
    <s v="128.205.114.91"/>
    <s v="U408.5 -- .P69 2013eb"/>
    <n v="355.00760000000002"/>
    <d v="2013-08-01T00:00:00"/>
  </r>
  <r>
    <x v="1363"/>
    <d v="1899-12-30T01:27:55"/>
    <x v="361"/>
    <x v="10"/>
    <s v="daemen"/>
    <x v="384"/>
    <n v="1367685"/>
    <x v="0"/>
    <s v="Economics; Business/Management"/>
    <s v="9780745678832"/>
    <s v="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"/>
    <n v="153"/>
    <m/>
    <m/>
    <s v="No"/>
    <x v="2"/>
    <d v="2016-01-03T13:32:25"/>
    <n v="1"/>
    <s v="108.17.26.12"/>
    <s v="HD9999.C9472 -- F54 2013eb"/>
    <n v="338.76170000000002"/>
    <d v="2013-08-27T00:00:00"/>
  </r>
  <r>
    <x v="1364"/>
    <d v="1899-12-30T00:05:10"/>
    <x v="361"/>
    <x v="10"/>
    <s v="daemen"/>
    <x v="384"/>
    <n v="1367685"/>
    <x v="0"/>
    <s v="Economics; Business/Management"/>
    <s v="9780745678832"/>
    <s v=",1,2,3,4,5,6,7,8,9,10,11,12,13,14,15,16,17,18,19,20"/>
    <n v="20"/>
    <m/>
    <m/>
    <s v="No"/>
    <x v="3"/>
    <m/>
    <m/>
    <s v="108.17.26.12"/>
    <s v="HD9999.C9472 -- F54 2013eb"/>
    <n v="338.76170000000002"/>
    <d v="2013-08-27T00:00:00"/>
  </r>
  <r>
    <x v="1365"/>
    <d v="1899-12-30T01:02:04"/>
    <x v="361"/>
    <x v="10"/>
    <s v="daemen"/>
    <x v="385"/>
    <n v="1521098"/>
    <x v="2"/>
    <s v="Economics; Business/Management"/>
    <s v="9781317967286"/>
    <s v=",5,6,7,8,9,10,11,12,13,14,15,16,17,18,19,20,21,22,23,24,25,26,27,28,29,30,31,32,33,34,35,36,37,38,39,40,41,42,43,44,45,46,47,48,49,50,51,52,53,54,55,56,57,58,59,60,61,62,63,64,65,66,67,68,69,70,16,17,18,14,15,37,33,34,38,39,156,157,158,154,155,159,160,161,162,163,164,165,166,167,168,169,170,171,172,173,174,175,176,177,178,179,180,181,182,183,184,185,186,187,188,189,190,192,193,244,245,246,242,243,247,248,249,250,251,252,253,254,255,256,257,258,259,260,261,262,263,264,265,266,267,268,269,270,271,272,273,274,275,276,278,279,280,277"/>
    <n v="144"/>
    <s v=",37"/>
    <m/>
    <s v="No"/>
    <x v="2"/>
    <d v="2016-01-03T12:24:48"/>
    <n v="1"/>
    <s v="108.17.26.12"/>
    <m/>
    <n v="338.47699999999998"/>
    <d v="2013-10-31T00:00:00"/>
  </r>
  <r>
    <x v="1366"/>
    <d v="1899-12-30T00:08:04"/>
    <x v="361"/>
    <x v="10"/>
    <s v="daemen"/>
    <x v="385"/>
    <n v="1521098"/>
    <x v="2"/>
    <s v="Economics; Business/Management"/>
    <s v="9781317967286"/>
    <s v=",1,2,3,4"/>
    <n v="4"/>
    <m/>
    <m/>
    <s v="No"/>
    <x v="3"/>
    <m/>
    <m/>
    <s v="108.17.26.12"/>
    <m/>
    <n v="338.47699999999998"/>
    <d v="2013-10-31T00:00:00"/>
  </r>
  <r>
    <x v="1367"/>
    <d v="1899-12-30T00:30:16"/>
    <x v="164"/>
    <x v="0"/>
    <s v="Buffalo"/>
    <x v="161"/>
    <n v="821663"/>
    <x v="0"/>
    <s v="Architecture"/>
    <s v="9781118168479"/>
    <s v=",26,27,28,29,30,31,32,33,34,35,36,37"/>
    <n v="12"/>
    <m/>
    <m/>
    <s v="No"/>
    <x v="0"/>
    <d v="2016-01-03T10:43:30"/>
    <n v="7"/>
    <s v="128.205.114.91"/>
    <s v="NA2547 -- .S74 2012eb"/>
    <n v="729"/>
    <d v="2012-03-05T00:00:00"/>
  </r>
  <r>
    <x v="1368"/>
    <d v="1899-12-30T00:22:24"/>
    <x v="164"/>
    <x v="0"/>
    <s v="Buffalo"/>
    <x v="161"/>
    <n v="821663"/>
    <x v="0"/>
    <s v="Architecture"/>
    <s v="9781118168479"/>
    <s v=",1,2,3,4,5,6,7,8,9,10,11,12,13,14,15,16,17,18,19,20,21,22,23,24,25"/>
    <n v="25"/>
    <m/>
    <m/>
    <s v="No"/>
    <x v="1"/>
    <m/>
    <m/>
    <s v="128.205.114.91"/>
    <s v="NA2547 -- .S74 2012eb"/>
    <n v="729"/>
    <d v="2012-03-05T00:00:00"/>
  </r>
  <r>
    <x v="1369"/>
    <d v="1899-12-30T00:00:42"/>
    <x v="365"/>
    <x v="0"/>
    <s v="Buffalo"/>
    <x v="389"/>
    <n v="1771580"/>
    <x v="0"/>
    <s v="Computer Science/IT"/>
    <s v="9781118858066"/>
    <s v=",1,85,86,87,83,84,88,89,2,90,91,92,93,94"/>
    <n v="14"/>
    <m/>
    <m/>
    <s v="No"/>
    <x v="3"/>
    <m/>
    <m/>
    <s v="128.205.114.91"/>
    <s v="QA76.73.C153 -- .G744 2014eb"/>
    <n v="5.133"/>
    <d v="2014-08-21T00:00:00"/>
  </r>
  <r>
    <x v="1370"/>
    <d v="1899-12-30T00:01:02"/>
    <x v="365"/>
    <x v="0"/>
    <s v="Buffalo"/>
    <x v="389"/>
    <n v="1771580"/>
    <x v="0"/>
    <s v="Computer Science/IT"/>
    <s v="9781118858066"/>
    <s v=",1,2,3,4,5,6"/>
    <n v="6"/>
    <m/>
    <m/>
    <s v="No"/>
    <x v="3"/>
    <m/>
    <m/>
    <s v="128.205.114.91"/>
    <s v="QA76.73.C153 -- .G744 2014eb"/>
    <n v="5.133"/>
    <d v="2014-08-21T00:00:00"/>
  </r>
  <r>
    <x v="1371"/>
    <d v="1899-12-30T01:18:07"/>
    <x v="241"/>
    <x v="0"/>
    <s v="Buffalo"/>
    <x v="313"/>
    <n v="1358564"/>
    <x v="0"/>
    <s v="Military Science"/>
    <s v="9781118646267"/>
    <s v=",1,2,3,155,156,157,153,154,158,161,188,189,190,219,220,221,222,223,227,228,229,225,233,238,239,244,245,246,255,259,260,258,256,261,257,254,1,2,3,106,107,108,104,105,109,110,111,112,149,150,147,148,151,152,99,100,101,97,98,165,169,175,176,177,178,174,179,180,181,182,183,184,185,186,187,203,204,201,205,202,247,240,253,262,263,113,114,115,116,264"/>
    <n v="87"/>
    <m/>
    <m/>
    <s v="No"/>
    <x v="0"/>
    <d v="2015-12-30T20:34:41"/>
    <n v="7"/>
    <s v="128.205.114.91"/>
    <s v="U408.5 -- .P69 2013eb"/>
    <n v="355.00760000000002"/>
    <d v="2013-08-01T00:00:00"/>
  </r>
  <r>
    <x v="1372"/>
    <d v="1899-12-30T00:51:52"/>
    <x v="366"/>
    <x v="0"/>
    <s v="Buffalo"/>
    <x v="390"/>
    <n v="1895920"/>
    <x v="0"/>
    <s v="Business/Management"/>
    <s v="9781119016243"/>
    <s v=",4,5,6,7,8,9,10,11,12,13,14,15,16,17,18,19,20,21,22,23,24,25,26,27,28,29,30,31,32,33,34,35,36,37,38,39,40,41,42,43,44,45,46,47,48,49,50,51,52,53,54,55,56,57,58,59,60,61,62,63,64,65,66,67,68,69,70,71,72,73,74,75,77,76,79,78,80,81,82,83,84,85,86,87,88,89,90,91,92,93,94,95,96,97,98,99,100,101,102,103,104,105,106,107,108,109,110,111,113,112,114,115,116,117,118,119,120,121,122,123,124,125,126,127,128,129,131,130,132,133,134,135,136,137,138,139,140,141,142,144,143,145,146,147,148,149,150,151,152,153,154,155,156,157,158,159,160,161,162,163,164,165,166,167,168,169,170,171,172,173,174,175,176,177,178,179,180,181,182,183,184,185,186,187,188,189,190,191,192,193,194,195,196,197,198,199,200,201,202,203,204,205,206,208,207,209,210,211,212,213,214,215,216,217,218,219,220,221,222,223,224,225,226,227,228,229,230,231,232,233,234,235,236,237,238,239,240,241,242,243,244,245,246,247,248,250,249,251,252,253,255,254,256,257,258,259,260,56,57,58,54,55"/>
    <n v="257"/>
    <m/>
    <m/>
    <s v="No"/>
    <x v="0"/>
    <d v="2016-01-03T01:05:25"/>
    <n v="7"/>
    <s v="128.205.114.91"/>
    <s v="HF5679 -- .M376 2015eb"/>
    <n v="657.90420285536004"/>
    <d v="2015-01-12T00:00:00"/>
  </r>
  <r>
    <x v="1373"/>
    <d v="1899-12-30T00:04:56"/>
    <x v="366"/>
    <x v="0"/>
    <s v="Buffalo"/>
    <x v="390"/>
    <n v="1895920"/>
    <x v="0"/>
    <s v="Business/Management"/>
    <s v="9781119016243"/>
    <s v=",1,2,3,1"/>
    <n v="3"/>
    <m/>
    <m/>
    <s v="No"/>
    <x v="3"/>
    <m/>
    <m/>
    <s v="128.205.114.91"/>
    <s v="HF5679 -- .M376 2015eb"/>
    <n v="657.90420285536004"/>
    <d v="2015-01-12T00:00:00"/>
  </r>
  <r>
    <x v="1374"/>
    <d v="1899-12-30T00:00:10"/>
    <x v="366"/>
    <x v="0"/>
    <s v="Buffalo"/>
    <x v="390"/>
    <n v="1895920"/>
    <x v="0"/>
    <s v="Business/Management"/>
    <s v="9781119016243"/>
    <s v=",1,2,3,4"/>
    <n v="4"/>
    <m/>
    <m/>
    <s v="No"/>
    <x v="3"/>
    <m/>
    <m/>
    <s v="128.205.114.91"/>
    <s v="HF5679 -- .M376 2015eb"/>
    <n v="657.90420285536004"/>
    <d v="2015-01-12T00:00:00"/>
  </r>
  <r>
    <x v="1375"/>
    <d v="1899-12-30T00:13:53"/>
    <x v="367"/>
    <x v="0"/>
    <s v="Buffalo"/>
    <x v="391"/>
    <n v="1977496"/>
    <x v="0"/>
    <s v="Fine Arts"/>
    <s v="9781118991145"/>
    <s v=",34,35,36,37,38,39,40,56,57,58,59,60,61,63,62,64,65,66,67,68,153,200,81"/>
    <n v="23"/>
    <m/>
    <m/>
    <s v="No"/>
    <x v="0"/>
    <d v="2016-01-02T23:06:24"/>
    <n v="7"/>
    <s v="128.205.114.91"/>
    <s v="MT6 -- .P55 2015eb"/>
    <n v="781"/>
    <d v="2015-02-19T00:00:00"/>
  </r>
  <r>
    <x v="1376"/>
    <d v="1899-12-30T00:05:13"/>
    <x v="367"/>
    <x v="0"/>
    <s v="Buffalo"/>
    <x v="391"/>
    <n v="1977496"/>
    <x v="0"/>
    <s v="Fine Arts"/>
    <s v="9781118991145"/>
    <s v=",1,19,20,21,17,18,22,24,23,25,53,54,55,52,50,2,51,49,48,47,46,45,43,44,41,42,26,27,28,29,30,31,32,33"/>
    <n v="34"/>
    <m/>
    <m/>
    <s v="No"/>
    <x v="3"/>
    <m/>
    <m/>
    <s v="128.205.114.91"/>
    <s v="MT6 -- .P55 2015eb"/>
    <n v="781"/>
    <d v="2015-02-19T00:00:00"/>
  </r>
  <r>
    <x v="1377"/>
    <d v="1899-12-30T00:11:26"/>
    <x v="13"/>
    <x v="0"/>
    <s v="Buffalo"/>
    <x v="313"/>
    <n v="1358564"/>
    <x v="0"/>
    <s v="Military Science"/>
    <s v="9781118646267"/>
    <s v=",1,2,3,153,154,155,156,157,174,197,219,272,274,256,257,250,251,252,248,249,253,254,255,256,257"/>
    <n v="23"/>
    <m/>
    <m/>
    <s v="No"/>
    <x v="0"/>
    <d v="2016-01-02T22:02:45"/>
    <n v="7"/>
    <s v="128.205.114.91"/>
    <s v="U408.5 -- .P69 2013eb"/>
    <n v="355.00760000000002"/>
    <d v="2013-08-01T00:00:00"/>
  </r>
  <r>
    <x v="1378"/>
    <d v="1899-12-30T00:00:00"/>
    <x v="246"/>
    <x v="1"/>
    <s v="brockport"/>
    <x v="319"/>
    <n v="1318975"/>
    <x v="2"/>
    <s v="Literature"/>
    <s v="9781136310416"/>
    <m/>
    <n v="0"/>
    <m/>
    <s v=",68,69,70,71,72,73,83,84,85,86,87,88,89,90,91,92,93,94,95,96,97,98,99,100,112,113,114,115,116,117,118,119,120,121,122,150,151,152,153,154,155,156,157,158,159,160,161,162,163,164,165,174,175,176,177,178,179,180,181,182,183,184,185,186,194,195,196,197,198,199,200,201,202,203,204,205,206,207,208,209,210,211,212,213,214,215,216,217"/>
    <s v="No"/>
    <x v="2"/>
    <d v="2016-01-02T22:13:52"/>
    <n v="1"/>
    <s v="137.21.7.121"/>
    <s v="PR33 -- .A84 2013eb"/>
    <n v="820"/>
    <d v="2013-07-18T00:00:00"/>
  </r>
  <r>
    <x v="1379"/>
    <d v="1899-12-30T00:04:36"/>
    <x v="246"/>
    <x v="1"/>
    <s v="brockport"/>
    <x v="319"/>
    <n v="1318975"/>
    <x v="2"/>
    <s v="Literature"/>
    <s v="9781136310416"/>
    <s v=",1,68,69,68,1,69,70,66,70,67,67,71,71,2,2,72,72,73,73,74,74,75,75,76,76,77,77,78,78,79,79,80,80,81,81,82,82,83,83,84,84,82,82,83,84,84,84,84,85,86"/>
    <n v="23"/>
    <m/>
    <m/>
    <s v="No"/>
    <x v="3"/>
    <m/>
    <m/>
    <s v="137.21.7.121"/>
    <s v="PR33 -- .A84 2013eb"/>
    <n v="820"/>
    <d v="2013-07-18T00:00:00"/>
  </r>
  <r>
    <x v="1380"/>
    <d v="1899-12-30T00:21:44"/>
    <x v="13"/>
    <x v="0"/>
    <s v="Buffalo"/>
    <x v="313"/>
    <n v="1358564"/>
    <x v="0"/>
    <s v="Military Science"/>
    <s v="9781118646267"/>
    <s v=",103,104,105,106,107,108,115,116,117,113,114,97,109,110,111,113,112,114,115,116,117,106,108"/>
    <n v="16"/>
    <m/>
    <m/>
    <s v="No"/>
    <x v="0"/>
    <d v="2016-01-02T22:02:45"/>
    <n v="7"/>
    <s v="128.205.114.91"/>
    <s v="U408.5 -- .P69 2013eb"/>
    <n v="355.00760000000002"/>
    <d v="2013-08-01T00:00:00"/>
  </r>
  <r>
    <x v="1381"/>
    <d v="1899-12-30T00:03:03"/>
    <x v="13"/>
    <x v="0"/>
    <s v="Buffalo"/>
    <x v="320"/>
    <n v="2006127"/>
    <x v="0"/>
    <s v="Military Science"/>
    <s v="9781119038474"/>
    <s v=",1,2,3,155,156,157,153,154,160,161,162,159,158,163,164,165,166,167,168,169,170,171,181,182,183,179,180,156,157,154,155,174,175,176,172,173,171"/>
    <n v="32"/>
    <m/>
    <m/>
    <s v="No"/>
    <x v="3"/>
    <m/>
    <m/>
    <s v="128.205.114.91"/>
    <s v="U408.5 -- .P694 2015eb"/>
    <n v="355.00760000000002"/>
    <d v="2015-03-27T00:00:00"/>
  </r>
  <r>
    <x v="1382"/>
    <d v="1899-12-30T00:10:52"/>
    <x v="13"/>
    <x v="0"/>
    <s v="Buffalo"/>
    <x v="313"/>
    <n v="1358564"/>
    <x v="0"/>
    <s v="Military Science"/>
    <s v="9781118646267"/>
    <s v=",1,2,3,65,66,67,63,64,97,98,99,95,96,100,101,153,154,155,151,152,168,173,231,232,240,254,255,256,252,253,251,250,248,249,247,246,245,243,244,101,102"/>
    <n v="40"/>
    <m/>
    <m/>
    <s v="No"/>
    <x v="1"/>
    <m/>
    <m/>
    <s v="128.205.114.91"/>
    <s v="U408.5 -- .P69 2013eb"/>
    <n v="355.00760000000002"/>
    <d v="2013-08-01T00:00:00"/>
  </r>
  <r>
    <x v="1383"/>
    <d v="1899-12-30T00:00:00"/>
    <x v="368"/>
    <x v="0"/>
    <s v="Buffalo"/>
    <x v="200"/>
    <n v="298457"/>
    <x v="2"/>
    <s v="Engineering; Engineering: Electrical; Fine Arts"/>
    <s v="9780080520599"/>
    <s v=",78"/>
    <n v="1"/>
    <m/>
    <m/>
    <s v="No"/>
    <x v="2"/>
    <d v="2016-01-02T21:10:12"/>
    <n v="1"/>
    <s v="128.205.114.91"/>
    <s v="TK6655.V5 -- .M555 2001eb"/>
    <n v="778.59"/>
    <d v="2013-10-28T00:00:00"/>
  </r>
  <r>
    <x v="1384"/>
    <d v="1899-12-30T00:00:54"/>
    <x v="368"/>
    <x v="0"/>
    <s v="Buffalo"/>
    <x v="392"/>
    <n v="1461120"/>
    <x v="2"/>
    <s v="Engineering; Engineering: Electrical; Fine Arts"/>
    <s v="9781136050268"/>
    <s v=",1,19,20,21,17,18,22,2,23,24"/>
    <n v="10"/>
    <m/>
    <m/>
    <s v="No"/>
    <x v="3"/>
    <m/>
    <m/>
    <s v="128.205.114.91"/>
    <s v="TK6643 .M537 2013"/>
    <s v="778.59/92; 778.5992"/>
    <d v="2013-10-08T00:00:00"/>
  </r>
  <r>
    <x v="1385"/>
    <d v="1899-12-30T00:23:30"/>
    <x v="368"/>
    <x v="0"/>
    <s v="Buffalo"/>
    <x v="200"/>
    <n v="298457"/>
    <x v="2"/>
    <s v="Engineering; Engineering: Electrical; Fine Arts"/>
    <s v="9780080520599"/>
    <s v=",1,25,26,27,23,24,28,2,29,33,12,13,14,10,11,45,46,47,44,43,42,48,49,50,51,52,53,54,81,82,83,80,79"/>
    <n v="33"/>
    <m/>
    <m/>
    <s v="No"/>
    <x v="3"/>
    <m/>
    <m/>
    <s v="128.205.114.91"/>
    <s v="TK6655.V5 -- .M555 2001eb"/>
    <n v="778.59"/>
    <d v="2013-10-28T00:00:00"/>
  </r>
  <r>
    <x v="1386"/>
    <d v="1899-12-30T00:00:16"/>
    <x v="294"/>
    <x v="0"/>
    <s v="Buffalo"/>
    <x v="393"/>
    <n v="1732114"/>
    <x v="0"/>
    <s v="Literature; Language/Linguistics"/>
    <s v="9781118559123"/>
    <s v=",1,2,3,9,10,11,7,8"/>
    <n v="8"/>
    <m/>
    <m/>
    <s v="No"/>
    <x v="3"/>
    <m/>
    <m/>
    <s v="128.205.114.91"/>
    <s v="PE1404 -- .W34 2014eb"/>
    <s v="808/.0420711"/>
    <d v="2014-07-07T00:00:00"/>
  </r>
  <r>
    <x v="1387"/>
    <d v="1899-12-30T01:08:23"/>
    <x v="241"/>
    <x v="0"/>
    <s v="Buffalo"/>
    <x v="313"/>
    <n v="1358564"/>
    <x v="0"/>
    <s v="Military Science"/>
    <s v="9781118646267"/>
    <s v=",1,2,3,92,93,94,90,91,95,96,1,96,97,98,94,95,99,2,1,96,97,98,94,95,155,156,157,153,154,204,2,252,253,254,251,249,250,239,224,222,221,223,219,220,225,226,227,228,229,230,236,247,258,248,249,246,247,232,228,250,229,230,226,227,231,233,234,235,236,237,238,239,240,241,247,245,248,249,246,244,243,242"/>
    <n v="56"/>
    <m/>
    <m/>
    <s v="No"/>
    <x v="0"/>
    <d v="2015-12-30T20:34:41"/>
    <n v="7"/>
    <s v="128.205.114.91"/>
    <s v="U408.5 -- .P69 2013eb"/>
    <n v="355.00760000000002"/>
    <d v="2013-08-01T00:00:00"/>
  </r>
  <r>
    <x v="1388"/>
    <d v="1899-12-30T00:02:41"/>
    <x v="369"/>
    <x v="15"/>
    <s v="morrisville"/>
    <x v="394"/>
    <n v="1562263"/>
    <x v="2"/>
    <s v="Literature"/>
    <s v="9781135104580"/>
    <s v=",1,2,3,355,356,357,353,354,365,366,367,363,364,362,361,360,366"/>
    <n v="16"/>
    <m/>
    <m/>
    <s v="No"/>
    <x v="3"/>
    <m/>
    <m/>
    <s v="136.204.32.68"/>
    <s v="PS121 -- .B517 2014eb"/>
    <n v="810.9"/>
    <d v="2013-11-12T00:00:00"/>
  </r>
  <r>
    <x v="1389"/>
    <d v="1899-12-30T00:00:00"/>
    <x v="370"/>
    <x v="2"/>
    <s v="hilbert"/>
    <x v="20"/>
    <n v="1158634"/>
    <x v="0"/>
    <s v="Science; Science: Chemistry"/>
    <s v="9781118681961"/>
    <s v=",3"/>
    <n v="1"/>
    <m/>
    <m/>
    <s v="Yes"/>
    <x v="0"/>
    <d v="2016-01-02T04:21:57"/>
    <n v="7"/>
    <s v="72.45.217.43"/>
    <s v="QD251.3 -- .D49 2006eb"/>
    <n v="547"/>
    <d v="2013-04-02T00:00:00"/>
  </r>
  <r>
    <x v="1389"/>
    <d v="1899-12-30T00:00:00"/>
    <x v="370"/>
    <x v="2"/>
    <s v="hilbert"/>
    <x v="20"/>
    <n v="1158634"/>
    <x v="0"/>
    <s v="Science; Science: Chemistry"/>
    <s v="9781118681961"/>
    <m/>
    <n v="0"/>
    <m/>
    <m/>
    <s v="No"/>
    <x v="0"/>
    <d v="2016-01-02T04:21:57"/>
    <n v="7"/>
    <s v="72.45.217.43"/>
    <s v="QD251.3 -- .D49 2006eb"/>
    <n v="547"/>
    <d v="2013-04-02T00:00:00"/>
  </r>
  <r>
    <x v="1390"/>
    <d v="1899-12-30T00:00:26"/>
    <x v="370"/>
    <x v="2"/>
    <s v="hilbert"/>
    <x v="20"/>
    <n v="1158634"/>
    <x v="0"/>
    <s v="Science; Science: Chemistry"/>
    <s v="9781118681961"/>
    <s v=",1,2"/>
    <n v="2"/>
    <m/>
    <m/>
    <s v="No"/>
    <x v="1"/>
    <m/>
    <m/>
    <s v="72.45.217.43"/>
    <s v="QD251.3 -- .D49 2006eb"/>
    <n v="547"/>
    <d v="2013-04-02T00:00:00"/>
  </r>
  <r>
    <x v="1391"/>
    <d v="1899-12-30T00:00:42"/>
    <x v="179"/>
    <x v="0"/>
    <s v="Buffalo"/>
    <x v="395"/>
    <n v="1776335"/>
    <x v="0"/>
    <s v="Business/Management"/>
    <s v="9781118935019"/>
    <s v=",165,166"/>
    <n v="2"/>
    <m/>
    <m/>
    <s v="No"/>
    <x v="0"/>
    <d v="2016-01-02T03:13:39"/>
    <n v="7"/>
    <s v="128.205.114.91"/>
    <s v="HD30.3 -- .T85 2014eb"/>
    <n v="658"/>
    <d v="2014-08-28T00:00:00"/>
  </r>
  <r>
    <x v="1392"/>
    <d v="1899-12-30T00:05:01"/>
    <x v="179"/>
    <x v="0"/>
    <s v="Buffalo"/>
    <x v="395"/>
    <n v="1776335"/>
    <x v="0"/>
    <s v="Business/Management"/>
    <s v="9781118935019"/>
    <s v=",1,2,3,4,32,33,34,30,31,35,89,90,91,87,88,92,142,143,144,141,140,145,146,147,148,149,150,151,152,153,160,162,161,159,158,163,164"/>
    <n v="37"/>
    <m/>
    <m/>
    <s v="No"/>
    <x v="3"/>
    <m/>
    <m/>
    <s v="128.205.114.91"/>
    <s v="HD30.3 -- .T85 2014eb"/>
    <n v="658"/>
    <d v="2014-08-28T00:00:00"/>
  </r>
  <r>
    <x v="1393"/>
    <d v="1899-12-30T00:00:00"/>
    <x v="371"/>
    <x v="0"/>
    <s v="Buffalo"/>
    <x v="396"/>
    <n v="4037058"/>
    <x v="0"/>
    <s v="Mathematics"/>
    <s v="9781118626740"/>
    <m/>
    <n v="0"/>
    <m/>
    <m/>
    <s v="Yes"/>
    <x v="2"/>
    <d v="2016-01-02T00:12:19"/>
    <n v="1"/>
    <s v="128.205.114.91"/>
    <s v="QA320.L345 2001"/>
    <n v="515"/>
    <d v="2014-08-28T00:00:00"/>
  </r>
  <r>
    <x v="1394"/>
    <d v="1899-12-30T00:00:04"/>
    <x v="371"/>
    <x v="0"/>
    <s v="Buffalo"/>
    <x v="396"/>
    <n v="4037058"/>
    <x v="0"/>
    <s v="Mathematics"/>
    <s v="9781118626740"/>
    <s v=",1,2,3"/>
    <n v="3"/>
    <m/>
    <m/>
    <s v="No"/>
    <x v="2"/>
    <d v="2016-01-02T00:12:19"/>
    <n v="1"/>
    <s v="128.205.114.91"/>
    <s v="QA320.L345 2001"/>
    <n v="515"/>
    <d v="2014-08-28T00:00:00"/>
  </r>
  <r>
    <x v="1395"/>
    <d v="1899-12-30T00:00:00"/>
    <x v="371"/>
    <x v="0"/>
    <s v="Buffalo"/>
    <x v="396"/>
    <n v="4037058"/>
    <x v="0"/>
    <s v="Mathematics"/>
    <s v="9781118626740"/>
    <m/>
    <n v="0"/>
    <m/>
    <m/>
    <s v="Yes"/>
    <x v="2"/>
    <d v="2016-01-02T00:12:19"/>
    <n v="1"/>
    <s v="128.205.114.91"/>
    <s v="QA320.L345 2001"/>
    <n v="515"/>
    <d v="2014-08-28T00:00:00"/>
  </r>
  <r>
    <x v="1396"/>
    <d v="1899-12-30T00:00:00"/>
    <x v="371"/>
    <x v="0"/>
    <s v="Buffalo"/>
    <x v="396"/>
    <n v="4037058"/>
    <x v="0"/>
    <s v="Mathematics"/>
    <s v="9781118626740"/>
    <m/>
    <n v="0"/>
    <m/>
    <m/>
    <s v="Yes"/>
    <x v="2"/>
    <d v="2016-01-02T00:12:19"/>
    <n v="1"/>
    <s v="128.205.114.91"/>
    <s v="QA320.L345 2001"/>
    <n v="515"/>
    <d v="2014-08-28T00:00:00"/>
  </r>
  <r>
    <x v="1397"/>
    <d v="1899-12-30T00:00:00"/>
    <x v="371"/>
    <x v="0"/>
    <s v="Buffalo"/>
    <x v="396"/>
    <n v="4037058"/>
    <x v="0"/>
    <s v="Mathematics"/>
    <s v="9781118626740"/>
    <m/>
    <n v="0"/>
    <m/>
    <m/>
    <s v="Yes"/>
    <x v="2"/>
    <d v="2016-01-02T00:12:19"/>
    <n v="1"/>
    <s v="128.205.114.91"/>
    <s v="QA320.L345 2001"/>
    <n v="515"/>
    <d v="2014-08-28T00:00:00"/>
  </r>
  <r>
    <x v="1397"/>
    <d v="1899-12-30T00:00:00"/>
    <x v="371"/>
    <x v="0"/>
    <s v="Buffalo"/>
    <x v="396"/>
    <n v="4037058"/>
    <x v="0"/>
    <s v="Mathematics"/>
    <s v="9781118626740"/>
    <m/>
    <n v="0"/>
    <m/>
    <m/>
    <s v="No"/>
    <x v="2"/>
    <d v="2016-01-02T00:12:19"/>
    <n v="1"/>
    <s v="128.205.114.91"/>
    <s v="QA320.L345 2001"/>
    <n v="515"/>
    <d v="2014-08-28T00:00:00"/>
  </r>
  <r>
    <x v="1398"/>
    <d v="1899-12-30T00:00:14"/>
    <x v="371"/>
    <x v="0"/>
    <s v="Buffalo"/>
    <x v="396"/>
    <n v="4037058"/>
    <x v="0"/>
    <s v="Mathematics"/>
    <s v="9781118626740"/>
    <s v=",1,2,3"/>
    <n v="3"/>
    <m/>
    <m/>
    <s v="No"/>
    <x v="3"/>
    <m/>
    <m/>
    <s v="128.205.114.91"/>
    <s v="QA320.L345 2001"/>
    <n v="515"/>
    <d v="2014-08-28T00:00:00"/>
  </r>
  <r>
    <x v="1399"/>
    <d v="1899-12-30T00:00:33"/>
    <x v="208"/>
    <x v="1"/>
    <s v="brockport"/>
    <x v="171"/>
    <n v="1487097"/>
    <x v="2"/>
    <s v="Social Science"/>
    <s v="9781135398842"/>
    <s v=",1,2,3,253,254,255,251,252"/>
    <n v="8"/>
    <m/>
    <s v=",200,201,202,203,204,205,206,207,208,209,210,253,254,255,256,257,258,259,260,253,254,255,256,257,258,259,260,200,201,202,203,204,205,206,207,208,209,210,437,438,439,440,441,442,443,444,445,446,447,448,449,450,618,619,620,621,622,623,624,625,626,627,628,629,630,631,632,633,634,635,636,637,200,201,202,203,204,205,206,207,208,209,210,618,619,620,621,622,623,624,625,626,627,628,629,630,631,632,633,634,635,636,637,200,201,202,203,204,205,206,207,208,209,210,238,239,240,241,242,243,244,245,246,247,248,249,250,251,252,618,619,620,621,622,623,624,625,626,627,628,629,630,631,632,633,634,635,636,637,238,239,240,241,242,243,244,245,246,247,248,249,250,251,252,618,619,620,621,622,623,624,625,626,627,628,629,630,631,632,633,634,635,636,637,569,570,571,572,573,574,575,576,577,578,579,580,581"/>
    <s v="No"/>
    <x v="2"/>
    <d v="2016-01-01T01:01:53"/>
    <n v="1"/>
    <s v="137.21.7.121"/>
    <s v="HQ77.9 -- .T72 2006eb"/>
    <n v="306.76799999999997"/>
    <d v="2013-10-18T00:00:00"/>
  </r>
  <r>
    <x v="1400"/>
    <d v="1899-12-30T00:23:59"/>
    <x v="241"/>
    <x v="0"/>
    <s v="Buffalo"/>
    <x v="313"/>
    <n v="1358564"/>
    <x v="0"/>
    <s v="Military Science"/>
    <s v="9781118646267"/>
    <s v=",1,2,3,88,89,90,86,87,91,92,93,94,1,2,3,155,156,157,154,153,158,159,164,174,180,182,183,184,185,181,2,220,227,228,229,230,234,233,236,240,241,258,259,257,255,219,225,226,231,232,233,239,240,241,236,238,237,242,243,244,245,246"/>
    <n v="54"/>
    <m/>
    <m/>
    <s v="No"/>
    <x v="0"/>
    <d v="2015-12-30T20:34:41"/>
    <n v="7"/>
    <s v="128.205.114.91"/>
    <s v="U408.5 -- .P69 2013eb"/>
    <n v="355.00760000000002"/>
    <d v="2013-08-01T00:00:00"/>
  </r>
  <r>
    <x v="1401"/>
    <d v="1899-12-30T00:12:41"/>
    <x v="208"/>
    <x v="1"/>
    <s v="brockport"/>
    <x v="171"/>
    <n v="1487097"/>
    <x v="2"/>
    <s v="Social Science"/>
    <s v="9781135398842"/>
    <s v=",1,2,3,253,254,255,251,252,2,253,437,200,238,618,569"/>
    <n v="13"/>
    <m/>
    <m/>
    <s v="No"/>
    <x v="2"/>
    <d v="2016-01-01T01:01:53"/>
    <n v="1"/>
    <s v="137.21.7.121"/>
    <s v="HQ77.9 -- .T72 2006eb"/>
    <n v="306.76799999999997"/>
    <d v="2013-10-18T00:00:00"/>
  </r>
  <r>
    <x v="1402"/>
    <d v="1899-12-30T00:03:56"/>
    <x v="372"/>
    <x v="1"/>
    <s v="brockport"/>
    <x v="45"/>
    <n v="1691426"/>
    <x v="0"/>
    <s v="Social Science; Health"/>
    <s v="9781118839492"/>
    <s v=",1,2,3,3,2,1,2,2,341,342,341,343,342,343,339,340,340,344,344,345,345"/>
    <n v="10"/>
    <m/>
    <m/>
    <s v="No"/>
    <x v="0"/>
    <d v="2015-12-29T21:12:51"/>
    <n v="7"/>
    <s v="137.21.7.121"/>
    <s v="RA781.7 -- .P396 2014eb"/>
    <n v="613.70460000000003"/>
    <d v="2014-05-13T00:00:00"/>
  </r>
  <r>
    <x v="1403"/>
    <d v="1899-12-30T00:00:19"/>
    <x v="373"/>
    <x v="0"/>
    <s v="Buffalo"/>
    <x v="397"/>
    <n v="1977573"/>
    <x v="0"/>
    <s v="Medicine"/>
    <s v="9781118473368"/>
    <s v=",18"/>
    <n v="1"/>
    <s v=",18"/>
    <m/>
    <s v="No"/>
    <x v="0"/>
    <d v="2016-01-01T17:19:22"/>
    <n v="7"/>
    <s v="128.205.114.91"/>
    <s v="RJ466"/>
    <s v="618.92/6"/>
    <d v="2015-04-27T00:00:00"/>
  </r>
  <r>
    <x v="1404"/>
    <d v="1899-12-30T00:04:48"/>
    <x v="373"/>
    <x v="0"/>
    <s v="Buffalo"/>
    <x v="397"/>
    <n v="1977573"/>
    <x v="0"/>
    <s v="Medicine"/>
    <s v="9781118473368"/>
    <s v=",1,2,3,4,5,6,7,8,9,1,18"/>
    <n v="10"/>
    <m/>
    <m/>
    <s v="No"/>
    <x v="3"/>
    <m/>
    <m/>
    <s v="128.205.114.91"/>
    <s v="RJ466"/>
    <s v="618.92/6"/>
    <d v="2015-04-27T00:00:00"/>
  </r>
  <r>
    <x v="1405"/>
    <d v="1899-12-30T00:54:31"/>
    <x v="71"/>
    <x v="0"/>
    <s v="Buffalo"/>
    <x v="379"/>
    <n v="1110728"/>
    <x v="0"/>
    <s v="Business/Management; Economics"/>
    <s v="9781118461204"/>
    <s v=",35,36,37,38,39,40,41,42,43,43,44"/>
    <n v="10"/>
    <m/>
    <m/>
    <s v="No"/>
    <x v="0"/>
    <d v="2016-01-01T16:39:30"/>
    <n v="7"/>
    <s v="128.205.114.91"/>
    <s v="HG4910 -- .M53 2013eb"/>
    <s v="332.63/22"/>
    <d v="2013-01-09T00:00:00"/>
  </r>
  <r>
    <x v="1406"/>
    <d v="1899-12-30T00:19:33"/>
    <x v="71"/>
    <x v="0"/>
    <s v="Buffalo"/>
    <x v="379"/>
    <n v="1110728"/>
    <x v="0"/>
    <s v="Business/Management; Economics"/>
    <s v="9781118461204"/>
    <s v=",1,2,3,4,5,6,7,8,9,10,11,12,13,14,15,16,17,18,19,20,21,22,23,24,25,26,27,28,29,30,31,32,33,34"/>
    <n v="34"/>
    <m/>
    <m/>
    <s v="No"/>
    <x v="1"/>
    <m/>
    <m/>
    <s v="128.205.114.91"/>
    <s v="HG4910 -- .M53 2013eb"/>
    <s v="332.63/22"/>
    <d v="2013-01-09T00:00:00"/>
  </r>
  <r>
    <x v="1407"/>
    <d v="1899-12-30T00:16:01"/>
    <x v="241"/>
    <x v="0"/>
    <s v="Buffalo"/>
    <x v="313"/>
    <n v="1358564"/>
    <x v="0"/>
    <s v="Military Science"/>
    <s v="9781118646267"/>
    <s v=",1,2,3,87,88,89,85,86,90,91,92,93,94,95,96,97,98,99,92,93,94,95,96,97,98,99,144,145,142,143,138,139,140,136,137,133,134,135,131,132,90,91,92,93,94,95,96,97,98,99,1,2,3,155,156,157,153,158,159,162,2,163,164,160,161,174,178,179,180,197,203,208,209,210,211,207,216,217,218,219,221,225,230,246,250,249,251,247,248,245,244,243,241,242,240,239,237,238"/>
    <n v="76"/>
    <m/>
    <m/>
    <s v="No"/>
    <x v="0"/>
    <d v="2015-12-30T20:34:41"/>
    <n v="7"/>
    <s v="128.205.114.91"/>
    <s v="U408.5 -- .P69 2013eb"/>
    <n v="355.00760000000002"/>
    <d v="2013-08-01T00:00:00"/>
  </r>
  <r>
    <x v="1408"/>
    <d v="1899-12-30T00:00:42"/>
    <x v="374"/>
    <x v="0"/>
    <s v="Buffalo"/>
    <x v="398"/>
    <n v="1569745"/>
    <x v="2"/>
    <s v="Education"/>
    <s v="9781317770428"/>
    <s v=",1,2,3,4,5,6,7,8,9,10,11,12,13,22,23,24,20,21,25,26,27,28,26,26"/>
    <n v="22"/>
    <m/>
    <m/>
    <s v="No"/>
    <x v="3"/>
    <m/>
    <m/>
    <s v="128.205.114.91"/>
    <s v="LB1590.3 -- .P47 1986eb"/>
    <s v="370.15/2"/>
    <d v="2013-11-26T00:00:00"/>
  </r>
  <r>
    <x v="1409"/>
    <d v="1899-12-30T00:00:19"/>
    <x v="208"/>
    <x v="1"/>
    <s v="brockport"/>
    <x v="171"/>
    <n v="1487097"/>
    <x v="2"/>
    <s v="Social Science"/>
    <s v="9781135398842"/>
    <s v=",1,2,3"/>
    <n v="3"/>
    <m/>
    <s v=",253,254,255,256,257,258,259,260,437,438,439,440,441,442,443,444,445,446,447,448,449,450"/>
    <s v="No"/>
    <x v="2"/>
    <d v="2016-01-01T01:01:53"/>
    <n v="1"/>
    <s v="137.21.7.121"/>
    <s v="HQ77.9 -- .T72 2006eb"/>
    <n v="306.76799999999997"/>
    <d v="2013-10-18T00:00:00"/>
  </r>
  <r>
    <x v="1410"/>
    <d v="1899-12-30T00:00:00"/>
    <x v="208"/>
    <x v="1"/>
    <s v="brockport"/>
    <x v="171"/>
    <n v="1487097"/>
    <x v="2"/>
    <s v="Social Science"/>
    <s v="9781135398842"/>
    <m/>
    <n v="0"/>
    <m/>
    <s v=",253,254,255,256,257,258,259,260,437,438,439,440,441,442,443,444,445,446,447,448,449,450"/>
    <s v="No"/>
    <x v="2"/>
    <d v="2016-01-01T01:01:53"/>
    <n v="1"/>
    <s v="137.21.7.121"/>
    <s v="HQ77.9 -- .T72 2006eb"/>
    <n v="306.76799999999997"/>
    <d v="2013-10-18T00:00:00"/>
  </r>
  <r>
    <x v="1411"/>
    <d v="1899-12-30T00:00:43"/>
    <x v="208"/>
    <x v="1"/>
    <s v="brockport"/>
    <x v="171"/>
    <n v="1487097"/>
    <x v="2"/>
    <s v="Social Science"/>
    <s v="9781135398842"/>
    <s v=",1,2,3,253,254,255,251,252"/>
    <n v="8"/>
    <m/>
    <m/>
    <s v="No"/>
    <x v="3"/>
    <m/>
    <m/>
    <s v="137.21.7.121"/>
    <s v="HQ77.9 -- .T72 2006eb"/>
    <n v="306.76799999999997"/>
    <d v="2013-10-18T00:00:00"/>
  </r>
  <r>
    <x v="1412"/>
    <d v="1899-12-30T00:55:54"/>
    <x v="235"/>
    <x v="1"/>
    <s v="brockport"/>
    <x v="45"/>
    <n v="1691426"/>
    <x v="0"/>
    <s v="Social Science; Health"/>
    <s v="9781118839492"/>
    <s v=",12,13,14,15,16,17,18,31,32,33,34,35,36,37,38,39,40,41,42,43,44,45,46,47,48,49,50,51,52,53,54,55,56,57,58,59,60,61,62,63,64,65,66,67,68,69,70,71,72,73,74,75,76,77,78,79,80,81,82,83,84,85,86,87,88,89,90,91,92,93,94,95,96,97,98,99,100,101,341,342,343,339,340"/>
    <n v="83"/>
    <m/>
    <m/>
    <s v="No"/>
    <x v="0"/>
    <d v="2015-12-31T22:49:08"/>
    <n v="7"/>
    <s v="137.21.7.121"/>
    <s v="RA781.7 -- .P396 2014eb"/>
    <n v="613.70460000000003"/>
    <d v="2014-05-13T00:00:00"/>
  </r>
  <r>
    <x v="1413"/>
    <d v="1899-12-30T00:10:01"/>
    <x v="235"/>
    <x v="1"/>
    <s v="brockport"/>
    <x v="45"/>
    <n v="1691426"/>
    <x v="0"/>
    <s v="Social Science; Health"/>
    <s v="9781118839492"/>
    <s v=",1,2,3,4,5,6,7,8,9,10,11,12,13,14,15,16,17,18,19,20,21,22,23,24,19,25,26,27,28,29,30,31,32,11,7,1,3,4,5,6,8,9,10,11"/>
    <n v="32"/>
    <m/>
    <m/>
    <s v="No"/>
    <x v="1"/>
    <m/>
    <m/>
    <s v="137.21.7.121"/>
    <s v="RA781.7 -- .P396 2014eb"/>
    <n v="613.70460000000003"/>
    <d v="2014-05-13T00:00:00"/>
  </r>
  <r>
    <x v="1414"/>
    <d v="1899-12-30T00:00:03"/>
    <x v="375"/>
    <x v="0"/>
    <s v="Buffalo"/>
    <x v="347"/>
    <n v="1919320"/>
    <x v="0"/>
    <s v="Science: Anatomy/Physiology; Science: Biology/Natural History; Science"/>
    <s v="9781118468265"/>
    <s v=",1,2,3"/>
    <n v="3"/>
    <m/>
    <m/>
    <s v="No"/>
    <x v="3"/>
    <m/>
    <m/>
    <s v="128.205.114.91"/>
    <s v="QP360 -- .P675 2015eb"/>
    <s v="612.8/23342"/>
    <d v="2015-01-08T00:00:00"/>
  </r>
  <r>
    <x v="1415"/>
    <d v="1899-12-30T00:01:25"/>
    <x v="376"/>
    <x v="0"/>
    <s v="Buffalo"/>
    <x v="399"/>
    <n v="1517671"/>
    <x v="2"/>
    <s v="Literature"/>
    <s v="9781136601156"/>
    <s v=",1,2,2,3,1,3,8,9,8,9,10,6,10,7,7,2,11,11,12,12,13,13,14,14"/>
    <n v="12"/>
    <m/>
    <m/>
    <s v="No"/>
    <x v="3"/>
    <m/>
    <m/>
    <s v="128.205.114.91"/>
    <s v="PR2833 -- .T465 2001eb"/>
    <n v="822.33"/>
    <d v="2013-10-28T00:00:00"/>
  </r>
  <r>
    <x v="1416"/>
    <d v="1899-12-30T00:10:37"/>
    <x v="377"/>
    <x v="0"/>
    <s v="Buffalo"/>
    <x v="400"/>
    <n v="1870655"/>
    <x v="11"/>
    <s v="Education"/>
    <s v="9780226201979"/>
    <s v=",130,131,132,133,134,135"/>
    <n v="6"/>
    <s v=",127"/>
    <m/>
    <s v="No"/>
    <x v="2"/>
    <d v="2015-12-31T18:25:25"/>
    <n v="1"/>
    <s v="128.205.114.91"/>
    <s v="LB2342"/>
    <s v="379.1/180973"/>
    <d v="2014-12-31T00:00:00"/>
  </r>
  <r>
    <x v="1417"/>
    <d v="1899-12-30T00:03:24"/>
    <x v="377"/>
    <x v="0"/>
    <s v="Buffalo"/>
    <x v="400"/>
    <n v="1870655"/>
    <x v="11"/>
    <s v="Education"/>
    <s v="9780226201979"/>
    <s v=",1,112,114,110,111,2,115,116,117,118,119,120,121,122,123,124,125,126,127,128,129"/>
    <n v="21"/>
    <m/>
    <m/>
    <s v="No"/>
    <x v="3"/>
    <m/>
    <m/>
    <s v="128.205.114.91"/>
    <s v="LB2342"/>
    <s v="379.1/180973"/>
    <d v="2014-12-31T00:00:00"/>
  </r>
  <r>
    <x v="1418"/>
    <d v="1899-12-30T00:02:16"/>
    <x v="378"/>
    <x v="13"/>
    <s v="buffalostate"/>
    <x v="165"/>
    <n v="1662668"/>
    <x v="0"/>
    <s v="Computer Science/IT"/>
    <s v="9781118810095"/>
    <s v=",1,2,3,93,94,95,91,92,96,97,98,99,100,101,102,103,104,179,180,181,182,183,184,185,186,187,188,189,190,191,223,224,225,221,222,200,201,202,198,199,69,70,71,67,72,68,73,74,75"/>
    <n v="49"/>
    <m/>
    <m/>
    <s v="No"/>
    <x v="1"/>
    <m/>
    <m/>
    <s v="136.183.11.43"/>
    <s v="QA76.9 .D343"/>
    <s v="006.3; 006.312"/>
    <d v="2014-03-24T00:00:00"/>
  </r>
  <r>
    <x v="1419"/>
    <d v="1899-12-30T00:42:19"/>
    <x v="241"/>
    <x v="0"/>
    <s v="Buffalo"/>
    <x v="313"/>
    <n v="1358564"/>
    <x v="0"/>
    <s v="Military Science"/>
    <s v="9781118646267"/>
    <s v=",1,2,3,87,88,89,85,86,90,1,2,3,155,156,157,153,154,193,196,198,203,207,210,212,213,214,216,217,218,219,220,221,222,223,224,225,226,227,229,230,231,232,228,233,234,235,236,237,238,239,240,241,242"/>
    <n v="50"/>
    <m/>
    <m/>
    <s v="No"/>
    <x v="0"/>
    <d v="2015-12-30T20:34:41"/>
    <n v="7"/>
    <s v="128.205.114.91"/>
    <s v="U408.5 -- .P69 2013eb"/>
    <n v="355.00760000000002"/>
    <d v="2013-08-01T00:00:00"/>
  </r>
  <r>
    <x v="1420"/>
    <d v="1899-12-30T00:00:26"/>
    <x v="363"/>
    <x v="1"/>
    <s v="brockport"/>
    <x v="45"/>
    <n v="1691426"/>
    <x v="0"/>
    <s v="Social Science; Health"/>
    <s v="9781118839492"/>
    <s v=",1,2,3,4,5,6,7"/>
    <n v="7"/>
    <m/>
    <m/>
    <s v="No"/>
    <x v="0"/>
    <d v="2015-12-28T16:35:11"/>
    <n v="7"/>
    <s v="137.21.7.121"/>
    <s v="RA781.7 -- .P396 2014eb"/>
    <n v="613.70460000000003"/>
    <d v="2014-05-13T00:00:00"/>
  </r>
  <r>
    <x v="1421"/>
    <d v="1899-12-30T00:04:22"/>
    <x v="329"/>
    <x v="0"/>
    <s v="Buffalo"/>
    <x v="345"/>
    <n v="1119449"/>
    <x v="0"/>
    <s v="Psychology"/>
    <s v="9781118482230"/>
    <s v=",1,2,3,31,32,33,29,30,34,35,36,37,38,33,34,35,31,32,36,37"/>
    <n v="13"/>
    <m/>
    <m/>
    <s v="No"/>
    <x v="0"/>
    <d v="2015-12-31T03:02:07"/>
    <n v="7"/>
    <s v="128.205.114.91"/>
    <s v="BF576 .S737 2013"/>
    <s v="152.4; 152.4024378198"/>
    <d v="2013-01-28T00:00:00"/>
  </r>
  <r>
    <x v="1422"/>
    <d v="1899-12-30T00:00:17"/>
    <x v="329"/>
    <x v="0"/>
    <s v="Buffalo"/>
    <x v="401"/>
    <n v="1119450"/>
    <x v="0"/>
    <s v="Psychology"/>
    <s v="9781118483794"/>
    <s v=",1,2,3,16,17,18,14,15"/>
    <n v="8"/>
    <m/>
    <m/>
    <s v="No"/>
    <x v="3"/>
    <m/>
    <m/>
    <s v="128.205.114.91"/>
    <s v="BF576 .S737 2013"/>
    <s v="152.4; 152.4024378198"/>
    <d v="2013-01-28T00:00:00"/>
  </r>
  <r>
    <x v="1423"/>
    <d v="1899-12-30T00:00:44"/>
    <x v="329"/>
    <x v="0"/>
    <s v="Buffalo"/>
    <x v="402"/>
    <n v="1119451"/>
    <x v="0"/>
    <s v="Psychology"/>
    <s v="9781118483893"/>
    <s v=",1,2,3,19,20,21,17,23,24,25,22,18,26,27,28"/>
    <n v="15"/>
    <m/>
    <m/>
    <s v="No"/>
    <x v="3"/>
    <m/>
    <m/>
    <s v="128.205.114.91"/>
    <s v="BF576 .S737 2013"/>
    <s v="152.4; 152.4024378198"/>
    <d v="2013-01-28T00:00:00"/>
  </r>
  <r>
    <x v="1424"/>
    <d v="1899-12-30T00:32:58"/>
    <x v="150"/>
    <x v="0"/>
    <s v="Buffalo"/>
    <x v="152"/>
    <n v="330580"/>
    <x v="4"/>
    <s v="Medicine"/>
    <s v="9781593859398"/>
    <s v=",30,31,32,33,34,35,36,37,38,39"/>
    <n v="10"/>
    <m/>
    <m/>
    <s v="No"/>
    <x v="2"/>
    <d v="2015-12-31T15:35:45"/>
    <n v="1"/>
    <s v="128.205.114.91"/>
    <s v="RC489.C63 -- M55 2004eb"/>
    <n v="616.89142000000004"/>
    <d v="2014-05-14T00:00:00"/>
  </r>
  <r>
    <x v="1425"/>
    <d v="1899-12-30T00:18:09"/>
    <x v="150"/>
    <x v="0"/>
    <s v="Buffalo"/>
    <x v="152"/>
    <n v="330580"/>
    <x v="4"/>
    <s v="Medicine"/>
    <s v="9781593859398"/>
    <s v=",1,2,3,8,4,5,6,7,8,9,10,11,12,13,14,15,16,17,18,19,20,21,22,23,24,25,26,27,28,29,27,28,29,25,26,24"/>
    <n v="29"/>
    <m/>
    <m/>
    <s v="No"/>
    <x v="3"/>
    <m/>
    <m/>
    <s v="128.205.114.91"/>
    <s v="RC489.C63 -- M55 2004eb"/>
    <n v="616.89142000000004"/>
    <d v="2014-05-14T00:00:00"/>
  </r>
  <r>
    <x v="1426"/>
    <d v="1899-12-30T00:18:03"/>
    <x v="379"/>
    <x v="0"/>
    <s v="Buffalo"/>
    <x v="403"/>
    <n v="1137758"/>
    <x v="0"/>
    <s v="Economics; Business/Management"/>
    <s v="9781118399279"/>
    <s v=",1,2,3,102,103,104,100,101,102,100"/>
    <n v="8"/>
    <m/>
    <m/>
    <s v="No"/>
    <x v="0"/>
    <d v="2015-12-29T16:43:14"/>
    <n v="7"/>
    <s v="128.205.114.91"/>
    <s v="HG4910 .T48 2013"/>
    <s v="332.63/220973; 332.6322"/>
    <d v="2013-02-26T00:00:00"/>
  </r>
  <r>
    <x v="1427"/>
    <d v="1899-12-30T00:00:54"/>
    <x v="380"/>
    <x v="1"/>
    <s v="brockport"/>
    <x v="171"/>
    <n v="1487097"/>
    <x v="2"/>
    <s v="Social Science"/>
    <s v="9781135398842"/>
    <s v=",1,2,3,36,37,38,34,35"/>
    <n v="8"/>
    <m/>
    <m/>
    <s v="No"/>
    <x v="3"/>
    <m/>
    <m/>
    <s v="137.21.7.121"/>
    <s v="HQ77.9 -- .T72 2006eb"/>
    <n v="306.76799999999997"/>
    <d v="2013-10-18T00:00:00"/>
  </r>
  <r>
    <x v="1428"/>
    <d v="1899-12-30T00:00:00"/>
    <x v="374"/>
    <x v="0"/>
    <s v="Buffalo"/>
    <x v="404"/>
    <n v="1895941"/>
    <x v="0"/>
    <s v="Economics; Business/Management"/>
    <s v="9781119025788"/>
    <m/>
    <n v="0"/>
    <m/>
    <m/>
    <s v="Yes"/>
    <x v="0"/>
    <d v="2015-12-31T03:58:41"/>
    <n v="7"/>
    <s v="128.205.114.91"/>
    <s v="HG4521 -- .L484 2015eb"/>
    <n v="332.6"/>
    <d v="2015-02-04T00:00:00"/>
  </r>
  <r>
    <x v="1429"/>
    <d v="1899-12-30T00:04:14"/>
    <x v="374"/>
    <x v="0"/>
    <s v="Buffalo"/>
    <x v="404"/>
    <n v="1895941"/>
    <x v="0"/>
    <s v="Economics; Business/Management"/>
    <s v="9781119025788"/>
    <s v=",20,21,22,23,24,25,26"/>
    <n v="7"/>
    <m/>
    <m/>
    <s v="Yes"/>
    <x v="0"/>
    <d v="2015-12-31T03:58:41"/>
    <n v="7"/>
    <s v="128.205.114.91"/>
    <s v="HG4521 -- .L484 2015eb"/>
    <n v="332.6"/>
    <d v="2015-02-04T00:00:00"/>
  </r>
  <r>
    <x v="1429"/>
    <d v="1899-12-30T00:00:00"/>
    <x v="374"/>
    <x v="0"/>
    <s v="Buffalo"/>
    <x v="404"/>
    <n v="1895941"/>
    <x v="0"/>
    <s v="Economics; Business/Management"/>
    <s v="9781119025788"/>
    <m/>
    <n v="0"/>
    <m/>
    <m/>
    <s v="No"/>
    <x v="0"/>
    <d v="2015-12-31T03:58:41"/>
    <n v="7"/>
    <s v="128.205.114.91"/>
    <s v="HG4521 -- .L484 2015eb"/>
    <n v="332.6"/>
    <d v="2015-02-04T00:00:00"/>
  </r>
  <r>
    <x v="1430"/>
    <d v="1899-12-30T00:00:54"/>
    <x v="374"/>
    <x v="0"/>
    <s v="Buffalo"/>
    <x v="404"/>
    <n v="1895941"/>
    <x v="0"/>
    <s v="Economics; Business/Management"/>
    <s v="9781119025788"/>
    <s v=",1,2,3,12,17,13,14,15,11,16,18,19"/>
    <n v="12"/>
    <m/>
    <m/>
    <s v="No"/>
    <x v="3"/>
    <m/>
    <m/>
    <s v="128.205.114.91"/>
    <s v="HG4521 -- .L484 2015eb"/>
    <n v="332.6"/>
    <d v="2015-02-04T00:00:00"/>
  </r>
  <r>
    <x v="1431"/>
    <d v="1899-12-30T00:14:24"/>
    <x v="381"/>
    <x v="0"/>
    <s v="Buffalo"/>
    <x v="405"/>
    <n v="1979982"/>
    <x v="0"/>
    <s v="Philosophy"/>
    <s v="9781118939383"/>
    <s v=",158,159,160,138,139,140,136,137,141,142,143,144,145,216,217,218,214,215,219,220,221"/>
    <n v="21"/>
    <m/>
    <m/>
    <s v="No"/>
    <x v="0"/>
    <d v="2015-12-31T03:07:04"/>
    <n v="7"/>
    <s v="128.205.114.91"/>
    <s v="B1499 .E8 S93 2015"/>
    <n v="171.30922000000001"/>
    <d v="2015-02-26T00:00:00"/>
  </r>
  <r>
    <x v="1432"/>
    <d v="1899-12-30T00:12:26"/>
    <x v="329"/>
    <x v="0"/>
    <s v="Buffalo"/>
    <x v="345"/>
    <n v="1119449"/>
    <x v="0"/>
    <s v="Psychology"/>
    <s v="9781118482230"/>
    <s v=",21,22,23,24,25,26,57,58,59,55,56,60,61,62,63,31,32,33,29,30,34,28,35,36,37,38,39,40"/>
    <n v="28"/>
    <m/>
    <m/>
    <s v="No"/>
    <x v="0"/>
    <d v="2015-12-31T03:02:07"/>
    <n v="7"/>
    <s v="128.205.114.91"/>
    <s v="BF576 .S737 2013"/>
    <s v="152.4; 152.4024378198"/>
    <d v="2013-01-28T00:00:00"/>
  </r>
  <r>
    <x v="1433"/>
    <d v="1899-12-30T00:05:27"/>
    <x v="381"/>
    <x v="0"/>
    <s v="Buffalo"/>
    <x v="405"/>
    <n v="1979982"/>
    <x v="0"/>
    <s v="Philosophy"/>
    <s v="9781118939383"/>
    <s v=",1,2,3,129,130,131,127,128,150,151,152,149,148,153,154,155,156,157"/>
    <n v="18"/>
    <m/>
    <m/>
    <s v="No"/>
    <x v="3"/>
    <m/>
    <m/>
    <s v="128.205.114.91"/>
    <s v="B1499 .E8 S93 2015"/>
    <n v="171.30922000000001"/>
    <d v="2015-02-26T00:00:00"/>
  </r>
  <r>
    <x v="1434"/>
    <d v="1899-12-30T00:17:38"/>
    <x v="329"/>
    <x v="0"/>
    <s v="Buffalo"/>
    <x v="345"/>
    <n v="1119449"/>
    <x v="0"/>
    <s v="Psychology"/>
    <s v="9781118482230"/>
    <s v=",1,2,3,17,18,19,16,15,20,319,320,321,318,317"/>
    <n v="14"/>
    <m/>
    <m/>
    <s v="No"/>
    <x v="1"/>
    <m/>
    <m/>
    <s v="128.205.114.91"/>
    <s v="BF576 .S737 2013"/>
    <s v="152.4; 152.4024378198"/>
    <d v="2013-01-28T00:00:00"/>
  </r>
  <r>
    <x v="1435"/>
    <d v="1899-12-30T01:57:05"/>
    <x v="241"/>
    <x v="0"/>
    <s v="Buffalo"/>
    <x v="313"/>
    <n v="1358564"/>
    <x v="0"/>
    <s v="Military Science"/>
    <s v="9781118646267"/>
    <s v=",1,2,3,53,54,55,51,52,58,56,57,59,60,61,62,63,64,65,66,67,68,69,70,71,81,82,83,79,80,72,73,74,1,2,3,153,154,155,151,152,156,157,158,159,160,161,162,163,164,165,166,167,168,169,170,171,172,173,174,175,176,177,178,179,180,181,182,183,184,185,186,187,188,189,191,192,193,194,195,196,197,198,199,200,201,202,203,204,205,206,207,72,208,75,209"/>
    <n v="91"/>
    <m/>
    <m/>
    <s v="No"/>
    <x v="0"/>
    <d v="2015-12-30T20:34:41"/>
    <n v="7"/>
    <s v="128.205.114.91"/>
    <s v="U408.5 -- .P69 2013eb"/>
    <n v="355.00760000000002"/>
    <d v="2013-08-01T00:00:00"/>
  </r>
  <r>
    <x v="1436"/>
    <d v="1899-12-30T00:00:49"/>
    <x v="382"/>
    <x v="0"/>
    <s v="Buffalo"/>
    <x v="406"/>
    <n v="1762797"/>
    <x v="0"/>
    <s v="Social Science"/>
    <s v="9781118921296"/>
    <s v=",1,2,3,5,6,7,4,8,9,10,11"/>
    <n v="11"/>
    <m/>
    <m/>
    <s v="No"/>
    <x v="1"/>
    <m/>
    <m/>
    <s v="128.205.114.91"/>
    <s v="HM538 -- .D55 2014eb"/>
    <s v="300.72/3"/>
    <d v="2014-08-06T00:00:00"/>
  </r>
  <r>
    <x v="1437"/>
    <d v="1899-12-30T00:27:44"/>
    <x v="241"/>
    <x v="0"/>
    <s v="Buffalo"/>
    <x v="313"/>
    <n v="1358564"/>
    <x v="0"/>
    <s v="Military Science"/>
    <s v="9781118646267"/>
    <s v=",156,157,153,154,158,19,158,159,20,21,22,151,152,159,160,161,53,54,55,51,52"/>
    <n v="19"/>
    <m/>
    <m/>
    <s v="No"/>
    <x v="0"/>
    <d v="2015-12-30T20:34:41"/>
    <n v="7"/>
    <s v="128.205.114.91"/>
    <s v="U408.5 -- .P69 2013eb"/>
    <n v="355.00760000000002"/>
    <d v="2013-08-01T00:00:00"/>
  </r>
  <r>
    <x v="1438"/>
    <d v="1899-12-30T00:08:53"/>
    <x v="241"/>
    <x v="0"/>
    <s v="Buffalo"/>
    <x v="313"/>
    <n v="1358564"/>
    <x v="0"/>
    <s v="Military Science"/>
    <s v="9781118646267"/>
    <s v=",1,2,3,94,95,96,92,93,89,90,91,87,88,53,54,55,58,59,60,56,57,10,11,12,13,15,16,17,14,18,116,117,118,114,115,119,120,155,156,157,153,154,158,159,160,161,162,163,164,207,208,206,205,202,198,197,199,195,196,10,11,12,8,9,16,17,13,14,18"/>
    <n v="61"/>
    <m/>
    <m/>
    <s v="No"/>
    <x v="3"/>
    <m/>
    <m/>
    <s v="128.205.114.91"/>
    <s v="U408.5 -- .P69 2013eb"/>
    <n v="355.00760000000002"/>
    <d v="2013-08-01T00:00:00"/>
  </r>
  <r>
    <x v="1439"/>
    <d v="1899-12-30T05:17:59"/>
    <x v="383"/>
    <x v="8"/>
    <s v="niagaracc"/>
    <x v="407"/>
    <n v="822491"/>
    <x v="0"/>
    <s v="Science; Science: Biology/Natural History; Science: Anatomy/Physiology"/>
    <s v="9781118276273"/>
    <s v=",31,32,33,34,35,36,37,1,3,43,44,45,42,40,41,39,38,37,36,35,33,34,32,31,37,37,38,39,40,41,42,42,43,44,45,46,47,48,49,50,51,52,53,54,55,56,57,58,59,60,61,56,55,62,63,57,64,65,66,58,57,56,55,54,53,61,62,63,63,64,65,66,67,68,69,70,71,72,73,74,75,76,77,78,79,80,81,82,83,84,85,86,87,88,89,90,91,92,93,94,95,96,97,98,99"/>
    <n v="71"/>
    <s v=",28"/>
    <m/>
    <s v="No"/>
    <x v="0"/>
    <d v="2015-12-30T19:44:50"/>
    <n v="7"/>
    <s v="132.174.254.37"/>
    <s v="QP34.5 .F862 2011"/>
    <n v="612"/>
    <d v="2011-11-21T00:00:00"/>
  </r>
  <r>
    <x v="1440"/>
    <d v="1899-12-30T00:08:04"/>
    <x v="383"/>
    <x v="8"/>
    <s v="niagaracc"/>
    <x v="407"/>
    <n v="822491"/>
    <x v="0"/>
    <s v="Science; Science: Biology/Natural History; Science: Anatomy/Physiology"/>
    <s v="9781118276273"/>
    <s v=",1,2,3,4,5,6,15,22,9,1,7,8,7,8,9,10,11,12,13,14,15,16,17,18,19,20,21,22,23,24,25,26,27,28,29,30"/>
    <n v="30"/>
    <m/>
    <m/>
    <s v="No"/>
    <x v="1"/>
    <m/>
    <m/>
    <s v="132.174.254.37"/>
    <s v="QP34.5 .F862 2011"/>
    <n v="612"/>
    <d v="2011-11-21T00:00:00"/>
  </r>
  <r>
    <x v="1441"/>
    <d v="1899-12-30T00:00:42"/>
    <x v="241"/>
    <x v="0"/>
    <s v="Buffalo"/>
    <x v="320"/>
    <n v="2006127"/>
    <x v="0"/>
    <s v="Military Science"/>
    <s v="9781119038474"/>
    <s v=",1,2,3,164,165,166,162,163,160,161,158,159"/>
    <n v="12"/>
    <m/>
    <m/>
    <s v="No"/>
    <x v="3"/>
    <m/>
    <m/>
    <s v="128.205.114.91"/>
    <s v="U408.5 -- .P694 2015eb"/>
    <n v="355.00760000000002"/>
    <d v="2015-03-27T00:00:00"/>
  </r>
  <r>
    <x v="1442"/>
    <d v="1899-12-30T00:12:18"/>
    <x v="241"/>
    <x v="0"/>
    <s v="Buffalo"/>
    <x v="408"/>
    <n v="1770413"/>
    <x v="0"/>
    <s v="Military Science"/>
    <s v="9781118830765"/>
    <s v=",171,172,169,170,180,181,182,178,179,183,186,187,188,184,185,187,177,206,207,214,215,211,212,189,190,188,205,203,204,208,209,210,213,215,216,217,214,218,219,221,222,223,239,240,241,237,238,242,243,244,245,246,247,249,250,251,248,252,254,255,256,253,273,274,275,271,272,276,277,278,279,281,283,285,286,287,288,290"/>
    <n v="74"/>
    <m/>
    <s v=",171,172,173,174,175,180,181,182,183,184,205,206,207,208,209,210,211,215,216,217,218,219,239,240,241,242,243,244,245,249,250,251,252,253,273,274,275,276,277,278,279,283,284,285,286,287"/>
    <s v="No"/>
    <x v="2"/>
    <d v="2015-12-30T19:21:00"/>
    <n v="1"/>
    <s v="128.205.114.91"/>
    <s v="U408.5 -- .P694 2014eb"/>
    <n v="355.00760000000002"/>
    <d v="2014-08-18T00:00:00"/>
  </r>
  <r>
    <x v="1443"/>
    <d v="1899-12-30T00:00:54"/>
    <x v="241"/>
    <x v="0"/>
    <s v="Buffalo"/>
    <x v="408"/>
    <n v="1770413"/>
    <x v="0"/>
    <s v="Military Science"/>
    <s v="9781118830765"/>
    <s v=",1,2,3,143,144,153,154,155,151,152,171,172,176,177,178,174,175,173,169,170,174,175,177,178"/>
    <n v="20"/>
    <m/>
    <m/>
    <s v="No"/>
    <x v="3"/>
    <m/>
    <m/>
    <s v="128.205.114.91"/>
    <s v="U408.5 -- .P694 2014eb"/>
    <n v="355.00760000000002"/>
    <d v="2014-08-18T00:00:00"/>
  </r>
  <r>
    <x v="1444"/>
    <d v="1899-12-30T00:18:29"/>
    <x v="383"/>
    <x v="8"/>
    <s v="niagaracc"/>
    <x v="70"/>
    <n v="1222131"/>
    <x v="0"/>
    <s v="Business/Management"/>
    <s v="9781118760048"/>
    <s v=",12,13,8,7,6,5,1554,1552,1553,9,10,11,7,8,12,13,14,15,16,17,18,19,20,21,22,23,24,25,26,27,28,29,30,28,23,28,29,30,31,32,33,34,35"/>
    <n v="34"/>
    <s v=",33"/>
    <m/>
    <s v="No"/>
    <x v="0"/>
    <d v="2015-12-30T19:15:00"/>
    <n v="7"/>
    <s v="132.174.254.37"/>
    <s v="HF5659 .W384 2013"/>
    <n v="657"/>
    <d v="2013-06-21T00:00:00"/>
  </r>
  <r>
    <x v="1445"/>
    <d v="1899-12-30T00:06:25"/>
    <x v="13"/>
    <x v="0"/>
    <s v="Buffalo"/>
    <x v="408"/>
    <n v="1770413"/>
    <x v="0"/>
    <s v="Military Science"/>
    <s v="9781118830765"/>
    <s v=",1,2,3,4,171,172,173,169,170,174,157,158,159,155,156,157,157,180,181,182,178,179,167,168,169,165,166,170"/>
    <n v="24"/>
    <s v=",157"/>
    <m/>
    <s v="No"/>
    <x v="2"/>
    <d v="2015-12-30T17:08:27"/>
    <n v="1"/>
    <s v="128.205.114.91"/>
    <s v="U408.5 -- .P694 2014eb"/>
    <n v="355.00760000000002"/>
    <d v="2014-08-18T00:00:00"/>
  </r>
  <r>
    <x v="1446"/>
    <d v="1899-12-30T00:15:54"/>
    <x v="383"/>
    <x v="8"/>
    <s v="niagaracc"/>
    <x v="70"/>
    <n v="1222131"/>
    <x v="0"/>
    <s v="Business/Management"/>
    <s v="9781118760048"/>
    <s v=",1,2,3,4,5,6,7,8,9,10,11,12,13,7,8"/>
    <n v="13"/>
    <m/>
    <m/>
    <s v="No"/>
    <x v="1"/>
    <m/>
    <m/>
    <s v="132.174.254.37"/>
    <s v="HF5659 .W384 2013"/>
    <n v="657"/>
    <d v="2013-06-21T00:00:00"/>
  </r>
  <r>
    <x v="1447"/>
    <d v="1899-12-30T00:00:00"/>
    <x v="384"/>
    <x v="6"/>
    <s v="sjfc"/>
    <x v="409"/>
    <n v="1524198"/>
    <x v="2"/>
    <s v="Medicine"/>
    <s v="9781134668526"/>
    <m/>
    <n v="0"/>
    <m/>
    <m/>
    <s v="Yes"/>
    <x v="2"/>
    <d v="2015-12-30T18:06:34"/>
    <n v="1"/>
    <s v="149.69.254.57"/>
    <s v="RJ503 -- .O44 2014eb"/>
    <n v="616.89008349999995"/>
    <d v="2013-10-21T00:00:00"/>
  </r>
  <r>
    <x v="1448"/>
    <d v="1899-12-30T00:00:58"/>
    <x v="384"/>
    <x v="6"/>
    <s v="sjfc"/>
    <x v="409"/>
    <n v="1524198"/>
    <x v="2"/>
    <s v="Medicine"/>
    <s v="9781134668526"/>
    <s v=",144,145,146,142,143,147,148,149,150,151,152,153,154,157,156,158,155,159,160,161,162,163,164,165,166,167"/>
    <n v="26"/>
    <m/>
    <m/>
    <s v="No"/>
    <x v="2"/>
    <d v="2015-12-30T18:06:34"/>
    <n v="1"/>
    <s v="149.69.254.57"/>
    <s v="RJ503 -- .O44 2014eb"/>
    <n v="616.89008349999995"/>
    <d v="2013-10-21T00:00:00"/>
  </r>
  <r>
    <x v="1449"/>
    <d v="1899-12-30T01:53:45"/>
    <x v="13"/>
    <x v="0"/>
    <s v="Buffalo"/>
    <x v="408"/>
    <n v="1770413"/>
    <x v="0"/>
    <s v="Military Science"/>
    <s v="9781118830765"/>
    <s v=",156,157,158,159,160,1,160,161,162,158,159,172,173,169,174,2,169,167,168,175,176,177,178,171,170,155,156,157"/>
    <n v="22"/>
    <m/>
    <m/>
    <s v="No"/>
    <x v="2"/>
    <d v="2015-12-30T17:08:27"/>
    <n v="1"/>
    <s v="128.205.114.91"/>
    <s v="U408.5 -- .P694 2014eb"/>
    <n v="355.00760000000002"/>
    <d v="2014-08-18T00:00:00"/>
  </r>
  <r>
    <x v="1450"/>
    <d v="1899-12-30T00:06:30"/>
    <x v="13"/>
    <x v="0"/>
    <s v="Buffalo"/>
    <x v="408"/>
    <n v="1770413"/>
    <x v="0"/>
    <s v="Military Science"/>
    <s v="9781118830765"/>
    <s v=",1,2,3,19,20,21,17,47,48,49,45,46,89,90,87,88,153,154,155,152"/>
    <n v="20"/>
    <m/>
    <m/>
    <s v="No"/>
    <x v="3"/>
    <m/>
    <m/>
    <s v="128.205.114.91"/>
    <s v="U408.5 -- .P694 2014eb"/>
    <n v="355.00760000000002"/>
    <d v="2014-08-18T00:00:00"/>
  </r>
  <r>
    <x v="1451"/>
    <d v="1899-12-30T00:08:37"/>
    <x v="349"/>
    <x v="1"/>
    <s v="brockport"/>
    <x v="45"/>
    <n v="1691426"/>
    <x v="0"/>
    <s v="Social Science; Health"/>
    <s v="9781118839492"/>
    <s v=",1,2,3,4,23,24,25,21,22,59,60,61,57,58"/>
    <n v="14"/>
    <s v=",59"/>
    <s v=",19,20,21,22,23,24,25,26,27,28,29,30,31,32,33,34,35,36,37,38,39,51,52,53,54,55,56,57,58,99,100,101,102,103,104,105,106,107,108,109,110,111,112,113,114,115,116,117,118,119,120,121,122,123,124,125,126,127,128,129,130,131,132,151,152,153,154,155,156,157,158,159,160,161,162,163,164,165,166,167,168,169,170,171,172,173,174,175,176,177,178,179,180,181,182,183,184,185,186,187,188,189,190,191,192,306,307,308,309,310,311,312,313,314,315,316,317,318,319,320,321,322,323,324,325,326,327,328,329,330,331,332,333,334,335,336,337,338,339,340,341,342,343,344,345,346,347,348,349,350,351,352,353,354"/>
    <s v="No"/>
    <x v="0"/>
    <d v="2015-12-29T21:06:16"/>
    <n v="7"/>
    <s v="137.21.7.121"/>
    <s v="RA781.7 -- .P396 2014eb"/>
    <n v="613.70460000000003"/>
    <d v="2014-05-13T00:00:00"/>
  </r>
  <r>
    <x v="1452"/>
    <d v="1899-12-30T00:00:00"/>
    <x v="385"/>
    <x v="5"/>
    <s v="erie"/>
    <x v="80"/>
    <n v="1603265"/>
    <x v="0"/>
    <s v="Economics; Business/Management"/>
    <s v="9781118808139"/>
    <m/>
    <n v="0"/>
    <m/>
    <m/>
    <s v="Yes"/>
    <x v="0"/>
    <d v="2015-12-30T16:48:52"/>
    <n v="7"/>
    <s v="199.29.6.54"/>
    <s v="HG4515.95 -- .L648 2014eb"/>
    <n v="332.642"/>
    <d v="2014-01-24T00:00:00"/>
  </r>
  <r>
    <x v="1453"/>
    <d v="1899-12-30T00:00:01"/>
    <x v="385"/>
    <x v="5"/>
    <s v="erie"/>
    <x v="80"/>
    <n v="1603265"/>
    <x v="0"/>
    <s v="Economics; Business/Management"/>
    <s v="9781118808139"/>
    <s v=",3"/>
    <n v="1"/>
    <m/>
    <m/>
    <s v="Yes"/>
    <x v="0"/>
    <d v="2015-12-30T16:48:52"/>
    <n v="7"/>
    <s v="199.29.6.54"/>
    <s v="HG4515.95 -- .L648 2014eb"/>
    <n v="332.642"/>
    <d v="2014-01-24T00:00:00"/>
  </r>
  <r>
    <x v="1454"/>
    <d v="1899-12-30T00:01:44"/>
    <x v="385"/>
    <x v="5"/>
    <s v="erie"/>
    <x v="80"/>
    <n v="1603265"/>
    <x v="0"/>
    <s v="Economics; Business/Management"/>
    <s v="9781118808139"/>
    <s v=",23,24,25,21,22,26,27,28,29,30,25,24,23,22,21,20,19,18,17,16,14,15,1"/>
    <n v="18"/>
    <m/>
    <m/>
    <s v="No"/>
    <x v="0"/>
    <d v="2015-12-30T16:48:52"/>
    <n v="7"/>
    <s v="199.29.6.54"/>
    <s v="HG4515.95 -- .L648 2014eb"/>
    <n v="332.642"/>
    <d v="2014-01-24T00:00:00"/>
  </r>
  <r>
    <x v="1455"/>
    <d v="1899-12-30T00:00:09"/>
    <x v="385"/>
    <x v="5"/>
    <s v="erie"/>
    <x v="80"/>
    <n v="1603265"/>
    <x v="0"/>
    <s v="Economics; Business/Management"/>
    <s v="9781118808139"/>
    <s v=",1,2,3"/>
    <n v="3"/>
    <m/>
    <m/>
    <s v="No"/>
    <x v="1"/>
    <m/>
    <m/>
    <s v="199.29.6.54"/>
    <s v="HG4515.95 -- .L648 2014eb"/>
    <n v="332.642"/>
    <d v="2014-01-24T00:00:00"/>
  </r>
  <r>
    <x v="1456"/>
    <d v="1899-12-30T01:19:44"/>
    <x v="384"/>
    <x v="6"/>
    <s v="sjfc"/>
    <x v="409"/>
    <n v="1524198"/>
    <x v="2"/>
    <s v="Medicine"/>
    <s v="9781134668526"/>
    <s v=",1,2,3"/>
    <n v="3"/>
    <m/>
    <m/>
    <s v="No"/>
    <x v="3"/>
    <m/>
    <m/>
    <s v="149.69.254.57"/>
    <s v="RJ503 -- .O44 2014eb"/>
    <n v="616.89008349999995"/>
    <d v="2013-10-21T00:00:00"/>
  </r>
  <r>
    <x v="1457"/>
    <d v="1899-12-30T00:02:41"/>
    <x v="386"/>
    <x v="1"/>
    <s v="brockport"/>
    <x v="410"/>
    <n v="1422405"/>
    <x v="2"/>
    <s v="Education"/>
    <s v="9781317923305"/>
    <s v=",1,2,3,4,5,6,7,8,9,10,11,12,13,14,15,16,17,18,19,20,21,22,23,24,25,26"/>
    <n v="26"/>
    <m/>
    <m/>
    <s v="No"/>
    <x v="3"/>
    <m/>
    <m/>
    <s v="137.21.7.121"/>
    <s v="LB1731.4 .P63 2013"/>
    <n v="370.71"/>
    <d v="2013-09-27T00:00:00"/>
  </r>
  <r>
    <x v="1458"/>
    <d v="1899-12-30T00:00:53"/>
    <x v="250"/>
    <x v="1"/>
    <s v="brockport"/>
    <x v="45"/>
    <n v="1691426"/>
    <x v="0"/>
    <s v="Social Science; Health"/>
    <s v="9781118839492"/>
    <s v=",1,2,3,4,5,6,7,8,9"/>
    <n v="9"/>
    <m/>
    <m/>
    <s v="No"/>
    <x v="1"/>
    <m/>
    <m/>
    <s v="137.21.7.121"/>
    <s v="RA781.7 -- .P396 2014eb"/>
    <n v="613.70460000000003"/>
    <d v="2014-05-13T00:00:00"/>
  </r>
  <r>
    <x v="1459"/>
    <d v="1899-12-30T00:01:24"/>
    <x v="385"/>
    <x v="5"/>
    <s v="erie"/>
    <x v="80"/>
    <n v="1603265"/>
    <x v="0"/>
    <s v="Economics; Business/Management"/>
    <s v="9781118808139"/>
    <s v=",1,2,3,7,23,24,25,21,22,26,2,26,27,28,29,30,31,32,33,20,18,19,17"/>
    <n v="21"/>
    <m/>
    <m/>
    <s v="No"/>
    <x v="1"/>
    <m/>
    <m/>
    <s v="199.29.6.54"/>
    <s v="HG4515.95 -- .L648 2014eb"/>
    <n v="332.642"/>
    <d v="2014-01-24T00:00:00"/>
  </r>
  <r>
    <x v="1460"/>
    <d v="1899-12-30T00:00:55"/>
    <x v="294"/>
    <x v="0"/>
    <s v="Buffalo"/>
    <x v="411"/>
    <n v="1521132"/>
    <x v="2"/>
    <s v="Social Science"/>
    <s v="9781317982371"/>
    <s v=",22,23,24,25,26,27,28,29,30,31"/>
    <n v="10"/>
    <m/>
    <m/>
    <s v="No"/>
    <x v="2"/>
    <d v="2015-12-30T16:03:10"/>
    <n v="1"/>
    <s v="128.205.114.91"/>
    <m/>
    <n v="301.01"/>
    <d v="2013-10-31T00:00:00"/>
  </r>
  <r>
    <x v="1461"/>
    <d v="1899-12-30T00:02:42"/>
    <x v="385"/>
    <x v="5"/>
    <s v="erie"/>
    <x v="80"/>
    <n v="1603265"/>
    <x v="0"/>
    <s v="Economics; Business/Management"/>
    <s v="9781118808139"/>
    <s v=",1,2,3,4,5,6,7,8,9,10,11,12,13,14,15,19,21,20,22,23,24,25,26,27,28,29,31"/>
    <n v="27"/>
    <m/>
    <m/>
    <s v="No"/>
    <x v="1"/>
    <m/>
    <m/>
    <s v="199.29.6.54"/>
    <s v="HG4515.95 -- .L648 2014eb"/>
    <n v="332.642"/>
    <d v="2014-01-24T00:00:00"/>
  </r>
  <r>
    <x v="1462"/>
    <d v="1899-12-30T00:05:08"/>
    <x v="294"/>
    <x v="0"/>
    <s v="Buffalo"/>
    <x v="411"/>
    <n v="1521132"/>
    <x v="2"/>
    <s v="Social Science"/>
    <s v="9781317982371"/>
    <s v=",1,2,3,6,7,8,4,5,9,32,33,34,30,31,29,28,35,36,37,38,39,12,13,14,10,11,15,16,17,18,19,20,21"/>
    <n v="33"/>
    <m/>
    <m/>
    <s v="No"/>
    <x v="3"/>
    <m/>
    <m/>
    <s v="128.205.114.91"/>
    <m/>
    <n v="301.01"/>
    <d v="2013-10-31T00:00:00"/>
  </r>
  <r>
    <x v="1463"/>
    <d v="1899-12-30T00:00:08"/>
    <x v="13"/>
    <x v="0"/>
    <s v="Buffalo"/>
    <x v="4"/>
    <n v="699526"/>
    <x v="0"/>
    <s v="Science; Computer Science/IT"/>
    <s v="9781118586006"/>
    <s v=",1,2,3,4,5"/>
    <n v="5"/>
    <m/>
    <m/>
    <s v="No"/>
    <x v="0"/>
    <d v="2015-12-30T15:30:03"/>
    <n v="7"/>
    <s v="128.205.114.91"/>
    <s v="Q327 -- .D83 2001eb"/>
    <n v="6.4"/>
    <d v="2012-11-09T00:00:00"/>
  </r>
  <r>
    <x v="1464"/>
    <d v="1899-12-30T00:00:03"/>
    <x v="13"/>
    <x v="0"/>
    <s v="Buffalo"/>
    <x v="4"/>
    <n v="699526"/>
    <x v="0"/>
    <s v="Science; Computer Science/IT"/>
    <s v="9781118586006"/>
    <s v=",2"/>
    <n v="1"/>
    <m/>
    <m/>
    <s v="No"/>
    <x v="0"/>
    <d v="2015-12-30T15:30:03"/>
    <n v="7"/>
    <s v="128.205.114.91"/>
    <s v="Q327 -- .D83 2001eb"/>
    <n v="6.4"/>
    <d v="2012-11-09T00:00:00"/>
  </r>
  <r>
    <x v="1465"/>
    <d v="1899-12-30T00:16:38"/>
    <x v="13"/>
    <x v="0"/>
    <s v="Buffalo"/>
    <x v="4"/>
    <n v="699526"/>
    <x v="0"/>
    <s v="Science; Computer Science/IT"/>
    <s v="9781118586006"/>
    <s v=",1,2,3,5,6,7,4,8"/>
    <n v="8"/>
    <m/>
    <m/>
    <s v="No"/>
    <x v="1"/>
    <m/>
    <m/>
    <s v="128.205.114.91"/>
    <s v="Q327 -- .D83 2001eb"/>
    <n v="6.4"/>
    <d v="2012-11-09T00:00:00"/>
  </r>
  <r>
    <x v="1466"/>
    <d v="1899-12-30T01:06:00"/>
    <x v="363"/>
    <x v="1"/>
    <s v="brockport"/>
    <x v="45"/>
    <n v="1691426"/>
    <x v="0"/>
    <s v="Social Science; Health"/>
    <s v="9781118839492"/>
    <s v=",1,2,3,341,342,343,339,336,337,338,334,335,333,332,331,330,329,328,326,327,332,333,334,335,336,337,338,339,340,341,342,343,344,345,346,347,348,349,350,351,352,224,225,226,222,223,305,306,307,303,304,308,309,310,311,312,313,314,315,316,317,318,319,320,321,322,323,324,325,326,327,328,329,330,331,332,333,334,335,336,337,338,339,340,341,342,343,344,345,346,347,233,234,235,231,232"/>
    <n v="63"/>
    <m/>
    <m/>
    <s v="No"/>
    <x v="0"/>
    <d v="2015-12-28T16:35:11"/>
    <n v="7"/>
    <s v="137.21.7.121"/>
    <s v="RA781.7 -- .P396 2014eb"/>
    <n v="613.70460000000003"/>
    <d v="2014-05-13T00:00:00"/>
  </r>
  <r>
    <x v="1467"/>
    <d v="1899-12-30T00:00:12"/>
    <x v="26"/>
    <x v="6"/>
    <s v="sjfc"/>
    <x v="412"/>
    <n v="1546788"/>
    <x v="2"/>
    <s v="Social Science"/>
    <s v="9781317975021"/>
    <s v=",1,2,3,38,40,36,37"/>
    <n v="7"/>
    <m/>
    <m/>
    <s v="No"/>
    <x v="3"/>
    <m/>
    <m/>
    <s v="149.69.254.57"/>
    <s v="H61.15 -- .B37 2014eb"/>
    <n v="300.10000000000002"/>
    <d v="2013-11-07T00:00:00"/>
  </r>
  <r>
    <x v="1468"/>
    <d v="1899-12-30T04:54:46"/>
    <x v="387"/>
    <x v="1"/>
    <s v="brockport"/>
    <x v="413"/>
    <n v="1826893"/>
    <x v="0"/>
    <s v="History; Literature"/>
    <s v="9781118774816"/>
    <s v=",1,2,3,4,5,6,7,8,9,10,11,9,12,13,14,15,16,17,18,19,20,21,22,23,24,25,26,27,28,29,30,31,32,33,34,35,36,37,38,39,40,41,42,43,44,45,46,46,47,47,48,48,49,49,50,50,51,51,52,52,53,53,54,54,55,55,56,56,57,57,58,58,59,59,60,60,61,61,59,60,61,57,58,62,62,60,61,62,58,59,63,63,64,64,65,65,66,66,64,65,66,62,63,67,67,65,66,67,63,64,68,68,66,67,68,64,65,69,69,70,70,71,71,72,72,73,73,74,74,75,75,76,76,77,77,78,78,79,79,80,80,81,81,82,82,83,83,84,84,85,85,86,86,87,87,88,88,89,89,90,90,91,91,92,92,93,93,94,94,92,93,94,90,91,89,94,92,93,94,90,91,92,93,94,90,91,95,95,96,96,97,97,98,98,99,99,97,98,99,95,96,100,100,101,101,102,102,195,196,196,197,197,193,194,194,198,198,193,192,191,190,195,196,191,196,197,198,199,199,200,200,201,201,202,202,203,203,204,204,205,205,206,206,207,207,208,208,209,209,210,210,211,211,212,212,213,213,208,17,18,19,15,16,99,100,101,97,98,9,99,100,101,97,98,102,103,103,101,102,103,99,100,101,102,103,99,100,104,104,102,103,104,100,101,102,103,104,100,101,105,105,103,104,105,101,102,106,106,104,105,106,102,103,104,105,106,102,103,104,105,106,102,103,107,107,105,106,107,103,104,105,106,107,103,104,108,108,109,109,104,109,107,108,109,105,106,107,108,109,105,106,107,108,109,105,106,110,110,108,109,110,106,107,111,111,109,110,111,107,108,112,112,113,113,111,112,113,109,110,111,112,113,109,110,114,114,115,115,116,116,117,117,118,118,119,119,120,120,121,121,122,122,123,123,124,124,125,125,126,126,127,127,128,128,129,129,130,130,131,131,126,131,132,132,133,133,131,132,133,129,130,128,133,134,134,135,135,136,136,137,137,138,138,139,139,140,140,141,141,142,142,143,143,144,144,145,145,146,146,147,147,142,147,148,148,149,149,150,150,151,151,152,152,153,153,154,154,155,155,156,156,157,157,158,158,159,159,160,160,161,161,162,162,163,163,164,164,165,165,166,166,161,166,167,167,168,168,169,169,170,170,171,171,169,170,171,167,168,172,172,172,173,173,174,174,175,175,176,176,177,177,178,178,179,179,180,180,181,181,182,182,183,183,184,184,185,185,186,186,187,187,188,188,189,189,190,191,192,193,191,192,193,189,190,194,195,196,197,198,196,197,198,195,196,197,193,194,198,199,200,195,193,192,191,189,190,1,2,3"/>
    <n v="213"/>
    <m/>
    <m/>
    <s v="No"/>
    <x v="2"/>
    <d v="2015-12-29T23:37:51"/>
    <n v="1"/>
    <s v="137.21.7.121"/>
    <s v="PS858.W8"/>
    <n v="973.30920000000003"/>
    <d v="2014-10-27T00:00:00"/>
  </r>
  <r>
    <x v="1469"/>
    <d v="1899-12-30T00:01:12"/>
    <x v="388"/>
    <x v="5"/>
    <s v="erie"/>
    <x v="414"/>
    <n v="1143522"/>
    <x v="0"/>
    <s v="History"/>
    <s v="9781118257197"/>
    <s v=",1,2,3,4,5,3,9,12,23,24,25"/>
    <n v="10"/>
    <m/>
    <m/>
    <s v="No"/>
    <x v="1"/>
    <m/>
    <m/>
    <s v="199.29.6.54"/>
    <s v="F1219.73 .S58 2013"/>
    <n v="972"/>
    <d v="2013-03-01T00:00:00"/>
  </r>
  <r>
    <x v="1470"/>
    <d v="1899-12-30T00:03:04"/>
    <x v="389"/>
    <x v="0"/>
    <s v="Buffalo"/>
    <x v="92"/>
    <n v="2166474"/>
    <x v="0"/>
    <s v="Medicine"/>
    <s v="9781118929285"/>
    <s v=",1,2,3,4,5,6,8,7,9,10,11,12,13,14,15,18,19,20,21,23,24,26,27,28,34,35,87,88,89,86,85"/>
    <n v="31"/>
    <m/>
    <m/>
    <s v="No"/>
    <x v="1"/>
    <m/>
    <m/>
    <s v="128.205.114.91"/>
    <s v="RK56"/>
    <n v="617.6"/>
    <d v="2015-06-01T00:00:00"/>
  </r>
  <r>
    <x v="1471"/>
    <d v="1899-12-30T00:00:01"/>
    <x v="389"/>
    <x v="0"/>
    <s v="Buffalo"/>
    <x v="415"/>
    <n v="2052356"/>
    <x v="0"/>
    <s v="Medicine"/>
    <s v="9781118938485"/>
    <s v=",63"/>
    <n v="1"/>
    <m/>
    <m/>
    <s v="No"/>
    <x v="0"/>
    <d v="2015-12-30T03:09:07"/>
    <n v="7"/>
    <s v="128.205.114.91"/>
    <s v="RK529"/>
    <n v="617.52200000000005"/>
    <d v="2015-05-15T00:00:00"/>
  </r>
  <r>
    <x v="1472"/>
    <d v="1899-12-30T00:10:34"/>
    <x v="389"/>
    <x v="0"/>
    <s v="Buffalo"/>
    <x v="415"/>
    <n v="2052356"/>
    <x v="0"/>
    <s v="Medicine"/>
    <s v="9781118938485"/>
    <s v=",1,2,3,4,1,15,15,16,13,17,14,51,54,57,58,59,60,62"/>
    <n v="16"/>
    <m/>
    <m/>
    <s v="No"/>
    <x v="1"/>
    <m/>
    <m/>
    <s v="128.205.114.91"/>
    <s v="RK529"/>
    <n v="617.52200000000005"/>
    <d v="2015-05-15T00:00:00"/>
  </r>
  <r>
    <x v="1473"/>
    <d v="1899-12-30T00:02:39"/>
    <x v="387"/>
    <x v="1"/>
    <s v="brockport"/>
    <x v="413"/>
    <n v="1826893"/>
    <x v="0"/>
    <s v="History; Literature"/>
    <s v="9781118774816"/>
    <s v=",16,17,18,19,20,21"/>
    <n v="6"/>
    <m/>
    <m/>
    <s v="No"/>
    <x v="2"/>
    <d v="2015-12-29T23:37:51"/>
    <n v="1"/>
    <s v="137.21.7.121"/>
    <s v="PS858.W8"/>
    <n v="973.30920000000003"/>
    <d v="2014-10-27T00:00:00"/>
  </r>
  <r>
    <x v="1474"/>
    <d v="1899-12-30T00:04:22"/>
    <x v="390"/>
    <x v="0"/>
    <s v="Buffalo"/>
    <x v="416"/>
    <n v="1784637"/>
    <x v="1"/>
    <s v="Philosophy"/>
    <s v="9781472412034"/>
    <s v=",1,2,3,139,140,141,137,138,142,143,144,145,146,147"/>
    <n v="14"/>
    <m/>
    <m/>
    <s v="No"/>
    <x v="3"/>
    <m/>
    <m/>
    <s v="128.205.114.91"/>
    <s v="BJ1533.F8 -- .S37 2014eb"/>
    <s v="177/.620941"/>
    <d v="2014-11-28T00:00:00"/>
  </r>
  <r>
    <x v="1475"/>
    <d v="1899-12-30T00:05:38"/>
    <x v="387"/>
    <x v="1"/>
    <s v="brockport"/>
    <x v="413"/>
    <n v="1826893"/>
    <x v="0"/>
    <s v="History; Literature"/>
    <s v="9781118774816"/>
    <s v=",1,2,3,4,5,6,7,8,9,10,11,12,13,14,15"/>
    <n v="15"/>
    <m/>
    <m/>
    <s v="No"/>
    <x v="3"/>
    <m/>
    <m/>
    <s v="137.21.7.121"/>
    <s v="PS858.W8"/>
    <n v="973.30920000000003"/>
    <d v="2014-10-27T00:00:00"/>
  </r>
  <r>
    <x v="1476"/>
    <d v="1899-12-30T00:19:55"/>
    <x v="391"/>
    <x v="13"/>
    <s v="buffalostate"/>
    <x v="417"/>
    <n v="1974902"/>
    <x v="3"/>
    <s v="Religion"/>
    <s v="9780520961555"/>
    <s v=",97,98,99,95,96,336,337,338,334,335,339,340,329,324,13,16,18,14,15,60,61,62,58,59"/>
    <n v="24"/>
    <m/>
    <m/>
    <s v="No"/>
    <x v="2"/>
    <d v="2015-12-29T23:04:56"/>
    <n v="1"/>
    <s v="136.183.11.43"/>
    <s v="BR65.C46 D4 2015"/>
    <s v="241/.67509015"/>
    <d v="2015-07-21T00:00:00"/>
  </r>
  <r>
    <x v="1477"/>
    <d v="1899-12-30T00:08:56"/>
    <x v="391"/>
    <x v="13"/>
    <s v="buffalostate"/>
    <x v="417"/>
    <n v="1974902"/>
    <x v="3"/>
    <s v="Religion"/>
    <s v="9780520961555"/>
    <s v=",1,2,3,4,5,6,7,8,9,10,11,12"/>
    <n v="12"/>
    <m/>
    <m/>
    <s v="No"/>
    <x v="3"/>
    <m/>
    <m/>
    <s v="136.183.11.43"/>
    <s v="BR65.C46 D4 2015"/>
    <s v="241/.67509015"/>
    <d v="2015-07-21T00:00:00"/>
  </r>
  <r>
    <x v="1478"/>
    <d v="1899-12-30T00:29:18"/>
    <x v="363"/>
    <x v="1"/>
    <s v="brockport"/>
    <x v="45"/>
    <n v="1691426"/>
    <x v="0"/>
    <s v="Social Science; Health"/>
    <s v="9781118839492"/>
    <s v=",1,2,3,4,5,6,7,2,8,14,43,106,107,108,109,105,120,121,122,118,123,119,124,125,126,127,128,129,130,131,132,133,134,135,136,137,138,139,140,141,142,143,144,145,146,147,148,149,150,151,152,153,154,155,156,157,158,159,160,161,162,163,164,165,166,167,168,169,170,171,172,173,174,175,176,166,127,46,6,33,1,2,3,4,5,7,8,9,10,11,12,13,14,19,76,77,78,74,75,79,80,73,72,71,81,82,83,84,85,86,17"/>
    <n v="99"/>
    <m/>
    <m/>
    <s v="No"/>
    <x v="0"/>
    <d v="2015-12-28T16:35:11"/>
    <n v="7"/>
    <s v="137.21.7.121"/>
    <s v="RA781.7 -- .P396 2014eb"/>
    <n v="613.70460000000003"/>
    <d v="2014-05-13T00:00:00"/>
  </r>
  <r>
    <x v="1479"/>
    <d v="1899-12-30T00:00:04"/>
    <x v="330"/>
    <x v="1"/>
    <s v="brockport"/>
    <x v="45"/>
    <n v="1691426"/>
    <x v="0"/>
    <s v="Social Science; Health"/>
    <s v="9781118839492"/>
    <s v=",1,2,3"/>
    <n v="3"/>
    <m/>
    <m/>
    <s v="No"/>
    <x v="1"/>
    <m/>
    <m/>
    <s v="137.21.7.121"/>
    <s v="RA781.7 -- .P396 2014eb"/>
    <n v="613.70460000000003"/>
    <d v="2014-05-13T00:00:00"/>
  </r>
  <r>
    <x v="1480"/>
    <d v="1899-12-30T00:00:28"/>
    <x v="372"/>
    <x v="1"/>
    <s v="brockport"/>
    <x v="45"/>
    <n v="1691426"/>
    <x v="0"/>
    <s v="Social Science; Health"/>
    <s v="9781118839492"/>
    <s v=",51,52,51,52,53,50,49,50,53,54,54,55,55,37,38,37,39,38,39,35,36,36,34"/>
    <n v="13"/>
    <m/>
    <m/>
    <s v="No"/>
    <x v="0"/>
    <d v="2015-12-29T21:12:51"/>
    <n v="7"/>
    <s v="137.21.7.121"/>
    <s v="RA781.7 -- .P396 2014eb"/>
    <n v="613.70460000000003"/>
    <d v="2014-05-13T00:00:00"/>
  </r>
  <r>
    <x v="1481"/>
    <d v="1899-12-30T00:02:45"/>
    <x v="349"/>
    <x v="1"/>
    <s v="brockport"/>
    <x v="45"/>
    <n v="1691426"/>
    <x v="0"/>
    <s v="Social Science; Health"/>
    <s v="9781118839492"/>
    <s v=",39,38,36,37,396,397,398,394,395,3,4,5,1,2,23,24,25,21,22,396,397,398,394,395"/>
    <n v="19"/>
    <m/>
    <m/>
    <s v="No"/>
    <x v="0"/>
    <d v="2015-12-29T21:06:16"/>
    <n v="7"/>
    <s v="137.21.7.121"/>
    <s v="RA781.7 -- .P396 2014eb"/>
    <n v="613.70460000000003"/>
    <d v="2014-05-13T00:00:00"/>
  </r>
  <r>
    <x v="1482"/>
    <d v="1899-12-30T00:25:52"/>
    <x v="372"/>
    <x v="1"/>
    <s v="brockport"/>
    <x v="45"/>
    <n v="1691426"/>
    <x v="0"/>
    <s v="Social Science; Health"/>
    <s v="9781118839492"/>
    <s v=",1,2,3,3,2,1,25,26,25,26,23,27,24,27,24,2"/>
    <n v="8"/>
    <m/>
    <m/>
    <s v="No"/>
    <x v="1"/>
    <m/>
    <m/>
    <s v="137.21.7.121"/>
    <s v="RA781.7 -- .P396 2014eb"/>
    <n v="613.70460000000003"/>
    <d v="2014-05-13T00:00:00"/>
  </r>
  <r>
    <x v="1483"/>
    <d v="1899-12-30T01:20:37"/>
    <x v="349"/>
    <x v="1"/>
    <s v="brockport"/>
    <x v="45"/>
    <n v="1691426"/>
    <x v="0"/>
    <s v="Social Science; Health"/>
    <s v="9781118839492"/>
    <s v=",1,2,3,41,42,43,39,40,44,38,37,36,42,43,44"/>
    <n v="12"/>
    <m/>
    <m/>
    <s v="No"/>
    <x v="1"/>
    <m/>
    <m/>
    <s v="137.21.7.121"/>
    <s v="RA781.7 -- .P396 2014eb"/>
    <n v="613.70460000000003"/>
    <d v="2014-05-13T00:00:00"/>
  </r>
  <r>
    <x v="1484"/>
    <d v="1899-12-30T00:02:48"/>
    <x v="392"/>
    <x v="1"/>
    <s v="brockport"/>
    <x v="418"/>
    <n v="4036739"/>
    <x v="0"/>
    <s v="Literature"/>
    <s v="9781118607343"/>
    <s v=",1,2,2,3,3,1,2,2,4,4,5,5,160,161,162,162,160,158,161,159,159,321,321,322,322,323,323,319,320,320,324,324,325,325,326,326,327,327,328,328"/>
    <n v="20"/>
    <m/>
    <m/>
    <s v="No"/>
    <x v="3"/>
    <m/>
    <m/>
    <s v="137.21.7.121"/>
    <s v="PR478.M6 -- .G375 2015eb"/>
    <s v="820.9/112"/>
    <d v="2015-04-20T00:00:00"/>
  </r>
  <r>
    <x v="1485"/>
    <d v="1899-12-30T00:00:00"/>
    <x v="393"/>
    <x v="13"/>
    <s v="buffalostate"/>
    <x v="419"/>
    <n v="1641157"/>
    <x v="11"/>
    <s v="Agriculture; Science; Science: Biology/Natural History"/>
    <s v="9780226024134"/>
    <m/>
    <n v="0"/>
    <m/>
    <s v=",188,189,190,191,192,193,194,195,196,197,198,199,200,201,202,203,204"/>
    <s v="No"/>
    <x v="2"/>
    <d v="2015-12-29T18:02:56"/>
    <n v="1"/>
    <s v="136.183.11.43"/>
    <s v="SD387"/>
    <n v="577.29999999999995"/>
    <d v="2014-03-04T00:00:00"/>
  </r>
  <r>
    <x v="1486"/>
    <d v="1899-12-30T00:02:13"/>
    <x v="393"/>
    <x v="13"/>
    <s v="buffalostate"/>
    <x v="419"/>
    <n v="1641157"/>
    <x v="11"/>
    <s v="Agriculture; Science; Science: Biology/Natural History"/>
    <s v="9780226024134"/>
    <s v=",1,2,3,490,491,492,489,493,488,494,176,177,178,174,175,179,180,163,164,165,161,162,158,159,160,156,157,188,189,190,186,187"/>
    <n v="32"/>
    <m/>
    <m/>
    <s v="No"/>
    <x v="3"/>
    <m/>
    <m/>
    <s v="136.183.11.43"/>
    <s v="SD387"/>
    <n v="577.29999999999995"/>
    <d v="2014-03-04T00:00:00"/>
  </r>
  <r>
    <x v="1487"/>
    <d v="1899-12-30T00:00:37"/>
    <x v="393"/>
    <x v="13"/>
    <s v="buffalostate"/>
    <x v="420"/>
    <n v="1693182"/>
    <x v="12"/>
    <s v="Business/Management; Social Science"/>
    <s v="9781469616063"/>
    <s v=",1,2,3,240,241,242,243,244,245,246"/>
    <n v="10"/>
    <m/>
    <m/>
    <s v="No"/>
    <x v="3"/>
    <m/>
    <m/>
    <s v="136.183.11.43"/>
    <s v="HC155.5.A5 -- .D43 2014eb"/>
    <s v="304.6/320972909171241"/>
    <d v="2014-08-04T00:00:00"/>
  </r>
  <r>
    <x v="1488"/>
    <d v="1899-12-30T01:47:12"/>
    <x v="379"/>
    <x v="0"/>
    <s v="Buffalo"/>
    <x v="403"/>
    <n v="1137758"/>
    <x v="0"/>
    <s v="Economics; Business/Management"/>
    <s v="9781118399279"/>
    <s v=",119,120,121,122,121,122,121,120,121,122,123,124,125,126,127,128,129,130,131,132,133,148,149,150,151,152,153,154,156,156,156,157,158,159,160,161,162,163,164,165,166,167,168,169,170,171,172,175,176,177,178"/>
    <n v="43"/>
    <m/>
    <m/>
    <s v="No"/>
    <x v="0"/>
    <d v="2015-12-29T16:43:14"/>
    <n v="7"/>
    <s v="128.205.114.91"/>
    <s v="HG4910 .T48 2013"/>
    <s v="332.63/220973; 332.6322"/>
    <d v="2013-02-26T00:00:00"/>
  </r>
  <r>
    <x v="1489"/>
    <d v="1899-12-30T00:11:11"/>
    <x v="379"/>
    <x v="0"/>
    <s v="Buffalo"/>
    <x v="403"/>
    <n v="1137758"/>
    <x v="0"/>
    <s v="Economics; Business/Management"/>
    <s v="9781118399279"/>
    <s v=",1,2,3,116,117,118,114,115,116,314,116,117,118,146,117,118,118,117,117,118,118"/>
    <n v="10"/>
    <m/>
    <m/>
    <s v="No"/>
    <x v="1"/>
    <m/>
    <m/>
    <s v="128.205.114.91"/>
    <s v="HG4910 .T48 2013"/>
    <s v="332.63/220973; 332.6322"/>
    <d v="2013-02-26T00:00:00"/>
  </r>
  <r>
    <x v="1490"/>
    <d v="1899-12-30T00:00:23"/>
    <x v="394"/>
    <x v="6"/>
    <s v="sjfc"/>
    <x v="421"/>
    <n v="1895411"/>
    <x v="0"/>
    <s v="Social Science"/>
    <s v="9780745688961"/>
    <s v=",36,37,38,34,35"/>
    <n v="5"/>
    <s v=",7,36"/>
    <s v=",60,61,62,63,64,65,66,67,68,69,70,71,72,73,74,75,76,77,78,79,80,81,82,83,84,85,86,87,88,89,90"/>
    <s v="No"/>
    <x v="0"/>
    <d v="2015-12-29T16:02:37"/>
    <n v="7"/>
    <s v="149.69.254.57"/>
    <s v="HM479.B68 A513 2015"/>
    <n v="301.09199999999998"/>
    <d v="2015-04-06T00:00:00"/>
  </r>
  <r>
    <x v="1491"/>
    <d v="1899-12-30T00:04:06"/>
    <x v="394"/>
    <x v="6"/>
    <s v="sjfc"/>
    <x v="421"/>
    <n v="1895411"/>
    <x v="0"/>
    <s v="Social Science"/>
    <s v="9780745688961"/>
    <s v=",1,2,3,7,8,9,5,6,75,76,77,73,74,78,79,80,60,61,62,58,59,4,63,4,25,26,27,23,24,28,107,105,106,91,92,75,76"/>
    <n v="34"/>
    <m/>
    <m/>
    <s v="No"/>
    <x v="1"/>
    <m/>
    <m/>
    <s v="149.69.254.57"/>
    <s v="HM479.B68 A513 2015"/>
    <n v="301.09199999999998"/>
    <d v="2015-04-06T00:00:00"/>
  </r>
  <r>
    <x v="1492"/>
    <d v="1899-12-30T00:00:06"/>
    <x v="379"/>
    <x v="0"/>
    <s v="Buffalo"/>
    <x v="422"/>
    <n v="818049"/>
    <x v="0"/>
    <s v="Business/Management; Economics"/>
    <s v="9781118224274"/>
    <s v=",1,2,3"/>
    <n v="3"/>
    <m/>
    <m/>
    <s v="No"/>
    <x v="0"/>
    <d v="2015-12-24T03:03:54"/>
    <n v="7"/>
    <s v="128.205.114.91"/>
    <s v="HG4529 -- .G75 2012eb"/>
    <s v="332.63/2042"/>
    <d v="2012-05-06T00:00:00"/>
  </r>
  <r>
    <x v="1493"/>
    <d v="1899-12-30T00:02:29"/>
    <x v="395"/>
    <x v="1"/>
    <s v="brockport"/>
    <x v="423"/>
    <n v="1574802"/>
    <x v="2"/>
    <s v="History"/>
    <s v="9781317799078"/>
    <s v=",1,38,39,40,36,37,2"/>
    <n v="7"/>
    <m/>
    <m/>
    <s v="No"/>
    <x v="3"/>
    <m/>
    <m/>
    <s v="137.21.7.121"/>
    <s v="DP44.A694"/>
    <n v="936.6"/>
    <d v="2013-12-02T00:00:00"/>
  </r>
  <r>
    <x v="1494"/>
    <d v="1899-12-30T00:20:57"/>
    <x v="396"/>
    <x v="0"/>
    <s v="Buffalo"/>
    <x v="28"/>
    <n v="817313"/>
    <x v="0"/>
    <s v="Education"/>
    <s v="9781118136829"/>
    <s v=",1,2,3,143,144,145,141,142,146,147,148,149,150,151,152,153,154,155,156,157,158"/>
    <n v="21"/>
    <m/>
    <m/>
    <s v="No"/>
    <x v="0"/>
    <d v="2015-12-26T21:37:28"/>
    <n v="7"/>
    <s v="128.205.114.91"/>
    <s v="LB2367.4 -- .W65 2012eb"/>
    <n v="378.16640000000001"/>
    <d v="2012-01-10T00:00:00"/>
  </r>
  <r>
    <x v="1495"/>
    <d v="1899-12-30T00:04:42"/>
    <x v="397"/>
    <x v="0"/>
    <s v="Buffalo"/>
    <x v="424"/>
    <n v="817977"/>
    <x v="0"/>
    <s v="Computer Science/IT; Sport &amp; Recreation"/>
    <s v="9781118222188"/>
    <s v=",21,21,24,22,22,25,26,24,25,26,22,23"/>
    <n v="6"/>
    <s v=",21,21"/>
    <m/>
    <s v="No"/>
    <x v="0"/>
    <d v="2015-12-29T07:43:57"/>
    <n v="7"/>
    <s v="128.205.114.91"/>
    <s v="QA76.76.C672 -- J36 2013eb"/>
    <s v="794.81526; 794.815268"/>
    <d v="2012-11-26T00:00:00"/>
  </r>
  <r>
    <x v="1496"/>
    <d v="1899-12-30T00:02:20"/>
    <x v="397"/>
    <x v="0"/>
    <s v="Buffalo"/>
    <x v="424"/>
    <n v="817977"/>
    <x v="0"/>
    <s v="Computer Science/IT; Sport &amp; Recreation"/>
    <s v="9781118222188"/>
    <s v=",1,2,3,4,5,6,7,8,9,10,11,12,13,14,15,16,17,18,19,20,21,22,23"/>
    <n v="23"/>
    <m/>
    <m/>
    <s v="No"/>
    <x v="1"/>
    <m/>
    <m/>
    <s v="128.205.114.91"/>
    <s v="QA76.76.C672 -- J36 2013eb"/>
    <s v="794.81526; 794.815268"/>
    <d v="2012-11-26T00:00:00"/>
  </r>
  <r>
    <x v="1497"/>
    <d v="1899-12-30T00:02:06"/>
    <x v="397"/>
    <x v="0"/>
    <s v="Buffalo"/>
    <x v="424"/>
    <n v="817977"/>
    <x v="0"/>
    <s v="Computer Science/IT; Sport &amp; Recreation"/>
    <s v="9781118222188"/>
    <s v=",1,2,3,4,5,6,7,8,9,10,13,14,15,11,12,46,44,43,45,41,42,43"/>
    <n v="21"/>
    <m/>
    <m/>
    <s v="No"/>
    <x v="1"/>
    <m/>
    <m/>
    <s v="128.205.114.91"/>
    <s v="QA76.76.C672 -- J36 2013eb"/>
    <s v="794.81526; 794.815268"/>
    <d v="2012-11-26T00:00:00"/>
  </r>
  <r>
    <x v="1498"/>
    <d v="1899-12-30T00:03:14"/>
    <x v="398"/>
    <x v="0"/>
    <s v="Buffalo"/>
    <x v="425"/>
    <n v="2027199"/>
    <x v="0"/>
    <m/>
    <s v="9781118880784"/>
    <s v=",1,2,3,4,5,6,7,8,11,12,13,9,10,14,15"/>
    <n v="15"/>
    <m/>
    <m/>
    <s v="No"/>
    <x v="3"/>
    <m/>
    <m/>
    <s v="128.205.114.91"/>
    <m/>
    <m/>
    <d v="2015-04-08T00:00:00"/>
  </r>
  <r>
    <x v="1499"/>
    <d v="1899-12-30T00:00:28"/>
    <x v="399"/>
    <x v="0"/>
    <s v="Buffalo"/>
    <x v="426"/>
    <n v="1461204"/>
    <x v="2"/>
    <s v="Education"/>
    <s v="9781317749653"/>
    <s v=",156,157,158,155"/>
    <n v="4"/>
    <s v=",155"/>
    <m/>
    <s v="No"/>
    <x v="2"/>
    <d v="2015-12-29T02:03:12"/>
    <n v="1"/>
    <s v="128.205.114.91"/>
    <n v="2007024388"/>
    <n v="370.72"/>
    <d v="2013-10-08T00:00:00"/>
  </r>
  <r>
    <x v="1500"/>
    <d v="1899-12-30T00:05:13"/>
    <x v="399"/>
    <x v="0"/>
    <s v="Buffalo"/>
    <x v="426"/>
    <n v="1461204"/>
    <x v="2"/>
    <s v="Education"/>
    <s v="9781317749653"/>
    <s v=",1,2,3,4,5,6,7,8,9,10,35,36,37,34,33,38,70,71,72,68,70,74,88,91,94,97,98,144,122,139,141,140,22,20"/>
    <n v="33"/>
    <m/>
    <m/>
    <s v="No"/>
    <x v="3"/>
    <m/>
    <m/>
    <s v="128.205.114.91"/>
    <n v="2007024388"/>
    <n v="370.72"/>
    <d v="2013-10-08T00:00:00"/>
  </r>
  <r>
    <x v="1501"/>
    <d v="1899-12-30T00:00:00"/>
    <x v="396"/>
    <x v="0"/>
    <s v="Buffalo"/>
    <x v="28"/>
    <n v="1895348"/>
    <x v="0"/>
    <s v="Education"/>
    <s v="9781119068839"/>
    <s v=",49"/>
    <n v="1"/>
    <m/>
    <m/>
    <s v="No"/>
    <x v="0"/>
    <d v="2015-12-29T01:26:53"/>
    <n v="7"/>
    <s v="128.205.114.91"/>
    <s v="LB2367.4"/>
    <n v="378.16640000000001"/>
    <d v="2015-05-27T00:00:00"/>
  </r>
  <r>
    <x v="1502"/>
    <d v="1899-12-30T00:00:00"/>
    <x v="396"/>
    <x v="0"/>
    <s v="Buffalo"/>
    <x v="28"/>
    <n v="1895348"/>
    <x v="0"/>
    <s v="Education"/>
    <s v="9781119068839"/>
    <s v=",65"/>
    <n v="1"/>
    <m/>
    <m/>
    <s v="No"/>
    <x v="0"/>
    <d v="2015-12-29T01:26:30"/>
    <n v="7"/>
    <s v="128.205.114.91"/>
    <s v="LB2367.4"/>
    <n v="378.16640000000001"/>
    <d v="2015-05-27T00:00:00"/>
  </r>
  <r>
    <x v="1503"/>
    <d v="1899-12-30T00:18:45"/>
    <x v="396"/>
    <x v="0"/>
    <s v="Buffalo"/>
    <x v="28"/>
    <n v="1895348"/>
    <x v="0"/>
    <s v="Education"/>
    <s v="9781119068839"/>
    <s v=",1,2,3,62,63,64,60,61"/>
    <n v="8"/>
    <m/>
    <m/>
    <s v="No"/>
    <x v="1"/>
    <m/>
    <m/>
    <s v="128.205.114.91"/>
    <s v="LB2367.4"/>
    <n v="378.16640000000001"/>
    <d v="2015-05-27T00:00:00"/>
  </r>
  <r>
    <x v="1504"/>
    <d v="1899-12-30T00:20:18"/>
    <x v="396"/>
    <x v="0"/>
    <s v="Buffalo"/>
    <x v="28"/>
    <n v="1895348"/>
    <x v="0"/>
    <s v="Education"/>
    <s v="9781119068839"/>
    <s v=",1,2,3,35,36,37,33,34,46,47,48,44,45,46,47,48,44,45,46,47,48,44,45"/>
    <n v="13"/>
    <m/>
    <m/>
    <s v="No"/>
    <x v="1"/>
    <m/>
    <m/>
    <s v="128.205.114.91"/>
    <s v="LB2367.4"/>
    <n v="378.16640000000001"/>
    <d v="2015-05-27T00:00:00"/>
  </r>
  <r>
    <x v="1505"/>
    <d v="1899-12-30T00:56:17"/>
    <x v="396"/>
    <x v="0"/>
    <s v="Buffalo"/>
    <x v="28"/>
    <n v="817313"/>
    <x v="0"/>
    <s v="Education"/>
    <s v="9781118136829"/>
    <s v=",1,2,3,263,264,265,261,262,266,267,268,249,260,258,259,257,247,248,245,246,252,253,254,251,250,274,275,271,272,273,269,270,276"/>
    <n v="33"/>
    <m/>
    <m/>
    <s v="No"/>
    <x v="0"/>
    <d v="2015-12-26T21:37:28"/>
    <n v="7"/>
    <s v="128.205.114.91"/>
    <s v="LB2367.4 -- .W65 2012eb"/>
    <n v="378.16640000000001"/>
    <d v="2012-01-10T00:00:00"/>
  </r>
  <r>
    <x v="1506"/>
    <d v="1899-12-30T01:49:57"/>
    <x v="396"/>
    <x v="0"/>
    <s v="Buffalo"/>
    <x v="28"/>
    <n v="817313"/>
    <x v="0"/>
    <s v="Education"/>
    <s v="9781118136829"/>
    <s v=",1,2,3,247,248,249,245,246,271,272,273,269,270,255,256,257,253,254,258,259,257,258,259,255,256,260,261,247,248,249,245,246,250,251,252,253,254,262"/>
    <n v="26"/>
    <m/>
    <m/>
    <s v="No"/>
    <x v="0"/>
    <d v="2015-12-26T21:37:28"/>
    <n v="7"/>
    <s v="128.205.114.91"/>
    <s v="LB2367.4 -- .W65 2012eb"/>
    <n v="378.16640000000001"/>
    <d v="2012-01-10T00:00:00"/>
  </r>
  <r>
    <x v="1507"/>
    <d v="1899-12-30T00:04:43"/>
    <x v="396"/>
    <x v="0"/>
    <s v="Buffalo"/>
    <x v="28"/>
    <n v="817313"/>
    <x v="0"/>
    <s v="Education"/>
    <s v="9781118136829"/>
    <s v=",1,2,3,252,253,254,250,251,274,275,276,272,273,271,269,270,278,277,279,280"/>
    <n v="20"/>
    <m/>
    <m/>
    <s v="No"/>
    <x v="0"/>
    <d v="2015-12-26T21:37:28"/>
    <n v="7"/>
    <s v="128.205.114.91"/>
    <s v="LB2367.4 -- .W65 2012eb"/>
    <n v="378.16640000000001"/>
    <d v="2012-01-10T00:00:00"/>
  </r>
  <r>
    <x v="1508"/>
    <d v="1899-12-30T00:00:41"/>
    <x v="400"/>
    <x v="6"/>
    <s v="sjfc"/>
    <x v="412"/>
    <n v="1546788"/>
    <x v="2"/>
    <s v="Social Science"/>
    <s v="9781317975021"/>
    <s v=",528"/>
    <n v="1"/>
    <m/>
    <m/>
    <s v="Yes"/>
    <x v="2"/>
    <d v="2015-12-28T23:04:54"/>
    <n v="1"/>
    <s v="149.69.254.57"/>
    <s v="H61.15 -- .B37 2014eb"/>
    <n v="300.10000000000002"/>
    <d v="2013-11-07T00:00:00"/>
  </r>
  <r>
    <x v="1508"/>
    <d v="1899-12-30T00:00:00"/>
    <x v="400"/>
    <x v="6"/>
    <s v="sjfc"/>
    <x v="412"/>
    <n v="1546788"/>
    <x v="2"/>
    <s v="Social Science"/>
    <s v="9781317975021"/>
    <m/>
    <n v="0"/>
    <m/>
    <m/>
    <s v="No"/>
    <x v="2"/>
    <d v="2015-12-28T23:04:54"/>
    <n v="1"/>
    <s v="149.69.254.57"/>
    <s v="H61.15 -- .B37 2014eb"/>
    <n v="300.10000000000002"/>
    <d v="2013-11-07T00:00:00"/>
  </r>
  <r>
    <x v="1509"/>
    <d v="1899-12-30T00:02:44"/>
    <x v="400"/>
    <x v="6"/>
    <s v="sjfc"/>
    <x v="412"/>
    <n v="1546788"/>
    <x v="2"/>
    <s v="Social Science"/>
    <s v="9781317975021"/>
    <s v=",1,3,2,527,528,529,526,525,530"/>
    <n v="9"/>
    <m/>
    <m/>
    <s v="No"/>
    <x v="3"/>
    <m/>
    <m/>
    <s v="149.69.254.57"/>
    <s v="H61.15 -- .B37 2014eb"/>
    <n v="300.10000000000002"/>
    <d v="2013-11-07T00:00:00"/>
  </r>
  <r>
    <x v="1510"/>
    <d v="1899-12-30T00:03:06"/>
    <x v="401"/>
    <x v="7"/>
    <s v="oneonta"/>
    <x v="427"/>
    <n v="1295002"/>
    <x v="0"/>
    <s v="Social Science"/>
    <s v="9780745674674"/>
    <s v=",1,2,3,2,3,1,2,2,4,4,5,5,6,6,7,7,8,8,9,9,10,10,11,11,12,13,12,13,14,14,15,15,16,17,16,18,19,17,18,19,22,23,22,24,23,20,24,21,21"/>
    <n v="24"/>
    <m/>
    <m/>
    <s v="No"/>
    <x v="1"/>
    <m/>
    <m/>
    <s v="137.141.13.2"/>
    <s v="GT525 -- .R67 2008eb"/>
    <n v="391.00900000000001"/>
    <d v="2013-04-29T00:00:00"/>
  </r>
  <r>
    <x v="1511"/>
    <d v="1899-12-30T00:00:00"/>
    <x v="402"/>
    <x v="0"/>
    <s v="Buffalo"/>
    <x v="428"/>
    <n v="1382093"/>
    <x v="2"/>
    <s v="Philosophy"/>
    <s v="9781135776008"/>
    <m/>
    <n v="0"/>
    <m/>
    <m/>
    <s v="Yes"/>
    <x v="2"/>
    <d v="2015-12-28T22:25:31"/>
    <n v="7"/>
    <s v="128.205.114.91"/>
    <s v="B2430.D484 -- .R37 2011eb"/>
    <n v="194"/>
    <d v="2013-09-05T00:00:00"/>
  </r>
  <r>
    <x v="1511"/>
    <d v="1899-12-30T00:00:00"/>
    <x v="402"/>
    <x v="0"/>
    <s v="Buffalo"/>
    <x v="428"/>
    <n v="1382093"/>
    <x v="2"/>
    <s v="Philosophy"/>
    <s v="9781135776008"/>
    <m/>
    <n v="0"/>
    <m/>
    <m/>
    <s v="No"/>
    <x v="2"/>
    <d v="2015-12-28T22:25:31"/>
    <n v="7"/>
    <s v="128.205.114.91"/>
    <s v="B2430.D484 -- .R37 2011eb"/>
    <n v="194"/>
    <d v="2013-09-05T00:00:00"/>
  </r>
  <r>
    <x v="1512"/>
    <d v="1899-12-30T00:00:14"/>
    <x v="402"/>
    <x v="0"/>
    <s v="Buffalo"/>
    <x v="428"/>
    <n v="1382093"/>
    <x v="2"/>
    <s v="Philosophy"/>
    <s v="9781135776008"/>
    <s v=",1,2,3"/>
    <n v="3"/>
    <m/>
    <m/>
    <s v="No"/>
    <x v="3"/>
    <m/>
    <m/>
    <s v="128.205.114.91"/>
    <s v="B2430.D484 -- .R37 2011eb"/>
    <n v="194"/>
    <d v="2013-09-05T00:00:00"/>
  </r>
  <r>
    <x v="1513"/>
    <d v="1899-12-30T01:46:27"/>
    <x v="396"/>
    <x v="0"/>
    <s v="Buffalo"/>
    <x v="28"/>
    <n v="817313"/>
    <x v="0"/>
    <s v="Education"/>
    <s v="9781118136829"/>
    <s v=",1,2,1,3,2,3,2,2,252,252,253,253,255,256,255,254,256,257,254,257,258,258,259,259,260,260,261,261,266,266,267,267,268,268,264,265,265,255,256,257,253,254,252,250,251,251,252,253,252,253,254,254,250,251,251,252,253,252,254,253,250,251,254,251,252,252,253,253,254,254,250,251,251,255,255,256,256,251,250,255,256,257,258,259"/>
    <n v="20"/>
    <m/>
    <m/>
    <s v="No"/>
    <x v="0"/>
    <d v="2015-12-26T21:37:28"/>
    <n v="7"/>
    <s v="128.205.114.91"/>
    <s v="LB2367.4 -- .W65 2012eb"/>
    <n v="378.16640000000001"/>
    <d v="2012-01-10T00:00:00"/>
  </r>
  <r>
    <x v="1514"/>
    <d v="1899-12-30T00:00:14"/>
    <x v="396"/>
    <x v="0"/>
    <s v="Buffalo"/>
    <x v="28"/>
    <n v="1895348"/>
    <x v="0"/>
    <s v="Education"/>
    <s v="9781119068839"/>
    <s v=",1,2,3,46,47,48,44,45"/>
    <n v="8"/>
    <m/>
    <m/>
    <s v="No"/>
    <x v="1"/>
    <m/>
    <m/>
    <s v="128.205.114.91"/>
    <s v="LB2367.4"/>
    <n v="378.16640000000001"/>
    <d v="2015-05-27T00:00:00"/>
  </r>
  <r>
    <x v="1515"/>
    <d v="1899-12-30T00:03:22"/>
    <x v="396"/>
    <x v="0"/>
    <s v="Buffalo"/>
    <x v="28"/>
    <n v="1895348"/>
    <x v="0"/>
    <s v="Education"/>
    <s v="9781119068839"/>
    <s v=",1,2,1,3,3,2,37,37,39,38,38,35,39,40,40,41,41,2,42,42,33,33,34,34,35,32,31,32,37,39,40,41,38,46,46,47,47,48,48,44,45,45,49,49,50,50,51,51,62,62,64,64,60,63,61,61,63"/>
    <n v="27"/>
    <m/>
    <m/>
    <s v="No"/>
    <x v="1"/>
    <m/>
    <m/>
    <s v="128.205.114.91"/>
    <s v="LB2367.4"/>
    <n v="378.16640000000001"/>
    <d v="2015-05-27T00:00:00"/>
  </r>
  <r>
    <x v="1516"/>
    <d v="1899-12-30T00:00:00"/>
    <x v="403"/>
    <x v="0"/>
    <s v="Buffalo"/>
    <x v="429"/>
    <n v="1569694"/>
    <x v="2"/>
    <s v="Fine Arts"/>
    <s v="9781317860938"/>
    <m/>
    <n v="0"/>
    <m/>
    <m/>
    <s v="Yes"/>
    <x v="2"/>
    <d v="2015-12-28T21:17:49"/>
    <n v="7"/>
    <s v="128.205.114.91"/>
    <s v="NX456.5.M64 -- W35 2013eb"/>
    <n v="700.41120000000001"/>
    <d v="2013-11-04T00:00:00"/>
  </r>
  <r>
    <x v="1516"/>
    <d v="1899-12-30T00:00:00"/>
    <x v="403"/>
    <x v="0"/>
    <s v="Buffalo"/>
    <x v="429"/>
    <n v="1569694"/>
    <x v="2"/>
    <s v="Fine Arts"/>
    <s v="9781317860938"/>
    <m/>
    <n v="0"/>
    <m/>
    <m/>
    <s v="No"/>
    <x v="2"/>
    <d v="2015-12-28T21:17:49"/>
    <n v="7"/>
    <s v="128.205.114.91"/>
    <s v="NX456.5.M64 -- W35 2013eb"/>
    <n v="700.41120000000001"/>
    <d v="2013-11-04T00:00:00"/>
  </r>
  <r>
    <x v="1517"/>
    <d v="1899-12-30T00:06:17"/>
    <x v="403"/>
    <x v="0"/>
    <s v="Buffalo"/>
    <x v="429"/>
    <n v="1569694"/>
    <x v="2"/>
    <s v="Fine Arts"/>
    <s v="9781317860938"/>
    <s v=",1,2,3,4,5,6,7,8,9,10,11,12,13,14,15,16,17,18,19,20,21,22,23,24,25,26,27,28,29,30,31,32,33,34,35,36"/>
    <n v="36"/>
    <m/>
    <m/>
    <s v="No"/>
    <x v="3"/>
    <m/>
    <m/>
    <s v="128.205.114.91"/>
    <s v="NX456.5.M64 -- W35 2013eb"/>
    <n v="700.41120000000001"/>
    <d v="2013-11-04T00:00:00"/>
  </r>
  <r>
    <x v="1518"/>
    <d v="1899-12-30T01:48:09"/>
    <x v="396"/>
    <x v="0"/>
    <s v="Buffalo"/>
    <x v="28"/>
    <n v="817313"/>
    <x v="0"/>
    <s v="Education"/>
    <s v="9781118136829"/>
    <s v=",1,2,3,260,261,262,258,252,253,241,242,243,239,240,237,238,244,245,246,247,248,249,250,251,252,253,254,255,256,257,258,259,260,261,262,263,264,265,259,257,254,251,266,267,268,264,265,278,279,280,276,277,269,270,271,272"/>
    <n v="44"/>
    <m/>
    <m/>
    <s v="No"/>
    <x v="0"/>
    <d v="2015-12-26T21:37:28"/>
    <n v="7"/>
    <s v="128.205.114.91"/>
    <s v="LB2367.4 -- .W65 2012eb"/>
    <n v="378.16640000000001"/>
    <d v="2012-01-10T00:00:00"/>
  </r>
  <r>
    <x v="1519"/>
    <d v="1899-12-30T01:22:36"/>
    <x v="396"/>
    <x v="0"/>
    <s v="Buffalo"/>
    <x v="28"/>
    <n v="817313"/>
    <x v="0"/>
    <s v="Education"/>
    <s v="9781118136829"/>
    <s v=",1,2,3,43,44,45,41,42,139,140,141,137,138,142,143,144,145,146,147,140,139,138,204,205,206,202,203,201,207,208,231,232,215,216,217,213,214,202,208,209,210,211,212,213,217,218,219,216,220,221,222,223,224,225,226,227,228,229,230,231,232,233,234,235,236,237,238,239,240,229,227,212,213,214,227,229,238,239,240,241,242,243,137,138"/>
    <n v="62"/>
    <m/>
    <m/>
    <s v="No"/>
    <x v="0"/>
    <d v="2015-12-26T21:37:28"/>
    <n v="7"/>
    <s v="128.205.114.91"/>
    <s v="LB2367.4 -- .W65 2012eb"/>
    <n v="378.16640000000001"/>
    <d v="2012-01-10T00:00:00"/>
  </r>
  <r>
    <x v="1520"/>
    <d v="1899-12-30T00:43:55"/>
    <x v="379"/>
    <x v="0"/>
    <s v="Buffalo"/>
    <x v="422"/>
    <n v="818049"/>
    <x v="0"/>
    <s v="Business/Management; Economics"/>
    <s v="9781118224274"/>
    <s v=",1,2,3,4,5,30,31,32,29,28,33,34,35,36,37,38,39,40,41,42,43,44"/>
    <n v="22"/>
    <m/>
    <m/>
    <s v="No"/>
    <x v="0"/>
    <d v="2015-12-24T03:03:54"/>
    <n v="7"/>
    <s v="128.205.114.91"/>
    <s v="HG4529 -- .G75 2012eb"/>
    <s v="332.63/2042"/>
    <d v="2012-05-06T00:00:00"/>
  </r>
  <r>
    <x v="1521"/>
    <d v="1899-12-30T00:00:04"/>
    <x v="404"/>
    <x v="0"/>
    <s v="Buffalo"/>
    <x v="430"/>
    <n v="1775205"/>
    <x v="0"/>
    <s v="Engineering; Engineering: Chemical"/>
    <s v="9781118823347"/>
    <s v=",1,2,1,2,3,3"/>
    <n v="3"/>
    <m/>
    <m/>
    <s v="No"/>
    <x v="3"/>
    <m/>
    <m/>
    <s v="128.205.114.91"/>
    <s v="TP374 -- .T73 2015eb"/>
    <s v="664/.09"/>
    <d v="2014-08-25T00:00:00"/>
  </r>
  <r>
    <x v="1522"/>
    <d v="1899-12-30T00:24:05"/>
    <x v="363"/>
    <x v="1"/>
    <s v="brockport"/>
    <x v="45"/>
    <n v="1691426"/>
    <x v="0"/>
    <s v="Social Science; Health"/>
    <s v="9781118839492"/>
    <s v=",24,22,33,28,27,33,34,26,28,24,25,29,30,31,32,33,34,35,36,37,38,33,38,39,40,41,42,43,44,45,46,47,48,49,50,51,52,53,54,55,56,57,58,59,60,61"/>
    <n v="39"/>
    <m/>
    <m/>
    <s v="No"/>
    <x v="0"/>
    <d v="2015-12-28T16:35:11"/>
    <n v="7"/>
    <s v="137.21.7.121"/>
    <s v="RA781.7 -- .P396 2014eb"/>
    <n v="613.70460000000003"/>
    <d v="2014-05-13T00:00:00"/>
  </r>
  <r>
    <x v="1523"/>
    <d v="1899-12-30T00:05:13"/>
    <x v="363"/>
    <x v="1"/>
    <s v="brockport"/>
    <x v="45"/>
    <n v="1691426"/>
    <x v="0"/>
    <s v="Social Science; Health"/>
    <s v="9781118839492"/>
    <s v=",1,2,3,23,24,25,21,22,26,2,27,28,29,30,31,26,31,32,27,26,31,32"/>
    <n v="15"/>
    <m/>
    <m/>
    <s v="No"/>
    <x v="3"/>
    <m/>
    <m/>
    <s v="137.21.7.121"/>
    <s v="RA781.7 -- .P396 2014eb"/>
    <n v="613.70460000000003"/>
    <d v="2014-05-13T00:00:00"/>
  </r>
  <r>
    <x v="1524"/>
    <d v="1899-12-30T00:54:56"/>
    <x v="396"/>
    <x v="0"/>
    <s v="Buffalo"/>
    <x v="28"/>
    <n v="817313"/>
    <x v="0"/>
    <s v="Education"/>
    <s v="9781118136829"/>
    <s v=",1,2,3,69,70,71,67,68,72,73,74,75,76,77,78,79,80,81,82,83,84,85,86,87,88,89,90,91,92,93,95,98,99,100,96,97,94,93,92,91,90,85,84,83,81,80,78,79,77,76,75,74,73,79,80,81,139,140,141,133,134,135,131,132,136,137,138,139,140,141,142,143,144,145,146,147,149,150,151,152,148,153,154,155,156,157,158,159,160,161,162,163,164,165,166,167,168,167,168,169,170,171,172,173,174,175,176,177,178,179,180,181,182,183,184,185,186,187,188,189,190,191,193,195,197,198,199,200,201,202,205,206,207,203,204,121,122,123,119,120,141,141,142"/>
    <n v="116"/>
    <m/>
    <m/>
    <s v="No"/>
    <x v="0"/>
    <d v="2015-12-26T21:37:28"/>
    <n v="7"/>
    <s v="128.205.114.91"/>
    <s v="LB2367.4 -- .W65 2012eb"/>
    <n v="378.16640000000001"/>
    <d v="2012-01-10T00:00:00"/>
  </r>
  <r>
    <x v="1525"/>
    <d v="1899-12-30T00:08:17"/>
    <x v="390"/>
    <x v="0"/>
    <s v="Buffalo"/>
    <x v="416"/>
    <n v="1784637"/>
    <x v="1"/>
    <s v="Philosophy"/>
    <s v="9781472412034"/>
    <s v=",84,135,136,137,133,134,138,139,39,40,41,37,38,42,43,139,140,141,137,138,142,143,144,145,146,147"/>
    <n v="23"/>
    <m/>
    <m/>
    <s v="No"/>
    <x v="2"/>
    <d v="2015-12-28T16:10:21"/>
    <n v="1"/>
    <s v="128.205.114.91"/>
    <s v="BJ1533.F8 -- .S37 2014eb"/>
    <s v="177/.620941"/>
    <d v="2014-11-28T00:00:00"/>
  </r>
  <r>
    <x v="1526"/>
    <d v="1899-12-30T00:05:20"/>
    <x v="390"/>
    <x v="0"/>
    <s v="Buffalo"/>
    <x v="416"/>
    <n v="1784637"/>
    <x v="1"/>
    <s v="Philosophy"/>
    <s v="9781472412034"/>
    <s v=",1,2,3,12,13,14,10,11,252,253,254,250,251,255,256,257,258,259,12,13,14,10,11,15,16,17,18,19,20,21,22,23,24,25,26,27,28,29,30,31,32,33,254,250,251,122,123,124,120,121,109,110,111,105,106,107,103,104,1,2,3,79,80,81,77,78,82,83"/>
    <n v="57"/>
    <m/>
    <m/>
    <s v="No"/>
    <x v="3"/>
    <m/>
    <m/>
    <s v="128.205.114.91"/>
    <s v="BJ1533.F8 -- .S37 2014eb"/>
    <s v="177/.620941"/>
    <d v="2014-11-28T00:00:00"/>
  </r>
  <r>
    <x v="1527"/>
    <d v="1899-12-30T00:01:46"/>
    <x v="405"/>
    <x v="0"/>
    <s v="Buffalo"/>
    <x v="431"/>
    <n v="1339411"/>
    <x v="11"/>
    <s v="Literature; Political Science"/>
    <s v="9780226033525"/>
    <s v=",177,178"/>
    <n v="2"/>
    <m/>
    <m/>
    <s v="No"/>
    <x v="2"/>
    <d v="2015-12-28T15:45:09"/>
    <n v="1"/>
    <s v="128.205.114.91"/>
    <s v="PA4494.H6 -- S8 2013eb"/>
    <n v="321.89999999999998"/>
    <d v="2013-11-15T00:00:00"/>
  </r>
  <r>
    <x v="1528"/>
    <d v="1899-12-30T00:05:24"/>
    <x v="405"/>
    <x v="0"/>
    <s v="Buffalo"/>
    <x v="431"/>
    <n v="1339411"/>
    <x v="11"/>
    <s v="Literature; Political Science"/>
    <s v="9780226033525"/>
    <s v=",1,2,3,168,169,170,166,167,171,172,173,174,175,176"/>
    <n v="14"/>
    <m/>
    <m/>
    <s v="No"/>
    <x v="3"/>
    <m/>
    <m/>
    <s v="128.205.114.91"/>
    <s v="PA4494.H6 -- S8 2013eb"/>
    <n v="321.89999999999998"/>
    <d v="2013-11-15T00:00:00"/>
  </r>
  <r>
    <x v="1529"/>
    <d v="1899-12-30T00:18:16"/>
    <x v="406"/>
    <x v="0"/>
    <s v="Buffalo"/>
    <x v="432"/>
    <n v="1742825"/>
    <x v="0"/>
    <s v="Medicine"/>
    <s v="9781118298664"/>
    <s v=",169,120,121,26,25"/>
    <n v="5"/>
    <m/>
    <m/>
    <s v="Yes"/>
    <x v="2"/>
    <d v="2015-12-28T15:27:10"/>
    <n v="1"/>
    <s v="128.205.114.91"/>
    <s v="RC377 -- .M858 2014eb"/>
    <s v="616.8/34"/>
    <d v="2014-07-14T00:00:00"/>
  </r>
  <r>
    <x v="1529"/>
    <d v="1899-12-30T00:00:00"/>
    <x v="406"/>
    <x v="0"/>
    <s v="Buffalo"/>
    <x v="432"/>
    <n v="1742825"/>
    <x v="0"/>
    <s v="Medicine"/>
    <s v="9781118298664"/>
    <m/>
    <n v="0"/>
    <m/>
    <m/>
    <s v="No"/>
    <x v="2"/>
    <d v="2015-12-28T15:27:10"/>
    <n v="1"/>
    <s v="128.205.114.91"/>
    <s v="RC377 -- .M858 2014eb"/>
    <s v="616.8/34"/>
    <d v="2014-07-14T00:00:00"/>
  </r>
  <r>
    <x v="1530"/>
    <d v="1899-12-30T00:01:41"/>
    <x v="406"/>
    <x v="0"/>
    <s v="Buffalo"/>
    <x v="432"/>
    <n v="1742825"/>
    <x v="0"/>
    <s v="Medicine"/>
    <s v="9781118298664"/>
    <s v=",1,2,3,6,1"/>
    <n v="4"/>
    <m/>
    <m/>
    <s v="No"/>
    <x v="3"/>
    <m/>
    <m/>
    <s v="128.205.114.91"/>
    <s v="RC377 -- .M858 2014eb"/>
    <s v="616.8/34"/>
    <d v="2014-07-14T00:00:00"/>
  </r>
  <r>
    <x v="1531"/>
    <d v="1899-12-30T00:32:46"/>
    <x v="396"/>
    <x v="0"/>
    <s v="Buffalo"/>
    <x v="28"/>
    <n v="817313"/>
    <x v="0"/>
    <s v="Education"/>
    <s v="9781118136829"/>
    <s v=",1,2,3,65,66,67,68,69,70,71,72,73,74,75,76,77,80,81,82,83,79,84,85,86,87,88,89,90,91,92,93,94,95,96,98,97,99,100,101,102,103,104,105,106,107,108,109,78"/>
    <n v="48"/>
    <m/>
    <m/>
    <s v="No"/>
    <x v="0"/>
    <d v="2015-12-26T21:37:28"/>
    <n v="7"/>
    <s v="128.205.114.91"/>
    <s v="LB2367.4 -- .W65 2012eb"/>
    <n v="378.16640000000001"/>
    <d v="2012-01-10T00:00:00"/>
  </r>
  <r>
    <x v="1532"/>
    <d v="1899-12-30T00:10:36"/>
    <x v="396"/>
    <x v="0"/>
    <s v="Buffalo"/>
    <x v="28"/>
    <n v="817313"/>
    <x v="0"/>
    <s v="Education"/>
    <s v="9781118136829"/>
    <s v=",1,3,2,69,70,71,67,55,56,57,54,53,58,59,60,61,62,63,64,65,66,68,70"/>
    <n v="22"/>
    <m/>
    <m/>
    <s v="No"/>
    <x v="0"/>
    <d v="2015-12-26T21:37:28"/>
    <n v="7"/>
    <s v="128.205.114.91"/>
    <s v="LB2367.4 -- .W65 2012eb"/>
    <n v="378.16640000000001"/>
    <d v="2012-01-10T00:00:00"/>
  </r>
  <r>
    <x v="1533"/>
    <d v="1899-12-30T00:04:05"/>
    <x v="407"/>
    <x v="0"/>
    <s v="Buffalo"/>
    <x v="433"/>
    <n v="1890983"/>
    <x v="0"/>
    <s v="Business/Management"/>
    <s v="9780857085054"/>
    <s v=",1,3,2,5,6,7,4,8,9,10"/>
    <n v="10"/>
    <m/>
    <m/>
    <s v="No"/>
    <x v="3"/>
    <m/>
    <m/>
    <s v="128.205.114.91"/>
    <s v="HD30.23"/>
    <s v="658.4; 658.4038028557"/>
    <d v="2014-12-11T00:00:00"/>
  </r>
  <r>
    <x v="1534"/>
    <d v="1899-12-30T00:22:21"/>
    <x v="396"/>
    <x v="0"/>
    <s v="Buffalo"/>
    <x v="28"/>
    <n v="817313"/>
    <x v="0"/>
    <s v="Education"/>
    <s v="9781118136829"/>
    <s v=",131,133,132,130,129,134,135,203,204,205,201,206,202,207,208,209,210,211,212,215,216,217,218,220,219,246,247,260,261,262,258,259,263,264,265,266,267,268,269,270,271,272,273,310,331,153,87,55,56,57,54,53,170,171,172,168,169,173,136,137,138,139,140,141,142,143,144,145,146,147,148,149,150,151,152,154,155,156,157,158,160,159,161,162,163,164,165,166,167,174,175,176,177,178,179,180,181,182,183,184,185,186,187,188,189,190,191,192,193,194,195,196,197,198,199,200,213,214,221,222,223"/>
    <n v="121"/>
    <m/>
    <m/>
    <s v="Yes"/>
    <x v="0"/>
    <d v="2015-12-26T21:37:28"/>
    <n v="7"/>
    <s v="128.205.114.91"/>
    <s v="LB2367.4 -- .W65 2012eb"/>
    <n v="378.16640000000001"/>
    <d v="2012-01-10T00:00:00"/>
  </r>
  <r>
    <x v="1535"/>
    <d v="1899-12-30T00:00:03"/>
    <x v="396"/>
    <x v="0"/>
    <s v="Buffalo"/>
    <x v="28"/>
    <n v="817313"/>
    <x v="0"/>
    <s v="Education"/>
    <s v="9781118136829"/>
    <s v=",1,2,3"/>
    <n v="3"/>
    <m/>
    <m/>
    <s v="No"/>
    <x v="0"/>
    <d v="2015-12-26T21:37:28"/>
    <n v="7"/>
    <s v="128.205.114.91"/>
    <s v="LB2367.4 -- .W65 2012eb"/>
    <n v="378.16640000000001"/>
    <d v="2012-01-10T00:00:00"/>
  </r>
  <r>
    <x v="1536"/>
    <d v="1899-12-30T00:00:14"/>
    <x v="308"/>
    <x v="0"/>
    <s v="Buffalo"/>
    <x v="321"/>
    <n v="1184140"/>
    <x v="0"/>
    <s v="Military Science; Social Science"/>
    <s v="9780745663036"/>
    <s v=",1,2,3,3,2,1,1,2,2,3,3"/>
    <n v="3"/>
    <m/>
    <m/>
    <s v="No"/>
    <x v="3"/>
    <m/>
    <m/>
    <s v="128.205.114.91"/>
    <s v="U240 .K34"/>
    <n v="303.66000000000003"/>
    <d v="2013-04-26T00:00:00"/>
  </r>
  <r>
    <x v="1537"/>
    <d v="1899-12-30T00:00:40"/>
    <x v="408"/>
    <x v="0"/>
    <s v="Buffalo"/>
    <x v="434"/>
    <n v="1181435"/>
    <x v="0"/>
    <s v="Religion; Philosophy"/>
    <s v="9780745669625"/>
    <s v=",1,2,3,102,103,104,100,101"/>
    <n v="8"/>
    <m/>
    <m/>
    <s v="No"/>
    <x v="3"/>
    <m/>
    <m/>
    <s v="128.205.114.91"/>
    <s v="BL1138.26"/>
    <n v="170"/>
    <d v="2013-04-24T00:00:00"/>
  </r>
  <r>
    <x v="1538"/>
    <d v="1899-12-30T00:00:06"/>
    <x v="90"/>
    <x v="0"/>
    <s v="Buffalo"/>
    <x v="435"/>
    <n v="4093369"/>
    <x v="0"/>
    <m/>
    <s v="9781119074670"/>
    <s v=",1,2,3,2,3,1"/>
    <n v="3"/>
    <m/>
    <m/>
    <s v="No"/>
    <x v="0"/>
    <d v="2015-12-22T02:58:05"/>
    <n v="7"/>
    <s v="128.205.114.91"/>
    <m/>
    <m/>
    <d v="2015-09-30T00:00:00"/>
  </r>
  <r>
    <x v="1539"/>
    <d v="1899-12-30T02:10:03"/>
    <x v="409"/>
    <x v="0"/>
    <s v="Buffalo"/>
    <x v="111"/>
    <n v="1166322"/>
    <x v="0"/>
    <s v="Architecture"/>
    <s v="9781118418512"/>
    <s v=",78,79,80,88,89,90,86,87,121,122,123,119,120,124,125,126,127,227,228,229,225,226,230,231,232,1,232,233,234,230,231,2,427,428,429,425,426,430,431,432,433,434,435,436,437,438,439,440,441,442"/>
    <n v="47"/>
    <m/>
    <m/>
    <s v="No"/>
    <x v="0"/>
    <d v="2015-12-27T18:23:49"/>
    <n v="7"/>
    <s v="128.205.114.91"/>
    <s v="NA2000 -- .G76 2013eb"/>
    <n v="720.072"/>
    <d v="2013-04-03T00:00:00"/>
  </r>
  <r>
    <x v="1540"/>
    <d v="1899-12-30T00:10:57"/>
    <x v="409"/>
    <x v="0"/>
    <s v="Buffalo"/>
    <x v="111"/>
    <n v="1166322"/>
    <x v="0"/>
    <s v="Architecture"/>
    <s v="9781118418512"/>
    <s v=",1,2,3,37,38,39,35,36,40,41,75,76,77,73,74"/>
    <n v="15"/>
    <m/>
    <m/>
    <s v="No"/>
    <x v="1"/>
    <m/>
    <m/>
    <s v="128.205.114.91"/>
    <s v="NA2000 -- .G76 2013eb"/>
    <n v="720.072"/>
    <d v="2013-04-03T00:00:00"/>
  </r>
  <r>
    <x v="1541"/>
    <d v="1899-12-30T02:57:55"/>
    <x v="379"/>
    <x v="0"/>
    <s v="Buffalo"/>
    <x v="422"/>
    <n v="818049"/>
    <x v="0"/>
    <s v="Business/Management; Economics"/>
    <s v="9781118224274"/>
    <s v=",1,2,3,22,23,24,20,21,25,26,27,28,29,30,31,1,31,32,33,30,29,2,34,35,1,35,36,37,33,34,2,38,39,31,32"/>
    <n v="23"/>
    <m/>
    <m/>
    <s v="No"/>
    <x v="0"/>
    <d v="2015-12-24T03:03:54"/>
    <n v="7"/>
    <s v="128.205.114.91"/>
    <s v="HG4529 -- .G75 2012eb"/>
    <s v="332.63/2042"/>
    <d v="2012-05-06T00:00:00"/>
  </r>
  <r>
    <x v="1542"/>
    <d v="1899-12-30T00:00:10"/>
    <x v="379"/>
    <x v="0"/>
    <s v="Buffalo"/>
    <x v="422"/>
    <n v="818049"/>
    <x v="0"/>
    <s v="Business/Management; Economics"/>
    <s v="9781118224274"/>
    <s v=",1,2,3"/>
    <n v="3"/>
    <m/>
    <m/>
    <s v="No"/>
    <x v="0"/>
    <d v="2015-12-24T03:03:54"/>
    <n v="7"/>
    <s v="128.205.114.91"/>
    <s v="HG4529 -- .G75 2012eb"/>
    <s v="332.63/2042"/>
    <d v="2012-05-06T00:00:00"/>
  </r>
  <r>
    <x v="1543"/>
    <d v="1899-12-30T00:42:16"/>
    <x v="396"/>
    <x v="0"/>
    <s v="Buffalo"/>
    <x v="28"/>
    <n v="817313"/>
    <x v="0"/>
    <s v="Education"/>
    <s v="9781118136829"/>
    <s v=",1,2,3,169,170,171,167,168,172,173,174,175,176,177,2,189,190,191,187,192,188,193,194,195,203,204,205,201,202,206,241,242,243,239,240,244,245,246,247,248,249,250,251,252,253,254,255,263,264,265,261,262,266,354,355,356,352,353,357,358,359,360,361,362,363,364,365,366,369,368,370,367,371,372,373,375,376,379,380,337,142,128,129,130,204,205,206,202,203,107,108,109,110,111,121,122,123,124,125,126,127,121,120,118,119,128,129,130,65,66,67,63,64,68,69,130,131,132,133"/>
    <n v="108"/>
    <m/>
    <m/>
    <s v="No"/>
    <x v="0"/>
    <d v="2015-12-26T21:37:28"/>
    <n v="7"/>
    <s v="128.205.114.91"/>
    <s v="LB2367.4 -- .W65 2012eb"/>
    <n v="378.16640000000001"/>
    <d v="2012-01-10T00:00:00"/>
  </r>
  <r>
    <x v="1544"/>
    <d v="1899-12-30T03:14:10"/>
    <x v="410"/>
    <x v="0"/>
    <s v="Buffalo"/>
    <x v="436"/>
    <n v="667860"/>
    <x v="2"/>
    <s v="Social Science"/>
    <s v="9781136970382"/>
    <s v=",1,2,3,120,121,122,118,119,123,124,125,126,127,128,129,130,131,132,133,134,135,136,137,138,139,140,141,142,143,144,145,146,147,148,149,150,151,152,153,154,155,156,157,158,159,160,162,161,163,164,165,166,167,168,169,170,171,172,173,174,175,176,1,176,177,178,174,175,179,2,180,181,182,183,184,185,186,187,188,189,190,191,192,193,194,195,196,197,198,199,200,201,202,203,204,205,206,230,231,232,229,228,227,233,247,248,249,245,246,250,263,264,265,261,262,266,267,268,269,270,271,272,273,274,275,276"/>
    <n v="121"/>
    <m/>
    <m/>
    <s v="No"/>
    <x v="2"/>
    <d v="2015-12-27T00:11:40"/>
    <n v="1"/>
    <s v="128.205.114.91"/>
    <s v="HQ1115 -- .W59 2011eb"/>
    <n v="305.42095599999999"/>
    <d v="2013-09-05T00:00:00"/>
  </r>
  <r>
    <x v="1545"/>
    <d v="1899-12-30T00:00:01"/>
    <x v="410"/>
    <x v="0"/>
    <s v="Buffalo"/>
    <x v="436"/>
    <n v="667860"/>
    <x v="2"/>
    <s v="Social Science"/>
    <s v="9781136970382"/>
    <m/>
    <n v="0"/>
    <m/>
    <m/>
    <s v="No"/>
    <x v="3"/>
    <m/>
    <m/>
    <s v="128.205.114.91"/>
    <s v="HQ1115 -- .W59 2011eb"/>
    <n v="305.42095599999999"/>
    <d v="2013-09-05T00:00:00"/>
  </r>
  <r>
    <x v="1546"/>
    <d v="1899-12-30T00:00:54"/>
    <x v="293"/>
    <x v="1"/>
    <s v="brockport"/>
    <x v="95"/>
    <n v="1566387"/>
    <x v="0"/>
    <s v="Social Science"/>
    <s v="9781118471906"/>
    <s v=",1,449,450,451,447,448,2,463,464,465,461,462"/>
    <n v="12"/>
    <m/>
    <s v=",450,451,452,453,454,455,456,457,458,459,460,461,462,463"/>
    <s v="No"/>
    <x v="0"/>
    <d v="2015-12-25T14:46:01"/>
    <n v="7"/>
    <s v="137.21.7.121"/>
    <s v="HM585 -- .D555 2014eb"/>
    <n v="301"/>
    <d v="2013-11-18T00:00:00"/>
  </r>
  <r>
    <x v="1547"/>
    <d v="1899-12-30T00:24:52"/>
    <x v="396"/>
    <x v="0"/>
    <s v="Buffalo"/>
    <x v="28"/>
    <n v="817313"/>
    <x v="0"/>
    <s v="Education"/>
    <s v="9781118136829"/>
    <s v=",1,2,3,4,118,119,120,121,123,122,116,117,124,125,126"/>
    <n v="15"/>
    <m/>
    <m/>
    <s v="No"/>
    <x v="0"/>
    <d v="2015-12-26T21:37:28"/>
    <n v="7"/>
    <s v="128.205.114.91"/>
    <s v="LB2367.4 -- .W65 2012eb"/>
    <n v="378.16640000000001"/>
    <d v="2012-01-10T00:00:00"/>
  </r>
  <r>
    <x v="1548"/>
    <d v="1899-12-30T00:00:27"/>
    <x v="396"/>
    <x v="0"/>
    <s v="Buffalo"/>
    <x v="28"/>
    <n v="817313"/>
    <x v="0"/>
    <s v="Education"/>
    <s v="9781118136829"/>
    <s v=",1,2,1,2,3,3,2,2"/>
    <n v="3"/>
    <m/>
    <m/>
    <s v="No"/>
    <x v="0"/>
    <d v="2015-12-26T21:37:28"/>
    <n v="7"/>
    <s v="128.205.114.91"/>
    <s v="LB2367.4 -- .W65 2012eb"/>
    <n v="378.16640000000001"/>
    <d v="2012-01-10T00:00:00"/>
  </r>
  <r>
    <x v="1549"/>
    <d v="1899-12-30T00:36:42"/>
    <x v="396"/>
    <x v="0"/>
    <s v="Buffalo"/>
    <x v="28"/>
    <n v="817313"/>
    <x v="0"/>
    <s v="Education"/>
    <s v="9781118136829"/>
    <s v=",117,118,119,120,121,122,123,124,122,126,127,128,124,125,113"/>
    <n v="13"/>
    <m/>
    <m/>
    <s v="No"/>
    <x v="0"/>
    <d v="2015-12-26T21:37:28"/>
    <n v="7"/>
    <s v="128.205.114.91"/>
    <s v="LB2367.4 -- .W65 2012eb"/>
    <n v="378.16640000000001"/>
    <d v="2012-01-10T00:00:00"/>
  </r>
  <r>
    <x v="1550"/>
    <d v="1899-12-30T00:10:40"/>
    <x v="396"/>
    <x v="0"/>
    <s v="Buffalo"/>
    <x v="28"/>
    <n v="817313"/>
    <x v="0"/>
    <s v="Education"/>
    <s v="9781118136829"/>
    <s v=",1,2,3,112,113,114,110,111,115,116"/>
    <n v="10"/>
    <m/>
    <m/>
    <s v="No"/>
    <x v="1"/>
    <m/>
    <m/>
    <s v="128.205.114.91"/>
    <s v="LB2367.4 -- .W65 2012eb"/>
    <n v="378.16640000000001"/>
    <d v="2012-01-10T00:00:00"/>
  </r>
  <r>
    <x v="1551"/>
    <d v="1899-12-30T00:00:00"/>
    <x v="403"/>
    <x v="0"/>
    <s v="Buffalo"/>
    <x v="429"/>
    <n v="1569694"/>
    <x v="2"/>
    <s v="Fine Arts"/>
    <s v="9781317860938"/>
    <m/>
    <n v="0"/>
    <m/>
    <m/>
    <s v="Yes"/>
    <x v="2"/>
    <d v="2015-12-26T14:56:30"/>
    <n v="1"/>
    <s v="128.205.114.91"/>
    <s v="NX456.5.M64 -- W35 2013eb"/>
    <n v="700.41120000000001"/>
    <d v="2013-11-04T00:00:00"/>
  </r>
  <r>
    <x v="1552"/>
    <d v="1899-12-30T00:00:41"/>
    <x v="403"/>
    <x v="0"/>
    <s v="Buffalo"/>
    <x v="429"/>
    <n v="1569694"/>
    <x v="2"/>
    <s v="Fine Arts"/>
    <s v="9781317860938"/>
    <s v=",1,2,3,9"/>
    <n v="4"/>
    <s v=",6"/>
    <m/>
    <s v="No"/>
    <x v="2"/>
    <d v="2015-12-26T14:56:30"/>
    <n v="1"/>
    <s v="128.205.114.91"/>
    <s v="NX456.5.M64 -- W35 2013eb"/>
    <n v="700.41120000000001"/>
    <d v="2013-11-04T00:00:00"/>
  </r>
  <r>
    <x v="1553"/>
    <d v="1899-12-30T00:00:50"/>
    <x v="403"/>
    <x v="0"/>
    <s v="Buffalo"/>
    <x v="429"/>
    <n v="1569694"/>
    <x v="2"/>
    <s v="Fine Arts"/>
    <s v="9781317860938"/>
    <s v=",1,2,3,4,5,6,7,8,9"/>
    <n v="9"/>
    <m/>
    <m/>
    <s v="No"/>
    <x v="3"/>
    <m/>
    <m/>
    <s v="128.205.114.91"/>
    <s v="NX456.5.M64 -- W35 2013eb"/>
    <n v="700.41120000000001"/>
    <d v="2013-11-04T00:00:00"/>
  </r>
  <r>
    <x v="1554"/>
    <d v="1899-12-30T03:09:18"/>
    <x v="410"/>
    <x v="0"/>
    <s v="Buffalo"/>
    <x v="436"/>
    <n v="667860"/>
    <x v="2"/>
    <s v="Social Science"/>
    <s v="9781136970382"/>
    <s v=",1,2,3,35,36,37,33,34,38,39,40,41,42,43,44,45,46,47,48,49,50,51,52,53,54,55,56,57,58,59,60,61,62,63,49,63,64,65,62,286,287,288,284,289,290,291,64,65,61,66,62,67,68,69,70,71,72,73,74,75,76,77,78,79,80,81,82,83,84,85,86,87,88,89,90,91,92,93,94,95,96,97,98,99,100,101,102,103,104,105,106,107,108,109,110,111,112,113,114,115,116,117,118,119,120,287,290,293,294,295,291,296,292,297,299,300,302,303,304,301,118,119,120,117"/>
    <n v="110"/>
    <m/>
    <m/>
    <s v="No"/>
    <x v="2"/>
    <d v="2015-12-25T22:15:28"/>
    <n v="1"/>
    <s v="128.205.114.91"/>
    <s v="HQ1115 -- .W59 2011eb"/>
    <n v="305.42095599999999"/>
    <d v="2013-09-05T00:00:00"/>
  </r>
  <r>
    <x v="1555"/>
    <d v="1899-12-30T00:27:58"/>
    <x v="411"/>
    <x v="0"/>
    <s v="Buffalo"/>
    <x v="437"/>
    <n v="1767915"/>
    <x v="0"/>
    <s v="Social Science"/>
    <s v="9780730315148"/>
    <s v=",7,8,9,10,30,31,32,28,29,33,34,35,36,37,38,39,40,41,42,43,44,45,46,47,48,49,50,51,19,20,21,17,18,22,23,24,25,26,27"/>
    <n v="39"/>
    <m/>
    <m/>
    <s v="No"/>
    <x v="0"/>
    <d v="2015-12-26T08:02:53"/>
    <n v="7"/>
    <s v="128.205.114.91"/>
    <s v="HM742 -- .C654 2015eb"/>
    <n v="302.23099999999999"/>
    <d v="2014-08-15T00:00:00"/>
  </r>
  <r>
    <x v="1556"/>
    <d v="1899-12-30T00:12:12"/>
    <x v="411"/>
    <x v="0"/>
    <s v="Buffalo"/>
    <x v="437"/>
    <n v="1767915"/>
    <x v="0"/>
    <s v="Social Science"/>
    <s v="9780730315148"/>
    <s v=",1,2,3,4,5,6"/>
    <n v="6"/>
    <m/>
    <m/>
    <s v="No"/>
    <x v="1"/>
    <m/>
    <m/>
    <s v="128.205.114.91"/>
    <s v="HM742 -- .C654 2015eb"/>
    <n v="302.23099999999999"/>
    <d v="2014-08-15T00:00:00"/>
  </r>
  <r>
    <x v="1557"/>
    <d v="1899-12-30T00:22:57"/>
    <x v="412"/>
    <x v="0"/>
    <s v="Buffalo"/>
    <x v="438"/>
    <n v="1517682"/>
    <x v="2"/>
    <s v="Science: Anatomy/Physiology; Science; Science: Biology/Natural History"/>
    <s v="9781135064655"/>
    <s v=",11,12,13,9,10,7,8,48,49,46,47,32,33,34,30,31"/>
    <n v="16"/>
    <m/>
    <m/>
    <s v="Yes"/>
    <x v="2"/>
    <d v="2015-12-26T04:37:13"/>
    <n v="7"/>
    <s v="128.205.114.91"/>
    <s v="QP360 -- .G733 1994eb"/>
    <n v="612.79999999999995"/>
    <d v="2013-10-28T00:00:00"/>
  </r>
  <r>
    <x v="1557"/>
    <d v="1899-12-30T00:00:00"/>
    <x v="412"/>
    <x v="0"/>
    <s v="Buffalo"/>
    <x v="438"/>
    <n v="1517682"/>
    <x v="2"/>
    <s v="Science: Anatomy/Physiology; Science; Science: Biology/Natural History"/>
    <s v="9781135064655"/>
    <m/>
    <n v="0"/>
    <m/>
    <m/>
    <s v="No"/>
    <x v="2"/>
    <d v="2015-12-26T04:37:13"/>
    <n v="7"/>
    <s v="128.205.114.91"/>
    <s v="QP360 -- .G733 1994eb"/>
    <n v="612.79999999999995"/>
    <d v="2013-10-28T00:00:00"/>
  </r>
  <r>
    <x v="1558"/>
    <d v="1899-12-30T00:02:22"/>
    <x v="412"/>
    <x v="0"/>
    <s v="Buffalo"/>
    <x v="438"/>
    <n v="1517682"/>
    <x v="2"/>
    <s v="Science: Anatomy/Physiology; Science; Science: Biology/Natural History"/>
    <s v="9781135064655"/>
    <s v=",1,2,3,4,5,6,7,8,9,11,10,12,13,1"/>
    <n v="13"/>
    <m/>
    <m/>
    <s v="No"/>
    <x v="3"/>
    <m/>
    <m/>
    <s v="128.205.114.91"/>
    <s v="QP360 -- .G733 1994eb"/>
    <n v="612.79999999999995"/>
    <d v="2013-10-28T00:00:00"/>
  </r>
  <r>
    <x v="1559"/>
    <d v="1899-12-30T00:44:02"/>
    <x v="410"/>
    <x v="0"/>
    <s v="Buffalo"/>
    <x v="436"/>
    <n v="667860"/>
    <x v="2"/>
    <s v="Social Science"/>
    <s v="9781136970382"/>
    <s v=",19,20,21,22,23,24,25,26,27,28,29,30,31,32,33,34,35"/>
    <n v="17"/>
    <m/>
    <m/>
    <s v="No"/>
    <x v="2"/>
    <d v="2015-12-25T22:15:28"/>
    <n v="1"/>
    <s v="128.205.114.91"/>
    <s v="HQ1115 -- .W59 2011eb"/>
    <n v="305.42095599999999"/>
    <d v="2013-09-05T00:00:00"/>
  </r>
  <r>
    <x v="1560"/>
    <d v="1899-12-30T00:03:58"/>
    <x v="410"/>
    <x v="0"/>
    <s v="Buffalo"/>
    <x v="436"/>
    <n v="667860"/>
    <x v="2"/>
    <s v="Social Science"/>
    <s v="9781136970382"/>
    <s v=",1,2,3,8,9,10,6,7,11,12,13,14,16,17,18,15"/>
    <n v="16"/>
    <m/>
    <m/>
    <s v="No"/>
    <x v="3"/>
    <m/>
    <m/>
    <s v="128.205.114.91"/>
    <s v="HQ1115 -- .W59 2011eb"/>
    <n v="305.42095599999999"/>
    <d v="2013-09-05T00:00:00"/>
  </r>
  <r>
    <x v="1561"/>
    <d v="1899-12-30T00:02:56"/>
    <x v="410"/>
    <x v="0"/>
    <s v="Buffalo"/>
    <x v="436"/>
    <n v="667860"/>
    <x v="2"/>
    <s v="Social Science"/>
    <s v="9781136970382"/>
    <s v=",1,2,3,8,9,10,6,7,11,12,16,17,18,14,15"/>
    <n v="15"/>
    <m/>
    <m/>
    <s v="No"/>
    <x v="3"/>
    <m/>
    <m/>
    <s v="128.205.114.91"/>
    <s v="HQ1115 -- .W59 2011eb"/>
    <n v="305.42095599999999"/>
    <d v="2013-09-05T00:00:00"/>
  </r>
  <r>
    <x v="1562"/>
    <d v="1899-12-30T00:02:13"/>
    <x v="413"/>
    <x v="0"/>
    <s v="Buffalo"/>
    <x v="439"/>
    <n v="4038113"/>
    <x v="0"/>
    <s v="Political Science"/>
    <s v="9781118725870"/>
    <s v=",1,2,3,663,664,661,662,704,705,706,736,737,738,734,735,733,731,732,730,728,729,727,726,725,724,723,721,722,720,719,717,718,716,715,714,713,711,712,709,710,708,707,43,44,45,41,42,63,64,65,61,62"/>
    <n v="52"/>
    <m/>
    <m/>
    <s v="No"/>
    <x v="3"/>
    <m/>
    <m/>
    <s v="128.205.114.91"/>
    <s v="JC319 -- .W554 2015eb"/>
    <s v="320.1/2"/>
    <d v="2015-08-10T00:00:00"/>
  </r>
  <r>
    <x v="1563"/>
    <d v="1899-12-30T00:00:04"/>
    <x v="413"/>
    <x v="0"/>
    <s v="Buffalo"/>
    <x v="439"/>
    <n v="4038113"/>
    <x v="0"/>
    <s v="Political Science"/>
    <s v="9781118725870"/>
    <s v=",1,3,2"/>
    <n v="3"/>
    <m/>
    <m/>
    <s v="No"/>
    <x v="3"/>
    <m/>
    <m/>
    <s v="128.205.114.91"/>
    <s v="JC319 -- .W554 2015eb"/>
    <s v="320.1/2"/>
    <d v="2015-08-10T00:00:00"/>
  </r>
  <r>
    <x v="1564"/>
    <d v="1899-12-30T00:09:06"/>
    <x v="396"/>
    <x v="0"/>
    <s v="Buffalo"/>
    <x v="28"/>
    <n v="817313"/>
    <x v="0"/>
    <s v="Education"/>
    <s v="9781118136829"/>
    <s v=",1,2,3,4,5,6,7,143,144,145,141,142,33,34,35,31,32,37,38,39,36,49,50,51,52,53,55,56,57,54,58,59,60,61,62,63,64,65"/>
    <n v="38"/>
    <m/>
    <m/>
    <s v="No"/>
    <x v="1"/>
    <m/>
    <m/>
    <s v="128.205.114.91"/>
    <s v="LB2367.4 -- .W65 2012eb"/>
    <n v="378.16640000000001"/>
    <d v="2012-01-10T00:00:00"/>
  </r>
  <r>
    <x v="1565"/>
    <d v="1899-12-30T00:31:42"/>
    <x v="293"/>
    <x v="1"/>
    <s v="brockport"/>
    <x v="95"/>
    <n v="1566387"/>
    <x v="0"/>
    <s v="Social Science"/>
    <s v="9781118471906"/>
    <s v=",454,455,456,453,451,469,469,470,467,471,470,471,460,458,460,459,456,459,457,455,454,453,452,451,456,451,456,457,457,1,459,455,458,457,458,459,456,456,1,1,2,2,3,3,2,2,1,2,2,4,3,3,4,1,1,4,6,4,2,5,6,3,5,3,3,1,3,5,2,5,2,4,4,4,1,5,4,6,5,2,6,3,3,3,1,1,4,1,3,5,4,3,2,4,5,5,3,2,2,4,5,2,1,1,2,2,3,3,1,2,2,1,2,3,2,4,3,4,1,1,2,2,3,3,1,3,2,3,4,2,2,5,2,4,5,1,5,5,6,4,6,4,3,7,7,7,1,7,9,8,5,9,8,6,1,6,1,2,2,2,2"/>
    <n v="23"/>
    <m/>
    <m/>
    <s v="No"/>
    <x v="0"/>
    <d v="2015-12-25T14:46:01"/>
    <n v="7"/>
    <s v="137.21.7.121"/>
    <s v="HM585 -- .D555 2014eb"/>
    <n v="301"/>
    <d v="2013-11-18T00:00:00"/>
  </r>
  <r>
    <x v="1566"/>
    <d v="1899-12-30T00:07:37"/>
    <x v="293"/>
    <x v="1"/>
    <s v="brockport"/>
    <x v="95"/>
    <n v="1566387"/>
    <x v="0"/>
    <s v="Social Science"/>
    <s v="9781118471906"/>
    <s v=",1,449,449,450,450,451,447,451,448,448,1,2,2,456,456,457,458,457,458,455,455,454,453,452,451,450,449,448,447,446,451,458,455,448,451,452,453,449,450,448"/>
    <n v="15"/>
    <m/>
    <m/>
    <s v="No"/>
    <x v="3"/>
    <m/>
    <m/>
    <s v="137.21.7.121"/>
    <s v="HM585 -- .D555 2014eb"/>
    <n v="301"/>
    <d v="2013-11-18T00:00:00"/>
  </r>
  <r>
    <x v="1567"/>
    <d v="1899-12-30T00:02:49"/>
    <x v="414"/>
    <x v="0"/>
    <s v="Buffalo"/>
    <x v="440"/>
    <n v="707971"/>
    <x v="0"/>
    <s v="Medicine"/>
    <s v="9781118293973"/>
    <s v=",21,22,23,24,25,26"/>
    <n v="6"/>
    <m/>
    <m/>
    <s v="No"/>
    <x v="0"/>
    <d v="2015-12-25T06:53:28"/>
    <n v="7"/>
    <s v="128.205.114.91"/>
    <s v="RB145"/>
    <s v="616.1/5; 616.15"/>
    <d v="2011-11-21T00:00:00"/>
  </r>
  <r>
    <x v="1568"/>
    <d v="1899-12-30T00:02:45"/>
    <x v="414"/>
    <x v="0"/>
    <s v="Buffalo"/>
    <x v="440"/>
    <n v="707971"/>
    <x v="0"/>
    <s v="Medicine"/>
    <s v="9781118293973"/>
    <s v=",1,2,3,4,6,7,8,9,10,11,12,13,14,15,16,17,18,19,20"/>
    <n v="19"/>
    <m/>
    <m/>
    <s v="No"/>
    <x v="1"/>
    <m/>
    <m/>
    <s v="128.205.114.91"/>
    <s v="RB145"/>
    <s v="616.1/5; 616.15"/>
    <d v="2011-11-21T00:00:00"/>
  </r>
  <r>
    <x v="1569"/>
    <d v="1899-12-30T01:42:59"/>
    <x v="241"/>
    <x v="0"/>
    <s v="Buffalo"/>
    <x v="127"/>
    <n v="1166311"/>
    <x v="0"/>
    <s v="Military Science"/>
    <s v="9781118525616"/>
    <s v=",126,127,128,129,130"/>
    <n v="5"/>
    <m/>
    <m/>
    <s v="No"/>
    <x v="0"/>
    <d v="2015-12-25T00:05:46"/>
    <n v="7"/>
    <s v="128.205.114.91"/>
    <s v="U408.5 .P384 2013"/>
    <n v="355.00700000000001"/>
    <d v="2013-04-02T00:00:00"/>
  </r>
  <r>
    <x v="1570"/>
    <d v="1899-12-30T00:12:13"/>
    <x v="241"/>
    <x v="0"/>
    <s v="Buffalo"/>
    <x v="127"/>
    <n v="1166311"/>
    <x v="0"/>
    <s v="Military Science"/>
    <s v="9781118525616"/>
    <s v=",1,2,3,4,5,6,7,8,9,10,11,12,13,107,108,109,105,121,122,123,119,120,124,125"/>
    <n v="24"/>
    <m/>
    <m/>
    <s v="No"/>
    <x v="1"/>
    <m/>
    <m/>
    <s v="128.205.114.91"/>
    <s v="U408.5 .P384 2013"/>
    <n v="355.00700000000001"/>
    <d v="2013-04-02T00:00:00"/>
  </r>
  <r>
    <x v="1571"/>
    <d v="1899-12-30T00:00:00"/>
    <x v="415"/>
    <x v="0"/>
    <s v="Buffalo"/>
    <x v="441"/>
    <n v="1210953"/>
    <x v="0"/>
    <s v="Psychology; Business/Management"/>
    <s v="9781118652831"/>
    <m/>
    <n v="0"/>
    <m/>
    <m/>
    <s v="Yes"/>
    <x v="0"/>
    <d v="2015-12-24T20:05:29"/>
    <n v="7"/>
    <s v="128.205.114.91"/>
    <s v="BF637.S8 -- .S687 2013eb"/>
    <n v="650.1"/>
    <d v="2013-05-06T00:00:00"/>
  </r>
  <r>
    <x v="1571"/>
    <d v="1899-12-30T00:00:00"/>
    <x v="415"/>
    <x v="0"/>
    <s v="Buffalo"/>
    <x v="441"/>
    <n v="1210953"/>
    <x v="0"/>
    <s v="Psychology; Business/Management"/>
    <s v="9781118652831"/>
    <m/>
    <n v="0"/>
    <m/>
    <m/>
    <s v="No"/>
    <x v="0"/>
    <d v="2015-12-24T20:05:29"/>
    <n v="7"/>
    <s v="128.205.114.91"/>
    <s v="BF637.S8 -- .S687 2013eb"/>
    <n v="650.1"/>
    <d v="2013-05-06T00:00:00"/>
  </r>
  <r>
    <x v="1572"/>
    <d v="1899-12-30T00:00:17"/>
    <x v="415"/>
    <x v="0"/>
    <s v="Buffalo"/>
    <x v="441"/>
    <n v="1210953"/>
    <x v="0"/>
    <s v="Psychology; Business/Management"/>
    <s v="9781118652831"/>
    <s v=",1,2,3"/>
    <n v="3"/>
    <m/>
    <m/>
    <s v="No"/>
    <x v="3"/>
    <m/>
    <m/>
    <s v="128.205.114.91"/>
    <s v="BF637.S8 -- .S687 2013eb"/>
    <n v="650.1"/>
    <d v="2013-05-06T00:00:00"/>
  </r>
  <r>
    <x v="1573"/>
    <d v="1899-12-30T00:03:44"/>
    <x v="416"/>
    <x v="0"/>
    <s v="Buffalo"/>
    <x v="442"/>
    <n v="1562534"/>
    <x v="2"/>
    <s v="History"/>
    <s v="9781317898917"/>
    <s v=",1,2,3,77,78,79,75,76,80,81,82,83,84,85,76,77,78,75,74"/>
    <n v="15"/>
    <m/>
    <m/>
    <s v="No"/>
    <x v="2"/>
    <d v="2015-12-24T06:38:16"/>
    <n v="1"/>
    <s v="128.205.114.91"/>
    <s v="D387.J66 1"/>
    <n v="940.28399999999999"/>
    <d v="2013-11-14T00:00:00"/>
  </r>
  <r>
    <x v="1574"/>
    <d v="1899-12-30T00:26:57"/>
    <x v="293"/>
    <x v="1"/>
    <s v="brockport"/>
    <x v="95"/>
    <n v="1566387"/>
    <x v="0"/>
    <s v="Social Science"/>
    <s v="9781118471906"/>
    <s v=",1,243,244,243,245,244,241,245,242,242,1,2,2,246,247,248,246,247,249,248,249,252,254,252,256,255,256,254,257,255,258,257,259,258,259,262,263,262,264,263,264,267,268,269,270,267,269,271,270,272,273,272,274,268,271,274,273,269,268,266,267,265,264,263,261,262,261,260,257,258,255,256,254,259,253,251,252,250,249,247,253,248,246,245,244,243,242,241,267,268,269,265,266,270,273,278,278,279,280,279,280,283,283,284,285,284,281,285,282,282,286,286,287,288,287,289,288,289,290,290,291,292,291,292,293,293,294,294,295,295,296,297,296,297,320,320,350,350,351,352,351,352,348,349,349,346,347,347,331,331,332,333,332,330,329,330,333,342,342,343,344,343,344,340,341,341,339,338,343,344,345,345,346,347,348,349,295,296,297,293,294,401,402,401,403,402,399,403,400,400,398,397,395,396,394,393,392,390,391,389,412,413,412,413,414,410,414,411,411,415,415,449,450,449,451,450,451,447,448,448,472,473,472,474,473,474,470,471,471,475,475,1,475,476,477,475,477,473,476,474,474,1,1,3,3,2,2,1,2,2,1,2,2,3,3,4,4,1,1,2,2,3,3,1,3,3,4,4,2,2,5,1,5,2,2,1,2,2,3,3,4,4,1,2,2,1,2,2,3,3,4,4"/>
    <n v="114"/>
    <m/>
    <s v=",243,244,245,246,247,248,249,250,251,252,253,254,255,256,257,258,259,260,261,262,263,264,265,266,267,268,269,270,271,272,273,274,275,276,277,278,279,280,281,282,283,284,285,286,287,288,289,290,291,292,293,295,296,297,298,299,300,301,302,303,304,305,306,307,308,309,310,311,312,313,314,315,316,317,318,319,320,321,322,323,324,325,326,327,328,329,330,331,332,333,334,335,336,337,338,339,340,341,342,343,344,345,346,347,391,392,393,394,395,396,397,398,399,400,401,402,403,404,405,406,407,408,409,410,411,412,413"/>
    <s v="No"/>
    <x v="2"/>
    <d v="2015-12-23T20:47:24"/>
    <n v="1"/>
    <s v="137.21.7.121"/>
    <s v="HM585 -- .D555 2014eb"/>
    <n v="301"/>
    <d v="2013-11-18T00:00:00"/>
  </r>
  <r>
    <x v="1575"/>
    <d v="1899-12-30T00:00:32"/>
    <x v="293"/>
    <x v="1"/>
    <s v="brockport"/>
    <x v="95"/>
    <n v="1566387"/>
    <x v="0"/>
    <s v="Social Science"/>
    <s v="9781118471906"/>
    <s v=",1,243,244,245,241,242,2,246"/>
    <n v="8"/>
    <m/>
    <m/>
    <s v="No"/>
    <x v="2"/>
    <d v="2015-12-23T20:47:24"/>
    <n v="1"/>
    <s v="137.21.7.121"/>
    <s v="HM585 -- .D555 2014eb"/>
    <n v="301"/>
    <d v="2013-11-18T00:00:00"/>
  </r>
  <r>
    <x v="1576"/>
    <d v="1899-12-30T00:34:19"/>
    <x v="416"/>
    <x v="0"/>
    <s v="Buffalo"/>
    <x v="442"/>
    <n v="1562534"/>
    <x v="2"/>
    <s v="History"/>
    <s v="9781317898917"/>
    <s v=",1,2,3,73,74,75,71,72,76,77,78,79,80,81,82,83,84,85,105,106,107,103,104,108,109,110,111"/>
    <n v="27"/>
    <m/>
    <m/>
    <s v="No"/>
    <x v="2"/>
    <d v="2015-12-24T06:38:16"/>
    <n v="1"/>
    <s v="128.205.114.91"/>
    <s v="D387.J66 1"/>
    <n v="940.28399999999999"/>
    <d v="2013-11-14T00:00:00"/>
  </r>
  <r>
    <x v="1577"/>
    <d v="1899-12-30T00:26:45"/>
    <x v="416"/>
    <x v="0"/>
    <s v="Buffalo"/>
    <x v="442"/>
    <n v="1562534"/>
    <x v="2"/>
    <s v="History"/>
    <s v="9781317898917"/>
    <s v=",76,77,78,79,80"/>
    <n v="5"/>
    <m/>
    <m/>
    <s v="No"/>
    <x v="2"/>
    <d v="2015-12-24T06:38:16"/>
    <n v="1"/>
    <s v="128.205.114.91"/>
    <s v="D387.J66 1"/>
    <n v="940.28399999999999"/>
    <d v="2013-11-14T00:00:00"/>
  </r>
  <r>
    <x v="1578"/>
    <d v="1899-12-30T00:03:34"/>
    <x v="416"/>
    <x v="0"/>
    <s v="Buffalo"/>
    <x v="442"/>
    <n v="1562534"/>
    <x v="2"/>
    <s v="History"/>
    <s v="9781317898917"/>
    <s v=",1,2,3,73,74,75,71,72,36,37,38,34,35"/>
    <n v="13"/>
    <m/>
    <m/>
    <s v="No"/>
    <x v="3"/>
    <m/>
    <m/>
    <s v="128.205.114.91"/>
    <s v="D387.J66 1"/>
    <n v="940.28399999999999"/>
    <d v="2013-11-14T00:00:00"/>
  </r>
  <r>
    <x v="1579"/>
    <d v="1899-12-30T00:00:02"/>
    <x v="379"/>
    <x v="0"/>
    <s v="Buffalo"/>
    <x v="422"/>
    <n v="818049"/>
    <x v="0"/>
    <s v="Business/Management; Economics"/>
    <s v="9781118224274"/>
    <s v=",10,1,11,12,8,9"/>
    <n v="6"/>
    <m/>
    <m/>
    <s v="No"/>
    <x v="0"/>
    <d v="2015-12-24T03:03:54"/>
    <n v="7"/>
    <s v="128.205.114.91"/>
    <s v="HG4529 -- .G75 2012eb"/>
    <s v="332.63/2042"/>
    <d v="2012-05-06T00:00:00"/>
  </r>
  <r>
    <x v="1580"/>
    <d v="1899-12-30T01:22:35"/>
    <x v="379"/>
    <x v="0"/>
    <s v="Buffalo"/>
    <x v="422"/>
    <n v="818049"/>
    <x v="0"/>
    <s v="Business/Management; Economics"/>
    <s v="9781118224274"/>
    <s v=",1,2,3,21,22,23,19,20,17,18,16,15,13,14,12,11,10"/>
    <n v="17"/>
    <m/>
    <m/>
    <s v="No"/>
    <x v="1"/>
    <m/>
    <m/>
    <s v="128.205.114.91"/>
    <s v="HG4529 -- .G75 2012eb"/>
    <s v="332.63/2042"/>
    <d v="2012-05-06T00:00:00"/>
  </r>
  <r>
    <x v="1581"/>
    <d v="1899-12-30T00:02:29"/>
    <x v="416"/>
    <x v="0"/>
    <s v="Buffalo"/>
    <x v="442"/>
    <n v="1562534"/>
    <x v="2"/>
    <s v="History"/>
    <s v="9781317898917"/>
    <s v=",1,2,3,96,97,98,94,95,99,100,101,102"/>
    <n v="12"/>
    <m/>
    <m/>
    <s v="No"/>
    <x v="3"/>
    <m/>
    <m/>
    <s v="128.205.114.91"/>
    <s v="D387.J66 1"/>
    <n v="940.28399999999999"/>
    <d v="2013-11-14T00:00:00"/>
  </r>
  <r>
    <x v="1582"/>
    <d v="1899-12-30T00:02:01"/>
    <x v="293"/>
    <x v="1"/>
    <s v="brockport"/>
    <x v="95"/>
    <n v="1566387"/>
    <x v="0"/>
    <s v="Social Science"/>
    <s v="9781118471906"/>
    <s v=",1,202,203,202,203,200,201,204,201,204,1,216,212,216,212,207,202,2,2,207,216,217,218,217,218,215,214,215,213,212,211,210,209,208,207,212,213,214,215,216,217,218,220,221,222,221,222,219,220,223,223,224,225,226,225,227,226,224,227,228,228,229,229,230,231,230,231,232,232,233,233,234,234,235,235,236,236,237,238,237,239,238,239,240,240,241,241,242,243,242,243,244,244,245,245"/>
    <n v="46"/>
    <m/>
    <s v=",209,210,211,212,213,214,215,216,217,218,219,220,221,222,223,224,225,226,227,228,229,230,231,232,233,234,235,236,237,238,239,240,241,242"/>
    <s v="No"/>
    <x v="2"/>
    <d v="2015-12-23T20:47:24"/>
    <n v="1"/>
    <s v="137.21.7.121"/>
    <s v="HM585 -- .D555 2014eb"/>
    <n v="301"/>
    <d v="2013-11-18T00:00:00"/>
  </r>
  <r>
    <x v="1583"/>
    <d v="1899-12-30T00:04:50"/>
    <x v="293"/>
    <x v="1"/>
    <s v="brockport"/>
    <x v="95"/>
    <n v="1566387"/>
    <x v="0"/>
    <s v="Social Science"/>
    <s v="9781118471906"/>
    <s v=",1,23,24,25,24,23,25,22,21,22,1,2,2,26,27,26,28,27,28,34,35,34,35,33,32,33,36,36,53,54,55,54,53,55,52,52,51,56,57,56,57,177,178,179,178,177,175,179,176,176,197,197,201,201,202,203,199,202,204,203,204,206,206,216,216,217,218,217,214,218,215,215,205,205,206,207,203,204,207,208,208,209,209,210,210,205,204,203,202,201,200,198,199,200,197,198,196,195,196,193,194,195,192,191,190,189,188,187,185,186,185,184,183,182,181,180,179,178,177,176"/>
    <n v="63"/>
    <m/>
    <s v=",178,179,180,181,182,183,184,185,186,187,188,189,190,191,192,193,194,195,196,197,198,199,200,201,202,203,204,205,206,207,208"/>
    <s v="No"/>
    <x v="2"/>
    <d v="2015-12-23T20:47:24"/>
    <n v="1"/>
    <s v="137.21.7.121"/>
    <s v="HM585 -- .D555 2014eb"/>
    <n v="301"/>
    <d v="2013-11-18T00:00:00"/>
  </r>
  <r>
    <x v="1584"/>
    <d v="1899-12-30T00:02:36"/>
    <x v="293"/>
    <x v="1"/>
    <s v="brockport"/>
    <x v="95"/>
    <n v="1566387"/>
    <x v="0"/>
    <s v="Social Science"/>
    <s v="9781118471906"/>
    <s v=",23,1,24,25,21,24,25,22,23,22,1,26,2,2,27,28,27,28,26,29,29,30,30,31,32,31,32,35,35,36,37,36,37,34,33,34,38,39,38,39,40,41,40,41,42,42,43,43,44,44,45,45,46,46,47,47,48,49,48,49,50,50,51,52,52,51,53,53,54,54"/>
    <n v="36"/>
    <m/>
    <s v=",27,28,29,30,31,32,33,34,35,36,37,38,39,40,41,42,43,44,45,46,47,48,49,50,51,52"/>
    <s v="No"/>
    <x v="2"/>
    <d v="2015-12-23T20:47:24"/>
    <n v="1"/>
    <s v="137.21.7.121"/>
    <s v="HM585 -- .D555 2014eb"/>
    <n v="301"/>
    <d v="2013-11-18T00:00:00"/>
  </r>
  <r>
    <x v="1585"/>
    <d v="1899-12-30T00:08:19"/>
    <x v="293"/>
    <x v="1"/>
    <s v="brockport"/>
    <x v="95"/>
    <n v="1566387"/>
    <x v="0"/>
    <s v="Social Science"/>
    <s v="9781118471906"/>
    <s v=",1,24,25,24,23,25,21,23,22,22,1,2,2,26,26,27,27,28,29,28,29,30,30,31,32,31,32,33,34,33,34,35,36,35,36,27,26,18,18,19,20,19,20,16,17,17,21,22,23,24,25,26,27,21,29,38,35,38,36,37,33,37,29,31,27,24,25,26,22,23,27,28,29,24,22,23,12,12,13,14,13,14,10,11,11,15,17,15,18,19,16,20,21,22,27,28,29,25,26,24,22,23,21,26,27,28,23"/>
    <n v="31"/>
    <m/>
    <s v=",25"/>
    <s v="No"/>
    <x v="2"/>
    <d v="2015-12-23T20:47:24"/>
    <n v="1"/>
    <s v="137.21.7.121"/>
    <s v="HM585 -- .D555 2014eb"/>
    <n v="301"/>
    <d v="2013-11-18T00:00:00"/>
  </r>
  <r>
    <x v="1586"/>
    <d v="1899-12-30T00:00:00"/>
    <x v="293"/>
    <x v="1"/>
    <s v="brockport"/>
    <x v="95"/>
    <n v="1566387"/>
    <x v="0"/>
    <s v="Social Science"/>
    <s v="9781118471906"/>
    <m/>
    <n v="0"/>
    <m/>
    <s v=",26,26"/>
    <s v="No"/>
    <x v="2"/>
    <d v="2015-12-23T20:47:24"/>
    <n v="1"/>
    <s v="137.21.7.121"/>
    <s v="HM585 -- .D555 2014eb"/>
    <n v="301"/>
    <d v="2013-11-18T00:00:00"/>
  </r>
  <r>
    <x v="1587"/>
    <d v="1899-12-30T00:03:51"/>
    <x v="293"/>
    <x v="1"/>
    <s v="brockport"/>
    <x v="95"/>
    <n v="1566387"/>
    <x v="0"/>
    <s v="Social Science"/>
    <s v="9781118471906"/>
    <s v=",1,13,14,13,15,14,11,15,12,12,1,2,2,17,17,40,40,41,42,41,42,38,39,39,29,29,30,31,30,31,27,28,28,26,21,21,22,22,23,19,23,20,20,24,24,19,10,14,10,21,22,23,20,24,25,25,26,27,28"/>
    <n v="27"/>
    <m/>
    <m/>
    <s v="No"/>
    <x v="3"/>
    <m/>
    <m/>
    <s v="137.21.7.121"/>
    <s v="HM585 -- .D555 2014eb"/>
    <n v="301"/>
    <d v="2013-11-18T00:00:00"/>
  </r>
  <r>
    <x v="1588"/>
    <d v="1899-12-30T00:00:18"/>
    <x v="417"/>
    <x v="0"/>
    <s v="Buffalo"/>
    <x v="443"/>
    <n v="817933"/>
    <x v="0"/>
    <s v="Business/Management; Economics"/>
    <s v="9781118220290"/>
    <s v=",4,5,6,7,8,9,10,11,12,13"/>
    <n v="10"/>
    <m/>
    <m/>
    <s v="No"/>
    <x v="0"/>
    <d v="2015-12-23T20:27:02"/>
    <n v="7"/>
    <s v="128.205.114.91"/>
    <s v="HG4521 -- .H495 2013eb"/>
    <n v="332.6"/>
    <d v="2013-04-12T00:00:00"/>
  </r>
  <r>
    <x v="1589"/>
    <d v="1899-12-30T00:15:59"/>
    <x v="417"/>
    <x v="0"/>
    <s v="Buffalo"/>
    <x v="443"/>
    <n v="817933"/>
    <x v="0"/>
    <s v="Business/Management; Economics"/>
    <s v="9781118220290"/>
    <s v=",1,2,3"/>
    <n v="3"/>
    <m/>
    <m/>
    <s v="No"/>
    <x v="3"/>
    <m/>
    <m/>
    <s v="128.205.114.91"/>
    <s v="HG4521 -- .H495 2013eb"/>
    <n v="332.6"/>
    <d v="2013-04-12T00:00:00"/>
  </r>
  <r>
    <x v="1590"/>
    <d v="1899-12-30T00:20:01"/>
    <x v="379"/>
    <x v="0"/>
    <s v="Buffalo"/>
    <x v="403"/>
    <n v="1137758"/>
    <x v="0"/>
    <s v="Economics; Business/Management"/>
    <s v="9781118399279"/>
    <s v=",1,2,3,111,112,108,109,110,111,112,111,112,113,107,108,109,110,109,108,107,108"/>
    <n v="10"/>
    <m/>
    <m/>
    <s v="No"/>
    <x v="0"/>
    <d v="2015-12-20T02:11:49"/>
    <n v="7"/>
    <s v="128.205.114.91"/>
    <s v="HG4910 .T48 2013"/>
    <s v="332.63/220973; 332.6322"/>
    <d v="2013-02-26T00:00:00"/>
  </r>
  <r>
    <x v="1591"/>
    <d v="1899-12-30T00:48:54"/>
    <x v="418"/>
    <x v="1"/>
    <s v="brockport"/>
    <x v="202"/>
    <n v="915727"/>
    <x v="0"/>
    <s v="Medicine"/>
    <s v="9781118316764"/>
    <s v=",21,22,23,24,25,26,27"/>
    <n v="7"/>
    <m/>
    <m/>
    <s v="No"/>
    <x v="0"/>
    <d v="2015-12-23T19:23:32"/>
    <n v="7"/>
    <s v="137.21.7.121"/>
    <s v="RC531 -- .C42 2013eb"/>
    <s v="616.85/22"/>
    <d v="2013-03-04T00:00:00"/>
  </r>
  <r>
    <x v="1592"/>
    <d v="1899-12-30T00:19:21"/>
    <x v="418"/>
    <x v="1"/>
    <s v="brockport"/>
    <x v="202"/>
    <n v="915727"/>
    <x v="0"/>
    <s v="Medicine"/>
    <s v="9781118316764"/>
    <s v=",1,2,3,4,5,6,16,17,18,14,15,19,20"/>
    <n v="13"/>
    <m/>
    <m/>
    <s v="No"/>
    <x v="1"/>
    <m/>
    <m/>
    <s v="137.21.7.121"/>
    <s v="RC531 -- .C42 2013eb"/>
    <s v="616.85/22"/>
    <d v="2013-03-04T00:00:00"/>
  </r>
  <r>
    <x v="1593"/>
    <d v="1899-12-30T00:01:34"/>
    <x v="419"/>
    <x v="0"/>
    <s v="Buffalo"/>
    <x v="444"/>
    <n v="1562126"/>
    <x v="2"/>
    <s v="Social Science"/>
    <s v="9781317773542"/>
    <s v=",1,2,3,20,21,22,18,19,23"/>
    <n v="9"/>
    <m/>
    <m/>
    <s v="No"/>
    <x v="3"/>
    <m/>
    <m/>
    <s v="128.205.114.91"/>
    <s v="HQ76.25.G3"/>
    <n v="306.76608805500001"/>
    <d v="2013-11-12T00:00:00"/>
  </r>
  <r>
    <x v="1594"/>
    <d v="1899-12-30T00:01:20"/>
    <x v="420"/>
    <x v="0"/>
    <s v="Buffalo"/>
    <x v="445"/>
    <n v="1574786"/>
    <x v="2"/>
    <s v="Science; General Works/Reference"/>
    <s v="9781135955229"/>
    <s v=",1,2,3,4,5,6,7,8,9,10,11,12,13,14,15,16,17,18,19,20,21,22,23,24,25,28,29,30,26,27"/>
    <n v="30"/>
    <m/>
    <m/>
    <s v="No"/>
    <x v="3"/>
    <m/>
    <m/>
    <s v="128.205.114.91"/>
    <s v="Q172.5.P77 E57 2013"/>
    <n v="1.9"/>
    <d v="2013-12-02T00:00:00"/>
  </r>
  <r>
    <x v="1595"/>
    <d v="1899-12-30T00:03:04"/>
    <x v="418"/>
    <x v="1"/>
    <s v="brockport"/>
    <x v="446"/>
    <n v="1356183"/>
    <x v="2"/>
    <s v="Social Science; Medicine"/>
    <s v="9781135454395"/>
    <s v=",1,2,3,4,5,194,195,196,192,193,2,197,198,199,200,201"/>
    <n v="15"/>
    <m/>
    <m/>
    <s v="No"/>
    <x v="3"/>
    <m/>
    <m/>
    <s v="137.21.7.121"/>
    <s v="HQ10 -- .B84 2003eb"/>
    <n v="616.89156000000003"/>
    <d v="2013-08-21T00:00:00"/>
  </r>
  <r>
    <x v="1596"/>
    <d v="1899-12-30T02:27:29"/>
    <x v="379"/>
    <x v="0"/>
    <s v="Buffalo"/>
    <x v="403"/>
    <n v="1137758"/>
    <x v="0"/>
    <s v="Economics; Business/Management"/>
    <s v="9781118399279"/>
    <s v=",1,2,3,91,92,93,89,90,95,96,96,94,97,98,91,96,91,93,90,92,91,92,93,94,95,96,97,96,97,98,99,100,101,102,103,104,105,106,107,107,107,108,109,110,111,112,113,114,115,116,117"/>
    <n v="32"/>
    <m/>
    <m/>
    <s v="No"/>
    <x v="0"/>
    <d v="2015-12-20T02:11:49"/>
    <n v="7"/>
    <s v="128.205.114.91"/>
    <s v="HG4910 .T48 2013"/>
    <s v="332.63/220973; 332.6322"/>
    <d v="2013-02-26T00:00:00"/>
  </r>
  <r>
    <x v="1597"/>
    <d v="1899-12-30T00:00:00"/>
    <x v="379"/>
    <x v="0"/>
    <s v="Buffalo"/>
    <x v="403"/>
    <n v="1137758"/>
    <x v="0"/>
    <s v="Economics; Business/Management"/>
    <s v="9781118399279"/>
    <m/>
    <n v="0"/>
    <m/>
    <m/>
    <s v="Yes"/>
    <x v="0"/>
    <d v="2015-12-20T02:11:49"/>
    <n v="7"/>
    <s v="128.205.114.91"/>
    <s v="HG4910 .T48 2013"/>
    <s v="332.63/220973; 332.6322"/>
    <d v="2013-02-26T00:00:00"/>
  </r>
  <r>
    <x v="1598"/>
    <d v="1899-12-30T00:00:00"/>
    <x v="379"/>
    <x v="0"/>
    <s v="Buffalo"/>
    <x v="403"/>
    <n v="1137758"/>
    <x v="0"/>
    <s v="Economics; Business/Management"/>
    <s v="9781118399279"/>
    <m/>
    <n v="0"/>
    <m/>
    <m/>
    <s v="Yes"/>
    <x v="0"/>
    <d v="2015-12-20T02:11:49"/>
    <n v="7"/>
    <s v="128.205.114.91"/>
    <s v="HG4910 .T48 2013"/>
    <s v="332.63/220973; 332.6322"/>
    <d v="2013-02-26T00:00:00"/>
  </r>
  <r>
    <x v="1599"/>
    <d v="1899-12-30T00:39:11"/>
    <x v="379"/>
    <x v="0"/>
    <s v="Buffalo"/>
    <x v="403"/>
    <n v="1137758"/>
    <x v="0"/>
    <s v="Economics; Business/Management"/>
    <s v="9781118399279"/>
    <s v=",1,2,3,91,92,93,89,90,88,94,95,96,97,98,100,101,102,103,104,105,106,98,99,97,96,95,94,93,94,88,92,93,94,90,91,95,92,93,90,91,95,96,97,98,99,100,101,102,103,104,105,106,107,108,109,110,111,112,113,114,115,116,117,118,119,120,122,123,132,133,134,130,131,135,75,13,30,31,32,29,28,27,19,20,21,18,17,22"/>
    <n v="58"/>
    <m/>
    <m/>
    <s v="No"/>
    <x v="0"/>
    <d v="2015-12-20T02:11:49"/>
    <n v="7"/>
    <s v="128.205.114.91"/>
    <s v="HG4910 .T48 2013"/>
    <s v="332.63/220973; 332.6322"/>
    <d v="2013-02-26T00:00:00"/>
  </r>
  <r>
    <x v="1600"/>
    <d v="1899-12-30T01:17:34"/>
    <x v="418"/>
    <x v="1"/>
    <s v="brockport"/>
    <x v="377"/>
    <n v="1186393"/>
    <x v="4"/>
    <s v="Medicine"/>
    <s v="9781462508525"/>
    <s v=",318,319,320,321,322,323,324,325,326,327,328,329,330,331,332,333,334,335,336,337,338,339,339,340,341,342,343,344,345,346,347,348,349,350,351,352,353,354,355,356,357,358,359,360"/>
    <n v="43"/>
    <m/>
    <m/>
    <s v="No"/>
    <x v="0"/>
    <d v="2015-12-23T15:25:03"/>
    <n v="7"/>
    <s v="137.21.7.121"/>
    <s v="RJ506.H9 -- B373 2013eb"/>
    <n v="618.92849999999999"/>
    <d v="2014-05-14T00:00:00"/>
  </r>
  <r>
    <x v="1601"/>
    <d v="1899-12-30T00:08:55"/>
    <x v="418"/>
    <x v="1"/>
    <s v="brockport"/>
    <x v="377"/>
    <n v="1186393"/>
    <x v="4"/>
    <s v="Medicine"/>
    <s v="9781462508525"/>
    <s v=",1,2,3,315,316,317,313,314"/>
    <n v="8"/>
    <m/>
    <m/>
    <s v="No"/>
    <x v="3"/>
    <m/>
    <m/>
    <s v="137.21.7.121"/>
    <s v="RJ506.H9 -- B373 2013eb"/>
    <n v="618.92849999999999"/>
    <d v="2014-05-14T00:00:00"/>
  </r>
  <r>
    <x v="1602"/>
    <d v="1899-12-30T00:23:38"/>
    <x v="418"/>
    <x v="1"/>
    <s v="brockport"/>
    <x v="447"/>
    <n v="1323304"/>
    <x v="2"/>
    <s v="Medicine; Psychology"/>
    <s v="9781135068349"/>
    <s v=",75,76,71,76,77,78,79,80,75,80,81,82,82,83,78,84,85,86,87,88,89,90,91,92,93,111,112,113,109,110,114,115"/>
    <n v="27"/>
    <m/>
    <m/>
    <s v="No"/>
    <x v="2"/>
    <d v="2015-12-23T14:37:22"/>
    <n v="1"/>
    <s v="137.21.7.121"/>
    <s v="BF575.I5 -- .P727 2014eb"/>
    <n v="616.85829999999999"/>
    <d v="2013-07-24T00:00:00"/>
  </r>
  <r>
    <x v="1603"/>
    <d v="1899-12-30T00:07:16"/>
    <x v="418"/>
    <x v="1"/>
    <s v="brockport"/>
    <x v="447"/>
    <n v="1323304"/>
    <x v="2"/>
    <s v="Medicine; Psychology"/>
    <s v="9781135068349"/>
    <s v=",1,2,3,4,70,71,72,68,69,2,73,74,75"/>
    <n v="12"/>
    <m/>
    <m/>
    <s v="No"/>
    <x v="3"/>
    <m/>
    <m/>
    <s v="137.21.7.121"/>
    <s v="BF575.I5 -- .P727 2014eb"/>
    <n v="616.85829999999999"/>
    <d v="2013-07-24T00:00:00"/>
  </r>
  <r>
    <x v="1604"/>
    <d v="1899-12-30T00:03:33"/>
    <x v="421"/>
    <x v="2"/>
    <s v="hilbert"/>
    <x v="448"/>
    <n v="1940019"/>
    <x v="0"/>
    <s v="Science; Science: Physics; Environmental Studies"/>
    <s v="9781509501632"/>
    <s v=",100,96,97,101,102,103,104,105,106"/>
    <n v="9"/>
    <m/>
    <m/>
    <s v="No"/>
    <x v="0"/>
    <d v="2015-12-23T14:24:09"/>
    <n v="7"/>
    <s v="72.45.217.43"/>
    <s v="QC981.8.C5 W4513 2015"/>
    <s v="363.738/746"/>
    <d v="2015-02-03T00:00:00"/>
  </r>
  <r>
    <x v="1605"/>
    <d v="1899-12-30T00:04:00"/>
    <x v="418"/>
    <x v="1"/>
    <s v="brockport"/>
    <x v="449"/>
    <n v="1655938"/>
    <x v="4"/>
    <s v="Medicine"/>
    <s v="9781462515714"/>
    <s v=",1,2,3,103,104,105,101,102,106,107,107,108"/>
    <n v="11"/>
    <m/>
    <m/>
    <s v="No"/>
    <x v="3"/>
    <m/>
    <m/>
    <s v="137.21.7.121"/>
    <s v="RC516 -- .M555 2014eb"/>
    <n v="616.89139999999998"/>
    <d v="2014-05-14T00:00:00"/>
  </r>
  <r>
    <x v="1606"/>
    <d v="1899-12-30T00:05:01"/>
    <x v="421"/>
    <x v="2"/>
    <s v="hilbert"/>
    <x v="448"/>
    <n v="1940019"/>
    <x v="0"/>
    <s v="Science; Science: Physics; Environmental Studies"/>
    <s v="9781509501632"/>
    <s v=",1,43,44,45,41,42,46,47,48,2,61,62,63,59,60,64,65,98,99"/>
    <n v="19"/>
    <m/>
    <m/>
    <s v="No"/>
    <x v="3"/>
    <m/>
    <m/>
    <s v="72.45.217.43"/>
    <s v="QC981.8.C5 W4513 2015"/>
    <s v="363.738/746"/>
    <d v="2015-02-03T00:00:00"/>
  </r>
  <r>
    <x v="1607"/>
    <d v="1899-12-30T01:04:17"/>
    <x v="418"/>
    <x v="1"/>
    <s v="brockport"/>
    <x v="450"/>
    <n v="1474854"/>
    <x v="2"/>
    <s v="Language/Linguistics; Psychology"/>
    <s v="9781136601781"/>
    <s v=",459,460,461,462,457,462,463,458,463,458,463,464,465,466,468,469,470,467,471,472,473,474,475,476,477"/>
    <n v="21"/>
    <m/>
    <m/>
    <s v="No"/>
    <x v="2"/>
    <d v="2015-12-23T12:45:10"/>
    <n v="1"/>
    <s v="137.21.7.121"/>
    <s v="BF456.R2 -- R39 1989eb"/>
    <n v="418.40190000000001"/>
    <d v="2013-10-14T00:00:00"/>
  </r>
  <r>
    <x v="1608"/>
    <d v="1899-12-30T00:18:33"/>
    <x v="418"/>
    <x v="1"/>
    <s v="brockport"/>
    <x v="450"/>
    <n v="1474854"/>
    <x v="2"/>
    <s v="Language/Linguistics; Psychology"/>
    <s v="9781136601781"/>
    <s v=",1,2,3,455,456,457,454,453,458"/>
    <n v="9"/>
    <m/>
    <m/>
    <s v="No"/>
    <x v="3"/>
    <m/>
    <m/>
    <s v="137.21.7.121"/>
    <s v="BF456.R2 -- R39 1989eb"/>
    <n v="418.40190000000001"/>
    <d v="2013-10-14T00:00:00"/>
  </r>
  <r>
    <x v="1609"/>
    <d v="1899-12-30T00:03:16"/>
    <x v="418"/>
    <x v="1"/>
    <s v="brockport"/>
    <x v="450"/>
    <n v="1474854"/>
    <x v="2"/>
    <s v="Language/Linguistics; Psychology"/>
    <s v="9781136601781"/>
    <s v=",1,2,3,455,457,453,454,458,459,454,459,460,455,454,453,459,454"/>
    <n v="10"/>
    <m/>
    <m/>
    <s v="No"/>
    <x v="3"/>
    <m/>
    <m/>
    <s v="137.21.7.121"/>
    <s v="BF456.R2 -- R39 1989eb"/>
    <n v="418.40190000000001"/>
    <d v="2013-10-14T00:00:00"/>
  </r>
  <r>
    <x v="1610"/>
    <d v="1899-12-30T00:01:08"/>
    <x v="422"/>
    <x v="0"/>
    <s v="Buffalo"/>
    <x v="451"/>
    <n v="1382114"/>
    <x v="2"/>
    <s v="Education"/>
    <s v="9781317919520"/>
    <s v=",1,2,3,129,130,131,127,128"/>
    <n v="8"/>
    <m/>
    <m/>
    <s v="No"/>
    <x v="3"/>
    <m/>
    <m/>
    <s v="128.205.114.91"/>
    <s v="LB1062.6 -- .F54 2013eb"/>
    <n v="371.2"/>
    <d v="2013-09-05T00:00:00"/>
  </r>
  <r>
    <x v="1611"/>
    <d v="1899-12-30T00:00:07"/>
    <x v="422"/>
    <x v="0"/>
    <s v="Buffalo"/>
    <x v="452"/>
    <n v="1422355"/>
    <x v="2"/>
    <m/>
    <s v="9781317928010"/>
    <s v=",1,2,3"/>
    <n v="3"/>
    <m/>
    <m/>
    <s v="No"/>
    <x v="3"/>
    <m/>
    <m/>
    <s v="128.205.114.91"/>
    <m/>
    <m/>
    <d v="2013-09-27T00:00:00"/>
  </r>
  <r>
    <x v="1612"/>
    <d v="1899-12-30T00:00:35"/>
    <x v="422"/>
    <x v="0"/>
    <s v="Buffalo"/>
    <x v="453"/>
    <n v="1422352"/>
    <x v="2"/>
    <s v="Education"/>
    <s v="9781317919377"/>
    <s v=",1,2,3,4,5,6"/>
    <n v="6"/>
    <m/>
    <m/>
    <s v="No"/>
    <x v="3"/>
    <m/>
    <m/>
    <s v="128.205.114.91"/>
    <s v="LB3060.83 -- .F76 2013eb"/>
    <n v="379"/>
    <d v="2013-09-27T00:00:00"/>
  </r>
  <r>
    <x v="1613"/>
    <d v="1899-12-30T00:01:07"/>
    <x v="422"/>
    <x v="0"/>
    <s v="Buffalo"/>
    <x v="454"/>
    <n v="1337537"/>
    <x v="2"/>
    <s v="Education"/>
    <s v="9781317926245"/>
    <s v=",1,2,3,4,5,6,7,30,31,32,28,29,33,34,35,36,37"/>
    <n v="17"/>
    <m/>
    <m/>
    <s v="No"/>
    <x v="3"/>
    <m/>
    <m/>
    <s v="128.205.114.91"/>
    <s v="LB3051 -- .S883 2009eb"/>
    <n v="371.26"/>
    <d v="2013-10-11T00:00:00"/>
  </r>
  <r>
    <x v="1614"/>
    <d v="1899-12-30T00:14:06"/>
    <x v="422"/>
    <x v="0"/>
    <s v="Buffalo"/>
    <x v="455"/>
    <n v="1323116"/>
    <x v="2"/>
    <s v="Education"/>
    <s v="9781317926306"/>
    <s v=",33,34,35,36,37,38,4,5,6,7,8,9,10,11,12,13,14,15,18"/>
    <n v="19"/>
    <m/>
    <m/>
    <s v="No"/>
    <x v="2"/>
    <d v="2015-12-23T06:47:32"/>
    <n v="1"/>
    <s v="128.205.114.91"/>
    <s v="LB1025.3 -- .S7886 2010eb"/>
    <n v="371.10199999999998"/>
    <d v="2013-07-23T00:00:00"/>
  </r>
  <r>
    <x v="1615"/>
    <d v="1899-12-30T00:22:38"/>
    <x v="422"/>
    <x v="0"/>
    <s v="Buffalo"/>
    <x v="455"/>
    <n v="1323116"/>
    <x v="2"/>
    <s v="Education"/>
    <s v="9781317926306"/>
    <s v=",1,2,3,18,19,20,17,16,21,22,23,24,25,26,27,28,29,30,31,32"/>
    <n v="20"/>
    <m/>
    <m/>
    <s v="No"/>
    <x v="3"/>
    <m/>
    <m/>
    <s v="128.205.114.91"/>
    <s v="LB1025.3 -- .S7886 2010eb"/>
    <n v="371.10199999999998"/>
    <d v="2013-07-23T00:00:00"/>
  </r>
  <r>
    <x v="1616"/>
    <d v="1899-12-30T00:00:08"/>
    <x v="422"/>
    <x v="0"/>
    <s v="Buffalo"/>
    <x v="455"/>
    <n v="1323116"/>
    <x v="2"/>
    <s v="Education"/>
    <s v="9781317926306"/>
    <s v=",1,2,3"/>
    <n v="3"/>
    <m/>
    <m/>
    <s v="No"/>
    <x v="3"/>
    <m/>
    <m/>
    <s v="128.205.114.91"/>
    <s v="LB1025.3 -- .S7886 2010eb"/>
    <n v="371.10199999999998"/>
    <d v="2013-07-23T00:00:00"/>
  </r>
  <r>
    <x v="1617"/>
    <d v="1899-12-30T00:00:00"/>
    <x v="423"/>
    <x v="0"/>
    <s v="Buffalo"/>
    <x v="456"/>
    <n v="875438"/>
    <x v="0"/>
    <s v="Social Science"/>
    <s v="9781118232682"/>
    <m/>
    <n v="0"/>
    <m/>
    <m/>
    <s v="No"/>
    <x v="1"/>
    <m/>
    <m/>
    <s v="128.205.114.91"/>
    <s v="HM716 -- .F73 2012eb"/>
    <n v="302.3"/>
    <d v="2012-03-08T00:00:00"/>
  </r>
  <r>
    <x v="1618"/>
    <d v="1899-12-30T00:02:41"/>
    <x v="379"/>
    <x v="0"/>
    <s v="Buffalo"/>
    <x v="403"/>
    <n v="1137758"/>
    <x v="0"/>
    <s v="Economics; Business/Management"/>
    <s v="9781118399279"/>
    <s v=",1,2,3,91,92,93,89,90,88,94,95,96,92"/>
    <n v="12"/>
    <m/>
    <m/>
    <s v="No"/>
    <x v="0"/>
    <d v="2015-12-20T02:11:49"/>
    <n v="7"/>
    <s v="128.205.114.91"/>
    <s v="HG4910 .T48 2013"/>
    <s v="332.63/220973; 332.6322"/>
    <d v="2013-02-26T00:00:00"/>
  </r>
  <r>
    <x v="1619"/>
    <d v="1899-12-30T00:03:03"/>
    <x v="418"/>
    <x v="1"/>
    <s v="brockport"/>
    <x v="457"/>
    <n v="2008480"/>
    <x v="4"/>
    <s v="Medicine"/>
    <s v="9781462523221"/>
    <s v=",1,2,3,137,138,139,135,136,140,141,142,143,144,145,146,147,148,149,150,151,152,153,160,161,162,158,159,163,164,165,166,167,168,169,170,171,172,173,174,175,176,177,178,172,179,233,234,235,231,232,236,237,238,240,241"/>
    <n v="54"/>
    <m/>
    <m/>
    <s v="No"/>
    <x v="3"/>
    <m/>
    <m/>
    <s v="137.21.7.121"/>
    <s v="RC531 -- .A586 2009eb"/>
    <n v="616.85220000000004"/>
    <d v="2015-01-01T00:00:00"/>
  </r>
  <r>
    <x v="1620"/>
    <d v="1899-12-30T00:05:55"/>
    <x v="379"/>
    <x v="0"/>
    <s v="Buffalo"/>
    <x v="403"/>
    <n v="1137758"/>
    <x v="0"/>
    <s v="Economics; Business/Management"/>
    <s v="9781118399279"/>
    <s v=",1,2,3,93,89,90"/>
    <n v="6"/>
    <m/>
    <m/>
    <s v="No"/>
    <x v="0"/>
    <d v="2015-12-20T02:11:49"/>
    <n v="7"/>
    <s v="128.205.114.91"/>
    <s v="HG4910 .T48 2013"/>
    <s v="332.63/220973; 332.6322"/>
    <d v="2013-02-26T00:00:00"/>
  </r>
  <r>
    <x v="1621"/>
    <d v="1899-12-30T00:02:58"/>
    <x v="424"/>
    <x v="0"/>
    <s v="Buffalo"/>
    <x v="335"/>
    <n v="821801"/>
    <x v="0"/>
    <s v="Education; Business/Management"/>
    <s v="9781118224144"/>
    <s v=",1,2,3,8,14,5,6,108,109,110,106,107,126,102,96,99,111,114,112,113"/>
    <n v="20"/>
    <m/>
    <m/>
    <s v="No"/>
    <x v="1"/>
    <m/>
    <m/>
    <s v="128.205.114.91"/>
    <s v="HF1118 .O33; LB2367.3 .O34"/>
    <n v="658.00760000000002"/>
    <d v="2012-03-06T00:00:00"/>
  </r>
  <r>
    <x v="1622"/>
    <d v="1899-12-30T00:58:56"/>
    <x v="379"/>
    <x v="0"/>
    <s v="Buffalo"/>
    <x v="403"/>
    <n v="1137758"/>
    <x v="0"/>
    <s v="Economics; Business/Management"/>
    <s v="9781118399279"/>
    <s v=",1,2,3,70,71,72,68,69,73,74,75,76,77,78,79,80,76,81,82,83,84,85,86,87,88"/>
    <n v="24"/>
    <m/>
    <m/>
    <s v="No"/>
    <x v="0"/>
    <d v="2015-12-20T02:11:49"/>
    <n v="7"/>
    <s v="128.205.114.91"/>
    <s v="HG4910 .T48 2013"/>
    <s v="332.63/220973; 332.6322"/>
    <d v="2013-02-26T00:00:00"/>
  </r>
  <r>
    <x v="1623"/>
    <d v="1899-12-30T00:00:41"/>
    <x v="379"/>
    <x v="0"/>
    <s v="Buffalo"/>
    <x v="403"/>
    <n v="1137758"/>
    <x v="0"/>
    <s v="Economics; Business/Management"/>
    <s v="9781118399279"/>
    <s v=",1,2,3,70,71,72,68,69"/>
    <n v="8"/>
    <m/>
    <m/>
    <s v="No"/>
    <x v="0"/>
    <d v="2015-12-20T02:11:49"/>
    <n v="7"/>
    <s v="128.205.114.91"/>
    <s v="HG4910 .T48 2013"/>
    <s v="332.63/220973; 332.6322"/>
    <d v="2013-02-26T00:00:00"/>
  </r>
  <r>
    <x v="1624"/>
    <d v="1899-12-30T00:12:21"/>
    <x v="425"/>
    <x v="0"/>
    <s v="Buffalo"/>
    <x v="357"/>
    <n v="3061145"/>
    <x v="2"/>
    <s v="Social Science"/>
    <s v="9781315079424"/>
    <s v=",4,5,6,7,8,9,10,11,12,13,14,19,11,15,16,17,18,19,20,21,22,23,138,134,135,12,13,14,10,11,4,5,6,3"/>
    <n v="24"/>
    <m/>
    <s v=",12,13,14,15,16,17,18,19,20,21,136,137,138,139,140,141,142,143,144,145,146,147,148,149,150,151,152,153,154,155,4,5"/>
    <s v="Yes"/>
    <x v="2"/>
    <d v="2015-12-22T16:29:24"/>
    <n v="1"/>
    <s v="128.205.114.91"/>
    <s v="GT2860 -- .F66 2004eb"/>
    <n v="363.8"/>
    <d v="2013-11-01T00:00:00"/>
  </r>
  <r>
    <x v="1624"/>
    <d v="1899-12-30T00:00:00"/>
    <x v="425"/>
    <x v="0"/>
    <s v="Buffalo"/>
    <x v="357"/>
    <n v="3061145"/>
    <x v="2"/>
    <s v="Social Science"/>
    <s v="9781315079424"/>
    <m/>
    <n v="0"/>
    <m/>
    <m/>
    <s v="No"/>
    <x v="2"/>
    <d v="2015-12-22T16:29:24"/>
    <n v="1"/>
    <s v="128.205.114.91"/>
    <s v="GT2860 -- .F66 2004eb"/>
    <n v="363.8"/>
    <d v="2013-11-01T00:00:00"/>
  </r>
  <r>
    <x v="1625"/>
    <d v="1899-12-30T00:00:23"/>
    <x v="425"/>
    <x v="0"/>
    <s v="Buffalo"/>
    <x v="357"/>
    <n v="3061145"/>
    <x v="2"/>
    <s v="Social Science"/>
    <s v="9781315079424"/>
    <s v=",1,2,3"/>
    <n v="3"/>
    <m/>
    <m/>
    <s v="No"/>
    <x v="3"/>
    <m/>
    <m/>
    <s v="128.205.114.91"/>
    <s v="GT2860 -- .F66 2004eb"/>
    <n v="363.8"/>
    <d v="2013-11-01T00:00:00"/>
  </r>
  <r>
    <x v="1626"/>
    <d v="1899-12-30T00:00:28"/>
    <x v="33"/>
    <x v="7"/>
    <s v="oneonta"/>
    <x v="458"/>
    <n v="1895384"/>
    <x v="0"/>
    <s v="Computer Science/IT; Fine Arts; Engineering: General; Engineering"/>
    <s v="9781119085836"/>
    <s v=",115,117,116,113,114,118"/>
    <n v="6"/>
    <m/>
    <m/>
    <s v="No"/>
    <x v="2"/>
    <d v="2015-12-22T09:39:01"/>
    <n v="1"/>
    <s v="137.141.13.2"/>
    <s v="T385 .C351 2015"/>
    <n v="741.6"/>
    <d v="2015-06-02T00:00:00"/>
  </r>
  <r>
    <x v="1627"/>
    <d v="1899-12-30T00:25:30"/>
    <x v="33"/>
    <x v="7"/>
    <s v="oneonta"/>
    <x v="458"/>
    <n v="1895384"/>
    <x v="0"/>
    <s v="Computer Science/IT; Fine Arts; Engineering: General; Engineering"/>
    <s v="9781119085836"/>
    <s v=",1,2,3"/>
    <n v="3"/>
    <m/>
    <m/>
    <s v="No"/>
    <x v="3"/>
    <m/>
    <m/>
    <s v="137.141.13.2"/>
    <s v="T385 .C351 2015"/>
    <n v="741.6"/>
    <d v="2015-06-02T00:00:00"/>
  </r>
  <r>
    <x v="1628"/>
    <d v="1899-12-30T00:00:40"/>
    <x v="33"/>
    <x v="7"/>
    <s v="oneonta"/>
    <x v="458"/>
    <n v="1895384"/>
    <x v="0"/>
    <s v="Computer Science/IT; Fine Arts; Engineering: General; Engineering"/>
    <s v="9781119085836"/>
    <s v=",1,2,3,19,20,21,17,18,22,23"/>
    <n v="10"/>
    <m/>
    <m/>
    <s v="No"/>
    <x v="3"/>
    <m/>
    <m/>
    <s v="137.141.13.2"/>
    <s v="T385 .C351 2015"/>
    <n v="741.6"/>
    <d v="2015-06-02T00:00:00"/>
  </r>
  <r>
    <x v="1629"/>
    <d v="1899-12-30T00:00:00"/>
    <x v="90"/>
    <x v="0"/>
    <s v="Buffalo"/>
    <x v="435"/>
    <n v="4093369"/>
    <x v="0"/>
    <m/>
    <s v="9781119074670"/>
    <m/>
    <n v="0"/>
    <m/>
    <m/>
    <s v="Yes"/>
    <x v="0"/>
    <d v="2015-12-22T02:58:05"/>
    <n v="7"/>
    <s v="128.205.114.91"/>
    <m/>
    <m/>
    <d v="2015-09-30T00:00:00"/>
  </r>
  <r>
    <x v="1629"/>
    <d v="1899-12-30T00:00:00"/>
    <x v="90"/>
    <x v="0"/>
    <s v="Buffalo"/>
    <x v="435"/>
    <n v="4093369"/>
    <x v="0"/>
    <m/>
    <s v="9781119074670"/>
    <m/>
    <n v="0"/>
    <m/>
    <m/>
    <s v="No"/>
    <x v="0"/>
    <d v="2015-12-22T02:58:05"/>
    <n v="7"/>
    <s v="128.205.114.91"/>
    <m/>
    <m/>
    <d v="2015-09-30T00:00:00"/>
  </r>
  <r>
    <x v="1630"/>
    <d v="1899-12-30T00:00:41"/>
    <x v="90"/>
    <x v="0"/>
    <s v="Buffalo"/>
    <x v="435"/>
    <n v="4093369"/>
    <x v="0"/>
    <m/>
    <s v="9781119074670"/>
    <s v=",2,3"/>
    <n v="2"/>
    <m/>
    <m/>
    <s v="No"/>
    <x v="3"/>
    <m/>
    <m/>
    <s v="128.205.114.91"/>
    <m/>
    <m/>
    <d v="2015-09-30T00:00:00"/>
  </r>
  <r>
    <x v="1631"/>
    <d v="1899-12-30T01:45:05"/>
    <x v="379"/>
    <x v="0"/>
    <s v="Buffalo"/>
    <x v="403"/>
    <n v="1137758"/>
    <x v="0"/>
    <s v="Economics; Business/Management"/>
    <s v="9781118399279"/>
    <s v=",1,2,3,53,54,55,51,52,56,57,58,59,60,61,62,63,64,65,66,67,68,69,70,71,72,73"/>
    <n v="26"/>
    <m/>
    <m/>
    <s v="No"/>
    <x v="0"/>
    <d v="2015-12-20T02:11:49"/>
    <n v="7"/>
    <s v="128.205.114.91"/>
    <s v="HG4910 .T48 2013"/>
    <s v="332.63/220973; 332.6322"/>
    <d v="2013-02-26T00:00:00"/>
  </r>
  <r>
    <x v="1631"/>
    <d v="1899-12-30T00:00:00"/>
    <x v="379"/>
    <x v="0"/>
    <s v="Buffalo"/>
    <x v="403"/>
    <n v="1137758"/>
    <x v="0"/>
    <s v="Economics; Business/Management"/>
    <s v="9781118399279"/>
    <m/>
    <n v="0"/>
    <m/>
    <m/>
    <s v="No"/>
    <x v="0"/>
    <d v="2015-12-20T02:11:49"/>
    <n v="7"/>
    <s v="128.205.114.91"/>
    <s v="HG4910 .T48 2013"/>
    <s v="332.63/220973; 332.6322"/>
    <d v="2013-02-26T00:00:00"/>
  </r>
  <r>
    <x v="1632"/>
    <d v="1899-12-30T00:00:40"/>
    <x v="426"/>
    <x v="7"/>
    <s v="oneonta"/>
    <x v="459"/>
    <n v="817845"/>
    <x v="0"/>
    <s v="Social Science; Education"/>
    <s v="9781118205495"/>
    <s v=",1,2,3,25,26,27,23,24,28"/>
    <n v="9"/>
    <m/>
    <m/>
    <s v="No"/>
    <x v="1"/>
    <m/>
    <m/>
    <s v="137.141.13.2"/>
    <s v="H62.5.U6 -- P38 2012eb"/>
    <s v="300; 300.76; 371.20076"/>
    <d v="2012-02-01T00:00:00"/>
  </r>
  <r>
    <x v="1633"/>
    <d v="1899-12-30T00:00:28"/>
    <x v="427"/>
    <x v="0"/>
    <s v="Buffalo"/>
    <x v="460"/>
    <n v="1170449"/>
    <x v="11"/>
    <s v="Fine Arts"/>
    <s v="9780226038674"/>
    <s v=",1,2,3,4,5,6,7,8,9,10,11,12"/>
    <n v="12"/>
    <m/>
    <m/>
    <s v="No"/>
    <x v="3"/>
    <m/>
    <m/>
    <s v="128.205.114.91"/>
    <s v="NX512"/>
    <n v="709.2"/>
    <d v="2013-05-27T00:00:00"/>
  </r>
  <r>
    <x v="1634"/>
    <d v="1899-12-30T00:02:28"/>
    <x v="396"/>
    <x v="0"/>
    <s v="Buffalo"/>
    <x v="28"/>
    <n v="817313"/>
    <x v="0"/>
    <s v="Education"/>
    <s v="9781118136829"/>
    <s v=",1,2,3,4,5,6,7,8,9,10,11,12,13,14,15,16,17,18,19,20,21,22,63,112,113,114,115,111,110,109,108,106,107,105,104,103,102,101,100,99,98,97,95,96,35,30,31,32,29,27,28,33,34,53,54,55,51,52,49,50,54,55,56,57,58,59,60,61,62,63,64"/>
    <n v="68"/>
    <m/>
    <m/>
    <s v="No"/>
    <x v="0"/>
    <d v="2015-12-18T14:29:46"/>
    <n v="7"/>
    <s v="128.205.114.91"/>
    <s v="LB2367.4 -- .W65 2012eb"/>
    <n v="378.16640000000001"/>
    <d v="2012-01-10T00:00:00"/>
  </r>
  <r>
    <x v="1635"/>
    <d v="1899-12-30T00:03:39"/>
    <x v="69"/>
    <x v="0"/>
    <s v="Buffalo"/>
    <x v="461"/>
    <n v="4035601"/>
    <x v="0"/>
    <s v="Medicine"/>
    <s v="9781118463116"/>
    <s v=",1,2,3,15,16,13,14,17,18,19,57,58,59,55,56,60,61,50,51,52,48,49,53,54,52,53,54,50,51,55"/>
    <n v="24"/>
    <m/>
    <m/>
    <s v="No"/>
    <x v="3"/>
    <m/>
    <m/>
    <s v="128.205.114.91"/>
    <s v="R853.S94D4 2013"/>
    <n v="616"/>
    <d v="2013-11-07T00:00:00"/>
  </r>
  <r>
    <x v="1636"/>
    <d v="1899-12-30T00:00:23"/>
    <x v="428"/>
    <x v="0"/>
    <s v="Buffalo"/>
    <x v="115"/>
    <n v="1882098"/>
    <x v="3"/>
    <s v="History"/>
    <s v="9780520959187"/>
    <s v=",1,1,3,3,2,2,2,2"/>
    <n v="3"/>
    <m/>
    <m/>
    <s v="No"/>
    <x v="3"/>
    <m/>
    <m/>
    <s v="128.205.114.91"/>
    <s v="F2341.C257"/>
    <n v="987.06299999999999"/>
    <d v="2015-07-24T00:00:00"/>
  </r>
  <r>
    <x v="1637"/>
    <d v="1899-12-30T00:07:22"/>
    <x v="396"/>
    <x v="0"/>
    <s v="Buffalo"/>
    <x v="28"/>
    <n v="817313"/>
    <x v="0"/>
    <s v="Education"/>
    <s v="9781118136829"/>
    <s v=",1,1,2,3,3,2,65,66,65,67,63,67,66,64,55,64,55,56,57,2,57,53,54,54,56,58,59,60,61,58,63,62,53,59,65,66,67,64,54,56,55,57,60,61,62,58,53,58,59,60,61,62,57,62,57,62,57,62,57,62,63"/>
    <n v="18"/>
    <m/>
    <m/>
    <s v="No"/>
    <x v="0"/>
    <d v="2015-12-18T14:29:46"/>
    <n v="7"/>
    <s v="128.205.114.91"/>
    <s v="LB2367.4 -- .W65 2012eb"/>
    <n v="378.16640000000001"/>
    <d v="2012-01-10T00:00:00"/>
  </r>
  <r>
    <x v="1638"/>
    <d v="1899-12-30T00:00:42"/>
    <x v="429"/>
    <x v="4"/>
    <s v="monroe2boces"/>
    <x v="462"/>
    <n v="1092959"/>
    <x v="3"/>
    <s v="Social Science"/>
    <s v="9780520955097"/>
    <s v=",1,2,3,323,321,35,36,33,34,38,39"/>
    <n v="11"/>
    <m/>
    <m/>
    <s v="No"/>
    <x v="1"/>
    <m/>
    <m/>
    <s v="72.43.69.30"/>
    <s v="HQ536 -- .F388 2013eb"/>
    <n v="306.85097300000001"/>
    <d v="2013-03-01T00:00:00"/>
  </r>
  <r>
    <x v="1639"/>
    <d v="1899-12-30T00:00:04"/>
    <x v="33"/>
    <x v="7"/>
    <s v="oneonta"/>
    <x v="458"/>
    <n v="1895384"/>
    <x v="0"/>
    <s v="Computer Science/IT; Fine Arts; Engineering: General; Engineering"/>
    <s v="9781119085836"/>
    <s v=",1,2,3"/>
    <n v="3"/>
    <m/>
    <m/>
    <s v="No"/>
    <x v="3"/>
    <m/>
    <m/>
    <s v="137.141.13.2"/>
    <s v="T385 .C351 2015"/>
    <n v="741.6"/>
    <d v="2015-06-02T00:00:00"/>
  </r>
  <r>
    <x v="1640"/>
    <d v="1899-12-30T00:31:24"/>
    <x v="430"/>
    <x v="1"/>
    <s v="brockport"/>
    <x v="414"/>
    <n v="1143522"/>
    <x v="0"/>
    <s v="History"/>
    <s v="9781118257197"/>
    <s v=",1,2,3,218,219,220,216,221,222,217,223,224,225,226,79,69,238,237,239,235,236,240,241,242,243,244,245,246,247,248,249,250,251,252,253,254,255,256,257,258"/>
    <n v="40"/>
    <s v=",224,218"/>
    <m/>
    <s v="No"/>
    <x v="0"/>
    <d v="2015-12-18T03:12:41"/>
    <n v="7"/>
    <s v="137.21.7.121"/>
    <s v="F1219.73 .S58 2013"/>
    <n v="972"/>
    <d v="2013-03-01T00:00:00"/>
  </r>
  <r>
    <x v="1641"/>
    <d v="1899-12-30T00:47:29"/>
    <x v="379"/>
    <x v="0"/>
    <s v="Buffalo"/>
    <x v="403"/>
    <n v="1137758"/>
    <x v="0"/>
    <s v="Economics; Business/Management"/>
    <s v="9781118399279"/>
    <s v=",1,2,3,9,10,30,32,33,34,35,31,36,37,38,39,40,41,42,43,44,45,46,47,48,49,50,51,52,53,54,55,56,57,58,59,60,61"/>
    <n v="37"/>
    <m/>
    <m/>
    <s v="No"/>
    <x v="0"/>
    <d v="2015-12-20T02:11:49"/>
    <n v="7"/>
    <s v="128.205.114.91"/>
    <s v="HG4910 .T48 2013"/>
    <s v="332.63/220973; 332.6322"/>
    <d v="2013-02-26T00:00:00"/>
  </r>
  <r>
    <x v="1642"/>
    <d v="1899-12-30T00:02:33"/>
    <x v="431"/>
    <x v="7"/>
    <s v="oneonta"/>
    <x v="463"/>
    <n v="1573284"/>
    <x v="2"/>
    <s v="Education"/>
    <s v="9781134607693"/>
    <s v=",1,14,15,16,12,13,2,17,18,19,20"/>
    <n v="11"/>
    <m/>
    <m/>
    <s v="No"/>
    <x v="3"/>
    <m/>
    <m/>
    <s v="137.141.13.2"/>
    <s v="LB1028.3 -- .S38882 2014eb"/>
    <n v="371.33"/>
    <d v="2013-11-26T00:00:00"/>
  </r>
  <r>
    <x v="1643"/>
    <d v="1899-12-30T00:15:13"/>
    <x v="379"/>
    <x v="0"/>
    <s v="Buffalo"/>
    <x v="403"/>
    <n v="1137758"/>
    <x v="0"/>
    <s v="Economics; Business/Management"/>
    <s v="9781118399279"/>
    <s v=",1,2,3,4,6,30,31,32,29,28,33,34,35,36,37,38,39,40,41,33,29,28,27"/>
    <n v="20"/>
    <m/>
    <m/>
    <s v="No"/>
    <x v="0"/>
    <d v="2015-12-20T02:11:49"/>
    <n v="7"/>
    <s v="128.205.114.91"/>
    <s v="HG4910 .T48 2013"/>
    <s v="332.63/220973; 332.6322"/>
    <d v="2013-02-26T00:00:00"/>
  </r>
  <r>
    <x v="1644"/>
    <d v="1899-12-30T00:04:35"/>
    <x v="432"/>
    <x v="0"/>
    <s v="Buffalo"/>
    <x v="161"/>
    <n v="821663"/>
    <x v="0"/>
    <s v="Architecture"/>
    <s v="9781118168479"/>
    <s v=",52,53,54,55,56,57,58,59,60,61,62,63,64,65,66,67,52"/>
    <n v="16"/>
    <s v=",49"/>
    <m/>
    <s v="No"/>
    <x v="0"/>
    <d v="2015-12-20T20:44:49"/>
    <n v="7"/>
    <s v="128.205.114.91"/>
    <s v="NA2547 -- .S74 2012eb"/>
    <n v="729"/>
    <d v="2012-03-05T00:00:00"/>
  </r>
  <r>
    <x v="1645"/>
    <d v="1899-12-30T00:01:15"/>
    <x v="432"/>
    <x v="0"/>
    <s v="Buffalo"/>
    <x v="161"/>
    <n v="821663"/>
    <x v="0"/>
    <s v="Architecture"/>
    <s v="9781118168479"/>
    <s v=",1,2,47,48,49,45,46,50,51"/>
    <n v="9"/>
    <m/>
    <m/>
    <s v="No"/>
    <x v="1"/>
    <m/>
    <m/>
    <s v="128.205.114.91"/>
    <s v="NA2547 -- .S74 2012eb"/>
    <n v="729"/>
    <d v="2012-03-05T00:00:00"/>
  </r>
  <r>
    <x v="1646"/>
    <d v="1899-12-30T00:43:10"/>
    <x v="430"/>
    <x v="1"/>
    <s v="brockport"/>
    <x v="414"/>
    <n v="1143522"/>
    <x v="0"/>
    <s v="History"/>
    <s v="9781118257197"/>
    <s v=",1,2,3,21,22,23,19,20,24,25,26,27,59,60,61,57,58,62,63,64,40,41,42,38,39,43,44,45,46,47,48,49,50,217,218,219,215,216"/>
    <n v="38"/>
    <m/>
    <m/>
    <s v="No"/>
    <x v="0"/>
    <d v="2015-12-18T03:12:41"/>
    <n v="7"/>
    <s v="137.21.7.121"/>
    <s v="F1219.73 .S58 2013"/>
    <n v="972"/>
    <d v="2013-03-01T00:00:00"/>
  </r>
  <r>
    <x v="1647"/>
    <d v="1899-12-30T00:19:08"/>
    <x v="393"/>
    <x v="13"/>
    <s v="buffalostate"/>
    <x v="419"/>
    <n v="1641157"/>
    <x v="11"/>
    <s v="Agriculture; Science; Science: Biology/Natural History"/>
    <s v="9780226024134"/>
    <s v=",191,192,190,190,190,193,194,188,195,196,191,189,188,187,186,188,191,192,54,55,56,52,53,57,58"/>
    <n v="18"/>
    <s v=",192,190,190,190,190,188,188"/>
    <m/>
    <s v="Yes"/>
    <x v="2"/>
    <d v="2015-12-20T19:22:01"/>
    <n v="1"/>
    <s v="136.183.11.43"/>
    <s v="SD387"/>
    <n v="577.29999999999995"/>
    <d v="2014-03-04T00:00:00"/>
  </r>
  <r>
    <x v="1648"/>
    <d v="1899-12-30T00:00:18"/>
    <x v="393"/>
    <x v="13"/>
    <s v="buffalostate"/>
    <x v="419"/>
    <n v="1641157"/>
    <x v="11"/>
    <s v="Agriculture; Science; Science: Biology/Natural History"/>
    <s v="9780226024134"/>
    <s v=",188,188,188,189,186,187"/>
    <n v="4"/>
    <s v=",188,188,188,188,188"/>
    <m/>
    <s v="No"/>
    <x v="2"/>
    <d v="2015-12-20T19:22:01"/>
    <n v="1"/>
    <s v="136.183.11.43"/>
    <s v="SD387"/>
    <n v="577.29999999999995"/>
    <d v="2014-03-04T00:00:00"/>
  </r>
  <r>
    <x v="1649"/>
    <d v="1899-12-30T00:04:20"/>
    <x v="393"/>
    <x v="13"/>
    <s v="buffalostate"/>
    <x v="419"/>
    <n v="1641157"/>
    <x v="11"/>
    <s v="Agriculture; Science; Science: Biology/Natural History"/>
    <s v="9780226024134"/>
    <s v=",1,490,491,492,488,489,493,494,2,70,71,72,68,69,129,130,131,127,128,132,144,146,142,143,147,148,150,158,159,160,156,157,161,162,163,188,189,190,186,187,191,192,193,194,192,188,188,188,188"/>
    <n v="44"/>
    <m/>
    <m/>
    <s v="No"/>
    <x v="3"/>
    <m/>
    <m/>
    <s v="136.183.11.43"/>
    <s v="SD387"/>
    <n v="577.29999999999995"/>
    <d v="2014-03-04T00:00:00"/>
  </r>
  <r>
    <x v="1650"/>
    <d v="1899-12-30T00:00:47"/>
    <x v="433"/>
    <x v="0"/>
    <s v="Buffalo"/>
    <x v="464"/>
    <n v="1204090"/>
    <x v="0"/>
    <s v="Architecture"/>
    <s v="9781118332917"/>
    <s v=",1,2,3,4,5"/>
    <n v="5"/>
    <m/>
    <m/>
    <s v="No"/>
    <x v="3"/>
    <m/>
    <m/>
    <s v="128.205.114.91"/>
    <s v="NA6600 -- .N48 2013eb"/>
    <s v="727/.3"/>
    <d v="2013-05-21T00:00:00"/>
  </r>
  <r>
    <x v="1651"/>
    <d v="1899-12-30T00:00:10"/>
    <x v="434"/>
    <x v="0"/>
    <s v="Buffalo"/>
    <x v="465"/>
    <n v="1781084"/>
    <x v="0"/>
    <s v="Fine Arts"/>
    <s v="9781118900079"/>
    <s v=",1,2,3,4,5,6"/>
    <n v="6"/>
    <m/>
    <m/>
    <s v="No"/>
    <x v="3"/>
    <m/>
    <m/>
    <s v="128.205.114.91"/>
    <s v="MT248 -- .P536 2014eb"/>
    <n v="786.21929999999998"/>
    <d v="2014-09-03T00:00:00"/>
  </r>
  <r>
    <x v="1652"/>
    <d v="1899-12-30T00:00:32"/>
    <x v="434"/>
    <x v="0"/>
    <s v="Buffalo"/>
    <x v="465"/>
    <n v="1781084"/>
    <x v="0"/>
    <s v="Fine Arts"/>
    <s v="9781118900079"/>
    <s v=",1,2,3,4,5,6,7,8"/>
    <n v="8"/>
    <m/>
    <m/>
    <s v="No"/>
    <x v="3"/>
    <m/>
    <m/>
    <s v="128.205.114.91"/>
    <s v="MT248 -- .P536 2014eb"/>
    <n v="786.21929999999998"/>
    <d v="2014-09-03T00:00:00"/>
  </r>
  <r>
    <x v="1653"/>
    <d v="1899-12-30T01:33:48"/>
    <x v="379"/>
    <x v="0"/>
    <s v="Buffalo"/>
    <x v="403"/>
    <n v="1137758"/>
    <x v="0"/>
    <s v="Economics; Business/Management"/>
    <s v="9781118399279"/>
    <s v=",1,2,3,4,5,7,8,9,6,12,13,14,15,11,16,17,18,19,20,22,21,23,24,25,26,27,28,29,30,31,32,33,34,35,36,37,34,1,34,35,36,32,33,2"/>
    <n v="36"/>
    <m/>
    <m/>
    <s v="No"/>
    <x v="0"/>
    <d v="2015-12-20T02:11:49"/>
    <n v="7"/>
    <s v="128.205.114.91"/>
    <s v="HG4910 .T48 2013"/>
    <s v="332.63/220973; 332.6322"/>
    <d v="2013-02-26T00:00:00"/>
  </r>
  <r>
    <x v="1654"/>
    <d v="1899-12-30T00:29:06"/>
    <x v="64"/>
    <x v="6"/>
    <s v="sjfc"/>
    <x v="75"/>
    <n v="1986951"/>
    <x v="0"/>
    <s v="Business/Management"/>
    <s v="9781119130468"/>
    <s v=",1,2,3,4,5,6,7,8,9,10,241,242,243,244,240,245,246,247,241,240,246,247,241,247"/>
    <n v="18"/>
    <s v=",243,243"/>
    <m/>
    <s v="No"/>
    <x v="0"/>
    <d v="2015-12-20T17:14:57"/>
    <n v="7"/>
    <s v="149.69.254.57"/>
    <s v="HF5661"/>
    <n v="657.07600000000002"/>
    <d v="2015-05-19T00:00:00"/>
  </r>
  <r>
    <x v="1655"/>
    <d v="1899-12-30T00:05:24"/>
    <x v="64"/>
    <x v="6"/>
    <s v="sjfc"/>
    <x v="75"/>
    <n v="1986951"/>
    <x v="0"/>
    <s v="Business/Management"/>
    <s v="9781119130468"/>
    <s v=",244"/>
    <n v="1"/>
    <s v=",241,242"/>
    <m/>
    <s v="No"/>
    <x v="0"/>
    <d v="2015-12-20T17:14:57"/>
    <n v="7"/>
    <s v="149.69.254.57"/>
    <s v="HF5661"/>
    <n v="657.07600000000002"/>
    <d v="2015-05-19T00:00:00"/>
  </r>
  <r>
    <x v="1656"/>
    <d v="1899-12-30T00:00:35"/>
    <x v="64"/>
    <x v="6"/>
    <s v="sjfc"/>
    <x v="75"/>
    <n v="1986951"/>
    <x v="0"/>
    <s v="Business/Management"/>
    <s v="9781119130468"/>
    <s v=",1,2,3,241,242,243,239,240"/>
    <n v="8"/>
    <m/>
    <m/>
    <s v="No"/>
    <x v="1"/>
    <m/>
    <m/>
    <s v="149.69.254.57"/>
    <s v="HF5661"/>
    <n v="657.07600000000002"/>
    <d v="2015-05-19T00:00:00"/>
  </r>
  <r>
    <x v="1657"/>
    <d v="1899-12-30T00:00:36"/>
    <x v="64"/>
    <x v="6"/>
    <s v="sjfc"/>
    <x v="466"/>
    <n v="4081526"/>
    <x v="0"/>
    <m/>
    <s v="9781119144649"/>
    <s v=",1,2,3,226,229"/>
    <n v="5"/>
    <m/>
    <m/>
    <s v="No"/>
    <x v="3"/>
    <m/>
    <m/>
    <s v="149.69.254.57"/>
    <m/>
    <m/>
    <d v="2015-10-30T00:00:00"/>
  </r>
  <r>
    <x v="1658"/>
    <d v="1899-12-30T01:55:41"/>
    <x v="379"/>
    <x v="0"/>
    <s v="Buffalo"/>
    <x v="403"/>
    <n v="1137758"/>
    <x v="0"/>
    <s v="Economics; Business/Management"/>
    <s v="9781118399279"/>
    <s v=",1,3,2,4,5,6,7,8,9,10,11,12,13,14,15,16,17,18,19,20,21,22,23,24,25,26,26,27,28,29,1,29,30,31,27,28,2,32"/>
    <n v="32"/>
    <m/>
    <m/>
    <s v="No"/>
    <x v="0"/>
    <d v="2015-12-20T02:11:49"/>
    <n v="7"/>
    <s v="128.205.114.91"/>
    <s v="HG4910 .T48 2013"/>
    <s v="332.63/220973; 332.6322"/>
    <d v="2013-02-26T00:00:00"/>
  </r>
  <r>
    <x v="1659"/>
    <d v="1899-12-30T00:01:50"/>
    <x v="403"/>
    <x v="0"/>
    <s v="Buffalo"/>
    <x v="467"/>
    <n v="1767554"/>
    <x v="17"/>
    <s v="Psychology"/>
    <s v="9780748691142"/>
    <s v=",94"/>
    <n v="1"/>
    <m/>
    <m/>
    <s v="Yes"/>
    <x v="0"/>
    <d v="2015-12-20T14:31:56"/>
    <n v="7"/>
    <s v="128.205.114.91"/>
    <s v="BF531 -- .A585 2014eb"/>
    <n v="152.4"/>
    <d v="2014-06-11T00:00:00"/>
  </r>
  <r>
    <x v="1659"/>
    <d v="1899-12-30T00:00:00"/>
    <x v="403"/>
    <x v="0"/>
    <s v="Buffalo"/>
    <x v="467"/>
    <n v="1767554"/>
    <x v="17"/>
    <s v="Psychology"/>
    <s v="9780748691142"/>
    <m/>
    <n v="0"/>
    <m/>
    <m/>
    <s v="No"/>
    <x v="0"/>
    <d v="2015-12-20T14:31:56"/>
    <n v="7"/>
    <s v="128.205.114.91"/>
    <s v="BF531 -- .A585 2014eb"/>
    <n v="152.4"/>
    <d v="2014-06-11T00:00:00"/>
  </r>
  <r>
    <x v="1660"/>
    <d v="1899-12-30T00:01:26"/>
    <x v="403"/>
    <x v="0"/>
    <s v="Buffalo"/>
    <x v="467"/>
    <n v="1767554"/>
    <x v="17"/>
    <s v="Psychology"/>
    <s v="9780748691142"/>
    <s v=",1,2,3,91,92,93,89,90"/>
    <n v="8"/>
    <m/>
    <m/>
    <s v="No"/>
    <x v="1"/>
    <m/>
    <m/>
    <s v="128.205.114.91"/>
    <s v="BF531 -- .A585 2014eb"/>
    <n v="152.4"/>
    <d v="2014-06-11T00:00:00"/>
  </r>
  <r>
    <x v="1661"/>
    <d v="1899-12-30T00:00:04"/>
    <x v="379"/>
    <x v="0"/>
    <s v="Buffalo"/>
    <x v="403"/>
    <n v="1137758"/>
    <x v="0"/>
    <s v="Economics; Business/Management"/>
    <s v="9781118399279"/>
    <s v=",1,2,3"/>
    <n v="3"/>
    <m/>
    <m/>
    <s v="No"/>
    <x v="0"/>
    <d v="2015-12-20T02:11:49"/>
    <n v="7"/>
    <s v="128.205.114.91"/>
    <s v="HG4910 .T48 2013"/>
    <s v="332.63/220973; 332.6322"/>
    <d v="2013-02-26T00:00:00"/>
  </r>
  <r>
    <x v="1662"/>
    <d v="1899-12-30T00:00:34"/>
    <x v="435"/>
    <x v="1"/>
    <s v="brockport"/>
    <x v="468"/>
    <n v="4034178"/>
    <x v="0"/>
    <s v="Fine Arts"/>
    <s v="9781118325087"/>
    <s v=",1,19,20,21,17,18,2"/>
    <n v="7"/>
    <m/>
    <m/>
    <s v="No"/>
    <x v="0"/>
    <d v="2015-12-20T02:24:35"/>
    <n v="7"/>
    <s v="137.21.7.121"/>
    <m/>
    <n v="709"/>
    <d v="2014-12-23T00:00:00"/>
  </r>
  <r>
    <x v="1663"/>
    <d v="1899-12-30T00:00:00"/>
    <x v="435"/>
    <x v="1"/>
    <s v="brockport"/>
    <x v="468"/>
    <n v="4034178"/>
    <x v="0"/>
    <s v="Fine Arts"/>
    <s v="9781118325087"/>
    <m/>
    <n v="0"/>
    <m/>
    <m/>
    <s v="No"/>
    <x v="0"/>
    <d v="2015-12-20T02:24:35"/>
    <n v="7"/>
    <s v="137.21.7.121"/>
    <m/>
    <n v="709"/>
    <d v="2014-12-23T00:00:00"/>
  </r>
  <r>
    <x v="1664"/>
    <d v="1899-12-30T00:11:44"/>
    <x v="435"/>
    <x v="1"/>
    <s v="brockport"/>
    <x v="468"/>
    <n v="4034178"/>
    <x v="0"/>
    <s v="Fine Arts"/>
    <s v="9781118325087"/>
    <s v=",677,679,678,683,684,685,686,687,689,734,735,736,751,752,753,749,750,748,754,755,756,757,758,759,760,761,762,763,764,765,766,767,768,769,770,771,772,773,774,590,592,588,589,593,594,595,596,449,451,447,448,445,9,10,11,12,13,14,15,16,17,18,19,20,21"/>
    <n v="65"/>
    <m/>
    <m/>
    <s v="No"/>
    <x v="0"/>
    <d v="2015-12-20T02:24:35"/>
    <n v="7"/>
    <s v="137.21.7.121"/>
    <m/>
    <n v="709"/>
    <d v="2014-12-23T00:00:00"/>
  </r>
  <r>
    <x v="1665"/>
    <d v="1899-12-30T00:01:26"/>
    <x v="430"/>
    <x v="1"/>
    <s v="brockport"/>
    <x v="414"/>
    <n v="1143522"/>
    <x v="0"/>
    <s v="History"/>
    <s v="9781118257197"/>
    <s v=",1,2,3,4,5,6,7,8,217,218,219,215,216"/>
    <n v="13"/>
    <m/>
    <m/>
    <s v="No"/>
    <x v="0"/>
    <d v="2015-12-18T03:12:41"/>
    <n v="7"/>
    <s v="137.21.7.121"/>
    <s v="F1219.73 .S58 2013"/>
    <n v="972"/>
    <d v="2013-03-01T00:00:00"/>
  </r>
  <r>
    <x v="1666"/>
    <d v="1899-12-30T00:19:42"/>
    <x v="379"/>
    <x v="0"/>
    <s v="Buffalo"/>
    <x v="403"/>
    <n v="1137758"/>
    <x v="0"/>
    <s v="Economics; Business/Management"/>
    <s v="9781118399279"/>
    <s v=",7,8,9,5,10,6,11,12,13,14,15,4,16,17,18,19,20,21,22,23,24,25"/>
    <n v="22"/>
    <m/>
    <m/>
    <s v="Yes"/>
    <x v="0"/>
    <d v="2015-12-20T02:11:49"/>
    <n v="7"/>
    <s v="128.205.114.91"/>
    <s v="HG4910 .T48 2013"/>
    <s v="332.63/220973; 332.6322"/>
    <d v="2013-02-26T00:00:00"/>
  </r>
  <r>
    <x v="1667"/>
    <d v="1899-12-30T00:00:00"/>
    <x v="379"/>
    <x v="0"/>
    <s v="Buffalo"/>
    <x v="403"/>
    <n v="1137758"/>
    <x v="0"/>
    <s v="Economics; Business/Management"/>
    <s v="9781118399279"/>
    <m/>
    <n v="0"/>
    <m/>
    <m/>
    <s v="Yes"/>
    <x v="0"/>
    <d v="2015-12-20T02:11:49"/>
    <n v="7"/>
    <s v="128.205.114.91"/>
    <s v="HG4910 .T48 2013"/>
    <s v="332.63/220973; 332.6322"/>
    <d v="2013-02-26T00:00:00"/>
  </r>
  <r>
    <x v="1668"/>
    <d v="1899-12-30T00:00:00"/>
    <x v="379"/>
    <x v="0"/>
    <s v="Buffalo"/>
    <x v="403"/>
    <n v="1137758"/>
    <x v="0"/>
    <s v="Economics; Business/Management"/>
    <s v="9781118399279"/>
    <m/>
    <n v="0"/>
    <m/>
    <m/>
    <s v="Yes"/>
    <x v="0"/>
    <d v="2015-12-20T02:11:49"/>
    <n v="7"/>
    <s v="128.205.114.91"/>
    <s v="HG4910 .T48 2013"/>
    <s v="332.63/220973; 332.6322"/>
    <d v="2013-02-26T00:00:00"/>
  </r>
  <r>
    <x v="1668"/>
    <d v="1899-12-30T00:00:00"/>
    <x v="379"/>
    <x v="0"/>
    <s v="Buffalo"/>
    <x v="403"/>
    <n v="1137758"/>
    <x v="0"/>
    <s v="Economics; Business/Management"/>
    <s v="9781118399279"/>
    <m/>
    <n v="0"/>
    <m/>
    <m/>
    <s v="No"/>
    <x v="0"/>
    <d v="2015-12-20T02:11:49"/>
    <n v="7"/>
    <s v="128.205.114.91"/>
    <s v="HG4910 .T48 2013"/>
    <s v="332.63/220973; 332.6322"/>
    <d v="2013-02-26T00:00:00"/>
  </r>
  <r>
    <x v="1669"/>
    <d v="1899-12-30T00:02:06"/>
    <x v="379"/>
    <x v="0"/>
    <s v="Buffalo"/>
    <x v="403"/>
    <n v="1137758"/>
    <x v="0"/>
    <s v="Economics; Business/Management"/>
    <s v="9781118399279"/>
    <s v=",1,2,3"/>
    <n v="3"/>
    <m/>
    <m/>
    <s v="No"/>
    <x v="3"/>
    <m/>
    <m/>
    <s v="128.205.114.91"/>
    <s v="HG4910 .T48 2013"/>
    <s v="332.63/220973; 332.6322"/>
    <d v="2013-02-26T00:00:00"/>
  </r>
  <r>
    <x v="1670"/>
    <d v="1899-12-30T00:17:44"/>
    <x v="435"/>
    <x v="1"/>
    <s v="brockport"/>
    <x v="468"/>
    <n v="4034178"/>
    <x v="0"/>
    <s v="Fine Arts"/>
    <s v="9781118325087"/>
    <s v=",1,2,3,4,5,6,7,8"/>
    <n v="8"/>
    <m/>
    <m/>
    <s v="No"/>
    <x v="3"/>
    <m/>
    <m/>
    <s v="137.21.7.121"/>
    <m/>
    <n v="709"/>
    <d v="2014-12-23T00:00:00"/>
  </r>
  <r>
    <x v="1671"/>
    <d v="1899-12-30T00:00:06"/>
    <x v="430"/>
    <x v="1"/>
    <s v="brockport"/>
    <x v="414"/>
    <n v="1143522"/>
    <x v="0"/>
    <s v="History"/>
    <s v="9781118257197"/>
    <s v=",1,2,3"/>
    <n v="3"/>
    <m/>
    <m/>
    <s v="No"/>
    <x v="0"/>
    <d v="2015-12-18T03:12:41"/>
    <n v="7"/>
    <s v="137.21.7.121"/>
    <s v="F1219.73 .S58 2013"/>
    <n v="972"/>
    <d v="2013-03-01T00:00:00"/>
  </r>
  <r>
    <x v="1672"/>
    <d v="1899-12-30T00:02:07"/>
    <x v="436"/>
    <x v="1"/>
    <s v="brockport"/>
    <x v="469"/>
    <n v="1434047"/>
    <x v="2"/>
    <s v="History"/>
    <s v="9781134624492"/>
    <s v=",1,2,3,4,5,6,7,8,9,10,11,12,13,14,16,17,18,19,20,22,21,23,24,25,26,27,29,30,31,32,33,34,35,36,37,38,39,40,41,42,43,44,45,46,47,48,49,50,51,52,53,54,55,56,57,58,59,60,61,62"/>
    <n v="60"/>
    <m/>
    <m/>
    <s v="No"/>
    <x v="2"/>
    <d v="2015-12-18T23:52:31"/>
    <n v="1"/>
    <s v="137.21.7.121"/>
    <s v="DG70.P7 C628 2013"/>
    <n v="937.72559999999999"/>
    <d v="2013-09-26T00:00:00"/>
  </r>
  <r>
    <x v="1673"/>
    <d v="1899-12-30T00:00:52"/>
    <x v="437"/>
    <x v="1"/>
    <s v="brockport"/>
    <x v="470"/>
    <n v="1126720"/>
    <x v="5"/>
    <s v="Social Science; History"/>
    <s v="9780814724460"/>
    <s v=",1,2,3,152,153,154,150,151,155,156,154"/>
    <n v="10"/>
    <m/>
    <m/>
    <s v="No"/>
    <x v="3"/>
    <m/>
    <m/>
    <s v="137.21.7.121"/>
    <s v="E185.61 -- .H58 2013eb"/>
    <s v="305.896/073"/>
    <d v="2013-03-18T00:00:00"/>
  </r>
  <r>
    <x v="1674"/>
    <d v="1899-12-30T00:04:12"/>
    <x v="438"/>
    <x v="0"/>
    <s v="Buffalo"/>
    <x v="471"/>
    <n v="1953321"/>
    <x v="0"/>
    <s v="Business/Management"/>
    <s v="9781119062448"/>
    <s v=",1,2,3,7,8,9,5,6,11,14,15,16,12,13,17,26,55,56,16,17,18,14,15,11,4,5"/>
    <n v="20"/>
    <m/>
    <m/>
    <s v="No"/>
    <x v="1"/>
    <m/>
    <m/>
    <s v="128.205.114.91"/>
    <s v="HF5548.4.M523 -- F35 2015eb"/>
    <n v="658.15028555399999"/>
    <d v="2015-03-16T00:00:00"/>
  </r>
  <r>
    <x v="1675"/>
    <d v="1899-12-30T00:11:33"/>
    <x v="430"/>
    <x v="1"/>
    <s v="brockport"/>
    <x v="414"/>
    <n v="1143522"/>
    <x v="0"/>
    <s v="History"/>
    <s v="9781118257197"/>
    <s v=",1,2,3,217,218,219,215,216,220,221,222,223,224,225"/>
    <n v="14"/>
    <m/>
    <m/>
    <s v="No"/>
    <x v="0"/>
    <d v="2015-12-18T03:12:41"/>
    <n v="7"/>
    <s v="137.21.7.121"/>
    <s v="F1219.73 .S58 2013"/>
    <n v="972"/>
    <d v="2013-03-01T00:00:00"/>
  </r>
  <r>
    <x v="1676"/>
    <d v="1899-12-30T00:00:52"/>
    <x v="439"/>
    <x v="7"/>
    <s v="oneonta"/>
    <x v="472"/>
    <n v="1895748"/>
    <x v="0"/>
    <s v="Science: Botany; Science: Biology/Natural History; Science"/>
    <s v="9781118917138"/>
    <s v=",1,2,3,1"/>
    <n v="3"/>
    <m/>
    <m/>
    <s v="No"/>
    <x v="3"/>
    <m/>
    <m/>
    <s v="137.141.13.2"/>
    <s v="QK570.25 -- .B45 2015eb"/>
    <s v="579.8/176"/>
    <d v="2015-01-12T00:00:00"/>
  </r>
  <r>
    <x v="1677"/>
    <d v="1899-12-30T00:06:33"/>
    <x v="436"/>
    <x v="1"/>
    <s v="brockport"/>
    <x v="469"/>
    <n v="1434047"/>
    <x v="2"/>
    <s v="History"/>
    <s v="9781134624492"/>
    <s v=",1,2,3,4,5,6,7,8,9,10,11,12,13,14,15,16,17,18,19,20,21"/>
    <n v="21"/>
    <m/>
    <m/>
    <s v="No"/>
    <x v="2"/>
    <d v="2015-12-18T23:52:31"/>
    <n v="1"/>
    <s v="137.21.7.121"/>
    <s v="DG70.P7 C628 2013"/>
    <n v="937.72559999999999"/>
    <d v="2013-09-26T00:00:00"/>
  </r>
  <r>
    <x v="1678"/>
    <d v="1899-12-30T00:11:45"/>
    <x v="396"/>
    <x v="0"/>
    <s v="Buffalo"/>
    <x v="28"/>
    <n v="817313"/>
    <x v="0"/>
    <s v="Education"/>
    <s v="9781118136829"/>
    <s v=",132,131,130,128,129,126,127,124,125,123,122,121,120,119,118,117,116,115,114,113,112,110,111,109,108,114,115,116,117"/>
    <n v="25"/>
    <m/>
    <m/>
    <s v="Yes"/>
    <x v="0"/>
    <d v="2015-12-18T14:29:46"/>
    <n v="7"/>
    <s v="128.205.114.91"/>
    <s v="LB2367.4 -- .W65 2012eb"/>
    <n v="378.16640000000001"/>
    <d v="2012-01-10T00:00:00"/>
  </r>
  <r>
    <x v="1679"/>
    <d v="1899-12-30T00:00:20"/>
    <x v="396"/>
    <x v="0"/>
    <s v="Buffalo"/>
    <x v="28"/>
    <n v="817313"/>
    <x v="0"/>
    <s v="Education"/>
    <s v="9781118136829"/>
    <s v=",1,2,3,23,210,309,337,302,265,371,372,370,368,369"/>
    <n v="14"/>
    <m/>
    <m/>
    <s v="No"/>
    <x v="0"/>
    <d v="2015-12-18T14:29:46"/>
    <n v="7"/>
    <s v="128.205.114.91"/>
    <s v="LB2367.4 -- .W65 2012eb"/>
    <n v="378.16640000000001"/>
    <d v="2012-01-10T00:00:00"/>
  </r>
  <r>
    <x v="1680"/>
    <d v="1899-12-30T00:00:14"/>
    <x v="436"/>
    <x v="1"/>
    <s v="brockport"/>
    <x v="469"/>
    <n v="1434047"/>
    <x v="2"/>
    <s v="History"/>
    <s v="9781134624492"/>
    <s v=",1,2,3,4,5,6,7"/>
    <n v="7"/>
    <m/>
    <m/>
    <s v="No"/>
    <x v="2"/>
    <d v="2015-12-18T23:52:31"/>
    <n v="1"/>
    <s v="137.21.7.121"/>
    <s v="DG70.P7 C628 2013"/>
    <n v="937.72559999999999"/>
    <d v="2013-09-26T00:00:00"/>
  </r>
  <r>
    <x v="1681"/>
    <d v="1899-12-30T00:00:21"/>
    <x v="396"/>
    <x v="0"/>
    <s v="Buffalo"/>
    <x v="28"/>
    <n v="817313"/>
    <x v="0"/>
    <s v="Education"/>
    <s v="9781118136829"/>
    <s v=",1,2,3,4,5,7,8,9,10,6"/>
    <n v="10"/>
    <m/>
    <m/>
    <s v="No"/>
    <x v="0"/>
    <d v="2015-12-18T14:29:46"/>
    <n v="7"/>
    <s v="128.205.114.91"/>
    <s v="LB2367.4 -- .W65 2012eb"/>
    <n v="378.16640000000001"/>
    <d v="2012-01-10T00:00:00"/>
  </r>
  <r>
    <x v="1682"/>
    <d v="1899-12-30T00:57:24"/>
    <x v="430"/>
    <x v="1"/>
    <s v="brockport"/>
    <x v="414"/>
    <n v="1143522"/>
    <x v="0"/>
    <s v="History"/>
    <s v="9781118257197"/>
    <s v=",1,2,3,217,218,219,215,216,220,214,220,221"/>
    <n v="11"/>
    <m/>
    <m/>
    <s v="No"/>
    <x v="0"/>
    <d v="2015-12-18T03:12:41"/>
    <n v="7"/>
    <s v="137.21.7.121"/>
    <s v="F1219.73 .S58 2013"/>
    <n v="972"/>
    <d v="2013-03-01T00:00:00"/>
  </r>
  <r>
    <x v="1683"/>
    <d v="1899-12-30T00:03:38"/>
    <x v="436"/>
    <x v="1"/>
    <s v="brockport"/>
    <x v="469"/>
    <n v="1434047"/>
    <x v="2"/>
    <s v="History"/>
    <s v="9781134624492"/>
    <s v=",1,2,3,4,5,6,7,8,9,10,11,12,13,14,15,16,17,18,19,20,21,22,23,24,25,26,27,28,29,30,31,32,33,34,35,36,37,38,39,40,41,42,44,45,46,47,48,49,50,51,52,53,54,55,56,57"/>
    <n v="56"/>
    <m/>
    <m/>
    <s v="No"/>
    <x v="2"/>
    <d v="2015-12-18T23:52:31"/>
    <n v="1"/>
    <s v="137.21.7.121"/>
    <s v="DG70.P7 C628 2013"/>
    <n v="937.72559999999999"/>
    <d v="2013-09-26T00:00:00"/>
  </r>
  <r>
    <x v="1684"/>
    <d v="1899-12-30T00:00:30"/>
    <x v="423"/>
    <x v="0"/>
    <s v="Buffalo"/>
    <x v="456"/>
    <n v="875438"/>
    <x v="0"/>
    <s v="Social Science"/>
    <s v="9781118232682"/>
    <s v=",1,5,6,7,4,3,2"/>
    <n v="7"/>
    <m/>
    <m/>
    <s v="No"/>
    <x v="1"/>
    <m/>
    <m/>
    <s v="128.205.114.91"/>
    <s v="HM716 -- .F73 2012eb"/>
    <n v="302.3"/>
    <d v="2012-03-08T00:00:00"/>
  </r>
  <r>
    <x v="1685"/>
    <d v="1899-12-30T02:26:00"/>
    <x v="430"/>
    <x v="1"/>
    <s v="brockport"/>
    <x v="414"/>
    <n v="1143522"/>
    <x v="0"/>
    <s v="History"/>
    <s v="9781118257197"/>
    <s v=",1,2,3,1,2,3,4,217,9,5,6,217,217,218,219,215,220,216,209,210,211,207,208"/>
    <n v="18"/>
    <m/>
    <m/>
    <s v="No"/>
    <x v="0"/>
    <d v="2015-12-18T03:12:41"/>
    <n v="7"/>
    <s v="137.21.7.121"/>
    <s v="F1219.73 .S58 2013"/>
    <n v="972"/>
    <d v="2013-03-01T00:00:00"/>
  </r>
  <r>
    <x v="1686"/>
    <d v="1899-12-30T00:11:38"/>
    <x v="436"/>
    <x v="1"/>
    <s v="brockport"/>
    <x v="469"/>
    <n v="1434047"/>
    <x v="2"/>
    <s v="History"/>
    <s v="9781134624492"/>
    <s v=",58,59,60,61,62,63,64,65,66,67,68,69"/>
    <n v="12"/>
    <m/>
    <m/>
    <s v="No"/>
    <x v="2"/>
    <d v="2015-12-18T23:52:31"/>
    <n v="1"/>
    <s v="137.21.7.121"/>
    <s v="DG70.P7 C628 2013"/>
    <n v="937.72559999999999"/>
    <d v="2013-09-26T00:00:00"/>
  </r>
  <r>
    <x v="1687"/>
    <d v="1899-12-30T01:46:17"/>
    <x v="436"/>
    <x v="1"/>
    <s v="brockport"/>
    <x v="469"/>
    <n v="1434047"/>
    <x v="2"/>
    <s v="History"/>
    <s v="9781134624492"/>
    <s v=",1,2,3,4,5,6,7,8,9,10,11,12,13,15,16,20,21,22,23,24,25,26,27,28,29,30,31,32,33,34,35,36,37,38,39,40,41,42,43,44,45,46,47,48,49,50,51,52,53,54,55,56,57"/>
    <n v="53"/>
    <m/>
    <m/>
    <s v="No"/>
    <x v="3"/>
    <m/>
    <m/>
    <s v="137.21.7.121"/>
    <s v="DG70.P7 C628 2013"/>
    <n v="937.72559999999999"/>
    <d v="2013-09-26T00:00:00"/>
  </r>
  <r>
    <x v="1688"/>
    <d v="1899-12-30T02:18:35"/>
    <x v="440"/>
    <x v="0"/>
    <s v="Buffalo"/>
    <x v="473"/>
    <n v="836624"/>
    <x v="0"/>
    <s v="Literature; Fine Arts"/>
    <s v="9781118346686"/>
    <s v=",1,33,34,35,31,32,13,14,15,11,12,2,16,17,18,19,20,21,22,23,24,25,26,27,28,29,30,8,7,36,10,33,1,35,34,31,32,5,6,7,3,4,2,29,30,27,28,1,33,34,35,31,32,2,3,4,5,6,7,8,115,116,117,113,114,11,12,13,9,10,14"/>
    <n v="41"/>
    <m/>
    <m/>
    <s v="No"/>
    <x v="0"/>
    <d v="2015-12-18T21:54:39"/>
    <n v="7"/>
    <s v="128.205.114.91"/>
    <s v="PN6727.K586 W39 2012"/>
    <n v="741.59730000000002"/>
    <d v="2012-03-01T00:00:00"/>
  </r>
  <r>
    <x v="1689"/>
    <d v="1899-12-30T02:18:52"/>
    <x v="441"/>
    <x v="7"/>
    <s v="oneonta"/>
    <x v="474"/>
    <n v="1461087"/>
    <x v="2"/>
    <s v="Sport &amp; Recreation"/>
    <s v="9781135205195"/>
    <s v=",110,111,112,108,109,113,114,126,127,128,124,125,129,152,153,154,150,151,155,59,160,163,164,165,194,195,196,192,193,197,326,327,328,324,325,332,329,298,299,300,296,297,301,302,303,180,178,179,183,218,219,220,216,217"/>
    <n v="54"/>
    <m/>
    <m/>
    <s v="No"/>
    <x v="2"/>
    <d v="2015-12-18T21:13:21"/>
    <n v="1"/>
    <s v="137.141.13.2"/>
    <s v="GV1469.3 \"/>
    <n v="794.8"/>
    <d v="2013-10-08T00:00:00"/>
  </r>
  <r>
    <x v="1690"/>
    <d v="1899-12-30T00:42:33"/>
    <x v="440"/>
    <x v="0"/>
    <s v="Buffalo"/>
    <x v="473"/>
    <n v="836624"/>
    <x v="0"/>
    <s v="Literature; Fine Arts"/>
    <s v="9781118346686"/>
    <s v=",1,2,3,4,13,15,29,30,31,27,28,32,33"/>
    <n v="13"/>
    <m/>
    <m/>
    <s v="No"/>
    <x v="1"/>
    <m/>
    <m/>
    <s v="128.205.114.91"/>
    <s v="PN6727.K586 W39 2012"/>
    <n v="741.59730000000002"/>
    <d v="2012-03-01T00:00:00"/>
  </r>
  <r>
    <x v="1691"/>
    <d v="1899-12-30T00:31:28"/>
    <x v="441"/>
    <x v="7"/>
    <s v="oneonta"/>
    <x v="474"/>
    <n v="1461087"/>
    <x v="2"/>
    <s v="Sport &amp; Recreation"/>
    <s v="9781135205195"/>
    <s v=",1,2,3,4,90,91,92,88,89,93,94,95,96,88,89,87,101,102,96,86"/>
    <n v="17"/>
    <m/>
    <m/>
    <s v="No"/>
    <x v="3"/>
    <m/>
    <m/>
    <s v="137.141.13.2"/>
    <s v="GV1469.3 \"/>
    <n v="794.8"/>
    <d v="2013-10-08T00:00:00"/>
  </r>
  <r>
    <x v="1692"/>
    <d v="1899-12-30T00:00:16"/>
    <x v="442"/>
    <x v="0"/>
    <s v="Buffalo"/>
    <x v="227"/>
    <n v="871501"/>
    <x v="0"/>
    <s v="Literature"/>
    <s v="9781118231760"/>
    <s v=",4,5,8,9,10,6,7,11,12,13,14,15,16"/>
    <n v="13"/>
    <m/>
    <m/>
    <s v="No"/>
    <x v="0"/>
    <d v="2015-12-18T20:02:11"/>
    <n v="7"/>
    <s v="128.205.114.91"/>
    <s v="PR2894 -- .P68 2012eb"/>
    <s v="822.3/3; B"/>
    <d v="2012-03-01T00:00:00"/>
  </r>
  <r>
    <x v="1693"/>
    <d v="1899-12-30T00:11:48"/>
    <x v="442"/>
    <x v="0"/>
    <s v="Buffalo"/>
    <x v="227"/>
    <n v="871501"/>
    <x v="0"/>
    <s v="Literature"/>
    <s v="9781118231760"/>
    <s v=",1,2,3"/>
    <n v="3"/>
    <m/>
    <m/>
    <s v="No"/>
    <x v="1"/>
    <m/>
    <m/>
    <s v="128.205.114.91"/>
    <s v="PR2894 -- .P68 2012eb"/>
    <s v="822.3/3; B"/>
    <d v="2012-03-01T00:00:00"/>
  </r>
  <r>
    <x v="1694"/>
    <d v="1899-12-30T00:00:03"/>
    <x v="434"/>
    <x v="0"/>
    <s v="Buffalo"/>
    <x v="475"/>
    <n v="4037223"/>
    <x v="0"/>
    <s v="Engineering: General; Engineering"/>
    <s v="9781118649350"/>
    <s v=",2,1,3"/>
    <n v="3"/>
    <m/>
    <m/>
    <s v="No"/>
    <x v="3"/>
    <m/>
    <m/>
    <s v="128.205.114.91"/>
    <m/>
    <n v="620.20000000000005"/>
    <d v="2014-04-16T00:00:00"/>
  </r>
  <r>
    <x v="1695"/>
    <d v="1899-12-30T00:02:17"/>
    <x v="443"/>
    <x v="0"/>
    <s v="Buffalo"/>
    <x v="335"/>
    <n v="821801"/>
    <x v="0"/>
    <s v="Education; Business/Management"/>
    <s v="9781118224144"/>
    <s v=",1,2,3,20,21,22,19,18,23,24"/>
    <n v="10"/>
    <m/>
    <m/>
    <s v="No"/>
    <x v="1"/>
    <m/>
    <m/>
    <s v="128.205.114.91"/>
    <s v="HF1118 .O33; LB2367.3 .O34"/>
    <n v="658.00760000000002"/>
    <d v="2012-03-06T00:00:00"/>
  </r>
  <r>
    <x v="1696"/>
    <d v="1899-12-30T00:00:27"/>
    <x v="444"/>
    <x v="0"/>
    <s v="Buffalo"/>
    <x v="476"/>
    <n v="1224709"/>
    <x v="0"/>
    <s v="Engineering; Engineering: Civil"/>
    <s v="9781118553893"/>
    <s v=",35,36,37,33,34,38"/>
    <n v="6"/>
    <m/>
    <m/>
    <s v="No"/>
    <x v="2"/>
    <d v="2015-12-18T17:17:31"/>
    <n v="1"/>
    <s v="128.205.114.91"/>
    <s v="TA710 -- .B617 2013eb"/>
    <s v="624.1/5136"/>
    <d v="2013-06-19T00:00:00"/>
  </r>
  <r>
    <x v="1697"/>
    <d v="1899-12-30T00:08:04"/>
    <x v="444"/>
    <x v="0"/>
    <s v="Buffalo"/>
    <x v="476"/>
    <n v="1224709"/>
    <x v="0"/>
    <s v="Engineering; Engineering: Civil"/>
    <s v="9781118553893"/>
    <s v=",1,2,3,7,8,9,5,6,10"/>
    <n v="9"/>
    <m/>
    <m/>
    <s v="No"/>
    <x v="3"/>
    <m/>
    <m/>
    <s v="128.205.114.91"/>
    <s v="TA710 -- .B617 2013eb"/>
    <s v="624.1/5136"/>
    <d v="2013-06-19T00:00:00"/>
  </r>
  <r>
    <x v="1698"/>
    <d v="1899-12-30T00:03:57"/>
    <x v="445"/>
    <x v="0"/>
    <s v="Buffalo"/>
    <x v="477"/>
    <n v="1120279"/>
    <x v="0"/>
    <s v="Science: Biology/Natural History; Science"/>
    <s v="9781118537671"/>
    <s v=",1,2,3,149,150,151,147,148,152,153,154,155,156,157,158,159,160,161,162,163,154,152,157,157"/>
    <n v="20"/>
    <m/>
    <m/>
    <s v="No"/>
    <x v="1"/>
    <m/>
    <m/>
    <s v="128.205.114.91"/>
    <s v="QH371 .K384 2012"/>
    <n v="599.93499999999995"/>
    <d v="2012-11-19T00:00:00"/>
  </r>
  <r>
    <x v="1699"/>
    <d v="1899-12-30T00:01:53"/>
    <x v="26"/>
    <x v="6"/>
    <s v="sjfc"/>
    <x v="478"/>
    <n v="951110"/>
    <x v="4"/>
    <s v="Psychology"/>
    <s v="9781462505333"/>
    <s v=",1,2,3,19,20,21,17,18,22,23,24,25,23"/>
    <n v="12"/>
    <m/>
    <m/>
    <s v="No"/>
    <x v="3"/>
    <m/>
    <m/>
    <s v="149.69.254.57"/>
    <s v="BF575.S75 -- A27 2012eb"/>
    <n v="155.9042"/>
    <d v="2014-05-14T00:00:00"/>
  </r>
  <r>
    <x v="1700"/>
    <d v="1899-12-30T00:01:50"/>
    <x v="26"/>
    <x v="6"/>
    <s v="sjfc"/>
    <x v="479"/>
    <n v="1578367"/>
    <x v="4"/>
    <s v="Medicine"/>
    <s v="9781462512942"/>
    <s v=",1,2,3,4,5,6,7,8,9,10,11,12,13,14,15,16,17,18,19,20,21,22,23,24,25,26,27,28,29,30,31,32,33,55,56,57,53,54,58,59,60,61"/>
    <n v="42"/>
    <m/>
    <m/>
    <s v="No"/>
    <x v="3"/>
    <m/>
    <m/>
    <s v="149.69.254.57"/>
    <s v="RC537 -- .T42 2014eb"/>
    <n v="616.85270000000003"/>
    <d v="2014-05-14T00:00:00"/>
  </r>
  <r>
    <x v="1701"/>
    <d v="1899-12-30T00:04:00"/>
    <x v="225"/>
    <x v="7"/>
    <s v="oneonta"/>
    <x v="480"/>
    <n v="1732137"/>
    <x v="3"/>
    <s v="Social Science"/>
    <s v="9780520959286"/>
    <s v=",23,24,25,21,22"/>
    <n v="5"/>
    <s v=",1"/>
    <s v=",15,16,17,18,19,20,21,22,23,24,25,26,27,28,29,30,31,32,33,34,35,36,37,38,39,40,41,42,43,44,45,46,47,48,49,50,51,52,53,54,55,56,57,58,59,60,61,62"/>
    <s v="No"/>
    <x v="1"/>
    <m/>
    <m/>
    <s v="137.141.13.2"/>
    <s v="HQ759.4 -- .E736 2015eb"/>
    <n v="306.87430000000001"/>
    <d v="2015-02-06T00:00:00"/>
  </r>
  <r>
    <x v="1702"/>
    <d v="1899-12-30T00:00:47"/>
    <x v="225"/>
    <x v="7"/>
    <s v="oneonta"/>
    <x v="480"/>
    <n v="1732137"/>
    <x v="3"/>
    <s v="Social Science"/>
    <s v="9780520959286"/>
    <s v=",1,2,3"/>
    <n v="3"/>
    <m/>
    <m/>
    <s v="No"/>
    <x v="3"/>
    <m/>
    <m/>
    <s v="137.141.13.2"/>
    <s v="HQ759.4 -- .E736 2015eb"/>
    <n v="306.87430000000001"/>
    <d v="2015-02-06T00:00:00"/>
  </r>
  <r>
    <x v="1703"/>
    <d v="1899-12-30T00:29:44"/>
    <x v="64"/>
    <x v="6"/>
    <s v="sjfc"/>
    <x v="75"/>
    <n v="1986951"/>
    <x v="0"/>
    <s v="Business/Management"/>
    <s v="9781119130468"/>
    <s v=",1,2,3,173,174,175,171,172,176,177,178,179,180,181,182,183,184,185,186,187,188,189,190,191,192,193,194,195,196,197,198,199,200,201,202,203,204,205,199,198,197,196,195,194,193,199,200,201,202,203,204,201,201,202,203,204,205,205,206,207"/>
    <n v="40"/>
    <s v=",202"/>
    <m/>
    <s v="No"/>
    <x v="0"/>
    <d v="2015-12-11T20:51:05"/>
    <n v="7"/>
    <s v="149.69.254.57"/>
    <s v="HF5661"/>
    <n v="657.07600000000002"/>
    <d v="2015-05-19T00:00:00"/>
  </r>
  <r>
    <x v="1704"/>
    <d v="1899-12-30T00:00:02"/>
    <x v="64"/>
    <x v="6"/>
    <s v="sjfc"/>
    <x v="75"/>
    <n v="1986951"/>
    <x v="0"/>
    <s v="Business/Management"/>
    <s v="9781119130468"/>
    <s v=",1,2,3"/>
    <n v="3"/>
    <m/>
    <m/>
    <s v="No"/>
    <x v="0"/>
    <d v="2015-12-11T20:51:05"/>
    <n v="7"/>
    <s v="149.69.254.57"/>
    <s v="HF5661"/>
    <n v="657.07600000000002"/>
    <d v="2015-05-19T00:00:00"/>
  </r>
  <r>
    <x v="1705"/>
    <d v="1899-12-30T00:00:36"/>
    <x v="446"/>
    <x v="4"/>
    <s v="monroe2boces"/>
    <x v="118"/>
    <n v="1809742"/>
    <x v="0"/>
    <s v="Sport &amp; Recreation"/>
    <s v="9781118968291"/>
    <s v=",1,2,3,4,5,6,7,8,18,19,20,16,17,21,22,23,24,25"/>
    <n v="18"/>
    <m/>
    <m/>
    <s v="No"/>
    <x v="1"/>
    <m/>
    <m/>
    <s v="199.190.223.190"/>
    <s v="GV1469.35.M535 -- .S739 2015eb"/>
    <n v="794.8"/>
    <d v="2014-09-29T00:00:00"/>
  </r>
  <r>
    <x v="1706"/>
    <d v="1899-12-30T00:05:38"/>
    <x v="396"/>
    <x v="0"/>
    <s v="Buffalo"/>
    <x v="28"/>
    <n v="817313"/>
    <x v="0"/>
    <s v="Education"/>
    <s v="9781118136829"/>
    <s v=",60,55,60,55,60,55,60,61"/>
    <n v="3"/>
    <m/>
    <m/>
    <s v="No"/>
    <x v="0"/>
    <d v="2015-12-18T14:29:46"/>
    <n v="7"/>
    <s v="128.205.114.91"/>
    <s v="LB2367.4 -- .W65 2012eb"/>
    <n v="378.16640000000001"/>
    <d v="2012-01-10T00:00:00"/>
  </r>
  <r>
    <x v="1707"/>
    <d v="1899-12-30T00:12:14"/>
    <x v="396"/>
    <x v="0"/>
    <s v="Buffalo"/>
    <x v="28"/>
    <n v="817313"/>
    <x v="0"/>
    <s v="Education"/>
    <s v="9781118136829"/>
    <s v=",1,2,3,2,1,3,2,2,4,5,4,5,4,5,6,7,8,6,7,8,9,10,9,10,5,4,9,10,11,11,47,48,47,49,48,49,45,46,46,50,51,50,51,52,52,53,53,54,54,55,55,57,58,56,57,59,58,56,59,60,60,61,56,61,56,51,52,49,50,53,54,55,56,57,58,59,59,59"/>
    <n v="28"/>
    <m/>
    <m/>
    <s v="No"/>
    <x v="1"/>
    <m/>
    <m/>
    <s v="128.205.114.91"/>
    <s v="LB2367.4 -- .W65 2012eb"/>
    <n v="378.16640000000001"/>
    <d v="2012-01-10T00:00:00"/>
  </r>
  <r>
    <x v="1708"/>
    <d v="1899-12-30T00:23:46"/>
    <x v="447"/>
    <x v="1"/>
    <s v="brockport"/>
    <x v="226"/>
    <n v="3570599"/>
    <x v="11"/>
    <s v="Political Science; History"/>
    <s v="9780226299358"/>
    <s v=",31,32,33,34,35,36,37,38,39,40,41,42,43,44,45,46,47,48"/>
    <n v="18"/>
    <m/>
    <m/>
    <s v="No"/>
    <x v="2"/>
    <d v="2015-12-18T05:14:51"/>
    <n v="1"/>
    <s v="137.21.7.121"/>
    <s v="E893 -- .H48 2015eb"/>
    <n v="324.20972999999998"/>
    <d v="2015-09-01T00:00:00"/>
  </r>
  <r>
    <x v="1709"/>
    <d v="1899-12-30T00:10:56"/>
    <x v="447"/>
    <x v="1"/>
    <s v="brockport"/>
    <x v="226"/>
    <n v="3570599"/>
    <x v="11"/>
    <s v="Political Science; History"/>
    <s v="9780226299358"/>
    <s v=",1,28,29,30,26,27,28,29,30,26,27,2"/>
    <n v="7"/>
    <m/>
    <m/>
    <s v="No"/>
    <x v="3"/>
    <m/>
    <m/>
    <s v="137.21.7.121"/>
    <s v="E893 -- .H48 2015eb"/>
    <n v="324.20972999999998"/>
    <d v="2015-09-01T00:00:00"/>
  </r>
  <r>
    <x v="1710"/>
    <d v="1899-12-30T00:00:26"/>
    <x v="432"/>
    <x v="0"/>
    <s v="Buffalo"/>
    <x v="161"/>
    <n v="821663"/>
    <x v="0"/>
    <s v="Architecture"/>
    <s v="9781118168479"/>
    <s v=",1,2,3,28,29,30,26,27"/>
    <n v="8"/>
    <m/>
    <m/>
    <s v="No"/>
    <x v="1"/>
    <m/>
    <m/>
    <s v="128.205.114.91"/>
    <s v="NA2547 -- .S74 2012eb"/>
    <n v="729"/>
    <d v="2012-03-05T00:00:00"/>
  </r>
  <r>
    <x v="1711"/>
    <d v="1899-12-30T00:17:43"/>
    <x v="430"/>
    <x v="1"/>
    <s v="brockport"/>
    <x v="414"/>
    <n v="1143522"/>
    <x v="0"/>
    <s v="History"/>
    <s v="9781118257197"/>
    <s v=",222,223,224,225,226,227,228,229,230,227,228,229,231,232,233,234,235,236,237"/>
    <n v="16"/>
    <s v=",219,220,221,222,223,224,224,225,226,227"/>
    <m/>
    <s v="No"/>
    <x v="0"/>
    <d v="2015-12-18T03:12:41"/>
    <n v="7"/>
    <s v="137.21.7.121"/>
    <s v="F1219.73 .S58 2013"/>
    <n v="972"/>
    <d v="2013-03-01T00:00:00"/>
  </r>
  <r>
    <x v="1712"/>
    <d v="1899-12-30T00:02:32"/>
    <x v="430"/>
    <x v="1"/>
    <s v="brockport"/>
    <x v="414"/>
    <n v="1143522"/>
    <x v="0"/>
    <s v="History"/>
    <s v="9781118257197"/>
    <s v=",1,218,219,220,216,217,221"/>
    <n v="7"/>
    <m/>
    <m/>
    <s v="No"/>
    <x v="1"/>
    <m/>
    <m/>
    <s v="137.21.7.121"/>
    <s v="F1219.73 .S58 2013"/>
    <n v="972"/>
    <d v="2013-03-01T00:00:00"/>
  </r>
  <r>
    <x v="1713"/>
    <d v="1899-12-30T00:30:02"/>
    <x v="223"/>
    <x v="0"/>
    <s v="Buffalo"/>
    <x v="481"/>
    <n v="1650828"/>
    <x v="0"/>
    <s v="Business/Management"/>
    <s v="9781118729205"/>
    <s v=",28,29,30,31,32,33,34,35,57,58,59,55,56,60,67,68,69,65,66,70,71,72,73,78,79,80,76,77,81,82,83,84,85,86,87,88"/>
    <n v="36"/>
    <m/>
    <m/>
    <s v="No"/>
    <x v="0"/>
    <d v="2015-12-18T00:58:12"/>
    <n v="7"/>
    <s v="128.205.114.91"/>
    <s v="HF5548.2 -- .B375 2014eb"/>
    <n v="658.05631200000005"/>
    <d v="2014-03-06T00:00:00"/>
  </r>
  <r>
    <x v="1714"/>
    <d v="1899-12-30T00:13:11"/>
    <x v="223"/>
    <x v="0"/>
    <s v="Buffalo"/>
    <x v="481"/>
    <n v="1650828"/>
    <x v="0"/>
    <s v="Business/Management"/>
    <s v="9781118729205"/>
    <s v=",1,2,3,19,20,21,17,18,22,23,24,25,26,27"/>
    <n v="14"/>
    <m/>
    <m/>
    <s v="No"/>
    <x v="1"/>
    <m/>
    <m/>
    <s v="128.205.114.91"/>
    <s v="HF5548.2 -- .B375 2014eb"/>
    <n v="658.05631200000005"/>
    <d v="2014-03-06T00:00:00"/>
  </r>
  <r>
    <x v="1715"/>
    <d v="1899-12-30T00:01:40"/>
    <x v="448"/>
    <x v="1"/>
    <s v="brockport"/>
    <x v="482"/>
    <n v="4042998"/>
    <x v="0"/>
    <s v="Medicine; Philosophy"/>
    <s v="9781118941522"/>
    <s v=",26,317,318,319,315,316,357,358,359,356,355"/>
    <n v="11"/>
    <m/>
    <m/>
    <s v="Yes"/>
    <x v="0"/>
    <d v="2015-12-18T00:38:44"/>
    <n v="7"/>
    <s v="137.21.7.121"/>
    <s v="R724 -- .B564 2016eb"/>
    <s v="174/.957"/>
    <d v="2015-10-19T00:00:00"/>
  </r>
  <r>
    <x v="1716"/>
    <d v="1899-12-30T00:00:37"/>
    <x v="448"/>
    <x v="1"/>
    <s v="brockport"/>
    <x v="482"/>
    <n v="4042998"/>
    <x v="0"/>
    <s v="Medicine; Philosophy"/>
    <s v="9781118941522"/>
    <s v=",1,2,3"/>
    <n v="3"/>
    <m/>
    <m/>
    <s v="Yes"/>
    <x v="0"/>
    <d v="2015-12-18T00:38:44"/>
    <n v="7"/>
    <s v="137.21.7.121"/>
    <s v="R724 -- .B564 2016eb"/>
    <s v="174/.957"/>
    <d v="2015-10-19T00:00:00"/>
  </r>
  <r>
    <x v="1717"/>
    <d v="1899-12-30T00:00:00"/>
    <x v="448"/>
    <x v="1"/>
    <s v="brockport"/>
    <x v="482"/>
    <n v="4042998"/>
    <x v="0"/>
    <s v="Medicine; Philosophy"/>
    <s v="9781118941522"/>
    <m/>
    <n v="0"/>
    <m/>
    <m/>
    <s v="No"/>
    <x v="0"/>
    <d v="2015-12-18T00:38:44"/>
    <n v="7"/>
    <s v="137.21.7.121"/>
    <s v="R724 -- .B564 2016eb"/>
    <s v="174/.957"/>
    <d v="2015-10-19T00:00:00"/>
  </r>
  <r>
    <x v="1718"/>
    <d v="1899-12-30T00:01:00"/>
    <x v="448"/>
    <x v="1"/>
    <s v="brockport"/>
    <x v="482"/>
    <n v="4042998"/>
    <x v="0"/>
    <s v="Medicine; Philosophy"/>
    <s v="9781118941522"/>
    <s v=",1,2,3"/>
    <n v="3"/>
    <m/>
    <m/>
    <s v="No"/>
    <x v="3"/>
    <m/>
    <m/>
    <s v="137.21.7.121"/>
    <s v="R724 -- .B564 2016eb"/>
    <s v="174/.957"/>
    <d v="2015-10-19T00:00:00"/>
  </r>
  <r>
    <x v="1719"/>
    <d v="1899-12-30T00:00:22"/>
    <x v="449"/>
    <x v="1"/>
    <s v="brockport"/>
    <x v="483"/>
    <n v="1422383"/>
    <x v="2"/>
    <s v="Education"/>
    <s v="9781317922254"/>
    <s v=",1,2,3,65,66,67,63,64"/>
    <n v="8"/>
    <m/>
    <m/>
    <s v="No"/>
    <x v="3"/>
    <m/>
    <m/>
    <s v="137.21.7.121"/>
    <s v="LB2822.8 -- .F73 2013eb"/>
    <n v="371.2"/>
    <d v="2013-09-27T00:00:00"/>
  </r>
  <r>
    <x v="1720"/>
    <d v="1899-12-30T00:00:28"/>
    <x v="357"/>
    <x v="1"/>
    <s v="brockport"/>
    <x v="484"/>
    <n v="1461036"/>
    <x v="2"/>
    <s v="Fine Arts"/>
    <s v="9781135858629"/>
    <s v=",1,2,3,11,12,13,9,10"/>
    <n v="8"/>
    <m/>
    <m/>
    <s v="No"/>
    <x v="3"/>
    <m/>
    <m/>
    <s v="137.21.7.121"/>
    <s v="PN2091.S8 -- R45 2011eb"/>
    <n v="792.02499999999998"/>
    <d v="1996-07-01T00:00:00"/>
  </r>
  <r>
    <x v="1721"/>
    <d v="1899-12-30T00:01:26"/>
    <x v="450"/>
    <x v="0"/>
    <s v="Buffalo"/>
    <x v="485"/>
    <n v="843407"/>
    <x v="0"/>
    <s v="Literature"/>
    <s v="9781118256589"/>
    <s v=",1,2,3,271,272,273,269,270,274,275,276"/>
    <n v="11"/>
    <m/>
    <m/>
    <s v="No"/>
    <x v="1"/>
    <m/>
    <m/>
    <s v="128.205.114.91"/>
    <s v="PR1139 -- .R66 2012eb"/>
    <s v="820.8/0145"/>
    <d v="2012-01-13T00:00:00"/>
  </r>
  <r>
    <x v="1722"/>
    <d v="1899-12-30T00:00:01"/>
    <x v="13"/>
    <x v="0"/>
    <s v="Buffalo"/>
    <x v="486"/>
    <n v="1661521"/>
    <x v="16"/>
    <s v="Philosophy"/>
    <s v="9781137361516"/>
    <s v=",20,20"/>
    <n v="1"/>
    <m/>
    <m/>
    <s v="No"/>
    <x v="0"/>
    <d v="2015-12-17T19:59:04"/>
    <n v="7"/>
    <s v="128.205.114.91"/>
    <s v="B4870.Z594 -- .Z57 2014eb"/>
    <s v="199/.4973"/>
    <d v="2014-04-09T00:00:00"/>
  </r>
  <r>
    <x v="1723"/>
    <d v="1899-12-30T00:00:22"/>
    <x v="451"/>
    <x v="1"/>
    <s v="brockport"/>
    <x v="281"/>
    <n v="4039553"/>
    <x v="0"/>
    <s v="Fine Arts"/>
    <s v="9781118886045"/>
    <s v=",1,551,552,553,549,550,2"/>
    <n v="7"/>
    <m/>
    <m/>
    <s v="No"/>
    <x v="1"/>
    <m/>
    <m/>
    <s v="137.21.7.121"/>
    <s v="N5760 -- .C667 2015eb"/>
    <n v="709.37"/>
    <d v="2015-09-09T00:00:00"/>
  </r>
  <r>
    <x v="1724"/>
    <d v="1899-12-30T01:14:35"/>
    <x v="13"/>
    <x v="0"/>
    <s v="Buffalo"/>
    <x v="486"/>
    <n v="1661521"/>
    <x v="16"/>
    <s v="Philosophy"/>
    <s v="9781137361516"/>
    <s v=",1,2,1,3,3,2,4,4,5,5,6,6,7,7,8,8,9,9,10,10,11,11,12,12,13,13,14,14,15,15,16,16,17,17,2,18,19,18,19"/>
    <n v="19"/>
    <m/>
    <m/>
    <s v="No"/>
    <x v="1"/>
    <m/>
    <m/>
    <s v="128.205.114.91"/>
    <s v="B4870.Z594 -- .Z57 2014eb"/>
    <s v="199/.4973"/>
    <d v="2014-04-09T00:00:00"/>
  </r>
  <r>
    <x v="1725"/>
    <d v="1899-12-30T00:00:00"/>
    <x v="429"/>
    <x v="4"/>
    <s v="monroe2boces"/>
    <x v="487"/>
    <n v="1022416"/>
    <x v="0"/>
    <s v="Engineering; Engineering: Chemical"/>
    <s v="9781118373811"/>
    <m/>
    <n v="0"/>
    <m/>
    <s v=",27,27,27,27,27,27,28,29"/>
    <s v="No"/>
    <x v="0"/>
    <d v="2015-12-17T18:23:59"/>
    <n v="7"/>
    <s v="72.43.69.30"/>
    <s v="TP248.65.F66 -- G4573 2012eb"/>
    <n v="664"/>
    <d v="2012-09-05T00:00:00"/>
  </r>
  <r>
    <x v="1726"/>
    <d v="1899-12-30T00:01:47"/>
    <x v="452"/>
    <x v="0"/>
    <s v="Buffalo"/>
    <x v="477"/>
    <n v="1120279"/>
    <x v="0"/>
    <s v="Science: Biology/Natural History; Science"/>
    <s v="9781118537671"/>
    <s v=",1,2,3,117,118,119,115,116,120,121,122,123,124,125,126,127,119,118,117,116,115,114,113,112"/>
    <n v="19"/>
    <m/>
    <m/>
    <s v="No"/>
    <x v="0"/>
    <d v="2015-12-13T22:10:43"/>
    <n v="7"/>
    <s v="128.205.114.91"/>
    <s v="QH371 .K384 2012"/>
    <n v="599.93499999999995"/>
    <d v="2012-11-19T00:00:00"/>
  </r>
  <r>
    <x v="1727"/>
    <d v="1899-12-30T00:07:59"/>
    <x v="429"/>
    <x v="4"/>
    <s v="monroe2boces"/>
    <x v="487"/>
    <n v="1022416"/>
    <x v="0"/>
    <s v="Engineering; Engineering: Chemical"/>
    <s v="9781118373811"/>
    <s v=",1,2,3,27,28,29,25,26,30"/>
    <n v="9"/>
    <m/>
    <m/>
    <s v="No"/>
    <x v="1"/>
    <m/>
    <m/>
    <s v="72.43.69.30"/>
    <s v="TP248.65.F66 -- G4573 2012eb"/>
    <n v="664"/>
    <d v="2012-09-05T00:00:00"/>
  </r>
  <r>
    <x v="1728"/>
    <d v="1899-12-30T01:39:18"/>
    <x v="293"/>
    <x v="1"/>
    <s v="brockport"/>
    <x v="95"/>
    <n v="1566387"/>
    <x v="0"/>
    <s v="Social Science"/>
    <s v="9781118471906"/>
    <s v=",1,5,6,7,3,4,2,8,9,10,11,12,13,14,15,16,17,18,19,20,21,16,15,14,13,12,11,10,9,8,7,6,5,4,3,2,1,7,8,9,10,11,12,7,12,13,14,15,16,17,18,19,20,21,22,23,1,2,3,338,339,340,336,337,278,262,261,159,99,30,23,11,95,111,71,48,32,33,34,17,18,19,15,16,20,21,22,23,24,25,26,27,28,29,30,31,32,33"/>
    <n v="48"/>
    <m/>
    <m/>
    <s v="No"/>
    <x v="2"/>
    <d v="2015-12-17T18:03:44"/>
    <n v="1"/>
    <s v="137.21.7.121"/>
    <s v="HM585 -- .D555 2014eb"/>
    <n v="301"/>
    <d v="2013-11-18T00:00:00"/>
  </r>
  <r>
    <x v="1729"/>
    <d v="1899-12-30T00:05:11"/>
    <x v="293"/>
    <x v="1"/>
    <s v="brockport"/>
    <x v="95"/>
    <n v="1566387"/>
    <x v="0"/>
    <s v="Social Science"/>
    <s v="9781118471906"/>
    <s v=",3,4,5,6,7,8,9"/>
    <n v="7"/>
    <m/>
    <m/>
    <s v="No"/>
    <x v="2"/>
    <d v="2015-12-17T18:03:44"/>
    <n v="1"/>
    <s v="137.21.7.121"/>
    <s v="HM585 -- .D555 2014eb"/>
    <n v="301"/>
    <d v="2013-11-18T00:00:00"/>
  </r>
  <r>
    <x v="1730"/>
    <d v="1899-12-30T00:01:10"/>
    <x v="293"/>
    <x v="1"/>
    <s v="brockport"/>
    <x v="95"/>
    <n v="1566387"/>
    <x v="0"/>
    <s v="Social Science"/>
    <s v="9781118471906"/>
    <s v=",1,206,208,207,204,205,203,2,201,202,199,200,197,198,195,196,194,193,192,191,190,189,188,187,186,185,184,183,182,181,180,179,178,177,176,175,174,173,172,171,170,169,168,167,166,165,164,163,162,161,160,159,158,156,157,96,4,1,2"/>
    <n v="57"/>
    <m/>
    <m/>
    <s v="No"/>
    <x v="3"/>
    <m/>
    <m/>
    <s v="137.21.7.121"/>
    <s v="HM585 -- .D555 2014eb"/>
    <n v="301"/>
    <d v="2013-11-18T00:00:00"/>
  </r>
  <r>
    <x v="1731"/>
    <d v="1899-12-30T00:03:51"/>
    <x v="293"/>
    <x v="1"/>
    <s v="brockport"/>
    <x v="95"/>
    <n v="1566387"/>
    <x v="0"/>
    <s v="Social Science"/>
    <s v="9781118471906"/>
    <s v=",1,206,207,208,204,205,2,203,202,201,200,199,198,197,195,196,193,194,192,190,191,189,187,188,186,185,183,184,182,181,180,179"/>
    <n v="32"/>
    <m/>
    <m/>
    <s v="No"/>
    <x v="3"/>
    <m/>
    <m/>
    <s v="137.21.7.121"/>
    <s v="HM585 -- .D555 2014eb"/>
    <n v="301"/>
    <d v="2013-11-18T00:00:00"/>
  </r>
  <r>
    <x v="1732"/>
    <d v="1899-12-30T02:19:10"/>
    <x v="453"/>
    <x v="1"/>
    <s v="brockport"/>
    <x v="488"/>
    <n v="1632624"/>
    <x v="0"/>
    <s v="Science: Physics; Science: Chemistry; Science"/>
    <s v="9783527681143"/>
    <s v=",1,2,3,19,20,21,17,18,22,17,22,23,17,22,23,24,25,26,26,27,28,23,29,30,31,32,47,48,49,45,46,44,49,50,51,52,35,36,37,33,34,25,26,27,23,24,28,29,30,31,32,33,28,33,34,34,35,36,37,135,136,137,133,134,138,139,140,141,153,154,155,151,152,156,157,158,159,160,161,162,163,157,162,163,164,165,166,167,168,169,170,171,175,176,177,173,174,178,179,173,179,180,181,182,183,153,154,155,151,156,152,157,158,159,160,159,160,155"/>
    <n v="74"/>
    <m/>
    <m/>
    <s v="No"/>
    <x v="2"/>
    <d v="2015-12-17T15:58:00"/>
    <n v="1"/>
    <s v="137.21.7.121"/>
    <s v="QC482.D5 -- Z65 2014eb"/>
    <n v="548.83000000000004"/>
    <d v="2014-02-10T00:00:00"/>
  </r>
  <r>
    <x v="1733"/>
    <d v="1899-12-30T00:00:05"/>
    <x v="454"/>
    <x v="5"/>
    <s v="erie"/>
    <x v="489"/>
    <n v="1767439"/>
    <x v="0"/>
    <s v="Medicine"/>
    <s v="9781118437780"/>
    <s v=",1,12,13,14,10,11"/>
    <n v="6"/>
    <m/>
    <m/>
    <s v="No"/>
    <x v="3"/>
    <m/>
    <m/>
    <s v="199.29.6.54"/>
    <s v="R726.8 -- .R677 2014eb"/>
    <n v="616.029"/>
    <d v="2014-08-13T00:00:00"/>
  </r>
  <r>
    <x v="1734"/>
    <d v="1899-12-30T00:00:32"/>
    <x v="454"/>
    <x v="5"/>
    <s v="erie"/>
    <x v="490"/>
    <n v="967182"/>
    <x v="2"/>
    <s v="Law"/>
    <s v="9781444179651"/>
    <s v=",4,1,5,6,2,3,7,8,9,2,10,11"/>
    <n v="11"/>
    <m/>
    <m/>
    <s v="No"/>
    <x v="3"/>
    <m/>
    <m/>
    <s v="199.29.6.54"/>
    <s v="KD3395 -- .C373 2012eb"/>
    <n v="344.04101000000003"/>
    <d v="2013-09-27T00:00:00"/>
  </r>
  <r>
    <x v="1735"/>
    <d v="1899-12-30T00:00:19"/>
    <x v="454"/>
    <x v="5"/>
    <s v="erie"/>
    <x v="491"/>
    <n v="4041690"/>
    <x v="0"/>
    <s v="Medicine; Philosophy"/>
    <s v="9781444345407"/>
    <s v=",2,1,3,4,5,6"/>
    <n v="6"/>
    <m/>
    <m/>
    <s v="No"/>
    <x v="3"/>
    <m/>
    <m/>
    <s v="199.29.6.54"/>
    <s v="R724.C616 2012"/>
    <n v="174.2"/>
    <d v="2013-04-16T00:00:00"/>
  </r>
  <r>
    <x v="1736"/>
    <d v="1899-12-30T00:00:22"/>
    <x v="454"/>
    <x v="5"/>
    <s v="erie"/>
    <x v="166"/>
    <n v="1597998"/>
    <x v="0"/>
    <s v="Philosophy"/>
    <s v="9781118479834"/>
    <s v=",1,7,8,9,5,6,2"/>
    <n v="7"/>
    <m/>
    <m/>
    <s v="No"/>
    <x v="1"/>
    <m/>
    <m/>
    <s v="199.29.6.54"/>
    <s v="BJ1031 -- .C668 2014eb"/>
    <n v="170"/>
    <d v="2014-01-14T00:00:00"/>
  </r>
  <r>
    <x v="1737"/>
    <d v="1899-12-30T00:01:12"/>
    <x v="454"/>
    <x v="5"/>
    <s v="erie"/>
    <x v="166"/>
    <n v="1597998"/>
    <x v="0"/>
    <s v="Philosophy"/>
    <s v="9781118479834"/>
    <s v=",1,7,8,9,5,6,2,17,18,19,15,16,20,21,22,16,15,20,21"/>
    <n v="15"/>
    <m/>
    <m/>
    <s v="No"/>
    <x v="1"/>
    <m/>
    <m/>
    <s v="199.29.6.54"/>
    <s v="BJ1031 -- .C668 2014eb"/>
    <n v="170"/>
    <d v="2014-01-14T00:00:00"/>
  </r>
  <r>
    <x v="1738"/>
    <d v="1899-12-30T00:00:18"/>
    <x v="409"/>
    <x v="0"/>
    <s v="Buffalo"/>
    <x v="161"/>
    <n v="821663"/>
    <x v="0"/>
    <s v="Architecture"/>
    <s v="9781118168479"/>
    <s v=",1,2,3,36,37,38,34,35"/>
    <n v="8"/>
    <m/>
    <m/>
    <s v="No"/>
    <x v="1"/>
    <m/>
    <m/>
    <s v="128.205.114.91"/>
    <s v="NA2547 -- .S74 2012eb"/>
    <n v="729"/>
    <d v="2012-03-05T00:00:00"/>
  </r>
  <r>
    <x v="1739"/>
    <d v="1899-12-30T00:36:40"/>
    <x v="452"/>
    <x v="0"/>
    <s v="Buffalo"/>
    <x v="477"/>
    <n v="1120279"/>
    <x v="0"/>
    <s v="Science: Biology/Natural History; Science"/>
    <s v="9781118537671"/>
    <s v=",1,2,3,65,66,67,63,64,68,69,70,71,72,73,74,75,67,68,65,66,64,63,62,61,60,59,58,57,64,65,66,67,68,69,70,71,72,73,74,75,70,69,68,67,66,65,64,62,63,61,60,67,60,59,58,112,113,114,115,111,116"/>
    <n v="28"/>
    <m/>
    <m/>
    <s v="No"/>
    <x v="0"/>
    <d v="2015-12-13T22:10:43"/>
    <n v="7"/>
    <s v="128.205.114.91"/>
    <s v="QH371 .K384 2012"/>
    <n v="599.93499999999995"/>
    <d v="2012-11-19T00:00:00"/>
  </r>
  <r>
    <x v="1740"/>
    <d v="1899-12-30T00:02:18"/>
    <x v="455"/>
    <x v="0"/>
    <s v="Buffalo"/>
    <x v="492"/>
    <n v="1353495"/>
    <x v="2"/>
    <s v="Education"/>
    <s v="9781317921745"/>
    <s v=",23,23,24,24,25,25,21,22,22,142,168,169,168,166,169,170,170,171,167,171,172,172,173,173,174,174,175,175,176,176,263,263,264,264,265,265,261,262,262,259,260,260"/>
    <n v="24"/>
    <m/>
    <m/>
    <s v="No"/>
    <x v="2"/>
    <d v="2015-12-17T16:30:56"/>
    <n v="1"/>
    <s v="128.205.114.91"/>
    <s v="LB1590.3 -- .S763 2013eb"/>
    <n v="370.15199999999999"/>
    <d v="2013-08-16T00:00:00"/>
  </r>
  <r>
    <x v="1741"/>
    <d v="1899-12-30T00:05:03"/>
    <x v="455"/>
    <x v="0"/>
    <s v="Buffalo"/>
    <x v="492"/>
    <n v="1353495"/>
    <x v="2"/>
    <s v="Education"/>
    <s v="9781317921745"/>
    <s v=",1,2,1,2,3,3,144,144,145,145,146,146,142,143,143,147,147,148,148,149,149,150,150,151,151,152,152,153,153,154,154,155,155,156,156,157,157,158,159,158,159,160,160,161,161,162,162,139,140,140,141,141,139,137,138,138,136,136,135,134,133,135,134,132,133,131,130,129,128,127,128,126,124,125,16,16,17,17,18,18,14,15,15,19,19,14"/>
    <n v="48"/>
    <m/>
    <m/>
    <s v="No"/>
    <x v="3"/>
    <m/>
    <m/>
    <s v="128.205.114.91"/>
    <s v="LB1590.3 -- .S763 2013eb"/>
    <n v="370.15199999999999"/>
    <d v="2013-08-16T00:00:00"/>
  </r>
  <r>
    <x v="1742"/>
    <d v="1899-12-30T00:00:03"/>
    <x v="456"/>
    <x v="0"/>
    <s v="Buffalo"/>
    <x v="493"/>
    <n v="1397138"/>
    <x v="2"/>
    <s v="Library Science"/>
    <s v="9781317993452"/>
    <s v=",1,2,3"/>
    <n v="3"/>
    <m/>
    <m/>
    <s v="No"/>
    <x v="3"/>
    <m/>
    <m/>
    <s v="128.205.114.91"/>
    <m/>
    <n v="25.04"/>
    <d v="2013-09-13T00:00:00"/>
  </r>
  <r>
    <x v="1743"/>
    <d v="1899-12-30T00:00:57"/>
    <x v="452"/>
    <x v="0"/>
    <s v="Buffalo"/>
    <x v="477"/>
    <n v="1120279"/>
    <x v="0"/>
    <s v="Science: Biology/Natural History; Science"/>
    <s v="9781118537671"/>
    <s v=",1,2,3,15,16,17,13,14,18,113,114,111,112,115,116"/>
    <n v="15"/>
    <m/>
    <m/>
    <s v="No"/>
    <x v="0"/>
    <d v="2015-12-13T22:10:43"/>
    <n v="7"/>
    <s v="128.205.114.91"/>
    <s v="QH371 .K384 2012"/>
    <n v="599.93499999999995"/>
    <d v="2012-11-19T00:00:00"/>
  </r>
  <r>
    <x v="1744"/>
    <d v="1899-12-30T00:00:04"/>
    <x v="453"/>
    <x v="1"/>
    <s v="brockport"/>
    <x v="488"/>
    <n v="1632624"/>
    <x v="0"/>
    <s v="Science: Physics; Science: Chemistry; Science"/>
    <s v="9783527681143"/>
    <s v=",11,12,13"/>
    <n v="3"/>
    <m/>
    <m/>
    <s v="No"/>
    <x v="2"/>
    <d v="2015-12-17T15:58:00"/>
    <n v="1"/>
    <s v="137.21.7.121"/>
    <s v="QC482.D5 -- Z65 2014eb"/>
    <n v="548.83000000000004"/>
    <d v="2014-02-10T00:00:00"/>
  </r>
  <r>
    <x v="1745"/>
    <d v="1899-12-30T00:05:42"/>
    <x v="453"/>
    <x v="1"/>
    <s v="brockport"/>
    <x v="488"/>
    <n v="1632624"/>
    <x v="0"/>
    <s v="Science: Physics; Science: Chemistry; Science"/>
    <s v="9783527681143"/>
    <s v=",1,2,3,4,1,1,2,3,4,5,6,7,8,9,9,10"/>
    <n v="10"/>
    <m/>
    <m/>
    <s v="No"/>
    <x v="3"/>
    <m/>
    <m/>
    <s v="137.21.7.121"/>
    <s v="QC482.D5 -- Z65 2014eb"/>
    <n v="548.83000000000004"/>
    <d v="2014-02-10T00:00:00"/>
  </r>
  <r>
    <x v="1746"/>
    <d v="1899-12-30T00:10:48"/>
    <x v="452"/>
    <x v="0"/>
    <s v="Buffalo"/>
    <x v="477"/>
    <n v="1120279"/>
    <x v="0"/>
    <s v="Science: Biology/Natural History; Science"/>
    <s v="9781118537671"/>
    <s v=",1,2,3,4,5,65,66,67,63,64,62,69,2,71,70,68,72,73,74,75,69,68,40,41,42,38,39,43,44,45,46,39,38,37,36,35,34,33,32,31,30,59,60,61,57,58,62,63,64,65,66,66"/>
    <n v="41"/>
    <m/>
    <m/>
    <s v="No"/>
    <x v="0"/>
    <d v="2015-12-13T22:10:43"/>
    <n v="7"/>
    <s v="128.205.114.91"/>
    <s v="QH371 .K384 2012"/>
    <n v="599.93499999999995"/>
    <d v="2012-11-19T00:00:00"/>
  </r>
  <r>
    <x v="1747"/>
    <d v="1899-12-30T00:52:57"/>
    <x v="64"/>
    <x v="6"/>
    <s v="sjfc"/>
    <x v="75"/>
    <n v="1986951"/>
    <x v="0"/>
    <s v="Business/Management"/>
    <s v="9781119130468"/>
    <s v=",1,2,3,4,173,174,175,171,172,176,177,2,178,179,180,181,171,172,179,180,181,182,183,184,185,186,187,188,189,190,191,192,193,194,195,196,197,198,199,200,201,202,203,204,205,206,207,208,209,210,211,212,213,214,215,216,217,218,219,220,221,222,241,242,243,239,240,238,173,174,175,171,172,176,177,178,179,180,181,182,183,184,185,186,187,188,189,190,191,192,193,194,195,189,196,196,196,197,198,199,200,201,202,203,211,210,209,208,206,205,207,203,204,202,201,200,199,198,197,196,195,194,193,192,191,197,197,198,199,200,201,202,203,204"/>
    <n v="62"/>
    <s v=",190,191,192,193"/>
    <m/>
    <s v="No"/>
    <x v="0"/>
    <d v="2015-12-11T20:51:05"/>
    <n v="7"/>
    <s v="149.69.254.57"/>
    <s v="HF5661"/>
    <n v="657.07600000000002"/>
    <d v="2015-05-19T00:00:00"/>
  </r>
  <r>
    <x v="1748"/>
    <d v="1899-12-30T00:00:41"/>
    <x v="339"/>
    <x v="0"/>
    <s v="Buffalo"/>
    <x v="494"/>
    <n v="947565"/>
    <x v="0"/>
    <s v="Engineering; Engineering: Electrical; Computer Science/IT"/>
    <s v="9781118416945"/>
    <s v=",1,2,3,4,5,6,7,8,9,10,11,12,13,14,15,16,17"/>
    <n v="17"/>
    <m/>
    <m/>
    <s v="No"/>
    <x v="1"/>
    <m/>
    <m/>
    <s v="128.205.114.91"/>
    <s v="TK7887.7 .L384 2012"/>
    <n v="6.6859999999999999"/>
    <d v="2013-01-22T00:00:00"/>
  </r>
  <r>
    <x v="1749"/>
    <d v="1899-12-30T00:06:02"/>
    <x v="457"/>
    <x v="8"/>
    <s v="niagaracc"/>
    <x v="495"/>
    <n v="1397330"/>
    <x v="2"/>
    <s v="Fine Arts"/>
    <s v="9781134723751"/>
    <s v=",1,2,3,25,26,97,123,124,120,121,1,2,3,4,5,6,16,17,10,11,12,9,7,8,2,8"/>
    <n v="21"/>
    <m/>
    <m/>
    <s v="No"/>
    <x v="2"/>
    <d v="2015-12-17T04:07:59"/>
    <n v="1"/>
    <s v="132.174.254.37"/>
    <s v="PN2061 -- .T47 2008eb"/>
    <n v="792.02800000000002"/>
    <d v="2008-08-22T00:00:00"/>
  </r>
  <r>
    <x v="1750"/>
    <d v="1899-12-30T00:04:55"/>
    <x v="458"/>
    <x v="0"/>
    <s v="Buffalo"/>
    <x v="496"/>
    <n v="1711046"/>
    <x v="3"/>
    <s v="Fine Arts"/>
    <s v="9780520958944"/>
    <s v=",2,3,5,6,7,4,8,11,12,13,14,18,19,20,22,23,25,26,28,29,30,31,32,33,34,35,36,37,38,39,40,59,60,61,62,63,64,66,122,123,124,125,126,128,129,131,132,134,135,136,137,139,140,141,142,143"/>
    <n v="56"/>
    <m/>
    <m/>
    <s v="No"/>
    <x v="3"/>
    <m/>
    <m/>
    <s v="128.205.114.91"/>
    <s v="ML3502.K6 -- .L54 2015eb"/>
    <n v="781.63095195000005"/>
    <d v="2014-11-24T00:00:00"/>
  </r>
  <r>
    <x v="1751"/>
    <d v="1899-12-30T00:01:21"/>
    <x v="459"/>
    <x v="0"/>
    <s v="Buffalo"/>
    <x v="497"/>
    <n v="1825699"/>
    <x v="1"/>
    <s v="Fine Arts"/>
    <s v="9781472409645"/>
    <s v=",1,2,3,64,65,66,62,63,67,68,69,70,71,72,73,74,75,76,77,78,79,80,81"/>
    <n v="23"/>
    <m/>
    <m/>
    <s v="No"/>
    <x v="0"/>
    <d v="2015-12-14T15:32:41"/>
    <n v="7"/>
    <s v="128.205.114.91"/>
    <s v="ML80.B42 -- .B43 2014eb"/>
    <n v="780.92"/>
    <d v="2014-12-28T00:00:00"/>
  </r>
  <r>
    <x v="1752"/>
    <d v="1899-12-30T00:51:18"/>
    <x v="460"/>
    <x v="7"/>
    <s v="oneonta"/>
    <x v="498"/>
    <n v="867850"/>
    <x v="10"/>
    <s v="History"/>
    <s v="9781400834860"/>
    <s v=",1,2,3,47,48,49,45,46,50,51,52,53,54,55,56"/>
    <n v="15"/>
    <m/>
    <m/>
    <s v="No"/>
    <x v="1"/>
    <m/>
    <m/>
    <s v="137.141.13.2"/>
    <s v="DF234.37 -- .B7413 2010eb"/>
    <s v="938/.07092"/>
    <d v="2012-03-25T00:00:00"/>
  </r>
  <r>
    <x v="1753"/>
    <d v="1899-12-30T01:18:38"/>
    <x v="460"/>
    <x v="7"/>
    <s v="oneonta"/>
    <x v="499"/>
    <n v="1172554"/>
    <x v="15"/>
    <s v="History"/>
    <s v=""/>
    <s v=",182,183,173,168,172,169,171,175,176,174,170,167,166,165,164,163,162,161,160,159,158,157,156,154,155,153,152,262,263,264,260,261,265,266,267,268"/>
    <n v="36"/>
    <s v=",179,263"/>
    <m/>
    <s v="No"/>
    <x v="0"/>
    <d v="2015-12-17T06:35:13"/>
    <n v="7"/>
    <s v="137.141.13.2"/>
    <s v="DF234 .A67 2012"/>
    <s v="938.07092; 938/.07092"/>
    <d v="2013-04-11T00:00:00"/>
  </r>
  <r>
    <x v="1754"/>
    <d v="1899-12-30T00:06:00"/>
    <x v="460"/>
    <x v="7"/>
    <s v="oneonta"/>
    <x v="499"/>
    <n v="1172554"/>
    <x v="15"/>
    <s v="History"/>
    <s v=""/>
    <s v=",1,2,3,33,34,35,31,32,40,37,25,19,10,13,18,27,29,38,39,36,179,180,181,177,178"/>
    <n v="25"/>
    <m/>
    <m/>
    <s v="No"/>
    <x v="1"/>
    <m/>
    <m/>
    <s v="137.141.13.2"/>
    <s v="DF234 .A67 2012"/>
    <s v="938.07092; 938/.07092"/>
    <d v="2013-04-11T00:00:00"/>
  </r>
  <r>
    <x v="1755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Yes"/>
    <x v="0"/>
    <d v="2015-12-17T05:02:21"/>
    <n v="7"/>
    <s v="128.205.114.91"/>
    <s v="TA1520 -- .S24 2007eb"/>
    <n v="621.36"/>
    <d v="2013-02-05T00:00:00"/>
  </r>
  <r>
    <x v="1755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No"/>
    <x v="0"/>
    <d v="2015-12-17T05:02:21"/>
    <n v="7"/>
    <s v="128.205.114.91"/>
    <s v="TA1520 -- .S24 2007eb"/>
    <n v="621.36"/>
    <d v="2013-02-05T00:00:00"/>
  </r>
  <r>
    <x v="1756"/>
    <d v="1899-12-30T00:00:18"/>
    <x v="461"/>
    <x v="0"/>
    <s v="Buffalo"/>
    <x v="500"/>
    <n v="699744"/>
    <x v="0"/>
    <s v="Engineering; Engineering: Electrical; Engineering: Civil"/>
    <s v="9781118585818"/>
    <s v=",1,2,3"/>
    <n v="3"/>
    <m/>
    <m/>
    <s v="No"/>
    <x v="1"/>
    <m/>
    <m/>
    <s v="128.205.114.91"/>
    <s v="TA1520 -- .S24 2007eb"/>
    <n v="621.36"/>
    <d v="2013-02-05T00:00:00"/>
  </r>
  <r>
    <x v="1757"/>
    <d v="1899-12-30T00:00:39"/>
    <x v="457"/>
    <x v="8"/>
    <s v="niagaracc"/>
    <x v="501"/>
    <n v="1461093"/>
    <x v="2"/>
    <s v="Fine Arts"/>
    <s v="9781135205898"/>
    <s v=",1,2,3"/>
    <n v="3"/>
    <m/>
    <m/>
    <s v="No"/>
    <x v="3"/>
    <m/>
    <m/>
    <s v="132.174.254.37"/>
    <s v="PN1998.2 -- .H627 2006eb"/>
    <n v="791.43028092273005"/>
    <d v="2013-10-08T00:00:00"/>
  </r>
  <r>
    <x v="1758"/>
    <d v="1899-12-30T00:12:44"/>
    <x v="459"/>
    <x v="0"/>
    <s v="Buffalo"/>
    <x v="497"/>
    <n v="1825699"/>
    <x v="1"/>
    <s v="Fine Arts"/>
    <s v="9781472409645"/>
    <s v=",1,2,3,64,65,66,62,63,67,68,69,70,71,72,73,74,75,76,77,78,79,80,81,82,61,4,5,6,7,8"/>
    <n v="30"/>
    <m/>
    <m/>
    <s v="No"/>
    <x v="0"/>
    <d v="2015-12-14T15:32:41"/>
    <n v="7"/>
    <s v="128.205.114.91"/>
    <s v="ML80.B42 -- .B43 2014eb"/>
    <n v="780.92"/>
    <d v="2014-12-28T00:00:00"/>
  </r>
  <r>
    <x v="1759"/>
    <d v="1899-12-30T00:13:22"/>
    <x v="462"/>
    <x v="0"/>
    <s v="Buffalo"/>
    <x v="502"/>
    <n v="1821088"/>
    <x v="4"/>
    <s v="Medicine"/>
    <s v="9781462519811"/>
    <s v=",140,141,343,344,345,341,342,438,443,444,445,446,447,448,449,412,413,414,410,411,415,416,417,418,419,420,421,422,423,424,425,404,405,406,402,403,407,408,409,412,401,1,2,3,199,200,201,198,197,217,218,219,215,216,191,192,193,189,190,194,195,196,199,202,203,204"/>
    <n v="64"/>
    <m/>
    <m/>
    <s v="No"/>
    <x v="2"/>
    <d v="2015-12-17T04:35:59"/>
    <n v="1"/>
    <s v="128.205.114.91"/>
    <s v="RJ505.C63 -- .F754 2015eb"/>
    <n v="618.9289"/>
    <d v="2015-05-19T00:00:00"/>
  </r>
  <r>
    <x v="1760"/>
    <d v="1899-12-30T00:05:13"/>
    <x v="462"/>
    <x v="0"/>
    <s v="Buffalo"/>
    <x v="502"/>
    <n v="1821088"/>
    <x v="4"/>
    <s v="Medicine"/>
    <s v="9781462519811"/>
    <s v=",1,2,3,119,120,121,117,118,438,439,440,436,437,435,441,442,464,465,466,463,462,365,366,367,363,364,368,369,76,77,78,74,75,137,138,139,135,136"/>
    <n v="38"/>
    <m/>
    <m/>
    <s v="No"/>
    <x v="3"/>
    <m/>
    <m/>
    <s v="128.205.114.91"/>
    <s v="RJ505.C63 -- .F754 2015eb"/>
    <n v="618.9289"/>
    <d v="2015-05-19T00:00:00"/>
  </r>
  <r>
    <x v="1761"/>
    <d v="1899-12-30T00:30:54"/>
    <x v="457"/>
    <x v="8"/>
    <s v="niagaracc"/>
    <x v="495"/>
    <n v="1397330"/>
    <x v="2"/>
    <s v="Fine Arts"/>
    <s v="9781134723751"/>
    <s v=",6,7,8,9,10,23,25,24,22,21,29,30,31,28,27,32,374,375,376,373,372"/>
    <n v="21"/>
    <m/>
    <m/>
    <s v="No"/>
    <x v="2"/>
    <d v="2015-12-17T04:07:59"/>
    <n v="1"/>
    <s v="132.174.254.37"/>
    <s v="PN2061 -- .T47 2008eb"/>
    <n v="792.02800000000002"/>
    <d v="2008-08-22T00:00:00"/>
  </r>
  <r>
    <x v="1762"/>
    <d v="1899-12-30T00:05:37"/>
    <x v="457"/>
    <x v="8"/>
    <s v="niagaracc"/>
    <x v="495"/>
    <n v="1397330"/>
    <x v="2"/>
    <s v="Fine Arts"/>
    <s v="9781134723751"/>
    <s v=",1,2,3,4,5"/>
    <n v="5"/>
    <m/>
    <m/>
    <s v="No"/>
    <x v="3"/>
    <m/>
    <m/>
    <s v="132.174.254.37"/>
    <s v="PN2061 -- .T47 2008eb"/>
    <n v="792.02800000000002"/>
    <d v="2008-08-22T00:00:00"/>
  </r>
  <r>
    <x v="1763"/>
    <d v="1899-12-30T00:00:39"/>
    <x v="457"/>
    <x v="8"/>
    <s v="niagaracc"/>
    <x v="503"/>
    <n v="1356050"/>
    <x v="2"/>
    <s v="Medicine"/>
    <s v="9781135058821"/>
    <s v=",1,2,3,12,15,7,5,8,6,9,10,4"/>
    <n v="12"/>
    <m/>
    <m/>
    <s v="No"/>
    <x v="3"/>
    <m/>
    <m/>
    <s v="132.174.254.37"/>
    <s v="RJ505.P89A"/>
    <n v="616.89152300000001"/>
    <d v="2013-08-21T00:00:00"/>
  </r>
  <r>
    <x v="1764"/>
    <d v="1899-12-30T00:03:29"/>
    <x v="463"/>
    <x v="1"/>
    <s v="brockport"/>
    <x v="151"/>
    <n v="968030"/>
    <x v="0"/>
    <s v="Psychology"/>
    <s v="9781118285138"/>
    <s v=",1,2,3,532,533,534,530,531,535,536,537"/>
    <n v="11"/>
    <m/>
    <m/>
    <s v="No"/>
    <x v="1"/>
    <m/>
    <m/>
    <s v="137.21.7.121"/>
    <s v="BF637.C6 -- S85 2013eb"/>
    <n v="158.30000000000001"/>
    <d v="2012-07-10T00:00:00"/>
  </r>
  <r>
    <x v="1765"/>
    <d v="1899-12-30T00:05:47"/>
    <x v="464"/>
    <x v="1"/>
    <s v="brockport"/>
    <x v="504"/>
    <n v="4044660"/>
    <x v="5"/>
    <s v="Social Science"/>
    <s v="9781479849680"/>
    <s v=",1,2,3,10,24,25,26,22,23,27,14,13,5,8"/>
    <n v="14"/>
    <m/>
    <m/>
    <s v="No"/>
    <x v="1"/>
    <m/>
    <m/>
    <s v="137.21.7.121"/>
    <s v="HV9950 -- .D425 2015eb"/>
    <s v="364.973089/97073"/>
    <d v="2015-12-11T00:00:00"/>
  </r>
  <r>
    <x v="1766"/>
    <d v="1899-12-30T00:00:01"/>
    <x v="465"/>
    <x v="2"/>
    <s v="hilbert"/>
    <x v="505"/>
    <n v="1725830"/>
    <x v="0"/>
    <s v="Economics; Business/Management"/>
    <s v="9780745684116"/>
    <s v=",107,108"/>
    <n v="2"/>
    <m/>
    <m/>
    <s v="No"/>
    <x v="2"/>
    <d v="2015-12-17T03:13:33"/>
    <n v="1"/>
    <s v="72.45.217.43"/>
    <s v="HD5708.46 -- .J366 2014eb"/>
    <n v="331.13704100000001"/>
    <d v="2014-06-27T00:00:00"/>
  </r>
  <r>
    <x v="1767"/>
    <d v="1899-12-30T00:05:05"/>
    <x v="465"/>
    <x v="2"/>
    <s v="hilbert"/>
    <x v="505"/>
    <n v="1725830"/>
    <x v="0"/>
    <s v="Economics; Business/Management"/>
    <s v="9780745684116"/>
    <s v=",1,2,3,20,21,19,18,17,16,23,22,24,102,103,104,100,101,105,106"/>
    <n v="19"/>
    <m/>
    <m/>
    <s v="No"/>
    <x v="3"/>
    <m/>
    <m/>
    <s v="72.45.217.43"/>
    <s v="HD5708.46 -- .J366 2014eb"/>
    <n v="331.13704100000001"/>
    <d v="2014-06-27T00:00:00"/>
  </r>
  <r>
    <x v="1768"/>
    <d v="1899-12-30T01:30:48"/>
    <x v="466"/>
    <x v="1"/>
    <s v="brockport"/>
    <x v="281"/>
    <n v="4039553"/>
    <x v="0"/>
    <s v="Fine Arts"/>
    <s v="9781118886045"/>
    <s v=",1,2,3,573,574,575,571,572,576,577,578,579,580,581,1,581,582,583,579,580,551,2,552,553,549,550,573,574,575,571,572,576,577,578"/>
    <n v="21"/>
    <m/>
    <m/>
    <s v="No"/>
    <x v="0"/>
    <d v="2015-12-15T03:33:13"/>
    <n v="7"/>
    <s v="137.21.7.121"/>
    <s v="N5760 -- .C667 2015eb"/>
    <n v="709.37"/>
    <d v="2015-09-09T00:00:00"/>
  </r>
  <r>
    <x v="1769"/>
    <d v="1899-12-30T00:00:03"/>
    <x v="466"/>
    <x v="1"/>
    <s v="brockport"/>
    <x v="506"/>
    <n v="4034179"/>
    <x v="0"/>
    <s v="Architecture"/>
    <s v="9781118325131"/>
    <s v=",1,2,3"/>
    <n v="3"/>
    <m/>
    <m/>
    <s v="No"/>
    <x v="3"/>
    <m/>
    <m/>
    <s v="137.21.7.121"/>
    <m/>
    <n v="720.37"/>
    <d v="2013-10-10T00:00:00"/>
  </r>
  <r>
    <x v="1770"/>
    <d v="1899-12-30T00:00:01"/>
    <x v="467"/>
    <x v="1"/>
    <s v="brockport"/>
    <x v="507"/>
    <n v="289391"/>
    <x v="2"/>
    <s v="History; Political Science"/>
    <s v="9780203954928"/>
    <s v=",122,121"/>
    <n v="2"/>
    <m/>
    <m/>
    <s v="No"/>
    <x v="2"/>
    <d v="2015-12-16T22:55:40"/>
    <n v="1"/>
    <s v="137.21.7.121"/>
    <s v="E185.61 -- .B6 2006eb"/>
    <s v="323.1196/07309046"/>
    <d v="2013-08-21T00:00:00"/>
  </r>
  <r>
    <x v="1771"/>
    <d v="1899-12-30T00:05:06"/>
    <x v="467"/>
    <x v="1"/>
    <s v="brockport"/>
    <x v="507"/>
    <n v="289391"/>
    <x v="2"/>
    <s v="History; Political Science"/>
    <s v="9780203954928"/>
    <s v=",1,2,3,118,119,120,116,117,121,122,123,124,125,126,127,128,129,130,131,132,133,134,118,119,120,116,117,121,122,123,124,125,126,129,130"/>
    <n v="22"/>
    <m/>
    <m/>
    <s v="No"/>
    <x v="3"/>
    <m/>
    <m/>
    <s v="137.21.7.121"/>
    <s v="E185.61 -- .B6 2006eb"/>
    <s v="323.1196/07309046"/>
    <d v="2013-08-21T00:00:00"/>
  </r>
  <r>
    <x v="1772"/>
    <d v="1899-12-30T00:00:40"/>
    <x v="466"/>
    <x v="1"/>
    <s v="brockport"/>
    <x v="281"/>
    <n v="4039553"/>
    <x v="0"/>
    <s v="Fine Arts"/>
    <s v="9781118886045"/>
    <s v=",1,2,3,2,3,1,573,574,573,575,574,571,572,575,572,2,576,576,577,577,578,578,579,580,579,580,580,581,581"/>
    <n v="14"/>
    <m/>
    <m/>
    <s v="No"/>
    <x v="0"/>
    <d v="2015-12-15T03:33:13"/>
    <n v="7"/>
    <s v="137.21.7.121"/>
    <s v="N5760 -- .C667 2015eb"/>
    <n v="709.37"/>
    <d v="2015-09-09T00:00:00"/>
  </r>
  <r>
    <x v="1773"/>
    <d v="1899-12-30T00:13:41"/>
    <x v="468"/>
    <x v="0"/>
    <s v="Buffalo"/>
    <x v="508"/>
    <n v="1882107"/>
    <x v="3"/>
    <s v="History; Social Science"/>
    <s v="9780520961593"/>
    <s v=",1,2,3,142,143,144,140,141,170,171,172,168,169,158,159,160,156,157,120,122,118,119,173,174,175,171,172,88,89,90,86,67,68,69,65,66,121,118,119,158,159,160,156,157,161,162,163,195,196,193,197,194,198,170,168,169,167,165,166,161,155,156,157,153,154,103,68,70,66,67,104,105,101,102,70,71,72,68,69,153,154,155,151,152,150,161,162,163,159,160"/>
    <n v="61"/>
    <m/>
    <m/>
    <s v="No"/>
    <x v="0"/>
    <d v="2015-12-10T04:14:02"/>
    <n v="7"/>
    <s v="128.205.114.91"/>
    <s v="HX413.8.K68"/>
    <n v="952.03099999999995"/>
    <d v="2015-06-09T00:00:00"/>
  </r>
  <r>
    <x v="1774"/>
    <d v="1899-12-30T00:01:30"/>
    <x v="469"/>
    <x v="0"/>
    <s v="Buffalo"/>
    <x v="509"/>
    <n v="1115640"/>
    <x v="0"/>
    <s v="Engineering: Civil; Engineering: Construction; Engineering"/>
    <s v="9781118419090"/>
    <s v=",49,1,50,51,47,48,5,6,7,8,9,10,11,12,2,15,17,18,19,20,21,22,71,131,152,139,96,78,77,76,75,73,63,62,64,65,61,60,59,58,57,56,55,53,54,52,51,50,48,47,45,46,44,43,58,59,60,61,62,63,64,65,66,67,68,69,70,71,72"/>
    <n v="56"/>
    <m/>
    <m/>
    <s v="No"/>
    <x v="0"/>
    <d v="2015-12-16T22:19:54"/>
    <n v="7"/>
    <s v="128.205.114.91"/>
    <s v="TH375 -- .S77 2013eb"/>
    <n v="624"/>
    <d v="2013-01-22T00:00:00"/>
  </r>
  <r>
    <x v="1775"/>
    <d v="1899-12-30T00:00:00"/>
    <x v="26"/>
    <x v="6"/>
    <s v="sjfc"/>
    <x v="510"/>
    <n v="1109590"/>
    <x v="14"/>
    <s v="Fine Arts"/>
    <s v="9781476600093"/>
    <m/>
    <n v="0"/>
    <m/>
    <s v=",124,125,126,127,128,129,130,131,132,133,134,135"/>
    <s v="No"/>
    <x v="0"/>
    <d v="2015-12-16T21:49:01"/>
    <n v="7"/>
    <s v="149.69.254.57"/>
    <s v="PN1999.W27 -- D58 2013eb"/>
    <s v="791.43/6552; 791.436552"/>
    <d v="2013-01-20T00:00:00"/>
  </r>
  <r>
    <x v="1776"/>
    <d v="1899-12-30T00:01:52"/>
    <x v="26"/>
    <x v="6"/>
    <s v="sjfc"/>
    <x v="510"/>
    <n v="1109590"/>
    <x v="14"/>
    <s v="Fine Arts"/>
    <s v="9781476600093"/>
    <s v=",1,2,3,124,125,126,123,121,122,127,128,123,122,129,130,131,132,133,134,135,136,137,130,129,128,127,126,124,125,123,122,124,125,126,122,123"/>
    <n v="20"/>
    <m/>
    <m/>
    <s v="No"/>
    <x v="1"/>
    <m/>
    <m/>
    <s v="149.69.254.57"/>
    <s v="PN1999.W27 -- D58 2013eb"/>
    <s v="791.43/6552; 791.436552"/>
    <d v="2013-01-20T00:00:00"/>
  </r>
  <r>
    <x v="1777"/>
    <d v="1899-12-30T01:03:37"/>
    <x v="469"/>
    <x v="0"/>
    <s v="Buffalo"/>
    <x v="509"/>
    <n v="1115640"/>
    <x v="0"/>
    <s v="Engineering: Civil; Engineering: Construction; Engineering"/>
    <s v="9781118419090"/>
    <s v=",1,2,3,4,5,6,7,8,9,10,11,12,13,14,15,16,17,18,19,20,21,22,23,24,26,25,27,28,29,30,31,32,34,33,35,36,37,38,39,40,41,35,40,42,43,44,45,46,47,48,49"/>
    <n v="49"/>
    <m/>
    <m/>
    <s v="No"/>
    <x v="1"/>
    <m/>
    <m/>
    <s v="128.205.114.91"/>
    <s v="TH375 -- .S77 2013eb"/>
    <n v="624"/>
    <d v="2013-01-22T00:00:00"/>
  </r>
  <r>
    <x v="1778"/>
    <d v="1899-12-30T00:02:20"/>
    <x v="470"/>
    <x v="0"/>
    <s v="Buffalo"/>
    <x v="511"/>
    <n v="1655943"/>
    <x v="4"/>
    <s v="Medicine"/>
    <s v="9781462514205"/>
    <s v=",242,243,244,240,241,239,237,238,43,44,45,41,42,250,248,252,224,225,226,223,222,238,239,236,298,299,292,293,294,290,291,273,274,275,280,281,282,278,279,97,98,99,95,96,287,288,289,285,286"/>
    <n v="47"/>
    <m/>
    <m/>
    <s v="No"/>
    <x v="2"/>
    <d v="2015-12-16T20:13:57"/>
    <n v="1"/>
    <s v="128.205.114.91"/>
    <s v="RJ499.3 060 -- .C556 2014eb"/>
    <n v="618.9289"/>
    <d v="2014-05-14T00:00:00"/>
  </r>
  <r>
    <x v="1779"/>
    <d v="1899-12-30T00:08:42"/>
    <x v="470"/>
    <x v="0"/>
    <s v="Buffalo"/>
    <x v="511"/>
    <n v="1655943"/>
    <x v="4"/>
    <s v="Medicine"/>
    <s v="9781462514205"/>
    <s v=",1,2,3,66,67,68,64,65,69,71,70,72,73,74,159,160,161,158,157,162,163,164,165,166,167,168,169,248,249,246,247,250,251"/>
    <n v="33"/>
    <m/>
    <m/>
    <s v="No"/>
    <x v="3"/>
    <m/>
    <m/>
    <s v="128.205.114.91"/>
    <s v="RJ499.3 060 -- .C556 2014eb"/>
    <n v="618.9289"/>
    <d v="2014-05-14T00:00:00"/>
  </r>
  <r>
    <x v="1780"/>
    <d v="1899-12-30T00:17:46"/>
    <x v="471"/>
    <x v="1"/>
    <s v="brockport"/>
    <x v="512"/>
    <n v="1539141"/>
    <x v="2"/>
    <s v="Agriculture; Environmental Studies; Economics"/>
    <s v="9781134064427"/>
    <s v=",54,56,55,52,53,57,58,151,153,150,152,149,154,59,60,61,62,63,64,65,66,67"/>
    <n v="22"/>
    <m/>
    <m/>
    <s v="No"/>
    <x v="2"/>
    <d v="2015-12-16T19:20:23"/>
    <n v="1"/>
    <s v="137.21.7.121"/>
    <s v="SD418.3.T76 -- G73 2009eb"/>
    <n v="333.75091300000003"/>
    <d v="2009-10-01T00:00:00"/>
  </r>
  <r>
    <x v="1781"/>
    <d v="1899-12-30T00:00:00"/>
    <x v="472"/>
    <x v="7"/>
    <s v="oneonta"/>
    <x v="513"/>
    <n v="1174343"/>
    <x v="0"/>
    <s v="Economics; Business/Management"/>
    <s v="9780745676579"/>
    <m/>
    <n v="0"/>
    <m/>
    <s v=",13,14,15,16,17,18,19,20,21,22,23,24,25,26,27,28,29,30,31,32,33,34,35,36,37,38,39,40,41,42,43,44,45,46,47,48,49,50,51,52,53,54,55,56,57,58,59,60,61,62,63,64,65,66,67,68,69,70,71,72,73,74,75,76"/>
    <s v="No"/>
    <x v="2"/>
    <d v="2015-12-16T19:05:58"/>
    <n v="1"/>
    <s v="137.141.13.2"/>
    <s v="HC79.E5 -- T45 2013eb"/>
    <n v="338.92700000000002"/>
    <d v="2013-04-16T00:00:00"/>
  </r>
  <r>
    <x v="1782"/>
    <d v="1899-12-30T00:03:21"/>
    <x v="472"/>
    <x v="7"/>
    <s v="oneonta"/>
    <x v="513"/>
    <n v="1174343"/>
    <x v="0"/>
    <s v="Economics; Business/Management"/>
    <s v="9780745676579"/>
    <s v=",1,51,52,53,49,50,2,54,55,56,57,58,59,60,61,62,63,64,65,66,67,68,69,70,71,72,73,74,72"/>
    <n v="28"/>
    <m/>
    <m/>
    <s v="No"/>
    <x v="3"/>
    <m/>
    <m/>
    <s v="137.141.13.2"/>
    <s v="HC79.E5 -- T45 2013eb"/>
    <n v="338.92700000000002"/>
    <d v="2013-04-16T00:00:00"/>
  </r>
  <r>
    <x v="1783"/>
    <d v="1899-12-30T00:48:28"/>
    <x v="471"/>
    <x v="1"/>
    <s v="brockport"/>
    <x v="512"/>
    <n v="1539141"/>
    <x v="2"/>
    <s v="Agriculture; Environmental Studies; Economics"/>
    <s v="9781134064427"/>
    <s v=",1,2,3,22,23,24,20,21,25"/>
    <n v="9"/>
    <m/>
    <m/>
    <s v="No"/>
    <x v="3"/>
    <m/>
    <m/>
    <s v="137.21.7.121"/>
    <s v="SD418.3.T76 -- G73 2009eb"/>
    <n v="333.75091300000003"/>
    <d v="2009-10-01T00:00:00"/>
  </r>
  <r>
    <x v="1784"/>
    <d v="1899-12-30T00:00:00"/>
    <x v="376"/>
    <x v="0"/>
    <s v="Buffalo"/>
    <x v="514"/>
    <n v="2039143"/>
    <x v="1"/>
    <s v="Literature"/>
    <s v="9781472449160"/>
    <m/>
    <n v="0"/>
    <m/>
    <s v=",212,213,214,215,216,217,218,219,220"/>
    <s v="No"/>
    <x v="2"/>
    <d v="2015-12-16T18:18:24"/>
    <n v="1"/>
    <s v="128.205.114.91"/>
    <s v="PR428.K66 C57 2015"/>
    <s v="820.9''003"/>
    <d v="2015-06-28T00:00:00"/>
  </r>
  <r>
    <x v="1785"/>
    <d v="1899-12-30T00:01:14"/>
    <x v="376"/>
    <x v="0"/>
    <s v="Buffalo"/>
    <x v="514"/>
    <n v="2039143"/>
    <x v="1"/>
    <s v="Literature"/>
    <s v="9781472449160"/>
    <s v=",1,1,2,2,3,3,2,2,182,182,183,184,184,185,183,185,186,186,212,212,213,213,214,214,210,211,211,222,222,221,221,223,223,220,220,218,219,217"/>
    <n v="20"/>
    <m/>
    <m/>
    <s v="No"/>
    <x v="3"/>
    <m/>
    <m/>
    <s v="128.205.114.91"/>
    <s v="PR428.K66 C57 2015"/>
    <s v="820.9''003"/>
    <d v="2015-06-28T00:00:00"/>
  </r>
  <r>
    <x v="1786"/>
    <d v="1899-12-30T00:05:25"/>
    <x v="473"/>
    <x v="6"/>
    <s v="sjfc"/>
    <x v="515"/>
    <n v="1887115"/>
    <x v="0"/>
    <s v="Social Science"/>
    <s v="9781118787083"/>
    <s v=",1,2,3,31,32,33,29,30,34,35,36"/>
    <n v="11"/>
    <m/>
    <m/>
    <s v="No"/>
    <x v="1"/>
    <m/>
    <m/>
    <s v="149.69.254.57"/>
    <s v="HQ784.M3 -- .L46 2015eb"/>
    <n v="302.23083000000003"/>
    <d v="2014-12-04T00:00:00"/>
  </r>
  <r>
    <x v="1787"/>
    <d v="1899-12-30T00:00:04"/>
    <x v="474"/>
    <x v="13"/>
    <s v="buffalostate"/>
    <x v="516"/>
    <n v="1840835"/>
    <x v="0"/>
    <s v="Business/Management; Economics"/>
    <s v="9781118950166"/>
    <s v=",1,2,3"/>
    <n v="3"/>
    <m/>
    <m/>
    <s v="No"/>
    <x v="1"/>
    <m/>
    <m/>
    <s v="136.183.11.43"/>
    <s v="HD9969.S6 .R384 2014"/>
    <n v="338.10923789999998"/>
    <d v="2014-11-10T00:00:00"/>
  </r>
  <r>
    <x v="1788"/>
    <d v="1899-12-30T01:17:24"/>
    <x v="64"/>
    <x v="6"/>
    <s v="sjfc"/>
    <x v="75"/>
    <n v="1986951"/>
    <x v="0"/>
    <s v="Business/Management"/>
    <s v="9781119130468"/>
    <s v=",1,2,3,173,174,175,171,172,176,177,178,179,180,181,182,183,184,185,179,186,187,188,187,188,189,190,191,193,186,185,184,183,182,188,189,190,191,192,187,186,185,184,183,189,190,191,192,193,194,195,198,199,194,193,200,201,202,203,204,205,200,199,198,196,194,195,193,192,191,190,189,188,187,186,185,190,190,191,192,191,192,191,192,192,192,192,186,185,192,192,193,194,195,196,197,198,199"/>
    <n v="38"/>
    <s v=",187,188,189,189,189"/>
    <m/>
    <s v="No"/>
    <x v="0"/>
    <d v="2015-12-11T20:51:05"/>
    <n v="7"/>
    <s v="149.69.254.57"/>
    <s v="HF5661"/>
    <n v="657.07600000000002"/>
    <d v="2015-05-19T00:00:00"/>
  </r>
  <r>
    <x v="1789"/>
    <d v="1899-12-30T00:22:23"/>
    <x v="396"/>
    <x v="0"/>
    <s v="Buffalo"/>
    <x v="28"/>
    <n v="817313"/>
    <x v="0"/>
    <s v="Education"/>
    <s v="9781118136829"/>
    <s v=",1,3,3,1,2,2,2,2,4,4,5,5,6,7,6,7,8,8,107,108,107,108,109,105,109,106,106,110,110,111,112,111,112,113,113,114,114,115,115,115,1,116,115,117,1,116,114,113,114,117,112,111,110,115,2,2,24,25,24,25,26,22,26,23,23,109,110,109,111,107,112,108,113,111,111,113,113,109,112,110,112,110,114,114,115,115,116,116"/>
    <n v="26"/>
    <m/>
    <m/>
    <s v="No"/>
    <x v="0"/>
    <d v="2015-12-10T14:35:57"/>
    <n v="7"/>
    <s v="128.205.114.91"/>
    <s v="LB2367.4 -- .W65 2012eb"/>
    <n v="378.16640000000001"/>
    <d v="2012-01-10T00:00:00"/>
  </r>
  <r>
    <x v="1790"/>
    <d v="1899-12-30T00:00:14"/>
    <x v="13"/>
    <x v="0"/>
    <s v="Buffalo"/>
    <x v="517"/>
    <n v="1645679"/>
    <x v="1"/>
    <s v="Social Science; Medicine"/>
    <s v="9781472413079"/>
    <s v=",1,2,3,12,13,14,10,11"/>
    <n v="8"/>
    <m/>
    <m/>
    <s v="No"/>
    <x v="0"/>
    <d v="2015-12-16T01:33:37"/>
    <n v="7"/>
    <s v="128.205.114.91"/>
    <s v="RC569.5.B65 -- K97 2014eb"/>
    <s v="306.4/613"/>
    <d v="2014-03-28T00:00:00"/>
  </r>
  <r>
    <x v="1791"/>
    <d v="1899-12-30T00:18:38"/>
    <x v="395"/>
    <x v="1"/>
    <s v="brockport"/>
    <x v="518"/>
    <n v="1895714"/>
    <x v="0"/>
    <s v="History"/>
    <s v="9781118896112"/>
    <s v=",1,2,3,2,184,185,186,182,183,437,438,439,435,436,184,160,161,162,159,158,163,164,42,44,40,41,86,87,88,84,85,89,83,129,130,131,127,128,132,133,163,165,61,62,63,59,60,88,90,86,87,88,84,85"/>
    <n v="45"/>
    <m/>
    <m/>
    <s v="No"/>
    <x v="0"/>
    <d v="2015-12-15T21:31:38"/>
    <n v="7"/>
    <s v="137.21.7.121"/>
    <s v="DT60 .B373 2014"/>
    <n v="932"/>
    <d v="2015-01-07T00:00:00"/>
  </r>
  <r>
    <x v="1792"/>
    <d v="1899-12-30T00:00:06"/>
    <x v="475"/>
    <x v="1"/>
    <s v="brockport"/>
    <x v="519"/>
    <n v="822662"/>
    <x v="0"/>
    <s v="History"/>
    <s v="9781444355130"/>
    <s v=",17,18,19,15,16,12,13,9,10"/>
    <n v="9"/>
    <m/>
    <m/>
    <s v="No"/>
    <x v="0"/>
    <d v="2015-12-16T03:57:15"/>
    <n v="7"/>
    <s v="137.21.7.121"/>
    <s v="DT20 -- .R45 2012eb"/>
    <n v="960.3"/>
    <d v="2011-11-11T00:00:00"/>
  </r>
  <r>
    <x v="1793"/>
    <d v="1899-12-30T00:04:58"/>
    <x v="476"/>
    <x v="1"/>
    <s v="brockport"/>
    <x v="520"/>
    <n v="1422365"/>
    <x v="2"/>
    <s v="Education"/>
    <s v="9781317922162"/>
    <s v=",1,2,3,87,88,89,85,86,90"/>
    <n v="9"/>
    <m/>
    <m/>
    <s v="No"/>
    <x v="3"/>
    <m/>
    <m/>
    <s v="137.21.7.121"/>
    <s v="LB1576 -- .C5786 2013eb"/>
    <n v="372.6044"/>
    <d v="2013-10-11T00:00:00"/>
  </r>
  <r>
    <x v="1794"/>
    <d v="1899-12-30T00:04:21"/>
    <x v="477"/>
    <x v="12"/>
    <s v="potsdam"/>
    <x v="521"/>
    <n v="1882109"/>
    <x v="3"/>
    <s v="Science; Science: Biology/Natural History; Economics; Environmental Studies"/>
    <s v="9780520961807"/>
    <s v=",1,2,3,42,43,44,40,41,45,46,47,48,49,50"/>
    <n v="14"/>
    <m/>
    <m/>
    <s v="No"/>
    <x v="3"/>
    <m/>
    <m/>
    <s v="137.143.104.94"/>
    <s v="QH105.C2 B55 2015"/>
    <n v="333.95"/>
    <d v="2015-06-16T00:00:00"/>
  </r>
  <r>
    <x v="1795"/>
    <d v="1899-12-30T01:05:56"/>
    <x v="475"/>
    <x v="1"/>
    <s v="brockport"/>
    <x v="519"/>
    <n v="822662"/>
    <x v="0"/>
    <s v="History"/>
    <s v="9781444355130"/>
    <s v=",1,2,3,11,12,13,9,10,385,386,387,383,384"/>
    <n v="13"/>
    <m/>
    <m/>
    <s v="No"/>
    <x v="1"/>
    <m/>
    <m/>
    <s v="137.21.7.121"/>
    <s v="DT20 -- .R45 2012eb"/>
    <n v="960.3"/>
    <d v="2011-11-11T00:00:00"/>
  </r>
  <r>
    <x v="1796"/>
    <d v="1899-12-30T00:00:05"/>
    <x v="478"/>
    <x v="7"/>
    <s v="oneonta"/>
    <x v="522"/>
    <n v="1569888"/>
    <x v="2"/>
    <s v="History"/>
    <s v="9781317861386"/>
    <s v=",1,2,3"/>
    <n v="3"/>
    <m/>
    <m/>
    <s v="No"/>
    <x v="3"/>
    <m/>
    <m/>
    <s v="137.141.13.2"/>
    <s v="D804.3 -- .E54 2013eb"/>
    <n v="940.53179999999998"/>
    <d v="2013-11-04T00:00:00"/>
  </r>
  <r>
    <x v="1797"/>
    <d v="1899-12-30T00:00:21"/>
    <x v="434"/>
    <x v="0"/>
    <s v="Buffalo"/>
    <x v="523"/>
    <n v="1395248"/>
    <x v="2"/>
    <s v="Education"/>
    <s v="9781135361341"/>
    <s v=",1,2,3,4,5,6"/>
    <n v="6"/>
    <m/>
    <m/>
    <s v="No"/>
    <x v="3"/>
    <m/>
    <m/>
    <s v="128.205.114.91"/>
    <s v="LB1032 -- .R64 2012eb"/>
    <s v="378.1/795"/>
    <d v="1996-05-01T00:00:00"/>
  </r>
  <r>
    <x v="1798"/>
    <d v="1899-12-30T00:05:58"/>
    <x v="13"/>
    <x v="0"/>
    <s v="Buffalo"/>
    <x v="500"/>
    <n v="699744"/>
    <x v="0"/>
    <s v="Engineering; Engineering: Electrical; Engineering: Civil"/>
    <s v="9781118585818"/>
    <s v=",1,2,3,1,706,704,706,707,708,709,710,711,712,713,714,715,716,717,718,719,720"/>
    <n v="19"/>
    <m/>
    <m/>
    <s v="No"/>
    <x v="1"/>
    <m/>
    <m/>
    <s v="128.205.114.91"/>
    <s v="TA1520 -- .S24 2007eb"/>
    <n v="621.36"/>
    <d v="2013-02-05T00:00:00"/>
  </r>
  <r>
    <x v="1799"/>
    <d v="1899-12-30T00:02:01"/>
    <x v="479"/>
    <x v="5"/>
    <s v="erie"/>
    <x v="487"/>
    <n v="1022416"/>
    <x v="0"/>
    <s v="Engineering; Engineering: Chemical"/>
    <s v="9781118373811"/>
    <s v=",1,2,3,30,31,32,28,29,33,35,36,37,34"/>
    <n v="13"/>
    <m/>
    <m/>
    <s v="No"/>
    <x v="1"/>
    <m/>
    <m/>
    <s v="199.29.6.54"/>
    <s v="TP248.65.F66 -- G4573 2012eb"/>
    <n v="664"/>
    <d v="2012-09-05T00:00:00"/>
  </r>
  <r>
    <x v="1800"/>
    <d v="1899-12-30T00:19:06"/>
    <x v="480"/>
    <x v="0"/>
    <s v="Buffalo"/>
    <x v="524"/>
    <n v="1742625"/>
    <x v="11"/>
    <s v="Social Science; Business/Management"/>
    <s v="9780226135250"/>
    <s v=",1,3,2,56,57,58,55,54,53,59,60,61,62"/>
    <n v="13"/>
    <m/>
    <m/>
    <s v="No"/>
    <x v="2"/>
    <d v="2015-12-15T22:47:07"/>
    <n v="1"/>
    <s v="128.205.114.91"/>
    <s v="HD268"/>
    <s v="363.5/99960730759381"/>
    <d v="2014-08-25T00:00:00"/>
  </r>
  <r>
    <x v="1801"/>
    <d v="1899-12-30T00:00:03"/>
    <x v="13"/>
    <x v="0"/>
    <s v="Buffalo"/>
    <x v="517"/>
    <n v="1645679"/>
    <x v="1"/>
    <s v="Social Science; Medicine"/>
    <s v="9781472413079"/>
    <s v=",12,13,14,10,11"/>
    <n v="5"/>
    <m/>
    <m/>
    <s v="No"/>
    <x v="0"/>
    <d v="2015-12-16T01:33:37"/>
    <n v="7"/>
    <s v="128.205.114.91"/>
    <s v="RC569.5.B65 -- K97 2014eb"/>
    <s v="306.4/613"/>
    <d v="2014-03-28T00:00:00"/>
  </r>
  <r>
    <x v="1802"/>
    <d v="1899-12-30T00:10:36"/>
    <x v="13"/>
    <x v="0"/>
    <s v="Buffalo"/>
    <x v="517"/>
    <n v="1645679"/>
    <x v="1"/>
    <s v="Social Science; Medicine"/>
    <s v="9781472413079"/>
    <s v=",1,2,3"/>
    <n v="3"/>
    <m/>
    <m/>
    <s v="No"/>
    <x v="1"/>
    <m/>
    <m/>
    <s v="128.205.114.91"/>
    <s v="RC569.5.B65 -- K97 2014eb"/>
    <s v="306.4/613"/>
    <d v="2014-03-28T00:00:00"/>
  </r>
  <r>
    <x v="1803"/>
    <d v="1899-12-30T00:03:23"/>
    <x v="481"/>
    <x v="1"/>
    <s v="brockport"/>
    <x v="525"/>
    <n v="1386401"/>
    <x v="2"/>
    <s v="Language/Linguistics"/>
    <s v="9781136288562"/>
    <s v=",1,2,3,4,25,26,27,23,24,215,216,213,214,214,1,215,216"/>
    <n v="13"/>
    <m/>
    <m/>
    <s v="No"/>
    <x v="3"/>
    <m/>
    <m/>
    <s v="137.21.7.121"/>
    <s v="PC4460 -- .M86 2014eb"/>
    <n v="468.24"/>
    <d v="2013-09-11T00:00:00"/>
  </r>
  <r>
    <x v="1804"/>
    <d v="1899-12-30T00:00:06"/>
    <x v="482"/>
    <x v="7"/>
    <s v="oneonta"/>
    <x v="512"/>
    <n v="1539141"/>
    <x v="2"/>
    <s v="Agriculture; Environmental Studies; Economics"/>
    <s v="9781134064427"/>
    <s v=",1,2,3"/>
    <n v="3"/>
    <m/>
    <m/>
    <s v="No"/>
    <x v="3"/>
    <m/>
    <m/>
    <s v="137.141.13.2"/>
    <s v="SD418.3.T76 -- G73 2009eb"/>
    <n v="333.75091300000003"/>
    <d v="2009-10-01T00:00:00"/>
  </r>
  <r>
    <x v="1805"/>
    <d v="1899-12-30T00:01:06"/>
    <x v="482"/>
    <x v="7"/>
    <s v="oneonta"/>
    <x v="526"/>
    <n v="1539282"/>
    <x v="2"/>
    <s v="Economics; Business/Management"/>
    <s v="9781134070589"/>
    <s v=",1,2,3,4,5,6,7,8,9,10,11,12,13,14,15,16,17,18,19,20,21"/>
    <n v="21"/>
    <m/>
    <m/>
    <s v="No"/>
    <x v="3"/>
    <m/>
    <m/>
    <s v="137.141.13.2"/>
    <s v="HC60 -- .H378 2009eb"/>
    <n v="338.91410172399998"/>
    <d v="2009-10-01T00:00:00"/>
  </r>
  <r>
    <x v="1806"/>
    <d v="1899-12-30T00:00:41"/>
    <x v="464"/>
    <x v="1"/>
    <s v="brockport"/>
    <x v="504"/>
    <n v="4044660"/>
    <x v="5"/>
    <s v="Social Science"/>
    <s v="9781479849680"/>
    <s v=",1,2,3,10,7,5,4,6,8,9,11,12"/>
    <n v="12"/>
    <m/>
    <m/>
    <s v="No"/>
    <x v="1"/>
    <m/>
    <m/>
    <s v="137.21.7.121"/>
    <s v="HV9950 -- .D425 2015eb"/>
    <s v="364.973089/97073"/>
    <d v="2015-12-11T00:00:00"/>
  </r>
  <r>
    <x v="1807"/>
    <d v="1899-12-30T01:22:13"/>
    <x v="480"/>
    <x v="0"/>
    <s v="Buffalo"/>
    <x v="524"/>
    <n v="1742625"/>
    <x v="11"/>
    <s v="Social Science; Business/Management"/>
    <s v="9780226135250"/>
    <s v=",43,44,45,46,46,47,47,48,43,405,403,404,306,307,308,304,305,309,310,311,312,313,314,315,316,317,318,319,34,36,35,32,33,45,46,47,44,49,50,51,52,53,54,55"/>
    <n v="37"/>
    <m/>
    <m/>
    <s v="No"/>
    <x v="2"/>
    <d v="2015-12-15T22:47:07"/>
    <n v="1"/>
    <s v="128.205.114.91"/>
    <s v="HD268"/>
    <s v="363.5/99960730759381"/>
    <d v="2014-08-25T00:00:00"/>
  </r>
  <r>
    <x v="1808"/>
    <d v="1899-12-30T00:07:51"/>
    <x v="480"/>
    <x v="0"/>
    <s v="Buffalo"/>
    <x v="524"/>
    <n v="1742625"/>
    <x v="11"/>
    <s v="Social Science; Business/Management"/>
    <s v="9780226135250"/>
    <s v=",1,2,2,3,3,1,1,2,3,2,3,1,2,2,43,44,45,43,42,41,44,45,42,40,45,40,39,37,38,36,38,41,42"/>
    <n v="13"/>
    <m/>
    <m/>
    <s v="No"/>
    <x v="3"/>
    <m/>
    <m/>
    <s v="128.205.114.91"/>
    <s v="HD268"/>
    <s v="363.5/99960730759381"/>
    <d v="2014-08-25T00:00:00"/>
  </r>
  <r>
    <x v="1809"/>
    <d v="1899-12-30T00:00:59"/>
    <x v="395"/>
    <x v="1"/>
    <s v="brockport"/>
    <x v="518"/>
    <n v="1895714"/>
    <x v="0"/>
    <s v="History"/>
    <s v="9781118896112"/>
    <s v=",97,98,99,95,96,57,58,59,55,56"/>
    <n v="10"/>
    <m/>
    <m/>
    <s v="No"/>
    <x v="0"/>
    <d v="2015-12-15T21:31:38"/>
    <n v="7"/>
    <s v="137.21.7.121"/>
    <s v="DT60 .B373 2014"/>
    <n v="932"/>
    <d v="2015-01-07T00:00:00"/>
  </r>
  <r>
    <x v="1810"/>
    <d v="1899-12-30T00:35:54"/>
    <x v="395"/>
    <x v="1"/>
    <s v="brockport"/>
    <x v="518"/>
    <n v="1895714"/>
    <x v="0"/>
    <s v="History"/>
    <s v="9781118896112"/>
    <s v=",1,2,3,4,5,6,7,8"/>
    <n v="8"/>
    <m/>
    <m/>
    <s v="No"/>
    <x v="1"/>
    <m/>
    <m/>
    <s v="137.21.7.121"/>
    <s v="DT60 .B373 2014"/>
    <n v="932"/>
    <d v="2015-01-07T00:00:00"/>
  </r>
  <r>
    <x v="1811"/>
    <d v="1899-12-30T00:49:30"/>
    <x v="466"/>
    <x v="1"/>
    <s v="brockport"/>
    <x v="281"/>
    <n v="4039553"/>
    <x v="0"/>
    <s v="Fine Arts"/>
    <s v="9781118886045"/>
    <s v=",1,2,1,2,3,3,2,2,917,917,919,919,915,916,916,920,920,915,920,921,921,922,922,923,923,918,917,916,915,920,573,574,573,575,575,574,572,577,576,577,576,579,579,578,578"/>
    <n v="20"/>
    <m/>
    <m/>
    <s v="No"/>
    <x v="0"/>
    <d v="2015-12-15T03:33:13"/>
    <n v="7"/>
    <s v="137.21.7.121"/>
    <s v="N5760 -- .C667 2015eb"/>
    <n v="709.37"/>
    <d v="2015-09-09T00:00:00"/>
  </r>
  <r>
    <x v="1812"/>
    <d v="1899-12-30T00:00:12"/>
    <x v="483"/>
    <x v="13"/>
    <s v="buffalostate"/>
    <x v="164"/>
    <n v="1744258"/>
    <x v="0"/>
    <s v="Mathematics"/>
    <s v="9781118776162"/>
    <s v=",1,2,3"/>
    <n v="3"/>
    <m/>
    <m/>
    <s v="No"/>
    <x v="1"/>
    <m/>
    <m/>
    <s v="136.183.11.43"/>
    <s v="QA139 -- .S73 2014eb"/>
    <n v="513.07600000000002"/>
    <d v="2014-07-15T00:00:00"/>
  </r>
  <r>
    <x v="1813"/>
    <d v="1899-12-30T00:00:04"/>
    <x v="484"/>
    <x v="12"/>
    <s v="potsdam"/>
    <x v="527"/>
    <n v="1895554"/>
    <x v="0"/>
    <s v="Science: Physics; Science: Geology; Science"/>
    <s v="9781118708507"/>
    <s v=",1,2"/>
    <n v="2"/>
    <m/>
    <m/>
    <s v="No"/>
    <x v="1"/>
    <m/>
    <m/>
    <s v="137.143.104.94"/>
    <s v="QC902.9 -- .M455 2015eb"/>
    <n v="551.6"/>
    <d v="2015-02-04T00:00:00"/>
  </r>
  <r>
    <x v="1814"/>
    <d v="1899-12-30T00:00:00"/>
    <x v="485"/>
    <x v="1"/>
    <s v="brockport"/>
    <x v="528"/>
    <n v="1869291"/>
    <x v="1"/>
    <s v="Law"/>
    <s v="9781409450320"/>
    <s v=",84"/>
    <n v="1"/>
    <m/>
    <m/>
    <s v="No"/>
    <x v="2"/>
    <d v="2015-12-15T19:44:45"/>
    <n v="1"/>
    <s v="137.21.7.121"/>
    <s v="KF4124 -- .W56 2015eb"/>
    <s v="344.73/072"/>
    <d v="2015-01-28T00:00:00"/>
  </r>
  <r>
    <x v="1815"/>
    <d v="1899-12-30T00:05:25"/>
    <x v="485"/>
    <x v="1"/>
    <s v="brockport"/>
    <x v="528"/>
    <n v="1869291"/>
    <x v="1"/>
    <s v="Law"/>
    <s v="9781409450320"/>
    <s v=",1,2,3,10,8,4,5,6,7,9,10,11,12,13,14,15,16,17,18,19,20,3,6,7,4,79,80,81,77,78,82,83"/>
    <n v="27"/>
    <m/>
    <m/>
    <s v="No"/>
    <x v="3"/>
    <m/>
    <m/>
    <s v="137.21.7.121"/>
    <s v="KF4124 -- .W56 2015eb"/>
    <s v="344.73/072"/>
    <d v="2015-01-28T00:00:00"/>
  </r>
  <r>
    <x v="1816"/>
    <d v="1899-12-30T00:04:11"/>
    <x v="486"/>
    <x v="1"/>
    <s v="brockport"/>
    <x v="207"/>
    <n v="979950"/>
    <x v="14"/>
    <s v="Literature"/>
    <s v="9781476600321"/>
    <s v=",1,2,3,14,15,16,12,13,31,32,33,29,30,16,17,18,117,118,119,115,116,120,121,122,123,117,124,125,126,127,128,124,124,129,128,130,126,131,127,125"/>
    <n v="32"/>
    <m/>
    <s v=",117,118,119,120,121,122,123,124,125,126"/>
    <s v="No"/>
    <x v="0"/>
    <d v="2015-12-10T22:02:25"/>
    <n v="7"/>
    <s v="137.21.7.121"/>
    <s v="PS3603.O4558 -- Z84 2012eb"/>
    <s v="813/.6"/>
    <d v="2012-07-10T00:00:00"/>
  </r>
  <r>
    <x v="1817"/>
    <d v="1899-12-30T00:02:21"/>
    <x v="487"/>
    <x v="1"/>
    <s v="brockport"/>
    <x v="151"/>
    <n v="968030"/>
    <x v="0"/>
    <s v="Psychology"/>
    <s v="9781118285138"/>
    <s v=",1,2,3,533,534,535,531,532,536,467,453,454,455,456,452,457,469,521,522,523,519,520,524,525,526,527,528"/>
    <n v="27"/>
    <m/>
    <m/>
    <s v="No"/>
    <x v="1"/>
    <m/>
    <m/>
    <s v="137.21.7.121"/>
    <s v="BF637.C6 -- S85 2013eb"/>
    <n v="158.30000000000001"/>
    <d v="2012-07-10T00:00:00"/>
  </r>
  <r>
    <x v="1818"/>
    <d v="1899-12-30T00:48:44"/>
    <x v="488"/>
    <x v="7"/>
    <s v="oneonta"/>
    <x v="529"/>
    <n v="1822530"/>
    <x v="0"/>
    <s v="Science; Science: Biology/Natural History"/>
    <s v="9781118871317"/>
    <s v=",159,160,161,162,157,156,1,364,365,363,361,362,2,366,367,368,369,370,25,26,27,23,24,63,64,65,61,135,123,124,125,126,122,127,128,129"/>
    <n v="36"/>
    <m/>
    <m/>
    <s v="No"/>
    <x v="2"/>
    <d v="2015-12-15T18:31:17"/>
    <n v="1"/>
    <s v="137.141.13.2"/>
    <s v="QR41.2 -- .S74 2015eb"/>
    <n v="579"/>
    <d v="2014-10-20T00:00:00"/>
  </r>
  <r>
    <x v="1819"/>
    <d v="1899-12-30T00:00:07"/>
    <x v="26"/>
    <x v="6"/>
    <s v="sjfc"/>
    <x v="3"/>
    <n v="822040"/>
    <x v="0"/>
    <s v="Literature; Psychology"/>
    <s v="9781118289099"/>
    <s v=",1,2,3,4"/>
    <n v="4"/>
    <m/>
    <m/>
    <s v="No"/>
    <x v="1"/>
    <m/>
    <m/>
    <s v="149.69.254.57"/>
    <s v="BF76.7 -- .B447 2012eb"/>
    <s v="808.06/615"/>
    <d v="2012-03-22T00:00:00"/>
  </r>
  <r>
    <x v="1820"/>
    <d v="1899-12-30T00:00:11"/>
    <x v="390"/>
    <x v="0"/>
    <s v="Buffalo"/>
    <x v="530"/>
    <n v="1694837"/>
    <x v="11"/>
    <s v="Philosophy"/>
    <s v="9780226135564"/>
    <s v=",1,2,3,47,48,49,45,46"/>
    <n v="8"/>
    <m/>
    <m/>
    <s v="No"/>
    <x v="3"/>
    <m/>
    <m/>
    <s v="128.205.114.91"/>
    <s v="B2949"/>
    <n v="121"/>
    <d v="2014-06-15T00:00:00"/>
  </r>
  <r>
    <x v="1821"/>
    <d v="1899-12-30T00:09:59"/>
    <x v="488"/>
    <x v="7"/>
    <s v="oneonta"/>
    <x v="529"/>
    <n v="1822530"/>
    <x v="0"/>
    <s v="Science; Science: Biology/Natural History"/>
    <s v="9781118871317"/>
    <s v=",363,364,1,365,361,362,2,366,367,368,369,370,371,25,27,23,24,28,45,46,47,43,44,210,211,212,208,189,190,191,187,157,156,153,140,185,152,150,151,155,157,158,158"/>
    <n v="41"/>
    <m/>
    <m/>
    <s v="No"/>
    <x v="3"/>
    <m/>
    <m/>
    <s v="137.141.13.2"/>
    <s v="QR41.2 -- .S74 2015eb"/>
    <n v="579"/>
    <d v="2014-10-20T00:00:00"/>
  </r>
  <r>
    <x v="1822"/>
    <d v="1899-12-30T00:00:59"/>
    <x v="429"/>
    <x v="4"/>
    <s v="monroe2boces"/>
    <x v="487"/>
    <n v="1022416"/>
    <x v="0"/>
    <s v="Engineering; Engineering: Chemical"/>
    <s v="9781118373811"/>
    <s v=",1,2,3,66,67,68,64,65,63"/>
    <n v="9"/>
    <m/>
    <m/>
    <s v="No"/>
    <x v="1"/>
    <m/>
    <m/>
    <s v="72.43.69.30"/>
    <s v="TP248.65.F66 -- G4573 2012eb"/>
    <n v="664"/>
    <d v="2012-09-05T00:00:00"/>
  </r>
  <r>
    <x v="1823"/>
    <d v="1899-12-30T00:00:53"/>
    <x v="477"/>
    <x v="12"/>
    <s v="potsdam"/>
    <x v="531"/>
    <n v="1882100"/>
    <x v="3"/>
    <s v="Science: Botany; Science; Science: Biology/Natural History"/>
    <s v="9780520961098"/>
    <s v=",1,1,1,1,3,3,2,2,2,2,302,302,304,303,300,304,303,301,301"/>
    <n v="8"/>
    <m/>
    <m/>
    <s v="No"/>
    <x v="3"/>
    <m/>
    <m/>
    <s v="137.143.104.94"/>
    <s v="QK569.L53 -- .S35 2015eb"/>
    <n v="577.29999999999995"/>
    <d v="2015-05-01T00:00:00"/>
  </r>
  <r>
    <x v="1824"/>
    <d v="1899-12-30T00:00:21"/>
    <x v="477"/>
    <x v="12"/>
    <s v="potsdam"/>
    <x v="532"/>
    <n v="1895927"/>
    <x v="0"/>
    <s v="Science: Biology/Natural History; Science"/>
    <s v="9781119019794"/>
    <s v=",1,2,2,1,3,3,2,2"/>
    <n v="3"/>
    <m/>
    <s v=",573,574,575,576,577,578,579,580,581,582,583,584,585,586,587,588,589,590,591,592,593,594,595,596,597,598,599,600"/>
    <s v="No"/>
    <x v="0"/>
    <d v="2015-12-15T17:09:19"/>
    <n v="7"/>
    <s v="137.143.104.94"/>
    <s v="QH104 -- .M587 2015eb"/>
    <n v="577.67999999999995"/>
    <d v="2015-02-26T00:00:00"/>
  </r>
  <r>
    <x v="1825"/>
    <d v="1899-12-30T00:00:00"/>
    <x v="477"/>
    <x v="12"/>
    <s v="potsdam"/>
    <x v="532"/>
    <n v="1895927"/>
    <x v="0"/>
    <s v="Science: Biology/Natural History; Science"/>
    <s v="9781119019794"/>
    <m/>
    <n v="0"/>
    <m/>
    <s v=",573,573,574,575,576,577,578,579,580,581,582,583,584,585,586,587,588,589,590,591,592,593,594,595,596,597,598,599,600"/>
    <s v="No"/>
    <x v="0"/>
    <d v="2015-12-15T17:09:19"/>
    <n v="7"/>
    <s v="137.143.104.94"/>
    <s v="QH104 -- .M587 2015eb"/>
    <n v="577.67999999999995"/>
    <d v="2015-02-26T00:00:00"/>
  </r>
  <r>
    <x v="1826"/>
    <d v="1899-12-30T00:02:03"/>
    <x v="477"/>
    <x v="12"/>
    <s v="potsdam"/>
    <x v="532"/>
    <n v="1895927"/>
    <x v="0"/>
    <s v="Science: Biology/Natural History; Science"/>
    <s v="9781119019794"/>
    <s v=",1,2,2,3,1,3,2,2,573,573,575,574,571,575,574,572,572,589,589,591,591,587,573,574,575,571,572,576,577,576,577,571,572,589,590,591,587,588,588,601,602,601,603,602,603,599,600,600"/>
    <n v="20"/>
    <m/>
    <m/>
    <s v="No"/>
    <x v="1"/>
    <m/>
    <m/>
    <s v="137.143.104.94"/>
    <s v="QH104 -- .M587 2015eb"/>
    <n v="577.67999999999995"/>
    <d v="2015-02-26T00:00:00"/>
  </r>
  <r>
    <x v="1827"/>
    <d v="1899-12-30T00:55:30"/>
    <x v="64"/>
    <x v="6"/>
    <s v="sjfc"/>
    <x v="75"/>
    <n v="1986951"/>
    <x v="0"/>
    <s v="Business/Management"/>
    <s v="9781119130468"/>
    <s v=",1,2,3,173,174,175,171,172,176,177,178,179,174,173,172,171,180,176,181,182,184,185,186,186,180,180,181,1,182,178,179,183,2,184,185,186,180,186,181,275,276,271,269,270,267,268"/>
    <n v="26"/>
    <m/>
    <m/>
    <s v="No"/>
    <x v="0"/>
    <d v="2015-12-11T20:51:05"/>
    <n v="7"/>
    <s v="149.69.254.57"/>
    <s v="HF5661"/>
    <n v="657.07600000000002"/>
    <d v="2015-05-19T00:00:00"/>
  </r>
  <r>
    <x v="1828"/>
    <d v="1899-12-30T00:01:01"/>
    <x v="489"/>
    <x v="0"/>
    <s v="Buffalo"/>
    <x v="533"/>
    <n v="1760720"/>
    <x v="4"/>
    <s v="Medicine"/>
    <s v="9781462517459"/>
    <s v=",1,2,3,69,70,71,51,52,29,30,31,27,28,477,478,479,492,493,494,495,496,497,498,499,500,501,515,516,517,513,514,518,519,6,7,8,4,19,20,21,17,18,22,23,27,28,29,25,26,30,31"/>
    <n v="46"/>
    <m/>
    <m/>
    <s v="No"/>
    <x v="1"/>
    <m/>
    <m/>
    <s v="128.205.114.91"/>
    <s v="RC489.D48 -- L56 2015eb"/>
    <n v="616.89142000000004"/>
    <d v="2014-12-23T00:00:00"/>
  </r>
  <r>
    <x v="1829"/>
    <d v="1899-12-30T00:06:00"/>
    <x v="396"/>
    <x v="0"/>
    <s v="Buffalo"/>
    <x v="28"/>
    <n v="817313"/>
    <x v="0"/>
    <s v="Education"/>
    <s v="9781118136829"/>
    <s v=",107,112,113,113"/>
    <n v="3"/>
    <m/>
    <m/>
    <s v="Yes"/>
    <x v="0"/>
    <d v="2015-12-10T14:35:57"/>
    <n v="7"/>
    <s v="128.205.114.91"/>
    <s v="LB2367.4 -- .W65 2012eb"/>
    <n v="378.16640000000001"/>
    <d v="2012-01-10T00:00:00"/>
  </r>
  <r>
    <x v="1830"/>
    <d v="1899-12-30T00:09:50"/>
    <x v="396"/>
    <x v="0"/>
    <s v="Buffalo"/>
    <x v="28"/>
    <n v="817313"/>
    <x v="0"/>
    <s v="Education"/>
    <s v="9781118136829"/>
    <s v=",1,1,3,3,2,2,4,4,5,6,7,6,7,5,8,8,9,9,10,11,10,11,12,13,12,13,14,14,16,16,17,17,19,19,18,15,18,20,15,2,20,21,21,22,22,23,23,45,46,45,46,47,47,48,48,49,49,50,51,50,51,52,53,52,53,48,53,54,54,55,55,56,56,57,57,58,58,53,58,59,59,60,60,61,61,62,63,62,63,64,64,65,65,66,66,67,67,68,69,68,69,70,71,70,72,71,72,73,73,74,74,79,80,81,79,80,77,81,78,78,109,110,109,111,110,107,111,108,108,112,112,112"/>
    <n v="64"/>
    <m/>
    <m/>
    <s v="No"/>
    <x v="0"/>
    <d v="2015-12-10T14:35:57"/>
    <n v="7"/>
    <s v="128.205.114.91"/>
    <s v="LB2367.4 -- .W65 2012eb"/>
    <n v="378.16640000000001"/>
    <d v="2012-01-10T00:00:00"/>
  </r>
  <r>
    <x v="1831"/>
    <d v="1899-12-30T00:00:03"/>
    <x v="490"/>
    <x v="5"/>
    <s v="erie"/>
    <x v="534"/>
    <n v="1753378"/>
    <x v="0"/>
    <s v="Business/Management"/>
    <s v="9781118883570"/>
    <s v=",1,3,2"/>
    <n v="3"/>
    <m/>
    <m/>
    <s v="No"/>
    <x v="1"/>
    <m/>
    <m/>
    <s v="199.29.6.54"/>
    <s v="HF5415 -- .R5666 2014eb"/>
    <s v="658.8/02"/>
    <d v="2014-07-23T00:00:00"/>
  </r>
  <r>
    <x v="1832"/>
    <d v="1899-12-30T00:00:05"/>
    <x v="199"/>
    <x v="5"/>
    <s v="erie"/>
    <x v="534"/>
    <n v="1753378"/>
    <x v="0"/>
    <s v="Business/Management"/>
    <s v="9781118883570"/>
    <s v=",1,2,3"/>
    <n v="3"/>
    <m/>
    <m/>
    <s v="No"/>
    <x v="1"/>
    <m/>
    <m/>
    <s v="199.29.6.54"/>
    <s v="HF5415 -- .R5666 2014eb"/>
    <s v="658.8/02"/>
    <d v="2014-07-23T00:00:00"/>
  </r>
  <r>
    <x v="1833"/>
    <d v="1899-12-30T00:12:28"/>
    <x v="491"/>
    <x v="8"/>
    <s v="niagaracc"/>
    <x v="16"/>
    <n v="877717"/>
    <x v="6"/>
    <s v="Fine Arts"/>
    <s v="9781438139265"/>
    <s v=",1,2,3,4,5,6,7,8,9,10,11,12,13,14,15,16,17,18,19,20,21,22,23,24,25,26,27,28,29,30,31,32,33,34,35,36,37,38,39,40,41,42,43"/>
    <n v="43"/>
    <m/>
    <m/>
    <s v="No"/>
    <x v="0"/>
    <d v="2015-12-14T00:53:11"/>
    <n v="7"/>
    <s v="132.174.254.37"/>
    <s v="PN1998.3.M577 -- L46 2012eb"/>
    <s v="791.4302/33092; B"/>
    <d v="2012-01-01T00:00:00"/>
  </r>
  <r>
    <x v="1834"/>
    <d v="1899-12-30T00:05:02"/>
    <x v="492"/>
    <x v="1"/>
    <s v="brockport"/>
    <x v="535"/>
    <n v="1386405"/>
    <x v="2"/>
    <s v="Fine Arts"/>
    <s v="9781136222900"/>
    <s v=",4,5,6,7,9,14,23,24,15,12,16,13,17"/>
    <n v="13"/>
    <m/>
    <m/>
    <s v="No"/>
    <x v="2"/>
    <d v="2015-12-15T07:57:54"/>
    <n v="1"/>
    <s v="137.21.7.121"/>
    <s v="PN1995.9.C55 -- A35 2013eb"/>
    <n v="791.43616999999995"/>
    <d v="2013-09-11T00:00:00"/>
  </r>
  <r>
    <x v="1835"/>
    <d v="1899-12-30T01:58:35"/>
    <x v="492"/>
    <x v="1"/>
    <s v="brockport"/>
    <x v="535"/>
    <n v="1386405"/>
    <x v="2"/>
    <s v="Fine Arts"/>
    <s v="9781136222900"/>
    <s v=",1,2,3"/>
    <n v="3"/>
    <m/>
    <m/>
    <s v="No"/>
    <x v="3"/>
    <m/>
    <m/>
    <s v="137.21.7.121"/>
    <s v="PN1995.9.C55 -- A35 2013eb"/>
    <n v="791.43616999999995"/>
    <d v="2013-09-11T00:00:00"/>
  </r>
  <r>
    <x v="1836"/>
    <d v="1899-12-30T00:00:25"/>
    <x v="13"/>
    <x v="0"/>
    <s v="Buffalo"/>
    <x v="536"/>
    <n v="836166"/>
    <x v="6"/>
    <s v="Computer Science/IT; Science"/>
    <s v="9781438139470"/>
    <s v=",1,2,3,74,75,76,72,73,77,78,79,80,81,82,83"/>
    <n v="15"/>
    <m/>
    <m/>
    <s v="No"/>
    <x v="0"/>
    <d v="2015-12-15T00:53:15"/>
    <n v="7"/>
    <s v="128.205.114.91"/>
    <s v="Q335.4 -- .K37 2012eb"/>
    <n v="6.3"/>
    <d v="2011-11-01T00:00:00"/>
  </r>
  <r>
    <x v="1837"/>
    <d v="1899-12-30T00:00:32"/>
    <x v="479"/>
    <x v="5"/>
    <s v="erie"/>
    <x v="487"/>
    <n v="1022416"/>
    <x v="0"/>
    <s v="Engineering; Engineering: Chemical"/>
    <s v="9781118373811"/>
    <s v=",1,2,3,4,35,36,37,33,34"/>
    <n v="9"/>
    <m/>
    <m/>
    <s v="No"/>
    <x v="1"/>
    <m/>
    <m/>
    <s v="199.29.6.54"/>
    <s v="TP248.65.F66 -- G4573 2012eb"/>
    <n v="664"/>
    <d v="2012-09-05T00:00:00"/>
  </r>
  <r>
    <x v="1838"/>
    <d v="1899-12-30T00:00:33"/>
    <x v="466"/>
    <x v="1"/>
    <s v="brockport"/>
    <x v="281"/>
    <n v="4039553"/>
    <x v="0"/>
    <s v="Fine Arts"/>
    <s v="9781118886045"/>
    <s v=",1,2,3,4,5,7,8,9,10,6,551,552,553,549,550"/>
    <n v="15"/>
    <m/>
    <m/>
    <s v="No"/>
    <x v="0"/>
    <d v="2015-12-15T03:33:13"/>
    <n v="7"/>
    <s v="137.21.7.121"/>
    <s v="N5760 -- .C667 2015eb"/>
    <n v="709.37"/>
    <d v="2015-09-09T00:00:00"/>
  </r>
  <r>
    <x v="1839"/>
    <d v="1899-12-30T00:00:11"/>
    <x v="466"/>
    <x v="1"/>
    <s v="brockport"/>
    <x v="506"/>
    <n v="4034179"/>
    <x v="0"/>
    <s v="Architecture"/>
    <s v="9781118325131"/>
    <s v=",1,2,3"/>
    <n v="3"/>
    <m/>
    <m/>
    <s v="No"/>
    <x v="3"/>
    <m/>
    <m/>
    <s v="137.21.7.121"/>
    <m/>
    <n v="720.37"/>
    <d v="2013-10-10T00:00:00"/>
  </r>
  <r>
    <x v="1840"/>
    <d v="1899-12-30T00:49:14"/>
    <x v="493"/>
    <x v="12"/>
    <s v="potsdam"/>
    <x v="537"/>
    <n v="1710992"/>
    <x v="3"/>
    <s v="Social Science"/>
    <s v="9780520959125"/>
    <s v=",1,26,27,28,24,25,29,30,31,32,2,33,34,35,36,37,45,54,55,56,52,53,57,58,59"/>
    <n v="25"/>
    <s v=",26"/>
    <m/>
    <s v="No"/>
    <x v="0"/>
    <d v="2015-12-15T04:06:47"/>
    <n v="7"/>
    <s v="137.143.104.94"/>
    <s v="GR340 -- .F66 2015eb"/>
    <n v="398.209"/>
    <d v="2015-01-14T00:00:00"/>
  </r>
  <r>
    <x v="1841"/>
    <d v="1899-12-30T00:07:16"/>
    <x v="493"/>
    <x v="12"/>
    <s v="potsdam"/>
    <x v="537"/>
    <n v="1710992"/>
    <x v="3"/>
    <s v="Social Science"/>
    <s v="9780520959125"/>
    <s v=",1,2,3,1,3,4,5,2,6,7,8,9,10,11,12,13,14,15,16,17,18,19,20,21,22,23,24,25,26,27,28"/>
    <n v="28"/>
    <m/>
    <m/>
    <s v="No"/>
    <x v="1"/>
    <m/>
    <m/>
    <s v="137.143.104.94"/>
    <s v="GR340 -- .F66 2015eb"/>
    <n v="398.209"/>
    <d v="2015-01-14T00:00:00"/>
  </r>
  <r>
    <x v="1842"/>
    <d v="1899-12-30T00:47:24"/>
    <x v="466"/>
    <x v="1"/>
    <s v="brockport"/>
    <x v="281"/>
    <n v="4039553"/>
    <x v="0"/>
    <s v="Fine Arts"/>
    <s v="9781118886045"/>
    <s v=",55,551,552,553,549,550,554,555,556,558,559,560"/>
    <n v="12"/>
    <m/>
    <s v=",551,552,553,554,555,556,557,558,559,560,561,562,563,564,565,566,567,568,569,570,571,572"/>
    <s v="No"/>
    <x v="0"/>
    <d v="2015-12-15T03:33:13"/>
    <n v="7"/>
    <s v="137.21.7.121"/>
    <s v="N5760 -- .C667 2015eb"/>
    <n v="709.37"/>
    <d v="2015-09-09T00:00:00"/>
  </r>
  <r>
    <x v="1843"/>
    <d v="1899-12-30T00:32:26"/>
    <x v="494"/>
    <x v="0"/>
    <s v="Buffalo"/>
    <x v="538"/>
    <n v="1687669"/>
    <x v="3"/>
    <s v="Social Science"/>
    <s v="9780520957282"/>
    <s v=",115,116,114,115,116,112,113,117,118,119"/>
    <n v="8"/>
    <m/>
    <m/>
    <s v="No"/>
    <x v="2"/>
    <d v="2015-12-15T03:11:41"/>
    <n v="1"/>
    <s v="128.205.114.91"/>
    <s v="HQ1236 -- .E55 2014eb"/>
    <n v="305.42"/>
    <d v="2014-05-16T00:00:00"/>
  </r>
  <r>
    <x v="1844"/>
    <d v="1899-12-30T00:23:28"/>
    <x v="466"/>
    <x v="1"/>
    <s v="brockport"/>
    <x v="281"/>
    <n v="4039553"/>
    <x v="0"/>
    <s v="Fine Arts"/>
    <s v="9781118886045"/>
    <s v=",1,2,3,52,53,50"/>
    <n v="6"/>
    <m/>
    <m/>
    <s v="No"/>
    <x v="3"/>
    <m/>
    <m/>
    <s v="137.21.7.121"/>
    <s v="N5760 -- .C667 2015eb"/>
    <n v="709.37"/>
    <d v="2015-09-09T00:00:00"/>
  </r>
  <r>
    <x v="1845"/>
    <d v="1899-12-30T00:22:49"/>
    <x v="494"/>
    <x v="0"/>
    <s v="Buffalo"/>
    <x v="538"/>
    <n v="1687669"/>
    <x v="3"/>
    <s v="Social Science"/>
    <s v="9780520957282"/>
    <s v=",1,2,3,4,5,6,7,10,11,12,8,9,112,113,114,110,111"/>
    <n v="17"/>
    <m/>
    <m/>
    <s v="No"/>
    <x v="3"/>
    <m/>
    <m/>
    <s v="128.205.114.91"/>
    <s v="HQ1236 -- .E55 2014eb"/>
    <n v="305.42"/>
    <d v="2014-05-16T00:00:00"/>
  </r>
  <r>
    <x v="1846"/>
    <d v="1899-12-30T00:00:41"/>
    <x v="468"/>
    <x v="0"/>
    <s v="Buffalo"/>
    <x v="508"/>
    <n v="1882107"/>
    <x v="3"/>
    <s v="History; Social Science"/>
    <s v="9780520961593"/>
    <s v=",1,2,3,228,229,230,226,227,231,232,224,10,11,12,22,24,21,20,19,23,25,26"/>
    <n v="22"/>
    <m/>
    <m/>
    <s v="No"/>
    <x v="0"/>
    <d v="2015-12-10T04:14:02"/>
    <n v="7"/>
    <s v="128.205.114.91"/>
    <s v="HX413.8.K68"/>
    <n v="952.03099999999995"/>
    <d v="2015-06-09T00:00:00"/>
  </r>
  <r>
    <x v="1847"/>
    <d v="1899-12-30T00:01:10"/>
    <x v="459"/>
    <x v="0"/>
    <s v="Buffalo"/>
    <x v="497"/>
    <n v="1825699"/>
    <x v="1"/>
    <s v="Fine Arts"/>
    <s v="9781472409645"/>
    <s v=",1,2,3,8,9,10,6,7,136,137,138,134,135,139,64,65,66,62,63,67"/>
    <n v="20"/>
    <m/>
    <m/>
    <s v="No"/>
    <x v="0"/>
    <d v="2015-12-14T15:32:41"/>
    <n v="7"/>
    <s v="128.205.114.91"/>
    <s v="ML80.B42 -- .B43 2014eb"/>
    <n v="780.92"/>
    <d v="2014-12-28T00:00:00"/>
  </r>
  <r>
    <x v="1848"/>
    <d v="1899-12-30T00:12:45"/>
    <x v="130"/>
    <x v="0"/>
    <s v="Buffalo"/>
    <x v="509"/>
    <n v="1115640"/>
    <x v="0"/>
    <s v="Engineering: Civil; Engineering: Construction; Engineering"/>
    <s v="9781118419090"/>
    <s v=",196,197,198,199,200,201,202,203,204,205"/>
    <n v="10"/>
    <m/>
    <m/>
    <s v="No"/>
    <x v="0"/>
    <d v="2015-12-15T01:04:24"/>
    <n v="7"/>
    <s v="128.205.114.91"/>
    <s v="TH375 -- .S77 2013eb"/>
    <n v="624"/>
    <d v="2013-01-22T00:00:00"/>
  </r>
  <r>
    <x v="1849"/>
    <d v="1899-12-30T00:01:55"/>
    <x v="495"/>
    <x v="1"/>
    <s v="brockport"/>
    <x v="151"/>
    <n v="968030"/>
    <x v="0"/>
    <s v="Psychology"/>
    <s v="9781118285138"/>
    <s v=",1,2,3,491,492,493,489,490,651,649,650,494,495,491,496,497,498,499,500,501,502,503,504,505,506,507,508,479,480,481,477,478"/>
    <n v="31"/>
    <m/>
    <m/>
    <s v="No"/>
    <x v="1"/>
    <m/>
    <m/>
    <s v="137.21.7.121"/>
    <s v="BF637.C6 -- S85 2013eb"/>
    <n v="158.30000000000001"/>
    <d v="2012-07-10T00:00:00"/>
  </r>
  <r>
    <x v="1850"/>
    <d v="1899-12-30T00:00:04"/>
    <x v="495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1851"/>
    <d v="1899-12-30T00:28:26"/>
    <x v="496"/>
    <x v="1"/>
    <s v="brockport"/>
    <x v="539"/>
    <n v="1189363"/>
    <x v="0"/>
    <s v="Business/Management"/>
    <s v="9781118688458"/>
    <s v=",102,103,104,105,106,107,165,166,163,164,168,169"/>
    <n v="12"/>
    <m/>
    <m/>
    <s v="No"/>
    <x v="2"/>
    <d v="2015-12-15T00:54:45"/>
    <n v="1"/>
    <s v="137.21.7.121"/>
    <s v="HD9980.5 -- .S357 2013eb"/>
    <n v="658.8"/>
    <d v="2013-05-13T00:00:00"/>
  </r>
  <r>
    <x v="1852"/>
    <d v="1899-12-30T01:43:17"/>
    <x v="13"/>
    <x v="0"/>
    <s v="Buffalo"/>
    <x v="536"/>
    <n v="836166"/>
    <x v="6"/>
    <s v="Computer Science/IT; Science"/>
    <s v="9781438139470"/>
    <s v=",88,89,92,93,76,74,70,71"/>
    <n v="8"/>
    <m/>
    <m/>
    <s v="No"/>
    <x v="0"/>
    <d v="2015-12-15T00:53:15"/>
    <n v="7"/>
    <s v="128.205.114.91"/>
    <s v="Q335.4 -- .K37 2012eb"/>
    <n v="6.3"/>
    <d v="2011-11-01T00:00:00"/>
  </r>
  <r>
    <x v="1853"/>
    <d v="1899-12-30T00:05:02"/>
    <x v="496"/>
    <x v="1"/>
    <s v="brockport"/>
    <x v="539"/>
    <n v="1189363"/>
    <x v="0"/>
    <s v="Business/Management"/>
    <s v="9781118688458"/>
    <s v=",1,2,3,25,26,27,23,24,28,29,97,98,99,101"/>
    <n v="14"/>
    <m/>
    <m/>
    <s v="No"/>
    <x v="3"/>
    <m/>
    <m/>
    <s v="137.21.7.121"/>
    <s v="HD9980.5 -- .S357 2013eb"/>
    <n v="658.8"/>
    <d v="2013-05-13T00:00:00"/>
  </r>
  <r>
    <x v="1854"/>
    <d v="1899-12-30T00:28:13"/>
    <x v="130"/>
    <x v="0"/>
    <s v="Buffalo"/>
    <x v="509"/>
    <n v="1115640"/>
    <x v="0"/>
    <s v="Engineering: Civil; Engineering: Construction; Engineering"/>
    <s v="9781118419090"/>
    <s v=",1,186,187,188,184,185,189,190,191,192,193,194,195,2"/>
    <n v="14"/>
    <m/>
    <m/>
    <s v="No"/>
    <x v="1"/>
    <m/>
    <m/>
    <s v="128.205.114.91"/>
    <s v="TH375 -- .S77 2013eb"/>
    <n v="624"/>
    <d v="2013-01-22T00:00:00"/>
  </r>
  <r>
    <x v="1855"/>
    <d v="1899-12-30T00:45:05"/>
    <x v="452"/>
    <x v="0"/>
    <s v="Buffalo"/>
    <x v="477"/>
    <n v="1120279"/>
    <x v="0"/>
    <s v="Science: Biology/Natural History; Science"/>
    <s v="9781118537671"/>
    <s v=",1,2,3,156,157,158,155,154,153,159,160,161,162,163,164,165,166,152"/>
    <n v="18"/>
    <m/>
    <m/>
    <s v="No"/>
    <x v="0"/>
    <d v="2015-12-13T22:10:43"/>
    <n v="7"/>
    <s v="128.205.114.91"/>
    <s v="QH371 .K384 2012"/>
    <n v="599.93499999999995"/>
    <d v="2012-11-19T00:00:00"/>
  </r>
  <r>
    <x v="1856"/>
    <d v="1899-12-30T01:52:35"/>
    <x v="13"/>
    <x v="0"/>
    <s v="Buffalo"/>
    <x v="536"/>
    <n v="836166"/>
    <x v="6"/>
    <s v="Computer Science/IT; Science"/>
    <s v="9781438139470"/>
    <s v=",1,2,3,74,75,76,72,73,77,78,79,80,81,82,83,84,85,86,87,88,89,90,91,92,93"/>
    <n v="25"/>
    <m/>
    <m/>
    <s v="No"/>
    <x v="1"/>
    <m/>
    <m/>
    <s v="128.205.114.91"/>
    <s v="Q335.4 -- .K37 2012eb"/>
    <n v="6.3"/>
    <d v="2011-11-01T00:00:00"/>
  </r>
  <r>
    <x v="1857"/>
    <d v="1899-12-30T00:14:26"/>
    <x v="497"/>
    <x v="1"/>
    <s v="brockport"/>
    <x v="540"/>
    <n v="1355985"/>
    <x v="2"/>
    <s v="Medicine"/>
    <s v="9781135057985"/>
    <s v=",33,13,9,10,11,7,8"/>
    <n v="7"/>
    <m/>
    <m/>
    <s v="No"/>
    <x v="2"/>
    <d v="2015-12-14T22:36:47"/>
    <n v="1"/>
    <s v="137.21.7.121"/>
    <s v="RC489.R37"/>
    <n v="616.89139999999998"/>
    <d v="2013-08-21T00:00:00"/>
  </r>
  <r>
    <x v="1858"/>
    <d v="1899-12-30T00:00:02"/>
    <x v="498"/>
    <x v="0"/>
    <s v="Buffalo"/>
    <x v="437"/>
    <n v="1767915"/>
    <x v="0"/>
    <s v="Social Science"/>
    <s v="9780730315148"/>
    <s v=",1"/>
    <n v="1"/>
    <m/>
    <m/>
    <s v="No"/>
    <x v="1"/>
    <m/>
    <m/>
    <s v="128.205.114.91"/>
    <s v="HM742 -- .C654 2015eb"/>
    <n v="302.23099999999999"/>
    <d v="2014-08-15T00:00:00"/>
  </r>
  <r>
    <x v="1859"/>
    <d v="1899-12-30T00:07:42"/>
    <x v="497"/>
    <x v="1"/>
    <s v="brockport"/>
    <x v="540"/>
    <n v="1355985"/>
    <x v="2"/>
    <s v="Medicine"/>
    <s v="9781135057985"/>
    <s v=",1,2,3,19,20,21,17,18,22,23,24,25,26,27,28,29,30,31,32"/>
    <n v="19"/>
    <m/>
    <m/>
    <s v="No"/>
    <x v="3"/>
    <m/>
    <m/>
    <s v="137.21.7.121"/>
    <s v="RC489.R37"/>
    <n v="616.89139999999998"/>
    <d v="2013-08-21T00:00:00"/>
  </r>
  <r>
    <x v="1860"/>
    <d v="1899-12-30T02:12:37"/>
    <x v="499"/>
    <x v="12"/>
    <s v="potsdam"/>
    <x v="527"/>
    <n v="1895554"/>
    <x v="0"/>
    <s v="Science: Physics; Science: Geology; Science"/>
    <s v="9781118708507"/>
    <s v=",1,266,267,268,264,265,263,2,7,8,9,5,6,10,11,12,13,53,54,55,51,52,56,261,262,259,260,260,1,261,262,258,259,269,270,271,272,283,284,285,281,286,282,2,287,288,289,290,291,292,293,294,295,279,278,275,267,274,277,273,276,280,317,318,319,315,316,320,321,322,323,324,325,326,327,1,327,328,329,325,326,324,330,2,331,332,333,334,335,1,335,336,337,333,334,338,339,340,2,341,342,129,130,131,127,128,132,133,134,135,136,137,138,150,151,152,148,149,153,154,155,156,157,356,357,358,354,355,325,326,327,323,324,330,331,332,328,329"/>
    <n v="110"/>
    <m/>
    <m/>
    <s v="No"/>
    <x v="0"/>
    <d v="2015-12-14T22:13:04"/>
    <n v="7"/>
    <s v="137.143.104.94"/>
    <s v="QC902.9 -- .M455 2015eb"/>
    <n v="551.6"/>
    <d v="2015-02-04T00:00:00"/>
  </r>
  <r>
    <x v="1861"/>
    <d v="1899-12-30T00:05:43"/>
    <x v="452"/>
    <x v="0"/>
    <s v="Buffalo"/>
    <x v="477"/>
    <n v="1120279"/>
    <x v="0"/>
    <s v="Science: Biology/Natural History; Science"/>
    <s v="9781118537671"/>
    <s v=",1,2,3,149,150,151,147,148,152,153,154,155,156"/>
    <n v="13"/>
    <m/>
    <m/>
    <s v="No"/>
    <x v="0"/>
    <d v="2015-12-13T22:10:43"/>
    <n v="7"/>
    <s v="128.205.114.91"/>
    <s v="QH371 .K384 2012"/>
    <n v="599.93499999999995"/>
    <d v="2012-11-19T00:00:00"/>
  </r>
  <r>
    <x v="1862"/>
    <d v="1899-12-30T00:03:12"/>
    <x v="500"/>
    <x v="1"/>
    <s v="brockport"/>
    <x v="207"/>
    <n v="979950"/>
    <x v="14"/>
    <s v="Literature"/>
    <s v="9781476600321"/>
    <s v=",1,2,3,4,5,6,7,8,127,128,129,125,126"/>
    <n v="13"/>
    <m/>
    <m/>
    <s v="No"/>
    <x v="0"/>
    <d v="2015-12-14T19:59:35"/>
    <n v="7"/>
    <s v="137.21.7.121"/>
    <s v="PS3603.O4558 -- Z84 2012eb"/>
    <s v="813/.6"/>
    <d v="2012-07-10T00:00:00"/>
  </r>
  <r>
    <x v="1863"/>
    <d v="1899-12-30T00:20:28"/>
    <x v="499"/>
    <x v="12"/>
    <s v="potsdam"/>
    <x v="527"/>
    <n v="1895554"/>
    <x v="0"/>
    <s v="Science: Physics; Science: Geology; Science"/>
    <s v="9781118708507"/>
    <s v=",1,2,3,4,5,6,7,8,129,130,131,127,128,263,264,265,261,262,267,266"/>
    <n v="20"/>
    <m/>
    <m/>
    <s v="No"/>
    <x v="3"/>
    <m/>
    <m/>
    <s v="137.143.104.94"/>
    <s v="QC902.9 -- .M455 2015eb"/>
    <n v="551.6"/>
    <d v="2015-02-04T00:00:00"/>
  </r>
  <r>
    <x v="1864"/>
    <d v="1899-12-30T00:00:11"/>
    <x v="501"/>
    <x v="1"/>
    <s v="brockport"/>
    <x v="541"/>
    <n v="1719914"/>
    <x v="1"/>
    <s v="Business/Management"/>
    <s v="9781472426475"/>
    <s v=",1,2,3,18,19,20,16,17"/>
    <n v="8"/>
    <m/>
    <m/>
    <s v="No"/>
    <x v="3"/>
    <m/>
    <m/>
    <s v="137.21.7.121"/>
    <s v="HD2365 -- .P35 2014eb"/>
    <n v="658.4058"/>
    <d v="2014-08-28T00:00:00"/>
  </r>
  <r>
    <x v="1865"/>
    <d v="1899-12-30T00:18:37"/>
    <x v="502"/>
    <x v="1"/>
    <s v="brockport"/>
    <x v="542"/>
    <n v="1356227"/>
    <x v="2"/>
    <s v="Medicine"/>
    <s v="9781135059613"/>
    <s v=",14,1,14,2,3,21,22,23,19,20,24,25,26,26,1,27,28,24,25"/>
    <n v="14"/>
    <m/>
    <m/>
    <s v="No"/>
    <x v="2"/>
    <d v="2015-12-14T21:17:36"/>
    <n v="1"/>
    <s v="137.21.7.121"/>
    <s v="RC552.B84B"/>
    <n v="616.85199999999998"/>
    <d v="2013-08-21T00:00:00"/>
  </r>
  <r>
    <x v="1866"/>
    <d v="1899-12-30T00:06:52"/>
    <x v="502"/>
    <x v="1"/>
    <s v="brockport"/>
    <x v="542"/>
    <n v="1356227"/>
    <x v="2"/>
    <s v="Medicine"/>
    <s v="9781135059613"/>
    <s v=",1,2,3,2,3,1,21,22,23,19,21,20,22,23,20,24,2,24,25,20,25,25,20,31,31,200,200,217,217,218,218,219,219,215,216,216,13,10,13,10,11,12,11,8,9,12,9,13,23,24,25,26,22,21,26,20"/>
    <n v="24"/>
    <m/>
    <m/>
    <s v="No"/>
    <x v="3"/>
    <m/>
    <m/>
    <s v="137.21.7.121"/>
    <s v="RC552.B84B"/>
    <n v="616.85199999999998"/>
    <d v="2013-08-21T00:00:00"/>
  </r>
  <r>
    <x v="1867"/>
    <d v="1899-12-30T00:29:18"/>
    <x v="13"/>
    <x v="0"/>
    <s v="Buffalo"/>
    <x v="73"/>
    <n v="1119505"/>
    <x v="0"/>
    <s v="Science: Chemistry; Science"/>
    <s v="9781118355015"/>
    <s v=",1,2,3,53,54,55,51,52,59,60,61,57,56,58,58,59,60,61,62,63,64,65,66,67,68,69,70,71,72,73,74,75,76,77,78,79,68,67,66,80,81,82,79,94,95,96,92,93,97,98,84,85,81,82,83,79,80,86,87,88,89,90"/>
    <n v="50"/>
    <m/>
    <m/>
    <s v="No"/>
    <x v="0"/>
    <d v="2015-12-14T18:00:30"/>
    <n v="7"/>
    <s v="128.205.114.91"/>
    <s v="QD251.3 -- .S38 2013eb"/>
    <s v="547/.128"/>
    <d v="2013-01-28T00:00:00"/>
  </r>
  <r>
    <x v="1868"/>
    <d v="1899-12-30T01:04:46"/>
    <x v="491"/>
    <x v="8"/>
    <s v="niagaracc"/>
    <x v="16"/>
    <n v="877717"/>
    <x v="6"/>
    <s v="Fine Arts"/>
    <s v="9781438139265"/>
    <s v=",1,2,3,5,4,5,6,7,8,9,10,11,12,13,14,15,16,17"/>
    <n v="17"/>
    <m/>
    <m/>
    <s v="No"/>
    <x v="0"/>
    <d v="2015-12-14T00:53:11"/>
    <n v="7"/>
    <s v="132.174.254.37"/>
    <s v="PN1998.3.M577 -- L46 2012eb"/>
    <s v="791.4302/33092; B"/>
    <d v="2012-01-01T00:00:00"/>
  </r>
  <r>
    <x v="1869"/>
    <d v="1899-12-30T00:02:48"/>
    <x v="503"/>
    <x v="7"/>
    <s v="oneonta"/>
    <x v="543"/>
    <n v="1170296"/>
    <x v="2"/>
    <s v="Religion; History"/>
    <s v="9781136176036"/>
    <s v=",32,33,34,35,36,37,38,39,41"/>
    <n v="9"/>
    <m/>
    <m/>
    <s v="No"/>
    <x v="2"/>
    <d v="2015-12-14T20:14:34"/>
    <n v="1"/>
    <s v="137.141.13.2"/>
    <s v="BR525 -- .O99 2013eb"/>
    <n v="973.5"/>
    <d v="2013-07-15T00:00:00"/>
  </r>
  <r>
    <x v="1870"/>
    <d v="1899-12-30T01:39:51"/>
    <x v="500"/>
    <x v="1"/>
    <s v="brockport"/>
    <x v="220"/>
    <n v="979949"/>
    <x v="14"/>
    <s v="Literature"/>
    <s v="9780786493234"/>
    <s v=",1,3,4,5,6,7,8,9,51,52,53,49,54,55,56,57"/>
    <n v="16"/>
    <m/>
    <s v=",51,52,53,54,55,56,57,58,59,60,61,62,63,64,65,66,67,68,69"/>
    <s v="No"/>
    <x v="0"/>
    <d v="2015-12-14T20:11:37"/>
    <n v="7"/>
    <s v="137.21.7.121"/>
    <s v="PS3603.O4558 -- Z6845 2012eb"/>
    <s v="813/.6"/>
    <d v="2012-07-12T00:00:00"/>
  </r>
  <r>
    <x v="1871"/>
    <d v="1899-12-30T00:00:23"/>
    <x v="504"/>
    <x v="1"/>
    <s v="brockport"/>
    <x v="519"/>
    <n v="822662"/>
    <x v="0"/>
    <s v="History"/>
    <s v="9781444355130"/>
    <s v=",1,2,2,3,3,1,2,2"/>
    <n v="3"/>
    <m/>
    <m/>
    <s v="No"/>
    <x v="1"/>
    <m/>
    <m/>
    <s v="137.21.7.121"/>
    <s v="DT20 -- .R45 2012eb"/>
    <n v="960.3"/>
    <d v="2011-11-11T00:00:00"/>
  </r>
  <r>
    <x v="1871"/>
    <d v="1899-12-30T00:00:57"/>
    <x v="500"/>
    <x v="1"/>
    <s v="brockport"/>
    <x v="220"/>
    <n v="979949"/>
    <x v="14"/>
    <s v="Literature"/>
    <s v="9780786493234"/>
    <s v=",1,2,3,52,51,53,49,50"/>
    <n v="8"/>
    <m/>
    <m/>
    <s v="No"/>
    <x v="1"/>
    <m/>
    <m/>
    <s v="137.21.7.121"/>
    <s v="PS3603.O4558 -- Z6845 2012eb"/>
    <s v="813/.6"/>
    <d v="2012-07-12T00:00:00"/>
  </r>
  <r>
    <x v="1872"/>
    <d v="1899-12-30T00:05:52"/>
    <x v="468"/>
    <x v="0"/>
    <s v="Buffalo"/>
    <x v="508"/>
    <n v="1882107"/>
    <x v="3"/>
    <s v="History; Social Science"/>
    <s v="9780520961593"/>
    <s v=",1,2,3,4,22,23,24,25,26,27,28,29,30,31,32,33,124,125,126,127,123,142,143,141,139,140,138,122,137,135,136,75,76,77,73,74,11,12,13,9,10,135,136,137,136,135,134,129,130,131,128,132,133"/>
    <n v="48"/>
    <m/>
    <m/>
    <s v="No"/>
    <x v="0"/>
    <d v="2015-12-10T04:14:02"/>
    <n v="7"/>
    <s v="128.205.114.91"/>
    <s v="HX413.8.K68"/>
    <n v="952.03099999999995"/>
    <d v="2015-06-09T00:00:00"/>
  </r>
  <r>
    <x v="1873"/>
    <d v="1899-12-30T00:06:10"/>
    <x v="500"/>
    <x v="1"/>
    <s v="brockport"/>
    <x v="207"/>
    <n v="979950"/>
    <x v="14"/>
    <s v="Literature"/>
    <s v="9781476600321"/>
    <s v=",199,200,201,197,198,130,131,132,133,134,135,136,137,138"/>
    <n v="14"/>
    <m/>
    <s v=",127,128,129,130,131,132,133,134,135,136"/>
    <s v="No"/>
    <x v="0"/>
    <d v="2015-12-14T19:59:35"/>
    <n v="7"/>
    <s v="137.21.7.121"/>
    <s v="PS3603.O4558 -- Z84 2012eb"/>
    <s v="813/.6"/>
    <d v="2012-07-10T00:00:00"/>
  </r>
  <r>
    <x v="1874"/>
    <d v="1899-12-30T00:02:57"/>
    <x v="505"/>
    <x v="1"/>
    <s v="brockport"/>
    <x v="544"/>
    <n v="1154618"/>
    <x v="11"/>
    <s v="Business/Management; Social Science"/>
    <s v="9780226012599"/>
    <s v=",172,173,174,170,171,175,8,9,10,6,7,210,212,213,208,209,213,214,214,215,216,217,218,220,221,226,227,223,224"/>
    <n v="27"/>
    <m/>
    <m/>
    <s v="No"/>
    <x v="2"/>
    <d v="2015-12-14T19:54:55"/>
    <n v="1"/>
    <s v="137.21.7.121"/>
    <s v="HD7288"/>
    <s v="363.5/850977311"/>
    <d v="2013-04-15T00:00:00"/>
  </r>
  <r>
    <x v="1875"/>
    <d v="1899-12-30T00:20:31"/>
    <x v="503"/>
    <x v="7"/>
    <s v="oneonta"/>
    <x v="543"/>
    <n v="1170296"/>
    <x v="2"/>
    <s v="Religion; History"/>
    <s v="9781136176036"/>
    <s v=",1,2,3,18,19,20,16,17,21,22,23,24,25,26,8,9,10,6,7,42,43,44,40,41,45,11,26,27,28,29,30,31"/>
    <n v="31"/>
    <m/>
    <m/>
    <s v="No"/>
    <x v="3"/>
    <m/>
    <m/>
    <s v="137.141.13.2"/>
    <s v="BR525 -- .O99 2013eb"/>
    <n v="973.5"/>
    <d v="2013-07-15T00:00:00"/>
  </r>
  <r>
    <x v="1876"/>
    <d v="1899-12-30T00:05:17"/>
    <x v="505"/>
    <x v="1"/>
    <s v="brockport"/>
    <x v="544"/>
    <n v="1154618"/>
    <x v="11"/>
    <s v="Business/Management; Social Science"/>
    <s v="9780226012599"/>
    <s v=",1,2,3"/>
    <n v="3"/>
    <m/>
    <m/>
    <s v="No"/>
    <x v="3"/>
    <m/>
    <m/>
    <s v="137.21.7.121"/>
    <s v="HD7288"/>
    <s v="363.5/850977311"/>
    <d v="2013-04-15T00:00:00"/>
  </r>
  <r>
    <x v="1877"/>
    <d v="1899-12-30T00:10:17"/>
    <x v="500"/>
    <x v="1"/>
    <s v="brockport"/>
    <x v="207"/>
    <n v="979950"/>
    <x v="14"/>
    <s v="Literature"/>
    <s v="9781476600321"/>
    <s v=",1,2,3,89,90,91,87,88,127,128,129,126,125"/>
    <n v="13"/>
    <m/>
    <m/>
    <s v="No"/>
    <x v="1"/>
    <m/>
    <m/>
    <s v="137.21.7.121"/>
    <s v="PS3603.O4558 -- Z84 2012eb"/>
    <s v="813/.6"/>
    <d v="2012-07-10T00:00:00"/>
  </r>
  <r>
    <x v="1878"/>
    <d v="1899-12-30T00:20:55"/>
    <x v="459"/>
    <x v="0"/>
    <s v="Buffalo"/>
    <x v="497"/>
    <n v="1825699"/>
    <x v="1"/>
    <s v="Fine Arts"/>
    <s v="9781472409645"/>
    <s v=",1,2,3,136,137,138,134,135,1,2,3,4,5,6,7"/>
    <n v="12"/>
    <m/>
    <m/>
    <s v="No"/>
    <x v="0"/>
    <d v="2015-12-14T15:32:41"/>
    <n v="7"/>
    <s v="128.205.114.91"/>
    <s v="ML80.B42 -- .B43 2014eb"/>
    <n v="780.92"/>
    <d v="2014-12-28T00:00:00"/>
  </r>
  <r>
    <x v="1879"/>
    <d v="1899-12-30T00:28:01"/>
    <x v="13"/>
    <x v="0"/>
    <s v="Buffalo"/>
    <x v="545"/>
    <n v="1873238"/>
    <x v="3"/>
    <s v="Language/Linguistics"/>
    <s v="9780520961647"/>
    <s v=",45,51,1,51,52,49,50,2,3,4,5,6,7"/>
    <n v="12"/>
    <m/>
    <m/>
    <s v="No"/>
    <x v="0"/>
    <d v="2015-12-14T19:19:25"/>
    <n v="7"/>
    <s v="128.205.114.91"/>
    <s v="PM2296 -- .W35 2015eb"/>
    <n v="497.9"/>
    <d v="2015-01-01T00:00:00"/>
  </r>
  <r>
    <x v="1880"/>
    <d v="1899-12-30T00:11:06"/>
    <x v="13"/>
    <x v="0"/>
    <s v="Buffalo"/>
    <x v="545"/>
    <n v="1873238"/>
    <x v="3"/>
    <s v="Language/Linguistics"/>
    <s v="9780520961647"/>
    <s v=",1,2,3,50,51,47,48,48,1,49,50,46,47"/>
    <n v="9"/>
    <m/>
    <m/>
    <s v="No"/>
    <x v="1"/>
    <m/>
    <m/>
    <s v="128.205.114.91"/>
    <s v="PM2296 -- .W35 2015eb"/>
    <n v="497.9"/>
    <d v="2015-01-01T00:00:00"/>
  </r>
  <r>
    <x v="1881"/>
    <d v="1899-12-30T00:00:22"/>
    <x v="504"/>
    <x v="1"/>
    <s v="brockport"/>
    <x v="519"/>
    <n v="822662"/>
    <x v="0"/>
    <s v="History"/>
    <s v="9781444355130"/>
    <s v=",1,2,2,3,3,1,359,359,360,361,357,358,360,361,358,2"/>
    <n v="8"/>
    <m/>
    <m/>
    <s v="No"/>
    <x v="1"/>
    <m/>
    <m/>
    <s v="137.21.7.121"/>
    <s v="DT20 -- .R45 2012eb"/>
    <n v="960.3"/>
    <d v="2011-11-11T00:00:00"/>
  </r>
  <r>
    <x v="1882"/>
    <d v="1899-12-30T02:20:24"/>
    <x v="64"/>
    <x v="6"/>
    <s v="sjfc"/>
    <x v="75"/>
    <n v="1986951"/>
    <x v="0"/>
    <s v="Business/Management"/>
    <s v="9781119130468"/>
    <s v=",1,2,3,111,112,113,109,110,140,202,203,204,200,201,205,199,197,198,196,195,193,194,191,192,190,189,187,188,184,185,112,113,109,110,114,115,116,117,118,119,120,121,122,123,124,125,126,127,128,129,130,131,132,133,134,135,136,138,139,140,137,203,204,205,201,202,173,174,175,171,172,176,177,178,179,205,206,207,203,204,217,218,219,215,216,231,232,233,229,230,234,235,236,237,238"/>
    <n v="82"/>
    <s v=",133,134,134,134,175"/>
    <m/>
    <s v="No"/>
    <x v="0"/>
    <d v="2015-12-11T20:51:05"/>
    <n v="7"/>
    <s v="149.69.254.57"/>
    <s v="HF5661"/>
    <n v="657.07600000000002"/>
    <d v="2015-05-19T00:00:00"/>
  </r>
  <r>
    <x v="1883"/>
    <d v="1899-12-30T00:00:19"/>
    <x v="429"/>
    <x v="4"/>
    <s v="monroe2boces"/>
    <x v="487"/>
    <n v="1022416"/>
    <x v="0"/>
    <s v="Engineering; Engineering: Chemical"/>
    <s v="9781118373811"/>
    <s v=",1,2,3,4,5,6,7"/>
    <n v="7"/>
    <m/>
    <m/>
    <s v="No"/>
    <x v="1"/>
    <m/>
    <m/>
    <s v="72.43.69.30"/>
    <s v="TP248.65.F66 -- G4573 2012eb"/>
    <n v="664"/>
    <d v="2012-09-05T00:00:00"/>
  </r>
  <r>
    <x v="1884"/>
    <d v="1899-12-30T00:00:00"/>
    <x v="429"/>
    <x v="4"/>
    <s v="monroe2boces"/>
    <x v="546"/>
    <n v="1809344"/>
    <x v="16"/>
    <s v="Social Science"/>
    <s v="9781137356192"/>
    <s v=",79"/>
    <n v="1"/>
    <m/>
    <m/>
    <s v="No"/>
    <x v="0"/>
    <d v="2015-12-14T18:32:25"/>
    <n v="7"/>
    <s v="72.43.69.30"/>
    <s v="HV6556 -- .P748 2014eb"/>
    <n v="364.4"/>
    <d v="2014-10-03T00:00:00"/>
  </r>
  <r>
    <x v="1885"/>
    <d v="1899-12-30T00:06:25"/>
    <x v="429"/>
    <x v="4"/>
    <s v="monroe2boces"/>
    <x v="487"/>
    <n v="1022416"/>
    <x v="0"/>
    <s v="Engineering; Engineering: Chemical"/>
    <s v="9781118373811"/>
    <s v=",1,2,3,7,8,9,5,6,10,11,12,13,14,15,16,6,5,3,4,2,655,575,567,598,709,710,707,708,544,241"/>
    <n v="26"/>
    <m/>
    <m/>
    <s v="No"/>
    <x v="1"/>
    <m/>
    <m/>
    <s v="72.43.69.30"/>
    <s v="TP248.65.F66 -- G4573 2012eb"/>
    <n v="664"/>
    <d v="2012-09-05T00:00:00"/>
  </r>
  <r>
    <x v="1886"/>
    <d v="1899-12-30T00:21:45"/>
    <x v="429"/>
    <x v="4"/>
    <s v="monroe2boces"/>
    <x v="546"/>
    <n v="1809344"/>
    <x v="16"/>
    <s v="Social Science"/>
    <s v="9781137356192"/>
    <s v=",1,2,3,79,80,81,77,78"/>
    <n v="8"/>
    <m/>
    <m/>
    <s v="No"/>
    <x v="1"/>
    <m/>
    <m/>
    <s v="72.43.69.30"/>
    <s v="HV6556 -- .P748 2014eb"/>
    <n v="364.4"/>
    <d v="2014-10-03T00:00:00"/>
  </r>
  <r>
    <x v="1887"/>
    <d v="1899-12-30T00:00:03"/>
    <x v="429"/>
    <x v="4"/>
    <s v="monroe2boces"/>
    <x v="546"/>
    <n v="1809344"/>
    <x v="16"/>
    <s v="Social Science"/>
    <s v="9781137356192"/>
    <s v=",1,2,3"/>
    <n v="3"/>
    <m/>
    <m/>
    <s v="No"/>
    <x v="1"/>
    <m/>
    <m/>
    <s v="72.43.69.30"/>
    <s v="HV6556 -- .P748 2014eb"/>
    <n v="364.4"/>
    <d v="2014-10-03T00:00:00"/>
  </r>
  <r>
    <x v="1888"/>
    <d v="1899-12-30T00:00:05"/>
    <x v="506"/>
    <x v="0"/>
    <s v="Buffalo"/>
    <x v="533"/>
    <n v="1760720"/>
    <x v="4"/>
    <s v="Medicine"/>
    <s v="9781462517459"/>
    <s v=",1,2,3"/>
    <n v="3"/>
    <m/>
    <m/>
    <s v="No"/>
    <x v="1"/>
    <m/>
    <m/>
    <s v="128.205.114.91"/>
    <s v="RC489.D48 -- L56 2015eb"/>
    <n v="616.89142000000004"/>
    <d v="2014-12-23T00:00:00"/>
  </r>
  <r>
    <x v="1889"/>
    <d v="1899-12-30T03:18:55"/>
    <x v="13"/>
    <x v="0"/>
    <s v="Buffalo"/>
    <x v="73"/>
    <n v="1119505"/>
    <x v="0"/>
    <s v="Science: Chemistry; Science"/>
    <s v="9781118355015"/>
    <s v=",164,165,166,162,163,167,1,167,168,169,165,166,178,179,180,176,181,177,182,183,184,2,185,191,192,193,189,190,194,195,196,197,198,227,228,229,225,226,230,266,267,268,264,265,269,48,48,1,49,50,46,47,2,51,75,76,77,74,73,78,101,102,103,99,100,104,80,81,82,79,83,84,85,86,164,166,165,162,163,178,179,180,177,176,181,182,174,183,184,191,192,193,189,190,194,195,196,197,227,228,229,225,226,224,223,230,266,267,268,264,265,262,263,260,261,232,233,234,231,235"/>
    <n v="80"/>
    <m/>
    <m/>
    <s v="No"/>
    <x v="0"/>
    <d v="2015-12-14T18:00:30"/>
    <n v="7"/>
    <s v="128.205.114.91"/>
    <s v="QD251.3 -- .S38 2013eb"/>
    <s v="547/.128"/>
    <d v="2013-01-28T00:00:00"/>
  </r>
  <r>
    <x v="1890"/>
    <d v="1899-12-30T00:11:46"/>
    <x v="13"/>
    <x v="0"/>
    <s v="Buffalo"/>
    <x v="73"/>
    <n v="1119505"/>
    <x v="0"/>
    <s v="Science: Chemistry; Science"/>
    <s v="9781118355015"/>
    <s v=",1,2,3,48,49,50,47,46,51,52,53,75,76,77,73,74,78,79,80,101,102,103,99,100,104,105,106,107"/>
    <n v="28"/>
    <m/>
    <m/>
    <s v="No"/>
    <x v="1"/>
    <m/>
    <m/>
    <s v="128.205.114.91"/>
    <s v="QD251.3 -- .S38 2013eb"/>
    <s v="547/.128"/>
    <d v="2013-01-28T00:00:00"/>
  </r>
  <r>
    <x v="1891"/>
    <d v="1899-12-30T00:08:38"/>
    <x v="507"/>
    <x v="0"/>
    <s v="Buffalo"/>
    <x v="547"/>
    <n v="1763138"/>
    <x v="11"/>
    <s v="Literature"/>
    <s v="9780226150789"/>
    <s v=",1,2,3,45,46,47,43,44,56,57,58,54,55,59,60,61,62,63,64,65,66,67,68,69,70,71,72,73,74,67,66,65,64,63,62,61,60,59,58,57,56,54,55,66,73,59,60,61,62,65,67,68,69,70,71,72,73"/>
    <n v="29"/>
    <s v=",65,70"/>
    <m/>
    <s v="No"/>
    <x v="2"/>
    <d v="2015-12-14T03:53:08"/>
    <n v="1"/>
    <s v="128.205.114.91"/>
    <s v="PR2819"/>
    <s v="822.3/3"/>
    <d v="2014-09-10T00:00:00"/>
  </r>
  <r>
    <x v="1892"/>
    <d v="1899-12-30T00:00:45"/>
    <x v="508"/>
    <x v="5"/>
    <s v="erie"/>
    <x v="548"/>
    <n v="771134"/>
    <x v="18"/>
    <s v="Social Science"/>
    <s v="9781608706426"/>
    <s v=",1,2,3,4,5,6,7,8,109,110,111,107,108,121,122,123,119,120"/>
    <n v="18"/>
    <m/>
    <m/>
    <s v="No"/>
    <x v="1"/>
    <m/>
    <m/>
    <s v="199.29.6.54"/>
    <s v="HQ1034.U5"/>
    <n v="306.84800000000001"/>
    <d v="2012-01-01T00:00:00"/>
  </r>
  <r>
    <x v="1893"/>
    <d v="1899-12-30T01:31:48"/>
    <x v="64"/>
    <x v="6"/>
    <s v="sjfc"/>
    <x v="75"/>
    <n v="1986951"/>
    <x v="0"/>
    <s v="Business/Management"/>
    <s v="9781119130468"/>
    <s v=",1,2,3,4,5,6,7,8,9,10,11,111,112,113,109,110,114,115,116,117,118,119,120,121,122,123,124,125,126,127,128,129,122,121,120,119,118,123,124,125,126,127,128,119,125,126,126,126,127,128,129,130,165,166,151,152,149,150,173,174,175,171,172,170,169,165,166,167,163"/>
    <n v="48"/>
    <s v=",120,122,123,123"/>
    <m/>
    <s v="No"/>
    <x v="0"/>
    <d v="2015-12-11T20:51:05"/>
    <n v="7"/>
    <s v="149.69.254.57"/>
    <s v="HF5661"/>
    <n v="657.07600000000002"/>
    <d v="2015-05-19T00:00:00"/>
  </r>
  <r>
    <x v="1894"/>
    <d v="1899-12-30T00:34:37"/>
    <x v="459"/>
    <x v="0"/>
    <s v="Buffalo"/>
    <x v="497"/>
    <n v="1825699"/>
    <x v="1"/>
    <s v="Fine Arts"/>
    <s v="9781472409645"/>
    <s v=",80,79,81,77,78,76,75,74,70,71,72,68,69,73,74,75,76,77,78,79,80,80,81,82,83,84,85,86,87,88,89,90,91,92,114,115,152,154,155,156,153,157,150,151,149,148,147,146,145,144,143,142,141,140,139,138,137,136,134,135,139,140,141,142,143,144"/>
    <n v="51"/>
    <m/>
    <m/>
    <s v="No"/>
    <x v="0"/>
    <d v="2015-12-14T15:32:41"/>
    <n v="7"/>
    <s v="128.205.114.91"/>
    <s v="ML80.B42 -- .B43 2014eb"/>
    <n v="780.92"/>
    <d v="2014-12-28T00:00:00"/>
  </r>
  <r>
    <x v="1895"/>
    <d v="1899-12-30T00:02:20"/>
    <x v="509"/>
    <x v="7"/>
    <s v="oneonta"/>
    <x v="549"/>
    <n v="1397485"/>
    <x v="2"/>
    <s v="History"/>
    <s v="9781317862642"/>
    <s v=",1,3,2,62,63,64,60,61,65,66,67"/>
    <n v="11"/>
    <m/>
    <m/>
    <s v="No"/>
    <x v="3"/>
    <m/>
    <m/>
    <s v="137.141.13.2"/>
    <s v="DG552 -- .C53 2013eb"/>
    <n v="945.08299999999997"/>
    <d v="2013-09-13T00:00:00"/>
  </r>
  <r>
    <x v="1896"/>
    <d v="1899-12-30T00:27:20"/>
    <x v="459"/>
    <x v="0"/>
    <s v="Buffalo"/>
    <x v="497"/>
    <n v="1825699"/>
    <x v="1"/>
    <s v="Fine Arts"/>
    <s v="9781472409645"/>
    <s v=",1,3,2,292,293,294,290,291,295,296,297"/>
    <n v="11"/>
    <m/>
    <m/>
    <s v="No"/>
    <x v="3"/>
    <m/>
    <m/>
    <s v="128.205.114.91"/>
    <s v="ML80.B42 -- .B43 2014eb"/>
    <n v="780.92"/>
    <d v="2014-12-28T00:00:00"/>
  </r>
  <r>
    <x v="1897"/>
    <d v="1899-12-30T00:08:36"/>
    <x v="396"/>
    <x v="0"/>
    <s v="Buffalo"/>
    <x v="28"/>
    <n v="817313"/>
    <x v="0"/>
    <s v="Education"/>
    <s v="9781118136829"/>
    <s v=",1,1,3,2,3,2,79,80,79,80,81,77,81,78,78,2,47,48,47,48,49,45,49,46,46,50,50,51,51,52,52,53,53,54,54,49,48,53,54,55,55,50,55,56,56,57,57"/>
    <n v="21"/>
    <m/>
    <m/>
    <s v="No"/>
    <x v="0"/>
    <d v="2015-12-10T14:35:57"/>
    <n v="7"/>
    <s v="128.205.114.91"/>
    <s v="LB2367.4 -- .W65 2012eb"/>
    <n v="378.16640000000001"/>
    <d v="2012-01-10T00:00:00"/>
  </r>
  <r>
    <x v="1898"/>
    <d v="1899-12-30T00:02:37"/>
    <x v="396"/>
    <x v="0"/>
    <s v="Buffalo"/>
    <x v="28"/>
    <n v="817313"/>
    <x v="0"/>
    <s v="Education"/>
    <s v="9781118136829"/>
    <s v=",1,2,3,5,9,13,17,21,23,24,27,31,35,39,43,47,49,50,51,48,42,44,40,41,49,45,46,50,51,52,53,54,45,46"/>
    <n v="29"/>
    <m/>
    <m/>
    <s v="No"/>
    <x v="0"/>
    <d v="2015-12-10T14:35:57"/>
    <n v="7"/>
    <s v="128.205.114.91"/>
    <s v="LB2367.4 -- .W65 2012eb"/>
    <n v="378.16640000000001"/>
    <d v="2012-01-10T00:00:00"/>
  </r>
  <r>
    <x v="1899"/>
    <d v="1899-12-30T01:37:55"/>
    <x v="510"/>
    <x v="0"/>
    <s v="Buffalo"/>
    <x v="550"/>
    <n v="1650800"/>
    <x v="3"/>
    <s v="Sport &amp; Recreation"/>
    <s v="9780520958258"/>
    <s v=",31,30,29,28,26,27,37,38,1,38,39,40,36,37,70,71,72,68,69,2,110,111,112,18,11,12,13,9,10,73,74,108,109,113,114,115,116,117,118,119,75,1"/>
    <n v="39"/>
    <m/>
    <m/>
    <s v="No"/>
    <x v="2"/>
    <d v="2015-12-14T12:42:27"/>
    <n v="1"/>
    <s v="128.205.114.91"/>
    <s v="GV944.B7 -- .K57 2014eb"/>
    <n v="796.33409810000001"/>
    <d v="2014-06-12T00:00:00"/>
  </r>
  <r>
    <x v="1900"/>
    <d v="1899-12-30T00:10:42"/>
    <x v="510"/>
    <x v="0"/>
    <s v="Buffalo"/>
    <x v="550"/>
    <n v="1650800"/>
    <x v="3"/>
    <s v="Sport &amp; Recreation"/>
    <s v="9780520958258"/>
    <s v=",1,2,3,4,5,6,7,8,9,10,11,18,19,20,16,17,29,30,31,28,27,32,33,34,35,36"/>
    <n v="26"/>
    <m/>
    <m/>
    <s v="No"/>
    <x v="3"/>
    <m/>
    <m/>
    <s v="128.205.114.91"/>
    <s v="GV944.B7 -- .K57 2014eb"/>
    <n v="796.33409810000001"/>
    <d v="2014-06-12T00:00:00"/>
  </r>
  <r>
    <x v="1901"/>
    <d v="1899-12-30T02:23:12"/>
    <x v="511"/>
    <x v="7"/>
    <s v="oneonta"/>
    <x v="551"/>
    <n v="1434051"/>
    <x v="2"/>
    <s v="History"/>
    <s v="9781134589494"/>
    <s v=",1,2,3,4,5,6,7,369,370,371,367,368,372,373,374,375,376,139,140,141,137,138"/>
    <n v="22"/>
    <m/>
    <m/>
    <s v="No"/>
    <x v="2"/>
    <d v="2015-12-14T02:47:22"/>
    <n v="1"/>
    <s v="137.141.13.2"/>
    <s v="DG279 -- .S68 2014eb"/>
    <n v="937.07092"/>
    <d v="2013-09-20T00:00:00"/>
  </r>
  <r>
    <x v="1902"/>
    <d v="1899-12-30T00:36:17"/>
    <x v="512"/>
    <x v="0"/>
    <s v="Buffalo"/>
    <x v="552"/>
    <n v="1294909"/>
    <x v="3"/>
    <s v="Economics; Business/Management"/>
    <s v="9780520956797"/>
    <s v=",1,2,3,26,27,28,25,24,37,38,39,35,36,40,41,42,43,44,45,46,47,48,49,50,51,53,52,54,55"/>
    <n v="29"/>
    <m/>
    <m/>
    <s v="No"/>
    <x v="0"/>
    <d v="2015-12-14T00:29:48"/>
    <n v="7"/>
    <s v="128.205.114.91"/>
    <s v="HC110.P6 -- I25 2013eb"/>
    <s v="339.4/60973"/>
    <d v="2013-08-01T00:00:00"/>
  </r>
  <r>
    <x v="1903"/>
    <d v="1899-12-30T00:00:46"/>
    <x v="513"/>
    <x v="1"/>
    <s v="brockport"/>
    <x v="28"/>
    <n v="1895348"/>
    <x v="0"/>
    <s v="Education"/>
    <s v="9781119068839"/>
    <s v=",1,2,3,4,5,3,4,5,6,7"/>
    <n v="7"/>
    <m/>
    <m/>
    <s v="No"/>
    <x v="1"/>
    <m/>
    <m/>
    <s v="137.21.7.121"/>
    <s v="LB2367.4"/>
    <n v="378.16640000000001"/>
    <d v="2015-05-27T00:00:00"/>
  </r>
  <r>
    <x v="1904"/>
    <d v="1899-12-30T00:10:49"/>
    <x v="514"/>
    <x v="13"/>
    <s v="buffalostate"/>
    <x v="553"/>
    <n v="1655861"/>
    <x v="12"/>
    <s v="History; Political Science"/>
    <s v="9781469615578"/>
    <s v=",164,165,166,162,163,167,168,161,169,170,207,208,209,205,206,210,211"/>
    <n v="17"/>
    <m/>
    <m/>
    <s v="No"/>
    <x v="2"/>
    <d v="2015-12-14T04:03:52"/>
    <n v="1"/>
    <s v="136.183.11.43"/>
    <s v="E185.615 -- .R522 2014eb"/>
    <s v="323.1196/07300904"/>
    <d v="2014-03-17T00:00:00"/>
  </r>
  <r>
    <x v="1905"/>
    <d v="1899-12-30T00:01:31"/>
    <x v="514"/>
    <x v="13"/>
    <s v="buffalostate"/>
    <x v="553"/>
    <n v="1655861"/>
    <x v="12"/>
    <s v="History; Political Science"/>
    <s v="9781469615578"/>
    <s v=",1,2,3"/>
    <n v="3"/>
    <m/>
    <m/>
    <s v="No"/>
    <x v="3"/>
    <m/>
    <m/>
    <s v="136.183.11.43"/>
    <s v="E185.615 -- .R522 2014eb"/>
    <s v="323.1196/07300904"/>
    <d v="2014-03-17T00:00:00"/>
  </r>
  <r>
    <x v="1906"/>
    <d v="1899-12-30T00:03:02"/>
    <x v="515"/>
    <x v="0"/>
    <s v="Buffalo"/>
    <x v="509"/>
    <n v="1115640"/>
    <x v="0"/>
    <s v="Engineering: Civil; Engineering: Construction; Engineering"/>
    <s v="9781118419090"/>
    <s v=",32,33,34,36,37,38,39,40,41,42,43,44,45,46,47,48,49,50,51,52,53,54,55"/>
    <n v="23"/>
    <m/>
    <m/>
    <s v="No"/>
    <x v="0"/>
    <d v="2015-12-14T03:58:30"/>
    <n v="7"/>
    <s v="128.205.114.91"/>
    <s v="TH375 -- .S77 2013eb"/>
    <n v="624"/>
    <d v="2013-01-22T00:00:00"/>
  </r>
  <r>
    <x v="1907"/>
    <d v="1899-12-30T00:00:21"/>
    <x v="507"/>
    <x v="0"/>
    <s v="Buffalo"/>
    <x v="547"/>
    <n v="1763138"/>
    <x v="11"/>
    <s v="Literature"/>
    <s v="9780226150789"/>
    <s v=",56,57,58,54,55,45,46,47,43,44,48"/>
    <n v="11"/>
    <m/>
    <m/>
    <s v="No"/>
    <x v="2"/>
    <d v="2015-12-14T03:53:08"/>
    <n v="1"/>
    <s v="128.205.114.91"/>
    <s v="PR2819"/>
    <s v="822.3/3"/>
    <d v="2014-09-10T00:00:00"/>
  </r>
  <r>
    <x v="1908"/>
    <d v="1899-12-30T00:11:14"/>
    <x v="515"/>
    <x v="0"/>
    <s v="Buffalo"/>
    <x v="509"/>
    <n v="1115640"/>
    <x v="0"/>
    <s v="Engineering: Civil; Engineering: Construction; Engineering"/>
    <s v="9781118419090"/>
    <s v=",1,2,3,4,108,106,107,104,105,103,94,69,35,10,11,12,8,9,7,6,13,14,15,16,17,18,19,20,21,22,23,24,25,26,27,28,29,30,31"/>
    <n v="39"/>
    <m/>
    <m/>
    <s v="No"/>
    <x v="1"/>
    <m/>
    <m/>
    <s v="128.205.114.91"/>
    <s v="TH375 -- .S77 2013eb"/>
    <n v="624"/>
    <d v="2013-01-22T00:00:00"/>
  </r>
  <r>
    <x v="1909"/>
    <d v="1899-12-30T00:08:25"/>
    <x v="507"/>
    <x v="0"/>
    <s v="Buffalo"/>
    <x v="547"/>
    <n v="1763138"/>
    <x v="11"/>
    <s v="Literature"/>
    <s v="9780226150789"/>
    <s v=",1,2,3"/>
    <n v="3"/>
    <m/>
    <m/>
    <s v="No"/>
    <x v="3"/>
    <m/>
    <m/>
    <s v="128.205.114.91"/>
    <s v="PR2819"/>
    <s v="822.3/3"/>
    <d v="2014-09-10T00:00:00"/>
  </r>
  <r>
    <x v="1910"/>
    <d v="1899-12-30T00:12:06"/>
    <x v="466"/>
    <x v="1"/>
    <s v="brockport"/>
    <x v="554"/>
    <n v="1517531"/>
    <x v="2"/>
    <s v="History"/>
    <s v="9780203559291"/>
    <s v=",585,586,583,584,582,587,588,589,590,591,592,593,594,595,596,597,598,599,600,601,602,603,604,605,606,607,608,609,610,611,612,613,614,615,616,617,618,619,620,621,664,665,666,662,667,669,670,671,672,668,676,677,678,680,682,683,684,685,681,686,687,679,675"/>
    <n v="63"/>
    <m/>
    <m/>
    <s v="No"/>
    <x v="2"/>
    <d v="2015-12-14T03:36:48"/>
    <n v="1"/>
    <s v="137.21.7.121"/>
    <s v="DG77 -- .D55 2005eb"/>
    <s v="937/.6"/>
    <d v="2013-10-01T00:00:00"/>
  </r>
  <r>
    <x v="1911"/>
    <d v="1899-12-30T00:00:04"/>
    <x v="516"/>
    <x v="0"/>
    <s v="Buffalo"/>
    <x v="509"/>
    <n v="1115640"/>
    <x v="0"/>
    <s v="Engineering: Civil; Engineering: Construction; Engineering"/>
    <s v="9781118419090"/>
    <s v=",1,2,3"/>
    <n v="3"/>
    <m/>
    <m/>
    <s v="No"/>
    <x v="1"/>
    <m/>
    <m/>
    <s v="128.205.114.91"/>
    <s v="TH375 -- .S77 2013eb"/>
    <n v="624"/>
    <d v="2013-01-22T00:00:00"/>
  </r>
  <r>
    <x v="1912"/>
    <d v="1899-12-30T00:18:52"/>
    <x v="466"/>
    <x v="1"/>
    <s v="brockport"/>
    <x v="554"/>
    <n v="1517531"/>
    <x v="2"/>
    <s v="History"/>
    <s v="9780203559291"/>
    <s v=",1,2,3,4,5,6,7,235,236,237,233,234,231,232,230,238,239,240,241,242,547,548,546,545,549,543,544,550,551,552,553,554,555,556,557,558"/>
    <n v="36"/>
    <m/>
    <m/>
    <s v="No"/>
    <x v="3"/>
    <m/>
    <m/>
    <s v="137.21.7.121"/>
    <s v="DG77 -- .D55 2005eb"/>
    <s v="937/.6"/>
    <d v="2013-10-01T00:00:00"/>
  </r>
  <r>
    <x v="1913"/>
    <d v="1899-12-30T00:32:33"/>
    <x v="452"/>
    <x v="0"/>
    <s v="Buffalo"/>
    <x v="477"/>
    <n v="1120279"/>
    <x v="0"/>
    <s v="Science: Biology/Natural History; Science"/>
    <s v="9781118537671"/>
    <s v=",1,2,3,137,138,139,135,136,140,141,142,143,144,145,146,147,148,149,150"/>
    <n v="19"/>
    <m/>
    <m/>
    <s v="No"/>
    <x v="0"/>
    <d v="2015-12-13T22:10:43"/>
    <n v="7"/>
    <s v="128.205.114.91"/>
    <s v="QH371 .K384 2012"/>
    <n v="599.93499999999995"/>
    <d v="2012-11-19T00:00:00"/>
  </r>
  <r>
    <x v="1914"/>
    <d v="1899-12-30T00:00:00"/>
    <x v="452"/>
    <x v="0"/>
    <s v="Buffalo"/>
    <x v="477"/>
    <n v="1120279"/>
    <x v="0"/>
    <s v="Science: Biology/Natural History; Science"/>
    <s v="9781118537671"/>
    <m/>
    <n v="0"/>
    <m/>
    <m/>
    <s v="Yes"/>
    <x v="0"/>
    <d v="2015-12-13T22:10:43"/>
    <n v="7"/>
    <s v="128.205.114.91"/>
    <s v="QH371 .K384 2012"/>
    <n v="599.93499999999995"/>
    <d v="2012-11-19T00:00:00"/>
  </r>
  <r>
    <x v="1915"/>
    <d v="1899-12-30T00:00:06"/>
    <x v="208"/>
    <x v="1"/>
    <s v="brockport"/>
    <x v="171"/>
    <n v="1487097"/>
    <x v="2"/>
    <s v="Social Science"/>
    <s v="9781135398842"/>
    <s v=",1,2,3"/>
    <n v="3"/>
    <m/>
    <m/>
    <s v="No"/>
    <x v="3"/>
    <m/>
    <m/>
    <s v="137.21.7.121"/>
    <s v="HQ77.9 -- .T72 2006eb"/>
    <n v="306.76799999999997"/>
    <d v="2013-10-18T00:00:00"/>
  </r>
  <r>
    <x v="1916"/>
    <d v="1899-12-30T00:12:36"/>
    <x v="517"/>
    <x v="1"/>
    <s v="brockport"/>
    <x v="1"/>
    <n v="1684620"/>
    <x v="0"/>
    <s v="Health; Social Science"/>
    <s v="9781118418925"/>
    <s v=",61,107,108,109,105,106,113,114,115,111,112,131,132,133,129,130,137,138,139,135,136,140,141,116,117,118,119,156,157,158,154,155,159,160,161"/>
    <n v="35"/>
    <m/>
    <m/>
    <s v="No"/>
    <x v="0"/>
    <d v="2015-12-14T03:02:15"/>
    <n v="7"/>
    <s v="137.21.7.121"/>
    <s v="RA971 -- .S56 2014eb"/>
    <n v="362.10680000000002"/>
    <d v="2014-04-30T00:00:00"/>
  </r>
  <r>
    <x v="1917"/>
    <d v="1899-12-30T00:14:00"/>
    <x v="517"/>
    <x v="1"/>
    <s v="brockport"/>
    <x v="1"/>
    <n v="1684620"/>
    <x v="0"/>
    <s v="Health; Social Science"/>
    <s v="9781118418925"/>
    <s v=",1,2,3,4,5,38,39,40,36,37,43,44,45,41,42,48,49,50,46,47,51,52,53,59,60,56,57,58,54,55"/>
    <n v="30"/>
    <m/>
    <m/>
    <s v="No"/>
    <x v="1"/>
    <m/>
    <m/>
    <s v="137.21.7.121"/>
    <s v="RA971 -- .S56 2014eb"/>
    <n v="362.10680000000002"/>
    <d v="2014-04-30T00:00:00"/>
  </r>
  <r>
    <x v="1918"/>
    <d v="1899-12-30T01:20:30"/>
    <x v="511"/>
    <x v="7"/>
    <s v="oneonta"/>
    <x v="551"/>
    <n v="1434051"/>
    <x v="2"/>
    <s v="History"/>
    <s v="9781134589494"/>
    <s v=",205,206,351,352,353,349,369,370,371,367,368,372,373,374,375,376,377,243,244,245,242,241,239,240,238,236,232,233,234,230,231,229,228,227,226,225,224,223,222,221,220,219,218,217,216,369,370,371,368,367"/>
    <n v="45"/>
    <m/>
    <m/>
    <s v="No"/>
    <x v="2"/>
    <d v="2015-12-14T02:47:22"/>
    <n v="1"/>
    <s v="137.141.13.2"/>
    <s v="DG279 -- .S68 2014eb"/>
    <n v="937.07092"/>
    <d v="2013-09-20T00:00:00"/>
  </r>
  <r>
    <x v="1919"/>
    <d v="1899-12-30T00:07:45"/>
    <x v="511"/>
    <x v="7"/>
    <s v="oneonta"/>
    <x v="551"/>
    <n v="1434051"/>
    <x v="2"/>
    <s v="History"/>
    <s v="9781134589494"/>
    <s v=",1,139,140,141,137,138,2,142,194,195,196,192,193,197,198,199,200,201,202,203,204"/>
    <n v="21"/>
    <m/>
    <m/>
    <s v="No"/>
    <x v="3"/>
    <m/>
    <m/>
    <s v="137.141.13.2"/>
    <s v="DG279 -- .S68 2014eb"/>
    <n v="937.07092"/>
    <d v="2013-09-20T00:00:00"/>
  </r>
  <r>
    <x v="1920"/>
    <d v="1899-12-30T00:00:02"/>
    <x v="466"/>
    <x v="1"/>
    <s v="brockport"/>
    <x v="506"/>
    <n v="4034179"/>
    <x v="0"/>
    <s v="Architecture"/>
    <s v="9781118325131"/>
    <s v=",1,2,3"/>
    <n v="3"/>
    <m/>
    <m/>
    <s v="No"/>
    <x v="3"/>
    <m/>
    <m/>
    <s v="137.21.7.121"/>
    <m/>
    <n v="720.37"/>
    <d v="2013-10-10T00:00:00"/>
  </r>
  <r>
    <x v="1921"/>
    <d v="1899-12-30T00:00:28"/>
    <x v="466"/>
    <x v="1"/>
    <s v="brockport"/>
    <x v="281"/>
    <n v="4039553"/>
    <x v="0"/>
    <s v="Fine Arts"/>
    <s v="9781118886045"/>
    <s v=",1,60,58,2,29,30,31,27,28"/>
    <n v="9"/>
    <m/>
    <m/>
    <s v="No"/>
    <x v="3"/>
    <m/>
    <m/>
    <s v="137.21.7.121"/>
    <s v="N5760 -- .C667 2015eb"/>
    <n v="709.37"/>
    <d v="2015-09-09T00:00:00"/>
  </r>
  <r>
    <x v="1922"/>
    <d v="1899-12-30T01:11:00"/>
    <x v="491"/>
    <x v="8"/>
    <s v="niagaracc"/>
    <x v="16"/>
    <n v="877717"/>
    <x v="6"/>
    <s v="Fine Arts"/>
    <s v="9781438139265"/>
    <s v=",13,14,16,18,19,20,22,26,42,57,74,116,117,118,114,115,120,121,119,113,112,111,110,109,108,107,106,105,104,103,102,101,100,99,97,98,96,95,94,93,92,91,90,89,88,87,86,85,84,83,82,81,80,79,78,77,76,75,74,73,71,72,70,69,68,67,66"/>
    <n v="66"/>
    <m/>
    <m/>
    <s v="No"/>
    <x v="0"/>
    <d v="2015-12-14T00:53:11"/>
    <n v="7"/>
    <s v="132.174.254.37"/>
    <s v="PN1998.3.M577 -- L46 2012eb"/>
    <s v="791.4302/33092; B"/>
    <d v="2012-01-01T00:00:00"/>
  </r>
  <r>
    <x v="1923"/>
    <d v="1899-12-30T00:01:42"/>
    <x v="396"/>
    <x v="0"/>
    <s v="Buffalo"/>
    <x v="28"/>
    <n v="817313"/>
    <x v="0"/>
    <s v="Education"/>
    <s v="9781118136829"/>
    <s v=",1,2,3,105,148,151,154,163,164,162,161,159,160,157,153,149,145,116,52,53,54,50,51,49,4"/>
    <n v="25"/>
    <m/>
    <m/>
    <s v="No"/>
    <x v="0"/>
    <d v="2015-12-10T14:35:57"/>
    <n v="7"/>
    <s v="128.205.114.91"/>
    <s v="LB2367.4 -- .W65 2012eb"/>
    <n v="378.16640000000001"/>
    <d v="2012-01-10T00:00:00"/>
  </r>
  <r>
    <x v="1924"/>
    <d v="1899-12-30T01:45:41"/>
    <x v="512"/>
    <x v="0"/>
    <s v="Buffalo"/>
    <x v="552"/>
    <n v="1294909"/>
    <x v="3"/>
    <s v="Economics; Business/Management"/>
    <s v="9780520956797"/>
    <s v=",19,20,21,22,23,24,25,26,27,28,29,30,31,32,33,34,35,36,37,38,39,23"/>
    <n v="21"/>
    <m/>
    <m/>
    <s v="No"/>
    <x v="0"/>
    <d v="2015-12-14T00:29:48"/>
    <n v="7"/>
    <s v="128.205.114.91"/>
    <s v="HC110.P6 -- I25 2013eb"/>
    <s v="339.4/60973"/>
    <d v="2013-08-01T00:00:00"/>
  </r>
  <r>
    <x v="1925"/>
    <d v="1899-12-30T00:11:37"/>
    <x v="512"/>
    <x v="0"/>
    <s v="Buffalo"/>
    <x v="552"/>
    <n v="1294909"/>
    <x v="3"/>
    <s v="Economics; Business/Management"/>
    <s v="9780520956797"/>
    <s v=",1,2,3,16,17,18,14,15"/>
    <n v="8"/>
    <m/>
    <m/>
    <s v="No"/>
    <x v="1"/>
    <m/>
    <m/>
    <s v="128.205.114.91"/>
    <s v="HC110.P6 -- I25 2013eb"/>
    <s v="339.4/60973"/>
    <d v="2013-08-01T00:00:00"/>
  </r>
  <r>
    <x v="1926"/>
    <d v="1899-12-30T00:02:21"/>
    <x v="518"/>
    <x v="0"/>
    <s v="Buffalo"/>
    <x v="509"/>
    <n v="1115640"/>
    <x v="0"/>
    <s v="Engineering: Civil; Engineering: Construction; Engineering"/>
    <s v="9781118419090"/>
    <s v=",1,2,3,4,6,7,8,5,17,18,19,15,16,20,21,22,23,24,28,29,30,26,27,25,31"/>
    <n v="25"/>
    <m/>
    <m/>
    <s v="No"/>
    <x v="1"/>
    <m/>
    <m/>
    <s v="128.205.114.91"/>
    <s v="TH375 -- .S77 2013eb"/>
    <n v="624"/>
    <d v="2013-01-22T00:00:00"/>
  </r>
  <r>
    <x v="1927"/>
    <d v="1899-12-30T00:00:10"/>
    <x v="519"/>
    <x v="8"/>
    <s v="niagaracc"/>
    <x v="16"/>
    <n v="877717"/>
    <x v="6"/>
    <s v="Fine Arts"/>
    <s v="9781438139265"/>
    <s v=",1,2,3,4,5"/>
    <n v="5"/>
    <m/>
    <m/>
    <s v="No"/>
    <x v="0"/>
    <d v="2015-12-13T21:01:49"/>
    <n v="7"/>
    <s v="132.174.254.37"/>
    <s v="PN1998.3.M577 -- L46 2012eb"/>
    <s v="791.4302/33092; B"/>
    <d v="2012-01-01T00:00:00"/>
  </r>
  <r>
    <x v="1928"/>
    <d v="1899-12-30T01:38:40"/>
    <x v="491"/>
    <x v="8"/>
    <s v="niagaracc"/>
    <x v="16"/>
    <n v="877717"/>
    <x v="6"/>
    <s v="Fine Arts"/>
    <s v="9781438139265"/>
    <s v=",1,2,3,4,6,5,7,8,9,10"/>
    <n v="10"/>
    <m/>
    <m/>
    <s v="No"/>
    <x v="1"/>
    <m/>
    <m/>
    <s v="132.174.254.37"/>
    <s v="PN1998.3.M577 -- L46 2012eb"/>
    <s v="791.4302/33092; B"/>
    <d v="2012-01-01T00:00:00"/>
  </r>
  <r>
    <x v="1929"/>
    <d v="1899-12-30T03:10:49"/>
    <x v="452"/>
    <x v="0"/>
    <s v="Buffalo"/>
    <x v="477"/>
    <n v="1120279"/>
    <x v="0"/>
    <s v="Science: Biology/Natural History; Science"/>
    <s v="9781118537671"/>
    <s v=",102,103,104,105,106,107,108,109,110,111,103,104,105,106,107,108,109,110,111,97,112,113,114,115,113,114,115,111,112,116,117,118,119,120,121,122,123,124,125,126,127,128,129,130,131"/>
    <n v="31"/>
    <m/>
    <m/>
    <s v="Yes"/>
    <x v="0"/>
    <d v="2015-12-13T22:10:43"/>
    <n v="7"/>
    <s v="128.205.114.91"/>
    <s v="QH371 .K384 2012"/>
    <n v="599.93499999999995"/>
    <d v="2012-11-19T00:00:00"/>
  </r>
  <r>
    <x v="1930"/>
    <d v="1899-12-30T00:00:00"/>
    <x v="452"/>
    <x v="0"/>
    <s v="Buffalo"/>
    <x v="477"/>
    <n v="1120279"/>
    <x v="0"/>
    <s v="Science: Biology/Natural History; Science"/>
    <s v="9781118537671"/>
    <m/>
    <n v="0"/>
    <m/>
    <m/>
    <s v="No"/>
    <x v="0"/>
    <d v="2015-12-13T22:10:43"/>
    <n v="7"/>
    <s v="128.205.114.91"/>
    <s v="QH371 .K384 2012"/>
    <n v="599.93499999999995"/>
    <d v="2012-11-19T00:00:00"/>
  </r>
  <r>
    <x v="1931"/>
    <d v="1899-12-30T00:03:54"/>
    <x v="452"/>
    <x v="0"/>
    <s v="Buffalo"/>
    <x v="477"/>
    <n v="1120279"/>
    <x v="0"/>
    <s v="Science: Biology/Natural History; Science"/>
    <s v="9781118537671"/>
    <s v=",1,2,3,4,5,7,10,11,12,13,9,11,14,6,5,1,4,8,12,13,14,15,11,99,100,101,97,98"/>
    <n v="20"/>
    <m/>
    <m/>
    <s v="No"/>
    <x v="1"/>
    <m/>
    <m/>
    <s v="128.205.114.91"/>
    <s v="QH371 .K384 2012"/>
    <n v="599.93499999999995"/>
    <d v="2012-11-19T00:00:00"/>
  </r>
  <r>
    <x v="1932"/>
    <d v="1899-12-30T00:00:45"/>
    <x v="519"/>
    <x v="8"/>
    <s v="niagaracc"/>
    <x v="16"/>
    <n v="877717"/>
    <x v="6"/>
    <s v="Fine Arts"/>
    <s v="9781438139265"/>
    <s v=",10,15"/>
    <n v="2"/>
    <m/>
    <m/>
    <s v="No"/>
    <x v="0"/>
    <d v="2015-12-13T21:01:49"/>
    <n v="7"/>
    <s v="132.174.254.37"/>
    <s v="PN1998.3.M577 -- L46 2012eb"/>
    <s v="791.4302/33092; B"/>
    <d v="2012-01-01T00:00:00"/>
  </r>
  <r>
    <x v="1933"/>
    <d v="1899-12-30T00:10:56"/>
    <x v="519"/>
    <x v="8"/>
    <s v="niagaracc"/>
    <x v="16"/>
    <n v="877717"/>
    <x v="6"/>
    <s v="Fine Arts"/>
    <s v="9781438139265"/>
    <s v=",1,2,3,4,5,6,7,8,2,9,10,11,12,13,14,15,10,15"/>
    <n v="15"/>
    <m/>
    <m/>
    <s v="No"/>
    <x v="1"/>
    <m/>
    <m/>
    <s v="132.174.254.37"/>
    <s v="PN1998.3.M577 -- L46 2012eb"/>
    <s v="791.4302/33092; B"/>
    <d v="2012-01-01T00:00:00"/>
  </r>
  <r>
    <x v="1934"/>
    <d v="1899-12-30T00:02:40"/>
    <x v="520"/>
    <x v="1"/>
    <s v="brockport"/>
    <x v="207"/>
    <n v="979950"/>
    <x v="14"/>
    <s v="Literature"/>
    <s v="9781476600321"/>
    <s v=",125,131,126,125"/>
    <n v="3"/>
    <m/>
    <m/>
    <s v="No"/>
    <x v="0"/>
    <d v="2015-12-13T20:34:34"/>
    <n v="7"/>
    <s v="137.21.7.121"/>
    <s v="PS3603.O4558 -- Z84 2012eb"/>
    <s v="813/.6"/>
    <d v="2012-07-10T00:00:00"/>
  </r>
  <r>
    <x v="1935"/>
    <d v="1899-12-30T00:00:19"/>
    <x v="521"/>
    <x v="13"/>
    <s v="buffalostate"/>
    <x v="555"/>
    <n v="822647"/>
    <x v="0"/>
    <s v="Language/Linguistics"/>
    <s v="9781444347173"/>
    <s v=",1,2,3,4,5,6,7,8,9,10,11,12,13,14"/>
    <n v="14"/>
    <m/>
    <m/>
    <s v="No"/>
    <x v="1"/>
    <m/>
    <m/>
    <s v="136.183.11.43"/>
    <s v="P118.2 -- .R473 2012eb"/>
    <s v="401/.93"/>
    <d v="2011-10-24T00:00:00"/>
  </r>
  <r>
    <x v="1936"/>
    <d v="1899-12-30T00:10:37"/>
    <x v="520"/>
    <x v="1"/>
    <s v="brockport"/>
    <x v="207"/>
    <n v="979950"/>
    <x v="14"/>
    <s v="Literature"/>
    <s v="9781476600321"/>
    <s v=",1,2,3,127,128,129,125,126,130,137,138,139,136,134,135,133,132,131,128,126,127,125,131,126,125"/>
    <n v="18"/>
    <m/>
    <m/>
    <s v="No"/>
    <x v="1"/>
    <m/>
    <m/>
    <s v="137.21.7.121"/>
    <s v="PS3603.O4558 -- Z84 2012eb"/>
    <s v="813/.6"/>
    <d v="2012-07-10T00:00:00"/>
  </r>
  <r>
    <x v="1937"/>
    <d v="1899-12-30T00:06:14"/>
    <x v="520"/>
    <x v="1"/>
    <s v="brockport"/>
    <x v="220"/>
    <n v="979949"/>
    <x v="14"/>
    <s v="Literature"/>
    <s v="9780786493234"/>
    <s v=",1,2,3,51,52,53,49,50,54,49,54,55,56,70,71,72,69,67,68"/>
    <n v="17"/>
    <m/>
    <m/>
    <s v="No"/>
    <x v="1"/>
    <m/>
    <m/>
    <s v="137.21.7.121"/>
    <s v="PS3603.O4558 -- Z6845 2012eb"/>
    <s v="813/.6"/>
    <d v="2012-07-12T00:00:00"/>
  </r>
  <r>
    <x v="1938"/>
    <d v="1899-12-30T00:04:51"/>
    <x v="514"/>
    <x v="13"/>
    <s v="buffalostate"/>
    <x v="553"/>
    <n v="1655861"/>
    <x v="12"/>
    <s v="History; Political Science"/>
    <s v="9781469615578"/>
    <s v=",1,2,3,7,207,208,209,205,206,210,211"/>
    <n v="11"/>
    <m/>
    <m/>
    <s v="No"/>
    <x v="3"/>
    <m/>
    <m/>
    <s v="136.183.11.43"/>
    <s v="E185.615 -- .R522 2014eb"/>
    <s v="323.1196/07300904"/>
    <d v="2014-03-17T00:00:00"/>
  </r>
  <r>
    <x v="1939"/>
    <d v="1899-12-30T00:58:07"/>
    <x v="522"/>
    <x v="1"/>
    <s v="brockport"/>
    <x v="556"/>
    <n v="2095087"/>
    <x v="1"/>
    <s v="Science; Science: Physics"/>
    <s v="9781472471017"/>
    <s v=",13,14,10,11,12,8,9,23,24,25,26,19"/>
    <n v="12"/>
    <m/>
    <m/>
    <s v="No"/>
    <x v="2"/>
    <d v="2015-12-13T19:27:41"/>
    <n v="1"/>
    <s v="137.21.7.121"/>
    <s v="QC903 .K5618 2015"/>
    <s v="363.738''7456"/>
    <d v="2015-09-28T00:00:00"/>
  </r>
  <r>
    <x v="1940"/>
    <d v="1899-12-30T00:02:15"/>
    <x v="523"/>
    <x v="6"/>
    <s v="sjfc"/>
    <x v="557"/>
    <n v="1460958"/>
    <x v="2"/>
    <s v="Social Science"/>
    <s v="9781136660153"/>
    <s v=",101,101,96"/>
    <n v="2"/>
    <m/>
    <m/>
    <s v="No"/>
    <x v="2"/>
    <d v="2015-12-13T19:21:55"/>
    <n v="1"/>
    <s v="149.69.254.57"/>
    <s v="HQ767 -- .A1858 1996eb"/>
    <s v="363.4/6"/>
    <d v="2013-10-08T00:00:00"/>
  </r>
  <r>
    <x v="1941"/>
    <d v="1899-12-30T00:04:47"/>
    <x v="279"/>
    <x v="0"/>
    <s v="Buffalo"/>
    <x v="8"/>
    <n v="1683360"/>
    <x v="4"/>
    <s v="General Works/Reference; Social Science"/>
    <s v="9781462516032"/>
    <s v=",1,2,3,25,26,27,23,24,2,62,63,64,60,61,65,58,59,56,57,221,222,223,219,220,224,225,226,227,228,229,230,233,234,235,231,232,236,237,238,239,240,268,269,270,266,267,271,272,273,274,275"/>
    <n v="50"/>
    <m/>
    <m/>
    <s v="No"/>
    <x v="1"/>
    <m/>
    <m/>
    <s v="128.205.114.91"/>
    <s v="H62 -- .S454 2014eb"/>
    <n v="1.42"/>
    <d v="2014-07-03T00:00:00"/>
  </r>
  <r>
    <x v="1942"/>
    <d v="1899-12-30T00:05:19"/>
    <x v="523"/>
    <x v="6"/>
    <s v="sjfc"/>
    <x v="557"/>
    <n v="1460958"/>
    <x v="2"/>
    <s v="Social Science"/>
    <s v="9781136660153"/>
    <s v=",1,2,3,1,2,3,2,2,90,91,90,91,92,92,88,89,89,93,93,94,94,95,95,96,96,97,97,98,98,99,100,100,99"/>
    <n v="16"/>
    <m/>
    <m/>
    <s v="No"/>
    <x v="3"/>
    <m/>
    <m/>
    <s v="149.69.254.57"/>
    <s v="HQ767 -- .A1858 1996eb"/>
    <s v="363.4/6"/>
    <d v="2013-10-08T00:00:00"/>
  </r>
  <r>
    <x v="1943"/>
    <d v="1899-12-30T00:13:22"/>
    <x v="522"/>
    <x v="1"/>
    <s v="brockport"/>
    <x v="556"/>
    <n v="2095087"/>
    <x v="1"/>
    <s v="Science; Science: Physics"/>
    <s v="9781472471017"/>
    <s v=",1,2,3,20,21,22,18,19,21,22,2,20,21,22,18,19"/>
    <n v="8"/>
    <m/>
    <m/>
    <s v="No"/>
    <x v="3"/>
    <m/>
    <m/>
    <s v="137.21.7.121"/>
    <s v="QC903 .K5618 2015"/>
    <s v="363.738''7456"/>
    <d v="2015-09-28T00:00:00"/>
  </r>
  <r>
    <x v="1944"/>
    <d v="1899-12-30T02:02:59"/>
    <x v="524"/>
    <x v="0"/>
    <s v="Buffalo"/>
    <x v="558"/>
    <n v="1841093"/>
    <x v="11"/>
    <s v="Literature"/>
    <s v="9780226183848"/>
    <s v=",8,328,329,330,326,327,331,332,333,334,10,11,12,8,9,13,14,14,9,8,13,14,15,15,16,16,17,17,12,17,12,17,18,18,13,18,19,19,19,14,19,20,20,21,21,22,22,23,23,24,24,25,25,26,26,27,27,28,28,29,29,244,245,244,246,245,246,242,243,243,247,247,248,248,286,287,286,288,287,288,284,285,285,289,289,290,290,291,291,292,292,293,293,287,278,278,279,279,280,280,276,281,281,277,282,282,283,283,283,284,283,1,285,284,285,281,282,282,1,2,2,286,286,287,287,204,205,204,205,202,203,203,206,206,154,154,155,155,156,156,152,153,153,157,157,158,158,159,159"/>
    <n v="71"/>
    <m/>
    <m/>
    <s v="No"/>
    <x v="2"/>
    <d v="2015-12-13T19:10:10"/>
    <n v="1"/>
    <s v="128.205.114.91"/>
    <s v="PR129"/>
    <n v="820.9"/>
    <d v="2014-12-22T00:00:00"/>
  </r>
  <r>
    <x v="1945"/>
    <d v="1899-12-30T00:05:36"/>
    <x v="524"/>
    <x v="0"/>
    <s v="Buffalo"/>
    <x v="558"/>
    <n v="1841093"/>
    <x v="11"/>
    <s v="Literature"/>
    <s v="9780226183848"/>
    <s v=",1,10,11,10,12,11,8,12,1,9,9,2,2,328,329,328,330,329,326,330,327,327,325,324,329,332,332,333,333,334,330,334,331,329,331,328,333,334,335,335,10,11,12,8,9,13,13,8,13"/>
    <n v="20"/>
    <m/>
    <m/>
    <s v="No"/>
    <x v="3"/>
    <m/>
    <m/>
    <s v="128.205.114.91"/>
    <s v="PR129"/>
    <n v="820.9"/>
    <d v="2014-12-22T00:00:00"/>
  </r>
  <r>
    <x v="1946"/>
    <d v="1899-12-30T00:00:57"/>
    <x v="510"/>
    <x v="0"/>
    <s v="Buffalo"/>
    <x v="550"/>
    <n v="1650800"/>
    <x v="3"/>
    <s v="Sport &amp; Recreation"/>
    <s v="9780520958258"/>
    <s v=",1,2,3,4,5,6,7,8,10,11,12,9,29,30,31,27,28,32,33,34,35"/>
    <n v="21"/>
    <m/>
    <m/>
    <s v="No"/>
    <x v="3"/>
    <m/>
    <m/>
    <s v="128.205.114.91"/>
    <s v="GV944.B7 -- .K57 2014eb"/>
    <n v="796.33409810000001"/>
    <d v="2014-06-12T00:00:00"/>
  </r>
  <r>
    <x v="1947"/>
    <d v="1899-12-30T00:04:33"/>
    <x v="519"/>
    <x v="8"/>
    <s v="niagaracc"/>
    <x v="16"/>
    <n v="877717"/>
    <x v="6"/>
    <s v="Fine Arts"/>
    <s v="9781438139265"/>
    <s v=",1,2,3,4,4,5,6"/>
    <n v="6"/>
    <m/>
    <m/>
    <s v="No"/>
    <x v="1"/>
    <m/>
    <m/>
    <s v="132.174.254.37"/>
    <s v="PN1998.3.M577 -- L46 2012eb"/>
    <s v="791.4302/33092; B"/>
    <d v="2012-01-01T00:00:00"/>
  </r>
  <r>
    <x v="1948"/>
    <d v="1899-12-30T00:31:05"/>
    <x v="525"/>
    <x v="0"/>
    <s v="Buffalo"/>
    <x v="477"/>
    <n v="1120279"/>
    <x v="0"/>
    <s v="Science: Biology/Natural History; Science"/>
    <s v="9781118537671"/>
    <s v=",1,2,3,138,139,140,136,137,141,142,143,144,145,146,147"/>
    <n v="15"/>
    <m/>
    <m/>
    <s v="No"/>
    <x v="0"/>
    <d v="2015-12-10T00:43:34"/>
    <n v="7"/>
    <s v="128.205.114.91"/>
    <s v="QH371 .K384 2012"/>
    <n v="599.93499999999995"/>
    <d v="2012-11-19T00:00:00"/>
  </r>
  <r>
    <x v="1949"/>
    <d v="1899-12-30T00:08:12"/>
    <x v="526"/>
    <x v="0"/>
    <s v="Buffalo"/>
    <x v="559"/>
    <n v="1217954"/>
    <x v="1"/>
    <s v="Engineering; Engineering: General"/>
    <s v="9781409457558"/>
    <s v=",1,2,3,198,199,200,196,197,201,202,572,573,574,570,571,569,575,576,72,73,74,70,71"/>
    <n v="23"/>
    <m/>
    <m/>
    <s v="No"/>
    <x v="1"/>
    <m/>
    <m/>
    <s v="128.205.114.91"/>
    <s v="T59.7 -- .S73 2013eb"/>
    <s v="620.8/2"/>
    <d v="2013-10-28T00:00:00"/>
  </r>
  <r>
    <x v="1950"/>
    <d v="1899-12-30T00:04:05"/>
    <x v="177"/>
    <x v="6"/>
    <s v="sjfc"/>
    <x v="560"/>
    <n v="1582002"/>
    <x v="2"/>
    <s v="Psychology"/>
    <s v="9781317710332"/>
    <s v=",1,2,3,4,5,6,8,7,9,10,11,12,13,14,15,16,17,18,19,20,21,22,23"/>
    <n v="23"/>
    <m/>
    <m/>
    <s v="No"/>
    <x v="3"/>
    <m/>
    <m/>
    <s v="149.69.254.57"/>
    <s v="BF697 -- .D85 1999eb"/>
    <n v="155.19999999999999"/>
    <d v="2013-12-16T00:00:00"/>
  </r>
  <r>
    <x v="1951"/>
    <d v="1899-12-30T00:01:20"/>
    <x v="527"/>
    <x v="0"/>
    <s v="Buffalo"/>
    <x v="561"/>
    <n v="1566124"/>
    <x v="11"/>
    <s v="Philosophy"/>
    <s v="9780226061238"/>
    <s v=",1,2,3,214,215,216,212,213,214"/>
    <n v="8"/>
    <m/>
    <m/>
    <s v="No"/>
    <x v="3"/>
    <m/>
    <m/>
    <s v="128.205.114.91"/>
    <s v="BD421"/>
    <s v="128/.1"/>
    <d v="2014-01-03T00:00:00"/>
  </r>
  <r>
    <x v="1952"/>
    <d v="1899-12-30T00:00:25"/>
    <x v="528"/>
    <x v="0"/>
    <s v="Buffalo"/>
    <x v="509"/>
    <n v="1115640"/>
    <x v="0"/>
    <s v="Engineering: Civil; Engineering: Construction; Engineering"/>
    <s v="9781118419090"/>
    <s v=",1,2,3,4,5,6,7,14,15,16,17,18,19,20,21,22,23,24,25,26,27"/>
    <n v="21"/>
    <m/>
    <m/>
    <s v="No"/>
    <x v="1"/>
    <m/>
    <m/>
    <s v="128.205.114.91"/>
    <s v="TH375 -- .S77 2013eb"/>
    <n v="624"/>
    <d v="2013-01-22T00:00:00"/>
  </r>
  <r>
    <x v="1953"/>
    <d v="1899-12-30T00:00:14"/>
    <x v="529"/>
    <x v="1"/>
    <s v="brockport"/>
    <x v="562"/>
    <n v="1574876"/>
    <x v="2"/>
    <s v="Social Science"/>
    <s v="9781317765080"/>
    <s v=",1,2,3"/>
    <n v="3"/>
    <m/>
    <m/>
    <s v="No"/>
    <x v="2"/>
    <d v="2015-12-12T14:15:55"/>
    <n v="1"/>
    <s v="137.21.7.121"/>
    <s v="HQ766.5.U5"/>
    <n v="363.46"/>
    <d v="2013-12-02T00:00:00"/>
  </r>
  <r>
    <x v="1954"/>
    <d v="1899-12-30T00:00:27"/>
    <x v="530"/>
    <x v="1"/>
    <s v="brockport"/>
    <x v="563"/>
    <n v="1397223"/>
    <x v="2"/>
    <s v="Education"/>
    <s v="9781135854706"/>
    <s v=",1,2,3,31,32,33,29,30,34,35"/>
    <n v="10"/>
    <m/>
    <m/>
    <s v="No"/>
    <x v="3"/>
    <m/>
    <m/>
    <s v="137.21.7.121"/>
    <s v="LB1576 -- .M249 2002eb"/>
    <n v="372.6"/>
    <d v="2013-09-13T00:00:00"/>
  </r>
  <r>
    <x v="1955"/>
    <d v="1899-12-30T00:01:39"/>
    <x v="525"/>
    <x v="0"/>
    <s v="Buffalo"/>
    <x v="477"/>
    <n v="1120279"/>
    <x v="0"/>
    <s v="Science: Biology/Natural History; Science"/>
    <s v="9781118537671"/>
    <s v=",1,2,3,154,155,156,153,152,157,158,159,160,161,162,163,150,151,149,147,148"/>
    <n v="20"/>
    <m/>
    <m/>
    <s v="No"/>
    <x v="0"/>
    <d v="2015-12-10T00:43:34"/>
    <n v="7"/>
    <s v="128.205.114.91"/>
    <s v="QH371 .K384 2012"/>
    <n v="599.93499999999995"/>
    <d v="2012-11-19T00:00:00"/>
  </r>
  <r>
    <x v="1956"/>
    <d v="1899-12-30T00:00:06"/>
    <x v="531"/>
    <x v="0"/>
    <s v="Buffalo"/>
    <x v="122"/>
    <n v="1715305"/>
    <x v="4"/>
    <s v="Medicine"/>
    <s v="9781462516742"/>
    <s v=",1,967,968,969,965,966"/>
    <n v="6"/>
    <m/>
    <m/>
    <s v="No"/>
    <x v="1"/>
    <m/>
    <m/>
    <s v="128.205.114.91"/>
    <s v="RJ499 -- .C455 2014eb"/>
    <n v="618.9289"/>
    <d v="2014-09-04T00:00:00"/>
  </r>
  <r>
    <x v="1957"/>
    <d v="1899-12-30T00:00:07"/>
    <x v="532"/>
    <x v="13"/>
    <s v="buffalostate"/>
    <x v="564"/>
    <n v="1367839"/>
    <x v="11"/>
    <s v="Religion"/>
    <s v="9780226410357"/>
    <s v=",1,2,3"/>
    <n v="3"/>
    <m/>
    <m/>
    <s v="No"/>
    <x v="3"/>
    <m/>
    <m/>
    <s v="136.183.11.43"/>
    <s v="BT707"/>
    <s v="234/.165"/>
    <d v="2013-09-03T00:00:00"/>
  </r>
  <r>
    <x v="1958"/>
    <d v="1899-12-30T00:16:16"/>
    <x v="529"/>
    <x v="1"/>
    <s v="brockport"/>
    <x v="562"/>
    <n v="1574876"/>
    <x v="2"/>
    <s v="Social Science"/>
    <s v="9781317765080"/>
    <s v=",1,2,3,4,5,6,7,8,9,10,48,49,50,46,47,51,45,41,36,14,45,194,195,196,192,193,49,50,46,47,51,52,53,54"/>
    <n v="28"/>
    <m/>
    <m/>
    <s v="No"/>
    <x v="2"/>
    <d v="2015-12-12T14:15:55"/>
    <n v="1"/>
    <s v="137.21.7.121"/>
    <s v="HQ766.5.U5"/>
    <n v="363.46"/>
    <d v="2013-12-02T00:00:00"/>
  </r>
  <r>
    <x v="1959"/>
    <d v="1899-12-30T00:08:07"/>
    <x v="533"/>
    <x v="13"/>
    <s v="buffalostate"/>
    <x v="165"/>
    <n v="1662668"/>
    <x v="0"/>
    <s v="Computer Science/IT"/>
    <s v="9781118810095"/>
    <s v=",4,5,6,7,8,9,10,11,12,13,14,15,16,17,18,20,21,23,22,25,24,26,27,28,29,30,31,32,33,101,102,99,103,100,104,105,106"/>
    <n v="37"/>
    <m/>
    <m/>
    <s v="No"/>
    <x v="0"/>
    <d v="2015-12-12T20:24:49"/>
    <n v="7"/>
    <s v="136.183.11.43"/>
    <s v="QA76.9 .D343"/>
    <s v="006.3; 006.312"/>
    <d v="2014-03-24T00:00:00"/>
  </r>
  <r>
    <x v="1960"/>
    <d v="1899-12-30T00:00:00"/>
    <x v="534"/>
    <x v="5"/>
    <s v="erie"/>
    <x v="244"/>
    <n v="848510"/>
    <x v="0"/>
    <s v="Medicine"/>
    <s v="9781118220481"/>
    <m/>
    <n v="0"/>
    <m/>
    <s v=",171,171,171,172,173,174,175,176,177,178,178,179,179,181,182,186,188"/>
    <s v="No"/>
    <x v="0"/>
    <d v="2015-12-12T18:53:36"/>
    <n v="7"/>
    <s v="199.29.6.54"/>
    <s v="RC489.C63 -- C64 2012eb"/>
    <s v="616.89/1425"/>
    <d v="2012-06-06T00:00:00"/>
  </r>
  <r>
    <x v="1961"/>
    <d v="1899-12-30T00:06:27"/>
    <x v="534"/>
    <x v="5"/>
    <s v="erie"/>
    <x v="244"/>
    <n v="848510"/>
    <x v="0"/>
    <s v="Medicine"/>
    <s v="9781118220481"/>
    <s v=",1,2,3,135,136,137,133,134,138,140,141,142,139,171,172,173,169,170,174,175,176,177,178,179,180,181,182"/>
    <n v="27"/>
    <m/>
    <m/>
    <s v="No"/>
    <x v="1"/>
    <m/>
    <m/>
    <s v="199.29.6.54"/>
    <s v="RC489.C63 -- C64 2012eb"/>
    <s v="616.89/1425"/>
    <d v="2012-06-06T00:00:00"/>
  </r>
  <r>
    <x v="1962"/>
    <d v="1899-12-30T01:41:54"/>
    <x v="533"/>
    <x v="13"/>
    <s v="buffalostate"/>
    <x v="165"/>
    <n v="1662668"/>
    <x v="0"/>
    <s v="Computer Science/IT"/>
    <s v="9781118810095"/>
    <s v=",1,2,3"/>
    <n v="3"/>
    <m/>
    <m/>
    <s v="No"/>
    <x v="1"/>
    <m/>
    <m/>
    <s v="136.183.11.43"/>
    <s v="QA76.9 .D343"/>
    <s v="006.3; 006.312"/>
    <d v="2014-03-24T00:00:00"/>
  </r>
  <r>
    <x v="1963"/>
    <d v="1899-12-30T00:00:03"/>
    <x v="500"/>
    <x v="1"/>
    <s v="brockport"/>
    <x v="220"/>
    <n v="979949"/>
    <x v="14"/>
    <s v="Literature"/>
    <s v="9780786493234"/>
    <s v=",1,2,3"/>
    <n v="3"/>
    <m/>
    <m/>
    <s v="No"/>
    <x v="1"/>
    <m/>
    <m/>
    <s v="137.21.7.121"/>
    <s v="PS3603.O4558 -- Z6845 2012eb"/>
    <s v="813/.6"/>
    <d v="2012-07-12T00:00:00"/>
  </r>
  <r>
    <x v="1964"/>
    <d v="1899-12-30T00:00:03"/>
    <x v="500"/>
    <x v="1"/>
    <s v="brockport"/>
    <x v="207"/>
    <n v="979950"/>
    <x v="14"/>
    <s v="Literature"/>
    <s v="9781476600321"/>
    <s v=",1,2,3"/>
    <n v="3"/>
    <m/>
    <m/>
    <s v="No"/>
    <x v="1"/>
    <m/>
    <m/>
    <s v="137.21.7.121"/>
    <s v="PS3603.O4558 -- Z84 2012eb"/>
    <s v="813/.6"/>
    <d v="2012-07-10T00:00:00"/>
  </r>
  <r>
    <x v="1965"/>
    <d v="1899-12-30T00:07:05"/>
    <x v="500"/>
    <x v="1"/>
    <s v="brockport"/>
    <x v="207"/>
    <n v="979950"/>
    <x v="14"/>
    <s v="Literature"/>
    <s v="9781476600321"/>
    <s v=",1,2,3,1,8,9,11,14"/>
    <n v="7"/>
    <m/>
    <m/>
    <s v="No"/>
    <x v="1"/>
    <m/>
    <m/>
    <s v="137.21.7.121"/>
    <s v="PS3603.O4558 -- Z84 2012eb"/>
    <s v="813/.6"/>
    <d v="2012-07-10T00:00:00"/>
  </r>
  <r>
    <x v="1966"/>
    <d v="1899-12-30T00:00:00"/>
    <x v="26"/>
    <x v="6"/>
    <s v="sjfc"/>
    <x v="349"/>
    <n v="2122524"/>
    <x v="0"/>
    <s v="Business/Management"/>
    <s v="9781119103561"/>
    <m/>
    <n v="0"/>
    <m/>
    <m/>
    <s v="Yes"/>
    <x v="0"/>
    <d v="2015-12-12T14:59:40"/>
    <n v="7"/>
    <s v="149.69.254.57"/>
    <s v="HD57.7 .C384 2015"/>
    <n v="658.4"/>
    <d v="2015-07-14T00:00:00"/>
  </r>
  <r>
    <x v="1967"/>
    <d v="1899-12-30T00:00:00"/>
    <x v="26"/>
    <x v="6"/>
    <s v="sjfc"/>
    <x v="349"/>
    <n v="2122524"/>
    <x v="0"/>
    <s v="Business/Management"/>
    <s v="9781119103561"/>
    <m/>
    <n v="0"/>
    <m/>
    <m/>
    <s v="Yes"/>
    <x v="0"/>
    <d v="2015-12-12T14:59:40"/>
    <n v="7"/>
    <s v="149.69.254.57"/>
    <s v="HD57.7 .C384 2015"/>
    <n v="658.4"/>
    <d v="2015-07-14T00:00:00"/>
  </r>
  <r>
    <x v="1967"/>
    <d v="1899-12-30T00:00:00"/>
    <x v="26"/>
    <x v="6"/>
    <s v="sjfc"/>
    <x v="349"/>
    <n v="2122524"/>
    <x v="0"/>
    <s v="Business/Management"/>
    <s v="9781119103561"/>
    <m/>
    <n v="0"/>
    <m/>
    <m/>
    <s v="No"/>
    <x v="0"/>
    <d v="2015-12-12T14:59:40"/>
    <n v="7"/>
    <s v="149.69.254.57"/>
    <s v="HD57.7 .C384 2015"/>
    <n v="658.4"/>
    <d v="2015-07-14T00:00:00"/>
  </r>
  <r>
    <x v="1968"/>
    <d v="1899-12-30T00:00:43"/>
    <x v="26"/>
    <x v="6"/>
    <s v="sjfc"/>
    <x v="349"/>
    <n v="2122524"/>
    <x v="0"/>
    <s v="Business/Management"/>
    <s v="9781119103561"/>
    <s v=",1,2,3"/>
    <n v="3"/>
    <m/>
    <m/>
    <s v="No"/>
    <x v="3"/>
    <m/>
    <m/>
    <s v="149.69.254.57"/>
    <s v="HD57.7 .C384 2015"/>
    <n v="658.4"/>
    <d v="2015-07-14T00:00:00"/>
  </r>
  <r>
    <x v="1969"/>
    <d v="1899-12-30T00:13:33"/>
    <x v="529"/>
    <x v="1"/>
    <s v="brockport"/>
    <x v="562"/>
    <n v="1574876"/>
    <x v="2"/>
    <s v="Social Science"/>
    <s v="9781317765080"/>
    <s v=",16,17,18,19,20,21,22,23,24,25,26,27,28,29,30,31,32,33,34,35,36,37,38,39,40,41,42,43,44,45,46,47,48,49,50,51,52,53,54,55,56,57,58,59,60,61,62,47,36,31,26,25,27,23,24,16,4,12,13,14,15,17,18,19,20"/>
    <n v="52"/>
    <m/>
    <m/>
    <s v="No"/>
    <x v="2"/>
    <d v="2015-12-12T14:15:55"/>
    <n v="1"/>
    <s v="137.21.7.121"/>
    <s v="HQ766.5.U5"/>
    <n v="363.46"/>
    <d v="2013-12-02T00:00:00"/>
  </r>
  <r>
    <x v="1970"/>
    <d v="1899-12-30T00:05:06"/>
    <x v="529"/>
    <x v="1"/>
    <s v="brockport"/>
    <x v="562"/>
    <n v="1574876"/>
    <x v="2"/>
    <s v="Social Science"/>
    <s v="9781317765080"/>
    <s v=",1,2,3,4,5,6,7,8,9,10,11,12,13,14,15"/>
    <n v="15"/>
    <m/>
    <m/>
    <s v="No"/>
    <x v="3"/>
    <m/>
    <m/>
    <s v="137.21.7.121"/>
    <s v="HQ766.5.U5"/>
    <n v="363.46"/>
    <d v="2013-12-02T00:00:00"/>
  </r>
  <r>
    <x v="1971"/>
    <d v="1899-12-30T00:08:22"/>
    <x v="535"/>
    <x v="0"/>
    <s v="Buffalo"/>
    <x v="559"/>
    <n v="1217954"/>
    <x v="1"/>
    <s v="Engineering; Engineering: General"/>
    <s v="9781409457558"/>
    <s v=",1,2,3,471,472,473,469,470,468,474,475"/>
    <n v="11"/>
    <m/>
    <m/>
    <s v="No"/>
    <x v="0"/>
    <d v="2015-12-12T09:02:34"/>
    <n v="7"/>
    <s v="128.205.114.91"/>
    <s v="T59.7 -- .S73 2013eb"/>
    <s v="620.8/2"/>
    <d v="2013-10-28T00:00:00"/>
  </r>
  <r>
    <x v="1972"/>
    <d v="1899-12-30T00:11:58"/>
    <x v="535"/>
    <x v="0"/>
    <s v="Buffalo"/>
    <x v="559"/>
    <n v="1217954"/>
    <x v="1"/>
    <s v="Engineering; Engineering: General"/>
    <s v="9781409457558"/>
    <s v=",1,2,3,580,581,471,472,473,469,470,474,475,476,477,478"/>
    <n v="15"/>
    <m/>
    <m/>
    <s v="No"/>
    <x v="1"/>
    <m/>
    <m/>
    <s v="128.205.114.91"/>
    <s v="T59.7 -- .S73 2013eb"/>
    <s v="620.8/2"/>
    <d v="2013-10-28T00:00:00"/>
  </r>
  <r>
    <x v="1973"/>
    <d v="1899-12-30T00:00:00"/>
    <x v="536"/>
    <x v="1"/>
    <s v="brockport"/>
    <x v="540"/>
    <n v="1355985"/>
    <x v="2"/>
    <s v="Medicine"/>
    <s v="9781135057985"/>
    <m/>
    <n v="0"/>
    <s v=",214"/>
    <m/>
    <s v="Yes"/>
    <x v="2"/>
    <d v="2015-12-12T03:06:53"/>
    <n v="7"/>
    <s v="137.21.7.121"/>
    <s v="RC489.R37"/>
    <n v="616.89139999999998"/>
    <d v="2013-08-21T00:00:00"/>
  </r>
  <r>
    <x v="1973"/>
    <d v="1899-12-30T00:00:00"/>
    <x v="536"/>
    <x v="1"/>
    <s v="brockport"/>
    <x v="540"/>
    <n v="1355985"/>
    <x v="2"/>
    <s v="Medicine"/>
    <s v="9781135057985"/>
    <m/>
    <n v="0"/>
    <m/>
    <m/>
    <s v="No"/>
    <x v="2"/>
    <d v="2015-12-12T03:06:53"/>
    <n v="7"/>
    <s v="137.21.7.121"/>
    <s v="RC489.R37"/>
    <n v="616.89139999999998"/>
    <d v="2013-08-21T00:00:00"/>
  </r>
  <r>
    <x v="1974"/>
    <d v="1899-12-30T00:02:04"/>
    <x v="536"/>
    <x v="1"/>
    <s v="brockport"/>
    <x v="540"/>
    <n v="1355985"/>
    <x v="2"/>
    <s v="Medicine"/>
    <s v="9781135057985"/>
    <s v=",1,2,3,4,5,6,7,8,9,10,11,12,13,14,15,16,17,18,19,20,21,22,94,217,218,214,215,213"/>
    <n v="28"/>
    <m/>
    <m/>
    <s v="No"/>
    <x v="3"/>
    <m/>
    <m/>
    <s v="137.21.7.121"/>
    <s v="RC489.R37"/>
    <n v="616.89139999999998"/>
    <d v="2013-08-21T00:00:00"/>
  </r>
  <r>
    <x v="1975"/>
    <d v="1899-12-30T00:19:37"/>
    <x v="537"/>
    <x v="11"/>
    <s v="cobleskill"/>
    <x v="565"/>
    <n v="877786"/>
    <x v="0"/>
    <s v="Medicine"/>
    <s v="9781118318393"/>
    <s v=",185,186,187,183,184,188,189,190,191,192,446,447,1,447,448,449,445,446,450,2,451,453,454"/>
    <n v="21"/>
    <m/>
    <m/>
    <s v="No"/>
    <x v="0"/>
    <d v="2015-12-11T21:28:43"/>
    <n v="7"/>
    <s v="137.36.32.34"/>
    <s v="RC628 -- .T49 2012eb"/>
    <s v="616.3/98"/>
    <d v="2012-03-20T00:00:00"/>
  </r>
  <r>
    <x v="1976"/>
    <d v="1899-12-30T00:08:16"/>
    <x v="64"/>
    <x v="6"/>
    <s v="sjfc"/>
    <x v="75"/>
    <n v="1986951"/>
    <x v="0"/>
    <s v="Business/Management"/>
    <s v="9781119130468"/>
    <s v=",117,118,119,120,121,122,123,124,125,126,127,128,129,130,124,120,117,113,110,87,88,84,85,89,91,86,92,93,94,1,2,3,173,174,175,171,172,170"/>
    <n v="35"/>
    <m/>
    <m/>
    <s v="Yes"/>
    <x v="0"/>
    <d v="2015-12-11T20:51:05"/>
    <n v="7"/>
    <s v="149.69.254.57"/>
    <s v="HF5661"/>
    <n v="657.07600000000002"/>
    <d v="2015-05-19T00:00:00"/>
  </r>
  <r>
    <x v="1977"/>
    <d v="1899-12-30T00:01:07"/>
    <x v="64"/>
    <x v="6"/>
    <s v="sjfc"/>
    <x v="75"/>
    <n v="1986951"/>
    <x v="0"/>
    <s v="Business/Management"/>
    <s v="9781119130468"/>
    <s v=",1,2,3,111,112,113,109,110,114,115,116"/>
    <n v="11"/>
    <m/>
    <m/>
    <s v="No"/>
    <x v="0"/>
    <d v="2015-12-11T20:51:05"/>
    <n v="7"/>
    <s v="149.69.254.57"/>
    <s v="HF5661"/>
    <n v="657.07600000000002"/>
    <d v="2015-05-19T00:00:00"/>
  </r>
  <r>
    <x v="1978"/>
    <d v="1899-12-30T00:00:04"/>
    <x v="64"/>
    <x v="6"/>
    <s v="sjfc"/>
    <x v="75"/>
    <n v="1986951"/>
    <x v="0"/>
    <s v="Business/Management"/>
    <s v="9781119130468"/>
    <m/>
    <n v="0"/>
    <m/>
    <m/>
    <s v="No"/>
    <x v="1"/>
    <m/>
    <m/>
    <s v="149.69.254.57"/>
    <s v="HF5661"/>
    <n v="657.07600000000002"/>
    <d v="2015-05-19T00:00:00"/>
  </r>
  <r>
    <x v="1979"/>
    <d v="1899-12-30T00:00:06"/>
    <x v="64"/>
    <x v="6"/>
    <s v="sjfc"/>
    <x v="120"/>
    <n v="947579"/>
    <x v="0"/>
    <s v="Business/Management"/>
    <s v="9781118419632"/>
    <s v=",1,2,3"/>
    <n v="3"/>
    <m/>
    <m/>
    <s v="No"/>
    <x v="1"/>
    <m/>
    <m/>
    <s v="149.69.254.57"/>
    <s v="HF5667 .C67 2012"/>
    <n v="657.45"/>
    <d v="2012-11-28T00:00:00"/>
  </r>
  <r>
    <x v="1980"/>
    <d v="1899-12-30T00:00:15"/>
    <x v="434"/>
    <x v="0"/>
    <s v="Buffalo"/>
    <x v="566"/>
    <n v="1542844"/>
    <x v="2"/>
    <s v="History; Business/Management"/>
    <s v="9781134222629"/>
    <s v=",1,2,3,4,5,6"/>
    <n v="6"/>
    <m/>
    <m/>
    <s v="No"/>
    <x v="3"/>
    <m/>
    <m/>
    <s v="128.205.114.91"/>
    <s v="HD649.B8 -- A88 2003eb"/>
    <n v="944"/>
    <d v="2013-11-05T00:00:00"/>
  </r>
  <r>
    <x v="1981"/>
    <d v="1899-12-30T00:30:51"/>
    <x v="241"/>
    <x v="0"/>
    <s v="Buffalo"/>
    <x v="127"/>
    <n v="1166311"/>
    <x v="0"/>
    <s v="Military Science"/>
    <s v="9781118525616"/>
    <s v=",127,128,129,130,131"/>
    <n v="5"/>
    <m/>
    <m/>
    <s v="No"/>
    <x v="0"/>
    <d v="2015-12-11T20:35:41"/>
    <n v="7"/>
    <s v="128.205.114.91"/>
    <s v="U408.5 .P384 2013"/>
    <n v="355.00700000000001"/>
    <d v="2013-04-02T00:00:00"/>
  </r>
  <r>
    <x v="1982"/>
    <d v="1899-12-30T01:02:03"/>
    <x v="537"/>
    <x v="11"/>
    <s v="cobleskill"/>
    <x v="565"/>
    <n v="877786"/>
    <x v="0"/>
    <s v="Medicine"/>
    <s v="9781118318393"/>
    <s v=",1,2,3,4,5,6,7,66,67,68,64,65,70,71,72,69,63,56,44,39,40,41,37,185,186,184,187,183,182,180,181,179,178,275,276,277,274,273"/>
    <n v="38"/>
    <m/>
    <m/>
    <s v="No"/>
    <x v="1"/>
    <m/>
    <m/>
    <s v="137.36.32.34"/>
    <s v="RC628 -- .T49 2012eb"/>
    <s v="616.3/98"/>
    <d v="2012-03-20T00:00:00"/>
  </r>
  <r>
    <x v="1983"/>
    <d v="1899-12-30T00:00:55"/>
    <x v="538"/>
    <x v="12"/>
    <s v="potsdam"/>
    <x v="567"/>
    <n v="3038545"/>
    <x v="11"/>
    <s v="Science; Science: Biology/Natural History"/>
    <s v="9780226062211"/>
    <s v=",1,2,3,4,5,6,7,8,9,10,11,12,13,14,15,16,17,137,138,139,260,261,262,258"/>
    <n v="24"/>
    <m/>
    <m/>
    <s v="No"/>
    <x v="3"/>
    <m/>
    <m/>
    <s v="137.143.104.94"/>
    <s v="QH105.M4 -- P75 2014eb"/>
    <n v="577.2709744"/>
    <d v="2014-04-01T00:00:00"/>
  </r>
  <r>
    <x v="1984"/>
    <d v="1899-12-30T00:36:25"/>
    <x v="241"/>
    <x v="0"/>
    <s v="Buffalo"/>
    <x v="127"/>
    <n v="1166311"/>
    <x v="0"/>
    <s v="Military Science"/>
    <s v="9781118525616"/>
    <s v=",124,125,126"/>
    <n v="3"/>
    <m/>
    <m/>
    <s v="Yes"/>
    <x v="0"/>
    <d v="2015-12-04T20:31:14"/>
    <n v="7"/>
    <s v="128.205.114.91"/>
    <s v="U408.5 .P384 2013"/>
    <n v="355.00700000000001"/>
    <d v="2013-04-02T00:00:00"/>
  </r>
  <r>
    <x v="1985"/>
    <d v="1899-12-30T00:00:38"/>
    <x v="539"/>
    <x v="9"/>
    <s v="trocaire"/>
    <x v="568"/>
    <n v="1819342"/>
    <x v="0"/>
    <s v="Computer Science/IT; General Works/Reference"/>
    <s v="9781118940334"/>
    <s v=",1,2,3,4,4,5,6,7,8,1,5,6,7"/>
    <n v="8"/>
    <m/>
    <m/>
    <s v="No"/>
    <x v="1"/>
    <m/>
    <m/>
    <s v="173.225.62.67"/>
    <s v="QA76.6 -- .M338 2015eb"/>
    <n v="1.6419999999999999"/>
    <d v="2014-10-16T00:00:00"/>
  </r>
  <r>
    <x v="1986"/>
    <d v="1899-12-30T00:27:19"/>
    <x v="241"/>
    <x v="0"/>
    <s v="Buffalo"/>
    <x v="127"/>
    <n v="1166311"/>
    <x v="0"/>
    <s v="Military Science"/>
    <s v="9781118525616"/>
    <s v=",1,2,3,4,5,6,141,142,143,139,140,187,184,184,1,185,186,182,183,181,2,179,178,176,175,22,23,24,20,21,31,33,29,30,41,43,39,40,49,50,51,47,48,52,53,119,120,121,117,118,122,123"/>
    <n v="49"/>
    <m/>
    <m/>
    <s v="No"/>
    <x v="0"/>
    <d v="2015-12-04T20:31:14"/>
    <n v="7"/>
    <s v="128.205.114.91"/>
    <s v="U408.5 .P384 2013"/>
    <n v="355.00700000000001"/>
    <d v="2013-04-02T00:00:00"/>
  </r>
  <r>
    <x v="1987"/>
    <d v="1899-12-30T00:00:19"/>
    <x v="540"/>
    <x v="1"/>
    <s v="brockport"/>
    <x v="569"/>
    <n v="1163220"/>
    <x v="0"/>
    <s v="Medicine"/>
    <s v="9781118306680"/>
    <s v=",1,2,3,12,13,19,20,21,22,23,24,25,26"/>
    <n v="13"/>
    <m/>
    <m/>
    <s v="No"/>
    <x v="3"/>
    <m/>
    <m/>
    <s v="137.21.7.121"/>
    <s v="R733"/>
    <n v="615.53800000000001"/>
    <d v="2013-03-29T00:00:00"/>
  </r>
  <r>
    <x v="1988"/>
    <d v="1899-12-30T00:00:56"/>
    <x v="64"/>
    <x v="6"/>
    <s v="sjfc"/>
    <x v="75"/>
    <n v="1986951"/>
    <x v="0"/>
    <s v="Business/Management"/>
    <s v="9781119130468"/>
    <s v=",1,2,3,2,3,1,2,2,111,112,111,113,112,109,113,110,110,114,114,115,115,116,116,117,117"/>
    <n v="12"/>
    <m/>
    <m/>
    <s v="No"/>
    <x v="0"/>
    <d v="2015-12-04T19:47:43"/>
    <n v="7"/>
    <s v="149.69.254.57"/>
    <s v="HF5661"/>
    <n v="657.07600000000002"/>
    <d v="2015-05-19T00:00:00"/>
  </r>
  <r>
    <x v="1989"/>
    <d v="1899-12-30T00:02:44"/>
    <x v="64"/>
    <x v="6"/>
    <s v="sjfc"/>
    <x v="75"/>
    <n v="1986951"/>
    <x v="0"/>
    <s v="Business/Management"/>
    <s v="9781119130468"/>
    <s v=",1,3,2,1,3,2,2,2,111,111,112,110,109,112,113,110,113,114,114,115,115,116,117,116,117,41,41,42,42,43,43,44,40,44,45,45,46,47,46,47,48,48,49,49,50,51,50,51,49,50,49,50,47,51,48,51,48"/>
    <n v="24"/>
    <m/>
    <m/>
    <s v="No"/>
    <x v="0"/>
    <d v="2015-12-04T19:47:43"/>
    <n v="7"/>
    <s v="149.69.254.57"/>
    <s v="HF5661"/>
    <n v="657.07600000000002"/>
    <d v="2015-05-19T00:00:00"/>
  </r>
  <r>
    <x v="1990"/>
    <d v="1899-12-30T00:11:09"/>
    <x v="64"/>
    <x v="6"/>
    <s v="sjfc"/>
    <x v="75"/>
    <n v="1986951"/>
    <x v="0"/>
    <s v="Business/Management"/>
    <s v="9781119130468"/>
    <s v=",1,2,3,111,112,113,109,110,114,115,116,117,118,119,120,121"/>
    <n v="16"/>
    <m/>
    <m/>
    <s v="No"/>
    <x v="0"/>
    <d v="2015-12-04T19:47:43"/>
    <n v="7"/>
    <s v="149.69.254.57"/>
    <s v="HF5661"/>
    <n v="657.07600000000002"/>
    <d v="2015-05-19T00:00:00"/>
  </r>
  <r>
    <x v="1991"/>
    <d v="1899-12-30T00:00:03"/>
    <x v="506"/>
    <x v="0"/>
    <s v="Buffalo"/>
    <x v="533"/>
    <n v="1760720"/>
    <x v="4"/>
    <s v="Medicine"/>
    <s v="9781462517459"/>
    <s v=",1,2,3"/>
    <n v="3"/>
    <m/>
    <m/>
    <s v="No"/>
    <x v="1"/>
    <m/>
    <m/>
    <s v="128.205.114.91"/>
    <s v="RC489.D48 -- L56 2015eb"/>
    <n v="616.89142000000004"/>
    <d v="2014-12-23T00:00:00"/>
  </r>
  <r>
    <x v="1992"/>
    <d v="1899-12-30T01:18:42"/>
    <x v="13"/>
    <x v="0"/>
    <s v="Buffalo"/>
    <x v="570"/>
    <n v="2130028"/>
    <x v="11"/>
    <s v="Engineering; Economics; Engineering: Civil; Environmental Studies"/>
    <s v="9780226284453"/>
    <s v=",1,2,3,14,15,16,12,13,17,27,28,29,25,26,30,31,32,25,24,23,22,21,20,34,34,34,34,34,34,34,35,33,42,39,40"/>
    <n v="28"/>
    <m/>
    <m/>
    <s v="No"/>
    <x v="2"/>
    <d v="2015-12-10T17:20:48"/>
    <n v="1"/>
    <s v="128.205.114.91"/>
    <s v="TC556"/>
    <n v="333.91009730000002"/>
    <d v="2015-09-25T00:00:00"/>
  </r>
  <r>
    <x v="1993"/>
    <d v="1899-12-30T00:04:12"/>
    <x v="541"/>
    <x v="1"/>
    <s v="brockport"/>
    <x v="571"/>
    <n v="1583995"/>
    <x v="11"/>
    <s v="History"/>
    <s v="9780226080796"/>
    <s v=",1,2,3,322,323,324,325,321,111,112,113,141,142,33,34,35,22,23,24,20,21,25,26,28,29,30,31,32,33,34,35,36,37,38,39,40,42,43,44,45,46,47,49,50,51,52,58,59,60,61,62,63,64,65,66,67,68,69,70,71,72,73,74,75,76,77,78"/>
    <n v="64"/>
    <m/>
    <m/>
    <s v="No"/>
    <x v="3"/>
    <m/>
    <m/>
    <s v="137.21.7.121"/>
    <s v="DA681"/>
    <n v="942.12059999999997"/>
    <d v="2014-01-06T00:00:00"/>
  </r>
  <r>
    <x v="1994"/>
    <d v="1899-12-30T00:06:32"/>
    <x v="396"/>
    <x v="0"/>
    <s v="Buffalo"/>
    <x v="28"/>
    <n v="1895348"/>
    <x v="0"/>
    <s v="Education"/>
    <s v="9781119068839"/>
    <s v=",42,42,37,42,43,43,44,44"/>
    <n v="4"/>
    <m/>
    <m/>
    <s v="No"/>
    <x v="0"/>
    <d v="2015-12-11T14:18:16"/>
    <n v="7"/>
    <s v="128.205.114.91"/>
    <s v="LB2367.4"/>
    <n v="378.16640000000001"/>
    <d v="2015-05-27T00:00:00"/>
  </r>
  <r>
    <x v="1995"/>
    <d v="1899-12-30T00:05:35"/>
    <x v="396"/>
    <x v="0"/>
    <s v="Buffalo"/>
    <x v="28"/>
    <n v="1895348"/>
    <x v="0"/>
    <s v="Education"/>
    <s v="9781119068839"/>
    <s v=",1,2,2,3,1,3,4,4,5,5,6,7,6,7,8,8,11,12,9,11,13,14,13,14,15,12,15,16,2,16,17,18,19,18,19,17,20,9,20,21,22,21,22,23,23,24,25,24,25,27,26,26,27,28,28,29,29,30,30,31,31,32,32,33,33,28,33,34,34,35,35,36,36,37,37,38,38,39,39,40,40,41,41"/>
    <n v="40"/>
    <m/>
    <m/>
    <s v="No"/>
    <x v="3"/>
    <m/>
    <m/>
    <s v="128.205.114.91"/>
    <s v="LB2367.4"/>
    <n v="378.16640000000001"/>
    <d v="2015-05-27T00:00:00"/>
  </r>
  <r>
    <x v="1996"/>
    <d v="1899-12-30T00:00:03"/>
    <x v="198"/>
    <x v="0"/>
    <s v="Buffalo"/>
    <x v="572"/>
    <n v="1662670"/>
    <x v="0"/>
    <s v="Mathematics; Engineering; Engineering: Civil"/>
    <s v="9781118821251"/>
    <s v=",1,2,3"/>
    <n v="3"/>
    <m/>
    <m/>
    <s v="No"/>
    <x v="1"/>
    <m/>
    <m/>
    <s v="128.205.114.91"/>
    <s v="TA345.5.M38 M34 2014"/>
    <s v="510.285/53; 510.28553"/>
    <d v="2014-03-26T00:00:00"/>
  </r>
  <r>
    <x v="1997"/>
    <d v="1899-12-30T00:10:53"/>
    <x v="468"/>
    <x v="0"/>
    <s v="Buffalo"/>
    <x v="508"/>
    <n v="1882107"/>
    <x v="3"/>
    <s v="History; Social Science"/>
    <s v="9780520961593"/>
    <s v=",1,2,3,137,138,139,135,136,140,141,142,143,144,145,146,147,148,130,131,132,128,129,127,133,22,23,24,20,21,25,26,27,8,10,11,12,9,13,14,15,16,17,18,19"/>
    <n v="44"/>
    <m/>
    <m/>
    <s v="No"/>
    <x v="0"/>
    <d v="2015-12-10T04:14:02"/>
    <n v="7"/>
    <s v="128.205.114.91"/>
    <s v="HX413.8.K68"/>
    <n v="952.03099999999995"/>
    <d v="2015-06-09T00:00:00"/>
  </r>
  <r>
    <x v="1998"/>
    <d v="1899-12-30T00:00:03"/>
    <x v="468"/>
    <x v="0"/>
    <s v="Buffalo"/>
    <x v="508"/>
    <n v="1882107"/>
    <x v="3"/>
    <s v="History; Social Science"/>
    <s v="9780520961593"/>
    <s v=",1,2,3"/>
    <n v="3"/>
    <m/>
    <m/>
    <s v="No"/>
    <x v="0"/>
    <d v="2015-12-10T04:14:02"/>
    <n v="7"/>
    <s v="128.205.114.91"/>
    <s v="HX413.8.K68"/>
    <n v="952.03099999999995"/>
    <d v="2015-06-09T00:00:00"/>
  </r>
  <r>
    <x v="1999"/>
    <d v="1899-12-30T00:00:05"/>
    <x v="542"/>
    <x v="1"/>
    <s v="brockport"/>
    <x v="444"/>
    <n v="1562126"/>
    <x v="2"/>
    <s v="Social Science"/>
    <s v="9781317773542"/>
    <s v=",1,26,27,28,24,25"/>
    <n v="6"/>
    <m/>
    <m/>
    <s v="No"/>
    <x v="2"/>
    <d v="2015-12-11T04:36:16"/>
    <n v="1"/>
    <s v="137.21.7.121"/>
    <s v="HQ76.25.G3"/>
    <n v="306.76608805500001"/>
    <d v="2013-11-12T00:00:00"/>
  </r>
  <r>
    <x v="2000"/>
    <d v="1899-12-30T00:36:58"/>
    <x v="542"/>
    <x v="1"/>
    <s v="brockport"/>
    <x v="444"/>
    <n v="1562126"/>
    <x v="2"/>
    <s v="Social Science"/>
    <s v="9781317773542"/>
    <s v=",1,2,3,4,5,6,7,8,9,10,11,12,13,14,15,16,17,18,19,20,21,22,23,24,25,26"/>
    <n v="26"/>
    <m/>
    <m/>
    <s v="No"/>
    <x v="3"/>
    <m/>
    <m/>
    <s v="137.21.7.121"/>
    <s v="HQ76.25.G3"/>
    <n v="306.76608805500001"/>
    <d v="2013-11-12T00:00:00"/>
  </r>
  <r>
    <x v="2001"/>
    <d v="1899-12-30T00:00:28"/>
    <x v="543"/>
    <x v="0"/>
    <s v="Buffalo"/>
    <x v="7"/>
    <n v="1711065"/>
    <x v="3"/>
    <s v="Political Science; Social Science"/>
    <s v="9780520959156"/>
    <s v=",1,2,3,19,258,332,282,192,170,188,190,206,219,211,208,209,210,207"/>
    <n v="18"/>
    <m/>
    <m/>
    <s v="No"/>
    <x v="0"/>
    <d v="2015-12-09T22:38:59"/>
    <n v="7"/>
    <s v="128.205.114.91"/>
    <s v="JV6450 -- .P67 2014eb"/>
    <s v="304.8/73"/>
    <d v="2014-08-30T00:00:00"/>
  </r>
  <r>
    <x v="2002"/>
    <d v="1899-12-30T00:00:34"/>
    <x v="466"/>
    <x v="1"/>
    <s v="brockport"/>
    <x v="281"/>
    <n v="4039553"/>
    <x v="0"/>
    <s v="Fine Arts"/>
    <s v="9781118886045"/>
    <s v=",1,2,3,4,5,6,7,8,9,10,11"/>
    <n v="11"/>
    <m/>
    <m/>
    <s v="No"/>
    <x v="3"/>
    <m/>
    <m/>
    <s v="137.21.7.121"/>
    <s v="N5760 -- .C667 2015eb"/>
    <n v="709.37"/>
    <d v="2015-09-09T00:00:00"/>
  </r>
  <r>
    <x v="2003"/>
    <d v="1899-12-30T00:01:14"/>
    <x v="544"/>
    <x v="12"/>
    <s v="potsdam"/>
    <x v="573"/>
    <n v="2065773"/>
    <x v="0"/>
    <s v="Social Science"/>
    <s v="9780745690490"/>
    <s v=",1,2,3,4,5,6,7,8,9,10,11,12,13,14,15,16,17,18,19,20,21,30,31,32,29,28,33,34,35,36,37,38,39,40,41"/>
    <n v="35"/>
    <m/>
    <m/>
    <s v="No"/>
    <x v="1"/>
    <m/>
    <m/>
    <s v="137.143.104.94"/>
    <s v="HM1281 .M395 2015"/>
    <n v="303.61"/>
    <d v="2015-06-04T00:00:00"/>
  </r>
  <r>
    <x v="2004"/>
    <d v="1899-12-30T00:00:21"/>
    <x v="542"/>
    <x v="1"/>
    <s v="brockport"/>
    <x v="444"/>
    <n v="1562126"/>
    <x v="2"/>
    <s v="Social Science"/>
    <s v="9781317773542"/>
    <s v=",1,2,3,23,24,25,21,22"/>
    <n v="8"/>
    <m/>
    <m/>
    <s v="No"/>
    <x v="3"/>
    <m/>
    <m/>
    <s v="137.21.7.121"/>
    <s v="HQ76.25.G3"/>
    <n v="306.76608805500001"/>
    <d v="2013-11-12T00:00:00"/>
  </r>
  <r>
    <x v="2005"/>
    <d v="1899-12-30T00:40:19"/>
    <x v="545"/>
    <x v="1"/>
    <s v="brockport"/>
    <x v="574"/>
    <n v="1397079"/>
    <x v="2"/>
    <s v="Environmental Studies"/>
    <s v="9781317991205"/>
    <s v=",48,49,50,51,52,53,55,56,57,54,10"/>
    <n v="11"/>
    <m/>
    <m/>
    <s v="No"/>
    <x v="2"/>
    <d v="2015-12-11T01:41:31"/>
    <n v="1"/>
    <s v="137.21.7.121"/>
    <m/>
    <n v="363.73874560000002"/>
    <d v="2013-09-13T00:00:00"/>
  </r>
  <r>
    <x v="2006"/>
    <d v="1899-12-30T00:05:48"/>
    <x v="545"/>
    <x v="1"/>
    <s v="brockport"/>
    <x v="574"/>
    <n v="1397079"/>
    <x v="2"/>
    <s v="Environmental Studies"/>
    <s v="9781317991205"/>
    <s v=",1,41,40,38,2,43,45,46,47"/>
    <n v="9"/>
    <m/>
    <m/>
    <s v="No"/>
    <x v="3"/>
    <m/>
    <m/>
    <s v="137.21.7.121"/>
    <m/>
    <n v="363.73874560000002"/>
    <d v="2013-09-13T00:00:00"/>
  </r>
  <r>
    <x v="2007"/>
    <d v="1899-12-30T00:00:29"/>
    <x v="546"/>
    <x v="1"/>
    <s v="brockport"/>
    <x v="575"/>
    <n v="1355959"/>
    <x v="2"/>
    <s v="Business/Management; Economics"/>
    <s v="9781135022112"/>
    <s v=",1,2,3,52,53,54,50,51"/>
    <n v="8"/>
    <m/>
    <m/>
    <s v="No"/>
    <x v="3"/>
    <m/>
    <m/>
    <s v="137.21.7.121"/>
    <s v="HB95 -- .R58 2013eb"/>
    <n v="330.15300000000002"/>
    <d v="2013-08-21T00:00:00"/>
  </r>
  <r>
    <x v="2008"/>
    <d v="1899-12-30T00:00:27"/>
    <x v="208"/>
    <x v="1"/>
    <s v="brockport"/>
    <x v="171"/>
    <n v="1487097"/>
    <x v="2"/>
    <s v="Social Science"/>
    <s v="9781135398842"/>
    <s v=",1,3,2,7,14,15,16,12,13"/>
    <n v="9"/>
    <m/>
    <m/>
    <s v="No"/>
    <x v="3"/>
    <m/>
    <m/>
    <s v="137.21.7.121"/>
    <s v="HQ77.9 -- .T72 2006eb"/>
    <n v="306.76799999999997"/>
    <d v="2013-10-18T00:00:00"/>
  </r>
  <r>
    <x v="2009"/>
    <d v="1899-12-30T00:02:59"/>
    <x v="370"/>
    <x v="2"/>
    <s v="hilbert"/>
    <x v="576"/>
    <n v="1129763"/>
    <x v="0"/>
    <s v="Home Economics"/>
    <s v="9781118448038"/>
    <s v=",1,2,3,326,327,328,324,325,329,250,251,248,249,253,245,246,247,252,254,255,256,258,259,260"/>
    <n v="24"/>
    <m/>
    <m/>
    <s v="No"/>
    <x v="3"/>
    <m/>
    <m/>
    <s v="72.45.217.43"/>
    <s v="TX715 -- .L36 2013eb"/>
    <n v="641.59730000000002"/>
    <d v="2013-02-13T00:00:00"/>
  </r>
  <r>
    <x v="2010"/>
    <d v="1899-12-30T00:00:19"/>
    <x v="170"/>
    <x v="9"/>
    <s v="trocaire"/>
    <x v="577"/>
    <n v="3057841"/>
    <x v="0"/>
    <s v="Geography/Travel"/>
    <s v="9780470746714"/>
    <s v=",1,2,3,4,5,6,7"/>
    <n v="7"/>
    <m/>
    <m/>
    <s v="No"/>
    <x v="3"/>
    <m/>
    <m/>
    <s v="173.225.62.67"/>
    <s v="DS563 -- .F76 2009eb"/>
    <n v="915.93044399999997"/>
    <d v="2009-07-01T00:00:00"/>
  </r>
  <r>
    <x v="2011"/>
    <d v="1899-12-30T00:00:54"/>
    <x v="547"/>
    <x v="1"/>
    <s v="brockport"/>
    <x v="1"/>
    <n v="1684620"/>
    <x v="0"/>
    <s v="Health; Social Science"/>
    <s v="9781118418925"/>
    <s v=",1,2,3,25,26,27,23,24,28,29"/>
    <n v="10"/>
    <m/>
    <m/>
    <s v="No"/>
    <x v="1"/>
    <m/>
    <m/>
    <s v="137.21.7.121"/>
    <s v="RA971 -- .S56 2014eb"/>
    <n v="362.10680000000002"/>
    <d v="2014-04-30T00:00:00"/>
  </r>
  <r>
    <x v="2012"/>
    <d v="1899-12-30T00:21:08"/>
    <x v="548"/>
    <x v="1"/>
    <s v="brockport"/>
    <x v="578"/>
    <n v="1816989"/>
    <x v="7"/>
    <s v="Social Science; Health; Medicine"/>
    <s v="9781780644578"/>
    <s v=",246,248,246,247,248,244,247,245,245,249,249,249,250,250,250,251,251,252,252,247,252,253,253,254,254,255,255,255,253,254,255,251,252,250"/>
    <n v="12"/>
    <m/>
    <m/>
    <s v="No"/>
    <x v="0"/>
    <d v="2015-12-10T22:36:39"/>
    <n v="7"/>
    <s v="137.21.7.121"/>
    <s v="RA793 -- .C5766 2014eb"/>
    <s v="616.9/88"/>
    <d v="2014-09-26T00:00:00"/>
  </r>
  <r>
    <x v="2013"/>
    <d v="1899-12-30T00:07:00"/>
    <x v="549"/>
    <x v="0"/>
    <s v="Buffalo"/>
    <x v="579"/>
    <n v="1732136"/>
    <x v="3"/>
    <s v="Fine Arts"/>
    <s v="9780520960015"/>
    <s v=",23,22,12,13,232,233,234,230,231,235,236,237,238,239,240,241,242,243,244,245,246,247"/>
    <n v="22"/>
    <m/>
    <s v=",10,11,16,17,18,19,20,21,22,23,24,25,26,27,28,29,30,31,32,33,34,35,36,37,38,39,232,233,234,235,236,237,238,239,240,241"/>
    <s v="No"/>
    <x v="2"/>
    <d v="2015-12-10T22:30:18"/>
    <n v="1"/>
    <s v="128.205.114.91"/>
    <s v="PN1995.7 -- .J33 2015eb"/>
    <s v="791.43/6578"/>
    <d v="2014-12-18T00:00:00"/>
  </r>
  <r>
    <x v="2014"/>
    <d v="1899-12-30T00:00:03"/>
    <x v="550"/>
    <x v="1"/>
    <s v="brockport"/>
    <x v="580"/>
    <n v="1869290"/>
    <x v="1"/>
    <s v="Social Science"/>
    <s v="9781409445425"/>
    <s v=",1,2,3"/>
    <n v="3"/>
    <m/>
    <m/>
    <s v="No"/>
    <x v="3"/>
    <m/>
    <m/>
    <s v="137.21.7.121"/>
    <s v="GN380 -- .I537 2015eb"/>
    <s v="305.8/00723"/>
    <d v="2015-01-28T00:00:00"/>
  </r>
  <r>
    <x v="2015"/>
    <d v="1899-12-30T00:05:12"/>
    <x v="549"/>
    <x v="0"/>
    <s v="Buffalo"/>
    <x v="579"/>
    <n v="1732136"/>
    <x v="3"/>
    <s v="Fine Arts"/>
    <s v="9780520960015"/>
    <s v=",1,2,3,16,17,18,14,15,19,20,21,22,23,24,25,26,27,28,29,30,31,32,33,34,35,36,37,38,39,40,41,42,43,44,45,46,47,48,49,50,51,52,54,55,56,59,60,61,62,64,65,66,67,68,70,71,72,73,74,75,16,17,18,14,15,13,11,12,10,9,8,7,6,19,20,21,24,26,28,31,32,33,29,34,35,36,37,38,39,40,41,42,30,27"/>
    <n v="68"/>
    <m/>
    <m/>
    <s v="No"/>
    <x v="3"/>
    <m/>
    <m/>
    <s v="128.205.114.91"/>
    <s v="PN1995.7 -- .J33 2015eb"/>
    <s v="791.43/6578"/>
    <d v="2014-12-18T00:00:00"/>
  </r>
  <r>
    <x v="2016"/>
    <d v="1899-12-30T00:12:49"/>
    <x v="486"/>
    <x v="1"/>
    <s v="brockport"/>
    <x v="207"/>
    <n v="979950"/>
    <x v="14"/>
    <s v="Literature"/>
    <s v="9781476600321"/>
    <s v=",4,5,6,7,8,9,10,11,9,9,9,12,13,167,168,169,165,166,255,253,254,252,250,251,249,248,247,246,1,3,4,5,6,12,13,14,15,16,17,18,19,20,21,22,23,24,25,26,27,28,6,5,4,3"/>
    <n v="42"/>
    <m/>
    <s v=",11,12,13,14,15,16,17,18,19,20,21,22,23,24,25,26,27"/>
    <s v="No"/>
    <x v="0"/>
    <d v="2015-12-10T22:02:25"/>
    <n v="7"/>
    <s v="137.21.7.121"/>
    <s v="PS3603.O4558 -- Z84 2012eb"/>
    <s v="813/.6"/>
    <d v="2012-07-10T00:00:00"/>
  </r>
  <r>
    <x v="2017"/>
    <d v="1899-12-30T00:36:44"/>
    <x v="548"/>
    <x v="1"/>
    <s v="brockport"/>
    <x v="578"/>
    <n v="1816989"/>
    <x v="7"/>
    <s v="Social Science; Health; Medicine"/>
    <s v="9781780644578"/>
    <s v=",1,1,2,2,3,3,2,2"/>
    <n v="3"/>
    <m/>
    <m/>
    <s v="No"/>
    <x v="3"/>
    <m/>
    <m/>
    <s v="137.21.7.121"/>
    <s v="RA793 -- .C5766 2014eb"/>
    <s v="616.9/88"/>
    <d v="2014-09-26T00:00:00"/>
  </r>
  <r>
    <x v="2018"/>
    <d v="1899-12-30T00:17:30"/>
    <x v="486"/>
    <x v="1"/>
    <s v="brockport"/>
    <x v="207"/>
    <n v="979950"/>
    <x v="14"/>
    <s v="Literature"/>
    <s v="9781476600321"/>
    <s v=",1,2,3"/>
    <n v="3"/>
    <m/>
    <m/>
    <s v="No"/>
    <x v="1"/>
    <m/>
    <m/>
    <s v="137.21.7.121"/>
    <s v="PS3603.O4558 -- Z84 2012eb"/>
    <s v="813/.6"/>
    <d v="2012-07-10T00:00:00"/>
  </r>
  <r>
    <x v="2019"/>
    <d v="1899-12-30T00:06:46"/>
    <x v="551"/>
    <x v="0"/>
    <s v="Buffalo"/>
    <x v="581"/>
    <n v="1124406"/>
    <x v="0"/>
    <s v="Business/Management; Computer Science/IT"/>
    <s v="9781118490389"/>
    <s v=",1,2,3,4,5,6,7,8,9,10,11,12,13,14,15,16,17,19,20,21,18,22,23,24"/>
    <n v="24"/>
    <m/>
    <m/>
    <s v="No"/>
    <x v="1"/>
    <m/>
    <m/>
    <s v="128.205.114.91"/>
    <s v="HF5548.4.M523 W34573 2010"/>
    <n v="5.54"/>
    <d v="2013-02-06T00:00:00"/>
  </r>
  <r>
    <x v="2020"/>
    <d v="1899-12-30T00:07:51"/>
    <x v="552"/>
    <x v="0"/>
    <s v="Buffalo"/>
    <x v="509"/>
    <n v="1115640"/>
    <x v="0"/>
    <s v="Engineering: Civil; Engineering: Construction; Engineering"/>
    <s v="9781118419090"/>
    <s v=",1,2,3,4,5,6,7,8,9,10,11,12,13,14,15,16,17,18,19,20,21"/>
    <n v="21"/>
    <m/>
    <m/>
    <s v="No"/>
    <x v="1"/>
    <m/>
    <m/>
    <s v="128.205.114.91"/>
    <s v="TH375 -- .S77 2013eb"/>
    <n v="624"/>
    <d v="2013-01-22T00:00:00"/>
  </r>
  <r>
    <x v="2021"/>
    <d v="1899-12-30T00:07:57"/>
    <x v="13"/>
    <x v="0"/>
    <s v="Buffalo"/>
    <x v="570"/>
    <n v="2130028"/>
    <x v="11"/>
    <s v="Engineering; Economics; Engineering: Civil; Environmental Studies"/>
    <s v="9780226284453"/>
    <s v=",1,2,3,14,15,16,12,13,17,18,19,20,21,22,23,24,25,26,27,33"/>
    <n v="20"/>
    <m/>
    <m/>
    <s v="No"/>
    <x v="2"/>
    <d v="2015-12-10T17:20:48"/>
    <n v="1"/>
    <s v="128.205.114.91"/>
    <s v="TC556"/>
    <n v="333.91009730000002"/>
    <d v="2015-09-25T00:00:00"/>
  </r>
  <r>
    <x v="2022"/>
    <d v="1899-12-30T00:10:23"/>
    <x v="446"/>
    <x v="4"/>
    <s v="monroe2boces"/>
    <x v="582"/>
    <n v="817432"/>
    <x v="0"/>
    <s v="Fine Arts"/>
    <s v="9781118169261"/>
    <s v=",35,30,35,36,36,37,37,38,38"/>
    <n v="5"/>
    <s v=",32"/>
    <m/>
    <s v="No"/>
    <x v="0"/>
    <d v="2015-12-10T20:06:56"/>
    <n v="7"/>
    <s v="10.36.89.18"/>
    <s v="MT6 -- .P55 2012eb"/>
    <n v="781"/>
    <d v="2011-10-18T00:00:00"/>
  </r>
  <r>
    <x v="2023"/>
    <d v="1899-12-30T00:24:35"/>
    <x v="64"/>
    <x v="6"/>
    <s v="sjfc"/>
    <x v="75"/>
    <n v="1986951"/>
    <x v="0"/>
    <s v="Business/Management"/>
    <s v="9781119130468"/>
    <s v=",1,2,3,111,112,113,109,110,114,115,116,117,118,119,120,121,122"/>
    <n v="17"/>
    <s v=",117"/>
    <m/>
    <s v="No"/>
    <x v="0"/>
    <d v="2015-12-04T19:47:43"/>
    <n v="7"/>
    <s v="149.69.254.57"/>
    <s v="HF5661"/>
    <n v="657.07600000000002"/>
    <d v="2015-05-19T00:00:00"/>
  </r>
  <r>
    <x v="2024"/>
    <d v="1899-12-30T00:30:00"/>
    <x v="13"/>
    <x v="0"/>
    <s v="Buffalo"/>
    <x v="570"/>
    <n v="2130028"/>
    <x v="11"/>
    <s v="Engineering; Economics; Engineering: Civil; Environmental Studies"/>
    <s v="9780226284453"/>
    <s v=",1,2,3,4,5,6,7,8,9,10,11,12,13,14,15,16,17,18,19,20,21,22,23,24"/>
    <n v="24"/>
    <m/>
    <m/>
    <s v="No"/>
    <x v="2"/>
    <d v="2015-12-10T17:20:48"/>
    <n v="1"/>
    <s v="128.205.114.91"/>
    <s v="TC556"/>
    <n v="333.91009730000002"/>
    <d v="2015-09-25T00:00:00"/>
  </r>
  <r>
    <x v="2025"/>
    <d v="1899-12-30T00:02:44"/>
    <x v="64"/>
    <x v="6"/>
    <s v="sjfc"/>
    <x v="189"/>
    <n v="1557279"/>
    <x v="0"/>
    <s v="Business/Management"/>
    <s v="9781118863664"/>
    <s v=",1,3,2,113,114,115,112,111,116,117,118,119,120,121,122,94,95,96,92,93,89,85,76,72,67,63,58,54,50,45,41,37,32,28,24,19,15,11,10,9,7,8"/>
    <n v="42"/>
    <m/>
    <m/>
    <s v="No"/>
    <x v="1"/>
    <m/>
    <m/>
    <s v="149.69.254.57"/>
    <s v="HF5661 -- .W384 2014eb"/>
    <n v="657.37800000000004"/>
    <d v="2013-11-07T00:00:00"/>
  </r>
  <r>
    <x v="2026"/>
    <d v="1899-12-30T00:10:17"/>
    <x v="446"/>
    <x v="4"/>
    <s v="monroe2boces"/>
    <x v="582"/>
    <n v="817432"/>
    <x v="0"/>
    <s v="Fine Arts"/>
    <s v="9781118169261"/>
    <s v=",1,2,2,3,3,1,4,4,5,5,6,6,9,9,10,10,11,11,30,30,22,22,23,23,24,24,20,21,21,1,2,3,2,2,4,5,6,7,7,8,8,9,10,11,12,12,13,13,14,14,15,15,16,16,17,17,18,18,19,19,21,22,23,20,24,25,25,25,26,26,27,27,28,28,29,29,29,30,31,32,32,33,33,28,33,34,34,35,35,30"/>
    <n v="35"/>
    <m/>
    <m/>
    <s v="No"/>
    <x v="1"/>
    <m/>
    <m/>
    <s v="10.36.89.18"/>
    <s v="MT6 -- .P55 2012eb"/>
    <n v="781"/>
    <d v="2011-10-18T00:00:00"/>
  </r>
  <r>
    <x v="2027"/>
    <d v="1899-12-30T00:00:00"/>
    <x v="553"/>
    <x v="0"/>
    <s v="Buffalo"/>
    <x v="583"/>
    <n v="1687475"/>
    <x v="4"/>
    <s v="Education"/>
    <s v="9781462516254"/>
    <m/>
    <n v="0"/>
    <m/>
    <m/>
    <s v="Yes"/>
    <x v="0"/>
    <d v="2015-12-10T19:22:04"/>
    <n v="7"/>
    <s v="128.205.114.91"/>
    <s v="LC146.6 -- .G67 2014eb"/>
    <n v="371.29129999999998"/>
    <d v="2014-09-11T00:00:00"/>
  </r>
  <r>
    <x v="2027"/>
    <d v="1899-12-30T00:00:00"/>
    <x v="553"/>
    <x v="0"/>
    <s v="Buffalo"/>
    <x v="583"/>
    <n v="1687475"/>
    <x v="4"/>
    <s v="Education"/>
    <s v="9781462516254"/>
    <m/>
    <n v="0"/>
    <m/>
    <m/>
    <s v="No"/>
    <x v="0"/>
    <d v="2015-12-10T19:22:04"/>
    <n v="7"/>
    <s v="128.205.114.91"/>
    <s v="LC146.6 -- .G67 2014eb"/>
    <n v="371.29129999999998"/>
    <d v="2014-09-11T00:00:00"/>
  </r>
  <r>
    <x v="2028"/>
    <d v="1899-12-30T00:02:01"/>
    <x v="553"/>
    <x v="0"/>
    <s v="Buffalo"/>
    <x v="583"/>
    <n v="1687475"/>
    <x v="4"/>
    <s v="Education"/>
    <s v="9781462516254"/>
    <s v=",1,2,3,4,5,6,7,8,9,10,11,12,13,14,15,16,17,18,19,18,19,16,13,14,15,11,12,20,21,22,23,24,25,26"/>
    <n v="26"/>
    <m/>
    <m/>
    <s v="No"/>
    <x v="1"/>
    <m/>
    <m/>
    <s v="128.205.114.91"/>
    <s v="LC146.6 -- .G67 2014eb"/>
    <n v="371.29129999999998"/>
    <d v="2014-09-11T00:00:00"/>
  </r>
  <r>
    <x v="2029"/>
    <d v="1899-12-30T00:00:53"/>
    <x v="554"/>
    <x v="0"/>
    <s v="Buffalo"/>
    <x v="584"/>
    <n v="1895557"/>
    <x v="0"/>
    <s v="Fine Arts"/>
    <s v="9781118715659"/>
    <s v=",1,2,3,4,5,6,7,8,101,240,241,238,239,237,2,229,1,3,4,5,6,7,8,9,10,11,12,13,14,15,16,17,18,19,20,21,15"/>
    <n v="28"/>
    <m/>
    <m/>
    <s v="No"/>
    <x v="1"/>
    <m/>
    <m/>
    <s v="128.205.114.91"/>
    <s v="NK2117.K5 -- .W65 2015eb"/>
    <s v="747.7/8"/>
    <d v="2015-01-05T00:00:00"/>
  </r>
  <r>
    <x v="2030"/>
    <d v="1899-12-30T00:00:12"/>
    <x v="337"/>
    <x v="1"/>
    <s v="brockport"/>
    <x v="585"/>
    <n v="1251046"/>
    <x v="2"/>
    <s v="Religion"/>
    <s v="9781136750724"/>
    <s v=",2,2"/>
    <n v="1"/>
    <m/>
    <m/>
    <s v="Yes"/>
    <x v="2"/>
    <d v="2015-12-10T18:10:57"/>
    <n v="7"/>
    <s v="137.21.7.121"/>
    <s v="BL790 -- .G73 2013eb"/>
    <n v="292.85000000000002"/>
    <d v="2013-07-04T00:00:00"/>
  </r>
  <r>
    <x v="2031"/>
    <d v="1899-12-30T00:00:05"/>
    <x v="337"/>
    <x v="1"/>
    <s v="brockport"/>
    <x v="585"/>
    <n v="1251046"/>
    <x v="2"/>
    <s v="Religion"/>
    <s v="9781136750724"/>
    <s v=",1,2,2,3,3,1"/>
    <n v="3"/>
    <m/>
    <m/>
    <s v="No"/>
    <x v="2"/>
    <d v="2015-12-10T18:10:57"/>
    <n v="7"/>
    <s v="137.21.7.121"/>
    <s v="BL790 -- .G73 2013eb"/>
    <n v="292.85000000000002"/>
    <d v="2013-07-04T00:00:00"/>
  </r>
  <r>
    <x v="2032"/>
    <d v="1899-12-30T00:00:00"/>
    <x v="337"/>
    <x v="1"/>
    <s v="brockport"/>
    <x v="585"/>
    <n v="1251046"/>
    <x v="2"/>
    <s v="Religion"/>
    <s v="9781136750724"/>
    <m/>
    <n v="0"/>
    <m/>
    <m/>
    <s v="Yes"/>
    <x v="2"/>
    <d v="2015-12-10T18:10:57"/>
    <n v="7"/>
    <s v="137.21.7.121"/>
    <s v="BL790 -- .G73 2013eb"/>
    <n v="292.85000000000002"/>
    <d v="2013-07-04T00:00:00"/>
  </r>
  <r>
    <x v="2033"/>
    <d v="1899-12-30T00:00:00"/>
    <x v="337"/>
    <x v="1"/>
    <s v="brockport"/>
    <x v="585"/>
    <n v="1251046"/>
    <x v="2"/>
    <s v="Religion"/>
    <s v="9781136750724"/>
    <m/>
    <n v="0"/>
    <m/>
    <m/>
    <s v="Yes"/>
    <x v="2"/>
    <d v="2015-12-10T18:10:57"/>
    <n v="7"/>
    <s v="137.21.7.121"/>
    <s v="BL790 -- .G73 2013eb"/>
    <n v="292.85000000000002"/>
    <d v="2013-07-04T00:00:00"/>
  </r>
  <r>
    <x v="2034"/>
    <d v="1899-12-30T00:00:00"/>
    <x v="337"/>
    <x v="1"/>
    <s v="brockport"/>
    <x v="585"/>
    <n v="1251046"/>
    <x v="2"/>
    <s v="Religion"/>
    <s v="9781136750724"/>
    <m/>
    <n v="0"/>
    <m/>
    <m/>
    <s v="Yes"/>
    <x v="2"/>
    <d v="2015-12-10T18:10:57"/>
    <n v="7"/>
    <s v="137.21.7.121"/>
    <s v="BL790 -- .G73 2013eb"/>
    <n v="292.85000000000002"/>
    <d v="2013-07-04T00:00:00"/>
  </r>
  <r>
    <x v="2034"/>
    <d v="1899-12-30T00:00:00"/>
    <x v="337"/>
    <x v="1"/>
    <s v="brockport"/>
    <x v="585"/>
    <n v="1251046"/>
    <x v="2"/>
    <s v="Religion"/>
    <s v="9781136750724"/>
    <m/>
    <n v="0"/>
    <m/>
    <m/>
    <s v="No"/>
    <x v="2"/>
    <d v="2015-12-10T18:10:57"/>
    <n v="7"/>
    <s v="137.21.7.121"/>
    <s v="BL790 -- .G73 2013eb"/>
    <n v="292.85000000000002"/>
    <d v="2013-07-04T00:00:00"/>
  </r>
  <r>
    <x v="2035"/>
    <d v="1899-12-30T00:01:17"/>
    <x v="337"/>
    <x v="1"/>
    <s v="brockport"/>
    <x v="585"/>
    <n v="1251046"/>
    <x v="2"/>
    <s v="Religion"/>
    <s v="9781136750724"/>
    <s v=",1,2,3,3,2,1,2,2,10,10,12,8,11,12,11,9,9"/>
    <n v="8"/>
    <m/>
    <m/>
    <s v="No"/>
    <x v="3"/>
    <m/>
    <m/>
    <s v="137.21.7.121"/>
    <s v="BL790 -- .G73 2013eb"/>
    <n v="292.85000000000002"/>
    <d v="2013-07-04T00:00:00"/>
  </r>
  <r>
    <x v="2036"/>
    <d v="1899-12-30T00:01:42"/>
    <x v="555"/>
    <x v="1"/>
    <s v="brockport"/>
    <x v="586"/>
    <n v="1696226"/>
    <x v="12"/>
    <s v="Social Science; Business/Management"/>
    <s v="9781469613987"/>
    <s v=",1,2,3,4,5,6,7,8,9,10,11,12,13,14,15,16,17,18"/>
    <n v="18"/>
    <m/>
    <m/>
    <s v="No"/>
    <x v="3"/>
    <m/>
    <m/>
    <s v="137.21.7.121"/>
    <s v="HC190.P63 -- .A57 2014eb"/>
    <s v="362.5/2610981"/>
    <d v="2014-05-19T00:00:00"/>
  </r>
  <r>
    <x v="2037"/>
    <d v="1899-12-30T01:19:26"/>
    <x v="13"/>
    <x v="0"/>
    <s v="Buffalo"/>
    <x v="570"/>
    <n v="2130028"/>
    <x v="11"/>
    <s v="Engineering; Economics; Engineering: Civil; Environmental Studies"/>
    <s v="9780226284453"/>
    <s v=",18,7,8,9,5,10,6,11,12,19,20,21,22"/>
    <n v="13"/>
    <m/>
    <m/>
    <s v="No"/>
    <x v="2"/>
    <d v="2015-12-10T17:20:48"/>
    <n v="1"/>
    <s v="128.205.114.91"/>
    <s v="TC556"/>
    <n v="333.91009730000002"/>
    <d v="2015-09-25T00:00:00"/>
  </r>
  <r>
    <x v="2038"/>
    <d v="1899-12-30T00:15:08"/>
    <x v="13"/>
    <x v="0"/>
    <s v="Buffalo"/>
    <x v="570"/>
    <n v="2130028"/>
    <x v="11"/>
    <s v="Engineering; Economics; Engineering: Civil; Environmental Studies"/>
    <s v="9780226284453"/>
    <s v=",1,2,3,4,5,6,7,8,9,10,11,12,13,14,15,16,17"/>
    <n v="17"/>
    <m/>
    <m/>
    <s v="No"/>
    <x v="3"/>
    <m/>
    <m/>
    <s v="128.205.114.91"/>
    <s v="TC556"/>
    <n v="333.91009730000002"/>
    <d v="2015-09-25T00:00:00"/>
  </r>
  <r>
    <x v="2039"/>
    <d v="1899-12-30T00:20:22"/>
    <x v="556"/>
    <x v="1"/>
    <s v="brockport"/>
    <x v="587"/>
    <n v="4034662"/>
    <x v="0"/>
    <s v="Agriculture; Philosophy"/>
    <s v="9781118376720"/>
    <s v=",1,2,3,4,23,24,25,21,22,199,200,201,197,198,202,203,198,198"/>
    <n v="16"/>
    <m/>
    <m/>
    <s v="No"/>
    <x v="0"/>
    <d v="2015-12-03T20:58:34"/>
    <n v="7"/>
    <s v="137.21.7.121"/>
    <s v="SF411.5 -- .S263 2016eb"/>
    <s v="179/.3"/>
    <d v="2015-08-25T00:00:00"/>
  </r>
  <r>
    <x v="2040"/>
    <d v="1899-12-30T00:01:23"/>
    <x v="557"/>
    <x v="9"/>
    <s v="trocaire"/>
    <x v="588"/>
    <n v="284109"/>
    <x v="0"/>
    <s v="Health; Social Science; Medicine"/>
    <s v="9781405173469"/>
    <s v=",1,2,3,4,5,6,296,297,298,294,295"/>
    <n v="11"/>
    <m/>
    <m/>
    <s v="No"/>
    <x v="3"/>
    <m/>
    <m/>
    <s v="173.225.62.67"/>
    <s v="RC564 .W47 2006eb"/>
    <s v="362.29; 616.86/001"/>
    <d v="2013-05-15T00:00:00"/>
  </r>
  <r>
    <x v="2041"/>
    <d v="1899-12-30T00:01:00"/>
    <x v="557"/>
    <x v="9"/>
    <s v="trocaire"/>
    <x v="588"/>
    <n v="4035739"/>
    <x v="0"/>
    <s v="Medicine"/>
    <s v="9781118484913"/>
    <s v=",2,1,3,4,5,6"/>
    <n v="6"/>
    <m/>
    <m/>
    <s v="No"/>
    <x v="3"/>
    <m/>
    <m/>
    <s v="173.225.62.67"/>
    <m/>
    <n v="616.86"/>
    <d v="2013-08-14T00:00:00"/>
  </r>
  <r>
    <x v="2042"/>
    <d v="1899-12-30T00:00:37"/>
    <x v="557"/>
    <x v="9"/>
    <s v="trocaire"/>
    <x v="589"/>
    <n v="1938274"/>
    <x v="0"/>
    <s v="Health; Social Science; Medicine"/>
    <s v="9781119098201"/>
    <s v=",7,1,9,8,5,6,2,183,184,185,181,182"/>
    <n v="12"/>
    <m/>
    <m/>
    <s v="No"/>
    <x v="1"/>
    <m/>
    <m/>
    <s v="173.225.62.67"/>
    <s v="RC564 -- .B74 2015eb"/>
    <s v="362.29/186"/>
    <d v="2015-01-29T00:00:00"/>
  </r>
  <r>
    <x v="2043"/>
    <d v="1899-12-30T00:00:16"/>
    <x v="558"/>
    <x v="1"/>
    <s v="brockport"/>
    <x v="590"/>
    <n v="837573"/>
    <x v="0"/>
    <s v="Social Science"/>
    <s v="9781444354805"/>
    <s v=",1,2,3,60,61,62,58,59,63"/>
    <n v="9"/>
    <s v=",61"/>
    <m/>
    <s v="No"/>
    <x v="0"/>
    <d v="2015-12-09T16:14:58"/>
    <n v="7"/>
    <s v="137.21.7.121"/>
    <s v="HQ1127 -- .C637 2012eb"/>
    <n v="305.40929999999997"/>
    <d v="2012-01-09T00:00:00"/>
  </r>
  <r>
    <x v="2044"/>
    <d v="1899-12-30T00:01:05"/>
    <x v="26"/>
    <x v="6"/>
    <s v="sjfc"/>
    <x v="510"/>
    <n v="1109590"/>
    <x v="14"/>
    <s v="Fine Arts"/>
    <s v="9781476600093"/>
    <s v=",1,2,3,108,109,110,106,107,111,112"/>
    <n v="10"/>
    <m/>
    <m/>
    <s v="No"/>
    <x v="1"/>
    <m/>
    <m/>
    <s v="149.69.254.57"/>
    <s v="PN1999.W27 -- D58 2013eb"/>
    <s v="791.43/6552; 791.436552"/>
    <d v="2013-01-20T00:00:00"/>
  </r>
  <r>
    <x v="2045"/>
    <d v="1899-12-30T01:45:22"/>
    <x v="64"/>
    <x v="6"/>
    <s v="sjfc"/>
    <x v="75"/>
    <n v="1986951"/>
    <x v="0"/>
    <s v="Business/Management"/>
    <s v="9781119130468"/>
    <s v=",1,2,3,4,20,21,22,18,19,31,32,53,54,55,51,52,109,110,1,111,112,108,109,2,107,106,113,114,109,114,114,115,116,117,118,119,120,121,122,123,124,125,120,119,126,118,117,116,115,114,113,112,117,118,119,117,117,118,119,118,118,119,112,118,119,120,121,497,498,499,495,496,500,501,502,505,503,504,506,507,508,510,511,1,511,512,513,509,510,508,514,515,516,517,518,519,520,521,2,522,523,524,525,527,528,530,531,529,532,533,536,537,538,534,535,539,540,541,542,543,545,544,546,547,548,549,550,551,552,553"/>
    <n v="95"/>
    <s v=",111,112,113,113,113,114,114,115,116"/>
    <m/>
    <s v="No"/>
    <x v="0"/>
    <d v="2015-12-04T19:47:43"/>
    <n v="7"/>
    <s v="149.69.254.57"/>
    <s v="HF5661"/>
    <n v="657.07600000000002"/>
    <d v="2015-05-19T00:00:00"/>
  </r>
  <r>
    <x v="2046"/>
    <d v="1899-12-30T00:02:58"/>
    <x v="64"/>
    <x v="6"/>
    <s v="sjfc"/>
    <x v="70"/>
    <n v="1222131"/>
    <x v="0"/>
    <s v="Business/Management"/>
    <s v="9781118760048"/>
    <s v=",1,2,3,306,307,308,304,305,320,321,317,318,244,245,246,242,243"/>
    <n v="17"/>
    <m/>
    <m/>
    <s v="No"/>
    <x v="1"/>
    <m/>
    <m/>
    <s v="149.69.254.57"/>
    <s v="HF5659 .W384 2013"/>
    <n v="657"/>
    <d v="2013-06-21T00:00:00"/>
  </r>
  <r>
    <x v="2047"/>
    <d v="1899-12-30T00:00:00"/>
    <x v="559"/>
    <x v="7"/>
    <s v="oneonta"/>
    <x v="591"/>
    <n v="1319041"/>
    <x v="2"/>
    <s v="Social Science"/>
    <s v="9781135022310"/>
    <s v=",25"/>
    <n v="1"/>
    <m/>
    <m/>
    <s v="No"/>
    <x v="2"/>
    <d v="2015-12-10T14:51:12"/>
    <n v="1"/>
    <s v="137.141.13.2"/>
    <s v="HQ1194 -- .S74 2013eb"/>
    <n v="305.42"/>
    <d v="2013-07-18T00:00:00"/>
  </r>
  <r>
    <x v="2048"/>
    <d v="1899-12-30T00:01:21"/>
    <x v="396"/>
    <x v="0"/>
    <s v="Buffalo"/>
    <x v="28"/>
    <n v="817313"/>
    <x v="0"/>
    <s v="Education"/>
    <s v="9781118136829"/>
    <s v=",38,38,39,39"/>
    <n v="2"/>
    <m/>
    <m/>
    <s v="No"/>
    <x v="0"/>
    <d v="2015-12-10T14:35:57"/>
    <n v="7"/>
    <s v="128.205.114.91"/>
    <s v="LB2367.4 -- .W65 2012eb"/>
    <n v="378.16640000000001"/>
    <d v="2012-01-10T00:00:00"/>
  </r>
  <r>
    <x v="2049"/>
    <d v="1899-12-30T00:12:14"/>
    <x v="560"/>
    <x v="1"/>
    <s v="brockport"/>
    <x v="151"/>
    <n v="968030"/>
    <x v="0"/>
    <s v="Psychology"/>
    <s v="9781118285138"/>
    <s v=",1,2,3,413,414,415,411,412,416,417,418,419,420,421,422,423,424,425,426,427,428"/>
    <n v="21"/>
    <m/>
    <m/>
    <s v="No"/>
    <x v="0"/>
    <d v="2015-12-10T03:26:27"/>
    <n v="7"/>
    <s v="137.21.7.121"/>
    <s v="BF637.C6 -- S85 2013eb"/>
    <n v="158.30000000000001"/>
    <d v="2012-07-10T00:00:00"/>
  </r>
  <r>
    <x v="2050"/>
    <d v="1899-12-30T00:21:04"/>
    <x v="559"/>
    <x v="7"/>
    <s v="oneonta"/>
    <x v="591"/>
    <n v="1319041"/>
    <x v="2"/>
    <s v="Social Science"/>
    <s v="9781135022310"/>
    <s v=",1,3,2,4,5,6,7,8,9,10,11,12,13,14,15,16,17,18,19,20,21,22,23,24"/>
    <n v="24"/>
    <m/>
    <m/>
    <s v="No"/>
    <x v="3"/>
    <m/>
    <m/>
    <s v="137.141.13.2"/>
    <s v="HQ1194 -- .S74 2013eb"/>
    <n v="305.42"/>
    <d v="2013-07-18T00:00:00"/>
  </r>
  <r>
    <x v="2051"/>
    <d v="1899-12-30T00:10:58"/>
    <x v="396"/>
    <x v="0"/>
    <s v="Buffalo"/>
    <x v="28"/>
    <n v="817313"/>
    <x v="0"/>
    <s v="Education"/>
    <s v="9781118136829"/>
    <s v=",1,2,1,3,2,3,4,4,5,5,6,7,6,7,8,8,9,9,4,9,10,10,11,11,12,12,2,13,13,14,14,15,16,15,16,17,18,19,18,19,17,20,20,21,21,22,23,22,23,24,24,25,25,26,26,27,27,28,28,29,29,30,30,31,31,32,32,33,33,34,34,35,35,36,36,37,37"/>
    <n v="37"/>
    <m/>
    <m/>
    <s v="No"/>
    <x v="1"/>
    <m/>
    <m/>
    <s v="128.205.114.91"/>
    <s v="LB2367.4 -- .W65 2012eb"/>
    <n v="378.16640000000001"/>
    <d v="2012-01-10T00:00:00"/>
  </r>
  <r>
    <x v="2052"/>
    <d v="1899-12-30T00:00:22"/>
    <x v="561"/>
    <x v="0"/>
    <s v="Buffalo"/>
    <x v="592"/>
    <n v="1655946"/>
    <x v="4"/>
    <s v="Medicine"/>
    <s v="9781462514472"/>
    <s v=",1,2,3,4,5,6,216,217,218,214,215"/>
    <n v="11"/>
    <m/>
    <m/>
    <s v="No"/>
    <x v="3"/>
    <m/>
    <m/>
    <s v="128.205.114.91"/>
    <s v="RJ506.O66 -- .B375 2014eb"/>
    <n v="616.89008349999995"/>
    <d v="2014-05-14T00:00:00"/>
  </r>
  <r>
    <x v="2053"/>
    <d v="1899-12-30T00:00:50"/>
    <x v="562"/>
    <x v="2"/>
    <s v="hilbert"/>
    <x v="593"/>
    <n v="943954"/>
    <x v="14"/>
    <s v="History"/>
    <s v="9780786492770"/>
    <s v=",1,2,3,275,276,277,273,274,278,279,280,281,282,283,285,286"/>
    <n v="16"/>
    <m/>
    <m/>
    <s v="No"/>
    <x v="1"/>
    <m/>
    <m/>
    <s v="72.45.217.43"/>
    <s v="E176.1 -- .F215 2012eb"/>
    <s v="973.09/9"/>
    <d v="2012-06-01T00:00:00"/>
  </r>
  <r>
    <x v="2054"/>
    <d v="1899-12-30T00:04:01"/>
    <x v="563"/>
    <x v="0"/>
    <s v="Buffalo"/>
    <x v="0"/>
    <n v="1120290"/>
    <x v="0"/>
    <s v="Language/Linguistics"/>
    <s v="9781118347478"/>
    <s v=",1,2,3,5,6,7,8,9,10,11,12,13,14,15,16,18,19,20,17,25,26,27,23,24,28,29,30,31,34,36,37,38,35"/>
    <n v="33"/>
    <m/>
    <m/>
    <s v="No"/>
    <x v="1"/>
    <m/>
    <m/>
    <s v="128.205.114.91"/>
    <s v="PE1133 .C34 2012"/>
    <n v="421"/>
    <d v="2012-07-11T00:00:00"/>
  </r>
  <r>
    <x v="2055"/>
    <d v="1899-12-30T00:00:40"/>
    <x v="564"/>
    <x v="1"/>
    <s v="brockport"/>
    <x v="594"/>
    <n v="1120507"/>
    <x v="12"/>
    <s v="Social Science"/>
    <s v="9781469607191"/>
    <s v=",1,2,3,154,155,156,157,158,159,160"/>
    <n v="10"/>
    <m/>
    <m/>
    <s v="No"/>
    <x v="3"/>
    <m/>
    <m/>
    <s v="137.21.7.121"/>
    <s v="HQ75.28.U6 -- R58 2013eb"/>
    <s v="306.874086/64"/>
    <d v="2013-09-03T00:00:00"/>
  </r>
  <r>
    <x v="2056"/>
    <d v="1899-12-30T00:02:31"/>
    <x v="565"/>
    <x v="12"/>
    <s v="potsdam"/>
    <x v="595"/>
    <n v="894289"/>
    <x v="0"/>
    <s v="Medicine"/>
    <s v="9781118404430"/>
    <s v=",1,2,3,97,98,99,95,96,100,101,102,103,104"/>
    <n v="13"/>
    <m/>
    <m/>
    <s v="No"/>
    <x v="1"/>
    <m/>
    <m/>
    <s v="137.143.104.94"/>
    <s v="RC467 -- .C55 2013eb"/>
    <n v="616.89"/>
    <d v="2012-10-10T00:00:00"/>
  </r>
  <r>
    <x v="2057"/>
    <d v="1899-12-30T00:00:00"/>
    <x v="565"/>
    <x v="12"/>
    <s v="potsdam"/>
    <x v="596"/>
    <n v="1010497"/>
    <x v="0"/>
    <s v="Medicine"/>
    <s v="9781118314753"/>
    <s v=",21"/>
    <n v="1"/>
    <m/>
    <m/>
    <s v="No"/>
    <x v="0"/>
    <d v="2015-12-10T05:58:58"/>
    <n v="7"/>
    <s v="137.143.104.94"/>
    <s v="RC552.E18 -- E28 2012eb"/>
    <s v="616.85/26"/>
    <d v="2012-08-21T00:00:00"/>
  </r>
  <r>
    <x v="2058"/>
    <d v="1899-12-30T00:10:04"/>
    <x v="565"/>
    <x v="12"/>
    <s v="potsdam"/>
    <x v="596"/>
    <n v="1010497"/>
    <x v="0"/>
    <s v="Medicine"/>
    <s v="9781118314753"/>
    <s v=",1,2,3,25,26,27,23,24,28,22"/>
    <n v="10"/>
    <m/>
    <m/>
    <s v="No"/>
    <x v="1"/>
    <m/>
    <m/>
    <s v="137.143.104.94"/>
    <s v="RC552.E18 -- E28 2012eb"/>
    <s v="616.85/26"/>
    <d v="2012-08-21T00:00:00"/>
  </r>
  <r>
    <x v="2059"/>
    <d v="1899-12-30T00:03:18"/>
    <x v="26"/>
    <x v="6"/>
    <s v="sjfc"/>
    <x v="597"/>
    <n v="1397128"/>
    <x v="2"/>
    <s v="Political Science"/>
    <s v="9781317990031"/>
    <s v=",1,2,3,4,5,6,7,8,9,10,12,13,14,15,18,19,20,21,17,19,20,21,17,32,33,34,30,31,35,36,37,39,38,40,60,61,62,58,59,412,413,414,410,411,415,416,417,418,419,420,421,422,423,428,429,430,426,427"/>
    <n v="54"/>
    <m/>
    <m/>
    <s v="No"/>
    <x v="3"/>
    <m/>
    <m/>
    <s v="149.69.254.57"/>
    <m/>
    <n v="320.94929999999999"/>
    <d v="2013-09-13T00:00:00"/>
  </r>
  <r>
    <x v="2060"/>
    <d v="1899-12-30T00:00:41"/>
    <x v="566"/>
    <x v="15"/>
    <s v="morrisville"/>
    <x v="598"/>
    <n v="1895271"/>
    <x v="0"/>
    <s v="Medicine"/>
    <s v="9781119026655"/>
    <s v=",1,2,3,37,38,39,35,36,40,41"/>
    <n v="10"/>
    <m/>
    <m/>
    <s v="No"/>
    <x v="1"/>
    <m/>
    <m/>
    <s v="136.204.32.67"/>
    <s v="RC552.E18 -- .E28253 2013eb"/>
    <s v="616.85/2606"/>
    <d v="2015-01-07T00:00:00"/>
  </r>
  <r>
    <x v="2061"/>
    <d v="1899-12-30T00:00:00"/>
    <x v="468"/>
    <x v="0"/>
    <s v="Buffalo"/>
    <x v="508"/>
    <n v="1882107"/>
    <x v="3"/>
    <s v="History; Social Science"/>
    <s v="9780520961593"/>
    <m/>
    <n v="0"/>
    <s v=",95"/>
    <m/>
    <s v="No"/>
    <x v="0"/>
    <d v="2015-12-10T04:14:02"/>
    <n v="7"/>
    <s v="128.205.114.91"/>
    <s v="HX413.8.K68"/>
    <n v="952.03099999999995"/>
    <d v="2015-06-09T00:00:00"/>
  </r>
  <r>
    <x v="2062"/>
    <d v="1899-12-30T00:01:10"/>
    <x v="468"/>
    <x v="0"/>
    <s v="Buffalo"/>
    <x v="508"/>
    <n v="1882107"/>
    <x v="3"/>
    <s v="History; Social Science"/>
    <s v="9780520961593"/>
    <s v=",1,2,3,92,93,94,90,91,95,96,97"/>
    <n v="11"/>
    <m/>
    <m/>
    <s v="No"/>
    <x v="1"/>
    <m/>
    <m/>
    <s v="128.205.114.91"/>
    <s v="HX413.8.K68"/>
    <n v="952.03099999999995"/>
    <d v="2015-06-09T00:00:00"/>
  </r>
  <r>
    <x v="2063"/>
    <d v="1899-12-30T00:00:00"/>
    <x v="567"/>
    <x v="1"/>
    <s v="brockport"/>
    <x v="599"/>
    <n v="4025801"/>
    <x v="0"/>
    <s v="Social Science"/>
    <s v="9780745665283"/>
    <m/>
    <n v="0"/>
    <m/>
    <s v=",8,9,10,11,12,13,14,15,16,17,18,19,20,21,22,23,24,25,26,27,28,29,30,31,32,33,34,35,36,37,38,39,40,41,42,43,44,45,46,47,48,49,50,50,51,52,53,54,55,56,57,58,59,60,61,62,63,64,65,66,8,9,10,11,12,13,14,15,16,17,18,19,20,21,22,23,24,25,26,27,28,29,30,31,32,33,34,35,36,37,38,39,40,41,42,43,44,45,46,47,48,49,50,50,51,52,53,54,55,56,57,58,59,60,61,62,63,64,65,66,67,68,69,70,71,72,73,74,75,76,77,78,79,80,81,82,8,9,10,11,12,13,14,15,16,17,18,19,20,21,22,23,24,25,26,27,28,29,30,31,32,33,34,35,36,37,38,39,40,41,42,43,44,45,46,47,48,49,50,50,51,52,53,54,55,56,57,58,59,60,61,62,63,64,65,66,67,68,69,70,71,72,73,74,75,76,77,78,79,80,81,82,83,84,85,86,87,88,89,90,91,92,93,94,94,95,96,97,98,99,100,101,102,103,104,105,106,107,108,109,110,111,112,113,114,115,116"/>
    <s v="No"/>
    <x v="2"/>
    <d v="2015-12-10T03:37:50"/>
    <n v="1"/>
    <s v="137.21.7.121"/>
    <s v="H61"/>
    <n v="301.01"/>
    <d v="2013-06-28T00:00:00"/>
  </r>
  <r>
    <x v="2064"/>
    <d v="1899-12-30T00:00:26"/>
    <x v="567"/>
    <x v="1"/>
    <s v="brockport"/>
    <x v="599"/>
    <n v="4025801"/>
    <x v="0"/>
    <s v="Social Science"/>
    <s v="9780745665283"/>
    <s v=",1,2,3,4,5,6"/>
    <n v="6"/>
    <m/>
    <m/>
    <s v="No"/>
    <x v="3"/>
    <m/>
    <m/>
    <s v="137.21.7.121"/>
    <s v="H61"/>
    <n v="301.01"/>
    <d v="2013-06-28T00:00:00"/>
  </r>
  <r>
    <x v="2065"/>
    <d v="1899-12-30T00:15:33"/>
    <x v="560"/>
    <x v="1"/>
    <s v="brockport"/>
    <x v="151"/>
    <n v="968030"/>
    <x v="0"/>
    <s v="Psychology"/>
    <s v="9781118285138"/>
    <s v=",402,403,404,405,406,407,408,409,410,413,414,411,412,415"/>
    <n v="14"/>
    <m/>
    <m/>
    <s v="No"/>
    <x v="0"/>
    <d v="2015-12-10T03:26:27"/>
    <n v="7"/>
    <s v="137.21.7.121"/>
    <s v="BF637.C6 -- S85 2013eb"/>
    <n v="158.30000000000001"/>
    <d v="2012-07-10T00:00:00"/>
  </r>
  <r>
    <x v="2066"/>
    <d v="1899-12-30T00:28:14"/>
    <x v="231"/>
    <x v="0"/>
    <s v="Buffalo"/>
    <x v="103"/>
    <n v="865191"/>
    <x v="0"/>
    <s v="Social Science"/>
    <s v="9781118101681"/>
    <s v=",16,1,17,18,14,15,65,66,67,64,63,2,68,69,70,71,72,73,204,205,202,203,206,201,341,342,343,339,340,344,74,75,76,77,78,79,80,80,81,82,83,84,83,85,296,297,12,13,10,11,73,302,303,304,300,301,305,306,166,167,168,164,165,86,87,88,89,90,91,91,169,170,171"/>
    <n v="69"/>
    <m/>
    <m/>
    <s v="No"/>
    <x v="0"/>
    <d v="2015-12-10T02:37:33"/>
    <n v="7"/>
    <s v="128.205.114.91"/>
    <s v="HT166 -- .Y565 2012eb"/>
    <s v="307.1/216; 307.1216; 307.1416"/>
    <d v="2012-02-21T00:00:00"/>
  </r>
  <r>
    <x v="2067"/>
    <d v="1899-12-30T00:50:08"/>
    <x v="560"/>
    <x v="1"/>
    <s v="brockport"/>
    <x v="151"/>
    <n v="968030"/>
    <x v="0"/>
    <s v="Psychology"/>
    <s v="9781118285138"/>
    <s v=",1,2,3,399,400,401,397,398"/>
    <n v="8"/>
    <m/>
    <m/>
    <s v="No"/>
    <x v="1"/>
    <m/>
    <m/>
    <s v="137.21.7.121"/>
    <s v="BF637.C6 -- S85 2013eb"/>
    <n v="158.30000000000001"/>
    <d v="2012-07-10T00:00:00"/>
  </r>
  <r>
    <x v="2068"/>
    <d v="1899-12-30T00:05:32"/>
    <x v="568"/>
    <x v="8"/>
    <s v="niagaracc"/>
    <x v="477"/>
    <n v="1120279"/>
    <x v="0"/>
    <s v="Science: Biology/Natural History; Science"/>
    <s v="9781118537671"/>
    <s v=",1,2,3,52,53,54,50,51,55,56,57,58,59,60,61,62,63,64,65,66,73,74,75,71,72,76,77,78,79,80,81,82,83,84,85,99,100,101,97,98,102,149,150,151,148,147,152,153,154,155,160,161,162,158,159,163,164,165,166"/>
    <n v="59"/>
    <m/>
    <m/>
    <s v="No"/>
    <x v="1"/>
    <m/>
    <m/>
    <s v="132.174.254.37"/>
    <s v="QH371 .K384 2012"/>
    <n v="599.93499999999995"/>
    <d v="2012-11-19T00:00:00"/>
  </r>
  <r>
    <x v="2069"/>
    <d v="1899-12-30T00:03:53"/>
    <x v="569"/>
    <x v="13"/>
    <s v="buffalostate"/>
    <x v="600"/>
    <n v="867075"/>
    <x v="14"/>
    <s v="Fine Arts; Literature"/>
    <s v="9780786489473"/>
    <s v=",175,174,181,182,184,185,186,187,188,189,190,199,198,200,201,197,199,1,200,201,197,198,2"/>
    <n v="18"/>
    <s v=",199"/>
    <m/>
    <s v="No"/>
    <x v="0"/>
    <d v="2015-12-10T02:17:24"/>
    <n v="7"/>
    <s v="136.183.11.43"/>
    <s v="PN6725 -- .C633 2012eb"/>
    <s v="741.5/30973"/>
    <d v="2012-02-08T00:00:00"/>
  </r>
  <r>
    <x v="2070"/>
    <d v="1899-12-30T01:07:24"/>
    <x v="570"/>
    <x v="0"/>
    <s v="Buffalo"/>
    <x v="601"/>
    <n v="1675475"/>
    <x v="4"/>
    <s v="Medicine"/>
    <s v="9781462514342"/>
    <s v=",159,160,161,157,158,162,163,164,165,158,159,92,64,60,57,55,45,44,15,16,17,13,1,2,3,4,5,6,7,8"/>
    <n v="28"/>
    <m/>
    <m/>
    <s v="No"/>
    <x v="2"/>
    <d v="2015-12-10T02:08:37"/>
    <n v="1"/>
    <s v="128.205.114.91"/>
    <s v="RC553.A88 -- .A788 2014eb"/>
    <n v="616.85883200000001"/>
    <d v="2014-07-10T00:00:00"/>
  </r>
  <r>
    <x v="2071"/>
    <d v="1899-12-30T00:00:15"/>
    <x v="13"/>
    <x v="0"/>
    <s v="Buffalo"/>
    <x v="150"/>
    <n v="1882108"/>
    <x v="3"/>
    <s v="Literature"/>
    <s v="9780520961326"/>
    <s v=",1,2,3,4,5,6,7,8"/>
    <n v="8"/>
    <m/>
    <m/>
    <s v="No"/>
    <x v="0"/>
    <d v="2015-12-08T15:24:31"/>
    <n v="7"/>
    <s v="128.205.114.91"/>
    <s v="PA4025.A2 -- .H664 2015eb"/>
    <n v="883"/>
    <d v="2015-05-14T00:00:00"/>
  </r>
  <r>
    <x v="2072"/>
    <d v="1899-12-30T00:12:44"/>
    <x v="570"/>
    <x v="0"/>
    <s v="Buffalo"/>
    <x v="601"/>
    <n v="1675475"/>
    <x v="4"/>
    <s v="Medicine"/>
    <s v="9781462514342"/>
    <s v=",1,2,3"/>
    <n v="3"/>
    <m/>
    <m/>
    <s v="No"/>
    <x v="3"/>
    <m/>
    <m/>
    <s v="128.205.114.91"/>
    <s v="RC553.A88 -- .A788 2014eb"/>
    <n v="616.85883200000001"/>
    <d v="2014-07-10T00:00:00"/>
  </r>
  <r>
    <x v="2073"/>
    <d v="1899-12-30T00:00:07"/>
    <x v="571"/>
    <x v="1"/>
    <s v="brockport"/>
    <x v="602"/>
    <n v="3038360"/>
    <x v="11"/>
    <s v="Law; Social Science"/>
    <s v="9780226043692"/>
    <s v=",1,2,3"/>
    <n v="3"/>
    <m/>
    <m/>
    <s v="No"/>
    <x v="3"/>
    <m/>
    <m/>
    <s v="137.21.7.121"/>
    <s v="K5103 -- .R674 2013eb"/>
    <n v="364.601"/>
    <d v="2013-04-01T00:00:00"/>
  </r>
  <r>
    <x v="2074"/>
    <d v="1899-12-30T00:42:01"/>
    <x v="569"/>
    <x v="13"/>
    <s v="buffalostate"/>
    <x v="603"/>
    <n v="1710985"/>
    <x v="3"/>
    <s v="Literature; Fine Arts"/>
    <s v="9780520960022"/>
    <s v=",130,132,131,128,129,133,13,14,15,11,12,16,17,18,19,20,21,22,24,23,25,26,27,28,29,30,31,32,41,42,43,40,39,360,361,362,358,359,363,364,365,366,367,368,369,371,372,117,118,115"/>
    <n v="50"/>
    <m/>
    <m/>
    <s v="No"/>
    <x v="2"/>
    <d v="2015-12-10T01:32:30"/>
    <n v="1"/>
    <s v="136.183.11.43"/>
    <s v="PN6725 -- .B37225 2015eb"/>
    <n v="741.59"/>
    <d v="2014-11-27T00:00:00"/>
  </r>
  <r>
    <x v="2075"/>
    <d v="1899-12-30T01:05:11"/>
    <x v="231"/>
    <x v="0"/>
    <s v="Buffalo"/>
    <x v="103"/>
    <n v="865191"/>
    <x v="0"/>
    <s v="Social Science"/>
    <s v="9781118101681"/>
    <s v=",1,2,3,28,29,30,31,27,32,33,34,35,29,44,45,46,42,43,47,41,40,39,44,38,37,36,12,4,5,6,7,8,9,10,11,13,14,15,16"/>
    <n v="37"/>
    <m/>
    <m/>
    <s v="No"/>
    <x v="1"/>
    <m/>
    <m/>
    <s v="128.205.114.91"/>
    <s v="HT166 -- .Y565 2012eb"/>
    <s v="307.1/216; 307.1216; 307.1416"/>
    <d v="2012-02-21T00:00:00"/>
  </r>
  <r>
    <x v="2076"/>
    <d v="1899-12-30T00:53:38"/>
    <x v="569"/>
    <x v="13"/>
    <s v="buffalostate"/>
    <x v="600"/>
    <n v="867075"/>
    <x v="14"/>
    <s v="Fine Arts; Literature"/>
    <s v="9780786489473"/>
    <s v=",1,2,3,179,180,176,177,28,29,30,26,39,40,41,37,38,54,55,56,52,53,57,58,64,65,66,63,77,78,79,75,76,101,102,103,99,138,139,140,136,137"/>
    <n v="41"/>
    <m/>
    <m/>
    <s v="No"/>
    <x v="1"/>
    <m/>
    <m/>
    <s v="136.183.11.43"/>
    <s v="PN6725 -- .C633 2012eb"/>
    <s v="741.5/30973"/>
    <d v="2012-02-08T00:00:00"/>
  </r>
  <r>
    <x v="2077"/>
    <d v="1899-12-30T00:08:47"/>
    <x v="569"/>
    <x v="13"/>
    <s v="buffalostate"/>
    <x v="603"/>
    <n v="1710985"/>
    <x v="3"/>
    <s v="Literature; Fine Arts"/>
    <s v="9780520960022"/>
    <s v=",1,2,3"/>
    <n v="3"/>
    <m/>
    <m/>
    <s v="No"/>
    <x v="3"/>
    <m/>
    <m/>
    <s v="136.183.11.43"/>
    <s v="PN6725 -- .B37225 2015eb"/>
    <n v="741.59"/>
    <d v="2014-11-27T00:00:00"/>
  </r>
  <r>
    <x v="2078"/>
    <d v="1899-12-30T00:00:30"/>
    <x v="572"/>
    <x v="15"/>
    <s v="morrisville"/>
    <x v="604"/>
    <n v="1680798"/>
    <x v="0"/>
    <s v="Psychology"/>
    <s v="9780857085597"/>
    <s v=",1,2,3,31,32,33,29,30,34,35,36"/>
    <n v="11"/>
    <m/>
    <m/>
    <s v="No"/>
    <x v="3"/>
    <m/>
    <m/>
    <s v="136.204.32.67"/>
    <s v="BF637.S8 .H384 2014"/>
    <n v="158"/>
    <d v="2014-04-24T00:00:00"/>
  </r>
  <r>
    <x v="2079"/>
    <d v="1899-12-30T00:00:47"/>
    <x v="525"/>
    <x v="0"/>
    <s v="Buffalo"/>
    <x v="477"/>
    <n v="1120279"/>
    <x v="0"/>
    <s v="Science: Biology/Natural History; Science"/>
    <s v="9781118537671"/>
    <s v=",1,121,123,119,122,120,117,118,124,125,126,2,127,128,129,130,131,132"/>
    <n v="18"/>
    <m/>
    <m/>
    <s v="No"/>
    <x v="0"/>
    <d v="2015-12-10T00:43:34"/>
    <n v="7"/>
    <s v="128.205.114.91"/>
    <s v="QH371 .K384 2012"/>
    <n v="599.93499999999995"/>
    <d v="2012-11-19T00:00:00"/>
  </r>
  <r>
    <x v="2080"/>
    <d v="1899-12-30T00:01:58"/>
    <x v="573"/>
    <x v="12"/>
    <s v="potsdam"/>
    <x v="518"/>
    <n v="1895714"/>
    <x v="0"/>
    <s v="History"/>
    <s v="9781118896112"/>
    <s v=",1,2,3,9,10,8,42,48,52,17,15,16,13,14,51,53,50,49,54,46,47"/>
    <n v="21"/>
    <m/>
    <m/>
    <s v="No"/>
    <x v="1"/>
    <m/>
    <m/>
    <s v="137.143.104.94"/>
    <s v="DT60 .B373 2014"/>
    <n v="932"/>
    <d v="2015-01-07T00:00:00"/>
  </r>
  <r>
    <x v="2081"/>
    <d v="1899-12-30T00:00:07"/>
    <x v="574"/>
    <x v="7"/>
    <s v="oneonta"/>
    <x v="499"/>
    <n v="1172554"/>
    <x v="15"/>
    <s v="History"/>
    <s v=""/>
    <s v=",262,262"/>
    <n v="1"/>
    <m/>
    <m/>
    <s v="No"/>
    <x v="0"/>
    <d v="2015-12-10T00:27:16"/>
    <n v="7"/>
    <s v="137.141.13.2"/>
    <s v="DF234 .A67 2012"/>
    <s v="938.07092; 938/.07092"/>
    <d v="2013-04-11T00:00:00"/>
  </r>
  <r>
    <x v="2082"/>
    <d v="1899-12-30T01:16:41"/>
    <x v="525"/>
    <x v="0"/>
    <s v="Buffalo"/>
    <x v="477"/>
    <n v="1120279"/>
    <x v="0"/>
    <s v="Science: Biology/Natural History; Science"/>
    <s v="9781118537671"/>
    <s v=",1,2,3,114,115,116,117,113,112,118,119,120,121"/>
    <n v="13"/>
    <m/>
    <m/>
    <s v="No"/>
    <x v="1"/>
    <m/>
    <m/>
    <s v="128.205.114.91"/>
    <s v="QH371 .K384 2012"/>
    <n v="599.93499999999995"/>
    <d v="2012-11-19T00:00:00"/>
  </r>
  <r>
    <x v="2083"/>
    <d v="1899-12-30T00:00:03"/>
    <x v="575"/>
    <x v="0"/>
    <s v="Buffalo"/>
    <x v="605"/>
    <n v="832297"/>
    <x v="0"/>
    <s v="History"/>
    <s v="9781118300947"/>
    <s v=",1,2,3"/>
    <n v="3"/>
    <m/>
    <m/>
    <s v="No"/>
    <x v="0"/>
    <d v="2015-12-06T22:56:59"/>
    <n v="7"/>
    <s v="128.205.114.91"/>
    <s v="DF12 -- .R65 2011eb"/>
    <n v="938"/>
    <d v="2011-12-19T00:00:00"/>
  </r>
  <r>
    <x v="2084"/>
    <d v="1899-12-30T01:37:55"/>
    <x v="574"/>
    <x v="7"/>
    <s v="oneonta"/>
    <x v="499"/>
    <n v="1172554"/>
    <x v="15"/>
    <s v="History"/>
    <s v=""/>
    <s v=",1,2,3,4,5,6,7,8,9,10,262,263,264,260,261"/>
    <n v="15"/>
    <m/>
    <m/>
    <s v="No"/>
    <x v="1"/>
    <m/>
    <m/>
    <s v="137.141.13.2"/>
    <s v="DF234 .A67 2012"/>
    <s v="938.07092; 938/.07092"/>
    <d v="2013-04-11T00:00:00"/>
  </r>
  <r>
    <x v="2085"/>
    <d v="1899-12-30T01:19:40"/>
    <x v="543"/>
    <x v="0"/>
    <s v="Buffalo"/>
    <x v="7"/>
    <n v="1711065"/>
    <x v="3"/>
    <s v="Political Science; Social Science"/>
    <s v="9780520959156"/>
    <s v=",212,213,214,215,216,217,218,219,220,221,222,223,224,225,226,227,329,324,323,325,292,269,260,257,251,243,242,241,239,240,244,245,246,247,248,249,250,252,253,264,266,272,275,277,280,285,284,286,282,283,287,288,289,290,291,293,294,347,341,342,343,344,345,346,348,349,350,351,352,353,354,355,356,357,358,359,360,361,362,363,364,365,366,367,374,388,386,385,384,382,383,389,390,387,1,388,389,385,386,2,390"/>
    <n v="96"/>
    <m/>
    <m/>
    <s v="No"/>
    <x v="0"/>
    <d v="2015-12-09T22:38:59"/>
    <n v="7"/>
    <s v="128.205.114.91"/>
    <s v="JV6450 -- .P67 2014eb"/>
    <s v="304.8/73"/>
    <d v="2014-08-30T00:00:00"/>
  </r>
  <r>
    <x v="2086"/>
    <d v="1899-12-30T00:11:47"/>
    <x v="543"/>
    <x v="0"/>
    <s v="Buffalo"/>
    <x v="7"/>
    <n v="1711065"/>
    <x v="3"/>
    <s v="Political Science; Social Science"/>
    <s v="9780520959156"/>
    <s v=",1,2,3,204,205,206,202,203,207,208,209,210,211"/>
    <n v="13"/>
    <m/>
    <m/>
    <s v="No"/>
    <x v="1"/>
    <m/>
    <m/>
    <s v="128.205.114.91"/>
    <s v="JV6450 -- .P67 2014eb"/>
    <s v="304.8/73"/>
    <d v="2014-08-30T00:00:00"/>
  </r>
  <r>
    <x v="2087"/>
    <d v="1899-12-30T00:00:03"/>
    <x v="576"/>
    <x v="1"/>
    <s v="brockport"/>
    <x v="606"/>
    <n v="1344554"/>
    <x v="2"/>
    <s v="Political Science; Social Science"/>
    <s v="9781136285516"/>
    <s v=",1,18"/>
    <n v="2"/>
    <m/>
    <m/>
    <s v="No"/>
    <x v="3"/>
    <m/>
    <m/>
    <s v="137.21.7.121"/>
    <s v="JZ5865.B56 -- .B576 2013eb"/>
    <n v="363.32537000000002"/>
    <d v="2013-08-15T00:00:00"/>
  </r>
  <r>
    <x v="2088"/>
    <d v="1899-12-30T00:00:03"/>
    <x v="576"/>
    <x v="1"/>
    <s v="brockport"/>
    <x v="606"/>
    <n v="1344554"/>
    <x v="2"/>
    <s v="Political Science; Social Science"/>
    <s v="9781136285516"/>
    <s v=",1,2"/>
    <n v="2"/>
    <m/>
    <m/>
    <s v="No"/>
    <x v="3"/>
    <m/>
    <m/>
    <s v="137.21.7.121"/>
    <s v="JZ5865.B56 -- .B576 2013eb"/>
    <n v="363.32537000000002"/>
    <d v="2013-08-15T00:00:00"/>
  </r>
  <r>
    <x v="2089"/>
    <d v="1899-12-30T00:00:39"/>
    <x v="574"/>
    <x v="7"/>
    <s v="oneonta"/>
    <x v="607"/>
    <n v="1979914"/>
    <x v="11"/>
    <s v="History"/>
    <s v="9780226229195"/>
    <s v=",1,2,3,4,5,7,6,8,9,10,11,12"/>
    <n v="12"/>
    <m/>
    <m/>
    <s v="No"/>
    <x v="3"/>
    <m/>
    <m/>
    <s v="137.141.13.2"/>
    <s v="DA153 -- .D85 1958eb"/>
    <s v="942.01/64/0924"/>
    <d v="2014-12-10T00:00:00"/>
  </r>
  <r>
    <x v="2090"/>
    <d v="1899-12-30T00:00:03"/>
    <x v="577"/>
    <x v="1"/>
    <s v="brockport"/>
    <x v="207"/>
    <n v="979950"/>
    <x v="14"/>
    <s v="Literature"/>
    <s v="9781476600321"/>
    <s v=",1,3,2"/>
    <n v="3"/>
    <m/>
    <m/>
    <s v="No"/>
    <x v="0"/>
    <d v="2015-12-09T21:44:48"/>
    <n v="7"/>
    <s v="137.21.7.121"/>
    <s v="PS3603.O4558 -- Z84 2012eb"/>
    <s v="813/.6"/>
    <d v="2012-07-10T00:00:00"/>
  </r>
  <r>
    <x v="2091"/>
    <d v="1899-12-30T00:00:54"/>
    <x v="578"/>
    <x v="0"/>
    <s v="Buffalo"/>
    <x v="608"/>
    <n v="1986617"/>
    <x v="4"/>
    <s v="Psychology"/>
    <s v="9781462520398"/>
    <s v=",1,2,3,4,93,94,95,91"/>
    <n v="8"/>
    <m/>
    <m/>
    <s v="No"/>
    <x v="3"/>
    <m/>
    <m/>
    <s v="128.205.114.91"/>
    <s v="BF385 .M26 2015"/>
    <s v="153.1; 153.14"/>
    <d v="2015-06-23T00:00:00"/>
  </r>
  <r>
    <x v="2092"/>
    <d v="1899-12-30T00:00:00"/>
    <x v="577"/>
    <x v="1"/>
    <s v="brockport"/>
    <x v="207"/>
    <n v="979950"/>
    <x v="14"/>
    <s v="Literature"/>
    <s v="9781476600321"/>
    <m/>
    <n v="0"/>
    <m/>
    <s v=",89,90,91,92,93,94,95,96,97,107,108,109,110,111,112,113,114,115,116"/>
    <s v="No"/>
    <x v="0"/>
    <d v="2015-12-09T21:44:48"/>
    <n v="7"/>
    <s v="137.21.7.121"/>
    <s v="PS3603.O4558 -- Z84 2012eb"/>
    <s v="813/.6"/>
    <d v="2012-07-10T00:00:00"/>
  </r>
  <r>
    <x v="2093"/>
    <d v="1899-12-30T00:05:12"/>
    <x v="577"/>
    <x v="1"/>
    <s v="brockport"/>
    <x v="207"/>
    <n v="979950"/>
    <x v="14"/>
    <s v="Literature"/>
    <s v="9781476600321"/>
    <s v=",1,2,3,29,30,31,27,28,26,32,33,16,4,218,219,220,216,217"/>
    <n v="18"/>
    <m/>
    <m/>
    <s v="No"/>
    <x v="1"/>
    <m/>
    <m/>
    <s v="137.21.7.121"/>
    <s v="PS3603.O4558 -- Z84 2012eb"/>
    <s v="813/.6"/>
    <d v="2012-07-10T00:00:00"/>
  </r>
  <r>
    <x v="2094"/>
    <d v="1899-12-30T00:15:53"/>
    <x v="480"/>
    <x v="0"/>
    <s v="Buffalo"/>
    <x v="524"/>
    <n v="1742625"/>
    <x v="11"/>
    <s v="Social Science; Business/Management"/>
    <s v="9780226135250"/>
    <s v=",1,2,3,1,2,3,16,17,16,18,17,18,14,15,15,20,21,22,19,22,19,21,20,2,16,17,14,15,19,20,21,22,308,308,309,309,307,310,306,307,310,16,17,18,14,15,24,24,25,26,25,22,26,23,23,20,21,19,18,16,17,21,22,23,24"/>
    <n v="21"/>
    <m/>
    <m/>
    <s v="No"/>
    <x v="2"/>
    <d v="2015-12-09T19:19:44"/>
    <n v="1"/>
    <s v="128.205.114.91"/>
    <s v="HD268"/>
    <s v="363.5/99960730759381"/>
    <d v="2014-08-25T00:00:00"/>
  </r>
  <r>
    <x v="2095"/>
    <d v="1899-12-30T00:02:41"/>
    <x v="579"/>
    <x v="1"/>
    <s v="brockport"/>
    <x v="609"/>
    <n v="2089475"/>
    <x v="0"/>
    <s v="Social Science"/>
    <s v="9781119003656"/>
    <s v=",1,2,3,284,285,286,282,283,287,288,289,290,291,300,301,302,298,299,297,303,304,305,306,307,308,322,323,324,320,321"/>
    <n v="30"/>
    <m/>
    <m/>
    <s v="No"/>
    <x v="3"/>
    <m/>
    <m/>
    <s v="137.21.7.121"/>
    <s v="H62"/>
    <s v="300/.72"/>
    <d v="2015-07-06T00:00:00"/>
  </r>
  <r>
    <x v="2096"/>
    <d v="1899-12-30T01:12:58"/>
    <x v="64"/>
    <x v="6"/>
    <s v="sjfc"/>
    <x v="75"/>
    <n v="1986951"/>
    <x v="0"/>
    <s v="Business/Management"/>
    <s v="9781119130468"/>
    <s v=",1,2,3,53,54,55,51,56,57,59,58,60,61,62,63,64,65,66,67,111,112,109,110,113,114,109,115,116,117,118,119,120,121,122,123,124,126,127,128,129,138,139,140,137,136,125,53,54,55,51,56,52,57,109,110"/>
    <n v="46"/>
    <s v=",112,112,113,126"/>
    <m/>
    <s v="No"/>
    <x v="0"/>
    <d v="2015-12-04T19:47:43"/>
    <n v="7"/>
    <s v="149.69.254.57"/>
    <s v="HF5661"/>
    <n v="657.07600000000002"/>
    <d v="2015-05-19T00:00:00"/>
  </r>
  <r>
    <x v="2097"/>
    <d v="1899-12-30T00:18:18"/>
    <x v="580"/>
    <x v="0"/>
    <s v="Buffalo"/>
    <x v="498"/>
    <n v="867850"/>
    <x v="10"/>
    <s v="History"/>
    <s v="9781400834860"/>
    <s v=",1,2,3,4,5,6,9,10,11,7,8,32,33,34,30,31,26,27,28,24,25,29,30,23"/>
    <n v="23"/>
    <m/>
    <m/>
    <s v="No"/>
    <x v="1"/>
    <m/>
    <m/>
    <s v="128.205.114.91"/>
    <s v="DF234.37 -- .B7413 2010eb"/>
    <s v="938/.07092"/>
    <d v="2012-03-25T00:00:00"/>
  </r>
  <r>
    <x v="2098"/>
    <d v="1899-12-30T00:42:14"/>
    <x v="581"/>
    <x v="1"/>
    <s v="brockport"/>
    <x v="610"/>
    <n v="1969437"/>
    <x v="1"/>
    <s v="Social Science"/>
    <s v="9781472453358"/>
    <s v=",25,18,26,27,28,17"/>
    <n v="6"/>
    <m/>
    <m/>
    <s v="No"/>
    <x v="2"/>
    <d v="2015-12-09T19:41:36"/>
    <n v="1"/>
    <s v="137.21.7.121"/>
    <s v="HT391 -- .L565 2015eb"/>
    <s v="307.1/2"/>
    <d v="2015-03-28T00:00:00"/>
  </r>
  <r>
    <x v="2099"/>
    <d v="1899-12-30T00:05:10"/>
    <x v="581"/>
    <x v="1"/>
    <s v="brockport"/>
    <x v="610"/>
    <n v="1969437"/>
    <x v="1"/>
    <s v="Social Science"/>
    <s v="9781472453358"/>
    <s v=",1,2,3,4,6,7,8,5,9,20,21,22,18,19,23,24"/>
    <n v="16"/>
    <m/>
    <m/>
    <s v="No"/>
    <x v="3"/>
    <m/>
    <m/>
    <s v="137.21.7.121"/>
    <s v="HT391 -- .L565 2015eb"/>
    <s v="307.1/2"/>
    <d v="2015-03-28T00:00:00"/>
  </r>
  <r>
    <x v="2100"/>
    <d v="1899-12-30T00:15:02"/>
    <x v="582"/>
    <x v="0"/>
    <s v="Buffalo"/>
    <x v="570"/>
    <n v="2130028"/>
    <x v="11"/>
    <s v="Engineering; Economics; Engineering: Civil; Environmental Studies"/>
    <s v="9780226284453"/>
    <s v=",17,18,19,20"/>
    <n v="4"/>
    <m/>
    <m/>
    <s v="No"/>
    <x v="2"/>
    <d v="2015-12-09T19:26:11"/>
    <n v="1"/>
    <s v="128.205.114.91"/>
    <s v="TC556"/>
    <n v="333.91009730000002"/>
    <d v="2015-09-25T00:00:00"/>
  </r>
  <r>
    <x v="2101"/>
    <d v="1899-12-30T00:05:36"/>
    <x v="582"/>
    <x v="0"/>
    <s v="Buffalo"/>
    <x v="570"/>
    <n v="2130028"/>
    <x v="11"/>
    <s v="Engineering; Economics; Engineering: Civil; Environmental Studies"/>
    <s v="9780226284453"/>
    <s v=",1,3,2,4,5,6,7,8,9,10,11,12,13,14,15,16"/>
    <n v="16"/>
    <m/>
    <m/>
    <s v="No"/>
    <x v="3"/>
    <m/>
    <m/>
    <s v="128.205.114.91"/>
    <s v="TC556"/>
    <n v="333.91009730000002"/>
    <d v="2015-09-25T00:00:00"/>
  </r>
  <r>
    <x v="2102"/>
    <d v="1899-12-30T00:00:38"/>
    <x v="480"/>
    <x v="0"/>
    <s v="Buffalo"/>
    <x v="524"/>
    <n v="1742625"/>
    <x v="11"/>
    <s v="Social Science; Business/Management"/>
    <s v="9780226135250"/>
    <s v=",16,17,18,14,15,19,19"/>
    <n v="6"/>
    <m/>
    <m/>
    <s v="No"/>
    <x v="2"/>
    <d v="2015-12-09T19:19:44"/>
    <n v="1"/>
    <s v="128.205.114.91"/>
    <s v="HD268"/>
    <s v="363.5/99960730759381"/>
    <d v="2014-08-25T00:00:00"/>
  </r>
  <r>
    <x v="2103"/>
    <d v="1899-12-30T00:32:03"/>
    <x v="480"/>
    <x v="0"/>
    <s v="Buffalo"/>
    <x v="524"/>
    <n v="1742625"/>
    <x v="11"/>
    <s v="Social Science; Business/Management"/>
    <s v="9780226135250"/>
    <s v=",1,2,2,3,1,3,2,2,8,8,10,9,10,9,6,7,7,16,17,16,17,18,14,18,15,8,9,10,6,7,15"/>
    <n v="13"/>
    <m/>
    <m/>
    <s v="No"/>
    <x v="3"/>
    <m/>
    <m/>
    <s v="128.205.114.91"/>
    <s v="HD268"/>
    <s v="363.5/99960730759381"/>
    <d v="2014-08-25T00:00:00"/>
  </r>
  <r>
    <x v="2104"/>
    <d v="1899-12-30T00:31:02"/>
    <x v="583"/>
    <x v="0"/>
    <s v="Buffalo"/>
    <x v="605"/>
    <n v="832297"/>
    <x v="0"/>
    <s v="History"/>
    <s v="9781118300947"/>
    <s v=",1,2,2,3,3,1,2,2,265,265,266,266,267,267,263,264,264,268,268,269,269,270,270,275,276,275,277,276,277,273,274,274,278,278,273,278,273,278,269,270,271,267,271,268,272,272,273,274,275,276,277,278,279,279,280,280,275"/>
    <n v="21"/>
    <m/>
    <m/>
    <s v="No"/>
    <x v="0"/>
    <d v="2015-12-09T17:37:44"/>
    <n v="7"/>
    <s v="128.205.114.91"/>
    <s v="DF12 -- .R65 2011eb"/>
    <n v="938"/>
    <d v="2011-12-19T00:00:00"/>
  </r>
  <r>
    <x v="2105"/>
    <d v="1899-12-30T01:56:20"/>
    <x v="584"/>
    <x v="7"/>
    <s v="oneonta"/>
    <x v="611"/>
    <n v="917254"/>
    <x v="4"/>
    <s v="Medicine"/>
    <s v="9781462505067"/>
    <s v=",61,62,57,56,61,1,2,3,1,2,3,6,7,8,4,5,347,348,349,338,339,340,336,3,7,58,59,60,56,61,57,62,63,64,65,66,67,68,69,70,71,72,102,103,100,101,105,106,74,75,76,72,104,100,101,107,108,109,110,111,112,113,114,115,116,117,118,119,120,121,114,113,112,110,111,109,107,108,106,105,104,103,102,101,100,106,107,108,109,110,111,112,112,113,107,106,105,104,103,102,2,3,4,5,6,7,58,59,60,56,57,61,62,63,64,285,286,287,283,284"/>
    <n v="62"/>
    <m/>
    <m/>
    <s v="No"/>
    <x v="0"/>
    <d v="2015-12-09T18:10:17"/>
    <n v="7"/>
    <s v="137.141.13.2"/>
    <s v="RJ506.A9 -- R64 2012eb"/>
    <n v="618.92858820000004"/>
    <d v="2014-05-14T00:00:00"/>
  </r>
  <r>
    <x v="2106"/>
    <d v="1899-12-30T00:00:11"/>
    <x v="585"/>
    <x v="5"/>
    <s v="erie"/>
    <x v="612"/>
    <n v="4039175"/>
    <x v="0"/>
    <s v="Literature"/>
    <s v="9781118843185"/>
    <s v=",1,2,3,14,15,16,13,12"/>
    <n v="8"/>
    <m/>
    <m/>
    <s v="No"/>
    <x v="3"/>
    <m/>
    <m/>
    <s v="199.29.6.54"/>
    <s v="PR457 -- .W8 2015eb"/>
    <n v="820.9008"/>
    <d v="2015-03-09T00:00:00"/>
  </r>
  <r>
    <x v="2107"/>
    <d v="1899-12-30T01:00:24"/>
    <x v="583"/>
    <x v="0"/>
    <s v="Buffalo"/>
    <x v="605"/>
    <n v="832297"/>
    <x v="0"/>
    <s v="History"/>
    <s v="9781118300947"/>
    <s v=",272,271,271,269,278,278,279,275,279,276,277,274,278,278,279,274,273,272,271,276,277,278,279,274"/>
    <n v="10"/>
    <m/>
    <m/>
    <s v="No"/>
    <x v="0"/>
    <d v="2015-12-09T17:37:44"/>
    <n v="7"/>
    <s v="128.205.114.91"/>
    <s v="DF12 -- .R65 2011eb"/>
    <n v="938"/>
    <d v="2011-12-19T00:00:00"/>
  </r>
  <r>
    <x v="2108"/>
    <d v="1899-12-30T00:08:35"/>
    <x v="583"/>
    <x v="0"/>
    <s v="Buffalo"/>
    <x v="605"/>
    <n v="832297"/>
    <x v="0"/>
    <s v="History"/>
    <s v="9781118300947"/>
    <s v=",2,1,2,3,3,1,2,2,275,276,277,276,277,275,274,274,273"/>
    <n v="8"/>
    <m/>
    <m/>
    <s v="No"/>
    <x v="1"/>
    <m/>
    <m/>
    <s v="128.205.114.91"/>
    <s v="DF12 -- .R65 2011eb"/>
    <n v="938"/>
    <d v="2011-12-19T00:00:00"/>
  </r>
  <r>
    <x v="2109"/>
    <d v="1899-12-30T01:11:18"/>
    <x v="586"/>
    <x v="7"/>
    <s v="oneonta"/>
    <x v="613"/>
    <n v="1935791"/>
    <x v="0"/>
    <s v="Business/Management; Economics"/>
    <s v="9781118909935"/>
    <s v=",1,2,3,4,5,6,7,8,9,61,63,62,60,59,64,82,83,84,80,81,85,86,80,86"/>
    <n v="22"/>
    <m/>
    <m/>
    <s v="No"/>
    <x v="0"/>
    <d v="2015-12-07T23:43:33"/>
    <n v="7"/>
    <s v="137.141.13.2"/>
    <s v="HC427.92 -- .C4782 2015eb"/>
    <n v="338.95100000000002"/>
    <d v="2014-12-22T00:00:00"/>
  </r>
  <r>
    <x v="2110"/>
    <d v="1899-12-30T00:04:38"/>
    <x v="585"/>
    <x v="5"/>
    <s v="erie"/>
    <x v="614"/>
    <n v="4039690"/>
    <x v="0"/>
    <s v="Literature"/>
    <s v="9781118902158"/>
    <s v=",121,122,123,119,124,125,126,127,81,82,83,80,84,85,86,87,88,89,132,128"/>
    <n v="20"/>
    <m/>
    <m/>
    <s v="No"/>
    <x v="0"/>
    <d v="2015-12-09T17:20:30"/>
    <n v="7"/>
    <s v="199.29.6.54"/>
    <s v="PN98.P67 -- .L83 2016eb"/>
    <s v="801/.95"/>
    <d v="2015-09-09T00:00:00"/>
  </r>
  <r>
    <x v="2111"/>
    <d v="1899-12-30T00:07:05"/>
    <x v="585"/>
    <x v="5"/>
    <s v="erie"/>
    <x v="614"/>
    <n v="4039690"/>
    <x v="0"/>
    <s v="Literature"/>
    <s v="9781118902158"/>
    <s v=",2,1,3,4,5,79"/>
    <n v="6"/>
    <m/>
    <m/>
    <s v="No"/>
    <x v="3"/>
    <m/>
    <m/>
    <s v="199.29.6.54"/>
    <s v="PN98.P67 -- .L83 2016eb"/>
    <s v="801/.95"/>
    <d v="2015-09-09T00:00:00"/>
  </r>
  <r>
    <x v="2112"/>
    <d v="1899-12-30T00:59:20"/>
    <x v="584"/>
    <x v="7"/>
    <s v="oneonta"/>
    <x v="611"/>
    <n v="917254"/>
    <x v="4"/>
    <s v="Medicine"/>
    <s v="9781462505067"/>
    <s v=",1,2,3,58,59,60,56,57,59,60,56,58,59,60,56,57,58,60,56"/>
    <n v="8"/>
    <m/>
    <m/>
    <s v="No"/>
    <x v="1"/>
    <m/>
    <m/>
    <s v="137.141.13.2"/>
    <s v="RJ506.A9 -- R64 2012eb"/>
    <n v="618.92858820000004"/>
    <d v="2014-05-14T00:00:00"/>
  </r>
  <r>
    <x v="2113"/>
    <d v="1899-12-30T00:04:13"/>
    <x v="585"/>
    <x v="5"/>
    <s v="erie"/>
    <x v="615"/>
    <n v="1461134"/>
    <x v="2"/>
    <s v="Literature"/>
    <s v="9781135052980"/>
    <s v=",154,155,156,157,158,159,160"/>
    <n v="7"/>
    <m/>
    <m/>
    <s v="No"/>
    <x v="2"/>
    <d v="2015-12-09T17:08:26"/>
    <n v="1"/>
    <s v="199.29.6.54"/>
    <s v="PN94 -- .B47 2014eb"/>
    <n v="801"/>
    <d v="2013-10-08T00:00:00"/>
  </r>
  <r>
    <x v="2114"/>
    <d v="1899-12-30T00:05:16"/>
    <x v="585"/>
    <x v="5"/>
    <s v="erie"/>
    <x v="615"/>
    <n v="1461134"/>
    <x v="2"/>
    <s v="Literature"/>
    <s v="9781135052980"/>
    <s v=",2,3,1,8,9,10,6,7,11,132,133,134,130,131,135,136,137,138,139,140,141,142,143,144,145,146,147,148,149,150,152,153,154,155,151,156,153"/>
    <n v="36"/>
    <m/>
    <m/>
    <s v="No"/>
    <x v="3"/>
    <m/>
    <m/>
    <s v="199.29.6.54"/>
    <s v="PN94 -- .B47 2014eb"/>
    <n v="801"/>
    <d v="2013-10-08T00:00:00"/>
  </r>
  <r>
    <x v="2115"/>
    <d v="1899-12-30T00:02:24"/>
    <x v="587"/>
    <x v="1"/>
    <s v="brockport"/>
    <x v="616"/>
    <n v="3039551"/>
    <x v="12"/>
    <s v="History"/>
    <s v="9781469623184"/>
    <s v=",1,2,2,3,3,1,10,11,12,10,11,12,8,9,9,2,13,13,14,14"/>
    <n v="10"/>
    <m/>
    <m/>
    <s v="No"/>
    <x v="2"/>
    <d v="2015-12-09T14:47:02"/>
    <n v="1"/>
    <s v="137.21.7.121"/>
    <s v="E468.9 -- .G355 2015eb"/>
    <s v="973.7/1"/>
    <d v="2015-05-01T00:00:00"/>
  </r>
  <r>
    <x v="2116"/>
    <d v="1899-12-30T00:00:21"/>
    <x v="587"/>
    <x v="1"/>
    <s v="brockport"/>
    <x v="617"/>
    <n v="1562532"/>
    <x v="2"/>
    <s v="History"/>
    <s v="9781317882411"/>
    <s v=",2,1,2,3,3,1,2,2"/>
    <n v="3"/>
    <m/>
    <m/>
    <s v="No"/>
    <x v="3"/>
    <m/>
    <m/>
    <s v="137.21.7.121"/>
    <s v="E468 -- .M58 2013eb"/>
    <n v="973.7"/>
    <d v="2013-11-14T00:00:00"/>
  </r>
  <r>
    <x v="2117"/>
    <d v="1899-12-30T00:00:00"/>
    <x v="558"/>
    <x v="1"/>
    <s v="brockport"/>
    <x v="590"/>
    <n v="837573"/>
    <x v="0"/>
    <s v="Social Science"/>
    <s v="9781444354805"/>
    <m/>
    <n v="0"/>
    <m/>
    <m/>
    <s v="Yes"/>
    <x v="0"/>
    <d v="2015-12-09T16:14:58"/>
    <n v="7"/>
    <s v="137.21.7.121"/>
    <s v="HQ1127 -- .C637 2012eb"/>
    <n v="305.40929999999997"/>
    <d v="2012-01-09T00:00:00"/>
  </r>
  <r>
    <x v="2118"/>
    <d v="1899-12-30T00:00:35"/>
    <x v="588"/>
    <x v="1"/>
    <s v="brockport"/>
    <x v="1"/>
    <n v="1684620"/>
    <x v="0"/>
    <s v="Health; Social Science"/>
    <s v="9781118418925"/>
    <s v=",1,122,123,124,120,121,125,126,2"/>
    <n v="9"/>
    <m/>
    <m/>
    <s v="No"/>
    <x v="0"/>
    <d v="2015-12-06T01:09:01"/>
    <n v="7"/>
    <s v="137.21.7.121"/>
    <s v="RA971 -- .S56 2014eb"/>
    <n v="362.10680000000002"/>
    <d v="2014-04-30T00:00:00"/>
  </r>
  <r>
    <x v="2119"/>
    <d v="1899-12-30T00:04:35"/>
    <x v="587"/>
    <x v="1"/>
    <s v="brockport"/>
    <x v="616"/>
    <n v="3039551"/>
    <x v="12"/>
    <s v="History"/>
    <s v="9781469623184"/>
    <s v=",1,2,2,3,3,1,132,133,134,132,134,131,130,133,131,135,136,135,136,137,137,2,138,138,139,139,140,140,141,141,142,142,143,143,132,133,134,130,135,136,140,141,142,143,144,144,145,145,146,146,147,147,151,151,153,153,169,169,170,168,170,168,167,166,167,171,171,172,172,173,173,38,38,39,40,39,40,37,37,36,41,41,42,42,37,35,35,36,33"/>
    <n v="40"/>
    <m/>
    <m/>
    <s v="No"/>
    <x v="2"/>
    <d v="2015-12-09T14:47:02"/>
    <n v="1"/>
    <s v="137.21.7.121"/>
    <s v="E468.9 -- .G355 2015eb"/>
    <s v="973.7/1"/>
    <d v="2015-05-01T00:00:00"/>
  </r>
  <r>
    <x v="2120"/>
    <d v="1899-12-30T00:01:45"/>
    <x v="554"/>
    <x v="0"/>
    <s v="Buffalo"/>
    <x v="618"/>
    <n v="1890993"/>
    <x v="0"/>
    <s v="Medicine"/>
    <s v="9781118939161"/>
    <s v=",1,2,3,4,5,6,7,8,9,10,11,12,13,14,15,16,17,18,19,20,21,22,2,853,959,960,957,958,79"/>
    <n v="28"/>
    <m/>
    <m/>
    <s v="No"/>
    <x v="1"/>
    <m/>
    <m/>
    <s v="128.205.114.91"/>
    <s v="RC86.8 .B384 2014"/>
    <n v="616.02800000000002"/>
    <d v="2014-12-11T00:00:00"/>
  </r>
  <r>
    <x v="2121"/>
    <d v="1899-12-30T00:00:26"/>
    <x v="554"/>
    <x v="0"/>
    <s v="Buffalo"/>
    <x v="619"/>
    <n v="1823054"/>
    <x v="0"/>
    <s v="Medicine; Nursing"/>
    <s v="9781118690314"/>
    <s v=",1,2,3,4,5,6,7,8,86,466,467,464,465,2,463"/>
    <n v="14"/>
    <m/>
    <m/>
    <s v="No"/>
    <x v="1"/>
    <m/>
    <m/>
    <s v="128.205.114.91"/>
    <s v="RC954 -- .C374 2015eb"/>
    <n v="610.73649999999998"/>
    <d v="2014-10-20T00:00:00"/>
  </r>
  <r>
    <x v="2122"/>
    <d v="1899-12-30T00:31:12"/>
    <x v="558"/>
    <x v="1"/>
    <s v="brockport"/>
    <x v="590"/>
    <n v="837573"/>
    <x v="0"/>
    <s v="Social Science"/>
    <s v="9781444354805"/>
    <s v=",66,64,64,60,60,60,60,60,58,61,59,67,70,71,60"/>
    <n v="9"/>
    <s v=",60"/>
    <m/>
    <s v="No"/>
    <x v="0"/>
    <d v="2015-12-09T16:14:58"/>
    <n v="7"/>
    <s v="137.21.7.121"/>
    <s v="HQ1127 -- .C637 2012eb"/>
    <n v="305.40929999999997"/>
    <d v="2012-01-09T00:00:00"/>
  </r>
  <r>
    <x v="2123"/>
    <d v="1899-12-30T00:19:32"/>
    <x v="558"/>
    <x v="1"/>
    <s v="brockport"/>
    <x v="590"/>
    <n v="837573"/>
    <x v="0"/>
    <s v="Social Science"/>
    <s v="9781444354805"/>
    <s v=",1,60,61,62,59,58,63,57,70,204,2,203,205,201,202,200,199,198,61,62,63,64,65"/>
    <n v="20"/>
    <m/>
    <m/>
    <s v="No"/>
    <x v="1"/>
    <m/>
    <m/>
    <s v="137.21.7.121"/>
    <s v="HQ1127 -- .C637 2012eb"/>
    <n v="305.40929999999997"/>
    <d v="2012-01-09T00:00:00"/>
  </r>
  <r>
    <x v="2124"/>
    <d v="1899-12-30T01:07:22"/>
    <x v="587"/>
    <x v="1"/>
    <s v="brockport"/>
    <x v="616"/>
    <n v="3039551"/>
    <x v="12"/>
    <s v="History"/>
    <s v="9781469623184"/>
    <s v=",4,4,5,5,6,7,7,6,8,8,9,9,10,11,10,11,12,12,13,13,14,14,15,15,16,16,17,17,18,18,19,19,132,132,133,133,134,134,130,131,131,135,135,136,136,137,137"/>
    <n v="24"/>
    <m/>
    <m/>
    <s v="No"/>
    <x v="2"/>
    <d v="2015-12-09T14:47:02"/>
    <n v="1"/>
    <s v="137.21.7.121"/>
    <s v="E468.9 -- .G355 2015eb"/>
    <s v="973.7/1"/>
    <d v="2015-05-01T00:00:00"/>
  </r>
  <r>
    <x v="2125"/>
    <d v="1899-12-30T00:13:40"/>
    <x v="587"/>
    <x v="1"/>
    <s v="brockport"/>
    <x v="616"/>
    <n v="3039551"/>
    <x v="12"/>
    <s v="History"/>
    <s v="9781469623184"/>
    <s v=",1,2,2,3,1,3,2,2"/>
    <n v="3"/>
    <m/>
    <m/>
    <s v="No"/>
    <x v="3"/>
    <m/>
    <m/>
    <s v="137.21.7.121"/>
    <s v="E468.9 -- .G355 2015eb"/>
    <s v="973.7/1"/>
    <d v="2015-05-01T00:00:00"/>
  </r>
  <r>
    <x v="2126"/>
    <d v="1899-12-30T00:00:41"/>
    <x v="589"/>
    <x v="1"/>
    <s v="brockport"/>
    <x v="620"/>
    <n v="1696224"/>
    <x v="12"/>
    <s v="Social Science"/>
    <s v="9781469610825"/>
    <s v=",1,3,2,4,5,6,219,220,221,217,218,7,8,9,10,11,12,13,14,15,16"/>
    <n v="21"/>
    <m/>
    <m/>
    <s v="No"/>
    <x v="3"/>
    <m/>
    <m/>
    <s v="137.21.7.121"/>
    <s v="HQ1426 -- .P83 2014eb"/>
    <s v="305.42097309/04"/>
    <d v="2014-06-02T00:00:00"/>
  </r>
  <r>
    <x v="2127"/>
    <d v="1899-12-30T00:00:14"/>
    <x v="554"/>
    <x v="0"/>
    <s v="Buffalo"/>
    <x v="621"/>
    <n v="3057792"/>
    <x v="0"/>
    <s v="Tourism/Hospitality; Home Economics"/>
    <s v="9780470466223"/>
    <s v=",1,3,2,4,5,6,7"/>
    <n v="7"/>
    <m/>
    <m/>
    <s v="No"/>
    <x v="1"/>
    <m/>
    <m/>
    <s v="128.205.114.91"/>
    <s v="TX951 -- .M7 2008eb"/>
    <s v="641.8/74"/>
    <d v="2008-11-10T00:00:00"/>
  </r>
  <r>
    <x v="2128"/>
    <d v="1899-12-30T00:00:09"/>
    <x v="554"/>
    <x v="0"/>
    <s v="Buffalo"/>
    <x v="622"/>
    <n v="1887759"/>
    <x v="0"/>
    <s v="Social Science; Business/Management"/>
    <s v="9781118951347"/>
    <s v=",1,2,3,4,5,6"/>
    <n v="6"/>
    <m/>
    <m/>
    <s v="No"/>
    <x v="1"/>
    <m/>
    <m/>
    <s v="128.205.114.91"/>
    <s v="HM743.F33 -- .H39 2015eb"/>
    <n v="658.87199999999996"/>
    <d v="2014-12-08T00:00:00"/>
  </r>
  <r>
    <x v="2129"/>
    <d v="1899-12-30T00:01:16"/>
    <x v="554"/>
    <x v="0"/>
    <s v="Buffalo"/>
    <x v="516"/>
    <n v="1840835"/>
    <x v="0"/>
    <s v="Business/Management; Economics"/>
    <s v="9781118950166"/>
    <s v=",1,2,3,4,5,6,7,8,8,2,170,348,369,370,371,367,368,366,55,39,36,4,5,6,7,8,9,19,20,21,22,23,24,25,26,27,22,21,20"/>
    <n v="29"/>
    <m/>
    <m/>
    <s v="No"/>
    <x v="1"/>
    <m/>
    <m/>
    <s v="128.205.114.91"/>
    <s v="HD9969.S6 .R384 2014"/>
    <n v="338.10923789999998"/>
    <d v="2014-11-10T00:00:00"/>
  </r>
  <r>
    <x v="2130"/>
    <d v="1899-12-30T00:37:38"/>
    <x v="575"/>
    <x v="0"/>
    <s v="Buffalo"/>
    <x v="605"/>
    <n v="832297"/>
    <x v="0"/>
    <s v="History"/>
    <s v="9781118300947"/>
    <s v=",1,2,2,3,3,1,5,5,24,24,63,63,93,93,94,94,142,142,2,193,193,194,194,195,195,196,196,197,197,198,198,199,199,200,200,201,201,202,202,203,203,204,204,211,211,212,213,209,213,214,212,210,214,215,215,216,216,211,216,217,217,218,218,219,219,220,220,221,221,222,222,223,223,224,224,219,224,219,224,219,224,225,225,220"/>
    <n v="38"/>
    <m/>
    <m/>
    <s v="No"/>
    <x v="0"/>
    <d v="2015-12-06T22:56:59"/>
    <n v="7"/>
    <s v="128.205.114.91"/>
    <s v="DF12 -- .R65 2011eb"/>
    <n v="938"/>
    <d v="2011-12-19T00:00:00"/>
  </r>
  <r>
    <x v="2131"/>
    <d v="1899-12-30T00:00:04"/>
    <x v="590"/>
    <x v="13"/>
    <s v="buffalostate"/>
    <x v="623"/>
    <n v="1725781"/>
    <x v="16"/>
    <s v="Social Science; Computer Science/IT"/>
    <s v="9781137287021"/>
    <s v=",1,2,3"/>
    <n v="3"/>
    <m/>
    <m/>
    <s v="No"/>
    <x v="1"/>
    <m/>
    <m/>
    <s v="136.183.11.43"/>
    <s v="HQ799.9.I58 -- .M435 2014eb"/>
    <n v="4.6780834999999996"/>
    <d v="2014-06-16T00:00:00"/>
  </r>
  <r>
    <x v="2132"/>
    <d v="1899-12-30T00:00:03"/>
    <x v="591"/>
    <x v="12"/>
    <s v="potsdam"/>
    <x v="624"/>
    <n v="1132027"/>
    <x v="3"/>
    <s v="History"/>
    <s v="9780520954694"/>
    <s v=",1,2,3"/>
    <n v="3"/>
    <m/>
    <m/>
    <s v="No"/>
    <x v="1"/>
    <m/>
    <m/>
    <s v="137.143.104.94"/>
    <s v="DF234 -- .G74 2013eb"/>
    <n v="938.07"/>
    <d v="2013-01-08T00:00:00"/>
  </r>
  <r>
    <x v="2133"/>
    <d v="1899-12-30T00:03:40"/>
    <x v="583"/>
    <x v="0"/>
    <s v="Buffalo"/>
    <x v="605"/>
    <n v="832297"/>
    <x v="0"/>
    <s v="History"/>
    <s v="9781118300947"/>
    <s v=",1,2,3,275,276,277,273,274,278"/>
    <n v="9"/>
    <m/>
    <m/>
    <s v="No"/>
    <x v="1"/>
    <m/>
    <m/>
    <s v="128.205.114.91"/>
    <s v="DF12 -- .R65 2011eb"/>
    <n v="938"/>
    <d v="2011-12-19T00:00:00"/>
  </r>
  <r>
    <x v="2134"/>
    <d v="1899-12-30T01:11:54"/>
    <x v="592"/>
    <x v="1"/>
    <s v="brockport"/>
    <x v="625"/>
    <n v="836167"/>
    <x v="6"/>
    <s v="Science: Physics; Environmental Studies; Science"/>
    <s v="9781438139487"/>
    <s v=",1,2,3,49,50,51,47,48,52,53,54,55,56,57,58,59,60,61,62,63,64,65,66,67,68,69,70,71,72,73,74,75,76,77,78,79,80,81,82,83,84,85,86,87,88,89,90,91,92,93,94,95,96,97,98,99,100,101,102,103,104,105,106,107,108,109,110,112"/>
    <n v="68"/>
    <m/>
    <m/>
    <s v="No"/>
    <x v="0"/>
    <d v="2015-12-08T23:24:57"/>
    <n v="7"/>
    <s v="137.21.7.121"/>
    <s v="QC981.8.G56 -- T66 2012eb"/>
    <s v="363.738/74"/>
    <d v="2011-11-01T00:00:00"/>
  </r>
  <r>
    <x v="2135"/>
    <d v="1899-12-30T00:02:24"/>
    <x v="593"/>
    <x v="14"/>
    <s v="houghton"/>
    <x v="626"/>
    <n v="877713"/>
    <x v="6"/>
    <s v="History"/>
    <s v="9781438138596"/>
    <s v=",1,2,3,383,384,385,381,382,386,387,388,389,390,391,392,393,394,395,396,397,398,399,400,401"/>
    <n v="24"/>
    <m/>
    <m/>
    <s v="No"/>
    <x v="0"/>
    <d v="2015-12-09T04:09:34"/>
    <n v="7"/>
    <s v="96.43.64.169"/>
    <s v="DT58 -- .B96 2012eb"/>
    <n v="932.00300000000004"/>
    <d v="2012-01-01T00:00:00"/>
  </r>
  <r>
    <x v="2136"/>
    <d v="1899-12-30T00:00:06"/>
    <x v="593"/>
    <x v="14"/>
    <s v="houghton"/>
    <x v="626"/>
    <n v="877713"/>
    <x v="6"/>
    <s v="History"/>
    <s v="9781438138596"/>
    <m/>
    <n v="0"/>
    <m/>
    <m/>
    <s v="No"/>
    <x v="1"/>
    <m/>
    <m/>
    <s v="96.43.64.169"/>
    <s v="DT58 -- .B96 2012eb"/>
    <n v="932.00300000000004"/>
    <d v="2012-01-01T00:00:00"/>
  </r>
  <r>
    <x v="2137"/>
    <d v="1899-12-30T00:00:00"/>
    <x v="594"/>
    <x v="13"/>
    <s v="buffalostate"/>
    <x v="627"/>
    <n v="1675480"/>
    <x v="0"/>
    <s v="Science: Chemistry; Science"/>
    <s v="9781118828137"/>
    <s v=",303"/>
    <n v="1"/>
    <m/>
    <m/>
    <s v="No"/>
    <x v="0"/>
    <d v="2015-12-09T03:31:47"/>
    <n v="7"/>
    <s v="136.183.11.43"/>
    <s v="QD251 -- .W568 2014eb"/>
    <n v="547"/>
    <d v="2014-03-27T00:00:00"/>
  </r>
  <r>
    <x v="2138"/>
    <d v="1899-12-30T00:10:38"/>
    <x v="594"/>
    <x v="13"/>
    <s v="buffalostate"/>
    <x v="627"/>
    <n v="1675480"/>
    <x v="0"/>
    <s v="Science: Chemistry; Science"/>
    <s v="9781118828137"/>
    <s v=",1,2,3,301,302,303,300,299,301,5,5,283,302"/>
    <n v="10"/>
    <m/>
    <m/>
    <s v="No"/>
    <x v="1"/>
    <m/>
    <m/>
    <s v="136.183.11.43"/>
    <s v="QD251 -- .W568 2014eb"/>
    <n v="547"/>
    <d v="2014-03-27T00:00:00"/>
  </r>
  <r>
    <x v="2139"/>
    <d v="1899-12-30T00:08:28"/>
    <x v="593"/>
    <x v="14"/>
    <s v="houghton"/>
    <x v="626"/>
    <n v="877713"/>
    <x v="6"/>
    <s v="History"/>
    <s v="9781438138596"/>
    <s v=",1,2,3,383,384,385,381,382,386,387,388,389,390,391,392,393,394,395,396,397,398,399,400,401"/>
    <n v="24"/>
    <m/>
    <m/>
    <s v="No"/>
    <x v="0"/>
    <d v="2015-12-02T03:26:16"/>
    <n v="7"/>
    <s v="96.43.64.169"/>
    <s v="DT58 -- .B96 2012eb"/>
    <n v="932.00300000000004"/>
    <d v="2012-01-01T00:00:00"/>
  </r>
  <r>
    <x v="2140"/>
    <d v="1899-12-30T01:07:13"/>
    <x v="595"/>
    <x v="14"/>
    <s v="houghton"/>
    <x v="626"/>
    <n v="877713"/>
    <x v="6"/>
    <s v="History"/>
    <s v="9781438138596"/>
    <s v=",451,188,189,190,186,187,200,201,198,202,199,203,204,205,206,207,208,209,210,211,212,214,218,215,216,220,219,1,220,217,218,2,216,215,214,407,408,409,405,406,410,411,414,420,423,434,441,442,443,440,444,445,446,448,453,454,455,451,452,450,449,447,450,451,118,119,120,116,117,121,122,123,124,125,126,127,128,381,386,388,389,390,393,395,396,398,397,400,399,1,219,220,221,217,218,2"/>
    <n v="82"/>
    <m/>
    <m/>
    <s v="No"/>
    <x v="0"/>
    <d v="2015-12-09T02:29:05"/>
    <n v="7"/>
    <s v="96.43.64.169"/>
    <s v="DT58 -- .B96 2012eb"/>
    <n v="932.00300000000004"/>
    <d v="2012-01-01T00:00:00"/>
  </r>
  <r>
    <x v="2141"/>
    <d v="1899-12-30T00:13:50"/>
    <x v="595"/>
    <x v="14"/>
    <s v="houghton"/>
    <x v="626"/>
    <n v="877713"/>
    <x v="6"/>
    <s v="History"/>
    <s v="9781438138596"/>
    <s v=",1,2,3,407,408,409,405,406,410,411,412,413,414,415,416,417,418,419,420,422,423,424,425,426,427,428,431,432,433,429,430,434,440,441,442,438,439,443,444,445,446,447,448,449,450"/>
    <n v="45"/>
    <m/>
    <m/>
    <s v="No"/>
    <x v="1"/>
    <m/>
    <m/>
    <s v="96.43.64.169"/>
    <s v="DT58 -- .B96 2012eb"/>
    <n v="932.00300000000004"/>
    <d v="2012-01-01T00:00:00"/>
  </r>
  <r>
    <x v="2142"/>
    <d v="1899-12-30T00:03:22"/>
    <x v="596"/>
    <x v="1"/>
    <s v="brockport"/>
    <x v="628"/>
    <n v="1610008"/>
    <x v="1"/>
    <s v="Social Science; Law"/>
    <s v="9781409457206"/>
    <s v=",1,2,3,4,5,6,7,8,9,10,11,12,13,14,15,16,17,18,19,20,21,22,23,24,25,26,27,28,42,43,44,45,46,47,48,49,50"/>
    <n v="37"/>
    <m/>
    <m/>
    <s v="No"/>
    <x v="1"/>
    <m/>
    <m/>
    <s v="137.21.7.121"/>
    <s v="K5104 -- .C375 2014eb"/>
    <n v="364.66"/>
    <d v="2014-03-28T00:00:00"/>
  </r>
  <r>
    <x v="2143"/>
    <d v="1899-12-30T00:02:19"/>
    <x v="570"/>
    <x v="0"/>
    <s v="Buffalo"/>
    <x v="601"/>
    <n v="1675475"/>
    <x v="4"/>
    <s v="Medicine"/>
    <s v="9781462514342"/>
    <s v=",1,2,3,4,17,18,19,15,16,119,120,121,117,118,122"/>
    <n v="15"/>
    <m/>
    <m/>
    <s v="No"/>
    <x v="3"/>
    <m/>
    <m/>
    <s v="128.205.114.91"/>
    <s v="RC553.A88 -- .A788 2014eb"/>
    <n v="616.85883200000001"/>
    <d v="2014-07-10T00:00:00"/>
  </r>
  <r>
    <x v="2144"/>
    <d v="1899-12-30T00:06:29"/>
    <x v="597"/>
    <x v="5"/>
    <s v="erie"/>
    <x v="3"/>
    <n v="822040"/>
    <x v="0"/>
    <s v="Literature; Psychology"/>
    <s v="9781118289099"/>
    <s v=",1,129,130,131,127,128,2,132,133,126,125,124,88,90,89,86,87,112,113,114,110,111"/>
    <n v="22"/>
    <m/>
    <m/>
    <s v="No"/>
    <x v="1"/>
    <m/>
    <m/>
    <s v="199.29.6.54"/>
    <s v="BF76.7 -- .B447 2012eb"/>
    <s v="808.06/615"/>
    <d v="2012-03-22T00:00:00"/>
  </r>
  <r>
    <x v="2145"/>
    <d v="1899-12-30T00:00:00"/>
    <x v="598"/>
    <x v="13"/>
    <s v="buffalostate"/>
    <x v="629"/>
    <n v="1663553"/>
    <x v="12"/>
    <s v="Political Science"/>
    <s v="9781469615608"/>
    <m/>
    <n v="0"/>
    <m/>
    <m/>
    <s v="No"/>
    <x v="2"/>
    <d v="2015-12-08T23:52:54"/>
    <n v="1"/>
    <s v="136.183.11.43"/>
    <s v="JK1896 -- .T48 2014eb"/>
    <s v="324.6/23097309034"/>
    <d v="2014-06-15T00:00:00"/>
  </r>
  <r>
    <x v="2146"/>
    <d v="1899-12-30T00:35:01"/>
    <x v="598"/>
    <x v="13"/>
    <s v="buffalostate"/>
    <x v="629"/>
    <n v="1663553"/>
    <x v="12"/>
    <s v="Political Science"/>
    <s v="9781469615608"/>
    <s v=",20,21,22,25,22,23,24,17,136,88,44"/>
    <n v="10"/>
    <m/>
    <m/>
    <s v="No"/>
    <x v="2"/>
    <d v="2015-12-08T23:52:54"/>
    <n v="1"/>
    <s v="136.183.11.43"/>
    <s v="JK1896 -- .T48 2014eb"/>
    <s v="324.6/23097309034"/>
    <d v="2014-06-15T00:00:00"/>
  </r>
  <r>
    <x v="2147"/>
    <d v="1899-12-30T02:11:35"/>
    <x v="592"/>
    <x v="1"/>
    <s v="brockport"/>
    <x v="630"/>
    <n v="771049"/>
    <x v="18"/>
    <s v="Science: Physics; Science; Environmental Studies"/>
    <s v="9781608706648"/>
    <s v=",16,17,18,19,20,21,22,23,24,25,26,27,28,29,30,31,32,33,34,35,36,37,38,39,32,40,41,42,43,44,45,46,47,48,50,51"/>
    <n v="35"/>
    <m/>
    <m/>
    <s v="No"/>
    <x v="0"/>
    <d v="2015-12-08T23:43:50"/>
    <n v="7"/>
    <s v="137.21.7.121"/>
    <s v="QC981.8"/>
    <n v="363.73874000000001"/>
    <d v="2012-01-01T00:00:00"/>
  </r>
  <r>
    <x v="2148"/>
    <d v="1899-12-30T00:12:04"/>
    <x v="592"/>
    <x v="1"/>
    <s v="brockport"/>
    <x v="630"/>
    <n v="771049"/>
    <x v="18"/>
    <s v="Science: Physics; Science; Environmental Studies"/>
    <s v="9781608706648"/>
    <s v=",2,1,3,4,5,6,7,8,9,10,11,12,13,14,15"/>
    <n v="15"/>
    <m/>
    <m/>
    <s v="No"/>
    <x v="1"/>
    <m/>
    <m/>
    <s v="137.21.7.121"/>
    <s v="QC981.8"/>
    <n v="363.73874000000001"/>
    <d v="2012-01-01T00:00:00"/>
  </r>
  <r>
    <x v="2149"/>
    <d v="1899-12-30T00:23:11"/>
    <x v="598"/>
    <x v="13"/>
    <s v="buffalostate"/>
    <x v="629"/>
    <n v="1663553"/>
    <x v="12"/>
    <s v="Political Science"/>
    <s v="9781469615608"/>
    <s v=",1,2,3,4,5,6,7,8,9,10,11,12,13,14,15,16,17,18,19"/>
    <n v="19"/>
    <m/>
    <m/>
    <s v="No"/>
    <x v="3"/>
    <m/>
    <m/>
    <s v="136.183.11.43"/>
    <s v="JK1896 -- .T48 2014eb"/>
    <s v="324.6/23097309034"/>
    <d v="2014-06-15T00:00:00"/>
  </r>
  <r>
    <x v="2150"/>
    <d v="1899-12-30T00:00:46"/>
    <x v="592"/>
    <x v="1"/>
    <s v="brockport"/>
    <x v="625"/>
    <n v="836167"/>
    <x v="6"/>
    <s v="Science: Physics; Environmental Studies; Science"/>
    <s v="9781438139487"/>
    <s v=",47,48,49,50"/>
    <n v="4"/>
    <m/>
    <m/>
    <s v="No"/>
    <x v="0"/>
    <d v="2015-12-08T23:24:57"/>
    <n v="7"/>
    <s v="137.21.7.121"/>
    <s v="QC981.8.G56 -- T66 2012eb"/>
    <s v="363.738/74"/>
    <d v="2011-11-01T00:00:00"/>
  </r>
  <r>
    <x v="2151"/>
    <d v="1899-12-30T00:10:07"/>
    <x v="592"/>
    <x v="1"/>
    <s v="brockport"/>
    <x v="625"/>
    <n v="836167"/>
    <x v="6"/>
    <s v="Science: Physics; Environmental Studies; Science"/>
    <s v="9781438139487"/>
    <s v=",1,2,3,36,37,38,34,35,39,41,40,46,43,42,44,45"/>
    <n v="16"/>
    <m/>
    <m/>
    <s v="No"/>
    <x v="1"/>
    <m/>
    <m/>
    <s v="137.21.7.121"/>
    <s v="QC981.8.G56 -- T66 2012eb"/>
    <s v="363.738/74"/>
    <d v="2011-11-01T00:00:00"/>
  </r>
  <r>
    <x v="2152"/>
    <d v="1899-12-30T00:00:21"/>
    <x v="570"/>
    <x v="0"/>
    <s v="Buffalo"/>
    <x v="601"/>
    <n v="1675475"/>
    <x v="4"/>
    <s v="Medicine"/>
    <s v="9781462514342"/>
    <s v=",1,2,2,1,3,3,4,4,5,5,17,17,18,19,18,19,15,16,16,2"/>
    <n v="10"/>
    <m/>
    <m/>
    <s v="No"/>
    <x v="3"/>
    <m/>
    <m/>
    <s v="128.205.114.91"/>
    <s v="RC553.A88 -- .A788 2014eb"/>
    <n v="616.85883200000001"/>
    <d v="2014-07-10T00:00:00"/>
  </r>
  <r>
    <x v="2153"/>
    <d v="1899-12-30T00:03:56"/>
    <x v="599"/>
    <x v="1"/>
    <s v="brockport"/>
    <x v="437"/>
    <n v="1767915"/>
    <x v="0"/>
    <s v="Social Science"/>
    <s v="9780730315148"/>
    <s v=",1,3,4,5,2,6,7,9,8,10,11,12,13,14,15,16,17,18,19,20,21,22,23,24,25"/>
    <n v="25"/>
    <m/>
    <m/>
    <s v="No"/>
    <x v="1"/>
    <m/>
    <m/>
    <s v="137.21.7.121"/>
    <s v="HM742 -- .C654 2015eb"/>
    <n v="302.23099999999999"/>
    <d v="2014-08-15T00:00:00"/>
  </r>
  <r>
    <x v="2154"/>
    <d v="1899-12-30T00:39:30"/>
    <x v="593"/>
    <x v="14"/>
    <s v="houghton"/>
    <x v="626"/>
    <n v="877713"/>
    <x v="6"/>
    <s v="History"/>
    <s v="9781438138596"/>
    <s v=",1,2,2,3,3,1,2,2,263,263,265,261,264,262,262,264,266,265,266,267,262,267,267,268,268,269,269"/>
    <n v="12"/>
    <m/>
    <m/>
    <s v="No"/>
    <x v="0"/>
    <d v="2015-12-02T03:26:16"/>
    <n v="7"/>
    <s v="96.43.64.169"/>
    <s v="DT58 -- .B96 2012eb"/>
    <n v="932.00300000000004"/>
    <d v="2012-01-01T00:00:00"/>
  </r>
  <r>
    <x v="2155"/>
    <d v="1899-12-30T00:01:29"/>
    <x v="584"/>
    <x v="7"/>
    <s v="oneonta"/>
    <x v="611"/>
    <n v="917254"/>
    <x v="4"/>
    <s v="Medicine"/>
    <s v="9781462505067"/>
    <s v=",1,2,3,72,73,74,70,71,75,76,58,59,60,56,57,61"/>
    <n v="16"/>
    <m/>
    <m/>
    <s v="No"/>
    <x v="1"/>
    <m/>
    <m/>
    <s v="137.141.13.2"/>
    <s v="RJ506.A9 -- R64 2012eb"/>
    <n v="618.92858820000004"/>
    <d v="2014-05-14T00:00:00"/>
  </r>
  <r>
    <x v="2156"/>
    <d v="1899-12-30T00:01:32"/>
    <x v="600"/>
    <x v="0"/>
    <s v="Buffalo"/>
    <x v="624"/>
    <n v="1132027"/>
    <x v="3"/>
    <s v="History"/>
    <s v="9780520954694"/>
    <s v=",1,3,2,2,4,3,4,1,1,2,2,3,1,3,4,4,5,5,6,6,8,8,9,7,9,7,10,10,11,12,11,12,2,13,13,1,13,14,13,15,14,11,12,15,1,12,2,2"/>
    <n v="15"/>
    <m/>
    <m/>
    <s v="No"/>
    <x v="0"/>
    <d v="2015-12-08T21:02:15"/>
    <n v="7"/>
    <s v="128.205.114.91"/>
    <s v="DF234 -- .G74 2013eb"/>
    <n v="938.07"/>
    <d v="2013-01-08T00:00:00"/>
  </r>
  <r>
    <x v="2157"/>
    <d v="1899-12-30T01:37:02"/>
    <x v="601"/>
    <x v="0"/>
    <s v="Buffalo"/>
    <x v="150"/>
    <n v="1882108"/>
    <x v="3"/>
    <s v="Literature"/>
    <s v="9780520961326"/>
    <s v=",493,494,495,496,497,498,499,500,501,502,503,504,505,1,505,507,506,503,480,481,479,482,478,499,532,547,548,546,549,2,545,535,536,533,534,530,529,527,528,526,524,525,523,521,519,518,520,516,517,515,513,514,511,512,510,508,502,497,496,498,494,495,493,492,491,489,490,487,488,501,504,509,522"/>
    <n v="61"/>
    <s v=",490"/>
    <m/>
    <s v="No"/>
    <x v="0"/>
    <d v="2015-12-08T21:00:58"/>
    <n v="7"/>
    <s v="128.205.114.91"/>
    <s v="PA4025.A2 -- .H664 2015eb"/>
    <n v="883"/>
    <d v="2015-05-14T00:00:00"/>
  </r>
  <r>
    <x v="2158"/>
    <d v="1899-12-30T00:03:52"/>
    <x v="601"/>
    <x v="0"/>
    <s v="Buffalo"/>
    <x v="150"/>
    <n v="1882108"/>
    <x v="3"/>
    <s v="Literature"/>
    <s v="9780520961326"/>
    <s v=",1,2,3,480,481,482,478,479,483,481,482,483,479,480,484,485,486,487,2,488,489,490,491,492"/>
    <n v="18"/>
    <m/>
    <m/>
    <s v="No"/>
    <x v="1"/>
    <m/>
    <m/>
    <s v="128.205.114.91"/>
    <s v="PA4025.A2 -- .H664 2015eb"/>
    <n v="883"/>
    <d v="2015-05-14T00:00:00"/>
  </r>
  <r>
    <x v="2159"/>
    <d v="1899-12-30T00:05:44"/>
    <x v="571"/>
    <x v="1"/>
    <s v="brockport"/>
    <x v="602"/>
    <n v="3038360"/>
    <x v="11"/>
    <s v="Law; Social Science"/>
    <s v="9780226043692"/>
    <s v=",86,87,88,84,85,70,71,72,68,69,268,269,16,17,18,14,15,20,11,9,19,73,74,75,76,77"/>
    <n v="26"/>
    <m/>
    <m/>
    <s v="No"/>
    <x v="2"/>
    <d v="2015-12-08T20:49:37"/>
    <n v="1"/>
    <s v="137.21.7.121"/>
    <s v="K5103 -- .R674 2013eb"/>
    <n v="364.601"/>
    <d v="2013-04-01T00:00:00"/>
  </r>
  <r>
    <x v="2160"/>
    <d v="1899-12-30T00:24:40"/>
    <x v="600"/>
    <x v="0"/>
    <s v="Buffalo"/>
    <x v="624"/>
    <n v="1132027"/>
    <x v="3"/>
    <s v="History"/>
    <s v="9780520954694"/>
    <s v=",1,2,2,3,3,1,162,163,162,164,163,164,160,161,161,2,2,1,2,3,3,4,4,4,4,1,5,5,1,6,6,3,3,2"/>
    <n v="11"/>
    <m/>
    <m/>
    <s v="No"/>
    <x v="1"/>
    <m/>
    <m/>
    <s v="128.205.114.91"/>
    <s v="DF234 -- .G74 2013eb"/>
    <n v="938.07"/>
    <d v="2013-01-08T00:00:00"/>
  </r>
  <r>
    <x v="2161"/>
    <d v="1899-12-30T00:00:21"/>
    <x v="26"/>
    <x v="6"/>
    <s v="sjfc"/>
    <x v="631"/>
    <n v="1798778"/>
    <x v="0"/>
    <s v="Medicine"/>
    <s v="9781118760741"/>
    <s v=",1,2,2,3,3,1,4,4,13,16,13,16,17,18,17,18,14,15,15,2"/>
    <n v="10"/>
    <m/>
    <m/>
    <s v="No"/>
    <x v="1"/>
    <m/>
    <m/>
    <s v="149.69.254.57"/>
    <s v="RC71.5 -- .D954 2015eb"/>
    <n v="616.07500000000005"/>
    <d v="2014-09-24T00:00:00"/>
  </r>
  <r>
    <x v="2162"/>
    <d v="1899-12-30T00:00:24"/>
    <x v="13"/>
    <x v="0"/>
    <s v="Buffalo"/>
    <x v="477"/>
    <n v="1120279"/>
    <x v="0"/>
    <s v="Science: Biology/Natural History; Science"/>
    <s v="9781118537671"/>
    <s v=",1,2,3,32,33,34,31,30,35,36,2"/>
    <n v="10"/>
    <m/>
    <m/>
    <s v="No"/>
    <x v="1"/>
    <m/>
    <m/>
    <s v="128.205.114.91"/>
    <s v="QH371 .K384 2012"/>
    <n v="599.93499999999995"/>
    <d v="2012-11-19T00:00:00"/>
  </r>
  <r>
    <x v="2163"/>
    <d v="1899-12-30T00:54:23"/>
    <x v="571"/>
    <x v="1"/>
    <s v="brockport"/>
    <x v="602"/>
    <n v="3038360"/>
    <x v="11"/>
    <s v="Law; Social Science"/>
    <s v="9780226043692"/>
    <s v=",1,2,3,94,95,96,92,93,299,300,301,297,298"/>
    <n v="13"/>
    <m/>
    <m/>
    <s v="No"/>
    <x v="3"/>
    <m/>
    <m/>
    <s v="137.21.7.121"/>
    <s v="K5103 -- .R674 2013eb"/>
    <n v="364.601"/>
    <d v="2013-04-01T00:00:00"/>
  </r>
  <r>
    <x v="2164"/>
    <d v="1899-12-30T02:15:00"/>
    <x v="602"/>
    <x v="1"/>
    <s v="brockport"/>
    <x v="632"/>
    <n v="1895039"/>
    <x v="0"/>
    <s v="Science: Biology/Natural History; Science"/>
    <s v="9781118335741"/>
    <s v=",434,435,434,435,432,433,433,436,436,260,260,261,262,261,262,259,259,258,412,412,413,414,413,414,410,411,411,392,392,393,393,394,394,390,391,391,389,389,387,388,388,356,356,357,357,353,357,357,357,1,354,355,354,356,355,356,353,353,1,352,2,2,358,358,294,294,295,295,296,296,292,293,293"/>
    <n v="37"/>
    <m/>
    <m/>
    <s v="No"/>
    <x v="0"/>
    <d v="2015-12-08T19:46:44"/>
    <n v="7"/>
    <s v="137.21.7.121"/>
    <s v="GN281 -- .W554 2015eb"/>
    <s v="599.93/8"/>
    <d v="2015-02-23T00:00:00"/>
  </r>
  <r>
    <x v="2165"/>
    <d v="1899-12-30T00:12:31"/>
    <x v="602"/>
    <x v="1"/>
    <s v="brockport"/>
    <x v="632"/>
    <n v="1895039"/>
    <x v="0"/>
    <s v="Science: Biology/Natural History; Science"/>
    <s v="9781118335741"/>
    <s v=",1,2,2,3,3,1,2,2,372,372,373,373,374,374,371,371,370,375,375"/>
    <n v="9"/>
    <m/>
    <m/>
    <s v="No"/>
    <x v="1"/>
    <m/>
    <m/>
    <s v="137.21.7.121"/>
    <s v="GN281 -- .W554 2015eb"/>
    <s v="599.93/8"/>
    <d v="2015-02-23T00:00:00"/>
  </r>
  <r>
    <x v="2166"/>
    <d v="1899-12-30T00:36:27"/>
    <x v="603"/>
    <x v="1"/>
    <s v="brockport"/>
    <x v="301"/>
    <n v="1692797"/>
    <x v="1"/>
    <s v="Literature"/>
    <s v="9781472431509"/>
    <s v=",1,2,3,16,17,18,14,15,28,48,49,50,46,47,19,20,32,33,34,30,31,35,36,37,38,39,40,41,42,43,44,49,45,32,30,31,28,29,1,2,3,30,31,32,28,29,33,34,41,36,35"/>
    <n v="33"/>
    <m/>
    <m/>
    <s v="No"/>
    <x v="0"/>
    <d v="2015-12-03T18:16:19"/>
    <n v="7"/>
    <s v="137.21.7.121"/>
    <s v="PS374.Y57 -- .F46 2014eb"/>
    <s v="813.009/9283"/>
    <d v="2014-07-28T00:00:00"/>
  </r>
  <r>
    <x v="2167"/>
    <d v="1899-12-30T00:01:21"/>
    <x v="604"/>
    <x v="12"/>
    <s v="potsdam"/>
    <x v="633"/>
    <n v="1638614"/>
    <x v="0"/>
    <s v="Education"/>
    <s v="9781118866979"/>
    <s v=",1,2,1,2,3,3,79,79,80,80,81,77,81,78,78,79,2,79,79,79,79,79,80,80,81,81,77,78,78"/>
    <n v="8"/>
    <m/>
    <s v=",79,80,81"/>
    <s v="No"/>
    <x v="2"/>
    <d v="2015-12-08T19:06:42"/>
    <n v="1"/>
    <s v="137.143.104.94"/>
    <s v="LJ141 -- .I545 2014eb"/>
    <n v="378.19684999999998"/>
    <d v="2014-02-20T00:00:00"/>
  </r>
  <r>
    <x v="2168"/>
    <d v="1899-12-30T00:00:00"/>
    <x v="604"/>
    <x v="12"/>
    <s v="potsdam"/>
    <x v="633"/>
    <n v="1638614"/>
    <x v="0"/>
    <s v="Education"/>
    <s v="9781118866979"/>
    <m/>
    <n v="0"/>
    <m/>
    <s v=",79,80,81,82"/>
    <s v="No"/>
    <x v="2"/>
    <d v="2015-12-08T19:06:42"/>
    <n v="1"/>
    <s v="137.143.104.94"/>
    <s v="LJ141 -- .I545 2014eb"/>
    <n v="378.19684999999998"/>
    <d v="2014-02-20T00:00:00"/>
  </r>
  <r>
    <x v="2169"/>
    <d v="1899-12-30T00:01:28"/>
    <x v="604"/>
    <x v="12"/>
    <s v="potsdam"/>
    <x v="633"/>
    <n v="1638614"/>
    <x v="0"/>
    <s v="Education"/>
    <s v="9781118866979"/>
    <s v=",1,1,2,2,3,3,24,24,25,26,26,25,22,23,23,2,79,79,80,80,81,81,77,78,78,82,82,83,83,84,84,79,77,78,82,83,84"/>
    <n v="16"/>
    <m/>
    <m/>
    <s v="No"/>
    <x v="3"/>
    <m/>
    <m/>
    <s v="137.143.104.94"/>
    <s v="LJ141 -- .I545 2014eb"/>
    <n v="378.19684999999998"/>
    <d v="2014-02-20T00:00:00"/>
  </r>
  <r>
    <x v="2170"/>
    <d v="1899-12-30T00:04:45"/>
    <x v="605"/>
    <x v="8"/>
    <s v="niagaracc"/>
    <x v="634"/>
    <n v="1540239"/>
    <x v="2"/>
    <s v="Engineering: Environmental; Engineering; Environmental Studies"/>
    <s v="9781134063581"/>
    <s v=",1,1,3,3,2,2,32,32,33,33,34,34,30,31,31,2,35,35,37,37,38,38,39,39,34,39,40,41,40,41,42,42"/>
    <n v="15"/>
    <m/>
    <m/>
    <s v="No"/>
    <x v="3"/>
    <m/>
    <m/>
    <s v="132.174.254.37"/>
    <s v="TD195.A34 -- C66 2009eb"/>
    <n v="363.73"/>
    <d v="2009-10-01T00:00:00"/>
  </r>
  <r>
    <x v="2171"/>
    <d v="1899-12-30T00:00:21"/>
    <x v="605"/>
    <x v="8"/>
    <s v="niagaracc"/>
    <x v="635"/>
    <n v="1486883"/>
    <x v="2"/>
    <s v="Health; Social Science; Medicine"/>
    <s v="9781135996666"/>
    <s v=",1,1,2,2,3,3,32,33,34,32,34,30,33,31,31,2"/>
    <n v="8"/>
    <m/>
    <m/>
    <s v="No"/>
    <x v="3"/>
    <m/>
    <m/>
    <s v="132.174.254.37"/>
    <s v="RA576 -- .L38 2011eb"/>
    <n v="615.90200000000004"/>
    <d v="2011-01-19T00:00:00"/>
  </r>
  <r>
    <x v="2172"/>
    <d v="1899-12-30T00:00:49"/>
    <x v="605"/>
    <x v="8"/>
    <s v="niagaracc"/>
    <x v="636"/>
    <n v="1486914"/>
    <x v="2"/>
    <s v="Environmental Studies; Business/Management"/>
    <s v="9781135997502"/>
    <s v=",1,1,2,2,1,3,3,4,8,7,4,8,7,9,10,11,9,11,10,2,12,12,13,14,15,13,14,15,16,16,17,17,18,18,19,19,20,20,15"/>
    <n v="18"/>
    <m/>
    <m/>
    <s v="No"/>
    <x v="3"/>
    <m/>
    <m/>
    <s v="132.174.254.37"/>
    <s v="HC110.E5 -- R87 2011eb"/>
    <n v="363.7063"/>
    <d v="2013-10-18T00:00:00"/>
  </r>
  <r>
    <x v="2173"/>
    <d v="1899-12-30T00:00:00"/>
    <x v="606"/>
    <x v="0"/>
    <s v="Buffalo"/>
    <x v="637"/>
    <n v="1816988"/>
    <x v="7"/>
    <s v="Science; Science: Biology/Natural History"/>
    <s v="9781780642048"/>
    <m/>
    <n v="0"/>
    <m/>
    <m/>
    <s v="Yes"/>
    <x v="2"/>
    <d v="2015-12-08T18:44:39"/>
    <n v="1"/>
    <s v="128.205.114.91"/>
    <s v="QH541.15.F73 -- .G56 2014eb"/>
    <n v="577.27"/>
    <d v="2014-09-12T00:00:00"/>
  </r>
  <r>
    <x v="2173"/>
    <d v="1899-12-30T00:00:00"/>
    <x v="606"/>
    <x v="0"/>
    <s v="Buffalo"/>
    <x v="637"/>
    <n v="1816988"/>
    <x v="7"/>
    <s v="Science; Science: Biology/Natural History"/>
    <s v="9781780642048"/>
    <m/>
    <n v="0"/>
    <m/>
    <m/>
    <s v="No"/>
    <x v="2"/>
    <d v="2015-12-08T18:44:39"/>
    <n v="1"/>
    <s v="128.205.114.91"/>
    <s v="QH541.15.F73 -- .G56 2014eb"/>
    <n v="577.27"/>
    <d v="2014-09-12T00:00:00"/>
  </r>
  <r>
    <x v="2174"/>
    <d v="1899-12-30T00:00:32"/>
    <x v="606"/>
    <x v="0"/>
    <s v="Buffalo"/>
    <x v="637"/>
    <n v="1816988"/>
    <x v="7"/>
    <s v="Science; Science: Biology/Natural History"/>
    <s v="9781780642048"/>
    <s v=",1,2,3,40,41,42,38,39,62,63,60,81,82,83,79,80"/>
    <n v="16"/>
    <m/>
    <m/>
    <s v="No"/>
    <x v="3"/>
    <m/>
    <m/>
    <s v="128.205.114.91"/>
    <s v="QH541.15.F73 -- .G56 2014eb"/>
    <n v="577.27"/>
    <d v="2014-09-12T00:00:00"/>
  </r>
  <r>
    <x v="2175"/>
    <d v="1899-12-30T00:01:32"/>
    <x v="607"/>
    <x v="1"/>
    <s v="brockport"/>
    <x v="638"/>
    <n v="1767754"/>
    <x v="0"/>
    <s v="Health; Social Science"/>
    <s v="9781118455289"/>
    <s v=",1,3,2,4,50,51,52,48,49,136,137,138,134,135,148,149,150,146,147,156,157,158,154,155,17,18,19,15,16,14"/>
    <n v="30"/>
    <m/>
    <m/>
    <s v="No"/>
    <x v="3"/>
    <m/>
    <m/>
    <s v="137.21.7.121"/>
    <s v="RA427.8 -- .I587 2014eb"/>
    <n v="362.1"/>
    <d v="2014-08-14T00:00:00"/>
  </r>
  <r>
    <x v="2176"/>
    <d v="1899-12-30T00:00:51"/>
    <x v="584"/>
    <x v="7"/>
    <s v="oneonta"/>
    <x v="611"/>
    <n v="917254"/>
    <x v="4"/>
    <s v="Medicine"/>
    <s v="9781462505067"/>
    <s v=",1,2,3,4,5,6,7,8,58,59,60,56,57"/>
    <n v="13"/>
    <m/>
    <m/>
    <s v="No"/>
    <x v="1"/>
    <m/>
    <m/>
    <s v="137.141.13.2"/>
    <s v="RJ506.A9 -- R64 2012eb"/>
    <n v="618.92858820000004"/>
    <d v="2014-05-14T00:00:00"/>
  </r>
  <r>
    <x v="2177"/>
    <d v="1899-12-30T00:02:39"/>
    <x v="604"/>
    <x v="12"/>
    <s v="potsdam"/>
    <x v="633"/>
    <n v="1638614"/>
    <x v="0"/>
    <s v="Education"/>
    <s v="9781118866979"/>
    <s v=",1,1,2,2,3,3,24,24,25,25,26,26,22,23,23,2,43,43,44,44,41,41,42,42,39,40,40,124,124,125,125,126,126,122,123,123"/>
    <n v="19"/>
    <m/>
    <m/>
    <s v="No"/>
    <x v="3"/>
    <m/>
    <m/>
    <s v="137.143.104.94"/>
    <s v="LJ141 -- .I545 2014eb"/>
    <n v="378.19684999999998"/>
    <d v="2014-02-20T00:00:00"/>
  </r>
  <r>
    <x v="2178"/>
    <d v="1899-12-30T00:02:11"/>
    <x v="608"/>
    <x v="15"/>
    <s v="morrisville"/>
    <x v="639"/>
    <n v="1710998"/>
    <x v="3"/>
    <s v="Agriculture"/>
    <s v="9780520958982"/>
    <s v=",1,2,3,90,91,88,89,93,1,93,94,95,91,92,133,134,135,131,132,2,185,186,187,183,184,188"/>
    <n v="22"/>
    <m/>
    <m/>
    <s v="No"/>
    <x v="2"/>
    <d v="2015-12-08T15:33:28"/>
    <n v="1"/>
    <s v="136.204.32.67"/>
    <s v="S533.F66 -- .B88 2014eb"/>
    <s v="630.71/1"/>
    <d v="2014-11-03T00:00:00"/>
  </r>
  <r>
    <x v="2179"/>
    <d v="1899-12-30T00:00:00"/>
    <x v="197"/>
    <x v="1"/>
    <s v="brockport"/>
    <x v="207"/>
    <n v="979950"/>
    <x v="14"/>
    <s v="Literature"/>
    <s v="9781476600321"/>
    <m/>
    <n v="0"/>
    <m/>
    <m/>
    <s v="Yes"/>
    <x v="0"/>
    <d v="2015-12-08T16:19:28"/>
    <n v="7"/>
    <s v="137.21.7.121"/>
    <s v="PS3603.O4558 -- Z84 2012eb"/>
    <s v="813/.6"/>
    <d v="2012-07-10T00:00:00"/>
  </r>
  <r>
    <x v="2179"/>
    <d v="1899-12-30T00:00:00"/>
    <x v="197"/>
    <x v="1"/>
    <s v="brockport"/>
    <x v="207"/>
    <n v="979950"/>
    <x v="14"/>
    <s v="Literature"/>
    <s v="9781476600321"/>
    <m/>
    <n v="0"/>
    <m/>
    <m/>
    <s v="No"/>
    <x v="0"/>
    <d v="2015-12-08T16:19:28"/>
    <n v="7"/>
    <s v="137.21.7.121"/>
    <s v="PS3603.O4558 -- Z84 2012eb"/>
    <s v="813/.6"/>
    <d v="2012-07-10T00:00:00"/>
  </r>
  <r>
    <x v="2180"/>
    <d v="1899-12-30T00:00:28"/>
    <x v="197"/>
    <x v="1"/>
    <s v="brockport"/>
    <x v="207"/>
    <n v="979950"/>
    <x v="14"/>
    <s v="Literature"/>
    <s v="9781476600321"/>
    <s v=",1,208,209,210,206,207,2"/>
    <n v="7"/>
    <m/>
    <m/>
    <s v="No"/>
    <x v="1"/>
    <m/>
    <m/>
    <s v="137.21.7.121"/>
    <s v="PS3603.O4558 -- Z84 2012eb"/>
    <s v="813/.6"/>
    <d v="2012-07-10T00:00:00"/>
  </r>
  <r>
    <x v="2181"/>
    <d v="1899-12-30T00:00:18"/>
    <x v="609"/>
    <x v="0"/>
    <s v="Buffalo"/>
    <x v="477"/>
    <n v="1120279"/>
    <x v="0"/>
    <s v="Science: Biology/Natural History; Science"/>
    <s v="9781118537671"/>
    <s v=",1,2,3,16,17,18,14,19,20,15"/>
    <n v="10"/>
    <m/>
    <m/>
    <s v="No"/>
    <x v="1"/>
    <m/>
    <m/>
    <s v="128.205.114.91"/>
    <s v="QH371 .K384 2012"/>
    <n v="599.93499999999995"/>
    <d v="2012-11-19T00:00:00"/>
  </r>
  <r>
    <x v="2182"/>
    <d v="1899-12-30T00:02:45"/>
    <x v="610"/>
    <x v="5"/>
    <s v="erie"/>
    <x v="344"/>
    <n v="1691133"/>
    <x v="4"/>
    <s v="Medicine"/>
    <s v="9781462516278"/>
    <s v=",1,2,3,17,18,19,15,16,2,20,21,16,15,20,141,142,143,139,140"/>
    <n v="15"/>
    <m/>
    <s v=",141,142,143,144,145,146,147,148,149,150,151,152,153,154,155,156,157,158,159,160,161,162,163,164,165,320,321,322,323,324,325,326,327,328,329,330,331,332,333,334,335,336,337,338,339,340,341,342,343,344,345,346,347,348,349,350,371,372,373,374,375,376,377,378,379,380,381,382,383,384,385,386"/>
    <s v="No"/>
    <x v="0"/>
    <d v="2015-12-04T16:13:25"/>
    <n v="7"/>
    <s v="199.29.6.54"/>
    <s v="RC552.P67 -- .H353 2014eb"/>
    <s v="616.85/21"/>
    <d v="2014-05-15T00:00:00"/>
  </r>
  <r>
    <x v="2183"/>
    <d v="1899-12-30T00:02:38"/>
    <x v="611"/>
    <x v="15"/>
    <s v="morrisville"/>
    <x v="640"/>
    <n v="4000649"/>
    <x v="4"/>
    <m/>
    <s v="9781462522927"/>
    <s v=",1,2,3,4,5,6,7,8,9,10,11,12,13,14,15,16,17,18,19,20,21,22,23,24,25"/>
    <n v="25"/>
    <m/>
    <m/>
    <s v="No"/>
    <x v="3"/>
    <m/>
    <m/>
    <s v="136.204.32.68"/>
    <m/>
    <m/>
    <d v="2015-10-23T00:00:00"/>
  </r>
  <r>
    <x v="2184"/>
    <d v="1899-12-30T00:00:14"/>
    <x v="554"/>
    <x v="0"/>
    <s v="Buffalo"/>
    <x v="641"/>
    <n v="1895586"/>
    <x v="0"/>
    <s v="Medicine"/>
    <s v="9781118766651"/>
    <s v=",1,2,3,4,5,6,7,8"/>
    <n v="8"/>
    <m/>
    <m/>
    <s v="No"/>
    <x v="1"/>
    <m/>
    <m/>
    <s v="128.205.114.91"/>
    <s v="RK301 -- .F545 2016eb"/>
    <s v="617.6/3"/>
    <d v="2015-03-31T00:00:00"/>
  </r>
  <r>
    <x v="2185"/>
    <d v="1899-12-30T00:00:21"/>
    <x v="612"/>
    <x v="13"/>
    <s v="buffalostate"/>
    <x v="270"/>
    <n v="1637652"/>
    <x v="3"/>
    <s v="Education"/>
    <s v="9780520958449"/>
    <s v=",1,2,3,87,216,217,218,214,215,2"/>
    <n v="9"/>
    <m/>
    <m/>
    <s v="No"/>
    <x v="0"/>
    <d v="2015-12-03T16:46:10"/>
    <n v="7"/>
    <s v="136.183.11.43"/>
    <s v="LB2340.2 -- .B478 2014eb"/>
    <s v="378.3/62"/>
    <d v="2014-05-02T00:00:00"/>
  </r>
  <r>
    <x v="2186"/>
    <d v="1899-12-30T00:18:37"/>
    <x v="608"/>
    <x v="15"/>
    <s v="morrisville"/>
    <x v="639"/>
    <n v="1710998"/>
    <x v="3"/>
    <s v="Agriculture"/>
    <s v="9780520958982"/>
    <s v=",6,8,43,44,216,1,43,43,44,45,46,42,47,48,49,50,1,50,51,52,48,49,47,2,46,1,46,47,48,44,45,49,50,2,51,52"/>
    <n v="16"/>
    <m/>
    <m/>
    <s v="No"/>
    <x v="2"/>
    <d v="2015-12-08T15:33:28"/>
    <n v="1"/>
    <s v="136.204.32.67"/>
    <s v="S533.F66 -- .B88 2014eb"/>
    <s v="630.71/1"/>
    <d v="2014-11-03T00:00:00"/>
  </r>
  <r>
    <x v="2187"/>
    <d v="1899-12-30T03:19:35"/>
    <x v="64"/>
    <x v="6"/>
    <s v="sjfc"/>
    <x v="75"/>
    <n v="1986951"/>
    <x v="0"/>
    <s v="Business/Management"/>
    <s v="9781119130468"/>
    <s v=",1,2,3,53,54,55,51,52,56,57,51,58,59,60,61,62,63,64,65,66,67,67,1,68,69,66,65,2,78,79,111,112,110,109,113,114,115,116,117,110,116,117,118,119"/>
    <n v="35"/>
    <s v=",57,58,58,111,111,112,112,113"/>
    <m/>
    <s v="No"/>
    <x v="0"/>
    <d v="2015-12-04T19:47:43"/>
    <n v="7"/>
    <s v="149.69.254.57"/>
    <s v="HF5661"/>
    <n v="657.07600000000002"/>
    <d v="2015-05-19T00:00:00"/>
  </r>
  <r>
    <x v="2188"/>
    <d v="1899-12-30T00:20:32"/>
    <x v="13"/>
    <x v="0"/>
    <s v="Buffalo"/>
    <x v="150"/>
    <n v="1882108"/>
    <x v="3"/>
    <s v="Literature"/>
    <s v="9780520961326"/>
    <s v=",2,574,575,576,572,573,577,571,480,481,482,478,479"/>
    <n v="13"/>
    <m/>
    <m/>
    <s v="No"/>
    <x v="0"/>
    <d v="2015-12-08T15:24:31"/>
    <n v="7"/>
    <s v="128.205.114.91"/>
    <s v="PA4025.A2 -- .H664 2015eb"/>
    <n v="883"/>
    <d v="2015-05-14T00:00:00"/>
  </r>
  <r>
    <x v="2189"/>
    <d v="1899-12-30T00:00:22"/>
    <x v="13"/>
    <x v="0"/>
    <s v="Buffalo"/>
    <x v="150"/>
    <n v="1882108"/>
    <x v="3"/>
    <s v="Literature"/>
    <s v="9780520961326"/>
    <s v=",1,42,43,44,40,41,480,481,482,478,479"/>
    <n v="11"/>
    <m/>
    <m/>
    <s v="No"/>
    <x v="1"/>
    <m/>
    <m/>
    <s v="128.205.114.91"/>
    <s v="PA4025.A2 -- .H664 2015eb"/>
    <n v="883"/>
    <d v="2015-05-14T00:00:00"/>
  </r>
  <r>
    <x v="2190"/>
    <d v="1899-12-30T00:18:46"/>
    <x v="608"/>
    <x v="15"/>
    <s v="morrisville"/>
    <x v="639"/>
    <n v="1710998"/>
    <x v="3"/>
    <s v="Agriculture"/>
    <s v="9780520958982"/>
    <s v=",1,2,3"/>
    <n v="3"/>
    <m/>
    <m/>
    <s v="No"/>
    <x v="3"/>
    <m/>
    <m/>
    <s v="136.204.32.67"/>
    <s v="S533.F66 -- .B88 2014eb"/>
    <s v="630.71/1"/>
    <d v="2014-11-03T00:00:00"/>
  </r>
  <r>
    <x v="2191"/>
    <d v="1899-12-30T00:01:34"/>
    <x v="608"/>
    <x v="15"/>
    <s v="morrisville"/>
    <x v="639"/>
    <n v="1710998"/>
    <x v="3"/>
    <s v="Agriculture"/>
    <s v="9780520958982"/>
    <s v=",1,2,3,4,5,6,1"/>
    <n v="6"/>
    <m/>
    <m/>
    <s v="No"/>
    <x v="3"/>
    <m/>
    <m/>
    <s v="136.204.32.67"/>
    <s v="S533.F66 -- .B88 2014eb"/>
    <s v="630.71/1"/>
    <d v="2014-11-03T00:00:00"/>
  </r>
  <r>
    <x v="2192"/>
    <d v="1899-12-30T00:00:03"/>
    <x v="608"/>
    <x v="15"/>
    <s v="morrisville"/>
    <x v="639"/>
    <n v="1710998"/>
    <x v="3"/>
    <s v="Agriculture"/>
    <s v="9780520958982"/>
    <s v=",1,2,3"/>
    <n v="3"/>
    <m/>
    <m/>
    <s v="No"/>
    <x v="3"/>
    <m/>
    <m/>
    <s v="136.204.32.67"/>
    <s v="S533.F66 -- .B88 2014eb"/>
    <s v="630.71/1"/>
    <d v="2014-11-03T00:00:00"/>
  </r>
  <r>
    <x v="2193"/>
    <d v="1899-12-30T00:13:48"/>
    <x v="613"/>
    <x v="0"/>
    <s v="Buffalo"/>
    <x v="500"/>
    <n v="699744"/>
    <x v="0"/>
    <s v="Engineering; Engineering: Electrical; Engineering: Civil"/>
    <s v="9781118585818"/>
    <s v=",1,2,3,704,705,706,702,707,708,709,710,711,712,713,714,715,716,717,718,719,720,721,722,723"/>
    <n v="24"/>
    <m/>
    <m/>
    <s v="No"/>
    <x v="0"/>
    <d v="2015-12-07T02:14:10"/>
    <n v="7"/>
    <s v="128.205.114.91"/>
    <s v="TA1520 -- .S24 2007eb"/>
    <n v="621.36"/>
    <d v="2013-02-05T00:00:00"/>
  </r>
  <r>
    <x v="2194"/>
    <d v="1899-12-30T00:00:31"/>
    <x v="519"/>
    <x v="8"/>
    <s v="niagaracc"/>
    <x v="16"/>
    <n v="877717"/>
    <x v="6"/>
    <s v="Fine Arts"/>
    <s v="9781438139265"/>
    <s v=",1,2,3,4,5,6,7,8,9,12,13,14,11,10,91,92,93,89,109,110,111,107,108"/>
    <n v="23"/>
    <m/>
    <m/>
    <s v="No"/>
    <x v="1"/>
    <m/>
    <m/>
    <s v="132.174.254.37"/>
    <s v="PN1998.3.M577 -- L46 2012eb"/>
    <s v="791.4302/33092; B"/>
    <d v="2012-01-01T00:00:00"/>
  </r>
  <r>
    <x v="2195"/>
    <d v="1899-12-30T00:09:47"/>
    <x v="13"/>
    <x v="0"/>
    <s v="Buffalo"/>
    <x v="150"/>
    <n v="1882108"/>
    <x v="3"/>
    <s v="Literature"/>
    <s v="9780520961326"/>
    <s v=",1,2,3,4,5,46,44,32,18,8,9,10,11,7,12,13,14,15,16,17,19,20,21,22,23,24,25,26,27,28,29,30,31,32,33,34,35,36,37,38,39,40,41,42,43,44,45,46,47,48,49,50,51,52,53,54,55,56,57,58,59,60,61,62,63,64,480,481,482,478,479,483,484,485,2,3,4,1,104,70,71,72,68,69"/>
    <n v="77"/>
    <m/>
    <m/>
    <s v="No"/>
    <x v="1"/>
    <m/>
    <m/>
    <s v="128.205.114.91"/>
    <s v="PA4025.A2 -- .H664 2015eb"/>
    <n v="883"/>
    <d v="2015-05-14T00:00:00"/>
  </r>
  <r>
    <x v="2196"/>
    <d v="1899-12-30T00:00:00"/>
    <x v="13"/>
    <x v="0"/>
    <s v="Buffalo"/>
    <x v="517"/>
    <n v="1645679"/>
    <x v="1"/>
    <s v="Social Science; Medicine"/>
    <s v="9781472413079"/>
    <m/>
    <n v="0"/>
    <m/>
    <s v=",12,13,14,15,16,17,18,19,20,21,22,23,24,25,26,27,28,29,30,31,32,33,34,35,36,37,38,39,40,41"/>
    <s v="No"/>
    <x v="0"/>
    <d v="2015-12-08T14:52:40"/>
    <n v="7"/>
    <s v="128.205.114.91"/>
    <s v="RC569.5.B65 -- K97 2014eb"/>
    <s v="306.4/613"/>
    <d v="2014-03-28T00:00:00"/>
  </r>
  <r>
    <x v="2197"/>
    <d v="1899-12-30T00:01:30"/>
    <x v="614"/>
    <x v="0"/>
    <s v="Buffalo"/>
    <x v="642"/>
    <n v="918746"/>
    <x v="15"/>
    <s v="Fine Arts"/>
    <s v="9780826441850"/>
    <s v=",1,2,3,4,5,6,7,8,9,10,11,12,13,14,15,16,17"/>
    <n v="17"/>
    <m/>
    <m/>
    <s v="No"/>
    <x v="1"/>
    <m/>
    <m/>
    <s v="128.205.114.91"/>
    <s v="PN1992.8.R43 -- E84 2012eb"/>
    <n v="791.45749999999998"/>
    <d v="2012-07-01T00:00:00"/>
  </r>
  <r>
    <x v="2198"/>
    <d v="1899-12-30T00:00:36"/>
    <x v="13"/>
    <x v="0"/>
    <s v="Buffalo"/>
    <x v="517"/>
    <n v="1645679"/>
    <x v="1"/>
    <s v="Social Science; Medicine"/>
    <s v="9781472413079"/>
    <s v=",1,2,3,12,13,14,10,11,15,9"/>
    <n v="10"/>
    <m/>
    <m/>
    <s v="No"/>
    <x v="1"/>
    <m/>
    <m/>
    <s v="128.205.114.91"/>
    <s v="RC569.5.B65 -- K97 2014eb"/>
    <s v="306.4/613"/>
    <d v="2014-03-28T00:00:00"/>
  </r>
  <r>
    <x v="2199"/>
    <d v="1899-12-30T02:06:04"/>
    <x v="13"/>
    <x v="0"/>
    <s v="Buffalo"/>
    <x v="500"/>
    <n v="699744"/>
    <x v="0"/>
    <s v="Engineering; Engineering: Electrical; Engineering: Civil"/>
    <s v="9781118585818"/>
    <s v=",684,685,686,682,683,681,680,679,677,678,676,674,675,673,681,682,683,684,685,675,676,678,679,680,683,684,685,686,687,688,689,690,691,692,693,694,695,696,697,698,699,673,672,674,670,671,657,656,658,659,660,661,662,663,664,665,666,667,668,669,675,676,678,680,681,682,684,685,676,689,687"/>
    <n v="44"/>
    <m/>
    <m/>
    <s v="Yes"/>
    <x v="0"/>
    <d v="2015-12-05T20:29:33"/>
    <n v="7"/>
    <s v="128.205.114.91"/>
    <s v="TA1520 -- .S24 2007eb"/>
    <n v="621.36"/>
    <d v="2013-02-05T00:00:00"/>
  </r>
  <r>
    <x v="2200"/>
    <d v="1899-12-30T00:00:04"/>
    <x v="13"/>
    <x v="0"/>
    <s v="Buffalo"/>
    <x v="500"/>
    <n v="699744"/>
    <x v="0"/>
    <s v="Engineering; Engineering: Electrical; Engineering: Civil"/>
    <s v="9781118585818"/>
    <s v=",1,2,3"/>
    <n v="3"/>
    <m/>
    <m/>
    <s v="No"/>
    <x v="0"/>
    <d v="2015-12-05T20:29:33"/>
    <n v="7"/>
    <s v="128.205.114.91"/>
    <s v="TA1520 -- .S24 2007eb"/>
    <n v="621.36"/>
    <d v="2013-02-05T00:00:00"/>
  </r>
  <r>
    <x v="2201"/>
    <d v="1899-12-30T00:00:11"/>
    <x v="554"/>
    <x v="0"/>
    <s v="Buffalo"/>
    <x v="643"/>
    <n v="2083724"/>
    <x v="0"/>
    <s v="Science: Botany; Science"/>
    <s v="9781118502211"/>
    <s v=",1,2,3,4,5,6,7,8"/>
    <n v="8"/>
    <m/>
    <m/>
    <s v="No"/>
    <x v="1"/>
    <m/>
    <m/>
    <s v="128.205.114.91"/>
    <s v="QK861"/>
    <n v="581.79999999999995"/>
    <d v="2015-07-02T00:00:00"/>
  </r>
  <r>
    <x v="2202"/>
    <d v="1899-12-30T00:00:12"/>
    <x v="554"/>
    <x v="0"/>
    <s v="Buffalo"/>
    <x v="297"/>
    <n v="2122525"/>
    <x v="0"/>
    <s v="Health; Medicine; Social Science"/>
    <s v="9781118369432"/>
    <s v=",1,3,2,4,5,6,7,8"/>
    <n v="8"/>
    <m/>
    <m/>
    <s v="No"/>
    <x v="1"/>
    <m/>
    <m/>
    <s v="128.205.114.91"/>
    <s v="RC86.7 .E384 2015"/>
    <n v="362.18"/>
    <d v="2015-05-26T00:00:00"/>
  </r>
  <r>
    <x v="2203"/>
    <d v="1899-12-30T00:00:38"/>
    <x v="13"/>
    <x v="0"/>
    <s v="Buffalo"/>
    <x v="500"/>
    <n v="699744"/>
    <x v="0"/>
    <s v="Engineering; Engineering: Electrical; Engineering: Civil"/>
    <s v="9781118585818"/>
    <s v=",1,2,1,2,3,3,4,4,5,5,4,5,6,6,7,7,9,10,9,10,11,8,11,8,2,651,652,651,652,653,649,653,650,650,654,654,655,655"/>
    <n v="18"/>
    <m/>
    <m/>
    <s v="No"/>
    <x v="0"/>
    <d v="2015-12-05T20:29:33"/>
    <n v="7"/>
    <s v="128.205.114.91"/>
    <s v="TA1520 -- .S24 2007eb"/>
    <n v="621.36"/>
    <d v="2013-02-05T00:00:00"/>
  </r>
  <r>
    <x v="2204"/>
    <d v="1899-12-30T00:00:23"/>
    <x v="615"/>
    <x v="13"/>
    <s v="buffalostate"/>
    <x v="644"/>
    <n v="1774206"/>
    <x v="1"/>
    <s v="Literature"/>
    <s v="9781472442024"/>
    <s v=",1,1,2,2,3,3,4,4,4,5,5,6,6,7,7,8,2,3,8"/>
    <n v="8"/>
    <m/>
    <m/>
    <s v="No"/>
    <x v="3"/>
    <m/>
    <m/>
    <s v="136.183.11.43"/>
    <s v="PQ239 -- .S73 2014eb"/>
    <s v="840.9/003"/>
    <d v="2014-10-28T00:00:00"/>
  </r>
  <r>
    <x v="2205"/>
    <d v="1899-12-30T00:00:13"/>
    <x v="554"/>
    <x v="0"/>
    <s v="Buffalo"/>
    <x v="645"/>
    <n v="1998231"/>
    <x v="0"/>
    <s v="Social Science"/>
    <s v="9780745695778"/>
    <s v=",1,2,3,4,5,6,7"/>
    <n v="7"/>
    <m/>
    <m/>
    <s v="No"/>
    <x v="1"/>
    <m/>
    <m/>
    <s v="128.205.114.91"/>
    <s v="HM851 .C369 2015"/>
    <n v="302.23099999999999"/>
    <d v="2015-04-24T00:00:00"/>
  </r>
  <r>
    <x v="2206"/>
    <d v="1899-12-30T00:00:12"/>
    <x v="554"/>
    <x v="0"/>
    <s v="Buffalo"/>
    <x v="646"/>
    <n v="2198556"/>
    <x v="0"/>
    <m/>
    <s v="9781118905166"/>
    <s v=",1,2,3,4,5,6,7,8"/>
    <n v="8"/>
    <m/>
    <m/>
    <s v="No"/>
    <x v="1"/>
    <m/>
    <m/>
    <s v="128.205.114.91"/>
    <m/>
    <m/>
    <d v="2015-08-27T00:00:00"/>
  </r>
  <r>
    <x v="2207"/>
    <d v="1899-12-30T00:00:06"/>
    <x v="616"/>
    <x v="1"/>
    <s v="brockport"/>
    <x v="647"/>
    <n v="1166366"/>
    <x v="2"/>
    <s v="Fine Arts"/>
    <s v="9781136089541"/>
    <s v=",1,2,3"/>
    <n v="3"/>
    <m/>
    <m/>
    <s v="No"/>
    <x v="3"/>
    <m/>
    <m/>
    <s v="137.21.7.121"/>
    <s v="ML3799 -- .E79 2006eb"/>
    <n v="780.89"/>
    <d v="2013-09-05T00:00:00"/>
  </r>
  <r>
    <x v="2208"/>
    <d v="1899-12-30T01:45:20"/>
    <x v="612"/>
    <x v="13"/>
    <s v="buffalostate"/>
    <x v="270"/>
    <n v="1637652"/>
    <x v="3"/>
    <s v="Education"/>
    <s v="9780520958449"/>
    <s v=",1,2,3,18,28,29,30,26,27,31,25,24"/>
    <n v="12"/>
    <m/>
    <m/>
    <s v="No"/>
    <x v="0"/>
    <d v="2015-12-03T16:46:10"/>
    <n v="7"/>
    <s v="136.183.11.43"/>
    <s v="LB2340.2 -- .B478 2014eb"/>
    <s v="378.3/62"/>
    <d v="2014-05-02T00:00:00"/>
  </r>
  <r>
    <x v="2209"/>
    <d v="1899-12-30T00:00:00"/>
    <x v="617"/>
    <x v="0"/>
    <s v="Buffalo"/>
    <x v="648"/>
    <n v="912464"/>
    <x v="15"/>
    <s v="Language/Linguistics"/>
    <s v="9781408176238"/>
    <m/>
    <n v="0"/>
    <s v=",1"/>
    <m/>
    <s v="No"/>
    <x v="0"/>
    <d v="2015-12-08T07:45:35"/>
    <n v="7"/>
    <s v="128.205.114.91"/>
    <s v="PE1128"/>
    <n v="428.24076000000002"/>
    <d v="2012-05-17T00:00:00"/>
  </r>
  <r>
    <x v="2210"/>
    <d v="1899-12-30T00:00:11"/>
    <x v="617"/>
    <x v="0"/>
    <s v="Buffalo"/>
    <x v="648"/>
    <n v="912464"/>
    <x v="15"/>
    <s v="Language/Linguistics"/>
    <s v="9781408176238"/>
    <s v=",1,2,3,4"/>
    <n v="4"/>
    <m/>
    <m/>
    <s v="No"/>
    <x v="1"/>
    <m/>
    <m/>
    <s v="128.205.114.91"/>
    <s v="PE1128"/>
    <n v="428.24076000000002"/>
    <d v="2012-05-17T00:00:00"/>
  </r>
  <r>
    <x v="2211"/>
    <d v="1899-12-30T00:00:45"/>
    <x v="612"/>
    <x v="13"/>
    <s v="buffalostate"/>
    <x v="270"/>
    <n v="1637652"/>
    <x v="3"/>
    <s v="Education"/>
    <s v="9780520958449"/>
    <s v=",1,2,3,26,27,28,24,25,29,30,31"/>
    <n v="11"/>
    <m/>
    <m/>
    <s v="No"/>
    <x v="0"/>
    <d v="2015-12-03T16:46:10"/>
    <n v="7"/>
    <s v="136.183.11.43"/>
    <s v="LB2340.2 -- .B478 2014eb"/>
    <s v="378.3/62"/>
    <d v="2014-05-02T00:00:00"/>
  </r>
  <r>
    <x v="2212"/>
    <d v="1899-12-30T00:00:34"/>
    <x v="13"/>
    <x v="0"/>
    <s v="Buffalo"/>
    <x v="649"/>
    <n v="1897129"/>
    <x v="1"/>
    <s v="Fine Arts"/>
    <s v="9781472432292"/>
    <s v=",1,2,3,8,9,10,6,7,11,12,13,14,15,16,17,18,19"/>
    <n v="17"/>
    <m/>
    <m/>
    <s v="No"/>
    <x v="3"/>
    <m/>
    <m/>
    <s v="128.205.114.91"/>
    <s v="ML1751.C58 -- .S535 2015eb"/>
    <s v="782.10951/132"/>
    <d v="2015-02-28T00:00:00"/>
  </r>
  <r>
    <x v="2213"/>
    <d v="1899-12-30T01:05:04"/>
    <x v="618"/>
    <x v="13"/>
    <s v="buffalostate"/>
    <x v="650"/>
    <n v="1910128"/>
    <x v="4"/>
    <s v="Fine Arts; Social Science"/>
    <s v="9781462519453"/>
    <s v=",212,213,214,215,216,217,218,219,220,305,315,316,317,313,349,350,351,347,348,333,334,335,331,332,353,354,352,345,346,344,342,343,341,340,339,338,336,337,330,329,328,199,200,201,323,301,299,298,300,296,297,302,303,304,306,307,308,309,310,311,312,314,221"/>
    <n v="63"/>
    <m/>
    <m/>
    <s v="No"/>
    <x v="2"/>
    <d v="2015-12-08T03:06:06"/>
    <n v="1"/>
    <s v="136.183.11.43"/>
    <s v="H62 -- .L438 2015eb"/>
    <n v="700"/>
    <d v="2015-02-10T00:00:00"/>
  </r>
  <r>
    <x v="2214"/>
    <d v="1899-12-30T00:08:18"/>
    <x v="618"/>
    <x v="13"/>
    <s v="buffalostate"/>
    <x v="650"/>
    <n v="1910128"/>
    <x v="4"/>
    <s v="Fine Arts; Social Science"/>
    <s v="9781462519453"/>
    <s v=",1,2,3,4,5,6,7,8,9,10,11,12,13,14,15,16,17,18,19,20,21,22,23,24,208,210,209,206,207,211"/>
    <n v="30"/>
    <m/>
    <m/>
    <s v="No"/>
    <x v="3"/>
    <m/>
    <m/>
    <s v="136.183.11.43"/>
    <s v="H62 -- .L438 2015eb"/>
    <n v="700"/>
    <d v="2015-02-10T00:00:00"/>
  </r>
  <r>
    <x v="2215"/>
    <d v="1899-12-30T00:00:54"/>
    <x v="13"/>
    <x v="0"/>
    <s v="Buffalo"/>
    <x v="335"/>
    <n v="821801"/>
    <x v="0"/>
    <s v="Education; Business/Management"/>
    <s v="9781118224144"/>
    <s v=",1,2,3,4,5,6,7,8,9,21,22,23,19,20,24,17,18,15,16"/>
    <n v="19"/>
    <m/>
    <m/>
    <s v="No"/>
    <x v="1"/>
    <m/>
    <m/>
    <s v="128.205.114.91"/>
    <s v="HF1118 .O33; LB2367.3 .O34"/>
    <n v="658.00760000000002"/>
    <d v="2012-03-06T00:00:00"/>
  </r>
  <r>
    <x v="2216"/>
    <d v="1899-12-30T00:00:03"/>
    <x v="619"/>
    <x v="12"/>
    <s v="potsdam"/>
    <x v="651"/>
    <n v="1991222"/>
    <x v="4"/>
    <s v="Education"/>
    <s v="9781462521449"/>
    <s v=",1,2,3"/>
    <n v="3"/>
    <m/>
    <m/>
    <s v="No"/>
    <x v="3"/>
    <m/>
    <m/>
    <s v="137.143.104.94"/>
    <s v="LB3013 .L287 2015"/>
    <s v="371.102; 371.1024"/>
    <d v="2015-06-23T00:00:00"/>
  </r>
  <r>
    <x v="2217"/>
    <d v="1899-12-30T00:00:06"/>
    <x v="82"/>
    <x v="0"/>
    <s v="Buffalo"/>
    <x v="652"/>
    <n v="977924"/>
    <x v="0"/>
    <s v="Architecture; Fine Arts"/>
    <s v="9781118387887"/>
    <s v=",1,2,3"/>
    <n v="3"/>
    <m/>
    <m/>
    <s v="No"/>
    <x v="1"/>
    <m/>
    <m/>
    <s v="128.205.114.91"/>
    <s v="NA9053.E58 G73 2012"/>
    <s v="711.4; 711/.4"/>
    <d v="2012-07-16T00:00:00"/>
  </r>
  <r>
    <x v="2218"/>
    <d v="1899-12-30T00:01:18"/>
    <x v="620"/>
    <x v="1"/>
    <s v="brockport"/>
    <x v="653"/>
    <n v="1818237"/>
    <x v="0"/>
    <s v="Social Science"/>
    <s v="9781118729953"/>
    <s v=",20,9,8,10,11,12,19,18,25,50,47,44,43,45,42,40,41,39,38,37,36,35,34,33,32,31,30,29,28,2"/>
    <n v="30"/>
    <m/>
    <m/>
    <s v="No"/>
    <x v="2"/>
    <d v="2015-12-08T01:59:21"/>
    <n v="1"/>
    <s v="137.21.7.121"/>
    <s v="HM881"/>
    <n v="303.48"/>
    <d v="2014-10-13T00:00:00"/>
  </r>
  <r>
    <x v="2219"/>
    <d v="1899-12-30T01:12:40"/>
    <x v="620"/>
    <x v="1"/>
    <s v="brockport"/>
    <x v="653"/>
    <n v="1818237"/>
    <x v="0"/>
    <s v="Social Science"/>
    <s v="9781118729953"/>
    <s v=",1,5,6,7,4,3,2,21,22,23,19,20,25,17,18,15,16,13,14"/>
    <n v="19"/>
    <m/>
    <m/>
    <s v="No"/>
    <x v="3"/>
    <m/>
    <m/>
    <s v="137.21.7.121"/>
    <s v="HM881"/>
    <n v="303.48"/>
    <d v="2014-10-13T00:00:00"/>
  </r>
  <r>
    <x v="2220"/>
    <d v="1899-12-30T00:26:08"/>
    <x v="64"/>
    <x v="6"/>
    <s v="sjfc"/>
    <x v="75"/>
    <n v="1986951"/>
    <x v="0"/>
    <s v="Business/Management"/>
    <s v="9781119130468"/>
    <s v=",1,2,3,53,54,55,51,56,57,58,59,60,61,62,63,64,65,66,67,69,70,71,72,73,74,75,76,78,77,79,95,96,97,100,106,107,108,105,497,498,499,500,518,519,520,512,513,514,515,516,517"/>
    <n v="51"/>
    <s v=",57,57,58"/>
    <m/>
    <s v="No"/>
    <x v="0"/>
    <d v="2015-12-04T19:47:43"/>
    <n v="7"/>
    <s v="149.69.254.57"/>
    <s v="HF5661"/>
    <n v="657.07600000000002"/>
    <d v="2015-05-19T00:00:00"/>
  </r>
  <r>
    <x v="2221"/>
    <d v="1899-12-30T00:15:45"/>
    <x v="621"/>
    <x v="0"/>
    <s v="Buffalo"/>
    <x v="654"/>
    <n v="1724876"/>
    <x v="0"/>
    <s v="Business/Management; Economics"/>
    <s v="9781118914113"/>
    <s v=",1,2,3,12,13,14,10,11,840,841,842,838,839,778,779,780,776,777,781,782,783,784,785,786,787,788,789,790,791,792"/>
    <n v="30"/>
    <m/>
    <s v=",780,780,781,782,783,784,785,786,787,787,787,788,788,789,780,780,781,782,783,784,785,786,787,787,787,788,788,789"/>
    <s v="No"/>
    <x v="0"/>
    <d v="2015-12-04T19:15:47"/>
    <n v="7"/>
    <s v="128.205.114.91"/>
    <s v="HG173 -- .G733 2014eb"/>
    <n v="332"/>
    <d v="2014-06-26T00:00:00"/>
  </r>
  <r>
    <x v="2222"/>
    <d v="1899-12-30T00:03:12"/>
    <x v="586"/>
    <x v="7"/>
    <s v="oneonta"/>
    <x v="613"/>
    <n v="1935791"/>
    <x v="0"/>
    <s v="Business/Management; Economics"/>
    <s v="9781118909935"/>
    <s v=",61,62,59,63,60,64"/>
    <n v="6"/>
    <m/>
    <m/>
    <s v="No"/>
    <x v="0"/>
    <d v="2015-12-07T23:43:33"/>
    <n v="7"/>
    <s v="137.141.13.2"/>
    <s v="HC427.92 -- .C4782 2015eb"/>
    <n v="338.95100000000002"/>
    <d v="2014-12-22T00:00:00"/>
  </r>
  <r>
    <x v="2223"/>
    <d v="1899-12-30T00:53:30"/>
    <x v="586"/>
    <x v="7"/>
    <s v="oneonta"/>
    <x v="613"/>
    <n v="1935791"/>
    <x v="0"/>
    <s v="Business/Management; Economics"/>
    <s v="9781118909935"/>
    <s v=",1,3,2"/>
    <n v="3"/>
    <m/>
    <m/>
    <s v="No"/>
    <x v="1"/>
    <m/>
    <m/>
    <s v="137.141.13.2"/>
    <s v="HC427.92 -- .C4782 2015eb"/>
    <n v="338.95100000000002"/>
    <d v="2014-12-22T00:00:00"/>
  </r>
  <r>
    <x v="2224"/>
    <d v="1899-12-30T00:02:06"/>
    <x v="622"/>
    <x v="12"/>
    <s v="potsdam"/>
    <x v="631"/>
    <n v="1798778"/>
    <x v="0"/>
    <s v="Medicine"/>
    <s v="9781118760741"/>
    <s v=",1,2,3,345,346,347,343,344,342,341,340,339,345,346,347"/>
    <n v="12"/>
    <m/>
    <m/>
    <s v="No"/>
    <x v="1"/>
    <m/>
    <m/>
    <s v="137.143.104.94"/>
    <s v="RC71.5 -- .D954 2015eb"/>
    <n v="616.07500000000005"/>
    <d v="2014-09-24T00:00:00"/>
  </r>
  <r>
    <x v="2225"/>
    <d v="1899-12-30T00:07:58"/>
    <x v="623"/>
    <x v="6"/>
    <s v="sjfc"/>
    <x v="229"/>
    <n v="2090105"/>
    <x v="0"/>
    <s v="Business/Management"/>
    <s v="9781119082972"/>
    <s v=",1,2,3,60,61,62,58,59,63,64,65,66,67,68,69,70,71,72,137,138,139,135,136"/>
    <n v="23"/>
    <m/>
    <m/>
    <s v="No"/>
    <x v="1"/>
    <m/>
    <m/>
    <s v="149.69.254.57"/>
    <s v="HD57.7 .G45814 2015"/>
    <s v="658.4/092"/>
    <d v="2015-07-09T00:00:00"/>
  </r>
  <r>
    <x v="2226"/>
    <d v="1899-12-30T00:07:32"/>
    <x v="26"/>
    <x v="6"/>
    <s v="sjfc"/>
    <x v="655"/>
    <n v="1698594"/>
    <x v="17"/>
    <s v="Literature"/>
    <s v="9780748689774"/>
    <s v=",1,3,2,24,25,26,22,23"/>
    <n v="8"/>
    <m/>
    <m/>
    <s v="No"/>
    <x v="1"/>
    <m/>
    <m/>
    <s v="149.69.254.57"/>
    <s v="PN189 -- .H363 2014eb"/>
    <n v="808.02"/>
    <d v="2014-04-14T00:00:00"/>
  </r>
  <r>
    <x v="2227"/>
    <d v="1899-12-30T00:08:32"/>
    <x v="624"/>
    <x v="0"/>
    <s v="Buffalo"/>
    <x v="656"/>
    <n v="1433263"/>
    <x v="3"/>
    <s v="History"/>
    <s v="9780520957145"/>
    <s v=",1,1,3,3,2,1,2,1,4,4,5,5,6,6,148,148,150,146,149,150,149,147,147,2,151,151,152,152,153,153"/>
    <n v="14"/>
    <m/>
    <m/>
    <s v="No"/>
    <x v="1"/>
    <m/>
    <m/>
    <s v="128.205.114.91"/>
    <s v="DT264 -- .L35 2014eb"/>
    <n v="961.10400000000004"/>
    <d v="2013-09-27T00:00:00"/>
  </r>
  <r>
    <x v="2228"/>
    <d v="1899-12-30T00:49:21"/>
    <x v="64"/>
    <x v="6"/>
    <s v="sjfc"/>
    <x v="75"/>
    <n v="1986951"/>
    <x v="0"/>
    <s v="Business/Management"/>
    <s v="9781119130468"/>
    <s v=",1,2,3,53,54,55,52,51,56,57,58,52,51,59,60,61,62,63,64"/>
    <n v="17"/>
    <s v=",55,55,57,57"/>
    <m/>
    <s v="No"/>
    <x v="0"/>
    <d v="2015-12-04T19:47:43"/>
    <n v="7"/>
    <s v="149.69.254.57"/>
    <s v="HF5661"/>
    <n v="657.07600000000002"/>
    <d v="2015-05-19T00:00:00"/>
  </r>
  <r>
    <x v="2229"/>
    <d v="1899-12-30T00:00:03"/>
    <x v="625"/>
    <x v="0"/>
    <s v="Buffalo"/>
    <x v="657"/>
    <n v="1901124"/>
    <x v="3"/>
    <s v="History; Social Science"/>
    <s v="9780520962040"/>
    <s v=",1,3,2"/>
    <n v="3"/>
    <m/>
    <m/>
    <s v="No"/>
    <x v="3"/>
    <m/>
    <m/>
    <s v="128.205.114.91"/>
    <s v="E169.1"/>
    <n v="306.47000000000003"/>
    <d v="2014-06-11T00:00:00"/>
  </r>
  <r>
    <x v="2230"/>
    <d v="1899-12-30T00:01:08"/>
    <x v="64"/>
    <x v="6"/>
    <s v="sjfc"/>
    <x v="658"/>
    <n v="4107738"/>
    <x v="0"/>
    <m/>
    <s v="9781119242048"/>
    <s v=",2,3,1,281"/>
    <n v="4"/>
    <m/>
    <m/>
    <s v="No"/>
    <x v="3"/>
    <m/>
    <m/>
    <s v="149.69.254.57"/>
    <m/>
    <m/>
    <d v="2015-11-23T00:00:00"/>
  </r>
  <r>
    <x v="2231"/>
    <d v="1899-12-30T00:01:09"/>
    <x v="583"/>
    <x v="0"/>
    <s v="Buffalo"/>
    <x v="659"/>
    <n v="1757100"/>
    <x v="3"/>
    <s v="History; Business/Management"/>
    <s v="9780520961302"/>
    <s v=",1,2,2,3,3,1,4,4,2,2,340,340,341,341,342,338,342,343,339,343,74,75,74,75,72,73,76,73,76,77,77,78,78"/>
    <n v="17"/>
    <m/>
    <m/>
    <s v="No"/>
    <x v="1"/>
    <m/>
    <m/>
    <s v="128.205.114.91"/>
    <s v="HC39 -- .R663 2015eb"/>
    <s v="937/.07"/>
    <d v="2014-11-24T00:00:00"/>
  </r>
  <r>
    <x v="2232"/>
    <d v="1899-12-30T00:01:07"/>
    <x v="144"/>
    <x v="12"/>
    <s v="potsdam"/>
    <x v="660"/>
    <n v="1767442"/>
    <x v="0"/>
    <s v="General Works/Reference; Social Science"/>
    <s v="9781118904503"/>
    <s v=",1,2,3,327,328,329,325,326,330,331,332,333,334,335,336,337,338,339,340,341,342"/>
    <n v="21"/>
    <m/>
    <m/>
    <s v="No"/>
    <x v="3"/>
    <m/>
    <m/>
    <s v="137.143.104.94"/>
    <s v="H62 -- .B73 2014eb"/>
    <s v="001.4/2"/>
    <d v="2014-08-13T00:00:00"/>
  </r>
  <r>
    <x v="2233"/>
    <d v="1899-12-30T00:00:39"/>
    <x v="144"/>
    <x v="12"/>
    <s v="potsdam"/>
    <x v="661"/>
    <n v="2083727"/>
    <x v="0"/>
    <s v="Business/Management"/>
    <s v="9781118976746"/>
    <s v=",1,2,3,40,41,42,39,38,283,284,285,281,282,286,287,288,289,290"/>
    <n v="18"/>
    <m/>
    <m/>
    <s v="No"/>
    <x v="3"/>
    <m/>
    <m/>
    <s v="137.143.104.94"/>
    <s v="HD2745; HD58.8"/>
    <s v="658.4/22"/>
    <d v="2015-07-02T00:00:00"/>
  </r>
  <r>
    <x v="2234"/>
    <d v="1899-12-30T00:01:33"/>
    <x v="144"/>
    <x v="12"/>
    <s v="potsdam"/>
    <x v="662"/>
    <n v="1318689"/>
    <x v="0"/>
    <s v="Business/Management"/>
    <s v="9781118573310"/>
    <s v=",1,2,3,503,505,501,502,504,508,499,500,509,510,506,507,511,515,516,517,513,514,518,519,520,521,522,523,524,525,526,527,528"/>
    <n v="32"/>
    <m/>
    <m/>
    <s v="No"/>
    <x v="1"/>
    <m/>
    <m/>
    <s v="137.143.104.94"/>
    <s v="HD31 -- .B6135 2013eb"/>
    <s v="658.4/063"/>
    <d v="2013-07-16T00:00:00"/>
  </r>
  <r>
    <x v="2235"/>
    <d v="1899-12-30T00:12:48"/>
    <x v="626"/>
    <x v="1"/>
    <s v="brockport"/>
    <x v="663"/>
    <n v="1344631"/>
    <x v="2"/>
    <s v="Social Science"/>
    <s v="9781136029769"/>
    <s v=",16,17,18,20,19,21,22,23,21,24,25,26,27,28,29,30,31,32,33,34,35,36,37,38,39,40,41,42,47,46,44,43,45,48,49,50,51"/>
    <n v="36"/>
    <m/>
    <m/>
    <s v="No"/>
    <x v="2"/>
    <d v="2015-12-07T17:54:22"/>
    <n v="1"/>
    <s v="137.21.7.121"/>
    <s v="P94.7 -- .H83 2014eb"/>
    <s v="303.48/2"/>
    <d v="2013-08-15T00:00:00"/>
  </r>
  <r>
    <x v="2236"/>
    <d v="1899-12-30T01:30:42"/>
    <x v="627"/>
    <x v="13"/>
    <s v="buffalostate"/>
    <x v="664"/>
    <n v="1760726"/>
    <x v="4"/>
    <s v="Education"/>
    <s v="9781462518081"/>
    <s v=",1,2,3,34,36,35,32,33,37,38,40,41,42,38,39,43,43,44,45,46,47,48,49,50,51,52,53,54,55,56,57,58"/>
    <n v="30"/>
    <m/>
    <m/>
    <s v="No"/>
    <x v="2"/>
    <d v="2015-12-06T22:04:09"/>
    <n v="1"/>
    <s v="136.183.11.43"/>
    <s v="LB2840.2 -- .H37 2015eb"/>
    <s v="371.1001/9"/>
    <d v="2014-11-10T00:00:00"/>
  </r>
  <r>
    <x v="2237"/>
    <d v="1899-12-30T00:05:08"/>
    <x v="626"/>
    <x v="1"/>
    <s v="brockport"/>
    <x v="663"/>
    <n v="1344631"/>
    <x v="2"/>
    <s v="Social Science"/>
    <s v="9781136029769"/>
    <s v=",1,2,3,4,1,4,5,3,2,6,7,8,9,10,13,11,9,12,14,15"/>
    <n v="15"/>
    <m/>
    <m/>
    <s v="No"/>
    <x v="3"/>
    <m/>
    <m/>
    <s v="137.21.7.121"/>
    <s v="P94.7 -- .H83 2014eb"/>
    <s v="303.48/2"/>
    <d v="2013-08-15T00:00:00"/>
  </r>
  <r>
    <x v="2238"/>
    <d v="1899-12-30T02:01:53"/>
    <x v="13"/>
    <x v="0"/>
    <s v="Buffalo"/>
    <x v="500"/>
    <n v="699744"/>
    <x v="0"/>
    <s v="Engineering; Engineering: Electrical; Engineering: Civil"/>
    <s v="9781118585818"/>
    <s v=",1,2,3,4,5,6,8,7,653,654,655,652,651,656,657,658,659,660,661,662,663,644,645,646,642,643,647,648,649,650,651,652,653,654,655,650,656,657,658,659,660,661,662,663,664,665,666,667,668,669,670,671,672,662,661,663,659,660,662,664,665,666,671,672,673,674,675,676,677,678,679,680,681,682,683,684,685,686,687,688,689,690,691,692,693,694,695,696,697,698,699,700,701,702,703,704,705,707,708,709,710,711,772,773,774,770,771,775,776,777,779,774,773"/>
    <n v="86"/>
    <m/>
    <m/>
    <s v="No"/>
    <x v="0"/>
    <d v="2015-12-05T20:29:33"/>
    <n v="7"/>
    <s v="128.205.114.91"/>
    <s v="TA1520 -- .S24 2007eb"/>
    <n v="621.36"/>
    <d v="2013-02-05T00:00:00"/>
  </r>
  <r>
    <x v="2239"/>
    <d v="1899-12-30T00:05:52"/>
    <x v="628"/>
    <x v="0"/>
    <s v="Buffalo"/>
    <x v="665"/>
    <n v="2006091"/>
    <x v="0"/>
    <s v="Literature"/>
    <s v="9781118780961"/>
    <s v=",10,10,11,11,12,12,394,394,384,385,384,385,386,386,383,383,382,387,387,388,388"/>
    <n v="11"/>
    <m/>
    <m/>
    <s v="No"/>
    <x v="0"/>
    <d v="2015-12-07T17:21:29"/>
    <n v="7"/>
    <s v="128.205.114.91"/>
    <s v="PN56.P555 P674 2015"/>
    <s v="809/.93358"/>
    <d v="2014-10-24T00:00:00"/>
  </r>
  <r>
    <x v="2240"/>
    <d v="1899-12-30T00:00:44"/>
    <x v="629"/>
    <x v="8"/>
    <s v="niagaracc"/>
    <x v="87"/>
    <n v="1597004"/>
    <x v="3"/>
    <s v="Social Science"/>
    <s v="9780520958173"/>
    <s v=",40,35,26,27,28,24,25"/>
    <n v="7"/>
    <m/>
    <m/>
    <s v="Yes"/>
    <x v="0"/>
    <d v="2015-12-07T17:10:30"/>
    <n v="7"/>
    <s v="132.174.254.37"/>
    <s v="GT2884 -- .D84 2014eb"/>
    <s v="394.1/3"/>
    <d v="2014-05-01T00:00:00"/>
  </r>
  <r>
    <x v="2241"/>
    <d v="1899-12-30T00:10:11"/>
    <x v="628"/>
    <x v="0"/>
    <s v="Buffalo"/>
    <x v="665"/>
    <n v="2006091"/>
    <x v="0"/>
    <s v="Literature"/>
    <s v="9781118780961"/>
    <s v=",1,2,2,3,3,1,2,2,4,4,5,5,6,6,7,7,8,8,9,9"/>
    <n v="9"/>
    <m/>
    <m/>
    <s v="No"/>
    <x v="1"/>
    <m/>
    <m/>
    <s v="128.205.114.91"/>
    <s v="PN56.P555 P674 2015"/>
    <s v="809/.93358"/>
    <d v="2014-10-24T00:00:00"/>
  </r>
  <r>
    <x v="2242"/>
    <d v="1899-12-30T00:00:00"/>
    <x v="629"/>
    <x v="8"/>
    <s v="niagaracc"/>
    <x v="87"/>
    <n v="1597004"/>
    <x v="3"/>
    <s v="Social Science"/>
    <s v="9780520958173"/>
    <m/>
    <n v="0"/>
    <m/>
    <m/>
    <s v="Yes"/>
    <x v="0"/>
    <d v="2015-12-07T17:10:30"/>
    <n v="7"/>
    <s v="132.174.254.37"/>
    <s v="GT2884 -- .D84 2014eb"/>
    <s v="394.1/3"/>
    <d v="2014-05-01T00:00:00"/>
  </r>
  <r>
    <x v="2242"/>
    <d v="1899-12-30T00:00:00"/>
    <x v="629"/>
    <x v="8"/>
    <s v="niagaracc"/>
    <x v="87"/>
    <n v="1597004"/>
    <x v="3"/>
    <s v="Social Science"/>
    <s v="9780520958173"/>
    <m/>
    <n v="0"/>
    <m/>
    <m/>
    <s v="No"/>
    <x v="0"/>
    <d v="2015-12-07T17:10:30"/>
    <n v="7"/>
    <s v="132.174.254.37"/>
    <s v="GT2884 -- .D84 2014eb"/>
    <s v="394.1/3"/>
    <d v="2014-05-01T00:00:00"/>
  </r>
  <r>
    <x v="2243"/>
    <d v="1899-12-30T00:01:54"/>
    <x v="629"/>
    <x v="8"/>
    <s v="niagaracc"/>
    <x v="87"/>
    <n v="1597004"/>
    <x v="3"/>
    <s v="Social Science"/>
    <s v="9780520958173"/>
    <s v=",1,18,19,20,16,17,2,21,13,1,2,3"/>
    <n v="10"/>
    <m/>
    <m/>
    <s v="No"/>
    <x v="1"/>
    <m/>
    <m/>
    <s v="132.174.254.37"/>
    <s v="GT2884 -- .D84 2014eb"/>
    <s v="394.1/3"/>
    <d v="2014-05-01T00:00:00"/>
  </r>
  <r>
    <x v="2244"/>
    <d v="1899-12-30T00:01:54"/>
    <x v="575"/>
    <x v="0"/>
    <s v="Buffalo"/>
    <x v="605"/>
    <n v="832297"/>
    <x v="0"/>
    <s v="History"/>
    <s v="9781118300947"/>
    <s v=",1,2,2,1,3,3,4,4,5,5,6,6,7,7,8,8,11,11,16,16,18,18,23,23,36,2,36,51,51,70,70,82,82,104,104,105,106,106,105,198,198,202,202,201,201,200,200,198,199,199,197,196,195,193,194,192,190,191,189,188,186,187,185,184,189,196,199,201,202,203,203,204,206,209,206,209,204,214,214,217,217,211,211,218,218,219,219,220,216,220"/>
    <n v="49"/>
    <s v=",218"/>
    <m/>
    <s v="No"/>
    <x v="0"/>
    <d v="2015-12-06T22:56:59"/>
    <n v="7"/>
    <s v="128.205.114.91"/>
    <s v="DF12 -- .R65 2011eb"/>
    <n v="938"/>
    <d v="2011-12-19T00:00:00"/>
  </r>
  <r>
    <x v="2245"/>
    <d v="1899-12-30T00:00:11"/>
    <x v="630"/>
    <x v="5"/>
    <s v="erie"/>
    <x v="666"/>
    <n v="817932"/>
    <x v="0"/>
    <s v="Computer Science/IT"/>
    <s v="9781118220146"/>
    <s v=",1,3,2,4"/>
    <n v="4"/>
    <m/>
    <m/>
    <s v="No"/>
    <x v="1"/>
    <m/>
    <m/>
    <s v="199.29.6.54"/>
    <s v="QA76.73.J38 -- B87 2012eb"/>
    <n v="5.133"/>
    <d v="2012-03-13T00:00:00"/>
  </r>
  <r>
    <x v="2246"/>
    <d v="1899-12-30T00:15:20"/>
    <x v="631"/>
    <x v="1"/>
    <s v="brockport"/>
    <x v="667"/>
    <n v="800610"/>
    <x v="4"/>
    <s v="Medicine"/>
    <s v="9781609186951"/>
    <s v=",1,2,3,56,57,58,54,55,59,76,77,78,74,75,79,80,81,82,83,84,84,78"/>
    <n v="20"/>
    <s v=",56"/>
    <m/>
    <s v="No"/>
    <x v="0"/>
    <d v="2015-12-07T15:48:26"/>
    <n v="7"/>
    <s v="137.21.7.121"/>
    <s v="RC537 -- .L43 2012eb"/>
    <n v="616.89499999999998"/>
    <d v="2011-11-09T00:00:00"/>
  </r>
  <r>
    <x v="2247"/>
    <d v="1899-12-30T00:17:17"/>
    <x v="631"/>
    <x v="1"/>
    <s v="brockport"/>
    <x v="667"/>
    <n v="800610"/>
    <x v="4"/>
    <s v="Medicine"/>
    <s v="9781609186951"/>
    <s v=",60,59,58,57,56,61,62,57"/>
    <n v="7"/>
    <m/>
    <m/>
    <s v="No"/>
    <x v="0"/>
    <d v="2015-12-07T15:48:26"/>
    <n v="7"/>
    <s v="137.21.7.121"/>
    <s v="RC537 -- .L43 2012eb"/>
    <n v="616.89499999999998"/>
    <d v="2011-11-09T00:00:00"/>
  </r>
  <r>
    <x v="2248"/>
    <d v="1899-12-30T00:10:12"/>
    <x v="631"/>
    <x v="1"/>
    <s v="brockport"/>
    <x v="667"/>
    <n v="800610"/>
    <x v="4"/>
    <s v="Medicine"/>
    <s v="9781609186951"/>
    <s v=",1,2,3,40,41,38,42,39,63,53,64,65,61,62"/>
    <n v="14"/>
    <m/>
    <m/>
    <s v="No"/>
    <x v="1"/>
    <m/>
    <m/>
    <s v="137.21.7.121"/>
    <s v="RC537 -- .L43 2012eb"/>
    <n v="616.89499999999998"/>
    <d v="2011-11-09T00:00:00"/>
  </r>
  <r>
    <x v="2249"/>
    <d v="1899-12-30T01:59:05"/>
    <x v="72"/>
    <x v="4"/>
    <s v="monroe2boces"/>
    <x v="219"/>
    <n v="1310741"/>
    <x v="15"/>
    <s v="Health; Sport &amp; Recreation"/>
    <s v="9781408107461"/>
    <s v=",1,2,3,27,28,29,25,26,30,31,32,33,34,2,3,30,31,32,33,24,2,1,3"/>
    <n v="14"/>
    <m/>
    <s v=",27,28,29,30,31"/>
    <s v="No"/>
    <x v="0"/>
    <d v="2015-12-01T17:33:38"/>
    <n v="7"/>
    <s v="74.39.196.130"/>
    <s v="GV546"/>
    <n v="613.71"/>
    <d v="2009-01-01T00:00:00"/>
  </r>
  <r>
    <x v="2250"/>
    <d v="1899-12-30T00:34:03"/>
    <x v="26"/>
    <x v="6"/>
    <s v="sjfc"/>
    <x v="668"/>
    <n v="1674203"/>
    <x v="0"/>
    <s v="Philosophy"/>
    <s v="9780745674179"/>
    <s v=",27,28,29,30,31,32,41,91,93,92,89,90,47,48,49,50,58,59,60,56,57,61,1,2,3"/>
    <n v="25"/>
    <m/>
    <m/>
    <s v="No"/>
    <x v="2"/>
    <d v="2015-12-07T14:08:47"/>
    <n v="1"/>
    <s v="149.69.254.57"/>
    <s v="B2948 -- .F75 2014eb"/>
    <n v="193"/>
    <d v="2014-04-10T00:00:00"/>
  </r>
  <r>
    <x v="2251"/>
    <d v="1899-12-30T00:05:57"/>
    <x v="26"/>
    <x v="6"/>
    <s v="sjfc"/>
    <x v="668"/>
    <n v="1674203"/>
    <x v="0"/>
    <s v="Philosophy"/>
    <s v="9780745674179"/>
    <s v=",1,2,3,4,43,44,45,73,74,75,71,72,46,42,64,65,66,62,63,68,69,70,67,24,25,26,22,23"/>
    <n v="28"/>
    <m/>
    <m/>
    <s v="No"/>
    <x v="3"/>
    <m/>
    <m/>
    <s v="149.69.254.57"/>
    <s v="B2948 -- .F75 2014eb"/>
    <n v="193"/>
    <d v="2014-04-10T00:00:00"/>
  </r>
  <r>
    <x v="2252"/>
    <d v="1899-12-30T00:00:10"/>
    <x v="13"/>
    <x v="0"/>
    <s v="Buffalo"/>
    <x v="7"/>
    <n v="1711065"/>
    <x v="3"/>
    <s v="Political Science; Social Science"/>
    <s v="9780520959156"/>
    <s v=",1,2,3"/>
    <n v="3"/>
    <m/>
    <m/>
    <s v="No"/>
    <x v="1"/>
    <m/>
    <m/>
    <s v="128.205.114.91"/>
    <s v="JV6450 -- .P67 2014eb"/>
    <s v="304.8/73"/>
    <d v="2014-08-30T00:00:00"/>
  </r>
  <r>
    <x v="2253"/>
    <d v="1899-12-30T00:00:23"/>
    <x v="632"/>
    <x v="0"/>
    <s v="Buffalo"/>
    <x v="669"/>
    <n v="1742841"/>
    <x v="4"/>
    <s v="Medicine"/>
    <s v="9781462516445"/>
    <s v=",1,548,549,550,546,547,551,2"/>
    <n v="8"/>
    <m/>
    <m/>
    <s v="No"/>
    <x v="1"/>
    <m/>
    <m/>
    <s v="128.205.114.91"/>
    <s v="RC537 -- .H3376 2014eb"/>
    <n v="616.85270000000003"/>
    <d v="2014-10-22T00:00:00"/>
  </r>
  <r>
    <x v="2254"/>
    <d v="1899-12-30T00:01:19"/>
    <x v="633"/>
    <x v="1"/>
    <s v="brockport"/>
    <x v="670"/>
    <n v="958409"/>
    <x v="2"/>
    <s v="Fine Arts; Social Science"/>
    <s v="9780203127544"/>
    <s v=",1,16,17,14,18,15,19,20,2"/>
    <n v="9"/>
    <m/>
    <m/>
    <s v="No"/>
    <x v="3"/>
    <m/>
    <m/>
    <s v="137.21.7.121"/>
    <s v="ML3916 -- .M56 2012eb"/>
    <s v="302.23/1090511"/>
    <d v="2013-07-03T00:00:00"/>
  </r>
  <r>
    <x v="2255"/>
    <d v="1899-12-30T01:28:49"/>
    <x v="634"/>
    <x v="11"/>
    <s v="cobleskill"/>
    <x v="11"/>
    <n v="693176"/>
    <x v="0"/>
    <s v="Engineering: Manufacturing; General Works/Reference; Engineering"/>
    <s v="9781118017746"/>
    <s v=",468,469,470,471,472,473,474,475,476,477,478,479,480,481,482,483,484,485,486,487,488,489,490,491,492,497,493,494,495,496,498,499,500,501,502,503,504,505,484,548,549,550,546,547,545,544,507,508,506,509,510,511,512,513,514,515,519,520,521,517,523,527,530,531,532,533,536,539,540,541,542,551,553,554,555,552,548,556,557,558,559,560,561,562,563,564,565,566,567,568,569,570,571,572,573,574,575,576,577,578,579,580,581,582,583,584,585,586,587,588,589,590,521,522,524,525,518"/>
    <n v="114"/>
    <m/>
    <m/>
    <s v="No"/>
    <x v="0"/>
    <d v="2015-12-07T05:07:34"/>
    <n v="7"/>
    <s v="137.36.32.34"/>
    <s v="Z246 -- .M43 2012eb"/>
    <s v="686.2/209"/>
    <d v="2011-10-19T00:00:00"/>
  </r>
  <r>
    <x v="2256"/>
    <d v="1899-12-30T00:17:05"/>
    <x v="634"/>
    <x v="11"/>
    <s v="cobleskill"/>
    <x v="11"/>
    <n v="693176"/>
    <x v="0"/>
    <s v="Engineering: Manufacturing; General Works/Reference; Engineering"/>
    <s v="9781118017746"/>
    <s v=",1,3,2,452,453,454,450,451,455,456,457,458,459,460,461,462,463,464,465,466,467"/>
    <n v="21"/>
    <m/>
    <m/>
    <s v="No"/>
    <x v="1"/>
    <m/>
    <m/>
    <s v="137.36.32.34"/>
    <s v="Z246 -- .M43 2012eb"/>
    <s v="686.2/209"/>
    <d v="2011-10-19T00:00:00"/>
  </r>
  <r>
    <x v="2257"/>
    <d v="1899-12-30T00:01:46"/>
    <x v="635"/>
    <x v="1"/>
    <s v="brockport"/>
    <x v="671"/>
    <n v="1583441"/>
    <x v="2"/>
    <s v="Sport &amp; Recreation; Fine Arts"/>
    <s v="9781317840565"/>
    <s v=",1,2,3,4,5,6,7,8,9,10,11,12,43,44,45,41,42,46,47,48,49"/>
    <n v="21"/>
    <m/>
    <m/>
    <s v="No"/>
    <x v="3"/>
    <m/>
    <m/>
    <s v="137.21.7.121"/>
    <s v="GV184 -- .W53 2012eb"/>
    <n v="790.19259999999997"/>
    <d v="2013-12-19T00:00:00"/>
  </r>
  <r>
    <x v="2258"/>
    <d v="1899-12-30T00:00:45"/>
    <x v="636"/>
    <x v="13"/>
    <s v="buffalostate"/>
    <x v="672"/>
    <n v="1809337"/>
    <x v="16"/>
    <s v="Literature"/>
    <s v="9781137450098"/>
    <s v=",1,2,3,4,5,6,7,8,9,10,11,12,13,14,15,16"/>
    <n v="16"/>
    <m/>
    <m/>
    <s v="No"/>
    <x v="1"/>
    <m/>
    <m/>
    <s v="136.183.11.43"/>
    <s v="PN3441 -- .D35 2014eb"/>
    <s v="809.3/81"/>
    <d v="2014-10-17T00:00:00"/>
  </r>
  <r>
    <x v="2259"/>
    <d v="1899-12-30T00:00:33"/>
    <x v="637"/>
    <x v="13"/>
    <s v="buffalostate"/>
    <x v="673"/>
    <n v="1734072"/>
    <x v="1"/>
    <s v="Religion"/>
    <s v="9781472421500"/>
    <s v=",1,2,3,42,43,44,40,41"/>
    <n v="8"/>
    <m/>
    <m/>
    <s v="No"/>
    <x v="3"/>
    <m/>
    <m/>
    <s v="136.183.11.43"/>
    <s v="BL639 -- .R447 2014eb"/>
    <s v="204/.2"/>
    <d v="2014-09-28T00:00:00"/>
  </r>
  <r>
    <x v="2260"/>
    <d v="1899-12-30T00:13:29"/>
    <x v="638"/>
    <x v="1"/>
    <s v="brockport"/>
    <x v="674"/>
    <n v="980956"/>
    <x v="0"/>
    <s v="Psychology; Social Science"/>
    <s v="9781118227251"/>
    <s v=",379,380,394,395,396,392,393,373,372,335,336,337,333,334,338,339,340,341,376,342,343,344,342,345,346,347,348,349"/>
    <n v="27"/>
    <m/>
    <m/>
    <s v="No"/>
    <x v="0"/>
    <d v="2015-12-07T03:56:25"/>
    <n v="7"/>
    <s v="137.21.7.121"/>
    <s v="HV40 -- .T51377 2012eb"/>
    <s v="150.1023/36132"/>
    <d v="2012-07-23T00:00:00"/>
  </r>
  <r>
    <x v="2261"/>
    <d v="1899-12-30T00:09:04"/>
    <x v="638"/>
    <x v="1"/>
    <s v="brockport"/>
    <x v="674"/>
    <n v="980956"/>
    <x v="0"/>
    <s v="Psychology; Social Science"/>
    <s v="9781118227251"/>
    <s v=",1,2,3,376,377,378,374,375"/>
    <n v="8"/>
    <m/>
    <m/>
    <s v="No"/>
    <x v="1"/>
    <m/>
    <m/>
    <s v="137.21.7.121"/>
    <s v="HV40 -- .T51377 2012eb"/>
    <s v="150.1023/36132"/>
    <d v="2012-07-23T00:00:00"/>
  </r>
  <r>
    <x v="2262"/>
    <d v="1899-12-30T00:00:34"/>
    <x v="639"/>
    <x v="0"/>
    <s v="Buffalo"/>
    <x v="675"/>
    <n v="1596089"/>
    <x v="4"/>
    <s v="Medicine"/>
    <s v="9781462513307"/>
    <s v=",1,2,3,24,25,26,22,23,27,28,29,30"/>
    <n v="12"/>
    <m/>
    <m/>
    <s v="No"/>
    <x v="3"/>
    <m/>
    <m/>
    <s v="128.205.114.91"/>
    <s v="RC455.4.L67 -- P43 2014eb"/>
    <n v="616.85209999999995"/>
    <d v="2014-05-14T00:00:00"/>
  </r>
  <r>
    <x v="2263"/>
    <d v="1899-12-30T00:00:05"/>
    <x v="640"/>
    <x v="15"/>
    <s v="morrisville"/>
    <x v="676"/>
    <n v="1745053"/>
    <x v="0"/>
    <s v="Military Science"/>
    <s v="9780745685359"/>
    <s v=",1,2,3"/>
    <n v="3"/>
    <m/>
    <m/>
    <s v="No"/>
    <x v="3"/>
    <m/>
    <m/>
    <s v="136.204.32.68"/>
    <s v="UG1242.D7 .K384 2014"/>
    <n v="355.41097300000001"/>
    <d v="2014-07-17T00:00:00"/>
  </r>
  <r>
    <x v="2264"/>
    <d v="1899-12-30T00:00:06"/>
    <x v="641"/>
    <x v="15"/>
    <s v="morrisville"/>
    <x v="676"/>
    <n v="1745053"/>
    <x v="0"/>
    <s v="Military Science"/>
    <s v="9780745685359"/>
    <s v=",1,2,3,4"/>
    <n v="4"/>
    <m/>
    <m/>
    <s v="No"/>
    <x v="3"/>
    <m/>
    <m/>
    <s v="136.204.32.67"/>
    <s v="UG1242.D7 .K384 2014"/>
    <n v="355.41097300000001"/>
    <d v="2014-07-17T00:00:00"/>
  </r>
  <r>
    <x v="2265"/>
    <d v="1899-12-30T00:00:13"/>
    <x v="548"/>
    <x v="1"/>
    <s v="brockport"/>
    <x v="578"/>
    <n v="1816989"/>
    <x v="7"/>
    <s v="Social Science; Health; Medicine"/>
    <s v="9781780644578"/>
    <s v=",2,3,1,246,247,248,244,245"/>
    <n v="8"/>
    <m/>
    <m/>
    <s v="No"/>
    <x v="3"/>
    <m/>
    <m/>
    <s v="137.21.7.121"/>
    <s v="RA793 -- .C5766 2014eb"/>
    <s v="616.9/88"/>
    <d v="2014-09-26T00:00:00"/>
  </r>
  <r>
    <x v="2266"/>
    <d v="1899-12-30T00:09:16"/>
    <x v="462"/>
    <x v="0"/>
    <s v="Buffalo"/>
    <x v="502"/>
    <n v="1821088"/>
    <x v="4"/>
    <s v="Medicine"/>
    <s v="9781462519811"/>
    <s v=",75,4,5,6,84,85,82,81,74"/>
    <n v="9"/>
    <m/>
    <m/>
    <s v="No"/>
    <x v="2"/>
    <d v="2015-12-07T02:16:53"/>
    <n v="1"/>
    <s v="128.205.114.91"/>
    <s v="RJ505.C63 -- .F754 2015eb"/>
    <n v="618.9289"/>
    <d v="2015-05-19T00:00:00"/>
  </r>
  <r>
    <x v="2267"/>
    <d v="1899-12-30T00:28:10"/>
    <x v="613"/>
    <x v="0"/>
    <s v="Buffalo"/>
    <x v="500"/>
    <n v="699744"/>
    <x v="0"/>
    <s v="Engineering; Engineering: Electrical; Engineering: Civil"/>
    <s v="9781118585818"/>
    <s v=",715,716,717,718,719,720,721,506,507,508,504,505,509,510,511,512,468,470,469,467,466,471,472,473,474,475,476,727,728,724,726,725,729,730,731,732,733,734,735,736,737,738,739,740,741,742,743,744,745"/>
    <n v="49"/>
    <m/>
    <m/>
    <s v="No"/>
    <x v="0"/>
    <d v="2015-12-07T02:14:10"/>
    <n v="7"/>
    <s v="128.205.114.91"/>
    <s v="TA1520 -- .S24 2007eb"/>
    <n v="621.36"/>
    <d v="2013-02-05T00:00:00"/>
  </r>
  <r>
    <x v="2268"/>
    <d v="1899-12-30T00:05:50"/>
    <x v="462"/>
    <x v="0"/>
    <s v="Buffalo"/>
    <x v="502"/>
    <n v="1821088"/>
    <x v="4"/>
    <s v="Medicine"/>
    <s v="9781462519811"/>
    <s v=",1,2,3,11,9,10,7,8,12,13,14,26,27,28,24,25,78,79,80,76,77"/>
    <n v="21"/>
    <m/>
    <m/>
    <s v="No"/>
    <x v="3"/>
    <m/>
    <m/>
    <s v="128.205.114.91"/>
    <s v="RJ505.C63 -- .F754 2015eb"/>
    <n v="618.9289"/>
    <d v="2015-05-19T00:00:00"/>
  </r>
  <r>
    <x v="2269"/>
    <d v="1899-12-30T00:11:12"/>
    <x v="13"/>
    <x v="0"/>
    <s v="Buffalo"/>
    <x v="509"/>
    <n v="1115640"/>
    <x v="0"/>
    <s v="Engineering: Civil; Engineering: Construction; Engineering"/>
    <s v="9781118419090"/>
    <s v=",1,2,3,14,15,16,12,13,17,26,27,28,24,25,49,50,51,53,54,55,52,120,121,122,118,119,117,123,124,125,126"/>
    <n v="31"/>
    <m/>
    <m/>
    <s v="No"/>
    <x v="0"/>
    <d v="2015-12-04T05:58:48"/>
    <n v="7"/>
    <s v="128.205.114.91"/>
    <s v="TH375 -- .S77 2013eb"/>
    <n v="624"/>
    <d v="2013-01-22T00:00:00"/>
  </r>
  <r>
    <x v="2270"/>
    <d v="1899-12-30T00:06:51"/>
    <x v="642"/>
    <x v="2"/>
    <s v="hilbert"/>
    <x v="677"/>
    <n v="477315"/>
    <x v="2"/>
    <s v="Social Science"/>
    <s v="9781134733200"/>
    <s v=",1,3,9,257,255,1,3,10"/>
    <n v="6"/>
    <m/>
    <m/>
    <s v="No"/>
    <x v="2"/>
    <d v="2015-12-07T02:08:44"/>
    <n v="1"/>
    <s v="72.45.217.43"/>
    <s v="HV8073.S7328 2009"/>
    <n v="363.25"/>
    <d v="2013-08-21T00:00:00"/>
  </r>
  <r>
    <x v="2271"/>
    <d v="1899-12-30T00:05:23"/>
    <x v="642"/>
    <x v="2"/>
    <s v="hilbert"/>
    <x v="677"/>
    <n v="477315"/>
    <x v="2"/>
    <s v="Social Science"/>
    <s v="9781134733200"/>
    <s v=",1,2,3,26,27,28,25,24,11,10,12,8,13,9,7,6,5,4"/>
    <n v="18"/>
    <m/>
    <m/>
    <s v="No"/>
    <x v="3"/>
    <m/>
    <m/>
    <s v="72.45.217.43"/>
    <s v="HV8073.S7328 2009"/>
    <n v="363.25"/>
    <d v="2013-08-21T00:00:00"/>
  </r>
  <r>
    <x v="2272"/>
    <d v="1899-12-30T00:13:07"/>
    <x v="613"/>
    <x v="0"/>
    <s v="Buffalo"/>
    <x v="500"/>
    <n v="699744"/>
    <x v="0"/>
    <s v="Engineering; Engineering: Electrical; Engineering: Civil"/>
    <s v="9781118585818"/>
    <s v=",2,1,3,704,705,706,702,703,707,708,709,710,711,712,713,714"/>
    <n v="16"/>
    <m/>
    <m/>
    <s v="No"/>
    <x v="1"/>
    <m/>
    <m/>
    <s v="128.205.114.91"/>
    <s v="TA1520 -- .S24 2007eb"/>
    <n v="621.36"/>
    <d v="2013-02-05T00:00:00"/>
  </r>
  <r>
    <x v="2273"/>
    <d v="1899-12-30T02:46:31"/>
    <x v="587"/>
    <x v="1"/>
    <s v="brockport"/>
    <x v="616"/>
    <n v="3039551"/>
    <x v="12"/>
    <s v="History"/>
    <s v="9781469623184"/>
    <s v=",24,24,25,26,27,25,22,13,8,7,2,1,3,132,133,134,130,131,135,136,136,1,137,138,134,135,2"/>
    <n v="20"/>
    <m/>
    <m/>
    <s v="No"/>
    <x v="2"/>
    <d v="2015-12-07T01:40:21"/>
    <n v="1"/>
    <s v="137.21.7.121"/>
    <s v="E468.9 -- .G355 2015eb"/>
    <s v="973.7/1"/>
    <d v="2015-05-01T00:00:00"/>
  </r>
  <r>
    <x v="2274"/>
    <d v="1899-12-30T00:00:07"/>
    <x v="642"/>
    <x v="2"/>
    <s v="hilbert"/>
    <x v="678"/>
    <n v="449733"/>
    <x v="2"/>
    <s v="Social Science"/>
    <s v="9781843926337"/>
    <s v=",1,2,3"/>
    <n v="3"/>
    <m/>
    <m/>
    <s v="No"/>
    <x v="3"/>
    <m/>
    <m/>
    <s v="72.45.217.43"/>
    <s v="HV8073.3 -- .I68 2006eb"/>
    <n v="363.25"/>
    <d v="2013-09-05T00:00:00"/>
  </r>
  <r>
    <x v="2275"/>
    <d v="1899-12-30T00:03:33"/>
    <x v="627"/>
    <x v="13"/>
    <s v="buffalostate"/>
    <x v="664"/>
    <n v="1760726"/>
    <x v="4"/>
    <s v="Education"/>
    <s v="9781462518081"/>
    <s v=",1,2,3,30,31,32,28,29,33,27"/>
    <n v="10"/>
    <m/>
    <m/>
    <s v="No"/>
    <x v="2"/>
    <d v="2015-12-06T22:04:09"/>
    <n v="1"/>
    <s v="136.183.11.43"/>
    <s v="LB2840.2 -- .H37 2015eb"/>
    <s v="371.1001/9"/>
    <d v="2014-11-10T00:00:00"/>
  </r>
  <r>
    <x v="2276"/>
    <d v="1899-12-30T01:08:33"/>
    <x v="587"/>
    <x v="1"/>
    <s v="brockport"/>
    <x v="616"/>
    <n v="3039551"/>
    <x v="12"/>
    <s v="History"/>
    <s v="9781469623184"/>
    <s v=",1,2,3,4,5,6,7,8,9,134,135,136,132,133,137,138,139,140,30,22,23,24,20,21"/>
    <n v="24"/>
    <m/>
    <m/>
    <s v="No"/>
    <x v="3"/>
    <m/>
    <m/>
    <s v="137.21.7.121"/>
    <s v="E468.9 -- .G355 2015eb"/>
    <s v="973.7/1"/>
    <d v="2015-05-01T00:00:00"/>
  </r>
  <r>
    <x v="2277"/>
    <d v="1899-12-30T00:00:03"/>
    <x v="643"/>
    <x v="0"/>
    <s v="Buffalo"/>
    <x v="509"/>
    <n v="1115640"/>
    <x v="0"/>
    <s v="Engineering: Civil; Engineering: Construction; Engineering"/>
    <s v="9781118419090"/>
    <s v=",1,2,3"/>
    <n v="3"/>
    <m/>
    <m/>
    <s v="No"/>
    <x v="1"/>
    <m/>
    <m/>
    <s v="128.205.114.91"/>
    <s v="TH375 -- .S77 2013eb"/>
    <n v="624"/>
    <d v="2013-01-22T00:00:00"/>
  </r>
  <r>
    <x v="2278"/>
    <d v="1899-12-30T00:12:32"/>
    <x v="575"/>
    <x v="0"/>
    <s v="Buffalo"/>
    <x v="605"/>
    <n v="832297"/>
    <x v="0"/>
    <s v="History"/>
    <s v="9781118300947"/>
    <s v=",1,2,3,4,6,10,65,66,72,187,193,194,199,200,204,207,208,211,214,215,216,212,213,217,218,219,220,221,222,223,224,225,226,227,228,229,230,231"/>
    <n v="38"/>
    <m/>
    <m/>
    <s v="No"/>
    <x v="0"/>
    <d v="2015-12-06T22:56:59"/>
    <n v="7"/>
    <s v="128.205.114.91"/>
    <s v="DF12 -- .R65 2011eb"/>
    <n v="938"/>
    <d v="2011-12-19T00:00:00"/>
  </r>
  <r>
    <x v="2279"/>
    <d v="1899-12-30T00:00:03"/>
    <x v="548"/>
    <x v="1"/>
    <s v="brockport"/>
    <x v="578"/>
    <n v="1816989"/>
    <x v="7"/>
    <s v="Social Science; Health; Medicine"/>
    <s v="9781780644578"/>
    <s v=",1,2,3"/>
    <n v="3"/>
    <m/>
    <m/>
    <s v="No"/>
    <x v="3"/>
    <m/>
    <m/>
    <s v="137.21.7.121"/>
    <s v="RA793 -- .C5766 2014eb"/>
    <s v="616.9/88"/>
    <d v="2014-09-26T00:00:00"/>
  </r>
  <r>
    <x v="2280"/>
    <d v="1899-12-30T01:29:05"/>
    <x v="13"/>
    <x v="0"/>
    <s v="Buffalo"/>
    <x v="498"/>
    <n v="867850"/>
    <x v="10"/>
    <s v="History"/>
    <s v="9781400834860"/>
    <s v=",1,2,3,26,27,28,25,24,29,30,31,24,21,18,14,11,8,4,1,3,5,6,10,12,9,7"/>
    <n v="23"/>
    <m/>
    <m/>
    <s v="No"/>
    <x v="1"/>
    <m/>
    <m/>
    <s v="128.205.114.91"/>
    <s v="DF234.37 -- .B7413 2010eb"/>
    <s v="938/.07092"/>
    <d v="2012-03-25T00:00:00"/>
  </r>
  <r>
    <x v="2281"/>
    <d v="1899-12-30T00:00:32"/>
    <x v="631"/>
    <x v="1"/>
    <s v="brockport"/>
    <x v="667"/>
    <n v="800610"/>
    <x v="4"/>
    <s v="Medicine"/>
    <s v="9781609186951"/>
    <s v=",1,2,3,56,57,58,54,55,59"/>
    <n v="9"/>
    <m/>
    <m/>
    <s v="No"/>
    <x v="1"/>
    <m/>
    <m/>
    <s v="137.21.7.121"/>
    <s v="RC537 -- .L43 2012eb"/>
    <n v="616.89499999999998"/>
    <d v="2011-11-09T00:00:00"/>
  </r>
  <r>
    <x v="2282"/>
    <d v="1899-12-30T00:11:20"/>
    <x v="13"/>
    <x v="0"/>
    <s v="Buffalo"/>
    <x v="500"/>
    <n v="699744"/>
    <x v="0"/>
    <s v="Engineering; Engineering: Electrical; Engineering: Civil"/>
    <s v="9781118585818"/>
    <s v=",1,2,3,1185,1187,1186,1183,1184,1188,1189,1187,1189,1189,1192,1191,756,756,757"/>
    <n v="14"/>
    <m/>
    <m/>
    <s v="No"/>
    <x v="0"/>
    <d v="2015-12-05T20:29:33"/>
    <n v="7"/>
    <s v="128.205.114.91"/>
    <s v="TA1520 -- .S24 2007eb"/>
    <n v="621.36"/>
    <d v="2013-02-05T00:00:00"/>
  </r>
  <r>
    <x v="2283"/>
    <d v="1899-12-30T00:08:43"/>
    <x v="575"/>
    <x v="0"/>
    <s v="Buffalo"/>
    <x v="605"/>
    <n v="832297"/>
    <x v="0"/>
    <s v="History"/>
    <s v="9781118300947"/>
    <s v=",217,218,218,219,219,220,220,221,221,216,215,214,212,213,217,218,219,220"/>
    <n v="10"/>
    <m/>
    <m/>
    <s v="No"/>
    <x v="0"/>
    <d v="2015-12-06T22:56:59"/>
    <n v="7"/>
    <s v="128.205.114.91"/>
    <s v="DF12 -- .R65 2011eb"/>
    <n v="938"/>
    <d v="2011-12-19T00:00:00"/>
  </r>
  <r>
    <x v="2284"/>
    <d v="1899-12-30T00:29:32"/>
    <x v="644"/>
    <x v="13"/>
    <s v="buffalostate"/>
    <x v="679"/>
    <n v="1663538"/>
    <x v="12"/>
    <s v="History; Political Science"/>
    <s v="9781469615301"/>
    <s v=",25,26,27,28,243,244,245,241,242,246,247,248,322,323,324,321,320,325,326,327,328,329,330,331,332,333,334,335,336,337,338,339,340,341,343,358,359,360,356,357,361,362,363,364"/>
    <n v="44"/>
    <m/>
    <m/>
    <s v="No"/>
    <x v="2"/>
    <d v="2015-12-06T22:49:04"/>
    <n v="1"/>
    <s v="136.183.11.43"/>
    <s v="F1886 -- .P35 2014eb"/>
    <s v="320.97292/0904"/>
    <d v="2014-02-03T00:00:00"/>
  </r>
  <r>
    <x v="2285"/>
    <d v="1899-12-30T00:06:41"/>
    <x v="643"/>
    <x v="0"/>
    <s v="Buffalo"/>
    <x v="509"/>
    <n v="1115640"/>
    <x v="0"/>
    <s v="Engineering: Civil; Engineering: Construction; Engineering"/>
    <s v="9781118419090"/>
    <s v=",1,2,3,4,5,6,7,8,9,10,11,12,13,14,15,16,17,18,19,20,21,22,23,24,25,26,27,28,29,30,31,32,33,34,35,36,37,38,39,40,41,42,43,44,45,46,47,48,49,50,51,52,53,54,55,56,57,58,59,60,61,62,63,64,65,66,67,68,69,70,71,72,73,74,75,76,77,78,79,114,141,142,146,149,1,3"/>
    <n v="84"/>
    <m/>
    <m/>
    <s v="No"/>
    <x v="1"/>
    <m/>
    <m/>
    <s v="128.205.114.91"/>
    <s v="TH375 -- .S77 2013eb"/>
    <n v="624"/>
    <d v="2013-01-22T00:00:00"/>
  </r>
  <r>
    <x v="2286"/>
    <d v="1899-12-30T00:11:48"/>
    <x v="575"/>
    <x v="0"/>
    <s v="Buffalo"/>
    <x v="605"/>
    <n v="832297"/>
    <x v="0"/>
    <s v="History"/>
    <s v="9781118300947"/>
    <s v=",1,3,3,2,2,1,4,4,5,5,6,2,2,7,7,8,6,8,9,9,10,8,9,6,10,7,5,10,11,11,11,12,12,13,13,14,14,15,15,10,15,20,20,21,26,29,26,29,21,60,60,61,61,145,145,320,320,248,248,235,235,226,226,216,216,217,217,215,215,213,214,214,212,211,216"/>
    <n v="33"/>
    <m/>
    <m/>
    <s v="No"/>
    <x v="1"/>
    <m/>
    <m/>
    <s v="128.205.114.91"/>
    <s v="DF12 -- .R65 2011eb"/>
    <n v="938"/>
    <d v="2011-12-19T00:00:00"/>
  </r>
  <r>
    <x v="2287"/>
    <d v="1899-12-30T00:05:05"/>
    <x v="644"/>
    <x v="13"/>
    <s v="buffalostate"/>
    <x v="679"/>
    <n v="1663538"/>
    <x v="12"/>
    <s v="History; Political Science"/>
    <s v="9781469615301"/>
    <s v=",1,2,3,20,21,22,18,19,23,24"/>
    <n v="10"/>
    <m/>
    <m/>
    <s v="No"/>
    <x v="3"/>
    <m/>
    <m/>
    <s v="136.183.11.43"/>
    <s v="F1886 -- .P35 2014eb"/>
    <s v="320.97292/0904"/>
    <d v="2014-02-03T00:00:00"/>
  </r>
  <r>
    <x v="2288"/>
    <d v="1899-12-30T00:03:15"/>
    <x v="645"/>
    <x v="12"/>
    <s v="potsdam"/>
    <x v="680"/>
    <n v="1666573"/>
    <x v="11"/>
    <s v="Social Science"/>
    <s v="9780226134758"/>
    <s v=",1,3,2,5,4,6,7,8,9,10,11,12,13"/>
    <n v="13"/>
    <m/>
    <m/>
    <s v="No"/>
    <x v="3"/>
    <m/>
    <m/>
    <s v="137.143.104.94"/>
    <s v="HQ1191"/>
    <s v="305.420973090/34"/>
    <d v="2014-05-08T00:00:00"/>
  </r>
  <r>
    <x v="2289"/>
    <d v="1899-12-30T00:54:30"/>
    <x v="627"/>
    <x v="13"/>
    <s v="buffalostate"/>
    <x v="664"/>
    <n v="1760726"/>
    <x v="4"/>
    <s v="Education"/>
    <s v="9781462518081"/>
    <s v=",33,34,35,36,40,42,41,38,39,43,44,48,49,50,47,46,51,52"/>
    <n v="18"/>
    <m/>
    <m/>
    <s v="No"/>
    <x v="2"/>
    <d v="2015-12-06T22:04:09"/>
    <n v="1"/>
    <s v="136.183.11.43"/>
    <s v="LB2840.2 -- .H37 2015eb"/>
    <s v="371.1001/9"/>
    <d v="2014-11-10T00:00:00"/>
  </r>
  <r>
    <x v="2290"/>
    <d v="1899-12-30T00:05:46"/>
    <x v="627"/>
    <x v="13"/>
    <s v="buffalostate"/>
    <x v="664"/>
    <n v="1760726"/>
    <x v="4"/>
    <s v="Education"/>
    <s v="9781462518081"/>
    <s v=",2,1,3,4,5,6,30,31,32,28,29"/>
    <n v="11"/>
    <m/>
    <m/>
    <s v="No"/>
    <x v="3"/>
    <m/>
    <m/>
    <s v="136.183.11.43"/>
    <s v="LB2840.2 -- .H37 2015eb"/>
    <s v="371.1001/9"/>
    <d v="2014-11-10T00:00:00"/>
  </r>
  <r>
    <x v="2291"/>
    <d v="1899-12-30T03:35:18"/>
    <x v="631"/>
    <x v="1"/>
    <s v="brockport"/>
    <x v="681"/>
    <n v="1693587"/>
    <x v="0"/>
    <s v="Medicine; Social Science; Health"/>
    <s v="9781118388563"/>
    <s v=",1,3,2,83,84,85,81,82,86,87,88,89,90,91,92,93,94,95,96,97,98,96,97,98,99,100,101,102,103,104,105,106,107,108,109,110,104,103,102,82,43,44,45,41,42"/>
    <n v="38"/>
    <m/>
    <m/>
    <s v="No"/>
    <x v="2"/>
    <d v="2015-12-06T14:24:39"/>
    <n v="1"/>
    <s v="137.21.7.121"/>
    <s v="RA790.5 -- .P37 2014eb"/>
    <s v="616.89/1"/>
    <d v="2014-05-19T00:00:00"/>
  </r>
  <r>
    <x v="2292"/>
    <d v="1899-12-30T00:02:18"/>
    <x v="13"/>
    <x v="0"/>
    <s v="Buffalo"/>
    <x v="659"/>
    <n v="1757100"/>
    <x v="3"/>
    <s v="History; Business/Management"/>
    <s v="9780520961302"/>
    <s v=",1,2,3,178,179,180,176,177,181,182,183,184,185,186,187,188,189,190"/>
    <n v="18"/>
    <m/>
    <m/>
    <s v="No"/>
    <x v="1"/>
    <m/>
    <m/>
    <s v="128.205.114.91"/>
    <s v="HC39 -- .R663 2015eb"/>
    <s v="937/.07"/>
    <d v="2014-11-24T00:00:00"/>
  </r>
  <r>
    <x v="2293"/>
    <d v="1899-12-30T00:01:01"/>
    <x v="638"/>
    <x v="1"/>
    <s v="brockport"/>
    <x v="674"/>
    <n v="980956"/>
    <x v="0"/>
    <s v="Psychology; Social Science"/>
    <s v="9781118227251"/>
    <s v=",1,2,3,333,334,335,331"/>
    <n v="7"/>
    <m/>
    <m/>
    <s v="No"/>
    <x v="1"/>
    <m/>
    <m/>
    <s v="137.21.7.121"/>
    <s v="HV40 -- .T51377 2012eb"/>
    <s v="150.1023/36132"/>
    <d v="2012-07-23T00:00:00"/>
  </r>
  <r>
    <x v="2294"/>
    <d v="1899-12-30T00:00:04"/>
    <x v="638"/>
    <x v="1"/>
    <s v="brockport"/>
    <x v="682"/>
    <n v="2038638"/>
    <x v="1"/>
    <s v="Law"/>
    <s v="9781409454038"/>
    <s v=",1,2,3"/>
    <n v="3"/>
    <m/>
    <m/>
    <s v="No"/>
    <x v="3"/>
    <m/>
    <m/>
    <s v="137.21.7.121"/>
    <n v="2014041032"/>
    <n v="340.1"/>
    <d v="2015-05-28T00:00:00"/>
  </r>
  <r>
    <x v="2295"/>
    <d v="1899-12-30T00:05:05"/>
    <x v="646"/>
    <x v="12"/>
    <s v="potsdam"/>
    <x v="432"/>
    <n v="1742825"/>
    <x v="0"/>
    <s v="Medicine"/>
    <s v="9781118298664"/>
    <s v=",12,19,23,26,29,30,31,33,32,34,28,27,25,24,22,21,20,18,12,18,21,35,40,38,36,30,23,22,24,20"/>
    <n v="22"/>
    <s v=",15"/>
    <s v=",15,16,17,18,19,20,21,22"/>
    <s v="No"/>
    <x v="2"/>
    <d v="2015-12-06T20:30:16"/>
    <n v="1"/>
    <s v="137.143.104.94"/>
    <s v="RC377 -- .M858 2014eb"/>
    <s v="616.8/34"/>
    <d v="2014-07-14T00:00:00"/>
  </r>
  <r>
    <x v="2296"/>
    <d v="1899-12-30T00:05:32"/>
    <x v="646"/>
    <x v="12"/>
    <s v="potsdam"/>
    <x v="432"/>
    <n v="1742825"/>
    <x v="0"/>
    <s v="Medicine"/>
    <s v="9781118298664"/>
    <s v=",1,2,3,4,5,6,7,8,9,10,11,12,13,14,15,16,17,18"/>
    <n v="18"/>
    <m/>
    <m/>
    <s v="No"/>
    <x v="3"/>
    <m/>
    <m/>
    <s v="137.143.104.94"/>
    <s v="RC377 -- .M858 2014eb"/>
    <s v="616.8/34"/>
    <d v="2014-07-14T00:00:00"/>
  </r>
  <r>
    <x v="2297"/>
    <d v="1899-12-30T00:00:05"/>
    <x v="647"/>
    <x v="1"/>
    <s v="brockport"/>
    <x v="683"/>
    <n v="4036747"/>
    <x v="0"/>
    <s v="Social Science"/>
    <s v="9781118607763"/>
    <s v=",1,3,2"/>
    <n v="3"/>
    <m/>
    <m/>
    <s v="No"/>
    <x v="3"/>
    <m/>
    <m/>
    <s v="137.21.7.121"/>
    <s v="P91"/>
    <n v="302.23090000000002"/>
    <d v="2013-09-25T00:00:00"/>
  </r>
  <r>
    <x v="2298"/>
    <d v="1899-12-30T00:00:15"/>
    <x v="648"/>
    <x v="13"/>
    <s v="buffalostate"/>
    <x v="684"/>
    <n v="1120621"/>
    <x v="0"/>
    <s v="Education"/>
    <s v="9781118362679"/>
    <s v=",1,2,3,4,5,6,7"/>
    <n v="7"/>
    <m/>
    <m/>
    <s v="No"/>
    <x v="1"/>
    <m/>
    <m/>
    <s v="136.183.11.43"/>
    <s v="LB3013.3 .R59 2012"/>
    <s v="371.5/8; 371.58"/>
    <d v="2012-08-15T00:00:00"/>
  </r>
  <r>
    <x v="2299"/>
    <d v="1899-12-30T00:00:22"/>
    <x v="13"/>
    <x v="0"/>
    <s v="Buffalo"/>
    <x v="499"/>
    <n v="1172554"/>
    <x v="15"/>
    <s v="History"/>
    <s v=""/>
    <s v=",1,2,3,4,5,6,7,8,9,10,11,12,13,14,15,19,20,21,33,34,35,36,37"/>
    <n v="23"/>
    <m/>
    <m/>
    <s v="No"/>
    <x v="1"/>
    <m/>
    <m/>
    <s v="128.205.114.91"/>
    <s v="DF234 .A67 2012"/>
    <s v="938.07092; 938/.07092"/>
    <d v="2013-04-11T00:00:00"/>
  </r>
  <r>
    <x v="2300"/>
    <d v="1899-12-30T00:00:24"/>
    <x v="13"/>
    <x v="0"/>
    <s v="Buffalo"/>
    <x v="498"/>
    <n v="867850"/>
    <x v="10"/>
    <s v="History"/>
    <s v="9781400834860"/>
    <s v=",1,2,3,4,5,6,7,9,10,13,17,21,25,29,32,31,33,34,30,2,35,36,37"/>
    <n v="22"/>
    <m/>
    <m/>
    <s v="No"/>
    <x v="1"/>
    <m/>
    <m/>
    <s v="128.205.114.91"/>
    <s v="DF234.37 -- .B7413 2010eb"/>
    <s v="938/.07092"/>
    <d v="2012-03-25T00:00:00"/>
  </r>
  <r>
    <x v="2301"/>
    <d v="1899-12-30T00:12:09"/>
    <x v="623"/>
    <x v="6"/>
    <s v="sjfc"/>
    <x v="229"/>
    <n v="2090105"/>
    <x v="0"/>
    <s v="Business/Management"/>
    <s v="9781119082972"/>
    <s v=",1,119,120,121,117,118,126,127,128,124,125,123,2,122,127,128,129,126,130,131,132,133,134,135,136,137,138,139,140"/>
    <n v="26"/>
    <m/>
    <m/>
    <s v="No"/>
    <x v="0"/>
    <d v="2015-11-29T21:36:38"/>
    <n v="7"/>
    <s v="149.69.254.57"/>
    <s v="HD57.7 .G45814 2015"/>
    <s v="658.4/092"/>
    <d v="2015-07-09T00:00:00"/>
  </r>
  <r>
    <x v="2302"/>
    <d v="1899-12-30T00:00:20"/>
    <x v="623"/>
    <x v="6"/>
    <s v="sjfc"/>
    <x v="229"/>
    <n v="2090105"/>
    <x v="0"/>
    <s v="Business/Management"/>
    <s v="9781119082972"/>
    <s v=",1,2,3,4,5,6"/>
    <n v="6"/>
    <m/>
    <m/>
    <s v="No"/>
    <x v="0"/>
    <d v="2015-11-29T21:36:38"/>
    <n v="7"/>
    <s v="149.69.254.57"/>
    <s v="HD57.7 .G45814 2015"/>
    <s v="658.4/092"/>
    <d v="2015-07-09T00:00:00"/>
  </r>
  <r>
    <x v="2303"/>
    <d v="1899-12-30T00:00:13"/>
    <x v="649"/>
    <x v="0"/>
    <s v="Buffalo"/>
    <x v="659"/>
    <n v="1757100"/>
    <x v="3"/>
    <s v="History; Business/Management"/>
    <s v="9780520961302"/>
    <s v=",162,166,167,168,164,165,163,161"/>
    <n v="8"/>
    <m/>
    <m/>
    <s v="No"/>
    <x v="1"/>
    <m/>
    <m/>
    <s v="128.205.114.91"/>
    <s v="HC39 -- .R663 2015eb"/>
    <s v="937/.07"/>
    <d v="2014-11-24T00:00:00"/>
  </r>
  <r>
    <x v="2304"/>
    <d v="1899-12-30T00:12:42"/>
    <x v="649"/>
    <x v="0"/>
    <s v="Buffalo"/>
    <x v="659"/>
    <n v="1757100"/>
    <x v="3"/>
    <s v="History; Business/Management"/>
    <s v="9780520961302"/>
    <s v=",1,2,3,178,179,180,176,177,2,190,187,184,186,182,183,181,185,186"/>
    <n v="16"/>
    <m/>
    <m/>
    <s v="No"/>
    <x v="3"/>
    <m/>
    <m/>
    <s v="128.205.114.91"/>
    <s v="HC39 -- .R663 2015eb"/>
    <s v="937/.07"/>
    <d v="2014-11-24T00:00:00"/>
  </r>
  <r>
    <x v="2305"/>
    <d v="1899-12-30T00:00:38"/>
    <x v="601"/>
    <x v="0"/>
    <s v="Buffalo"/>
    <x v="150"/>
    <n v="1882108"/>
    <x v="3"/>
    <s v="Literature"/>
    <s v="9780520961326"/>
    <s v=",1,2,3,4,5,6,7,27,28,29,26,24,25,23,22,21,19,20,18,480,481,482,478,479"/>
    <n v="24"/>
    <m/>
    <m/>
    <s v="No"/>
    <x v="1"/>
    <m/>
    <m/>
    <s v="128.205.114.91"/>
    <s v="PA4025.A2 -- .H664 2015eb"/>
    <n v="883"/>
    <d v="2015-05-14T00:00:00"/>
  </r>
  <r>
    <x v="2306"/>
    <d v="1899-12-30T06:40:50"/>
    <x v="485"/>
    <x v="1"/>
    <s v="brockport"/>
    <x v="528"/>
    <n v="1869291"/>
    <x v="1"/>
    <s v="Law"/>
    <s v="9781409450320"/>
    <s v=",26,27,24,25,29,27,27,28,28,27,27,26,26,26,26,27,27,27,27,27,27,27,27,28,28,28,28,28,28,28,28,28,28,28,28,28,28,28,28,30,25,24,29,30,31,31,32,33,28,33,34,35,36,31,36,37,38,39,40,41,42,43,44,45,46,47,48,49,50,51,52,53,48,53,54,55,56,57,58,59,60,61,62,63,64"/>
    <n v="41"/>
    <s v=",28,28,28,28,26,26,31,31,30,30,33,33,33,33,34,34,43,43,44,44,45,45,46,46,47,47,48,48,59,59,60,60,61,61"/>
    <m/>
    <s v="No"/>
    <x v="2"/>
    <d v="2015-12-06T17:09:59"/>
    <n v="1"/>
    <s v="137.21.7.121"/>
    <s v="KF4124 -- .W56 2015eb"/>
    <s v="344.73/072"/>
    <d v="2015-01-28T00:00:00"/>
  </r>
  <r>
    <x v="2307"/>
    <d v="1899-12-30T00:00:04"/>
    <x v="650"/>
    <x v="8"/>
    <s v="niagaracc"/>
    <x v="527"/>
    <n v="1895554"/>
    <x v="0"/>
    <s v="Science: Physics; Science: Geology; Science"/>
    <s v="9781118708507"/>
    <s v=",1,2,3"/>
    <n v="3"/>
    <m/>
    <m/>
    <s v="No"/>
    <x v="3"/>
    <m/>
    <m/>
    <s v="132.174.254.37"/>
    <s v="QC902.9 -- .M455 2015eb"/>
    <n v="551.6"/>
    <d v="2015-02-04T00:00:00"/>
  </r>
  <r>
    <x v="2308"/>
    <d v="1899-12-30T00:07:15"/>
    <x v="651"/>
    <x v="7"/>
    <s v="oneonta"/>
    <x v="685"/>
    <n v="2066657"/>
    <x v="0"/>
    <s v="Social Science"/>
    <s v="9780745685946"/>
    <s v=",1,2,3,30,26,27,1,27,28,29,25,26,27,28,2,29,30,31,32,31,32"/>
    <n v="11"/>
    <m/>
    <m/>
    <s v="No"/>
    <x v="0"/>
    <d v="2015-12-06T16:59:47"/>
    <n v="7"/>
    <s v="137.141.13.2"/>
    <s v="HQ60 .J44 2015"/>
    <n v="306.70951000000002"/>
    <d v="2015-06-05T00:00:00"/>
  </r>
  <r>
    <x v="2309"/>
    <d v="1899-12-30T00:02:37"/>
    <x v="651"/>
    <x v="7"/>
    <s v="oneonta"/>
    <x v="685"/>
    <n v="2066657"/>
    <x v="0"/>
    <s v="Social Science"/>
    <s v="9780745685946"/>
    <s v=",71,71,72,73,6,7,5,5,6"/>
    <n v="6"/>
    <m/>
    <m/>
    <s v="No"/>
    <x v="0"/>
    <d v="2015-12-06T16:59:47"/>
    <n v="7"/>
    <s v="137.141.13.2"/>
    <s v="HQ60 .J44 2015"/>
    <n v="306.70951000000002"/>
    <d v="2015-06-05T00:00:00"/>
  </r>
  <r>
    <x v="2310"/>
    <d v="1899-12-30T00:06:52"/>
    <x v="651"/>
    <x v="7"/>
    <s v="oneonta"/>
    <x v="685"/>
    <n v="2066657"/>
    <x v="0"/>
    <s v="Social Science"/>
    <s v="9780745685946"/>
    <s v=",1,2,3,71,69,70,71"/>
    <n v="6"/>
    <m/>
    <m/>
    <s v="No"/>
    <x v="3"/>
    <m/>
    <m/>
    <s v="137.141.13.2"/>
    <s v="HQ60 .J44 2015"/>
    <n v="306.70951000000002"/>
    <d v="2015-06-05T00:00:00"/>
  </r>
  <r>
    <x v="2311"/>
    <d v="1899-12-30T00:21:09"/>
    <x v="485"/>
    <x v="1"/>
    <s v="brockport"/>
    <x v="528"/>
    <n v="1869291"/>
    <x v="1"/>
    <s v="Law"/>
    <s v="9781409450320"/>
    <s v=",1,2,3,26,27,28,24,25,29,30,31,32"/>
    <n v="12"/>
    <m/>
    <m/>
    <s v="No"/>
    <x v="3"/>
    <m/>
    <m/>
    <s v="137.21.7.121"/>
    <s v="KF4124 -- .W56 2015eb"/>
    <s v="344.73/072"/>
    <d v="2015-01-28T00:00:00"/>
  </r>
  <r>
    <x v="2312"/>
    <d v="1899-12-30T00:00:49"/>
    <x v="652"/>
    <x v="6"/>
    <s v="sjfc"/>
    <x v="593"/>
    <n v="943954"/>
    <x v="14"/>
    <s v="History"/>
    <s v="9780786492770"/>
    <s v=",1,2,3,143,145,141,146,147,142,143,141"/>
    <n v="9"/>
    <m/>
    <m/>
    <s v="No"/>
    <x v="1"/>
    <m/>
    <m/>
    <s v="149.69.254.57"/>
    <s v="E176.1 -- .F215 2012eb"/>
    <s v="973.09/9"/>
    <d v="2012-06-01T00:00:00"/>
  </r>
  <r>
    <x v="2313"/>
    <d v="1899-12-30T00:02:00"/>
    <x v="653"/>
    <x v="0"/>
    <s v="Buffalo"/>
    <x v="111"/>
    <n v="1166322"/>
    <x v="0"/>
    <s v="Architecture"/>
    <s v="9781118418512"/>
    <s v=",1,2,3,92,93,94,90,91,83,84,85,81,82,83,84,85,81,82,86,87,88,83,81,80,78,79"/>
    <n v="19"/>
    <m/>
    <m/>
    <s v="No"/>
    <x v="0"/>
    <d v="2015-12-02T23:55:28"/>
    <n v="7"/>
    <s v="128.205.114.91"/>
    <s v="NA2000 -- .G76 2013eb"/>
    <n v="720.072"/>
    <d v="2013-04-03T00:00:00"/>
  </r>
  <r>
    <x v="2314"/>
    <d v="1899-12-30T00:00:34"/>
    <x v="654"/>
    <x v="12"/>
    <s v="potsdam"/>
    <x v="686"/>
    <n v="2058076"/>
    <x v="1"/>
    <s v="Fine Arts; Literature"/>
    <s v="9781472435446"/>
    <s v=",1,2,3,4,5,6,14,15,20,21,22,23,24,25,26,27"/>
    <n v="16"/>
    <m/>
    <m/>
    <s v="No"/>
    <x v="3"/>
    <m/>
    <m/>
    <s v="137.143.104.94"/>
    <s v="PN6710 .B69 2015"/>
    <s v="741.5/9; 741.5''9"/>
    <d v="2015-07-28T00:00:00"/>
  </r>
  <r>
    <x v="2315"/>
    <d v="1899-12-30T00:03:15"/>
    <x v="621"/>
    <x v="0"/>
    <s v="Buffalo"/>
    <x v="654"/>
    <n v="1724876"/>
    <x v="0"/>
    <s v="Business/Management; Economics"/>
    <s v="9781118914113"/>
    <s v=",1,2,3,142,143,144,140,141,145,146,147,360,361,362,359,358,363,364,13,15,14,11,12"/>
    <n v="23"/>
    <m/>
    <s v=",790,791,791,792,792,793,793,793,793,794,794,794,794,794,795,795,796,797,797,798,798,799,800,801,802,803,804,805,806,807,808,809,810,811,812,813,814,815,816,817,818,819,820,821,822,823,824,825,826,827,828,829,830,150,151,152,152,153,270,271,272,272,272,272,272,272,273,274,275,360,361,362,362,362,363,363,364,364,364,365,498,499,500,500,501,666,667,667,668,669,670,671,672,672,672,673,778,779,779,779,779,780,780,780,780,780,781,782,783,784,785,786,787,787,787,788,788,789"/>
    <s v="No"/>
    <x v="0"/>
    <d v="2015-12-04T19:15:47"/>
    <n v="7"/>
    <s v="128.205.114.91"/>
    <s v="HG173 -- .G733 2014eb"/>
    <n v="332"/>
    <d v="2014-06-26T00:00:00"/>
  </r>
  <r>
    <x v="2316"/>
    <d v="1899-12-30T00:00:59"/>
    <x v="655"/>
    <x v="0"/>
    <s v="Buffalo"/>
    <x v="533"/>
    <n v="1760720"/>
    <x v="4"/>
    <s v="Medicine"/>
    <s v="9781462517459"/>
    <s v=",1,2,3,1,3,2,4,4,5,6,5,6,7,7,8,8,9,9,10,11,2,11,12,10,12,192,193,194,192,193,194,190,191,191"/>
    <n v="17"/>
    <m/>
    <m/>
    <s v="No"/>
    <x v="1"/>
    <m/>
    <m/>
    <s v="128.205.114.91"/>
    <s v="RC489.D48 -- L56 2015eb"/>
    <n v="616.89142000000004"/>
    <d v="2014-12-23T00:00:00"/>
  </r>
  <r>
    <x v="2317"/>
    <d v="1899-12-30T00:00:00"/>
    <x v="631"/>
    <x v="1"/>
    <s v="brockport"/>
    <x v="681"/>
    <n v="1693587"/>
    <x v="0"/>
    <s v="Medicine; Social Science; Health"/>
    <s v="9781118388563"/>
    <m/>
    <n v="0"/>
    <s v=",84"/>
    <m/>
    <s v="No"/>
    <x v="2"/>
    <d v="2015-12-06T14:24:39"/>
    <n v="1"/>
    <s v="137.21.7.121"/>
    <s v="RA790.5 -- .P37 2014eb"/>
    <s v="616.89/1"/>
    <d v="2014-05-19T00:00:00"/>
  </r>
  <r>
    <x v="2318"/>
    <d v="1899-12-30T00:01:44"/>
    <x v="631"/>
    <x v="1"/>
    <s v="brockport"/>
    <x v="681"/>
    <n v="1693587"/>
    <x v="0"/>
    <s v="Medicine; Social Science; Health"/>
    <s v="9781118388563"/>
    <s v=",1,2,3,13,14,15,11,12,35,36,37,33,34,84,85,86,82,83"/>
    <n v="18"/>
    <m/>
    <m/>
    <s v="No"/>
    <x v="3"/>
    <m/>
    <m/>
    <s v="137.21.7.121"/>
    <s v="RA790.5 -- .P37 2014eb"/>
    <s v="616.89/1"/>
    <d v="2014-05-19T00:00:00"/>
  </r>
  <r>
    <x v="2319"/>
    <d v="1899-12-30T00:07:23"/>
    <x v="623"/>
    <x v="6"/>
    <s v="sjfc"/>
    <x v="229"/>
    <n v="2090105"/>
    <x v="0"/>
    <s v="Business/Management"/>
    <s v="9781119082972"/>
    <s v=",1,2,3,119,120,121,117,118,122,124,125,126,123,121,127,128,129,130,131,132,133,134,135,136,137,138,139,140"/>
    <n v="27"/>
    <m/>
    <m/>
    <s v="No"/>
    <x v="0"/>
    <d v="2015-11-29T21:36:38"/>
    <n v="7"/>
    <s v="149.69.254.57"/>
    <s v="HD57.7 .G45814 2015"/>
    <s v="658.4/092"/>
    <d v="2015-07-09T00:00:00"/>
  </r>
  <r>
    <x v="2320"/>
    <d v="1899-12-30T00:00:45"/>
    <x v="656"/>
    <x v="8"/>
    <s v="niagaracc"/>
    <x v="687"/>
    <n v="1569869"/>
    <x v="2"/>
    <s v="Psychology"/>
    <s v="9781317799108"/>
    <s v=",82,84,83,80,81,85,86"/>
    <n v="7"/>
    <m/>
    <m/>
    <s v="No"/>
    <x v="0"/>
    <d v="2015-12-06T11:18:56"/>
    <n v="7"/>
    <s v="132.174.254.37"/>
    <s v="BF1099.L82"/>
    <n v="154.63"/>
    <d v="2013-11-26T00:00:00"/>
  </r>
  <r>
    <x v="2321"/>
    <d v="1899-12-30T00:16:42"/>
    <x v="656"/>
    <x v="8"/>
    <s v="niagaracc"/>
    <x v="687"/>
    <n v="1569869"/>
    <x v="2"/>
    <s v="Psychology"/>
    <s v="9781317799108"/>
    <s v=",1,2,3,21,22,23,19,24,20,25,26"/>
    <n v="11"/>
    <m/>
    <m/>
    <s v="No"/>
    <x v="3"/>
    <m/>
    <m/>
    <s v="132.174.254.37"/>
    <s v="BF1099.L82"/>
    <n v="154.63"/>
    <d v="2013-11-26T00:00:00"/>
  </r>
  <r>
    <x v="2322"/>
    <d v="1899-12-30T00:01:58"/>
    <x v="656"/>
    <x v="8"/>
    <s v="niagaracc"/>
    <x v="688"/>
    <n v="3061306"/>
    <x v="2"/>
    <s v="Psychology"/>
    <s v="9780203713877"/>
    <s v=",61,62,63,64,65"/>
    <n v="5"/>
    <m/>
    <m/>
    <s v="No"/>
    <x v="0"/>
    <d v="2015-12-06T08:37:40"/>
    <n v="7"/>
    <s v="132.174.254.37"/>
    <s v="BF1078 -- .W458 2011eb"/>
    <s v="154.6/3"/>
    <d v="2013-10-01T00:00:00"/>
  </r>
  <r>
    <x v="2323"/>
    <d v="1899-12-30T00:00:04"/>
    <x v="656"/>
    <x v="8"/>
    <s v="niagaracc"/>
    <x v="687"/>
    <n v="1569869"/>
    <x v="2"/>
    <s v="Psychology"/>
    <s v="9781317799108"/>
    <s v=",1,2,3"/>
    <n v="3"/>
    <m/>
    <m/>
    <s v="No"/>
    <x v="2"/>
    <d v="2015-12-05T09:47:51"/>
    <n v="1"/>
    <s v="132.174.254.37"/>
    <s v="BF1099.L82"/>
    <n v="154.63"/>
    <d v="2013-11-26T00:00:00"/>
  </r>
  <r>
    <x v="2324"/>
    <d v="1899-12-30T00:18:36"/>
    <x v="656"/>
    <x v="8"/>
    <s v="niagaracc"/>
    <x v="688"/>
    <n v="3061306"/>
    <x v="2"/>
    <s v="Psychology"/>
    <s v="9780203713877"/>
    <s v=",1,2,3,54,55,56,57,53,58,52,60,59"/>
    <n v="12"/>
    <m/>
    <m/>
    <s v="No"/>
    <x v="3"/>
    <m/>
    <m/>
    <s v="132.174.254.37"/>
    <s v="BF1078 -- .W458 2011eb"/>
    <s v="154.6/3"/>
    <d v="2013-10-01T00:00:00"/>
  </r>
  <r>
    <x v="2325"/>
    <d v="1899-12-30T00:53:34"/>
    <x v="657"/>
    <x v="0"/>
    <s v="Buffalo"/>
    <x v="605"/>
    <n v="832297"/>
    <x v="0"/>
    <s v="History"/>
    <s v="9781118300947"/>
    <s v=",139,140,153,154,155,166,167,168,164,165,169,156,157,158,159,160,161,214,215,216,212,213,217,218,219,220,221,222,223,224,162,163,170,171,172,173,174,175,176,177,275,276,277,273,274,278,279,280"/>
    <n v="48"/>
    <m/>
    <m/>
    <s v="No"/>
    <x v="0"/>
    <d v="2015-12-06T07:38:38"/>
    <n v="7"/>
    <s v="128.205.114.91"/>
    <s v="DF12 -- .R65 2011eb"/>
    <n v="938"/>
    <d v="2011-12-19T00:00:00"/>
  </r>
  <r>
    <x v="2326"/>
    <d v="1899-12-30T00:27:02"/>
    <x v="657"/>
    <x v="0"/>
    <s v="Buffalo"/>
    <x v="605"/>
    <n v="832297"/>
    <x v="0"/>
    <s v="History"/>
    <s v="9781118300947"/>
    <s v=",1,2,3,143,144,145,141,142,146,147,148,149,150,151,152"/>
    <n v="15"/>
    <m/>
    <m/>
    <s v="No"/>
    <x v="1"/>
    <m/>
    <m/>
    <s v="128.205.114.91"/>
    <s v="DF12 -- .R65 2011eb"/>
    <n v="938"/>
    <d v="2011-12-19T00:00:00"/>
  </r>
  <r>
    <x v="2327"/>
    <d v="1899-12-30T00:04:56"/>
    <x v="13"/>
    <x v="0"/>
    <s v="Buffalo"/>
    <x v="500"/>
    <n v="699744"/>
    <x v="0"/>
    <s v="Engineering; Engineering: Electrical; Engineering: Civil"/>
    <s v="9781118585818"/>
    <s v=",1,2,3,1185,1186,1187,1183,1184,1189,1190,1191,1188,1194,1195,1196,1192,1193,1194,1193,1192,1191,1190"/>
    <n v="17"/>
    <m/>
    <m/>
    <s v="No"/>
    <x v="0"/>
    <d v="2015-12-05T20:29:33"/>
    <n v="7"/>
    <s v="128.205.114.91"/>
    <s v="TA1520 -- .S24 2007eb"/>
    <n v="621.36"/>
    <d v="2013-02-05T00:00:00"/>
  </r>
  <r>
    <x v="2328"/>
    <d v="1899-12-30T00:00:29"/>
    <x v="13"/>
    <x v="0"/>
    <s v="Buffalo"/>
    <x v="500"/>
    <n v="699744"/>
    <x v="0"/>
    <s v="Engineering; Engineering: Electrical; Engineering: Civil"/>
    <s v="9781118585818"/>
    <s v=",1,2,3"/>
    <n v="3"/>
    <m/>
    <m/>
    <s v="No"/>
    <x v="0"/>
    <d v="2015-12-05T20:29:33"/>
    <n v="7"/>
    <s v="128.205.114.91"/>
    <s v="TA1520 -- .S24 2007eb"/>
    <n v="621.36"/>
    <d v="2013-02-05T00:00:00"/>
  </r>
  <r>
    <x v="2329"/>
    <d v="1899-12-30T00:26:53"/>
    <x v="13"/>
    <x v="0"/>
    <s v="Buffalo"/>
    <x v="689"/>
    <n v="1897119"/>
    <x v="1"/>
    <s v="Religion"/>
    <s v="9781409447733"/>
    <s v=",14,15,16,1,15,16,17,13,14,18,19,2,26,27,28,29,25,30,31,32,33,34,35,36,37,38,104,105,106,50,51,52,48,53,54,55,56,57,58"/>
    <n v="36"/>
    <m/>
    <m/>
    <s v="No"/>
    <x v="2"/>
    <d v="2015-12-06T02:20:40"/>
    <n v="1"/>
    <s v="128.205.114.91"/>
    <s v="BX5107.S4 -- .R455 2015eb"/>
    <s v="283/.4296"/>
    <d v="2015-02-28T00:00:00"/>
  </r>
  <r>
    <x v="2330"/>
    <d v="1899-12-30T00:38:32"/>
    <x v="13"/>
    <x v="0"/>
    <s v="Buffalo"/>
    <x v="689"/>
    <n v="1897119"/>
    <x v="1"/>
    <s v="Religion"/>
    <s v="9781409447733"/>
    <s v=",1,2,3,14,15,16,12,13"/>
    <n v="8"/>
    <m/>
    <m/>
    <s v="No"/>
    <x v="3"/>
    <m/>
    <m/>
    <s v="128.205.114.91"/>
    <s v="BX5107.S4 -- .R455 2015eb"/>
    <s v="283/.4296"/>
    <d v="2015-02-28T00:00:00"/>
  </r>
  <r>
    <x v="2331"/>
    <d v="1899-12-30T00:00:19"/>
    <x v="588"/>
    <x v="1"/>
    <s v="brockport"/>
    <x v="1"/>
    <n v="1684620"/>
    <x v="0"/>
    <s v="Health; Social Science"/>
    <s v="9781118418925"/>
    <s v=",59,60,61,57,58,62,63"/>
    <n v="7"/>
    <m/>
    <m/>
    <s v="No"/>
    <x v="0"/>
    <d v="2015-12-06T01:09:01"/>
    <n v="7"/>
    <s v="137.21.7.121"/>
    <s v="RA971 -- .S56 2014eb"/>
    <n v="362.10680000000002"/>
    <d v="2014-04-30T00:00:00"/>
  </r>
  <r>
    <x v="2332"/>
    <d v="1899-12-30T00:01:53"/>
    <x v="593"/>
    <x v="14"/>
    <s v="houghton"/>
    <x v="626"/>
    <n v="877713"/>
    <x v="6"/>
    <s v="History"/>
    <s v="9781438138596"/>
    <s v=",1,2,3,188,189,190,186,191,187,192,279,280,281,282,283,284,285,286,287,288,289,290,291,292,293,294,295"/>
    <n v="27"/>
    <m/>
    <m/>
    <s v="No"/>
    <x v="0"/>
    <d v="2015-12-02T03:26:16"/>
    <n v="7"/>
    <s v="96.43.64.169"/>
    <s v="DT58 -- .B96 2012eb"/>
    <n v="932.00300000000004"/>
    <d v="2012-01-01T00:00:00"/>
  </r>
  <r>
    <x v="2333"/>
    <d v="1899-12-30T00:11:44"/>
    <x v="588"/>
    <x v="1"/>
    <s v="brockport"/>
    <x v="1"/>
    <n v="1684620"/>
    <x v="0"/>
    <s v="Health; Social Science"/>
    <s v="9781118418925"/>
    <s v=",1,2,3,156,157,158,154,155,159,160,131,132,133,129,130,134,83,84,85,81,82,48,49,50,46,47,107,108,109,105,110,106,111,112,113,114,115,116,117,118,119,120,121,122,123,124,125,126,127,128"/>
    <n v="50"/>
    <m/>
    <m/>
    <s v="No"/>
    <x v="1"/>
    <m/>
    <m/>
    <s v="137.21.7.121"/>
    <s v="RA971 -- .S56 2014eb"/>
    <n v="362.10680000000002"/>
    <d v="2014-04-30T00:00:00"/>
  </r>
  <r>
    <x v="2334"/>
    <d v="1899-12-30T00:00:06"/>
    <x v="562"/>
    <x v="2"/>
    <s v="hilbert"/>
    <x v="690"/>
    <n v="1274388"/>
    <x v="5"/>
    <s v="Political Science; Social Science"/>
    <s v="9780814776582"/>
    <s v=",1,205,206,207,203,204"/>
    <n v="6"/>
    <m/>
    <m/>
    <s v="No"/>
    <x v="3"/>
    <m/>
    <m/>
    <s v="72.45.217.43"/>
    <s v="JV6483 -- .R66 2013eb"/>
    <s v="364.1/370973"/>
    <d v="2013-07-31T00:00:00"/>
  </r>
  <r>
    <x v="2335"/>
    <d v="1899-12-30T00:02:03"/>
    <x v="658"/>
    <x v="0"/>
    <s v="Buffalo"/>
    <x v="691"/>
    <n v="1220628"/>
    <x v="12"/>
    <s v="Education"/>
    <s v="9781469612553"/>
    <s v=",33,34,1,35,31,32,30,28,29,2,36,37,38,39,40,41,42,43,44,48,49,50"/>
    <n v="22"/>
    <m/>
    <m/>
    <s v="No"/>
    <x v="2"/>
    <d v="2015-12-05T23:30:37"/>
    <n v="1"/>
    <s v="128.205.114.91"/>
    <s v="LC214.23.L68 -- K64 2013eb"/>
    <s v="379.2/630976944"/>
    <d v="2013-08-05T00:00:00"/>
  </r>
  <r>
    <x v="2336"/>
    <d v="1899-12-30T00:41:40"/>
    <x v="658"/>
    <x v="0"/>
    <s v="Buffalo"/>
    <x v="691"/>
    <n v="1220628"/>
    <x v="12"/>
    <s v="Education"/>
    <s v="9781469612553"/>
    <s v=",1,2,3,30,31,32,28,29,33"/>
    <n v="9"/>
    <m/>
    <m/>
    <s v="No"/>
    <x v="3"/>
    <m/>
    <m/>
    <s v="128.205.114.91"/>
    <s v="LC214.23.L68 -- K64 2013eb"/>
    <s v="379.2/630976944"/>
    <d v="2013-08-05T00:00:00"/>
  </r>
  <r>
    <x v="2337"/>
    <d v="1899-12-30T00:00:03"/>
    <x v="659"/>
    <x v="1"/>
    <s v="brockport"/>
    <x v="692"/>
    <n v="1583400"/>
    <x v="2"/>
    <s v="Business/Management; Philosophy"/>
    <s v="9781317827788"/>
    <s v=",1,3,2"/>
    <n v="3"/>
    <m/>
    <m/>
    <s v="No"/>
    <x v="3"/>
    <m/>
    <m/>
    <s v="137.21.7.121"/>
    <s v="HF5549.5.A34 -- .A4632 2002eb"/>
    <n v="177.5"/>
    <d v="2013-12-19T00:00:00"/>
  </r>
  <r>
    <x v="2338"/>
    <d v="1899-12-30T00:00:47"/>
    <x v="659"/>
    <x v="1"/>
    <s v="brockport"/>
    <x v="693"/>
    <n v="1581654"/>
    <x v="2"/>
    <s v="Law; Social Science"/>
    <s v="9781136699290"/>
    <s v=",1,2,3,11,12,13,9,10,45,46,47,43,48,36,37,38,25"/>
    <n v="17"/>
    <m/>
    <m/>
    <s v="No"/>
    <x v="3"/>
    <m/>
    <m/>
    <s v="137.21.7.121"/>
    <s v="KF4155 -- .B27 2013eb"/>
    <n v="306.43"/>
    <d v="2013-12-16T00:00:00"/>
  </r>
  <r>
    <x v="2339"/>
    <d v="1899-12-30T00:02:05"/>
    <x v="26"/>
    <x v="6"/>
    <s v="sjfc"/>
    <x v="229"/>
    <n v="2090105"/>
    <x v="0"/>
    <s v="Business/Management"/>
    <s v="9781119082972"/>
    <s v=",125,126,128,127"/>
    <n v="4"/>
    <m/>
    <m/>
    <s v="No"/>
    <x v="0"/>
    <d v="2015-12-05T21:57:21"/>
    <n v="7"/>
    <s v="149.69.254.57"/>
    <s v="HD57.7 .G45814 2015"/>
    <s v="658.4/092"/>
    <d v="2015-07-09T00:00:00"/>
  </r>
  <r>
    <x v="2340"/>
    <d v="1899-12-30T00:20:56"/>
    <x v="26"/>
    <x v="6"/>
    <s v="sjfc"/>
    <x v="229"/>
    <n v="2090105"/>
    <x v="0"/>
    <s v="Business/Management"/>
    <s v="9781119082972"/>
    <s v=",1,2,3,119,120,121,117,118,122,123,124"/>
    <n v="11"/>
    <m/>
    <m/>
    <s v="No"/>
    <x v="1"/>
    <m/>
    <m/>
    <s v="149.69.254.57"/>
    <s v="HD57.7 .G45814 2015"/>
    <s v="658.4/092"/>
    <d v="2015-07-09T00:00:00"/>
  </r>
  <r>
    <x v="2341"/>
    <d v="1899-12-30T00:00:23"/>
    <x v="534"/>
    <x v="5"/>
    <s v="erie"/>
    <x v="694"/>
    <n v="697575"/>
    <x v="0"/>
    <s v="Social Science; Health"/>
    <s v="9781118115909"/>
    <s v=",1,393,394,395,391,392,2"/>
    <n v="7"/>
    <m/>
    <m/>
    <s v="No"/>
    <x v="1"/>
    <m/>
    <m/>
    <s v="199.29.6.54"/>
    <s v="HV687.A2 -- H36 2012eb"/>
    <s v="362.1/0425"/>
    <d v="2011-10-13T00:00:00"/>
  </r>
  <r>
    <x v="2342"/>
    <d v="1899-12-30T00:00:40"/>
    <x v="660"/>
    <x v="0"/>
    <s v="Buffalo"/>
    <x v="695"/>
    <n v="1833665"/>
    <x v="11"/>
    <s v="Science; Science: General"/>
    <s v="9780226167022"/>
    <s v=",70,71,209,61,1,2,3,13,14,15,11,12,4,5"/>
    <n v="14"/>
    <s v=",1"/>
    <m/>
    <s v="No"/>
    <x v="2"/>
    <d v="2015-12-05T20:55:29"/>
    <n v="1"/>
    <s v="128.205.114.91"/>
    <s v="Q143"/>
    <n v="509.2"/>
    <d v="2014-11-27T00:00:00"/>
  </r>
  <r>
    <x v="2343"/>
    <d v="1899-12-30T00:11:55"/>
    <x v="660"/>
    <x v="0"/>
    <s v="Buffalo"/>
    <x v="695"/>
    <n v="1833665"/>
    <x v="11"/>
    <s v="Science; Science: General"/>
    <s v="9780226167022"/>
    <s v=",1,2,3,8,9,10,6,7"/>
    <n v="8"/>
    <m/>
    <m/>
    <s v="No"/>
    <x v="3"/>
    <m/>
    <m/>
    <s v="128.205.114.91"/>
    <s v="Q143"/>
    <n v="509.2"/>
    <d v="2014-11-27T00:00:00"/>
  </r>
  <r>
    <x v="2344"/>
    <d v="1899-12-30T03:01:41"/>
    <x v="13"/>
    <x v="0"/>
    <s v="Buffalo"/>
    <x v="500"/>
    <n v="699744"/>
    <x v="0"/>
    <s v="Engineering; Engineering: Electrical; Engineering: Civil"/>
    <s v="9781118585818"/>
    <s v=",629,630,631,630,630,631,1185,1186,1187,1188,1189,1190,1191,1190,1192,1192,1192,1193,1194,1195,1196,1197,389,389,390,389,390,631,631,631,632,631,632,631,630,629,633,634,635,636,637,638,639,640,641,642,643"/>
    <n v="30"/>
    <m/>
    <m/>
    <s v="No"/>
    <x v="0"/>
    <d v="2015-12-05T20:29:33"/>
    <n v="7"/>
    <s v="128.205.114.91"/>
    <s v="TA1520 -- .S24 2007eb"/>
    <n v="621.36"/>
    <d v="2013-02-05T00:00:00"/>
  </r>
  <r>
    <x v="2345"/>
    <d v="1899-12-30T00:10:38"/>
    <x v="13"/>
    <x v="0"/>
    <s v="Buffalo"/>
    <x v="500"/>
    <n v="699744"/>
    <x v="0"/>
    <s v="Engineering; Engineering: Electrical; Engineering: Civil"/>
    <s v="9781118585818"/>
    <s v=",1,2,3,629,630,631,627,628,629,630,631,630,629"/>
    <n v="8"/>
    <m/>
    <m/>
    <s v="No"/>
    <x v="1"/>
    <m/>
    <m/>
    <s v="128.205.114.91"/>
    <s v="TA1520 -- .S24 2007eb"/>
    <n v="621.36"/>
    <d v="2013-02-05T00:00:00"/>
  </r>
  <r>
    <x v="2346"/>
    <d v="1899-12-30T00:04:31"/>
    <x v="661"/>
    <x v="8"/>
    <s v="niagaracc"/>
    <x v="696"/>
    <n v="918742"/>
    <x v="15"/>
    <s v="Social Science"/>
    <s v="9781441130525"/>
    <s v=",15,15,31,32,33,29,30,30,34,34,35,35"/>
    <n v="8"/>
    <m/>
    <m/>
    <s v="No"/>
    <x v="0"/>
    <d v="2015-12-05T20:15:28"/>
    <n v="7"/>
    <s v="132.174.254.37"/>
    <s v="HV7436 -- .F58 2012eb"/>
    <n v="363.33097299999997"/>
    <d v="2012-06-01T00:00:00"/>
  </r>
  <r>
    <x v="2347"/>
    <d v="1899-12-30T00:04:08"/>
    <x v="662"/>
    <x v="7"/>
    <s v="oneonta"/>
    <x v="697"/>
    <n v="1666465"/>
    <x v="0"/>
    <s v="Environmental Studies; Philosophy"/>
    <s v="9780745682280"/>
    <s v=",1,2,3,2,3,1,2,2,86,87,88,86,84,87,88,85,85,89,89,90,90,91,91,92,92,93,93,88,94,93,89,88,94,87,86,91"/>
    <n v="14"/>
    <m/>
    <m/>
    <s v="No"/>
    <x v="3"/>
    <m/>
    <m/>
    <s v="137.141.13.2"/>
    <s v="GE42.B69"/>
    <s v="179; 179.1; 179/.1"/>
    <d v="2014-04-03T00:00:00"/>
  </r>
  <r>
    <x v="2348"/>
    <d v="1899-12-30T00:13:50"/>
    <x v="661"/>
    <x v="8"/>
    <s v="niagaracc"/>
    <x v="696"/>
    <n v="918742"/>
    <x v="15"/>
    <s v="Social Science"/>
    <s v="9781441130525"/>
    <s v=",1,1,2,2,3,3,1,136,136,137,138,137,134,138,135,2,135,139,139,31,31,32,32,62,62,63,63,60,64,61,61,64,65,65,66,66,10,11,12,11,8,12,9,10,9,13,13,14,14"/>
    <n v="25"/>
    <m/>
    <m/>
    <s v="No"/>
    <x v="1"/>
    <m/>
    <m/>
    <s v="132.174.254.37"/>
    <s v="HV7436 -- .F58 2012eb"/>
    <n v="363.33097299999997"/>
    <d v="2012-06-01T00:00:00"/>
  </r>
  <r>
    <x v="2349"/>
    <d v="1899-12-30T00:01:35"/>
    <x v="663"/>
    <x v="1"/>
    <s v="brockport"/>
    <x v="698"/>
    <n v="1542215"/>
    <x v="2"/>
    <s v="Medicine"/>
    <s v="9781134386420"/>
    <s v=",1,3,2,4,5,438,439,440,436,437,441,442,443,412,413,414,410,411,415,416,417,418,419,396,397,398,394,395"/>
    <n v="28"/>
    <m/>
    <m/>
    <s v="No"/>
    <x v="3"/>
    <m/>
    <m/>
    <s v="137.21.7.121"/>
    <n v="99459981"/>
    <n v="616.9"/>
    <d v="1998-01-23T00:00:00"/>
  </r>
  <r>
    <x v="2350"/>
    <d v="1899-12-30T00:04:45"/>
    <x v="664"/>
    <x v="1"/>
    <s v="brockport"/>
    <x v="699"/>
    <n v="2039147"/>
    <x v="1"/>
    <s v="Social Science"/>
    <s v="9781472419927"/>
    <s v=",1,2,3,10,11,12,8,9"/>
    <n v="8"/>
    <m/>
    <m/>
    <s v="No"/>
    <x v="3"/>
    <m/>
    <m/>
    <s v="137.21.7.121"/>
    <s v="HV6250.4.W65 L66 2015"/>
    <s v="362.82''92"/>
    <d v="2015-06-28T00:00:00"/>
  </r>
  <r>
    <x v="2351"/>
    <d v="1899-12-30T00:44:36"/>
    <x v="665"/>
    <x v="0"/>
    <s v="Buffalo"/>
    <x v="700"/>
    <n v="1760709"/>
    <x v="4"/>
    <s v="Medicine"/>
    <s v="9781462516360"/>
    <s v=",1,2,3,90,92,91,88,89,471,472,473,469,470,467,474,91,92,93,89,90,471,472,473,469,470,463,464,465,461,462,475,476,477,474,472,469,470,474,469"/>
    <n v="24"/>
    <m/>
    <m/>
    <s v="No"/>
    <x v="2"/>
    <d v="2015-12-05T18:19:41"/>
    <n v="1"/>
    <s v="128.205.114.91"/>
    <s v="RJ504 -- .W535 2015eb"/>
    <n v="618.92600000000004"/>
    <d v="2014-10-21T00:00:00"/>
  </r>
  <r>
    <x v="2352"/>
    <d v="1899-12-30T00:00:01"/>
    <x v="665"/>
    <x v="0"/>
    <s v="Buffalo"/>
    <x v="700"/>
    <n v="1760709"/>
    <x v="4"/>
    <s v="Medicine"/>
    <s v="9781462516360"/>
    <s v=",1,2,3"/>
    <n v="3"/>
    <m/>
    <m/>
    <s v="No"/>
    <x v="2"/>
    <d v="2015-12-05T18:19:41"/>
    <n v="1"/>
    <s v="128.205.114.91"/>
    <s v="RJ504 -- .W535 2015eb"/>
    <n v="618.92600000000004"/>
    <d v="2014-10-21T00:00:00"/>
  </r>
  <r>
    <x v="2353"/>
    <d v="1899-12-30T00:07:49"/>
    <x v="665"/>
    <x v="0"/>
    <s v="Buffalo"/>
    <x v="700"/>
    <n v="1760709"/>
    <x v="4"/>
    <s v="Medicine"/>
    <s v="9781462516360"/>
    <s v=",1,2,3,470,471,472,468,469,473,474,469,277,1,3"/>
    <n v="11"/>
    <m/>
    <m/>
    <s v="No"/>
    <x v="3"/>
    <m/>
    <m/>
    <s v="128.205.114.91"/>
    <s v="RJ504 -- .W535 2015eb"/>
    <n v="618.92600000000004"/>
    <d v="2014-10-21T00:00:00"/>
  </r>
  <r>
    <x v="2354"/>
    <d v="1899-12-30T00:00:19"/>
    <x v="666"/>
    <x v="1"/>
    <s v="brockport"/>
    <x v="701"/>
    <n v="1977975"/>
    <x v="11"/>
    <s v="Business/Management; Political Science"/>
    <s v="9780226228693"/>
    <s v=",1,2,3,4,15,17,19,24,25,26,22,23"/>
    <n v="12"/>
    <m/>
    <m/>
    <s v="No"/>
    <x v="3"/>
    <m/>
    <m/>
    <s v="137.21.7.121"/>
    <s v="HB846.5 -- .C466 1991eb"/>
    <s v="323.1/196073"/>
    <d v="2014-12-10T00:00:00"/>
  </r>
  <r>
    <x v="2355"/>
    <d v="1899-12-30T00:23:27"/>
    <x v="667"/>
    <x v="5"/>
    <s v="erie"/>
    <x v="702"/>
    <n v="1187185"/>
    <x v="0"/>
    <s v="Engineering; Engineering: Mining; Engineering: Environmental"/>
    <s v="9781118748183"/>
    <s v=",66,67,68,69,70,71,72,73,74,75,76,78,79,81,83,84,85,86,82,87,88,89,91,93,92,89,90,94,95,96,97,98,99,100,101,107,108,109,105,106,110,111,112,113,114,115,116,117,119,120,121,118,122,123,124,125,127,128,129,126,130,131,172,173,174,170,171,175,176,177,178,179,180,181,182,183"/>
    <n v="75"/>
    <m/>
    <m/>
    <s v="No"/>
    <x v="0"/>
    <d v="2015-12-05T17:46:59"/>
    <n v="7"/>
    <s v="199.29.6.54"/>
    <s v="TD195.G3 -- H65 2013eb"/>
    <n v="622.33799999999997"/>
    <d v="2013-05-06T00:00:00"/>
  </r>
  <r>
    <x v="2356"/>
    <d v="1899-12-30T00:10:08"/>
    <x v="667"/>
    <x v="5"/>
    <s v="erie"/>
    <x v="702"/>
    <n v="1187185"/>
    <x v="0"/>
    <s v="Engineering; Engineering: Mining; Engineering: Environmental"/>
    <s v="9781118748183"/>
    <s v=",1,2,3,15,16,17,13,14,18,19,20,21,22,23,24,25,26,27,28,29,30,31,32,33,34,35,36,37,38,39,40,41,42,43,44,45,46,47,48,49,50,51,52,53,54,55,56,61,62,63,59,60,64,65"/>
    <n v="54"/>
    <m/>
    <m/>
    <s v="No"/>
    <x v="1"/>
    <m/>
    <m/>
    <s v="199.29.6.54"/>
    <s v="TD195.G3 -- H65 2013eb"/>
    <n v="622.33799999999997"/>
    <d v="2013-05-06T00:00:00"/>
  </r>
  <r>
    <x v="2357"/>
    <d v="1899-12-30T00:01:19"/>
    <x v="668"/>
    <x v="0"/>
    <s v="Buffalo"/>
    <x v="703"/>
    <n v="1808795"/>
    <x v="1"/>
    <s v="Architecture"/>
    <s v="9781472447951"/>
    <s v=",1,2,3,31,32,33,29,30,28,35,26,27,25"/>
    <n v="13"/>
    <m/>
    <m/>
    <s v="No"/>
    <x v="0"/>
    <d v="2015-12-02T09:28:07"/>
    <n v="7"/>
    <s v="128.205.114.91"/>
    <s v="NA5870.A9 -- .S353 2014eb"/>
    <s v="726.6094961/8"/>
    <d v="2014-11-28T00:00:00"/>
  </r>
  <r>
    <x v="2358"/>
    <d v="1899-12-30T01:18:21"/>
    <x v="656"/>
    <x v="8"/>
    <s v="niagaracc"/>
    <x v="687"/>
    <n v="1569869"/>
    <x v="2"/>
    <s v="Psychology"/>
    <s v="9781317799108"/>
    <s v=",86,87,88,89,66,67,68,69,70,71,72,73,74,75"/>
    <n v="14"/>
    <m/>
    <m/>
    <s v="No"/>
    <x v="2"/>
    <d v="2015-12-05T09:47:51"/>
    <n v="1"/>
    <s v="132.174.254.37"/>
    <s v="BF1099.L82"/>
    <n v="154.63"/>
    <d v="2013-11-26T00:00:00"/>
  </r>
  <r>
    <x v="2359"/>
    <d v="1899-12-30T00:05:00"/>
    <x v="656"/>
    <x v="8"/>
    <s v="niagaracc"/>
    <x v="687"/>
    <n v="1569869"/>
    <x v="2"/>
    <s v="Psychology"/>
    <s v="9781317799108"/>
    <s v=",1,2,3,63,64,65,61,62,76,77,78,74,75,79,80,81,82,83,84,85"/>
    <n v="20"/>
    <m/>
    <m/>
    <s v="No"/>
    <x v="3"/>
    <m/>
    <m/>
    <s v="132.174.254.37"/>
    <s v="BF1099.L82"/>
    <n v="154.63"/>
    <d v="2013-11-26T00:00:00"/>
  </r>
  <r>
    <x v="2360"/>
    <d v="1899-12-30T03:03:36"/>
    <x v="656"/>
    <x v="8"/>
    <s v="niagaracc"/>
    <x v="688"/>
    <n v="3061306"/>
    <x v="2"/>
    <s v="Psychology"/>
    <s v="9780203713877"/>
    <s v=",46,47,48,49,50,51,52,53,65,61,62,60,59,54,55,56,57,58,59,60,65,66,67"/>
    <n v="20"/>
    <m/>
    <m/>
    <s v="No"/>
    <x v="2"/>
    <d v="2015-12-05T06:18:39"/>
    <n v="1"/>
    <s v="132.174.254.37"/>
    <s v="BF1078 -- .W458 2011eb"/>
    <s v="154.6/3"/>
    <d v="2013-10-01T00:00:00"/>
  </r>
  <r>
    <x v="2361"/>
    <d v="1899-12-30T00:00:37"/>
    <x v="669"/>
    <x v="1"/>
    <s v="brockport"/>
    <x v="704"/>
    <n v="1602056"/>
    <x v="2"/>
    <s v="Education; Language/Linguistics"/>
    <s v="9781317862840"/>
    <s v=",16,17"/>
    <n v="2"/>
    <m/>
    <m/>
    <s v="No"/>
    <x v="2"/>
    <d v="2015-12-05T05:46:06"/>
    <n v="1"/>
    <s v="137.21.7.121"/>
    <s v="LB1060 -- .B45 2013eb"/>
    <n v="401.93"/>
    <d v="2013-11-04T00:00:00"/>
  </r>
  <r>
    <x v="2362"/>
    <d v="1899-12-30T00:05:43"/>
    <x v="669"/>
    <x v="1"/>
    <s v="brockport"/>
    <x v="704"/>
    <n v="1602056"/>
    <x v="2"/>
    <s v="Education; Language/Linguistics"/>
    <s v="9781317862840"/>
    <s v=",1,2,3,4,5,6,7,8,9,10,11,12,13,14,15,16,14,15"/>
    <n v="16"/>
    <m/>
    <m/>
    <s v="No"/>
    <x v="3"/>
    <m/>
    <m/>
    <s v="137.21.7.121"/>
    <s v="LB1060 -- .B45 2013eb"/>
    <n v="401.93"/>
    <d v="2013-11-04T00:00:00"/>
  </r>
  <r>
    <x v="2363"/>
    <d v="1899-12-30T00:00:54"/>
    <x v="656"/>
    <x v="8"/>
    <s v="niagaracc"/>
    <x v="687"/>
    <n v="1569869"/>
    <x v="2"/>
    <s v="Psychology"/>
    <s v="9781317799108"/>
    <s v=",1,2,3,63,64,65,61,62,66,78,79,80,76,77"/>
    <n v="14"/>
    <m/>
    <m/>
    <s v="No"/>
    <x v="3"/>
    <m/>
    <m/>
    <s v="132.174.254.37"/>
    <s v="BF1099.L82"/>
    <n v="154.63"/>
    <d v="2013-11-26T00:00:00"/>
  </r>
  <r>
    <x v="2364"/>
    <d v="1899-12-30T01:29:41"/>
    <x v="656"/>
    <x v="8"/>
    <s v="niagaracc"/>
    <x v="688"/>
    <n v="3061306"/>
    <x v="2"/>
    <s v="Psychology"/>
    <s v="9780203713877"/>
    <s v=",1,2,3,43,44,45,41,42,63,64,65,61,62,66,68,69,70,67,60"/>
    <n v="19"/>
    <m/>
    <m/>
    <s v="No"/>
    <x v="2"/>
    <d v="2015-12-04T05:43:36"/>
    <n v="1"/>
    <s v="132.174.254.37"/>
    <s v="BF1078 -- .W458 2011eb"/>
    <s v="154.6/3"/>
    <d v="2013-10-01T00:00:00"/>
  </r>
  <r>
    <x v="2365"/>
    <d v="1899-12-30T00:01:16"/>
    <x v="670"/>
    <x v="9"/>
    <s v="trocaire"/>
    <x v="588"/>
    <n v="284109"/>
    <x v="0"/>
    <s v="Health; Social Science; Medicine"/>
    <s v="9781405173469"/>
    <s v=",1,2,3,4,5,52,53,54,50,51,55"/>
    <n v="11"/>
    <m/>
    <m/>
    <s v="No"/>
    <x v="3"/>
    <m/>
    <m/>
    <s v="173.225.62.67"/>
    <s v="RC564 .W47 2006eb"/>
    <s v="362.29; 616.86/001"/>
    <d v="2013-05-15T00:00:00"/>
  </r>
  <r>
    <x v="2366"/>
    <d v="1899-12-30T00:29:09"/>
    <x v="670"/>
    <x v="9"/>
    <s v="trocaire"/>
    <x v="589"/>
    <n v="1938274"/>
    <x v="0"/>
    <s v="Health; Social Science; Medicine"/>
    <s v="9781119098201"/>
    <s v=",187,188,189,190,161,162,159,160"/>
    <n v="8"/>
    <m/>
    <m/>
    <s v="No"/>
    <x v="0"/>
    <d v="2015-12-05T03:11:51"/>
    <n v="7"/>
    <s v="173.225.62.67"/>
    <s v="RC564 -- .B74 2015eb"/>
    <s v="362.29/186"/>
    <d v="2015-01-29T00:00:00"/>
  </r>
  <r>
    <x v="2367"/>
    <d v="1899-12-30T00:10:01"/>
    <x v="670"/>
    <x v="9"/>
    <s v="trocaire"/>
    <x v="589"/>
    <n v="1938274"/>
    <x v="0"/>
    <s v="Health; Social Science; Medicine"/>
    <s v="9781119098201"/>
    <s v=",1,2,3,15,16,17,14,13,4,5,6,331,332,329,333,330,7,8,9,165,166,167,164,163,183,184,185,182,181,186"/>
    <n v="30"/>
    <m/>
    <m/>
    <s v="No"/>
    <x v="1"/>
    <m/>
    <m/>
    <s v="173.225.62.67"/>
    <s v="RC564 -- .B74 2015eb"/>
    <s v="362.29/186"/>
    <d v="2015-01-29T00:00:00"/>
  </r>
  <r>
    <x v="2368"/>
    <d v="1899-12-30T00:02:27"/>
    <x v="671"/>
    <x v="7"/>
    <s v="oneonta"/>
    <x v="244"/>
    <n v="848510"/>
    <x v="0"/>
    <s v="Medicine"/>
    <s v="9781118220481"/>
    <s v=",1,2,3,4,5,6,7,8,9,10,11,12,13,14,15"/>
    <n v="15"/>
    <m/>
    <m/>
    <s v="No"/>
    <x v="1"/>
    <m/>
    <m/>
    <s v="137.141.13.2"/>
    <s v="RC489.C63 -- C64 2012eb"/>
    <s v="616.89/1425"/>
    <d v="2012-06-06T00:00:00"/>
  </r>
  <r>
    <x v="2369"/>
    <d v="1899-12-30T01:21:03"/>
    <x v="603"/>
    <x v="1"/>
    <s v="brockport"/>
    <x v="301"/>
    <n v="1692797"/>
    <x v="1"/>
    <s v="Literature"/>
    <s v="9781472431509"/>
    <s v=",1,2,3,8,9,7,11,16,17,18,14,15,19,20,32,33,34,30,31"/>
    <n v="19"/>
    <m/>
    <m/>
    <s v="No"/>
    <x v="0"/>
    <d v="2015-12-03T18:16:19"/>
    <n v="7"/>
    <s v="137.21.7.121"/>
    <s v="PS374.Y57 -- .F46 2014eb"/>
    <s v="813.009/9283"/>
    <d v="2014-07-28T00:00:00"/>
  </r>
  <r>
    <x v="2370"/>
    <d v="1899-12-30T00:00:43"/>
    <x v="661"/>
    <x v="8"/>
    <s v="niagaracc"/>
    <x v="696"/>
    <n v="918742"/>
    <x v="15"/>
    <s v="Social Science"/>
    <s v="9781441130525"/>
    <s v=",1,2,3,10,11,31,32,33,29,30,34"/>
    <n v="11"/>
    <m/>
    <m/>
    <s v="No"/>
    <x v="1"/>
    <m/>
    <m/>
    <s v="132.174.254.37"/>
    <s v="HV7436 -- .F58 2012eb"/>
    <n v="363.33097299999997"/>
    <d v="2012-06-01T00:00:00"/>
  </r>
  <r>
    <x v="2371"/>
    <d v="1899-12-30T01:48:57"/>
    <x v="13"/>
    <x v="0"/>
    <s v="Buffalo"/>
    <x v="6"/>
    <n v="1635363"/>
    <x v="0"/>
    <s v="Law"/>
    <s v="9781118678206"/>
    <s v=",1,2,3,195,196,197,193,194,193,198,199,194,193,200,201,196,202,197,203,204,205,206,207,250,251,252,248,249,195,237,238,239,235,236,240,242,241,243,244"/>
    <n v="33"/>
    <m/>
    <m/>
    <s v="No"/>
    <x v="0"/>
    <d v="2015-11-29T22:32:33"/>
    <n v="7"/>
    <s v="128.205.114.91"/>
    <s v="KF285.Z9 -- H38 2014eb"/>
    <n v="340.07600000000002"/>
    <d v="2014-02-14T00:00:00"/>
  </r>
  <r>
    <x v="2372"/>
    <d v="1899-12-30T00:02:14"/>
    <x v="672"/>
    <x v="6"/>
    <s v="sjfc"/>
    <x v="705"/>
    <n v="1770683"/>
    <x v="0"/>
    <s v="History"/>
    <s v="9781118631768"/>
    <s v=",1,2,3,1,2,3,160,162,161,158,159,167,168,169,165,166,175,170,171,172,173,174,176,177,178,179,180,181,182,183,184"/>
    <n v="28"/>
    <m/>
    <m/>
    <s v="No"/>
    <x v="2"/>
    <d v="2015-12-04T23:55:11"/>
    <n v="1"/>
    <s v="149.69.254.57"/>
    <s v="DF757"/>
    <n v="949.5"/>
    <d v="2014-08-19T00:00:00"/>
  </r>
  <r>
    <x v="2373"/>
    <d v="1899-12-30T00:00:02"/>
    <x v="462"/>
    <x v="0"/>
    <s v="Buffalo"/>
    <x v="502"/>
    <n v="1821088"/>
    <x v="4"/>
    <s v="Medicine"/>
    <s v="9781462519811"/>
    <s v=",78,79,80,76,77"/>
    <n v="5"/>
    <m/>
    <m/>
    <s v="No"/>
    <x v="2"/>
    <d v="2015-12-05T00:50:29"/>
    <n v="1"/>
    <s v="128.205.114.91"/>
    <s v="RJ505.C63 -- .F754 2015eb"/>
    <n v="618.9289"/>
    <d v="2015-05-19T00:00:00"/>
  </r>
  <r>
    <x v="2374"/>
    <d v="1899-12-30T00:00:36"/>
    <x v="462"/>
    <x v="0"/>
    <s v="Buffalo"/>
    <x v="502"/>
    <n v="1821088"/>
    <x v="4"/>
    <s v="Medicine"/>
    <s v="9781462519811"/>
    <s v=",1,2,3"/>
    <n v="3"/>
    <m/>
    <m/>
    <s v="No"/>
    <x v="3"/>
    <m/>
    <m/>
    <s v="128.205.114.91"/>
    <s v="RJ505.C63 -- .F754 2015eb"/>
    <n v="618.9289"/>
    <d v="2015-05-19T00:00:00"/>
  </r>
  <r>
    <x v="2375"/>
    <d v="1899-12-30T00:00:21"/>
    <x v="672"/>
    <x v="6"/>
    <s v="sjfc"/>
    <x v="705"/>
    <n v="1770683"/>
    <x v="0"/>
    <s v="History"/>
    <s v="9781118631768"/>
    <s v=",177,178,166,163,164"/>
    <n v="5"/>
    <m/>
    <m/>
    <s v="No"/>
    <x v="2"/>
    <d v="2015-12-04T23:55:11"/>
    <n v="1"/>
    <s v="149.69.254.57"/>
    <s v="DF757"/>
    <n v="949.5"/>
    <d v="2014-08-19T00:00:00"/>
  </r>
  <r>
    <x v="2376"/>
    <d v="1899-12-30T00:02:34"/>
    <x v="672"/>
    <x v="6"/>
    <s v="sjfc"/>
    <x v="705"/>
    <n v="1770683"/>
    <x v="0"/>
    <s v="History"/>
    <s v="9781118631768"/>
    <s v=",1,2,3,149,150,151,147,148,134,167,146,144,142,143,145,152,168,169,165,173,174,175,171,172,176"/>
    <n v="25"/>
    <m/>
    <m/>
    <s v="No"/>
    <x v="3"/>
    <m/>
    <m/>
    <s v="149.69.254.57"/>
    <s v="DF757"/>
    <n v="949.5"/>
    <d v="2014-08-19T00:00:00"/>
  </r>
  <r>
    <x v="2377"/>
    <d v="1899-12-30T00:02:27"/>
    <x v="672"/>
    <x v="6"/>
    <s v="sjfc"/>
    <x v="705"/>
    <n v="1770683"/>
    <x v="0"/>
    <s v="History"/>
    <s v="9781118631768"/>
    <s v=",1,2,3,149,150,151,147,148,185"/>
    <n v="9"/>
    <m/>
    <m/>
    <s v="No"/>
    <x v="3"/>
    <m/>
    <m/>
    <s v="149.69.254.57"/>
    <s v="DF757"/>
    <n v="949.5"/>
    <d v="2014-08-19T00:00:00"/>
  </r>
  <r>
    <x v="2378"/>
    <d v="1899-12-30T00:00:04"/>
    <x v="668"/>
    <x v="0"/>
    <s v="Buffalo"/>
    <x v="703"/>
    <n v="1808795"/>
    <x v="1"/>
    <s v="Architecture"/>
    <s v="9781472447951"/>
    <s v=",1,2,3"/>
    <n v="3"/>
    <m/>
    <m/>
    <s v="No"/>
    <x v="0"/>
    <d v="2015-12-02T09:28:07"/>
    <n v="7"/>
    <s v="128.205.114.91"/>
    <s v="NA5870.A9 -- .S353 2014eb"/>
    <s v="726.6094961/8"/>
    <d v="2014-11-28T00:00:00"/>
  </r>
  <r>
    <x v="2379"/>
    <d v="1899-12-30T00:20:31"/>
    <x v="673"/>
    <x v="0"/>
    <s v="Buffalo"/>
    <x v="706"/>
    <n v="1895687"/>
    <x v="0"/>
    <s v="Computer Science/IT"/>
    <s v="9781118868676"/>
    <s v=",4,5,6,7,8,9,10,11,9,10,11,7,8,9,9,9,9,9,9,9"/>
    <n v="8"/>
    <s v=",9,9"/>
    <s v=",8,9,10,11,12,13,14,15,16,17,18,19,20"/>
    <s v="Yes"/>
    <x v="0"/>
    <d v="2015-12-04T22:04:02"/>
    <n v="7"/>
    <s v="128.205.114.91"/>
    <s v="QA76.9.D343 -- .L3776 2015eb"/>
    <s v="006.3/12"/>
    <d v="2015-02-19T00:00:00"/>
  </r>
  <r>
    <x v="2380"/>
    <d v="1899-12-30T00:00:00"/>
    <x v="673"/>
    <x v="0"/>
    <s v="Buffalo"/>
    <x v="706"/>
    <n v="1895687"/>
    <x v="0"/>
    <s v="Computer Science/IT"/>
    <s v="9781118868676"/>
    <m/>
    <n v="0"/>
    <m/>
    <m/>
    <s v="Yes"/>
    <x v="0"/>
    <d v="2015-12-04T22:04:02"/>
    <n v="7"/>
    <s v="128.205.114.91"/>
    <s v="QA76.9.D343 -- .L3776 2015eb"/>
    <s v="006.3/12"/>
    <d v="2015-02-19T00:00:00"/>
  </r>
  <r>
    <x v="2381"/>
    <d v="1899-12-30T00:00:03"/>
    <x v="673"/>
    <x v="0"/>
    <s v="Buffalo"/>
    <x v="706"/>
    <n v="1895687"/>
    <x v="0"/>
    <s v="Computer Science/IT"/>
    <s v="9781118868676"/>
    <s v=",1,2,3"/>
    <n v="3"/>
    <m/>
    <m/>
    <s v="No"/>
    <x v="0"/>
    <d v="2015-12-04T22:04:02"/>
    <n v="7"/>
    <s v="128.205.114.91"/>
    <s v="QA76.9.D343 -- .L3776 2015eb"/>
    <s v="006.3/12"/>
    <d v="2015-02-19T00:00:00"/>
  </r>
  <r>
    <x v="2382"/>
    <d v="1899-12-30T00:25:34"/>
    <x v="673"/>
    <x v="0"/>
    <s v="Buffalo"/>
    <x v="706"/>
    <n v="1895687"/>
    <x v="0"/>
    <s v="Computer Science/IT"/>
    <s v="9781118868676"/>
    <s v=",9,9,9,9,9,9,9,827,827,826,820,825,819,818,817,816,815"/>
    <n v="10"/>
    <s v=",9,9,9,9,9,9,820,815"/>
    <s v=",9,9,1,2,3,4,5,6,7,8,9,10,11,12,13,14,15,16,17,18,19,20,21,22,23,24,25,26,27,28,29,30"/>
    <s v="Yes"/>
    <x v="0"/>
    <d v="2015-12-04T22:04:02"/>
    <n v="7"/>
    <s v="128.205.114.91"/>
    <s v="QA76.9.D343 -- .L3776 2015eb"/>
    <s v="006.3/12"/>
    <d v="2015-02-19T00:00:00"/>
  </r>
  <r>
    <x v="2383"/>
    <d v="1899-12-30T00:00:00"/>
    <x v="673"/>
    <x v="0"/>
    <s v="Buffalo"/>
    <x v="706"/>
    <n v="1895687"/>
    <x v="0"/>
    <s v="Computer Science/IT"/>
    <s v="9781118868676"/>
    <m/>
    <n v="0"/>
    <m/>
    <m/>
    <s v="Yes"/>
    <x v="0"/>
    <d v="2015-12-04T22:04:02"/>
    <n v="7"/>
    <s v="128.205.114.91"/>
    <s v="QA76.9.D343 -- .L3776 2015eb"/>
    <s v="006.3/12"/>
    <d v="2015-02-19T00:00:00"/>
  </r>
  <r>
    <x v="2383"/>
    <d v="1899-12-30T00:00:00"/>
    <x v="673"/>
    <x v="0"/>
    <s v="Buffalo"/>
    <x v="706"/>
    <n v="1895687"/>
    <x v="0"/>
    <s v="Computer Science/IT"/>
    <s v="9781118868676"/>
    <m/>
    <n v="0"/>
    <m/>
    <m/>
    <s v="No"/>
    <x v="0"/>
    <d v="2015-12-04T22:04:02"/>
    <n v="7"/>
    <s v="128.205.114.91"/>
    <s v="QA76.9.D343 -- .L3776 2015eb"/>
    <s v="006.3/12"/>
    <d v="2015-02-19T00:00:00"/>
  </r>
  <r>
    <x v="2384"/>
    <d v="1899-12-30T00:02:42"/>
    <x v="673"/>
    <x v="0"/>
    <s v="Buffalo"/>
    <x v="706"/>
    <n v="1895687"/>
    <x v="0"/>
    <s v="Computer Science/IT"/>
    <s v="9781118868676"/>
    <s v=",1,2,3,4,5,6,156,157,158,154,153,44,73,181,179,63,27,17,35,36,37,33,34,9,10,11,7,8"/>
    <n v="28"/>
    <m/>
    <m/>
    <s v="No"/>
    <x v="1"/>
    <m/>
    <m/>
    <s v="128.205.114.91"/>
    <s v="QA76.9.D343 -- .L3776 2015eb"/>
    <s v="006.3/12"/>
    <d v="2015-02-19T00:00:00"/>
  </r>
  <r>
    <x v="2385"/>
    <d v="1899-12-30T00:00:40"/>
    <x v="13"/>
    <x v="0"/>
    <s v="Buffalo"/>
    <x v="329"/>
    <n v="1775467"/>
    <x v="0"/>
    <s v="Law"/>
    <s v="9781118678121"/>
    <s v=",1,1,3,3,2,2,4,4,5,5,2,2,184,184,185,185,182,183,183"/>
    <n v="9"/>
    <m/>
    <m/>
    <s v="No"/>
    <x v="1"/>
    <m/>
    <m/>
    <s v="128.205.114.91"/>
    <s v="KF285.Z9 -- .H383 2014eb"/>
    <n v="342.07600000000002"/>
    <d v="2014-08-26T00:00:00"/>
  </r>
  <r>
    <x v="2386"/>
    <d v="1899-12-30T00:35:30"/>
    <x v="13"/>
    <x v="0"/>
    <s v="Buffalo"/>
    <x v="6"/>
    <n v="1635363"/>
    <x v="0"/>
    <s v="Law"/>
    <s v="9781118678206"/>
    <s v=",1,2,3,2,3,1,2,2,297,298,297,332,333,332,334,298,334,330,333,331,331,355,355,356,357,357,353,356,354,354"/>
    <n v="15"/>
    <m/>
    <m/>
    <s v="No"/>
    <x v="0"/>
    <d v="2015-11-29T22:32:33"/>
    <n v="7"/>
    <s v="128.205.114.91"/>
    <s v="KF285.Z9 -- H38 2014eb"/>
    <n v="340.07600000000002"/>
    <d v="2014-02-14T00:00:00"/>
  </r>
  <r>
    <x v="2387"/>
    <d v="1899-12-30T00:24:37"/>
    <x v="13"/>
    <x v="0"/>
    <s v="Buffalo"/>
    <x v="707"/>
    <n v="1759293"/>
    <x v="4"/>
    <s v="Medicine"/>
    <s v="9781462517046"/>
    <s v=",4,5,6,7,15,16,17,13,14,18,11,12,9,10,251,252,253,249,250,254,255,256,257,258"/>
    <n v="24"/>
    <m/>
    <m/>
    <s v="Yes"/>
    <x v="2"/>
    <d v="2015-12-04T20:44:51"/>
    <n v="1"/>
    <s v="128.205.114.91"/>
    <s v="RC533 -- .C646 2013eb"/>
    <n v="616.85226999999998"/>
    <d v="2014-11-10T00:00:00"/>
  </r>
  <r>
    <x v="2388"/>
    <d v="1899-12-30T00:00:00"/>
    <x v="13"/>
    <x v="0"/>
    <s v="Buffalo"/>
    <x v="707"/>
    <n v="1759293"/>
    <x v="4"/>
    <s v="Medicine"/>
    <s v="9781462517046"/>
    <m/>
    <n v="0"/>
    <m/>
    <m/>
    <s v="No"/>
    <x v="2"/>
    <d v="2015-12-04T20:44:51"/>
    <n v="1"/>
    <s v="128.205.114.91"/>
    <s v="RC533 -- .C646 2013eb"/>
    <n v="616.85226999999998"/>
    <d v="2014-11-10T00:00:00"/>
  </r>
  <r>
    <x v="2389"/>
    <d v="1899-12-30T00:00:32"/>
    <x v="13"/>
    <x v="0"/>
    <s v="Buffalo"/>
    <x v="707"/>
    <n v="1759293"/>
    <x v="4"/>
    <s v="Medicine"/>
    <s v="9781462517046"/>
    <s v=",1,2,3"/>
    <n v="3"/>
    <m/>
    <m/>
    <s v="No"/>
    <x v="3"/>
    <m/>
    <m/>
    <s v="128.205.114.91"/>
    <s v="RC533 -- .C646 2013eb"/>
    <n v="616.85226999999998"/>
    <d v="2014-11-10T00:00:00"/>
  </r>
  <r>
    <x v="2390"/>
    <d v="1899-12-30T00:00:00"/>
    <x v="241"/>
    <x v="0"/>
    <s v="Buffalo"/>
    <x v="318"/>
    <n v="1895286"/>
    <x v="0"/>
    <s v="Military Science"/>
    <s v="9781119038351"/>
    <s v=",152"/>
    <n v="1"/>
    <m/>
    <m/>
    <s v="No"/>
    <x v="0"/>
    <d v="2015-12-04T20:35:51"/>
    <n v="7"/>
    <s v="128.205.114.91"/>
    <s v="U408.5"/>
    <n v="355.61"/>
    <d v="2015-05-07T00:00:00"/>
  </r>
  <r>
    <x v="2391"/>
    <d v="1899-12-30T00:23:59"/>
    <x v="241"/>
    <x v="0"/>
    <s v="Buffalo"/>
    <x v="127"/>
    <n v="1166311"/>
    <x v="0"/>
    <s v="Military Science"/>
    <s v="9781118525616"/>
    <s v=",52,53,54,55,38,39,40,36,15,9,44,159,130,123,124,141,142,143,139,144,145"/>
    <n v="21"/>
    <m/>
    <m/>
    <s v="No"/>
    <x v="0"/>
    <d v="2015-12-04T20:31:14"/>
    <n v="7"/>
    <s v="128.205.114.91"/>
    <s v="U408.5 .P384 2013"/>
    <n v="355.00700000000001"/>
    <d v="2013-04-02T00:00:00"/>
  </r>
  <r>
    <x v="2392"/>
    <d v="1899-12-30T00:11:13"/>
    <x v="241"/>
    <x v="0"/>
    <s v="Buffalo"/>
    <x v="127"/>
    <n v="1166311"/>
    <x v="0"/>
    <s v="Military Science"/>
    <s v="9781118525616"/>
    <s v=",1,2,3,4,5,6,7,8,9,10,11,12,13,14,47,48,49,50,46,45,51"/>
    <n v="21"/>
    <m/>
    <m/>
    <s v="No"/>
    <x v="1"/>
    <m/>
    <m/>
    <s v="128.205.114.91"/>
    <s v="U408.5 .P384 2013"/>
    <n v="355.00700000000001"/>
    <d v="2013-04-02T00:00:00"/>
  </r>
  <r>
    <x v="2393"/>
    <d v="1899-12-30T00:19:54"/>
    <x v="241"/>
    <x v="0"/>
    <s v="Buffalo"/>
    <x v="318"/>
    <n v="1895286"/>
    <x v="0"/>
    <s v="Military Science"/>
    <s v="9781119038351"/>
    <s v=",1,3,2,4,5,6,7,8,9,10,11,12,13,14,15,16,39,127,140,141,145,146,147,148,144,149,150,151,152,153,154,155,156,157"/>
    <n v="34"/>
    <m/>
    <m/>
    <s v="No"/>
    <x v="1"/>
    <m/>
    <m/>
    <s v="128.205.114.91"/>
    <s v="U408.5"/>
    <n v="355.61"/>
    <d v="2015-05-07T00:00:00"/>
  </r>
  <r>
    <x v="2394"/>
    <d v="1899-12-30T00:01:22"/>
    <x v="674"/>
    <x v="0"/>
    <s v="Buffalo"/>
    <x v="708"/>
    <n v="1778696"/>
    <x v="3"/>
    <s v="History"/>
    <s v="9780520959576"/>
    <s v=",245,294,295,296,292,293,291,290,289,287,288,1,3,307,242,5,6,7,4"/>
    <n v="19"/>
    <m/>
    <m/>
    <s v="No"/>
    <x v="2"/>
    <d v="2015-12-04T19:59:16"/>
    <n v="1"/>
    <s v="128.205.114.91"/>
    <s v="E668 -- .C57 2015eb"/>
    <n v="973.7"/>
    <d v="2015-03-07T00:00:00"/>
  </r>
  <r>
    <x v="2395"/>
    <d v="1899-12-30T00:06:39"/>
    <x v="674"/>
    <x v="0"/>
    <s v="Buffalo"/>
    <x v="708"/>
    <n v="1778696"/>
    <x v="3"/>
    <s v="History"/>
    <s v="9780520959576"/>
    <s v=",1,276,277,278,274,275,2,309,310,307,279,280,281,282,283,284,285,286"/>
    <n v="18"/>
    <m/>
    <m/>
    <s v="No"/>
    <x v="3"/>
    <m/>
    <m/>
    <s v="128.205.114.91"/>
    <s v="E668 -- .C57 2015eb"/>
    <n v="973.7"/>
    <d v="2015-03-07T00:00:00"/>
  </r>
  <r>
    <x v="2396"/>
    <d v="1899-12-30T00:46:21"/>
    <x v="64"/>
    <x v="6"/>
    <s v="sjfc"/>
    <x v="75"/>
    <n v="1986951"/>
    <x v="0"/>
    <s v="Business/Management"/>
    <s v="9781119130468"/>
    <s v=",25,26,27,24,22,23,28,29,54,55,51,52,53,56,57"/>
    <n v="15"/>
    <s v=",53,54,55"/>
    <m/>
    <s v="Yes"/>
    <x v="0"/>
    <d v="2015-12-04T19:47:43"/>
    <n v="7"/>
    <s v="149.69.254.57"/>
    <s v="HF5661"/>
    <n v="657.07600000000002"/>
    <d v="2015-05-19T00:00:00"/>
  </r>
  <r>
    <x v="2396"/>
    <d v="1899-12-30T00:00:00"/>
    <x v="64"/>
    <x v="6"/>
    <s v="sjfc"/>
    <x v="75"/>
    <n v="1986951"/>
    <x v="0"/>
    <s v="Business/Management"/>
    <s v="9781119130468"/>
    <m/>
    <n v="0"/>
    <m/>
    <m/>
    <s v="No"/>
    <x v="0"/>
    <d v="2015-12-04T19:47:43"/>
    <n v="7"/>
    <s v="149.69.254.57"/>
    <s v="HF5661"/>
    <n v="657.07600000000002"/>
    <d v="2015-05-19T00:00:00"/>
  </r>
  <r>
    <x v="2397"/>
    <d v="1899-12-30T00:03:17"/>
    <x v="64"/>
    <x v="6"/>
    <s v="sjfc"/>
    <x v="75"/>
    <n v="1986951"/>
    <x v="0"/>
    <s v="Business/Management"/>
    <s v="9781119130468"/>
    <s v=",1,2,3"/>
    <n v="3"/>
    <m/>
    <m/>
    <s v="No"/>
    <x v="1"/>
    <m/>
    <m/>
    <s v="149.69.254.57"/>
    <s v="HF5661"/>
    <n v="657.07600000000002"/>
    <d v="2015-05-19T00:00:00"/>
  </r>
  <r>
    <x v="2398"/>
    <d v="1899-12-30T00:00:03"/>
    <x v="26"/>
    <x v="6"/>
    <s v="sjfc"/>
    <x v="709"/>
    <n v="1575631"/>
    <x v="0"/>
    <s v="Philosophy"/>
    <s v="9781118790731"/>
    <s v=",1,2,3"/>
    <n v="3"/>
    <m/>
    <m/>
    <s v="No"/>
    <x v="3"/>
    <m/>
    <m/>
    <s v="149.69.254.57"/>
    <s v="BJ1031 -- .E845 2014eb"/>
    <n v="170"/>
    <d v="2013-12-02T00:00:00"/>
  </r>
  <r>
    <x v="2399"/>
    <d v="1899-12-30T00:04:43"/>
    <x v="64"/>
    <x v="6"/>
    <s v="sjfc"/>
    <x v="75"/>
    <n v="1986951"/>
    <x v="0"/>
    <s v="Business/Management"/>
    <s v="9781119130468"/>
    <s v=",1,2,3,62,53,51,54,52,56,55,57,58,59,60,61,62,63,64,65,66,67,68,69,70,71,72,73,74,75,76,77,78,79,80,81,82,83,84,85"/>
    <n v="38"/>
    <m/>
    <m/>
    <s v="No"/>
    <x v="1"/>
    <m/>
    <m/>
    <s v="149.69.254.57"/>
    <s v="HF5661"/>
    <n v="657.07600000000002"/>
    <d v="2015-05-19T00:00:00"/>
  </r>
  <r>
    <x v="2400"/>
    <d v="1899-12-30T00:00:04"/>
    <x v="64"/>
    <x v="6"/>
    <s v="sjfc"/>
    <x v="120"/>
    <n v="947579"/>
    <x v="0"/>
    <s v="Business/Management"/>
    <s v="9781118419632"/>
    <s v=",1,2,3"/>
    <n v="3"/>
    <m/>
    <m/>
    <s v="No"/>
    <x v="1"/>
    <m/>
    <m/>
    <s v="149.69.254.57"/>
    <s v="HF5667 .C67 2012"/>
    <n v="657.45"/>
    <d v="2012-11-28T00:00:00"/>
  </r>
  <r>
    <x v="2401"/>
    <d v="1899-12-30T00:01:50"/>
    <x v="144"/>
    <x v="12"/>
    <s v="potsdam"/>
    <x v="710"/>
    <n v="1873101"/>
    <x v="0"/>
    <s v="Education"/>
    <s v="9781118762233"/>
    <s v=",1,2,3,184,185,186,182,183,187,188,189"/>
    <n v="11"/>
    <m/>
    <m/>
    <s v="No"/>
    <x v="0"/>
    <d v="2015-12-01T01:38:22"/>
    <n v="7"/>
    <s v="137.143.104.94"/>
    <s v="LB2341 -- .B7425 2015eb"/>
    <s v="378.1/01"/>
    <d v="2014-12-02T00:00:00"/>
  </r>
  <r>
    <x v="2402"/>
    <d v="1899-12-30T00:10:19"/>
    <x v="621"/>
    <x v="0"/>
    <s v="Buffalo"/>
    <x v="654"/>
    <n v="1724876"/>
    <x v="0"/>
    <s v="Business/Management; Economics"/>
    <s v="9781118914113"/>
    <s v=",11,10,11,12"/>
    <n v="3"/>
    <m/>
    <s v=",21,22,22,23,24,25,26,27,28,29,29,30,31,32,33,34,35,36,37,38,39,40,41,42,43,44,45,46,47,47,47,47,48,48,49,50,51,52,53,54,55,56,57,58,59,60,61,62,63,64,65,66,67,67,68,69,70,71,72,73,74,75,76,77,78,79,80,81,82,83,84,85,86,87,88,89,90,91,92,93,94,95,96,97,98,99,100,101,102,103,104,105,106,107,3,10,11,12,12,13,13,360,361,362,362,362,363,363,364,364,364,365,498,499,500,500,501,666,667,667,668,669,670,671,672,672,672,673"/>
    <s v="Yes"/>
    <x v="0"/>
    <d v="2015-12-04T19:15:47"/>
    <n v="7"/>
    <s v="128.205.114.91"/>
    <s v="HG173 -- .G733 2014eb"/>
    <n v="332"/>
    <d v="2014-06-26T00:00:00"/>
  </r>
  <r>
    <x v="2402"/>
    <d v="1899-12-30T00:00:00"/>
    <x v="621"/>
    <x v="0"/>
    <s v="Buffalo"/>
    <x v="654"/>
    <n v="1724876"/>
    <x v="0"/>
    <s v="Business/Management; Economics"/>
    <s v="9781118914113"/>
    <m/>
    <n v="0"/>
    <m/>
    <m/>
    <s v="No"/>
    <x v="0"/>
    <d v="2015-12-04T19:15:47"/>
    <n v="7"/>
    <s v="128.205.114.91"/>
    <s v="HG173 -- .G733 2014eb"/>
    <n v="332"/>
    <d v="2014-06-26T00:00:00"/>
  </r>
  <r>
    <x v="2403"/>
    <d v="1899-12-30T00:02:28"/>
    <x v="621"/>
    <x v="0"/>
    <s v="Buffalo"/>
    <x v="654"/>
    <n v="1724876"/>
    <x v="0"/>
    <s v="Business/Management; Economics"/>
    <s v="9781118914113"/>
    <s v=",1,2,3,4,2,3,4"/>
    <n v="4"/>
    <m/>
    <m/>
    <s v="No"/>
    <x v="1"/>
    <m/>
    <m/>
    <s v="128.205.114.91"/>
    <s v="HG173 -- .G733 2014eb"/>
    <n v="332"/>
    <d v="2014-06-26T00:00:00"/>
  </r>
  <r>
    <x v="2404"/>
    <d v="1899-12-30T00:00:21"/>
    <x v="621"/>
    <x v="0"/>
    <s v="Buffalo"/>
    <x v="654"/>
    <n v="1724876"/>
    <x v="0"/>
    <s v="Business/Management; Economics"/>
    <s v="9781118914113"/>
    <s v=",1,2,3,4,1,4,5,6,2,3"/>
    <n v="6"/>
    <m/>
    <m/>
    <s v="No"/>
    <x v="1"/>
    <m/>
    <m/>
    <s v="128.205.114.91"/>
    <s v="HG173 -- .G733 2014eb"/>
    <n v="332"/>
    <d v="2014-06-26T00:00:00"/>
  </r>
  <r>
    <x v="2405"/>
    <d v="1899-12-30T00:02:31"/>
    <x v="144"/>
    <x v="12"/>
    <s v="potsdam"/>
    <x v="710"/>
    <n v="1873101"/>
    <x v="0"/>
    <s v="Education"/>
    <s v="9781118762233"/>
    <s v=",1,2,3,25,26,27,23,24,261,262,263,259,260,264,265,266,277,278,279,275,276,280,281,282,283,284,285,44,45,46,42,47,43,48,27,28,29,25,26"/>
    <n v="36"/>
    <m/>
    <m/>
    <s v="No"/>
    <x v="0"/>
    <d v="2015-12-01T01:38:22"/>
    <n v="7"/>
    <s v="137.143.104.94"/>
    <s v="LB2341 -- .B7425 2015eb"/>
    <s v="378.1/01"/>
    <d v="2014-12-02T00:00:00"/>
  </r>
  <r>
    <x v="2406"/>
    <d v="1899-12-30T00:00:33"/>
    <x v="675"/>
    <x v="0"/>
    <s v="Buffalo"/>
    <x v="103"/>
    <n v="865191"/>
    <x v="0"/>
    <s v="Social Science"/>
    <s v="9781118101681"/>
    <s v=",1,2,3,4,5,6,7,8,9,10,11,12"/>
    <n v="12"/>
    <m/>
    <m/>
    <s v="No"/>
    <x v="1"/>
    <m/>
    <m/>
    <s v="128.205.114.91"/>
    <s v="HT166 -- .Y565 2012eb"/>
    <s v="307.1/216; 307.1216; 307.1416"/>
    <d v="2012-02-21T00:00:00"/>
  </r>
  <r>
    <x v="2407"/>
    <d v="1899-12-30T00:04:35"/>
    <x v="462"/>
    <x v="0"/>
    <s v="Buffalo"/>
    <x v="502"/>
    <n v="1821088"/>
    <x v="4"/>
    <s v="Medicine"/>
    <s v="9781462519811"/>
    <s v=",1,2,3,4,5,6,7,8,9,10"/>
    <n v="10"/>
    <m/>
    <m/>
    <s v="No"/>
    <x v="3"/>
    <m/>
    <m/>
    <s v="128.205.114.91"/>
    <s v="RJ505.C63 -- .F754 2015eb"/>
    <n v="618.9289"/>
    <d v="2015-05-19T00:00:00"/>
  </r>
  <r>
    <x v="2408"/>
    <d v="1899-12-30T00:00:10"/>
    <x v="462"/>
    <x v="0"/>
    <s v="Buffalo"/>
    <x v="502"/>
    <n v="1821088"/>
    <x v="4"/>
    <s v="Medicine"/>
    <s v="9781462519811"/>
    <s v=",1,2,3,5,7"/>
    <n v="5"/>
    <m/>
    <m/>
    <s v="No"/>
    <x v="3"/>
    <m/>
    <m/>
    <s v="128.205.114.91"/>
    <s v="RJ505.C63 -- .F754 2015eb"/>
    <n v="618.9289"/>
    <d v="2015-05-19T00:00:00"/>
  </r>
  <r>
    <x v="2409"/>
    <d v="1899-12-30T00:01:29"/>
    <x v="676"/>
    <x v="15"/>
    <s v="morrisville"/>
    <x v="711"/>
    <n v="1540781"/>
    <x v="2"/>
    <s v="Business/Management"/>
    <s v="9781136181726"/>
    <s v=",1,1,2,3,3,2,4,4,5,2,6,5,2,6,7,7,8,8,9,9,10,10,11,11,12,12,6,5,291,291,292,293,292,293,289,294,290,294,289"/>
    <n v="18"/>
    <m/>
    <m/>
    <s v="No"/>
    <x v="3"/>
    <m/>
    <m/>
    <s v="136.204.32.67"/>
    <s v="HF5821 -- .B89 1997eb"/>
    <n v="659.10419999999999"/>
    <d v="2013-11-05T00:00:00"/>
  </r>
  <r>
    <x v="2410"/>
    <d v="1899-12-30T00:00:11"/>
    <x v="638"/>
    <x v="1"/>
    <s v="brockport"/>
    <x v="712"/>
    <n v="1527428"/>
    <x v="0"/>
    <s v="Social Science"/>
    <s v="9780745672083"/>
    <s v=",1,2,3"/>
    <n v="3"/>
    <m/>
    <m/>
    <s v="No"/>
    <x v="3"/>
    <m/>
    <m/>
    <s v="137.21.7.121"/>
    <s v="HV700.G7 -- K46 2013eb"/>
    <n v="362.820941"/>
    <d v="2013-10-30T00:00:00"/>
  </r>
  <r>
    <x v="2411"/>
    <d v="1899-12-30T00:00:21"/>
    <x v="610"/>
    <x v="5"/>
    <s v="erie"/>
    <x v="344"/>
    <n v="1691133"/>
    <x v="4"/>
    <s v="Medicine"/>
    <s v="9781462516278"/>
    <s v=",1,2,3,6,7,8,4,5,2"/>
    <n v="8"/>
    <m/>
    <m/>
    <s v="No"/>
    <x v="0"/>
    <d v="2015-12-04T16:13:25"/>
    <n v="7"/>
    <s v="199.29.6.54"/>
    <s v="RC552.P67 -- .H353 2014eb"/>
    <s v="616.85/21"/>
    <d v="2014-05-15T00:00:00"/>
  </r>
  <r>
    <x v="2412"/>
    <d v="1899-12-30T00:04:32"/>
    <x v="676"/>
    <x v="15"/>
    <s v="morrisville"/>
    <x v="296"/>
    <n v="1397211"/>
    <x v="2"/>
    <s v="Business/Management"/>
    <s v="9781134718924"/>
    <s v=",1,2,3,2,3,1,26,27,26,2,2,1,3,5,27,6,7,6,7,4,5,4,8,8,9,10,11,10,12,14,15,14,12,15,11,13,9,13,16,16,17,17,18,18,19,19,20,20,21,21,26,27,28,24,25,25,29,29,30,31,30,31,32,32,28,27,32,33,33,34,34,35,35,36,36,37,38,37,38,39,39,40,41,40,41,42,42,43,43,45,45,46,46,59,60,59,61,60,61,87,88,87,88,89,85,89,86,86,90,90,91,91,92,92,93,93,94,94,95,95,96,96,97,97,98,98,222,222,223,224,223,224,220,221,221"/>
    <n v="65"/>
    <m/>
    <m/>
    <s v="No"/>
    <x v="3"/>
    <m/>
    <m/>
    <s v="136.204.32.67"/>
    <s v="HF5823 -- .B7273 2009eb"/>
    <n v="659.1"/>
    <d v="2013-09-13T00:00:00"/>
  </r>
  <r>
    <x v="2413"/>
    <d v="1899-12-30T00:01:30"/>
    <x v="610"/>
    <x v="5"/>
    <s v="erie"/>
    <x v="344"/>
    <n v="1691133"/>
    <x v="4"/>
    <s v="Medicine"/>
    <s v="9781462516278"/>
    <s v=",141,141,141,141"/>
    <n v="1"/>
    <m/>
    <s v=",141,142,143,144,145,146,147,148,149,150,151,152,153,154,155,156,157,158,159,160,161,162,163,164,165,166,141,142,143,144,145,146,147,148,149,150,151,152,153,154,155,156,157,158,159,160,161,162,163,164,165,166"/>
    <s v="No"/>
    <x v="0"/>
    <d v="2015-12-04T16:13:25"/>
    <n v="7"/>
    <s v="199.29.6.54"/>
    <s v="RC552.P67 -- .H353 2014eb"/>
    <s v="616.85/21"/>
    <d v="2014-05-15T00:00:00"/>
  </r>
  <r>
    <x v="2414"/>
    <d v="1899-12-30T00:01:21"/>
    <x v="610"/>
    <x v="5"/>
    <s v="erie"/>
    <x v="344"/>
    <n v="1691133"/>
    <x v="4"/>
    <s v="Medicine"/>
    <s v="9781462516278"/>
    <s v=",1,141,142,143,139,140,144,141,2,1,17,141"/>
    <n v="9"/>
    <m/>
    <m/>
    <s v="No"/>
    <x v="1"/>
    <m/>
    <m/>
    <s v="199.29.6.54"/>
    <s v="RC552.P67 -- .H353 2014eb"/>
    <s v="616.85/21"/>
    <d v="2014-05-15T00:00:00"/>
  </r>
  <r>
    <x v="2415"/>
    <d v="1899-12-30T00:00:04"/>
    <x v="610"/>
    <x v="5"/>
    <s v="erie"/>
    <x v="344"/>
    <n v="1691133"/>
    <x v="4"/>
    <s v="Medicine"/>
    <s v="9781462516278"/>
    <s v=",1,2,3"/>
    <n v="3"/>
    <m/>
    <m/>
    <s v="No"/>
    <x v="1"/>
    <m/>
    <m/>
    <s v="199.29.6.54"/>
    <s v="RC552.P67 -- .H353 2014eb"/>
    <s v="616.85/21"/>
    <d v="2014-05-15T00:00:00"/>
  </r>
  <r>
    <x v="2416"/>
    <d v="1899-12-30T00:08:41"/>
    <x v="26"/>
    <x v="6"/>
    <s v="sjfc"/>
    <x v="713"/>
    <n v="565082"/>
    <x v="0"/>
    <s v="Education"/>
    <s v="9781118041567"/>
    <s v=",1,2,3,4,5,6,55,56,57,53,54,58,59,60,61,56"/>
    <n v="15"/>
    <m/>
    <m/>
    <s v="No"/>
    <x v="1"/>
    <m/>
    <m/>
    <s v="149.69.254.57"/>
    <s v="LB1775 .P25 2010"/>
    <s v="371.1; 371.102"/>
    <d v="2010-06-08T00:00:00"/>
  </r>
  <r>
    <x v="2417"/>
    <d v="1899-12-30T00:00:04"/>
    <x v="677"/>
    <x v="8"/>
    <s v="niagaracc"/>
    <x v="487"/>
    <n v="1022416"/>
    <x v="0"/>
    <s v="Engineering; Engineering: Chemical"/>
    <s v="9781118373811"/>
    <s v=",1,2,3"/>
    <n v="3"/>
    <m/>
    <m/>
    <s v="No"/>
    <x v="1"/>
    <m/>
    <m/>
    <s v="132.174.254.37"/>
    <s v="TP248.65.F66 -- G4573 2012eb"/>
    <n v="664"/>
    <d v="2012-09-05T00:00:00"/>
  </r>
  <r>
    <x v="2418"/>
    <d v="1899-12-30T00:15:59"/>
    <x v="678"/>
    <x v="4"/>
    <s v="monroe2boces"/>
    <x v="714"/>
    <n v="1652090"/>
    <x v="0"/>
    <s v="Language/Linguistics"/>
    <s v="9781118744819"/>
    <s v=",1,2,3,39,40,41,37,42,43,44,38,107,108,109,105,106"/>
    <n v="16"/>
    <m/>
    <m/>
    <s v="No"/>
    <x v="0"/>
    <d v="2015-12-03T13:07:11"/>
    <n v="7"/>
    <s v="72.43.68.227"/>
    <s v="P120.A24  -- .Z85 2014eb"/>
    <n v="407.1"/>
    <d v="2014-03-13T00:00:00"/>
  </r>
  <r>
    <x v="2419"/>
    <d v="1899-12-30T00:00:21"/>
    <x v="679"/>
    <x v="1"/>
    <s v="brockport"/>
    <x v="715"/>
    <n v="1832741"/>
    <x v="11"/>
    <s v="Mathematics"/>
    <s v="9780226185019"/>
    <s v=",1,2,3,4"/>
    <n v="4"/>
    <m/>
    <m/>
    <s v="No"/>
    <x v="3"/>
    <m/>
    <m/>
    <s v="137.21.7.121"/>
    <s v="QA13"/>
    <s v="510.71/073"/>
    <d v="2014-12-04T00:00:00"/>
  </r>
  <r>
    <x v="2420"/>
    <d v="1899-12-30T00:00:59"/>
    <x v="680"/>
    <x v="8"/>
    <s v="niagaracc"/>
    <x v="716"/>
    <n v="1986937"/>
    <x v="0"/>
    <s v="Social Science; Medicine; Health"/>
    <s v="9781118760345"/>
    <s v=",140,145,157,158,159,155,156,151,152,153,149,150,148,147,146,144,143,142,141,135"/>
    <n v="20"/>
    <m/>
    <s v=",115,116,117,118,119,120,121,122,123,124,125,126,127,128,137,137,137,138,138,139,140,141,141,141,142,143,143,143,144,145,146,146,147,148,148,149,149,149,149,150"/>
    <s v="No"/>
    <x v="2"/>
    <d v="2015-12-04T14:18:57"/>
    <n v="1"/>
    <s v="132.174.254.37"/>
    <s v="HV6080; RA1151"/>
    <n v="614.15"/>
    <d v="2015-02-23T00:00:00"/>
  </r>
  <r>
    <x v="2421"/>
    <d v="1899-12-30T00:00:58"/>
    <x v="680"/>
    <x v="8"/>
    <s v="niagaracc"/>
    <x v="716"/>
    <n v="1986937"/>
    <x v="0"/>
    <s v="Social Science; Medicine; Health"/>
    <s v="9781118760345"/>
    <s v=",1,2,3,137,138,139,135,136"/>
    <n v="8"/>
    <m/>
    <m/>
    <s v="No"/>
    <x v="3"/>
    <m/>
    <m/>
    <s v="132.174.254.37"/>
    <s v="HV6080; RA1151"/>
    <n v="614.15"/>
    <d v="2015-02-23T00:00:00"/>
  </r>
  <r>
    <x v="2422"/>
    <d v="1899-12-30T00:02:04"/>
    <x v="681"/>
    <x v="1"/>
    <s v="brockport"/>
    <x v="717"/>
    <n v="1501622"/>
    <x v="2"/>
    <s v="Medicine"/>
    <s v="9781134132188"/>
    <s v=",1,2,3,4,5,6,7,8,9,10,11,12,13,14,15,16,17,18,19,20,21,22,23,24,25,26,27,28,29,30,31,32,33,34,35,36,37"/>
    <n v="37"/>
    <m/>
    <m/>
    <s v="No"/>
    <x v="3"/>
    <m/>
    <m/>
    <s v="137.21.7.121"/>
    <s v="RJ496.A5 -- .K43 2012eb"/>
    <s v="616.85/5306"/>
    <d v="2013-10-23T00:00:00"/>
  </r>
  <r>
    <x v="2423"/>
    <d v="1899-12-30T00:52:37"/>
    <x v="13"/>
    <x v="0"/>
    <s v="Buffalo"/>
    <x v="3"/>
    <n v="822040"/>
    <x v="0"/>
    <s v="Literature; Psychology"/>
    <s v="9781118289099"/>
    <s v=",30,30,33,33,34,34,35,35,36,36,37,37,38,38,39,39,40,40,41,41,42,42,43,43,38,43,44,45,44,45,46,46,47,47,48,48,49,49,47,50,50,51,51,52,52,53,53,54,54,55,55,56,56,57,57,58,58,59,59,60,60,61,61,62,62,63,63,64,64,59,58,63,64,65,65,66,66,67,67,68,68,69,69,70,70,71,71,72,72,73,73,74,74,75,75,76,76,77,77,78,78,79,79,80,80,81,81,82,82,83,83,84,84,85,85,86,86,87,87,88,88,89,89,90,90,91,91,92,92,93,93,94,94,95,95,96,96,97,97,98,98,99,99,100,100,101,101,102,102,103,103,104,104,105,105,106,106,107,107,108,108,109,109,110,110,111,111,112,112,113,113,114,114,115,115,116,116,117,117,118,118,119,119,120,120,121,121,122,122,123,123,124,125,124,125,126,126,127,127,128,128,129,129,130,130,131,131,132,132,133,133,134,134,135,135,136,136,137,137,138,138,139,139,140,140,141,141,142,142,143,143,144,144,145,145,146,146,147,147,148,148,149,149,150,150,151,151,152,152,153,154,153,154,155,155,156,156,157,158,158,157,159,159,160,160,161,161,162,162,163,163,164,164,165,165,166,166,167,167,168,168,169,170,169,170,171,171,172,173,172,173,174,174,175,175,176,176,177,177,178,178,179,179,180,180,181,181,182,183,183,182,184,184,185,185,186,186,187,187,188,188,189,189,190,190,191,191,192,192,193,193,194,194,195,195,196,196,197,197,198,198,200,200,201,201,199,199,202,202,203,203,204,204,205,205,206,206,207,208,208,207"/>
    <n v="177"/>
    <s v=",30,32,47"/>
    <m/>
    <s v="No"/>
    <x v="0"/>
    <d v="2015-12-04T13:33:13"/>
    <n v="7"/>
    <s v="128.205.114.91"/>
    <s v="BF76.7 -- .B447 2012eb"/>
    <s v="808.06/615"/>
    <d v="2012-03-22T00:00:00"/>
  </r>
  <r>
    <x v="2424"/>
    <d v="1899-12-30T00:08:40"/>
    <x v="13"/>
    <x v="0"/>
    <s v="Buffalo"/>
    <x v="3"/>
    <n v="822040"/>
    <x v="0"/>
    <s v="Literature; Psychology"/>
    <s v="9781118289099"/>
    <s v=",1,1,3,3,2,2,4,4,5,5,6,6,7,7,8,8,9,9,2,10,10,11,11,6,11,12,12,13,13,8,13,14,14,15,15,16,16,17,17,18,18,19,19,20,20,21,21,22,22,23,23,24,24,25,25,26,26,27,27,28,28,29,29,30,30,31,31,26,31,32,32,30"/>
    <n v="32"/>
    <m/>
    <m/>
    <s v="No"/>
    <x v="1"/>
    <m/>
    <m/>
    <s v="128.205.114.91"/>
    <s v="BF76.7 -- .B447 2012eb"/>
    <s v="808.06/615"/>
    <d v="2012-03-22T00:00:00"/>
  </r>
  <r>
    <x v="2425"/>
    <d v="1899-12-30T01:20:00"/>
    <x v="681"/>
    <x v="1"/>
    <s v="brockport"/>
    <x v="718"/>
    <n v="668746"/>
    <x v="2"/>
    <s v="Education"/>
    <s v="9780203821411"/>
    <s v=",1,2,3,32,34,33,30,31,35,36,37,38,39,30,40,41,42,43,44,45,46,30,31,47,48,49,50,51,52,53,54,55,56,57,58,59,60,61,62,63,64,65,64,66,67,68,69,70,71,72,73,74,75,76,77,78,79,80,81,82,83,89,91,87,90,92,93,94,95,88,86,76,3,4,5"/>
    <n v="69"/>
    <m/>
    <m/>
    <s v="No"/>
    <x v="2"/>
    <d v="2015-12-04T01:18:42"/>
    <n v="1"/>
    <s v="137.21.7.121"/>
    <s v="LC4710.G7 -- H85 2005eb"/>
    <s v="371.9/144"/>
    <d v="2013-09-05T00:00:00"/>
  </r>
  <r>
    <x v="2426"/>
    <d v="1899-12-30T00:00:17"/>
    <x v="13"/>
    <x v="0"/>
    <s v="Buffalo"/>
    <x v="719"/>
    <n v="771074"/>
    <x v="18"/>
    <s v="Medicine; Pharmacy; Social Science; Health"/>
    <s v="9780761499732"/>
    <s v=",1,2,3,4,5,6,7,8"/>
    <n v="8"/>
    <m/>
    <m/>
    <s v="No"/>
    <x v="1"/>
    <m/>
    <m/>
    <s v="128.205.114.91"/>
    <s v="RM301.17 .K567 2012"/>
    <s v="362.29; 615.1"/>
    <d v="2012-01-01T00:00:00"/>
  </r>
  <r>
    <x v="2427"/>
    <d v="1899-12-30T00:06:19"/>
    <x v="13"/>
    <x v="0"/>
    <s v="Buffalo"/>
    <x v="719"/>
    <n v="771074"/>
    <x v="18"/>
    <s v="Medicine; Pharmacy; Social Science; Health"/>
    <s v="9780761499732"/>
    <s v=",1,3,2,4,5,6,7,8,9,10,11,12,13,14,15,16,17,18,19,20,21,58,59,60,56,57,61,62,84,85,86,82,117,118,120,123,111,112,255,253"/>
    <n v="40"/>
    <m/>
    <m/>
    <s v="No"/>
    <x v="1"/>
    <m/>
    <m/>
    <s v="128.205.114.91"/>
    <s v="RM301.17 .K567 2012"/>
    <s v="362.29; 615.1"/>
    <d v="2012-01-01T00:00:00"/>
  </r>
  <r>
    <x v="2428"/>
    <d v="1899-12-30T00:08:10"/>
    <x v="13"/>
    <x v="0"/>
    <s v="Buffalo"/>
    <x v="509"/>
    <n v="1115640"/>
    <x v="0"/>
    <s v="Engineering: Civil; Engineering: Construction; Engineering"/>
    <s v="9781118419090"/>
    <s v=",1,2,3,4,35,36,37,33,34,38,39,40,41,42,43,44,45,46,47,53,54,55,51,52,56,58,59,60,57,49,50,48,130,131,132,128,129,133,134,135,136,137,138,139,140,141,142,143,213,214,215,211,212,216,217,218,219,220,221,222,223,224,225,263,264,265,262,261,266,268,269,270,267,271,272,273,274,275,276,277,278"/>
    <n v="81"/>
    <m/>
    <m/>
    <s v="No"/>
    <x v="0"/>
    <d v="2015-12-04T05:58:48"/>
    <n v="7"/>
    <s v="128.205.114.91"/>
    <s v="TH375 -- .S77 2013eb"/>
    <n v="624"/>
    <d v="2013-01-22T00:00:00"/>
  </r>
  <r>
    <x v="2429"/>
    <d v="1899-12-30T00:04:36"/>
    <x v="13"/>
    <x v="0"/>
    <s v="Buffalo"/>
    <x v="509"/>
    <n v="1115640"/>
    <x v="0"/>
    <s v="Engineering: Civil; Engineering: Construction; Engineering"/>
    <s v="9781118419090"/>
    <s v=",117,118,119,115,116,120,121,122,123,124,298,299,300,296,297,301,302,303,343,344,345,341,342,346,347,348,349,350,351,352,353,354,355,357,358,359,356"/>
    <n v="37"/>
    <m/>
    <m/>
    <s v="No"/>
    <x v="0"/>
    <d v="2015-12-04T05:58:48"/>
    <n v="7"/>
    <s v="128.205.114.91"/>
    <s v="TH375 -- .S77 2013eb"/>
    <n v="624"/>
    <d v="2013-01-22T00:00:00"/>
  </r>
  <r>
    <x v="2430"/>
    <d v="1899-12-30T00:11:27"/>
    <x v="13"/>
    <x v="0"/>
    <s v="Buffalo"/>
    <x v="509"/>
    <n v="1115640"/>
    <x v="0"/>
    <s v="Engineering: Civil; Engineering: Construction; Engineering"/>
    <s v="9781118419090"/>
    <s v=",1,2,3,5,4,6,7,8,9,10,11,12,13,14,17,18,19,15,16,20,21,22,23,24,31,32,33,29,30"/>
    <n v="29"/>
    <m/>
    <m/>
    <s v="No"/>
    <x v="1"/>
    <m/>
    <m/>
    <s v="128.205.114.91"/>
    <s v="TH375 -- .S77 2013eb"/>
    <n v="624"/>
    <d v="2013-01-22T00:00:00"/>
  </r>
  <r>
    <x v="2431"/>
    <d v="1899-12-30T00:00:20"/>
    <x v="656"/>
    <x v="8"/>
    <s v="niagaracc"/>
    <x v="687"/>
    <n v="1569869"/>
    <x v="2"/>
    <s v="Psychology"/>
    <s v="9781317799108"/>
    <s v=",1,2,3,76,77,78,74,75,63,64,65,61,62"/>
    <n v="13"/>
    <m/>
    <m/>
    <s v="No"/>
    <x v="3"/>
    <m/>
    <m/>
    <s v="132.174.254.37"/>
    <s v="BF1099.L82"/>
    <n v="154.63"/>
    <d v="2013-11-26T00:00:00"/>
  </r>
  <r>
    <x v="2432"/>
    <d v="1899-12-30T00:00:02"/>
    <x v="656"/>
    <x v="8"/>
    <s v="niagaracc"/>
    <x v="688"/>
    <n v="3061306"/>
    <x v="2"/>
    <s v="Psychology"/>
    <s v="9780203713877"/>
    <s v=",43,45,41,42,44"/>
    <n v="5"/>
    <m/>
    <m/>
    <s v="No"/>
    <x v="2"/>
    <d v="2015-12-04T05:43:36"/>
    <n v="1"/>
    <s v="132.174.254.37"/>
    <s v="BF1078 -- .W458 2011eb"/>
    <s v="154.6/3"/>
    <d v="2013-10-01T00:00:00"/>
  </r>
  <r>
    <x v="2433"/>
    <d v="1899-12-30T00:21:54"/>
    <x v="656"/>
    <x v="8"/>
    <s v="niagaracc"/>
    <x v="688"/>
    <n v="3061306"/>
    <x v="2"/>
    <s v="Psychology"/>
    <s v="9780203713877"/>
    <s v=",1,2,3,4,5"/>
    <n v="5"/>
    <m/>
    <m/>
    <s v="No"/>
    <x v="3"/>
    <m/>
    <m/>
    <s v="132.174.254.37"/>
    <s v="BF1078 -- .W458 2011eb"/>
    <s v="154.6/3"/>
    <d v="2013-10-01T00:00:00"/>
  </r>
  <r>
    <x v="2434"/>
    <d v="1899-12-30T00:00:31"/>
    <x v="634"/>
    <x v="11"/>
    <s v="cobleskill"/>
    <x v="11"/>
    <n v="693176"/>
    <x v="0"/>
    <s v="Engineering: Manufacturing; General Works/Reference; Engineering"/>
    <s v="9781118017746"/>
    <s v=",1,2,3,476,477,478,474,475,498,499,500,496,497,546,547,548,428,429,430,426,452,453,454,450,451"/>
    <n v="25"/>
    <m/>
    <m/>
    <s v="No"/>
    <x v="0"/>
    <d v="2015-11-30T01:07:06"/>
    <n v="7"/>
    <s v="137.36.32.34"/>
    <s v="Z246 -- .M43 2012eb"/>
    <s v="686.2/209"/>
    <d v="2011-10-19T00:00:00"/>
  </r>
  <r>
    <x v="2435"/>
    <d v="1899-12-30T00:00:06"/>
    <x v="682"/>
    <x v="0"/>
    <s v="Buffalo"/>
    <x v="3"/>
    <n v="822040"/>
    <x v="0"/>
    <s v="Literature; Psychology"/>
    <s v="9781118289099"/>
    <s v=",1,2,3,4"/>
    <n v="4"/>
    <m/>
    <m/>
    <s v="No"/>
    <x v="0"/>
    <d v="2015-12-03T20:57:43"/>
    <n v="7"/>
    <s v="128.205.114.91"/>
    <s v="BF76.7 -- .B447 2012eb"/>
    <s v="808.06/615"/>
    <d v="2012-03-22T00:00:00"/>
  </r>
  <r>
    <x v="2436"/>
    <d v="1899-12-30T00:01:15"/>
    <x v="683"/>
    <x v="1"/>
    <s v="brockport"/>
    <x v="720"/>
    <n v="1498726"/>
    <x v="2"/>
    <s v="Economics; Business/Management; Social Science"/>
    <s v="9781134080151"/>
    <s v=",203,204,205,201,202,29,30"/>
    <n v="7"/>
    <m/>
    <m/>
    <s v="No"/>
    <x v="2"/>
    <d v="2015-12-04T04:36:02"/>
    <n v="1"/>
    <s v="137.21.7.121"/>
    <s v="HM742 -- .L66 2014eb"/>
    <n v="338.5"/>
    <d v="2008-02-08T00:00:00"/>
  </r>
  <r>
    <x v="2437"/>
    <d v="1899-12-30T00:18:37"/>
    <x v="13"/>
    <x v="0"/>
    <s v="Buffalo"/>
    <x v="6"/>
    <n v="1635363"/>
    <x v="0"/>
    <s v="Law"/>
    <s v="9781118678206"/>
    <s v=",1,2,3,297,298,299,329,330,331,332,328,333,334,335,336,337,338,339,340,341,342,343,295,296,355,356,357,353,354,402,403,404,400,401,401,1,402,403,399,400,404,405,2,355,356,357,353,354,1,354,355,356,352,353,350,351,2,357,358,402,403,404,400,401,405,359"/>
    <n v="41"/>
    <m/>
    <m/>
    <s v="No"/>
    <x v="0"/>
    <d v="2015-11-29T22:32:33"/>
    <n v="7"/>
    <s v="128.205.114.91"/>
    <s v="KF285.Z9 -- H38 2014eb"/>
    <n v="340.07600000000002"/>
    <d v="2014-02-14T00:00:00"/>
  </r>
  <r>
    <x v="2438"/>
    <d v="1899-12-30T00:24:08"/>
    <x v="683"/>
    <x v="1"/>
    <s v="brockport"/>
    <x v="720"/>
    <n v="1498726"/>
    <x v="2"/>
    <s v="Economics; Business/Management; Social Science"/>
    <s v="9781134080151"/>
    <s v=",1,2,3,24,25,26,22,23,27,28,14,15,16,12,13,17,18"/>
    <n v="17"/>
    <m/>
    <m/>
    <s v="No"/>
    <x v="3"/>
    <m/>
    <m/>
    <s v="137.21.7.121"/>
    <s v="HM742 -- .L66 2014eb"/>
    <n v="338.5"/>
    <d v="2008-02-08T00:00:00"/>
  </r>
  <r>
    <x v="2439"/>
    <d v="1899-12-30T00:05:41"/>
    <x v="684"/>
    <x v="0"/>
    <s v="Buffalo"/>
    <x v="344"/>
    <n v="1691133"/>
    <x v="4"/>
    <s v="Medicine"/>
    <s v="9781462516278"/>
    <s v=",1,2,3,502,503,504,500,501,505,506,507"/>
    <n v="11"/>
    <m/>
    <m/>
    <s v="No"/>
    <x v="1"/>
    <m/>
    <m/>
    <s v="128.205.114.91"/>
    <s v="RC552.P67 -- .H353 2014eb"/>
    <s v="616.85/21"/>
    <d v="2014-05-15T00:00:00"/>
  </r>
  <r>
    <x v="2440"/>
    <d v="1899-12-30T00:00:00"/>
    <x v="685"/>
    <x v="1"/>
    <s v="brockport"/>
    <x v="721"/>
    <n v="465666"/>
    <x v="4"/>
    <s v="Education"/>
    <s v="9781606230831"/>
    <s v=",122"/>
    <n v="1"/>
    <m/>
    <m/>
    <s v="No"/>
    <x v="2"/>
    <d v="2015-12-04T03:43:41"/>
    <n v="1"/>
    <s v="137.21.7.121"/>
    <s v="LB3013.32 -- .S94 2009eb"/>
    <n v="371.58"/>
    <d v="2014-05-14T00:00:00"/>
  </r>
  <r>
    <x v="2441"/>
    <d v="1899-12-30T00:24:55"/>
    <x v="686"/>
    <x v="1"/>
    <s v="brockport"/>
    <x v="722"/>
    <n v="2130115"/>
    <x v="11"/>
    <s v="Social Science; Business/Management"/>
    <s v="9780226222905"/>
    <s v=",29,30,31,32,33,38,39,40,36,37"/>
    <n v="10"/>
    <m/>
    <m/>
    <s v="No"/>
    <x v="0"/>
    <d v="2015-12-04T03:38:26"/>
    <n v="7"/>
    <s v="137.21.7.121"/>
    <s v="HE5620"/>
    <s v="363.1/251"/>
    <d v="2013-04-12T00:00:00"/>
  </r>
  <r>
    <x v="2442"/>
    <d v="1899-12-30T00:05:19"/>
    <x v="685"/>
    <x v="1"/>
    <s v="brockport"/>
    <x v="721"/>
    <n v="465666"/>
    <x v="4"/>
    <s v="Education"/>
    <s v="9781606230831"/>
    <s v=",1,2,3,4,5,6,21,22,23,19,20,119,120,121,117,118"/>
    <n v="16"/>
    <m/>
    <m/>
    <s v="No"/>
    <x v="3"/>
    <m/>
    <m/>
    <s v="137.21.7.121"/>
    <s v="LB3013.32 -- .S94 2009eb"/>
    <n v="371.58"/>
    <d v="2014-05-14T00:00:00"/>
  </r>
  <r>
    <x v="2443"/>
    <d v="1899-12-30T00:00:04"/>
    <x v="687"/>
    <x v="12"/>
    <s v="potsdam"/>
    <x v="723"/>
    <n v="1895514"/>
    <x v="0"/>
    <s v="Engineering: Mechanical; Economics; Engineering; Environmental Studies"/>
    <s v="9781118631027"/>
    <s v=",1,2,3"/>
    <n v="3"/>
    <m/>
    <m/>
    <s v="No"/>
    <x v="0"/>
    <d v="2015-12-01T17:10:46"/>
    <n v="7"/>
    <s v="137.143.104.94"/>
    <s v="TJ808 -- .D844 2015eb"/>
    <n v="333.79399999999998"/>
    <d v="2015-04-16T00:00:00"/>
  </r>
  <r>
    <x v="2444"/>
    <d v="1899-12-30T00:07:26"/>
    <x v="686"/>
    <x v="1"/>
    <s v="brockport"/>
    <x v="722"/>
    <n v="2130115"/>
    <x v="11"/>
    <s v="Social Science; Business/Management"/>
    <s v="9780226222905"/>
    <s v=",1,2,3,4,5,6,7,8,9,10,11,12,13,14,15,16,17,26,27,28,24,25"/>
    <n v="22"/>
    <m/>
    <m/>
    <s v="No"/>
    <x v="3"/>
    <m/>
    <m/>
    <s v="137.21.7.121"/>
    <s v="HE5620"/>
    <s v="363.1/251"/>
    <d v="2013-04-12T00:00:00"/>
  </r>
  <r>
    <x v="2445"/>
    <d v="1899-12-30T00:01:53"/>
    <x v="634"/>
    <x v="11"/>
    <s v="cobleskill"/>
    <x v="11"/>
    <n v="693176"/>
    <x v="0"/>
    <s v="Engineering: Manufacturing; General Works/Reference; Engineering"/>
    <s v="9781118017746"/>
    <s v=",1,2,3,452,453,454,450,451,455,456,457,458,459,460,461,462,463,464,465,466,467,1,2,3,1,3,2,452,453,454,450,451,455,456,458,457"/>
    <n v="21"/>
    <m/>
    <m/>
    <s v="No"/>
    <x v="0"/>
    <d v="2015-11-30T01:07:06"/>
    <n v="7"/>
    <s v="137.36.32.34"/>
    <s v="Z246 -- .M43 2012eb"/>
    <s v="686.2/209"/>
    <d v="2011-10-19T00:00:00"/>
  </r>
  <r>
    <x v="2446"/>
    <d v="1899-12-30T00:00:53"/>
    <x v="688"/>
    <x v="1"/>
    <s v="brockport"/>
    <x v="724"/>
    <n v="2058082"/>
    <x v="1"/>
    <s v="History"/>
    <s v="9781472442574"/>
    <s v=",49,51,20,22,62"/>
    <n v="5"/>
    <m/>
    <s v=",20,21,22,23,24,25,26,27,28,29,30,31,32,33,34,35,36,37,38,39,40,41,42,43,44,45,46,47,48,49,50,51,52,53,54,55,56,57,58,59,60,61"/>
    <s v="Yes"/>
    <x v="2"/>
    <d v="2015-12-04T02:59:40"/>
    <n v="1"/>
    <s v="137.21.7.121"/>
    <s v="DA925 .B64 2014"/>
    <n v="941.5"/>
    <d v="2015-07-28T00:00:00"/>
  </r>
  <r>
    <x v="2446"/>
    <d v="1899-12-30T00:00:00"/>
    <x v="688"/>
    <x v="1"/>
    <s v="brockport"/>
    <x v="724"/>
    <n v="2058082"/>
    <x v="1"/>
    <s v="History"/>
    <s v="9781472442574"/>
    <m/>
    <n v="0"/>
    <m/>
    <m/>
    <s v="No"/>
    <x v="2"/>
    <d v="2015-12-04T02:59:40"/>
    <n v="1"/>
    <s v="137.21.7.121"/>
    <s v="DA925 .B64 2014"/>
    <n v="941.5"/>
    <d v="2015-07-28T00:00:00"/>
  </r>
  <r>
    <x v="2447"/>
    <d v="1899-12-30T00:01:14"/>
    <x v="688"/>
    <x v="1"/>
    <s v="brockport"/>
    <x v="724"/>
    <n v="2058082"/>
    <x v="1"/>
    <s v="History"/>
    <s v="9781472442574"/>
    <s v=",2,1,3,10,11,12,8,9,13,14,20,21,22,18,19,23,24,25,26,27,28,29,30,31,52,53,54,50,51"/>
    <n v="29"/>
    <m/>
    <m/>
    <s v="No"/>
    <x v="3"/>
    <m/>
    <m/>
    <s v="137.21.7.121"/>
    <s v="DA925 .B64 2014"/>
    <n v="941.5"/>
    <d v="2015-07-28T00:00:00"/>
  </r>
  <r>
    <x v="2448"/>
    <d v="1899-12-30T00:02:17"/>
    <x v="593"/>
    <x v="14"/>
    <s v="houghton"/>
    <x v="626"/>
    <n v="877713"/>
    <x v="6"/>
    <s v="History"/>
    <s v="9781438138596"/>
    <s v=",1,2,3,383,384,385,381,382,386,387,388,389,390,391,392,393,394,395,396,397,398,399,400,401"/>
    <n v="24"/>
    <m/>
    <m/>
    <s v="No"/>
    <x v="0"/>
    <d v="2015-12-02T03:26:16"/>
    <n v="7"/>
    <s v="96.43.64.169"/>
    <s v="DT58 -- .B96 2012eb"/>
    <n v="932.00300000000004"/>
    <d v="2012-01-01T00:00:00"/>
  </r>
  <r>
    <x v="2449"/>
    <d v="1899-12-30T00:01:06"/>
    <x v="13"/>
    <x v="0"/>
    <s v="Buffalo"/>
    <x v="666"/>
    <n v="817932"/>
    <x v="0"/>
    <s v="Computer Science/IT"/>
    <s v="9781118220146"/>
    <s v=",1,2,3,7,8,9,5,6,21,22,23,19,20,24,25,26"/>
    <n v="16"/>
    <m/>
    <m/>
    <s v="No"/>
    <x v="1"/>
    <m/>
    <m/>
    <s v="128.205.114.91"/>
    <s v="QA76.73.J38 -- B87 2012eb"/>
    <n v="5.133"/>
    <d v="2012-03-13T00:00:00"/>
  </r>
  <r>
    <x v="2450"/>
    <d v="1899-12-30T00:00:13"/>
    <x v="13"/>
    <x v="0"/>
    <s v="Buffalo"/>
    <x v="509"/>
    <n v="1115640"/>
    <x v="0"/>
    <s v="Engineering: Civil; Engineering: Construction; Engineering"/>
    <s v="9781118419090"/>
    <s v=",1,2,3,4,5"/>
    <n v="5"/>
    <m/>
    <m/>
    <s v="No"/>
    <x v="1"/>
    <m/>
    <m/>
    <s v="128.205.114.91"/>
    <s v="TH375 -- .S77 2013eb"/>
    <n v="624"/>
    <d v="2013-01-22T00:00:00"/>
  </r>
  <r>
    <x v="2451"/>
    <d v="1899-12-30T00:26:04"/>
    <x v="681"/>
    <x v="1"/>
    <s v="brockport"/>
    <x v="718"/>
    <n v="668746"/>
    <x v="2"/>
    <s v="Education"/>
    <s v="9780203821411"/>
    <s v=",33,34,35,36,91,92,93,94,95,96,37,38,39,40,41,42,43,44,45,46,47,48,49,50,51,52,53,54,55,56,57,58,59,60,61,62,63,64,65,66,67,68,69,70,71,75"/>
    <n v="46"/>
    <m/>
    <m/>
    <s v="No"/>
    <x v="2"/>
    <d v="2015-12-04T01:18:42"/>
    <n v="1"/>
    <s v="137.21.7.121"/>
    <s v="LC4710.G7 -- H85 2005eb"/>
    <s v="371.9/144"/>
    <d v="2013-09-05T00:00:00"/>
  </r>
  <r>
    <x v="2452"/>
    <d v="1899-12-30T02:38:31"/>
    <x v="689"/>
    <x v="1"/>
    <s v="brockport"/>
    <x v="725"/>
    <n v="1046302"/>
    <x v="3"/>
    <s v="Political Science; History"/>
    <s v="9780520953543"/>
    <s v=",1,2,3,305,306,303,307,308,310,309,311,312,313,314,315,316,318,319,317,320,321,322,323,324,325,318,323,324,325,326,327,328,329,330,331,332,322,321,320,319,317"/>
    <n v="32"/>
    <m/>
    <m/>
    <s v="No"/>
    <x v="0"/>
    <d v="2015-11-30T19:57:46"/>
    <n v="7"/>
    <s v="137.21.7.121"/>
    <s v="E185.615 -- .B5574 2012eb"/>
    <n v="322.420973"/>
    <d v="2013-01-14T00:00:00"/>
  </r>
  <r>
    <x v="2453"/>
    <d v="1899-12-30T00:03:03"/>
    <x v="689"/>
    <x v="1"/>
    <s v="brockport"/>
    <x v="725"/>
    <n v="1046302"/>
    <x v="3"/>
    <s v="Political Science; History"/>
    <s v="9780520953543"/>
    <s v=",1,2,3,530,529,531,528,533,194,195,192,197,193,196,200,199,198,202,203,204,205,201,206,207,208,209,210,211,212,213,214,215"/>
    <n v="32"/>
    <m/>
    <m/>
    <s v="No"/>
    <x v="0"/>
    <d v="2015-11-30T19:57:46"/>
    <n v="7"/>
    <s v="137.21.7.121"/>
    <s v="E185.615 -- .B5574 2012eb"/>
    <n v="322.420973"/>
    <d v="2013-01-14T00:00:00"/>
  </r>
  <r>
    <x v="2454"/>
    <d v="1899-12-30T00:00:01"/>
    <x v="686"/>
    <x v="1"/>
    <s v="brockport"/>
    <x v="726"/>
    <n v="1583404"/>
    <x v="2"/>
    <s v="Social Science; Business/Management"/>
    <s v="9781317840022"/>
    <s v=",23,1,24"/>
    <n v="3"/>
    <m/>
    <m/>
    <s v="No"/>
    <x v="2"/>
    <d v="2015-12-04T00:55:42"/>
    <n v="1"/>
    <s v="137.21.7.121"/>
    <s v="HE5620.D7 -- .D78 2013eb"/>
    <n v="363.125"/>
    <d v="2013-12-19T00:00:00"/>
  </r>
  <r>
    <x v="2455"/>
    <d v="1899-12-30T00:30:12"/>
    <x v="681"/>
    <x v="1"/>
    <s v="brockport"/>
    <x v="718"/>
    <n v="668746"/>
    <x v="2"/>
    <s v="Education"/>
    <s v="9780203821411"/>
    <s v=",1,2,3,4,5,6,7,8,9,10,11,12,13,14,15,16,17,18,19,20,21,22,23,24,25,26,27,28,29,30,31,32"/>
    <n v="32"/>
    <m/>
    <m/>
    <s v="No"/>
    <x v="3"/>
    <m/>
    <m/>
    <s v="137.21.7.121"/>
    <s v="LC4710.G7 -- H85 2005eb"/>
    <s v="371.9/144"/>
    <d v="2013-09-05T00:00:00"/>
  </r>
  <r>
    <x v="2456"/>
    <d v="1899-12-30T00:31:39"/>
    <x v="686"/>
    <x v="1"/>
    <s v="brockport"/>
    <x v="726"/>
    <n v="1583404"/>
    <x v="2"/>
    <s v="Social Science; Business/Management"/>
    <s v="9781317840022"/>
    <s v=",1,2,3,4,5,6,7,8,9,10,11,12,13,14,15,16,17,18,19,20,21,22,23"/>
    <n v="23"/>
    <m/>
    <m/>
    <s v="No"/>
    <x v="3"/>
    <m/>
    <m/>
    <s v="137.21.7.121"/>
    <s v="HE5620.D7 -- .D78 2013eb"/>
    <n v="363.125"/>
    <d v="2013-12-19T00:00:00"/>
  </r>
  <r>
    <x v="2457"/>
    <d v="1899-12-30T00:49:59"/>
    <x v="634"/>
    <x v="11"/>
    <s v="cobleskill"/>
    <x v="11"/>
    <n v="693176"/>
    <x v="0"/>
    <s v="Engineering: Manufacturing; General Works/Reference; Engineering"/>
    <s v="9781118017746"/>
    <s v=",1,2,3,546,547,548,544,549,545,550,551,552,553,554,555,556,557,558,559,560,561,562,563,564,565,566,567,568,569,570,571,572,573,574,575,576,577,578,579,580,581,582,583,584,585,586,587,588,589,590,498,476,477,478,479,475,480,481,452,453,454,450,451,455,456,457,458,459,460,461,462,463,464,465,466,467,468,469,470,461,462,463,459,460,464,465,466,467,458,457,456,455,454"/>
    <n v="79"/>
    <m/>
    <m/>
    <s v="No"/>
    <x v="0"/>
    <d v="2015-11-30T01:07:06"/>
    <n v="7"/>
    <s v="137.36.32.34"/>
    <s v="Z246 -- .M43 2012eb"/>
    <s v="686.2/209"/>
    <d v="2011-10-19T00:00:00"/>
  </r>
  <r>
    <x v="2458"/>
    <d v="1899-12-30T00:00:27"/>
    <x v="690"/>
    <x v="1"/>
    <s v="brockport"/>
    <x v="727"/>
    <n v="1323268"/>
    <x v="2"/>
    <s v="Business/Management"/>
    <s v="9781135076467"/>
    <s v=",1,2,3,4,5,6,7,8,9,20,21,22,18,19,17"/>
    <n v="15"/>
    <m/>
    <m/>
    <s v="No"/>
    <x v="3"/>
    <m/>
    <m/>
    <s v="137.21.7.121"/>
    <s v="HD31 -- .C767 2013eb"/>
    <n v="658.3"/>
    <d v="2013-07-24T00:00:00"/>
  </r>
  <r>
    <x v="2459"/>
    <d v="1899-12-30T00:01:00"/>
    <x v="591"/>
    <x v="12"/>
    <s v="potsdam"/>
    <x v="499"/>
    <n v="1172554"/>
    <x v="15"/>
    <s v="History"/>
    <s v=""/>
    <s v=",1,2,3,179,180,181,177,178,182,183,16,17,18,14,15,19"/>
    <n v="16"/>
    <m/>
    <m/>
    <s v="No"/>
    <x v="1"/>
    <m/>
    <m/>
    <s v="137.143.104.94"/>
    <s v="DF234 .A67 2012"/>
    <s v="938.07092; 938/.07092"/>
    <d v="2013-04-11T00:00:00"/>
  </r>
  <r>
    <x v="2460"/>
    <d v="1899-12-30T00:00:00"/>
    <x v="691"/>
    <x v="13"/>
    <s v="buffalostate"/>
    <x v="151"/>
    <n v="968030"/>
    <x v="0"/>
    <s v="Psychology"/>
    <s v="9781118285138"/>
    <m/>
    <n v="0"/>
    <m/>
    <m/>
    <s v="Yes"/>
    <x v="0"/>
    <d v="2015-12-03T23:50:09"/>
    <n v="7"/>
    <s v="136.183.11.43"/>
    <s v="BF637.C6 -- S85 2013eb"/>
    <n v="158.30000000000001"/>
    <d v="2012-07-10T00:00:00"/>
  </r>
  <r>
    <x v="2461"/>
    <d v="1899-12-30T00:00:03"/>
    <x v="691"/>
    <x v="13"/>
    <s v="buffalostate"/>
    <x v="151"/>
    <n v="968030"/>
    <x v="0"/>
    <s v="Psychology"/>
    <s v="9781118285138"/>
    <s v=",1,2,3"/>
    <n v="3"/>
    <m/>
    <m/>
    <s v="No"/>
    <x v="0"/>
    <d v="2015-12-03T23:50:09"/>
    <n v="7"/>
    <s v="136.183.11.43"/>
    <s v="BF637.C6 -- S85 2013eb"/>
    <n v="158.30000000000001"/>
    <d v="2012-07-10T00:00:00"/>
  </r>
  <r>
    <x v="2462"/>
    <d v="1899-12-30T00:00:50"/>
    <x v="13"/>
    <x v="0"/>
    <s v="Buffalo"/>
    <x v="344"/>
    <n v="1691133"/>
    <x v="4"/>
    <s v="Medicine"/>
    <s v="9781462516278"/>
    <s v=",333,334,335,331,332,542,543,544,540,541"/>
    <n v="10"/>
    <m/>
    <m/>
    <s v="No"/>
    <x v="0"/>
    <d v="2015-12-03T23:50:45"/>
    <n v="7"/>
    <s v="128.205.114.91"/>
    <s v="RC552.P67 -- .H353 2014eb"/>
    <s v="616.85/21"/>
    <d v="2014-05-15T00:00:00"/>
  </r>
  <r>
    <x v="2463"/>
    <d v="1899-12-30T00:00:39"/>
    <x v="691"/>
    <x v="13"/>
    <s v="buffalostate"/>
    <x v="151"/>
    <n v="968030"/>
    <x v="0"/>
    <s v="Psychology"/>
    <s v="9781118285138"/>
    <s v=",505,573,564,544,541,540,537,538"/>
    <n v="8"/>
    <m/>
    <m/>
    <s v="Yes"/>
    <x v="0"/>
    <d v="2015-12-03T23:50:09"/>
    <n v="7"/>
    <s v="136.183.11.43"/>
    <s v="BF637.C6 -- S85 2013eb"/>
    <n v="158.30000000000001"/>
    <d v="2012-07-10T00:00:00"/>
  </r>
  <r>
    <x v="2463"/>
    <d v="1899-12-30T00:00:00"/>
    <x v="691"/>
    <x v="13"/>
    <s v="buffalostate"/>
    <x v="151"/>
    <n v="968030"/>
    <x v="0"/>
    <s v="Psychology"/>
    <s v="9781118285138"/>
    <m/>
    <n v="0"/>
    <m/>
    <m/>
    <s v="No"/>
    <x v="0"/>
    <d v="2015-12-03T23:50:09"/>
    <n v="7"/>
    <s v="136.183.11.43"/>
    <s v="BF637.C6 -- S85 2013eb"/>
    <n v="158.30000000000001"/>
    <d v="2012-07-10T00:00:00"/>
  </r>
  <r>
    <x v="2464"/>
    <d v="1899-12-30T00:01:10"/>
    <x v="691"/>
    <x v="13"/>
    <s v="buffalostate"/>
    <x v="151"/>
    <n v="968030"/>
    <x v="0"/>
    <s v="Psychology"/>
    <s v="9781118285138"/>
    <s v=",1,2,3,4,5,6,7,8,9,10,117,527,633,496,446,447,448,444,453,461,460,462,458,459,463,464,465,466,467,468,469,470,471,499,509,539,542,543,531,501,502,503,500,504"/>
    <n v="44"/>
    <m/>
    <m/>
    <s v="No"/>
    <x v="1"/>
    <m/>
    <m/>
    <s v="136.183.11.43"/>
    <s v="BF637.C6 -- S85 2013eb"/>
    <n v="158.30000000000001"/>
    <d v="2012-07-10T00:00:00"/>
  </r>
  <r>
    <x v="2465"/>
    <d v="1899-12-30T00:22:38"/>
    <x v="13"/>
    <x v="0"/>
    <s v="Buffalo"/>
    <x v="344"/>
    <n v="1691133"/>
    <x v="4"/>
    <s v="Medicine"/>
    <s v="9781462516278"/>
    <s v=",1,2,3,23,24,25,21,22,127,128,129,125,126"/>
    <n v="13"/>
    <m/>
    <m/>
    <s v="No"/>
    <x v="1"/>
    <m/>
    <m/>
    <s v="128.205.114.91"/>
    <s v="RC552.P67 -- .H353 2014eb"/>
    <s v="616.85/21"/>
    <d v="2014-05-15T00:00:00"/>
  </r>
  <r>
    <x v="2466"/>
    <d v="1899-12-30T00:01:46"/>
    <x v="692"/>
    <x v="0"/>
    <s v="Buffalo"/>
    <x v="509"/>
    <n v="1115640"/>
    <x v="0"/>
    <s v="Engineering: Civil; Engineering: Construction; Engineering"/>
    <s v="9781118419090"/>
    <s v=",28,29,30,26,27,31,32,33,295,296,297,293,294,298,299,300"/>
    <n v="16"/>
    <m/>
    <m/>
    <s v="No"/>
    <x v="0"/>
    <d v="2015-12-03T23:12:12"/>
    <n v="7"/>
    <s v="128.205.114.91"/>
    <s v="TH375 -- .S77 2013eb"/>
    <n v="624"/>
    <d v="2013-01-22T00:00:00"/>
  </r>
  <r>
    <x v="2467"/>
    <d v="1899-12-30T00:32:49"/>
    <x v="689"/>
    <x v="1"/>
    <s v="brockport"/>
    <x v="725"/>
    <n v="1046302"/>
    <x v="3"/>
    <s v="Political Science; History"/>
    <s v="9780520953543"/>
    <s v=",1,2,3,2,3,1,220,222,218,222,219,2,219,217,222,264,265,264,265,266,262,266,263,263,267,267,268,268,270,270,271,271,272,272,273,273,274,274,275,275,276,276,271,270,268,269,267,269,266,271,272,273,274,275,276,277,277,278,278,279,279,280,280,281,281,282,282,283,283,278,277,276,274,275,273,272,271,270,269,268,267,266,265,264,263,262"/>
    <n v="30"/>
    <m/>
    <m/>
    <s v="No"/>
    <x v="0"/>
    <d v="2015-11-30T19:57:46"/>
    <n v="7"/>
    <s v="137.21.7.121"/>
    <s v="E185.615 -- .B5574 2012eb"/>
    <n v="322.420973"/>
    <d v="2013-01-14T00:00:00"/>
  </r>
  <r>
    <x v="2468"/>
    <d v="1899-12-30T04:45:37"/>
    <x v="13"/>
    <x v="0"/>
    <s v="Buffalo"/>
    <x v="6"/>
    <n v="1635363"/>
    <x v="0"/>
    <s v="Law"/>
    <s v="9781118678206"/>
    <s v=",1,2,2,3,3,1,2,256,257,256,254,255,257,258,255,258,2,259,259,260,260,261,261,262,262,263,263,258,263,264,264,265,265,267,266,262,267,261,266,265,260,266,261,266,267,261,260,259,258,256,257,255,260,261,262,263,264,265,298,297,299,298,297,299,326,326,327,328,327,328,324,325,325,257,256,254,255,258,259,260,261,262,263,264,265,277,278,279,276,275,280,281,282,283,284,285,286,287,288,289,308,326,327,328,324,325,297,298,299,295,296,256,257,258,254,255,332,333,334,330,331,335,336,337,338,339,340,341,342,402,403,404,400,401,367,368,369,370,371,372,373,374,374,1,375,374,375,376,1,376,372,373,2,371,370"/>
    <n v="71"/>
    <m/>
    <m/>
    <s v="No"/>
    <x v="0"/>
    <d v="2015-11-29T22:32:33"/>
    <n v="7"/>
    <s v="128.205.114.91"/>
    <s v="KF285.Z9 -- H38 2014eb"/>
    <n v="340.07600000000002"/>
    <d v="2014-02-14T00:00:00"/>
  </r>
  <r>
    <x v="2469"/>
    <d v="1899-12-30T01:01:57"/>
    <x v="692"/>
    <x v="0"/>
    <s v="Buffalo"/>
    <x v="509"/>
    <n v="1115640"/>
    <x v="0"/>
    <s v="Engineering: Civil; Engineering: Construction; Engineering"/>
    <s v="9781118419090"/>
    <s v=",1,3,2"/>
    <n v="3"/>
    <m/>
    <m/>
    <s v="No"/>
    <x v="1"/>
    <m/>
    <m/>
    <s v="128.205.114.91"/>
    <s v="TH375 -- .S77 2013eb"/>
    <n v="624"/>
    <d v="2013-01-22T00:00:00"/>
  </r>
  <r>
    <x v="2470"/>
    <d v="1899-12-30T00:05:20"/>
    <x v="13"/>
    <x v="0"/>
    <s v="Buffalo"/>
    <x v="728"/>
    <n v="1872281"/>
    <x v="4"/>
    <s v="Education; Business/Management"/>
    <s v="9781462519606"/>
    <s v=",1,1,2,2,3,3,2,2,1,177,179,270,238,224,220,13,13,13,13,386,1,13,13,14,79,79,80,81,82,83"/>
    <n v="17"/>
    <m/>
    <m/>
    <s v="No"/>
    <x v="1"/>
    <m/>
    <m/>
    <s v="128.205.114.91"/>
    <s v="HD75 -- .P448 2015eb"/>
    <n v="378.101"/>
    <d v="2015-05-26T00:00:00"/>
  </r>
  <r>
    <x v="2471"/>
    <d v="1899-12-30T00:20:34"/>
    <x v="556"/>
    <x v="1"/>
    <s v="brockport"/>
    <x v="587"/>
    <n v="4034662"/>
    <x v="0"/>
    <s v="Agriculture; Philosophy"/>
    <s v="9781118376720"/>
    <s v=",212,213,210,214,211,209,208,207,206,205,204,203,202,201,200,199"/>
    <n v="16"/>
    <m/>
    <m/>
    <s v="No"/>
    <x v="0"/>
    <d v="2015-12-03T20:58:34"/>
    <n v="7"/>
    <s v="137.21.7.121"/>
    <s v="SF411.5 -- .S263 2016eb"/>
    <s v="179/.3"/>
    <d v="2015-08-25T00:00:00"/>
  </r>
  <r>
    <x v="2472"/>
    <d v="1899-12-30T00:01:52"/>
    <x v="682"/>
    <x v="0"/>
    <s v="Buffalo"/>
    <x v="3"/>
    <n v="822040"/>
    <x v="0"/>
    <s v="Literature; Psychology"/>
    <s v="9781118289099"/>
    <s v=",14,14,1,16,1,15,16,12,15,13,13,17,17,18,19,18,19,2,2,14,13,12,11,9,11,10,8,10,9,8,6,7,6,5,7,5,1,3,3,2,4,4,5,6,7,8,9,10,11,12,13,14,15,16,17,18,184,186,186,182,184,183,185,185,183,180,181,179,179,177,178,178,112,114,112,113,114,111,113,111,110"/>
    <n v="34"/>
    <m/>
    <s v=",10,11,12,15,16,17,18,19,20,21,22,23,24,25,26,27,28,29,30,31,32,33,34,35,36,37,38,39,39,40,41,42,43,44,45,46,47,48,49,50,51,52,52,53,54,55,56,57,58,59,60,61,62,63,64,65,66,67,68,69,70,71,72,73,74,75,76,77,78,79,80,81,82,83,84,85,86,87,88,89,90,101,101,102,103,104"/>
    <s v="No"/>
    <x v="0"/>
    <d v="2015-12-03T20:57:43"/>
    <n v="7"/>
    <s v="128.205.114.91"/>
    <s v="BF76.7 -- .B447 2012eb"/>
    <s v="808.06/615"/>
    <d v="2012-03-22T00:00:00"/>
  </r>
  <r>
    <x v="2473"/>
    <d v="1899-12-30T00:10:23"/>
    <x v="556"/>
    <x v="1"/>
    <s v="brockport"/>
    <x v="587"/>
    <n v="4034662"/>
    <x v="0"/>
    <s v="Agriculture; Philosophy"/>
    <s v="9781118376720"/>
    <s v=",1,3,2,199,201,202,197,198,203,204,205,200"/>
    <n v="12"/>
    <m/>
    <m/>
    <s v="No"/>
    <x v="1"/>
    <m/>
    <m/>
    <s v="137.21.7.121"/>
    <s v="SF411.5 -- .S263 2016eb"/>
    <s v="179/.3"/>
    <d v="2015-08-25T00:00:00"/>
  </r>
  <r>
    <x v="2474"/>
    <d v="1899-12-30T00:00:35"/>
    <x v="564"/>
    <x v="1"/>
    <s v="brockport"/>
    <x v="594"/>
    <n v="1120507"/>
    <x v="12"/>
    <s v="Social Science"/>
    <s v="9781469607191"/>
    <s v=",1"/>
    <n v="1"/>
    <m/>
    <m/>
    <s v="No"/>
    <x v="2"/>
    <d v="2015-12-03T17:47:04"/>
    <n v="1"/>
    <s v="137.21.7.121"/>
    <s v="HQ75.28.U6 -- R58 2013eb"/>
    <s v="306.874086/64"/>
    <d v="2013-09-03T00:00:00"/>
  </r>
  <r>
    <x v="2475"/>
    <d v="1899-12-30T00:00:09"/>
    <x v="506"/>
    <x v="0"/>
    <s v="Buffalo"/>
    <x v="729"/>
    <n v="1962466"/>
    <x v="4"/>
    <s v="Medicine"/>
    <s v="9781462520442"/>
    <s v=",1,2,3,4,5,6"/>
    <n v="6"/>
    <m/>
    <m/>
    <s v="No"/>
    <x v="3"/>
    <m/>
    <m/>
    <s v="128.205.114.91"/>
    <s v="RC516 -- .B373 2015eb"/>
    <n v="616.89505999999994"/>
    <d v="2015-01-01T00:00:00"/>
  </r>
  <r>
    <x v="2476"/>
    <d v="1899-12-30T00:02:47"/>
    <x v="588"/>
    <x v="1"/>
    <s v="brockport"/>
    <x v="1"/>
    <n v="1684620"/>
    <x v="0"/>
    <s v="Health; Social Science"/>
    <s v="9781118418925"/>
    <s v=",1,2,3,43,44,45,41,42,46,47,48,49,50,51,52,53,54,55,56,57,58,59,60,61,62,63,64,65"/>
    <n v="28"/>
    <m/>
    <m/>
    <s v="No"/>
    <x v="1"/>
    <m/>
    <m/>
    <s v="137.21.7.121"/>
    <s v="RA971 -- .S56 2014eb"/>
    <n v="362.10680000000002"/>
    <d v="2014-04-30T00:00:00"/>
  </r>
  <r>
    <x v="2477"/>
    <d v="1899-12-30T01:19:22"/>
    <x v="682"/>
    <x v="0"/>
    <s v="Buffalo"/>
    <x v="3"/>
    <n v="822040"/>
    <x v="0"/>
    <s v="Literature; Psychology"/>
    <s v="9781118289099"/>
    <s v=",1,1,2,1,2,3,3,4,4,5,5,6,6,7,7,8,8,9,9,2,10,10,11,11,12,12,13,13,11,14,14"/>
    <n v="14"/>
    <m/>
    <m/>
    <s v="No"/>
    <x v="1"/>
    <m/>
    <m/>
    <s v="128.205.114.91"/>
    <s v="BF76.7 -- .B447 2012eb"/>
    <s v="808.06/615"/>
    <d v="2012-03-22T00:00:00"/>
  </r>
  <r>
    <x v="2478"/>
    <d v="1899-12-30T00:01:23"/>
    <x v="13"/>
    <x v="0"/>
    <s v="Buffalo"/>
    <x v="427"/>
    <n v="1295002"/>
    <x v="0"/>
    <s v="Social Science"/>
    <s v="9780745674674"/>
    <s v=",1,2,3,4,48,49,50,46,47,51,129,130,132,128,127,126,63,64,65,61,62,66,60,59"/>
    <n v="24"/>
    <m/>
    <m/>
    <s v="No"/>
    <x v="1"/>
    <m/>
    <m/>
    <s v="128.205.114.91"/>
    <s v="GT525 -- .R67 2008eb"/>
    <n v="391.00900000000001"/>
    <d v="2013-04-29T00:00:00"/>
  </r>
  <r>
    <x v="2479"/>
    <d v="1899-12-30T00:21:21"/>
    <x v="689"/>
    <x v="1"/>
    <s v="brockport"/>
    <x v="725"/>
    <n v="1046302"/>
    <x v="3"/>
    <s v="Political Science; History"/>
    <s v="9780520953543"/>
    <s v=",1,2,3,3,2,1,530,531,530,532,531,532,528,529,529,2,533,533,217,218,217,219,215,219,218,216,216,220,220,221,221,222,222,223,223,224,224,225,225,226,226,227,227,228,228,229,229,230,230,231,229,232,229,219,217,216,214,218,220,221,222,225,219,226,227,229,230,231,232,233,234,233,235,234,235,236,236,231,236,228,237,237,239,239,238,238"/>
    <n v="35"/>
    <m/>
    <m/>
    <s v="No"/>
    <x v="0"/>
    <d v="2015-11-30T19:57:46"/>
    <n v="7"/>
    <s v="137.21.7.121"/>
    <s v="E185.615 -- .B5574 2012eb"/>
    <n v="322.420973"/>
    <d v="2013-01-14T00:00:00"/>
  </r>
  <r>
    <x v="2480"/>
    <d v="1899-12-30T00:07:51"/>
    <x v="603"/>
    <x v="1"/>
    <s v="brockport"/>
    <x v="301"/>
    <n v="1692797"/>
    <x v="1"/>
    <s v="Literature"/>
    <s v="9781472431509"/>
    <s v=",19,20"/>
    <n v="2"/>
    <m/>
    <m/>
    <s v="No"/>
    <x v="0"/>
    <d v="2015-12-03T18:16:19"/>
    <n v="7"/>
    <s v="137.21.7.121"/>
    <s v="PS374.Y57 -- .F46 2014eb"/>
    <s v="813.009/9283"/>
    <d v="2014-07-28T00:00:00"/>
  </r>
  <r>
    <x v="2481"/>
    <d v="1899-12-30T00:20:13"/>
    <x v="603"/>
    <x v="1"/>
    <s v="brockport"/>
    <x v="301"/>
    <n v="1692797"/>
    <x v="1"/>
    <s v="Literature"/>
    <s v="9781472431509"/>
    <s v=",1,2,3,6,10,12,13,16,17,14,18,15"/>
    <n v="12"/>
    <m/>
    <m/>
    <s v="No"/>
    <x v="1"/>
    <m/>
    <m/>
    <s v="137.21.7.121"/>
    <s v="PS374.Y57 -- .F46 2014eb"/>
    <s v="813.009/9283"/>
    <d v="2014-07-28T00:00:00"/>
  </r>
  <r>
    <x v="2482"/>
    <d v="1899-12-30T00:13:34"/>
    <x v="564"/>
    <x v="1"/>
    <s v="brockport"/>
    <x v="594"/>
    <n v="1120507"/>
    <x v="12"/>
    <s v="Social Science"/>
    <s v="9781469607191"/>
    <s v=",154,155,156,152,153,157,158,159,95,96,97,94,93,98,99,100,101,102,103,104,106"/>
    <n v="21"/>
    <m/>
    <m/>
    <s v="No"/>
    <x v="2"/>
    <d v="2015-12-03T17:47:04"/>
    <n v="1"/>
    <s v="137.21.7.121"/>
    <s v="HQ75.28.U6 -- R58 2013eb"/>
    <s v="306.874086/64"/>
    <d v="2013-09-03T00:00:00"/>
  </r>
  <r>
    <x v="2483"/>
    <d v="1899-12-30T00:13:16"/>
    <x v="564"/>
    <x v="1"/>
    <s v="brockport"/>
    <x v="594"/>
    <n v="1120507"/>
    <x v="12"/>
    <s v="Social Science"/>
    <s v="9781469607191"/>
    <s v=",1,2,3"/>
    <n v="3"/>
    <m/>
    <m/>
    <s v="No"/>
    <x v="3"/>
    <m/>
    <m/>
    <s v="137.21.7.121"/>
    <s v="HQ75.28.U6 -- R58 2013eb"/>
    <s v="306.874086/64"/>
    <d v="2013-09-03T00:00:00"/>
  </r>
  <r>
    <x v="2484"/>
    <d v="1899-12-30T00:14:26"/>
    <x v="653"/>
    <x v="0"/>
    <s v="Buffalo"/>
    <x v="111"/>
    <n v="1166322"/>
    <x v="0"/>
    <s v="Architecture"/>
    <s v="9781118418512"/>
    <s v=",1,3,2,284,285,286,282,283,287,288,289,291,290,292,293,294,295,296,297,298,299,300,301,302,296"/>
    <n v="24"/>
    <m/>
    <m/>
    <s v="No"/>
    <x v="0"/>
    <d v="2015-12-02T23:55:28"/>
    <n v="7"/>
    <s v="128.205.114.91"/>
    <s v="NA2000 -- .G76 2013eb"/>
    <n v="720.072"/>
    <d v="2013-04-03T00:00:00"/>
  </r>
  <r>
    <x v="2485"/>
    <d v="1899-12-30T00:00:03"/>
    <x v="693"/>
    <x v="1"/>
    <s v="brockport"/>
    <x v="730"/>
    <n v="1575992"/>
    <x v="2"/>
    <s v="Law"/>
    <s v="9781136756887"/>
    <s v=",2,3,1"/>
    <n v="3"/>
    <m/>
    <m/>
    <s v="No"/>
    <x v="3"/>
    <m/>
    <m/>
    <s v="137.21.7.121"/>
    <s v="KF4541 -- .M39 2014eb"/>
    <n v="342.73029000000002"/>
    <d v="2013-12-04T00:00:00"/>
  </r>
  <r>
    <x v="2486"/>
    <d v="1899-12-30T04:55:25"/>
    <x v="694"/>
    <x v="0"/>
    <s v="Buffalo"/>
    <x v="703"/>
    <n v="1808795"/>
    <x v="1"/>
    <s v="Architecture"/>
    <s v="9781472447951"/>
    <s v=",1,2,3,33,34,35,31,32,29,30,27,28,34,36,33,45,46,47,43,44,48,48,66,67,68,64,65,86,87,88,84,85,189,190,191,187,188,125,126,127,123,124,154,156,152,105,106,107,103,104,66,1,66,67,68,2,64,65,267,268,269,265,266,44,45,46,82,83,84,80,81,129,130,131,127,128,132,206,207,208,204,205,24,25,26,22,23,31,32,33,29,30,186,187,188,184,185,217,218,219,215,216,250,251,252,248,249,68,69,70,71,76,77,78,74,86,190,191,192,188,189,28,29,30,26,27,110,111,112,108,109,206,207,208,204,205,200,201,202,198,199,30,26,27,73,74,75,71,72,98,100,99,96,97,115,116,117,113,114,196,197,198,194,195,199,200,201,202,203,198,311,312,313,309,310,201,202,203,199,195,196,194,193,171,172,173,169,170,291,293,292,167,168,165,166,166,1,168,167,164,165,2,124,125,126,122,123,36,37,38,34,35,118,119,120,116,117,157,158,159,155,156,290,291,292,288,289,158,160,157,161,181,182,183,179,180,112,113,114,110,111,84,86,85,82,83,160,161,162,158,159,13,14,15,11,12,207,208,209,205,206,118,119,120,116,117,113,114,115,111,112,183,184,185,181,182,22,23,24,20,21,209,210,207,211,64,65,66,62,63,61,60,25,26,27,23,24,66,67,68,64,65,69,172,173,174,170,171,63,61,236,237,238,234,235,264,265,266,262,263,247,248,249,245,246,238,239,236,240,237,59,60,61,57,58,230,231,232,228,229,239,241,238,256,257,258,254,255,59,60,61,57,58,261,259,260,230,231,232,228,229,233,259,261,233,234,235,261,264,275,276,277,273,274"/>
    <n v="211"/>
    <m/>
    <m/>
    <s v="No"/>
    <x v="0"/>
    <d v="2015-12-01T04:09:47"/>
    <n v="7"/>
    <s v="128.205.114.91"/>
    <s v="NA5870.A9 -- .S353 2014eb"/>
    <s v="726.6094961/8"/>
    <d v="2014-11-28T00:00:00"/>
  </r>
  <r>
    <x v="2487"/>
    <d v="1899-12-30T00:01:03"/>
    <x v="695"/>
    <x v="7"/>
    <s v="oneonta"/>
    <x v="731"/>
    <n v="1128491"/>
    <x v="11"/>
    <s v="Science: Biology/Natural History; Science"/>
    <s v="9780226009841"/>
    <s v=",1,2,3,3,2,1,2,2,6,7,6,7,4,5,8,5,8,9,10,5,9,2,10,1,3,4,6,7,8,5"/>
    <n v="10"/>
    <m/>
    <m/>
    <s v="No"/>
    <x v="3"/>
    <m/>
    <m/>
    <s v="137.141.13.2"/>
    <s v="QH361"/>
    <s v="576.8/2"/>
    <d v="2013-03-22T00:00:00"/>
  </r>
  <r>
    <x v="2488"/>
    <d v="1899-12-30T02:18:33"/>
    <x v="13"/>
    <x v="0"/>
    <s v="Buffalo"/>
    <x v="6"/>
    <n v="1635363"/>
    <x v="0"/>
    <s v="Law"/>
    <s v="9781118678206"/>
    <s v=",1,2,3,2,3,1,2,2,277,278,278,277,243,243,244,245,241,244,242,245,242,246,247,246,242,247,205,206,207,206,203,207,204,204,205,208,208,209,209,210,210,211,211,212,212,1,212,1,212,213,213,210,214,214,211,211,2,2,1,2,3,1,3,4,4,2,256,257,256,257,258,254,258,255,255,2,259,259,326,326,327,327,328,324,328,325,325,256,257,258,254,255"/>
    <n v="36"/>
    <m/>
    <m/>
    <s v="No"/>
    <x v="0"/>
    <d v="2015-11-29T22:32:33"/>
    <n v="7"/>
    <s v="128.205.114.91"/>
    <s v="KF285.Z9 -- H38 2014eb"/>
    <n v="340.07600000000002"/>
    <d v="2014-02-14T00:00:00"/>
  </r>
  <r>
    <x v="2489"/>
    <d v="1899-12-30T00:03:09"/>
    <x v="696"/>
    <x v="0"/>
    <s v="Buffalo"/>
    <x v="732"/>
    <n v="1909817"/>
    <x v="4"/>
    <s v="Medicine"/>
    <s v="9781462520602"/>
    <s v=",1,2,3,4,5,6,7,8,9,10,11,12,2,18,38,46,70,100,99,86,83,82,81,80,79,77,78,84,85,86"/>
    <n v="28"/>
    <m/>
    <m/>
    <s v="No"/>
    <x v="3"/>
    <m/>
    <m/>
    <s v="128.205.114.91"/>
    <s v="RC556 -- .W563 2015eb"/>
    <n v="616"/>
    <d v="2015-06-10T00:00:00"/>
  </r>
  <r>
    <x v="2490"/>
    <d v="1899-12-30T00:00:49"/>
    <x v="612"/>
    <x v="13"/>
    <s v="buffalostate"/>
    <x v="270"/>
    <n v="1637652"/>
    <x v="3"/>
    <s v="Education"/>
    <s v="9780520958449"/>
    <s v=",29,30,31,32,33,34,35"/>
    <n v="7"/>
    <m/>
    <m/>
    <s v="No"/>
    <x v="0"/>
    <d v="2015-12-03T16:46:10"/>
    <n v="7"/>
    <s v="136.183.11.43"/>
    <s v="LB2340.2 -- .B478 2014eb"/>
    <s v="378.3/62"/>
    <d v="2014-05-02T00:00:00"/>
  </r>
  <r>
    <x v="2491"/>
    <d v="1899-12-30T00:27:52"/>
    <x v="64"/>
    <x v="6"/>
    <s v="sjfc"/>
    <x v="189"/>
    <n v="1557279"/>
    <x v="0"/>
    <s v="Business/Management"/>
    <s v="9781118863664"/>
    <s v=",1,2,3,63,64,65,66,67,62,61,68,69,70,71,72,73,74,75"/>
    <n v="18"/>
    <m/>
    <m/>
    <s v="No"/>
    <x v="0"/>
    <d v="2015-11-30T19:08:57"/>
    <n v="7"/>
    <s v="149.69.254.57"/>
    <s v="HF5661 -- .W384 2014eb"/>
    <n v="657.37800000000004"/>
    <d v="2013-11-07T00:00:00"/>
  </r>
  <r>
    <x v="2492"/>
    <d v="1899-12-30T00:00:33"/>
    <x v="697"/>
    <x v="9"/>
    <s v="trocaire"/>
    <x v="557"/>
    <n v="1460958"/>
    <x v="2"/>
    <s v="Social Science"/>
    <s v="9781136660153"/>
    <s v=",1,3,2,4,5,6,7,8,9,10,11,12"/>
    <n v="12"/>
    <m/>
    <m/>
    <s v="No"/>
    <x v="3"/>
    <m/>
    <m/>
    <s v="173.225.62.67"/>
    <s v="HQ767 -- .A1858 1996eb"/>
    <s v="363.4/6"/>
    <d v="2013-10-08T00:00:00"/>
  </r>
  <r>
    <x v="2493"/>
    <d v="1899-12-30T00:42:53"/>
    <x v="612"/>
    <x v="13"/>
    <s v="buffalostate"/>
    <x v="270"/>
    <n v="1637652"/>
    <x v="3"/>
    <s v="Education"/>
    <s v="9780520958449"/>
    <s v=",1,2,3,4,5,6,7,8,9,10,11,12,13,14,15,16,17,18,19,20,21,22,23,26,27,28,24,25"/>
    <n v="28"/>
    <m/>
    <m/>
    <s v="No"/>
    <x v="1"/>
    <m/>
    <m/>
    <s v="136.183.11.43"/>
    <s v="LB2340.2 -- .B478 2014eb"/>
    <s v="378.3/62"/>
    <d v="2014-05-02T00:00:00"/>
  </r>
  <r>
    <x v="2494"/>
    <d v="1899-12-30T00:00:34"/>
    <x v="698"/>
    <x v="1"/>
    <s v="brockport"/>
    <x v="733"/>
    <n v="3570598"/>
    <x v="11"/>
    <s v="Business/Management; Economics"/>
    <s v="9780226291437"/>
    <s v=",1,156,156,158,157,158,157,155,1,154,155,2,2,153"/>
    <n v="8"/>
    <m/>
    <m/>
    <s v="No"/>
    <x v="3"/>
    <m/>
    <m/>
    <s v="137.21.7.121"/>
    <s v="HD9419.U4 -- P33 2015eb"/>
    <s v="338.7/63620831"/>
    <d v="2015-10-01T00:00:00"/>
  </r>
  <r>
    <x v="2495"/>
    <d v="1899-12-30T00:02:52"/>
    <x v="26"/>
    <x v="6"/>
    <s v="sjfc"/>
    <x v="734"/>
    <n v="1498550"/>
    <x v="0"/>
    <s v="Social Science"/>
    <s v="9780745683454"/>
    <s v=",103,104,99,98,97,99,100,98,97"/>
    <n v="6"/>
    <s v=",99"/>
    <m/>
    <s v="No"/>
    <x v="2"/>
    <d v="2015-12-03T15:41:17"/>
    <n v="1"/>
    <s v="149.69.254.57"/>
    <s v="HQ767 -- .B658 2013eb"/>
    <n v="363.46"/>
    <d v="2013-10-21T00:00:00"/>
  </r>
  <r>
    <x v="2496"/>
    <d v="1899-12-30T00:05:13"/>
    <x v="26"/>
    <x v="6"/>
    <s v="sjfc"/>
    <x v="734"/>
    <n v="1498550"/>
    <x v="0"/>
    <s v="Social Science"/>
    <s v="9780745683454"/>
    <s v=",1,2,3,168,169,170,166,167,171,172,164,165,169,170,100,101,102,98,99"/>
    <n v="17"/>
    <m/>
    <m/>
    <s v="No"/>
    <x v="3"/>
    <m/>
    <m/>
    <s v="149.69.254.57"/>
    <s v="HQ767 -- .B658 2013eb"/>
    <n v="363.46"/>
    <d v="2013-10-21T00:00:00"/>
  </r>
  <r>
    <x v="2497"/>
    <d v="1899-12-30T00:33:26"/>
    <x v="64"/>
    <x v="6"/>
    <s v="sjfc"/>
    <x v="189"/>
    <n v="1557279"/>
    <x v="0"/>
    <s v="Business/Management"/>
    <s v="9781118863664"/>
    <s v=",1,2,3,63,64,65,61,62,1,3,66,67,68,69,70,71,72,73,74,75,69,68,67,66,63,64,62,60,65,66,67,68,61,66,67,68,69,70,71,72,73,74,75,76,77,78,79,80,81,82,83,84,85,86,79,78,76,75,74,77,73,72,71,70,69,68,67,66,65,64,63,62,61"/>
    <n v="30"/>
    <s v=",63,1"/>
    <m/>
    <s v="No"/>
    <x v="0"/>
    <d v="2015-11-30T19:08:57"/>
    <n v="7"/>
    <s v="149.69.254.57"/>
    <s v="HF5661 -- .W384 2014eb"/>
    <n v="657.37800000000004"/>
    <d v="2013-11-07T00:00:00"/>
  </r>
  <r>
    <x v="2498"/>
    <d v="1899-12-30T01:01:05"/>
    <x v="699"/>
    <x v="0"/>
    <s v="Buffalo"/>
    <x v="327"/>
    <n v="1895570"/>
    <x v="0"/>
    <s v="Mathematics"/>
    <s v="9781118745229"/>
    <s v=",20,22,23,24,21,25,26,27,22,21,20,19,18,17,16,22,23,24,25,26,27,28,29,30,31"/>
    <n v="16"/>
    <m/>
    <m/>
    <s v="No"/>
    <x v="0"/>
    <d v="2015-12-03T13:35:39"/>
    <n v="7"/>
    <s v="128.205.114.91"/>
    <s v="QA280 -- .M668 2015eb"/>
    <n v="519.54999999999995"/>
    <d v="2015-03-30T00:00:00"/>
  </r>
  <r>
    <x v="2499"/>
    <d v="1899-12-30T00:00:46"/>
    <x v="699"/>
    <x v="0"/>
    <s v="Buffalo"/>
    <x v="327"/>
    <n v="1895570"/>
    <x v="0"/>
    <s v="Mathematics"/>
    <s v="9781118745229"/>
    <s v=",1,2,3,17,18,19,15,16,2,17"/>
    <n v="8"/>
    <m/>
    <m/>
    <s v="No"/>
    <x v="3"/>
    <m/>
    <m/>
    <s v="128.205.114.91"/>
    <s v="QA280 -- .M668 2015eb"/>
    <n v="519.54999999999995"/>
    <d v="2015-03-30T00:00:00"/>
  </r>
  <r>
    <x v="2500"/>
    <d v="1899-12-30T00:33:26"/>
    <x v="700"/>
    <x v="1"/>
    <s v="brockport"/>
    <x v="220"/>
    <n v="979949"/>
    <x v="14"/>
    <s v="Literature"/>
    <s v="9780786493234"/>
    <s v=",74,74,51,52,51,52,50,53,50,53,49,54,54,55,55,56,56,57,57,58,58,59,59,60,60,61,61,62,57,62,62"/>
    <n v="15"/>
    <m/>
    <m/>
    <s v="No"/>
    <x v="0"/>
    <d v="2015-12-03T13:28:11"/>
    <n v="7"/>
    <s v="137.21.7.121"/>
    <s v="PS3603.O4558 -- Z6845 2012eb"/>
    <s v="813/.6"/>
    <d v="2012-07-12T00:00:00"/>
  </r>
  <r>
    <x v="2501"/>
    <d v="1899-12-30T00:10:09"/>
    <x v="700"/>
    <x v="1"/>
    <s v="brockport"/>
    <x v="220"/>
    <n v="979949"/>
    <x v="14"/>
    <s v="Literature"/>
    <s v="9780786493234"/>
    <s v=",1,2,2,3,3,1,2,2,70,71,70,71,69,68,72,69,72,73,73"/>
    <n v="9"/>
    <m/>
    <m/>
    <s v="No"/>
    <x v="1"/>
    <m/>
    <m/>
    <s v="137.21.7.121"/>
    <s v="PS3603.O4558 -- Z6845 2012eb"/>
    <s v="813/.6"/>
    <d v="2012-07-12T00:00:00"/>
  </r>
  <r>
    <x v="2502"/>
    <d v="1899-12-30T00:01:01"/>
    <x v="678"/>
    <x v="4"/>
    <s v="monroe2boces"/>
    <x v="714"/>
    <n v="1652090"/>
    <x v="0"/>
    <s v="Language/Linguistics"/>
    <s v="9781118744819"/>
    <s v=",21,39,40"/>
    <n v="3"/>
    <s v=",19"/>
    <m/>
    <s v="No"/>
    <x v="0"/>
    <d v="2015-12-03T13:07:11"/>
    <n v="7"/>
    <s v="72.43.68.227"/>
    <s v="P120.A24  -- .Z85 2014eb"/>
    <n v="407.1"/>
    <d v="2014-03-13T00:00:00"/>
  </r>
  <r>
    <x v="2503"/>
    <d v="1899-12-30T00:03:04"/>
    <x v="678"/>
    <x v="4"/>
    <s v="monroe2boces"/>
    <x v="714"/>
    <n v="1652090"/>
    <x v="0"/>
    <s v="Language/Linguistics"/>
    <s v="9781118744819"/>
    <s v=",1,2,3,4,19,20,21,17,18,16,19"/>
    <n v="10"/>
    <m/>
    <m/>
    <s v="No"/>
    <x v="1"/>
    <m/>
    <m/>
    <s v="72.43.68.227"/>
    <s v="P120.A24  -- .Z85 2014eb"/>
    <n v="407.1"/>
    <d v="2014-03-13T00:00:00"/>
  </r>
  <r>
    <x v="2504"/>
    <d v="1899-12-30T00:00:54"/>
    <x v="687"/>
    <x v="12"/>
    <s v="potsdam"/>
    <x v="735"/>
    <n v="1395386"/>
    <x v="2"/>
    <s v="Education"/>
    <s v="9781135710484"/>
    <s v=",1,2,3,4,5,6,10,11,12,8,9,13,14"/>
    <n v="13"/>
    <m/>
    <m/>
    <s v="No"/>
    <x v="3"/>
    <m/>
    <m/>
    <s v="137.143.104.94"/>
    <n v="99166549"/>
    <n v="370.72"/>
    <d v="2002-11-01T00:00:00"/>
  </r>
  <r>
    <x v="2505"/>
    <d v="1899-12-30T00:16:15"/>
    <x v="687"/>
    <x v="12"/>
    <s v="potsdam"/>
    <x v="723"/>
    <n v="1895514"/>
    <x v="0"/>
    <s v="Engineering: Mechanical; Economics; Engineering; Environmental Studies"/>
    <s v="9781118631027"/>
    <s v=",1,2,3,4,19,20,21,17,18,16,22,23,24,27,28,29,30,26,25,31,32,33,34,35,36,37,38,39,40,41,42,43,44,45,46,47,48,49,51,52,53,266,267,268,265,264,262,263,260,261"/>
    <n v="50"/>
    <m/>
    <m/>
    <s v="No"/>
    <x v="0"/>
    <d v="2015-12-01T17:10:46"/>
    <n v="7"/>
    <s v="137.143.104.94"/>
    <s v="TJ808 -- .D844 2015eb"/>
    <n v="333.79399999999998"/>
    <d v="2015-04-16T00:00:00"/>
  </r>
  <r>
    <x v="2506"/>
    <d v="1899-12-30T00:00:05"/>
    <x v="687"/>
    <x v="12"/>
    <s v="potsdam"/>
    <x v="723"/>
    <n v="1895514"/>
    <x v="0"/>
    <s v="Engineering: Mechanical; Economics; Engineering; Environmental Studies"/>
    <s v="9781118631027"/>
    <s v=",1,2,3"/>
    <n v="3"/>
    <m/>
    <m/>
    <s v="No"/>
    <x v="0"/>
    <d v="2015-12-01T17:10:46"/>
    <n v="7"/>
    <s v="137.143.104.94"/>
    <s v="TJ808 -- .D844 2015eb"/>
    <n v="333.79399999999998"/>
    <d v="2015-04-16T00:00:00"/>
  </r>
  <r>
    <x v="2507"/>
    <d v="1899-12-30T00:00:03"/>
    <x v="13"/>
    <x v="0"/>
    <s v="Buffalo"/>
    <x v="517"/>
    <n v="1645679"/>
    <x v="1"/>
    <s v="Social Science; Medicine"/>
    <s v="9781472413079"/>
    <s v=",1,2,3"/>
    <n v="3"/>
    <m/>
    <m/>
    <s v="No"/>
    <x v="1"/>
    <m/>
    <m/>
    <s v="128.205.114.91"/>
    <s v="RC569.5.B65 -- K97 2014eb"/>
    <s v="306.4/613"/>
    <d v="2014-03-28T00:00:00"/>
  </r>
  <r>
    <x v="2508"/>
    <d v="1899-12-30T00:00:08"/>
    <x v="701"/>
    <x v="1"/>
    <s v="brockport"/>
    <x v="232"/>
    <n v="822111"/>
    <x v="0"/>
    <s v="Social Science"/>
    <s v="9781444356922"/>
    <s v=",16,12,10,14,15,13"/>
    <n v="6"/>
    <m/>
    <m/>
    <s v="No"/>
    <x v="0"/>
    <d v="2015-12-03T05:00:47"/>
    <n v="7"/>
    <s v="137.21.7.121"/>
    <s v="HV6773 -- .K69 2012eb"/>
    <s v="302.34/3"/>
    <d v="2012-02-16T00:00:00"/>
  </r>
  <r>
    <x v="2509"/>
    <d v="1899-12-30T00:00:29"/>
    <x v="701"/>
    <x v="1"/>
    <s v="brockport"/>
    <x v="736"/>
    <n v="1583324"/>
    <x v="2"/>
    <s v="Social Science"/>
    <s v="9781317836841"/>
    <s v=",12,1,13,14,10,11,17,27,22,23,24,20,21,2"/>
    <n v="14"/>
    <m/>
    <m/>
    <s v="No"/>
    <x v="3"/>
    <m/>
    <m/>
    <s v="137.21.7.121"/>
    <s v="HV6773.15.C92 C923 2013"/>
    <m/>
    <d v="2013-12-19T00:00:00"/>
  </r>
  <r>
    <x v="2510"/>
    <d v="1899-12-30T00:16:14"/>
    <x v="701"/>
    <x v="1"/>
    <s v="brockport"/>
    <x v="232"/>
    <n v="822111"/>
    <x v="0"/>
    <s v="Social Science"/>
    <s v="9781444356922"/>
    <s v=",1,5,6,3,7,2"/>
    <n v="6"/>
    <m/>
    <m/>
    <s v="No"/>
    <x v="1"/>
    <m/>
    <m/>
    <s v="137.21.7.121"/>
    <s v="HV6773 -- .K69 2012eb"/>
    <s v="302.34/3"/>
    <d v="2012-02-16T00:00:00"/>
  </r>
  <r>
    <x v="2511"/>
    <d v="1899-12-30T00:00:44"/>
    <x v="695"/>
    <x v="7"/>
    <s v="oneonta"/>
    <x v="737"/>
    <n v="1809667"/>
    <x v="11"/>
    <s v="Science; Science: Botany"/>
    <s v="9780226173641"/>
    <s v=",1,2,3,4,5,6,7,8,9,10,11"/>
    <n v="11"/>
    <m/>
    <m/>
    <s v="No"/>
    <x v="3"/>
    <m/>
    <m/>
    <s v="137.141.13.2"/>
    <s v="QK495"/>
    <s v="584/.4"/>
    <d v="2014-11-05T00:00:00"/>
  </r>
  <r>
    <x v="2512"/>
    <d v="1899-12-30T00:00:04"/>
    <x v="13"/>
    <x v="0"/>
    <s v="Buffalo"/>
    <x v="509"/>
    <n v="1115640"/>
    <x v="0"/>
    <s v="Engineering: Civil; Engineering: Construction; Engineering"/>
    <s v="9781118419090"/>
    <s v=",1,2,3"/>
    <n v="3"/>
    <m/>
    <m/>
    <s v="No"/>
    <x v="1"/>
    <m/>
    <m/>
    <s v="128.205.114.91"/>
    <s v="TH375 -- .S77 2013eb"/>
    <n v="624"/>
    <d v="2013-01-22T00:00:00"/>
  </r>
  <r>
    <x v="2513"/>
    <d v="1899-12-30T00:30:58"/>
    <x v="698"/>
    <x v="1"/>
    <s v="brockport"/>
    <x v="738"/>
    <n v="4037232"/>
    <x v="0"/>
    <s v="Social Science"/>
    <s v="9781118650011"/>
    <s v=",267,268,269,265,266,270,279,280,281,277,278,323,324,325,321,322,372,373,374,371,375"/>
    <n v="21"/>
    <m/>
    <m/>
    <s v="No"/>
    <x v="2"/>
    <d v="2015-12-03T02:36:44"/>
    <n v="1"/>
    <s v="137.21.7.121"/>
    <m/>
    <n v="363.19"/>
    <d v="2014-11-19T00:00:00"/>
  </r>
  <r>
    <x v="2514"/>
    <d v="1899-12-30T00:01:11"/>
    <x v="702"/>
    <x v="1"/>
    <s v="brockport"/>
    <x v="739"/>
    <n v="2110627"/>
    <x v="1"/>
    <s v="History; Social Science"/>
    <s v="9781472436481"/>
    <s v=",1,2,3,113,114,115,111,112,116,117,120,121,122,123,119,124,125,126,127,128"/>
    <n v="20"/>
    <m/>
    <m/>
    <s v="No"/>
    <x v="1"/>
    <m/>
    <m/>
    <s v="137.21.7.121"/>
    <s v="DT655 .P38 2015"/>
    <s v="361.7/309675109041; 361.7''309675109041"/>
    <d v="2015-09-28T00:00:00"/>
  </r>
  <r>
    <x v="2515"/>
    <d v="1899-12-30T01:12:19"/>
    <x v="13"/>
    <x v="0"/>
    <s v="Buffalo"/>
    <x v="6"/>
    <n v="1635363"/>
    <x v="0"/>
    <s v="Law"/>
    <s v="9781118678206"/>
    <s v=",1,2,3,256,258,243,244,245,241,242,205,206,207,203,204,208,209,210,211,212,213,214,215,250,252,251,248,249,253,246,247,245,244,243,230,231,232,228,229,256,257,258,254,255"/>
    <n v="39"/>
    <m/>
    <m/>
    <s v="No"/>
    <x v="0"/>
    <d v="2015-11-29T22:32:33"/>
    <n v="7"/>
    <s v="128.205.114.91"/>
    <s v="KF285.Z9 -- H38 2014eb"/>
    <n v="340.07600000000002"/>
    <d v="2014-02-14T00:00:00"/>
  </r>
  <r>
    <x v="2516"/>
    <d v="1899-12-30T00:06:53"/>
    <x v="703"/>
    <x v="0"/>
    <s v="Buffalo"/>
    <x v="111"/>
    <n v="1166322"/>
    <x v="0"/>
    <s v="Architecture"/>
    <s v="9781118418512"/>
    <s v=",1,2,3,339,340,341,337,338,342,343,344,345,346,347,348,349,350,351,352,353"/>
    <n v="20"/>
    <m/>
    <m/>
    <s v="No"/>
    <x v="0"/>
    <d v="2015-12-02T23:50:53"/>
    <n v="7"/>
    <s v="128.205.114.91"/>
    <s v="NA2000 -- .G76 2013eb"/>
    <n v="720.072"/>
    <d v="2013-04-03T00:00:00"/>
  </r>
  <r>
    <x v="2517"/>
    <d v="1899-12-30T00:00:11"/>
    <x v="569"/>
    <x v="13"/>
    <s v="buffalostate"/>
    <x v="600"/>
    <n v="867075"/>
    <x v="14"/>
    <s v="Fine Arts; Literature"/>
    <s v="9780786489473"/>
    <s v=",4,5,6,14,15,16,12,13"/>
    <n v="8"/>
    <m/>
    <m/>
    <s v="No"/>
    <x v="0"/>
    <d v="2015-12-03T00:54:52"/>
    <n v="7"/>
    <s v="136.183.11.43"/>
    <s v="PN6725 -- .C633 2012eb"/>
    <s v="741.5/30973"/>
    <d v="2012-02-08T00:00:00"/>
  </r>
  <r>
    <x v="2518"/>
    <d v="1899-12-30T00:23:34"/>
    <x v="13"/>
    <x v="0"/>
    <s v="Buffalo"/>
    <x v="6"/>
    <n v="1635363"/>
    <x v="0"/>
    <s v="Law"/>
    <s v="9781118678206"/>
    <s v=",1,2,3,186,187,188,184,185,189,190,191,192,193,194,195,196,250,251,252,248,249"/>
    <n v="21"/>
    <m/>
    <m/>
    <s v="No"/>
    <x v="0"/>
    <d v="2015-11-29T22:32:33"/>
    <n v="7"/>
    <s v="128.205.114.91"/>
    <s v="KF285.Z9 -- H38 2014eb"/>
    <n v="340.07600000000002"/>
    <d v="2014-02-14T00:00:00"/>
  </r>
  <r>
    <x v="2519"/>
    <d v="1899-12-30T01:56:19"/>
    <x v="698"/>
    <x v="1"/>
    <s v="brockport"/>
    <x v="738"/>
    <n v="4037232"/>
    <x v="0"/>
    <s v="Social Science"/>
    <s v="9781118650011"/>
    <s v=",1,132,133,134,130,131,2,225,226,227,223,224"/>
    <n v="12"/>
    <m/>
    <m/>
    <s v="No"/>
    <x v="3"/>
    <m/>
    <m/>
    <s v="137.21.7.121"/>
    <m/>
    <n v="363.19"/>
    <d v="2014-11-19T00:00:00"/>
  </r>
  <r>
    <x v="2520"/>
    <d v="1899-12-30T00:01:15"/>
    <x v="704"/>
    <x v="1"/>
    <s v="brockport"/>
    <x v="202"/>
    <n v="915727"/>
    <x v="0"/>
    <s v="Medicine"/>
    <s v="9781118316764"/>
    <s v=",112,113,114,115"/>
    <n v="4"/>
    <m/>
    <m/>
    <s v="No"/>
    <x v="0"/>
    <d v="2015-12-03T00:36:03"/>
    <n v="7"/>
    <s v="137.21.7.121"/>
    <s v="RC531 -- .C42 2013eb"/>
    <s v="616.85/22"/>
    <d v="2013-03-04T00:00:00"/>
  </r>
  <r>
    <x v="2521"/>
    <d v="1899-12-30T00:05:57"/>
    <x v="704"/>
    <x v="1"/>
    <s v="brockport"/>
    <x v="202"/>
    <n v="915727"/>
    <x v="0"/>
    <s v="Medicine"/>
    <s v="9781118316764"/>
    <s v=",1,2,3,4,109,110,111,107,108"/>
    <n v="9"/>
    <m/>
    <m/>
    <s v="No"/>
    <x v="3"/>
    <m/>
    <m/>
    <s v="137.21.7.121"/>
    <s v="RC531 -- .C42 2013eb"/>
    <s v="616.85/22"/>
    <d v="2013-03-04T00:00:00"/>
  </r>
  <r>
    <x v="2522"/>
    <d v="1899-12-30T02:00:55"/>
    <x v="705"/>
    <x v="13"/>
    <s v="buffalostate"/>
    <x v="516"/>
    <n v="1840835"/>
    <x v="0"/>
    <s v="Business/Management; Economics"/>
    <s v="9781118950166"/>
    <s v=",244,245,246,242,243,247,248,249,250,238,239,240,241,251,252,253,254,255,256,257,258,259,261,262,263,260,264,265,266,267,268,269,270,271"/>
    <n v="34"/>
    <m/>
    <m/>
    <s v="No"/>
    <x v="0"/>
    <d v="2015-12-03T00:08:26"/>
    <n v="7"/>
    <s v="136.183.11.43"/>
    <s v="HD9969.S6 .R384 2014"/>
    <n v="338.10923789999998"/>
    <d v="2014-11-10T00:00:00"/>
  </r>
  <r>
    <x v="2523"/>
    <d v="1899-12-30T00:09:22"/>
    <x v="705"/>
    <x v="13"/>
    <s v="buffalostate"/>
    <x v="516"/>
    <n v="1840835"/>
    <x v="0"/>
    <s v="Business/Management; Economics"/>
    <s v="9781118950166"/>
    <s v=",1,2,3,235,236,237,233,234"/>
    <n v="8"/>
    <m/>
    <m/>
    <s v="No"/>
    <x v="1"/>
    <m/>
    <m/>
    <s v="136.183.11.43"/>
    <s v="HD9969.S6 .R384 2014"/>
    <n v="338.10923789999998"/>
    <d v="2014-11-10T00:00:00"/>
  </r>
  <r>
    <x v="2524"/>
    <d v="1899-12-30T00:01:24"/>
    <x v="706"/>
    <x v="1"/>
    <s v="brockport"/>
    <x v="740"/>
    <n v="1356364"/>
    <x v="2"/>
    <s v="Political Science"/>
    <s v="9781135047757"/>
    <s v=",1,2,3,5,13,11,10,12,14,15,24,25,26,27,23,22,36,37,38,34,35,39,40,41,42"/>
    <n v="25"/>
    <m/>
    <m/>
    <s v="No"/>
    <x v="2"/>
    <d v="2015-12-02T23:55:56"/>
    <n v="1"/>
    <s v="137.21.7.121"/>
    <s v="JQ2951.A56 -- C675 2013eb"/>
    <n v="353.4609676"/>
    <d v="2013-08-21T00:00:00"/>
  </r>
  <r>
    <x v="2525"/>
    <d v="1899-12-30T00:00:00"/>
    <x v="706"/>
    <x v="1"/>
    <s v="brockport"/>
    <x v="740"/>
    <n v="1356364"/>
    <x v="2"/>
    <s v="Political Science"/>
    <s v="9781135047757"/>
    <m/>
    <n v="0"/>
    <m/>
    <m/>
    <s v="Yes"/>
    <x v="2"/>
    <d v="2015-12-02T23:55:56"/>
    <n v="1"/>
    <s v="137.21.7.121"/>
    <s v="JQ2951.A56 -- C675 2013eb"/>
    <n v="353.4609676"/>
    <d v="2013-08-21T00:00:00"/>
  </r>
  <r>
    <x v="2525"/>
    <d v="1899-12-30T00:00:00"/>
    <x v="706"/>
    <x v="1"/>
    <s v="brockport"/>
    <x v="740"/>
    <n v="1356364"/>
    <x v="2"/>
    <s v="Political Science"/>
    <s v="9781135047757"/>
    <m/>
    <n v="0"/>
    <m/>
    <m/>
    <s v="No"/>
    <x v="2"/>
    <d v="2015-12-02T23:55:56"/>
    <n v="1"/>
    <s v="137.21.7.121"/>
    <s v="JQ2951.A56 -- C675 2013eb"/>
    <n v="353.4609676"/>
    <d v="2013-08-21T00:00:00"/>
  </r>
  <r>
    <x v="2526"/>
    <d v="1899-12-30T00:57:06"/>
    <x v="653"/>
    <x v="0"/>
    <s v="Buffalo"/>
    <x v="111"/>
    <n v="1166322"/>
    <x v="0"/>
    <s v="Architecture"/>
    <s v="9781118418512"/>
    <s v=",284,286,285,282,283,287,288,289,290,291,292,293,294,295,296,294,295,296,292,293,297,298,299,300,301,391,392,393,389,390,453,454,455,451,452,450,400,401,402,398,399,287,288,289,285,286,290,291,284,283,282,281,280,279,278,277,284,301,302,303"/>
    <n v="43"/>
    <m/>
    <m/>
    <s v="No"/>
    <x v="0"/>
    <d v="2015-12-02T23:55:28"/>
    <n v="7"/>
    <s v="128.205.114.91"/>
    <s v="NA2000 -- .G76 2013eb"/>
    <n v="720.072"/>
    <d v="2013-04-03T00:00:00"/>
  </r>
  <r>
    <x v="2527"/>
    <d v="1899-12-30T00:00:03"/>
    <x v="569"/>
    <x v="13"/>
    <s v="buffalostate"/>
    <x v="600"/>
    <n v="867075"/>
    <x v="14"/>
    <s v="Fine Arts; Literature"/>
    <s v="9780786489473"/>
    <s v=",1,2,3"/>
    <n v="3"/>
    <m/>
    <m/>
    <s v="No"/>
    <x v="1"/>
    <m/>
    <m/>
    <s v="136.183.11.43"/>
    <s v="PN6725 -- .C633 2012eb"/>
    <s v="741.5/30973"/>
    <d v="2012-02-08T00:00:00"/>
  </r>
  <r>
    <x v="2528"/>
    <d v="1899-12-30T00:02:33"/>
    <x v="569"/>
    <x v="13"/>
    <s v="buffalostate"/>
    <x v="603"/>
    <n v="1710985"/>
    <x v="3"/>
    <s v="Literature; Fine Arts"/>
    <s v="9780520960022"/>
    <s v=",1,2,3,1,2,3"/>
    <n v="3"/>
    <m/>
    <m/>
    <s v="No"/>
    <x v="3"/>
    <m/>
    <m/>
    <s v="136.183.11.43"/>
    <s v="PN6725 -- .B37225 2015eb"/>
    <n v="741.59"/>
    <d v="2014-11-27T00:00:00"/>
  </r>
  <r>
    <x v="2529"/>
    <d v="1899-12-30T01:00:16"/>
    <x v="569"/>
    <x v="13"/>
    <s v="buffalostate"/>
    <x v="600"/>
    <n v="867075"/>
    <x v="14"/>
    <s v="Fine Arts; Literature"/>
    <s v="9780786489473"/>
    <s v=",1,2,3,1,2,3"/>
    <n v="3"/>
    <m/>
    <m/>
    <s v="No"/>
    <x v="1"/>
    <m/>
    <m/>
    <s v="136.183.11.43"/>
    <s v="PN6725 -- .C633 2012eb"/>
    <s v="741.5/30973"/>
    <d v="2012-02-08T00:00:00"/>
  </r>
  <r>
    <x v="2530"/>
    <d v="1899-12-30T00:01:29"/>
    <x v="706"/>
    <x v="1"/>
    <s v="brockport"/>
    <x v="740"/>
    <n v="1356364"/>
    <x v="2"/>
    <s v="Political Science"/>
    <s v="9781135047757"/>
    <s v=",1,2,3,27,28,24,25"/>
    <n v="7"/>
    <m/>
    <m/>
    <s v="No"/>
    <x v="3"/>
    <m/>
    <m/>
    <s v="137.21.7.121"/>
    <s v="JQ2951.A56 -- C675 2013eb"/>
    <n v="353.4609676"/>
    <d v="2013-08-21T00:00:00"/>
  </r>
  <r>
    <x v="2531"/>
    <d v="1899-12-30T00:00:48"/>
    <x v="705"/>
    <x v="13"/>
    <s v="buffalostate"/>
    <x v="516"/>
    <n v="1840835"/>
    <x v="0"/>
    <s v="Business/Management; Economics"/>
    <s v="9781118950166"/>
    <s v=",1,2,3,235,236,244,245,246,242,243,247,241,240,239,238,237,233,234"/>
    <n v="18"/>
    <m/>
    <m/>
    <s v="No"/>
    <x v="1"/>
    <m/>
    <m/>
    <s v="136.183.11.43"/>
    <s v="HD9969.S6 .R384 2014"/>
    <n v="338.10923789999998"/>
    <d v="2014-11-10T00:00:00"/>
  </r>
  <r>
    <x v="2532"/>
    <d v="1899-12-30T00:00:26"/>
    <x v="703"/>
    <x v="0"/>
    <s v="Buffalo"/>
    <x v="111"/>
    <n v="1166322"/>
    <x v="0"/>
    <s v="Architecture"/>
    <s v="9781118418512"/>
    <s v=",337,339,340,341,338,342,343,344,345,348,349,350,346,352,353,354,351"/>
    <n v="17"/>
    <m/>
    <m/>
    <s v="No"/>
    <x v="0"/>
    <d v="2015-12-02T23:50:53"/>
    <n v="7"/>
    <s v="128.205.114.91"/>
    <s v="NA2000 -- .G76 2013eb"/>
    <n v="720.072"/>
    <d v="2013-04-03T00:00:00"/>
  </r>
  <r>
    <x v="2533"/>
    <d v="1899-12-30T00:10:08"/>
    <x v="653"/>
    <x v="0"/>
    <s v="Buffalo"/>
    <x v="111"/>
    <n v="1166322"/>
    <x v="0"/>
    <s v="Architecture"/>
    <s v="9781118418512"/>
    <s v=",1,2,3,301,302,303,299,300"/>
    <n v="8"/>
    <m/>
    <m/>
    <s v="No"/>
    <x v="1"/>
    <m/>
    <m/>
    <s v="128.205.114.91"/>
    <s v="NA2000 -- .G76 2013eb"/>
    <n v="720.072"/>
    <d v="2013-04-03T00:00:00"/>
  </r>
  <r>
    <x v="2534"/>
    <d v="1899-12-30T00:01:28"/>
    <x v="707"/>
    <x v="12"/>
    <s v="potsdam"/>
    <x v="741"/>
    <n v="1926644"/>
    <x v="0"/>
    <s v="Social Science"/>
    <s v="9781118611203"/>
    <s v=",1,2,3,4,7,5,9,11,15,16,17,18,14,63,64,65,62,61,60,66,67,68"/>
    <n v="22"/>
    <m/>
    <m/>
    <s v="No"/>
    <x v="1"/>
    <m/>
    <m/>
    <s v="137.143.104.94"/>
    <s v="HQ21 -- .S327 2015eb"/>
    <n v="306.7"/>
    <d v="2015-01-20T00:00:00"/>
  </r>
  <r>
    <x v="2535"/>
    <d v="1899-12-30T01:29:28"/>
    <x v="708"/>
    <x v="1"/>
    <s v="brockport"/>
    <x v="742"/>
    <n v="1365057"/>
    <x v="0"/>
    <s v="Religion"/>
    <s v="9781118724996"/>
    <s v=",1,42,44,43,40,41,45,48,51,53,54,55,46,47,2,67,68,69,65,66,70,71,126,127,128,124,125,129,130,272,274,273,270,271,71,72,73,69,70,74,75,76,77,78"/>
    <n v="41"/>
    <m/>
    <m/>
    <s v="No"/>
    <x v="0"/>
    <d v="2015-12-02T23:42:27"/>
    <n v="7"/>
    <s v="137.21.7.121"/>
    <s v="BL782 -- .B87 1985eb"/>
    <n v="292.08"/>
    <d v="2013-06-06T00:00:00"/>
  </r>
  <r>
    <x v="2536"/>
    <d v="1899-12-30T00:11:11"/>
    <x v="703"/>
    <x v="0"/>
    <s v="Buffalo"/>
    <x v="111"/>
    <n v="1166322"/>
    <x v="0"/>
    <s v="Architecture"/>
    <s v="9781118418512"/>
    <s v=",1,2,3,4,185,186,187,183,184,182,325,326,327,323,324,328,329,334,335,336,332,333"/>
    <n v="22"/>
    <m/>
    <m/>
    <s v="No"/>
    <x v="1"/>
    <m/>
    <m/>
    <s v="128.205.114.91"/>
    <s v="NA2000 -- .G76 2013eb"/>
    <n v="720.072"/>
    <d v="2013-04-03T00:00:00"/>
  </r>
  <r>
    <x v="2537"/>
    <d v="1899-12-30T01:27:24"/>
    <x v="708"/>
    <x v="1"/>
    <s v="brockport"/>
    <x v="743"/>
    <n v="1144625"/>
    <x v="2"/>
    <s v="Religion"/>
    <s v="9781135143657"/>
    <s v=",61,62,63,64,66,67,121,122,123,119,120,124,125,126,127,128,129,130"/>
    <n v="18"/>
    <m/>
    <m/>
    <s v="No"/>
    <x v="2"/>
    <d v="2015-12-02T23:37:03"/>
    <n v="1"/>
    <s v="137.21.7.121"/>
    <s v="BL795.I55 -- I55 2003eb"/>
    <n v="292.38"/>
    <d v="2013-09-05T00:00:00"/>
  </r>
  <r>
    <x v="2538"/>
    <d v="1899-12-30T00:05:02"/>
    <x v="708"/>
    <x v="1"/>
    <s v="brockport"/>
    <x v="743"/>
    <n v="1144625"/>
    <x v="2"/>
    <s v="Religion"/>
    <s v="9781135143657"/>
    <s v=",2,1,3,57,58,59,55,56,60"/>
    <n v="9"/>
    <m/>
    <m/>
    <s v="No"/>
    <x v="3"/>
    <m/>
    <m/>
    <s v="137.21.7.121"/>
    <s v="BL795.I55 -- I55 2003eb"/>
    <n v="292.38"/>
    <d v="2013-09-05T00:00:00"/>
  </r>
  <r>
    <x v="2539"/>
    <d v="1899-12-30T00:44:19"/>
    <x v="708"/>
    <x v="1"/>
    <s v="brockport"/>
    <x v="742"/>
    <n v="1365057"/>
    <x v="0"/>
    <s v="Religion"/>
    <s v="9781118724996"/>
    <s v=",1,2,3,36,37,38,34,35,39,43,44,45,41,42"/>
    <n v="14"/>
    <m/>
    <m/>
    <s v="No"/>
    <x v="1"/>
    <m/>
    <m/>
    <s v="137.21.7.121"/>
    <s v="BL782 -- .B87 1985eb"/>
    <n v="292.08"/>
    <d v="2013-06-06T00:00:00"/>
  </r>
  <r>
    <x v="2540"/>
    <d v="1899-12-30T00:00:22"/>
    <x v="592"/>
    <x v="1"/>
    <s v="brockport"/>
    <x v="625"/>
    <n v="836167"/>
    <x v="6"/>
    <s v="Science: Physics; Environmental Studies; Science"/>
    <s v="9781438139487"/>
    <s v=",1,2,3,36,37,38,34,35"/>
    <n v="8"/>
    <m/>
    <m/>
    <s v="No"/>
    <x v="0"/>
    <d v="2015-11-27T20:30:41"/>
    <n v="7"/>
    <s v="137.21.7.121"/>
    <s v="QC981.8.G56 -- T66 2012eb"/>
    <s v="363.738/74"/>
    <d v="2011-11-01T00:00:00"/>
  </r>
  <r>
    <x v="2541"/>
    <d v="1899-12-30T02:31:06"/>
    <x v="700"/>
    <x v="1"/>
    <s v="brockport"/>
    <x v="207"/>
    <n v="979950"/>
    <x v="14"/>
    <s v="Literature"/>
    <s v="9781476600321"/>
    <s v=",124,124,125,125,126,126,127,127,228,229,228,230,226,227,229,230,227,231,231,238,239,238,240,239,236,240,237,237,219,220,219,216,220,217,218,217,218,221,221,222,222,223,223,58,59,60,57,56,61,48,49,50,46,47,51,52,208,209,206,210,207,211,212,213,214,215,216,217,218,219,137,138,139,135,136,140,157,158,159,155,156,160,161,199,200,201,197,198,202,238,239,240,236,237,176,177,178,174,175,179,180"/>
    <n v="72"/>
    <m/>
    <m/>
    <s v="No"/>
    <x v="0"/>
    <d v="2015-12-02T22:08:18"/>
    <n v="7"/>
    <s v="137.21.7.121"/>
    <s v="PS3603.O4558 -- Z84 2012eb"/>
    <s v="813/.6"/>
    <d v="2012-07-10T00:00:00"/>
  </r>
  <r>
    <x v="2542"/>
    <d v="1899-12-30T00:10:42"/>
    <x v="700"/>
    <x v="1"/>
    <s v="brockport"/>
    <x v="207"/>
    <n v="979950"/>
    <x v="14"/>
    <s v="Literature"/>
    <s v="9781476600321"/>
    <s v=",1,2,3,2,3,1,2,2,89,90,89,91,90,87,91,88,88,92,92,93,93,117,117,118,115,119,118,116,119,116,120,120,121,121,122,122,123,123"/>
    <n v="19"/>
    <m/>
    <m/>
    <s v="No"/>
    <x v="1"/>
    <m/>
    <m/>
    <s v="137.21.7.121"/>
    <s v="PS3603.O4558 -- Z84 2012eb"/>
    <s v="813/.6"/>
    <d v="2012-07-10T00:00:00"/>
  </r>
  <r>
    <x v="2543"/>
    <d v="1899-12-30T00:00:04"/>
    <x v="708"/>
    <x v="1"/>
    <s v="brockport"/>
    <x v="743"/>
    <n v="1144625"/>
    <x v="2"/>
    <s v="Religion"/>
    <s v="9781135143657"/>
    <s v=",1,2,3"/>
    <n v="3"/>
    <m/>
    <m/>
    <s v="No"/>
    <x v="3"/>
    <m/>
    <m/>
    <s v="137.21.7.121"/>
    <s v="BL795.I55 -- I55 2003eb"/>
    <n v="292.38"/>
    <d v="2013-09-05T00:00:00"/>
  </r>
  <r>
    <x v="2544"/>
    <d v="1899-12-30T00:00:00"/>
    <x v="353"/>
    <x v="1"/>
    <s v="brockport"/>
    <x v="744"/>
    <n v="1487145"/>
    <x v="2"/>
    <s v="Fine Arts"/>
    <s v="9781136485008"/>
    <s v=",2"/>
    <n v="1"/>
    <m/>
    <s v=",14,15,16,17,18,19,20,21,22"/>
    <s v="No"/>
    <x v="2"/>
    <d v="2015-12-02T20:54:27"/>
    <n v="1"/>
    <s v="137.21.7.121"/>
    <n v="2003013057"/>
    <n v="792.80899999999997"/>
    <d v="2003-12-25T00:00:00"/>
  </r>
  <r>
    <x v="2545"/>
    <d v="1899-12-30T00:00:21"/>
    <x v="353"/>
    <x v="1"/>
    <s v="brockport"/>
    <x v="744"/>
    <n v="1487145"/>
    <x v="2"/>
    <s v="Fine Arts"/>
    <s v="9781136485008"/>
    <s v=",1,2,3,3,2,1,14,15,14,15,12,13,13"/>
    <n v="7"/>
    <m/>
    <m/>
    <s v="No"/>
    <x v="3"/>
    <m/>
    <m/>
    <s v="137.21.7.121"/>
    <n v="2003013057"/>
    <n v="792.80899999999997"/>
    <d v="2003-12-25T00:00:00"/>
  </r>
  <r>
    <x v="2546"/>
    <d v="1899-12-30T00:01:30"/>
    <x v="397"/>
    <x v="0"/>
    <s v="Buffalo"/>
    <x v="424"/>
    <n v="817977"/>
    <x v="0"/>
    <s v="Computer Science/IT; Sport &amp; Recreation"/>
    <s v="9781118222188"/>
    <s v=",1,2,3,4,5,6,15,16,17,13,14,18,19,20,21,22,23,24,2,19,25,26"/>
    <n v="20"/>
    <m/>
    <m/>
    <s v="No"/>
    <x v="1"/>
    <m/>
    <m/>
    <s v="128.205.114.91"/>
    <s v="QA76.76.C672 -- J36 2013eb"/>
    <s v="794.81526; 794.815268"/>
    <d v="2012-11-26T00:00:00"/>
  </r>
  <r>
    <x v="2547"/>
    <d v="1899-12-30T01:04:57"/>
    <x v="709"/>
    <x v="13"/>
    <s v="buffalostate"/>
    <x v="516"/>
    <n v="1840835"/>
    <x v="0"/>
    <s v="Business/Management; Economics"/>
    <s v="9781118950166"/>
    <s v=",260,261,260,261,258,262,259,262,259,263,263,264,264,249,249,251,250,247,250,248,251,248,252,252,253,253,254,254,255,255,250,255,256,256,257,257,258,259,260,261,262,263,264,265,265,260,265,266,266,266,267,267,268,268,269,269,270,270,271,271,272,272,273,273,274,274,275,275,276,276,260,261,262,258,259,267,268,269,265,266,264,238,239,238,239,240,237,240,236,237,241,241,242,242,243,244,243,244,245,246,245,247,246,248,249,250,251,252,253,254,255,256,257,258,259,260,261,262,263,263,264,265,266,267,268,269,270,271,272,273,273,274,275,276,277,277,272,271,270,269,268,273,274,275,276,277,278,278,345,346,345,346,344,347,344,347,271,272,273,269,270,274,275,276,277,272,271,270"/>
    <n v="47"/>
    <m/>
    <m/>
    <s v="No"/>
    <x v="0"/>
    <d v="2015-12-02T20:31:14"/>
    <n v="7"/>
    <s v="136.183.11.43"/>
    <s v="HD9969.S6 .R384 2014"/>
    <n v="338.10923789999998"/>
    <d v="2014-11-10T00:00:00"/>
  </r>
  <r>
    <x v="2548"/>
    <d v="1899-12-30T00:02:32"/>
    <x v="710"/>
    <x v="7"/>
    <s v="oneonta"/>
    <x v="280"/>
    <n v="1887116"/>
    <x v="0"/>
    <s v="Fine Arts"/>
    <s v="9781118885413"/>
    <s v=",1,2,3,404,405,406,402,403,407"/>
    <n v="9"/>
    <m/>
    <m/>
    <s v="No"/>
    <x v="3"/>
    <m/>
    <m/>
    <s v="137.141.13.2"/>
    <s v="N5740 -- .T83 2015eb"/>
    <n v="709.37"/>
    <d v="2014-12-04T00:00:00"/>
  </r>
  <r>
    <x v="2549"/>
    <d v="1899-12-30T02:13:40"/>
    <x v="711"/>
    <x v="13"/>
    <s v="buffalostate"/>
    <x v="516"/>
    <n v="1840835"/>
    <x v="0"/>
    <s v="Business/Management; Economics"/>
    <s v="9781118950166"/>
    <s v=",1,2,3,267,268,269,265,266,264,263,261,262,260,258,259,265,266,267,268,269,270,271,272,273,267,262,260,258,257,259,256,261,263,264,267,260,257,256,254,255,253,251,252,250,249,247,248,261,259,264,265,266,267,268,269,264,269,263,269,262,263,264,260,261,267,269,259,265,266,267,249,250,251,247,248,252,257,258,255,259,256,254,260,261,262,263,264,265,266,267,257,258,259,255,256,251,252,253,249,250,258,260,257,267,268,269,265,266,270,271,264,265,262,263,261,260,265,266,267,268,269,270,271,266,265,264,263,262,261,260,259,264,265,266,267,268,269,270,271,272,273,274,275,276,277,271,271,270,269,268,267,266,265,264,263,262,261,276,277,269,267,266,268,264,265,263,262,261,260,259,269,270,271,272,358,360,357,359,355,356,330,332,331,328,329,264,265,266,262,263,267,278,279,280,277,276,281,275,274,273,278,279,280,281,282,283,284,285,286,287,288,289,290,291,292,293,294,296,295,297,299,300,301,302,298,303,304,305,306,298,296,293,290,288,285,284,283,281,282,286,278,275,272,270,269,268,266,267,271,272,273,274,275,276,277,271,270,269,268,273,274"/>
    <n v="74"/>
    <m/>
    <m/>
    <s v="No"/>
    <x v="0"/>
    <d v="2015-12-01T20:17:46"/>
    <n v="7"/>
    <s v="136.183.11.43"/>
    <s v="HD9969.S6 .R384 2014"/>
    <n v="338.10923789999998"/>
    <d v="2014-11-10T00:00:00"/>
  </r>
  <r>
    <x v="2550"/>
    <d v="1899-12-30T00:56:06"/>
    <x v="592"/>
    <x v="1"/>
    <s v="brockport"/>
    <x v="625"/>
    <n v="836167"/>
    <x v="6"/>
    <s v="Science: Physics; Environmental Studies; Science"/>
    <s v="9781438139487"/>
    <s v=",1,2,3,36,37,38,35,34,39,40,41,42,35,41,42,43"/>
    <n v="13"/>
    <m/>
    <m/>
    <s v="No"/>
    <x v="0"/>
    <d v="2015-11-27T20:30:41"/>
    <n v="7"/>
    <s v="137.21.7.121"/>
    <s v="QC981.8.G56 -- T66 2012eb"/>
    <s v="363.738/74"/>
    <d v="2011-11-01T00:00:00"/>
  </r>
  <r>
    <x v="2551"/>
    <d v="1899-12-30T00:00:40"/>
    <x v="331"/>
    <x v="4"/>
    <s v="monroe2boces"/>
    <x v="118"/>
    <n v="1809742"/>
    <x v="0"/>
    <s v="Sport &amp; Recreation"/>
    <s v="9781118968291"/>
    <s v=",1,2,3,4,5,6,7,8,9,10,11,12,13,14,15,16,17"/>
    <n v="17"/>
    <m/>
    <m/>
    <s v="No"/>
    <x v="1"/>
    <m/>
    <m/>
    <s v="216.226.109.96"/>
    <s v="GV1469.35.M535 -- .S739 2015eb"/>
    <n v="794.8"/>
    <d v="2014-09-29T00:00:00"/>
  </r>
  <r>
    <x v="2552"/>
    <d v="1899-12-30T00:00:09"/>
    <x v="331"/>
    <x v="4"/>
    <s v="monroe2boces"/>
    <x v="118"/>
    <n v="1809742"/>
    <x v="0"/>
    <s v="Sport &amp; Recreation"/>
    <s v="9781118968291"/>
    <s v=",1,2,3,4"/>
    <n v="4"/>
    <m/>
    <m/>
    <s v="No"/>
    <x v="1"/>
    <m/>
    <m/>
    <s v="216.226.109.96"/>
    <s v="GV1469.35.M535 -- .S739 2015eb"/>
    <n v="794.8"/>
    <d v="2014-09-29T00:00:00"/>
  </r>
  <r>
    <x v="2553"/>
    <d v="1899-12-30T00:01:35"/>
    <x v="712"/>
    <x v="1"/>
    <s v="brockport"/>
    <x v="745"/>
    <n v="1129739"/>
    <x v="0"/>
    <s v="Education"/>
    <s v="9781118539323"/>
    <s v=",1,2,3,75,76,77,17,19,18,16,15,20,23,21,24,22,25"/>
    <n v="17"/>
    <m/>
    <m/>
    <s v="No"/>
    <x v="3"/>
    <m/>
    <m/>
    <s v="137.21.7.121"/>
    <s v="LB1027.28 .K38 2013"/>
    <n v="371.10199999999998"/>
    <d v="2013-02-15T00:00:00"/>
  </r>
  <r>
    <x v="2554"/>
    <d v="1899-12-30T00:54:16"/>
    <x v="64"/>
    <x v="6"/>
    <s v="sjfc"/>
    <x v="189"/>
    <n v="1557279"/>
    <x v="0"/>
    <s v="Business/Management"/>
    <s v="9781118863664"/>
    <s v=",1,2,3,88,89,87,86,90,91,92,1,90,91,92,88,89,2,86,87,85,84,80,94,95,96,93,97,82,83,80,89,92"/>
    <n v="20"/>
    <s v=",90"/>
    <m/>
    <s v="No"/>
    <x v="0"/>
    <d v="2015-11-30T19:08:57"/>
    <n v="7"/>
    <s v="149.69.254.57"/>
    <s v="HF5661 -- .W384 2014eb"/>
    <n v="657.37800000000004"/>
    <d v="2013-11-07T00:00:00"/>
  </r>
  <r>
    <x v="2555"/>
    <d v="1899-12-30T00:00:03"/>
    <x v="713"/>
    <x v="5"/>
    <s v="erie"/>
    <x v="437"/>
    <n v="1767915"/>
    <x v="0"/>
    <s v="Social Science"/>
    <s v="9780730315148"/>
    <s v=",1,2,3"/>
    <n v="3"/>
    <m/>
    <m/>
    <s v="No"/>
    <x v="0"/>
    <d v="2015-11-30T23:48:48"/>
    <n v="7"/>
    <s v="199.29.6.54"/>
    <s v="HM742 -- .C654 2015eb"/>
    <n v="302.23099999999999"/>
    <d v="2014-08-15T00:00:00"/>
  </r>
  <r>
    <x v="2556"/>
    <d v="1899-12-30T00:51:13"/>
    <x v="709"/>
    <x v="13"/>
    <s v="buffalostate"/>
    <x v="516"/>
    <n v="1840835"/>
    <x v="0"/>
    <s v="Business/Management; Economics"/>
    <s v="9781118950166"/>
    <s v=",1,2,2,1,3,3,2,2,305,306,305,306,303,307,304,307,304,302,301,306,307,308,308,309,309,304,303,302,307,308,303,302,301,300,299,298,303,305,306,307,304"/>
    <n v="15"/>
    <m/>
    <m/>
    <s v="No"/>
    <x v="1"/>
    <m/>
    <m/>
    <s v="136.183.11.43"/>
    <s v="HD9969.S6 .R384 2014"/>
    <n v="338.10923789999998"/>
    <d v="2014-11-10T00:00:00"/>
  </r>
  <r>
    <x v="2557"/>
    <d v="1899-12-30T00:31:17"/>
    <x v="714"/>
    <x v="12"/>
    <s v="potsdam"/>
    <x v="713"/>
    <n v="565082"/>
    <x v="0"/>
    <s v="Education"/>
    <s v="9781118041567"/>
    <s v=",199,200,201,202,203,204,205,206,207,208,209,210,211,212,213,214,215"/>
    <n v="17"/>
    <m/>
    <m/>
    <s v="No"/>
    <x v="0"/>
    <d v="2015-12-02T19:30:55"/>
    <n v="7"/>
    <s v="137.143.104.94"/>
    <s v="LB1775 .P25 2010"/>
    <s v="371.1; 371.102"/>
    <d v="2010-06-08T00:00:00"/>
  </r>
  <r>
    <x v="2558"/>
    <d v="1899-12-30T00:11:03"/>
    <x v="714"/>
    <x v="12"/>
    <s v="potsdam"/>
    <x v="713"/>
    <n v="565082"/>
    <x v="0"/>
    <s v="Education"/>
    <s v="9781118041567"/>
    <s v=",1,2,3,191,192,193,189,190,191,192,193,189,190,194,195,196,197,198"/>
    <n v="13"/>
    <m/>
    <m/>
    <s v="No"/>
    <x v="1"/>
    <m/>
    <m/>
    <s v="137.143.104.94"/>
    <s v="LB1775 .P25 2010"/>
    <s v="371.1; 371.102"/>
    <d v="2010-06-08T00:00:00"/>
  </r>
  <r>
    <x v="2559"/>
    <d v="1899-12-30T00:00:01"/>
    <x v="688"/>
    <x v="1"/>
    <s v="brockport"/>
    <x v="724"/>
    <n v="2058082"/>
    <x v="1"/>
    <s v="History"/>
    <s v="9781472442574"/>
    <s v=",14,13,4"/>
    <n v="3"/>
    <m/>
    <m/>
    <s v="No"/>
    <x v="2"/>
    <d v="2015-12-02T19:08:31"/>
    <n v="1"/>
    <s v="137.21.7.121"/>
    <s v="DA925 .B64 2014"/>
    <n v="941.5"/>
    <d v="2015-07-28T00:00:00"/>
  </r>
  <r>
    <x v="2560"/>
    <d v="1899-12-30T00:00:04"/>
    <x v="715"/>
    <x v="12"/>
    <s v="potsdam"/>
    <x v="746"/>
    <n v="1712962"/>
    <x v="0"/>
    <s v="Social Science"/>
    <s v="9780745684079"/>
    <s v=",1,2,3,4"/>
    <n v="4"/>
    <m/>
    <m/>
    <s v="No"/>
    <x v="3"/>
    <m/>
    <m/>
    <s v="137.143.104.94"/>
    <s v="HM1206 .M43 2014"/>
    <n v="302.23"/>
    <d v="2014-06-13T00:00:00"/>
  </r>
  <r>
    <x v="2561"/>
    <d v="1899-12-30T00:02:18"/>
    <x v="716"/>
    <x v="0"/>
    <s v="Buffalo"/>
    <x v="747"/>
    <n v="1378902"/>
    <x v="11"/>
    <s v="Education"/>
    <s v="9780226066554"/>
    <s v=",1,2,3,8,9,10,6,7,11,12,13,14,15"/>
    <n v="13"/>
    <m/>
    <m/>
    <s v="No"/>
    <x v="1"/>
    <m/>
    <m/>
    <s v="128.205.114.91"/>
    <s v="LC5133"/>
    <s v="370.9173/209747"/>
    <d v="2013-10-04T00:00:00"/>
  </r>
  <r>
    <x v="2562"/>
    <d v="1899-12-30T00:26:08"/>
    <x v="688"/>
    <x v="1"/>
    <s v="brockport"/>
    <x v="724"/>
    <n v="2058082"/>
    <x v="1"/>
    <s v="History"/>
    <s v="9781472442574"/>
    <s v=",1,2,3,2,3,1,2,2,20,20,21,22,21,18,19,23,22,23,24,24,25,25,52,53,54,52,50,53,51,54,51,55,55,56,57,58,58,56,57,59,60,61,59,61,60,62,62,63,63,64,56,58,52,50,42,41,64,40,39,20,42,21,22,18,19,41,40,39"/>
    <n v="30"/>
    <m/>
    <m/>
    <s v="No"/>
    <x v="3"/>
    <m/>
    <m/>
    <s v="137.21.7.121"/>
    <s v="DA925 .B64 2014"/>
    <n v="941.5"/>
    <d v="2015-07-28T00:00:00"/>
  </r>
  <r>
    <x v="2563"/>
    <d v="1899-12-30T00:01:39"/>
    <x v="717"/>
    <x v="13"/>
    <s v="buffalostate"/>
    <x v="516"/>
    <n v="1840835"/>
    <x v="0"/>
    <s v="Business/Management; Economics"/>
    <s v="9781118950166"/>
    <s v=",310,311,312,302"/>
    <n v="4"/>
    <m/>
    <m/>
    <s v="No"/>
    <x v="0"/>
    <d v="2015-12-02T17:52:06"/>
    <n v="7"/>
    <s v="136.183.11.43"/>
    <s v="HD9969.S6 .R384 2014"/>
    <n v="338.10923789999998"/>
    <d v="2014-11-10T00:00:00"/>
  </r>
  <r>
    <x v="2564"/>
    <d v="1899-12-30T00:00:22"/>
    <x v="718"/>
    <x v="7"/>
    <s v="oneonta"/>
    <x v="659"/>
    <n v="1757100"/>
    <x v="3"/>
    <s v="History; Business/Management"/>
    <s v="9780520961302"/>
    <s v=",214,215,216,1,212,213,2"/>
    <n v="7"/>
    <m/>
    <m/>
    <s v="No"/>
    <x v="3"/>
    <m/>
    <m/>
    <s v="137.141.13.2"/>
    <s v="HC39 -- .R663 2015eb"/>
    <s v="937/.07"/>
    <d v="2014-11-24T00:00:00"/>
  </r>
  <r>
    <x v="2565"/>
    <d v="1899-12-30T00:10:08"/>
    <x v="719"/>
    <x v="1"/>
    <s v="brockport"/>
    <x v="748"/>
    <n v="2048675"/>
    <x v="0"/>
    <s v="Business/Management"/>
    <s v="9781119024385"/>
    <s v=",99,100,183,184,185,1,97,98,112,7,8,9,10,1,2,3,4"/>
    <n v="16"/>
    <m/>
    <m/>
    <s v="No"/>
    <x v="2"/>
    <d v="2015-12-02T17:45:32"/>
    <n v="1"/>
    <s v="137.21.7.121"/>
    <s v="HF5549.5.J616 F85 2015"/>
    <n v="650.1"/>
    <d v="2015-05-08T00:00:00"/>
  </r>
  <r>
    <x v="2566"/>
    <d v="1899-12-30T00:05:16"/>
    <x v="719"/>
    <x v="1"/>
    <s v="brockport"/>
    <x v="748"/>
    <n v="2048675"/>
    <x v="0"/>
    <s v="Business/Management"/>
    <s v="9781119024385"/>
    <s v=",1,2,3,66,68,67,64,65,69,70,71,98,99,100,97,96,101,102,96,98,98,98,98,99,98,99,100"/>
    <n v="18"/>
    <m/>
    <m/>
    <s v="No"/>
    <x v="3"/>
    <m/>
    <m/>
    <s v="137.21.7.121"/>
    <s v="HF5549.5.J616 F85 2015"/>
    <n v="650.1"/>
    <d v="2015-05-08T00:00:00"/>
  </r>
  <r>
    <x v="2567"/>
    <d v="1899-12-30T00:15:23"/>
    <x v="717"/>
    <x v="13"/>
    <s v="buffalostate"/>
    <x v="516"/>
    <n v="1840835"/>
    <x v="0"/>
    <s v="Business/Management; Economics"/>
    <s v="9781118950166"/>
    <s v=",1,2,3,304,305,306,302,303,307,308,309,301"/>
    <n v="12"/>
    <m/>
    <m/>
    <s v="No"/>
    <x v="1"/>
    <m/>
    <m/>
    <s v="136.183.11.43"/>
    <s v="HD9969.S6 .R384 2014"/>
    <n v="338.10923789999998"/>
    <d v="2014-11-10T00:00:00"/>
  </r>
  <r>
    <x v="2568"/>
    <d v="1899-12-30T00:06:40"/>
    <x v="720"/>
    <x v="1"/>
    <s v="brockport"/>
    <x v="749"/>
    <n v="1323321"/>
    <x v="2"/>
    <s v="Psychology; Business/Management"/>
    <s v="9781135007676"/>
    <s v=",108,109,280,297,298,299,301,302,303,300,304,305,306,307,308,309,310,311,312,50,25,16,5,3,4,6,7,8"/>
    <n v="28"/>
    <m/>
    <m/>
    <s v="No"/>
    <x v="2"/>
    <d v="2015-12-02T17:34:48"/>
    <n v="1"/>
    <s v="137.21.7.121"/>
    <s v="HF5548.8 -- .P793 2014eb"/>
    <n v="158.69999999999999"/>
    <d v="2013-07-24T00:00:00"/>
  </r>
  <r>
    <x v="2569"/>
    <d v="1899-12-30T00:05:03"/>
    <x v="720"/>
    <x v="1"/>
    <s v="brockport"/>
    <x v="749"/>
    <n v="1323321"/>
    <x v="2"/>
    <s v="Psychology; Business/Management"/>
    <s v="9781135007676"/>
    <s v=",1,3,2,102,103,104,100,101,105,106,107"/>
    <n v="11"/>
    <m/>
    <m/>
    <s v="No"/>
    <x v="3"/>
    <m/>
    <m/>
    <s v="137.21.7.121"/>
    <s v="HF5548.8 -- .P793 2014eb"/>
    <n v="158.69999999999999"/>
    <d v="2013-07-24T00:00:00"/>
  </r>
  <r>
    <x v="2570"/>
    <d v="1899-12-30T00:00:06"/>
    <x v="721"/>
    <x v="13"/>
    <s v="buffalostate"/>
    <x v="628"/>
    <n v="1610008"/>
    <x v="1"/>
    <s v="Social Science; Law"/>
    <s v="9781409457206"/>
    <s v=",65,100,101,102,98,99"/>
    <n v="6"/>
    <m/>
    <m/>
    <s v="No"/>
    <x v="0"/>
    <d v="2015-12-02T16:42:54"/>
    <n v="7"/>
    <s v="136.183.11.43"/>
    <s v="K5104 -- .C375 2014eb"/>
    <n v="364.66"/>
    <d v="2014-03-28T00:00:00"/>
  </r>
  <r>
    <x v="2571"/>
    <d v="1899-12-30T00:11:01"/>
    <x v="721"/>
    <x v="13"/>
    <s v="buffalostate"/>
    <x v="628"/>
    <n v="1610008"/>
    <x v="1"/>
    <s v="Social Science; Law"/>
    <s v="9781409457206"/>
    <s v=",1,2,3,4,5,6,7,8,9,10,11,12,13,14,15,16,17,18,19,20,21,22,23,24,25,26,27,28,29,30,31,32,33,34,35,36,37,38,39,40,41,44,45,46,42,43,47,50,40,41,37,36,49,48,53,54,55,51,52"/>
    <n v="55"/>
    <m/>
    <m/>
    <s v="No"/>
    <x v="1"/>
    <m/>
    <m/>
    <s v="136.183.11.43"/>
    <s v="K5104 -- .C375 2014eb"/>
    <n v="364.66"/>
    <d v="2014-03-28T00:00:00"/>
  </r>
  <r>
    <x v="2572"/>
    <d v="1899-12-30T00:00:22"/>
    <x v="722"/>
    <x v="1"/>
    <s v="brockport"/>
    <x v="750"/>
    <n v="1222883"/>
    <x v="2"/>
    <s v="Literature"/>
    <s v="9781136093722"/>
    <s v=",1,8,9,10,6,7,2"/>
    <n v="7"/>
    <m/>
    <m/>
    <s v="No"/>
    <x v="3"/>
    <m/>
    <m/>
    <s v="137.21.7.121"/>
    <s v="PS228.M66 -- K36 2013eb"/>
    <n v="810.93520431000002"/>
    <d v="2013-07-23T00:00:00"/>
  </r>
  <r>
    <x v="2573"/>
    <d v="1899-12-30T00:05:39"/>
    <x v="719"/>
    <x v="1"/>
    <s v="brockport"/>
    <x v="751"/>
    <n v="1169445"/>
    <x v="0"/>
    <s v="Business/Management"/>
    <s v="9781118663417"/>
    <s v=",89,90,91,92,93,94,95,96,97,98,99,100,101"/>
    <n v="13"/>
    <m/>
    <m/>
    <s v="No"/>
    <x v="2"/>
    <d v="2015-12-02T15:51:46"/>
    <n v="1"/>
    <s v="137.21.7.121"/>
    <s v="HD57.7 .S781 2013"/>
    <n v="658.40920000000006"/>
    <d v="2013-04-09T00:00:00"/>
  </r>
  <r>
    <x v="2574"/>
    <d v="1899-12-30T00:00:00"/>
    <x v="723"/>
    <x v="1"/>
    <s v="brockport"/>
    <x v="752"/>
    <n v="320579"/>
    <x v="4"/>
    <s v="Medicine"/>
    <s v="9781593857332"/>
    <m/>
    <n v="0"/>
    <m/>
    <m/>
    <s v="No"/>
    <x v="2"/>
    <d v="2015-12-02T15:45:13"/>
    <n v="1"/>
    <s v="137.21.7.121"/>
    <s v="RC552.P67; RC552.P67H353 2007"/>
    <n v="616.85209999999995"/>
    <d v="2014-05-14T00:00:00"/>
  </r>
  <r>
    <x v="2575"/>
    <d v="1899-12-30T00:01:42"/>
    <x v="723"/>
    <x v="1"/>
    <s v="brockport"/>
    <x v="752"/>
    <n v="320579"/>
    <x v="4"/>
    <s v="Medicine"/>
    <s v="9781593857332"/>
    <s v=",2,1,3,4,5,122,102,84,6,7,8,9,10,11,12,13,14,15,16,17,51,345,461,460,256,257,258,255,259,260,285,286,288,289,290,291,292,293,294,295"/>
    <n v="40"/>
    <m/>
    <m/>
    <s v="No"/>
    <x v="3"/>
    <m/>
    <m/>
    <s v="137.21.7.121"/>
    <s v="RC552.P67; RC552.P67H353 2007"/>
    <n v="616.85209999999995"/>
    <d v="2014-05-14T00:00:00"/>
  </r>
  <r>
    <x v="2576"/>
    <d v="1899-12-30T00:00:20"/>
    <x v="721"/>
    <x v="13"/>
    <s v="buffalostate"/>
    <x v="753"/>
    <n v="2038643"/>
    <x v="1"/>
    <s v="Social Science"/>
    <s v="9781472427625"/>
    <s v=",1,2,3,4,30,44,61,62,60,58,59,57,56"/>
    <n v="13"/>
    <m/>
    <m/>
    <s v="No"/>
    <x v="1"/>
    <m/>
    <m/>
    <s v="136.183.11.43"/>
    <n v="2013049432"/>
    <n v="306.46100000000001"/>
    <d v="2015-05-28T00:00:00"/>
  </r>
  <r>
    <x v="2577"/>
    <d v="1899-12-30T00:03:50"/>
    <x v="724"/>
    <x v="5"/>
    <s v="erie"/>
    <x v="754"/>
    <n v="818332"/>
    <x v="0"/>
    <s v="Social Science"/>
    <s v="9781118252772"/>
    <s v=",1,59,60,61,57,58,2,9,1,2,3,4,9,10,11,7,8,12,75,83,84,86,87,88,106,113,114,115,116,112,111,117,111,117,118,119"/>
    <n v="31"/>
    <m/>
    <m/>
    <s v="No"/>
    <x v="1"/>
    <m/>
    <m/>
    <s v="199.29.6.54"/>
    <s v="GN419.3 -- .T375 2012eb"/>
    <s v="391.6/5"/>
    <d v="2012-02-21T00:00:00"/>
  </r>
  <r>
    <x v="2578"/>
    <d v="1899-12-30T00:03:31"/>
    <x v="723"/>
    <x v="1"/>
    <s v="brockport"/>
    <x v="79"/>
    <n v="1757960"/>
    <x v="0"/>
    <s v="Medicine"/>
    <s v="9781118780770"/>
    <s v=",25,26,27,24,23,22,28,13,14,15,16,11,12,17,11,18,19,10,12"/>
    <n v="17"/>
    <m/>
    <s v=",13,13,1,2,3,4,13"/>
    <s v="No"/>
    <x v="0"/>
    <d v="2015-12-02T15:29:10"/>
    <n v="7"/>
    <s v="137.21.7.121"/>
    <s v="RC537 -- .A236 2014eb"/>
    <s v="616.85/27"/>
    <d v="2014-07-30T00:00:00"/>
  </r>
  <r>
    <x v="2579"/>
    <d v="1899-12-30T00:00:10"/>
    <x v="721"/>
    <x v="13"/>
    <s v="buffalostate"/>
    <x v="755"/>
    <n v="1839929"/>
    <x v="4"/>
    <s v="Medicine"/>
    <s v="9781462519873"/>
    <s v=",35,36"/>
    <n v="2"/>
    <m/>
    <m/>
    <s v="No"/>
    <x v="2"/>
    <d v="2015-12-02T15:28:28"/>
    <n v="1"/>
    <s v="136.183.11.43"/>
    <s v="RC537.5 -- .K466 2015eb"/>
    <s v="618.97/68527"/>
    <d v="2015-02-25T00:00:00"/>
  </r>
  <r>
    <x v="2580"/>
    <d v="1899-12-30T00:02:28"/>
    <x v="723"/>
    <x v="1"/>
    <s v="brockport"/>
    <x v="79"/>
    <n v="1757960"/>
    <x v="0"/>
    <s v="Medicine"/>
    <s v="9781118780770"/>
    <s v=",1,2,3,4,5,15,16,17,13,14,15,16,17,13,14,18"/>
    <n v="11"/>
    <m/>
    <m/>
    <s v="No"/>
    <x v="1"/>
    <m/>
    <m/>
    <s v="137.21.7.121"/>
    <s v="RC537 -- .A236 2014eb"/>
    <s v="616.85/27"/>
    <d v="2014-07-30T00:00:00"/>
  </r>
  <r>
    <x v="2581"/>
    <d v="1899-12-30T00:27:16"/>
    <x v="719"/>
    <x v="1"/>
    <s v="brockport"/>
    <x v="751"/>
    <n v="1169445"/>
    <x v="0"/>
    <s v="Business/Management"/>
    <s v="9781118663417"/>
    <s v=",1,2,3,77,78,79,75,76,80,81,82,83,84,85,86,87,88,89,87,88"/>
    <n v="18"/>
    <m/>
    <m/>
    <s v="No"/>
    <x v="3"/>
    <m/>
    <m/>
    <s v="137.21.7.121"/>
    <s v="HD57.7 .S781 2013"/>
    <n v="658.40920000000006"/>
    <d v="2013-04-09T00:00:00"/>
  </r>
  <r>
    <x v="2582"/>
    <d v="1899-12-30T00:06:33"/>
    <x v="721"/>
    <x v="13"/>
    <s v="buffalostate"/>
    <x v="755"/>
    <n v="1839929"/>
    <x v="4"/>
    <s v="Medicine"/>
    <s v="9781462519873"/>
    <s v=",1,2,3,11,13,14,17,16,18,15,12,19,20,30,31,32,33,29,34"/>
    <n v="19"/>
    <m/>
    <m/>
    <s v="No"/>
    <x v="3"/>
    <m/>
    <m/>
    <s v="136.183.11.43"/>
    <s v="RC537.5 -- .K466 2015eb"/>
    <s v="618.97/68527"/>
    <d v="2015-02-25T00:00:00"/>
  </r>
  <r>
    <x v="2583"/>
    <d v="1899-12-30T00:00:10"/>
    <x v="506"/>
    <x v="0"/>
    <s v="Buffalo"/>
    <x v="533"/>
    <n v="1760720"/>
    <x v="4"/>
    <s v="Medicine"/>
    <s v="9781462517459"/>
    <s v=",187,188,189,190,191,192,193,194,195"/>
    <n v="9"/>
    <m/>
    <m/>
    <s v="No"/>
    <x v="0"/>
    <d v="2015-12-02T14:52:45"/>
    <n v="7"/>
    <s v="128.205.114.91"/>
    <s v="RC489.D48 -- L56 2015eb"/>
    <n v="616.89142000000004"/>
    <d v="2014-12-23T00:00:00"/>
  </r>
  <r>
    <x v="2584"/>
    <d v="1899-12-30T00:00:24"/>
    <x v="700"/>
    <x v="1"/>
    <s v="brockport"/>
    <x v="220"/>
    <n v="979949"/>
    <x v="14"/>
    <s v="Literature"/>
    <s v="9780786493234"/>
    <s v=",1,2,3,3,2,1,51,52,51,53,49,52,53,50,50,2,54,54"/>
    <n v="9"/>
    <m/>
    <m/>
    <s v="No"/>
    <x v="1"/>
    <m/>
    <m/>
    <s v="137.21.7.121"/>
    <s v="PS3603.O4558 -- Z6845 2012eb"/>
    <s v="813/.6"/>
    <d v="2012-07-12T00:00:00"/>
  </r>
  <r>
    <x v="2585"/>
    <d v="1899-12-30T00:04:29"/>
    <x v="725"/>
    <x v="4"/>
    <s v="monroe2boces"/>
    <x v="756"/>
    <n v="1337535"/>
    <x v="2"/>
    <s v="Education"/>
    <s v="9781317925910"/>
    <s v=",43,43,44,44,45,45,46,46"/>
    <n v="4"/>
    <m/>
    <m/>
    <s v="No"/>
    <x v="2"/>
    <d v="2015-12-02T14:25:29"/>
    <n v="1"/>
    <s v="216.226.96.45"/>
    <s v="LB1775.W44"/>
    <n v="371.10199999999998"/>
    <d v="2013-08-06T00:00:00"/>
  </r>
  <r>
    <x v="2586"/>
    <d v="1899-12-30T00:06:03"/>
    <x v="725"/>
    <x v="4"/>
    <s v="monroe2boces"/>
    <x v="756"/>
    <n v="1337535"/>
    <x v="2"/>
    <s v="Education"/>
    <s v="9781317925910"/>
    <s v=",1,2,2,3,3,1,2,2,4,5,5,4,35,36,35,36,37,37,34,34,33,38,38,39,39,40,40,41,41,42,42"/>
    <n v="15"/>
    <m/>
    <m/>
    <s v="No"/>
    <x v="3"/>
    <m/>
    <m/>
    <s v="216.226.96.45"/>
    <s v="LB1775.W44"/>
    <n v="371.10199999999998"/>
    <d v="2013-08-06T00:00:00"/>
  </r>
  <r>
    <x v="2587"/>
    <d v="1899-12-30T00:04:00"/>
    <x v="694"/>
    <x v="0"/>
    <s v="Buffalo"/>
    <x v="703"/>
    <n v="1808795"/>
    <x v="1"/>
    <s v="Architecture"/>
    <s v="9781472447951"/>
    <s v=",1,2,3,210,211,212,208,209,28,29,30,26,27"/>
    <n v="13"/>
    <m/>
    <m/>
    <s v="No"/>
    <x v="0"/>
    <d v="2015-12-01T04:09:47"/>
    <n v="7"/>
    <s v="128.205.114.91"/>
    <s v="NA5870.A9 -- .S353 2014eb"/>
    <s v="726.6094961/8"/>
    <d v="2014-11-28T00:00:00"/>
  </r>
  <r>
    <x v="2588"/>
    <d v="1899-12-30T00:06:54"/>
    <x v="694"/>
    <x v="0"/>
    <s v="Buffalo"/>
    <x v="703"/>
    <n v="1808795"/>
    <x v="1"/>
    <s v="Architecture"/>
    <s v="9781472447951"/>
    <s v=",1,2,3,16,17,18,15,14,13,11,12,210,212,211,208,209,206,207,1,207,208,209"/>
    <n v="18"/>
    <m/>
    <m/>
    <s v="No"/>
    <x v="0"/>
    <d v="2015-12-01T04:09:47"/>
    <n v="7"/>
    <s v="128.205.114.91"/>
    <s v="NA5870.A9 -- .S353 2014eb"/>
    <s v="726.6094961/8"/>
    <d v="2014-11-28T00:00:00"/>
  </r>
  <r>
    <x v="2589"/>
    <d v="1899-12-30T01:15:30"/>
    <x v="506"/>
    <x v="0"/>
    <s v="Buffalo"/>
    <x v="533"/>
    <n v="1760720"/>
    <x v="4"/>
    <s v="Medicine"/>
    <s v="9781462517459"/>
    <s v=",1,2,3"/>
    <n v="3"/>
    <m/>
    <m/>
    <s v="No"/>
    <x v="1"/>
    <m/>
    <m/>
    <s v="128.205.114.91"/>
    <s v="RC489.D48 -- L56 2015eb"/>
    <n v="616.89142000000004"/>
    <d v="2014-12-23T00:00:00"/>
  </r>
  <r>
    <x v="2590"/>
    <d v="1899-12-30T00:29:39"/>
    <x v="13"/>
    <x v="0"/>
    <s v="Buffalo"/>
    <x v="6"/>
    <n v="1635363"/>
    <x v="0"/>
    <s v="Law"/>
    <s v="9781118678206"/>
    <s v=",1,2,3,2,1,3,186,187,188,186,2,187,184,188,185,185,189,189,190,190,185,190,191,191,250,250,252,252,248,251,249,251,249,186,187,188,184,185,189,190,191"/>
    <n v="16"/>
    <m/>
    <m/>
    <s v="No"/>
    <x v="0"/>
    <d v="2015-11-29T22:32:33"/>
    <n v="7"/>
    <s v="128.205.114.91"/>
    <s v="KF285.Z9 -- H38 2014eb"/>
    <n v="340.07600000000002"/>
    <d v="2014-02-14T00:00:00"/>
  </r>
  <r>
    <x v="2591"/>
    <d v="1899-12-30T00:00:00"/>
    <x v="333"/>
    <x v="0"/>
    <s v="Buffalo"/>
    <x v="757"/>
    <n v="1180199"/>
    <x v="11"/>
    <s v="Economics; Business/Management"/>
    <s v="9780226921969"/>
    <m/>
    <n v="0"/>
    <m/>
    <m/>
    <s v="Yes"/>
    <x v="2"/>
    <d v="2015-12-02T10:18:57"/>
    <n v="1"/>
    <s v="128.205.114.91"/>
    <s v="HG106"/>
    <n v="338.5"/>
    <d v="2013-01-24T00:00:00"/>
  </r>
  <r>
    <x v="2591"/>
    <d v="1899-12-30T00:00:00"/>
    <x v="333"/>
    <x v="0"/>
    <s v="Buffalo"/>
    <x v="757"/>
    <n v="1180199"/>
    <x v="11"/>
    <s v="Economics; Business/Management"/>
    <s v="9780226921969"/>
    <m/>
    <n v="0"/>
    <m/>
    <m/>
    <s v="No"/>
    <x v="2"/>
    <d v="2015-12-02T10:18:57"/>
    <n v="1"/>
    <s v="128.205.114.91"/>
    <s v="HG106"/>
    <n v="338.5"/>
    <d v="2013-01-24T00:00:00"/>
  </r>
  <r>
    <x v="2592"/>
    <d v="1899-12-30T00:03:08"/>
    <x v="333"/>
    <x v="0"/>
    <s v="Buffalo"/>
    <x v="757"/>
    <n v="1180199"/>
    <x v="11"/>
    <s v="Economics; Business/Management"/>
    <s v="9780226921969"/>
    <s v=",1,2,3"/>
    <n v="3"/>
    <m/>
    <m/>
    <s v="No"/>
    <x v="3"/>
    <m/>
    <m/>
    <s v="128.205.114.91"/>
    <s v="HG106"/>
    <n v="338.5"/>
    <d v="2013-01-24T00:00:00"/>
  </r>
  <r>
    <x v="2593"/>
    <d v="1899-12-30T00:31:20"/>
    <x v="668"/>
    <x v="0"/>
    <s v="Buffalo"/>
    <x v="703"/>
    <n v="1808795"/>
    <x v="1"/>
    <s v="Architecture"/>
    <s v="9781472447951"/>
    <s v=",34,1,35,36,32,33,210,212,211,208,209,213,214,215,233,234,235,2,236,232,231,34,1,36,35,32,33,2,31,42,43,44,40,41,45,46"/>
    <n v="29"/>
    <m/>
    <m/>
    <s v="No"/>
    <x v="0"/>
    <d v="2015-12-02T09:28:07"/>
    <n v="7"/>
    <s v="128.205.114.91"/>
    <s v="NA5870.A9 -- .S353 2014eb"/>
    <s v="726.6094961/8"/>
    <d v="2014-11-28T00:00:00"/>
  </r>
  <r>
    <x v="2594"/>
    <d v="1899-12-30T00:36:31"/>
    <x v="668"/>
    <x v="0"/>
    <s v="Buffalo"/>
    <x v="703"/>
    <n v="1808795"/>
    <x v="1"/>
    <s v="Architecture"/>
    <s v="9781472447951"/>
    <s v=",1,2,3,31,32,33,29,30,34"/>
    <n v="9"/>
    <m/>
    <m/>
    <s v="No"/>
    <x v="1"/>
    <m/>
    <m/>
    <s v="128.205.114.91"/>
    <s v="NA5870.A9 -- .S353 2014eb"/>
    <s v="726.6094961/8"/>
    <d v="2014-11-28T00:00:00"/>
  </r>
  <r>
    <x v="2595"/>
    <d v="1899-12-30T02:54:46"/>
    <x v="13"/>
    <x v="0"/>
    <s v="Buffalo"/>
    <x v="758"/>
    <n v="1388962"/>
    <x v="7"/>
    <s v="Medicine"/>
    <s v="9781780643403"/>
    <s v=",1,2,3,86,87,88,84,85,89,90,91,29,30,31,27,28,261,262,263,259,260,61,62,63,59,60,64,65,66,67,68,60,69,70,71,72"/>
    <n v="35"/>
    <m/>
    <m/>
    <s v="No"/>
    <x v="0"/>
    <d v="2015-12-02T04:31:51"/>
    <n v="7"/>
    <s v="128.205.114.91"/>
    <s v="RC376 -- .M465 2013eb"/>
    <s v="616.8/2"/>
    <d v="2013-01-01T00:00:00"/>
  </r>
  <r>
    <x v="2596"/>
    <d v="1899-12-30T00:53:32"/>
    <x v="694"/>
    <x v="0"/>
    <s v="Buffalo"/>
    <x v="703"/>
    <n v="1808795"/>
    <x v="1"/>
    <s v="Architecture"/>
    <s v="9781472447951"/>
    <s v=",1,2,3,6,7,8,4,5,9,10,14,15,16,12,13,17,18,314,315,316,312,313,50,51,52,48,49,317,150,151,152,149,148,183,184,185,181,182,180,186,247,248,249,245,246,238,239,240,237,236,59,60,61,57,58,230,231,232,228,229,233,239,241,238,256,258,257,255,254,259,254,261,262,263,259,260,210,211,212,208,209,254,256,18,19,71,72,70,68,69,116,117,118,114,115,178,179,193,194,251,252,253,250,64,65,66,62,63,61,65,25,26,27,23,24,66,67,64,69,70"/>
    <n v="107"/>
    <m/>
    <m/>
    <s v="No"/>
    <x v="0"/>
    <d v="2015-12-01T04:09:47"/>
    <n v="7"/>
    <s v="128.205.114.91"/>
    <s v="NA5870.A9 -- .S353 2014eb"/>
    <s v="726.6094961/8"/>
    <d v="2014-11-28T00:00:00"/>
  </r>
  <r>
    <x v="2597"/>
    <d v="1899-12-30T00:04:42"/>
    <x v="668"/>
    <x v="0"/>
    <s v="Buffalo"/>
    <x v="703"/>
    <n v="1808795"/>
    <x v="1"/>
    <s v="Architecture"/>
    <s v="9781472447951"/>
    <s v=",1,3,2,4,5,6,7,8,9,10,263,264,265,262,261,260,259,258,257,255,256,254,253,252,251"/>
    <n v="25"/>
    <m/>
    <m/>
    <s v="No"/>
    <x v="1"/>
    <m/>
    <m/>
    <s v="128.205.114.91"/>
    <s v="NA5870.A9 -- .S353 2014eb"/>
    <s v="726.6094961/8"/>
    <d v="2014-11-28T00:00:00"/>
  </r>
  <r>
    <x v="2598"/>
    <d v="1899-12-30T00:48:32"/>
    <x v="13"/>
    <x v="0"/>
    <s v="Buffalo"/>
    <x v="758"/>
    <n v="1388962"/>
    <x v="7"/>
    <s v="Medicine"/>
    <s v="9781780643403"/>
    <s v=",1,60,61,62,59,29,58,30,31,27,28,2,32,33,34,35,36,37,38,39,40,41,42,129,129,1,130,131,128,127,74,75,76,73,72,2,77,78,79,80,81,82,83,84,86,87,88,85"/>
    <n v="45"/>
    <m/>
    <m/>
    <s v="No"/>
    <x v="0"/>
    <d v="2015-12-02T04:31:51"/>
    <n v="7"/>
    <s v="128.205.114.91"/>
    <s v="RC376 -- .M465 2013eb"/>
    <s v="616.8/2"/>
    <d v="2013-01-01T00:00:00"/>
  </r>
  <r>
    <x v="2599"/>
    <d v="1899-12-30T00:57:13"/>
    <x v="13"/>
    <x v="0"/>
    <s v="Buffalo"/>
    <x v="758"/>
    <n v="1388962"/>
    <x v="7"/>
    <s v="Medicine"/>
    <s v="9781780643403"/>
    <s v=",1,2,3,4,5,6,7,8,9,10,11,12,13,14,15,16,17,18,61,62,63,59,60"/>
    <n v="23"/>
    <m/>
    <m/>
    <s v="No"/>
    <x v="1"/>
    <m/>
    <m/>
    <s v="128.205.114.91"/>
    <s v="RC376 -- .M465 2013eb"/>
    <s v="616.8/2"/>
    <d v="2013-01-01T00:00:00"/>
  </r>
  <r>
    <x v="2600"/>
    <d v="1899-12-30T00:00:04"/>
    <x v="593"/>
    <x v="14"/>
    <s v="houghton"/>
    <x v="626"/>
    <n v="877713"/>
    <x v="6"/>
    <s v="History"/>
    <s v="9781438138596"/>
    <s v=",400,401,397,398"/>
    <n v="4"/>
    <m/>
    <m/>
    <s v="No"/>
    <x v="0"/>
    <d v="2015-12-02T03:26:16"/>
    <n v="7"/>
    <s v="96.43.64.169"/>
    <s v="DT58 -- .B96 2012eb"/>
    <n v="932.00300000000004"/>
    <d v="2012-01-01T00:00:00"/>
  </r>
  <r>
    <x v="2601"/>
    <d v="1899-12-30T00:26:31"/>
    <x v="593"/>
    <x v="14"/>
    <s v="houghton"/>
    <x v="626"/>
    <n v="877713"/>
    <x v="6"/>
    <s v="History"/>
    <s v="9781438138596"/>
    <s v=",1,2,3,383,384,385,381,382,386,387,388,389,390,391,392,393,394,395,396,397,398,399,400,401"/>
    <n v="24"/>
    <m/>
    <m/>
    <s v="No"/>
    <x v="1"/>
    <m/>
    <m/>
    <s v="96.43.64.169"/>
    <s v="DT58 -- .B96 2012eb"/>
    <n v="932.00300000000004"/>
    <d v="2012-01-01T00:00:00"/>
  </r>
  <r>
    <x v="2602"/>
    <d v="1899-12-30T00:00:45"/>
    <x v="726"/>
    <x v="0"/>
    <s v="Buffalo"/>
    <x v="167"/>
    <n v="1746990"/>
    <x v="1"/>
    <s v="Business/Management"/>
    <s v="9781472432100"/>
    <s v=",1,2,3,4,5,6,7,8,9,118,119,116,117,120,114,115,121"/>
    <n v="17"/>
    <m/>
    <m/>
    <s v="No"/>
    <x v="3"/>
    <m/>
    <m/>
    <s v="128.205.114.91"/>
    <s v="HF5548.37 -- .T74 2014eb"/>
    <s v="658.4/78"/>
    <d v="2014-09-28T00:00:00"/>
  </r>
  <r>
    <x v="2603"/>
    <d v="1899-12-30T00:01:34"/>
    <x v="724"/>
    <x v="5"/>
    <s v="erie"/>
    <x v="754"/>
    <n v="818332"/>
    <x v="0"/>
    <s v="Social Science"/>
    <s v="9781118252772"/>
    <s v=",1,2,3,4,5,6,8,7,9,10,11,12,13,14,15"/>
    <n v="15"/>
    <m/>
    <m/>
    <s v="No"/>
    <x v="1"/>
    <m/>
    <m/>
    <s v="199.29.6.54"/>
    <s v="GN419.3 -- .T375 2012eb"/>
    <s v="391.6/5"/>
    <d v="2012-02-21T00:00:00"/>
  </r>
  <r>
    <x v="2604"/>
    <d v="1899-12-30T00:00:07"/>
    <x v="720"/>
    <x v="1"/>
    <s v="brockport"/>
    <x v="749"/>
    <n v="1323321"/>
    <x v="2"/>
    <s v="Psychology; Business/Management"/>
    <s v="9781135007676"/>
    <s v=",1,2,3,4"/>
    <n v="4"/>
    <m/>
    <m/>
    <s v="No"/>
    <x v="3"/>
    <m/>
    <m/>
    <s v="137.21.7.121"/>
    <s v="HF5548.8 -- .P793 2014eb"/>
    <n v="158.69999999999999"/>
    <d v="2013-07-24T00:00:00"/>
  </r>
  <r>
    <x v="2605"/>
    <d v="1899-12-30T00:01:14"/>
    <x v="727"/>
    <x v="0"/>
    <s v="Buffalo"/>
    <x v="559"/>
    <n v="1217954"/>
    <x v="1"/>
    <s v="Engineering; Engineering: General"/>
    <s v="9781409457558"/>
    <s v=",1,191,192,193,189,190,194,195,2,202,201,203,199,200,198,197,196"/>
    <n v="17"/>
    <m/>
    <m/>
    <s v="No"/>
    <x v="1"/>
    <m/>
    <m/>
    <s v="128.205.114.91"/>
    <s v="T59.7 -- .S73 2013eb"/>
    <s v="620.8/2"/>
    <d v="2013-10-28T00:00:00"/>
  </r>
  <r>
    <x v="2606"/>
    <d v="1899-12-30T00:01:12"/>
    <x v="728"/>
    <x v="1"/>
    <s v="brockport"/>
    <x v="759"/>
    <n v="1144407"/>
    <x v="2"/>
    <s v="Medicine; Social Science"/>
    <s v="9781136812156"/>
    <s v=",1,2,3,20,21,22,18,19,23,24,25,26,27,28,29,30,31,32,33,34,35,36"/>
    <n v="22"/>
    <m/>
    <m/>
    <s v="No"/>
    <x v="3"/>
    <m/>
    <m/>
    <s v="137.21.7.121"/>
    <s v="RC569.5.C55 -- S74 2007eb"/>
    <n v="364.3"/>
    <d v="2013-09-05T00:00:00"/>
  </r>
  <r>
    <x v="2607"/>
    <d v="1899-12-30T00:02:08"/>
    <x v="729"/>
    <x v="7"/>
    <s v="oneonta"/>
    <x v="760"/>
    <n v="943645"/>
    <x v="15"/>
    <s v="History"/>
    <s v="9781441104755"/>
    <s v=",182,183,178,177,176"/>
    <n v="5"/>
    <m/>
    <m/>
    <s v="No"/>
    <x v="0"/>
    <d v="2015-12-02T01:23:42"/>
    <n v="7"/>
    <s v="137.141.13.2"/>
    <s v="CB5 .M384 2012"/>
    <n v="948.02200000000005"/>
    <d v="2012-05-31T00:00:00"/>
  </r>
  <r>
    <x v="2608"/>
    <d v="1899-12-30T00:00:03"/>
    <x v="144"/>
    <x v="12"/>
    <s v="potsdam"/>
    <x v="761"/>
    <n v="1895928"/>
    <x v="0"/>
    <s v="Business/Management"/>
    <s v="9781119019848"/>
    <s v=",1,2,3"/>
    <n v="3"/>
    <m/>
    <m/>
    <s v="No"/>
    <x v="3"/>
    <m/>
    <m/>
    <s v="137.143.104.94"/>
    <s v="HF5549.5.P37 -- .P37 2015eb"/>
    <s v="658.4/013"/>
    <d v="2015-04-03T00:00:00"/>
  </r>
  <r>
    <x v="2609"/>
    <d v="1899-12-30T00:01:04"/>
    <x v="144"/>
    <x v="12"/>
    <s v="potsdam"/>
    <x v="660"/>
    <n v="1767442"/>
    <x v="0"/>
    <s v="General Works/Reference; Social Science"/>
    <s v="9781118904503"/>
    <s v=",1,2,3,103,104,105,101,102,106,107,108,109"/>
    <n v="12"/>
    <m/>
    <m/>
    <s v="No"/>
    <x v="3"/>
    <m/>
    <m/>
    <s v="137.143.104.94"/>
    <s v="H62 -- .B73 2014eb"/>
    <s v="001.4/2"/>
    <d v="2014-08-13T00:00:00"/>
  </r>
  <r>
    <x v="2610"/>
    <d v="1899-12-30T00:28:49"/>
    <x v="13"/>
    <x v="0"/>
    <s v="Buffalo"/>
    <x v="6"/>
    <n v="1635363"/>
    <x v="0"/>
    <s v="Law"/>
    <s v="9781118678206"/>
    <s v=",1,2,3,121,122,123,119,120,124,125,126,127,128,129,130,131,132,133"/>
    <n v="18"/>
    <m/>
    <m/>
    <s v="No"/>
    <x v="0"/>
    <d v="2015-11-29T22:32:33"/>
    <n v="7"/>
    <s v="128.205.114.91"/>
    <s v="KF285.Z9 -- H38 2014eb"/>
    <n v="340.07600000000002"/>
    <d v="2014-02-14T00:00:00"/>
  </r>
  <r>
    <x v="2611"/>
    <d v="1899-12-30T00:00:48"/>
    <x v="144"/>
    <x v="12"/>
    <s v="potsdam"/>
    <x v="710"/>
    <n v="1873101"/>
    <x v="0"/>
    <s v="Education"/>
    <s v="9781118762233"/>
    <s v=",1,2,3,87,88,89,85,86,90"/>
    <n v="9"/>
    <m/>
    <m/>
    <s v="No"/>
    <x v="0"/>
    <d v="2015-12-01T01:38:22"/>
    <n v="7"/>
    <s v="137.143.104.94"/>
    <s v="LB2341 -- .B7425 2015eb"/>
    <s v="378.1/01"/>
    <d v="2014-12-02T00:00:00"/>
  </r>
  <r>
    <x v="2612"/>
    <d v="1899-12-30T00:00:29"/>
    <x v="728"/>
    <x v="1"/>
    <s v="brockport"/>
    <x v="762"/>
    <n v="1517741"/>
    <x v="2"/>
    <s v="Social Science"/>
    <s v="9781135063092"/>
    <s v=",1,2,3,4,5,6,7,8,9,10,11,12,13,14,15,16,17,18,19"/>
    <n v="19"/>
    <m/>
    <m/>
    <s v="No"/>
    <x v="3"/>
    <m/>
    <m/>
    <s v="137.21.7.121"/>
    <s v="HV6626.5.O"/>
    <n v="362.76"/>
    <d v="2013-10-28T00:00:00"/>
  </r>
  <r>
    <x v="2613"/>
    <d v="1899-12-30T00:01:03"/>
    <x v="465"/>
    <x v="2"/>
    <s v="hilbert"/>
    <x v="505"/>
    <n v="1725830"/>
    <x v="0"/>
    <s v="Economics; Business/Management"/>
    <s v="9780745684116"/>
    <s v=",2,1,3,4,5,6,7,8,9,10,11"/>
    <n v="11"/>
    <m/>
    <m/>
    <s v="No"/>
    <x v="3"/>
    <m/>
    <m/>
    <s v="72.45.217.43"/>
    <s v="HD5708.46 -- .J366 2014eb"/>
    <n v="331.13704100000001"/>
    <d v="2014-06-27T00:00:00"/>
  </r>
  <r>
    <x v="2614"/>
    <d v="1899-12-30T00:03:23"/>
    <x v="520"/>
    <x v="1"/>
    <s v="brockport"/>
    <x v="207"/>
    <n v="979950"/>
    <x v="14"/>
    <s v="Literature"/>
    <s v="9781476600321"/>
    <s v=",1,2,3,127,128,129,125,126,137,138,139,135,136,140,134"/>
    <n v="15"/>
    <m/>
    <m/>
    <s v="No"/>
    <x v="1"/>
    <m/>
    <m/>
    <s v="137.21.7.121"/>
    <s v="PS3603.O4558 -- Z84 2012eb"/>
    <s v="813/.6"/>
    <d v="2012-07-10T00:00:00"/>
  </r>
  <r>
    <x v="2615"/>
    <d v="1899-12-30T00:01:58"/>
    <x v="520"/>
    <x v="1"/>
    <s v="brockport"/>
    <x v="220"/>
    <n v="979949"/>
    <x v="14"/>
    <s v="Literature"/>
    <s v="9780786493234"/>
    <s v=",1,2,3,102,103,104,100,101,105,106,107,108,109,110,51,52,53,49,50,54,55,56,57,58,59,60,61,62,63,64,65,66,67,68,69,70,71,72"/>
    <n v="38"/>
    <m/>
    <m/>
    <s v="No"/>
    <x v="1"/>
    <m/>
    <m/>
    <s v="137.21.7.121"/>
    <s v="PS3603.O4558 -- Z6845 2012eb"/>
    <s v="813/.6"/>
    <d v="2012-07-12T00:00:00"/>
  </r>
  <r>
    <x v="2616"/>
    <d v="1899-12-30T01:08:02"/>
    <x v="729"/>
    <x v="7"/>
    <s v="oneonta"/>
    <x v="760"/>
    <n v="943645"/>
    <x v="15"/>
    <s v="History"/>
    <s v="9781441104755"/>
    <s v=",1,2,3,4,5,6,7,178,179,180,176,177,181"/>
    <n v="13"/>
    <m/>
    <m/>
    <s v="No"/>
    <x v="1"/>
    <m/>
    <m/>
    <s v="137.141.13.2"/>
    <s v="CB5 .M384 2012"/>
    <n v="948.02200000000005"/>
    <d v="2012-05-31T00:00:00"/>
  </r>
  <r>
    <x v="2617"/>
    <d v="1899-12-30T00:02:32"/>
    <x v="144"/>
    <x v="12"/>
    <s v="potsdam"/>
    <x v="710"/>
    <n v="1873101"/>
    <x v="0"/>
    <s v="Education"/>
    <s v="9781118762233"/>
    <s v=",1,2,3,53,54,55,51,52,50,49,47,48,102,103,104,100,101,105,99,32,33,34,30,31,35,36,37,38,39,193,194,195,191,190,213,214,215,216,212,217,40,41,42"/>
    <n v="43"/>
    <m/>
    <m/>
    <s v="No"/>
    <x v="0"/>
    <d v="2015-12-01T01:38:22"/>
    <n v="7"/>
    <s v="137.143.104.94"/>
    <s v="LB2341 -- .B7425 2015eb"/>
    <s v="378.1/01"/>
    <d v="2014-12-02T00:00:00"/>
  </r>
  <r>
    <x v="2618"/>
    <d v="1899-12-30T00:00:43"/>
    <x v="730"/>
    <x v="1"/>
    <s v="brockport"/>
    <x v="763"/>
    <n v="2075580"/>
    <x v="0"/>
    <s v="Medicine"/>
    <s v="9781118961698"/>
    <s v=",86,203,204,201,202,206"/>
    <n v="6"/>
    <m/>
    <m/>
    <s v="No"/>
    <x v="0"/>
    <d v="2015-12-01T23:34:10"/>
    <n v="7"/>
    <s v="137.21.7.121"/>
    <s v="RJ503 .S384 2015"/>
    <n v="616.89140835000001"/>
    <d v="2015-04-01T00:00:00"/>
  </r>
  <r>
    <x v="2619"/>
    <d v="1899-12-30T00:00:18"/>
    <x v="731"/>
    <x v="1"/>
    <s v="brockport"/>
    <x v="764"/>
    <n v="1895756"/>
    <x v="0"/>
    <s v="History"/>
    <s v="9781118923900"/>
    <s v=",1,2,3,4,5,6,7"/>
    <n v="7"/>
    <m/>
    <m/>
    <s v="No"/>
    <x v="3"/>
    <m/>
    <m/>
    <s v="137.21.7.121"/>
    <s v="E230 .M384 2015"/>
    <n v="973.33"/>
    <d v="2015-04-08T00:00:00"/>
  </r>
  <r>
    <x v="2620"/>
    <d v="1899-12-30T00:19:00"/>
    <x v="730"/>
    <x v="1"/>
    <s v="brockport"/>
    <x v="763"/>
    <n v="2075580"/>
    <x v="0"/>
    <s v="Medicine"/>
    <s v="9781118961698"/>
    <s v=",1,2,3,4,5,6,43,44,45,41,42,46,50,51,52,48,49,83,84,85,81,82"/>
    <n v="22"/>
    <m/>
    <m/>
    <s v="No"/>
    <x v="3"/>
    <m/>
    <m/>
    <s v="137.21.7.121"/>
    <s v="RJ503 .S384 2015"/>
    <n v="616.89140835000001"/>
    <d v="2015-04-01T00:00:00"/>
  </r>
  <r>
    <x v="2621"/>
    <d v="1899-12-30T00:00:02"/>
    <x v="730"/>
    <x v="1"/>
    <s v="brockport"/>
    <x v="763"/>
    <n v="2075580"/>
    <x v="0"/>
    <s v="Medicine"/>
    <s v="9781118961698"/>
    <m/>
    <n v="0"/>
    <m/>
    <m/>
    <s v="No"/>
    <x v="3"/>
    <m/>
    <m/>
    <s v="137.21.7.121"/>
    <s v="RJ503 .S384 2015"/>
    <n v="616.89140835000001"/>
    <d v="2015-04-01T00:00:00"/>
  </r>
  <r>
    <x v="2622"/>
    <d v="1899-12-30T00:00:25"/>
    <x v="586"/>
    <x v="7"/>
    <s v="oneonta"/>
    <x v="613"/>
    <n v="1935791"/>
    <x v="0"/>
    <s v="Business/Management; Economics"/>
    <s v="9781118909935"/>
    <s v=",1,2,2,3,3,1,64,65,66,2,62,63,64,65,63,66"/>
    <n v="8"/>
    <m/>
    <m/>
    <s v="No"/>
    <x v="1"/>
    <m/>
    <m/>
    <s v="137.141.13.2"/>
    <s v="HC427.92 -- .C4782 2015eb"/>
    <n v="338.95100000000002"/>
    <d v="2014-12-22T00:00:00"/>
  </r>
  <r>
    <x v="2623"/>
    <d v="1899-12-30T00:26:52"/>
    <x v="732"/>
    <x v="1"/>
    <s v="brockport"/>
    <x v="765"/>
    <n v="1895391"/>
    <x v="0"/>
    <s v="Business/Management"/>
    <s v="9781119090380"/>
    <s v=",1,3,2,4,37,38,39,35,36,1,3,6,4,5,1,3,2,4,5,6,7,8,9,10,11,2,12,13,14,15,16,17,18,19,20,21,22,23,24,26,27,29,28,25,30,31,32,33,34,35,36,37,38,39"/>
    <n v="39"/>
    <m/>
    <m/>
    <s v="No"/>
    <x v="0"/>
    <d v="2015-12-01T22:42:26"/>
    <n v="7"/>
    <s v="137.21.7.121"/>
    <s v="HD57.7 -- .B46 2015eb"/>
    <s v="658.4/092"/>
    <d v="2015-03-18T00:00:00"/>
  </r>
  <r>
    <x v="2624"/>
    <d v="1899-12-30T00:01:19"/>
    <x v="733"/>
    <x v="12"/>
    <s v="potsdam"/>
    <x v="766"/>
    <n v="2079170"/>
    <x v="11"/>
    <s v="Literature"/>
    <s v="9780226210438"/>
    <s v=",1,1,3,3,2,1,2,8,8,9,9,10,6,10,7,7,58,58,57,57,59,56,59,60,60,2,61,61,62,62,86,87,86,88,87,88,84,85,85,86,86,87,88"/>
    <n v="20"/>
    <m/>
    <m/>
    <s v="No"/>
    <x v="3"/>
    <m/>
    <m/>
    <s v="137.143.104.94"/>
    <s v="PT2603.R397"/>
    <n v="832.91200000000003"/>
    <d v="2015-07-13T00:00:00"/>
  </r>
  <r>
    <x v="2625"/>
    <d v="1899-12-30T00:12:46"/>
    <x v="732"/>
    <x v="1"/>
    <s v="brockport"/>
    <x v="765"/>
    <n v="1895391"/>
    <x v="0"/>
    <s v="Business/Management"/>
    <s v="9781119090380"/>
    <s v=",1,2,3,37,39,38,35,36,34,32,33,30,31"/>
    <n v="13"/>
    <m/>
    <m/>
    <s v="No"/>
    <x v="1"/>
    <m/>
    <m/>
    <s v="137.21.7.121"/>
    <s v="HD57.7 -- .B46 2015eb"/>
    <s v="658.4/092"/>
    <d v="2015-03-18T00:00:00"/>
  </r>
  <r>
    <x v="2626"/>
    <d v="1899-12-30T00:12:00"/>
    <x v="734"/>
    <x v="1"/>
    <s v="brockport"/>
    <x v="767"/>
    <n v="1895285"/>
    <x v="0"/>
    <s v="Computer Science/IT"/>
    <s v="9781119035671"/>
    <s v=",53,55,56,57,58,60,71,73,74,75,76,77,78,79,80,81,83,84,85,86,87"/>
    <n v="21"/>
    <m/>
    <m/>
    <s v="No"/>
    <x v="0"/>
    <d v="2015-12-01T22:20:09"/>
    <n v="7"/>
    <s v="137.21.7.121"/>
    <s v="QA76.77"/>
    <s v="005.4/46"/>
    <d v="2015-08-11T00:00:00"/>
  </r>
  <r>
    <x v="2627"/>
    <d v="1899-12-30T00:05:28"/>
    <x v="734"/>
    <x v="1"/>
    <s v="brockport"/>
    <x v="767"/>
    <n v="1895285"/>
    <x v="0"/>
    <s v="Computer Science/IT"/>
    <s v="9781119035671"/>
    <s v=",2,3,1,15,13,14,29,25,39,40,41,42,44,47,48,50,51"/>
    <n v="17"/>
    <m/>
    <m/>
    <s v="No"/>
    <x v="3"/>
    <m/>
    <m/>
    <s v="137.21.7.121"/>
    <s v="QA76.77"/>
    <s v="005.4/46"/>
    <d v="2015-08-11T00:00:00"/>
  </r>
  <r>
    <x v="2628"/>
    <d v="1899-12-30T01:01:18"/>
    <x v="26"/>
    <x v="6"/>
    <s v="sjfc"/>
    <x v="12"/>
    <n v="1154341"/>
    <x v="0"/>
    <s v="Social Science"/>
    <s v="9781118505014"/>
    <s v=",29,30,31,32,33,34,35,36,37,38,39,40,41,42,43,44,45,46,47,49,50,53,54,55,56,57,58,59,60,61,62,63,64,66,67,68,70,71,72,73,74,75,76,77,78,79,80,81,82,83,84,85,86,87,90,89,91,88,95,94,93,91,90,92,6,7,48,69,91,95,100,98,99,96,97,94,93,92,90,89,92,93,94,95,96,97,98,99,100,101,102,103,104,105,59,60,61,57,58,62,63,64,65,66,67,68,69,56,55,54,52,51,50,48,49,46,47,45,44,43,42,41,40,39,38,37,36,35,34,33,32,31,30,29,34,35,36"/>
    <n v="79"/>
    <m/>
    <m/>
    <s v="No"/>
    <x v="0"/>
    <d v="2015-12-01T22:07:29"/>
    <n v="7"/>
    <s v="149.69.254.57"/>
    <s v="HV8077 -- .H4293 2013eb"/>
    <s v="363.25/62"/>
    <d v="2013-03-11T00:00:00"/>
  </r>
  <r>
    <x v="2629"/>
    <d v="1899-12-30T00:10:43"/>
    <x v="26"/>
    <x v="6"/>
    <s v="sjfc"/>
    <x v="12"/>
    <n v="1154341"/>
    <x v="0"/>
    <s v="Social Science"/>
    <s v="9781118505014"/>
    <s v=",1,2,3,4,5,6,7,8,9,10,11,12,13,14,15,16,17,18,19,20,21,22,23,24,25,26,27,28"/>
    <n v="28"/>
    <m/>
    <m/>
    <s v="No"/>
    <x v="1"/>
    <m/>
    <m/>
    <s v="149.69.254.57"/>
    <s v="HV8077 -- .H4293 2013eb"/>
    <s v="363.25/62"/>
    <d v="2013-03-11T00:00:00"/>
  </r>
  <r>
    <x v="2630"/>
    <d v="1899-12-30T00:00:22"/>
    <x v="735"/>
    <x v="0"/>
    <s v="Buffalo"/>
    <x v="768"/>
    <n v="829309"/>
    <x v="4"/>
    <s v="Medicine"/>
    <s v="9781462502387"/>
    <s v=",1,2,2,3,1,3,4,6,4,5,6,5,7,7,8,8,9,9,2"/>
    <n v="9"/>
    <m/>
    <m/>
    <s v="No"/>
    <x v="1"/>
    <m/>
    <m/>
    <s v="128.205.114.91"/>
    <s v="RC489.B4 -- K64 2012eb"/>
    <n v="616.89142000000004"/>
    <d v="2011-12-14T00:00:00"/>
  </r>
  <r>
    <x v="2631"/>
    <d v="1899-12-30T00:01:43"/>
    <x v="736"/>
    <x v="1"/>
    <s v="brockport"/>
    <x v="769"/>
    <n v="1161980"/>
    <x v="0"/>
    <s v="Medicine; Business/Management"/>
    <s v="9781118675328"/>
    <s v=",1,79,80,78,76,77,2,81,82,83,84,85,86,87,88,89,90"/>
    <n v="17"/>
    <m/>
    <m/>
    <s v="No"/>
    <x v="3"/>
    <m/>
    <m/>
    <s v="137.21.7.121"/>
    <s v="HF5415.1265 -- .E46 2013eb"/>
    <n v="616.90409999999997"/>
    <d v="2013-03-27T00:00:00"/>
  </r>
  <r>
    <x v="2632"/>
    <d v="1899-12-30T00:00:23"/>
    <x v="737"/>
    <x v="5"/>
    <s v="erie"/>
    <x v="770"/>
    <n v="995801"/>
    <x v="14"/>
    <s v="Fine Arts"/>
    <s v="9781476600574"/>
    <s v=",1,2,3,8,9,10,6,7,162,163,164,160,161,165"/>
    <n v="14"/>
    <m/>
    <m/>
    <s v="No"/>
    <x v="1"/>
    <m/>
    <m/>
    <s v="199.29.6.54"/>
    <s v="PN1995.9.S5 -- S54 2012eb"/>
    <s v="791.43/651"/>
    <d v="2012-07-30T00:00:00"/>
  </r>
  <r>
    <x v="2633"/>
    <d v="1899-12-30T00:00:43"/>
    <x v="738"/>
    <x v="13"/>
    <s v="buffalostate"/>
    <x v="771"/>
    <n v="1663523"/>
    <x v="12"/>
    <s v="Social Science"/>
    <s v="9781469611808"/>
    <s v=",1,2,4,3,5,6,7,8,13,11,9,18,21,23,24,26,28,29,30,31,32,33,44,120,121,117,118,166,167,168,164,169,170"/>
    <n v="33"/>
    <m/>
    <m/>
    <s v="No"/>
    <x v="3"/>
    <m/>
    <m/>
    <s v="136.183.11.43"/>
    <s v="HT1076 -- .C69 2013eb"/>
    <s v="306.3/62082"/>
    <d v="2013-12-20T00:00:00"/>
  </r>
  <r>
    <x v="2634"/>
    <d v="1899-12-30T00:00:46"/>
    <x v="653"/>
    <x v="0"/>
    <s v="Buffalo"/>
    <x v="772"/>
    <n v="1969407"/>
    <x v="1"/>
    <s v="Architecture"/>
    <s v="9781472422880"/>
    <s v=",1,2,3,4,5,6,7,8,9,10,11,12,13,14,15,16,17,18,19,20,21,19"/>
    <n v="21"/>
    <m/>
    <m/>
    <s v="No"/>
    <x v="3"/>
    <m/>
    <m/>
    <s v="128.205.114.91"/>
    <s v="NA2000 -- .S253 2015eb"/>
    <n v="720.71"/>
    <d v="2015-03-28T00:00:00"/>
  </r>
  <r>
    <x v="2635"/>
    <d v="1899-12-30T00:50:31"/>
    <x v="711"/>
    <x v="13"/>
    <s v="buffalostate"/>
    <x v="516"/>
    <n v="1840835"/>
    <x v="0"/>
    <s v="Business/Management; Economics"/>
    <s v="9781118950166"/>
    <s v=",241,242,243,244,239,238,244"/>
    <n v="6"/>
    <m/>
    <m/>
    <s v="No"/>
    <x v="0"/>
    <d v="2015-12-01T20:17:46"/>
    <n v="7"/>
    <s v="136.183.11.43"/>
    <s v="HD9969.S6 .R384 2014"/>
    <n v="338.10923789999998"/>
    <d v="2014-11-10T00:00:00"/>
  </r>
  <r>
    <x v="2636"/>
    <d v="1899-12-30T00:00:41"/>
    <x v="577"/>
    <x v="1"/>
    <s v="brockport"/>
    <x v="773"/>
    <n v="1124858"/>
    <x v="0"/>
    <s v="General Works/Reference; Computer Science/IT"/>
    <s v="9781118491300"/>
    <s v=",1,11,12,13,9,10,14,15,16,17,18,2,19,20,21,22,23"/>
    <n v="17"/>
    <m/>
    <m/>
    <s v="No"/>
    <x v="3"/>
    <m/>
    <m/>
    <s v="137.21.7.121"/>
    <s v="Z52.5.M52 G665 2013"/>
    <n v="5.52"/>
    <d v="2013-02-08T00:00:00"/>
  </r>
  <r>
    <x v="2637"/>
    <d v="1899-12-30T00:00:05"/>
    <x v="739"/>
    <x v="13"/>
    <s v="buffalostate"/>
    <x v="774"/>
    <n v="1414117"/>
    <x v="0"/>
    <s v="Political Science"/>
    <s v="9780745678894"/>
    <s v=",2,1,3"/>
    <n v="3"/>
    <m/>
    <m/>
    <s v="No"/>
    <x v="3"/>
    <m/>
    <m/>
    <s v="136.183.11.43"/>
    <s v="JV6271"/>
    <n v="325.10000000000002"/>
    <d v="2013-09-06T00:00:00"/>
  </r>
  <r>
    <x v="2638"/>
    <d v="1899-12-30T00:18:39"/>
    <x v="711"/>
    <x v="13"/>
    <s v="buffalostate"/>
    <x v="516"/>
    <n v="1840835"/>
    <x v="0"/>
    <s v="Business/Management; Economics"/>
    <s v="9781118950166"/>
    <s v=",1,2,3,193,194,195,191,192,237,239,238,235,236,240"/>
    <n v="14"/>
    <m/>
    <m/>
    <s v="No"/>
    <x v="1"/>
    <m/>
    <m/>
    <s v="136.183.11.43"/>
    <s v="HD9969.S6 .R384 2014"/>
    <n v="338.10923789999998"/>
    <d v="2014-11-10T00:00:00"/>
  </r>
  <r>
    <x v="2639"/>
    <d v="1899-12-30T00:00:06"/>
    <x v="711"/>
    <x v="13"/>
    <s v="buffalostate"/>
    <x v="516"/>
    <n v="1840835"/>
    <x v="0"/>
    <s v="Business/Management; Economics"/>
    <s v="9781118950166"/>
    <s v=",1,2,3"/>
    <n v="3"/>
    <m/>
    <m/>
    <s v="No"/>
    <x v="1"/>
    <m/>
    <m/>
    <s v="136.183.11.43"/>
    <s v="HD9969.S6 .R384 2014"/>
    <n v="338.10923789999998"/>
    <d v="2014-11-10T00:00:00"/>
  </r>
  <r>
    <x v="2640"/>
    <d v="1899-12-30T01:07:16"/>
    <x v="64"/>
    <x v="6"/>
    <s v="sjfc"/>
    <x v="189"/>
    <n v="1557279"/>
    <x v="0"/>
    <s v="Business/Management"/>
    <s v="9781118863664"/>
    <s v=",1,2,3,88,89,90,86,87,91,92,99,103,98,122,116,117,118,115,111,114,108,109,110,107,106,105,103,104,102,101,100,99,98,97,96,95,94,93,86,87,91,97,86,93,87,92,93,84,85"/>
    <n v="37"/>
    <s v=",89,90"/>
    <m/>
    <s v="No"/>
    <x v="0"/>
    <d v="2015-11-30T19:08:57"/>
    <n v="7"/>
    <s v="149.69.254.57"/>
    <s v="HF5661 -- .W384 2014eb"/>
    <n v="657.37800000000004"/>
    <d v="2013-11-07T00:00:00"/>
  </r>
  <r>
    <x v="2641"/>
    <d v="1899-12-30T00:45:10"/>
    <x v="13"/>
    <x v="0"/>
    <s v="Buffalo"/>
    <x v="6"/>
    <n v="1635363"/>
    <x v="0"/>
    <s v="Law"/>
    <s v="9781118678206"/>
    <s v=",1,2,3,3,1,2,108,109,108,110,109,110,107,106,107,111,2,111,112,112,112,113,113,114,114,115,115,116,116,117,117,118,118,119,119,120,120,121,116,121,121,122,122,123,123"/>
    <n v="21"/>
    <m/>
    <m/>
    <s v="No"/>
    <x v="0"/>
    <d v="2015-11-29T22:32:33"/>
    <n v="7"/>
    <s v="128.205.114.91"/>
    <s v="KF285.Z9 -- H38 2014eb"/>
    <n v="340.07600000000002"/>
    <d v="2014-02-14T00:00:00"/>
  </r>
  <r>
    <x v="2642"/>
    <d v="1899-12-30T00:01:29"/>
    <x v="740"/>
    <x v="9"/>
    <s v="trocaire"/>
    <x v="775"/>
    <n v="1520998"/>
    <x v="2"/>
    <s v="History"/>
    <s v="9781317843740"/>
    <s v=",193,195,194,191,196"/>
    <n v="5"/>
    <m/>
    <m/>
    <s v="No"/>
    <x v="2"/>
    <d v="2015-12-01T19:07:21"/>
    <n v="1"/>
    <s v="173.225.62.67"/>
    <s v="D804.G4Q47"/>
    <n v="940.54049999999995"/>
    <d v="2013-10-31T00:00:00"/>
  </r>
  <r>
    <x v="2643"/>
    <d v="1899-12-30T00:08:02"/>
    <x v="144"/>
    <x v="12"/>
    <s v="potsdam"/>
    <x v="710"/>
    <n v="1873101"/>
    <x v="0"/>
    <s v="Education"/>
    <s v="9781118762233"/>
    <s v=",1,2,3,21,22,23,19,20,102,104,103,101,100,105,84,82,83,80,81,106,107,108,195,197,196,193,194,215,216,217,213,214,218,219,234,235,236,232,233,237,238,239,240"/>
    <n v="43"/>
    <m/>
    <s v=",21,22,23,24,25,26,27,28,29,30,31,32,33,34,35,36,37,38,39,40,41,42,43,44,45,46,47,48,49,49,49,50,51,52,53,54,55,56,57,58,59,60,61,62,63,64,65,66,67,68,69,70,71,72,73,74,237,238,239,240,241,242,243,244,245,246,247,248,249,250,251,252,253,254,255,256,257,258,259,260"/>
    <s v="No"/>
    <x v="0"/>
    <d v="2015-12-01T01:38:22"/>
    <n v="7"/>
    <s v="137.143.104.94"/>
    <s v="LB2341 -- .B7425 2015eb"/>
    <s v="378.1/01"/>
    <d v="2014-12-02T00:00:00"/>
  </r>
  <r>
    <x v="2644"/>
    <d v="1899-12-30T00:20:13"/>
    <x v="740"/>
    <x v="9"/>
    <s v="trocaire"/>
    <x v="775"/>
    <n v="1520998"/>
    <x v="2"/>
    <s v="History"/>
    <s v="9781317843740"/>
    <s v=",1,2,3,6,8,5,4,7,20,21,22,18,19"/>
    <n v="13"/>
    <m/>
    <m/>
    <s v="No"/>
    <x v="3"/>
    <m/>
    <m/>
    <s v="173.225.62.67"/>
    <s v="D804.G4Q47"/>
    <n v="940.54049999999995"/>
    <d v="2013-10-31T00:00:00"/>
  </r>
  <r>
    <x v="2645"/>
    <d v="1899-12-30T00:04:33"/>
    <x v="740"/>
    <x v="9"/>
    <s v="trocaire"/>
    <x v="776"/>
    <n v="1396970"/>
    <x v="2"/>
    <s v="Political Science; Social Science"/>
    <s v="9781135281243"/>
    <s v=",569,568,570,571,567,572,573,574,575,619,620,621,618,622,623"/>
    <n v="15"/>
    <m/>
    <m/>
    <s v="No"/>
    <x v="2"/>
    <d v="2015-12-01T18:41:39"/>
    <n v="1"/>
    <s v="173.225.62.67"/>
    <s v="JC481 -- .L44 2011eb"/>
    <n v="302.23108350950002"/>
    <d v="2010-04-28T00:00:00"/>
  </r>
  <r>
    <x v="2646"/>
    <d v="1899-12-30T00:05:16"/>
    <x v="740"/>
    <x v="9"/>
    <s v="trocaire"/>
    <x v="776"/>
    <n v="1396970"/>
    <x v="2"/>
    <s v="Political Science; Social Science"/>
    <s v="9781135281243"/>
    <s v=",1,2,3,4,5,6,7,8,9,10,11,12,13,561,560,562,558,559,563"/>
    <n v="19"/>
    <m/>
    <m/>
    <s v="No"/>
    <x v="3"/>
    <m/>
    <m/>
    <s v="173.225.62.67"/>
    <s v="JC481 -- .L44 2011eb"/>
    <n v="302.23108350950002"/>
    <d v="2010-04-28T00:00:00"/>
  </r>
  <r>
    <x v="2647"/>
    <d v="1899-12-30T00:00:00"/>
    <x v="689"/>
    <x v="1"/>
    <s v="brockport"/>
    <x v="725"/>
    <n v="1046302"/>
    <x v="3"/>
    <s v="Political Science; History"/>
    <s v="9780520953543"/>
    <m/>
    <n v="0"/>
    <m/>
    <m/>
    <s v="No"/>
    <x v="0"/>
    <d v="2015-11-30T19:57:46"/>
    <n v="7"/>
    <s v="137.21.7.121"/>
    <s v="E185.615 -- .B5574 2012eb"/>
    <n v="322.420973"/>
    <d v="2013-01-14T00:00:00"/>
  </r>
  <r>
    <x v="2648"/>
    <d v="1899-12-30T00:02:49"/>
    <x v="741"/>
    <x v="0"/>
    <s v="Buffalo"/>
    <x v="777"/>
    <n v="1659368"/>
    <x v="11"/>
    <s v="Science; Science: Biology/Natural History"/>
    <s v="9780226127323"/>
    <s v=",1,2,3,70,71,72,73,69,124,125,135,136,48,49,50,150,151,152,148,149,153,154,155,157,158,159,160,161,162,163,164,165,167,168,169,1,169,170,171,167,150,151,152,153,149,156,158,160,161,162,163,164,165,166,168,2"/>
    <n v="39"/>
    <m/>
    <m/>
    <s v="No"/>
    <x v="3"/>
    <m/>
    <m/>
    <s v="128.205.114.91"/>
    <s v="QH371"/>
    <n v="576.79999999999995"/>
    <d v="2014-02-14T00:00:00"/>
  </r>
  <r>
    <x v="2649"/>
    <d v="1899-12-30T00:00:51"/>
    <x v="676"/>
    <x v="15"/>
    <s v="morrisville"/>
    <x v="711"/>
    <n v="1540781"/>
    <x v="2"/>
    <s v="Business/Management"/>
    <s v="9781136181726"/>
    <s v=",1,2,3,2,3,1,4,4,4,5,5,2,6,2,6,7,7,8,8,9,9,10,10,11,12,13,11,12,13,14,14,15,16,15,16"/>
    <n v="16"/>
    <m/>
    <m/>
    <s v="No"/>
    <x v="3"/>
    <m/>
    <m/>
    <s v="136.204.32.68"/>
    <s v="HF5821 -- .B89 1997eb"/>
    <n v="659.10419999999999"/>
    <d v="2013-11-05T00:00:00"/>
  </r>
  <r>
    <x v="2650"/>
    <d v="1899-12-30T00:12:47"/>
    <x v="676"/>
    <x v="15"/>
    <s v="morrisville"/>
    <x v="296"/>
    <n v="1397211"/>
    <x v="2"/>
    <s v="Business/Management"/>
    <s v="9781134718924"/>
    <s v=",4,4,5,6,7,5,7,8,6,8,9,10,9,10,11,12,11,13,13,12,7,8,6,11,12,13,14,14,26,26,27,27,28,28,59,60,59,60,57,58,58,61,61,62,62,63,64,63,64,65,66,65,67,66,67,68,68,63,68,63,63,64,63,64,65,63,64,65,63,61,64,26,27,26,28,27,28,6,7,8,7,8,4,6,14,15,14,16,15,16,12,13,13,11"/>
    <n v="28"/>
    <m/>
    <m/>
    <s v="No"/>
    <x v="2"/>
    <d v="2015-12-01T17:34:31"/>
    <n v="1"/>
    <s v="136.204.32.68"/>
    <s v="HF5823 -- .B7273 2009eb"/>
    <n v="659.1"/>
    <d v="2013-09-13T00:00:00"/>
  </r>
  <r>
    <x v="2651"/>
    <d v="1899-12-30T00:23:05"/>
    <x v="72"/>
    <x v="4"/>
    <s v="monroe2boces"/>
    <x v="219"/>
    <n v="1310741"/>
    <x v="15"/>
    <s v="Health; Sport &amp; Recreation"/>
    <s v="9781408107461"/>
    <s v=",25,26,27,28,29,30,31,32,33,34,35"/>
    <n v="11"/>
    <m/>
    <m/>
    <s v="No"/>
    <x v="0"/>
    <d v="2015-12-01T17:33:38"/>
    <n v="7"/>
    <s v="74.39.196.130"/>
    <s v="GV546"/>
    <n v="613.71"/>
    <d v="2009-01-01T00:00:00"/>
  </r>
  <r>
    <x v="2652"/>
    <d v="1899-12-30T00:08:58"/>
    <x v="605"/>
    <x v="8"/>
    <s v="niagaracc"/>
    <x v="635"/>
    <n v="1486883"/>
    <x v="2"/>
    <s v="Health; Social Science; Medicine"/>
    <s v="9781135996666"/>
    <s v=",6,7,8,4,5,1,2,3,4,34,35,36,33,32,31,30,35,36,37,37"/>
    <n v="16"/>
    <m/>
    <m/>
    <s v="No"/>
    <x v="2"/>
    <d v="2015-12-01T17:28:20"/>
    <n v="1"/>
    <s v="132.174.254.37"/>
    <s v="RA576 -- .L38 2011eb"/>
    <n v="615.90200000000004"/>
    <d v="2011-01-19T00:00:00"/>
  </r>
  <r>
    <x v="2653"/>
    <d v="1899-12-30T00:10:49"/>
    <x v="72"/>
    <x v="4"/>
    <s v="monroe2boces"/>
    <x v="219"/>
    <n v="1310741"/>
    <x v="15"/>
    <s v="Health; Sport &amp; Recreation"/>
    <s v="9781408107461"/>
    <s v=",1,2,3,4,5,6,7,8,9,10,11,12,13,14,15,16,17,18,19,20,21,22,23,24"/>
    <n v="24"/>
    <m/>
    <m/>
    <s v="No"/>
    <x v="1"/>
    <m/>
    <m/>
    <s v="74.39.196.130"/>
    <s v="GV546"/>
    <n v="613.71"/>
    <d v="2009-01-01T00:00:00"/>
  </r>
  <r>
    <x v="2654"/>
    <d v="1899-12-30T00:06:22"/>
    <x v="605"/>
    <x v="8"/>
    <s v="niagaracc"/>
    <x v="635"/>
    <n v="1486883"/>
    <x v="2"/>
    <s v="Health; Social Science; Medicine"/>
    <s v="9781135996666"/>
    <s v=",1,2,1,2,3,3,4,4,5,5,2,2,6,7,7,6,8,8,9,9,10,10,11,11,12,12,13,13,14,14,15,15,16,16,17,17,18,18,19,20,19,20,21,22,22,21,23,23,24,24,25,25,26,26,27,27,28,28,29,29,30,30,31,31,32,32,33,33,34,34,35,35,30,35,36,36"/>
    <n v="36"/>
    <m/>
    <m/>
    <s v="No"/>
    <x v="3"/>
    <m/>
    <m/>
    <s v="132.174.254.37"/>
    <s v="RA576 -- .L38 2011eb"/>
    <n v="615.90200000000004"/>
    <d v="2011-01-19T00:00:00"/>
  </r>
  <r>
    <x v="2655"/>
    <d v="1899-12-30T00:14:21"/>
    <x v="676"/>
    <x v="15"/>
    <s v="morrisville"/>
    <x v="296"/>
    <n v="1397211"/>
    <x v="2"/>
    <s v="Business/Management"/>
    <s v="9781134718924"/>
    <s v=",1,3,2,3,2,1,2,2"/>
    <n v="3"/>
    <m/>
    <m/>
    <s v="No"/>
    <x v="3"/>
    <m/>
    <m/>
    <s v="136.204.32.68"/>
    <s v="HF5823 -- .B7273 2009eb"/>
    <n v="659.1"/>
    <d v="2013-09-13T00:00:00"/>
  </r>
  <r>
    <x v="2656"/>
    <d v="1899-12-30T00:14:49"/>
    <x v="687"/>
    <x v="12"/>
    <s v="potsdam"/>
    <x v="723"/>
    <n v="1895514"/>
    <x v="0"/>
    <s v="Engineering: Mechanical; Economics; Engineering; Environmental Studies"/>
    <s v="9781118631027"/>
    <s v=",23,24,1,24,25,26,23,22,19,20,21,17,18,2"/>
    <n v="12"/>
    <m/>
    <m/>
    <s v="No"/>
    <x v="0"/>
    <d v="2015-12-01T17:10:46"/>
    <n v="7"/>
    <s v="137.143.104.94"/>
    <s v="TJ808 -- .D844 2015eb"/>
    <n v="333.79399999999998"/>
    <d v="2015-04-16T00:00:00"/>
  </r>
  <r>
    <x v="2657"/>
    <d v="1899-12-30T00:05:37"/>
    <x v="687"/>
    <x v="12"/>
    <s v="potsdam"/>
    <x v="723"/>
    <n v="1895514"/>
    <x v="0"/>
    <s v="Engineering: Mechanical; Economics; Engineering; Environmental Studies"/>
    <s v="9781118631027"/>
    <s v=",1,2,3,4,5,6,7,8,9,10,11,12,13,14,15,16,17,18,19,20,21,22"/>
    <n v="22"/>
    <m/>
    <m/>
    <s v="No"/>
    <x v="3"/>
    <m/>
    <m/>
    <s v="137.143.104.94"/>
    <s v="TJ808 -- .D844 2015eb"/>
    <n v="333.79399999999998"/>
    <d v="2015-04-16T00:00:00"/>
  </r>
  <r>
    <x v="2658"/>
    <d v="1899-12-30T00:00:41"/>
    <x v="724"/>
    <x v="5"/>
    <s v="erie"/>
    <x v="754"/>
    <n v="818332"/>
    <x v="0"/>
    <s v="Social Science"/>
    <s v="9781118252772"/>
    <s v=",1,2,3,4,5,6,7,8,9,10,11,12,13,14,15,16,17,18"/>
    <n v="18"/>
    <m/>
    <m/>
    <s v="No"/>
    <x v="1"/>
    <m/>
    <m/>
    <s v="199.29.6.54"/>
    <s v="GN419.3 -- .T375 2012eb"/>
    <s v="391.6/5"/>
    <d v="2012-02-21T00:00:00"/>
  </r>
  <r>
    <x v="2659"/>
    <d v="1899-12-30T00:00:07"/>
    <x v="13"/>
    <x v="0"/>
    <s v="Buffalo"/>
    <x v="6"/>
    <n v="1635363"/>
    <x v="0"/>
    <s v="Law"/>
    <s v="9781118678206"/>
    <s v=",1,3,3,1,2,2"/>
    <n v="3"/>
    <m/>
    <m/>
    <s v="No"/>
    <x v="0"/>
    <d v="2015-11-29T22:32:33"/>
    <n v="7"/>
    <s v="128.205.114.91"/>
    <s v="KF285.Z9 -- H38 2014eb"/>
    <n v="340.07600000000002"/>
    <d v="2014-02-14T00:00:00"/>
  </r>
  <r>
    <x v="2660"/>
    <d v="1899-12-30T00:50:35"/>
    <x v="13"/>
    <x v="0"/>
    <s v="Buffalo"/>
    <x v="6"/>
    <n v="1635363"/>
    <x v="0"/>
    <s v="Law"/>
    <s v="9781118678206"/>
    <s v=",1,3,3,2,1,2,2,2,106,107,107,106,109,110,109,110,108,108,111,111,106,105,110,111,112,112,113,113,108,113,114,114,115,115,116,116"/>
    <n v="15"/>
    <m/>
    <m/>
    <s v="No"/>
    <x v="0"/>
    <d v="2015-11-29T22:32:33"/>
    <n v="7"/>
    <s v="128.205.114.91"/>
    <s v="KF285.Z9 -- H38 2014eb"/>
    <n v="340.07600000000002"/>
    <d v="2014-02-14T00:00:00"/>
  </r>
  <r>
    <x v="2661"/>
    <d v="1899-12-30T00:00:00"/>
    <x v="742"/>
    <x v="0"/>
    <s v="Buffalo"/>
    <x v="283"/>
    <n v="1768753"/>
    <x v="4"/>
    <s v="Social Science"/>
    <s v="9781462518371"/>
    <s v=",8"/>
    <n v="1"/>
    <m/>
    <m/>
    <s v="No"/>
    <x v="0"/>
    <d v="2015-12-01T14:43:48"/>
    <n v="7"/>
    <s v="128.205.114.91"/>
    <s v="HM686 -- .H36 2015eb"/>
    <s v="303.3/2"/>
    <d v="2014-11-10T00:00:00"/>
  </r>
  <r>
    <x v="2662"/>
    <d v="1899-12-30T00:05:04"/>
    <x v="742"/>
    <x v="0"/>
    <s v="Buffalo"/>
    <x v="283"/>
    <n v="1768753"/>
    <x v="4"/>
    <s v="Social Science"/>
    <s v="9781462518371"/>
    <s v=",1,1,2,3,2,3,105,106,105,106,107,103,107,104,104,6,7,8,6,8,7,4,5,5,2,9,9,10,10,11,11,12,12,7,5,6,4,3"/>
    <n v="17"/>
    <m/>
    <m/>
    <s v="No"/>
    <x v="3"/>
    <m/>
    <m/>
    <s v="128.205.114.91"/>
    <s v="HM686 -- .H36 2015eb"/>
    <s v="303.3/2"/>
    <d v="2014-11-10T00:00:00"/>
  </r>
  <r>
    <x v="2663"/>
    <d v="1899-12-30T00:01:06"/>
    <x v="554"/>
    <x v="0"/>
    <s v="Buffalo"/>
    <x v="778"/>
    <n v="1964196"/>
    <x v="0"/>
    <s v="Philosophy"/>
    <s v="9781509500864"/>
    <s v=",1,2,3,4,5,6,7,8,9,10,11,2,5,390,568,569,566,567,2,3,4,5,6,7,8,9"/>
    <n v="16"/>
    <m/>
    <m/>
    <s v="No"/>
    <x v="1"/>
    <m/>
    <m/>
    <s v="128.205.114.91"/>
    <s v="B945.S444 O84 2015"/>
    <n v="191"/>
    <d v="2015-02-13T00:00:00"/>
  </r>
  <r>
    <x v="2664"/>
    <d v="1899-12-30T00:01:13"/>
    <x v="743"/>
    <x v="6"/>
    <s v="sjfc"/>
    <x v="779"/>
    <n v="1760721"/>
    <x v="4"/>
    <s v="Medicine"/>
    <s v="9781462517824"/>
    <s v=",1,2,3,139,140,141,137,138,142,143,144,145,146,147,148,149,150,151,152,153,154,155,156"/>
    <n v="23"/>
    <m/>
    <m/>
    <s v="No"/>
    <x v="0"/>
    <d v="2015-12-01T14:19:57"/>
    <n v="7"/>
    <s v="149.69.254.57"/>
    <s v="RC489.B4 -- L56 2015eb"/>
    <n v="616.89142000000004"/>
    <d v="2014-12-24T00:00:00"/>
  </r>
  <r>
    <x v="2665"/>
    <d v="1899-12-30T00:00:38"/>
    <x v="743"/>
    <x v="6"/>
    <s v="sjfc"/>
    <x v="533"/>
    <n v="1760720"/>
    <x v="4"/>
    <s v="Medicine"/>
    <s v="9781462517459"/>
    <s v=",1,2,3,153,154,155,152,151,156,157,158,159,160,161,162,163,164,263,265,264,261,262,266"/>
    <n v="23"/>
    <m/>
    <m/>
    <s v="No"/>
    <x v="1"/>
    <m/>
    <m/>
    <s v="149.69.254.57"/>
    <s v="RC489.D48 -- L56 2015eb"/>
    <n v="616.89142000000004"/>
    <d v="2014-12-23T00:00:00"/>
  </r>
  <r>
    <x v="2666"/>
    <d v="1899-12-30T00:03:50"/>
    <x v="743"/>
    <x v="6"/>
    <s v="sjfc"/>
    <x v="779"/>
    <n v="1760721"/>
    <x v="4"/>
    <s v="Medicine"/>
    <s v="9781462517824"/>
    <s v=",434,435,432,433,69,70,71,67,72,68,73,74,75,76,77,78,79,80,98,99,100,97,96,102,103,101,104,141,142,143,139,140,144,145,146,147"/>
    <n v="36"/>
    <m/>
    <m/>
    <s v="No"/>
    <x v="0"/>
    <d v="2015-12-01T14:19:57"/>
    <n v="7"/>
    <s v="149.69.254.57"/>
    <s v="RC489.B4 -- L56 2015eb"/>
    <n v="616.89142000000004"/>
    <d v="2014-12-24T00:00:00"/>
  </r>
  <r>
    <x v="2667"/>
    <d v="1899-12-30T00:00:11"/>
    <x v="743"/>
    <x v="6"/>
    <s v="sjfc"/>
    <x v="779"/>
    <n v="1760721"/>
    <x v="4"/>
    <s v="Medicine"/>
    <s v="9781462517824"/>
    <s v=",1,2,3"/>
    <n v="3"/>
    <m/>
    <m/>
    <s v="No"/>
    <x v="1"/>
    <m/>
    <m/>
    <s v="149.69.254.57"/>
    <s v="RC489.B4 -- L56 2015eb"/>
    <n v="616.89142000000004"/>
    <d v="2014-12-24T00:00:00"/>
  </r>
  <r>
    <x v="2668"/>
    <d v="1899-12-30T00:00:08"/>
    <x v="554"/>
    <x v="0"/>
    <s v="Buffalo"/>
    <x v="624"/>
    <n v="1132027"/>
    <x v="3"/>
    <s v="History"/>
    <s v="9780520954694"/>
    <s v=",1,2,3,4,5,6,7"/>
    <n v="7"/>
    <m/>
    <m/>
    <s v="No"/>
    <x v="1"/>
    <m/>
    <m/>
    <s v="128.205.114.91"/>
    <s v="DF234 -- .G74 2013eb"/>
    <n v="938.07"/>
    <d v="2013-01-08T00:00:00"/>
  </r>
  <r>
    <x v="2669"/>
    <d v="1899-12-30T00:02:42"/>
    <x v="144"/>
    <x v="12"/>
    <s v="potsdam"/>
    <x v="710"/>
    <n v="1873101"/>
    <x v="0"/>
    <s v="Education"/>
    <s v="9781118762233"/>
    <s v=",1,2,3,25,26,27,23,24,28,29,30,36,37,38,34,35,39,40"/>
    <n v="18"/>
    <m/>
    <m/>
    <s v="No"/>
    <x v="0"/>
    <d v="2015-12-01T01:38:22"/>
    <n v="7"/>
    <s v="137.143.104.94"/>
    <s v="LB2341 -- .B7425 2015eb"/>
    <s v="378.1/01"/>
    <d v="2014-12-02T00:00:00"/>
  </r>
  <r>
    <x v="2670"/>
    <d v="1899-12-30T00:32:02"/>
    <x v="13"/>
    <x v="0"/>
    <s v="Buffalo"/>
    <x v="780"/>
    <n v="1681156"/>
    <x v="7"/>
    <s v="Social Science; Health"/>
    <s v="9781845939205"/>
    <s v=",3,5,1,2,4,15,12,49,50,51,47,48,52,53,54,55,56,57,58,59,60,61,62,64,65,66,68"/>
    <n v="27"/>
    <m/>
    <m/>
    <s v="No"/>
    <x v="2"/>
    <d v="2015-12-01T06:31:07"/>
    <n v="1"/>
    <s v="128.205.114.91"/>
    <s v="RA566.27 -- .E947 2014eb"/>
    <s v="362.1969/8"/>
    <d v="2014-04-22T00:00:00"/>
  </r>
  <r>
    <x v="2671"/>
    <d v="1899-12-30T00:19:13"/>
    <x v="13"/>
    <x v="0"/>
    <s v="Buffalo"/>
    <x v="780"/>
    <n v="1681156"/>
    <x v="7"/>
    <s v="Social Science; Health"/>
    <s v="9781845939205"/>
    <s v=",1,2,3"/>
    <n v="3"/>
    <m/>
    <m/>
    <s v="No"/>
    <x v="3"/>
    <m/>
    <m/>
    <s v="128.205.114.91"/>
    <s v="RA566.27 -- .E947 2014eb"/>
    <s v="362.1969/8"/>
    <d v="2014-04-22T00:00:00"/>
  </r>
  <r>
    <x v="2672"/>
    <d v="1899-12-30T00:01:42"/>
    <x v="744"/>
    <x v="0"/>
    <s v="Buffalo"/>
    <x v="781"/>
    <n v="818101"/>
    <x v="0"/>
    <s v="Computer Science/IT; Business/Management"/>
    <s v="9781118225844"/>
    <s v=",1,2,3,361,363,359,360,364,357,349,338,339,340,336,341,337,342,343,344,345,346,347,348,350,351,352,353"/>
    <n v="27"/>
    <m/>
    <m/>
    <s v="No"/>
    <x v="1"/>
    <m/>
    <m/>
    <s v="128.205.114.91"/>
    <s v="QA76.9.A93 -- C37 2012eb"/>
    <s v="658/.0558"/>
    <d v="2012-02-08T00:00:00"/>
  </r>
  <r>
    <x v="2673"/>
    <d v="1899-12-30T00:04:33"/>
    <x v="745"/>
    <x v="1"/>
    <s v="brockport"/>
    <x v="782"/>
    <n v="515882"/>
    <x v="4"/>
    <s v="Education"/>
    <s v="9781606237069"/>
    <s v=",101,98,4,5,6,7,8,9,10,11,12,13,14,15,16,17,18,19,20,21,22,23,24,25,26,27,28"/>
    <n v="27"/>
    <m/>
    <m/>
    <s v="No"/>
    <x v="2"/>
    <d v="2015-12-01T04:52:17"/>
    <n v="1"/>
    <s v="137.21.7.121"/>
    <s v="LB1050.377 -- .B47 2010eb"/>
    <n v="372.4162"/>
    <d v="2014-05-14T00:00:00"/>
  </r>
  <r>
    <x v="2674"/>
    <d v="1899-12-30T00:08:00"/>
    <x v="745"/>
    <x v="1"/>
    <s v="brockport"/>
    <x v="782"/>
    <n v="515882"/>
    <x v="4"/>
    <s v="Education"/>
    <s v="9781606237069"/>
    <s v=",1,2,3,108,109,110,106,107,111,112,113,114,115,116,117,118,119,120,122,123"/>
    <n v="20"/>
    <m/>
    <m/>
    <s v="No"/>
    <x v="3"/>
    <m/>
    <m/>
    <s v="137.21.7.121"/>
    <s v="LB1050.377 -- .B47 2010eb"/>
    <n v="372.4162"/>
    <d v="2014-05-14T00:00:00"/>
  </r>
  <r>
    <x v="2675"/>
    <d v="1899-12-30T00:22:00"/>
    <x v="746"/>
    <x v="13"/>
    <s v="buffalostate"/>
    <x v="516"/>
    <n v="1840835"/>
    <x v="0"/>
    <s v="Business/Management; Economics"/>
    <s v="9781118950166"/>
    <s v=",1,2,3,249,250,251,252,253,254,255,256,257,261,262,259,263,260,264,265,269,270,271,267,268,272,273,274,275,276"/>
    <n v="29"/>
    <m/>
    <m/>
    <s v="No"/>
    <x v="0"/>
    <d v="2015-11-29T17:48:28"/>
    <n v="7"/>
    <s v="136.183.11.43"/>
    <s v="HD9969.S6 .R384 2014"/>
    <n v="338.10923789999998"/>
    <d v="2014-11-10T00:00:00"/>
  </r>
  <r>
    <x v="2676"/>
    <d v="1899-12-30T00:00:00"/>
    <x v="694"/>
    <x v="0"/>
    <s v="Buffalo"/>
    <x v="703"/>
    <n v="1808795"/>
    <x v="1"/>
    <s v="Architecture"/>
    <s v="9781472447951"/>
    <s v=",4"/>
    <n v="1"/>
    <m/>
    <m/>
    <s v="No"/>
    <x v="0"/>
    <d v="2015-12-01T04:09:47"/>
    <n v="7"/>
    <s v="128.205.114.91"/>
    <s v="NA5870.A9 -- .S353 2014eb"/>
    <s v="726.6094961/8"/>
    <d v="2014-11-28T00:00:00"/>
  </r>
  <r>
    <x v="2677"/>
    <d v="1899-12-30T00:23:28"/>
    <x v="694"/>
    <x v="0"/>
    <s v="Buffalo"/>
    <x v="703"/>
    <n v="1808795"/>
    <x v="1"/>
    <s v="Architecture"/>
    <s v="9781472447951"/>
    <s v=",1,2,3"/>
    <n v="3"/>
    <m/>
    <m/>
    <s v="No"/>
    <x v="3"/>
    <m/>
    <m/>
    <s v="128.205.114.91"/>
    <s v="NA5870.A9 -- .S353 2014eb"/>
    <s v="726.6094961/8"/>
    <d v="2014-11-28T00:00:00"/>
  </r>
  <r>
    <x v="2678"/>
    <d v="1899-12-30T00:07:25"/>
    <x v="747"/>
    <x v="9"/>
    <s v="trocaire"/>
    <x v="783"/>
    <n v="1693780"/>
    <x v="0"/>
    <s v="Social Science; Health"/>
    <s v="9781118869420"/>
    <s v=",1,2,3,4,5,6,7,8,9,10,11,12,13,14,15,16,17,18,19,20,21,22,23,24,25,26,27,28,29,30,31,32,33,34,35,36,37,38,39,40,41,42,43,44,45,46,47,48,49,50,51,52"/>
    <n v="52"/>
    <m/>
    <m/>
    <s v="No"/>
    <x v="1"/>
    <m/>
    <m/>
    <s v="173.225.62.67"/>
    <s v="RA407.3 -- .Y34 2014eb"/>
    <n v="362.10973000000001"/>
    <d v="2014-05-20T00:00:00"/>
  </r>
  <r>
    <x v="2679"/>
    <d v="1899-12-30T00:00:00"/>
    <x v="748"/>
    <x v="7"/>
    <s v="oneonta"/>
    <x v="784"/>
    <n v="1843655"/>
    <x v="1"/>
    <s v="Social Science"/>
    <s v="9781472411792"/>
    <m/>
    <n v="0"/>
    <m/>
    <s v=",12,13,14,15,16,17,18,19,20,21,22,23"/>
    <s v="No"/>
    <x v="2"/>
    <d v="2015-12-01T03:23:10"/>
    <n v="1"/>
    <s v="137.141.13.2"/>
    <s v="HV1568 -- .E445 2015eb"/>
    <s v="305.9/08"/>
    <d v="2015-01-28T00:00:00"/>
  </r>
  <r>
    <x v="2680"/>
    <d v="1899-12-30T00:02:04"/>
    <x v="748"/>
    <x v="7"/>
    <s v="oneonta"/>
    <x v="784"/>
    <n v="1843655"/>
    <x v="1"/>
    <s v="Social Science"/>
    <s v="9781472411792"/>
    <s v=",1,12,14,10,13,11,2,15,16,17,18,19,20,21,22,23,24,25,26,27"/>
    <n v="20"/>
    <m/>
    <m/>
    <s v="No"/>
    <x v="3"/>
    <m/>
    <m/>
    <s v="137.141.13.2"/>
    <s v="HV1568 -- .E445 2015eb"/>
    <s v="305.9/08"/>
    <d v="2015-01-28T00:00:00"/>
  </r>
  <r>
    <x v="2681"/>
    <d v="1899-12-30T00:02:50"/>
    <x v="748"/>
    <x v="7"/>
    <s v="oneonta"/>
    <x v="785"/>
    <n v="1570482"/>
    <x v="1"/>
    <s v="Social Science"/>
    <s v="9781409440529"/>
    <s v=",2,1,3,42,43,44,98"/>
    <n v="7"/>
    <m/>
    <s v=",24,25,26,27,28,29,30,31,32,33,34,35,36,37,38,39,40,41"/>
    <s v="No"/>
    <x v="0"/>
    <d v="2015-12-01T03:16:32"/>
    <n v="7"/>
    <s v="137.141.13.2"/>
    <s v="P96.I34 -- .R633 2014eb"/>
    <s v="302.2301/9"/>
    <d v="2014-02-28T00:00:00"/>
  </r>
  <r>
    <x v="2682"/>
    <d v="1899-12-30T00:01:16"/>
    <x v="748"/>
    <x v="7"/>
    <s v="oneonta"/>
    <x v="785"/>
    <n v="1570482"/>
    <x v="1"/>
    <s v="Social Science"/>
    <s v="9781409440529"/>
    <s v=",24,25,1,26,22,23,2,27,28,29,30,42,43,44,40,25,22,23"/>
    <n v="15"/>
    <m/>
    <m/>
    <s v="No"/>
    <x v="1"/>
    <m/>
    <m/>
    <s v="137.141.13.2"/>
    <s v="P96.I34 -- .R633 2014eb"/>
    <s v="302.2301/9"/>
    <d v="2014-02-28T00:00:00"/>
  </r>
  <r>
    <x v="2683"/>
    <d v="1899-12-30T00:00:00"/>
    <x v="748"/>
    <x v="7"/>
    <s v="oneonta"/>
    <x v="785"/>
    <n v="1570482"/>
    <x v="1"/>
    <s v="Social Science"/>
    <s v="9781409440529"/>
    <m/>
    <n v="0"/>
    <m/>
    <m/>
    <s v="No"/>
    <x v="1"/>
    <m/>
    <m/>
    <s v="137.141.13.2"/>
    <s v="P96.I34 -- .R633 2014eb"/>
    <s v="302.2301/9"/>
    <d v="2014-02-28T00:00:00"/>
  </r>
  <r>
    <x v="2684"/>
    <d v="1899-12-30T00:08:04"/>
    <x v="749"/>
    <x v="3"/>
    <s v="canton"/>
    <x v="353"/>
    <n v="843674"/>
    <x v="0"/>
    <s v="Engineering: Construction; Engineering"/>
    <s v="9781118348444"/>
    <s v=",153,84,85,83,82,86,88,87,89,90,91,94,99,107,110,111,108,109,112,113,131,118,122"/>
    <n v="23"/>
    <m/>
    <m/>
    <s v="No"/>
    <x v="0"/>
    <d v="2015-12-01T03:07:52"/>
    <n v="7"/>
    <s v="137.37.33.33"/>
    <s v="TH435 -- .R76 2012eb"/>
    <n v="692.50972999999999"/>
    <d v="2012-02-21T00:00:00"/>
  </r>
  <r>
    <x v="2685"/>
    <d v="1899-12-30T00:02:29"/>
    <x v="748"/>
    <x v="7"/>
    <s v="oneonta"/>
    <x v="786"/>
    <n v="1524159"/>
    <x v="2"/>
    <s v="Social Science"/>
    <s v="9781135949747"/>
    <s v=",2,4,5,6,3,116,117,118,114,115,119,120,121,122,123,124,125,126,127,128,129,130,131,132,113,109,114,135,136,137,134,133,153,154,155,151,152"/>
    <n v="36"/>
    <m/>
    <s v=",68,69,70,71,72,73,74,75,76,77,78,79,116,117,118,119,120,121,122,123,124,125,126,127,128,129,130,131,132,133,134,135,136,137,138,139,140,141,142,143,144,145,146,147,148,149,150,151,152"/>
    <s v="No"/>
    <x v="2"/>
    <d v="2015-12-01T03:07:26"/>
    <n v="1"/>
    <s v="137.141.13.2"/>
    <s v="HM742 -- .S6281963 2014eb"/>
    <s v="302.23/1"/>
    <d v="2013-10-30T00:00:00"/>
  </r>
  <r>
    <x v="2686"/>
    <d v="1899-12-30T00:05:12"/>
    <x v="748"/>
    <x v="7"/>
    <s v="oneonta"/>
    <x v="786"/>
    <n v="1524159"/>
    <x v="2"/>
    <s v="Social Science"/>
    <s v="9781135949747"/>
    <s v=",1,68,69,70,67,66,2,73,74,75,76,77,78,79,80,81,72,71,82,79,1,68,69,70,66,67"/>
    <n v="19"/>
    <m/>
    <m/>
    <s v="No"/>
    <x v="3"/>
    <m/>
    <m/>
    <s v="137.141.13.2"/>
    <s v="HM742 -- .S6281963 2014eb"/>
    <s v="302.23/1"/>
    <d v="2013-10-30T00:00:00"/>
  </r>
  <r>
    <x v="2687"/>
    <d v="1899-12-30T00:13:42"/>
    <x v="749"/>
    <x v="3"/>
    <s v="canton"/>
    <x v="353"/>
    <n v="843674"/>
    <x v="0"/>
    <s v="Engineering: Construction; Engineering"/>
    <s v="9781118348444"/>
    <s v=",1,2,3,493,494,495,492,491,412,413,414,411,410,66,68,67,65,64,51,49,53,52,50,59,60,58,57,61,62,63,507,508,509,505,506,199,197,198,200,201,191,185,176,175,173,174,172,137,139,135,136,138,140,141,143,142,144,146,145,147,148,149,150,151,152"/>
    <n v="65"/>
    <m/>
    <m/>
    <s v="No"/>
    <x v="1"/>
    <m/>
    <m/>
    <s v="137.37.33.33"/>
    <s v="TH435 -- .R76 2012eb"/>
    <n v="692.50972999999999"/>
    <d v="2012-02-21T00:00:00"/>
  </r>
  <r>
    <x v="2688"/>
    <d v="1899-12-30T00:03:13"/>
    <x v="750"/>
    <x v="1"/>
    <s v="brockport"/>
    <x v="787"/>
    <n v="1487146"/>
    <x v="2"/>
    <s v="Social Science"/>
    <s v="9781136295379"/>
    <s v=",1,3,2,4,270,271,272,268,269,273"/>
    <n v="10"/>
    <m/>
    <m/>
    <s v="No"/>
    <x v="3"/>
    <m/>
    <m/>
    <s v="137.21.7.121"/>
    <s v="GT525 -- .F37 2000eb"/>
    <n v="391"/>
    <d v="2013-10-18T00:00:00"/>
  </r>
  <r>
    <x v="2689"/>
    <d v="1899-12-30T00:40:41"/>
    <x v="689"/>
    <x v="1"/>
    <s v="brockport"/>
    <x v="725"/>
    <n v="1046302"/>
    <x v="3"/>
    <s v="Political Science; History"/>
    <s v="9780520953543"/>
    <s v=",1,2,3,34,35,36,32,33,37,38,39,40,41,42,43,44,45,46,47,48,49,50"/>
    <n v="22"/>
    <m/>
    <m/>
    <s v="No"/>
    <x v="0"/>
    <d v="2015-11-30T19:57:46"/>
    <n v="7"/>
    <s v="137.21.7.121"/>
    <s v="E185.615 -- .B5574 2012eb"/>
    <n v="322.420973"/>
    <d v="2013-01-14T00:00:00"/>
  </r>
  <r>
    <x v="2690"/>
    <d v="1899-12-30T00:00:11"/>
    <x v="750"/>
    <x v="1"/>
    <s v="brockport"/>
    <x v="788"/>
    <n v="1395499"/>
    <x v="2"/>
    <s v="Social Science"/>
    <s v="9781136180316"/>
    <s v=",1,2,3,4,7,8,9,10"/>
    <n v="8"/>
    <m/>
    <m/>
    <s v="No"/>
    <x v="3"/>
    <m/>
    <m/>
    <s v="137.21.7.121"/>
    <s v="DA589.4 -- .M43 1999eb"/>
    <n v="306.40940999999998"/>
    <d v="2013-09-13T00:00:00"/>
  </r>
  <r>
    <x v="2691"/>
    <d v="1899-12-30T01:40:01"/>
    <x v="13"/>
    <x v="0"/>
    <s v="Buffalo"/>
    <x v="6"/>
    <n v="1635363"/>
    <x v="0"/>
    <s v="Law"/>
    <s v="9781118678206"/>
    <s v=",1,2,3,95,97,98,94,96,99,100,101,102,103,104,105,127,128,129,106,107,108,1,108,109,108,109,107,110,106,107,110,1,2"/>
    <n v="23"/>
    <m/>
    <m/>
    <s v="No"/>
    <x v="0"/>
    <d v="2015-11-29T22:32:33"/>
    <n v="7"/>
    <s v="128.205.114.91"/>
    <s v="KF285.Z9 -- H38 2014eb"/>
    <n v="340.07600000000002"/>
    <d v="2014-02-14T00:00:00"/>
  </r>
  <r>
    <x v="2692"/>
    <d v="1899-12-30T00:08:35"/>
    <x v="751"/>
    <x v="0"/>
    <s v="Buffalo"/>
    <x v="789"/>
    <n v="1675657"/>
    <x v="4"/>
    <s v="Education"/>
    <s v="9781462515264"/>
    <s v=",76,77,78,74,75,79,80,81,82,83,84,85,86,87,88,89,90,91,92,93"/>
    <n v="20"/>
    <s v=",76,76,77,78,91,92,93"/>
    <m/>
    <s v="No"/>
    <x v="2"/>
    <d v="2015-12-01T02:12:38"/>
    <n v="1"/>
    <s v="128.205.114.91"/>
    <s v="LB1731 -- .H197 2014eb"/>
    <n v="370.71100000000001"/>
    <d v="2014-07-10T00:00:00"/>
  </r>
  <r>
    <x v="2693"/>
    <d v="1899-12-30T00:00:12"/>
    <x v="656"/>
    <x v="8"/>
    <s v="niagaracc"/>
    <x v="688"/>
    <n v="3061306"/>
    <x v="2"/>
    <s v="Psychology"/>
    <s v="9780203713877"/>
    <s v=",1,2,3,4,5,6,7,8"/>
    <n v="8"/>
    <m/>
    <m/>
    <s v="No"/>
    <x v="3"/>
    <m/>
    <m/>
    <s v="132.174.254.37"/>
    <s v="BF1078 -- .W458 2011eb"/>
    <s v="154.6/3"/>
    <d v="2013-10-01T00:00:00"/>
  </r>
  <r>
    <x v="2694"/>
    <d v="1899-12-30T00:02:42"/>
    <x v="751"/>
    <x v="0"/>
    <s v="Buffalo"/>
    <x v="789"/>
    <n v="1675657"/>
    <x v="4"/>
    <s v="Education"/>
    <s v="9781462515264"/>
    <s v=",1,2,3,74,75,76,72,73,77,75,78"/>
    <n v="10"/>
    <m/>
    <m/>
    <s v="No"/>
    <x v="3"/>
    <m/>
    <m/>
    <s v="128.205.114.91"/>
    <s v="LB1731 -- .H197 2014eb"/>
    <n v="370.71100000000001"/>
    <d v="2014-07-10T00:00:00"/>
  </r>
  <r>
    <x v="2695"/>
    <d v="1899-12-30T00:39:16"/>
    <x v="700"/>
    <x v="1"/>
    <s v="brockport"/>
    <x v="207"/>
    <n v="979950"/>
    <x v="14"/>
    <s v="Literature"/>
    <s v="9781476600321"/>
    <s v=",1,2,3,127,128,129,125,126,130,131,132"/>
    <n v="11"/>
    <m/>
    <m/>
    <s v="No"/>
    <x v="0"/>
    <d v="2015-11-24T13:27:09"/>
    <n v="7"/>
    <s v="137.21.7.121"/>
    <s v="PS3603.O4558 -- Z84 2012eb"/>
    <s v="813/.6"/>
    <d v="2012-07-10T00:00:00"/>
  </r>
  <r>
    <x v="2696"/>
    <d v="1899-12-30T00:41:52"/>
    <x v="689"/>
    <x v="1"/>
    <s v="brockport"/>
    <x v="725"/>
    <n v="1046302"/>
    <x v="3"/>
    <s v="Political Science; History"/>
    <s v="9780520953543"/>
    <s v=",1,2,18,19,20,21,17,22,23,3,24,25,26,27,28,34,36,32,33"/>
    <n v="19"/>
    <m/>
    <m/>
    <s v="No"/>
    <x v="0"/>
    <d v="2015-11-30T19:57:46"/>
    <n v="7"/>
    <s v="137.21.7.121"/>
    <s v="E185.615 -- .B5574 2012eb"/>
    <n v="322.420973"/>
    <d v="2013-01-14T00:00:00"/>
  </r>
  <r>
    <x v="2697"/>
    <d v="1899-12-30T00:00:31"/>
    <x v="752"/>
    <x v="1"/>
    <s v="brockport"/>
    <x v="790"/>
    <n v="1415798"/>
    <x v="2"/>
    <s v="Journalism"/>
    <s v="9781134108503"/>
    <s v=",161,162,163,164,165,166,167,168,169,170,153,152"/>
    <n v="12"/>
    <m/>
    <m/>
    <s v="No"/>
    <x v="2"/>
    <d v="2015-12-01T01:42:57"/>
    <n v="1"/>
    <s v="137.21.7.121"/>
    <s v="PN4815.2 -- .F88 2014eb"/>
    <n v="70.400000000000006"/>
    <d v="2013-09-23T00:00:00"/>
  </r>
  <r>
    <x v="2698"/>
    <d v="1899-12-30T00:06:59"/>
    <x v="144"/>
    <x v="12"/>
    <s v="potsdam"/>
    <x v="710"/>
    <n v="1873101"/>
    <x v="0"/>
    <s v="Education"/>
    <s v="9781118762233"/>
    <s v=",1,2,3,175,176,177,173,174,178,179,195,196,197,193,194,198,199,215,216,217,213,214,218,219,220,221,222,223,224"/>
    <n v="29"/>
    <m/>
    <m/>
    <s v="No"/>
    <x v="0"/>
    <d v="2015-12-01T01:38:22"/>
    <n v="7"/>
    <s v="137.143.104.94"/>
    <s v="LB2341 -- .B7425 2015eb"/>
    <s v="378.1/01"/>
    <d v="2014-12-02T00:00:00"/>
  </r>
  <r>
    <x v="2699"/>
    <d v="1899-12-30T00:01:58"/>
    <x v="144"/>
    <x v="12"/>
    <s v="potsdam"/>
    <x v="710"/>
    <n v="1873101"/>
    <x v="0"/>
    <s v="Education"/>
    <s v="9781118762233"/>
    <s v=",21,22,23,19,20,1,20,25,24,18,22,21,19,2"/>
    <n v="10"/>
    <s v=",52"/>
    <m/>
    <s v="No"/>
    <x v="0"/>
    <d v="2015-12-01T01:38:22"/>
    <n v="7"/>
    <s v="137.143.104.94"/>
    <s v="LB2341 -- .B7425 2015eb"/>
    <s v="378.1/01"/>
    <d v="2014-12-02T00:00:00"/>
  </r>
  <r>
    <x v="2700"/>
    <d v="1899-12-30T00:08:49"/>
    <x v="752"/>
    <x v="1"/>
    <s v="brockport"/>
    <x v="790"/>
    <n v="1415798"/>
    <x v="2"/>
    <s v="Journalism"/>
    <s v="9781134108503"/>
    <s v=",1,156,157,154,158,155,159,2,160"/>
    <n v="9"/>
    <m/>
    <m/>
    <s v="No"/>
    <x v="3"/>
    <m/>
    <m/>
    <s v="137.21.7.121"/>
    <s v="PN4815.2 -- .F88 2014eb"/>
    <n v="70.400000000000006"/>
    <d v="2013-09-23T00:00:00"/>
  </r>
  <r>
    <x v="2701"/>
    <d v="1899-12-30T00:18:15"/>
    <x v="144"/>
    <x v="12"/>
    <s v="potsdam"/>
    <x v="710"/>
    <n v="1873101"/>
    <x v="0"/>
    <s v="Education"/>
    <s v="9781118762233"/>
    <s v=",1,2,3,44,45,42,46,43,47,48,49,50,51,52,53,54"/>
    <n v="16"/>
    <m/>
    <m/>
    <s v="No"/>
    <x v="1"/>
    <m/>
    <m/>
    <s v="137.143.104.94"/>
    <s v="LB2341 -- .B7425 2015eb"/>
    <s v="378.1/01"/>
    <d v="2014-12-02T00:00:00"/>
  </r>
  <r>
    <x v="2702"/>
    <d v="1899-12-30T00:00:58"/>
    <x v="753"/>
    <x v="15"/>
    <s v="morrisville"/>
    <x v="791"/>
    <n v="694378"/>
    <x v="0"/>
    <s v="Agriculture"/>
    <s v="9781118703113"/>
    <s v=",1,2,3,262,263,264,260,261,271,272,273,269,270,274,275,276,277,278,279,280"/>
    <n v="20"/>
    <m/>
    <m/>
    <s v="No"/>
    <x v="3"/>
    <m/>
    <m/>
    <s v="136.204.32.67"/>
    <s v="SF285.3 .P54 2013"/>
    <s v="636.1; 636.1089"/>
    <d v="2013-05-09T00:00:00"/>
  </r>
  <r>
    <x v="2703"/>
    <d v="1899-12-30T00:03:47"/>
    <x v="26"/>
    <x v="6"/>
    <s v="sjfc"/>
    <x v="244"/>
    <n v="848510"/>
    <x v="0"/>
    <s v="Medicine"/>
    <s v="9781118220481"/>
    <s v=",1,2,3,251,252,253,249,250,254,402,403,404,400,401,405"/>
    <n v="15"/>
    <m/>
    <m/>
    <s v="No"/>
    <x v="1"/>
    <m/>
    <m/>
    <s v="149.69.254.57"/>
    <s v="RC489.C63 -- C64 2012eb"/>
    <s v="616.89/1425"/>
    <d v="2012-06-06T00:00:00"/>
  </r>
  <r>
    <x v="2704"/>
    <d v="1899-12-30T01:20:41"/>
    <x v="754"/>
    <x v="0"/>
    <s v="Buffalo"/>
    <x v="792"/>
    <n v="1715303"/>
    <x v="4"/>
    <s v="Medicine; Psychology"/>
    <s v="9781462516131"/>
    <s v=",38,40,51,52,53,54,15,13,14,11,12,16,22,65,66,67,68,69,70,71,73,74,62,55,56,57,58,60,61,50,49,45,46,47,44,118,106,105,107,103,104,102,39,41,42,43,48,108,111,113,108"/>
    <n v="50"/>
    <s v=",35"/>
    <s v=",65,66,67,68,69,70,71,72,73,74,75,76,77,78,79,80,81,82,83,84,85,86,87,88,89,90,91,92,93,94,95,96,97,98,99,100,101,102,103,104,105,35,36,37,38,39,40,41,42"/>
    <s v="No"/>
    <x v="2"/>
    <d v="2015-12-01T00:03:12"/>
    <n v="1"/>
    <s v="128.205.114.91"/>
    <s v="BF698.5 -- .M858 2014eb"/>
    <n v="616.89"/>
    <d v="2014-09-03T00:00:00"/>
  </r>
  <r>
    <x v="2705"/>
    <d v="1899-12-30T00:00:37"/>
    <x v="754"/>
    <x v="0"/>
    <s v="Buffalo"/>
    <x v="792"/>
    <n v="1715303"/>
    <x v="4"/>
    <s v="Medicine; Psychology"/>
    <s v="9781462516131"/>
    <s v=",1,33,34,35,31,32,36,37,2"/>
    <n v="9"/>
    <m/>
    <m/>
    <s v="No"/>
    <x v="3"/>
    <m/>
    <m/>
    <s v="128.205.114.91"/>
    <s v="BF698.5 -- .M858 2014eb"/>
    <n v="616.89"/>
    <d v="2014-09-03T00:00:00"/>
  </r>
  <r>
    <x v="2706"/>
    <d v="1899-12-30T00:23:54"/>
    <x v="713"/>
    <x v="5"/>
    <s v="erie"/>
    <x v="437"/>
    <n v="1767915"/>
    <x v="0"/>
    <s v="Social Science"/>
    <s v="9780730315148"/>
    <s v=",4,5,15,16,17,13,14,18,19,20,21,22,23,24,25,26,27,28,29,30,31,32,33,34,35,36,37,38,39,40,41,42,43,44,45,46"/>
    <n v="36"/>
    <m/>
    <m/>
    <s v="No"/>
    <x v="0"/>
    <d v="2015-11-30T23:48:48"/>
    <n v="7"/>
    <s v="199.29.6.54"/>
    <s v="HM742 -- .C654 2015eb"/>
    <n v="302.23099999999999"/>
    <d v="2014-08-15T00:00:00"/>
  </r>
  <r>
    <x v="2707"/>
    <d v="1899-12-30T00:53:05"/>
    <x v="746"/>
    <x v="13"/>
    <s v="buffalostate"/>
    <x v="516"/>
    <n v="1840835"/>
    <x v="0"/>
    <s v="Business/Management; Economics"/>
    <s v="9781118950166"/>
    <s v=",1,2,3,235,236,237,233,238,239,240,241,242,243,244,249,250,251,247,248,252,253"/>
    <n v="21"/>
    <m/>
    <m/>
    <s v="No"/>
    <x v="0"/>
    <d v="2015-11-29T17:48:28"/>
    <n v="7"/>
    <s v="136.183.11.43"/>
    <s v="HD9969.S6 .R384 2014"/>
    <n v="338.10923789999998"/>
    <d v="2014-11-10T00:00:00"/>
  </r>
  <r>
    <x v="2708"/>
    <d v="1899-12-30T00:18:23"/>
    <x v="713"/>
    <x v="5"/>
    <s v="erie"/>
    <x v="437"/>
    <n v="1767915"/>
    <x v="0"/>
    <s v="Social Science"/>
    <s v="9780730315148"/>
    <s v=",1,2,3"/>
    <n v="3"/>
    <m/>
    <m/>
    <s v="No"/>
    <x v="1"/>
    <m/>
    <m/>
    <s v="199.29.6.54"/>
    <s v="HM742 -- .C654 2015eb"/>
    <n v="302.23099999999999"/>
    <d v="2014-08-15T00:00:00"/>
  </r>
  <r>
    <x v="2709"/>
    <d v="1899-12-30T00:00:20"/>
    <x v="755"/>
    <x v="12"/>
    <s v="potsdam"/>
    <x v="793"/>
    <n v="2025589"/>
    <x v="3"/>
    <s v="Social Science; Medicine; Health"/>
    <s v="9780520962224"/>
    <s v=",1,2,3,6,7,115,116,117,113,114,233,234,235,231,232"/>
    <n v="15"/>
    <m/>
    <m/>
    <s v="No"/>
    <x v="3"/>
    <m/>
    <m/>
    <s v="137.143.104.94"/>
    <s v="RC455.4.E8 J46 2015"/>
    <n v="362.19689008900002"/>
    <d v="2015-09-15T00:00:00"/>
  </r>
  <r>
    <x v="2710"/>
    <d v="1899-12-30T00:03:01"/>
    <x v="13"/>
    <x v="0"/>
    <s v="Buffalo"/>
    <x v="781"/>
    <n v="818101"/>
    <x v="0"/>
    <s v="Computer Science/IT; Business/Management"/>
    <s v="9781118225844"/>
    <s v=",307,308,309,310,311"/>
    <n v="5"/>
    <m/>
    <m/>
    <s v="No"/>
    <x v="0"/>
    <d v="2015-11-30T22:43:58"/>
    <n v="7"/>
    <s v="128.205.114.91"/>
    <s v="QA76.9.A93 -- C37 2012eb"/>
    <s v="658/.0558"/>
    <d v="2012-02-08T00:00:00"/>
  </r>
  <r>
    <x v="2711"/>
    <d v="1899-12-30T00:00:29"/>
    <x v="756"/>
    <x v="1"/>
    <s v="brockport"/>
    <x v="154"/>
    <n v="1895740"/>
    <x v="0"/>
    <s v="Education"/>
    <s v="9781118911419"/>
    <s v=",20,26"/>
    <n v="2"/>
    <m/>
    <m/>
    <s v="Yes"/>
    <x v="0"/>
    <d v="2015-11-30T22:33:08"/>
    <n v="7"/>
    <s v="137.21.7.121"/>
    <s v="LB2353.57 .W384 2015"/>
    <n v="378.1662"/>
    <d v="2015-03-19T00:00:00"/>
  </r>
  <r>
    <x v="2712"/>
    <d v="1899-12-30T00:00:00"/>
    <x v="756"/>
    <x v="1"/>
    <s v="brockport"/>
    <x v="794"/>
    <n v="4036626"/>
    <x v="0"/>
    <m/>
    <s v="9781118596616"/>
    <m/>
    <n v="0"/>
    <m/>
    <m/>
    <s v="Yes"/>
    <x v="2"/>
    <d v="2015-11-30T22:42:08"/>
    <n v="1"/>
    <s v="137.21.7.121"/>
    <m/>
    <m/>
    <d v="2013-01-07T00:00:00"/>
  </r>
  <r>
    <x v="2712"/>
    <d v="1899-12-30T00:00:00"/>
    <x v="756"/>
    <x v="1"/>
    <s v="brockport"/>
    <x v="794"/>
    <n v="4036626"/>
    <x v="0"/>
    <m/>
    <s v="9781118596616"/>
    <m/>
    <n v="0"/>
    <m/>
    <m/>
    <s v="No"/>
    <x v="2"/>
    <d v="2015-11-30T22:42:08"/>
    <n v="1"/>
    <s v="137.21.7.121"/>
    <m/>
    <m/>
    <d v="2013-01-07T00:00:00"/>
  </r>
  <r>
    <x v="2713"/>
    <d v="1899-12-30T00:06:36"/>
    <x v="756"/>
    <x v="1"/>
    <s v="brockport"/>
    <x v="794"/>
    <n v="4036626"/>
    <x v="0"/>
    <m/>
    <s v="9781118596616"/>
    <s v=",1,3,2,4,5,6,7,8,9,10,11,12,13,14,15,16,17,18,19,20,21,22,23,24,25,26"/>
    <n v="26"/>
    <m/>
    <m/>
    <s v="No"/>
    <x v="3"/>
    <m/>
    <m/>
    <s v="137.21.7.121"/>
    <m/>
    <m/>
    <d v="2013-01-07T00:00:00"/>
  </r>
  <r>
    <x v="2714"/>
    <d v="1899-12-30T00:00:00"/>
    <x v="756"/>
    <x v="1"/>
    <s v="brockport"/>
    <x v="154"/>
    <n v="1895740"/>
    <x v="0"/>
    <s v="Education"/>
    <s v="9781118911419"/>
    <s v=",25"/>
    <n v="1"/>
    <m/>
    <m/>
    <s v="No"/>
    <x v="0"/>
    <d v="2015-11-30T22:33:08"/>
    <n v="7"/>
    <s v="137.21.7.121"/>
    <s v="LB2353.57 .W384 2015"/>
    <n v="378.1662"/>
    <d v="2015-03-19T00:00:00"/>
  </r>
  <r>
    <x v="2715"/>
    <d v="1899-12-30T00:06:37"/>
    <x v="757"/>
    <x v="13"/>
    <s v="buffalostate"/>
    <x v="601"/>
    <n v="1675475"/>
    <x v="4"/>
    <s v="Medicine"/>
    <s v="9781462514342"/>
    <s v=",4,5,6,7,8,9,10,11,12,10,13,14,15,10,16,17,11,12,10,9,8,18,19,17,18,19"/>
    <n v="16"/>
    <m/>
    <m/>
    <s v="No"/>
    <x v="2"/>
    <d v="2015-11-30T22:32:53"/>
    <n v="1"/>
    <s v="136.183.11.43"/>
    <s v="RC553.A88 -- .A788 2014eb"/>
    <n v="616.85883200000001"/>
    <d v="2014-07-10T00:00:00"/>
  </r>
  <r>
    <x v="2716"/>
    <d v="1899-12-30T00:05:49"/>
    <x v="756"/>
    <x v="1"/>
    <s v="brockport"/>
    <x v="154"/>
    <n v="1895740"/>
    <x v="0"/>
    <s v="Education"/>
    <s v="9781118911419"/>
    <s v=",1,2,3,13,14,15,11,12,16,17,18,19,20,21,22,24"/>
    <n v="16"/>
    <m/>
    <m/>
    <s v="No"/>
    <x v="3"/>
    <m/>
    <m/>
    <s v="137.21.7.121"/>
    <s v="LB2353.57 .W384 2015"/>
    <n v="378.1662"/>
    <d v="2015-03-19T00:00:00"/>
  </r>
  <r>
    <x v="2717"/>
    <d v="1899-12-30T00:07:45"/>
    <x v="757"/>
    <x v="13"/>
    <s v="buffalostate"/>
    <x v="601"/>
    <n v="1675475"/>
    <x v="4"/>
    <s v="Medicine"/>
    <s v="9781462514342"/>
    <s v=",1,2,3,4,5"/>
    <n v="5"/>
    <m/>
    <m/>
    <s v="No"/>
    <x v="3"/>
    <m/>
    <m/>
    <s v="136.183.11.43"/>
    <s v="RC553.A88 -- .A788 2014eb"/>
    <n v="616.85883200000001"/>
    <d v="2014-07-10T00:00:00"/>
  </r>
  <r>
    <x v="2718"/>
    <d v="1899-12-30T00:42:51"/>
    <x v="13"/>
    <x v="0"/>
    <s v="Buffalo"/>
    <x v="781"/>
    <n v="818101"/>
    <x v="0"/>
    <s v="Computer Science/IT; Business/Management"/>
    <s v="9781118225844"/>
    <s v=",1,2,3,4,5,6,7,8,301,302,303,299,300,304,305,306"/>
    <n v="16"/>
    <m/>
    <m/>
    <s v="No"/>
    <x v="1"/>
    <m/>
    <m/>
    <s v="128.205.114.91"/>
    <s v="QA76.9.A93 -- C37 2012eb"/>
    <s v="658/.0558"/>
    <d v="2012-02-08T00:00:00"/>
  </r>
  <r>
    <x v="2719"/>
    <d v="1899-12-30T00:03:26"/>
    <x v="758"/>
    <x v="5"/>
    <s v="erie"/>
    <x v="702"/>
    <n v="1187185"/>
    <x v="0"/>
    <s v="Engineering; Engineering: Mining; Engineering: Environmental"/>
    <s v="9781118748183"/>
    <s v=",90,91,92,88,89,94,95,96,93,97,76,72,73,74,70,71,69,68,66,67,72,73,74,75,76,68,67"/>
    <n v="21"/>
    <m/>
    <m/>
    <s v="No"/>
    <x v="0"/>
    <d v="2015-11-30T21:57:42"/>
    <n v="7"/>
    <s v="199.29.6.54"/>
    <s v="TD195.G3 -- H65 2013eb"/>
    <n v="622.33799999999997"/>
    <d v="2013-05-06T00:00:00"/>
  </r>
  <r>
    <x v="2720"/>
    <d v="1899-12-30T00:02:40"/>
    <x v="759"/>
    <x v="1"/>
    <s v="brockport"/>
    <x v="795"/>
    <n v="1581908"/>
    <x v="2"/>
    <s v="Health; Social Science"/>
    <s v="9781317788997"/>
    <s v=",1,2,3,143,144,145,141,142,146,147,25,26,27,23,24,28,29,30"/>
    <n v="18"/>
    <m/>
    <m/>
    <s v="No"/>
    <x v="3"/>
    <m/>
    <m/>
    <s v="137.21.7.121"/>
    <s v="HV5824.E85 -- S83 2011eb"/>
    <n v="362.29088999999999"/>
    <d v="2013-12-16T00:00:00"/>
  </r>
  <r>
    <x v="2721"/>
    <d v="1899-12-30T00:10:21"/>
    <x v="758"/>
    <x v="5"/>
    <s v="erie"/>
    <x v="702"/>
    <n v="1187185"/>
    <x v="0"/>
    <s v="Engineering; Engineering: Mining; Engineering: Environmental"/>
    <s v="9781118748183"/>
    <s v=",1,2,3,79,80,81,77,78,82"/>
    <n v="9"/>
    <m/>
    <m/>
    <s v="No"/>
    <x v="1"/>
    <m/>
    <m/>
    <s v="199.29.6.54"/>
    <s v="TD195.G3 -- H65 2013eb"/>
    <n v="622.33799999999997"/>
    <d v="2013-05-06T00:00:00"/>
  </r>
  <r>
    <x v="2722"/>
    <d v="1899-12-30T00:00:58"/>
    <x v="760"/>
    <x v="0"/>
    <s v="Buffalo"/>
    <x v="728"/>
    <n v="1872281"/>
    <x v="4"/>
    <s v="Education; Business/Management"/>
    <s v="9781462519606"/>
    <s v=",1,2,3,1,3,2,2,2,145,146,145,147,146,147,143,144,144,148,148,149,149"/>
    <n v="10"/>
    <m/>
    <m/>
    <s v="No"/>
    <x v="1"/>
    <m/>
    <m/>
    <s v="128.205.114.91"/>
    <s v="HD75 -- .P448 2015eb"/>
    <n v="378.101"/>
    <d v="2015-05-26T00:00:00"/>
  </r>
  <r>
    <x v="2723"/>
    <d v="1899-12-30T01:12:17"/>
    <x v="656"/>
    <x v="8"/>
    <s v="niagaracc"/>
    <x v="687"/>
    <n v="1569869"/>
    <x v="2"/>
    <s v="Psychology"/>
    <s v="9781317799108"/>
    <s v=",13,14,15,16,17,18,19,20,21,22,23,24,25,26,27"/>
    <n v="15"/>
    <m/>
    <m/>
    <s v="No"/>
    <x v="2"/>
    <d v="2015-11-30T20:53:50"/>
    <n v="1"/>
    <s v="132.174.254.37"/>
    <s v="BF1099.L82"/>
    <n v="154.63"/>
    <d v="2013-11-26T00:00:00"/>
  </r>
  <r>
    <x v="2724"/>
    <d v="1899-12-30T00:08:26"/>
    <x v="656"/>
    <x v="8"/>
    <s v="niagaracc"/>
    <x v="687"/>
    <n v="1569869"/>
    <x v="2"/>
    <s v="Psychology"/>
    <s v="9781317799108"/>
    <s v=",1,2,3,4,5,6,7,8,9,10,11,12"/>
    <n v="12"/>
    <m/>
    <m/>
    <s v="No"/>
    <x v="3"/>
    <m/>
    <m/>
    <s v="132.174.254.37"/>
    <s v="BF1099.L82"/>
    <n v="154.63"/>
    <d v="2013-11-26T00:00:00"/>
  </r>
  <r>
    <x v="2725"/>
    <d v="1899-12-30T00:00:00"/>
    <x v="689"/>
    <x v="1"/>
    <s v="brockport"/>
    <x v="725"/>
    <n v="1046302"/>
    <x v="3"/>
    <s v="Political Science; History"/>
    <s v="9780520953543"/>
    <s v=",20"/>
    <n v="1"/>
    <m/>
    <m/>
    <s v="No"/>
    <x v="0"/>
    <d v="2015-11-30T19:57:46"/>
    <n v="7"/>
    <s v="137.21.7.121"/>
    <s v="E185.615 -- .B5574 2012eb"/>
    <n v="322.420973"/>
    <d v="2013-01-14T00:00:00"/>
  </r>
  <r>
    <x v="2726"/>
    <d v="1899-12-30T00:00:07"/>
    <x v="13"/>
    <x v="0"/>
    <s v="Buffalo"/>
    <x v="796"/>
    <n v="1318206"/>
    <x v="0"/>
    <s v="Computer Science/IT; Social Science"/>
    <s v="9781118363560"/>
    <s v=",2,2"/>
    <n v="1"/>
    <m/>
    <m/>
    <s v="Yes"/>
    <x v="0"/>
    <d v="2015-11-30T19:53:25"/>
    <n v="7"/>
    <s v="128.205.114.91"/>
    <s v="HA32 -- .M4994 2013eb"/>
    <s v="005.5/5"/>
    <d v="2013-07-15T00:00:00"/>
  </r>
  <r>
    <x v="2726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11-30T19:53:25"/>
    <n v="7"/>
    <s v="128.205.114.91"/>
    <s v="HA32 -- .M4994 2013eb"/>
    <s v="005.5/5"/>
    <d v="2013-07-15T00:00:00"/>
  </r>
  <r>
    <x v="2727"/>
    <d v="1899-12-30T00:00:17"/>
    <x v="13"/>
    <x v="0"/>
    <s v="Buffalo"/>
    <x v="796"/>
    <n v="1318206"/>
    <x v="0"/>
    <s v="Computer Science/IT; Social Science"/>
    <s v="9781118363560"/>
    <s v=",1,3,3,2,1,2,4,4,5,5"/>
    <n v="5"/>
    <m/>
    <m/>
    <s v="No"/>
    <x v="1"/>
    <m/>
    <m/>
    <s v="128.205.114.91"/>
    <s v="HA32 -- .M4994 2013eb"/>
    <s v="005.5/5"/>
    <d v="2013-07-15T00:00:00"/>
  </r>
  <r>
    <x v="2728"/>
    <d v="1899-12-30T00:01:17"/>
    <x v="757"/>
    <x v="13"/>
    <s v="buffalostate"/>
    <x v="601"/>
    <n v="1675475"/>
    <x v="4"/>
    <s v="Medicine"/>
    <s v="9781462514342"/>
    <s v=",17,1,19,18,15,16,20,13,14,12,10,11,2,8,9,7,6,5,4,3,1,2,13,14,15,16,17,18,19,20,14,13,12,11,10"/>
    <n v="20"/>
    <m/>
    <m/>
    <s v="No"/>
    <x v="3"/>
    <m/>
    <m/>
    <s v="136.183.11.43"/>
    <s v="RC553.A88 -- .A788 2014eb"/>
    <n v="616.85883200000001"/>
    <d v="2014-07-10T00:00:00"/>
  </r>
  <r>
    <x v="2729"/>
    <d v="1899-12-30T00:16:13"/>
    <x v="689"/>
    <x v="1"/>
    <s v="brockport"/>
    <x v="725"/>
    <n v="1046302"/>
    <x v="3"/>
    <s v="Political Science; History"/>
    <s v="9780520953543"/>
    <s v=",1,3,2,3,2,1,4,4,2,2,4,34,18,18,34,20,19,20,16,19,17,17"/>
    <n v="10"/>
    <m/>
    <m/>
    <s v="No"/>
    <x v="1"/>
    <m/>
    <m/>
    <s v="137.21.7.121"/>
    <s v="E185.615 -- .B5574 2012eb"/>
    <n v="322.420973"/>
    <d v="2013-01-14T00:00:00"/>
  </r>
  <r>
    <x v="2730"/>
    <d v="1899-12-30T00:00:00"/>
    <x v="64"/>
    <x v="6"/>
    <s v="sjfc"/>
    <x v="189"/>
    <n v="1557279"/>
    <x v="0"/>
    <s v="Business/Management"/>
    <s v="9781118863664"/>
    <m/>
    <n v="0"/>
    <s v=",88"/>
    <m/>
    <s v="No"/>
    <x v="0"/>
    <d v="2015-11-30T19:08:57"/>
    <n v="7"/>
    <s v="149.69.254.57"/>
    <s v="HF5661 -- .W384 2014eb"/>
    <n v="657.37800000000004"/>
    <d v="2013-11-07T00:00:00"/>
  </r>
  <r>
    <x v="2731"/>
    <d v="1899-12-30T00:01:57"/>
    <x v="64"/>
    <x v="6"/>
    <s v="sjfc"/>
    <x v="189"/>
    <n v="1557279"/>
    <x v="0"/>
    <s v="Business/Management"/>
    <s v="9781118863664"/>
    <s v=",1,2,3,88,90,87,86,89"/>
    <n v="8"/>
    <m/>
    <m/>
    <s v="No"/>
    <x v="1"/>
    <m/>
    <m/>
    <s v="149.69.254.57"/>
    <s v="HF5661 -- .W384 2014eb"/>
    <n v="657.37800000000004"/>
    <d v="2013-11-07T00:00:00"/>
  </r>
  <r>
    <x v="2732"/>
    <d v="1899-12-30T00:02:33"/>
    <x v="761"/>
    <x v="0"/>
    <s v="Buffalo"/>
    <x v="111"/>
    <n v="1166322"/>
    <x v="0"/>
    <s v="Architecture"/>
    <s v="9781118418512"/>
    <s v=",1,2,3,92,93,94,90,91,95,97,96,98,99,100,101"/>
    <n v="15"/>
    <m/>
    <m/>
    <s v="No"/>
    <x v="1"/>
    <m/>
    <m/>
    <s v="128.205.114.91"/>
    <s v="NA2000 -- .G76 2013eb"/>
    <n v="720.072"/>
    <d v="2013-04-03T00:00:00"/>
  </r>
  <r>
    <x v="2733"/>
    <d v="1899-12-30T00:00:03"/>
    <x v="762"/>
    <x v="15"/>
    <s v="morrisville"/>
    <x v="797"/>
    <n v="2038622"/>
    <x v="1"/>
    <s v="Architecture"/>
    <s v="9781472437808"/>
    <s v=",1,2,3"/>
    <n v="3"/>
    <m/>
    <m/>
    <s v="No"/>
    <x v="3"/>
    <m/>
    <m/>
    <s v="136.204.32.68"/>
    <n v="2014042391"/>
    <n v="728.10940000000005"/>
    <d v="2015-05-29T00:00:00"/>
  </r>
  <r>
    <x v="2734"/>
    <d v="1899-12-30T00:02:07"/>
    <x v="763"/>
    <x v="0"/>
    <s v="Buffalo"/>
    <x v="798"/>
    <n v="1742624"/>
    <x v="11"/>
    <s v="Law"/>
    <s v="9780226145594"/>
    <s v=",23,18,17,16,15,20,22,23,24,25"/>
    <n v="9"/>
    <m/>
    <m/>
    <s v="No"/>
    <x v="2"/>
    <d v="2015-11-30T17:15:21"/>
    <n v="1"/>
    <s v="128.205.114.91"/>
    <s v="KF4868"/>
    <s v="342.7308/52161"/>
    <d v="2014-08-20T00:00:00"/>
  </r>
  <r>
    <x v="2735"/>
    <d v="1899-12-30T00:05:03"/>
    <x v="763"/>
    <x v="0"/>
    <s v="Buffalo"/>
    <x v="798"/>
    <n v="1742624"/>
    <x v="11"/>
    <s v="Law"/>
    <s v="9780226145594"/>
    <s v=",1,3,2,22,23,24,25,26,27,28,23,29,21,22,18,19"/>
    <n v="14"/>
    <m/>
    <m/>
    <s v="No"/>
    <x v="3"/>
    <m/>
    <m/>
    <s v="128.205.114.91"/>
    <s v="KF4868"/>
    <s v="342.7308/52161"/>
    <d v="2014-08-20T00:00:00"/>
  </r>
  <r>
    <x v="2736"/>
    <d v="1899-12-30T00:00:01"/>
    <x v="764"/>
    <x v="1"/>
    <s v="brockport"/>
    <x v="799"/>
    <n v="1815566"/>
    <x v="1"/>
    <s v="Political Science"/>
    <s v="9781472430083"/>
    <s v=",19,24"/>
    <n v="2"/>
    <m/>
    <m/>
    <s v="No"/>
    <x v="2"/>
    <d v="2015-11-30T16:57:52"/>
    <n v="1"/>
    <s v="137.21.7.121"/>
    <s v="JV6346 -- .L37 2014eb"/>
    <s v="325/.21"/>
    <d v="2014-12-28T00:00:00"/>
  </r>
  <r>
    <x v="2737"/>
    <d v="1899-12-30T00:05:14"/>
    <x v="741"/>
    <x v="0"/>
    <s v="Buffalo"/>
    <x v="777"/>
    <n v="1659368"/>
    <x v="11"/>
    <s v="Science; Science: Biology/Natural History"/>
    <s v="9780226127323"/>
    <s v=",1,2,3,8,9,10,6,7,11,12,4,5"/>
    <n v="12"/>
    <m/>
    <s v=",12,13,14,15,16,17,18,19,20,21,22,23,24,25,26,27,28,29,30,31,32,33,34,35,36,37,38,39,40,41,42,43,44,45,46,47,48,49,50,51,52,53,54,55,56,57,58,59,60,61,62,63,64,65,66,67,68,69,8,9,10,11"/>
    <s v="No"/>
    <x v="2"/>
    <d v="2015-11-30T16:52:26"/>
    <n v="1"/>
    <s v="128.205.114.91"/>
    <s v="QH371"/>
    <n v="576.79999999999995"/>
    <d v="2014-02-14T00:00:00"/>
  </r>
  <r>
    <x v="2738"/>
    <d v="1899-12-30T00:00:02"/>
    <x v="741"/>
    <x v="0"/>
    <s v="Buffalo"/>
    <x v="777"/>
    <n v="1659368"/>
    <x v="11"/>
    <s v="Science; Science: Biology/Natural History"/>
    <s v="9780226127323"/>
    <m/>
    <n v="0"/>
    <m/>
    <m/>
    <s v="No"/>
    <x v="3"/>
    <m/>
    <m/>
    <s v="128.205.114.91"/>
    <s v="QH371"/>
    <n v="576.79999999999995"/>
    <d v="2014-02-14T00:00:00"/>
  </r>
  <r>
    <x v="2739"/>
    <d v="1899-12-30T00:09:59"/>
    <x v="764"/>
    <x v="1"/>
    <s v="brockport"/>
    <x v="799"/>
    <n v="1815566"/>
    <x v="1"/>
    <s v="Political Science"/>
    <s v="9781472430083"/>
    <s v=",1,2,3,22,23,24,20,21,25"/>
    <n v="9"/>
    <m/>
    <m/>
    <s v="No"/>
    <x v="3"/>
    <m/>
    <m/>
    <s v="137.21.7.121"/>
    <s v="JV6346 -- .L37 2014eb"/>
    <s v="325/.21"/>
    <d v="2014-12-28T00:00:00"/>
  </r>
  <r>
    <x v="2740"/>
    <d v="1899-12-30T00:06:10"/>
    <x v="765"/>
    <x v="1"/>
    <s v="brockport"/>
    <x v="244"/>
    <n v="848510"/>
    <x v="0"/>
    <s v="Medicine"/>
    <s v="9781118220481"/>
    <s v=",1,2,3,38,39,40,36,37,41,66,67,68,64,65,50,51,52,48,49,53,54,55,56,57,58,59,60"/>
    <n v="27"/>
    <m/>
    <m/>
    <s v="No"/>
    <x v="1"/>
    <m/>
    <m/>
    <s v="137.21.7.121"/>
    <s v="RC489.C63 -- C64 2012eb"/>
    <s v="616.89/1425"/>
    <d v="2012-06-06T00:00:00"/>
  </r>
  <r>
    <x v="2741"/>
    <d v="1899-12-30T00:02:43"/>
    <x v="765"/>
    <x v="1"/>
    <s v="brockport"/>
    <x v="800"/>
    <n v="306742"/>
    <x v="4"/>
    <s v="Medicine"/>
    <s v="9781593855093"/>
    <s v=",1,2,3,17,18,19,15,16,13,14,20,21,22,23,24"/>
    <n v="15"/>
    <m/>
    <m/>
    <s v="No"/>
    <x v="3"/>
    <m/>
    <m/>
    <s v="137.21.7.121"/>
    <s v="RC489.C63 -- B54 2006eb"/>
    <n v="616.89139999999998"/>
    <d v="2014-05-14T00:00:00"/>
  </r>
  <r>
    <x v="2742"/>
    <d v="1899-12-30T03:10:20"/>
    <x v="725"/>
    <x v="4"/>
    <s v="monroe2boces"/>
    <x v="756"/>
    <n v="1337535"/>
    <x v="2"/>
    <s v="Education"/>
    <s v="9781317925910"/>
    <s v=",19,19,14,19,20,20,49,50,50,49,51,51,47,48,48,10,11,16,17,18,14,15,19,20,21,21,22,22,23,23,24,24,25,25,20,25,26,26,27,27,28,28,29,29,30,30,31,31,32,32,33,33,34,34,29,28,27,32,33,34,35,35,36,36,37,37,32,37"/>
    <n v="31"/>
    <m/>
    <m/>
    <s v="No"/>
    <x v="2"/>
    <d v="2015-11-30T15:55:08"/>
    <n v="1"/>
    <s v="216.226.96.45"/>
    <s v="LB1775.W44"/>
    <n v="371.10199999999998"/>
    <d v="2013-08-06T00:00:00"/>
  </r>
  <r>
    <x v="2743"/>
    <d v="1899-12-30T00:10:35"/>
    <x v="26"/>
    <x v="6"/>
    <s v="sjfc"/>
    <x v="345"/>
    <n v="1119449"/>
    <x v="0"/>
    <s v="Psychology"/>
    <s v="9781118482230"/>
    <s v=",266,267,268,269,270,271,272,273,274,275,276,277,278,279,280,281,282,283,284,285,286,287,288,289,290,291,295,296,297,293,294,298,299,300,301,302,303,304,305,306,307,308,309,310,311,312,313,314,315,316,317,318,319,320,321,322"/>
    <n v="56"/>
    <m/>
    <m/>
    <s v="No"/>
    <x v="0"/>
    <d v="2015-11-30T15:39:50"/>
    <n v="7"/>
    <s v="149.69.254.57"/>
    <s v="BF576 .S737 2013"/>
    <s v="152.4; 152.4024378198"/>
    <d v="2013-01-28T00:00:00"/>
  </r>
  <r>
    <x v="2744"/>
    <d v="1899-12-30T00:25:53"/>
    <x v="725"/>
    <x v="4"/>
    <s v="monroe2boces"/>
    <x v="756"/>
    <n v="1337535"/>
    <x v="2"/>
    <s v="Education"/>
    <s v="9781317925910"/>
    <s v=",1,2,2,1,3,3,4,4,5,5,6,6,2,2,7,7,8,8,9,9,9,10,10,11,11,12,12,13,13,14,14,15,16,16,17,17,18,15,18"/>
    <n v="18"/>
    <m/>
    <m/>
    <s v="No"/>
    <x v="3"/>
    <m/>
    <m/>
    <s v="216.226.96.45"/>
    <s v="LB1775.W44"/>
    <n v="371.10199999999998"/>
    <d v="2013-08-06T00:00:00"/>
  </r>
  <r>
    <x v="2745"/>
    <d v="1899-12-30T00:10:47"/>
    <x v="26"/>
    <x v="6"/>
    <s v="sjfc"/>
    <x v="345"/>
    <n v="1119449"/>
    <x v="0"/>
    <s v="Psychology"/>
    <s v="9781118482230"/>
    <s v=",1,2,3,233,234,235,231,232,236,237,238,239,240,241,242,243,244,245,246,247,248,249,250,251,252,253,254,255,256,257,258,259,260,261,262,263,264,265"/>
    <n v="38"/>
    <m/>
    <m/>
    <s v="No"/>
    <x v="1"/>
    <m/>
    <m/>
    <s v="149.69.254.57"/>
    <s v="BF576 .S737 2013"/>
    <s v="152.4; 152.4024378198"/>
    <d v="2013-01-28T00:00:00"/>
  </r>
  <r>
    <x v="2746"/>
    <d v="1899-12-30T00:00:27"/>
    <x v="451"/>
    <x v="1"/>
    <s v="brockport"/>
    <x v="414"/>
    <n v="1143522"/>
    <x v="0"/>
    <s v="History"/>
    <s v="9781118257197"/>
    <s v=",1,2,3,23,24,25,21,22,19,20"/>
    <n v="10"/>
    <m/>
    <m/>
    <s v="No"/>
    <x v="1"/>
    <m/>
    <m/>
    <s v="137.21.7.121"/>
    <s v="F1219.73 .S58 2013"/>
    <n v="972"/>
    <d v="2013-03-01T00:00:00"/>
  </r>
  <r>
    <x v="2747"/>
    <d v="1899-12-30T00:00:03"/>
    <x v="725"/>
    <x v="4"/>
    <s v="monroe2boces"/>
    <x v="756"/>
    <n v="1337535"/>
    <x v="2"/>
    <s v="Education"/>
    <s v="9781317925910"/>
    <s v=",1,2,3"/>
    <n v="3"/>
    <m/>
    <m/>
    <s v="No"/>
    <x v="3"/>
    <m/>
    <m/>
    <s v="199.190.223.188"/>
    <s v="LB1775.W44"/>
    <n v="371.10199999999998"/>
    <d v="2013-08-06T00:00:00"/>
  </r>
  <r>
    <x v="2748"/>
    <d v="1899-12-30T02:55:00"/>
    <x v="766"/>
    <x v="7"/>
    <s v="oneonta"/>
    <x v="244"/>
    <n v="848510"/>
    <x v="0"/>
    <s v="Medicine"/>
    <s v="9781118220481"/>
    <s v=",16,9,10,145,146,147,143,144,148,149,150,151,155,156,157,153,154,365,366,367,363,364"/>
    <n v="22"/>
    <m/>
    <m/>
    <s v="No"/>
    <x v="0"/>
    <d v="2015-11-30T14:38:06"/>
    <n v="7"/>
    <s v="137.141.13.2"/>
    <s v="RC489.C63 -- C64 2012eb"/>
    <s v="616.89/1425"/>
    <d v="2012-06-06T00:00:00"/>
  </r>
  <r>
    <x v="2749"/>
    <d v="1899-12-30T00:32:27"/>
    <x v="766"/>
    <x v="7"/>
    <s v="oneonta"/>
    <x v="244"/>
    <n v="848510"/>
    <x v="0"/>
    <s v="Medicine"/>
    <s v="9781118220481"/>
    <s v=",1,2,3,4,13,14,15,11,12"/>
    <n v="9"/>
    <m/>
    <m/>
    <s v="No"/>
    <x v="1"/>
    <m/>
    <m/>
    <s v="137.141.13.2"/>
    <s v="RC489.C63 -- C64 2012eb"/>
    <s v="616.89/1425"/>
    <d v="2012-06-06T00:00:00"/>
  </r>
  <r>
    <x v="2750"/>
    <d v="1899-12-30T00:01:28"/>
    <x v="767"/>
    <x v="12"/>
    <s v="potsdam"/>
    <x v="801"/>
    <n v="2058062"/>
    <x v="1"/>
    <s v="Business/Management; Economics"/>
    <s v="9781472446213"/>
    <s v=",1,2,2,3,1,3,272,272,274,274,2,270,273,271,273,271,174,175,174,175,176,177,176,177,179,179,182,182,263,263,264,264,265,261,265,262,262,174,175,176,172,173,173,177,178,179,178,180,180,182,181,183,181,183,178,169,169"/>
    <n v="26"/>
    <m/>
    <m/>
    <s v="No"/>
    <x v="3"/>
    <m/>
    <m/>
    <s v="137.143.104.94"/>
    <s v="HG5993 .W657 2015"/>
    <s v="332''.04246082091724; 332/.04246082091724"/>
    <d v="2015-07-28T00:00:00"/>
  </r>
  <r>
    <x v="2751"/>
    <d v="1899-12-30T00:02:13"/>
    <x v="144"/>
    <x v="12"/>
    <s v="potsdam"/>
    <x v="710"/>
    <n v="1873101"/>
    <x v="0"/>
    <s v="Education"/>
    <s v="9781118762233"/>
    <s v=",1,2,3,38,39,40,36,37,41,69,70,71,67,68,63,64,65,61,62"/>
    <n v="19"/>
    <m/>
    <m/>
    <s v="No"/>
    <x v="1"/>
    <m/>
    <m/>
    <s v="137.143.104.94"/>
    <s v="LB2341 -- .B7425 2015eb"/>
    <s v="378.1/01"/>
    <d v="2014-12-02T00:00:00"/>
  </r>
  <r>
    <x v="2752"/>
    <d v="1899-12-30T00:00:05"/>
    <x v="557"/>
    <x v="9"/>
    <s v="trocaire"/>
    <x v="802"/>
    <n v="1895759"/>
    <x v="0"/>
    <s v="Medicine"/>
    <s v="9781118925287"/>
    <s v=",23,1,24,25,21,22"/>
    <n v="6"/>
    <m/>
    <m/>
    <s v="No"/>
    <x v="1"/>
    <m/>
    <m/>
    <s v="173.225.62.67"/>
    <s v="RK701 .O384 2015"/>
    <n v="617.60609999999997"/>
    <d v="2015-05-05T00:00:00"/>
  </r>
  <r>
    <x v="2753"/>
    <d v="1899-12-30T02:17:51"/>
    <x v="548"/>
    <x v="1"/>
    <s v="brockport"/>
    <x v="578"/>
    <n v="1816989"/>
    <x v="7"/>
    <s v="Social Science; Health; Medicine"/>
    <s v="9781780644578"/>
    <s v=",2,1,3,1,2,3,2,2,246,247,248,246,248,244,247,245,245,249,249,250,250,251,251,252,252,247,249,250,251,247,248,252,234,235,236,235,234,233,236,233,232,237,237,238,238,239,239,237,238,239,235,236,240,240,241,241,242,242,243,243,244,245,240,238,239,237,236,235,234,233,232,237,238,239,237,237,234,234,234,232,233,237,238,239,240,241,242,243,244,245,240,239,238,237,242,243,244,245,240,245,240,246,247,248,245,249,250,251,252,253,253,254,254,255,255,250"/>
    <n v="27"/>
    <s v=",237"/>
    <m/>
    <s v="No"/>
    <x v="2"/>
    <d v="2015-11-30T01:28:13"/>
    <n v="1"/>
    <s v="137.21.7.121"/>
    <s v="RA793 -- .C5766 2014eb"/>
    <s v="616.9/88"/>
    <d v="2014-09-26T00:00:00"/>
  </r>
  <r>
    <x v="2754"/>
    <d v="1899-12-30T00:01:06"/>
    <x v="768"/>
    <x v="12"/>
    <s v="potsdam"/>
    <x v="803"/>
    <n v="1835694"/>
    <x v="0"/>
    <s v="Medicine"/>
    <s v="9781118418970"/>
    <s v=",1,2,3,4,5,6,7,8,9,10,11,12,13,14,15,16,17,18,19,20,21,22,23,24,25,26,28,29,31,32,33,30,34"/>
    <n v="33"/>
    <m/>
    <m/>
    <s v="No"/>
    <x v="3"/>
    <m/>
    <m/>
    <s v="137.143.104.94"/>
    <s v="RJ504 -- .C37 2015eb"/>
    <s v="618.92/8914"/>
    <d v="2014-11-07T00:00:00"/>
  </r>
  <r>
    <x v="2755"/>
    <d v="1899-12-30T00:23:32"/>
    <x v="741"/>
    <x v="0"/>
    <s v="Buffalo"/>
    <x v="777"/>
    <n v="1659368"/>
    <x v="11"/>
    <s v="Science; Science: Biology/Natural History"/>
    <s v="9780226127323"/>
    <s v=",1,2,3,4,5,6,188,189,190,186,187,185,184,183,182,178,177,152,153,149,150,151,148,146,147,145,144,8,9,6,7,10,11,12,13,14,5,4,3"/>
    <n v="35"/>
    <m/>
    <m/>
    <s v="No"/>
    <x v="3"/>
    <m/>
    <m/>
    <s v="128.205.114.91"/>
    <s v="QH371"/>
    <n v="576.79999999999995"/>
    <d v="2014-02-14T00:00:00"/>
  </r>
  <r>
    <x v="2756"/>
    <d v="1899-12-30T00:00:00"/>
    <x v="741"/>
    <x v="0"/>
    <s v="Buffalo"/>
    <x v="301"/>
    <n v="1692797"/>
    <x v="1"/>
    <s v="Literature"/>
    <s v="9781472431509"/>
    <m/>
    <n v="0"/>
    <m/>
    <m/>
    <s v="No"/>
    <x v="1"/>
    <m/>
    <m/>
    <s v="128.205.114.91"/>
    <s v="PS374.Y57 -- .F46 2014eb"/>
    <s v="813.009/9283"/>
    <d v="2014-07-28T00:00:00"/>
  </r>
  <r>
    <x v="2757"/>
    <d v="1899-12-30T00:06:41"/>
    <x v="769"/>
    <x v="0"/>
    <s v="Buffalo"/>
    <x v="684"/>
    <n v="1120621"/>
    <x v="0"/>
    <s v="Education"/>
    <s v="9781118362679"/>
    <s v=",1,2,3,34,35,36,32,33,37,38,39"/>
    <n v="11"/>
    <m/>
    <m/>
    <s v="No"/>
    <x v="1"/>
    <m/>
    <m/>
    <s v="128.205.114.91"/>
    <s v="LB3013.3 .R59 2012"/>
    <s v="371.5/8; 371.58"/>
    <d v="2012-08-15T00:00:00"/>
  </r>
  <r>
    <x v="2758"/>
    <d v="1899-12-30T00:04:28"/>
    <x v="719"/>
    <x v="1"/>
    <s v="brockport"/>
    <x v="751"/>
    <n v="1169445"/>
    <x v="0"/>
    <s v="Business/Management"/>
    <s v="9781118663417"/>
    <s v=",1,2,3,29,30,31,27,28,32,33,34,37,38,39,35,36,40,1,29,35,36,37,38,39,40,41,42,43,44,45,46,47,48"/>
    <n v="25"/>
    <m/>
    <m/>
    <s v="No"/>
    <x v="3"/>
    <m/>
    <m/>
    <s v="137.21.7.121"/>
    <s v="HD57.7 .S781 2013"/>
    <n v="658.40920000000006"/>
    <d v="2013-04-09T00:00:00"/>
  </r>
  <r>
    <x v="2759"/>
    <d v="1899-12-30T00:02:26"/>
    <x v="770"/>
    <x v="0"/>
    <s v="Buffalo"/>
    <x v="804"/>
    <n v="2054534"/>
    <x v="4"/>
    <s v="Medicine"/>
    <s v="9781462524150"/>
    <s v=",1,2,3,4,5,6,285,286,287,283,284,288"/>
    <n v="12"/>
    <m/>
    <m/>
    <s v="No"/>
    <x v="3"/>
    <m/>
    <m/>
    <s v="128.205.114.91"/>
    <s v="RC564.68.I684 2015"/>
    <n v="616"/>
    <d v="2015-01-01T00:00:00"/>
  </r>
  <r>
    <x v="2760"/>
    <d v="1899-12-30T00:02:30"/>
    <x v="771"/>
    <x v="8"/>
    <s v="niagaracc"/>
    <x v="805"/>
    <n v="4038442"/>
    <x v="0"/>
    <s v="Business/Management"/>
    <s v="9781118761380"/>
    <s v=",1,36,37,38,34,35,2,39,40,41"/>
    <n v="10"/>
    <m/>
    <m/>
    <s v="No"/>
    <x v="3"/>
    <m/>
    <m/>
    <s v="132.174.254.37"/>
    <s v="HF5549.5.R44A525"/>
    <s v="658.3/11"/>
    <d v="2013-05-23T00:00:00"/>
  </r>
  <r>
    <x v="2761"/>
    <d v="1899-12-30T00:00:00"/>
    <x v="772"/>
    <x v="5"/>
    <s v="erie"/>
    <x v="232"/>
    <n v="822111"/>
    <x v="0"/>
    <s v="Social Science"/>
    <s v="9781444356922"/>
    <m/>
    <n v="0"/>
    <s v=",173,175"/>
    <m/>
    <s v="No"/>
    <x v="0"/>
    <d v="2015-11-30T04:31:28"/>
    <n v="7"/>
    <s v="199.29.6.54"/>
    <s v="HV6773 -- .K69 2012eb"/>
    <s v="302.34/3"/>
    <d v="2012-02-16T00:00:00"/>
  </r>
  <r>
    <x v="2762"/>
    <d v="1899-12-30T00:05:05"/>
    <x v="772"/>
    <x v="5"/>
    <s v="erie"/>
    <x v="232"/>
    <n v="822111"/>
    <x v="0"/>
    <s v="Social Science"/>
    <s v="9781444356922"/>
    <s v=",1,169,170,171,167,168,172,173,2,174,175,176,177,173"/>
    <n v="13"/>
    <m/>
    <m/>
    <s v="No"/>
    <x v="1"/>
    <m/>
    <m/>
    <s v="199.29.6.54"/>
    <s v="HV6773 -- .K69 2012eb"/>
    <s v="302.34/3"/>
    <d v="2012-02-16T00:00:00"/>
  </r>
  <r>
    <x v="2763"/>
    <d v="1899-12-30T00:00:04"/>
    <x v="772"/>
    <x v="5"/>
    <s v="erie"/>
    <x v="232"/>
    <n v="822111"/>
    <x v="0"/>
    <s v="Social Science"/>
    <s v="9781444356922"/>
    <s v=",1,132"/>
    <n v="2"/>
    <m/>
    <m/>
    <s v="No"/>
    <x v="1"/>
    <m/>
    <m/>
    <s v="199.29.6.54"/>
    <s v="HV6773 -- .K69 2012eb"/>
    <s v="302.34/3"/>
    <d v="2012-02-16T00:00:00"/>
  </r>
  <r>
    <x v="2764"/>
    <d v="1899-12-30T00:07:05"/>
    <x v="773"/>
    <x v="5"/>
    <s v="erie"/>
    <x v="806"/>
    <n v="1501429"/>
    <x v="0"/>
    <s v="Business/Management; Economics"/>
    <s v="9781118783733"/>
    <s v=",1,2,3,3,1,4,2,5,1,5,6,7,3,4,29,30,2,31,27,28,32,43,44,45,41,42,46,46,1,47,48,44,45,43,41,42,2,1,42,43,44,45,41,2"/>
    <n v="21"/>
    <m/>
    <m/>
    <s v="No"/>
    <x v="1"/>
    <m/>
    <m/>
    <s v="199.29.6.54"/>
    <s v="HG540 -- .M385 2014eb"/>
    <n v="332.024"/>
    <d v="2013-10-23T00:00:00"/>
  </r>
  <r>
    <x v="2765"/>
    <d v="1899-12-30T00:00:36"/>
    <x v="774"/>
    <x v="7"/>
    <s v="oneonta"/>
    <x v="807"/>
    <n v="1209617"/>
    <x v="0"/>
    <s v="Religion"/>
    <s v="9781118423981"/>
    <s v=",1,109,110,111,107,108,2,112,113,114,115"/>
    <n v="11"/>
    <m/>
    <m/>
    <s v="No"/>
    <x v="3"/>
    <m/>
    <m/>
    <s v="137.141.13.2"/>
    <s v="BL1925"/>
    <s v="299.5; 299.5/14; 299.514"/>
    <d v="2013-05-30T00:00:00"/>
  </r>
  <r>
    <x v="2766"/>
    <d v="1899-12-30T00:06:50"/>
    <x v="13"/>
    <x v="0"/>
    <s v="Buffalo"/>
    <x v="630"/>
    <n v="771049"/>
    <x v="18"/>
    <s v="Science: Physics; Science; Environmental Studies"/>
    <s v="9781608706648"/>
    <s v=",39,40,33,41,42,43,57,58,59,55,60,56"/>
    <n v="12"/>
    <m/>
    <m/>
    <s v="No"/>
    <x v="0"/>
    <d v="2015-11-30T03:41:40"/>
    <n v="7"/>
    <s v="128.205.114.91"/>
    <s v="QC981.8"/>
    <n v="363.73874000000001"/>
    <d v="2012-01-01T00:00:00"/>
  </r>
  <r>
    <x v="2767"/>
    <d v="1899-12-30T00:14:10"/>
    <x v="13"/>
    <x v="0"/>
    <s v="Buffalo"/>
    <x v="630"/>
    <n v="771049"/>
    <x v="18"/>
    <s v="Science: Physics; Science; Environmental Studies"/>
    <s v="9781608706648"/>
    <s v=",1,2,3,36,37,38,34,35"/>
    <n v="8"/>
    <m/>
    <m/>
    <s v="No"/>
    <x v="1"/>
    <m/>
    <m/>
    <s v="128.205.114.91"/>
    <s v="QC981.8"/>
    <n v="363.73874000000001"/>
    <d v="2012-01-01T00:00:00"/>
  </r>
  <r>
    <x v="2768"/>
    <d v="1899-12-30T01:51:45"/>
    <x v="719"/>
    <x v="1"/>
    <s v="brockport"/>
    <x v="808"/>
    <n v="1337521"/>
    <x v="2"/>
    <s v="Education"/>
    <s v="9781317922049"/>
    <s v=",36,37,38,39,40,41,42,43,44,45,46,47,48,49,50,51,52,53,54,55,56,57,76,77,78,74,75,79,80,81,83,82,84,133,134,135,131,132,129,130,136,137,138,139,140"/>
    <n v="45"/>
    <m/>
    <m/>
    <s v="No"/>
    <x v="0"/>
    <d v="2015-11-30T03:03:32"/>
    <n v="7"/>
    <s v="137.21.7.121"/>
    <s v="LB2805 -- .C2665 2013eb"/>
    <n v="371.20097299999998"/>
    <d v="2013-08-06T00:00:00"/>
  </r>
  <r>
    <x v="2769"/>
    <d v="1899-12-30T00:00:28"/>
    <x v="680"/>
    <x v="8"/>
    <s v="niagaracc"/>
    <x v="716"/>
    <n v="1986937"/>
    <x v="0"/>
    <s v="Social Science; Medicine; Health"/>
    <s v="9781118760345"/>
    <s v=",134,131,129,127,124,121,119,117,133,115,113,111,109,108,103,101,98,95,92,90,89,88,105,86,85,82,78,74,73,84,75,72,71,5,6,7,4"/>
    <n v="37"/>
    <m/>
    <m/>
    <s v="No"/>
    <x v="2"/>
    <d v="2015-11-30T02:53:28"/>
    <n v="1"/>
    <s v="132.174.254.37"/>
    <s v="HV6080; RA1151"/>
    <n v="614.15"/>
    <d v="2015-02-23T00:00:00"/>
  </r>
  <r>
    <x v="2770"/>
    <d v="1899-12-30T00:11:11"/>
    <x v="719"/>
    <x v="1"/>
    <s v="brockport"/>
    <x v="808"/>
    <n v="1337521"/>
    <x v="2"/>
    <s v="Education"/>
    <s v="9781317922049"/>
    <s v=",1,2,3,16,17,14,18,15,31,32,33,29,30,34,35,28"/>
    <n v="16"/>
    <m/>
    <m/>
    <s v="No"/>
    <x v="3"/>
    <m/>
    <m/>
    <s v="137.21.7.121"/>
    <s v="LB2805 -- .C2665 2013eb"/>
    <n v="371.20097299999998"/>
    <d v="2013-08-06T00:00:00"/>
  </r>
  <r>
    <x v="2771"/>
    <d v="1899-12-30T00:20:55"/>
    <x v="609"/>
    <x v="0"/>
    <s v="Buffalo"/>
    <x v="477"/>
    <n v="1120279"/>
    <x v="0"/>
    <s v="Science: Biology/Natural History; Science"/>
    <s v="9781118537671"/>
    <s v=",1,141,142,143,140,139,144,145,146,147,2,144,145,265,265,140,140,141,142,138,139,137,136,143,141"/>
    <n v="15"/>
    <s v=",145"/>
    <m/>
    <s v="No"/>
    <x v="0"/>
    <d v="2015-11-30T02:37:32"/>
    <n v="7"/>
    <s v="128.205.114.91"/>
    <s v="QH371 .K384 2012"/>
    <n v="599.93499999999995"/>
    <d v="2012-11-19T00:00:00"/>
  </r>
  <r>
    <x v="2772"/>
    <d v="1899-12-30T00:41:04"/>
    <x v="680"/>
    <x v="8"/>
    <s v="niagaracc"/>
    <x v="716"/>
    <n v="1986937"/>
    <x v="0"/>
    <s v="Social Science; Medicine; Health"/>
    <s v="9781118760345"/>
    <s v=",1,2,3,137,139,138,135,136,140,141,142,143,144,145,147,146,148,149,150"/>
    <n v="19"/>
    <m/>
    <m/>
    <s v="No"/>
    <x v="3"/>
    <m/>
    <m/>
    <s v="132.174.254.37"/>
    <s v="HV6080; RA1151"/>
    <n v="614.15"/>
    <d v="2015-02-23T00:00:00"/>
  </r>
  <r>
    <x v="2773"/>
    <d v="1899-12-30T00:35:51"/>
    <x v="609"/>
    <x v="0"/>
    <s v="Buffalo"/>
    <x v="477"/>
    <n v="1120279"/>
    <x v="0"/>
    <s v="Science: Biology/Natural History; Science"/>
    <s v="9781118537671"/>
    <s v=",1,2,3,138,139,140,137,141"/>
    <n v="8"/>
    <m/>
    <m/>
    <s v="No"/>
    <x v="1"/>
    <m/>
    <m/>
    <s v="128.205.114.91"/>
    <s v="QH371 .K384 2012"/>
    <n v="599.93499999999995"/>
    <d v="2012-11-19T00:00:00"/>
  </r>
  <r>
    <x v="2774"/>
    <d v="1899-12-30T00:01:30"/>
    <x v="588"/>
    <x v="1"/>
    <s v="brockport"/>
    <x v="1"/>
    <n v="1684620"/>
    <x v="0"/>
    <s v="Health; Social Science"/>
    <s v="9781118418925"/>
    <s v=",1,2,3,29,30,31,27,28"/>
    <n v="8"/>
    <m/>
    <m/>
    <s v="No"/>
    <x v="1"/>
    <m/>
    <m/>
    <s v="137.21.7.121"/>
    <s v="RA971 -- .S56 2014eb"/>
    <n v="362.10680000000002"/>
    <d v="2014-04-30T00:00:00"/>
  </r>
  <r>
    <x v="2775"/>
    <d v="1899-12-30T02:43:59"/>
    <x v="548"/>
    <x v="1"/>
    <s v="brockport"/>
    <x v="578"/>
    <n v="1816989"/>
    <x v="7"/>
    <s v="Social Science; Health; Medicine"/>
    <s v="9781780644578"/>
    <s v=",265,266,267,263,264,273,274,275,271,272,35,36,37,33,34,246,247,248,244,245,249,250,251,252,253,254,255,1,255,256,257,253,254,2,234,235,236,232,233,237,238,239,240,241,242,243,244,245,246,247,248,249,250,251,252,200,201,202,198,199,203,204,205,206,221,222,223,219,224,220"/>
    <n v="58"/>
    <m/>
    <m/>
    <s v="No"/>
    <x v="2"/>
    <d v="2015-11-30T01:28:13"/>
    <n v="1"/>
    <s v="137.21.7.121"/>
    <s v="RA793 -- .C5766 2014eb"/>
    <s v="616.9/88"/>
    <d v="2014-09-26T00:00:00"/>
  </r>
  <r>
    <x v="2776"/>
    <d v="1899-12-30T00:00:42"/>
    <x v="634"/>
    <x v="11"/>
    <s v="cobleskill"/>
    <x v="11"/>
    <n v="693176"/>
    <x v="0"/>
    <s v="Engineering: Manufacturing; General Works/Reference; Engineering"/>
    <s v="9781118017746"/>
    <s v=",485,486,487,488,489,490,491,492,493,494,495"/>
    <n v="11"/>
    <m/>
    <m/>
    <s v="No"/>
    <x v="0"/>
    <d v="2015-11-30T01:07:06"/>
    <n v="7"/>
    <s v="137.36.32.34"/>
    <s v="Z246 -- .M43 2012eb"/>
    <s v="686.2/209"/>
    <d v="2011-10-19T00:00:00"/>
  </r>
  <r>
    <x v="2777"/>
    <d v="1899-12-30T00:11:45"/>
    <x v="634"/>
    <x v="11"/>
    <s v="cobleskill"/>
    <x v="11"/>
    <n v="693176"/>
    <x v="0"/>
    <s v="Engineering: Manufacturing; General Works/Reference; Engineering"/>
    <s v="9781118017746"/>
    <s v=",1,2,3,546,547,548,544,545,549,550,551,552,553,554,555,556,557,558,559,560,561,562,563,564,565,566,567,568,569,570,571,572,573,574,575,576,577,578,579,580,581,582,583,584,585,586,587,588,589,590,498,499,500,496,497,501,502,503,504,505,506,507,508,509,510,511,512,513,514,515,516,517,518,519,520,521,522,523,524,525,526,527,528,529,530,531,532,533,534,535,536,537,538,539,540,541,542,543,476,477,478,474,475,452,453,454,450,451,455,456,457,458,459,460,461,462,463,464,465,466,467,468,469,470,471,472,473,479,480,481,482,483,484"/>
    <n v="133"/>
    <m/>
    <m/>
    <s v="No"/>
    <x v="1"/>
    <m/>
    <m/>
    <s v="137.36.32.34"/>
    <s v="Z246 -- .M43 2012eb"/>
    <s v="686.2/209"/>
    <d v="2011-10-19T00:00:00"/>
  </r>
  <r>
    <x v="2778"/>
    <d v="1899-12-30T00:44:41"/>
    <x v="548"/>
    <x v="1"/>
    <s v="brockport"/>
    <x v="578"/>
    <n v="1816989"/>
    <x v="7"/>
    <s v="Social Science; Health; Medicine"/>
    <s v="9781780644578"/>
    <s v=",1,2,3"/>
    <n v="3"/>
    <m/>
    <m/>
    <s v="No"/>
    <x v="3"/>
    <m/>
    <m/>
    <s v="137.21.7.121"/>
    <s v="RA793 -- .C5766 2014eb"/>
    <s v="616.9/88"/>
    <d v="2014-09-26T00:00:00"/>
  </r>
  <r>
    <x v="2779"/>
    <d v="1899-12-30T00:00:50"/>
    <x v="775"/>
    <x v="13"/>
    <s v="buffalostate"/>
    <x v="809"/>
    <n v="1112139"/>
    <x v="3"/>
    <s v="Geography/Travel; History"/>
    <s v="9780520955028"/>
    <s v=",88,89,90,86,87,85,84"/>
    <n v="7"/>
    <m/>
    <m/>
    <s v="No"/>
    <x v="0"/>
    <d v="2015-11-30T00:32:34"/>
    <n v="7"/>
    <s v="136.183.11.43"/>
    <s v="F869.S357 -- M55 2013eb"/>
    <n v="979.46105308999995"/>
    <d v="2013-02-15T00:00:00"/>
  </r>
  <r>
    <x v="2780"/>
    <d v="1899-12-30T00:20:42"/>
    <x v="775"/>
    <x v="13"/>
    <s v="buffalostate"/>
    <x v="809"/>
    <n v="1112139"/>
    <x v="3"/>
    <s v="Geography/Travel; History"/>
    <s v="9780520955028"/>
    <s v=",1,2,3,4,5,6,7,8,9,10,11,12,13,14,15,16,17,18,19,20,21,22,23,24,25,26,27,28,29,30,31,32,33,34,35,36,37,38,39,40,41"/>
    <n v="41"/>
    <m/>
    <m/>
    <s v="No"/>
    <x v="1"/>
    <m/>
    <m/>
    <s v="136.183.11.43"/>
    <s v="F869.S357 -- M55 2013eb"/>
    <n v="979.46105308999995"/>
    <d v="2013-02-15T00:00:00"/>
  </r>
  <r>
    <x v="2781"/>
    <d v="1899-12-30T00:00:18"/>
    <x v="776"/>
    <x v="1"/>
    <s v="brockport"/>
    <x v="515"/>
    <n v="1887115"/>
    <x v="0"/>
    <s v="Social Science"/>
    <s v="9781118787083"/>
    <s v=",1,2,3,26,27,28,24,25"/>
    <n v="8"/>
    <m/>
    <m/>
    <s v="No"/>
    <x v="0"/>
    <d v="2015-11-29T21:53:49"/>
    <n v="7"/>
    <s v="137.21.7.121"/>
    <s v="HQ784.M3 -- .L46 2015eb"/>
    <n v="302.23083000000003"/>
    <d v="2014-12-04T00:00:00"/>
  </r>
  <r>
    <x v="2782"/>
    <d v="1899-12-30T00:01:06"/>
    <x v="775"/>
    <x v="13"/>
    <s v="buffalostate"/>
    <x v="809"/>
    <n v="1112139"/>
    <x v="3"/>
    <s v="Geography/Travel; History"/>
    <s v="9780520955028"/>
    <s v=",1,6,7,8,4,5,9,10,11,12,13,14,88,89,90,86,87,91,2,110,111,112,108,109,113"/>
    <n v="25"/>
    <m/>
    <m/>
    <s v="No"/>
    <x v="1"/>
    <m/>
    <m/>
    <s v="136.183.11.43"/>
    <s v="F869.S357 -- M55 2013eb"/>
    <n v="979.46105308999995"/>
    <d v="2013-02-15T00:00:00"/>
  </r>
  <r>
    <x v="2783"/>
    <d v="1899-12-30T00:00:35"/>
    <x v="777"/>
    <x v="7"/>
    <s v="oneonta"/>
    <x v="810"/>
    <n v="3038627"/>
    <x v="11"/>
    <s v="Business/Management; Engineering: General; Engineering"/>
    <s v="9780226147383"/>
    <s v=",166,167,168,164,165,358,359,356,357,355,354,353,352,351"/>
    <n v="14"/>
    <m/>
    <m/>
    <s v="No"/>
    <x v="2"/>
    <d v="2015-11-29T22:48:25"/>
    <n v="1"/>
    <s v="137.141.13.2"/>
    <s v="T173.8 -- .C767 2014eb"/>
    <s v="658.8/23019"/>
    <d v="2014-09-01T00:00:00"/>
  </r>
  <r>
    <x v="2784"/>
    <d v="1899-12-30T00:05:06"/>
    <x v="777"/>
    <x v="7"/>
    <s v="oneonta"/>
    <x v="810"/>
    <n v="3038627"/>
    <x v="11"/>
    <s v="Business/Management; Engineering: General; Engineering"/>
    <s v="9780226147383"/>
    <s v=",1,2,3,6,7,8,4,5,214,215,216,213,212,217,218,348,349,350,346,347,351,352,353,354,355,141,142,143,144,145,146,154,155,156,147,149,150,151,357,358,359,356,148,152,153,157,158,159,160"/>
    <n v="49"/>
    <m/>
    <m/>
    <s v="No"/>
    <x v="3"/>
    <m/>
    <m/>
    <s v="137.141.13.2"/>
    <s v="T173.8 -- .C767 2014eb"/>
    <s v="658.8/23019"/>
    <d v="2014-09-01T00:00:00"/>
  </r>
  <r>
    <x v="2785"/>
    <d v="1899-12-30T00:06:08"/>
    <x v="13"/>
    <x v="0"/>
    <s v="Buffalo"/>
    <x v="6"/>
    <n v="1635363"/>
    <x v="0"/>
    <s v="Law"/>
    <s v="9781118678206"/>
    <s v=",100,100,101,101,102,102"/>
    <n v="3"/>
    <m/>
    <m/>
    <s v="No"/>
    <x v="0"/>
    <d v="2015-11-29T22:32:33"/>
    <n v="7"/>
    <s v="128.205.114.91"/>
    <s v="KF285.Z9 -- H38 2014eb"/>
    <n v="340.07600000000002"/>
    <d v="2014-02-14T00:00:00"/>
  </r>
  <r>
    <x v="2786"/>
    <d v="1899-12-30T00:16:47"/>
    <x v="776"/>
    <x v="1"/>
    <s v="brockport"/>
    <x v="811"/>
    <n v="4025778"/>
    <x v="0"/>
    <s v="Library Science; Social Science"/>
    <s v="9780745657578"/>
    <s v=",10,11,5,4,12,13,14,15,16,17,18,8,7,6,4,5,9,10,11,12,13,14,15,16,17,18,19,20,21,22,23,24,25,26,27,28,29,30,31,32,45,46,47,43,44,48,49,50,132,133,134,130,131,135,136,137,138,136,139,136,139,140,141"/>
    <n v="49"/>
    <m/>
    <m/>
    <s v="No"/>
    <x v="2"/>
    <d v="2015-11-29T22:24:53"/>
    <n v="1"/>
    <s v="137.21.7.121"/>
    <s v="HQ784.I58"/>
    <n v="25.04083"/>
    <d v="2013-05-06T00:00:00"/>
  </r>
  <r>
    <x v="2787"/>
    <d v="1899-12-30T00:10:34"/>
    <x v="13"/>
    <x v="0"/>
    <s v="Buffalo"/>
    <x v="6"/>
    <n v="1635363"/>
    <x v="0"/>
    <s v="Law"/>
    <s v="9781118678206"/>
    <s v=",1,2,3,1,3,2,93,93,95,95,91,94,94,93,95,91,92,92,2,96,96,97,97,98,98,99,99"/>
    <n v="12"/>
    <m/>
    <m/>
    <s v="No"/>
    <x v="1"/>
    <m/>
    <m/>
    <s v="128.205.114.91"/>
    <s v="KF285.Z9 -- H38 2014eb"/>
    <n v="340.07600000000002"/>
    <d v="2014-02-14T00:00:00"/>
  </r>
  <r>
    <x v="2788"/>
    <d v="1899-12-30T00:54:06"/>
    <x v="776"/>
    <x v="1"/>
    <s v="brockport"/>
    <x v="515"/>
    <n v="1887115"/>
    <x v="0"/>
    <s v="Social Science"/>
    <s v="9781118787083"/>
    <s v=",8,3,8,9,10,11,19,20,21,17,18,22,23,24,25,26,32,34,35,36,33,37,217,218,219,215,216,207,208,209,205,206,255,256,257,252,253,254,250,251,255,255,256,257,258,259,260,261,262,264"/>
    <n v="45"/>
    <m/>
    <m/>
    <s v="No"/>
    <x v="0"/>
    <d v="2015-11-29T21:53:49"/>
    <n v="7"/>
    <s v="137.21.7.121"/>
    <s v="HQ784.M3 -- .L46 2015eb"/>
    <n v="302.23083000000003"/>
    <d v="2014-12-04T00:00:00"/>
  </r>
  <r>
    <x v="2789"/>
    <d v="1899-12-30T00:11:00"/>
    <x v="778"/>
    <x v="6"/>
    <s v="sjfc"/>
    <x v="812"/>
    <n v="918813"/>
    <x v="18"/>
    <s v="History"/>
    <s v="9781608708086"/>
    <s v=",1,2,3,24,25,26,88,89,90,86,87,91,92,93,94,87"/>
    <n v="15"/>
    <m/>
    <m/>
    <s v="No"/>
    <x v="0"/>
    <d v="2015-11-29T04:30:27"/>
    <n v="7"/>
    <s v="149.69.254.57"/>
    <s v="F2258.5 .D83 2012"/>
    <n v="986.1"/>
    <d v="2012-03-01T00:00:00"/>
  </r>
  <r>
    <x v="2790"/>
    <d v="1899-12-30T00:37:21"/>
    <x v="776"/>
    <x v="1"/>
    <s v="brockport"/>
    <x v="811"/>
    <n v="4025778"/>
    <x v="0"/>
    <s v="Library Science; Social Science"/>
    <s v="9780745657578"/>
    <s v=",1,2,3,4,6,7,8,9,5"/>
    <n v="9"/>
    <m/>
    <m/>
    <s v="No"/>
    <x v="3"/>
    <m/>
    <m/>
    <s v="137.21.7.121"/>
    <s v="HQ784.I58"/>
    <n v="25.04083"/>
    <d v="2013-05-06T00:00:00"/>
  </r>
  <r>
    <x v="2791"/>
    <d v="1899-12-30T00:00:22"/>
    <x v="623"/>
    <x v="6"/>
    <s v="sjfc"/>
    <x v="229"/>
    <n v="2090105"/>
    <x v="0"/>
    <s v="Business/Management"/>
    <s v="9781119082972"/>
    <s v=",1,60,61,62,58,59,2"/>
    <n v="7"/>
    <m/>
    <m/>
    <s v="No"/>
    <x v="0"/>
    <d v="2015-11-29T21:36:38"/>
    <n v="7"/>
    <s v="149.69.254.57"/>
    <s v="HD57.7 .G45814 2015"/>
    <s v="658.4/092"/>
    <d v="2015-07-09T00:00:00"/>
  </r>
  <r>
    <x v="2792"/>
    <d v="1899-12-30T00:00:08"/>
    <x v="623"/>
    <x v="6"/>
    <s v="sjfc"/>
    <x v="229"/>
    <n v="2090105"/>
    <x v="0"/>
    <s v="Business/Management"/>
    <s v="9781119082972"/>
    <s v=",123,124,122,125,121"/>
    <n v="5"/>
    <m/>
    <m/>
    <s v="No"/>
    <x v="0"/>
    <d v="2015-11-29T21:36:38"/>
    <n v="7"/>
    <s v="149.69.254.57"/>
    <s v="HD57.7 .G45814 2015"/>
    <s v="658.4/092"/>
    <d v="2015-07-09T00:00:00"/>
  </r>
  <r>
    <x v="2793"/>
    <d v="1899-12-30T00:05:38"/>
    <x v="779"/>
    <x v="0"/>
    <s v="Buffalo"/>
    <x v="46"/>
    <n v="1602291"/>
    <x v="0"/>
    <s v="Health; Social Science; Medicine"/>
    <s v="9781118817001"/>
    <s v=",1,2,3,2,3,1,2,2,4,4,5,5,6,7,6,8,7,9,10,9,10,8"/>
    <n v="10"/>
    <m/>
    <m/>
    <s v="No"/>
    <x v="1"/>
    <m/>
    <m/>
    <s v="128.205.114.91"/>
    <s v="RC564.15 -- .P47 2014eb"/>
    <n v="362.29"/>
    <d v="2014-01-10T00:00:00"/>
  </r>
  <r>
    <x v="2794"/>
    <d v="1899-12-30T00:11:58"/>
    <x v="623"/>
    <x v="6"/>
    <s v="sjfc"/>
    <x v="229"/>
    <n v="2090105"/>
    <x v="0"/>
    <s v="Business/Management"/>
    <s v="9781119082972"/>
    <s v=",1,2,3"/>
    <n v="3"/>
    <m/>
    <m/>
    <s v="No"/>
    <x v="3"/>
    <m/>
    <m/>
    <s v="149.69.254.57"/>
    <s v="HD57.7 .G45814 2015"/>
    <s v="658.4/092"/>
    <d v="2015-07-09T00:00:00"/>
  </r>
  <r>
    <x v="2795"/>
    <d v="1899-12-30T00:32:05"/>
    <x v="776"/>
    <x v="1"/>
    <s v="brockport"/>
    <x v="515"/>
    <n v="1887115"/>
    <x v="0"/>
    <s v="Social Science"/>
    <s v="9781118787083"/>
    <s v=",1,2,3,4,5,6,1,7"/>
    <n v="7"/>
    <m/>
    <m/>
    <s v="No"/>
    <x v="3"/>
    <m/>
    <m/>
    <s v="137.21.7.121"/>
    <s v="HQ784.M3 -- .L46 2015eb"/>
    <n v="302.23083000000003"/>
    <d v="2014-12-04T00:00:00"/>
  </r>
  <r>
    <x v="2796"/>
    <d v="1899-12-30T00:00:04"/>
    <x v="780"/>
    <x v="1"/>
    <s v="brockport"/>
    <x v="813"/>
    <n v="1120681"/>
    <x v="0"/>
    <s v="Education"/>
    <s v="9781118483756"/>
    <s v=",1,2,3"/>
    <n v="3"/>
    <m/>
    <m/>
    <s v="No"/>
    <x v="3"/>
    <m/>
    <m/>
    <s v="137.21.7.121"/>
    <s v="LB1573 .W59 2013"/>
    <s v="372.4; 372.42"/>
    <d v="2013-01-07T00:00:00"/>
  </r>
  <r>
    <x v="2797"/>
    <d v="1899-12-30T00:00:05"/>
    <x v="781"/>
    <x v="0"/>
    <s v="Buffalo"/>
    <x v="167"/>
    <n v="1746990"/>
    <x v="1"/>
    <s v="Business/Management"/>
    <s v="9781472432100"/>
    <s v=",1,2,3"/>
    <n v="3"/>
    <m/>
    <m/>
    <s v="No"/>
    <x v="3"/>
    <m/>
    <m/>
    <s v="128.205.114.91"/>
    <s v="HF5548.37 -- .T74 2014eb"/>
    <s v="658.4/78"/>
    <d v="2014-09-28T00:00:00"/>
  </r>
  <r>
    <x v="2798"/>
    <d v="1899-12-30T00:00:32"/>
    <x v="781"/>
    <x v="0"/>
    <s v="Buffalo"/>
    <x v="167"/>
    <n v="1746990"/>
    <x v="1"/>
    <s v="Business/Management"/>
    <s v="9781472432100"/>
    <s v=",1,2,3,22,20,18,17,1,2,3,4,5,6,7,8,9"/>
    <n v="13"/>
    <m/>
    <m/>
    <s v="No"/>
    <x v="3"/>
    <m/>
    <m/>
    <s v="128.205.114.91"/>
    <s v="HF5548.37 -- .T74 2014eb"/>
    <s v="658.4/78"/>
    <d v="2014-09-28T00:00:00"/>
  </r>
  <r>
    <x v="2799"/>
    <d v="1899-12-30T00:01:15"/>
    <x v="768"/>
    <x v="12"/>
    <s v="potsdam"/>
    <x v="814"/>
    <n v="1657766"/>
    <x v="5"/>
    <s v="Social Science"/>
    <s v="9781479863402"/>
    <s v=",1,2,3,4,5,6,7,8,9,10,11,9"/>
    <n v="11"/>
    <m/>
    <m/>
    <s v="No"/>
    <x v="1"/>
    <m/>
    <m/>
    <s v="137.143.104.94"/>
    <s v="HV9104 -- .C466 2014eb"/>
    <n v="364.360973"/>
    <d v="2014-05-02T00:00:00"/>
  </r>
  <r>
    <x v="2800"/>
    <d v="1899-12-30T00:00:49"/>
    <x v="776"/>
    <x v="1"/>
    <s v="brockport"/>
    <x v="811"/>
    <n v="4025778"/>
    <x v="0"/>
    <s v="Library Science; Social Science"/>
    <s v="9780745657578"/>
    <s v=",1,2,3,4,5,6,7,8,9,10,4"/>
    <n v="10"/>
    <m/>
    <m/>
    <s v="No"/>
    <x v="3"/>
    <m/>
    <m/>
    <s v="137.21.7.121"/>
    <s v="HQ784.I58"/>
    <n v="25.04083"/>
    <d v="2013-05-06T00:00:00"/>
  </r>
  <r>
    <x v="2801"/>
    <d v="1899-12-30T01:06:14"/>
    <x v="746"/>
    <x v="13"/>
    <s v="buffalostate"/>
    <x v="516"/>
    <n v="1840835"/>
    <x v="0"/>
    <s v="Business/Management; Economics"/>
    <s v="9781118950166"/>
    <s v=",240,241,242,243,244,245,246,247,248,249,250,251,252,235,236,237,234"/>
    <n v="17"/>
    <m/>
    <m/>
    <s v="No"/>
    <x v="0"/>
    <d v="2015-11-29T17:48:28"/>
    <n v="7"/>
    <s v="136.183.11.43"/>
    <s v="HD9969.S6 .R384 2014"/>
    <n v="338.10923789999998"/>
    <d v="2014-11-10T00:00:00"/>
  </r>
  <r>
    <x v="2802"/>
    <d v="1899-12-30T00:26:24"/>
    <x v="782"/>
    <x v="13"/>
    <s v="buffalostate"/>
    <x v="499"/>
    <n v="1172554"/>
    <x v="15"/>
    <s v="History"/>
    <s v=""/>
    <s v=",1,2,3,4,5,6,7,8,9,10,11,12,13,14,16,15,17,18,19,20,21,22,23,24,25"/>
    <n v="25"/>
    <m/>
    <m/>
    <s v="No"/>
    <x v="0"/>
    <d v="2015-11-28T00:24:03"/>
    <n v="7"/>
    <s v="136.183.11.43"/>
    <s v="DF234 .A67 2012"/>
    <s v="938.07092; 938/.07092"/>
    <d v="2013-04-11T00:00:00"/>
  </r>
  <r>
    <x v="2803"/>
    <d v="1899-12-30T01:23:29"/>
    <x v="746"/>
    <x v="13"/>
    <s v="buffalostate"/>
    <x v="516"/>
    <n v="1840835"/>
    <x v="0"/>
    <s v="Business/Management; Economics"/>
    <s v="9781118950166"/>
    <s v=",1,2,3,235,236,237,233,234,238,239"/>
    <n v="10"/>
    <m/>
    <m/>
    <s v="No"/>
    <x v="1"/>
    <m/>
    <m/>
    <s v="136.183.11.43"/>
    <s v="HD9969.S6 .R384 2014"/>
    <n v="338.10923789999998"/>
    <d v="2014-11-10T00:00:00"/>
  </r>
  <r>
    <x v="2804"/>
    <d v="1899-12-30T00:06:27"/>
    <x v="714"/>
    <x v="12"/>
    <s v="potsdam"/>
    <x v="713"/>
    <n v="565082"/>
    <x v="0"/>
    <s v="Education"/>
    <s v="9781118041567"/>
    <m/>
    <n v="0"/>
    <m/>
    <m/>
    <s v="No"/>
    <x v="1"/>
    <m/>
    <m/>
    <s v="137.143.104.94"/>
    <s v="LB1775 .P25 2010"/>
    <s v="371.1; 371.102"/>
    <d v="2010-06-08T00:00:00"/>
  </r>
  <r>
    <x v="2805"/>
    <d v="1899-12-30T00:03:06"/>
    <x v="783"/>
    <x v="1"/>
    <s v="brockport"/>
    <x v="815"/>
    <n v="4036951"/>
    <x v="0"/>
    <m/>
    <s v="9781118622537"/>
    <s v=",1,2,3,203,204,200,29,30,31,27,28,32,33,34,35,36,37,38"/>
    <n v="18"/>
    <m/>
    <m/>
    <s v="No"/>
    <x v="3"/>
    <m/>
    <m/>
    <s v="137.21.7.121"/>
    <m/>
    <m/>
    <d v="2013-03-04T00:00:00"/>
  </r>
  <r>
    <x v="2806"/>
    <d v="1899-12-30T00:00:04"/>
    <x v="395"/>
    <x v="1"/>
    <s v="brockport"/>
    <x v="816"/>
    <n v="1395170"/>
    <x v="2"/>
    <s v="History"/>
    <s v="9781135084721"/>
    <s v=",2,3,1"/>
    <n v="3"/>
    <m/>
    <m/>
    <s v="No"/>
    <x v="3"/>
    <m/>
    <m/>
    <s v="137.21.7.121"/>
    <s v="DT83 -- .B83 2013eb"/>
    <n v="932"/>
    <d v="2013-09-13T00:00:00"/>
  </r>
  <r>
    <x v="2807"/>
    <d v="1899-12-30T00:05:06"/>
    <x v="26"/>
    <x v="6"/>
    <s v="sjfc"/>
    <x v="244"/>
    <n v="848510"/>
    <x v="0"/>
    <s v="Medicine"/>
    <s v="9781118220481"/>
    <s v=",1,3,2,7,11,12,13,14,15,25,26,27,23,16,17,18,19,20,21,22,24"/>
    <n v="21"/>
    <m/>
    <m/>
    <s v="No"/>
    <x v="1"/>
    <m/>
    <m/>
    <s v="149.69.254.57"/>
    <s v="RC489.C63 -- C64 2012eb"/>
    <s v="616.89/1425"/>
    <d v="2012-06-06T00:00:00"/>
  </r>
  <r>
    <x v="2808"/>
    <d v="1899-12-30T01:32:59"/>
    <x v="778"/>
    <x v="6"/>
    <s v="sjfc"/>
    <x v="812"/>
    <n v="918813"/>
    <x v="18"/>
    <s v="History"/>
    <s v="9781608708086"/>
    <s v=",5,6,7,1,4,3,22,2,139,140,141,137,142,24,32,25,26,27,27,28,29,30,31,88,89,90,91,92,93,60,50"/>
    <n v="30"/>
    <m/>
    <m/>
    <s v="No"/>
    <x v="0"/>
    <d v="2015-11-29T04:30:27"/>
    <n v="7"/>
    <s v="149.69.254.57"/>
    <s v="F2258.5 .D83 2012"/>
    <n v="986.1"/>
    <d v="2012-03-01T00:00:00"/>
  </r>
  <r>
    <x v="2809"/>
    <d v="1899-12-30T00:01:15"/>
    <x v="758"/>
    <x v="5"/>
    <s v="erie"/>
    <x v="702"/>
    <n v="1187185"/>
    <x v="0"/>
    <s v="Engineering; Engineering: Mining; Engineering: Environmental"/>
    <s v="9781118748183"/>
    <s v=",1,2,3,23,24,25,21,22,26,27"/>
    <n v="10"/>
    <m/>
    <m/>
    <s v="No"/>
    <x v="1"/>
    <m/>
    <m/>
    <s v="199.29.6.54"/>
    <s v="TD195.G3 -- H65 2013eb"/>
    <n v="622.33799999999997"/>
    <d v="2013-05-06T00:00:00"/>
  </r>
  <r>
    <x v="2810"/>
    <d v="1899-12-30T00:36:57"/>
    <x v="778"/>
    <x v="6"/>
    <s v="sjfc"/>
    <x v="812"/>
    <n v="918813"/>
    <x v="18"/>
    <s v="History"/>
    <s v="9781608708086"/>
    <s v=",1,2,3,6,8,7,4,5"/>
    <n v="8"/>
    <m/>
    <m/>
    <s v="No"/>
    <x v="1"/>
    <m/>
    <m/>
    <s v="149.69.254.57"/>
    <s v="F2258.5 .D83 2012"/>
    <n v="986.1"/>
    <d v="2012-03-01T00:00:00"/>
  </r>
  <r>
    <x v="2811"/>
    <d v="1899-12-30T00:01:22"/>
    <x v="26"/>
    <x v="6"/>
    <s v="sjfc"/>
    <x v="244"/>
    <n v="848510"/>
    <x v="0"/>
    <s v="Medicine"/>
    <s v="9781118220481"/>
    <s v=",1,2,3,210,211,212,208,209,213,214,215,463,461,462,7,8,9,5,6,13,14,15,11,12"/>
    <n v="24"/>
    <m/>
    <m/>
    <s v="No"/>
    <x v="1"/>
    <m/>
    <m/>
    <s v="149.69.254.57"/>
    <s v="RC489.C63 -- C64 2012eb"/>
    <s v="616.89/1425"/>
    <d v="2012-06-06T00:00:00"/>
  </r>
  <r>
    <x v="2812"/>
    <d v="1899-12-30T01:16:05"/>
    <x v="525"/>
    <x v="0"/>
    <s v="Buffalo"/>
    <x v="477"/>
    <n v="1120279"/>
    <x v="0"/>
    <s v="Science: Biology/Natural History; Science"/>
    <s v="9781118537671"/>
    <s v=",1,2,3,112,113,114,110,111,115,116,123,124,125,121,122,126,127,128,129,130,131,132,133,1,133,134,135,131,132,130,128,129,126,127,125,124,123,121,122,120,119,2,118,117,116,113,114,115,112,111"/>
    <n v="29"/>
    <m/>
    <m/>
    <s v="No"/>
    <x v="0"/>
    <d v="2015-11-25T01:46:01"/>
    <n v="7"/>
    <s v="128.205.114.91"/>
    <s v="QH371 .K384 2012"/>
    <n v="599.93499999999995"/>
    <d v="2012-11-19T00:00:00"/>
  </r>
  <r>
    <x v="2813"/>
    <d v="1899-12-30T00:12:19"/>
    <x v="784"/>
    <x v="0"/>
    <s v="Buffalo"/>
    <x v="817"/>
    <n v="1589017"/>
    <x v="3"/>
    <s v="Literature"/>
    <s v="9780520957879"/>
    <s v=",14,15,16,17,18,19,20,21,1,21,22,23,19,20,24,25,26,22,2,1,2,3,4,5,6,7,8,9,10,11,12,13,14,15,16,17,18,19,20,21,22,23"/>
    <n v="26"/>
    <m/>
    <m/>
    <s v="No"/>
    <x v="2"/>
    <d v="2015-11-29T00:58:13"/>
    <n v="1"/>
    <s v="128.205.114.91"/>
    <s v="PL2690.S3 -- .E5325 2014eb"/>
    <s v="895.1/346"/>
    <d v="2014-02-08T00:00:00"/>
  </r>
  <r>
    <x v="2814"/>
    <d v="1899-12-30T00:06:20"/>
    <x v="784"/>
    <x v="0"/>
    <s v="Buffalo"/>
    <x v="817"/>
    <n v="1589017"/>
    <x v="3"/>
    <s v="Literature"/>
    <s v="9780520957879"/>
    <s v=",1,2,3,4,5,6,7,8,9,10,11,12,13"/>
    <n v="13"/>
    <m/>
    <m/>
    <s v="No"/>
    <x v="3"/>
    <m/>
    <m/>
    <s v="128.205.114.91"/>
    <s v="PL2690.S3 -- .E5325 2014eb"/>
    <s v="895.1/346"/>
    <d v="2014-02-08T00:00:00"/>
  </r>
  <r>
    <x v="2815"/>
    <d v="1899-12-30T00:05:16"/>
    <x v="782"/>
    <x v="13"/>
    <s v="buffalostate"/>
    <x v="499"/>
    <n v="1172554"/>
    <x v="15"/>
    <s v="History"/>
    <s v=""/>
    <s v=",1,2,3,127,128,129,130,131,132,133,134,135,125,126"/>
    <n v="14"/>
    <m/>
    <m/>
    <s v="No"/>
    <x v="0"/>
    <d v="2015-11-28T00:24:03"/>
    <n v="7"/>
    <s v="136.183.11.43"/>
    <s v="DF234 .A67 2012"/>
    <s v="938.07092; 938/.07092"/>
    <d v="2013-04-11T00:00:00"/>
  </r>
  <r>
    <x v="2816"/>
    <d v="1899-12-30T00:40:46"/>
    <x v="785"/>
    <x v="9"/>
    <s v="trocaire"/>
    <x v="818"/>
    <n v="822032"/>
    <x v="0"/>
    <s v="Social Science; Business/Management"/>
    <s v="9781118287019"/>
    <s v=",1,2,3,26,27,28,24,25,29,30,31,32,33,34,35,36,37,38,39,40,41,42,43,58,59,60,56,57,61,62,63,64,65,66,67,68,69,70"/>
    <n v="38"/>
    <m/>
    <m/>
    <s v="No"/>
    <x v="0"/>
    <d v="2015-11-28T23:41:54"/>
    <n v="7"/>
    <s v="173.225.62.67"/>
    <s v="HM742 -- .Q83 2013eb"/>
    <s v="658.8/72"/>
    <d v="2012-11-12T00:00:00"/>
  </r>
  <r>
    <x v="2817"/>
    <d v="1899-12-30T00:00:02"/>
    <x v="785"/>
    <x v="9"/>
    <s v="trocaire"/>
    <x v="818"/>
    <n v="822032"/>
    <x v="0"/>
    <s v="Social Science; Business/Management"/>
    <s v="9781118287019"/>
    <m/>
    <n v="0"/>
    <m/>
    <m/>
    <s v="No"/>
    <x v="1"/>
    <m/>
    <m/>
    <s v="173.225.62.67"/>
    <s v="HM742 -- .Q83 2013eb"/>
    <s v="658.8/72"/>
    <d v="2012-11-12T00:00:00"/>
  </r>
  <r>
    <x v="2818"/>
    <d v="1899-12-30T00:00:15"/>
    <x v="468"/>
    <x v="0"/>
    <s v="Buffalo"/>
    <x v="508"/>
    <n v="1882107"/>
    <x v="3"/>
    <s v="History; Social Science"/>
    <s v="9780520961593"/>
    <s v=",1,2,3,17,18,19,15,16"/>
    <n v="8"/>
    <m/>
    <m/>
    <s v="No"/>
    <x v="0"/>
    <d v="2015-11-27T19:44:05"/>
    <n v="7"/>
    <s v="128.205.114.91"/>
    <s v="HX413.8.K68"/>
    <n v="952.03099999999995"/>
    <d v="2015-06-09T00:00:00"/>
  </r>
  <r>
    <x v="2819"/>
    <d v="1899-12-30T00:00:04"/>
    <x v="786"/>
    <x v="1"/>
    <s v="brockport"/>
    <x v="819"/>
    <n v="1573297"/>
    <x v="2"/>
    <s v="Fine Arts; Law"/>
    <s v="9781134049356"/>
    <s v=",1,2,3"/>
    <n v="3"/>
    <m/>
    <m/>
    <s v="No"/>
    <x v="3"/>
    <m/>
    <m/>
    <s v="137.21.7.121"/>
    <s v="KD7990 -- .L48 2013eb"/>
    <n v="791.43616399999996"/>
    <d v="2009-02-09T00:00:00"/>
  </r>
  <r>
    <x v="2820"/>
    <d v="1899-12-30T00:01:51"/>
    <x v="719"/>
    <x v="1"/>
    <s v="brockport"/>
    <x v="808"/>
    <n v="1337521"/>
    <x v="2"/>
    <s v="Education"/>
    <s v="9781317922049"/>
    <s v=",19,20,21,22,23,24,25,26,27,28,29,30"/>
    <n v="12"/>
    <m/>
    <m/>
    <s v="No"/>
    <x v="2"/>
    <d v="2015-11-28T22:24:03"/>
    <n v="1"/>
    <s v="137.21.7.121"/>
    <s v="LB2805 -- .C2665 2013eb"/>
    <n v="371.20097299999998"/>
    <d v="2013-08-06T00:00:00"/>
  </r>
  <r>
    <x v="2821"/>
    <d v="1899-12-30T01:22:33"/>
    <x v="785"/>
    <x v="9"/>
    <s v="trocaire"/>
    <x v="818"/>
    <n v="822032"/>
    <x v="0"/>
    <s v="Social Science; Business/Management"/>
    <s v="9781118287019"/>
    <m/>
    <n v="0"/>
    <m/>
    <m/>
    <s v="No"/>
    <x v="1"/>
    <m/>
    <m/>
    <s v="173.225.62.67"/>
    <s v="HM742 -- .Q83 2013eb"/>
    <s v="658.8/72"/>
    <d v="2012-11-12T00:00:00"/>
  </r>
  <r>
    <x v="2822"/>
    <d v="1899-12-30T00:05:46"/>
    <x v="719"/>
    <x v="1"/>
    <s v="brockport"/>
    <x v="808"/>
    <n v="1337521"/>
    <x v="2"/>
    <s v="Education"/>
    <s v="9781317922049"/>
    <s v=",1,2,3,4,5,6,7,8,14,15,16,12,17,18"/>
    <n v="14"/>
    <m/>
    <m/>
    <s v="No"/>
    <x v="3"/>
    <m/>
    <m/>
    <s v="137.21.7.121"/>
    <s v="LB2805 -- .C2665 2013eb"/>
    <n v="371.20097299999998"/>
    <d v="2013-08-06T00:00:00"/>
  </r>
  <r>
    <x v="2823"/>
    <d v="1899-12-30T02:00:23"/>
    <x v="655"/>
    <x v="0"/>
    <s v="Buffalo"/>
    <x v="533"/>
    <n v="1760720"/>
    <x v="4"/>
    <s v="Medicine"/>
    <s v="9781462517459"/>
    <s v=",12,26,66,26,69,87,69,66,87,89,89,90,91,90,91,88,88,66,37,11,15,37,20,20,21,22,18,21,22,19,16,19,17,15,14,12,13,17,16,18,14,15,13,18,28,87,28,120,120,154,154,155,156,155,156,153,153,152,151,156,157,157,158,158,159,159,160,160,161,161,162,162,163,163,164,164,175,185,175,185,186,187,186,183,187,184,184,182,182,183,182,184,183,184,1,180,181,1,181,179,178,177,2,2,176,175,180,181,182,183"/>
    <n v="52"/>
    <m/>
    <m/>
    <s v="No"/>
    <x v="0"/>
    <d v="2015-11-28T21:03:10"/>
    <n v="7"/>
    <s v="128.205.114.91"/>
    <s v="RC489.D48 -- L56 2015eb"/>
    <n v="616.89142000000004"/>
    <d v="2014-12-23T00:00:00"/>
  </r>
  <r>
    <x v="2824"/>
    <d v="1899-12-30T00:21:43"/>
    <x v="655"/>
    <x v="0"/>
    <s v="Buffalo"/>
    <x v="533"/>
    <n v="1760720"/>
    <x v="4"/>
    <s v="Medicine"/>
    <s v="9781462517459"/>
    <s v=",1,2,3,2,1,3,4,4,5,5,6,6,7,7,8,2,8,9,9,10,10,11,11,12,12,13,13,14,14,15,15,16,16,17,17,18,18"/>
    <n v="18"/>
    <m/>
    <m/>
    <s v="No"/>
    <x v="1"/>
    <m/>
    <m/>
    <s v="128.205.114.91"/>
    <s v="RC489.D48 -- L56 2015eb"/>
    <n v="616.89142000000004"/>
    <d v="2014-12-23T00:00:00"/>
  </r>
  <r>
    <x v="2825"/>
    <d v="1899-12-30T00:08:37"/>
    <x v="787"/>
    <x v="1"/>
    <s v="brockport"/>
    <x v="151"/>
    <n v="968030"/>
    <x v="0"/>
    <s v="Psychology"/>
    <s v="9781118285138"/>
    <s v=",1,2,3,333,335,331,332,334,336,337,338,339,340,341,342,343,344,345,346,347,348,349,350,351,352,353,354,355,356,357"/>
    <n v="30"/>
    <m/>
    <m/>
    <s v="No"/>
    <x v="1"/>
    <m/>
    <m/>
    <s v="137.21.7.121"/>
    <s v="BF637.C6 -- S85 2013eb"/>
    <n v="158.30000000000001"/>
    <d v="2012-07-10T00:00:00"/>
  </r>
  <r>
    <x v="2826"/>
    <d v="1899-12-30T00:10:15"/>
    <x v="468"/>
    <x v="0"/>
    <s v="Buffalo"/>
    <x v="508"/>
    <n v="1882107"/>
    <x v="3"/>
    <s v="History; Social Science"/>
    <s v="9780520961593"/>
    <s v=",1,2,3,155,156,157,153,154,152,161,162,163,159,160,158"/>
    <n v="15"/>
    <m/>
    <m/>
    <s v="No"/>
    <x v="0"/>
    <d v="2015-11-27T19:44:05"/>
    <n v="7"/>
    <s v="128.205.114.91"/>
    <s v="HX413.8.K68"/>
    <n v="952.03099999999995"/>
    <d v="2015-06-09T00:00:00"/>
  </r>
  <r>
    <x v="2827"/>
    <d v="1899-12-30T00:03:19"/>
    <x v="785"/>
    <x v="9"/>
    <s v="trocaire"/>
    <x v="818"/>
    <n v="822032"/>
    <x v="0"/>
    <s v="Social Science; Business/Management"/>
    <s v="9781118287019"/>
    <s v=",1,2,3,24,26,25,22,23,27,28"/>
    <n v="10"/>
    <m/>
    <m/>
    <s v="No"/>
    <x v="1"/>
    <m/>
    <m/>
    <s v="173.225.62.67"/>
    <s v="HM742 -- .Q83 2013eb"/>
    <s v="658.8/72"/>
    <d v="2012-11-12T00:00:00"/>
  </r>
  <r>
    <x v="2828"/>
    <d v="1899-12-30T00:26:37"/>
    <x v="788"/>
    <x v="1"/>
    <s v="brockport"/>
    <x v="820"/>
    <n v="1569683"/>
    <x v="2"/>
    <s v="History"/>
    <s v="9781317875789"/>
    <s v=",26,27,28,29,30,136,137,138,134,135,139,140,141,142,143,144,145,146,147,148,149,150,151,152,153,182,183,184,180,181,185,186,31,32,33,34,35,36,37"/>
    <n v="39"/>
    <m/>
    <m/>
    <s v="No"/>
    <x v="2"/>
    <d v="2015-11-28T19:25:02"/>
    <n v="1"/>
    <s v="137.21.7.121"/>
    <s v="D639.W7 -- G73 2013eb"/>
    <n v="940.30820000000006"/>
    <d v="2013-11-04T00:00:00"/>
  </r>
  <r>
    <x v="2829"/>
    <d v="1899-12-30T00:13:46"/>
    <x v="788"/>
    <x v="1"/>
    <s v="brockport"/>
    <x v="820"/>
    <n v="1569683"/>
    <x v="2"/>
    <s v="History"/>
    <s v="9781317875789"/>
    <s v=",1,2,3,6,7,8,4,5,10,11,9,12,13,14,15,16,17,18,19,20,21,22,23,24,25"/>
    <n v="25"/>
    <m/>
    <m/>
    <s v="No"/>
    <x v="3"/>
    <m/>
    <m/>
    <s v="137.21.7.121"/>
    <s v="D639.W7 -- G73 2013eb"/>
    <n v="940.30820000000006"/>
    <d v="2013-11-04T00:00:00"/>
  </r>
  <r>
    <x v="2830"/>
    <d v="1899-12-30T00:00:05"/>
    <x v="788"/>
    <x v="1"/>
    <s v="brockport"/>
    <x v="820"/>
    <n v="1569683"/>
    <x v="2"/>
    <s v="History"/>
    <s v="9781317875789"/>
    <s v=",1,2,3"/>
    <n v="3"/>
    <m/>
    <m/>
    <s v="No"/>
    <x v="3"/>
    <m/>
    <m/>
    <s v="137.21.7.121"/>
    <s v="D639.W7 -- G73 2013eb"/>
    <n v="940.30820000000006"/>
    <d v="2013-11-04T00:00:00"/>
  </r>
  <r>
    <x v="2831"/>
    <d v="1899-12-30T02:33:19"/>
    <x v="789"/>
    <x v="6"/>
    <s v="sjfc"/>
    <x v="68"/>
    <n v="1822529"/>
    <x v="0"/>
    <s v="Mathematics"/>
    <s v="9781118824344"/>
    <s v=",1,2,3,335,336,337,333,334,335,336,337,333,334,338,339,340,341,342,343,344,345,346,2,1,3,335,336,337,338,339,340,341,342,340,341,342,338,339,343,344,345,346,347,354,349,348,349,350,351,352,353,354,355,356,357,358,349,347,353,354,355,357,358,359,360,361,362,363,364,365,366,367,368,369,370,371,372,373,374,375,376,377,378,379,380,381,382,383,384,385,386,387,388,389,390,391,392,393,394,395,396,397,398,399,400,401,402,403,404,405,406,407,408,409,410,411,412,413,414,415,416,417,418,419,420,421,422,423,424,425,426,427,428,430,431,432,433,435,436,367,368,369,366,370,371,372,373,374,375,376,377,378,379,380,381,382,383,384,385,386,387,388,389,390,391,392,393,394,395,396,397,398,399,400,401,402,403,404,405,406,407,408,409,410,411,412,413,414,415,416,417,418,113,114,115,111,112,116,117,118,119,120,121,122,123,124,125,126,127,128,129,130,131,132,111,110,120,121,122,123,124,125,126,127,128,129,131,132,133,393,394,395,391,392,396,397,398,399,400,403,404,405,406,407,408,409,410,411,412,413,414,415,416,417,418,143,144,145,141,142,160,161,162,158,159,436,434,433,432,431,430,429,428,427,426,425,424,423,422,421,420,419,418,417,54,55,56,52,53,71,72,73,69,70"/>
    <n v="151"/>
    <m/>
    <m/>
    <s v="No"/>
    <x v="0"/>
    <d v="2015-11-23T13:53:15"/>
    <n v="7"/>
    <s v="149.69.254.57"/>
    <s v="QA297 -- .S59 2015eb"/>
    <n v="519.4"/>
    <d v="2014-10-20T00:00:00"/>
  </r>
  <r>
    <x v="2832"/>
    <d v="1899-12-30T02:09:06"/>
    <x v="782"/>
    <x v="13"/>
    <s v="buffalostate"/>
    <x v="499"/>
    <n v="1172554"/>
    <x v="15"/>
    <s v="History"/>
    <s v=""/>
    <s v=",1,2,3,4,5,6,7,9,8,10,11,12,13,14,33,34,35,31,32,30,29,27,28,26,24,25,23,36,37,38,39,40,41,42,179,180,181,127,128,129,125,126,130,131,132,125,19,20,21,17,18,22,23,24,25,26,27,28,29,30,31,32,33,34,35,36,262,263,264,260,261,130"/>
    <n v="56"/>
    <m/>
    <m/>
    <s v="No"/>
    <x v="0"/>
    <d v="2015-11-28T00:24:03"/>
    <n v="7"/>
    <s v="136.183.11.43"/>
    <s v="DF234 .A67 2012"/>
    <s v="938.07092; 938/.07092"/>
    <d v="2013-04-11T00:00:00"/>
  </r>
  <r>
    <x v="2833"/>
    <d v="1899-12-30T00:01:06"/>
    <x v="790"/>
    <x v="1"/>
    <s v="brockport"/>
    <x v="821"/>
    <n v="1574815"/>
    <x v="2"/>
    <s v="Social Science"/>
    <s v="9781135258566"/>
    <s v=",207,209,205,206,245,246,247,243,244,242,20,21,22,18,19,56,59,60,61"/>
    <n v="19"/>
    <m/>
    <m/>
    <s v="No"/>
    <x v="2"/>
    <d v="2015-11-28T17:03:28"/>
    <n v="1"/>
    <s v="137.21.7.121"/>
    <s v="GN25 -- .K44 2013eb"/>
    <n v="301"/>
    <d v="1998-05-20T00:00:00"/>
  </r>
  <r>
    <x v="2834"/>
    <d v="1899-12-30T00:08:21"/>
    <x v="790"/>
    <x v="1"/>
    <s v="brockport"/>
    <x v="821"/>
    <n v="1574815"/>
    <x v="2"/>
    <s v="Social Science"/>
    <s v="9781135258566"/>
    <s v=",1,3,2,60,61,62,58,59,56,57"/>
    <n v="10"/>
    <m/>
    <m/>
    <s v="No"/>
    <x v="3"/>
    <m/>
    <m/>
    <s v="137.21.7.121"/>
    <s v="GN25 -- .K44 2013eb"/>
    <n v="301"/>
    <d v="1998-05-20T00:00:00"/>
  </r>
  <r>
    <x v="2835"/>
    <d v="1899-12-30T00:02:16"/>
    <x v="791"/>
    <x v="6"/>
    <s v="sjfc"/>
    <x v="822"/>
    <n v="1034770"/>
    <x v="4"/>
    <s v="Medicine"/>
    <s v="9781462507566"/>
    <s v=",1,2,3,30,31,32,29,28,33,34,35,36,37,38,39,40,41,42,43,44,45,46,47,48,49"/>
    <n v="25"/>
    <m/>
    <m/>
    <s v="No"/>
    <x v="0"/>
    <d v="2015-11-21T23:33:31"/>
    <n v="7"/>
    <s v="149.69.254.57"/>
    <s v="RC533 -- .M56 2012eb"/>
    <n v="616.85839999999996"/>
    <d v="2013-10-20T00:00:00"/>
  </r>
  <r>
    <x v="2836"/>
    <d v="1899-12-30T00:54:10"/>
    <x v="789"/>
    <x v="6"/>
    <s v="sjfc"/>
    <x v="68"/>
    <n v="1822529"/>
    <x v="0"/>
    <s v="Mathematics"/>
    <s v="9781118824344"/>
    <s v=",1,2,3,313,314,315,311,312,313,314,315,311,312,316,317,318,319,320,321,322,323,324,325,326,327,328,329,330,331,332,333,334,335,336,337,338,339,340,341,342,343,344,345,346,347,348,349,350,351,352,353,354,355,356,357,358,359,360,361,362,363,364,365,366,367,368,369"/>
    <n v="62"/>
    <m/>
    <m/>
    <s v="No"/>
    <x v="0"/>
    <d v="2015-11-23T13:53:15"/>
    <n v="7"/>
    <s v="149.69.254.57"/>
    <s v="QA297 -- .S59 2015eb"/>
    <n v="519.4"/>
    <d v="2014-10-20T00:00:00"/>
  </r>
  <r>
    <x v="2837"/>
    <d v="1899-12-30T00:00:16"/>
    <x v="491"/>
    <x v="8"/>
    <s v="niagaracc"/>
    <x v="16"/>
    <n v="877717"/>
    <x v="6"/>
    <s v="Fine Arts"/>
    <s v="9781438139265"/>
    <s v=",1,2,3,4,10,13,15,28,36,40,53,65,33,14"/>
    <n v="14"/>
    <m/>
    <m/>
    <s v="No"/>
    <x v="1"/>
    <m/>
    <m/>
    <s v="132.174.254.37"/>
    <s v="PN1998.3.M577 -- L46 2012eb"/>
    <s v="791.4302/33092; B"/>
    <d v="2012-01-01T00:00:00"/>
  </r>
  <r>
    <x v="2838"/>
    <d v="1899-12-30T00:22:17"/>
    <x v="468"/>
    <x v="0"/>
    <s v="Buffalo"/>
    <x v="508"/>
    <n v="1882107"/>
    <x v="3"/>
    <s v="History; Social Science"/>
    <s v="9780520961593"/>
    <s v=",1,2,3,172,173,174,175,176,178,181,182,183,184,180,179,185,186,187,188,189,190,191,192,193,194,195,196,197,198,199,200,201,202,203,204,205,206,208,206,209,211,212,213,214,212,215,216,217,218"/>
    <n v="47"/>
    <s v=",193,195,195,196,196,197,206,211,212"/>
    <m/>
    <s v="No"/>
    <x v="0"/>
    <d v="2015-11-27T19:44:05"/>
    <n v="7"/>
    <s v="128.205.114.91"/>
    <s v="HX413.8.K68"/>
    <n v="952.03099999999995"/>
    <d v="2015-06-09T00:00:00"/>
  </r>
  <r>
    <x v="2839"/>
    <d v="1899-12-30T00:00:39"/>
    <x v="792"/>
    <x v="0"/>
    <s v="Buffalo"/>
    <x v="270"/>
    <n v="1637652"/>
    <x v="3"/>
    <s v="Education"/>
    <s v="9780520958449"/>
    <s v=",2,1,3,26,27,28,24,29,30,31,32,33,34,35,36,37,25,23"/>
    <n v="18"/>
    <m/>
    <m/>
    <s v="No"/>
    <x v="1"/>
    <m/>
    <m/>
    <s v="128.205.114.91"/>
    <s v="LB2340.2 -- .B478 2014eb"/>
    <s v="378.3/62"/>
    <d v="2014-05-02T00:00:00"/>
  </r>
  <r>
    <x v="2840"/>
    <d v="1899-12-30T00:05:51"/>
    <x v="793"/>
    <x v="6"/>
    <s v="sjfc"/>
    <x v="823"/>
    <n v="1762787"/>
    <x v="0"/>
    <s v="Medicine"/>
    <s v="9781118821329"/>
    <s v=",55,56,57,58,59,60,61,136,137,138,135,139,140"/>
    <n v="13"/>
    <m/>
    <m/>
    <s v="No"/>
    <x v="2"/>
    <d v="2015-11-28T02:06:20"/>
    <n v="1"/>
    <s v="149.69.254.57"/>
    <s v="RC683.5.E5"/>
    <s v="616.1; 616.1207547"/>
    <d v="2014-08-06T00:00:00"/>
  </r>
  <r>
    <x v="2841"/>
    <d v="1899-12-30T00:06:53"/>
    <x v="793"/>
    <x v="6"/>
    <s v="sjfc"/>
    <x v="823"/>
    <n v="1762787"/>
    <x v="0"/>
    <s v="Medicine"/>
    <s v="9781118821329"/>
    <s v=",1,2,3,4,5,6,7,8,9,10,11,12,13,14,17,18,19,15,16,20,21,22,23,24,25,26,27,28,29,52,54,53,50,51"/>
    <n v="34"/>
    <m/>
    <m/>
    <s v="No"/>
    <x v="3"/>
    <m/>
    <m/>
    <s v="149.69.254.57"/>
    <s v="RC683.5.E5"/>
    <s v="616.1; 616.1207547"/>
    <d v="2014-08-06T00:00:00"/>
  </r>
  <r>
    <x v="2842"/>
    <d v="1899-12-30T00:23:00"/>
    <x v="468"/>
    <x v="0"/>
    <s v="Buffalo"/>
    <x v="508"/>
    <n v="1882107"/>
    <x v="3"/>
    <s v="History; Social Science"/>
    <s v="9780520961593"/>
    <s v=",172,173,174,170,214,215,216,218,219,217,213,171,175,176,177,178,179,180,181,183,184,185,186,187,188,189,190,191,192,193,194"/>
    <n v="31"/>
    <s v=",172,172,172,172,183,180,180,183,185,192"/>
    <m/>
    <s v="Yes"/>
    <x v="0"/>
    <d v="2015-11-27T19:44:05"/>
    <n v="7"/>
    <s v="128.205.114.91"/>
    <s v="HX413.8.K68"/>
    <n v="952.03099999999995"/>
    <d v="2015-06-09T00:00:00"/>
  </r>
  <r>
    <x v="2843"/>
    <d v="1899-12-30T00:00:04"/>
    <x v="468"/>
    <x v="0"/>
    <s v="Buffalo"/>
    <x v="508"/>
    <n v="1882107"/>
    <x v="3"/>
    <s v="History; Social Science"/>
    <s v="9780520961593"/>
    <s v=",1,2,3"/>
    <n v="3"/>
    <m/>
    <m/>
    <s v="No"/>
    <x v="0"/>
    <d v="2015-11-27T19:44:05"/>
    <n v="7"/>
    <s v="128.205.114.91"/>
    <s v="HX413.8.K68"/>
    <n v="952.03099999999995"/>
    <d v="2015-06-09T00:00:00"/>
  </r>
  <r>
    <x v="2844"/>
    <d v="1899-12-30T00:43:41"/>
    <x v="468"/>
    <x v="0"/>
    <s v="Buffalo"/>
    <x v="508"/>
    <n v="1882107"/>
    <x v="3"/>
    <s v="History; Social Science"/>
    <s v="9780520961593"/>
    <s v=",1,2,3,151,152,153,149,150,154,156,157,158,155,159,160,161,162,163,164,165,166,167,168,169,170,171,172,173,171,174,175"/>
    <n v="30"/>
    <s v=",161,161,162,162,165,165,166,167,167,167,167,168,168,169,170,170,171,171"/>
    <m/>
    <s v="No"/>
    <x v="0"/>
    <d v="2015-11-27T19:44:05"/>
    <n v="7"/>
    <s v="128.205.114.91"/>
    <s v="HX413.8.K68"/>
    <n v="952.03099999999995"/>
    <d v="2015-06-09T00:00:00"/>
  </r>
  <r>
    <x v="2845"/>
    <d v="1899-12-30T00:00:00"/>
    <x v="782"/>
    <x v="13"/>
    <s v="buffalostate"/>
    <x v="499"/>
    <n v="1172554"/>
    <x v="15"/>
    <s v="History"/>
    <s v=""/>
    <s v=",33"/>
    <n v="1"/>
    <m/>
    <m/>
    <s v="No"/>
    <x v="0"/>
    <d v="2015-11-28T00:24:03"/>
    <n v="7"/>
    <s v="136.183.11.43"/>
    <s v="DF234 .A67 2012"/>
    <s v="938.07092; 938/.07092"/>
    <d v="2013-04-11T00:00:00"/>
  </r>
  <r>
    <x v="2846"/>
    <d v="1899-12-30T00:00:04"/>
    <x v="794"/>
    <x v="13"/>
    <s v="buffalostate"/>
    <x v="824"/>
    <n v="1120538"/>
    <x v="12"/>
    <s v="Science; Science: Zoology"/>
    <s v="9781469608082"/>
    <s v=",1,2,3"/>
    <n v="3"/>
    <m/>
    <m/>
    <s v="No"/>
    <x v="3"/>
    <m/>
    <m/>
    <s v="136.183.11.43"/>
    <s v="QL737.C22 -- B43 2013eb"/>
    <n v="599.77309700000001"/>
    <d v="2013-05-23T00:00:00"/>
  </r>
  <r>
    <x v="2847"/>
    <d v="1899-12-30T00:05:50"/>
    <x v="468"/>
    <x v="0"/>
    <s v="Buffalo"/>
    <x v="508"/>
    <n v="1882107"/>
    <x v="3"/>
    <s v="History; Social Science"/>
    <s v="9780520961593"/>
    <s v=",1,2,3,151,152,153,154,155,156,157,158,159,160,161,162,163"/>
    <n v="16"/>
    <s v=",159,160,161"/>
    <m/>
    <s v="No"/>
    <x v="0"/>
    <d v="2015-11-27T19:44:05"/>
    <n v="7"/>
    <s v="128.205.114.91"/>
    <s v="HX413.8.K68"/>
    <n v="952.03099999999995"/>
    <d v="2015-06-09T00:00:00"/>
  </r>
  <r>
    <x v="2848"/>
    <d v="1899-12-30T00:25:20"/>
    <x v="782"/>
    <x v="13"/>
    <s v="buffalostate"/>
    <x v="499"/>
    <n v="1172554"/>
    <x v="15"/>
    <s v="History"/>
    <s v=""/>
    <s v=",1,2,3,18,19,20,16,17,21,22,23,24,25,26,27,28,29,30,31,32"/>
    <n v="20"/>
    <m/>
    <m/>
    <s v="No"/>
    <x v="1"/>
    <m/>
    <m/>
    <s v="136.183.11.43"/>
    <s v="DF234 .A67 2012"/>
    <s v="938.07092; 938/.07092"/>
    <d v="2013-04-11T00:00:00"/>
  </r>
  <r>
    <x v="2849"/>
    <d v="1899-12-30T00:57:48"/>
    <x v="468"/>
    <x v="0"/>
    <s v="Buffalo"/>
    <x v="508"/>
    <n v="1882107"/>
    <x v="3"/>
    <s v="History; Social Science"/>
    <s v="9780520961593"/>
    <s v=",1,2,3,148,149,150,146,147,151,152,153,154,155,156,157,158,159,160,161,214,215,216,212,213,151,152,153,154,150,155"/>
    <n v="24"/>
    <s v=",148,149,149,149,152,153,152,153,155,155,157,157,156,158,158,158"/>
    <m/>
    <s v="No"/>
    <x v="0"/>
    <d v="2015-11-27T19:44:05"/>
    <n v="7"/>
    <s v="128.205.114.91"/>
    <s v="HX413.8.K68"/>
    <n v="952.03099999999995"/>
    <d v="2015-06-09T00:00:00"/>
  </r>
  <r>
    <x v="2850"/>
    <d v="1899-12-30T00:02:12"/>
    <x v="782"/>
    <x v="13"/>
    <s v="buffalostate"/>
    <x v="499"/>
    <n v="1172554"/>
    <x v="15"/>
    <s v="History"/>
    <s v=""/>
    <s v=",1,2,3,33,34,35,31,32,36,37,38,39,40,41,42,43,44,45,46,47,48,49,50,51,52,53,54,262,263,264,260,265,266,267,268,269,270,271,272,273,274,275"/>
    <n v="42"/>
    <m/>
    <m/>
    <s v="No"/>
    <x v="1"/>
    <m/>
    <m/>
    <s v="136.183.11.43"/>
    <s v="DF234 .A67 2012"/>
    <s v="938.07092; 938/.07092"/>
    <d v="2013-04-11T00:00:00"/>
  </r>
  <r>
    <x v="2851"/>
    <d v="1899-12-30T00:26:21"/>
    <x v="592"/>
    <x v="1"/>
    <s v="brockport"/>
    <x v="625"/>
    <n v="836167"/>
    <x v="6"/>
    <s v="Science: Physics; Environmental Studies; Science"/>
    <s v="9781438139487"/>
    <s v=",45,46,44,43,42,41,40,39,37,38,36,8,34,35"/>
    <n v="14"/>
    <m/>
    <m/>
    <s v="No"/>
    <x v="0"/>
    <d v="2015-11-27T20:30:41"/>
    <n v="7"/>
    <s v="137.21.7.121"/>
    <s v="QC981.8.G56 -- T66 2012eb"/>
    <s v="363.738/74"/>
    <d v="2011-11-01T00:00:00"/>
  </r>
  <r>
    <x v="2852"/>
    <d v="1899-12-30T00:27:47"/>
    <x v="592"/>
    <x v="1"/>
    <s v="brockport"/>
    <x v="625"/>
    <n v="836167"/>
    <x v="6"/>
    <s v="Science: Physics; Environmental Studies; Science"/>
    <s v="9781438139487"/>
    <s v=",1,2,3,49,50,51,47,48"/>
    <n v="8"/>
    <m/>
    <m/>
    <s v="No"/>
    <x v="1"/>
    <m/>
    <m/>
    <s v="137.21.7.121"/>
    <s v="QC981.8.G56 -- T66 2012eb"/>
    <s v="363.738/74"/>
    <d v="2011-11-01T00:00:00"/>
  </r>
  <r>
    <x v="2853"/>
    <d v="1899-12-30T00:22:47"/>
    <x v="468"/>
    <x v="0"/>
    <s v="Buffalo"/>
    <x v="508"/>
    <n v="1882107"/>
    <x v="3"/>
    <s v="History; Social Science"/>
    <s v="9780520961593"/>
    <s v=",147,1,148,149,145,146"/>
    <n v="6"/>
    <s v=",146,147"/>
    <m/>
    <s v="No"/>
    <x v="0"/>
    <d v="2015-11-27T19:44:05"/>
    <n v="7"/>
    <s v="128.205.114.91"/>
    <s v="HX413.8.K68"/>
    <n v="952.03099999999995"/>
    <d v="2015-06-09T00:00:00"/>
  </r>
  <r>
    <x v="2854"/>
    <d v="1899-12-30T00:07:43"/>
    <x v="468"/>
    <x v="0"/>
    <s v="Buffalo"/>
    <x v="508"/>
    <n v="1882107"/>
    <x v="3"/>
    <s v="History; Social Science"/>
    <s v="9780520961593"/>
    <s v=",1,2,3,148,149,150,146,147,214,215,216,212,213,195,196,197,193,194,198,199,144,145,142,143"/>
    <n v="24"/>
    <m/>
    <m/>
    <s v="No"/>
    <x v="1"/>
    <m/>
    <m/>
    <s v="128.205.114.91"/>
    <s v="HX413.8.K68"/>
    <n v="952.03099999999995"/>
    <d v="2015-06-09T00:00:00"/>
  </r>
  <r>
    <x v="2855"/>
    <d v="1899-12-30T03:07:13"/>
    <x v="795"/>
    <x v="0"/>
    <s v="Buffalo"/>
    <x v="6"/>
    <n v="1635363"/>
    <x v="0"/>
    <s v="Law"/>
    <s v="9781118678206"/>
    <s v=",1,2,3,2,1,3,350,351,352,350,348,351,349,349,352,2,314,315,316,315,314,313,316,312,313,288,289,288,290,290,286,289,287,287,291,291,292,292,293,293,294,294,326,327,326,328,324,328,327,325,325,329,329,292,293,294,290,291,289,294,295,295,314,315,316,312,317,318,317,318,319,320,319,320,320,1,321,320,321,318,322,319,1,322,319,323,324,323,324,325,325,2,326,326,2,292,293,294,293,294,290,292,291,291,314,315,316,313,312,1,312,313,314,310,311,2,314,312,313,311,2,1,315,310,314,315,316,315,317,318,316,319,317,314,318,319,321,320,321,320,322,323,324,322,323,324,325,325,326,326,292,293,292,293,291,290,291,294,294,295,295,295,327,326,327,324,328,325,328,329,329"/>
    <n v="38"/>
    <m/>
    <m/>
    <s v="No"/>
    <x v="0"/>
    <d v="2015-11-25T20:07:49"/>
    <n v="7"/>
    <s v="128.205.114.91"/>
    <s v="KF285.Z9 -- H38 2014eb"/>
    <n v="340.07600000000002"/>
    <d v="2014-02-14T00:00:00"/>
  </r>
  <r>
    <x v="2856"/>
    <d v="1899-12-30T00:00:33"/>
    <x v="26"/>
    <x v="6"/>
    <s v="sjfc"/>
    <x v="533"/>
    <n v="1760720"/>
    <x v="4"/>
    <s v="Medicine"/>
    <s v="9781462517459"/>
    <s v=",1,2,3,4,5,44,62,63,64,60,61,153,154,155,151,152,193,194,195,191,192"/>
    <n v="21"/>
    <m/>
    <m/>
    <s v="No"/>
    <x v="1"/>
    <m/>
    <m/>
    <s v="149.69.254.57"/>
    <s v="RC489.D48 -- L56 2015eb"/>
    <n v="616.89142000000004"/>
    <d v="2014-12-23T00:00:00"/>
  </r>
  <r>
    <x v="2857"/>
    <d v="1899-12-30T00:36:04"/>
    <x v="796"/>
    <x v="1"/>
    <s v="brockport"/>
    <x v="243"/>
    <n v="1574789"/>
    <x v="2"/>
    <s v="History"/>
    <s v="9781317882237"/>
    <s v=",4,9,5,6,7,84,85,86,82,83,87,88,89,85,87,86,83,84,82,88"/>
    <n v="13"/>
    <m/>
    <m/>
    <s v="No"/>
    <x v="2"/>
    <d v="2015-11-27T18:11:14"/>
    <n v="1"/>
    <s v="137.21.7.121"/>
    <s v="DS918 -- .L44 2013eb"/>
    <n v="951.90419999999995"/>
    <d v="2013-12-02T00:00:00"/>
  </r>
  <r>
    <x v="2858"/>
    <d v="1899-12-30T00:09:39"/>
    <x v="796"/>
    <x v="1"/>
    <s v="brockport"/>
    <x v="243"/>
    <n v="1574789"/>
    <x v="2"/>
    <s v="History"/>
    <s v="9781317882237"/>
    <s v=",1,2,3,4,5,6,7,8,9,10,11,12,24,38,41,42,43,44,40,84,85,86,82,83"/>
    <n v="24"/>
    <m/>
    <m/>
    <s v="No"/>
    <x v="3"/>
    <m/>
    <m/>
    <s v="137.21.7.121"/>
    <s v="DS918 -- .L44 2013eb"/>
    <n v="951.90419999999995"/>
    <d v="2013-12-02T00:00:00"/>
  </r>
  <r>
    <x v="2859"/>
    <d v="1899-12-30T00:51:48"/>
    <x v="797"/>
    <x v="8"/>
    <s v="niagaracc"/>
    <x v="825"/>
    <n v="1834779"/>
    <x v="0"/>
    <s v="Sport &amp; Recreation"/>
    <s v="9781118613801"/>
    <s v=",7,6,4,5,3,1,14,15,16,13,17,18,19,20,22,23,24,21,34,35,36,32,33"/>
    <n v="23"/>
    <m/>
    <m/>
    <s v="No"/>
    <x v="2"/>
    <d v="2015-11-27T17:12:59"/>
    <n v="1"/>
    <s v="132.174.254.37"/>
    <s v="GV573 .K384 2014"/>
    <n v="796.09299999999996"/>
    <d v="2014-11-05T00:00:00"/>
  </r>
  <r>
    <x v="2860"/>
    <d v="1899-12-30T00:17:22"/>
    <x v="797"/>
    <x v="8"/>
    <s v="niagaracc"/>
    <x v="825"/>
    <n v="1834779"/>
    <x v="0"/>
    <s v="Sport &amp; Recreation"/>
    <s v="9781118613801"/>
    <s v=",1,2,3,19,20,21,18,26,38,36,30,15,14,12,5,4,6,7,8,9,10,11,12"/>
    <n v="22"/>
    <m/>
    <m/>
    <s v="No"/>
    <x v="3"/>
    <m/>
    <m/>
    <s v="132.174.254.37"/>
    <s v="GV573 .K384 2014"/>
    <n v="796.09299999999996"/>
    <d v="2014-11-05T00:00:00"/>
  </r>
  <r>
    <x v="2861"/>
    <d v="1899-12-30T00:05:15"/>
    <x v="798"/>
    <x v="0"/>
    <s v="Buffalo"/>
    <x v="161"/>
    <n v="821663"/>
    <x v="0"/>
    <s v="Architecture"/>
    <s v="9781118168479"/>
    <s v=",1,2,3,217,218,219,215,216,220,221,222,223,224,225,226,227,228,229,230,231,232,233"/>
    <n v="22"/>
    <m/>
    <m/>
    <s v="No"/>
    <x v="1"/>
    <m/>
    <m/>
    <s v="128.205.114.91"/>
    <s v="NA2547 -- .S74 2012eb"/>
    <n v="729"/>
    <d v="2012-03-05T00:00:00"/>
  </r>
  <r>
    <x v="2862"/>
    <d v="1899-12-30T00:03:46"/>
    <x v="758"/>
    <x v="5"/>
    <s v="erie"/>
    <x v="702"/>
    <n v="1187185"/>
    <x v="0"/>
    <s v="Engineering; Engineering: Mining; Engineering: Environmental"/>
    <s v="9781118748183"/>
    <s v=",1,2,3,11,9,8,4,5,6,7,8,9,10,11,12,13,14,15,16,17,18,19,20,21,22,23,24,25,26,27,28,29,30,31,32,33,34,35,28,22,21"/>
    <n v="35"/>
    <m/>
    <m/>
    <s v="No"/>
    <x v="1"/>
    <m/>
    <m/>
    <s v="199.29.6.54"/>
    <s v="TD195.G3 -- H65 2013eb"/>
    <n v="622.33799999999997"/>
    <d v="2013-05-06T00:00:00"/>
  </r>
  <r>
    <x v="2863"/>
    <d v="1899-12-30T00:00:42"/>
    <x v="799"/>
    <x v="6"/>
    <s v="sjfc"/>
    <x v="822"/>
    <n v="1034770"/>
    <x v="4"/>
    <s v="Medicine"/>
    <s v="9781462507566"/>
    <s v=",21,20,19,18,17,1,2,3,4,5,6,7,8,9,10,11,15,16,13,14,12"/>
    <n v="21"/>
    <m/>
    <m/>
    <s v="No"/>
    <x v="0"/>
    <d v="2015-11-27T14:56:24"/>
    <n v="7"/>
    <s v="149.69.254.57"/>
    <s v="RC533 -- .M56 2012eb"/>
    <n v="616.85839999999996"/>
    <d v="2013-10-20T00:00:00"/>
  </r>
  <r>
    <x v="2864"/>
    <d v="1899-12-30T00:15:36"/>
    <x v="799"/>
    <x v="6"/>
    <s v="sjfc"/>
    <x v="822"/>
    <n v="1034770"/>
    <x v="4"/>
    <s v="Medicine"/>
    <s v="9781462507566"/>
    <s v=",1,17,18,19,15,16,20,21,22,2,23,24,25,26,27,28,29"/>
    <n v="17"/>
    <m/>
    <m/>
    <s v="No"/>
    <x v="1"/>
    <m/>
    <m/>
    <s v="149.69.254.57"/>
    <s v="RC533 -- .M56 2012eb"/>
    <n v="616.85839999999996"/>
    <d v="2013-10-20T00:00:00"/>
  </r>
  <r>
    <x v="2865"/>
    <d v="1899-12-30T00:04:49"/>
    <x v="506"/>
    <x v="0"/>
    <s v="Buffalo"/>
    <x v="533"/>
    <n v="1760720"/>
    <x v="4"/>
    <s v="Medicine"/>
    <s v="9781462517459"/>
    <s v=",1,2,3,187,188,189,185,186,190,191,192,193"/>
    <n v="12"/>
    <m/>
    <m/>
    <s v="No"/>
    <x v="1"/>
    <m/>
    <m/>
    <s v="128.205.114.91"/>
    <s v="RC489.D48 -- L56 2015eb"/>
    <n v="616.89142000000004"/>
    <d v="2014-12-23T00:00:00"/>
  </r>
  <r>
    <x v="2866"/>
    <d v="1899-12-30T01:46:44"/>
    <x v="789"/>
    <x v="6"/>
    <s v="sjfc"/>
    <x v="68"/>
    <n v="1822529"/>
    <x v="0"/>
    <s v="Mathematics"/>
    <s v="9781118824344"/>
    <s v=",1,2,3,293,294,295,291,292,293,294,295,291,292,296,297,298,299,300,301,302,303,304,305,306,300,1,300,301,302,298,299,300,301,302,298,299,303,2,304,305,306,307,308,309,310,311,312,313,314,315"/>
    <n v="28"/>
    <m/>
    <m/>
    <s v="No"/>
    <x v="0"/>
    <d v="2015-11-23T13:53:15"/>
    <n v="7"/>
    <s v="149.69.254.57"/>
    <s v="QA297 -- .S59 2015eb"/>
    <n v="519.4"/>
    <d v="2014-10-20T00:00:00"/>
  </r>
  <r>
    <x v="2867"/>
    <d v="1899-12-30T00:02:13"/>
    <x v="13"/>
    <x v="0"/>
    <s v="Buffalo"/>
    <x v="508"/>
    <n v="1882107"/>
    <x v="3"/>
    <s v="History; Social Science"/>
    <s v="9780520961593"/>
    <s v=",154"/>
    <n v="1"/>
    <s v=",149"/>
    <m/>
    <s v="No"/>
    <x v="0"/>
    <d v="2015-11-27T05:45:43"/>
    <n v="7"/>
    <s v="128.205.114.91"/>
    <s v="HX413.8.K68"/>
    <n v="952.03099999999995"/>
    <d v="2015-06-09T00:00:00"/>
  </r>
  <r>
    <x v="2868"/>
    <d v="1899-12-30T00:03:58"/>
    <x v="13"/>
    <x v="0"/>
    <s v="Buffalo"/>
    <x v="508"/>
    <n v="1882107"/>
    <x v="3"/>
    <s v="History; Social Science"/>
    <s v="9780520961593"/>
    <s v=",1,2,3,66,68,64,65,69,70,71,151,152,153,149,150,148,147,146,145"/>
    <n v="19"/>
    <m/>
    <m/>
    <s v="No"/>
    <x v="1"/>
    <m/>
    <m/>
    <s v="128.205.114.91"/>
    <s v="HX413.8.K68"/>
    <n v="952.03099999999995"/>
    <d v="2015-06-09T00:00:00"/>
  </r>
  <r>
    <x v="2869"/>
    <d v="1899-12-30T00:00:03"/>
    <x v="656"/>
    <x v="8"/>
    <s v="niagaracc"/>
    <x v="688"/>
    <n v="3061306"/>
    <x v="2"/>
    <s v="Psychology"/>
    <s v="9780203713877"/>
    <s v=",1,2,3"/>
    <n v="3"/>
    <m/>
    <m/>
    <s v="No"/>
    <x v="2"/>
    <d v="2015-11-26T06:47:11"/>
    <n v="1"/>
    <s v="132.174.254.37"/>
    <s v="BF1078 -- .W458 2011eb"/>
    <s v="154.6/3"/>
    <d v="2013-10-01T00:00:00"/>
  </r>
  <r>
    <x v="2870"/>
    <d v="1899-12-30T01:14:40"/>
    <x v="656"/>
    <x v="8"/>
    <s v="niagaracc"/>
    <x v="687"/>
    <n v="1569869"/>
    <x v="2"/>
    <s v="Psychology"/>
    <s v="9781317799108"/>
    <s v=",1,2,3,21,22,7,4,12,5,15,28,52,77,80,78,79,81,82,83,84,85,86,87,88,89,90,91,92,76,75,74,73,72,71,48,6,8,14,25,42,56,66,70,69,93"/>
    <n v="45"/>
    <m/>
    <m/>
    <s v="No"/>
    <x v="2"/>
    <d v="2015-11-26T06:48:09"/>
    <n v="1"/>
    <s v="132.174.254.37"/>
    <s v="BF1099.L82"/>
    <n v="154.63"/>
    <d v="2013-11-26T00:00:00"/>
  </r>
  <r>
    <x v="2871"/>
    <d v="1899-12-30T00:00:05"/>
    <x v="708"/>
    <x v="1"/>
    <s v="brockport"/>
    <x v="826"/>
    <n v="1517582"/>
    <x v="2"/>
    <s v="History; Religion"/>
    <s v="9781136058509"/>
    <s v=",1,2,3"/>
    <n v="3"/>
    <m/>
    <m/>
    <s v="No"/>
    <x v="3"/>
    <m/>
    <m/>
    <s v="137.21.7.121"/>
    <s v="BL802 -- .T8713 2001eb"/>
    <n v="937"/>
    <d v="2013-10-28T00:00:00"/>
  </r>
  <r>
    <x v="2872"/>
    <d v="1899-12-30T00:03:03"/>
    <x v="782"/>
    <x v="13"/>
    <s v="buffalostate"/>
    <x v="499"/>
    <n v="1172554"/>
    <x v="15"/>
    <s v="History"/>
    <s v=""/>
    <s v=",1,2,3,4,5,6,7,8,9,42,43,40,41,38,39,37,36,34,35,33,31,32,30,29,28,27,26,25,24,23,22,21,20,18,19,17,16,15,14,13,11,12,10,2"/>
    <n v="43"/>
    <m/>
    <m/>
    <s v="No"/>
    <x v="0"/>
    <d v="2015-11-20T18:17:39"/>
    <n v="7"/>
    <s v="136.183.11.43"/>
    <s v="DF234 .A67 2012"/>
    <s v="938.07092; 938/.07092"/>
    <d v="2013-04-11T00:00:00"/>
  </r>
  <r>
    <x v="2873"/>
    <d v="1899-12-30T00:01:00"/>
    <x v="800"/>
    <x v="0"/>
    <s v="Buffalo"/>
    <x v="630"/>
    <n v="771049"/>
    <x v="18"/>
    <s v="Science: Physics; Science; Environmental Studies"/>
    <s v="9781608706648"/>
    <s v=",1,2,3,4,5,6,7,8,9,10,11"/>
    <n v="11"/>
    <m/>
    <m/>
    <s v="No"/>
    <x v="1"/>
    <m/>
    <m/>
    <s v="128.205.114.91"/>
    <s v="QC981.8"/>
    <n v="363.73874000000001"/>
    <d v="2012-01-01T00:00:00"/>
  </r>
  <r>
    <x v="2874"/>
    <d v="1899-12-30T01:27:46"/>
    <x v="789"/>
    <x v="6"/>
    <s v="sjfc"/>
    <x v="68"/>
    <n v="1822529"/>
    <x v="0"/>
    <s v="Mathematics"/>
    <s v="9781118824344"/>
    <s v=",1,2,3,273,274,275,273,274,275,271,272,276,277,278,279,280,281,282,283,284,285,349,350,351,347,348,343,344,345,278,284,285,286,287,288,289,290,291,292,293,294,295,110,111,112,108,109,127,129,128,125,126,130,131,124,177,178,179,175,176,174,179,180"/>
    <n v="56"/>
    <m/>
    <m/>
    <s v="No"/>
    <x v="0"/>
    <d v="2015-11-23T13:53:15"/>
    <n v="7"/>
    <s v="149.69.254.57"/>
    <s v="QA297 -- .S59 2015eb"/>
    <n v="519.4"/>
    <d v="2014-10-20T00:00:00"/>
  </r>
  <r>
    <x v="2875"/>
    <d v="1899-12-30T00:00:18"/>
    <x v="656"/>
    <x v="8"/>
    <s v="niagaracc"/>
    <x v="688"/>
    <n v="3061306"/>
    <x v="2"/>
    <s v="Psychology"/>
    <s v="9780203713877"/>
    <s v=",1,2,3,4,5"/>
    <n v="5"/>
    <m/>
    <m/>
    <s v="No"/>
    <x v="2"/>
    <d v="2015-11-26T06:47:11"/>
    <n v="1"/>
    <s v="132.174.254.37"/>
    <s v="BF1078 -- .W458 2011eb"/>
    <s v="154.6/3"/>
    <d v="2013-10-01T00:00:00"/>
  </r>
  <r>
    <x v="2876"/>
    <d v="1899-12-30T00:33:46"/>
    <x v="656"/>
    <x v="8"/>
    <s v="niagaracc"/>
    <x v="687"/>
    <n v="1569869"/>
    <x v="2"/>
    <s v="Psychology"/>
    <s v="9781317799108"/>
    <s v=",4,5,6,7,8,9"/>
    <n v="6"/>
    <m/>
    <m/>
    <s v="Yes"/>
    <x v="2"/>
    <d v="2015-11-26T06:48:09"/>
    <n v="1"/>
    <s v="132.174.254.37"/>
    <s v="BF1099.L82"/>
    <n v="154.63"/>
    <d v="2013-11-26T00:00:00"/>
  </r>
  <r>
    <x v="2876"/>
    <d v="1899-12-30T00:00:00"/>
    <x v="656"/>
    <x v="8"/>
    <s v="niagaracc"/>
    <x v="687"/>
    <n v="1569869"/>
    <x v="2"/>
    <s v="Psychology"/>
    <s v="9781317799108"/>
    <m/>
    <n v="0"/>
    <m/>
    <m/>
    <s v="No"/>
    <x v="2"/>
    <d v="2015-11-26T06:48:09"/>
    <n v="1"/>
    <s v="132.174.254.37"/>
    <s v="BF1099.L82"/>
    <n v="154.63"/>
    <d v="2013-11-26T00:00:00"/>
  </r>
  <r>
    <x v="2877"/>
    <d v="1899-12-30T00:00:22"/>
    <x v="656"/>
    <x v="8"/>
    <s v="niagaracc"/>
    <x v="687"/>
    <n v="1569869"/>
    <x v="2"/>
    <s v="Psychology"/>
    <s v="9781317799108"/>
    <s v=",1,2,3"/>
    <n v="3"/>
    <m/>
    <m/>
    <s v="No"/>
    <x v="3"/>
    <m/>
    <m/>
    <s v="132.174.254.37"/>
    <s v="BF1099.L82"/>
    <n v="154.63"/>
    <d v="2013-11-26T00:00:00"/>
  </r>
  <r>
    <x v="2878"/>
    <d v="1899-12-30T02:30:57"/>
    <x v="656"/>
    <x v="8"/>
    <s v="niagaracc"/>
    <x v="688"/>
    <n v="3061306"/>
    <x v="2"/>
    <s v="Psychology"/>
    <s v="9780203713877"/>
    <s v=",4,5,6,7,8,9,10,85,122,123,124,125,147,148,149,150,151,152,153,146,144,145,113,13,12,10,13,75,38,41,42,43,44,40,45,46,47,48,49,50,51,52,53,54,55,56,57,58,59,60,61,62,63,64,36,35,37,33,34,39"/>
    <n v="58"/>
    <m/>
    <m/>
    <s v="Yes"/>
    <x v="2"/>
    <d v="2015-11-26T06:47:11"/>
    <n v="1"/>
    <s v="132.174.254.37"/>
    <s v="BF1078 -- .W458 2011eb"/>
    <s v="154.6/3"/>
    <d v="2013-10-01T00:00:00"/>
  </r>
  <r>
    <x v="2878"/>
    <d v="1899-12-30T00:00:00"/>
    <x v="656"/>
    <x v="8"/>
    <s v="niagaracc"/>
    <x v="688"/>
    <n v="3061306"/>
    <x v="2"/>
    <s v="Psychology"/>
    <s v="9780203713877"/>
    <m/>
    <n v="0"/>
    <m/>
    <m/>
    <s v="No"/>
    <x v="2"/>
    <d v="2015-11-26T06:47:11"/>
    <n v="1"/>
    <s v="132.174.254.37"/>
    <s v="BF1078 -- .W458 2011eb"/>
    <s v="154.6/3"/>
    <d v="2013-10-01T00:00:00"/>
  </r>
  <r>
    <x v="2879"/>
    <d v="1899-12-30T00:00:45"/>
    <x v="656"/>
    <x v="8"/>
    <s v="niagaracc"/>
    <x v="688"/>
    <n v="3061306"/>
    <x v="2"/>
    <s v="Psychology"/>
    <s v="9780203713877"/>
    <s v=",1,2,3"/>
    <n v="3"/>
    <m/>
    <m/>
    <s v="No"/>
    <x v="3"/>
    <m/>
    <m/>
    <s v="132.174.254.37"/>
    <s v="BF1078 -- .W458 2011eb"/>
    <s v="154.6/3"/>
    <d v="2013-10-01T00:00:00"/>
  </r>
  <r>
    <x v="2880"/>
    <d v="1899-12-30T00:52:08"/>
    <x v="801"/>
    <x v="0"/>
    <s v="Buffalo"/>
    <x v="827"/>
    <n v="1969430"/>
    <x v="1"/>
    <s v="Social Science"/>
    <s v="9781472443038"/>
    <s v=",22,81,101,102,103,99,100,104,1,2,3,113,114,115,111,112"/>
    <n v="16"/>
    <m/>
    <m/>
    <s v="No"/>
    <x v="2"/>
    <d v="2015-11-26T06:03:01"/>
    <n v="1"/>
    <s v="128.205.114.91"/>
    <s v="HQ281 -- .S65 2015eb"/>
    <s v="306.3/6209593"/>
    <d v="2015-03-28T00:00:00"/>
  </r>
  <r>
    <x v="2881"/>
    <d v="1899-12-30T00:10:45"/>
    <x v="801"/>
    <x v="0"/>
    <s v="Buffalo"/>
    <x v="827"/>
    <n v="1969430"/>
    <x v="1"/>
    <s v="Social Science"/>
    <s v="9781472443038"/>
    <s v=",1,2,3,4,5,6,7,8,9,10,11,12,15,16,17,18,25,26,27,23,24"/>
    <n v="21"/>
    <m/>
    <m/>
    <s v="No"/>
    <x v="3"/>
    <m/>
    <m/>
    <s v="128.205.114.91"/>
    <s v="HQ281 -- .S65 2015eb"/>
    <s v="306.3/6209593"/>
    <d v="2015-03-28T00:00:00"/>
  </r>
  <r>
    <x v="2882"/>
    <d v="1899-12-30T00:18:25"/>
    <x v="802"/>
    <x v="0"/>
    <s v="Buffalo"/>
    <x v="828"/>
    <n v="821834"/>
    <x v="0"/>
    <s v="Business/Management"/>
    <s v="9781118225868"/>
    <s v=",91"/>
    <n v="1"/>
    <s v=",88"/>
    <m/>
    <s v="No"/>
    <x v="0"/>
    <d v="2015-11-26T04:33:30"/>
    <n v="7"/>
    <s v="128.205.114.91"/>
    <s v="HF5415.1265 -- .T74 2012eb"/>
    <s v="658.8/72"/>
    <d v="2012-04-10T00:00:00"/>
  </r>
  <r>
    <x v="2883"/>
    <d v="1899-12-30T00:13:03"/>
    <x v="802"/>
    <x v="0"/>
    <s v="Buffalo"/>
    <x v="828"/>
    <n v="821834"/>
    <x v="0"/>
    <s v="Business/Management"/>
    <s v="9781118225868"/>
    <s v=",1,2,3,4,5,6,7,8,88,89,90,87,85,86,90,91,92"/>
    <n v="16"/>
    <m/>
    <m/>
    <s v="No"/>
    <x v="1"/>
    <m/>
    <m/>
    <s v="128.205.114.91"/>
    <s v="HF5415.1265 -- .T74 2012eb"/>
    <s v="658.8/72"/>
    <d v="2012-04-10T00:00:00"/>
  </r>
  <r>
    <x v="2884"/>
    <d v="1899-12-30T00:06:48"/>
    <x v="802"/>
    <x v="0"/>
    <s v="Buffalo"/>
    <x v="829"/>
    <n v="818121"/>
    <x v="0"/>
    <s v="Fine Arts; Business/Management"/>
    <s v="9781118226339"/>
    <s v=",1,2,3,4"/>
    <n v="4"/>
    <m/>
    <m/>
    <s v="No"/>
    <x v="1"/>
    <m/>
    <m/>
    <s v="128.205.114.91"/>
    <s v="PN1992.55 -- .P76 2012eb"/>
    <s v="658.872; 659.02854678"/>
    <d v="2012-01-26T00:00:00"/>
  </r>
  <r>
    <x v="2885"/>
    <d v="1899-12-30T01:44:38"/>
    <x v="548"/>
    <x v="1"/>
    <s v="brockport"/>
    <x v="578"/>
    <n v="1816989"/>
    <x v="7"/>
    <s v="Social Science; Health; Medicine"/>
    <s v="9781780644578"/>
    <s v=",38,39,40,41,42,43,44,45,46,47,65,66,67,62,61,59,60,58,57,56,55,54,53,35,36,37,33,34,38,39,40,181,182,183,179,180,184,185,186,187,188,189"/>
    <n v="39"/>
    <m/>
    <m/>
    <s v="No"/>
    <x v="2"/>
    <d v="2015-11-26T01:59:38"/>
    <n v="1"/>
    <s v="137.21.7.121"/>
    <s v="RA793 -- .C5766 2014eb"/>
    <s v="616.9/88"/>
    <d v="2014-09-26T00:00:00"/>
  </r>
  <r>
    <x v="2886"/>
    <d v="1899-12-30T00:06:12"/>
    <x v="548"/>
    <x v="1"/>
    <s v="brockport"/>
    <x v="578"/>
    <n v="1816989"/>
    <x v="7"/>
    <s v="Social Science; Health; Medicine"/>
    <s v="9781780644578"/>
    <s v=",1,2,3,62,63,64,60,61,35,36,37,33,34"/>
    <n v="13"/>
    <m/>
    <m/>
    <s v="No"/>
    <x v="3"/>
    <m/>
    <m/>
    <s v="137.21.7.121"/>
    <s v="RA793 -- .C5766 2014eb"/>
    <s v="616.9/88"/>
    <d v="2014-09-26T00:00:00"/>
  </r>
  <r>
    <x v="2887"/>
    <d v="1899-12-30T00:01:10"/>
    <x v="803"/>
    <x v="1"/>
    <s v="brockport"/>
    <x v="830"/>
    <n v="1874136"/>
    <x v="0"/>
    <s v="Social Science"/>
    <s v="9781118859711"/>
    <s v=",1,2,3,7,8,9,5,6,10,11,12,13,14,15,16"/>
    <n v="15"/>
    <m/>
    <m/>
    <s v="No"/>
    <x v="1"/>
    <m/>
    <m/>
    <s v="137.21.7.121"/>
    <s v="HV40 -- .L284 2015eb"/>
    <s v="361.3/2"/>
    <d v="2014-11-25T00:00:00"/>
  </r>
  <r>
    <x v="2888"/>
    <d v="1899-12-30T04:39:25"/>
    <x v="795"/>
    <x v="0"/>
    <s v="Buffalo"/>
    <x v="6"/>
    <n v="1635363"/>
    <x v="0"/>
    <s v="Law"/>
    <s v="9781118678206"/>
    <s v=",1,2,3,350,351,348,349,353,354,352,351,402,403,382,350,383,384,385,386,350,353,387,388,389,390,391,354,353,382,402,403,350,352,354,314,217,218,180,181,182,183,184,185,250,220,221,288,289,290,291,292,314"/>
    <n v="39"/>
    <m/>
    <m/>
    <s v="No"/>
    <x v="0"/>
    <d v="2015-11-25T20:07:49"/>
    <n v="7"/>
    <s v="128.205.114.91"/>
    <s v="KF285.Z9 -- H38 2014eb"/>
    <n v="340.07600000000002"/>
    <d v="2014-02-14T00:00:00"/>
  </r>
  <r>
    <x v="2889"/>
    <d v="1899-12-30T00:01:46"/>
    <x v="804"/>
    <x v="6"/>
    <s v="sjfc"/>
    <x v="631"/>
    <n v="1798778"/>
    <x v="0"/>
    <s v="Medicine"/>
    <s v="9781118760741"/>
    <s v=",1,2,3,28,69,93,208,327,328,329,326,324,310,311,312,309,308,306,307,305,304,355,369,370,371,367,368,335,336,337,334,333,346,347,348,345,344,342,343"/>
    <n v="39"/>
    <m/>
    <m/>
    <s v="No"/>
    <x v="1"/>
    <m/>
    <m/>
    <s v="149.69.254.57"/>
    <s v="RC71.5 -- .D954 2015eb"/>
    <n v="616.07500000000005"/>
    <d v="2014-09-24T00:00:00"/>
  </r>
  <r>
    <x v="2890"/>
    <d v="1899-12-30T03:03:25"/>
    <x v="805"/>
    <x v="0"/>
    <s v="Buffalo"/>
    <x v="703"/>
    <n v="1808795"/>
    <x v="1"/>
    <s v="Architecture"/>
    <s v="9781472447951"/>
    <s v=",49,50,51,52,53,54,1,3,58,4,5,6,7,8,59,60,57,56,61,62,63,64,64,1,66,65,63,62,67,68,2,69,70,60,61,61,1,62,63,59,60,2,64,65,66,67,68,69,70,71,72,73,74,75,76,77,78,79"/>
    <n v="38"/>
    <m/>
    <m/>
    <s v="No"/>
    <x v="2"/>
    <d v="2015-11-25T21:15:18"/>
    <n v="1"/>
    <s v="128.205.114.91"/>
    <s v="NA5870.A9 -- .S353 2014eb"/>
    <s v="726.6094961/8"/>
    <d v="2014-11-28T00:00:00"/>
  </r>
  <r>
    <x v="2891"/>
    <d v="1899-12-30T00:07:46"/>
    <x v="805"/>
    <x v="0"/>
    <s v="Buffalo"/>
    <x v="703"/>
    <n v="1808795"/>
    <x v="1"/>
    <s v="Architecture"/>
    <s v="9781472447951"/>
    <s v=",1,2,3,42,43,44,40,41,45,46,47,48"/>
    <n v="12"/>
    <m/>
    <m/>
    <s v="No"/>
    <x v="3"/>
    <m/>
    <m/>
    <s v="128.205.114.91"/>
    <s v="NA5870.A9 -- .S353 2014eb"/>
    <s v="726.6094961/8"/>
    <d v="2014-11-28T00:00:00"/>
  </r>
  <r>
    <x v="2892"/>
    <d v="1899-12-30T00:03:41"/>
    <x v="806"/>
    <x v="1"/>
    <s v="brockport"/>
    <x v="831"/>
    <n v="1565887"/>
    <x v="2"/>
    <s v="Medicine"/>
    <s v="9781317916611"/>
    <s v=",1,2,3,8,9,10,6,7,13,14,15,11,12,18,22,29,30,32,33,34,31,103,149,150,151,148,146,147,145,144,143,142,141,140,139,138,137,136,135,134,133,132,143,144,145,146,147"/>
    <n v="42"/>
    <m/>
    <m/>
    <s v="No"/>
    <x v="3"/>
    <m/>
    <m/>
    <s v="137.21.7.121"/>
    <s v="RC521 -- .D53 2014eb"/>
    <n v="616.83000000000004"/>
    <d v="2013-11-20T00:00:00"/>
  </r>
  <r>
    <x v="2893"/>
    <d v="1899-12-30T00:00:04"/>
    <x v="198"/>
    <x v="0"/>
    <s v="Buffalo"/>
    <x v="832"/>
    <n v="1794561"/>
    <x v="0"/>
    <s v="Science: Chemistry; Science"/>
    <s v="9783527667574"/>
    <s v=",1,2,3"/>
    <n v="3"/>
    <m/>
    <m/>
    <s v="No"/>
    <x v="1"/>
    <m/>
    <m/>
    <s v="128.205.114.91"/>
    <s v="QD462 -- .R454 2015eb"/>
    <n v="541.28"/>
    <d v="2014-09-23T00:00:00"/>
  </r>
  <r>
    <x v="2894"/>
    <d v="1899-12-30T01:29:19"/>
    <x v="795"/>
    <x v="0"/>
    <s v="Buffalo"/>
    <x v="6"/>
    <n v="1635363"/>
    <x v="0"/>
    <s v="Law"/>
    <s v="9781118678206"/>
    <s v=",181,182,217,218,219,220,221,256,288,289,288,289,297,314,326,314,315,316,317,316,288,289,290,314,326,327,288,289,290"/>
    <n v="18"/>
    <m/>
    <m/>
    <s v="No"/>
    <x v="0"/>
    <d v="2015-11-25T20:07:49"/>
    <n v="7"/>
    <s v="128.205.114.91"/>
    <s v="KF285.Z9 -- H38 2014eb"/>
    <n v="340.07600000000002"/>
    <d v="2014-02-14T00:00:00"/>
  </r>
  <r>
    <x v="2895"/>
    <d v="1899-12-30T00:29:47"/>
    <x v="795"/>
    <x v="0"/>
    <s v="Buffalo"/>
    <x v="6"/>
    <n v="1635363"/>
    <x v="0"/>
    <s v="Law"/>
    <s v="9781118678206"/>
    <s v=",1,2,3,3,2,1,1,2,2,180,181,180"/>
    <n v="5"/>
    <m/>
    <m/>
    <s v="No"/>
    <x v="1"/>
    <m/>
    <m/>
    <s v="128.205.114.91"/>
    <s v="KF285.Z9 -- H38 2014eb"/>
    <n v="340.07600000000002"/>
    <d v="2014-02-14T00:00:00"/>
  </r>
  <r>
    <x v="2896"/>
    <d v="1899-12-30T00:00:25"/>
    <x v="807"/>
    <x v="0"/>
    <s v="Buffalo"/>
    <x v="73"/>
    <n v="1119505"/>
    <x v="0"/>
    <s v="Science: Chemistry; Science"/>
    <s v="9781118355015"/>
    <s v=",273,274,275,276,277,278,279,280,281,282,283,284,285,286"/>
    <n v="14"/>
    <m/>
    <m/>
    <s v="No"/>
    <x v="0"/>
    <d v="2015-11-25T19:33:21"/>
    <n v="7"/>
    <s v="128.205.114.91"/>
    <s v="QD251.3 -- .S38 2013eb"/>
    <s v="547/.128"/>
    <d v="2013-01-28T00:00:00"/>
  </r>
  <r>
    <x v="2897"/>
    <d v="1899-12-30T00:00:06"/>
    <x v="434"/>
    <x v="0"/>
    <s v="Buffalo"/>
    <x v="833"/>
    <n v="1273245"/>
    <x v="2"/>
    <s v="Religion"/>
    <s v="9781136451010"/>
    <s v=",1,76,77,78,74,75"/>
    <n v="6"/>
    <m/>
    <m/>
    <s v="No"/>
    <x v="3"/>
    <m/>
    <m/>
    <s v="128.205.114.91"/>
    <s v="BL2017.4.A4 -- .S46 2005eb"/>
    <n v="294.68200000000002"/>
    <d v="2005-10-05T00:00:00"/>
  </r>
  <r>
    <x v="2898"/>
    <d v="1899-12-30T00:11:59"/>
    <x v="807"/>
    <x v="0"/>
    <s v="Buffalo"/>
    <x v="73"/>
    <n v="1119505"/>
    <x v="0"/>
    <s v="Science: Chemistry; Science"/>
    <s v="9781118355015"/>
    <s v=",1,2,3,270,271,269,268,272"/>
    <n v="8"/>
    <m/>
    <m/>
    <s v="No"/>
    <x v="1"/>
    <m/>
    <m/>
    <s v="128.205.114.91"/>
    <s v="QD251.3 -- .S38 2013eb"/>
    <s v="547/.128"/>
    <d v="2013-01-28T00:00:00"/>
  </r>
  <r>
    <x v="2899"/>
    <d v="1899-12-30T01:12:30"/>
    <x v="808"/>
    <x v="9"/>
    <s v="trocaire"/>
    <x v="834"/>
    <n v="538048"/>
    <x v="11"/>
    <s v="Law"/>
    <s v="9780226493671"/>
    <s v=",1,2,3,334,335,336,333,332,337,338,339,340,334,11,9,13,10,12,14,15,16,18,20,21,22,23,19,24,25,26,27,28,29,335,336,334,332,340,362,361,363,360,358,359,357,356,355,353,354,352,340,341,332,331,330,329,307,308,305,306,309"/>
    <n v="53"/>
    <m/>
    <m/>
    <s v="No"/>
    <x v="0"/>
    <d v="2015-11-24T18:06:13"/>
    <n v="7"/>
    <s v="173.225.62.67"/>
    <s v="KF3941 -- .L68 2010eb"/>
    <s v="344.7305/33"/>
    <d v="2013-01-29T00:00:00"/>
  </r>
  <r>
    <x v="2900"/>
    <d v="1899-12-30T00:59:19"/>
    <x v="809"/>
    <x v="9"/>
    <s v="trocaire"/>
    <x v="674"/>
    <n v="980956"/>
    <x v="0"/>
    <s v="Psychology; Social Science"/>
    <s v="9781118227251"/>
    <s v=",1,2,3,4,5,6,7,10,12,15,19,23,25,26,27,24,35,50,342,414,425,434,447,452,461,462,459,463,460,458,457,454,455,456,452,453,451,450,447,446,437,428,415,342"/>
    <n v="41"/>
    <m/>
    <m/>
    <s v="No"/>
    <x v="0"/>
    <d v="2015-11-23T17:38:20"/>
    <n v="7"/>
    <s v="173.225.62.67"/>
    <s v="HV40 -- .T51377 2012eb"/>
    <s v="150.1023/36132"/>
    <d v="2012-07-23T00:00:00"/>
  </r>
  <r>
    <x v="2901"/>
    <d v="1899-12-30T00:00:47"/>
    <x v="810"/>
    <x v="8"/>
    <s v="niagaracc"/>
    <x v="193"/>
    <n v="995746"/>
    <x v="0"/>
    <s v="Medicine; Health; Social Science"/>
    <s v="9781118233931"/>
    <s v=",1,2,3,4,5,6,7,8,9,10,11,12,13,14,15,16,17,18,19,20,21"/>
    <n v="21"/>
    <m/>
    <m/>
    <s v="No"/>
    <x v="1"/>
    <m/>
    <m/>
    <s v="132.174.254.37"/>
    <s v="RA790.A1; RC489.R46"/>
    <n v="362.20922000000002"/>
    <d v="2012-08-06T00:00:00"/>
  </r>
  <r>
    <x v="2902"/>
    <d v="1899-12-30T00:00:16"/>
    <x v="811"/>
    <x v="0"/>
    <s v="Buffalo"/>
    <x v="533"/>
    <n v="1760720"/>
    <x v="4"/>
    <s v="Medicine"/>
    <s v="9781462517459"/>
    <s v=",1,3,2,87,88,89,85,86,90,91,92,93,94,95,96,97,98,99,100,101"/>
    <n v="20"/>
    <m/>
    <m/>
    <s v="No"/>
    <x v="0"/>
    <d v="2015-11-24T00:30:14"/>
    <n v="7"/>
    <s v="128.205.114.91"/>
    <s v="RC489.D48 -- L56 2015eb"/>
    <n v="616.89142000000004"/>
    <d v="2014-12-23T00:00:00"/>
  </r>
  <r>
    <x v="2903"/>
    <d v="1899-12-30T00:03:07"/>
    <x v="812"/>
    <x v="4"/>
    <s v="monroe2boces"/>
    <x v="473"/>
    <n v="836624"/>
    <x v="0"/>
    <s v="Literature; Fine Arts"/>
    <s v="9781118346686"/>
    <s v=",1,2,3,4,5,6,7,8,9,10,11,12,13,14,16,17,18,15,19,20,21,22,23,24,55,56,57,53,54,58,59,60"/>
    <n v="32"/>
    <m/>
    <m/>
    <s v="No"/>
    <x v="1"/>
    <m/>
    <m/>
    <s v="199.190.223.185"/>
    <s v="PN6727.K586 W39 2012"/>
    <n v="741.59730000000002"/>
    <d v="2012-03-01T00:00:00"/>
  </r>
  <r>
    <x v="2904"/>
    <d v="1899-12-30T02:00:31"/>
    <x v="506"/>
    <x v="0"/>
    <s v="Buffalo"/>
    <x v="533"/>
    <n v="1760720"/>
    <x v="4"/>
    <s v="Medicine"/>
    <s v="9781462517459"/>
    <s v=",1,2,3,177,178,179,175,176,180,181,182,183,51,52,53,49,50,151,152,153,154,155,156,157,158,159,160,161,162,163,164,165,166,167,168,169,170,171,172,173,174,175,27,28,29,30,26,31,32,33,34,35,36,37,38,39,40,41,42,43,44,45,46,47,48,49,50,52,53,54,55,56,57,58,59,60,61,62,63,64,65,66,67,68,69,70,71,72,73,74,75,76,77,78,79,80,81,82,83,84,85,86,87,88,89,90,91,92,93,94,95,96,97,98,99,100,101,102,149,150,183,184,185,186,187,188,189,190,191,192"/>
    <n v="124"/>
    <m/>
    <s v=",99"/>
    <s v="No"/>
    <x v="0"/>
    <d v="2015-11-19T15:29:09"/>
    <n v="7"/>
    <s v="128.205.114.91"/>
    <s v="RC489.D48 -- L56 2015eb"/>
    <n v="616.89142000000004"/>
    <d v="2014-12-23T00:00:00"/>
  </r>
  <r>
    <x v="2905"/>
    <d v="1899-12-30T00:02:01"/>
    <x v="813"/>
    <x v="5"/>
    <s v="erie"/>
    <x v="504"/>
    <n v="4044660"/>
    <x v="5"/>
    <s v="Social Science"/>
    <s v="9781479849680"/>
    <s v=",272,270,271,269,268,267,266,265,264,263,262,261,260,260,262,264,2,261,263,259,258"/>
    <n v="16"/>
    <m/>
    <m/>
    <s v="No"/>
    <x v="0"/>
    <d v="2015-11-25T13:08:20"/>
    <n v="7"/>
    <s v="199.29.6.54"/>
    <s v="HV9950 -- .D425 2015eb"/>
    <s v="364.973089/97073"/>
    <d v="2015-12-11T00:00:00"/>
  </r>
  <r>
    <x v="2906"/>
    <d v="1899-12-30T00:05:01"/>
    <x v="813"/>
    <x v="5"/>
    <s v="erie"/>
    <x v="504"/>
    <n v="4044660"/>
    <x v="5"/>
    <s v="Social Science"/>
    <s v="9781479849680"/>
    <s v=",1,2,3,340,341,342,338,339,337,262,263,264,260,261,265,266,267,268,269,270,271,272,273,274,275,276,277,278,279,280,281,282,283,284,286,285,277,276,275,274,273"/>
    <n v="36"/>
    <m/>
    <m/>
    <s v="No"/>
    <x v="3"/>
    <m/>
    <m/>
    <s v="199.29.6.54"/>
    <s v="HV9950 -- .D425 2015eb"/>
    <s v="364.973089/97073"/>
    <d v="2015-12-11T00:00:00"/>
  </r>
  <r>
    <x v="2907"/>
    <d v="1899-12-30T00:06:35"/>
    <x v="814"/>
    <x v="0"/>
    <s v="Buffalo"/>
    <x v="835"/>
    <n v="1823006"/>
    <x v="4"/>
    <s v="Science; General Works/Reference"/>
    <s v="9781462519095"/>
    <s v=",1,2,3,8,10,24,26,27,28,25,29,30,31,32,33,34,35,36,37,38,39,40,41,42,43,44,45,46,47,48,49,50,51,52,53,54,55,56"/>
    <n v="38"/>
    <m/>
    <m/>
    <s v="No"/>
    <x v="0"/>
    <d v="2015-11-25T00:22:10"/>
    <n v="7"/>
    <s v="128.205.114.91"/>
    <s v="Q180.55.E4 -- .R655 2015eb"/>
    <n v="1.4028499999999999"/>
    <d v="2015-01-07T00:00:00"/>
  </r>
  <r>
    <x v="2908"/>
    <d v="1899-12-30T00:26:13"/>
    <x v="815"/>
    <x v="0"/>
    <s v="Buffalo"/>
    <x v="702"/>
    <n v="1187185"/>
    <x v="0"/>
    <s v="Engineering; Engineering: Mining; Engineering: Environmental"/>
    <s v="9781118748183"/>
    <s v=",86,87,88,89"/>
    <n v="4"/>
    <m/>
    <m/>
    <s v="No"/>
    <x v="0"/>
    <d v="2015-11-25T01:55:36"/>
    <n v="7"/>
    <s v="128.205.114.91"/>
    <s v="TD195.G3 -- H65 2013eb"/>
    <n v="622.33799999999997"/>
    <d v="2013-05-06T00:00:00"/>
  </r>
  <r>
    <x v="2909"/>
    <d v="1899-12-30T01:05:46"/>
    <x v="525"/>
    <x v="0"/>
    <s v="Buffalo"/>
    <x v="477"/>
    <n v="1120279"/>
    <x v="0"/>
    <s v="Science: Biology/Natural History; Science"/>
    <s v="9781118537671"/>
    <s v=",118,119,120,121,1,2,3,117,118,119,115,116,120,121,122,123,124,125,126,127,128,129,130"/>
    <n v="19"/>
    <m/>
    <m/>
    <s v="No"/>
    <x v="0"/>
    <d v="2015-11-25T01:46:01"/>
    <n v="7"/>
    <s v="128.205.114.91"/>
    <s v="QH371 .K384 2012"/>
    <n v="599.93499999999995"/>
    <d v="2012-11-19T00:00:00"/>
  </r>
  <r>
    <x v="2910"/>
    <d v="1899-12-30T00:00:03"/>
    <x v="816"/>
    <x v="13"/>
    <s v="buffalostate"/>
    <x v="836"/>
    <n v="1220626"/>
    <x v="12"/>
    <s v="Political Science; History"/>
    <s v="9781469612676"/>
    <s v=",1,2,3"/>
    <n v="3"/>
    <m/>
    <m/>
    <s v="No"/>
    <x v="2"/>
    <d v="2015-11-24T18:29:02"/>
    <n v="1"/>
    <s v="136.183.11.43"/>
    <s v="E185.6 -- .D797328 2013eb"/>
    <n v="323.09199999999998"/>
    <d v="2013-09-02T00:00:00"/>
  </r>
  <r>
    <x v="2911"/>
    <d v="1899-12-30T00:29:07"/>
    <x v="815"/>
    <x v="0"/>
    <s v="Buffalo"/>
    <x v="702"/>
    <n v="1187185"/>
    <x v="0"/>
    <s v="Engineering; Engineering: Mining; Engineering: Environmental"/>
    <s v="9781118748183"/>
    <s v=",1,2,3,4,83,84,85,81,82"/>
    <n v="9"/>
    <m/>
    <m/>
    <s v="No"/>
    <x v="1"/>
    <m/>
    <m/>
    <s v="128.205.114.91"/>
    <s v="TD195.G3 -- H65 2013eb"/>
    <n v="622.33799999999997"/>
    <d v="2013-05-06T00:00:00"/>
  </r>
  <r>
    <x v="2912"/>
    <d v="1899-12-30T00:21:16"/>
    <x v="525"/>
    <x v="0"/>
    <s v="Buffalo"/>
    <x v="477"/>
    <n v="1120279"/>
    <x v="0"/>
    <s v="Science: Biology/Natural History; Science"/>
    <s v="9781118537671"/>
    <s v=",1,2,3,112,113,114,110,111,115,116,117"/>
    <n v="11"/>
    <m/>
    <m/>
    <s v="No"/>
    <x v="1"/>
    <m/>
    <m/>
    <s v="128.205.114.91"/>
    <s v="QH371 .K384 2012"/>
    <n v="599.93499999999995"/>
    <d v="2012-11-19T00:00:00"/>
  </r>
  <r>
    <x v="2913"/>
    <d v="1899-12-30T00:00:25"/>
    <x v="506"/>
    <x v="0"/>
    <s v="Buffalo"/>
    <x v="533"/>
    <n v="1760720"/>
    <x v="4"/>
    <s v="Medicine"/>
    <s v="9781462517459"/>
    <s v=",1,2,3,177,178,179,175,176,180,181,182"/>
    <n v="11"/>
    <m/>
    <m/>
    <s v="No"/>
    <x v="0"/>
    <d v="2015-11-19T15:29:09"/>
    <n v="7"/>
    <s v="128.205.114.91"/>
    <s v="RC489.D48 -- L56 2015eb"/>
    <n v="616.89142000000004"/>
    <d v="2014-12-23T00:00:00"/>
  </r>
  <r>
    <x v="2914"/>
    <d v="1899-12-30T00:08:58"/>
    <x v="814"/>
    <x v="0"/>
    <s v="Buffalo"/>
    <x v="835"/>
    <n v="1823006"/>
    <x v="4"/>
    <s v="Science; General Works/Reference"/>
    <s v="9781462519095"/>
    <s v=",1,2,3,8,42,75,114,115,120,133,132,134,130,131,135,129,128,127,41,8,1,11,12,13,14,10,17,18,19,20,16,21,22,23,24,25,26,27,28,29,30,31,32,33,34,35,36,37,38,39,265,267,263,266,264,268,31,32,33,29,30,34,35,36,37,38,44,47,48,49,45,68,82,83,85,86,1,3"/>
    <n v="64"/>
    <m/>
    <m/>
    <s v="No"/>
    <x v="0"/>
    <d v="2015-11-25T00:22:10"/>
    <n v="7"/>
    <s v="128.205.114.91"/>
    <s v="Q180.55.E4 -- .R655 2015eb"/>
    <n v="1.4028499999999999"/>
    <d v="2015-01-07T00:00:00"/>
  </r>
  <r>
    <x v="2915"/>
    <d v="1899-12-30T00:13:37"/>
    <x v="814"/>
    <x v="0"/>
    <s v="Buffalo"/>
    <x v="835"/>
    <n v="1823006"/>
    <x v="4"/>
    <s v="Science; General Works/Reference"/>
    <s v="9781462519095"/>
    <s v=",30,1,2,3,4,5,6,7,8,1,2,3"/>
    <n v="9"/>
    <m/>
    <m/>
    <s v="No"/>
    <x v="0"/>
    <d v="2015-11-25T00:22:10"/>
    <n v="7"/>
    <s v="128.205.114.91"/>
    <s v="Q180.55.E4 -- .R655 2015eb"/>
    <n v="1.4028499999999999"/>
    <d v="2015-01-07T00:00:00"/>
  </r>
  <r>
    <x v="2916"/>
    <d v="1899-12-30T00:15:05"/>
    <x v="814"/>
    <x v="0"/>
    <s v="Buffalo"/>
    <x v="835"/>
    <n v="1823006"/>
    <x v="4"/>
    <s v="Science; General Works/Reference"/>
    <s v="9781462519095"/>
    <s v=",1,2,3,4,5,21,22,23,19,20,24,25,26,27,28,29"/>
    <n v="16"/>
    <m/>
    <m/>
    <s v="No"/>
    <x v="1"/>
    <m/>
    <m/>
    <s v="128.205.114.91"/>
    <s v="Q180.55.E4 -- .R655 2015eb"/>
    <n v="1.4028499999999999"/>
    <d v="2015-01-07T00:00:00"/>
  </r>
  <r>
    <x v="2917"/>
    <d v="1899-12-30T00:58:03"/>
    <x v="753"/>
    <x v="15"/>
    <s v="morrisville"/>
    <x v="791"/>
    <n v="694378"/>
    <x v="0"/>
    <s v="Agriculture"/>
    <s v="9781118703113"/>
    <s v=",265,288,289,290,266,267,268,269,1,269,270,271,267,268,262,264,263,260,261,2,265,266,288,289,290,286,287,275,276,273,274,277,272"/>
    <n v="25"/>
    <m/>
    <m/>
    <s v="No"/>
    <x v="2"/>
    <d v="2015-11-25T00:06:09"/>
    <n v="1"/>
    <s v="136.204.32.67"/>
    <s v="SF285.3 .P54 2013"/>
    <s v="636.1; 636.1089"/>
    <d v="2013-05-09T00:00:00"/>
  </r>
  <r>
    <x v="2918"/>
    <d v="1899-12-30T00:11:30"/>
    <x v="753"/>
    <x v="15"/>
    <s v="morrisville"/>
    <x v="791"/>
    <n v="694378"/>
    <x v="0"/>
    <s v="Agriculture"/>
    <s v="9781118703113"/>
    <s v=",1,2,3,262,263,264,261,260,258,259,257"/>
    <n v="11"/>
    <m/>
    <m/>
    <s v="No"/>
    <x v="3"/>
    <m/>
    <m/>
    <s v="136.204.32.67"/>
    <s v="SF285.3 .P54 2013"/>
    <s v="636.1; 636.1089"/>
    <d v="2013-05-09T00:00:00"/>
  </r>
  <r>
    <x v="2919"/>
    <d v="1899-12-30T00:00:03"/>
    <x v="468"/>
    <x v="0"/>
    <s v="Buffalo"/>
    <x v="508"/>
    <n v="1882107"/>
    <x v="3"/>
    <s v="History; Social Science"/>
    <s v="9780520961593"/>
    <s v=",1,2,3"/>
    <n v="3"/>
    <m/>
    <s v=",151,152,153,154,155,156,157,158,159,160,161,162,163,164,165,166,167,168,169,170,171"/>
    <s v="No"/>
    <x v="0"/>
    <d v="2015-11-19T02:36:40"/>
    <n v="7"/>
    <s v="128.205.114.91"/>
    <s v="HX413.8.K68"/>
    <n v="952.03099999999995"/>
    <d v="2015-06-09T00:00:00"/>
  </r>
  <r>
    <x v="2920"/>
    <d v="1899-12-30T00:03:56"/>
    <x v="817"/>
    <x v="0"/>
    <s v="Buffalo"/>
    <x v="837"/>
    <n v="1784645"/>
    <x v="1"/>
    <s v="Engineering: General; Engineering; Engineering: Mechanical"/>
    <s v="9781472423672"/>
    <s v=",1,3,2,24,25,12,13,26,22,23,2,38,39,40,36,37,56,57,58,54,55,3,4,112,109,110,111,107,108,106,105,102,103,104,100,101,99,5,6,113,98,97,96,95,93,94,92,91,90,88,89,86,87,84,85"/>
    <n v="53"/>
    <m/>
    <m/>
    <s v="No"/>
    <x v="3"/>
    <m/>
    <m/>
    <s v="128.205.114.91"/>
    <s v="TL789.8.U5 -- S24 2014eb"/>
    <s v="629.4/10973"/>
    <d v="2014-11-28T00:00:00"/>
  </r>
  <r>
    <x v="2921"/>
    <d v="1899-12-30T00:14:50"/>
    <x v="816"/>
    <x v="13"/>
    <s v="buffalostate"/>
    <x v="836"/>
    <n v="1220626"/>
    <x v="12"/>
    <s v="Political Science; History"/>
    <s v="9781469612676"/>
    <s v=",1,2,3,4,5,6,31,33,32,29,30,34,7,8,9,10,12,13,14,15,16,17,18,19,20,21,22,23,24,25,26,138,139,140,136,137,135,138,138,138,138,135,141"/>
    <n v="38"/>
    <s v=",138,138,138"/>
    <m/>
    <s v="No"/>
    <x v="2"/>
    <d v="2015-11-24T18:29:02"/>
    <n v="1"/>
    <s v="136.183.11.43"/>
    <s v="E185.6 -- .D797328 2013eb"/>
    <n v="323.09199999999998"/>
    <d v="2013-09-02T00:00:00"/>
  </r>
  <r>
    <x v="2922"/>
    <d v="1899-12-30T00:00:21"/>
    <x v="341"/>
    <x v="2"/>
    <s v="hilbert"/>
    <x v="203"/>
    <n v="449628"/>
    <x v="2"/>
    <s v="Health; Social Science"/>
    <s v="9781134028863"/>
    <s v=",1,2,3,6,7,8,4,5"/>
    <n v="8"/>
    <m/>
    <m/>
    <s v="No"/>
    <x v="3"/>
    <m/>
    <m/>
    <s v="72.45.217.43"/>
    <s v="RA1148"/>
    <n v="364.3"/>
    <d v="2013-07-23T00:00:00"/>
  </r>
  <r>
    <x v="2923"/>
    <d v="1899-12-30T00:30:09"/>
    <x v="302"/>
    <x v="13"/>
    <s v="buffalostate"/>
    <x v="838"/>
    <n v="1645284"/>
    <x v="11"/>
    <s v="History; Social Science"/>
    <s v="9780226122595"/>
    <s v=",14,15,16,17,18,19,20,21,22,23,24,25,26,27,28,29,30,31,32,33,34,35,36,37,38,39,40,41,42,43,44,45,46,47,48,49,50,51,52,53,54,55,56,57,58,59,60,61,62,63,64,65,66,67,68,69,70"/>
    <n v="57"/>
    <m/>
    <m/>
    <s v="No"/>
    <x v="2"/>
    <d v="2015-11-24T18:59:58"/>
    <n v="1"/>
    <s v="136.183.11.43"/>
    <s v="E184"/>
    <n v="304.80973"/>
    <d v="2014-03-28T00:00:00"/>
  </r>
  <r>
    <x v="2924"/>
    <d v="1899-12-30T00:00:25"/>
    <x v="818"/>
    <x v="0"/>
    <s v="Buffalo"/>
    <x v="499"/>
    <n v="1172554"/>
    <x v="15"/>
    <s v="History"/>
    <s v=""/>
    <s v=",1,1,2,2,3,3,2,2"/>
    <n v="3"/>
    <m/>
    <m/>
    <s v="No"/>
    <x v="1"/>
    <m/>
    <m/>
    <s v="128.205.114.91"/>
    <s v="DF234 .A67 2012"/>
    <s v="938.07092; 938/.07092"/>
    <d v="2013-04-11T00:00:00"/>
  </r>
  <r>
    <x v="2925"/>
    <d v="1899-12-30T00:08:00"/>
    <x v="302"/>
    <x v="13"/>
    <s v="buffalostate"/>
    <x v="838"/>
    <n v="1645284"/>
    <x v="11"/>
    <s v="History; Social Science"/>
    <s v="9780226122595"/>
    <s v=",1,2,3,4,5,6,7,8,9,10,11,12,13"/>
    <n v="13"/>
    <m/>
    <m/>
    <s v="No"/>
    <x v="3"/>
    <m/>
    <m/>
    <s v="136.183.11.43"/>
    <s v="E184"/>
    <n v="304.80973"/>
    <d v="2014-03-28T00:00:00"/>
  </r>
  <r>
    <x v="2926"/>
    <d v="1899-12-30T00:06:37"/>
    <x v="819"/>
    <x v="7"/>
    <s v="oneonta"/>
    <x v="258"/>
    <n v="821827"/>
    <x v="0"/>
    <s v="Social Science"/>
    <s v="9781118225349"/>
    <s v=",121,165,166,167,333,334,332,335,336,337,338,339"/>
    <n v="12"/>
    <m/>
    <m/>
    <s v="No"/>
    <x v="0"/>
    <d v="2015-11-24T18:44:13"/>
    <n v="7"/>
    <s v="137.141.13.2"/>
    <s v="HM1166 -- .N448 2012eb"/>
    <n v="302"/>
    <d v="2012-04-30T00:00:00"/>
  </r>
  <r>
    <x v="2927"/>
    <d v="1899-12-30T00:00:25"/>
    <x v="702"/>
    <x v="1"/>
    <s v="brockport"/>
    <x v="739"/>
    <n v="2110627"/>
    <x v="1"/>
    <s v="History; Social Science"/>
    <s v="9781472436481"/>
    <s v=",1,2,3,127,128,129,125,126,124"/>
    <n v="9"/>
    <m/>
    <m/>
    <s v="No"/>
    <x v="1"/>
    <m/>
    <m/>
    <s v="137.21.7.121"/>
    <s v="DT655 .P38 2015"/>
    <s v="361.7/309675109041; 361.7''309675109041"/>
    <d v="2015-09-28T00:00:00"/>
  </r>
  <r>
    <x v="2928"/>
    <d v="1899-12-30T00:09:05"/>
    <x v="816"/>
    <x v="13"/>
    <s v="buffalostate"/>
    <x v="836"/>
    <n v="1220626"/>
    <x v="12"/>
    <s v="Political Science; History"/>
    <s v="9781469612676"/>
    <s v=",3,1,2,4,5,6,17,40,46,47,48,49,45,50,44,43,42,41,39,38,18,23,33,34,36,37,38,286,287,288,284,285,246,248,10,8,31,30,23,23,23,23,23,23,23,23,23,23,24,25,21,22,26,26"/>
    <n v="42"/>
    <m/>
    <m/>
    <s v="No"/>
    <x v="2"/>
    <d v="2015-11-24T18:29:02"/>
    <n v="1"/>
    <s v="136.183.11.43"/>
    <s v="E185.6 -- .D797328 2013eb"/>
    <n v="323.09199999999998"/>
    <d v="2013-09-02T00:00:00"/>
  </r>
  <r>
    <x v="2929"/>
    <d v="1899-12-30T00:00:35"/>
    <x v="799"/>
    <x v="6"/>
    <s v="sjfc"/>
    <x v="822"/>
    <n v="1034770"/>
    <x v="4"/>
    <s v="Medicine"/>
    <s v="9781462507566"/>
    <s v=",1,2,3,6,7,8,4,5,9,2,17,18,19,15,16,20,21,22"/>
    <n v="17"/>
    <m/>
    <m/>
    <s v="No"/>
    <x v="1"/>
    <m/>
    <m/>
    <s v="149.69.254.57"/>
    <s v="RC533 -- .M56 2012eb"/>
    <n v="616.85839999999996"/>
    <d v="2013-10-20T00:00:00"/>
  </r>
  <r>
    <x v="2930"/>
    <d v="1899-12-30T00:07:09"/>
    <x v="816"/>
    <x v="13"/>
    <s v="buffalostate"/>
    <x v="836"/>
    <n v="1220626"/>
    <x v="12"/>
    <s v="Political Science; History"/>
    <s v="9781469612676"/>
    <s v=",1,2,3,4,5,6,7,8,9,10,11,12,13,14,15,16,17,18,265,262,263,260,261,258,259,257,253,251,252,18,19,20,17,21,22,23,24,25,26,27,28,29,30,31,32,33,34,35,36,37,22"/>
    <n v="48"/>
    <m/>
    <m/>
    <s v="No"/>
    <x v="3"/>
    <m/>
    <m/>
    <s v="136.183.11.43"/>
    <s v="E185.6 -- .D797328 2013eb"/>
    <n v="323.09199999999998"/>
    <d v="2013-09-02T00:00:00"/>
  </r>
  <r>
    <x v="2931"/>
    <d v="1899-12-30T00:06:10"/>
    <x v="820"/>
    <x v="7"/>
    <s v="oneonta"/>
    <x v="760"/>
    <n v="943645"/>
    <x v="15"/>
    <s v="History"/>
    <s v="9781441104755"/>
    <s v=",1,2,3,111,112,113,109,110,114,115,116,117"/>
    <n v="12"/>
    <s v=",115"/>
    <m/>
    <s v="No"/>
    <x v="0"/>
    <d v="2015-11-23T02:28:19"/>
    <n v="7"/>
    <s v="137.141.13.2"/>
    <s v="CB5 .M384 2012"/>
    <n v="948.02200000000005"/>
    <d v="2012-05-31T00:00:00"/>
  </r>
  <r>
    <x v="2932"/>
    <d v="1899-12-30T00:16:52"/>
    <x v="821"/>
    <x v="13"/>
    <s v="buffalostate"/>
    <x v="404"/>
    <n v="1732123"/>
    <x v="0"/>
    <s v="Economics; Business/Management"/>
    <s v="9781118884942"/>
    <s v=",7,8,9,10,11,12,13,14,15,16,17,18,19,20,21,22,23,24,25,26,27,28,29,30"/>
    <n v="24"/>
    <m/>
    <m/>
    <s v="No"/>
    <x v="0"/>
    <d v="2015-11-24T18:07:18"/>
    <n v="7"/>
    <s v="136.183.11.43"/>
    <s v="HG179 -- .T976 2014eb"/>
    <n v="332.024"/>
    <d v="2014-07-07T00:00:00"/>
  </r>
  <r>
    <x v="2933"/>
    <d v="1899-12-30T01:41:11"/>
    <x v="808"/>
    <x v="9"/>
    <s v="trocaire"/>
    <x v="834"/>
    <n v="538048"/>
    <x v="11"/>
    <s v="Law"/>
    <s v="9780226493671"/>
    <s v=",6,4,7,8,5,9,10,11,12,13,14,15,16,17,18,19,20,21,22,23,24,25,26,27,28,29,30,31,32,33,34,36,35,37,38,39,40,41,42,43,44,45,46,47,48,336,337,338,335,334,333,339,340,341,342,343,344,345,346,336,334"/>
    <n v="59"/>
    <m/>
    <m/>
    <s v="No"/>
    <x v="0"/>
    <d v="2015-11-24T18:06:13"/>
    <n v="7"/>
    <s v="173.225.62.67"/>
    <s v="KF3941 -- .L68 2010eb"/>
    <s v="344.7305/33"/>
    <d v="2013-01-29T00:00:00"/>
  </r>
  <r>
    <x v="2934"/>
    <d v="1899-12-30T00:09:55"/>
    <x v="821"/>
    <x v="13"/>
    <s v="buffalostate"/>
    <x v="404"/>
    <n v="1732123"/>
    <x v="0"/>
    <s v="Economics; Business/Management"/>
    <s v="9781118884942"/>
    <s v=",1,2,3,4,5,6"/>
    <n v="6"/>
    <m/>
    <m/>
    <s v="No"/>
    <x v="1"/>
    <m/>
    <m/>
    <s v="136.183.11.43"/>
    <s v="HG179 -- .T976 2014eb"/>
    <n v="332.024"/>
    <d v="2014-07-07T00:00:00"/>
  </r>
  <r>
    <x v="2935"/>
    <d v="1899-12-30T00:43:10"/>
    <x v="808"/>
    <x v="9"/>
    <s v="trocaire"/>
    <x v="834"/>
    <n v="538048"/>
    <x v="11"/>
    <s v="Law"/>
    <s v="9780226493671"/>
    <s v=",1,2,3"/>
    <n v="3"/>
    <m/>
    <m/>
    <s v="No"/>
    <x v="3"/>
    <m/>
    <m/>
    <s v="173.225.62.67"/>
    <s v="KF3941 -- .L68 2010eb"/>
    <s v="344.7305/33"/>
    <d v="2013-01-29T00:00:00"/>
  </r>
  <r>
    <x v="2936"/>
    <d v="1899-12-30T00:03:01"/>
    <x v="822"/>
    <x v="13"/>
    <s v="buffalostate"/>
    <x v="747"/>
    <n v="1378902"/>
    <x v="11"/>
    <s v="Education"/>
    <s v="9780226066554"/>
    <s v=",1,2,2,3,3,1,222,223,223,224,220,224,222,221,221,225,226,225,227,227,226,229,229,2,230,230,231,231,233,232,233,232,235,234,235,234,236,236,238,238,237,233,237,238,234,233"/>
    <n v="21"/>
    <m/>
    <m/>
    <s v="No"/>
    <x v="0"/>
    <d v="2015-11-24T10:12:46"/>
    <n v="7"/>
    <s v="136.183.11.43"/>
    <s v="LC5133"/>
    <s v="370.9173/209747"/>
    <d v="2013-10-04T00:00:00"/>
  </r>
  <r>
    <x v="2937"/>
    <d v="1899-12-30T01:39:23"/>
    <x v="819"/>
    <x v="7"/>
    <s v="oneonta"/>
    <x v="258"/>
    <n v="821827"/>
    <x v="0"/>
    <s v="Social Science"/>
    <s v="9781118225349"/>
    <s v=",1,2,3,113,114,115,111,112,116,117,118,119,120"/>
    <n v="13"/>
    <m/>
    <m/>
    <s v="No"/>
    <x v="1"/>
    <m/>
    <m/>
    <s v="137.141.13.2"/>
    <s v="HM1166 -- .N448 2012eb"/>
    <n v="302"/>
    <d v="2012-04-30T00:00:00"/>
  </r>
  <r>
    <x v="2938"/>
    <d v="1899-12-30T00:00:22"/>
    <x v="13"/>
    <x v="0"/>
    <s v="Buffalo"/>
    <x v="6"/>
    <n v="1635363"/>
    <x v="0"/>
    <s v="Law"/>
    <s v="9781118678206"/>
    <s v=",2,1,2,3,3,1,2,2"/>
    <n v="3"/>
    <m/>
    <m/>
    <s v="No"/>
    <x v="0"/>
    <d v="2015-11-17T19:57:32"/>
    <n v="7"/>
    <s v="128.205.114.91"/>
    <s v="KF285.Z9 -- H38 2014eb"/>
    <n v="340.07600000000002"/>
    <d v="2014-02-14T00:00:00"/>
  </r>
  <r>
    <x v="2939"/>
    <d v="1899-12-30T00:00:13"/>
    <x v="821"/>
    <x v="13"/>
    <s v="buffalostate"/>
    <x v="404"/>
    <n v="1732123"/>
    <x v="0"/>
    <s v="Economics; Business/Management"/>
    <s v="9781118884942"/>
    <s v=",1,2,3,4,5"/>
    <n v="5"/>
    <m/>
    <m/>
    <s v="No"/>
    <x v="1"/>
    <m/>
    <m/>
    <s v="136.183.11.43"/>
    <s v="HG179 -- .T976 2014eb"/>
    <n v="332.024"/>
    <d v="2014-07-07T00:00:00"/>
  </r>
  <r>
    <x v="2940"/>
    <d v="1899-12-30T00:00:04"/>
    <x v="753"/>
    <x v="15"/>
    <s v="morrisville"/>
    <x v="791"/>
    <n v="694378"/>
    <x v="0"/>
    <s v="Agriculture"/>
    <s v="9781118703113"/>
    <s v=",1,2,3"/>
    <n v="3"/>
    <m/>
    <m/>
    <s v="No"/>
    <x v="3"/>
    <m/>
    <m/>
    <s v="136.204.32.68"/>
    <s v="SF285.3 .P54 2013"/>
    <s v="636.1; 636.1089"/>
    <d v="2013-05-09T00:00:00"/>
  </r>
  <r>
    <x v="2941"/>
    <d v="1899-12-30T00:02:47"/>
    <x v="259"/>
    <x v="12"/>
    <s v="potsdam"/>
    <x v="839"/>
    <n v="1894285"/>
    <x v="4"/>
    <s v="Education"/>
    <s v="9781462520169"/>
    <s v=",1,2,3,228,229,230,226,227,225,224,457,458,459,455,456,236,237,238,234,235,120,119,121,117,118,235,236,233,459,460,461,457,458,620,621,622,618,619"/>
    <n v="33"/>
    <m/>
    <m/>
    <s v="No"/>
    <x v="2"/>
    <d v="2015-11-24T16:18:32"/>
    <n v="1"/>
    <s v="137.143.104.94"/>
    <s v="LB1072  -- .H37 2015eb"/>
    <n v="370.15300000000002"/>
    <d v="2015-04-15T00:00:00"/>
  </r>
  <r>
    <x v="2942"/>
    <d v="1899-12-30T00:02:21"/>
    <x v="259"/>
    <x v="12"/>
    <s v="potsdam"/>
    <x v="839"/>
    <n v="1894285"/>
    <x v="4"/>
    <s v="Education"/>
    <s v="9781462520169"/>
    <s v=",471,472,473,474,475,476,477,478,479,636,637,638,634,639,635,640,641,642,643,644,645,646,647,648,649,643,236,237,238,235,234,233,231,229,228,230,227,226,225,223,224,222,221,220,219"/>
    <n v="44"/>
    <m/>
    <m/>
    <s v="No"/>
    <x v="2"/>
    <d v="2015-11-24T16:18:32"/>
    <n v="1"/>
    <s v="137.143.104.94"/>
    <s v="LB1072  -- .H37 2015eb"/>
    <n v="370.15300000000002"/>
    <d v="2015-04-15T00:00:00"/>
  </r>
  <r>
    <x v="2943"/>
    <d v="1899-12-30T00:05:01"/>
    <x v="259"/>
    <x v="12"/>
    <s v="potsdam"/>
    <x v="839"/>
    <n v="1894285"/>
    <x v="4"/>
    <s v="Education"/>
    <s v="9781462520169"/>
    <s v=",1,2,3,253,254,255,251,252,256,257,258,259,260,261,262,263,264,265,266,267,268,269,270,462,463,464,461,460,465,466,467,468,469,470"/>
    <n v="34"/>
    <m/>
    <m/>
    <s v="No"/>
    <x v="3"/>
    <m/>
    <m/>
    <s v="137.143.104.94"/>
    <s v="LB1072  -- .H37 2015eb"/>
    <n v="370.15300000000002"/>
    <d v="2015-04-15T00:00:00"/>
  </r>
  <r>
    <x v="2944"/>
    <d v="1899-12-30T00:01:59"/>
    <x v="667"/>
    <x v="5"/>
    <s v="erie"/>
    <x v="702"/>
    <n v="1187185"/>
    <x v="0"/>
    <s v="Engineering; Engineering: Mining; Engineering: Environmental"/>
    <s v="9781118748183"/>
    <s v=",1,2,3,4,5,6,7,8,9,10,11,12,13,14,15,16,17,18,19,20,21,22,23,24,25,26,27,28,29"/>
    <n v="29"/>
    <m/>
    <m/>
    <s v="No"/>
    <x v="1"/>
    <m/>
    <m/>
    <s v="199.29.6.54"/>
    <s v="TD195.G3 -- H65 2013eb"/>
    <n v="622.33799999999997"/>
    <d v="2013-05-06T00:00:00"/>
  </r>
  <r>
    <x v="2945"/>
    <d v="1899-12-30T00:01:27"/>
    <x v="823"/>
    <x v="7"/>
    <s v="oneonta"/>
    <x v="760"/>
    <n v="943645"/>
    <x v="15"/>
    <s v="History"/>
    <s v="9781441104755"/>
    <s v=",1,2,3,128,129,130,126,127,131,132,133,134,135,136,137,138"/>
    <n v="16"/>
    <m/>
    <m/>
    <s v="No"/>
    <x v="0"/>
    <d v="2015-11-24T12:29:15"/>
    <n v="7"/>
    <s v="137.141.13.2"/>
    <s v="CB5 .M384 2012"/>
    <n v="948.02200000000005"/>
    <d v="2012-05-31T00:00:00"/>
  </r>
  <r>
    <x v="2946"/>
    <d v="1899-12-30T00:03:11"/>
    <x v="408"/>
    <x v="0"/>
    <s v="Buffalo"/>
    <x v="840"/>
    <n v="1539074"/>
    <x v="11"/>
    <s v="Philosophy; Fine Arts"/>
    <s v="9780226061719"/>
    <s v=",1,2,3,9,10,11,8,7,23,24,25,21,22,23,24,9,10,11,7,8"/>
    <n v="13"/>
    <m/>
    <m/>
    <s v="No"/>
    <x v="3"/>
    <m/>
    <m/>
    <s v="128.205.114.91"/>
    <s v="B3181L49"/>
    <s v="709.43/515"/>
    <d v="2013-12-16T00:00:00"/>
  </r>
  <r>
    <x v="2947"/>
    <d v="1899-12-30T00:00:17"/>
    <x v="98"/>
    <x v="4"/>
    <s v="monroe2boces"/>
    <x v="498"/>
    <n v="867850"/>
    <x v="10"/>
    <s v="History"/>
    <s v="9781400834860"/>
    <s v=",1,2,3,32,33,34,30,31,35,36"/>
    <n v="10"/>
    <m/>
    <m/>
    <s v="No"/>
    <x v="1"/>
    <m/>
    <m/>
    <s v="216.226.102.163"/>
    <s v="DF234.37 -- .B7413 2010eb"/>
    <s v="938/.07092"/>
    <d v="2012-03-25T00:00:00"/>
  </r>
  <r>
    <x v="2948"/>
    <d v="1899-12-30T00:00:34"/>
    <x v="824"/>
    <x v="0"/>
    <s v="Buffalo"/>
    <x v="161"/>
    <n v="821663"/>
    <x v="0"/>
    <s v="Architecture"/>
    <s v="9781118168479"/>
    <s v=",1,2,3,4,359,360,361,357,358,362,363,364,365"/>
    <n v="13"/>
    <m/>
    <m/>
    <s v="No"/>
    <x v="1"/>
    <m/>
    <m/>
    <s v="128.205.114.91"/>
    <s v="NA2547 -- .S74 2012eb"/>
    <n v="729"/>
    <d v="2012-03-05T00:00:00"/>
  </r>
  <r>
    <x v="2949"/>
    <d v="1899-12-30T00:06:02"/>
    <x v="13"/>
    <x v="0"/>
    <s v="Buffalo"/>
    <x v="161"/>
    <n v="821663"/>
    <x v="0"/>
    <s v="Architecture"/>
    <s v="9781118168479"/>
    <s v=",369,369,370,370,371,371,372,372,373,373,374,374,375,375,376,376,377,377,378,378,379,379,380,380,381,381,382,382,383,383,384,384,385,385,386,386"/>
    <n v="18"/>
    <m/>
    <m/>
    <s v="No"/>
    <x v="0"/>
    <d v="2015-11-24T14:55:23"/>
    <n v="7"/>
    <s v="128.205.114.91"/>
    <s v="NA2547 -- .S74 2012eb"/>
    <n v="729"/>
    <d v="2012-03-05T00:00:00"/>
  </r>
  <r>
    <x v="2950"/>
    <d v="1899-12-30T00:16:52"/>
    <x v="13"/>
    <x v="0"/>
    <s v="Buffalo"/>
    <x v="161"/>
    <n v="821663"/>
    <x v="0"/>
    <s v="Architecture"/>
    <s v="9781118168479"/>
    <s v=",1,2,2,1,3,3,2,2,359,360,359,361,360,361,357,358,358,362,362,363,363,364,364,365,365,366,366,367,367,368,368"/>
    <n v="15"/>
    <m/>
    <m/>
    <s v="No"/>
    <x v="1"/>
    <m/>
    <m/>
    <s v="128.205.114.91"/>
    <s v="NA2547 -- .S74 2012eb"/>
    <n v="729"/>
    <d v="2012-03-05T00:00:00"/>
  </r>
  <r>
    <x v="2951"/>
    <d v="1899-12-30T00:00:00"/>
    <x v="678"/>
    <x v="4"/>
    <s v="monroe2boces"/>
    <x v="714"/>
    <n v="1652090"/>
    <x v="0"/>
    <s v="Language/Linguistics"/>
    <s v="9781118744819"/>
    <m/>
    <n v="0"/>
    <m/>
    <m/>
    <s v="No"/>
    <x v="0"/>
    <d v="2015-11-24T14:16:03"/>
    <n v="7"/>
    <s v="72.43.68.227"/>
    <s v="P120.A24  -- .Z85 2014eb"/>
    <n v="407.1"/>
    <d v="2014-03-13T00:00:00"/>
  </r>
  <r>
    <x v="2952"/>
    <d v="1899-12-30T00:00:02"/>
    <x v="825"/>
    <x v="7"/>
    <s v="oneonta"/>
    <x v="841"/>
    <n v="1543336"/>
    <x v="7"/>
    <s v="Social Science"/>
    <s v="9781780641614"/>
    <s v=",1,2,3"/>
    <n v="3"/>
    <m/>
    <m/>
    <s v="No"/>
    <x v="3"/>
    <m/>
    <m/>
    <s v="137.141.13.2"/>
    <s v="HQ1240 -- .M3594 2013eb"/>
    <s v="307.1/412082"/>
    <d v="2013-09-13T00:00:00"/>
  </r>
  <r>
    <x v="2953"/>
    <d v="1899-12-30T00:08:41"/>
    <x v="678"/>
    <x v="4"/>
    <s v="monroe2boces"/>
    <x v="714"/>
    <n v="1652090"/>
    <x v="0"/>
    <s v="Language/Linguistics"/>
    <s v="9781118744819"/>
    <s v=",1,2,3,4,5,6,19,20,21,17,18,22,23"/>
    <n v="13"/>
    <m/>
    <m/>
    <s v="No"/>
    <x v="1"/>
    <m/>
    <m/>
    <s v="72.43.68.227"/>
    <s v="P120.A24  -- .Z85 2014eb"/>
    <n v="407.1"/>
    <d v="2014-03-13T00:00:00"/>
  </r>
  <r>
    <x v="2954"/>
    <d v="1899-12-30T00:00:03"/>
    <x v="789"/>
    <x v="6"/>
    <s v="sjfc"/>
    <x v="68"/>
    <n v="1822529"/>
    <x v="0"/>
    <s v="Mathematics"/>
    <s v="9781118824344"/>
    <s v=",1,2,3"/>
    <n v="3"/>
    <m/>
    <m/>
    <s v="No"/>
    <x v="0"/>
    <d v="2015-11-23T13:53:15"/>
    <n v="7"/>
    <s v="149.69.254.57"/>
    <s v="QA297 -- .S59 2015eb"/>
    <n v="519.4"/>
    <d v="2014-10-20T00:00:00"/>
  </r>
  <r>
    <x v="2955"/>
    <d v="1899-12-30T00:04:17"/>
    <x v="700"/>
    <x v="1"/>
    <s v="brockport"/>
    <x v="207"/>
    <n v="979950"/>
    <x v="14"/>
    <s v="Literature"/>
    <s v="9781476600321"/>
    <s v=",212,212,213,213"/>
    <n v="2"/>
    <m/>
    <m/>
    <s v="No"/>
    <x v="0"/>
    <d v="2015-11-24T13:27:09"/>
    <n v="7"/>
    <s v="137.21.7.121"/>
    <s v="PS3603.O4558 -- Z84 2012eb"/>
    <s v="813/.6"/>
    <d v="2012-07-10T00:00:00"/>
  </r>
  <r>
    <x v="2956"/>
    <d v="1899-12-30T00:26:39"/>
    <x v="700"/>
    <x v="1"/>
    <s v="brockport"/>
    <x v="207"/>
    <n v="979950"/>
    <x v="14"/>
    <s v="Literature"/>
    <s v="9781476600321"/>
    <s v=",1,2,2,3,3,1,2,2,208,209,208,210,209,210,207,206,207,211,211"/>
    <n v="9"/>
    <m/>
    <m/>
    <s v="No"/>
    <x v="1"/>
    <m/>
    <m/>
    <s v="137.21.7.121"/>
    <s v="PS3603.O4558 -- Z84 2012eb"/>
    <s v="813/.6"/>
    <d v="2012-07-10T00:00:00"/>
  </r>
  <r>
    <x v="2957"/>
    <d v="1899-12-30T01:05:23"/>
    <x v="789"/>
    <x v="6"/>
    <s v="sjfc"/>
    <x v="68"/>
    <n v="1822529"/>
    <x v="0"/>
    <s v="Mathematics"/>
    <s v="9781118824344"/>
    <s v=",1,2,3,241,242,243,240,241,239,243,244,242,243,244,240,241,242,243,244,240,241,239,245,246,247,248,249,250,251,252,253,254,255,256,257,258,259,260,261,262,263,264,265,266,267,268,269,270,271,272,273,274,275,276,277,278,279,280,281,282,283,284,285,286,287,288,289,290,291,292,293,294,295"/>
    <n v="60"/>
    <m/>
    <m/>
    <s v="No"/>
    <x v="0"/>
    <d v="2015-11-23T13:53:15"/>
    <n v="7"/>
    <s v="149.69.254.57"/>
    <s v="QA297 -- .S59 2015eb"/>
    <n v="519.4"/>
    <d v="2014-10-20T00:00:00"/>
  </r>
  <r>
    <x v="2958"/>
    <d v="1899-12-30T00:50:07"/>
    <x v="823"/>
    <x v="7"/>
    <s v="oneonta"/>
    <x v="760"/>
    <n v="943645"/>
    <x v="15"/>
    <s v="History"/>
    <s v="9781441104755"/>
    <s v=",102,103,104,105,106,128,129,130,126,127,131,132,133,134,135,136,178,179,180,176,177,181,182,183,184,185,186,66,67,68,64,65,69,70,71,72,73,74,75,76,77,78,79,80,81,82,83,84,85,86,87,88,89,90,91,92,93,94,95,96"/>
    <n v="60"/>
    <m/>
    <m/>
    <s v="No"/>
    <x v="0"/>
    <d v="2015-11-24T12:29:15"/>
    <n v="7"/>
    <s v="137.141.13.2"/>
    <s v="CB5 .M384 2012"/>
    <n v="948.02200000000005"/>
    <d v="2012-05-31T00:00:00"/>
  </r>
  <r>
    <x v="2959"/>
    <d v="1899-12-30T00:00:26"/>
    <x v="826"/>
    <x v="1"/>
    <s v="brockport"/>
    <x v="842"/>
    <n v="1397123"/>
    <x v="2"/>
    <s v="Social Science; History"/>
    <s v="9781134729005"/>
    <s v=",1,22,23,24,20,21,25,27,15,6,4,2,3,5,7,8,9,10"/>
    <n v="18"/>
    <m/>
    <m/>
    <s v="No"/>
    <x v="3"/>
    <m/>
    <m/>
    <s v="137.21.7.121"/>
    <s v="E184.A1 -- F385 2006eb"/>
    <n v="305.896073"/>
    <d v="2006-03-30T00:00:00"/>
  </r>
  <r>
    <x v="2960"/>
    <d v="1899-12-30T01:53:29"/>
    <x v="823"/>
    <x v="7"/>
    <s v="oneonta"/>
    <x v="760"/>
    <n v="943645"/>
    <x v="15"/>
    <s v="History"/>
    <s v="9781441104755"/>
    <s v=",1,2,3,99,100,101,97,98"/>
    <n v="8"/>
    <m/>
    <m/>
    <s v="No"/>
    <x v="1"/>
    <m/>
    <m/>
    <s v="137.141.13.2"/>
    <s v="CB5 .M384 2012"/>
    <n v="948.02200000000005"/>
    <d v="2012-05-31T00:00:00"/>
  </r>
  <r>
    <x v="2961"/>
    <d v="1899-12-30T00:05:12"/>
    <x v="822"/>
    <x v="13"/>
    <s v="buffalostate"/>
    <x v="747"/>
    <n v="1378902"/>
    <x v="11"/>
    <s v="Education"/>
    <s v="9780226066554"/>
    <s v=",227,228,229,230,231,232,233,234,235,236,237,238,239"/>
    <n v="13"/>
    <m/>
    <m/>
    <s v="No"/>
    <x v="0"/>
    <d v="2015-11-24T10:12:46"/>
    <n v="7"/>
    <s v="136.183.11.43"/>
    <s v="LC5133"/>
    <s v="370.9173/209747"/>
    <d v="2013-10-04T00:00:00"/>
  </r>
  <r>
    <x v="2962"/>
    <d v="1899-12-30T00:10:06"/>
    <x v="822"/>
    <x v="13"/>
    <s v="buffalostate"/>
    <x v="747"/>
    <n v="1378902"/>
    <x v="11"/>
    <s v="Education"/>
    <s v="9780226066554"/>
    <s v=",1,2,3,4,5,6,7,8,190,191,192,188,189,193,194,195,196,197,198,199,200,201,202,203,204,205,206,207,208,56,57,58,54,55,209,210,211,212,213,214,215,216,217,218,219,220,221,222,223,224,225,226"/>
    <n v="52"/>
    <m/>
    <m/>
    <s v="No"/>
    <x v="1"/>
    <m/>
    <m/>
    <s v="136.183.11.43"/>
    <s v="LC5133"/>
    <s v="370.9173/209747"/>
    <d v="2013-10-04T00:00:00"/>
  </r>
  <r>
    <x v="2963"/>
    <d v="1899-12-30T02:01:05"/>
    <x v="827"/>
    <x v="0"/>
    <s v="Buffalo"/>
    <x v="843"/>
    <n v="1833666"/>
    <x v="11"/>
    <s v="Science; Science: Biology/Natural History"/>
    <s v="9780226166216"/>
    <s v=",1,2,3,122,123,124,120,121,193,190,191,191,192,1,193,189,190,194,195,2,2,1,3,4,373,374,375,371,372,300,301,302,298,299,303,304,320,321,322,398,399,400,401,402,403,397,376,377,378"/>
    <n v="41"/>
    <m/>
    <m/>
    <s v="No"/>
    <x v="2"/>
    <d v="2015-11-23T23:41:48"/>
    <n v="1"/>
    <s v="128.205.114.91"/>
    <s v="QH353"/>
    <s v="577/.18"/>
    <d v="2014-11-24T00:00:00"/>
  </r>
  <r>
    <x v="2964"/>
    <d v="1899-12-30T00:00:03"/>
    <x v="823"/>
    <x v="7"/>
    <s v="oneonta"/>
    <x v="760"/>
    <n v="943645"/>
    <x v="15"/>
    <s v="History"/>
    <s v="9781441104755"/>
    <s v=",1,3,2"/>
    <n v="3"/>
    <m/>
    <m/>
    <s v="No"/>
    <x v="1"/>
    <m/>
    <m/>
    <s v="137.141.13.2"/>
    <s v="CB5 .M384 2012"/>
    <n v="948.02200000000005"/>
    <d v="2012-05-31T00:00:00"/>
  </r>
  <r>
    <x v="2965"/>
    <d v="1899-12-30T00:52:56"/>
    <x v="820"/>
    <x v="7"/>
    <s v="oneonta"/>
    <x v="760"/>
    <n v="943645"/>
    <x v="15"/>
    <s v="History"/>
    <s v="9781441104755"/>
    <s v=",1,2,3,111,112,113,109,110,1,2,3,114,115,116,117,118,119,120,121,122,236,237,238,234,235,239,240,241,242,243"/>
    <n v="27"/>
    <s v=",114,113"/>
    <m/>
    <s v="No"/>
    <x v="0"/>
    <d v="2015-11-23T02:28:19"/>
    <n v="7"/>
    <s v="137.141.13.2"/>
    <s v="CB5 .M384 2012"/>
    <n v="948.02200000000005"/>
    <d v="2012-05-31T00:00:00"/>
  </r>
  <r>
    <x v="2966"/>
    <d v="1899-12-30T00:00:04"/>
    <x v="828"/>
    <x v="9"/>
    <s v="trocaire"/>
    <x v="79"/>
    <n v="1757960"/>
    <x v="0"/>
    <s v="Medicine"/>
    <s v="9781118780770"/>
    <s v=",1,2,3"/>
    <n v="3"/>
    <m/>
    <m/>
    <s v="No"/>
    <x v="1"/>
    <m/>
    <m/>
    <s v="173.225.62.67"/>
    <s v="RC537 -- .A236 2014eb"/>
    <s v="616.85/27"/>
    <d v="2014-07-30T00:00:00"/>
  </r>
  <r>
    <x v="2967"/>
    <d v="1899-12-30T00:00:00"/>
    <x v="829"/>
    <x v="12"/>
    <s v="potsdam"/>
    <x v="16"/>
    <n v="877717"/>
    <x v="6"/>
    <s v="Fine Arts"/>
    <s v="9781438139265"/>
    <m/>
    <n v="0"/>
    <s v=",13,15,16"/>
    <m/>
    <s v="No"/>
    <x v="0"/>
    <d v="2015-11-24T04:08:16"/>
    <n v="7"/>
    <s v="137.143.104.94"/>
    <s v="PN1998.3.M577 -- L46 2012eb"/>
    <s v="791.4302/33092; B"/>
    <d v="2012-01-01T00:00:00"/>
  </r>
  <r>
    <x v="2968"/>
    <d v="1899-12-30T00:08:49"/>
    <x v="829"/>
    <x v="12"/>
    <s v="potsdam"/>
    <x v="16"/>
    <n v="877717"/>
    <x v="6"/>
    <s v="Fine Arts"/>
    <s v="9781438139265"/>
    <s v=",1,25,27,23,24,26,2,12,13,14,11,10,15,16,17,18,19"/>
    <n v="17"/>
    <m/>
    <m/>
    <s v="No"/>
    <x v="1"/>
    <m/>
    <m/>
    <s v="137.143.104.94"/>
    <s v="PN1998.3.M577 -- L46 2012eb"/>
    <s v="791.4302/33092; B"/>
    <d v="2012-01-01T00:00:00"/>
  </r>
  <r>
    <x v="2969"/>
    <d v="1899-12-30T00:55:27"/>
    <x v="827"/>
    <x v="0"/>
    <s v="Buffalo"/>
    <x v="843"/>
    <n v="1833666"/>
    <x v="11"/>
    <s v="Science; Science: Biology/Natural History"/>
    <s v="9780226166216"/>
    <s v=",20,22,23,21,22,23,122,122,123,124,120,121,125,126"/>
    <n v="11"/>
    <m/>
    <m/>
    <s v="Yes"/>
    <x v="2"/>
    <d v="2015-11-23T23:41:48"/>
    <n v="1"/>
    <s v="128.205.114.91"/>
    <s v="QH353"/>
    <s v="577/.18"/>
    <d v="2014-11-24T00:00:00"/>
  </r>
  <r>
    <x v="2970"/>
    <d v="1899-12-30T00:00:00"/>
    <x v="827"/>
    <x v="0"/>
    <s v="Buffalo"/>
    <x v="843"/>
    <n v="1833666"/>
    <x v="11"/>
    <s v="Science; Science: Biology/Natural History"/>
    <s v="9780226166216"/>
    <m/>
    <n v="0"/>
    <m/>
    <m/>
    <s v="Yes"/>
    <x v="2"/>
    <d v="2015-11-23T23:41:48"/>
    <n v="1"/>
    <s v="128.205.114.91"/>
    <s v="QH353"/>
    <s v="577/.18"/>
    <d v="2014-11-24T00:00:00"/>
  </r>
  <r>
    <x v="2971"/>
    <d v="1899-12-30T00:03:07"/>
    <x v="827"/>
    <x v="0"/>
    <s v="Buffalo"/>
    <x v="843"/>
    <n v="1833666"/>
    <x v="11"/>
    <s v="Science; Science: Biology/Natural History"/>
    <s v="9780226166216"/>
    <s v=",1,2,3,10,11,12,8,13,9,14,7,5,6,15,16,17,18,19,74,30,31,32,28,29,27,33,34,32,33,35,36,37"/>
    <n v="30"/>
    <m/>
    <m/>
    <s v="No"/>
    <x v="2"/>
    <d v="2015-11-23T23:41:48"/>
    <n v="1"/>
    <s v="128.205.114.91"/>
    <s v="QH353"/>
    <s v="577/.18"/>
    <d v="2014-11-24T00:00:00"/>
  </r>
  <r>
    <x v="2972"/>
    <d v="1899-12-30T00:10:41"/>
    <x v="830"/>
    <x v="0"/>
    <s v="Buffalo"/>
    <x v="185"/>
    <n v="817445"/>
    <x v="0"/>
    <s v="Business/Management"/>
    <s v="9781118171264"/>
    <s v=",139,140,141,137,138,142,143,144,489,490,491,488,487,492,493,494,495,496,497,498,499,500,486,481,483,482,480,479,405,406,357,359,355,358,356,59,60,61,57"/>
    <n v="39"/>
    <m/>
    <s v="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39,340,341,342,343,344,345,346,347,348,349,350,351,352,353,354,355,356,357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39,340,341,342,343,344,345,346,347,348,349,350,351,352,353,354,355,356,357"/>
    <s v="No"/>
    <x v="0"/>
    <d v="2015-11-24T03:26:55"/>
    <n v="7"/>
    <s v="128.205.114.91"/>
    <s v="HD30.4 -- .H84 2012eb"/>
    <s v="658.31243; 658.4/071245"/>
    <d v="2011-12-30T00:00:00"/>
  </r>
  <r>
    <x v="2973"/>
    <d v="1899-12-30T00:01:39"/>
    <x v="830"/>
    <x v="0"/>
    <s v="Buffalo"/>
    <x v="185"/>
    <n v="817445"/>
    <x v="0"/>
    <s v="Business/Management"/>
    <s v="9781118171264"/>
    <s v=",1,2,3,4,5,6,8,9,10,11,7,12,13,14,15,16,17"/>
    <n v="17"/>
    <m/>
    <m/>
    <s v="No"/>
    <x v="1"/>
    <m/>
    <m/>
    <s v="128.205.114.91"/>
    <s v="HD30.4 -- .H84 2012eb"/>
    <s v="658.31243; 658.4/071245"/>
    <d v="2011-12-30T00:00:00"/>
  </r>
  <r>
    <x v="2974"/>
    <d v="1899-12-30T00:56:44"/>
    <x v="831"/>
    <x v="0"/>
    <s v="Buffalo"/>
    <x v="844"/>
    <n v="1332527"/>
    <x v="0"/>
    <s v="Business/Management"/>
    <s v="9781118720882"/>
    <s v=",1,2,3,67,68,69,65,66,67,68,69,70,71,102,103,104,105,106,107,108,109,110,111,113,114,115,116,117,119,121,122,124,125,126,127,128,129,130,131,133"/>
    <n v="37"/>
    <m/>
    <m/>
    <s v="No"/>
    <x v="0"/>
    <d v="2015-11-23T16:09:52"/>
    <n v="7"/>
    <s v="128.205.114.91"/>
    <s v="HB615 -- .A95 2013eb"/>
    <n v="658.11"/>
    <d v="2013-07-31T00:00:00"/>
  </r>
  <r>
    <x v="2975"/>
    <d v="1899-12-30T00:07:24"/>
    <x v="828"/>
    <x v="9"/>
    <s v="trocaire"/>
    <x v="669"/>
    <n v="1742841"/>
    <x v="4"/>
    <s v="Medicine"/>
    <s v="9781462516445"/>
    <s v=",1,2,3,17,19,16,18,15"/>
    <n v="8"/>
    <m/>
    <m/>
    <s v="No"/>
    <x v="0"/>
    <d v="2015-11-17T22:58:24"/>
    <n v="7"/>
    <s v="173.225.62.67"/>
    <s v="RC537 -- .H3376 2014eb"/>
    <n v="616.85270000000003"/>
    <d v="2014-10-22T00:00:00"/>
  </r>
  <r>
    <x v="2976"/>
    <d v="1899-12-30T00:00:08"/>
    <x v="832"/>
    <x v="0"/>
    <s v="Buffalo"/>
    <x v="845"/>
    <n v="1120969"/>
    <x v="3"/>
    <s v="Health; Social Science"/>
    <s v="9780520955189"/>
    <s v=",1,2,3,4"/>
    <n v="4"/>
    <m/>
    <m/>
    <s v="No"/>
    <x v="3"/>
    <m/>
    <m/>
    <s v="128.205.114.91"/>
    <s v="RA390.F8 -- R43 2013eb"/>
    <n v="362.1"/>
    <d v="2013-02-25T00:00:00"/>
  </r>
  <r>
    <x v="2977"/>
    <d v="1899-12-30T00:47:27"/>
    <x v="13"/>
    <x v="0"/>
    <s v="Buffalo"/>
    <x v="6"/>
    <n v="1635363"/>
    <x v="0"/>
    <s v="Law"/>
    <s v="9781118678206"/>
    <s v=",1,2,3,79,80,81,77,78,82,83,84,85,86,87,88,89,90,91,92,93"/>
    <n v="20"/>
    <m/>
    <m/>
    <s v="No"/>
    <x v="0"/>
    <d v="2015-11-17T19:57:32"/>
    <n v="7"/>
    <s v="128.205.114.91"/>
    <s v="KF285.Z9 -- H38 2014eb"/>
    <n v="340.07600000000002"/>
    <d v="2014-02-14T00:00:00"/>
  </r>
  <r>
    <x v="2978"/>
    <d v="1899-12-30T00:05:21"/>
    <x v="833"/>
    <x v="0"/>
    <s v="Buffalo"/>
    <x v="261"/>
    <n v="902995"/>
    <x v="6"/>
    <s v="Medicine"/>
    <s v="9781438139234"/>
    <s v=",1,2,3,4,5"/>
    <n v="5"/>
    <m/>
    <m/>
    <s v="No"/>
    <x v="1"/>
    <m/>
    <m/>
    <s v="128.205.114.91"/>
    <s v="RC569.5.I54 -- M37 2012eb"/>
    <s v="616.85/84"/>
    <d v="2012-03-01T00:00:00"/>
  </r>
  <r>
    <x v="2979"/>
    <d v="1899-12-30T00:00:21"/>
    <x v="834"/>
    <x v="1"/>
    <s v="brockport"/>
    <x v="228"/>
    <n v="894589"/>
    <x v="15"/>
    <s v="Literature"/>
    <s v="9781441124906"/>
    <s v=",1,2,3,4,15,127,128,129,125,126"/>
    <n v="10"/>
    <m/>
    <m/>
    <s v="No"/>
    <x v="1"/>
    <m/>
    <m/>
    <s v="137.21.7.121"/>
    <s v="PA4413.O7 -- S54 2012eb"/>
    <n v="882.01"/>
    <d v="2012-03-08T00:00:00"/>
  </r>
  <r>
    <x v="2980"/>
    <d v="1899-12-30T00:00:10"/>
    <x v="827"/>
    <x v="0"/>
    <s v="Buffalo"/>
    <x v="843"/>
    <n v="1833666"/>
    <x v="11"/>
    <s v="Science; Science: Biology/Natural History"/>
    <s v="9780226166216"/>
    <s v=",1,2,3,1,30"/>
    <n v="4"/>
    <m/>
    <m/>
    <s v="No"/>
    <x v="2"/>
    <d v="2015-11-23T23:41:48"/>
    <n v="1"/>
    <s v="128.205.114.91"/>
    <s v="QH353"/>
    <s v="577/.18"/>
    <d v="2014-11-24T00:00:00"/>
  </r>
  <r>
    <x v="2981"/>
    <d v="1899-12-30T00:00:00"/>
    <x v="811"/>
    <x v="0"/>
    <s v="Buffalo"/>
    <x v="533"/>
    <n v="1760720"/>
    <x v="4"/>
    <s v="Medicine"/>
    <s v="9781462517459"/>
    <m/>
    <n v="0"/>
    <m/>
    <s v=",100"/>
    <s v="No"/>
    <x v="0"/>
    <d v="2015-11-24T00:30:14"/>
    <n v="7"/>
    <s v="128.205.114.91"/>
    <s v="RC489.D48 -- L56 2015eb"/>
    <n v="616.89142000000004"/>
    <d v="2014-12-23T00:00:00"/>
  </r>
  <r>
    <x v="2982"/>
    <d v="1899-12-30T00:00:26"/>
    <x v="811"/>
    <x v="0"/>
    <s v="Buffalo"/>
    <x v="533"/>
    <n v="1760720"/>
    <x v="4"/>
    <s v="Medicine"/>
    <s v="9781462517459"/>
    <s v=",1,3,2,87,88,89,90,91,92,93,94,95,96,97,98,99,100,101,102,103"/>
    <n v="20"/>
    <m/>
    <m/>
    <s v="No"/>
    <x v="1"/>
    <m/>
    <m/>
    <s v="128.205.114.91"/>
    <s v="RC489.D48 -- L56 2015eb"/>
    <n v="616.89142000000004"/>
    <d v="2014-12-23T00:00:00"/>
  </r>
  <r>
    <x v="2983"/>
    <d v="1899-12-30T00:00:05"/>
    <x v="700"/>
    <x v="1"/>
    <s v="brockport"/>
    <x v="220"/>
    <n v="979949"/>
    <x v="14"/>
    <s v="Literature"/>
    <s v="9780786493234"/>
    <s v=",1,3,2"/>
    <n v="3"/>
    <m/>
    <m/>
    <s v="No"/>
    <x v="1"/>
    <m/>
    <m/>
    <s v="137.21.7.121"/>
    <s v="PS3603.O4558 -- Z6845 2012eb"/>
    <s v="813/.6"/>
    <d v="2012-07-12T00:00:00"/>
  </r>
  <r>
    <x v="2984"/>
    <d v="1899-12-30T00:04:26"/>
    <x v="828"/>
    <x v="9"/>
    <s v="trocaire"/>
    <x v="669"/>
    <n v="1742841"/>
    <x v="4"/>
    <s v="Medicine"/>
    <s v="9781462516445"/>
    <s v=",1,3,2,269,270,271,267,268,427,428,429,425,426,17,18,19,15,16,537,538,539,535,536"/>
    <n v="23"/>
    <m/>
    <m/>
    <s v="No"/>
    <x v="0"/>
    <d v="2015-11-17T22:58:24"/>
    <n v="7"/>
    <s v="173.225.62.67"/>
    <s v="RC537 -- .H3376 2014eb"/>
    <n v="616.85270000000003"/>
    <d v="2014-10-22T00:00:00"/>
  </r>
  <r>
    <x v="2985"/>
    <d v="1899-12-30T00:08:47"/>
    <x v="828"/>
    <x v="9"/>
    <s v="trocaire"/>
    <x v="244"/>
    <n v="848510"/>
    <x v="0"/>
    <s v="Medicine"/>
    <s v="9781118220481"/>
    <s v=",1,2,3,173,174,175,171,172,176,177,178,179,180,181,182,183,184,185,186,187,188,189,190,191,379,380,381,377,378,376,382,383,384,385,386"/>
    <n v="35"/>
    <m/>
    <m/>
    <s v="No"/>
    <x v="1"/>
    <m/>
    <m/>
    <s v="173.225.62.67"/>
    <s v="RC489.C63 -- C64 2012eb"/>
    <s v="616.89/1425"/>
    <d v="2012-06-06T00:00:00"/>
  </r>
  <r>
    <x v="2986"/>
    <d v="1899-12-30T00:00:19"/>
    <x v="835"/>
    <x v="1"/>
    <s v="brockport"/>
    <x v="808"/>
    <n v="1337521"/>
    <x v="2"/>
    <s v="Education"/>
    <s v="9781317922049"/>
    <s v=",1,2,3,29,31,30,27,28"/>
    <n v="8"/>
    <m/>
    <m/>
    <s v="No"/>
    <x v="3"/>
    <m/>
    <m/>
    <s v="137.21.7.121"/>
    <s v="LB2805 -- .C2665 2013eb"/>
    <n v="371.20097299999998"/>
    <d v="2013-08-06T00:00:00"/>
  </r>
  <r>
    <x v="2987"/>
    <d v="1899-12-30T00:00:54"/>
    <x v="836"/>
    <x v="8"/>
    <s v="niagaracc"/>
    <x v="846"/>
    <n v="1935774"/>
    <x v="0"/>
    <s v="Agriculture"/>
    <s v="9781118708149"/>
    <s v=",1,2,3,63,64,68,69,70,67,66"/>
    <n v="10"/>
    <m/>
    <m/>
    <s v="No"/>
    <x v="3"/>
    <m/>
    <m/>
    <s v="132.174.254.37"/>
    <s v="SF287 .M384 2013"/>
    <n v="636.10834999999997"/>
    <d v="2013-05-30T00:00:00"/>
  </r>
  <r>
    <x v="2988"/>
    <d v="1899-12-30T00:01:06"/>
    <x v="836"/>
    <x v="8"/>
    <s v="niagaracc"/>
    <x v="847"/>
    <n v="1323278"/>
    <x v="2"/>
    <s v="Sport &amp; Recreation; Agriculture"/>
    <s v="9781136193422"/>
    <s v=",19,20,21,22,37,38,39,35,36,40,57,58,115,116,117,113,114,118"/>
    <n v="18"/>
    <m/>
    <m/>
    <s v="No"/>
    <x v="2"/>
    <d v="2015-11-24T00:09:20"/>
    <n v="1"/>
    <s v="132.174.254.37"/>
    <s v="SF284.4 -- .W65 2014eb"/>
    <n v="798.2"/>
    <d v="2013-07-24T00:00:00"/>
  </r>
  <r>
    <x v="2989"/>
    <d v="1899-12-30T00:04:58"/>
    <x v="836"/>
    <x v="8"/>
    <s v="niagaracc"/>
    <x v="847"/>
    <n v="1323278"/>
    <x v="2"/>
    <s v="Sport &amp; Recreation; Agriculture"/>
    <s v="9781136193422"/>
    <s v=",1,2,3,8,9,10,6,7,11,12,14,13,15,16,17,18"/>
    <n v="16"/>
    <m/>
    <m/>
    <s v="No"/>
    <x v="3"/>
    <m/>
    <m/>
    <s v="132.174.254.37"/>
    <s v="SF284.4 -- .W65 2014eb"/>
    <n v="798.2"/>
    <d v="2013-07-24T00:00:00"/>
  </r>
  <r>
    <x v="2990"/>
    <d v="1899-12-30T00:00:25"/>
    <x v="836"/>
    <x v="8"/>
    <s v="niagaracc"/>
    <x v="847"/>
    <n v="1323278"/>
    <x v="2"/>
    <s v="Sport &amp; Recreation; Agriculture"/>
    <s v="9781136193422"/>
    <s v=",1,2,3,8,9,10,6,7,11"/>
    <n v="9"/>
    <m/>
    <m/>
    <s v="No"/>
    <x v="3"/>
    <m/>
    <m/>
    <s v="132.174.254.37"/>
    <s v="SF284.4 -- .W65 2014eb"/>
    <n v="798.2"/>
    <d v="2013-07-24T00:00:00"/>
  </r>
  <r>
    <x v="2991"/>
    <d v="1899-12-30T00:08:26"/>
    <x v="811"/>
    <x v="0"/>
    <s v="Buffalo"/>
    <x v="533"/>
    <n v="1760720"/>
    <x v="4"/>
    <s v="Medicine"/>
    <s v="9781462517459"/>
    <s v=",1,2,3,29,30,31,27,28,32,33,34,35,36,37,151,152,153,149,150,154,155,156,157,158,160,159,161,162,163,164,165,530,528,529,87,88,89,90,86,91,92,85,83,84,93,94,95,96,97,98,100,101,102,99"/>
    <n v="54"/>
    <m/>
    <m/>
    <s v="No"/>
    <x v="1"/>
    <m/>
    <m/>
    <s v="128.205.114.91"/>
    <s v="RC489.D48 -- L56 2015eb"/>
    <n v="616.89142000000004"/>
    <d v="2014-12-23T00:00:00"/>
  </r>
  <r>
    <x v="2992"/>
    <d v="1899-12-30T00:00:06"/>
    <x v="827"/>
    <x v="0"/>
    <s v="Buffalo"/>
    <x v="848"/>
    <n v="1794187"/>
    <x v="7"/>
    <s v="Agriculture"/>
    <s v="9781780642901"/>
    <s v=",6,7,8,9,10,11"/>
    <n v="6"/>
    <m/>
    <m/>
    <s v="No"/>
    <x v="2"/>
    <d v="2015-11-23T23:45:41"/>
    <n v="1"/>
    <s v="128.205.114.91"/>
    <s v="S600.7.C54 -- .C659 2014eb"/>
    <s v="630.2/515"/>
    <d v="2014-06-18T00:00:00"/>
  </r>
  <r>
    <x v="2993"/>
    <d v="1899-12-30T00:05:09"/>
    <x v="827"/>
    <x v="0"/>
    <s v="Buffalo"/>
    <x v="843"/>
    <n v="1833666"/>
    <x v="11"/>
    <s v="Science; Science: Biology/Natural History"/>
    <s v="9780226166216"/>
    <s v=",14,15,13"/>
    <n v="3"/>
    <m/>
    <m/>
    <s v="No"/>
    <x v="2"/>
    <d v="2015-11-23T23:41:48"/>
    <n v="1"/>
    <s v="128.205.114.91"/>
    <s v="QH353"/>
    <s v="577/.18"/>
    <d v="2014-11-24T00:00:00"/>
  </r>
  <r>
    <x v="2994"/>
    <d v="1899-12-30T00:09:00"/>
    <x v="827"/>
    <x v="0"/>
    <s v="Buffalo"/>
    <x v="843"/>
    <n v="1833666"/>
    <x v="11"/>
    <s v="Science; Science: Biology/Natural History"/>
    <s v="9780226166216"/>
    <s v=",1,3,2,4,5,6,7,8,9,10,11,12,13"/>
    <n v="13"/>
    <m/>
    <m/>
    <s v="No"/>
    <x v="3"/>
    <m/>
    <m/>
    <s v="128.205.114.91"/>
    <s v="QH353"/>
    <s v="577/.18"/>
    <d v="2014-11-24T00:00:00"/>
  </r>
  <r>
    <x v="2995"/>
    <d v="1899-12-30T00:12:55"/>
    <x v="827"/>
    <x v="0"/>
    <s v="Buffalo"/>
    <x v="848"/>
    <n v="1794187"/>
    <x v="7"/>
    <s v="Agriculture"/>
    <s v="9781780642901"/>
    <s v=",1,2,3,4,5"/>
    <n v="5"/>
    <m/>
    <m/>
    <s v="No"/>
    <x v="3"/>
    <m/>
    <m/>
    <s v="128.205.114.91"/>
    <s v="S600.7.C54 -- .C659 2014eb"/>
    <s v="630.2/515"/>
    <d v="2014-06-18T00:00:00"/>
  </r>
  <r>
    <x v="2996"/>
    <d v="1899-12-30T00:00:41"/>
    <x v="820"/>
    <x v="7"/>
    <s v="oneonta"/>
    <x v="760"/>
    <n v="943645"/>
    <x v="15"/>
    <s v="History"/>
    <s v="9781441104755"/>
    <s v=",1,2,3,111,112,113,109,110"/>
    <n v="8"/>
    <m/>
    <m/>
    <s v="No"/>
    <x v="0"/>
    <d v="2015-11-23T02:28:19"/>
    <n v="7"/>
    <s v="137.141.13.2"/>
    <s v="CB5 .M384 2012"/>
    <n v="948.02200000000005"/>
    <d v="2012-05-31T00:00:00"/>
  </r>
  <r>
    <x v="2997"/>
    <d v="1899-12-30T00:00:15"/>
    <x v="837"/>
    <x v="13"/>
    <s v="buffalostate"/>
    <x v="16"/>
    <n v="877717"/>
    <x v="6"/>
    <s v="Fine Arts"/>
    <s v="9781438139265"/>
    <s v=",1,2,3,8,9,10,6,7"/>
    <n v="8"/>
    <m/>
    <m/>
    <s v="No"/>
    <x v="1"/>
    <m/>
    <m/>
    <s v="136.183.11.43"/>
    <s v="PN1998.3.M577 -- L46 2012eb"/>
    <s v="791.4302/33092; B"/>
    <d v="2012-01-01T00:00:00"/>
  </r>
  <r>
    <x v="2998"/>
    <d v="1899-12-30T00:02:34"/>
    <x v="838"/>
    <x v="0"/>
    <s v="Buffalo"/>
    <x v="344"/>
    <n v="1691133"/>
    <x v="4"/>
    <s v="Medicine"/>
    <s v="9781462516278"/>
    <s v=",1,2,3,4,5,6,7,8,14,17,18,19,20,21,22,23,24,25,205,206,207,203,204,208"/>
    <n v="24"/>
    <m/>
    <m/>
    <s v="No"/>
    <x v="1"/>
    <m/>
    <m/>
    <s v="128.205.114.91"/>
    <s v="RC552.P67 -- .H353 2014eb"/>
    <s v="616.85/21"/>
    <d v="2014-05-15T00:00:00"/>
  </r>
  <r>
    <x v="2999"/>
    <d v="1899-12-30T00:00:25"/>
    <x v="839"/>
    <x v="0"/>
    <s v="Buffalo"/>
    <x v="781"/>
    <n v="818101"/>
    <x v="0"/>
    <s v="Computer Science/IT; Business/Management"/>
    <s v="9781118225844"/>
    <s v=",1,2,3,15,36,75,107,132,165,218,265,311,252,175,115,58,10,5"/>
    <n v="18"/>
    <m/>
    <m/>
    <s v="No"/>
    <x v="1"/>
    <m/>
    <m/>
    <s v="128.205.114.91"/>
    <s v="QA76.9.A93 -- C37 2012eb"/>
    <s v="658/.0558"/>
    <d v="2012-02-08T00:00:00"/>
  </r>
  <r>
    <x v="3000"/>
    <d v="1899-12-30T00:00:59"/>
    <x v="840"/>
    <x v="1"/>
    <s v="brockport"/>
    <x v="849"/>
    <n v="1649089"/>
    <x v="2"/>
    <s v="Science; Science: Zoology"/>
    <s v="9781136185090"/>
    <s v=",1,2,3,13,6,4,5,7,8,9,10,11,12"/>
    <n v="13"/>
    <m/>
    <m/>
    <s v="No"/>
    <x v="3"/>
    <m/>
    <m/>
    <s v="137.21.7.121"/>
    <s v="QL638.9 -- .Y686 2009eb"/>
    <n v="597.29999999999995"/>
    <d v="2013-10-28T00:00:00"/>
  </r>
  <r>
    <x v="3001"/>
    <d v="1899-12-30T00:04:13"/>
    <x v="841"/>
    <x v="0"/>
    <s v="Buffalo"/>
    <x v="850"/>
    <n v="1589615"/>
    <x v="1"/>
    <s v="History"/>
    <s v="9781409469865"/>
    <s v=",1,2,3,4,5,6,7,8,9,10,90,91,57,31,22,1,2"/>
    <n v="15"/>
    <m/>
    <m/>
    <s v="No"/>
    <x v="1"/>
    <m/>
    <m/>
    <s v="128.205.114.91"/>
    <s v="DF587 -- .C636 2014eb"/>
    <n v="949.50199999999995"/>
    <d v="2014-10-28T00:00:00"/>
  </r>
  <r>
    <x v="3002"/>
    <d v="1899-12-30T00:00:22"/>
    <x v="841"/>
    <x v="0"/>
    <s v="Buffalo"/>
    <x v="850"/>
    <n v="1589615"/>
    <x v="1"/>
    <s v="History"/>
    <s v="9781409469865"/>
    <s v=",1,2,1,3,2,3,1,2,2"/>
    <n v="3"/>
    <m/>
    <m/>
    <s v="No"/>
    <x v="1"/>
    <m/>
    <m/>
    <s v="128.205.114.91"/>
    <s v="DF587 -- .C636 2014eb"/>
    <n v="949.50199999999995"/>
    <d v="2014-10-28T00:00:00"/>
  </r>
  <r>
    <x v="3003"/>
    <d v="1899-12-30T00:00:22"/>
    <x v="842"/>
    <x v="1"/>
    <s v="brockport"/>
    <x v="851"/>
    <n v="1357594"/>
    <x v="2"/>
    <s v="Social Science; Education"/>
    <s v="9781136250583"/>
    <s v=",1,2,3,2,3,1,87,88,87,88,89,86,89,86,85,90,90,2"/>
    <n v="9"/>
    <m/>
    <m/>
    <s v="No"/>
    <x v="3"/>
    <m/>
    <m/>
    <s v="137.21.7.121"/>
    <s v="LC149 -- .N49 2014eb"/>
    <n v="302.22440719999997"/>
    <d v="2013-08-22T00:00:00"/>
  </r>
  <r>
    <x v="3004"/>
    <d v="1899-12-30T00:05:22"/>
    <x v="64"/>
    <x v="6"/>
    <s v="sjfc"/>
    <x v="189"/>
    <n v="1557279"/>
    <x v="0"/>
    <s v="Business/Management"/>
    <s v="9781118863664"/>
    <s v=",1,2,3,15,16,17,13,14,18,2,63,64,65,66,67,68,69,70,71,72,73,74,75,76,77,78,79,80,81,83,82,84,85,86,87,88,89,90,91,92,93,94,95,96,97,98,99,94,86,63,60,59,61,57,58,56,55,53,54,52,51,50,49,48,46,47,52,53,54,55,56,57,58,59,60,61,62,63,64,65,66,67,68,69,70,71,72,73,74,75"/>
    <n v="63"/>
    <s v=",73,73"/>
    <m/>
    <s v="No"/>
    <x v="0"/>
    <d v="2015-11-17T19:39:23"/>
    <n v="7"/>
    <s v="149.69.254.57"/>
    <s v="HF5661 -- .W384 2014eb"/>
    <n v="657.37800000000004"/>
    <d v="2013-11-07T00:00:00"/>
  </r>
  <r>
    <x v="3005"/>
    <d v="1899-12-30T00:01:29"/>
    <x v="64"/>
    <x v="6"/>
    <s v="sjfc"/>
    <x v="70"/>
    <n v="1222131"/>
    <x v="0"/>
    <s v="Business/Management"/>
    <s v="9781118760048"/>
    <s v=",1,2,3,4,165,166,167,25,26,27,23,24,2,28,43,44,45,41,42,803,804,805,801,802,806,807,1359,1360,1361,1357,1358"/>
    <n v="30"/>
    <m/>
    <m/>
    <s v="No"/>
    <x v="1"/>
    <m/>
    <m/>
    <s v="149.69.254.57"/>
    <s v="HF5659 .W384 2013"/>
    <n v="657"/>
    <d v="2013-06-21T00:00:00"/>
  </r>
  <r>
    <x v="3006"/>
    <d v="1899-12-30T00:00:01"/>
    <x v="843"/>
    <x v="7"/>
    <s v="oneonta"/>
    <x v="112"/>
    <n v="694178"/>
    <x v="0"/>
    <s v="Social Science; Fine Arts"/>
    <s v="9780632057528"/>
    <s v=",35,39"/>
    <n v="2"/>
    <m/>
    <m/>
    <s v="No"/>
    <x v="2"/>
    <d v="2015-11-23T19:44:23"/>
    <n v="1"/>
    <s v="137.141.13.2"/>
    <s v="TT497 -- .W33 2004eb"/>
    <n v="391"/>
    <d v="2013-09-03T00:00:00"/>
  </r>
  <r>
    <x v="3007"/>
    <d v="1899-12-30T02:04:22"/>
    <x v="13"/>
    <x v="0"/>
    <s v="Buffalo"/>
    <x v="844"/>
    <n v="1332527"/>
    <x v="0"/>
    <s v="Business/Management"/>
    <s v="9781118720882"/>
    <s v=",114,114,115,115,116,116,117,117,118,118,119,119,120,120,121,121,122,122,123,123,124,124,125,125,126,126,127,127,128,128,129,129,130,130,131,131,132,132,133,133,134,134,129,134,135,135,136,136,137,137,138,138,139,139,139,140,140,141,141,142,142,143,143,144,144,145,145,146,146,147,147,142,147,148,148,149,149,150,150,151,151,152,152,153,153,148,153,154,154,155,155,156,156,157,157,158,158,159,159"/>
    <n v="46"/>
    <m/>
    <m/>
    <s v="No"/>
    <x v="0"/>
    <d v="2015-11-23T19:37:43"/>
    <n v="7"/>
    <s v="128.205.114.91"/>
    <s v="HB615 -- .A95 2013eb"/>
    <n v="658.11"/>
    <d v="2013-07-31T00:00:00"/>
  </r>
  <r>
    <x v="3008"/>
    <d v="1899-12-30T00:06:58"/>
    <x v="843"/>
    <x v="7"/>
    <s v="oneonta"/>
    <x v="112"/>
    <n v="694178"/>
    <x v="0"/>
    <s v="Social Science; Fine Arts"/>
    <s v="9780632057528"/>
    <s v=",1,2,3,2,3,1,2,2,37,38,37,39,36,39,35,38,36,40,40,41,41,42,37,36,35,40,42"/>
    <n v="11"/>
    <m/>
    <m/>
    <s v="No"/>
    <x v="3"/>
    <m/>
    <m/>
    <s v="137.141.13.2"/>
    <s v="TT497 -- .W33 2004eb"/>
    <n v="391"/>
    <d v="2013-09-03T00:00:00"/>
  </r>
  <r>
    <x v="3009"/>
    <d v="1899-12-30T00:25:15"/>
    <x v="13"/>
    <x v="0"/>
    <s v="Buffalo"/>
    <x v="844"/>
    <n v="1332527"/>
    <x v="0"/>
    <s v="Business/Management"/>
    <s v="9781118720882"/>
    <s v=",1,1,2,2,3,3,109,110,110,109,2,107,111,111,112,112,108,113,113,111,111,113,112,113,109,112,110,110"/>
    <n v="10"/>
    <m/>
    <m/>
    <s v="No"/>
    <x v="1"/>
    <m/>
    <m/>
    <s v="128.205.114.91"/>
    <s v="HB615 -- .A95 2013eb"/>
    <n v="658.11"/>
    <d v="2013-07-31T00:00:00"/>
  </r>
  <r>
    <x v="3010"/>
    <d v="1899-12-30T00:00:12"/>
    <x v="284"/>
    <x v="0"/>
    <s v="Buffalo"/>
    <x v="781"/>
    <n v="818101"/>
    <x v="0"/>
    <s v="Computer Science/IT; Business/Management"/>
    <s v="9781118225844"/>
    <s v=",1,2,3,4,5"/>
    <n v="5"/>
    <m/>
    <m/>
    <s v="No"/>
    <x v="1"/>
    <m/>
    <m/>
    <s v="128.205.114.91"/>
    <s v="QA76.9.A93 -- C37 2012eb"/>
    <s v="658/.0558"/>
    <d v="2012-02-08T00:00:00"/>
  </r>
  <r>
    <x v="3011"/>
    <d v="1899-12-30T00:12:13"/>
    <x v="809"/>
    <x v="9"/>
    <s v="trocaire"/>
    <x v="674"/>
    <n v="980956"/>
    <x v="0"/>
    <s v="Psychology; Social Science"/>
    <s v="9781118227251"/>
    <s v=",68,65,63,56,49,46,44,38,34,31,30,32,28,29,27,26,25,24,22,19,17,16,18,12,8,3,2,4,5,6,7,8,9,10,11,12,13,14,15,16,17,19,22,23,24,25,28,33,37,39,40,41,44,47,58,59,60,61,68,85,62,104,105,98"/>
    <n v="53"/>
    <m/>
    <m/>
    <s v="No"/>
    <x v="0"/>
    <d v="2015-11-23T17:38:20"/>
    <n v="7"/>
    <s v="173.225.62.67"/>
    <s v="HV40 -- .T51377 2012eb"/>
    <s v="150.1023/36132"/>
    <d v="2012-07-23T00:00:00"/>
  </r>
  <r>
    <x v="3012"/>
    <d v="1899-12-30T02:05:30"/>
    <x v="844"/>
    <x v="13"/>
    <s v="buffalostate"/>
    <x v="227"/>
    <n v="871501"/>
    <x v="0"/>
    <s v="Literature"/>
    <s v="9781118231760"/>
    <s v=",19,20,21,22,23,24,25,26,27,28,29,30,31,32,33,34,35,36,37,38,39,40,41,42,43,44,45,46,47,48,327,329,330,331,328,332,2,1,3,47,48,49,50,51,52,53,54,55,57,58,59,56,59,60,61,62,63,64,65,66,67,62,68,71,72,73,74,75,81,79,84,457,458,459,455,456,82,83,80,78,77,85,292,293,294,290,291,295,296,297"/>
    <n v="86"/>
    <m/>
    <m/>
    <s v="No"/>
    <x v="0"/>
    <d v="2015-11-23T17:35:22"/>
    <n v="7"/>
    <s v="136.183.11.43"/>
    <s v="PR2894 -- .P68 2012eb"/>
    <s v="822.3/3; B"/>
    <d v="2012-03-01T00:00:00"/>
  </r>
  <r>
    <x v="3013"/>
    <d v="1899-12-30T00:10:32"/>
    <x v="809"/>
    <x v="9"/>
    <s v="trocaire"/>
    <x v="674"/>
    <n v="980956"/>
    <x v="0"/>
    <s v="Psychology; Social Science"/>
    <s v="9781118227251"/>
    <s v=",1,102,101,103,99,100,2,104,98,105"/>
    <n v="10"/>
    <m/>
    <m/>
    <s v="No"/>
    <x v="1"/>
    <m/>
    <m/>
    <s v="173.225.62.67"/>
    <s v="HV40 -- .T51377 2012eb"/>
    <s v="150.1023/36132"/>
    <d v="2012-07-23T00:00:00"/>
  </r>
  <r>
    <x v="3014"/>
    <d v="1899-12-30T00:11:56"/>
    <x v="844"/>
    <x v="13"/>
    <s v="buffalostate"/>
    <x v="227"/>
    <n v="871501"/>
    <x v="0"/>
    <s v="Literature"/>
    <s v="9781118231760"/>
    <s v=",1,2,3,4,5,6,7,8,9,2,10,11,12,13,14,15,16,17,9,8,7,6,5,4,18"/>
    <n v="18"/>
    <m/>
    <m/>
    <s v="No"/>
    <x v="1"/>
    <m/>
    <m/>
    <s v="136.183.11.43"/>
    <s v="PR2894 -- .P68 2012eb"/>
    <s v="822.3/3; B"/>
    <d v="2012-03-01T00:00:00"/>
  </r>
  <r>
    <x v="3015"/>
    <d v="1899-12-30T00:00:33"/>
    <x v="845"/>
    <x v="13"/>
    <s v="buffalostate"/>
    <x v="674"/>
    <n v="980956"/>
    <x v="0"/>
    <s v="Psychology; Social Science"/>
    <s v="9781118227251"/>
    <s v=",4,5,6,7,8,9,10,11,12,13,14,15,16,17,18,19,20,21,22,23,24,25"/>
    <n v="22"/>
    <m/>
    <m/>
    <s v="No"/>
    <x v="0"/>
    <d v="2015-11-23T17:10:02"/>
    <n v="7"/>
    <s v="136.183.11.43"/>
    <s v="HV40 -- .T51377 2012eb"/>
    <s v="150.1023/36132"/>
    <d v="2012-07-23T00:00:00"/>
  </r>
  <r>
    <x v="3016"/>
    <d v="1899-12-30T00:00:28"/>
    <x v="846"/>
    <x v="1"/>
    <s v="brockport"/>
    <x v="519"/>
    <n v="822662"/>
    <x v="0"/>
    <s v="History"/>
    <s v="9781444355130"/>
    <s v=",1,2,3,340,341,348,349,350,346,347"/>
    <n v="10"/>
    <m/>
    <m/>
    <s v="No"/>
    <x v="1"/>
    <m/>
    <m/>
    <s v="137.21.7.121"/>
    <s v="DT20 -- .R45 2012eb"/>
    <n v="960.3"/>
    <d v="2011-11-11T00:00:00"/>
  </r>
  <r>
    <x v="3017"/>
    <d v="1899-12-30T01:20:51"/>
    <x v="13"/>
    <x v="0"/>
    <s v="Buffalo"/>
    <x v="559"/>
    <n v="1217954"/>
    <x v="1"/>
    <s v="Engineering; Engineering: General"/>
    <s v="9781409457558"/>
    <s v=",480,481,482,484,483,484,485,486,487,488,489,490,491,490,491,492,493,494,604,605,606,602,603,607,608,609,610,612,613,614,616,617,618,619,615,276,277,264,265,266,262,263,493,495,496,497,494,498,499,500"/>
    <n v="45"/>
    <m/>
    <m/>
    <s v="No"/>
    <x v="0"/>
    <d v="2015-11-23T17:08:35"/>
    <n v="7"/>
    <s v="128.205.114.91"/>
    <s v="T59.7 -- .S73 2013eb"/>
    <s v="620.8/2"/>
    <d v="2013-10-28T00:00:00"/>
  </r>
  <r>
    <x v="3018"/>
    <d v="1899-12-30T01:20:12"/>
    <x v="847"/>
    <x v="0"/>
    <s v="Buffalo"/>
    <x v="559"/>
    <n v="1217954"/>
    <x v="1"/>
    <s v="Engineering; Engineering: General"/>
    <s v="9781409457558"/>
    <s v=",1,2,3,487,488,489,485,486,490,491,492,493,494,495,496,497,499,498,500,501,502,503,504,505,506"/>
    <n v="25"/>
    <m/>
    <m/>
    <s v="No"/>
    <x v="0"/>
    <d v="2015-11-23T16:10:05"/>
    <n v="7"/>
    <s v="128.205.114.91"/>
    <s v="T59.7 -- .S73 2013eb"/>
    <s v="620.8/2"/>
    <d v="2013-10-28T00:00:00"/>
  </r>
  <r>
    <x v="3019"/>
    <d v="1899-12-30T00:10:27"/>
    <x v="845"/>
    <x v="13"/>
    <s v="buffalostate"/>
    <x v="674"/>
    <n v="980956"/>
    <x v="0"/>
    <s v="Psychology; Social Science"/>
    <s v="9781118227251"/>
    <s v=",1,2,3"/>
    <n v="3"/>
    <m/>
    <m/>
    <s v="No"/>
    <x v="1"/>
    <m/>
    <m/>
    <s v="136.183.11.43"/>
    <s v="HV40 -- .T51377 2012eb"/>
    <s v="150.1023/36132"/>
    <d v="2012-07-23T00:00:00"/>
  </r>
  <r>
    <x v="3020"/>
    <d v="1899-12-30T00:17:48"/>
    <x v="13"/>
    <x v="0"/>
    <s v="Buffalo"/>
    <x v="559"/>
    <n v="1217954"/>
    <x v="1"/>
    <s v="Engineering; Engineering: General"/>
    <s v="9781409457558"/>
    <s v=",1,2,3,444,445,446,442,443,454,447,471,472,473,469,470,474,476,475,467,468,465,466,464,476,477,478,479"/>
    <n v="26"/>
    <m/>
    <m/>
    <s v="No"/>
    <x v="1"/>
    <m/>
    <m/>
    <s v="128.205.114.91"/>
    <s v="T59.7 -- .S73 2013eb"/>
    <s v="620.8/2"/>
    <d v="2013-10-28T00:00:00"/>
  </r>
  <r>
    <x v="3021"/>
    <d v="1899-12-30T00:17:31"/>
    <x v="820"/>
    <x v="7"/>
    <s v="oneonta"/>
    <x v="760"/>
    <n v="943645"/>
    <x v="15"/>
    <s v="History"/>
    <s v="9781441104755"/>
    <s v=",1,2,3,111,112,113,110,109,1,2,114"/>
    <n v="9"/>
    <m/>
    <m/>
    <s v="No"/>
    <x v="0"/>
    <d v="2015-11-23T02:28:19"/>
    <n v="7"/>
    <s v="137.141.13.2"/>
    <s v="CB5 .M384 2012"/>
    <n v="948.02200000000005"/>
    <d v="2012-05-31T00:00:00"/>
  </r>
  <r>
    <x v="3022"/>
    <d v="1899-12-30T00:05:17"/>
    <x v="847"/>
    <x v="0"/>
    <s v="Buffalo"/>
    <x v="559"/>
    <n v="1217954"/>
    <x v="1"/>
    <s v="Engineering; Engineering: General"/>
    <s v="9781409457558"/>
    <s v=",478,480,479,476,477,481,482,483"/>
    <n v="8"/>
    <m/>
    <m/>
    <s v="No"/>
    <x v="0"/>
    <d v="2015-11-23T16:10:05"/>
    <n v="7"/>
    <s v="128.205.114.91"/>
    <s v="T59.7 -- .S73 2013eb"/>
    <s v="620.8/2"/>
    <d v="2013-10-28T00:00:00"/>
  </r>
  <r>
    <x v="3023"/>
    <d v="1899-12-30T01:14:57"/>
    <x v="831"/>
    <x v="0"/>
    <s v="Buffalo"/>
    <x v="844"/>
    <n v="1332527"/>
    <x v="0"/>
    <s v="Business/Management"/>
    <s v="9781118720882"/>
    <s v=",115,115,116,116,111"/>
    <n v="3"/>
    <m/>
    <m/>
    <s v="No"/>
    <x v="0"/>
    <d v="2015-11-23T16:09:52"/>
    <n v="7"/>
    <s v="128.205.114.91"/>
    <s v="HB615 -- .A95 2013eb"/>
    <n v="658.11"/>
    <d v="2013-07-31T00:00:00"/>
  </r>
  <r>
    <x v="3024"/>
    <d v="1899-12-30T00:10:24"/>
    <x v="831"/>
    <x v="0"/>
    <s v="Buffalo"/>
    <x v="844"/>
    <n v="1332527"/>
    <x v="0"/>
    <s v="Business/Management"/>
    <s v="9781118720882"/>
    <s v=",1,1,2,2,1,3,3,157,158,157,158,159,155,159,156,156,101,102,102,2,103,99,103,101,100,100,104,104,105,105,103,104,104,105,103,106,101,105,102,106,101,106,107,107,108,108,109,109,110,110,111,111,105,110,111,112,112,113,113,114,114"/>
    <n v="24"/>
    <m/>
    <m/>
    <s v="No"/>
    <x v="1"/>
    <m/>
    <m/>
    <s v="128.205.114.91"/>
    <s v="HB615 -- .A95 2013eb"/>
    <n v="658.11"/>
    <d v="2013-07-31T00:00:00"/>
  </r>
  <r>
    <x v="3025"/>
    <d v="1899-12-30T00:00:22"/>
    <x v="848"/>
    <x v="0"/>
    <s v="Buffalo"/>
    <x v="666"/>
    <n v="817932"/>
    <x v="0"/>
    <s v="Computer Science/IT"/>
    <s v="9781118220146"/>
    <s v=",1,1,2,3,2,3,4,4,5,5,2,2"/>
    <n v="5"/>
    <m/>
    <m/>
    <s v="No"/>
    <x v="1"/>
    <m/>
    <m/>
    <s v="128.205.114.91"/>
    <s v="QA76.73.J38 -- B87 2012eb"/>
    <n v="5.133"/>
    <d v="2012-03-13T00:00:00"/>
  </r>
  <r>
    <x v="3026"/>
    <d v="1899-12-30T00:15:04"/>
    <x v="847"/>
    <x v="0"/>
    <s v="Buffalo"/>
    <x v="559"/>
    <n v="1217954"/>
    <x v="1"/>
    <s v="Engineering; Engineering: General"/>
    <s v="9781409457558"/>
    <s v=",1,2,3"/>
    <n v="3"/>
    <m/>
    <m/>
    <s v="No"/>
    <x v="1"/>
    <m/>
    <m/>
    <s v="128.205.114.91"/>
    <s v="T59.7 -- .S73 2013eb"/>
    <s v="620.8/2"/>
    <d v="2013-10-28T00:00:00"/>
  </r>
  <r>
    <x v="3027"/>
    <d v="1899-12-30T00:00:09"/>
    <x v="849"/>
    <x v="5"/>
    <s v="erie"/>
    <x v="818"/>
    <n v="822032"/>
    <x v="0"/>
    <s v="Social Science; Business/Management"/>
    <s v="9781118287019"/>
    <s v=",1,2,3,4"/>
    <n v="4"/>
    <m/>
    <m/>
    <s v="No"/>
    <x v="1"/>
    <m/>
    <m/>
    <s v="199.29.6.54"/>
    <s v="HM742 -- .Q83 2013eb"/>
    <s v="658.8/72"/>
    <d v="2012-11-12T00:00:00"/>
  </r>
  <r>
    <x v="3028"/>
    <d v="1899-12-30T00:00:12"/>
    <x v="13"/>
    <x v="0"/>
    <s v="Buffalo"/>
    <x v="796"/>
    <n v="1318206"/>
    <x v="0"/>
    <s v="Computer Science/IT; Social Science"/>
    <s v="9781118363560"/>
    <s v=",2,2"/>
    <n v="1"/>
    <m/>
    <m/>
    <s v="Yes"/>
    <x v="0"/>
    <d v="2015-11-23T15:35:01"/>
    <n v="7"/>
    <s v="128.205.114.91"/>
    <s v="HA32 -- .M4994 2013eb"/>
    <s v="005.5/5"/>
    <d v="2013-07-15T00:00:00"/>
  </r>
  <r>
    <x v="3028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11-23T15:35:01"/>
    <n v="7"/>
    <s v="128.205.114.91"/>
    <s v="HA32 -- .M4994 2013eb"/>
    <s v="005.5/5"/>
    <d v="2013-07-15T00:00:00"/>
  </r>
  <r>
    <x v="3029"/>
    <d v="1899-12-30T00:00:12"/>
    <x v="13"/>
    <x v="0"/>
    <s v="Buffalo"/>
    <x v="796"/>
    <n v="1318206"/>
    <x v="0"/>
    <s v="Computer Science/IT; Social Science"/>
    <s v="9781118363560"/>
    <s v=",1,2,1,3,3,2"/>
    <n v="3"/>
    <m/>
    <m/>
    <s v="No"/>
    <x v="1"/>
    <m/>
    <m/>
    <s v="128.205.114.91"/>
    <s v="HA32 -- .M4994 2013eb"/>
    <s v="005.5/5"/>
    <d v="2013-07-15T00:00:00"/>
  </r>
  <r>
    <x v="3030"/>
    <d v="1899-12-30T00:08:58"/>
    <x v="850"/>
    <x v="4"/>
    <s v="monroe2boces"/>
    <x v="852"/>
    <n v="1107458"/>
    <x v="14"/>
    <s v="History; Political Science"/>
    <s v="9781476600161"/>
    <s v=",1,2,3,49,50,51,52,48,55,56,57,58,54,59,2,52,53,51,50,49,48,47"/>
    <n v="16"/>
    <m/>
    <m/>
    <s v="No"/>
    <x v="0"/>
    <d v="2015-11-19T14:25:37"/>
    <n v="7"/>
    <s v="24.103.152.138"/>
    <s v="F1414 -- .G214 2013eb"/>
    <s v="321.9092/28; 321.909228"/>
    <d v="2013-01-13T00:00:00"/>
  </r>
  <r>
    <x v="3031"/>
    <d v="1899-12-30T00:14:39"/>
    <x v="556"/>
    <x v="1"/>
    <s v="brockport"/>
    <x v="587"/>
    <n v="4034662"/>
    <x v="0"/>
    <s v="Agriculture; Philosophy"/>
    <s v="9781118376720"/>
    <s v=",197,202,198,201,202,203,205,206,207,208,209,210,1,12,2,3,13,14,15,11,16,17,18,305,306,307,308,309,310,311,312,201,202,203,204,205,206,207,208,209,210,211,212,213"/>
    <n v="34"/>
    <m/>
    <m/>
    <s v="No"/>
    <x v="0"/>
    <d v="2015-11-23T14:14:04"/>
    <n v="7"/>
    <s v="137.21.7.121"/>
    <s v="SF411.5 -- .S263 2016eb"/>
    <s v="179/.3"/>
    <d v="2015-08-25T00:00:00"/>
  </r>
  <r>
    <x v="3032"/>
    <d v="1899-12-30T00:06:40"/>
    <x v="556"/>
    <x v="1"/>
    <s v="brockport"/>
    <x v="587"/>
    <n v="4034662"/>
    <x v="0"/>
    <s v="Agriculture; Philosophy"/>
    <s v="9781118376720"/>
    <s v=",1,2,3,160,157,158,203,199,200"/>
    <n v="9"/>
    <m/>
    <m/>
    <s v="No"/>
    <x v="3"/>
    <m/>
    <m/>
    <s v="137.21.7.121"/>
    <s v="SF411.5 -- .S263 2016eb"/>
    <s v="179/.3"/>
    <d v="2015-08-25T00:00:00"/>
  </r>
  <r>
    <x v="3033"/>
    <d v="1899-12-30T00:17:04"/>
    <x v="850"/>
    <x v="4"/>
    <s v="monroe2boces"/>
    <x v="852"/>
    <n v="1107458"/>
    <x v="14"/>
    <s v="History; Political Science"/>
    <s v="9781476600161"/>
    <s v=",1,3,2,49,50,51,47,48,52,53,54,55,56,57,58,59"/>
    <n v="16"/>
    <s v=",54,55,56,57"/>
    <m/>
    <s v="No"/>
    <x v="0"/>
    <d v="2015-11-19T14:25:37"/>
    <n v="7"/>
    <s v="24.103.152.138"/>
    <s v="F1414 -- .G214 2013eb"/>
    <s v="321.9092/28; 321.909228"/>
    <d v="2013-01-13T00:00:00"/>
  </r>
  <r>
    <x v="3034"/>
    <d v="1899-12-30T00:25:12"/>
    <x v="789"/>
    <x v="6"/>
    <s v="sjfc"/>
    <x v="68"/>
    <n v="1822529"/>
    <x v="0"/>
    <s v="Mathematics"/>
    <s v="9781118824344"/>
    <s v=",236,237,238,239,240,241,242,243"/>
    <n v="8"/>
    <m/>
    <m/>
    <s v="No"/>
    <x v="0"/>
    <d v="2015-11-23T13:53:15"/>
    <n v="7"/>
    <s v="149.69.254.57"/>
    <s v="QA297 -- .S59 2015eb"/>
    <n v="519.4"/>
    <d v="2014-10-20T00:00:00"/>
  </r>
  <r>
    <x v="3035"/>
    <d v="1899-12-30T00:16:20"/>
    <x v="789"/>
    <x v="6"/>
    <s v="sjfc"/>
    <x v="68"/>
    <n v="1822529"/>
    <x v="0"/>
    <s v="Mathematics"/>
    <s v="9781118824344"/>
    <s v=",1,2,3,229,230,231,227,228,229,230,231,227,228,232,233,234,235"/>
    <n v="12"/>
    <m/>
    <m/>
    <s v="No"/>
    <x v="1"/>
    <m/>
    <m/>
    <s v="149.69.254.57"/>
    <s v="QA297 -- .S59 2015eb"/>
    <n v="519.4"/>
    <d v="2014-10-20T00:00:00"/>
  </r>
  <r>
    <x v="3036"/>
    <d v="1899-12-30T00:14:53"/>
    <x v="851"/>
    <x v="1"/>
    <s v="brockport"/>
    <x v="853"/>
    <n v="1486838"/>
    <x v="2"/>
    <s v="Law"/>
    <s v="9781135997786"/>
    <s v=",25"/>
    <n v="1"/>
    <m/>
    <m/>
    <s v="No"/>
    <x v="2"/>
    <d v="2015-11-23T10:25:06"/>
    <n v="1"/>
    <s v="137.21.7.121"/>
    <s v="KF3775 -- .A95 2011eb"/>
    <n v="344.73045999999999"/>
    <d v="2011-01-19T00:00:00"/>
  </r>
  <r>
    <x v="3037"/>
    <d v="1899-12-30T00:12:55"/>
    <x v="851"/>
    <x v="1"/>
    <s v="brockport"/>
    <x v="853"/>
    <n v="1486838"/>
    <x v="2"/>
    <s v="Law"/>
    <s v="9781135997786"/>
    <s v=",1,2,3,22,23,24,20,21"/>
    <n v="8"/>
    <m/>
    <m/>
    <s v="No"/>
    <x v="3"/>
    <m/>
    <m/>
    <s v="137.21.7.121"/>
    <s v="KF3775 -- .A95 2011eb"/>
    <n v="344.73045999999999"/>
    <d v="2011-01-19T00:00:00"/>
  </r>
  <r>
    <x v="3038"/>
    <d v="1899-12-30T00:01:40"/>
    <x v="852"/>
    <x v="1"/>
    <s v="brockport"/>
    <x v="854"/>
    <n v="4029463"/>
    <x v="0"/>
    <s v="Social Science"/>
    <s v="9780745655987"/>
    <s v=",1,2,3,54,55,56,52,53,57,58,59,60,61,62,63,64,65,66,67,73,74,75,71,72,76,77,78,79,80"/>
    <n v="29"/>
    <m/>
    <m/>
    <s v="No"/>
    <x v="3"/>
    <m/>
    <m/>
    <s v="137.21.7.121"/>
    <n v="2009282285"/>
    <n v="303.48329999999999"/>
    <d v="2013-05-03T00:00:00"/>
  </r>
  <r>
    <x v="3039"/>
    <d v="1899-12-30T00:00:05"/>
    <x v="852"/>
    <x v="1"/>
    <s v="brockport"/>
    <x v="855"/>
    <n v="1895293"/>
    <x v="0"/>
    <s v="Engineering; Engineering: Electrical"/>
    <s v="9781119041115"/>
    <s v=",1,2,3"/>
    <n v="3"/>
    <m/>
    <m/>
    <s v="No"/>
    <x v="3"/>
    <m/>
    <m/>
    <s v="137.21.7.121"/>
    <s v="TK6570 .M6 A39 2015"/>
    <s v="621.3845; 621.38456"/>
    <d v="2015-04-28T00:00:00"/>
  </r>
  <r>
    <x v="3040"/>
    <d v="1899-12-30T00:00:21"/>
    <x v="853"/>
    <x v="0"/>
    <s v="Buffalo"/>
    <x v="477"/>
    <n v="1120279"/>
    <x v="0"/>
    <s v="Science: Biology/Natural History; Science"/>
    <s v="9781118537671"/>
    <s v=",1,2,3,57,58,59,55,56,57,58,59,55,56,60,2"/>
    <n v="9"/>
    <m/>
    <m/>
    <s v="No"/>
    <x v="1"/>
    <m/>
    <m/>
    <s v="128.205.114.91"/>
    <s v="QH371 .K384 2012"/>
    <n v="599.93499999999995"/>
    <d v="2012-11-19T00:00:00"/>
  </r>
  <r>
    <x v="3041"/>
    <d v="1899-12-30T00:30:22"/>
    <x v="854"/>
    <x v="0"/>
    <s v="Buffalo"/>
    <x v="559"/>
    <n v="1217954"/>
    <x v="1"/>
    <s v="Engineering; Engineering: General"/>
    <s v="9781409457558"/>
    <s v=",482,483,475,323,324,325,321,322,326,327,328,329,330,331,332,333,334"/>
    <n v="17"/>
    <m/>
    <m/>
    <s v="No"/>
    <x v="0"/>
    <d v="2015-11-23T05:00:30"/>
    <n v="7"/>
    <s v="128.205.114.91"/>
    <s v="T59.7 -- .S73 2013eb"/>
    <s v="620.8/2"/>
    <d v="2013-10-28T00:00:00"/>
  </r>
  <r>
    <x v="3042"/>
    <d v="1899-12-30T00:12:05"/>
    <x v="854"/>
    <x v="0"/>
    <s v="Buffalo"/>
    <x v="559"/>
    <n v="1217954"/>
    <x v="1"/>
    <s v="Engineering; Engineering: General"/>
    <s v="9781409457558"/>
    <s v=",1,2,3,478,479,480,476,477,481"/>
    <n v="9"/>
    <m/>
    <m/>
    <s v="No"/>
    <x v="1"/>
    <m/>
    <m/>
    <s v="128.205.114.91"/>
    <s v="T59.7 -- .S73 2013eb"/>
    <s v="620.8/2"/>
    <d v="2013-10-28T00:00:00"/>
  </r>
  <r>
    <x v="3043"/>
    <d v="1899-12-30T00:00:33"/>
    <x v="855"/>
    <x v="1"/>
    <s v="brockport"/>
    <x v="372"/>
    <n v="877782"/>
    <x v="0"/>
    <s v="Social Science; Science: Biology/Natural History; Science"/>
    <s v="9781118255407"/>
    <s v=",1,2,3,195,196,197,193,194,198,199,200,201,202,203,204,205"/>
    <n v="16"/>
    <m/>
    <m/>
    <s v="No"/>
    <x v="0"/>
    <d v="2015-11-21T18:10:44"/>
    <n v="7"/>
    <s v="137.21.7.121"/>
    <s v="GN69.8 -- .C659 2012eb"/>
    <n v="599.9"/>
    <d v="2012-03-26T00:00:00"/>
  </r>
  <r>
    <x v="3044"/>
    <d v="1899-12-30T00:01:10"/>
    <x v="556"/>
    <x v="1"/>
    <s v="brockport"/>
    <x v="856"/>
    <n v="1189103"/>
    <x v="0"/>
    <s v="Philosophy; Agriculture"/>
    <s v="9781118704530"/>
    <s v=",1,2,3,4,5,6,7,8,9,10,11,12,13,14,15,16,16,16,16,17,18,19,20,21,22,23"/>
    <n v="23"/>
    <m/>
    <m/>
    <s v="No"/>
    <x v="3"/>
    <m/>
    <m/>
    <s v="137.21.7.121"/>
    <s v="SF756.39 -- .R65 2006eb"/>
    <s v="174/.9636"/>
    <d v="2013-05-13T00:00:00"/>
  </r>
  <r>
    <x v="3045"/>
    <d v="1899-12-30T00:04:53"/>
    <x v="856"/>
    <x v="1"/>
    <s v="brockport"/>
    <x v="857"/>
    <n v="1318934"/>
    <x v="2"/>
    <s v="Sport &amp; Recreation; Health"/>
    <s v="9781136510601"/>
    <s v=",17,16,14,12,11,8,7,5,3,1,2"/>
    <n v="11"/>
    <m/>
    <m/>
    <s v="No"/>
    <x v="2"/>
    <d v="2015-11-23T03:19:17"/>
    <n v="1"/>
    <s v="137.21.7.121"/>
    <s v="GV443 -- .S775 2013eb"/>
    <n v="613.70420000000001"/>
    <d v="2013-07-18T00:00:00"/>
  </r>
  <r>
    <x v="3046"/>
    <d v="1899-12-30T00:03:21"/>
    <x v="98"/>
    <x v="4"/>
    <s v="monroe2boces"/>
    <x v="228"/>
    <n v="894589"/>
    <x v="15"/>
    <s v="Literature"/>
    <s v="9781441124906"/>
    <s v=",28,29,30,31,32,33,56,57,54,55,58,59,60,36,37,38,34,35"/>
    <n v="18"/>
    <m/>
    <m/>
    <s v="No"/>
    <x v="0"/>
    <d v="2015-11-23T03:06:03"/>
    <n v="7"/>
    <s v="66.67.23.27"/>
    <s v="PA4413.O7 -- S54 2012eb"/>
    <n v="882.01"/>
    <d v="2012-03-08T00:00:00"/>
  </r>
  <r>
    <x v="3047"/>
    <d v="1899-12-30T00:00:38"/>
    <x v="831"/>
    <x v="0"/>
    <s v="Buffalo"/>
    <x v="844"/>
    <n v="1332527"/>
    <x v="0"/>
    <s v="Business/Management"/>
    <s v="9781118720882"/>
    <s v=",1,2,3,101,102,103,99,104,100,102,103,104,101,100"/>
    <n v="9"/>
    <m/>
    <m/>
    <s v="No"/>
    <x v="1"/>
    <m/>
    <m/>
    <s v="128.205.114.91"/>
    <s v="HB615 -- .A95 2013eb"/>
    <n v="658.11"/>
    <d v="2013-07-31T00:00:00"/>
  </r>
  <r>
    <x v="3048"/>
    <d v="1899-12-30T00:11:35"/>
    <x v="98"/>
    <x v="4"/>
    <s v="monroe2boces"/>
    <x v="228"/>
    <n v="894589"/>
    <x v="15"/>
    <s v="Literature"/>
    <s v="9781441124906"/>
    <s v=",1,8,9,10,6,7,2,11,12,13,14,15,16,17,18,19,20,21,22,23,24,25,26,27"/>
    <n v="24"/>
    <m/>
    <m/>
    <s v="No"/>
    <x v="1"/>
    <m/>
    <m/>
    <s v="66.67.23.27"/>
    <s v="PA4413.O7 -- S54 2012eb"/>
    <n v="882.01"/>
    <d v="2012-03-08T00:00:00"/>
  </r>
  <r>
    <x v="3049"/>
    <d v="1899-12-30T03:56:41"/>
    <x v="857"/>
    <x v="7"/>
    <s v="oneonta"/>
    <x v="858"/>
    <n v="1835691"/>
    <x v="0"/>
    <s v="History"/>
    <s v="9780745692920"/>
    <s v=",53,54,99,100,101,97,38,39,40,36,37,41,42,72,73,43,44,53,54,55,56,57,58,59,60,61,62,63,64,65,66,67,101,100,97,98,72,73,74,70,71,75,110,104,105,106,102,103"/>
    <n v="41"/>
    <m/>
    <m/>
    <s v="No"/>
    <x v="2"/>
    <d v="2015-11-23T02:49:50"/>
    <n v="1"/>
    <s v="137.141.13.2"/>
    <s v="DS135.A92 -- V54713 2011eb"/>
    <n v="940.53185361299995"/>
    <d v="2014-11-06T00:00:00"/>
  </r>
  <r>
    <x v="3050"/>
    <d v="1899-12-30T00:01:50"/>
    <x v="857"/>
    <x v="7"/>
    <s v="oneonta"/>
    <x v="858"/>
    <n v="1835691"/>
    <x v="0"/>
    <s v="History"/>
    <s v="9780745692920"/>
    <s v=",1,2,3,45,46,47,43,44,48,49,50,51,52"/>
    <n v="13"/>
    <m/>
    <m/>
    <s v="No"/>
    <x v="3"/>
    <m/>
    <m/>
    <s v="137.141.13.2"/>
    <s v="DS135.A92 -- V54713 2011eb"/>
    <n v="940.53185361299995"/>
    <d v="2014-11-06T00:00:00"/>
  </r>
  <r>
    <x v="3051"/>
    <d v="1899-12-30T00:00:26"/>
    <x v="858"/>
    <x v="13"/>
    <s v="buffalostate"/>
    <x v="859"/>
    <n v="1774207"/>
    <x v="1"/>
    <s v="Social Science"/>
    <s v="9781409446422"/>
    <s v=",1,222,223,224,220,221,2"/>
    <n v="7"/>
    <m/>
    <m/>
    <s v="No"/>
    <x v="3"/>
    <m/>
    <m/>
    <s v="136.183.11.43"/>
    <s v="HM1017 -- .T73 2014eb"/>
    <s v="302.23/1"/>
    <d v="2014-10-28T00:00:00"/>
  </r>
  <r>
    <x v="3052"/>
    <d v="1899-12-30T00:04:35"/>
    <x v="859"/>
    <x v="1"/>
    <s v="brockport"/>
    <x v="860"/>
    <n v="1209620"/>
    <x v="0"/>
    <s v="Business/Management"/>
    <s v="9781118486115"/>
    <s v=",2,1,3,4,5,6,7,8,9,10,11,12,13,14,15,16,60,61,62,63,64,65,66,67,68,69,77,90,91,92,102,103,104,108,109,111,112,113,114,115,116,117,118,41,42,43,39,40"/>
    <n v="48"/>
    <m/>
    <m/>
    <s v="No"/>
    <x v="3"/>
    <m/>
    <m/>
    <s v="137.21.7.121"/>
    <s v="HF5437 -- .L69 2013eb"/>
    <n v="658"/>
    <d v="2013-05-31T00:00:00"/>
  </r>
  <r>
    <x v="3053"/>
    <d v="1899-12-30T00:00:54"/>
    <x v="548"/>
    <x v="1"/>
    <s v="brockport"/>
    <x v="578"/>
    <n v="1816989"/>
    <x v="7"/>
    <s v="Social Science; Health; Medicine"/>
    <s v="9781780644578"/>
    <s v=",1,2,3,35,36,37,33,38,39,40"/>
    <n v="10"/>
    <m/>
    <m/>
    <s v="No"/>
    <x v="3"/>
    <m/>
    <m/>
    <s v="137.21.7.121"/>
    <s v="RA793 -- .C5766 2014eb"/>
    <s v="616.9/88"/>
    <d v="2014-09-26T00:00:00"/>
  </r>
  <r>
    <x v="3054"/>
    <d v="1899-12-30T00:15:21"/>
    <x v="820"/>
    <x v="7"/>
    <s v="oneonta"/>
    <x v="760"/>
    <n v="943645"/>
    <x v="15"/>
    <s v="History"/>
    <s v="9781441104755"/>
    <s v=",116,117,118,119,120,121,122,123,124,125,126,127,128,129"/>
    <n v="14"/>
    <m/>
    <m/>
    <s v="No"/>
    <x v="0"/>
    <d v="2015-11-23T02:28:19"/>
    <n v="7"/>
    <s v="137.141.13.2"/>
    <s v="CB5 .M384 2012"/>
    <n v="948.02200000000005"/>
    <d v="2012-05-31T00:00:00"/>
  </r>
  <r>
    <x v="3055"/>
    <d v="1899-12-30T00:13:48"/>
    <x v="820"/>
    <x v="7"/>
    <s v="oneonta"/>
    <x v="760"/>
    <n v="943645"/>
    <x v="15"/>
    <s v="History"/>
    <s v="9781441104755"/>
    <s v=",1,2,3,111,112,113,109,110,115,105,106,107,114"/>
    <n v="13"/>
    <m/>
    <m/>
    <s v="No"/>
    <x v="1"/>
    <m/>
    <m/>
    <s v="137.141.13.2"/>
    <s v="CB5 .M384 2012"/>
    <n v="948.02200000000005"/>
    <d v="2012-05-31T00:00:00"/>
  </r>
  <r>
    <x v="3056"/>
    <d v="1899-12-30T00:01:27"/>
    <x v="556"/>
    <x v="1"/>
    <s v="brockport"/>
    <x v="856"/>
    <n v="1189103"/>
    <x v="0"/>
    <s v="Philosophy; Agriculture"/>
    <s v="9781118704530"/>
    <s v=",1,3,2,4,5,6,6,7,8,9,10,11,12,13,14,39,35,36"/>
    <n v="17"/>
    <m/>
    <m/>
    <s v="No"/>
    <x v="3"/>
    <m/>
    <m/>
    <s v="137.21.7.121"/>
    <s v="SF756.39 -- .R65 2006eb"/>
    <s v="174/.9636"/>
    <d v="2013-05-13T00:00:00"/>
  </r>
  <r>
    <x v="3057"/>
    <d v="1899-12-30T01:14:45"/>
    <x v="856"/>
    <x v="1"/>
    <s v="brockport"/>
    <x v="857"/>
    <n v="1318934"/>
    <x v="2"/>
    <s v="Sport &amp; Recreation; Health"/>
    <s v="9781136510601"/>
    <s v=",1,2,3,4,5,6,7,8,9,10,11,12,13,14,15,16,17,18,19,21,22,23,24,25,26,27,28,20"/>
    <n v="28"/>
    <m/>
    <m/>
    <s v="No"/>
    <x v="3"/>
    <m/>
    <m/>
    <s v="137.21.7.121"/>
    <s v="GV443 -- .S775 2013eb"/>
    <n v="613.70420000000001"/>
    <d v="2013-07-18T00:00:00"/>
  </r>
  <r>
    <x v="3058"/>
    <d v="1899-12-30T00:05:21"/>
    <x v="855"/>
    <x v="1"/>
    <s v="brockport"/>
    <x v="372"/>
    <n v="877782"/>
    <x v="0"/>
    <s v="Social Science; Science: Biology/Natural History; Science"/>
    <s v="9781118255407"/>
    <s v=",1,2,3,79,80,81,77,195,196,197,193,194,5,6,7,4,8,9,10"/>
    <n v="19"/>
    <m/>
    <m/>
    <s v="No"/>
    <x v="0"/>
    <d v="2015-11-21T18:10:44"/>
    <n v="7"/>
    <s v="137.21.7.121"/>
    <s v="GN69.8 -- .C659 2012eb"/>
    <n v="599.9"/>
    <d v="2012-03-26T00:00:00"/>
  </r>
  <r>
    <x v="3059"/>
    <d v="1899-12-30T00:05:31"/>
    <x v="860"/>
    <x v="12"/>
    <s v="potsdam"/>
    <x v="270"/>
    <n v="1637652"/>
    <x v="3"/>
    <s v="Education"/>
    <s v="9780520958449"/>
    <s v=",1,2,3,7,8,9,5,6,10,4,216,218,217,214,215,219,220,221,222,223,224,225"/>
    <n v="22"/>
    <m/>
    <m/>
    <s v="No"/>
    <x v="1"/>
    <m/>
    <m/>
    <s v="137.143.104.94"/>
    <s v="LB2340.2 -- .B478 2014eb"/>
    <s v="378.3/62"/>
    <d v="2014-05-02T00:00:00"/>
  </r>
  <r>
    <x v="3060"/>
    <d v="1899-12-30T00:00:00"/>
    <x v="861"/>
    <x v="6"/>
    <s v="sjfc"/>
    <x v="861"/>
    <n v="2038001"/>
    <x v="3"/>
    <s v="Engineering; Home Economics; Engineering: Chemical"/>
    <s v="9780520961296"/>
    <m/>
    <n v="0"/>
    <m/>
    <m/>
    <s v="Yes"/>
    <x v="2"/>
    <d v="2015-11-23T01:57:25"/>
    <n v="1"/>
    <s v="149.69.254.57"/>
    <s v="TP548.2 .W384 2015"/>
    <n v="641.87199999999996"/>
    <d v="2015-09-08T00:00:00"/>
  </r>
  <r>
    <x v="3060"/>
    <d v="1899-12-30T00:00:00"/>
    <x v="861"/>
    <x v="6"/>
    <s v="sjfc"/>
    <x v="861"/>
    <n v="2038001"/>
    <x v="3"/>
    <s v="Engineering; Home Economics; Engineering: Chemical"/>
    <s v="9780520961296"/>
    <m/>
    <n v="0"/>
    <m/>
    <m/>
    <s v="No"/>
    <x v="2"/>
    <d v="2015-11-23T01:57:25"/>
    <n v="1"/>
    <s v="149.69.254.57"/>
    <s v="TP548.2 .W384 2015"/>
    <n v="641.87199999999996"/>
    <d v="2015-09-08T00:00:00"/>
  </r>
  <r>
    <x v="3061"/>
    <d v="1899-12-30T00:02:03"/>
    <x v="861"/>
    <x v="6"/>
    <s v="sjfc"/>
    <x v="861"/>
    <n v="2038001"/>
    <x v="3"/>
    <s v="Engineering; Home Economics; Engineering: Chemical"/>
    <s v="9780520961296"/>
    <s v=",1,2,3,4,5,6,7,8,10,9,11,12,13,14,15,16,17,18"/>
    <n v="18"/>
    <m/>
    <m/>
    <s v="No"/>
    <x v="3"/>
    <m/>
    <m/>
    <s v="149.69.254.57"/>
    <s v="TP548.2 .W384 2015"/>
    <n v="641.87199999999996"/>
    <d v="2015-09-08T00:00:00"/>
  </r>
  <r>
    <x v="3062"/>
    <d v="1899-12-30T00:00:18"/>
    <x v="860"/>
    <x v="12"/>
    <s v="potsdam"/>
    <x v="270"/>
    <n v="1637652"/>
    <x v="3"/>
    <s v="Education"/>
    <s v="9780520958449"/>
    <s v=",1"/>
    <n v="1"/>
    <m/>
    <m/>
    <s v="No"/>
    <x v="1"/>
    <m/>
    <m/>
    <s v="137.143.104.94"/>
    <s v="LB2340.2 -- .B478 2014eb"/>
    <s v="378.3/62"/>
    <d v="2014-05-02T00:00:00"/>
  </r>
  <r>
    <x v="3063"/>
    <d v="1899-12-30T00:00:16"/>
    <x v="493"/>
    <x v="12"/>
    <s v="potsdam"/>
    <x v="862"/>
    <n v="1895186"/>
    <x v="0"/>
    <s v="Fine Arts"/>
    <s v="9781118983508"/>
    <s v=",1,2,3,4"/>
    <n v="4"/>
    <m/>
    <m/>
    <s v="No"/>
    <x v="3"/>
    <m/>
    <m/>
    <s v="137.143.104.94"/>
    <s v="TR860 -- .A534 2015eb"/>
    <n v="778.59"/>
    <d v="2015-03-13T00:00:00"/>
  </r>
  <r>
    <x v="3064"/>
    <d v="1899-12-30T00:00:37"/>
    <x v="862"/>
    <x v="0"/>
    <s v="Buffalo"/>
    <x v="559"/>
    <n v="1217954"/>
    <x v="1"/>
    <s v="Engineering; Engineering: General"/>
    <s v="9781409457558"/>
    <s v=",1,2,3,487,488,489,485,486,490,491"/>
    <n v="10"/>
    <m/>
    <m/>
    <s v="No"/>
    <x v="1"/>
    <m/>
    <m/>
    <s v="128.205.114.91"/>
    <s v="T59.7 -- .S73 2013eb"/>
    <s v="620.8/2"/>
    <d v="2013-10-28T00:00:00"/>
  </r>
  <r>
    <x v="3065"/>
    <d v="1899-12-30T00:02:03"/>
    <x v="863"/>
    <x v="1"/>
    <s v="brockport"/>
    <x v="863"/>
    <n v="1344659"/>
    <x v="2"/>
    <s v="Social Science; Health"/>
    <s v="9781135017064"/>
    <s v=",1,2,3,5,4,6,7,8,9,10,11,12,13,14,15,16,17,18,19,20,21,22,23,24,25,26,27,28,29,30,31,32,33,34,35"/>
    <n v="35"/>
    <m/>
    <m/>
    <s v="No"/>
    <x v="3"/>
    <m/>
    <m/>
    <s v="137.21.7.121"/>
    <s v="HV5825 -- .S58424 2014eb"/>
    <n v="362.29509730000001"/>
    <d v="2013-08-15T00:00:00"/>
  </r>
  <r>
    <x v="3066"/>
    <d v="1899-12-30T00:09:10"/>
    <x v="864"/>
    <x v="6"/>
    <s v="sjfc"/>
    <x v="345"/>
    <n v="1119449"/>
    <x v="0"/>
    <s v="Psychology"/>
    <s v="9781118482230"/>
    <s v=",1,2,3,199,201,200,197,198,202,203,204,205,206,207,208,209,210,211,212,213,214,215,216,217,218,219,220,221,222,223,224,225,226"/>
    <n v="33"/>
    <m/>
    <m/>
    <s v="No"/>
    <x v="1"/>
    <m/>
    <m/>
    <s v="149.69.254.57"/>
    <s v="BF576 .S737 2013"/>
    <s v="152.4; 152.4024378198"/>
    <d v="2013-01-28T00:00:00"/>
  </r>
  <r>
    <x v="3067"/>
    <d v="1899-12-30T00:01:33"/>
    <x v="865"/>
    <x v="1"/>
    <s v="brockport"/>
    <x v="864"/>
    <n v="1337527"/>
    <x v="2"/>
    <s v="Education"/>
    <s v="9781317923541"/>
    <s v=",201,202,203,204,206,207"/>
    <n v="6"/>
    <m/>
    <m/>
    <s v="No"/>
    <x v="2"/>
    <d v="2015-11-23T00:25:37"/>
    <n v="1"/>
    <s v="137.21.7.121"/>
    <s v="LA210 -- .S716 2012eb"/>
    <n v="370.97300000000001"/>
    <d v="2013-08-06T00:00:00"/>
  </r>
  <r>
    <x v="3068"/>
    <d v="1899-12-30T00:05:02"/>
    <x v="865"/>
    <x v="1"/>
    <s v="brockport"/>
    <x v="864"/>
    <n v="1337527"/>
    <x v="2"/>
    <s v="Education"/>
    <s v="9781317923541"/>
    <s v=",1,2,3,187,188,189,185,186,191,182,183,184,180,181,190,192,193,194,195,196,197,198,199,200"/>
    <n v="24"/>
    <m/>
    <m/>
    <s v="No"/>
    <x v="3"/>
    <m/>
    <m/>
    <s v="137.21.7.121"/>
    <s v="LA210 -- .S716 2012eb"/>
    <n v="370.97300000000001"/>
    <d v="2013-08-06T00:00:00"/>
  </r>
  <r>
    <x v="3069"/>
    <d v="1899-12-30T00:07:05"/>
    <x v="865"/>
    <x v="1"/>
    <s v="brockport"/>
    <x v="483"/>
    <n v="1422383"/>
    <x v="2"/>
    <s v="Education"/>
    <s v="9781317922254"/>
    <s v=",119,112,113,127,128,129,125,126,130,131,132,133,134,135,136,137,138,139,140,141,142,143,144,145,170,171,172,168,169,173,174,175,176,177,178,179"/>
    <n v="36"/>
    <m/>
    <m/>
    <s v="No"/>
    <x v="2"/>
    <d v="2015-11-23T00:08:09"/>
    <n v="1"/>
    <s v="137.21.7.121"/>
    <s v="LB2822.8 -- .F73 2013eb"/>
    <n v="371.2"/>
    <d v="2013-09-27T00:00:00"/>
  </r>
  <r>
    <x v="3070"/>
    <d v="1899-12-30T00:05:26"/>
    <x v="865"/>
    <x v="1"/>
    <s v="brockport"/>
    <x v="483"/>
    <n v="1422383"/>
    <x v="2"/>
    <s v="Education"/>
    <s v="9781317922254"/>
    <s v=",1,2,3,4,5,6,116,117,118,114,115"/>
    <n v="11"/>
    <m/>
    <m/>
    <s v="No"/>
    <x v="3"/>
    <m/>
    <m/>
    <s v="137.21.7.121"/>
    <s v="LB2822.8 -- .F73 2013eb"/>
    <n v="371.2"/>
    <d v="2013-09-27T00:00:00"/>
  </r>
  <r>
    <x v="3071"/>
    <d v="1899-12-30T00:00:43"/>
    <x v="866"/>
    <x v="12"/>
    <s v="potsdam"/>
    <x v="865"/>
    <n v="2037989"/>
    <x v="0"/>
    <s v="Education"/>
    <s v="9781118977774"/>
    <s v=",1,2,3,60,61,62,58,59,60,60,61,62,58,59"/>
    <n v="8"/>
    <m/>
    <m/>
    <s v="No"/>
    <x v="0"/>
    <d v="2015-11-22T20:47:37"/>
    <n v="7"/>
    <s v="137.143.104.94"/>
    <s v="LB1707 .P555 2015"/>
    <n v="371.10199999999998"/>
    <d v="2015-04-27T00:00:00"/>
  </r>
  <r>
    <x v="3072"/>
    <d v="1899-12-30T00:00:00"/>
    <x v="646"/>
    <x v="12"/>
    <s v="potsdam"/>
    <x v="866"/>
    <n v="1895565"/>
    <x v="0"/>
    <s v="Medicine"/>
    <s v="9781118732779"/>
    <m/>
    <n v="0"/>
    <s v=",318"/>
    <m/>
    <s v="Yes"/>
    <x v="0"/>
    <d v="2015-11-18T22:17:06"/>
    <n v="7"/>
    <s v="137.143.104.94"/>
    <s v="RC346.5 -- .N48 2015eb"/>
    <s v="616.8/0479"/>
    <d v="2015-03-10T00:00:00"/>
  </r>
  <r>
    <x v="3073"/>
    <d v="1899-12-30T00:00:00"/>
    <x v="646"/>
    <x v="12"/>
    <s v="potsdam"/>
    <x v="866"/>
    <n v="1895565"/>
    <x v="0"/>
    <s v="Medicine"/>
    <s v="9781118732779"/>
    <m/>
    <n v="0"/>
    <m/>
    <m/>
    <s v="Yes"/>
    <x v="0"/>
    <d v="2015-11-18T22:17:06"/>
    <n v="7"/>
    <s v="137.143.104.94"/>
    <s v="RC346.5 -- .N48 2015eb"/>
    <s v="616.8/0479"/>
    <d v="2015-03-10T00:00:00"/>
  </r>
  <r>
    <x v="3074"/>
    <d v="1899-12-30T00:00:00"/>
    <x v="646"/>
    <x v="12"/>
    <s v="potsdam"/>
    <x v="866"/>
    <n v="1895565"/>
    <x v="0"/>
    <s v="Medicine"/>
    <s v="9781118732779"/>
    <m/>
    <n v="0"/>
    <m/>
    <m/>
    <s v="Yes"/>
    <x v="0"/>
    <d v="2015-11-18T22:17:06"/>
    <n v="7"/>
    <s v="137.143.104.94"/>
    <s v="RC346.5 -- .N48 2015eb"/>
    <s v="616.8/0479"/>
    <d v="2015-03-10T00:00:00"/>
  </r>
  <r>
    <x v="3075"/>
    <d v="1899-12-30T00:03:53"/>
    <x v="646"/>
    <x v="12"/>
    <s v="potsdam"/>
    <x v="866"/>
    <n v="1895565"/>
    <x v="0"/>
    <s v="Medicine"/>
    <s v="9781118732779"/>
    <s v=",1,3,2,25,26,27,23,28,29,30,31,32,33,34,35,36,37,38,39,40,41,42,43,44,45,46,47,48,49,50,51,52,53,54,55,57,58,59,56,130,131,132,128,129,130,131,128,129,287,288,289,290,286,291,292,293,294,295,296,297,298,299,300,301,302,303,304,308,307,306,305,309,310,311,312,313,314,315,316,317,318,319,320"/>
    <n v="79"/>
    <m/>
    <m/>
    <s v="No"/>
    <x v="0"/>
    <d v="2015-11-18T22:17:06"/>
    <n v="7"/>
    <s v="137.143.104.94"/>
    <s v="RC346.5 -- .N48 2015eb"/>
    <s v="616.8/0479"/>
    <d v="2015-03-10T00:00:00"/>
  </r>
  <r>
    <x v="3076"/>
    <d v="1899-12-30T00:00:17"/>
    <x v="144"/>
    <x v="12"/>
    <s v="potsdam"/>
    <x v="710"/>
    <n v="1873101"/>
    <x v="0"/>
    <s v="Education"/>
    <s v="9781118762233"/>
    <s v=",1,2,3,7,4,21,22,23,19,20"/>
    <n v="10"/>
    <m/>
    <s v=",21,22,23,24,25,26,27,28,29,30,31,32,33,34,35,36,37,38,39,40,41,42,43,44,45,46,47,48,49,49,49,50,51,52,56,57,58,59,60,61,62,63,64,65,66,67,68,69,70,71,72,73,74"/>
    <s v="No"/>
    <x v="0"/>
    <d v="2015-11-22T13:41:05"/>
    <n v="7"/>
    <s v="137.143.104.94"/>
    <s v="LB2341 -- .B7425 2015eb"/>
    <s v="378.1/01"/>
    <d v="2014-12-02T00:00:00"/>
  </r>
  <r>
    <x v="3077"/>
    <d v="1899-12-30T00:00:03"/>
    <x v="144"/>
    <x v="12"/>
    <s v="potsdam"/>
    <x v="867"/>
    <n v="1887751"/>
    <x v="0"/>
    <s v="Business/Management; Social Science"/>
    <s v="9781118779903"/>
    <s v=",1,2,3"/>
    <n v="3"/>
    <m/>
    <m/>
    <s v="No"/>
    <x v="1"/>
    <m/>
    <m/>
    <s v="137.143.104.94"/>
    <s v="HD58.7 -- .C4853 2015eb"/>
    <s v="302.3/5"/>
    <d v="2015-02-06T00:00:00"/>
  </r>
  <r>
    <x v="3078"/>
    <d v="1899-12-30T00:07:33"/>
    <x v="867"/>
    <x v="13"/>
    <s v="buffalostate"/>
    <x v="868"/>
    <n v="1650364"/>
    <x v="3"/>
    <s v="Social Science; Religion"/>
    <s v="9780520958272"/>
    <s v=",15,16"/>
    <n v="2"/>
    <m/>
    <m/>
    <s v="No"/>
    <x v="1"/>
    <m/>
    <m/>
    <s v="136.183.11.43"/>
    <s v="HQ767.3 -- .M56 2014eb"/>
    <s v="241/.6976"/>
    <d v="2014-05-20T00:00:00"/>
  </r>
  <r>
    <x v="3079"/>
    <d v="1899-12-30T00:06:24"/>
    <x v="867"/>
    <x v="13"/>
    <s v="buffalostate"/>
    <x v="868"/>
    <n v="1650364"/>
    <x v="3"/>
    <s v="Social Science; Religion"/>
    <s v="9780520958272"/>
    <s v=",1,2,3,4,8,5,6,8,7,9,10,11,2,12,13,14"/>
    <n v="14"/>
    <m/>
    <m/>
    <s v="No"/>
    <x v="3"/>
    <m/>
    <m/>
    <s v="136.183.11.43"/>
    <s v="HQ767.3 -- .M56 2014eb"/>
    <s v="241/.6976"/>
    <d v="2014-05-20T00:00:00"/>
  </r>
  <r>
    <x v="3080"/>
    <d v="1899-12-30T00:02:26"/>
    <x v="817"/>
    <x v="0"/>
    <s v="Buffalo"/>
    <x v="837"/>
    <n v="1784645"/>
    <x v="1"/>
    <s v="Engineering: General; Engineering; Engineering: Mechanical"/>
    <s v="9781472423672"/>
    <s v=",95,96,97"/>
    <n v="3"/>
    <m/>
    <m/>
    <s v="No"/>
    <x v="2"/>
    <d v="2015-11-22T22:30:22"/>
    <n v="1"/>
    <s v="128.205.114.91"/>
    <s v="TL789.8.U5 -- S24 2014eb"/>
    <s v="629.4/10973"/>
    <d v="2014-11-28T00:00:00"/>
  </r>
  <r>
    <x v="3081"/>
    <d v="1899-12-30T00:05:08"/>
    <x v="817"/>
    <x v="0"/>
    <s v="Buffalo"/>
    <x v="837"/>
    <n v="1784645"/>
    <x v="1"/>
    <s v="Engineering: General; Engineering; Engineering: Mechanical"/>
    <s v="9781472423672"/>
    <s v=",1,2,3,4,6,10,14,22,35,98,99,95,93,92,90,89,88,86,85,84,2,87,91,92,93,94"/>
    <n v="23"/>
    <m/>
    <m/>
    <s v="No"/>
    <x v="3"/>
    <m/>
    <m/>
    <s v="128.205.114.91"/>
    <s v="TL789.8.U5 -- S24 2014eb"/>
    <s v="629.4/10973"/>
    <d v="2014-11-28T00:00:00"/>
  </r>
  <r>
    <x v="3082"/>
    <d v="1899-12-30T00:00:05"/>
    <x v="868"/>
    <x v="7"/>
    <s v="oneonta"/>
    <x v="760"/>
    <n v="943645"/>
    <x v="15"/>
    <s v="History"/>
    <s v="9781441104755"/>
    <s v=",134,135"/>
    <n v="2"/>
    <m/>
    <m/>
    <s v="No"/>
    <x v="0"/>
    <d v="2015-11-22T22:20:16"/>
    <n v="7"/>
    <s v="137.141.13.2"/>
    <s v="CB5 .M384 2012"/>
    <n v="948.02200000000005"/>
    <d v="2012-05-31T00:00:00"/>
  </r>
  <r>
    <x v="3083"/>
    <d v="1899-12-30T00:10:15"/>
    <x v="868"/>
    <x v="7"/>
    <s v="oneonta"/>
    <x v="760"/>
    <n v="943645"/>
    <x v="15"/>
    <s v="History"/>
    <s v="9781441104755"/>
    <s v=",1,2,3,99,100,101,97,98,102,144,145,146,142,143,147,193,194,195,191,192,196,194,106,106,98,1,1,1,128,128,129,130,126,127,131,132,133"/>
    <n v="30"/>
    <m/>
    <m/>
    <s v="No"/>
    <x v="1"/>
    <m/>
    <m/>
    <s v="137.141.13.2"/>
    <s v="CB5 .M384 2012"/>
    <n v="948.02200000000005"/>
    <d v="2012-05-31T00:00:00"/>
  </r>
  <r>
    <x v="3084"/>
    <d v="1899-12-30T01:07:10"/>
    <x v="835"/>
    <x v="1"/>
    <s v="brockport"/>
    <x v="808"/>
    <n v="1337521"/>
    <x v="2"/>
    <s v="Education"/>
    <s v="9781317922049"/>
    <s v=",14,15,16,14,15,12,13,17,18,20,22,20,17,18,22,21,19,23,24,25,26,27,28,29,30,31,32,33,34,35,36,37,38,36,37,39,40,41,42,43,44,45,43,44,45,41,42,46,47,48,49,50,51,52,53,54,55,56,57,131,132,133,129,130"/>
    <n v="51"/>
    <m/>
    <m/>
    <s v="No"/>
    <x v="2"/>
    <d v="2015-11-22T22:06:46"/>
    <n v="1"/>
    <s v="137.21.7.121"/>
    <s v="LB2805 -- .C2665 2013eb"/>
    <n v="371.20097299999998"/>
    <d v="2013-08-06T00:00:00"/>
  </r>
  <r>
    <x v="3085"/>
    <d v="1899-12-30T00:09:08"/>
    <x v="869"/>
    <x v="12"/>
    <s v="potsdam"/>
    <x v="869"/>
    <n v="1908953"/>
    <x v="0"/>
    <s v="Education"/>
    <s v="9781118897577"/>
    <s v=",10,11,12,7,6,5,13,14,15,9,6,8,8,156,159,158,157,156,157,158,159"/>
    <n v="15"/>
    <m/>
    <s v=",77,78,79,80,81,82,83,84,85,86,87,88,89,90,91,92,93,94,95,96,97,98,99,100,101,102,103,104"/>
    <s v="No"/>
    <x v="0"/>
    <d v="2015-11-22T21:09:38"/>
    <n v="7"/>
    <s v="137.143.104.94"/>
    <s v="LB1028.43 -- .U53 2015eb"/>
    <s v="371.33/4"/>
    <d v="2014-12-16T00:00:00"/>
  </r>
  <r>
    <x v="3086"/>
    <d v="1899-12-30T00:13:22"/>
    <x v="869"/>
    <x v="12"/>
    <s v="potsdam"/>
    <x v="869"/>
    <n v="1908953"/>
    <x v="0"/>
    <s v="Education"/>
    <s v="9781118897577"/>
    <s v=",1,2,3,4,5,6,9,8,10,6,7,5"/>
    <n v="10"/>
    <m/>
    <m/>
    <s v="No"/>
    <x v="3"/>
    <m/>
    <m/>
    <s v="137.143.104.94"/>
    <s v="LB1028.43 -- .U53 2015eb"/>
    <s v="371.33/4"/>
    <d v="2014-12-16T00:00:00"/>
  </r>
  <r>
    <x v="3087"/>
    <d v="1899-12-30T00:00:04"/>
    <x v="870"/>
    <x v="13"/>
    <s v="buffalostate"/>
    <x v="564"/>
    <n v="1367839"/>
    <x v="11"/>
    <s v="Religion"/>
    <s v="9780226410357"/>
    <s v=",2,1,3"/>
    <n v="3"/>
    <m/>
    <m/>
    <s v="No"/>
    <x v="3"/>
    <m/>
    <m/>
    <s v="136.183.11.43"/>
    <s v="BT707"/>
    <s v="234/.165"/>
    <d v="2013-09-03T00:00:00"/>
  </r>
  <r>
    <x v="3088"/>
    <d v="1899-12-30T00:00:16"/>
    <x v="683"/>
    <x v="1"/>
    <s v="brockport"/>
    <x v="720"/>
    <n v="1498726"/>
    <x v="2"/>
    <s v="Economics; Business/Management; Social Science"/>
    <s v="9781134080151"/>
    <s v=",1,2,3,5,6,4"/>
    <n v="6"/>
    <m/>
    <m/>
    <s v="No"/>
    <x v="3"/>
    <m/>
    <m/>
    <s v="137.21.7.121"/>
    <s v="HM742 -- .L66 2014eb"/>
    <n v="338.5"/>
    <d v="2008-02-08T00:00:00"/>
  </r>
  <r>
    <x v="3089"/>
    <d v="1899-12-30T00:00:49"/>
    <x v="866"/>
    <x v="12"/>
    <s v="potsdam"/>
    <x v="865"/>
    <n v="2037989"/>
    <x v="0"/>
    <s v="Education"/>
    <s v="9781118977774"/>
    <s v=",62,60"/>
    <n v="2"/>
    <s v=",60"/>
    <m/>
    <s v="No"/>
    <x v="0"/>
    <d v="2015-11-22T20:47:37"/>
    <n v="7"/>
    <s v="137.143.104.94"/>
    <s v="LB1707 .P555 2015"/>
    <n v="371.10199999999998"/>
    <d v="2015-04-27T00:00:00"/>
  </r>
  <r>
    <x v="3090"/>
    <d v="1899-12-30T00:01:29"/>
    <x v="866"/>
    <x v="12"/>
    <s v="potsdam"/>
    <x v="865"/>
    <n v="2037989"/>
    <x v="0"/>
    <s v="Education"/>
    <s v="9781118977774"/>
    <s v=",1,2,1,2,3,3,2,2,60,61,60,62,61,62,58,59,59,63,64,63,64,65,65,66,66,61,66,61,60,59,58"/>
    <n v="12"/>
    <m/>
    <m/>
    <s v="No"/>
    <x v="3"/>
    <m/>
    <m/>
    <s v="137.143.104.94"/>
    <s v="LB1707 .P555 2015"/>
    <n v="371.10199999999998"/>
    <d v="2015-04-27T00:00:00"/>
  </r>
  <r>
    <x v="3091"/>
    <d v="1899-12-30T00:00:42"/>
    <x v="683"/>
    <x v="1"/>
    <s v="brockport"/>
    <x v="720"/>
    <n v="1498726"/>
    <x v="2"/>
    <s v="Economics; Business/Management; Social Science"/>
    <s v="9781134080151"/>
    <s v=",1,2,3,24,25,26,23,22,27,22,2"/>
    <n v="9"/>
    <m/>
    <m/>
    <s v="No"/>
    <x v="3"/>
    <m/>
    <m/>
    <s v="137.21.7.121"/>
    <s v="HM742 -- .L66 2014eb"/>
    <n v="338.5"/>
    <d v="2008-02-08T00:00:00"/>
  </r>
  <r>
    <x v="3092"/>
    <d v="1899-12-30T01:43:21"/>
    <x v="835"/>
    <x v="1"/>
    <s v="brockport"/>
    <x v="808"/>
    <n v="1337521"/>
    <x v="2"/>
    <s v="Education"/>
    <s v="9781317922049"/>
    <s v=",1,2,3,4,5,3,4,5,1,2"/>
    <n v="5"/>
    <m/>
    <m/>
    <s v="No"/>
    <x v="3"/>
    <m/>
    <m/>
    <s v="137.21.7.121"/>
    <s v="LB2805 -- .C2665 2013eb"/>
    <n v="371.20097299999998"/>
    <d v="2013-08-06T00:00:00"/>
  </r>
  <r>
    <x v="3093"/>
    <d v="1899-12-30T00:02:23"/>
    <x v="855"/>
    <x v="1"/>
    <s v="brockport"/>
    <x v="372"/>
    <n v="877782"/>
    <x v="0"/>
    <s v="Social Science; Science: Biology/Natural History; Science"/>
    <s v="9781118255407"/>
    <s v=",1,2,3,195,196,197,198,199,200,201,202,203,204,205,206,207,209,210"/>
    <n v="18"/>
    <m/>
    <m/>
    <s v="No"/>
    <x v="0"/>
    <d v="2015-11-21T18:10:44"/>
    <n v="7"/>
    <s v="137.21.7.121"/>
    <s v="GN69.8 -- .C659 2012eb"/>
    <n v="599.9"/>
    <d v="2012-03-26T00:00:00"/>
  </r>
  <r>
    <x v="3094"/>
    <d v="1899-12-30T00:00:51"/>
    <x v="871"/>
    <x v="1"/>
    <s v="brockport"/>
    <x v="372"/>
    <n v="877782"/>
    <x v="0"/>
    <s v="Social Science; Science: Biology/Natural History; Science"/>
    <s v="9781118255407"/>
    <s v=",1,2,3,4,5,6,7,8,9,10"/>
    <n v="10"/>
    <m/>
    <m/>
    <s v="No"/>
    <x v="1"/>
    <m/>
    <m/>
    <s v="137.21.7.121"/>
    <s v="GN69.8 -- .C659 2012eb"/>
    <n v="599.9"/>
    <d v="2012-03-26T00:00:00"/>
  </r>
  <r>
    <x v="3095"/>
    <d v="1899-12-30T01:11:42"/>
    <x v="872"/>
    <x v="1"/>
    <s v="brockport"/>
    <x v="870"/>
    <n v="1581575"/>
    <x v="2"/>
    <s v="Religion"/>
    <s v="9781317862130"/>
    <s v=",87,88,89,90,83,82,81"/>
    <n v="7"/>
    <m/>
    <m/>
    <s v="No"/>
    <x v="2"/>
    <d v="2015-11-22T19:41:09"/>
    <n v="1"/>
    <s v="137.21.7.121"/>
    <s v="BS391.3 -- .K56 2013eb"/>
    <n v="220.52036000000001"/>
    <d v="2013-12-16T00:00:00"/>
  </r>
  <r>
    <x v="3096"/>
    <d v="1899-12-30T00:05:32"/>
    <x v="872"/>
    <x v="1"/>
    <s v="brockport"/>
    <x v="870"/>
    <n v="1581575"/>
    <x v="2"/>
    <s v="Religion"/>
    <s v="9781317862130"/>
    <s v=",1,78,79,80,81,77,2,82,84,83,85,86"/>
    <n v="12"/>
    <m/>
    <m/>
    <s v="No"/>
    <x v="3"/>
    <m/>
    <m/>
    <s v="137.21.7.121"/>
    <s v="BS391.3 -- .K56 2013eb"/>
    <n v="220.52036000000001"/>
    <d v="2013-12-16T00:00:00"/>
  </r>
  <r>
    <x v="3097"/>
    <d v="1899-12-30T00:03:30"/>
    <x v="857"/>
    <x v="7"/>
    <s v="oneonta"/>
    <x v="858"/>
    <n v="1835691"/>
    <x v="0"/>
    <s v="History"/>
    <s v="9780745692920"/>
    <s v=",1,2,3,69,70,71,67,68,72,73,74"/>
    <n v="11"/>
    <m/>
    <m/>
    <s v="No"/>
    <x v="3"/>
    <m/>
    <m/>
    <s v="137.141.13.2"/>
    <s v="DS135.A92 -- V54713 2011eb"/>
    <n v="940.53185361299995"/>
    <d v="2014-11-06T00:00:00"/>
  </r>
  <r>
    <x v="3098"/>
    <d v="1899-12-30T00:38:58"/>
    <x v="26"/>
    <x v="6"/>
    <s v="sjfc"/>
    <x v="871"/>
    <n v="1155274"/>
    <x v="0"/>
    <s v="Computer Science/IT"/>
    <s v="9781118674710"/>
    <s v=",221,222,223,224,225,226,227,228,229,230,231,232,233,234,233,234,235,236,237,238,239,240,241,242,243,244,245,246,247,248,249,250,251,252,253,254,255"/>
    <n v="35"/>
    <m/>
    <m/>
    <s v="No"/>
    <x v="0"/>
    <d v="2015-11-22T19:22:23"/>
    <n v="7"/>
    <s v="149.69.254.57"/>
    <s v="QA76.9.D3 -- M34 2013eb"/>
    <n v="5.74"/>
    <d v="2013-03-14T00:00:00"/>
  </r>
  <r>
    <x v="3099"/>
    <d v="1899-12-30T00:05:01"/>
    <x v="26"/>
    <x v="6"/>
    <s v="sjfc"/>
    <x v="871"/>
    <n v="1155274"/>
    <x v="0"/>
    <s v="Computer Science/IT"/>
    <s v="9781118674710"/>
    <s v=",1,2,3,129,130,131,127,128,174,175,180,181,182,178,183,184,218,219,220,216,217"/>
    <n v="21"/>
    <m/>
    <m/>
    <s v="No"/>
    <x v="3"/>
    <m/>
    <m/>
    <s v="149.69.254.57"/>
    <s v="QA76.9.D3 -- M34 2013eb"/>
    <n v="5.74"/>
    <d v="2013-03-14T00:00:00"/>
  </r>
  <r>
    <x v="3100"/>
    <d v="1899-12-30T00:00:56"/>
    <x v="26"/>
    <x v="6"/>
    <s v="sjfc"/>
    <x v="872"/>
    <n v="1422500"/>
    <x v="0"/>
    <s v="Computer Science/IT"/>
    <s v="9783527679621"/>
    <s v=",1,2,3,1,2,3"/>
    <n v="3"/>
    <m/>
    <m/>
    <s v="No"/>
    <x v="3"/>
    <m/>
    <m/>
    <s v="149.69.254.57"/>
    <s v="QA76.9 .D3"/>
    <n v="5.74"/>
    <d v="2013-09-24T00:00:00"/>
  </r>
  <r>
    <x v="3101"/>
    <d v="1899-12-30T00:03:36"/>
    <x v="851"/>
    <x v="1"/>
    <s v="brockport"/>
    <x v="853"/>
    <n v="1486838"/>
    <x v="2"/>
    <s v="Law"/>
    <s v="9781135997786"/>
    <s v=",1,1,1,2,3,2,3,2,2,22,22,23,24,23,24,20,21,21,4,5,6,6,4,3,5,2,22,23,24,20,21,5,6,7,3,7,4"/>
    <n v="12"/>
    <m/>
    <m/>
    <s v="No"/>
    <x v="3"/>
    <m/>
    <m/>
    <s v="137.21.7.121"/>
    <s v="KF3775 -- .A95 2011eb"/>
    <n v="344.73045999999999"/>
    <d v="2011-01-19T00:00:00"/>
  </r>
  <r>
    <x v="3102"/>
    <d v="1899-12-30T00:15:21"/>
    <x v="808"/>
    <x v="9"/>
    <s v="trocaire"/>
    <x v="834"/>
    <n v="538048"/>
    <x v="11"/>
    <s v="Law"/>
    <s v="9780226493671"/>
    <s v=",22,23,24,25,26,27,28,29,30,31,32"/>
    <n v="11"/>
    <m/>
    <m/>
    <s v="No"/>
    <x v="2"/>
    <d v="2015-11-22T18:36:19"/>
    <n v="1"/>
    <s v="173.225.62.67"/>
    <s v="KF3941 -- .L68 2010eb"/>
    <s v="344.7305/33"/>
    <d v="2013-01-29T00:00:00"/>
  </r>
  <r>
    <x v="3103"/>
    <d v="1899-12-30T00:05:12"/>
    <x v="808"/>
    <x v="9"/>
    <s v="trocaire"/>
    <x v="834"/>
    <n v="538048"/>
    <x v="11"/>
    <s v="Law"/>
    <s v="9780226493671"/>
    <s v=",1,2,3,14,15,16,12,13,17,7,4,5,6,8,18,19,20,21"/>
    <n v="18"/>
    <m/>
    <m/>
    <s v="No"/>
    <x v="3"/>
    <m/>
    <m/>
    <s v="173.225.62.67"/>
    <s v="KF3941 -- .L68 2010eb"/>
    <s v="344.7305/33"/>
    <d v="2013-01-29T00:00:00"/>
  </r>
  <r>
    <x v="3104"/>
    <d v="1899-12-30T00:05:40"/>
    <x v="525"/>
    <x v="0"/>
    <s v="Buffalo"/>
    <x v="477"/>
    <n v="1120279"/>
    <x v="0"/>
    <s v="Science: Biology/Natural History; Science"/>
    <s v="9781118537671"/>
    <s v=",1,2,3,99,100,101,97,98,102,103,104,105,106,107,108,109,110,111"/>
    <n v="18"/>
    <m/>
    <m/>
    <s v="No"/>
    <x v="1"/>
    <m/>
    <m/>
    <s v="128.205.114.91"/>
    <s v="QH371 .K384 2012"/>
    <n v="599.93499999999995"/>
    <d v="2012-11-19T00:00:00"/>
  </r>
  <r>
    <x v="3105"/>
    <d v="1899-12-30T00:00:13"/>
    <x v="873"/>
    <x v="0"/>
    <s v="Buffalo"/>
    <x v="175"/>
    <n v="875809"/>
    <x v="0"/>
    <s v="Language/Linguistics"/>
    <s v="9781118223598"/>
    <s v=",1,2,3,19,20,21,17,18"/>
    <n v="8"/>
    <m/>
    <m/>
    <s v="No"/>
    <x v="1"/>
    <m/>
    <m/>
    <s v="128.205.114.91"/>
    <s v="PE1128.A2 -- F455 2012eb"/>
    <n v="428.00709999999998"/>
    <d v="2012-08-07T00:00:00"/>
  </r>
  <r>
    <x v="3106"/>
    <d v="1899-12-30T00:00:04"/>
    <x v="874"/>
    <x v="0"/>
    <s v="Buffalo"/>
    <x v="873"/>
    <n v="1760725"/>
    <x v="4"/>
    <s v="Medicine"/>
    <s v="9781462517992"/>
    <s v=",1,2,3"/>
    <n v="3"/>
    <m/>
    <m/>
    <s v="No"/>
    <x v="3"/>
    <m/>
    <m/>
    <s v="128.205.114.91"/>
    <s v="RC489.C63 -- .W675 2015eb"/>
    <s v="616.89/142"/>
    <d v="2014-11-10T00:00:00"/>
  </r>
  <r>
    <x v="3107"/>
    <d v="1899-12-30T00:17:40"/>
    <x v="875"/>
    <x v="0"/>
    <s v="Buffalo"/>
    <x v="684"/>
    <n v="1120621"/>
    <x v="0"/>
    <s v="Education"/>
    <s v="9781118362679"/>
    <s v=",1,2,2,1,3,3,57,58,57,58,56,55,56,59,59,2,60,60,61,61,62,62,63,63,58,56,57,55,60,61,62,63,64,64"/>
    <n v="13"/>
    <m/>
    <m/>
    <s v="No"/>
    <x v="0"/>
    <d v="2015-11-21T22:07:42"/>
    <n v="7"/>
    <s v="128.205.114.91"/>
    <s v="LB3013.3 .R59 2012"/>
    <s v="371.5/8; 371.58"/>
    <d v="2012-08-15T00:00:00"/>
  </r>
  <r>
    <x v="3108"/>
    <d v="1899-12-30T01:15:20"/>
    <x v="876"/>
    <x v="0"/>
    <s v="Buffalo"/>
    <x v="874"/>
    <n v="918811"/>
    <x v="18"/>
    <s v="History"/>
    <s v="9781608708062"/>
    <s v=",1,2,3,24,25,26,23,22"/>
    <n v="8"/>
    <m/>
    <m/>
    <s v="No"/>
    <x v="0"/>
    <d v="2015-11-22T11:43:56"/>
    <n v="7"/>
    <s v="128.205.114.91"/>
    <s v="F2508.5 .R53 2012"/>
    <n v="981"/>
    <d v="2012-03-01T00:00:00"/>
  </r>
  <r>
    <x v="3109"/>
    <d v="1899-12-30T00:01:59"/>
    <x v="144"/>
    <x v="12"/>
    <s v="potsdam"/>
    <x v="867"/>
    <n v="1887751"/>
    <x v="0"/>
    <s v="Business/Management; Social Science"/>
    <s v="9781118779903"/>
    <s v=",1,2,3,21,13,347,348,349,345,346,350,351,352,353"/>
    <n v="14"/>
    <m/>
    <m/>
    <s v="No"/>
    <x v="1"/>
    <m/>
    <m/>
    <s v="137.143.104.94"/>
    <s v="HD58.7 -- .C4853 2015eb"/>
    <s v="302.3/5"/>
    <d v="2015-02-06T00:00:00"/>
  </r>
  <r>
    <x v="3110"/>
    <d v="1899-12-30T00:02:21"/>
    <x v="144"/>
    <x v="12"/>
    <s v="potsdam"/>
    <x v="710"/>
    <n v="1873101"/>
    <x v="0"/>
    <s v="Education"/>
    <s v="9781118762233"/>
    <s v=",1,2,3,38,39,40,36,37,41,49,50,51,47,48,52,53,54,55"/>
    <n v="18"/>
    <s v=",53"/>
    <m/>
    <s v="No"/>
    <x v="0"/>
    <d v="2015-11-22T13:41:05"/>
    <n v="7"/>
    <s v="137.143.104.94"/>
    <s v="LB2341 -- .B7425 2015eb"/>
    <s v="378.1/01"/>
    <d v="2014-12-02T00:00:00"/>
  </r>
  <r>
    <x v="3111"/>
    <d v="1899-12-30T00:00:02"/>
    <x v="144"/>
    <x v="12"/>
    <s v="potsdam"/>
    <x v="710"/>
    <n v="1873101"/>
    <x v="0"/>
    <s v="Education"/>
    <s v="9781118762233"/>
    <s v=",52,54,53"/>
    <n v="3"/>
    <m/>
    <m/>
    <s v="No"/>
    <x v="0"/>
    <d v="2015-11-22T13:41:05"/>
    <n v="7"/>
    <s v="137.143.104.94"/>
    <s v="LB2341 -- .B7425 2015eb"/>
    <s v="378.1/01"/>
    <d v="2014-12-02T00:00:00"/>
  </r>
  <r>
    <x v="3112"/>
    <d v="1899-12-30T00:00:03"/>
    <x v="877"/>
    <x v="0"/>
    <s v="Buffalo"/>
    <x v="875"/>
    <n v="1609138"/>
    <x v="16"/>
    <s v="Social Science"/>
    <s v="9781137304612"/>
    <s v=",1,2,3"/>
    <n v="3"/>
    <m/>
    <m/>
    <s v="No"/>
    <x v="0"/>
    <d v="2015-11-22T04:30:37"/>
    <n v="7"/>
    <s v="128.205.114.91"/>
    <s v="HQ755.8 -- .P374 2014eb"/>
    <n v="306.87400000000002"/>
    <d v="2014-02-12T00:00:00"/>
  </r>
  <r>
    <x v="3113"/>
    <d v="1899-12-30T01:13:33"/>
    <x v="789"/>
    <x v="6"/>
    <s v="sjfc"/>
    <x v="68"/>
    <n v="1822529"/>
    <x v="0"/>
    <s v="Mathematics"/>
    <s v="9781118824344"/>
    <s v=",1,3,2,212,213,214,210,211,212,213,214,210,211,215,216,217,218,219,220,221,222,191,201,202,203,204,200,221,222,223,224,225,226,227,228,229,230,231,232,233"/>
    <n v="33"/>
    <m/>
    <m/>
    <s v="No"/>
    <x v="0"/>
    <d v="2015-11-15T20:04:50"/>
    <n v="7"/>
    <s v="149.69.254.57"/>
    <s v="QA297 -- .S59 2015eb"/>
    <n v="519.4"/>
    <d v="2014-10-20T00:00:00"/>
  </r>
  <r>
    <x v="3114"/>
    <d v="1899-12-30T01:42:09"/>
    <x v="144"/>
    <x v="12"/>
    <s v="potsdam"/>
    <x v="710"/>
    <n v="1873101"/>
    <x v="0"/>
    <s v="Education"/>
    <s v="9781118762233"/>
    <s v=",1,2,3,8,49,50,51,47,48"/>
    <n v="9"/>
    <m/>
    <m/>
    <s v="No"/>
    <x v="3"/>
    <m/>
    <m/>
    <s v="137.143.104.94"/>
    <s v="LB2341 -- .B7425 2015eb"/>
    <s v="378.1/01"/>
    <d v="2014-12-02T00:00:00"/>
  </r>
  <r>
    <x v="3115"/>
    <d v="1899-12-30T00:00:12"/>
    <x v="876"/>
    <x v="0"/>
    <s v="Buffalo"/>
    <x v="874"/>
    <n v="918811"/>
    <x v="18"/>
    <s v="History"/>
    <s v="9781608708062"/>
    <s v=",4,34,35,36,32,33"/>
    <n v="6"/>
    <m/>
    <m/>
    <s v="No"/>
    <x v="0"/>
    <d v="2015-11-22T11:43:56"/>
    <n v="7"/>
    <s v="128.205.114.91"/>
    <s v="F2508.5 .R53 2012"/>
    <n v="981"/>
    <d v="2012-03-01T00:00:00"/>
  </r>
  <r>
    <x v="3116"/>
    <d v="1899-12-30T00:45:59"/>
    <x v="876"/>
    <x v="0"/>
    <s v="Buffalo"/>
    <x v="874"/>
    <n v="918811"/>
    <x v="18"/>
    <s v="History"/>
    <s v="9781608708062"/>
    <s v=",1,2,3"/>
    <n v="3"/>
    <m/>
    <m/>
    <s v="No"/>
    <x v="1"/>
    <m/>
    <m/>
    <s v="128.205.114.91"/>
    <s v="F2508.5 .R53 2012"/>
    <n v="981"/>
    <d v="2012-03-01T00:00:00"/>
  </r>
  <r>
    <x v="3117"/>
    <d v="1899-12-30T00:57:15"/>
    <x v="878"/>
    <x v="0"/>
    <s v="Buffalo"/>
    <x v="28"/>
    <n v="817313"/>
    <x v="0"/>
    <s v="Education"/>
    <s v="9781118136829"/>
    <s v=",1,2,3,291,292,293,289,290,294,295,296,297,298,299,300,301,302,343,344,345,341,342,307,308,309,305,306,313,314,315,311,312,310,304,303"/>
    <n v="35"/>
    <m/>
    <m/>
    <s v="No"/>
    <x v="0"/>
    <d v="2015-11-19T07:50:37"/>
    <n v="7"/>
    <s v="128.205.114.91"/>
    <s v="LB2367.4 -- .W65 2012eb"/>
    <n v="378.16640000000001"/>
    <d v="2012-01-10T00:00:00"/>
  </r>
  <r>
    <x v="3118"/>
    <d v="1899-12-30T00:00:00"/>
    <x v="877"/>
    <x v="0"/>
    <s v="Buffalo"/>
    <x v="875"/>
    <n v="1609138"/>
    <x v="16"/>
    <s v="Social Science"/>
    <s v="9781137304612"/>
    <s v=",43"/>
    <n v="1"/>
    <m/>
    <m/>
    <s v="No"/>
    <x v="0"/>
    <d v="2015-11-22T04:30:37"/>
    <n v="7"/>
    <s v="128.205.114.91"/>
    <s v="HQ755.8 -- .P374 2014eb"/>
    <n v="306.87400000000002"/>
    <d v="2014-02-12T00:00:00"/>
  </r>
  <r>
    <x v="3119"/>
    <d v="1899-12-30T00:14:29"/>
    <x v="877"/>
    <x v="0"/>
    <s v="Buffalo"/>
    <x v="875"/>
    <n v="1609138"/>
    <x v="16"/>
    <s v="Social Science"/>
    <s v="9781137304612"/>
    <s v=",1,2,3,36,37,38,34,35,39,40,41,42"/>
    <n v="12"/>
    <m/>
    <m/>
    <s v="No"/>
    <x v="1"/>
    <m/>
    <m/>
    <s v="128.205.114.91"/>
    <s v="HQ755.8 -- .P374 2014eb"/>
    <n v="306.87400000000002"/>
    <d v="2014-02-12T00:00:00"/>
  </r>
  <r>
    <x v="3120"/>
    <d v="1899-12-30T03:00:18"/>
    <x v="879"/>
    <x v="0"/>
    <s v="Buffalo"/>
    <x v="876"/>
    <n v="1596093"/>
    <x v="4"/>
    <s v="Psychology"/>
    <s v="9781462513802"/>
    <s v=",1,2,3,135,137,138,134,133,124,125,126,127,161,139,140,141,1,141,142,143,139,140,138,144,2,145,146,147,148,149,150,137,135,136,133,134,66,22,1,23,24,25,21,22,135,136,137,133,134,138,139,2,140,141,142,143,144,145,146,147,148,149"/>
    <n v="32"/>
    <m/>
    <m/>
    <s v="No"/>
    <x v="0"/>
    <d v="2015-11-22T00:13:03"/>
    <n v="7"/>
    <s v="128.205.114.91"/>
    <s v="BF698.35.R47 -- F33 2014eb"/>
    <n v="155.24"/>
    <d v="2014-05-14T00:00:00"/>
  </r>
  <r>
    <x v="3121"/>
    <d v="1899-12-30T00:40:07"/>
    <x v="13"/>
    <x v="0"/>
    <s v="Buffalo"/>
    <x v="6"/>
    <n v="1635363"/>
    <x v="0"/>
    <s v="Law"/>
    <s v="9781118678206"/>
    <s v=",1,2,3,63,64,65,61,62,72,73,74,70,71,69,68,67,66,76,77,78,1,75,76,77,73,74,72,2,78,79,80,81"/>
    <n v="24"/>
    <m/>
    <m/>
    <s v="No"/>
    <x v="0"/>
    <d v="2015-11-17T19:57:32"/>
    <n v="7"/>
    <s v="128.205.114.91"/>
    <s v="KF285.Z9 -- H38 2014eb"/>
    <n v="340.07600000000002"/>
    <d v="2014-02-14T00:00:00"/>
  </r>
  <r>
    <x v="3122"/>
    <d v="1899-12-30T00:00:02"/>
    <x v="879"/>
    <x v="0"/>
    <s v="Buffalo"/>
    <x v="876"/>
    <n v="1596093"/>
    <x v="4"/>
    <s v="Psychology"/>
    <s v="9781462513802"/>
    <s v=",3,2,1"/>
    <n v="3"/>
    <m/>
    <m/>
    <s v="No"/>
    <x v="0"/>
    <d v="2015-11-22T00:13:03"/>
    <n v="7"/>
    <s v="128.205.114.91"/>
    <s v="BF698.35.R47 -- F33 2014eb"/>
    <n v="155.24"/>
    <d v="2014-05-14T00:00:00"/>
  </r>
  <r>
    <x v="3123"/>
    <d v="1899-12-30T00:00:02"/>
    <x v="879"/>
    <x v="0"/>
    <s v="Buffalo"/>
    <x v="876"/>
    <n v="1596093"/>
    <x v="4"/>
    <s v="Psychology"/>
    <s v="9781462513802"/>
    <m/>
    <n v="0"/>
    <m/>
    <m/>
    <s v="No"/>
    <x v="3"/>
    <m/>
    <m/>
    <s v="128.205.114.91"/>
    <s v="BF698.35.R47 -- F33 2014eb"/>
    <n v="155.24"/>
    <d v="2014-05-14T00:00:00"/>
  </r>
  <r>
    <x v="3124"/>
    <d v="1899-12-30T00:00:06"/>
    <x v="835"/>
    <x v="1"/>
    <s v="brockport"/>
    <x v="808"/>
    <n v="1337521"/>
    <x v="2"/>
    <s v="Education"/>
    <s v="9781317922049"/>
    <s v=",1,2,3"/>
    <n v="3"/>
    <m/>
    <m/>
    <s v="No"/>
    <x v="3"/>
    <m/>
    <m/>
    <s v="137.21.7.121"/>
    <s v="LB2805 -- .C2665 2013eb"/>
    <n v="371.20097299999998"/>
    <d v="2013-08-06T00:00:00"/>
  </r>
  <r>
    <x v="3125"/>
    <d v="1899-12-30T00:05:37"/>
    <x v="791"/>
    <x v="6"/>
    <s v="sjfc"/>
    <x v="822"/>
    <n v="1034770"/>
    <x v="4"/>
    <s v="Medicine"/>
    <s v="9781462507566"/>
    <s v=",1,16,17,18,14,15,2,19,20,21,22,23,24,25,53,54,55,51,52,56,57,58,59,60,61,62,63,64,65,66,67,68,69,70,71,72,73,74,75,76,77,78,79,80,81,82,83,84,85,86,87,88,89,90,91,92,41,42,43,39,40,44,45,46,47,48"/>
    <n v="66"/>
    <m/>
    <m/>
    <s v="No"/>
    <x v="0"/>
    <d v="2015-11-21T23:33:31"/>
    <n v="7"/>
    <s v="149.69.254.57"/>
    <s v="RC533 -- .M56 2012eb"/>
    <n v="616.85839999999996"/>
    <d v="2013-10-20T00:00:00"/>
  </r>
  <r>
    <x v="3126"/>
    <d v="1899-12-30T00:31:52"/>
    <x v="782"/>
    <x v="13"/>
    <s v="buffalostate"/>
    <x v="499"/>
    <n v="1172554"/>
    <x v="15"/>
    <s v="History"/>
    <s v=""/>
    <s v=",1,2,3,19,20,21,17,18,16,15,14,22,23,24,25,26,27,28,29,30,31,32,33,34,35,262,263,264,260,261"/>
    <n v="30"/>
    <m/>
    <m/>
    <s v="No"/>
    <x v="0"/>
    <d v="2015-11-20T18:17:39"/>
    <n v="7"/>
    <s v="136.183.11.43"/>
    <s v="DF234 .A67 2012"/>
    <s v="938.07092; 938/.07092"/>
    <d v="2013-04-11T00:00:00"/>
  </r>
  <r>
    <x v="3127"/>
    <d v="1899-12-30T01:09:42"/>
    <x v="791"/>
    <x v="6"/>
    <s v="sjfc"/>
    <x v="822"/>
    <n v="1034770"/>
    <x v="4"/>
    <s v="Medicine"/>
    <s v="9781462507566"/>
    <s v=",1,2,3,17,18,19,15,16"/>
    <n v="8"/>
    <m/>
    <m/>
    <s v="No"/>
    <x v="1"/>
    <m/>
    <m/>
    <s v="149.69.254.57"/>
    <s v="RC533 -- .M56 2012eb"/>
    <n v="616.85839999999996"/>
    <d v="2013-10-20T00:00:00"/>
  </r>
  <r>
    <x v="3128"/>
    <d v="1899-12-30T01:05:36"/>
    <x v="875"/>
    <x v="0"/>
    <s v="Buffalo"/>
    <x v="684"/>
    <n v="1120621"/>
    <x v="0"/>
    <s v="Education"/>
    <s v="9781118362679"/>
    <s v=",87,87,88,88,89,89,90,90,91,91,92,92,93,93,94,94,89,88,87,86,85,90,91,92,59,60,59,61,60,58,61,57,58,56,55,71,72,71,73,72,73,69,70,70,74,74,75,75,76,76,77,77,78,78,79,79,80,80,81,81,82,83,84,85,80,71,72,73,69,70,62,63,62,63,61,64,60,64,65,66,65,66,138,139,140,139,140,136,137,138,137,148,149,148,149,150,147,150,146,147,57,58,59,55,56,71,72,73,69,70,74,75,76,77,78,79,74,80,81,82,83,84,85"/>
    <n v="48"/>
    <m/>
    <m/>
    <s v="No"/>
    <x v="0"/>
    <d v="2015-11-21T22:07:42"/>
    <n v="7"/>
    <s v="128.205.114.91"/>
    <s v="LB3013.3 .R59 2012"/>
    <s v="371.5/8; 371.58"/>
    <d v="2012-08-15T00:00:00"/>
  </r>
  <r>
    <x v="3129"/>
    <d v="1899-12-30T00:10:24"/>
    <x v="875"/>
    <x v="0"/>
    <s v="Buffalo"/>
    <x v="684"/>
    <n v="1120621"/>
    <x v="0"/>
    <s v="Education"/>
    <s v="9781118362679"/>
    <s v=",1,2,3,2,3,1,21,22,21,23,22,19,23,20,20,2,24,24,25,25,26,26,27,27,22,27,31,32,31,33,32,33,30,29,30,34,34,35,35,36,36,37,37,38,38,39,39,40,40,84,85,84,85,83,83,82,86,86"/>
    <n v="29"/>
    <m/>
    <m/>
    <s v="No"/>
    <x v="1"/>
    <m/>
    <m/>
    <s v="128.205.114.91"/>
    <s v="LB3013.3 .R59 2012"/>
    <s v="371.5/8; 371.58"/>
    <d v="2012-08-15T00:00:00"/>
  </r>
  <r>
    <x v="3130"/>
    <d v="1899-12-30T00:00:05"/>
    <x v="247"/>
    <x v="7"/>
    <s v="oneonta"/>
    <x v="760"/>
    <n v="943645"/>
    <x v="15"/>
    <s v="History"/>
    <s v="9781441104755"/>
    <s v=",1"/>
    <n v="1"/>
    <m/>
    <m/>
    <s v="No"/>
    <x v="1"/>
    <m/>
    <m/>
    <s v="137.141.13.2"/>
    <s v="CB5 .M384 2012"/>
    <n v="948.02200000000005"/>
    <d v="2012-05-31T00:00:00"/>
  </r>
  <r>
    <x v="3131"/>
    <d v="1899-12-30T00:01:42"/>
    <x v="548"/>
    <x v="1"/>
    <s v="brockport"/>
    <x v="578"/>
    <n v="1816989"/>
    <x v="7"/>
    <s v="Social Science; Health; Medicine"/>
    <s v="9781780644578"/>
    <s v=",1,1,2,2,3,3,2,2,35,36,35,37,34,36,37,34,33"/>
    <n v="8"/>
    <m/>
    <m/>
    <s v="No"/>
    <x v="3"/>
    <m/>
    <m/>
    <s v="137.21.7.121"/>
    <s v="RA793 -- .C5766 2014eb"/>
    <s v="616.9/88"/>
    <d v="2014-09-26T00:00:00"/>
  </r>
  <r>
    <x v="3132"/>
    <d v="1899-12-30T00:55:41"/>
    <x v="13"/>
    <x v="0"/>
    <s v="Buffalo"/>
    <x v="6"/>
    <n v="1635363"/>
    <x v="0"/>
    <s v="Law"/>
    <s v="9781118678206"/>
    <s v=",1,1,3,3,2,2,49,50,50,49,51,47,51,48,48,52,52,2,53,53,54,54,55,55,56,56,57,57,58,58,53,58,59,59,54,53,58,59,54,53,58,59,60,60,55,54,59,60,55,54,59,60,61,61,56,61,62,62,63,63,64,64,65,65,66,66,67,67,68,68,69,69,70,70,71,71,72,72,66,67"/>
    <n v="29"/>
    <m/>
    <m/>
    <s v="No"/>
    <x v="0"/>
    <d v="2015-11-17T19:57:32"/>
    <n v="7"/>
    <s v="128.205.114.91"/>
    <s v="KF285.Z9 -- H38 2014eb"/>
    <n v="340.07600000000002"/>
    <d v="2014-02-14T00:00:00"/>
  </r>
  <r>
    <x v="3133"/>
    <d v="1899-12-30T00:05:37"/>
    <x v="880"/>
    <x v="1"/>
    <s v="brockport"/>
    <x v="821"/>
    <n v="1574815"/>
    <x v="2"/>
    <s v="Social Science"/>
    <s v="9781135258566"/>
    <s v=",1,2,3,126,127,1,127,128,129,125,126,130,2,131,132,133,134,135"/>
    <n v="14"/>
    <m/>
    <m/>
    <s v="No"/>
    <x v="2"/>
    <d v="2015-11-21T17:14:44"/>
    <n v="1"/>
    <s v="137.21.7.121"/>
    <s v="GN25 -- .K44 2013eb"/>
    <n v="301"/>
    <d v="1998-05-20T00:00:00"/>
  </r>
  <r>
    <x v="3134"/>
    <d v="1899-12-30T00:02:13"/>
    <x v="843"/>
    <x v="7"/>
    <s v="oneonta"/>
    <x v="112"/>
    <n v="694178"/>
    <x v="0"/>
    <s v="Social Science; Fine Arts"/>
    <s v="9780632057528"/>
    <s v=",1,2,3,2,3,1,2,2,1,37,37"/>
    <n v="4"/>
    <m/>
    <m/>
    <s v="No"/>
    <x v="3"/>
    <m/>
    <m/>
    <s v="137.141.13.2"/>
    <s v="TT497 -- .W33 2004eb"/>
    <n v="391"/>
    <d v="2013-09-03T00:00:00"/>
  </r>
  <r>
    <x v="3135"/>
    <d v="1899-12-30T00:00:24"/>
    <x v="875"/>
    <x v="0"/>
    <s v="Buffalo"/>
    <x v="684"/>
    <n v="1120621"/>
    <x v="0"/>
    <s v="Education"/>
    <s v="9781118362679"/>
    <s v=",1,3,2,3,1,2,21,22,2,23,21,2,22,23,19,20,20"/>
    <n v="8"/>
    <m/>
    <m/>
    <s v="No"/>
    <x v="1"/>
    <m/>
    <m/>
    <s v="128.205.114.91"/>
    <s v="LB3013.3 .R59 2012"/>
    <s v="371.5/8; 371.58"/>
    <d v="2012-08-15T00:00:00"/>
  </r>
  <r>
    <x v="3136"/>
    <d v="1899-12-30T02:47:57"/>
    <x v="842"/>
    <x v="1"/>
    <s v="brockport"/>
    <x v="851"/>
    <n v="1357594"/>
    <x v="2"/>
    <s v="Social Science; Education"/>
    <s v="9781136250583"/>
    <s v=",91,92,93,94,95,96,91,96,97,98,99,100,100,101,101,96,101,1,2,3,4,5,6,7,8,9,87,88,89,85,86,1,2,3,4,5,6,7,2,18,18,19,19,20,20,16,17,17,21,22,21,22,23,23,24,24,25,25,26,26,27,27,28,28,29,29,30,30,25,24,18,16,14,13,13,15,15,11,12,12,9,10,8,7,6,13,16,20,21,22,18,19,23,24,25,26,27,28,29,30,31,31,32,32,33,33,28,33,34,34,29,26,24,22,18,15,16,17,18,19,20,21,22,23,18,23,25,26,28,29,30,31,32,33,34,32,33,34,30,31,87,88,89,85,102,103,104,102,100,104,103,101,98,99,97,20,21,22,18,19,23,25,26,29,27,30,31,32,33,34,35,35,36,36,37,37,38,33,38,32,87,88,89,85,86,102,103,104,101,100,99,96,98,101,102,103,20,21,22,18,19,23,24,25,26,28,29,30,31,32,33,34,29,28,27,32,27,26,25,24,23,22,21,26,21,20,19,24,19,18,23,24,19,36,37,38,35,34,25,26,29,31,32,33,34,30,35,27,26,28,24,18,20,21,22,19,23,18,23,24,19,18,23,24,25,26,27,36,37,38,34,33,35,31,32,30,87,88,89,102,103,104,100,101,98,99,97,102,97,102,97,87,88,89,85,86,90,91,92,93,102,103,101,100,98,99,97,73,87,88,89,85,86,90,103,102,104,100,99,101,98,97,73,87,88,89,85,90,86,102,103,104,100,101,98,99,73,87,88,89,85,86,102,103,104,100,101,98,99,97,102,97,102"/>
    <n v="59"/>
    <m/>
    <m/>
    <s v="No"/>
    <x v="2"/>
    <d v="2015-11-21T18:19:01"/>
    <n v="1"/>
    <s v="137.21.7.121"/>
    <s v="LC149 -- .N49 2014eb"/>
    <n v="302.22440719999997"/>
    <d v="2013-08-22T00:00:00"/>
  </r>
  <r>
    <x v="3137"/>
    <d v="1899-12-30T00:05:02"/>
    <x v="842"/>
    <x v="1"/>
    <s v="brockport"/>
    <x v="851"/>
    <n v="1357594"/>
    <x v="2"/>
    <s v="Social Science; Education"/>
    <s v="9781136250583"/>
    <s v=",1,2,3,2,3,1,4,4,6,7,8,7,5,8,6,5,2,9,4,9,9,87,88,87,89,88,89,86,85,86,90,90,91,91,92,92,93,93,94,94,95,95,97,96,96,97,96,97,98,99,98,99,93,92,91,90,88,89"/>
    <n v="24"/>
    <m/>
    <m/>
    <s v="No"/>
    <x v="3"/>
    <m/>
    <m/>
    <s v="137.21.7.121"/>
    <s v="LC149 -- .N49 2014eb"/>
    <n v="302.22440719999997"/>
    <d v="2013-08-22T00:00:00"/>
  </r>
  <r>
    <x v="3138"/>
    <d v="1899-12-30T03:59:45"/>
    <x v="855"/>
    <x v="1"/>
    <s v="brockport"/>
    <x v="372"/>
    <n v="877782"/>
    <x v="0"/>
    <s v="Social Science; Science: Biology/Natural History; Science"/>
    <s v="9781118255407"/>
    <s v=",203,204,193,172,173,177,178,179,180,181,182,183,193,204,193,204,213,215,214,211,212,216,217,218,219,195,196,197,193,194,79,80,81,77,78,212,213,214,210,211,209,208,207,205,206,204,203,202,201,200,198,199,200,207,208,209,210,211,1,211,212,213,209,210,2,206,205,204,203,202,201,200,199,198"/>
    <n v="43"/>
    <m/>
    <m/>
    <s v="No"/>
    <x v="0"/>
    <d v="2015-11-21T18:10:44"/>
    <n v="7"/>
    <s v="137.21.7.121"/>
    <s v="GN69.8 -- .C659 2012eb"/>
    <n v="599.9"/>
    <d v="2012-03-26T00:00:00"/>
  </r>
  <r>
    <x v="3139"/>
    <d v="1899-12-30T00:00:17"/>
    <x v="842"/>
    <x v="1"/>
    <s v="brockport"/>
    <x v="877"/>
    <n v="1542616"/>
    <x v="2"/>
    <s v="General Works/Reference; Literature"/>
    <s v="9781136687556"/>
    <s v=",13,13,14,14,15,15"/>
    <n v="3"/>
    <m/>
    <m/>
    <s v="No"/>
    <x v="2"/>
    <d v="2015-11-21T18:04:12"/>
    <n v="1"/>
    <s v="137.21.7.121"/>
    <s v="Z40.H325 1"/>
    <n v="808.06659999999999"/>
    <d v="2013-11-05T00:00:00"/>
  </r>
  <r>
    <x v="3140"/>
    <d v="1899-12-30T00:00:37"/>
    <x v="842"/>
    <x v="1"/>
    <s v="brockport"/>
    <x v="877"/>
    <n v="1542616"/>
    <x v="2"/>
    <s v="General Works/Reference; Literature"/>
    <s v="9781136687556"/>
    <s v=",1,1,2,1,2,3,3,4,4,5,5,6,6,10,11,10,12,11,9,12,8,9,2"/>
    <n v="11"/>
    <m/>
    <m/>
    <s v="No"/>
    <x v="3"/>
    <m/>
    <m/>
    <s v="137.21.7.121"/>
    <s v="Z40.H325 1"/>
    <n v="808.06659999999999"/>
    <d v="2013-11-05T00:00:00"/>
  </r>
  <r>
    <x v="3141"/>
    <d v="1899-12-30T00:04:28"/>
    <x v="842"/>
    <x v="1"/>
    <s v="brockport"/>
    <x v="877"/>
    <n v="1542616"/>
    <x v="2"/>
    <s v="General Works/Reference; Literature"/>
    <s v="9781136687556"/>
    <s v=",1,1,2,1,2,3,3,8,8,10,9,10,9,6,7,7,2,11,11,12,12,13,13,23,23,24,20,24,21,21,23,24,25,25,26,26,27,27,28,28,29,29,30,30,31,30,31,33,33,39,37,39,37,38,38,35,36,36,40,40,41,41,42,42,43,43,44,44,45,45,46,46,47,47,48,48,49,49,50,50,51,51,52,52,53,53,8,9,10,6,7,11,12,13,18,18,19,19,20,43,44,45,41,42,20,21,22,18,23,22,19,24,25,26"/>
    <n v="45"/>
    <m/>
    <m/>
    <s v="No"/>
    <x v="3"/>
    <m/>
    <m/>
    <s v="137.21.7.121"/>
    <s v="Z40.H325 1"/>
    <n v="808.06659999999999"/>
    <d v="2013-11-05T00:00:00"/>
  </r>
  <r>
    <x v="3142"/>
    <d v="1899-12-30T00:00:39"/>
    <x v="881"/>
    <x v="1"/>
    <s v="brockport"/>
    <x v="878"/>
    <n v="1813815"/>
    <x v="0"/>
    <s v="Psychology"/>
    <s v="9781118314739"/>
    <s v=",1,2,3,16,17,18,14,15,19,20,13,12,11,9,10,5,6,4,7"/>
    <n v="19"/>
    <m/>
    <m/>
    <s v="No"/>
    <x v="3"/>
    <m/>
    <m/>
    <s v="137.21.7.121"/>
    <s v="BF575.A3 -- .G38 2015eb"/>
    <s v="155.3/338232"/>
    <d v="2014-10-08T00:00:00"/>
  </r>
  <r>
    <x v="3143"/>
    <d v="1899-12-30T00:25:58"/>
    <x v="855"/>
    <x v="1"/>
    <s v="brockport"/>
    <x v="372"/>
    <n v="877782"/>
    <x v="0"/>
    <s v="Social Science; Science: Biology/Natural History; Science"/>
    <s v="9781118255407"/>
    <s v=",1,2,3,4,5,6,7,8,9,17,15,10,11,12,8,9,6,5,11,12,15,16,17,13,14,86,87,88,84,85,89,90,91,92,93,94,95,96,97,98,99,100,101,102,103,104,105,106,107,108,109,110,111,112,113,114,115,116,117,118,119,120,121,122,123,124,125,126,127,128,129,130,131,132,133,174,175,176,172,173,177,178,195,196,197,193,194,198,199,200,201,202"/>
    <n v="84"/>
    <m/>
    <m/>
    <s v="No"/>
    <x v="1"/>
    <m/>
    <m/>
    <s v="137.21.7.121"/>
    <s v="GN69.8 -- .C659 2012eb"/>
    <n v="599.9"/>
    <d v="2012-03-26T00:00:00"/>
  </r>
  <r>
    <x v="3144"/>
    <d v="1899-12-30T00:00:37"/>
    <x v="882"/>
    <x v="15"/>
    <s v="morrisville"/>
    <x v="879"/>
    <n v="1166792"/>
    <x v="0"/>
    <s v="Social Science"/>
    <s v="9780745663432"/>
    <s v=",1,2,3,4,5,6,7,8,9"/>
    <n v="9"/>
    <m/>
    <m/>
    <s v="No"/>
    <x v="3"/>
    <m/>
    <m/>
    <s v="136.204.32.68"/>
    <s v="HV6431 -- .P75 2013eb"/>
    <n v="363.32501000000002"/>
    <d v="2013-04-03T00:00:00"/>
  </r>
  <r>
    <x v="3145"/>
    <d v="1899-12-30T00:13:17"/>
    <x v="880"/>
    <x v="1"/>
    <s v="brockport"/>
    <x v="821"/>
    <n v="1574815"/>
    <x v="2"/>
    <s v="Social Science"/>
    <s v="9781135258566"/>
    <s v=",142,143,140,141,24,28,1,25,26,27,23,24,2,28,29,30"/>
    <n v="14"/>
    <m/>
    <m/>
    <s v="No"/>
    <x v="2"/>
    <d v="2015-11-21T17:14:44"/>
    <n v="1"/>
    <s v="137.21.7.121"/>
    <s v="GN25 -- .K44 2013eb"/>
    <n v="301"/>
    <d v="1998-05-20T00:00:00"/>
  </r>
  <r>
    <x v="3146"/>
    <d v="1899-12-30T00:06:52"/>
    <x v="880"/>
    <x v="1"/>
    <s v="brockport"/>
    <x v="821"/>
    <n v="1574815"/>
    <x v="2"/>
    <s v="Social Science"/>
    <s v="9781135258566"/>
    <s v=",1,2,3,4,5,6,7,8,9,10,11,14,15,12,13,16,12,13,17"/>
    <n v="17"/>
    <m/>
    <m/>
    <s v="No"/>
    <x v="3"/>
    <m/>
    <m/>
    <s v="137.21.7.121"/>
    <s v="GN25 -- .K44 2013eb"/>
    <n v="301"/>
    <d v="1998-05-20T00:00:00"/>
  </r>
  <r>
    <x v="3147"/>
    <d v="1899-12-30T00:08:09"/>
    <x v="789"/>
    <x v="6"/>
    <s v="sjfc"/>
    <x v="68"/>
    <n v="1822529"/>
    <x v="0"/>
    <s v="Mathematics"/>
    <s v="9781118824344"/>
    <s v=",1,2,3,209,210,211,207,208,209,210,211,207,208,212,213,214"/>
    <n v="11"/>
    <m/>
    <m/>
    <s v="No"/>
    <x v="0"/>
    <d v="2015-11-15T20:04:50"/>
    <n v="7"/>
    <s v="149.69.254.57"/>
    <s v="QA297 -- .S59 2015eb"/>
    <n v="519.4"/>
    <d v="2014-10-20T00:00:00"/>
  </r>
  <r>
    <x v="3148"/>
    <d v="1899-12-30T00:07:30"/>
    <x v="879"/>
    <x v="0"/>
    <s v="Buffalo"/>
    <x v="876"/>
    <n v="1596093"/>
    <x v="4"/>
    <s v="Psychology"/>
    <s v="9781462513802"/>
    <s v=",1,2,3,25,26,27,23,24,28,29,30,31,32"/>
    <n v="13"/>
    <m/>
    <m/>
    <s v="No"/>
    <x v="2"/>
    <d v="2015-11-20T22:45:40"/>
    <n v="1"/>
    <s v="128.205.114.91"/>
    <s v="BF698.35.R47 -- F33 2014eb"/>
    <n v="155.24"/>
    <d v="2014-05-14T00:00:00"/>
  </r>
  <r>
    <x v="3149"/>
    <d v="1899-12-30T00:14:44"/>
    <x v="883"/>
    <x v="1"/>
    <s v="brockport"/>
    <x v="207"/>
    <n v="979950"/>
    <x v="14"/>
    <s v="Literature"/>
    <s v="9781476600321"/>
    <s v=",214,215,216,217,218,219,152,18,15"/>
    <n v="9"/>
    <m/>
    <m/>
    <s v="No"/>
    <x v="0"/>
    <d v="2015-11-21T16:26:33"/>
    <n v="7"/>
    <s v="137.21.7.121"/>
    <s v="PS3603.O4558 -- Z84 2012eb"/>
    <s v="813/.6"/>
    <d v="2012-07-10T00:00:00"/>
  </r>
  <r>
    <x v="3150"/>
    <d v="1899-12-30T00:19:55"/>
    <x v="883"/>
    <x v="1"/>
    <s v="brockport"/>
    <x v="207"/>
    <n v="979950"/>
    <x v="14"/>
    <s v="Literature"/>
    <s v="9781476600321"/>
    <s v=",1,2,3,4,5,208,209,210,206,207,211,212,213"/>
    <n v="13"/>
    <m/>
    <m/>
    <s v="No"/>
    <x v="1"/>
    <m/>
    <m/>
    <s v="137.21.7.121"/>
    <s v="PS3603.O4558 -- Z84 2012eb"/>
    <s v="813/.6"/>
    <d v="2012-07-10T00:00:00"/>
  </r>
  <r>
    <x v="3151"/>
    <d v="1899-12-30T00:28:00"/>
    <x v="789"/>
    <x v="6"/>
    <s v="sjfc"/>
    <x v="68"/>
    <n v="1822529"/>
    <x v="0"/>
    <s v="Mathematics"/>
    <s v="9781118824344"/>
    <s v=",1,2,3,206,207,208,204,205,206,207,208,204,205,209,202,203,201,210,211"/>
    <n v="14"/>
    <m/>
    <m/>
    <s v="No"/>
    <x v="0"/>
    <d v="2015-11-15T20:04:50"/>
    <n v="7"/>
    <s v="149.69.254.57"/>
    <s v="QA297 -- .S59 2015eb"/>
    <n v="519.4"/>
    <d v="2014-10-20T00:00:00"/>
  </r>
  <r>
    <x v="3152"/>
    <d v="1899-12-30T00:08:48"/>
    <x v="884"/>
    <x v="12"/>
    <s v="potsdam"/>
    <x v="517"/>
    <n v="1645679"/>
    <x v="1"/>
    <s v="Social Science; Medicine"/>
    <s v="9781472413079"/>
    <s v=",1,2,3,4,5,6,7,8,9,10,11,12,13,14,15,16,17,18,19,20,21,22,23,24,25,26,27,28,29,30,31,81,181,180,182,183,179,168,169,170,166,167"/>
    <n v="42"/>
    <m/>
    <m/>
    <s v="No"/>
    <x v="1"/>
    <m/>
    <m/>
    <s v="137.143.104.94"/>
    <s v="RC569.5.B65 -- K97 2014eb"/>
    <s v="306.4/613"/>
    <d v="2014-03-28T00:00:00"/>
  </r>
  <r>
    <x v="3153"/>
    <d v="1899-12-30T00:06:03"/>
    <x v="857"/>
    <x v="7"/>
    <s v="oneonta"/>
    <x v="858"/>
    <n v="1835691"/>
    <x v="0"/>
    <s v="History"/>
    <s v="9780745692920"/>
    <s v=",1,2,3,69,70,71,68,67,52,53,38,39,40,36,37,41"/>
    <n v="16"/>
    <m/>
    <m/>
    <s v="No"/>
    <x v="2"/>
    <d v="2015-11-21T00:06:48"/>
    <n v="1"/>
    <s v="137.141.13.2"/>
    <s v="DS135.A92 -- V54713 2011eb"/>
    <n v="940.53185361299995"/>
    <d v="2014-11-06T00:00:00"/>
  </r>
  <r>
    <x v="3154"/>
    <d v="1899-12-30T00:40:48"/>
    <x v="878"/>
    <x v="0"/>
    <s v="Buffalo"/>
    <x v="28"/>
    <n v="817313"/>
    <x v="0"/>
    <s v="Education"/>
    <s v="9781118136829"/>
    <s v=",1,2,3,1,2,3,30,31,32,28,29,33,285,286,287,283,284,285,285,286,287,283,284,288,289,290,291,292,305,307,306,303,313,314,315,312,311,263,264,265,261,262,247,248,249,245,246,308,304"/>
    <n v="40"/>
    <m/>
    <m/>
    <s v="No"/>
    <x v="0"/>
    <d v="2015-11-19T07:50:37"/>
    <n v="7"/>
    <s v="128.205.114.91"/>
    <s v="LB2367.4 -- .W65 2012eb"/>
    <n v="378.16640000000001"/>
    <d v="2012-01-10T00:00:00"/>
  </r>
  <r>
    <x v="3155"/>
    <d v="1899-12-30T00:00:03"/>
    <x v="613"/>
    <x v="0"/>
    <s v="Buffalo"/>
    <x v="500"/>
    <n v="699744"/>
    <x v="0"/>
    <s v="Engineering; Engineering: Electrical; Engineering: Civil"/>
    <s v="9781118585818"/>
    <s v=",1,2,3"/>
    <n v="3"/>
    <m/>
    <m/>
    <s v="No"/>
    <x v="1"/>
    <m/>
    <m/>
    <s v="128.205.114.91"/>
    <s v="TA1520 -- .S24 2007eb"/>
    <n v="621.36"/>
    <d v="2013-02-05T00:00:00"/>
  </r>
  <r>
    <x v="3156"/>
    <d v="1899-12-30T00:00:30"/>
    <x v="885"/>
    <x v="13"/>
    <s v="buffalostate"/>
    <x v="546"/>
    <n v="1809344"/>
    <x v="16"/>
    <s v="Social Science"/>
    <s v="9781137356192"/>
    <s v=",1,2,3,7,8,6,9,19,25,26,39,40,41,37,38,42"/>
    <n v="16"/>
    <m/>
    <m/>
    <s v="No"/>
    <x v="1"/>
    <m/>
    <m/>
    <s v="136.183.11.43"/>
    <s v="HV6556 -- .P748 2014eb"/>
    <n v="364.4"/>
    <d v="2014-10-03T00:00:00"/>
  </r>
  <r>
    <x v="3157"/>
    <d v="1899-12-30T00:03:31"/>
    <x v="602"/>
    <x v="1"/>
    <s v="brockport"/>
    <x v="632"/>
    <n v="1895039"/>
    <x v="0"/>
    <s v="Science: Biology/Natural History; Science"/>
    <s v="9781118335741"/>
    <s v=",1,181,182,183,179,180,2,379,380,381,377,378"/>
    <n v="12"/>
    <m/>
    <m/>
    <s v="No"/>
    <x v="0"/>
    <d v="2015-11-20T20:22:50"/>
    <n v="7"/>
    <s v="137.21.7.121"/>
    <s v="GN281 -- .W554 2015eb"/>
    <s v="599.93/8"/>
    <d v="2015-02-23T00:00:00"/>
  </r>
  <r>
    <x v="3158"/>
    <d v="1899-12-30T00:14:23"/>
    <x v="886"/>
    <x v="0"/>
    <s v="Buffalo"/>
    <x v="880"/>
    <n v="1779508"/>
    <x v="11"/>
    <s v="Science; Science: Biology/Natural History"/>
    <s v="9780226174310"/>
    <s v=",20,21,22,23,24,25,8,1,2,3,136,138,134,135,270,150,151,152,148,149,271,272,268,153,148,153,154,155,156,157,158,123,124,125,121,122,129,130,131,127,128,94,90,88,85,51,42,38,31,32,33,29,30,34,24,25,26,22,23,21,27,28"/>
    <n v="55"/>
    <m/>
    <m/>
    <s v="No"/>
    <x v="2"/>
    <d v="2015-11-21T01:51:22"/>
    <n v="1"/>
    <s v="128.205.114.91"/>
    <s v="QH582"/>
    <n v="571.6"/>
    <d v="2014-10-29T00:00:00"/>
  </r>
  <r>
    <x v="3159"/>
    <d v="1899-12-30T00:00:07"/>
    <x v="805"/>
    <x v="0"/>
    <s v="Buffalo"/>
    <x v="703"/>
    <n v="1808795"/>
    <x v="1"/>
    <s v="Architecture"/>
    <s v="9781472447951"/>
    <s v=",1,2,3"/>
    <n v="3"/>
    <m/>
    <m/>
    <s v="No"/>
    <x v="3"/>
    <m/>
    <m/>
    <s v="128.205.114.91"/>
    <s v="NA5870.A9 -- .S353 2014eb"/>
    <s v="726.6094961/8"/>
    <d v="2014-11-28T00:00:00"/>
  </r>
  <r>
    <x v="3160"/>
    <d v="1899-12-30T00:06:26"/>
    <x v="886"/>
    <x v="0"/>
    <s v="Buffalo"/>
    <x v="880"/>
    <n v="1779508"/>
    <x v="11"/>
    <s v="Science; Science: Biology/Natural History"/>
    <s v="9780226174310"/>
    <s v=",1,2,3,4,5,6,7,8,9,10,11,12,13,14,15,16,17,18,19"/>
    <n v="19"/>
    <m/>
    <m/>
    <s v="No"/>
    <x v="3"/>
    <m/>
    <m/>
    <s v="128.205.114.91"/>
    <s v="QH582"/>
    <n v="571.6"/>
    <d v="2014-10-29T00:00:00"/>
  </r>
  <r>
    <x v="3161"/>
    <d v="1899-12-30T00:00:05"/>
    <x v="885"/>
    <x v="13"/>
    <s v="buffalostate"/>
    <x v="546"/>
    <n v="1809344"/>
    <x v="16"/>
    <s v="Social Science"/>
    <s v="9781137356192"/>
    <s v=",1,2,3"/>
    <n v="3"/>
    <m/>
    <m/>
    <s v="No"/>
    <x v="1"/>
    <m/>
    <m/>
    <s v="136.183.11.43"/>
    <s v="HV6556 -- .P748 2014eb"/>
    <n v="364.4"/>
    <d v="2014-10-03T00:00:00"/>
  </r>
  <r>
    <x v="3162"/>
    <d v="1899-12-30T00:02:24"/>
    <x v="887"/>
    <x v="12"/>
    <s v="potsdam"/>
    <x v="881"/>
    <n v="1895929"/>
    <x v="0"/>
    <s v="Education"/>
    <s v="9781119019879"/>
    <s v=",1,2,3,4,9,10,11,7,8,12,223,224,225,222,221,226"/>
    <n v="16"/>
    <m/>
    <m/>
    <s v="No"/>
    <x v="3"/>
    <m/>
    <m/>
    <s v="137.143.104.94"/>
    <s v="LB2331 -- .B68 2015eb"/>
    <s v="378.1/25"/>
    <d v="2015-02-05T00:00:00"/>
  </r>
  <r>
    <x v="3163"/>
    <d v="1899-12-30T00:03:11"/>
    <x v="857"/>
    <x v="7"/>
    <s v="oneonta"/>
    <x v="858"/>
    <n v="1835691"/>
    <x v="0"/>
    <s v="History"/>
    <s v="9780745692920"/>
    <s v=",29,30,31,28,26,27,32,38,52,54,50,51,55,56,57,58,59,60,61,62,63,64,65,66,67,68,70"/>
    <n v="27"/>
    <m/>
    <m/>
    <s v="No"/>
    <x v="2"/>
    <d v="2015-11-21T00:06:48"/>
    <n v="1"/>
    <s v="137.141.13.2"/>
    <s v="DS135.A92 -- V54713 2011eb"/>
    <n v="940.53185361299995"/>
    <d v="2014-11-06T00:00:00"/>
  </r>
  <r>
    <x v="3164"/>
    <d v="1899-12-30T00:05:38"/>
    <x v="857"/>
    <x v="7"/>
    <s v="oneonta"/>
    <x v="858"/>
    <n v="1835691"/>
    <x v="0"/>
    <s v="History"/>
    <s v="9780745692920"/>
    <s v=",1,2,3"/>
    <n v="3"/>
    <m/>
    <m/>
    <s v="No"/>
    <x v="3"/>
    <m/>
    <m/>
    <s v="137.141.13.2"/>
    <s v="DS135.A92 -- V54713 2011eb"/>
    <n v="940.53185361299995"/>
    <d v="2014-11-06T00:00:00"/>
  </r>
  <r>
    <x v="3165"/>
    <d v="1899-12-30T00:00:11"/>
    <x v="13"/>
    <x v="0"/>
    <s v="Buffalo"/>
    <x v="630"/>
    <n v="771049"/>
    <x v="18"/>
    <s v="Science: Physics; Science; Environmental Studies"/>
    <s v="9781608706648"/>
    <s v=",1,2,3,36,37,38,34,35"/>
    <n v="8"/>
    <m/>
    <m/>
    <s v="No"/>
    <x v="0"/>
    <d v="2015-11-19T15:52:02"/>
    <n v="7"/>
    <s v="128.205.114.91"/>
    <s v="QC981.8"/>
    <n v="363.73874000000001"/>
    <d v="2012-01-01T00:00:00"/>
  </r>
  <r>
    <x v="3166"/>
    <d v="1899-12-30T00:00:06"/>
    <x v="879"/>
    <x v="0"/>
    <s v="Buffalo"/>
    <x v="876"/>
    <n v="1596093"/>
    <x v="4"/>
    <s v="Psychology"/>
    <s v="9781462513802"/>
    <s v=",135,136,137,133,134"/>
    <n v="5"/>
    <m/>
    <m/>
    <s v="No"/>
    <x v="2"/>
    <d v="2015-11-20T22:45:40"/>
    <n v="1"/>
    <s v="128.205.114.91"/>
    <s v="BF698.35.R47 -- F33 2014eb"/>
    <n v="155.24"/>
    <d v="2014-05-14T00:00:00"/>
  </r>
  <r>
    <x v="3167"/>
    <d v="1899-12-30T00:14:44"/>
    <x v="13"/>
    <x v="0"/>
    <s v="Buffalo"/>
    <x v="630"/>
    <n v="771049"/>
    <x v="18"/>
    <s v="Science: Physics; Science; Environmental Studies"/>
    <s v="9781608706648"/>
    <s v=",1,2,3,8,9,10,6,7,11,12,13,16,15,17,14"/>
    <n v="15"/>
    <m/>
    <m/>
    <s v="No"/>
    <x v="0"/>
    <d v="2015-11-19T15:52:02"/>
    <n v="7"/>
    <s v="128.205.114.91"/>
    <s v="QC981.8"/>
    <n v="363.73874000000001"/>
    <d v="2012-01-01T00:00:00"/>
  </r>
  <r>
    <x v="3168"/>
    <d v="1899-12-30T00:43:54"/>
    <x v="879"/>
    <x v="0"/>
    <s v="Buffalo"/>
    <x v="876"/>
    <n v="1596093"/>
    <x v="4"/>
    <s v="Psychology"/>
    <s v="9781462513802"/>
    <s v=",1,2,3"/>
    <n v="3"/>
    <m/>
    <m/>
    <s v="No"/>
    <x v="3"/>
    <m/>
    <m/>
    <s v="128.205.114.91"/>
    <s v="BF698.35.R47 -- F33 2014eb"/>
    <n v="155.24"/>
    <d v="2014-05-14T00:00:00"/>
  </r>
  <r>
    <x v="3169"/>
    <d v="1899-12-30T00:23:02"/>
    <x v="874"/>
    <x v="0"/>
    <s v="Buffalo"/>
    <x v="873"/>
    <n v="1760725"/>
    <x v="4"/>
    <s v="Medicine"/>
    <s v="9781462517992"/>
    <s v=",35,36,37,38,39,40,41"/>
    <n v="7"/>
    <m/>
    <m/>
    <s v="No"/>
    <x v="2"/>
    <d v="2015-11-20T21:44:08"/>
    <n v="1"/>
    <s v="128.205.114.91"/>
    <s v="RC489.C63 -- .W675 2015eb"/>
    <s v="616.89/142"/>
    <d v="2014-11-10T00:00:00"/>
  </r>
  <r>
    <x v="3170"/>
    <d v="1899-12-30T00:09:00"/>
    <x v="874"/>
    <x v="0"/>
    <s v="Buffalo"/>
    <x v="873"/>
    <n v="1760725"/>
    <x v="4"/>
    <s v="Medicine"/>
    <s v="9781462517992"/>
    <s v=",1,2,3,27,28,29,25,26,30,31,32,33,34"/>
    <n v="13"/>
    <m/>
    <m/>
    <s v="No"/>
    <x v="3"/>
    <m/>
    <m/>
    <s v="128.205.114.91"/>
    <s v="RC489.C63 -- .W675 2015eb"/>
    <s v="616.89/142"/>
    <d v="2014-11-10T00:00:00"/>
  </r>
  <r>
    <x v="3171"/>
    <d v="1899-12-30T00:00:02"/>
    <x v="874"/>
    <x v="0"/>
    <s v="Buffalo"/>
    <x v="873"/>
    <n v="1760725"/>
    <x v="4"/>
    <s v="Medicine"/>
    <s v="9781462517992"/>
    <s v=",1"/>
    <n v="1"/>
    <m/>
    <m/>
    <s v="No"/>
    <x v="3"/>
    <m/>
    <m/>
    <s v="128.205.114.91"/>
    <s v="RC489.C63 -- .W675 2015eb"/>
    <s v="616.89/142"/>
    <d v="2014-11-10T00:00:00"/>
  </r>
  <r>
    <x v="3172"/>
    <d v="1899-12-30T00:19:45"/>
    <x v="602"/>
    <x v="1"/>
    <s v="brockport"/>
    <x v="632"/>
    <n v="1895039"/>
    <x v="0"/>
    <s v="Science: Biology/Natural History; Science"/>
    <s v="9781118335741"/>
    <s v=",1,15,16,17,13,14,2,28,29,30,26,27,46,47,48,44,45,66,67,64,65"/>
    <n v="21"/>
    <m/>
    <m/>
    <s v="No"/>
    <x v="0"/>
    <d v="2015-11-20T20:22:50"/>
    <n v="7"/>
    <s v="137.21.7.121"/>
    <s v="GN281 -- .W554 2015eb"/>
    <s v="599.93/8"/>
    <d v="2015-02-23T00:00:00"/>
  </r>
  <r>
    <x v="3173"/>
    <d v="1899-12-30T00:01:21"/>
    <x v="602"/>
    <x v="1"/>
    <s v="brockport"/>
    <x v="632"/>
    <n v="1895039"/>
    <x v="0"/>
    <s v="Science: Biology/Natural History; Science"/>
    <s v="9781118335741"/>
    <s v=",28"/>
    <n v="1"/>
    <m/>
    <s v=",28"/>
    <s v="No"/>
    <x v="0"/>
    <d v="2015-11-20T20:22:50"/>
    <n v="7"/>
    <s v="137.21.7.121"/>
    <s v="GN281 -- .W554 2015eb"/>
    <s v="599.93/8"/>
    <d v="2015-02-23T00:00:00"/>
  </r>
  <r>
    <x v="3174"/>
    <d v="1899-12-30T00:00:39"/>
    <x v="602"/>
    <x v="1"/>
    <s v="brockport"/>
    <x v="632"/>
    <n v="1895039"/>
    <x v="0"/>
    <s v="Science: Biology/Natural History; Science"/>
    <s v="9781118335741"/>
    <s v=",1,28,29,26,27,28,2"/>
    <n v="6"/>
    <m/>
    <m/>
    <s v="No"/>
    <x v="3"/>
    <m/>
    <m/>
    <s v="137.21.7.121"/>
    <s v="GN281 -- .W554 2015eb"/>
    <s v="599.93/8"/>
    <d v="2015-02-23T00:00:00"/>
  </r>
  <r>
    <x v="3175"/>
    <d v="1899-12-30T00:03:28"/>
    <x v="866"/>
    <x v="12"/>
    <s v="potsdam"/>
    <x v="865"/>
    <n v="2037989"/>
    <x v="0"/>
    <s v="Education"/>
    <s v="9781118977774"/>
    <s v=",1,2,1,2,3,3,60,61,60,62,61,62,58,63,63,59,61,2,61,58,57,62,63,64,64,65,66,65,66,60,61,58,59,63,64,65,66,61"/>
    <n v="13"/>
    <m/>
    <m/>
    <s v="No"/>
    <x v="3"/>
    <m/>
    <m/>
    <s v="137.143.104.94"/>
    <s v="LB1707 .P555 2015"/>
    <n v="371.10199999999998"/>
    <d v="2015-04-27T00:00:00"/>
  </r>
  <r>
    <x v="3176"/>
    <d v="1899-12-30T00:20:15"/>
    <x v="808"/>
    <x v="9"/>
    <s v="trocaire"/>
    <x v="834"/>
    <n v="538048"/>
    <x v="11"/>
    <s v="Law"/>
    <s v="9780226493671"/>
    <s v=",18,19,20,21,22,23,50,52,51,48,49,53,54,55,56,57,58,59,60,61,62,63,64"/>
    <n v="23"/>
    <m/>
    <m/>
    <s v="No"/>
    <x v="2"/>
    <d v="2015-11-20T19:05:15"/>
    <n v="1"/>
    <s v="173.225.62.67"/>
    <s v="KF3941 -- .L68 2010eb"/>
    <s v="344.7305/33"/>
    <d v="2013-01-29T00:00:00"/>
  </r>
  <r>
    <x v="3177"/>
    <d v="1899-12-30T00:10:36"/>
    <x v="808"/>
    <x v="9"/>
    <s v="trocaire"/>
    <x v="834"/>
    <n v="538048"/>
    <x v="11"/>
    <s v="Law"/>
    <s v="9780226493671"/>
    <s v=",1,2,3,4,5,6,14,15,16,13,12,14,17"/>
    <n v="12"/>
    <m/>
    <m/>
    <s v="No"/>
    <x v="3"/>
    <m/>
    <m/>
    <s v="173.225.62.67"/>
    <s v="KF3941 -- .L68 2010eb"/>
    <s v="344.7305/33"/>
    <d v="2013-01-29T00:00:00"/>
  </r>
  <r>
    <x v="3178"/>
    <d v="1899-12-30T01:10:09"/>
    <x v="13"/>
    <x v="0"/>
    <s v="Buffalo"/>
    <x v="161"/>
    <n v="821663"/>
    <x v="0"/>
    <s v="Architecture"/>
    <s v="9781118168479"/>
    <s v=",1,3,2,1,359,359,359,359,359,359,359,359,359,360,360,359,359,360,362,382,383,383,384,384,383,383,360,360,362,362,382,382,362,362,7,7,7,8,9,10,6,359,360,361,362,358,363,361,360,363,361,362,364,365,363"/>
    <n v="19"/>
    <m/>
    <m/>
    <s v="No"/>
    <x v="0"/>
    <d v="2015-11-17T02:43:52"/>
    <n v="7"/>
    <s v="128.205.114.91"/>
    <s v="NA2547 -- .S74 2012eb"/>
    <n v="729"/>
    <d v="2012-03-05T00:00:00"/>
  </r>
  <r>
    <x v="3179"/>
    <d v="1899-12-30T00:40:27"/>
    <x v="782"/>
    <x v="13"/>
    <s v="buffalostate"/>
    <x v="499"/>
    <n v="1172554"/>
    <x v="15"/>
    <s v="History"/>
    <s v=""/>
    <s v=",23,24,25,26,27,28,30,31,32,33,34,35,29,262,263,264,260,261,265,266,267,268,25,26,27"/>
    <n v="22"/>
    <m/>
    <m/>
    <s v="No"/>
    <x v="0"/>
    <d v="2015-11-20T18:17:39"/>
    <n v="7"/>
    <s v="136.183.11.43"/>
    <s v="DF234 .A67 2012"/>
    <s v="938.07092; 938/.07092"/>
    <d v="2013-04-11T00:00:00"/>
  </r>
  <r>
    <x v="3180"/>
    <d v="1899-12-30T00:15:35"/>
    <x v="782"/>
    <x v="13"/>
    <s v="buffalostate"/>
    <x v="499"/>
    <n v="1172554"/>
    <x v="15"/>
    <s v="History"/>
    <s v=""/>
    <s v=",1,3,2,4,5,6,7,8,9,4,5,6,7,8,9,10,11,12,13,14,15,16,17,18,19,20,21,22,1"/>
    <n v="22"/>
    <m/>
    <m/>
    <s v="No"/>
    <x v="1"/>
    <m/>
    <m/>
    <s v="136.183.11.43"/>
    <s v="DF234 .A67 2012"/>
    <s v="938.07092; 938/.07092"/>
    <d v="2013-04-11T00:00:00"/>
  </r>
  <r>
    <x v="3181"/>
    <d v="1899-12-30T00:01:08"/>
    <x v="13"/>
    <x v="0"/>
    <s v="Buffalo"/>
    <x v="882"/>
    <n v="2039123"/>
    <x v="1"/>
    <s v="Medicine"/>
    <s v="9781409442530"/>
    <s v=",1,14,15,16,12,13,2,17,18,19"/>
    <n v="10"/>
    <m/>
    <m/>
    <s v="No"/>
    <x v="3"/>
    <m/>
    <m/>
    <s v="128.205.114.91"/>
    <s v="RC439 .M74 2015"/>
    <s v="362.2''1"/>
    <d v="2015-06-28T00:00:00"/>
  </r>
  <r>
    <x v="3182"/>
    <d v="1899-12-30T00:10:30"/>
    <x v="64"/>
    <x v="6"/>
    <s v="sjfc"/>
    <x v="189"/>
    <n v="1557279"/>
    <x v="0"/>
    <s v="Business/Management"/>
    <s v="9781118863664"/>
    <s v=",1,3,2,63,64,65,66,67,68,69,70,71,72,73,74,75,76,77,78,79,80,81,82,84,83,86,87,88,89,90,91,92,93,94,96,98,90,89,88,86,87,91,92,90,86,85,83,84,82,81,79,76,75,77,74,72,73,71,70,75,76,76,77"/>
    <n v="37"/>
    <s v=",73"/>
    <m/>
    <s v="No"/>
    <x v="0"/>
    <d v="2015-11-17T19:39:23"/>
    <n v="7"/>
    <s v="149.69.254.57"/>
    <s v="HF5661 -- .W384 2014eb"/>
    <n v="657.37800000000004"/>
    <d v="2013-11-07T00:00:00"/>
  </r>
  <r>
    <x v="3183"/>
    <d v="1899-12-30T00:00:49"/>
    <x v="888"/>
    <x v="1"/>
    <s v="brockport"/>
    <x v="535"/>
    <n v="1386405"/>
    <x v="2"/>
    <s v="Fine Arts"/>
    <s v="9781136222900"/>
    <s v=",41,42,44,45,57,58,59,55,56,54"/>
    <n v="10"/>
    <s v=",38,38"/>
    <s v=",38,39,40,41,42,43,44,45,46,47,48,49,50,51,52,53,54,55,56"/>
    <s v="No"/>
    <x v="2"/>
    <d v="2015-11-20T17:16:07"/>
    <n v="1"/>
    <s v="137.21.7.121"/>
    <s v="PN1995.9.C55 -- A35 2013eb"/>
    <n v="791.43616999999995"/>
    <d v="2013-09-11T00:00:00"/>
  </r>
  <r>
    <x v="3184"/>
    <d v="1899-12-30T00:04:27"/>
    <x v="888"/>
    <x v="1"/>
    <s v="brockport"/>
    <x v="535"/>
    <n v="1386405"/>
    <x v="2"/>
    <s v="Fine Arts"/>
    <s v="9781136222900"/>
    <s v=",1,2,3,4,5,6,7,8,9,10,11,12,38,39,40,36,37,38"/>
    <n v="17"/>
    <m/>
    <m/>
    <s v="No"/>
    <x v="3"/>
    <m/>
    <m/>
    <s v="137.21.7.121"/>
    <s v="PN1995.9.C55 -- A35 2013eb"/>
    <n v="791.43616999999995"/>
    <d v="2013-09-11T00:00:00"/>
  </r>
  <r>
    <x v="3185"/>
    <d v="1899-12-30T00:00:35"/>
    <x v="843"/>
    <x v="7"/>
    <s v="oneonta"/>
    <x v="112"/>
    <n v="694178"/>
    <x v="0"/>
    <s v="Social Science; Fine Arts"/>
    <s v="9780632057528"/>
    <s v=",1,2,3,37,38,39,35,36,37"/>
    <n v="8"/>
    <m/>
    <m/>
    <s v="No"/>
    <x v="3"/>
    <m/>
    <m/>
    <s v="137.141.13.2"/>
    <s v="TT497 -- .W33 2004eb"/>
    <n v="391"/>
    <d v="2013-09-03T00:00:00"/>
  </r>
  <r>
    <x v="3186"/>
    <d v="1899-12-30T00:24:38"/>
    <x v="13"/>
    <x v="0"/>
    <s v="Buffalo"/>
    <x v="630"/>
    <n v="771049"/>
    <x v="18"/>
    <s v="Science: Physics; Science; Environmental Studies"/>
    <s v="9781608706648"/>
    <s v=",1,3,2,20,21,18,22,19,23,24,25,26,27,28,29,30,31,32,33,34,35,36,37,38,39,40,41,42"/>
    <n v="28"/>
    <m/>
    <m/>
    <s v="No"/>
    <x v="0"/>
    <d v="2015-11-19T15:52:02"/>
    <n v="7"/>
    <s v="128.205.114.91"/>
    <s v="QC981.8"/>
    <n v="363.73874000000001"/>
    <d v="2012-01-01T00:00:00"/>
  </r>
  <r>
    <x v="3187"/>
    <d v="1899-12-30T00:00:59"/>
    <x v="64"/>
    <x v="6"/>
    <s v="sjfc"/>
    <x v="189"/>
    <n v="1557279"/>
    <x v="0"/>
    <s v="Business/Management"/>
    <s v="9781118863664"/>
    <s v=",1,2,3,4,5,8,11,12,21,22,19,20,2,63,64,65,66,67,68,69,70,71,72,73,74"/>
    <n v="24"/>
    <s v=",72"/>
    <m/>
    <s v="No"/>
    <x v="0"/>
    <d v="2015-11-17T19:39:23"/>
    <n v="7"/>
    <s v="149.69.254.57"/>
    <s v="HF5661 -- .W384 2014eb"/>
    <n v="657.37800000000004"/>
    <d v="2013-11-07T00:00:00"/>
  </r>
  <r>
    <x v="3188"/>
    <d v="1899-12-30T00:00:29"/>
    <x v="13"/>
    <x v="0"/>
    <s v="Buffalo"/>
    <x v="666"/>
    <n v="817932"/>
    <x v="0"/>
    <s v="Computer Science/IT"/>
    <s v="9781118220146"/>
    <s v=",1,2,2,3,1,3,2,2"/>
    <n v="3"/>
    <m/>
    <m/>
    <s v="No"/>
    <x v="1"/>
    <m/>
    <m/>
    <s v="128.205.114.91"/>
    <s v="QA76.73.J38 -- B87 2012eb"/>
    <n v="5.133"/>
    <d v="2012-03-13T00:00:00"/>
  </r>
  <r>
    <x v="3189"/>
    <d v="1899-12-30T00:06:52"/>
    <x v="566"/>
    <x v="15"/>
    <s v="morrisville"/>
    <x v="598"/>
    <n v="1895271"/>
    <x v="0"/>
    <s v="Medicine"/>
    <s v="9781119026655"/>
    <s v=",1,2,3,38,39,40,36,37,35,41,42,43,44,45"/>
    <n v="14"/>
    <m/>
    <m/>
    <s v="No"/>
    <x v="0"/>
    <d v="2015-11-20T16:14:10"/>
    <n v="7"/>
    <s v="136.204.32.68"/>
    <s v="RC552.E18 -- .E28253 2013eb"/>
    <s v="616.85/2606"/>
    <d v="2015-01-07T00:00:00"/>
  </r>
  <r>
    <x v="3190"/>
    <d v="1899-12-30T00:25:20"/>
    <x v="566"/>
    <x v="15"/>
    <s v="morrisville"/>
    <x v="598"/>
    <n v="1895271"/>
    <x v="0"/>
    <s v="Medicine"/>
    <s v="9781119026655"/>
    <s v=",1,8,9,10,6,7,2,38,39,40,36,37,35,1,35,36,37,33,34,25,26,27,23,24,28,2,29,23,21,22,19,20,18,17,16,15,37,38,39,36,40,41,42,43,34,32,31,30,28,29,1,35,36,37,33,34,35,1"/>
    <n v="36"/>
    <m/>
    <m/>
    <s v="No"/>
    <x v="0"/>
    <d v="2015-11-20T16:14:10"/>
    <n v="7"/>
    <s v="136.204.32.68"/>
    <s v="RC552.E18 -- .E28253 2013eb"/>
    <s v="616.85/2606"/>
    <d v="2015-01-07T00:00:00"/>
  </r>
  <r>
    <x v="3191"/>
    <d v="1899-12-30T00:00:18"/>
    <x v="889"/>
    <x v="1"/>
    <s v="brockport"/>
    <x v="235"/>
    <n v="1576121"/>
    <x v="2"/>
    <s v="Business/Management"/>
    <s v="9781134602933"/>
    <s v=",1,2,3,11,12,13,9,10,19,20,21,17,18,22"/>
    <n v="14"/>
    <m/>
    <m/>
    <s v="No"/>
    <x v="3"/>
    <m/>
    <m/>
    <s v="137.21.7.121"/>
    <s v="HF5635 -- .B535 2014eb"/>
    <n v="657"/>
    <d v="2013-10-22T00:00:00"/>
  </r>
  <r>
    <x v="3192"/>
    <d v="1899-12-30T00:00:42"/>
    <x v="890"/>
    <x v="15"/>
    <s v="morrisville"/>
    <x v="883"/>
    <n v="2075610"/>
    <x v="0"/>
    <s v="Philosophy; Social Science"/>
    <s v="9781118699485"/>
    <s v=",1,17,18,19,15,16,20,21,22,23,2,24,25,26,27,28,29"/>
    <n v="17"/>
    <m/>
    <m/>
    <s v="No"/>
    <x v="3"/>
    <m/>
    <m/>
    <s v="136.204.32.68"/>
    <s v="BJ2051"/>
    <n v="395.22"/>
    <d v="2014-04-29T00:00:00"/>
  </r>
  <r>
    <x v="3193"/>
    <d v="1899-12-30T00:00:52"/>
    <x v="891"/>
    <x v="1"/>
    <s v="brockport"/>
    <x v="884"/>
    <n v="1895353"/>
    <x v="0"/>
    <s v="Psychology"/>
    <s v="9781119071709"/>
    <s v=",1,2,3,4,6,5,7,25,26,27,23,24,66,67,68,65,64"/>
    <n v="17"/>
    <m/>
    <m/>
    <s v="No"/>
    <x v="3"/>
    <m/>
    <m/>
    <s v="137.21.7.121"/>
    <s v="BF774 .B265 2015"/>
    <s v="153.8; 153.85"/>
    <d v="2015-06-17T00:00:00"/>
  </r>
  <r>
    <x v="3194"/>
    <d v="1899-12-30T01:19:33"/>
    <x v="566"/>
    <x v="15"/>
    <s v="morrisville"/>
    <x v="598"/>
    <n v="1895271"/>
    <x v="0"/>
    <s v="Medicine"/>
    <s v="9781119026655"/>
    <s v=",1,2,3,84,85,86,82,83,9,10,11,7,8"/>
    <n v="13"/>
    <m/>
    <m/>
    <s v="No"/>
    <x v="3"/>
    <m/>
    <m/>
    <s v="136.204.32.68"/>
    <s v="RC552.E18 -- .E28253 2013eb"/>
    <s v="616.85/2606"/>
    <d v="2015-01-07T00:00:00"/>
  </r>
  <r>
    <x v="3195"/>
    <d v="1899-12-30T00:00:03"/>
    <x v="566"/>
    <x v="15"/>
    <s v="morrisville"/>
    <x v="598"/>
    <n v="1895271"/>
    <x v="0"/>
    <s v="Medicine"/>
    <s v="9781119026655"/>
    <s v=",1"/>
    <n v="1"/>
    <m/>
    <m/>
    <s v="No"/>
    <x v="3"/>
    <m/>
    <m/>
    <s v="136.204.32.68"/>
    <s v="RC552.E18 -- .E28253 2013eb"/>
    <s v="616.85/2606"/>
    <d v="2015-01-07T00:00:00"/>
  </r>
  <r>
    <x v="3196"/>
    <d v="1899-12-30T00:00:27"/>
    <x v="892"/>
    <x v="0"/>
    <s v="Buffalo"/>
    <x v="850"/>
    <n v="1589615"/>
    <x v="1"/>
    <s v="History"/>
    <s v="9781409469865"/>
    <s v=",1,2,3,4,5,6,7,45,46,47,48,49,44,43,34,35,36,32,33"/>
    <n v="19"/>
    <m/>
    <m/>
    <s v="No"/>
    <x v="0"/>
    <d v="2015-11-20T05:28:51"/>
    <n v="7"/>
    <s v="128.205.114.91"/>
    <s v="DF587 -- .C636 2014eb"/>
    <n v="949.50199999999995"/>
    <d v="2014-10-28T00:00:00"/>
  </r>
  <r>
    <x v="3197"/>
    <d v="1899-12-30T00:03:21"/>
    <x v="893"/>
    <x v="13"/>
    <s v="buffalostate"/>
    <x v="270"/>
    <n v="1637652"/>
    <x v="3"/>
    <s v="Education"/>
    <s v="9780520958449"/>
    <s v=",1,26,27,28,24,25,29,2,30,31,32,33,34,21,22,23,19,20,24,25,6,7,8,4,5"/>
    <n v="23"/>
    <m/>
    <m/>
    <s v="No"/>
    <x v="1"/>
    <m/>
    <m/>
    <s v="136.183.11.43"/>
    <s v="LB2340.2 -- .B478 2014eb"/>
    <s v="378.3/62"/>
    <d v="2014-05-02T00:00:00"/>
  </r>
  <r>
    <x v="3198"/>
    <d v="1899-12-30T00:01:47"/>
    <x v="894"/>
    <x v="1"/>
    <s v="brockport"/>
    <x v="885"/>
    <n v="1873193"/>
    <x v="0"/>
    <s v="Business/Management"/>
    <s v="9781118956953"/>
    <s v=",1,2,3,4,5,6,7,8,9,10,11,12,13,14,15,16,17,18,19,20,21,22,24,25,26,27,28,29"/>
    <n v="28"/>
    <m/>
    <m/>
    <s v="No"/>
    <x v="3"/>
    <m/>
    <m/>
    <s v="137.21.7.121"/>
    <s v="HD30.28 -- .F5724 2015eb"/>
    <s v="658.4/012"/>
    <d v="2014-11-24T00:00:00"/>
  </r>
  <r>
    <x v="3199"/>
    <d v="1899-12-30T00:10:21"/>
    <x v="895"/>
    <x v="1"/>
    <s v="brockport"/>
    <x v="437"/>
    <n v="1767915"/>
    <x v="0"/>
    <s v="Social Science"/>
    <s v="9780730315148"/>
    <s v=",106,107,108,109,110"/>
    <n v="5"/>
    <m/>
    <m/>
    <s v="No"/>
    <x v="0"/>
    <d v="2015-11-20T14:35:55"/>
    <n v="7"/>
    <s v="137.21.7.121"/>
    <s v="HM742 -- .C654 2015eb"/>
    <n v="302.23099999999999"/>
    <d v="2014-08-15T00:00:00"/>
  </r>
  <r>
    <x v="3200"/>
    <d v="1899-12-30T00:10:01"/>
    <x v="895"/>
    <x v="1"/>
    <s v="brockport"/>
    <x v="437"/>
    <n v="1767915"/>
    <x v="0"/>
    <s v="Social Science"/>
    <s v="9780730315148"/>
    <s v=",1,2,3,25,26,27,23,24,28,29,103,104,105,101,102"/>
    <n v="15"/>
    <m/>
    <m/>
    <s v="No"/>
    <x v="1"/>
    <m/>
    <m/>
    <s v="137.21.7.121"/>
    <s v="HM742 -- .C654 2015eb"/>
    <n v="302.23099999999999"/>
    <d v="2014-08-15T00:00:00"/>
  </r>
  <r>
    <x v="3201"/>
    <d v="1899-12-30T00:04:10"/>
    <x v="720"/>
    <x v="1"/>
    <s v="brockport"/>
    <x v="749"/>
    <n v="1323321"/>
    <x v="2"/>
    <s v="Psychology; Business/Management"/>
    <s v="9781135007676"/>
    <s v=",318,319,320,322,323,324,325,326,327,328,329,321,307,10,8,16,17,18,14,15,13,11,7,6,5,4,118,286,301,307,308"/>
    <n v="30"/>
    <m/>
    <m/>
    <s v="No"/>
    <x v="2"/>
    <d v="2015-11-20T14:24:30"/>
    <n v="1"/>
    <s v="137.21.7.121"/>
    <s v="HF5548.8 -- .P793 2014eb"/>
    <n v="158.69999999999999"/>
    <d v="2013-07-24T00:00:00"/>
  </r>
  <r>
    <x v="3202"/>
    <d v="1899-12-30T00:00:22"/>
    <x v="896"/>
    <x v="1"/>
    <s v="brockport"/>
    <x v="886"/>
    <n v="1706873"/>
    <x v="0"/>
    <s v="Business/Management"/>
    <s v="9781118866429"/>
    <s v=",1,11,12,13,9,10,7,8,2"/>
    <n v="9"/>
    <m/>
    <m/>
    <s v="No"/>
    <x v="3"/>
    <m/>
    <m/>
    <s v="137.21.7.121"/>
    <s v="HG179.5 .G727 2014"/>
    <n v="658.16"/>
    <d v="2014-06-02T00:00:00"/>
  </r>
  <r>
    <x v="3203"/>
    <d v="1899-12-30T00:03:23"/>
    <x v="897"/>
    <x v="1"/>
    <s v="brockport"/>
    <x v="819"/>
    <n v="1573297"/>
    <x v="2"/>
    <s v="Fine Arts; Law"/>
    <s v="9781134049356"/>
    <s v=",1,2,3,4,5,6,7,8,9,10,11,12,13,14,15,16,17,18,19,20,21,22,23,43,44,45,41,42,46,64,66,62,63,67,76,78,74,77,75,79,81,82,113,114,115,111,112,116,117"/>
    <n v="49"/>
    <m/>
    <m/>
    <s v="No"/>
    <x v="3"/>
    <m/>
    <m/>
    <s v="137.21.7.121"/>
    <s v="KD7990 -- .L48 2013eb"/>
    <n v="791.43616399999996"/>
    <d v="2009-02-09T00:00:00"/>
  </r>
  <r>
    <x v="3204"/>
    <d v="1899-12-30T00:05:26"/>
    <x v="720"/>
    <x v="1"/>
    <s v="brockport"/>
    <x v="749"/>
    <n v="1323321"/>
    <x v="2"/>
    <s v="Psychology; Business/Management"/>
    <s v="9781135007676"/>
    <s v=",1,2,3,4,5,6,7,8,9,10,11,12,13,14,273,274,275,276,272,277,278,279,280,289,301,309,310,311,307,308,312,313,314,315,316,317"/>
    <n v="36"/>
    <m/>
    <m/>
    <s v="No"/>
    <x v="3"/>
    <m/>
    <m/>
    <s v="137.21.7.121"/>
    <s v="HF5548.8 -- .P793 2014eb"/>
    <n v="158.69999999999999"/>
    <d v="2013-07-24T00:00:00"/>
  </r>
  <r>
    <x v="3205"/>
    <d v="1899-12-30T00:22:25"/>
    <x v="860"/>
    <x v="12"/>
    <s v="potsdam"/>
    <x v="270"/>
    <n v="1637652"/>
    <x v="3"/>
    <s v="Education"/>
    <s v="9780520958449"/>
    <s v=",1,2,3,116,117,118,114,115,117,118,114,115,119,120,115"/>
    <n v="10"/>
    <m/>
    <m/>
    <s v="No"/>
    <x v="0"/>
    <d v="2015-11-13T14:53:56"/>
    <n v="7"/>
    <s v="137.143.104.94"/>
    <s v="LB2340.2 -- .B478 2014eb"/>
    <s v="378.3/62"/>
    <d v="2014-05-02T00:00:00"/>
  </r>
  <r>
    <x v="3206"/>
    <d v="1899-12-30T02:07:18"/>
    <x v="506"/>
    <x v="0"/>
    <s v="Buffalo"/>
    <x v="533"/>
    <n v="1760720"/>
    <x v="4"/>
    <s v="Medicine"/>
    <s v="9781462517459"/>
    <s v=",1,2,3,133,134,135,131,132,136,137,149,150,151,148,147,152,153,154,155,156,157,158,159,160,161,163,162,164,165,166,167"/>
    <n v="31"/>
    <m/>
    <m/>
    <s v="No"/>
    <x v="0"/>
    <d v="2015-11-19T15:29:09"/>
    <n v="7"/>
    <s v="128.205.114.91"/>
    <s v="RC489.D48 -- L56 2015eb"/>
    <n v="616.89142000000004"/>
    <d v="2014-12-23T00:00:00"/>
  </r>
  <r>
    <x v="3207"/>
    <d v="1899-12-30T00:00:20"/>
    <x v="898"/>
    <x v="1"/>
    <s v="brockport"/>
    <x v="887"/>
    <n v="1883959"/>
    <x v="0"/>
    <s v="Business/Management"/>
    <s v="9781119005018"/>
    <s v=",1,19,17,22,2"/>
    <n v="5"/>
    <m/>
    <m/>
    <s v="No"/>
    <x v="3"/>
    <m/>
    <m/>
    <s v="137.21.7.121"/>
    <s v="HD31 -- .C644749 2015eb"/>
    <n v="658"/>
    <d v="2014-12-03T00:00:00"/>
  </r>
  <r>
    <x v="3208"/>
    <d v="1899-12-30T00:00:04"/>
    <x v="898"/>
    <x v="1"/>
    <s v="brockport"/>
    <x v="887"/>
    <n v="1883959"/>
    <x v="0"/>
    <s v="Business/Management"/>
    <s v="9781119005018"/>
    <s v=",1,10,11,9"/>
    <n v="4"/>
    <m/>
    <m/>
    <s v="No"/>
    <x v="3"/>
    <m/>
    <m/>
    <s v="137.21.7.121"/>
    <s v="HD31 -- .C644749 2015eb"/>
    <n v="658"/>
    <d v="2014-12-03T00:00:00"/>
  </r>
  <r>
    <x v="3209"/>
    <d v="1899-12-30T00:48:45"/>
    <x v="789"/>
    <x v="6"/>
    <s v="sjfc"/>
    <x v="68"/>
    <n v="1822529"/>
    <x v="0"/>
    <s v="Mathematics"/>
    <s v="9781118824344"/>
    <s v=",1,2,3,1,2,3,196,197,198,194,195,199,200,201,202,203,204,205,206,194,205,206,207,208,209,210,211"/>
    <n v="21"/>
    <m/>
    <m/>
    <s v="No"/>
    <x v="0"/>
    <d v="2015-11-15T20:04:50"/>
    <n v="7"/>
    <s v="149.69.254.57"/>
    <s v="QA297 -- .S59 2015eb"/>
    <n v="519.4"/>
    <d v="2014-10-20T00:00:00"/>
  </r>
  <r>
    <x v="3210"/>
    <d v="1899-12-30T00:00:17"/>
    <x v="899"/>
    <x v="0"/>
    <s v="Buffalo"/>
    <x v="630"/>
    <n v="771049"/>
    <x v="18"/>
    <s v="Science: Physics; Science; Environmental Studies"/>
    <s v="9781608706648"/>
    <s v=",14,15"/>
    <n v="2"/>
    <m/>
    <m/>
    <s v="No"/>
    <x v="0"/>
    <d v="2015-11-20T13:36:05"/>
    <n v="7"/>
    <s v="128.205.114.91"/>
    <s v="QC981.8"/>
    <n v="363.73874000000001"/>
    <d v="2012-01-01T00:00:00"/>
  </r>
  <r>
    <x v="3211"/>
    <d v="1899-12-30T00:04:35"/>
    <x v="900"/>
    <x v="1"/>
    <s v="brockport"/>
    <x v="888"/>
    <n v="1582931"/>
    <x v="5"/>
    <s v="Medicine"/>
    <s v="9780814764824"/>
    <s v=",42,158,159,160,156,157,161,162,163,164,165,166,167,168,169,170,171,172,173,174,175,176,177,178,179,180,181,182,183,184,185,186,187,188,189,190"/>
    <n v="36"/>
    <m/>
    <m/>
    <s v="No"/>
    <x v="2"/>
    <d v="2015-11-20T13:34:43"/>
    <n v="1"/>
    <s v="137.21.7.121"/>
    <s v="RD553 -- .C88 2014eb"/>
    <n v="617.9"/>
    <d v="2014-01-20T00:00:00"/>
  </r>
  <r>
    <x v="3212"/>
    <d v="1899-12-30T00:04:52"/>
    <x v="900"/>
    <x v="1"/>
    <s v="brockport"/>
    <x v="888"/>
    <n v="1582931"/>
    <x v="5"/>
    <s v="Medicine"/>
    <s v="9780814764824"/>
    <s v=",1,2,3,4,39,40,41,37,38"/>
    <n v="9"/>
    <m/>
    <m/>
    <s v="No"/>
    <x v="3"/>
    <m/>
    <m/>
    <s v="137.21.7.121"/>
    <s v="RD553 -- .C88 2014eb"/>
    <n v="617.9"/>
    <d v="2014-01-20T00:00:00"/>
  </r>
  <r>
    <x v="3213"/>
    <d v="1899-12-30T00:01:47"/>
    <x v="471"/>
    <x v="1"/>
    <s v="brockport"/>
    <x v="512"/>
    <n v="1539141"/>
    <x v="2"/>
    <s v="Agriculture; Environmental Studies; Economics"/>
    <s v="9781134064427"/>
    <s v=",1,2,3,182,183,184,180,179,176,177"/>
    <n v="10"/>
    <m/>
    <m/>
    <s v="No"/>
    <x v="3"/>
    <m/>
    <m/>
    <s v="137.21.7.121"/>
    <s v="SD418.3.T76 -- G73 2009eb"/>
    <n v="333.75091300000003"/>
    <d v="2009-10-01T00:00:00"/>
  </r>
  <r>
    <x v="3214"/>
    <d v="1899-12-30T00:01:35"/>
    <x v="900"/>
    <x v="1"/>
    <s v="brockport"/>
    <x v="888"/>
    <n v="1582931"/>
    <x v="5"/>
    <s v="Medicine"/>
    <s v="9780814764824"/>
    <s v=",1,2,3,4,5,6,7,8,9,10,11,12,13,14,15"/>
    <n v="15"/>
    <m/>
    <m/>
    <s v="No"/>
    <x v="3"/>
    <m/>
    <m/>
    <s v="137.21.7.121"/>
    <s v="RD553 -- .C88 2014eb"/>
    <n v="617.9"/>
    <d v="2014-01-20T00:00:00"/>
  </r>
  <r>
    <x v="3215"/>
    <d v="1899-12-30T00:16:00"/>
    <x v="899"/>
    <x v="0"/>
    <s v="Buffalo"/>
    <x v="630"/>
    <n v="771049"/>
    <x v="18"/>
    <s v="Science: Physics; Science; Environmental Studies"/>
    <s v="9781608706648"/>
    <s v=",1,6,7,8,4,5,2,9,10,11,12,13"/>
    <n v="12"/>
    <m/>
    <m/>
    <s v="No"/>
    <x v="1"/>
    <m/>
    <m/>
    <s v="128.205.114.91"/>
    <s v="QC981.8"/>
    <n v="363.73874000000001"/>
    <d v="2012-01-01T00:00:00"/>
  </r>
  <r>
    <x v="3216"/>
    <d v="1899-12-30T00:00:00"/>
    <x v="835"/>
    <x v="1"/>
    <s v="brockport"/>
    <x v="808"/>
    <n v="1337521"/>
    <x v="2"/>
    <s v="Education"/>
    <s v="9781317922049"/>
    <m/>
    <n v="0"/>
    <m/>
    <m/>
    <s v="Yes"/>
    <x v="2"/>
    <d v="2015-11-19T23:09:12"/>
    <n v="1"/>
    <s v="137.21.7.121"/>
    <s v="LB2805 -- .C2665 2013eb"/>
    <n v="371.20097299999998"/>
    <d v="2013-08-06T00:00:00"/>
  </r>
  <r>
    <x v="3217"/>
    <d v="1899-12-30T00:00:03"/>
    <x v="835"/>
    <x v="1"/>
    <s v="brockport"/>
    <x v="808"/>
    <n v="1337521"/>
    <x v="2"/>
    <s v="Education"/>
    <s v="9781317922049"/>
    <s v=",1,2,3"/>
    <n v="3"/>
    <m/>
    <m/>
    <s v="No"/>
    <x v="2"/>
    <d v="2015-11-19T23:09:12"/>
    <n v="1"/>
    <s v="137.21.7.121"/>
    <s v="LB2805 -- .C2665 2013eb"/>
    <n v="371.20097299999998"/>
    <d v="2013-08-06T00:00:00"/>
  </r>
  <r>
    <x v="3218"/>
    <d v="1899-12-30T00:00:04"/>
    <x v="901"/>
    <x v="0"/>
    <s v="Buffalo"/>
    <x v="889"/>
    <n v="1760729"/>
    <x v="4"/>
    <s v="Medicine"/>
    <s v="9781462518449"/>
    <s v=",1,2,3"/>
    <n v="3"/>
    <m/>
    <m/>
    <s v="No"/>
    <x v="3"/>
    <m/>
    <m/>
    <s v="128.205.114.91"/>
    <s v="RJ506.P66 -- .C743 2015eb"/>
    <n v="618.92852100000005"/>
    <d v="2014-11-10T00:00:00"/>
  </r>
  <r>
    <x v="3219"/>
    <d v="1899-12-30T00:03:47"/>
    <x v="902"/>
    <x v="0"/>
    <s v="Buffalo"/>
    <x v="890"/>
    <n v="827080"/>
    <x v="0"/>
    <s v="Mathematics"/>
    <s v="9780470022993"/>
    <s v=",1,2,3,16,17,18,14,15,140,141,142,143,139,149,150,151,152,148,153,154,155,156,157,158,159,160,161,162,163,164"/>
    <n v="30"/>
    <m/>
    <m/>
    <s v="No"/>
    <x v="1"/>
    <m/>
    <m/>
    <s v="128.205.114.91"/>
    <s v="QA276.12 -- .C73 2005eb"/>
    <n v="519.5"/>
    <d v="2011-12-09T00:00:00"/>
  </r>
  <r>
    <x v="3220"/>
    <d v="1899-12-30T00:00:03"/>
    <x v="892"/>
    <x v="0"/>
    <s v="Buffalo"/>
    <x v="850"/>
    <n v="1589615"/>
    <x v="1"/>
    <s v="History"/>
    <s v="9781409469865"/>
    <s v=",40,41,42"/>
    <n v="3"/>
    <m/>
    <m/>
    <s v="No"/>
    <x v="0"/>
    <d v="2015-11-20T05:28:51"/>
    <n v="7"/>
    <s v="128.205.114.91"/>
    <s v="DF587 -- .C636 2014eb"/>
    <n v="949.50199999999995"/>
    <d v="2014-10-28T00:00:00"/>
  </r>
  <r>
    <x v="3221"/>
    <d v="1899-12-30T00:20:20"/>
    <x v="892"/>
    <x v="0"/>
    <s v="Buffalo"/>
    <x v="850"/>
    <n v="1589615"/>
    <x v="1"/>
    <s v="History"/>
    <s v="9781409469865"/>
    <s v=",1,2,3,4,5,6,9,10,11,8,7,12,13,14,15,16,17,18,19,20,21,22,23,24,25,26,27,28,29,30,31,32,33,34,35,36,37,38,39"/>
    <n v="39"/>
    <m/>
    <m/>
    <s v="No"/>
    <x v="1"/>
    <m/>
    <m/>
    <s v="128.205.114.91"/>
    <s v="DF587 -- .C636 2014eb"/>
    <n v="949.50199999999995"/>
    <d v="2014-10-28T00:00:00"/>
  </r>
  <r>
    <x v="3222"/>
    <d v="1899-12-30T01:39:39"/>
    <x v="878"/>
    <x v="0"/>
    <s v="Buffalo"/>
    <x v="28"/>
    <n v="817313"/>
    <x v="0"/>
    <s v="Education"/>
    <s v="9781118136829"/>
    <s v=",1,2,3,260,261,262,258,259,263,261,262,263,259,260,264,258,278,279,280,276,277,2,1,3,252,253,254,250,247,249,248,245,246,251,271,272,273,269,270,263,264,265,261,262,278,279,280,276,277,275,274,285,286,287,283,284,266,267,255,256,257,258,259,260,295,296,293,297,294,281,282,313,314,315"/>
    <n v="53"/>
    <m/>
    <m/>
    <s v="No"/>
    <x v="0"/>
    <d v="2015-11-19T07:50:37"/>
    <n v="7"/>
    <s v="128.205.114.91"/>
    <s v="LB2367.4 -- .W65 2012eb"/>
    <n v="378.16640000000001"/>
    <d v="2012-01-10T00:00:00"/>
  </r>
  <r>
    <x v="3223"/>
    <d v="1899-12-30T00:01:08"/>
    <x v="13"/>
    <x v="0"/>
    <s v="Buffalo"/>
    <x v="850"/>
    <n v="1589615"/>
    <x v="1"/>
    <s v="History"/>
    <s v="9781409469865"/>
    <s v=",1,2,3,4,5,6,7,28,29,30,26,27,31,32"/>
    <n v="14"/>
    <m/>
    <m/>
    <s v="No"/>
    <x v="0"/>
    <d v="2015-11-19T17:37:25"/>
    <n v="7"/>
    <s v="128.205.114.91"/>
    <s v="DF587 -- .C636 2014eb"/>
    <n v="949.50199999999995"/>
    <d v="2014-10-28T00:00:00"/>
  </r>
  <r>
    <x v="3224"/>
    <d v="1899-12-30T00:27:45"/>
    <x v="13"/>
    <x v="0"/>
    <s v="Buffalo"/>
    <x v="850"/>
    <n v="1589615"/>
    <x v="1"/>
    <s v="History"/>
    <s v="9781409469865"/>
    <s v=",1,2,3,4,5,6,7,8,9,10,11,12,13,14,15,16,17,18,19,20,21,22,24,23,25,26,27,28,29,30,28,29,30,28,29,30,26,27,31,32,33,34,35,36"/>
    <n v="36"/>
    <m/>
    <m/>
    <s v="No"/>
    <x v="0"/>
    <d v="2015-11-19T17:37:25"/>
    <n v="7"/>
    <s v="128.205.114.91"/>
    <s v="DF587 -- .C636 2014eb"/>
    <n v="949.50199999999995"/>
    <d v="2014-10-28T00:00:00"/>
  </r>
  <r>
    <x v="3225"/>
    <d v="1899-12-30T00:00:00"/>
    <x v="903"/>
    <x v="1"/>
    <s v="brockport"/>
    <x v="891"/>
    <n v="1597377"/>
    <x v="0"/>
    <s v="Literature"/>
    <s v="9781118559512"/>
    <s v=",101"/>
    <n v="1"/>
    <m/>
    <m/>
    <s v="No"/>
    <x v="2"/>
    <d v="2015-11-20T03:49:47"/>
    <n v="1"/>
    <s v="137.21.7.121"/>
    <s v="PS508.N3 -- .W554 2014eb"/>
    <n v="810.80896072999997"/>
    <d v="2014-01-13T00:00:00"/>
  </r>
  <r>
    <x v="3226"/>
    <d v="1899-12-30T00:06:03"/>
    <x v="903"/>
    <x v="1"/>
    <s v="brockport"/>
    <x v="891"/>
    <n v="1597377"/>
    <x v="0"/>
    <s v="Literature"/>
    <s v="9781118559512"/>
    <s v=",1,7,8,9,5,6,10,2,4,37,41,42,43,39,40,98,99,100,96,97"/>
    <n v="20"/>
    <m/>
    <m/>
    <s v="No"/>
    <x v="3"/>
    <m/>
    <m/>
    <s v="137.21.7.121"/>
    <s v="PS508.N3 -- .W554 2014eb"/>
    <n v="810.80896072999997"/>
    <d v="2014-01-13T00:00:00"/>
  </r>
  <r>
    <x v="3227"/>
    <d v="1899-12-30T00:16:50"/>
    <x v="904"/>
    <x v="0"/>
    <s v="Buffalo"/>
    <x v="706"/>
    <n v="1895687"/>
    <x v="0"/>
    <s v="Computer Science/IT"/>
    <s v="9781118868676"/>
    <s v=",53,57,58,54,55,56,59,60,61,62,63,64,65,66,67,68,69,70,71,72,73,74,75,76,77,86,87,88,84,85,89,90,91,92,93,94,95,96,97,98,99,100,101,102,103,104,105,106,107,161,162,163,164,160,170,171,172,168,169,173,174,175,176,177,178,179,180,181,182,167,166"/>
    <n v="71"/>
    <m/>
    <m/>
    <s v="No"/>
    <x v="0"/>
    <d v="2015-11-20T02:55:01"/>
    <n v="7"/>
    <s v="128.205.114.91"/>
    <s v="QA76.9.D343 -- .L3776 2015eb"/>
    <s v="006.3/12"/>
    <d v="2015-02-19T00:00:00"/>
  </r>
  <r>
    <x v="3228"/>
    <d v="1899-12-30T00:13:20"/>
    <x v="904"/>
    <x v="0"/>
    <s v="Buffalo"/>
    <x v="706"/>
    <n v="1895687"/>
    <x v="0"/>
    <s v="Computer Science/IT"/>
    <s v="9781118868676"/>
    <s v=",1,2,3,4,5,6,42,43,44,40,41,45,46,47,48,49,50,51,52"/>
    <n v="19"/>
    <m/>
    <m/>
    <s v="No"/>
    <x v="1"/>
    <m/>
    <m/>
    <s v="128.205.114.91"/>
    <s v="QA76.9.D343 -- .L3776 2015eb"/>
    <s v="006.3/12"/>
    <d v="2015-02-19T00:00:00"/>
  </r>
  <r>
    <x v="3229"/>
    <d v="1899-12-30T00:01:35"/>
    <x v="747"/>
    <x v="9"/>
    <s v="trocaire"/>
    <x v="783"/>
    <n v="1693780"/>
    <x v="0"/>
    <s v="Social Science; Health"/>
    <s v="9781118869420"/>
    <s v=",1,2,3,5,4,6,7,8,20,21,22,18,19,31,32,33,29,30,28,27,26,25,24,23"/>
    <n v="24"/>
    <m/>
    <m/>
    <s v="No"/>
    <x v="0"/>
    <d v="2015-11-16T16:14:11"/>
    <n v="7"/>
    <s v="173.225.62.67"/>
    <s v="RA407.3 -- .Y34 2014eb"/>
    <n v="362.10973000000001"/>
    <d v="2014-05-20T00:00:00"/>
  </r>
  <r>
    <x v="3230"/>
    <d v="1899-12-30T00:00:15"/>
    <x v="13"/>
    <x v="0"/>
    <s v="Buffalo"/>
    <x v="850"/>
    <n v="1589615"/>
    <x v="1"/>
    <s v="History"/>
    <s v="9781409469865"/>
    <s v=",1,2,3,17"/>
    <n v="4"/>
    <m/>
    <m/>
    <s v="No"/>
    <x v="0"/>
    <d v="2015-11-19T17:37:25"/>
    <n v="7"/>
    <s v="128.205.114.91"/>
    <s v="DF587 -- .C636 2014eb"/>
    <n v="949.50199999999995"/>
    <d v="2014-10-28T00:00:00"/>
  </r>
  <r>
    <x v="3231"/>
    <d v="1899-12-30T00:36:32"/>
    <x v="506"/>
    <x v="0"/>
    <s v="Buffalo"/>
    <x v="533"/>
    <n v="1760720"/>
    <x v="4"/>
    <s v="Medicine"/>
    <s v="9781462517459"/>
    <s v=",1,2,3,69,70,71,67,72,73,74,75,76,77,78,79,80,81,82,83,84,85,86,87,88,89,90,91,92,93,94,95,96,97,98,99,100,101,102,103,104,105,106,107,108,109,110,111,149,150,151,152,153"/>
    <n v="52"/>
    <m/>
    <m/>
    <s v="No"/>
    <x v="0"/>
    <d v="2015-11-19T15:29:09"/>
    <n v="7"/>
    <s v="128.205.114.91"/>
    <s v="RC489.D48 -- L56 2015eb"/>
    <n v="616.89142000000004"/>
    <d v="2014-12-23T00:00:00"/>
  </r>
  <r>
    <x v="3232"/>
    <d v="1899-12-30T00:03:16"/>
    <x v="83"/>
    <x v="3"/>
    <s v="canton"/>
    <x v="87"/>
    <n v="1597004"/>
    <x v="3"/>
    <s v="Social Science"/>
    <s v="9780520958173"/>
    <s v=",1,2,3,4,5,6,7,18,19,20,16,17,14,12,13,10,11,15,21,28,29,30,26,27,31,113,114,115,111,112"/>
    <n v="30"/>
    <m/>
    <m/>
    <s v="No"/>
    <x v="1"/>
    <m/>
    <m/>
    <s v="137.37.33.33"/>
    <s v="GT2884 -- .D84 2014eb"/>
    <s v="394.1/3"/>
    <d v="2014-05-01T00:00:00"/>
  </r>
  <r>
    <x v="3233"/>
    <d v="1899-12-30T00:00:20"/>
    <x v="905"/>
    <x v="1"/>
    <s v="brockport"/>
    <x v="444"/>
    <n v="1562126"/>
    <x v="2"/>
    <s v="Social Science"/>
    <s v="9781317773542"/>
    <s v=",23,1,24,25,21,22,2"/>
    <n v="7"/>
    <m/>
    <m/>
    <s v="No"/>
    <x v="2"/>
    <d v="2015-11-19T23:56:13"/>
    <n v="1"/>
    <s v="137.21.7.121"/>
    <s v="HQ76.25.G3"/>
    <n v="306.76608805500001"/>
    <d v="2013-11-12T00:00:00"/>
  </r>
  <r>
    <x v="3234"/>
    <d v="1899-12-30T00:09:12"/>
    <x v="905"/>
    <x v="1"/>
    <s v="brockport"/>
    <x v="444"/>
    <n v="1562126"/>
    <x v="2"/>
    <s v="Social Science"/>
    <s v="9781317773542"/>
    <s v=",1,2,3,14,15,16,12,13,17,20,21,22,18,19,23"/>
    <n v="15"/>
    <m/>
    <m/>
    <s v="No"/>
    <x v="3"/>
    <m/>
    <m/>
    <s v="137.21.7.121"/>
    <s v="HQ76.25.G3"/>
    <n v="306.76608805500001"/>
    <d v="2013-11-12T00:00:00"/>
  </r>
  <r>
    <x v="3235"/>
    <d v="1899-12-30T00:00:00"/>
    <x v="732"/>
    <x v="1"/>
    <s v="brockport"/>
    <x v="765"/>
    <n v="1895391"/>
    <x v="0"/>
    <s v="Business/Management"/>
    <s v="9781119090380"/>
    <m/>
    <n v="0"/>
    <m/>
    <m/>
    <s v="Yes"/>
    <x v="0"/>
    <d v="2015-11-16T21:00:21"/>
    <n v="7"/>
    <s v="137.21.7.121"/>
    <s v="HD57.7 -- .B46 2015eb"/>
    <s v="658.4/092"/>
    <d v="2015-03-18T00:00:00"/>
  </r>
  <r>
    <x v="3236"/>
    <d v="1899-12-30T00:00:00"/>
    <x v="732"/>
    <x v="1"/>
    <s v="brockport"/>
    <x v="765"/>
    <n v="1895391"/>
    <x v="0"/>
    <s v="Business/Management"/>
    <s v="9781119090380"/>
    <m/>
    <n v="0"/>
    <m/>
    <m/>
    <s v="Yes"/>
    <x v="0"/>
    <d v="2015-11-16T21:00:21"/>
    <n v="7"/>
    <s v="137.21.7.121"/>
    <s v="HD57.7 -- .B46 2015eb"/>
    <s v="658.4/092"/>
    <d v="2015-03-18T00:00:00"/>
  </r>
  <r>
    <x v="3237"/>
    <d v="1899-12-30T00:04:42"/>
    <x v="732"/>
    <x v="1"/>
    <s v="brockport"/>
    <x v="765"/>
    <n v="1895391"/>
    <x v="0"/>
    <s v="Business/Management"/>
    <s v="9781119090380"/>
    <s v=",1,2,3,4,5,6,7,8,9,10,11,12,13,14,15"/>
    <n v="15"/>
    <m/>
    <m/>
    <s v="No"/>
    <x v="0"/>
    <d v="2015-11-16T21:00:21"/>
    <n v="7"/>
    <s v="137.21.7.121"/>
    <s v="HD57.7 -- .B46 2015eb"/>
    <s v="658.4/092"/>
    <d v="2015-03-18T00:00:00"/>
  </r>
  <r>
    <x v="3238"/>
    <d v="1899-12-30T00:05:13"/>
    <x v="835"/>
    <x v="1"/>
    <s v="brockport"/>
    <x v="808"/>
    <n v="1337521"/>
    <x v="2"/>
    <s v="Education"/>
    <s v="9781317922049"/>
    <s v=",28,49,50,51,48,46,47,31,37,38"/>
    <n v="10"/>
    <m/>
    <m/>
    <s v="No"/>
    <x v="2"/>
    <d v="2015-11-19T23:09:12"/>
    <n v="1"/>
    <s v="137.21.7.121"/>
    <s v="LB2805 -- .C2665 2013eb"/>
    <n v="371.20097299999998"/>
    <d v="2013-08-06T00:00:00"/>
  </r>
  <r>
    <x v="3239"/>
    <d v="1899-12-30T00:06:36"/>
    <x v="835"/>
    <x v="1"/>
    <s v="brockport"/>
    <x v="808"/>
    <n v="1337521"/>
    <x v="2"/>
    <s v="Education"/>
    <s v="9781317922049"/>
    <s v=",1,2,3,34,35,36,32,33,28,29,30,26,27"/>
    <n v="13"/>
    <m/>
    <m/>
    <s v="No"/>
    <x v="3"/>
    <m/>
    <m/>
    <s v="137.21.7.121"/>
    <s v="LB2805 -- .C2665 2013eb"/>
    <n v="371.20097299999998"/>
    <d v="2013-08-06T00:00:00"/>
  </r>
  <r>
    <x v="3240"/>
    <d v="1899-12-30T00:25:08"/>
    <x v="519"/>
    <x v="8"/>
    <s v="niagaracc"/>
    <x v="16"/>
    <n v="877717"/>
    <x v="6"/>
    <s v="Fine Arts"/>
    <s v="9781438139265"/>
    <s v=",16,17,18,19,20,21,22,23,24,25,26,27,28,29,30,31,32,33,34,35,36,37,38,39,40,41,42,43,44,45,46,47,48,49,50,51,52,53,54,56,55,57,58,59,60,61,62,63,64,65,66,67,68,69,70,71,72,73,74,75,76,77,78,79,80,81,82,83,84,85,86,87,88,89,90,91,92,93,94,95,96,97,98,99,100,101,102,103,104,105,106,107,108,109,110,111,112,113,114,115,116,117,118,119,120,121"/>
    <n v="106"/>
    <m/>
    <m/>
    <s v="No"/>
    <x v="0"/>
    <d v="2015-11-19T22:47:01"/>
    <n v="7"/>
    <s v="132.174.254.37"/>
    <s v="PN1998.3.M577 -- L46 2012eb"/>
    <s v="791.4302/33092; B"/>
    <d v="2012-01-01T00:00:00"/>
  </r>
  <r>
    <x v="3241"/>
    <d v="1899-12-30T00:11:45"/>
    <x v="519"/>
    <x v="8"/>
    <s v="niagaracc"/>
    <x v="16"/>
    <n v="877717"/>
    <x v="6"/>
    <s v="Fine Arts"/>
    <s v="9781438139265"/>
    <s v=",1,3,2,4,5,6,7,7,8,9,10,11,12,13,14,15"/>
    <n v="15"/>
    <m/>
    <m/>
    <s v="No"/>
    <x v="1"/>
    <m/>
    <m/>
    <s v="132.174.254.37"/>
    <s v="PN1998.3.M577 -- L46 2012eb"/>
    <s v="791.4302/33092; B"/>
    <d v="2012-01-01T00:00:00"/>
  </r>
  <r>
    <x v="3242"/>
    <d v="1899-12-30T00:00:13"/>
    <x v="906"/>
    <x v="1"/>
    <s v="brockport"/>
    <x v="151"/>
    <n v="968030"/>
    <x v="0"/>
    <s v="Psychology"/>
    <s v="9781118285138"/>
    <s v=",472,473"/>
    <n v="2"/>
    <m/>
    <m/>
    <s v="No"/>
    <x v="0"/>
    <d v="2015-11-19T22:16:32"/>
    <n v="7"/>
    <s v="137.21.7.121"/>
    <s v="BF637.C6 -- S85 2013eb"/>
    <n v="158.30000000000001"/>
    <d v="2012-07-10T00:00:00"/>
  </r>
  <r>
    <x v="3243"/>
    <d v="1899-12-30T00:00:00"/>
    <x v="686"/>
    <x v="1"/>
    <s v="brockport"/>
    <x v="722"/>
    <n v="2130115"/>
    <x v="11"/>
    <s v="Social Science; Business/Management"/>
    <s v="9780226222905"/>
    <m/>
    <n v="0"/>
    <m/>
    <m/>
    <s v="No"/>
    <x v="2"/>
    <d v="2015-11-19T22:12:01"/>
    <n v="1"/>
    <s v="137.21.7.121"/>
    <s v="HE5620"/>
    <s v="363.1/251"/>
    <d v="2013-04-12T00:00:00"/>
  </r>
  <r>
    <x v="3244"/>
    <d v="1899-12-30T00:06:11"/>
    <x v="686"/>
    <x v="1"/>
    <s v="brockport"/>
    <x v="722"/>
    <n v="2130115"/>
    <x v="11"/>
    <s v="Social Science; Business/Management"/>
    <s v="9780226222905"/>
    <s v=",1,2,3,4"/>
    <n v="4"/>
    <m/>
    <m/>
    <s v="No"/>
    <x v="3"/>
    <m/>
    <m/>
    <s v="137.21.7.121"/>
    <s v="HE5620"/>
    <s v="363.1/251"/>
    <d v="2013-04-12T00:00:00"/>
  </r>
  <r>
    <x v="3245"/>
    <d v="1899-12-30T00:10:10"/>
    <x v="907"/>
    <x v="12"/>
    <s v="potsdam"/>
    <x v="892"/>
    <n v="1652087"/>
    <x v="0"/>
    <s v="Business/Management"/>
    <s v="9781118617014"/>
    <s v=",24,24,31,31,24,26,25,25,27,23,27,22,27,31,32,32,33,29,33,30,30,34,34,35,35,36,36,37,37,38,38"/>
    <n v="16"/>
    <m/>
    <m/>
    <s v="No"/>
    <x v="2"/>
    <d v="2015-11-19T22:04:09"/>
    <n v="1"/>
    <s v="137.143.104.94"/>
    <s v="HD57.7  -- .M4293 2014eb"/>
    <s v="658.4/092"/>
    <d v="2014-03-13T00:00:00"/>
  </r>
  <r>
    <x v="3246"/>
    <d v="1899-12-30T00:43:25"/>
    <x v="908"/>
    <x v="6"/>
    <s v="sjfc"/>
    <x v="893"/>
    <n v="1543337"/>
    <x v="7"/>
    <s v="Engineering; Agriculture; Engineering: Chemical"/>
    <s v="9781780642277"/>
    <s v=",1,2,3,4,5,6,62,63,64,60,61,65,66,67,68,50,38,16"/>
    <n v="18"/>
    <m/>
    <m/>
    <s v="No"/>
    <x v="2"/>
    <d v="2015-11-19T15:37:18"/>
    <n v="1"/>
    <s v="149.69.254.57"/>
    <s v="SB177.Q55 -- B43 2013eb"/>
    <s v="664/.7"/>
    <d v="2013-09-24T00:00:00"/>
  </r>
  <r>
    <x v="3247"/>
    <d v="1899-12-30T00:05:06"/>
    <x v="907"/>
    <x v="12"/>
    <s v="potsdam"/>
    <x v="892"/>
    <n v="1652087"/>
    <x v="0"/>
    <s v="Business/Management"/>
    <s v="9781118617014"/>
    <s v=",1,3,2,2,1,3,1,4,4,20,21,22,20,22,21,19,18,19,2,23,23"/>
    <n v="10"/>
    <m/>
    <m/>
    <s v="No"/>
    <x v="3"/>
    <m/>
    <m/>
    <s v="137.143.104.94"/>
    <s v="HD57.7  -- .M4293 2014eb"/>
    <s v="658.4/092"/>
    <d v="2014-03-13T00:00:00"/>
  </r>
  <r>
    <x v="3248"/>
    <d v="1899-12-30T00:34:11"/>
    <x v="906"/>
    <x v="1"/>
    <s v="brockport"/>
    <x v="151"/>
    <n v="968030"/>
    <x v="0"/>
    <s v="Psychology"/>
    <s v="9781118285138"/>
    <s v=",1,3,2,461,462,463,459,460,469,470,471,467,468,472"/>
    <n v="14"/>
    <m/>
    <m/>
    <s v="No"/>
    <x v="1"/>
    <m/>
    <m/>
    <s v="137.21.7.121"/>
    <s v="BF637.C6 -- S85 2013eb"/>
    <n v="158.30000000000001"/>
    <d v="2012-07-10T00:00:00"/>
  </r>
  <r>
    <x v="3249"/>
    <d v="1899-12-30T00:00:00"/>
    <x v="909"/>
    <x v="0"/>
    <s v="Buffalo"/>
    <x v="894"/>
    <n v="817911"/>
    <x v="0"/>
    <s v="Education"/>
    <s v="9781118218587"/>
    <m/>
    <n v="0"/>
    <m/>
    <m/>
    <s v="Yes"/>
    <x v="0"/>
    <d v="2015-11-19T21:40:52"/>
    <n v="7"/>
    <s v="128.205.114.91"/>
    <s v="LB1025.3 -- .L485 2012eb"/>
    <n v="371.10199999999998"/>
    <d v="2011-12-22T00:00:00"/>
  </r>
  <r>
    <x v="3249"/>
    <d v="1899-12-30T00:00:00"/>
    <x v="909"/>
    <x v="0"/>
    <s v="Buffalo"/>
    <x v="894"/>
    <n v="817911"/>
    <x v="0"/>
    <s v="Education"/>
    <s v="9781118218587"/>
    <m/>
    <n v="0"/>
    <m/>
    <m/>
    <s v="No"/>
    <x v="0"/>
    <d v="2015-11-19T21:40:52"/>
    <n v="7"/>
    <s v="128.205.114.91"/>
    <s v="LB1025.3 -- .L485 2012eb"/>
    <n v="371.10199999999998"/>
    <d v="2011-12-22T00:00:00"/>
  </r>
  <r>
    <x v="3250"/>
    <d v="1899-12-30T00:00:28"/>
    <x v="909"/>
    <x v="0"/>
    <s v="Buffalo"/>
    <x v="894"/>
    <n v="817911"/>
    <x v="0"/>
    <s v="Education"/>
    <s v="9781118218587"/>
    <s v=",1,2,3"/>
    <n v="3"/>
    <m/>
    <m/>
    <s v="No"/>
    <x v="1"/>
    <m/>
    <m/>
    <s v="128.205.114.91"/>
    <s v="LB1025.3 -- .L485 2012eb"/>
    <n v="371.10199999999998"/>
    <d v="2011-12-22T00:00:00"/>
  </r>
  <r>
    <x v="3251"/>
    <d v="1899-12-30T00:00:12"/>
    <x v="13"/>
    <x v="0"/>
    <s v="Buffalo"/>
    <x v="850"/>
    <n v="1589615"/>
    <x v="1"/>
    <s v="History"/>
    <s v="9781409469865"/>
    <s v=",1,2,3,4,5,28,29,30,26,27"/>
    <n v="10"/>
    <m/>
    <m/>
    <s v="No"/>
    <x v="0"/>
    <d v="2015-11-19T17:37:25"/>
    <n v="7"/>
    <s v="128.205.114.91"/>
    <s v="DF587 -- .C636 2014eb"/>
    <n v="949.50199999999995"/>
    <d v="2014-10-28T00:00:00"/>
  </r>
  <r>
    <x v="3252"/>
    <d v="1899-12-30T00:00:40"/>
    <x v="64"/>
    <x v="6"/>
    <s v="sjfc"/>
    <x v="895"/>
    <n v="817510"/>
    <x v="19"/>
    <s v="Business/Management"/>
    <s v="9781118182895"/>
    <s v=",1,2,3,4,5,6,15,16,17,13,14,88,89,90,86,87,2"/>
    <n v="16"/>
    <m/>
    <m/>
    <s v="No"/>
    <x v="1"/>
    <m/>
    <m/>
    <s v="149.69.254.57"/>
    <s v="HF5667 -- .W45 2012eb"/>
    <n v="657.45"/>
    <d v="2011-10-31T00:00:00"/>
  </r>
  <r>
    <x v="3253"/>
    <d v="1899-12-30T00:01:24"/>
    <x v="910"/>
    <x v="0"/>
    <s v="Buffalo"/>
    <x v="161"/>
    <n v="821663"/>
    <x v="0"/>
    <s v="Architecture"/>
    <s v="9781118168479"/>
    <s v=",1,2,3,117,118,119,115,116,117,118,119,115,116,120,121,122,123,124,125,126,127"/>
    <n v="16"/>
    <m/>
    <m/>
    <s v="No"/>
    <x v="0"/>
    <d v="2015-11-17T13:39:00"/>
    <n v="7"/>
    <s v="128.205.114.91"/>
    <s v="NA2547 -- .S74 2012eb"/>
    <n v="729"/>
    <d v="2012-03-05T00:00:00"/>
  </r>
  <r>
    <x v="3254"/>
    <d v="1899-12-30T00:55:00"/>
    <x v="506"/>
    <x v="0"/>
    <s v="Buffalo"/>
    <x v="533"/>
    <n v="1760720"/>
    <x v="4"/>
    <s v="Medicine"/>
    <s v="9781462517459"/>
    <s v=",1,2,51,52,53,50,49,2,54,55,56,57,58,59,60,61,62,63,64,65,66,67,68,69,70,71,72,73,74,75,76"/>
    <n v="30"/>
    <m/>
    <m/>
    <s v="No"/>
    <x v="0"/>
    <d v="2015-11-19T15:29:09"/>
    <n v="7"/>
    <s v="128.205.114.91"/>
    <s v="RC489.D48 -- L56 2015eb"/>
    <n v="616.89142000000004"/>
    <d v="2014-12-23T00:00:00"/>
  </r>
  <r>
    <x v="3255"/>
    <d v="1899-12-30T00:02:34"/>
    <x v="13"/>
    <x v="0"/>
    <s v="Buffalo"/>
    <x v="6"/>
    <n v="1635363"/>
    <x v="0"/>
    <s v="Law"/>
    <s v="9781118678206"/>
    <s v=",2,1,3,3,2,1,2,2,49,50,49,50,47,51,51,48,48,52,53,53,52,54,55,54,51,55,56,57,56,57"/>
    <n v="14"/>
    <m/>
    <m/>
    <s v="No"/>
    <x v="0"/>
    <d v="2015-11-17T19:57:32"/>
    <n v="7"/>
    <s v="128.205.114.91"/>
    <s v="KF285.Z9 -- H38 2014eb"/>
    <n v="340.07600000000002"/>
    <d v="2014-02-14T00:00:00"/>
  </r>
  <r>
    <x v="3256"/>
    <d v="1899-12-30T00:09:53"/>
    <x v="13"/>
    <x v="0"/>
    <s v="Buffalo"/>
    <x v="517"/>
    <n v="1645679"/>
    <x v="1"/>
    <s v="Social Science; Medicine"/>
    <s v="9781472413079"/>
    <s v=",208,209,210,206,207,1,2,3,208,209,210,206,207,211,212,213,214,215,216,217,218,219"/>
    <n v="17"/>
    <m/>
    <m/>
    <s v="No"/>
    <x v="0"/>
    <d v="2015-11-19T19:47:59"/>
    <n v="7"/>
    <s v="128.205.114.91"/>
    <s v="RC569.5.B65 -- K97 2014eb"/>
    <s v="306.4/613"/>
    <d v="2014-03-28T00:00:00"/>
  </r>
  <r>
    <x v="3257"/>
    <d v="1899-12-30T01:56:56"/>
    <x v="26"/>
    <x v="6"/>
    <s v="sjfc"/>
    <x v="244"/>
    <n v="848510"/>
    <x v="0"/>
    <s v="Medicine"/>
    <s v="9781118220481"/>
    <s v=",1,3,4,5,2,6,7,30,31,32,28,29,27,26,25,24,23,21,20,22,19,18,17,16,15,14,13,12,11,11,16,1,16,17,18,15,14,13,2,12,11,19,14,13,12,11,1,2,3,4,5,6,7"/>
    <n v="29"/>
    <m/>
    <m/>
    <s v="No"/>
    <x v="0"/>
    <d v="2015-11-19T19:43:33"/>
    <n v="7"/>
    <s v="149.69.254.57"/>
    <s v="RC489.C63 -- C64 2012eb"/>
    <s v="616.89/1425"/>
    <d v="2012-06-06T00:00:00"/>
  </r>
  <r>
    <x v="3258"/>
    <d v="1899-12-30T00:01:06"/>
    <x v="911"/>
    <x v="0"/>
    <s v="Buffalo"/>
    <x v="850"/>
    <n v="1589615"/>
    <x v="1"/>
    <s v="History"/>
    <s v="9781409469865"/>
    <s v=",1,3,2,3,2,1,4,5,4,5,6,6,2,2,7,7,8,8,9,4,9"/>
    <n v="9"/>
    <m/>
    <m/>
    <s v="No"/>
    <x v="1"/>
    <m/>
    <m/>
    <s v="128.205.114.91"/>
    <s v="DF587 -- .C636 2014eb"/>
    <n v="949.50199999999995"/>
    <d v="2014-10-28T00:00:00"/>
  </r>
  <r>
    <x v="3259"/>
    <d v="1899-12-30T00:02:12"/>
    <x v="908"/>
    <x v="6"/>
    <s v="sjfc"/>
    <x v="893"/>
    <n v="1543337"/>
    <x v="7"/>
    <s v="Engineering; Agriculture; Engineering: Chemical"/>
    <s v="9781780642277"/>
    <s v=",1,2,3,117,118,119,115,116,120,2,121,122,123,124,125,126,127,128,129,130,131,132,133,134,135,136,137,144,145,146,147,148,149,150,151,152,138,139,140,141,142,143,137,136"/>
    <n v="41"/>
    <m/>
    <m/>
    <s v="No"/>
    <x v="2"/>
    <d v="2015-11-19T15:37:18"/>
    <n v="1"/>
    <s v="149.69.254.57"/>
    <s v="SB177.Q55 -- B43 2013eb"/>
    <s v="664/.7"/>
    <d v="2013-09-24T00:00:00"/>
  </r>
  <r>
    <x v="3260"/>
    <d v="1899-12-30T02:03:15"/>
    <x v="64"/>
    <x v="6"/>
    <s v="sjfc"/>
    <x v="189"/>
    <n v="1557279"/>
    <x v="0"/>
    <s v="Business/Management"/>
    <s v="9781118863664"/>
    <s v=",1,2,3,4,5,6,7,10,13,14,15,16,17,2,19,20,18,21,63,65,64,61,62,66,67,68,61,62,68,69,70,71,65,64,63,61,62,68,69,70,64,63,63,61,62,66,67,68,63,67,68,64,65,63,61,62,69,64,70,70,70,63,64,65,61,71,63,64,65,61,62,71,71,63,64,65,61,66,72,67,73,74,75,69,68,73,74,75,76,70,77,78,79,80,81,82,83,84,85,86,87,88,89,90,91,92,93,94,95,96,97,108,109,105,99,100,98,96,95,94,93,92,91,90,89,54,55,56,52,53,57,52"/>
    <n v="66"/>
    <s v=",15,65,66,66,68,68,69"/>
    <m/>
    <s v="No"/>
    <x v="0"/>
    <d v="2015-11-17T19:39:23"/>
    <n v="7"/>
    <s v="149.69.254.57"/>
    <s v="HF5661 -- .W384 2014eb"/>
    <n v="657.37800000000004"/>
    <d v="2013-11-07T00:00:00"/>
  </r>
  <r>
    <x v="3261"/>
    <d v="1899-12-30T00:00:37"/>
    <x v="13"/>
    <x v="0"/>
    <s v="Buffalo"/>
    <x v="850"/>
    <n v="1589615"/>
    <x v="1"/>
    <s v="History"/>
    <s v="9781409469865"/>
    <s v=",1,2,3,2,3,1,5,4,5,4,6,6,7,8,7,8,2,9,9,10,10"/>
    <n v="10"/>
    <m/>
    <m/>
    <s v="No"/>
    <x v="0"/>
    <d v="2015-11-19T17:37:25"/>
    <n v="7"/>
    <s v="128.205.114.91"/>
    <s v="DF587 -- .C636 2014eb"/>
    <n v="949.50199999999995"/>
    <d v="2014-10-28T00:00:00"/>
  </r>
  <r>
    <x v="3262"/>
    <d v="1899-12-30T01:08:32"/>
    <x v="13"/>
    <x v="0"/>
    <s v="Buffalo"/>
    <x v="517"/>
    <n v="1645679"/>
    <x v="1"/>
    <s v="Social Science; Medicine"/>
    <s v="9781472413079"/>
    <s v=",1,2,3,5,4,6,7,8,11,13,12,14,10,15,16,17,18,22,24,37,43,44,45,41,42"/>
    <n v="25"/>
    <m/>
    <m/>
    <s v="No"/>
    <x v="1"/>
    <m/>
    <m/>
    <s v="128.205.114.91"/>
    <s v="RC569.5.B65 -- K97 2014eb"/>
    <s v="306.4/613"/>
    <d v="2014-03-28T00:00:00"/>
  </r>
  <r>
    <x v="3263"/>
    <d v="1899-12-30T00:00:36"/>
    <x v="912"/>
    <x v="12"/>
    <s v="potsdam"/>
    <x v="589"/>
    <n v="1938274"/>
    <x v="0"/>
    <s v="Health; Social Science; Medicine"/>
    <s v="9781119098201"/>
    <s v=",1,2,1,2,3,3,87,87,88,88,89,85,89,86,86,2,87"/>
    <n v="8"/>
    <m/>
    <m/>
    <s v="No"/>
    <x v="1"/>
    <m/>
    <m/>
    <s v="137.143.104.94"/>
    <s v="RC564 -- .B74 2015eb"/>
    <s v="362.29/186"/>
    <d v="2015-01-29T00:00:00"/>
  </r>
  <r>
    <x v="3264"/>
    <d v="1899-12-30T00:44:38"/>
    <x v="913"/>
    <x v="1"/>
    <s v="brockport"/>
    <x v="151"/>
    <n v="968030"/>
    <x v="0"/>
    <s v="Psychology"/>
    <s v="9781118285138"/>
    <s v=",421,419,420,421,417,418,422,417,416,421,414,413,412,410,411,409,414,415,417,418,419,416,420,421,416,421,422,420,421,422,418,419"/>
    <n v="14"/>
    <m/>
    <m/>
    <s v="No"/>
    <x v="0"/>
    <d v="2015-11-19T18:31:08"/>
    <n v="7"/>
    <s v="137.21.7.121"/>
    <s v="BF637.C6 -- S85 2013eb"/>
    <n v="158.30000000000001"/>
    <d v="2012-07-10T00:00:00"/>
  </r>
  <r>
    <x v="3265"/>
    <d v="1899-12-30T01:12:47"/>
    <x v="26"/>
    <x v="6"/>
    <s v="sjfc"/>
    <x v="244"/>
    <n v="848510"/>
    <x v="0"/>
    <s v="Medicine"/>
    <s v="9781118220481"/>
    <s v=",1,2,3"/>
    <n v="3"/>
    <m/>
    <m/>
    <s v="No"/>
    <x v="1"/>
    <m/>
    <m/>
    <s v="149.69.254.57"/>
    <s v="RC489.C63 -- C64 2012eb"/>
    <s v="616.89/1425"/>
    <d v="2012-06-06T00:00:00"/>
  </r>
  <r>
    <x v="3266"/>
    <d v="1899-12-30T00:11:12"/>
    <x v="913"/>
    <x v="1"/>
    <s v="brockport"/>
    <x v="151"/>
    <n v="968030"/>
    <x v="0"/>
    <s v="Psychology"/>
    <s v="9781118285138"/>
    <s v=",1,2,2,3,3,1,413,413,414,415,411,415,412,412,414,416,416,2,414,414,415,416,415,416,412,413,413,417,417,418,418,419,419,420,420,421,421,422,422,423,419,423,424,424,425,425,426,426,427,427,428,428,429,429,430,426,430,427,425,421,418,415,414,413,411,411,412,414,410,415,416,417,418,419,420"/>
    <n v="24"/>
    <m/>
    <m/>
    <s v="No"/>
    <x v="1"/>
    <m/>
    <m/>
    <s v="137.21.7.121"/>
    <s v="BF637.C6 -- S85 2013eb"/>
    <n v="158.30000000000001"/>
    <d v="2012-07-10T00:00:00"/>
  </r>
  <r>
    <x v="3267"/>
    <d v="1899-12-30T00:03:46"/>
    <x v="560"/>
    <x v="1"/>
    <s v="brockport"/>
    <x v="151"/>
    <n v="968030"/>
    <x v="0"/>
    <s v="Psychology"/>
    <s v="9781118285138"/>
    <s v=",435,436,437,438,439,440,441,442,443,444,445,446,447,413,414,415,411,412"/>
    <n v="18"/>
    <m/>
    <m/>
    <s v="No"/>
    <x v="0"/>
    <d v="2015-11-19T18:17:18"/>
    <n v="7"/>
    <s v="137.21.7.121"/>
    <s v="BF637.C6 -- S85 2013eb"/>
    <n v="158.30000000000001"/>
    <d v="2012-07-10T00:00:00"/>
  </r>
  <r>
    <x v="3268"/>
    <d v="1899-12-30T00:12:17"/>
    <x v="560"/>
    <x v="1"/>
    <s v="brockport"/>
    <x v="151"/>
    <n v="968030"/>
    <x v="0"/>
    <s v="Psychology"/>
    <s v="9781118285138"/>
    <s v=",1,2,3,429,430,431,427,428,432,433,434"/>
    <n v="11"/>
    <m/>
    <m/>
    <s v="No"/>
    <x v="1"/>
    <m/>
    <m/>
    <s v="137.21.7.121"/>
    <s v="BF637.C6 -- S85 2013eb"/>
    <n v="158.30000000000001"/>
    <d v="2012-07-10T00:00:00"/>
  </r>
  <r>
    <x v="3269"/>
    <d v="1899-12-30T00:17:11"/>
    <x v="13"/>
    <x v="0"/>
    <s v="Buffalo"/>
    <x v="850"/>
    <n v="1589615"/>
    <x v="1"/>
    <s v="History"/>
    <s v="9781409469865"/>
    <s v=",33,34,35,36"/>
    <n v="4"/>
    <m/>
    <m/>
    <s v="No"/>
    <x v="0"/>
    <d v="2015-11-19T17:37:25"/>
    <n v="7"/>
    <s v="128.205.114.91"/>
    <s v="DF587 -- .C636 2014eb"/>
    <n v="949.50199999999995"/>
    <d v="2014-10-28T00:00:00"/>
  </r>
  <r>
    <x v="3270"/>
    <d v="1899-12-30T00:00:16"/>
    <x v="914"/>
    <x v="12"/>
    <s v="potsdam"/>
    <x v="628"/>
    <n v="1610008"/>
    <x v="1"/>
    <s v="Social Science; Law"/>
    <s v="9781409457206"/>
    <s v=",1,2,3,4,5,6,7"/>
    <n v="7"/>
    <m/>
    <m/>
    <s v="No"/>
    <x v="0"/>
    <d v="2015-11-17T18:09:01"/>
    <n v="7"/>
    <s v="137.143.104.94"/>
    <s v="K5104 -- .C375 2014eb"/>
    <n v="364.66"/>
    <d v="2014-03-28T00:00:00"/>
  </r>
  <r>
    <x v="3271"/>
    <d v="1899-12-30T00:07:12"/>
    <x v="13"/>
    <x v="0"/>
    <s v="Buffalo"/>
    <x v="850"/>
    <n v="1589615"/>
    <x v="1"/>
    <s v="History"/>
    <s v="9781409469865"/>
    <s v=",1,2,3,4,28,29,30,26,27,31,32"/>
    <n v="11"/>
    <m/>
    <m/>
    <s v="No"/>
    <x v="3"/>
    <m/>
    <m/>
    <s v="128.205.114.91"/>
    <s v="DF587 -- .C636 2014eb"/>
    <n v="949.50199999999995"/>
    <d v="2014-10-28T00:00:00"/>
  </r>
  <r>
    <x v="3272"/>
    <d v="1899-12-30T00:00:30"/>
    <x v="13"/>
    <x v="0"/>
    <s v="Buffalo"/>
    <x v="850"/>
    <n v="1589615"/>
    <x v="1"/>
    <s v="History"/>
    <s v="9781409469865"/>
    <s v=",1,2,3,28,29,30,26,27,31,32"/>
    <n v="10"/>
    <m/>
    <m/>
    <s v="No"/>
    <x v="3"/>
    <m/>
    <m/>
    <s v="128.205.114.91"/>
    <s v="DF587 -- .C636 2014eb"/>
    <n v="949.50199999999995"/>
    <d v="2014-10-28T00:00:00"/>
  </r>
  <r>
    <x v="3273"/>
    <d v="1899-12-30T00:03:07"/>
    <x v="302"/>
    <x v="13"/>
    <s v="buffalostate"/>
    <x v="896"/>
    <n v="1808763"/>
    <x v="1"/>
    <s v="History; Social Science"/>
    <s v="9780754695318"/>
    <s v=",83,83,83,83,1,2,3"/>
    <n v="4"/>
    <s v=",83"/>
    <m/>
    <s v="No"/>
    <x v="2"/>
    <d v="2015-11-19T16:33:07"/>
    <n v="1"/>
    <s v="136.183.11.43"/>
    <s v="D842.42.M87 -- M85 2014eb"/>
    <s v="305.6/97091821"/>
    <d v="2014-11-28T00:00:00"/>
  </r>
  <r>
    <x v="3274"/>
    <d v="1899-12-30T00:00:40"/>
    <x v="302"/>
    <x v="13"/>
    <s v="buffalostate"/>
    <x v="896"/>
    <n v="1808763"/>
    <x v="1"/>
    <s v="History; Social Science"/>
    <s v="9780754695318"/>
    <s v=",1,2,3,18,39,48,49,76,83,84,85,2,82,81"/>
    <n v="13"/>
    <m/>
    <m/>
    <s v="No"/>
    <x v="3"/>
    <m/>
    <m/>
    <s v="136.183.11.43"/>
    <s v="D842.42.M87 -- M85 2014eb"/>
    <s v="305.6/97091821"/>
    <d v="2014-11-28T00:00:00"/>
  </r>
  <r>
    <x v="3275"/>
    <d v="1899-12-30T00:00:00"/>
    <x v="915"/>
    <x v="0"/>
    <s v="Buffalo"/>
    <x v="781"/>
    <n v="818101"/>
    <x v="0"/>
    <s v="Computer Science/IT; Business/Management"/>
    <s v="9781118225844"/>
    <m/>
    <n v="0"/>
    <m/>
    <m/>
    <s v="Yes"/>
    <x v="0"/>
    <d v="2015-11-19T16:20:47"/>
    <n v="7"/>
    <s v="128.205.114.91"/>
    <s v="QA76.9.A93 -- C37 2012eb"/>
    <s v="658/.0558"/>
    <d v="2012-02-08T00:00:00"/>
  </r>
  <r>
    <x v="3276"/>
    <d v="1899-12-30T00:00:04"/>
    <x v="915"/>
    <x v="0"/>
    <s v="Buffalo"/>
    <x v="781"/>
    <n v="818101"/>
    <x v="0"/>
    <s v="Computer Science/IT; Business/Management"/>
    <s v="9781118225844"/>
    <s v=",1,3,2"/>
    <n v="3"/>
    <m/>
    <m/>
    <s v="No"/>
    <x v="0"/>
    <d v="2015-11-19T16:20:47"/>
    <n v="7"/>
    <s v="128.205.114.91"/>
    <s v="QA76.9.A93 -- C37 2012eb"/>
    <s v="658/.0558"/>
    <d v="2012-02-08T00:00:00"/>
  </r>
  <r>
    <x v="3277"/>
    <d v="1899-12-30T00:00:04"/>
    <x v="915"/>
    <x v="0"/>
    <s v="Buffalo"/>
    <x v="781"/>
    <n v="818101"/>
    <x v="0"/>
    <s v="Computer Science/IT; Business/Management"/>
    <s v="9781118225844"/>
    <s v=",31"/>
    <n v="1"/>
    <s v=",31"/>
    <m/>
    <s v="No"/>
    <x v="0"/>
    <d v="2015-11-19T16:20:47"/>
    <n v="7"/>
    <s v="128.205.114.91"/>
    <s v="QA76.9.A93 -- C37 2012eb"/>
    <s v="658/.0558"/>
    <d v="2012-02-08T00:00:00"/>
  </r>
  <r>
    <x v="3278"/>
    <d v="1899-12-30T02:21:16"/>
    <x v="765"/>
    <x v="1"/>
    <s v="brockport"/>
    <x v="897"/>
    <n v="1562118"/>
    <x v="2"/>
    <s v="Psychology; Social Science"/>
    <s v="9781317763550"/>
    <s v=",43,37,89,91,88,87,90,92,142,143,144,140,141,145,146,147,148,149,150,151,152,153,1,153,154,151,152,155,150,149,2,154,148,147,146,145,40,41,42,38,39,72,73,74,70,71,75,76,94,95,96,92,93,97,98,99,100,101,102,104,103,105,106,107,108,109,110,111,112,113,114,115,116,117,118,119,120,121,42,1,3,2,34,35,36,32,33,31,30,29,28,35,36,37,38,39,41,42,32,38,39,72,73,70,71,75,76,77,78,79,80,81,62,63,64,65,61,73,70,71,6,4,3,5,7,8,9,30,32,28,29,33"/>
    <n v="93"/>
    <m/>
    <m/>
    <s v="No"/>
    <x v="2"/>
    <d v="2015-11-19T16:20:44"/>
    <n v="1"/>
    <s v="137.21.7.121"/>
    <s v="BF575.G7H8"/>
    <n v="362.8"/>
    <d v="2013-11-12T00:00:00"/>
  </r>
  <r>
    <x v="3279"/>
    <d v="1899-12-30T00:00:52"/>
    <x v="915"/>
    <x v="0"/>
    <s v="Buffalo"/>
    <x v="781"/>
    <n v="818101"/>
    <x v="0"/>
    <s v="Computer Science/IT; Business/Management"/>
    <s v="9781118225844"/>
    <s v=",1,2,3,1,31"/>
    <n v="4"/>
    <m/>
    <m/>
    <s v="No"/>
    <x v="1"/>
    <m/>
    <m/>
    <s v="128.205.114.91"/>
    <s v="QA76.9.A93 -- C37 2012eb"/>
    <s v="658/.0558"/>
    <d v="2012-02-08T00:00:00"/>
  </r>
  <r>
    <x v="3280"/>
    <d v="1899-12-30T00:05:28"/>
    <x v="765"/>
    <x v="1"/>
    <s v="brockport"/>
    <x v="897"/>
    <n v="1562118"/>
    <x v="2"/>
    <s v="Psychology; Social Science"/>
    <s v="9781317763550"/>
    <s v=",1,2,3,30,31,32,28,29,33,34,35,40,41,42,38,39"/>
    <n v="16"/>
    <m/>
    <m/>
    <s v="No"/>
    <x v="3"/>
    <m/>
    <m/>
    <s v="137.21.7.121"/>
    <s v="BF575.G7H8"/>
    <n v="362.8"/>
    <d v="2013-11-12T00:00:00"/>
  </r>
  <r>
    <x v="3281"/>
    <d v="1899-12-30T00:00:04"/>
    <x v="916"/>
    <x v="1"/>
    <s v="brockport"/>
    <x v="898"/>
    <n v="1355955"/>
    <x v="2"/>
    <s v="Law"/>
    <s v="9781134615728"/>
    <s v=",1,2,3"/>
    <n v="3"/>
    <m/>
    <m/>
    <s v="No"/>
    <x v="3"/>
    <m/>
    <m/>
    <s v="137.21.7.121"/>
    <s v="KD4095 -- .S27 2013eb"/>
    <n v="344.41011329999998"/>
    <d v="2006-09-19T00:00:00"/>
  </r>
  <r>
    <x v="3282"/>
    <d v="1899-12-30T00:00:20"/>
    <x v="13"/>
    <x v="0"/>
    <s v="Buffalo"/>
    <x v="630"/>
    <n v="771049"/>
    <x v="18"/>
    <s v="Science: Physics; Science; Environmental Studies"/>
    <s v="9781608706648"/>
    <s v=",1,12,14,10,13,11,15,16,17,18,9,8,2"/>
    <n v="13"/>
    <m/>
    <m/>
    <s v="No"/>
    <x v="0"/>
    <d v="2015-11-19T15:52:02"/>
    <n v="7"/>
    <s v="128.205.114.91"/>
    <s v="QC981.8"/>
    <n v="363.73874000000001"/>
    <d v="2012-01-01T00:00:00"/>
  </r>
  <r>
    <x v="3283"/>
    <d v="1899-12-30T00:31:00"/>
    <x v="908"/>
    <x v="6"/>
    <s v="sjfc"/>
    <x v="893"/>
    <n v="1543337"/>
    <x v="7"/>
    <s v="Engineering; Agriculture; Engineering: Chemical"/>
    <s v="9781780642277"/>
    <s v=",35,35,38,117,118,119,115,116,120,249,250,246,121,122,124,125,126,127,128,130,132,133,134,135,62,63,64,65,61,66,67,68,69,70,71,72,91,92,93,89,90,94,95,96,98,99,100,101,102,103,104,105,106"/>
    <n v="52"/>
    <m/>
    <m/>
    <s v="No"/>
    <x v="2"/>
    <d v="2015-11-19T15:37:18"/>
    <n v="1"/>
    <s v="149.69.254.57"/>
    <s v="SB177.Q55 -- B43 2013eb"/>
    <s v="664/.7"/>
    <d v="2013-09-24T00:00:00"/>
  </r>
  <r>
    <x v="3284"/>
    <d v="1899-12-30T00:18:25"/>
    <x v="13"/>
    <x v="0"/>
    <s v="Buffalo"/>
    <x v="630"/>
    <n v="771049"/>
    <x v="18"/>
    <s v="Science: Physics; Science; Environmental Studies"/>
    <s v="9781608706648"/>
    <s v=",1,2,3,8,9,10,6,7,11,12"/>
    <n v="10"/>
    <m/>
    <m/>
    <s v="No"/>
    <x v="1"/>
    <m/>
    <m/>
    <s v="128.205.114.91"/>
    <s v="QC981.8"/>
    <n v="363.73874000000001"/>
    <d v="2012-01-01T00:00:00"/>
  </r>
  <r>
    <x v="3285"/>
    <d v="1899-12-30T00:02:22"/>
    <x v="67"/>
    <x v="5"/>
    <s v="erie"/>
    <x v="31"/>
    <n v="1682559"/>
    <x v="4"/>
    <s v="Medicine"/>
    <s v="9781462515431"/>
    <s v=",1,2,3,246,247,248,244,245,243,249,243,259,277,310,340,365,378,384,385,386,382,383,376,372,370,371,368,369,329,319,313,287,261,248,249,246"/>
    <n v="32"/>
    <m/>
    <m/>
    <s v="No"/>
    <x v="1"/>
    <m/>
    <m/>
    <s v="199.29.6.54"/>
    <s v="RC469 -- .M677 2014eb"/>
    <n v="616.89"/>
    <d v="2014-05-10T00:00:00"/>
  </r>
  <r>
    <x v="3286"/>
    <d v="1899-12-30T00:00:00"/>
    <x v="13"/>
    <x v="0"/>
    <s v="Buffalo"/>
    <x v="899"/>
    <n v="928861"/>
    <x v="14"/>
    <s v="Literature"/>
    <s v="9780786492336"/>
    <s v=",4"/>
    <n v="1"/>
    <m/>
    <m/>
    <s v="No"/>
    <x v="0"/>
    <d v="2015-11-19T15:32:45"/>
    <n v="7"/>
    <s v="128.205.114.91"/>
    <s v="PN56.F34 -- I49 2012eb"/>
    <s v="809/.915"/>
    <d v="2012-05-18T00:00:00"/>
  </r>
  <r>
    <x v="3287"/>
    <d v="1899-12-30T00:53:24"/>
    <x v="506"/>
    <x v="0"/>
    <s v="Buffalo"/>
    <x v="533"/>
    <n v="1760720"/>
    <x v="4"/>
    <s v="Medicine"/>
    <s v="9781462517459"/>
    <s v=",27,28,29,25,26,30,31,32,33,34,35,36,37,38,39,40,41,42,43,44,45,46,47,48,49,50,51,52,53"/>
    <n v="29"/>
    <m/>
    <m/>
    <s v="No"/>
    <x v="0"/>
    <d v="2015-11-19T15:29:09"/>
    <n v="7"/>
    <s v="128.205.114.91"/>
    <s v="RC489.D48 -- L56 2015eb"/>
    <n v="616.89142000000004"/>
    <d v="2014-12-23T00:00:00"/>
  </r>
  <r>
    <x v="3288"/>
    <d v="1899-12-30T00:12:03"/>
    <x v="908"/>
    <x v="6"/>
    <s v="sjfc"/>
    <x v="893"/>
    <n v="1543337"/>
    <x v="7"/>
    <s v="Engineering; Agriculture; Engineering: Chemical"/>
    <s v="9781780642277"/>
    <s v=",1,2,3,30,31,32,28,29,33,34,35,36,37,35"/>
    <n v="13"/>
    <m/>
    <m/>
    <s v="No"/>
    <x v="3"/>
    <m/>
    <m/>
    <s v="149.69.254.57"/>
    <s v="SB177.Q55 -- B43 2013eb"/>
    <s v="664/.7"/>
    <d v="2013-09-24T00:00:00"/>
  </r>
  <r>
    <x v="3289"/>
    <d v="1899-12-30T00:07:22"/>
    <x v="506"/>
    <x v="0"/>
    <s v="Buffalo"/>
    <x v="533"/>
    <n v="1760720"/>
    <x v="4"/>
    <s v="Medicine"/>
    <s v="9781462517459"/>
    <s v=",1,2,3"/>
    <n v="3"/>
    <m/>
    <m/>
    <s v="No"/>
    <x v="1"/>
    <m/>
    <m/>
    <s v="128.205.114.91"/>
    <s v="RC489.D48 -- L56 2015eb"/>
    <n v="616.89142000000004"/>
    <d v="2014-12-23T00:00:00"/>
  </r>
  <r>
    <x v="3290"/>
    <d v="1899-12-30T00:00:16"/>
    <x v="13"/>
    <x v="0"/>
    <s v="Buffalo"/>
    <x v="6"/>
    <n v="1635363"/>
    <x v="0"/>
    <s v="Law"/>
    <s v="9781118678206"/>
    <s v=",1,3,2,4,5,6,7,8,9,10"/>
    <n v="10"/>
    <m/>
    <m/>
    <s v="No"/>
    <x v="0"/>
    <d v="2015-11-17T19:57:32"/>
    <n v="7"/>
    <s v="128.205.114.91"/>
    <s v="KF285.Z9 -- H38 2014eb"/>
    <n v="340.07600000000002"/>
    <d v="2014-02-14T00:00:00"/>
  </r>
  <r>
    <x v="3291"/>
    <d v="1899-12-30T00:04:29"/>
    <x v="13"/>
    <x v="0"/>
    <s v="Buffalo"/>
    <x v="517"/>
    <n v="1645679"/>
    <x v="1"/>
    <s v="Social Science; Medicine"/>
    <s v="9781472413079"/>
    <s v=",1,3,2,12,13,14,10,11,15,16,17,18,19,20,21,22,23,24,25,26,27,28,42,43,44,40,41,39,36,31,11,13,9,10,14"/>
    <n v="31"/>
    <m/>
    <m/>
    <s v="No"/>
    <x v="1"/>
    <m/>
    <m/>
    <s v="128.205.114.91"/>
    <s v="RC569.5.B65 -- K97 2014eb"/>
    <s v="306.4/613"/>
    <d v="2014-03-28T00:00:00"/>
  </r>
  <r>
    <x v="3292"/>
    <d v="1899-12-30T01:04:59"/>
    <x v="634"/>
    <x v="11"/>
    <s v="cobleskill"/>
    <x v="11"/>
    <n v="693176"/>
    <x v="0"/>
    <s v="Engineering: Manufacturing; General Works/Reference; Engineering"/>
    <s v="9781118017746"/>
    <s v=",1,2,3,546,547,548,544,545,549,550,551,552,550,551,548,549,547,552,553,554,387,388,389,385,386,597,598,599,595,596,600,594,593,559,560,561,557,558,549,547,548"/>
    <n v="32"/>
    <m/>
    <m/>
    <s v="No"/>
    <x v="0"/>
    <d v="2015-11-17T16:33:26"/>
    <n v="7"/>
    <s v="137.36.32.34"/>
    <s v="Z246 -- .M43 2012eb"/>
    <s v="686.2/209"/>
    <d v="2011-10-19T00:00:00"/>
  </r>
  <r>
    <x v="3293"/>
    <d v="1899-12-30T00:00:18"/>
    <x v="917"/>
    <x v="6"/>
    <s v="sjfc"/>
    <x v="893"/>
    <n v="1543337"/>
    <x v="7"/>
    <s v="Engineering; Agriculture; Engineering: Chemical"/>
    <s v="9781780642277"/>
    <s v=",1,2,3"/>
    <n v="3"/>
    <m/>
    <m/>
    <s v="No"/>
    <x v="3"/>
    <m/>
    <m/>
    <s v="149.69.254.57"/>
    <s v="SB177.Q55 -- B43 2013eb"/>
    <s v="664/.7"/>
    <d v="2013-09-24T00:00:00"/>
  </r>
  <r>
    <x v="3294"/>
    <d v="1899-12-30T00:04:35"/>
    <x v="506"/>
    <x v="0"/>
    <s v="Buffalo"/>
    <x v="533"/>
    <n v="1760720"/>
    <x v="4"/>
    <s v="Medicine"/>
    <s v="9781462517459"/>
    <s v=",1,2,3,13,14,15,11,12,16,17,18,19,20,21,22,23,24,25,26,27,28,29,30,31"/>
    <n v="24"/>
    <m/>
    <m/>
    <s v="No"/>
    <x v="1"/>
    <m/>
    <m/>
    <s v="128.205.114.91"/>
    <s v="RC489.D48 -- L56 2015eb"/>
    <n v="616.89142000000004"/>
    <d v="2014-12-23T00:00:00"/>
  </r>
  <r>
    <x v="3295"/>
    <d v="1899-12-30T00:42:14"/>
    <x v="13"/>
    <x v="0"/>
    <s v="Buffalo"/>
    <x v="73"/>
    <n v="1119505"/>
    <x v="0"/>
    <s v="Science: Chemistry; Science"/>
    <s v="9781118355015"/>
    <s v=",1,3,2,169,170,171,167,168,172,2,173,174,175,176,177,178,179,180,181,182,183,184,191,192,193,194,195,196,197,198"/>
    <n v="29"/>
    <m/>
    <m/>
    <s v="No"/>
    <x v="0"/>
    <d v="2015-11-14T16:15:40"/>
    <n v="7"/>
    <s v="128.205.114.91"/>
    <s v="QD251.3 -- .S38 2013eb"/>
    <s v="547/.128"/>
    <d v="2013-01-28T00:00:00"/>
  </r>
  <r>
    <x v="3296"/>
    <d v="1899-12-30T00:40:37"/>
    <x v="850"/>
    <x v="4"/>
    <s v="monroe2boces"/>
    <x v="852"/>
    <n v="1107458"/>
    <x v="14"/>
    <s v="History; Political Science"/>
    <s v="9781476600161"/>
    <s v=",52,67,59,53,41,40,45,46,53,54,55,56,58,57,58,59,60"/>
    <n v="14"/>
    <s v=",50,49,50,51,52,52,53"/>
    <m/>
    <s v="No"/>
    <x v="0"/>
    <d v="2015-11-19T14:25:37"/>
    <n v="7"/>
    <s v="24.103.152.138"/>
    <s v="F1414 -- .G214 2013eb"/>
    <s v="321.9092/28; 321.909228"/>
    <d v="2013-01-13T00:00:00"/>
  </r>
  <r>
    <x v="3297"/>
    <d v="1899-12-30T01:03:34"/>
    <x v="13"/>
    <x v="0"/>
    <s v="Buffalo"/>
    <x v="73"/>
    <n v="1119505"/>
    <x v="0"/>
    <s v="Science: Chemistry; Science"/>
    <s v="9781118355015"/>
    <s v=",1,2,3,178,180,179,176,177,181,182,183,184,185,186,169,170,171,167,168,172,187,191,192,193,189,190,194,195,196,197,198,199,200,201,202,225,226,227,223,224,228,229,230,231,232,233,234,235,237,236,266,267,268,264,265,215,216,217,213,214,218,219,220"/>
    <n v="63"/>
    <m/>
    <m/>
    <s v="No"/>
    <x v="0"/>
    <d v="2015-11-14T16:15:40"/>
    <n v="7"/>
    <s v="128.205.114.91"/>
    <s v="QD251.3 -- .S38 2013eb"/>
    <s v="547/.128"/>
    <d v="2013-01-28T00:00:00"/>
  </r>
  <r>
    <x v="3298"/>
    <d v="1899-12-30T00:00:45"/>
    <x v="13"/>
    <x v="0"/>
    <s v="Buffalo"/>
    <x v="73"/>
    <n v="1119505"/>
    <x v="0"/>
    <s v="Science: Chemistry; Science"/>
    <s v="9781118355015"/>
    <s v=",1,2,3,169,170,171,167,168,172,2,173"/>
    <n v="10"/>
    <m/>
    <m/>
    <s v="No"/>
    <x v="0"/>
    <d v="2015-11-14T16:15:40"/>
    <n v="7"/>
    <s v="128.205.114.91"/>
    <s v="QD251.3 -- .S38 2013eb"/>
    <s v="547/.128"/>
    <d v="2013-01-28T00:00:00"/>
  </r>
  <r>
    <x v="3299"/>
    <d v="1899-12-30T00:01:59"/>
    <x v="836"/>
    <x v="8"/>
    <s v="niagaracc"/>
    <x v="900"/>
    <n v="1582693"/>
    <x v="2"/>
    <s v="Sport &amp; Recreation; Social Science"/>
    <s v="9781135019150"/>
    <s v=",1,2,3,4,14,15,16,8,9,10,6,7,11,28,29,30,27,26,31,82,83,84,80,81"/>
    <n v="24"/>
    <m/>
    <m/>
    <s v="No"/>
    <x v="3"/>
    <m/>
    <m/>
    <s v="132.174.254.37"/>
    <s v="GV706.5 -- .S6967 2014eb"/>
    <n v="306.483"/>
    <d v="2013-12-17T00:00:00"/>
  </r>
  <r>
    <x v="3300"/>
    <d v="1899-12-30T01:16:26"/>
    <x v="13"/>
    <x v="0"/>
    <s v="Buffalo"/>
    <x v="899"/>
    <n v="928861"/>
    <x v="14"/>
    <s v="Literature"/>
    <s v="9780786492336"/>
    <s v=",1,2,3,1,4,5,2,3,42,43,40,41,135,137,133,134,122,123,124,120,121,125,172,174,170,121,122,119"/>
    <n v="23"/>
    <m/>
    <m/>
    <s v="No"/>
    <x v="1"/>
    <m/>
    <m/>
    <s v="128.205.114.91"/>
    <s v="PN56.F34 -- I49 2012eb"/>
    <s v="809/.915"/>
    <d v="2012-05-18T00:00:00"/>
  </r>
  <r>
    <x v="3301"/>
    <d v="1899-12-30T00:10:35"/>
    <x v="850"/>
    <x v="4"/>
    <s v="monroe2boces"/>
    <x v="852"/>
    <n v="1107458"/>
    <x v="14"/>
    <s v="History; Political Science"/>
    <s v="9781476600161"/>
    <s v=",1,2,3,49,50,51,47,48,52,53,54,55,56,57,58,59,60,46,45"/>
    <n v="19"/>
    <m/>
    <m/>
    <s v="No"/>
    <x v="1"/>
    <m/>
    <m/>
    <s v="24.103.152.138"/>
    <s v="F1414 -- .G214 2013eb"/>
    <s v="321.9092/28; 321.909228"/>
    <d v="2013-01-13T00:00:00"/>
  </r>
  <r>
    <x v="3302"/>
    <d v="1899-12-30T00:00:53"/>
    <x v="850"/>
    <x v="4"/>
    <s v="monroe2boces"/>
    <x v="852"/>
    <n v="1107458"/>
    <x v="14"/>
    <s v="History; Political Science"/>
    <s v="9781476600161"/>
    <s v=",1,3,2,49,50,51,48,47"/>
    <n v="8"/>
    <m/>
    <m/>
    <s v="No"/>
    <x v="1"/>
    <m/>
    <m/>
    <s v="24.103.152.138"/>
    <s v="F1414 -- .G214 2013eb"/>
    <s v="321.9092/28; 321.909228"/>
    <d v="2013-01-13T00:00:00"/>
  </r>
  <r>
    <x v="3303"/>
    <d v="1899-12-30T00:42:11"/>
    <x v="789"/>
    <x v="6"/>
    <s v="sjfc"/>
    <x v="68"/>
    <n v="1822529"/>
    <x v="0"/>
    <s v="Mathematics"/>
    <s v="9781118824344"/>
    <s v=",1,2,3,1,2,3,183,184,185,181,182,186,187,188,189,190,191,192,193,194,195,196,197,198"/>
    <n v="21"/>
    <m/>
    <m/>
    <s v="No"/>
    <x v="0"/>
    <d v="2015-11-15T20:04:50"/>
    <n v="7"/>
    <s v="149.69.254.57"/>
    <s v="QA297 -- .S59 2015eb"/>
    <n v="519.4"/>
    <d v="2014-10-20T00:00:00"/>
  </r>
  <r>
    <x v="3304"/>
    <d v="1899-12-30T00:02:38"/>
    <x v="878"/>
    <x v="0"/>
    <s v="Buffalo"/>
    <x v="28"/>
    <n v="817313"/>
    <x v="0"/>
    <s v="Education"/>
    <s v="9781118136829"/>
    <s v=",1,251,252,253,249,250,2,266,267,268,264,269,270,271,272,273,274,275,276,278,279,280,277,265,263,261,262,89,90,91,87,92,88,93,94,95,96,97"/>
    <n v="38"/>
    <m/>
    <m/>
    <s v="No"/>
    <x v="0"/>
    <d v="2015-11-19T07:50:37"/>
    <n v="7"/>
    <s v="128.205.114.91"/>
    <s v="LB2367.4 -- .W65 2012eb"/>
    <n v="378.16640000000001"/>
    <d v="2012-01-10T00:00:00"/>
  </r>
  <r>
    <x v="3305"/>
    <d v="1899-12-30T00:00:57"/>
    <x v="13"/>
    <x v="0"/>
    <s v="Buffalo"/>
    <x v="901"/>
    <n v="864784"/>
    <x v="10"/>
    <s v="Education"/>
    <s v="9781400841578"/>
    <s v=",1,2,3,84,85,86,82,83,87,53,54,55,119,120,121,117,118,122,123,124,125,126,127,128,129,130,131,132"/>
    <n v="28"/>
    <m/>
    <m/>
    <s v="No"/>
    <x v="1"/>
    <m/>
    <m/>
    <s v="128.205.114.91"/>
    <s v="LA227.4 .D455 2012"/>
    <n v="378.73"/>
    <d v="2014-05-27T00:00:00"/>
  </r>
  <r>
    <x v="3306"/>
    <d v="1899-12-30T01:54:56"/>
    <x v="878"/>
    <x v="0"/>
    <s v="Buffalo"/>
    <x v="28"/>
    <n v="817313"/>
    <x v="0"/>
    <s v="Education"/>
    <s v="9781118136829"/>
    <s v=",1,2,3,95,96,97,93,94,98,99,100,101,102,103,104,105,107,106,108,1,2,3,185,186,2,187,183,184,182,188,189,190,191,266,267,268,264,265,247,248,249,245,246,243,244,241,242,253,252,250,254,251"/>
    <n v="48"/>
    <m/>
    <m/>
    <s v="No"/>
    <x v="1"/>
    <m/>
    <m/>
    <s v="128.205.114.91"/>
    <s v="LB2367.4 -- .W65 2012eb"/>
    <n v="378.16640000000001"/>
    <d v="2012-01-10T00:00:00"/>
  </r>
  <r>
    <x v="3307"/>
    <d v="1899-12-30T00:09:40"/>
    <x v="918"/>
    <x v="13"/>
    <s v="buffalostate"/>
    <x v="902"/>
    <n v="1572865"/>
    <x v="5"/>
    <s v="History; Social Science"/>
    <s v="9780814769331"/>
    <s v=",1,2,3,4,5,6,7,8,9,10,11"/>
    <n v="11"/>
    <m/>
    <m/>
    <s v="No"/>
    <x v="1"/>
    <m/>
    <m/>
    <s v="136.183.11.43"/>
    <s v="E184.A1 -- .R446 2014eb"/>
    <n v="305.800973"/>
    <d v="2014-01-20T00:00:00"/>
  </r>
  <r>
    <x v="3308"/>
    <d v="1899-12-30T00:34:01"/>
    <x v="919"/>
    <x v="13"/>
    <s v="buffalostate"/>
    <x v="630"/>
    <n v="771049"/>
    <x v="18"/>
    <s v="Science: Physics; Science; Environmental Studies"/>
    <s v="9781608706648"/>
    <s v=",39,40,41,42,43,44,45,46,47,48,49,50,51,52,57,58,59,55,56,1,56,57,58,54,55,2,65,63,64,5,6,7,4,3"/>
    <n v="30"/>
    <m/>
    <m/>
    <s v="No"/>
    <x v="0"/>
    <d v="2015-11-19T05:12:45"/>
    <n v="7"/>
    <s v="136.183.11.43"/>
    <s v="QC981.8"/>
    <n v="363.73874000000001"/>
    <d v="2012-01-01T00:00:00"/>
  </r>
  <r>
    <x v="3309"/>
    <d v="1899-12-30T00:10:34"/>
    <x v="919"/>
    <x v="13"/>
    <s v="buffalostate"/>
    <x v="630"/>
    <n v="771049"/>
    <x v="18"/>
    <s v="Science: Physics; Science; Environmental Studies"/>
    <s v="9781608706648"/>
    <s v=",1,2,3,36,37,38,34,35"/>
    <n v="8"/>
    <m/>
    <m/>
    <s v="No"/>
    <x v="1"/>
    <m/>
    <m/>
    <s v="136.183.11.43"/>
    <s v="QC981.8"/>
    <n v="363.73874000000001"/>
    <d v="2012-01-01T00:00:00"/>
  </r>
  <r>
    <x v="3310"/>
    <d v="1899-12-30T00:02:46"/>
    <x v="468"/>
    <x v="0"/>
    <s v="Buffalo"/>
    <x v="508"/>
    <n v="1882107"/>
    <x v="3"/>
    <s v="History; Social Science"/>
    <s v="9780520961593"/>
    <s v=",1,2,3,1,148,148,149,150,146,147,172,173,174,170,171,151,152,153,154"/>
    <n v="17"/>
    <s v=",148"/>
    <m/>
    <s v="No"/>
    <x v="0"/>
    <d v="2015-11-19T02:36:40"/>
    <n v="7"/>
    <s v="128.205.114.91"/>
    <s v="HX413.8.K68"/>
    <n v="952.03099999999995"/>
    <d v="2015-06-09T00:00:00"/>
  </r>
  <r>
    <x v="3311"/>
    <d v="1899-12-30T01:14:36"/>
    <x v="914"/>
    <x v="12"/>
    <s v="potsdam"/>
    <x v="628"/>
    <n v="1610008"/>
    <x v="1"/>
    <s v="Social Science; Law"/>
    <s v="9781409457206"/>
    <s v=",1,2,3,4,5,6,7,8,11,13,15,16,18,19,20,17,24,61,62,63,60,59,64,58,57,56,54,55,53,52,51,50,49,48,47,46,45,44,43,42"/>
    <n v="40"/>
    <m/>
    <m/>
    <s v="No"/>
    <x v="0"/>
    <d v="2015-11-17T18:09:01"/>
    <n v="7"/>
    <s v="137.143.104.94"/>
    <s v="K5104 -- .C375 2014eb"/>
    <n v="364.66"/>
    <d v="2014-03-28T00:00:00"/>
  </r>
  <r>
    <x v="3312"/>
    <d v="1899-12-30T00:00:33"/>
    <x v="912"/>
    <x v="12"/>
    <s v="potsdam"/>
    <x v="719"/>
    <n v="771074"/>
    <x v="18"/>
    <s v="Medicine; Pharmacy; Social Science; Health"/>
    <s v="9780761499732"/>
    <s v=",1,2,3,29,30,31,27,28,29"/>
    <n v="8"/>
    <m/>
    <m/>
    <s v="No"/>
    <x v="1"/>
    <m/>
    <m/>
    <s v="137.143.104.94"/>
    <s v="RM301.17 .K567 2012"/>
    <s v="362.29; 615.1"/>
    <d v="2012-01-01T00:00:00"/>
  </r>
  <r>
    <x v="3313"/>
    <d v="1899-12-30T00:00:35"/>
    <x v="912"/>
    <x v="12"/>
    <s v="potsdam"/>
    <x v="589"/>
    <n v="1938274"/>
    <x v="0"/>
    <s v="Health; Social Science; Medicine"/>
    <s v="9781119098201"/>
    <s v=",1,2,3,87,88,89,85,86,84,83,82"/>
    <n v="11"/>
    <m/>
    <m/>
    <s v="No"/>
    <x v="1"/>
    <m/>
    <m/>
    <s v="137.143.104.94"/>
    <s v="RC564 -- .B74 2015eb"/>
    <s v="362.29/186"/>
    <d v="2015-01-29T00:00:00"/>
  </r>
  <r>
    <x v="3314"/>
    <d v="1899-12-30T00:04:19"/>
    <x v="807"/>
    <x v="0"/>
    <s v="Buffalo"/>
    <x v="73"/>
    <n v="1119505"/>
    <x v="0"/>
    <s v="Science: Chemistry; Science"/>
    <s v="9781118355015"/>
    <s v=",1,2,3,198,199,200,197,196,227,228,229,225,226,223,224,230"/>
    <n v="16"/>
    <m/>
    <m/>
    <s v="No"/>
    <x v="0"/>
    <d v="2015-11-16T23:53:54"/>
    <n v="7"/>
    <s v="128.205.114.91"/>
    <s v="QD251.3 -- .S38 2013eb"/>
    <s v="547/.128"/>
    <d v="2013-01-28T00:00:00"/>
  </r>
  <r>
    <x v="3315"/>
    <d v="1899-12-30T00:00:41"/>
    <x v="920"/>
    <x v="0"/>
    <s v="Buffalo"/>
    <x v="111"/>
    <n v="1166322"/>
    <x v="0"/>
    <s v="Architecture"/>
    <s v="9781118418512"/>
    <s v=",1,2,3,55,56,57,53,54"/>
    <n v="8"/>
    <m/>
    <m/>
    <s v="No"/>
    <x v="1"/>
    <m/>
    <m/>
    <s v="128.205.114.91"/>
    <s v="NA2000 -- .G76 2013eb"/>
    <n v="720.072"/>
    <d v="2013-04-03T00:00:00"/>
  </r>
  <r>
    <x v="3316"/>
    <d v="1899-12-30T00:00:04"/>
    <x v="468"/>
    <x v="0"/>
    <s v="Buffalo"/>
    <x v="508"/>
    <n v="1882107"/>
    <x v="3"/>
    <s v="History; Social Science"/>
    <s v="9780520961593"/>
    <s v=",1,2,3"/>
    <n v="3"/>
    <m/>
    <m/>
    <s v="No"/>
    <x v="0"/>
    <d v="2015-11-19T02:36:40"/>
    <n v="7"/>
    <s v="128.205.114.91"/>
    <s v="HX413.8.K68"/>
    <n v="952.03099999999995"/>
    <d v="2015-06-09T00:00:00"/>
  </r>
  <r>
    <x v="3317"/>
    <d v="1899-12-30T00:00:41"/>
    <x v="468"/>
    <x v="0"/>
    <s v="Buffalo"/>
    <x v="508"/>
    <n v="1882107"/>
    <x v="3"/>
    <s v="History; Social Science"/>
    <s v="9780520961593"/>
    <s v=",160,161"/>
    <n v="2"/>
    <m/>
    <m/>
    <s v="Yes"/>
    <x v="0"/>
    <d v="2015-11-19T02:36:40"/>
    <n v="7"/>
    <s v="128.205.114.91"/>
    <s v="HX413.8.K68"/>
    <n v="952.03099999999995"/>
    <d v="2015-06-09T00:00:00"/>
  </r>
  <r>
    <x v="3318"/>
    <d v="1899-12-30T00:00:25"/>
    <x v="468"/>
    <x v="0"/>
    <s v="Buffalo"/>
    <x v="508"/>
    <n v="1882107"/>
    <x v="3"/>
    <s v="History; Social Science"/>
    <s v="9780520961593"/>
    <s v=",1,2,3,151,152,153"/>
    <n v="6"/>
    <s v=",1,151"/>
    <m/>
    <s v="No"/>
    <x v="0"/>
    <d v="2015-11-19T02:36:40"/>
    <n v="7"/>
    <s v="128.205.114.91"/>
    <s v="HX413.8.K68"/>
    <n v="952.03099999999995"/>
    <d v="2015-06-09T00:00:00"/>
  </r>
  <r>
    <x v="3319"/>
    <d v="1899-12-30T00:05:23"/>
    <x v="468"/>
    <x v="0"/>
    <s v="Buffalo"/>
    <x v="508"/>
    <n v="1882107"/>
    <x v="3"/>
    <s v="History; Social Science"/>
    <s v="9780520961593"/>
    <s v=",1,2,3,151,152,153,149,150,151,151,152,153,154,155,156,157,158,159"/>
    <n v="14"/>
    <m/>
    <m/>
    <s v="No"/>
    <x v="0"/>
    <d v="2015-11-19T02:36:40"/>
    <n v="7"/>
    <s v="128.205.114.91"/>
    <s v="HX413.8.K68"/>
    <n v="952.03099999999995"/>
    <d v="2015-06-09T00:00:00"/>
  </r>
  <r>
    <x v="3320"/>
    <d v="1899-12-30T00:00:00"/>
    <x v="921"/>
    <x v="1"/>
    <s v="brockport"/>
    <x v="372"/>
    <n v="877782"/>
    <x v="0"/>
    <s v="Social Science; Science: Biology/Natural History; Science"/>
    <s v="9781118255407"/>
    <m/>
    <n v="0"/>
    <m/>
    <m/>
    <s v="No"/>
    <x v="1"/>
    <m/>
    <m/>
    <s v="137.21.7.121"/>
    <s v="GN69.8 -- .C659 2012eb"/>
    <n v="599.9"/>
    <d v="2012-03-26T00:00:00"/>
  </r>
  <r>
    <x v="3321"/>
    <d v="1899-12-30T00:02:15"/>
    <x v="468"/>
    <x v="0"/>
    <s v="Buffalo"/>
    <x v="508"/>
    <n v="1882107"/>
    <x v="3"/>
    <s v="History; Social Science"/>
    <s v="9780520961593"/>
    <s v=",142,143,144,145,141,146,147,228,229,227,225,226"/>
    <n v="12"/>
    <m/>
    <s v=",10,11,12,13,14,15,16,17,18,19,20,21,22,23,90,9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134,135,136,137,138,139"/>
    <s v="No"/>
    <x v="0"/>
    <d v="2015-11-19T02:36:40"/>
    <n v="7"/>
    <s v="128.205.114.91"/>
    <s v="HX413.8.K68"/>
    <n v="952.03099999999995"/>
    <d v="2015-06-09T00:00:00"/>
  </r>
  <r>
    <x v="3322"/>
    <d v="1899-12-30T00:00:08"/>
    <x v="468"/>
    <x v="0"/>
    <s v="Buffalo"/>
    <x v="508"/>
    <n v="1882107"/>
    <x v="3"/>
    <s v="History; Social Science"/>
    <s v="9780520961593"/>
    <s v=",1,2,3"/>
    <n v="3"/>
    <m/>
    <m/>
    <s v="No"/>
    <x v="3"/>
    <m/>
    <m/>
    <s v="128.205.114.91"/>
    <s v="HX413.8.K68"/>
    <n v="952.03099999999995"/>
    <d v="2015-06-09T00:00:00"/>
  </r>
  <r>
    <x v="3323"/>
    <d v="1899-12-30T00:08:47"/>
    <x v="807"/>
    <x v="0"/>
    <s v="Buffalo"/>
    <x v="73"/>
    <n v="1119505"/>
    <x v="0"/>
    <s v="Science: Chemistry; Science"/>
    <s v="9781118355015"/>
    <s v=",1,2,3,178,179,180,177,176,181,182,183,184,191,192,193,189,190,194,195,196,197,198"/>
    <n v="22"/>
    <m/>
    <m/>
    <s v="No"/>
    <x v="0"/>
    <d v="2015-11-16T23:53:54"/>
    <n v="7"/>
    <s v="128.205.114.91"/>
    <s v="QD251.3 -- .S38 2013eb"/>
    <s v="547/.128"/>
    <d v="2013-01-28T00:00:00"/>
  </r>
  <r>
    <x v="3324"/>
    <d v="1899-12-30T00:00:00"/>
    <x v="922"/>
    <x v="0"/>
    <s v="Buffalo"/>
    <x v="781"/>
    <n v="818101"/>
    <x v="0"/>
    <s v="Computer Science/IT; Business/Management"/>
    <s v="9781118225844"/>
    <m/>
    <n v="0"/>
    <m/>
    <m/>
    <s v="Yes"/>
    <x v="0"/>
    <d v="2015-11-19T02:14:27"/>
    <n v="7"/>
    <s v="128.205.114.91"/>
    <s v="QA76.9.A93 -- C37 2012eb"/>
    <s v="658/.0558"/>
    <d v="2012-02-08T00:00:00"/>
  </r>
  <r>
    <x v="3325"/>
    <d v="1899-12-30T00:09:02"/>
    <x v="923"/>
    <x v="7"/>
    <s v="oneonta"/>
    <x v="760"/>
    <n v="943645"/>
    <x v="15"/>
    <s v="History"/>
    <s v="9781441104755"/>
    <s v=",1,2,3,128,129,130,126,127,64,65,66,67,68,69,70,71,72,73,74,75,76,77,78,79,80,81,82,83,99,100,97,101,98,102,103,104,105,106,111,112,113,109,110,114,115,193,194,195,191,192,144,145,146,142,143,131,132,133,134,107,108"/>
    <n v="61"/>
    <m/>
    <m/>
    <s v="No"/>
    <x v="1"/>
    <m/>
    <m/>
    <s v="137.141.13.2"/>
    <s v="CB5 .M384 2012"/>
    <n v="948.02200000000005"/>
    <d v="2012-05-31T00:00:00"/>
  </r>
  <r>
    <x v="3326"/>
    <d v="1899-12-30T00:00:50"/>
    <x v="922"/>
    <x v="0"/>
    <s v="Buffalo"/>
    <x v="781"/>
    <n v="818101"/>
    <x v="0"/>
    <s v="Computer Science/IT; Business/Management"/>
    <s v="9781118225844"/>
    <s v=",9"/>
    <n v="1"/>
    <m/>
    <m/>
    <s v="No"/>
    <x v="0"/>
    <d v="2015-11-19T02:14:27"/>
    <n v="7"/>
    <s v="128.205.114.91"/>
    <s v="QA76.9.A93 -- C37 2012eb"/>
    <s v="658/.0558"/>
    <d v="2012-02-08T00:00:00"/>
  </r>
  <r>
    <x v="3327"/>
    <d v="1899-12-30T00:01:30"/>
    <x v="922"/>
    <x v="0"/>
    <s v="Buffalo"/>
    <x v="781"/>
    <n v="818101"/>
    <x v="0"/>
    <s v="Computer Science/IT; Business/Management"/>
    <s v="9781118225844"/>
    <s v=",1,2,3,1,2"/>
    <n v="3"/>
    <m/>
    <m/>
    <s v="No"/>
    <x v="1"/>
    <m/>
    <m/>
    <s v="128.205.114.91"/>
    <s v="QA76.9.A93 -- C37 2012eb"/>
    <s v="658/.0558"/>
    <d v="2012-02-08T00:00:00"/>
  </r>
  <r>
    <x v="3328"/>
    <d v="1899-12-30T00:04:41"/>
    <x v="391"/>
    <x v="13"/>
    <s v="buffalostate"/>
    <x v="903"/>
    <n v="2038670"/>
    <x v="1"/>
    <s v="Geography/Travel"/>
    <s v="9781472460646"/>
    <s v=",1,3,2,32,34,30,35,29,1,30,31,27,28,26,2,32,33,34,35,36,37"/>
    <n v="15"/>
    <m/>
    <m/>
    <s v="No"/>
    <x v="3"/>
    <m/>
    <m/>
    <s v="136.183.11.43"/>
    <n v="2001347571"/>
    <n v="919.89"/>
    <d v="2015-05-28T00:00:00"/>
  </r>
  <r>
    <x v="3329"/>
    <d v="1899-12-30T00:00:08"/>
    <x v="26"/>
    <x v="6"/>
    <s v="sjfc"/>
    <x v="904"/>
    <n v="1895592"/>
    <x v="0"/>
    <s v="Pharmacy; Medicine"/>
    <s v="9781118768594"/>
    <s v=",1,2,3"/>
    <n v="3"/>
    <m/>
    <m/>
    <s v="No"/>
    <x v="3"/>
    <m/>
    <m/>
    <s v="149.69.254.57"/>
    <s v="RS403"/>
    <n v="615.19000000000005"/>
    <d v="2015-05-01T00:00:00"/>
  </r>
  <r>
    <x v="3330"/>
    <d v="1899-12-30T00:00:03"/>
    <x v="26"/>
    <x v="6"/>
    <s v="sjfc"/>
    <x v="905"/>
    <n v="1765117"/>
    <x v="0"/>
    <s v="Science: Physics; Science"/>
    <s v="9781118698303"/>
    <s v=",1,2,3"/>
    <n v="3"/>
    <m/>
    <m/>
    <s v="No"/>
    <x v="3"/>
    <m/>
    <m/>
    <s v="149.69.254.57"/>
    <s v="QC176.8.M46 -- .W354 2014eb"/>
    <n v="537.62"/>
    <d v="2014-08-08T00:00:00"/>
  </r>
  <r>
    <x v="3331"/>
    <d v="1899-12-30T00:02:28"/>
    <x v="836"/>
    <x v="8"/>
    <s v="niagaracc"/>
    <x v="906"/>
    <n v="1129663"/>
    <x v="0"/>
    <s v="Sport &amp; Recreation"/>
    <s v="9781118357217"/>
    <s v=",1,2,3,4,5,6,7"/>
    <n v="7"/>
    <m/>
    <m/>
    <s v="No"/>
    <x v="3"/>
    <m/>
    <m/>
    <s v="132.174.254.37"/>
    <s v="GV826.7"/>
    <n v="797.14"/>
    <d v="2013-01-17T00:00:00"/>
  </r>
  <r>
    <x v="3332"/>
    <d v="1899-12-30T00:00:57"/>
    <x v="26"/>
    <x v="6"/>
    <s v="sjfc"/>
    <x v="148"/>
    <n v="818462"/>
    <x v="0"/>
    <s v="Medicine; Pharmacy"/>
    <s v="9781118140383"/>
    <s v=",1,2,3,4,6,7,5,8,9,10,11,12"/>
    <n v="12"/>
    <m/>
    <m/>
    <s v="No"/>
    <x v="1"/>
    <m/>
    <m/>
    <s v="149.69.254.57"/>
    <s v="RM301.5 -- .P48 2011eb"/>
    <s v="615/.7"/>
    <d v="2012-02-29T00:00:00"/>
  </r>
  <r>
    <x v="3333"/>
    <d v="1899-12-30T00:39:25"/>
    <x v="747"/>
    <x v="9"/>
    <s v="trocaire"/>
    <x v="783"/>
    <n v="1693780"/>
    <x v="0"/>
    <s v="Social Science; Health"/>
    <s v="9781118869420"/>
    <s v=",1,2,3,17,18,19,15,16,20,21,22,23,25,26,27,24,14,13,12,11,10,41,42,40,43,39,8"/>
    <n v="27"/>
    <m/>
    <m/>
    <s v="No"/>
    <x v="0"/>
    <d v="2015-11-16T16:14:11"/>
    <n v="7"/>
    <s v="173.225.62.67"/>
    <s v="RA407.3 -- .Y34 2014eb"/>
    <n v="362.10973000000001"/>
    <d v="2014-05-20T00:00:00"/>
  </r>
  <r>
    <x v="3334"/>
    <d v="1899-12-30T00:04:53"/>
    <x v="924"/>
    <x v="8"/>
    <s v="niagaracc"/>
    <x v="588"/>
    <n v="284109"/>
    <x v="0"/>
    <s v="Health; Social Science; Medicine"/>
    <s v="9781405173469"/>
    <s v=",158,159,157,156,154,155,153,152,151,150,149,148,147,146,145,144,143,142,141,140,139,138,137,136,135,134,133,132,131,130,129,128,127,126,125,124,123,122,121,120,119,118,117,116,115,114,113,112,111,110,109,107,108,106,105,104,103,102,101,100,99,98,97,96,95,94,93,92,91,90,89,88,86,87,85,84,83,82,81,80,79,78,77,76,74,75,73,72,70,71,68,69,67,66,65,64,63,62,61,60,58,59,57,56,55,54,53,163"/>
    <n v="108"/>
    <m/>
    <m/>
    <s v="No"/>
    <x v="2"/>
    <d v="2015-11-19T01:37:21"/>
    <n v="1"/>
    <s v="132.174.254.37"/>
    <s v="RC564 .W47 2006eb"/>
    <s v="362.29; 616.86/001"/>
    <d v="2013-05-15T00:00:00"/>
  </r>
  <r>
    <x v="3335"/>
    <d v="1899-12-30T00:04:57"/>
    <x v="924"/>
    <x v="8"/>
    <s v="niagaracc"/>
    <x v="588"/>
    <n v="284109"/>
    <x v="0"/>
    <s v="Health; Social Science; Medicine"/>
    <s v="9781405173469"/>
    <s v=",1,2,3,305,306,307,304,303,308,309,310,4,5,6,7,8,9,10,11,12,13,14,15,16,17,18,19,20,21,22,23,163,164,165,161,162,160"/>
    <n v="37"/>
    <m/>
    <m/>
    <s v="No"/>
    <x v="3"/>
    <m/>
    <m/>
    <s v="132.174.254.37"/>
    <s v="RC564 .W47 2006eb"/>
    <s v="362.29; 616.86/001"/>
    <d v="2013-05-15T00:00:00"/>
  </r>
  <r>
    <x v="3336"/>
    <d v="1899-12-30T00:20:51"/>
    <x v="592"/>
    <x v="1"/>
    <s v="brockport"/>
    <x v="630"/>
    <n v="771049"/>
    <x v="18"/>
    <s v="Science: Physics; Science; Environmental Studies"/>
    <s v="9781608706648"/>
    <s v=",21,22,23,24,25,26,27,28,29,30,1,3,2,20,21,22,18,23,24,25,36,37,38,34,35,39,40,41,42,43,44,45,46,47,48,49,50,51"/>
    <n v="33"/>
    <m/>
    <m/>
    <s v="No"/>
    <x v="0"/>
    <d v="2015-11-19T01:24:47"/>
    <n v="7"/>
    <s v="137.21.7.121"/>
    <s v="QC981.8"/>
    <n v="363.73874000000001"/>
    <d v="2012-01-01T00:00:00"/>
  </r>
  <r>
    <x v="3337"/>
    <d v="1899-12-30T00:10:23"/>
    <x v="592"/>
    <x v="1"/>
    <s v="brockport"/>
    <x v="630"/>
    <n v="771049"/>
    <x v="18"/>
    <s v="Science: Physics; Science; Environmental Studies"/>
    <s v="9781608706648"/>
    <s v=",1,2,3,4,5,6,7,8,9,10,11,12,13,14,15,16,17,18,19,20"/>
    <n v="20"/>
    <m/>
    <m/>
    <s v="No"/>
    <x v="1"/>
    <m/>
    <m/>
    <s v="137.21.7.121"/>
    <s v="QC981.8"/>
    <n v="363.73874000000001"/>
    <d v="2012-01-01T00:00:00"/>
  </r>
  <r>
    <x v="3338"/>
    <d v="1899-12-30T00:44:40"/>
    <x v="463"/>
    <x v="1"/>
    <s v="brockport"/>
    <x v="151"/>
    <n v="968030"/>
    <x v="0"/>
    <s v="Psychology"/>
    <s v="9781118285138"/>
    <s v=",58,56,57,60,59,305,306,307,303,304,308,309,310,311,312,313,386,387,388,384,385,389,390,391,392,393,394,395,396,397,398,399,547,548,549,545,546,550,551,552,553,554,555,556,557,558,559,560,561,562,563,564,541,542,543,539,540,565,566,567,569,568"/>
    <n v="62"/>
    <m/>
    <m/>
    <s v="No"/>
    <x v="0"/>
    <d v="2015-11-19T01:06:23"/>
    <n v="7"/>
    <s v="137.21.7.121"/>
    <s v="BF637.C6 -- S85 2013eb"/>
    <n v="158.30000000000001"/>
    <d v="2012-07-10T00:00:00"/>
  </r>
  <r>
    <x v="3339"/>
    <d v="1899-12-30T00:00:05"/>
    <x v="924"/>
    <x v="8"/>
    <s v="niagaracc"/>
    <x v="588"/>
    <n v="284109"/>
    <x v="0"/>
    <s v="Health; Social Science; Medicine"/>
    <s v="9781405173469"/>
    <s v=",1,2,3"/>
    <n v="3"/>
    <m/>
    <m/>
    <s v="No"/>
    <x v="3"/>
    <m/>
    <m/>
    <s v="132.174.254.37"/>
    <s v="RC564 .W47 2006eb"/>
    <s v="362.29; 616.86/001"/>
    <d v="2013-05-15T00:00:00"/>
  </r>
  <r>
    <x v="3340"/>
    <d v="1899-12-30T00:25:54"/>
    <x v="463"/>
    <x v="1"/>
    <s v="brockport"/>
    <x v="151"/>
    <n v="968030"/>
    <x v="0"/>
    <s v="Psychology"/>
    <s v="9781118285138"/>
    <s v=",1,2,3,4,5"/>
    <n v="5"/>
    <m/>
    <m/>
    <s v="No"/>
    <x v="1"/>
    <m/>
    <m/>
    <s v="137.21.7.121"/>
    <s v="BF637.C6 -- S85 2013eb"/>
    <n v="158.30000000000001"/>
    <d v="2012-07-10T00:00:00"/>
  </r>
  <r>
    <x v="3341"/>
    <d v="1899-12-30T00:01:58"/>
    <x v="925"/>
    <x v="1"/>
    <s v="brockport"/>
    <x v="151"/>
    <n v="968030"/>
    <x v="0"/>
    <s v="Psychology"/>
    <s v="9781118285138"/>
    <s v=",1,2,3,566,567,568,564,565,214,215,216,212,213,211,210"/>
    <n v="15"/>
    <m/>
    <m/>
    <s v="No"/>
    <x v="1"/>
    <m/>
    <m/>
    <s v="137.21.7.121"/>
    <s v="BF637.C6 -- S85 2013eb"/>
    <n v="158.30000000000001"/>
    <d v="2012-07-10T00:00:00"/>
  </r>
  <r>
    <x v="3342"/>
    <d v="1899-12-30T00:01:14"/>
    <x v="713"/>
    <x v="5"/>
    <s v="erie"/>
    <x v="437"/>
    <n v="1767915"/>
    <x v="0"/>
    <s v="Social Science"/>
    <s v="9780730315148"/>
    <s v=",1,2,3,25,26,27,23,24,28,29,30,1,2,3"/>
    <n v="11"/>
    <m/>
    <m/>
    <s v="No"/>
    <x v="0"/>
    <d v="2015-11-12T16:05:55"/>
    <n v="7"/>
    <s v="199.29.6.54"/>
    <s v="HM742 -- .C654 2015eb"/>
    <n v="302.23099999999999"/>
    <d v="2014-08-15T00:00:00"/>
  </r>
  <r>
    <x v="3343"/>
    <d v="1899-12-30T00:30:16"/>
    <x v="465"/>
    <x v="2"/>
    <s v="hilbert"/>
    <x v="505"/>
    <n v="1725830"/>
    <x v="0"/>
    <s v="Economics; Business/Management"/>
    <s v="9780745684116"/>
    <s v=",1,2,3,36,37,34,33,35,38,32,31,39,40,41,42,43,44,45,46,47"/>
    <n v="20"/>
    <m/>
    <m/>
    <s v="No"/>
    <x v="2"/>
    <d v="2015-11-18T04:11:44"/>
    <n v="1"/>
    <s v="72.45.217.43"/>
    <s v="HD5708.46 -- .J366 2014eb"/>
    <n v="331.13704100000001"/>
    <d v="2014-06-27T00:00:00"/>
  </r>
  <r>
    <x v="3344"/>
    <d v="1899-12-30T00:01:41"/>
    <x v="926"/>
    <x v="2"/>
    <s v="hilbert"/>
    <x v="322"/>
    <n v="1728048"/>
    <x v="11"/>
    <s v="Economics; Business/Management"/>
    <s v="9780226093284"/>
    <s v=",1,2,3,26,27,28,24,25,50,51,52,48,49,53,54,55,56,57,58,59,60,92,93,94,90,91,340,341,342,338,339,343,312,337,344,316,336"/>
    <n v="37"/>
    <m/>
    <m/>
    <s v="No"/>
    <x v="2"/>
    <d v="2015-11-18T02:16:50"/>
    <n v="7"/>
    <s v="72.45.217.43"/>
    <s v="HD7293"/>
    <s v="333.33/80973"/>
    <d v="2014-10-17T00:00:00"/>
  </r>
  <r>
    <x v="3345"/>
    <d v="1899-12-30T00:00:00"/>
    <x v="13"/>
    <x v="0"/>
    <s v="Buffalo"/>
    <x v="508"/>
    <n v="1882107"/>
    <x v="3"/>
    <s v="History; Social Science"/>
    <s v="9780520961593"/>
    <m/>
    <n v="0"/>
    <m/>
    <m/>
    <s v="No"/>
    <x v="2"/>
    <d v="2015-11-18T23:50:53"/>
    <n v="1"/>
    <s v="128.205.114.91"/>
    <s v="HX413.8.K68"/>
    <n v="952.03099999999995"/>
    <d v="2015-06-09T00:00:00"/>
  </r>
  <r>
    <x v="3346"/>
    <d v="1899-12-30T00:01:20"/>
    <x v="13"/>
    <x v="0"/>
    <s v="Buffalo"/>
    <x v="508"/>
    <n v="1882107"/>
    <x v="3"/>
    <s v="History; Social Science"/>
    <s v="9780520961593"/>
    <s v=",1,2,3,142,143,144,140,141,145,146,147,148,149,150,151,152,153,154,155,156,157,218,219,220,216,217,221,222"/>
    <n v="28"/>
    <m/>
    <m/>
    <s v="No"/>
    <x v="3"/>
    <m/>
    <m/>
    <s v="128.205.114.91"/>
    <s v="HX413.8.K68"/>
    <n v="952.03099999999995"/>
    <d v="2015-06-09T00:00:00"/>
  </r>
  <r>
    <x v="3347"/>
    <d v="1899-12-30T00:01:07"/>
    <x v="13"/>
    <x v="0"/>
    <s v="Buffalo"/>
    <x v="73"/>
    <n v="1119505"/>
    <x v="0"/>
    <s v="Science: Chemistry; Science"/>
    <s v="9781118355015"/>
    <s v=",1,2,3,269,270,271,267,268,284,285,286,287,288,289,1,289,290,291,287,288,2"/>
    <n v="16"/>
    <m/>
    <s v=",269,270,271,272,273,274,275,276,277,278,279,280,281,282,283,284,285,286"/>
    <s v="No"/>
    <x v="0"/>
    <d v="2015-11-14T16:15:40"/>
    <n v="7"/>
    <s v="128.205.114.91"/>
    <s v="QD251.3 -- .S38 2013eb"/>
    <s v="547/.128"/>
    <d v="2013-01-28T00:00:00"/>
  </r>
  <r>
    <x v="3348"/>
    <d v="1899-12-30T00:00:03"/>
    <x v="799"/>
    <x v="6"/>
    <s v="sjfc"/>
    <x v="822"/>
    <n v="1034770"/>
    <x v="4"/>
    <s v="Medicine"/>
    <s v="9781462507566"/>
    <s v=",1,2,3"/>
    <n v="3"/>
    <m/>
    <m/>
    <s v="No"/>
    <x v="1"/>
    <m/>
    <m/>
    <s v="149.69.254.57"/>
    <s v="RC533 -- .M56 2012eb"/>
    <n v="616.85839999999996"/>
    <d v="2013-10-20T00:00:00"/>
  </r>
  <r>
    <x v="3349"/>
    <d v="1899-12-30T02:50:09"/>
    <x v="927"/>
    <x v="1"/>
    <s v="brockport"/>
    <x v="907"/>
    <n v="877207"/>
    <x v="0"/>
    <s v="Social Science; Health; Medicine"/>
    <s v="9781119945437"/>
    <s v=",10,11,12,13,14,15,16,17,18,19,20,21,22,23,24,25,26,27,28,29,30,31,32,33,34,35,36,37,38,39,40,41,42,43,44,45,46,47,48,49,50,51,52,53,54,55,56,57,58,59,60,61,62,63,64,65,66,67,68,69,70,71,72,73,74,75,76,77,78,79,80,81,82,83,84,85,86,87,88,89,90,91,92,93,95,96,97,98,99,100,101,102,103,104,105,107,106,108,125,126,127,123,124,128,129,130,131,132,133,134,135,136,137,145,146,147,143,144,148,149,150,151,152,153,154,155,156,157,158,159,160,161,162,163,164,165,193,194,195,191,192,196,197,198,201,208,209,210,206,207,211,212,213,214,215,216,217,218,219,220,221,222,223,224,225"/>
    <n v="165"/>
    <m/>
    <m/>
    <s v="No"/>
    <x v="0"/>
    <d v="2015-11-18T23:38:05"/>
    <n v="7"/>
    <s v="137.21.7.121"/>
    <s v="RA1063.45 -- .G46 2012eb"/>
    <s v="614/.1"/>
    <d v="2012-03-16T00:00:00"/>
  </r>
  <r>
    <x v="3350"/>
    <d v="1899-12-30T00:00:03"/>
    <x v="928"/>
    <x v="12"/>
    <s v="potsdam"/>
    <x v="908"/>
    <n v="2078738"/>
    <x v="0"/>
    <s v="Fine Arts"/>
    <s v="9781119049722"/>
    <s v=",1,2,3"/>
    <n v="3"/>
    <m/>
    <m/>
    <s v="No"/>
    <x v="3"/>
    <m/>
    <m/>
    <s v="137.143.104.94"/>
    <s v="MT6 .P64 C53 2015"/>
    <s v="781.6; 781.68"/>
    <d v="2015-06-24T00:00:00"/>
  </r>
  <r>
    <x v="3351"/>
    <d v="1899-12-30T00:19:11"/>
    <x v="713"/>
    <x v="5"/>
    <s v="erie"/>
    <x v="437"/>
    <n v="1767915"/>
    <x v="0"/>
    <s v="Social Science"/>
    <s v="9780730315148"/>
    <s v=",1,2,3,4,5,9,10,11,12,15,16,17,13,14,18,19,20,21,22,23,24,25,26,27,51,36,6,7,8,43,66,92"/>
    <n v="32"/>
    <m/>
    <m/>
    <s v="No"/>
    <x v="0"/>
    <d v="2015-11-12T16:05:55"/>
    <n v="7"/>
    <s v="199.29.6.54"/>
    <s v="HM742 -- .C654 2015eb"/>
    <n v="302.23099999999999"/>
    <d v="2014-08-15T00:00:00"/>
  </r>
  <r>
    <x v="3352"/>
    <d v="1899-12-30T00:11:11"/>
    <x v="927"/>
    <x v="1"/>
    <s v="brockport"/>
    <x v="907"/>
    <n v="877207"/>
    <x v="0"/>
    <s v="Social Science; Health; Medicine"/>
    <s v="9781119945437"/>
    <s v=",1,2,3,4,5,6,7,8,9"/>
    <n v="9"/>
    <m/>
    <m/>
    <s v="No"/>
    <x v="1"/>
    <m/>
    <m/>
    <s v="137.21.7.121"/>
    <s v="RA1063.45 -- .G46 2012eb"/>
    <s v="614/.1"/>
    <d v="2012-03-16T00:00:00"/>
  </r>
  <r>
    <x v="3353"/>
    <d v="1899-12-30T02:01:09"/>
    <x v="592"/>
    <x v="1"/>
    <s v="brockport"/>
    <x v="625"/>
    <n v="836167"/>
    <x v="6"/>
    <s v="Science: Physics; Environmental Studies; Science"/>
    <s v="9781438139487"/>
    <s v=",12,13,14,15,16,17,18,19,36,37,38,34,35,39,40,41,42,43,102,103,104,100,101,105,106,107,44,45,46,47,48,49,50,51,52,53,33,54,55,56,57,58,59,60,61,62,63,64,65,66,67,68,69,70,71,72,73,74,75,76,77,78,79,80,81,82,83,84,85,86,87,88,89,90,91,92,108,109,93,94,98"/>
    <n v="81"/>
    <m/>
    <m/>
    <s v="No"/>
    <x v="0"/>
    <d v="2015-11-18T23:09:16"/>
    <n v="7"/>
    <s v="137.21.7.121"/>
    <s v="QC981.8.G56 -- T66 2012eb"/>
    <s v="363.738/74"/>
    <d v="2011-11-01T00:00:00"/>
  </r>
  <r>
    <x v="3354"/>
    <d v="1899-12-30T00:07:19"/>
    <x v="592"/>
    <x v="1"/>
    <s v="brockport"/>
    <x v="625"/>
    <n v="836167"/>
    <x v="6"/>
    <s v="Science: Physics; Environmental Studies; Science"/>
    <s v="9781438139487"/>
    <s v=",1,2,3,4,5,6,7,8,9,10,11"/>
    <n v="11"/>
    <m/>
    <m/>
    <s v="No"/>
    <x v="1"/>
    <m/>
    <m/>
    <s v="137.21.7.121"/>
    <s v="QC981.8.G56 -- T66 2012eb"/>
    <s v="363.738/74"/>
    <d v="2011-11-01T00:00:00"/>
  </r>
  <r>
    <x v="3355"/>
    <d v="1899-12-30T00:05:06"/>
    <x v="929"/>
    <x v="1"/>
    <s v="brockport"/>
    <x v="909"/>
    <n v="1318972"/>
    <x v="2"/>
    <s v="Education"/>
    <s v="9781135106706"/>
    <s v=",50,51,52,53,54,55,56,57,58,59,60,61,63,70,71,72,68,69,67,66,221,222,223,219,220,224,218,217"/>
    <n v="28"/>
    <m/>
    <s v=",14,15,16,17,18,19,20,21,22,47,48,49,50,51,52,53,54,55,56,57,58,59,60,61,62,63,64,65,66,67,68,69,221,222,223,224,225,226,227,228,229,230,231,232,233,234,235,236,237,47,48,49,50,51,52,53,54,55,56,57,58,59,60,61,62,63,64,65,66,67,68,69,221,222,223,224,225,226,227,228,229,230,231,232,233,234,235,236,237"/>
    <s v="No"/>
    <x v="2"/>
    <d v="2015-11-18T22:22:37"/>
    <n v="1"/>
    <s v="137.21.7.121"/>
    <s v="LB2350.5 -- .S68 2013eb"/>
    <n v="378.16912000000002"/>
    <d v="2013-07-18T00:00:00"/>
  </r>
  <r>
    <x v="3356"/>
    <d v="1899-12-30T00:00:45"/>
    <x v="929"/>
    <x v="1"/>
    <s v="brockport"/>
    <x v="909"/>
    <n v="1318972"/>
    <x v="2"/>
    <s v="Education"/>
    <s v="9781135106706"/>
    <s v=",1,48,49,47,45,46,50,51,2,52,53"/>
    <n v="11"/>
    <m/>
    <m/>
    <s v="No"/>
    <x v="3"/>
    <m/>
    <m/>
    <s v="137.21.7.121"/>
    <s v="LB2350.5 -- .S68 2013eb"/>
    <n v="378.16912000000002"/>
    <d v="2013-07-18T00:00:00"/>
  </r>
  <r>
    <x v="3357"/>
    <d v="1899-12-30T00:00:16"/>
    <x v="929"/>
    <x v="1"/>
    <s v="brockport"/>
    <x v="909"/>
    <n v="1318972"/>
    <x v="2"/>
    <s v="Education"/>
    <s v="9781135106706"/>
    <s v=",1,2,3,4,5"/>
    <n v="5"/>
    <m/>
    <m/>
    <s v="No"/>
    <x v="3"/>
    <m/>
    <m/>
    <s v="137.21.7.121"/>
    <s v="LB2350.5 -- .S68 2013eb"/>
    <n v="378.16912000000002"/>
    <d v="2013-07-18T00:00:00"/>
  </r>
  <r>
    <x v="3358"/>
    <d v="1899-12-30T00:00:43"/>
    <x v="646"/>
    <x v="12"/>
    <s v="potsdam"/>
    <x v="866"/>
    <n v="1895565"/>
    <x v="0"/>
    <s v="Medicine"/>
    <s v="9781118732779"/>
    <s v=",31,38,39"/>
    <n v="3"/>
    <m/>
    <s v=",25,26,27,28,29,30,31,32,33,34,35,36,37"/>
    <s v="No"/>
    <x v="0"/>
    <d v="2015-11-18T22:17:06"/>
    <n v="7"/>
    <s v="137.143.104.94"/>
    <s v="RC346.5 -- .N48 2015eb"/>
    <s v="616.8/0479"/>
    <d v="2015-03-10T00:00:00"/>
  </r>
  <r>
    <x v="3359"/>
    <d v="1899-12-30T00:01:30"/>
    <x v="646"/>
    <x v="12"/>
    <s v="potsdam"/>
    <x v="866"/>
    <n v="1895565"/>
    <x v="0"/>
    <s v="Medicine"/>
    <s v="9781118732779"/>
    <s v=",1,2,3,303,304,305,306,307,25,26,27,23,24,28,29,30,31,22,32,33,34,35,36,37,38,39,40,41"/>
    <n v="28"/>
    <m/>
    <m/>
    <s v="No"/>
    <x v="3"/>
    <m/>
    <m/>
    <s v="137.143.104.94"/>
    <s v="RC346.5 -- .N48 2015eb"/>
    <s v="616.8/0479"/>
    <d v="2015-03-10T00:00:00"/>
  </r>
  <r>
    <x v="3360"/>
    <d v="1899-12-30T00:00:20"/>
    <x v="906"/>
    <x v="1"/>
    <s v="brockport"/>
    <x v="151"/>
    <n v="968030"/>
    <x v="0"/>
    <s v="Psychology"/>
    <s v="9781118285138"/>
    <s v=",1,2,3,469,470,471,467,468"/>
    <n v="8"/>
    <m/>
    <m/>
    <s v="No"/>
    <x v="1"/>
    <m/>
    <m/>
    <s v="137.21.7.121"/>
    <s v="BF637.C6 -- S85 2013eb"/>
    <n v="158.30000000000001"/>
    <d v="2012-07-10T00:00:00"/>
  </r>
  <r>
    <x v="3361"/>
    <d v="1899-12-30T00:00:03"/>
    <x v="506"/>
    <x v="0"/>
    <s v="Buffalo"/>
    <x v="533"/>
    <n v="1760720"/>
    <x v="4"/>
    <s v="Medicine"/>
    <s v="9781462517459"/>
    <s v=",1,2,3"/>
    <n v="3"/>
    <m/>
    <m/>
    <s v="No"/>
    <x v="1"/>
    <m/>
    <m/>
    <s v="128.205.114.91"/>
    <s v="RC489.D48 -- L56 2015eb"/>
    <n v="616.89142000000004"/>
    <d v="2014-12-23T00:00:00"/>
  </r>
  <r>
    <x v="3362"/>
    <d v="1899-12-30T00:00:00"/>
    <x v="930"/>
    <x v="1"/>
    <s v="brockport"/>
    <x v="372"/>
    <n v="877782"/>
    <x v="0"/>
    <s v="Social Science; Science: Biology/Natural History; Science"/>
    <s v="9781118255407"/>
    <m/>
    <n v="0"/>
    <m/>
    <m/>
    <s v="Yes"/>
    <x v="0"/>
    <d v="2015-11-18T21:51:20"/>
    <n v="7"/>
    <s v="137.21.7.121"/>
    <s v="GN69.8 -- .C659 2012eb"/>
    <n v="599.9"/>
    <d v="2012-03-26T00:00:00"/>
  </r>
  <r>
    <x v="3363"/>
    <d v="1899-12-30T00:00:19"/>
    <x v="930"/>
    <x v="1"/>
    <s v="brockport"/>
    <x v="372"/>
    <n v="877782"/>
    <x v="0"/>
    <s v="Social Science; Science: Biology/Natural History; Science"/>
    <s v="9781118255407"/>
    <s v=",1,3,2,6,8,14,21,10,25,26,27,23,24"/>
    <n v="13"/>
    <m/>
    <m/>
    <s v="No"/>
    <x v="0"/>
    <d v="2015-11-18T21:51:20"/>
    <n v="7"/>
    <s v="137.21.7.121"/>
    <s v="GN69.8 -- .C659 2012eb"/>
    <n v="599.9"/>
    <d v="2012-03-26T00:00:00"/>
  </r>
  <r>
    <x v="3364"/>
    <d v="1899-12-30T00:00:00"/>
    <x v="930"/>
    <x v="1"/>
    <s v="brockport"/>
    <x v="372"/>
    <n v="877782"/>
    <x v="0"/>
    <s v="Social Science; Science: Biology/Natural History; Science"/>
    <s v="9781118255407"/>
    <m/>
    <n v="0"/>
    <s v=",1"/>
    <m/>
    <s v="No"/>
    <x v="0"/>
    <d v="2015-11-18T21:51:20"/>
    <n v="7"/>
    <s v="137.21.7.121"/>
    <s v="GN69.8 -- .C659 2012eb"/>
    <n v="599.9"/>
    <d v="2012-03-26T00:00:00"/>
  </r>
  <r>
    <x v="3365"/>
    <d v="1899-12-30T00:00:08"/>
    <x v="930"/>
    <x v="1"/>
    <s v="brockport"/>
    <x v="372"/>
    <n v="877782"/>
    <x v="0"/>
    <s v="Social Science; Science: Biology/Natural History; Science"/>
    <s v="9781118255407"/>
    <s v=",1,2,3"/>
    <n v="3"/>
    <m/>
    <m/>
    <s v="No"/>
    <x v="1"/>
    <m/>
    <m/>
    <s v="137.21.7.121"/>
    <s v="GN69.8 -- .C659 2012eb"/>
    <n v="599.9"/>
    <d v="2012-03-26T00:00:00"/>
  </r>
  <r>
    <x v="3366"/>
    <d v="1899-12-30T00:00:02"/>
    <x v="26"/>
    <x v="6"/>
    <s v="sjfc"/>
    <x v="12"/>
    <n v="1154341"/>
    <x v="0"/>
    <s v="Social Science"/>
    <s v="9781118505014"/>
    <s v=",25,26"/>
    <n v="2"/>
    <m/>
    <m/>
    <s v="No"/>
    <x v="0"/>
    <d v="2015-11-18T21:43:11"/>
    <n v="7"/>
    <s v="149.69.254.57"/>
    <s v="HV8077 -- .H4293 2013eb"/>
    <s v="363.25/62"/>
    <d v="2013-03-11T00:00:00"/>
  </r>
  <r>
    <x v="3367"/>
    <d v="1899-12-30T00:01:01"/>
    <x v="26"/>
    <x v="6"/>
    <s v="sjfc"/>
    <x v="12"/>
    <n v="1154341"/>
    <x v="0"/>
    <s v="Social Science"/>
    <s v="9781118505014"/>
    <s v=",1,2,3,4,5,6,7,8,9,10,11,12,13,14,15,16,17,18,19,20,21,22,23,24"/>
    <n v="24"/>
    <m/>
    <m/>
    <s v="No"/>
    <x v="3"/>
    <m/>
    <m/>
    <s v="149.69.254.57"/>
    <s v="HV8077 -- .H4293 2013eb"/>
    <s v="363.25/62"/>
    <d v="2013-03-11T00:00:00"/>
  </r>
  <r>
    <x v="3368"/>
    <d v="1899-12-30T00:01:34"/>
    <x v="26"/>
    <x v="6"/>
    <s v="sjfc"/>
    <x v="12"/>
    <n v="1154341"/>
    <x v="0"/>
    <s v="Social Science"/>
    <s v="9781118505014"/>
    <s v=",1,2,3,4,5,6,7,8,9,2,10,11,13,15,12,14,36,43,44,45,42,41,40,39,38,37,36,35,39,35,36"/>
    <n v="26"/>
    <m/>
    <m/>
    <s v="No"/>
    <x v="3"/>
    <m/>
    <m/>
    <s v="149.69.254.57"/>
    <s v="HV8077 -- .H4293 2013eb"/>
    <s v="363.25/62"/>
    <d v="2013-03-11T00:00:00"/>
  </r>
  <r>
    <x v="3369"/>
    <d v="1899-12-30T00:02:26"/>
    <x v="26"/>
    <x v="6"/>
    <s v="sjfc"/>
    <x v="12"/>
    <n v="1154341"/>
    <x v="0"/>
    <s v="Social Science"/>
    <s v="9781118505014"/>
    <s v=",1,2,3,4,5,6,7,8,9,2,10,11,12,13,14,15,16,18,20,19,21,22,293,294,217,1,1,23,23,24,25,21,22,20,18,17,16,14,12,10,8,7,5,3,1,2"/>
    <n v="28"/>
    <m/>
    <m/>
    <s v="No"/>
    <x v="3"/>
    <m/>
    <m/>
    <s v="149.69.254.57"/>
    <s v="HV8077 -- .H4293 2013eb"/>
    <s v="363.25/62"/>
    <d v="2013-03-11T00:00:00"/>
  </r>
  <r>
    <x v="3370"/>
    <d v="1899-12-30T00:05:42"/>
    <x v="931"/>
    <x v="6"/>
    <s v="sjfc"/>
    <x v="244"/>
    <n v="848510"/>
    <x v="0"/>
    <s v="Medicine"/>
    <s v="9781118220481"/>
    <s v=",1,2,3,1,3,4,2,5,11,12,13,9,10,14,15,1,15,16,17,13,14,18,19,20,2,26,27,28,24,25,91,92,93,89,90,12"/>
    <n v="27"/>
    <m/>
    <m/>
    <s v="No"/>
    <x v="1"/>
    <m/>
    <m/>
    <s v="149.69.254.57"/>
    <s v="RC489.C63 -- C64 2012eb"/>
    <s v="616.89/1425"/>
    <d v="2012-06-06T00:00:00"/>
  </r>
  <r>
    <x v="3371"/>
    <d v="1899-12-30T00:00:40"/>
    <x v="926"/>
    <x v="2"/>
    <s v="hilbert"/>
    <x v="322"/>
    <n v="1728048"/>
    <x v="11"/>
    <s v="Economics; Business/Management"/>
    <s v="9780226093284"/>
    <s v=",1,2,3,50,51,52,48,49,316,317,340,341,342,338,339,343,344,345,346"/>
    <n v="19"/>
    <m/>
    <m/>
    <s v="No"/>
    <x v="2"/>
    <d v="2015-11-18T02:16:50"/>
    <n v="7"/>
    <s v="72.45.217.43"/>
    <s v="HD7293"/>
    <s v="333.33/80973"/>
    <d v="2014-10-17T00:00:00"/>
  </r>
  <r>
    <x v="3372"/>
    <d v="1899-12-30T00:02:13"/>
    <x v="926"/>
    <x v="2"/>
    <s v="hilbert"/>
    <x v="910"/>
    <n v="844066"/>
    <x v="0"/>
    <s v="Business/Management; Economics"/>
    <s v="9781444347425"/>
    <s v=",1,2,3,209,211,212,213,243,244,245,241,242,246,247,248,249,250,251,243,244,241,242,254,239,236,237,238,235,233,234,232,231,226,224,211,212,213,209,247"/>
    <n v="30"/>
    <m/>
    <s v=",219,220,221,222,223,224,225,226,227,228,229,243,244,245,246,247,248,249,250,251,252,253,254,255,256,257,258,259,260,261,262,263,264,265"/>
    <s v="No"/>
    <x v="0"/>
    <d v="2015-11-18T02:21:22"/>
    <n v="7"/>
    <s v="72.45.217.43"/>
    <s v="HG2040.15 -- .S83 2012eb"/>
    <s v="332.7/2"/>
    <d v="2012-01-17T00:00:00"/>
  </r>
  <r>
    <x v="3373"/>
    <d v="1899-12-30T00:02:57"/>
    <x v="932"/>
    <x v="1"/>
    <s v="brockport"/>
    <x v="626"/>
    <n v="877713"/>
    <x v="6"/>
    <s v="History"/>
    <s v="9781438138596"/>
    <s v=",1,2,3,8,9,10,6,7,11,12,13,14,5,15,16,18,17,19,407,408,409,405,406,30,31,32,33,29,34,510,511,512,513,509,410,411"/>
    <n v="36"/>
    <m/>
    <m/>
    <s v="No"/>
    <x v="1"/>
    <m/>
    <m/>
    <s v="137.21.7.121"/>
    <s v="DT58 -- .B96 2012eb"/>
    <n v="932.00300000000004"/>
    <d v="2012-01-01T00:00:00"/>
  </r>
  <r>
    <x v="3374"/>
    <d v="1899-12-30T00:02:27"/>
    <x v="933"/>
    <x v="7"/>
    <s v="oneonta"/>
    <x v="659"/>
    <n v="1757100"/>
    <x v="3"/>
    <s v="History; Business/Management"/>
    <s v="9780520961302"/>
    <s v=",1,2,2,3,3,2,2,1,4,4,9,11,9,15,15,17,18,11,21,21,18,22,17,19,23,20,20,22,23,24,24"/>
    <n v="15"/>
    <m/>
    <m/>
    <s v="No"/>
    <x v="3"/>
    <m/>
    <m/>
    <s v="137.141.13.2"/>
    <s v="HC39 -- .R663 2015eb"/>
    <s v="937/.07"/>
    <d v="2014-11-24T00:00:00"/>
  </r>
  <r>
    <x v="3375"/>
    <d v="1899-12-30T00:02:19"/>
    <x v="860"/>
    <x v="12"/>
    <s v="potsdam"/>
    <x v="270"/>
    <n v="1637652"/>
    <x v="3"/>
    <s v="Education"/>
    <s v="9780520958449"/>
    <s v=",1,2,3,116,117,118,114,115,119"/>
    <n v="9"/>
    <m/>
    <m/>
    <s v="No"/>
    <x v="0"/>
    <d v="2015-11-13T14:53:56"/>
    <n v="7"/>
    <s v="137.143.104.94"/>
    <s v="LB2340.2 -- .B478 2014eb"/>
    <s v="378.3/62"/>
    <d v="2014-05-02T00:00:00"/>
  </r>
  <r>
    <x v="3376"/>
    <d v="1899-12-30T00:00:10"/>
    <x v="13"/>
    <x v="0"/>
    <s v="Buffalo"/>
    <x v="777"/>
    <n v="1659368"/>
    <x v="11"/>
    <s v="Science; Science: Biology/Natural History"/>
    <s v="9780226127323"/>
    <s v=",1,2,3"/>
    <n v="3"/>
    <m/>
    <m/>
    <s v="No"/>
    <x v="3"/>
    <m/>
    <m/>
    <s v="128.205.114.91"/>
    <s v="QH371"/>
    <n v="576.79999999999995"/>
    <d v="2014-02-14T00:00:00"/>
  </r>
  <r>
    <x v="3377"/>
    <d v="1899-12-30T00:00:05"/>
    <x v="934"/>
    <x v="1"/>
    <s v="brockport"/>
    <x v="911"/>
    <n v="1318949"/>
    <x v="2"/>
    <s v="Medicine"/>
    <s v="9781135021146"/>
    <s v=",1,2"/>
    <n v="2"/>
    <m/>
    <m/>
    <s v="No"/>
    <x v="3"/>
    <m/>
    <m/>
    <s v="137.21.7.121"/>
    <s v="RG852 -- .B43 2013eb"/>
    <n v="618.76"/>
    <d v="2013-07-18T00:00:00"/>
  </r>
  <r>
    <x v="3378"/>
    <d v="1899-12-30T00:00:09"/>
    <x v="930"/>
    <x v="1"/>
    <s v="brockport"/>
    <x v="372"/>
    <n v="877782"/>
    <x v="0"/>
    <s v="Social Science; Science: Biology/Natural History; Science"/>
    <s v="9781118255407"/>
    <s v=",1,2,3,4,5"/>
    <n v="5"/>
    <m/>
    <m/>
    <s v="No"/>
    <x v="1"/>
    <m/>
    <m/>
    <s v="137.21.7.121"/>
    <s v="GN69.8 -- .C659 2012eb"/>
    <n v="599.9"/>
    <d v="2012-03-26T00:00:00"/>
  </r>
  <r>
    <x v="3379"/>
    <d v="1899-12-30T00:00:00"/>
    <x v="505"/>
    <x v="1"/>
    <s v="brockport"/>
    <x v="372"/>
    <n v="877782"/>
    <x v="0"/>
    <s v="Social Science; Science: Biology/Natural History; Science"/>
    <s v="9781118255407"/>
    <m/>
    <n v="0"/>
    <m/>
    <m/>
    <s v="Yes"/>
    <x v="0"/>
    <d v="2015-11-18T20:42:40"/>
    <n v="7"/>
    <s v="137.21.7.121"/>
    <s v="GN69.8 -- .C659 2012eb"/>
    <n v="599.9"/>
    <d v="2012-03-26T00:00:00"/>
  </r>
  <r>
    <x v="3379"/>
    <d v="1899-12-30T00:00:00"/>
    <x v="505"/>
    <x v="1"/>
    <s v="brockport"/>
    <x v="372"/>
    <n v="877782"/>
    <x v="0"/>
    <s v="Social Science; Science: Biology/Natural History; Science"/>
    <s v="9781118255407"/>
    <m/>
    <n v="0"/>
    <m/>
    <m/>
    <s v="No"/>
    <x v="0"/>
    <d v="2015-11-18T20:42:40"/>
    <n v="7"/>
    <s v="137.21.7.121"/>
    <s v="GN69.8 -- .C659 2012eb"/>
    <n v="599.9"/>
    <d v="2012-03-26T00:00:00"/>
  </r>
  <r>
    <x v="3380"/>
    <d v="1899-12-30T00:00:57"/>
    <x v="505"/>
    <x v="1"/>
    <s v="brockport"/>
    <x v="372"/>
    <n v="877782"/>
    <x v="0"/>
    <s v="Social Science; Science: Biology/Natural History; Science"/>
    <s v="9781118255407"/>
    <s v=",1,2,3"/>
    <n v="3"/>
    <m/>
    <m/>
    <s v="No"/>
    <x v="1"/>
    <m/>
    <m/>
    <s v="137.21.7.121"/>
    <s v="GN69.8 -- .C659 2012eb"/>
    <n v="599.9"/>
    <d v="2012-03-26T00:00:00"/>
  </r>
  <r>
    <x v="3381"/>
    <d v="1899-12-30T00:00:06"/>
    <x v="505"/>
    <x v="1"/>
    <s v="brockport"/>
    <x v="372"/>
    <n v="877782"/>
    <x v="0"/>
    <s v="Social Science; Science: Biology/Natural History; Science"/>
    <s v="9781118255407"/>
    <s v=",1,3,2"/>
    <n v="3"/>
    <m/>
    <m/>
    <s v="No"/>
    <x v="1"/>
    <m/>
    <m/>
    <s v="137.21.7.121"/>
    <s v="GN69.8 -- .C659 2012eb"/>
    <n v="599.9"/>
    <d v="2012-03-26T00:00:00"/>
  </r>
  <r>
    <x v="3382"/>
    <d v="1899-12-30T00:07:15"/>
    <x v="592"/>
    <x v="1"/>
    <s v="brockport"/>
    <x v="625"/>
    <n v="836167"/>
    <x v="6"/>
    <s v="Science: Physics; Environmental Studies; Science"/>
    <s v="9781438139487"/>
    <s v=",1,2,3,4,5,6,7,8,4,36,37,38,34,35,39,40,41,42,43,6,7,8,4,5,10,11,9"/>
    <n v="21"/>
    <m/>
    <m/>
    <s v="No"/>
    <x v="1"/>
    <m/>
    <m/>
    <s v="137.21.7.121"/>
    <s v="QC981.8.G56 -- T66 2012eb"/>
    <s v="363.738/74"/>
    <d v="2011-11-01T00:00:00"/>
  </r>
  <r>
    <x v="3383"/>
    <d v="1899-12-30T01:13:34"/>
    <x v="653"/>
    <x v="0"/>
    <s v="Buffalo"/>
    <x v="111"/>
    <n v="1166322"/>
    <x v="0"/>
    <s v="Architecture"/>
    <s v="9781118418512"/>
    <s v=",1,2,3,187,188,189,185,186,186,1,188,187,184,185,194,195,196,192,193,2,223,224,225,221,222,226,197,198,187,189,190,191,194,199,200,201,425,426,427,423,424,422,263,264,265,261,262,214,215,216,181,182,212,213,183,459,460,461,457,458,456,455,454"/>
    <n v="54"/>
    <m/>
    <m/>
    <s v="No"/>
    <x v="0"/>
    <d v="2015-11-12T10:25:36"/>
    <n v="7"/>
    <s v="128.205.114.91"/>
    <s v="NA2000 -- .G76 2013eb"/>
    <n v="720.072"/>
    <d v="2013-04-03T00:00:00"/>
  </r>
  <r>
    <x v="3384"/>
    <d v="1899-12-30T00:00:03"/>
    <x v="13"/>
    <x v="0"/>
    <s v="Buffalo"/>
    <x v="781"/>
    <n v="818101"/>
    <x v="0"/>
    <s v="Computer Science/IT; Business/Management"/>
    <s v="9781118225844"/>
    <s v=",1,2,3"/>
    <n v="3"/>
    <m/>
    <m/>
    <s v="No"/>
    <x v="0"/>
    <d v="2015-11-18T20:04:53"/>
    <n v="7"/>
    <s v="128.205.114.91"/>
    <s v="QA76.9.A93 -- C37 2012eb"/>
    <s v="658/.0558"/>
    <d v="2012-02-08T00:00:00"/>
  </r>
  <r>
    <x v="3385"/>
    <d v="1899-12-30T00:16:17"/>
    <x v="905"/>
    <x v="1"/>
    <s v="brockport"/>
    <x v="912"/>
    <n v="1479927"/>
    <x v="2"/>
    <s v="Social Science"/>
    <s v="9781134566952"/>
    <s v=",39,53,53,20,433"/>
    <n v="4"/>
    <m/>
    <m/>
    <s v="No"/>
    <x v="2"/>
    <d v="2015-11-18T20:08:07"/>
    <n v="1"/>
    <s v="137.21.7.121"/>
    <s v="HQ1154"/>
    <n v="305.42009999999999"/>
    <d v="1990-03-01T00:00:00"/>
  </r>
  <r>
    <x v="3386"/>
    <d v="1899-12-30T00:00:00"/>
    <x v="13"/>
    <x v="0"/>
    <s v="Buffalo"/>
    <x v="781"/>
    <n v="818101"/>
    <x v="0"/>
    <s v="Computer Science/IT; Business/Management"/>
    <s v="9781118225844"/>
    <m/>
    <n v="0"/>
    <m/>
    <m/>
    <s v="Yes"/>
    <x v="0"/>
    <d v="2015-11-18T20:04:53"/>
    <n v="7"/>
    <s v="128.205.114.91"/>
    <s v="QA76.9.A93 -- C37 2012eb"/>
    <s v="658/.0558"/>
    <d v="2012-02-08T00:00:00"/>
  </r>
  <r>
    <x v="3387"/>
    <d v="1899-12-30T00:00:04"/>
    <x v="13"/>
    <x v="0"/>
    <s v="Buffalo"/>
    <x v="781"/>
    <n v="818101"/>
    <x v="0"/>
    <s v="Computer Science/IT; Business/Management"/>
    <s v="9781118225844"/>
    <s v=",1,2,3"/>
    <n v="3"/>
    <m/>
    <m/>
    <s v="No"/>
    <x v="0"/>
    <d v="2015-11-18T20:04:53"/>
    <n v="7"/>
    <s v="128.205.114.91"/>
    <s v="QA76.9.A93 -- C37 2012eb"/>
    <s v="658/.0558"/>
    <d v="2012-02-08T00:00:00"/>
  </r>
  <r>
    <x v="3388"/>
    <d v="1899-12-30T00:01:29"/>
    <x v="13"/>
    <x v="0"/>
    <s v="Buffalo"/>
    <x v="781"/>
    <n v="818101"/>
    <x v="0"/>
    <s v="Computer Science/IT; Business/Management"/>
    <s v="9781118225844"/>
    <s v=",4,5,6"/>
    <n v="3"/>
    <m/>
    <m/>
    <s v="Yes"/>
    <x v="0"/>
    <d v="2015-11-18T20:04:53"/>
    <n v="7"/>
    <s v="128.205.114.91"/>
    <s v="QA76.9.A93 -- C37 2012eb"/>
    <s v="658/.0558"/>
    <d v="2012-02-08T00:00:00"/>
  </r>
  <r>
    <x v="3389"/>
    <d v="1899-12-30T00:00:03"/>
    <x v="13"/>
    <x v="0"/>
    <s v="Buffalo"/>
    <x v="781"/>
    <n v="818101"/>
    <x v="0"/>
    <s v="Computer Science/IT; Business/Management"/>
    <s v="9781118225844"/>
    <s v=",1,2,3"/>
    <n v="3"/>
    <m/>
    <m/>
    <s v="No"/>
    <x v="0"/>
    <d v="2015-11-18T20:04:53"/>
    <n v="7"/>
    <s v="128.205.114.91"/>
    <s v="QA76.9.A93 -- C37 2012eb"/>
    <s v="658/.0558"/>
    <d v="2012-02-08T00:00:00"/>
  </r>
  <r>
    <x v="3390"/>
    <d v="1899-12-30T00:00:00"/>
    <x v="13"/>
    <x v="0"/>
    <s v="Buffalo"/>
    <x v="781"/>
    <n v="818101"/>
    <x v="0"/>
    <s v="Computer Science/IT; Business/Management"/>
    <s v="9781118225844"/>
    <m/>
    <n v="0"/>
    <m/>
    <m/>
    <s v="Yes"/>
    <x v="0"/>
    <d v="2015-11-18T20:04:53"/>
    <n v="7"/>
    <s v="128.205.114.91"/>
    <s v="QA76.9.A93 -- C37 2012eb"/>
    <s v="658/.0558"/>
    <d v="2012-02-08T00:00:00"/>
  </r>
  <r>
    <x v="3391"/>
    <d v="1899-12-30T00:00:00"/>
    <x v="13"/>
    <x v="0"/>
    <s v="Buffalo"/>
    <x v="781"/>
    <n v="818101"/>
    <x v="0"/>
    <s v="Computer Science/IT; Business/Management"/>
    <s v="9781118225844"/>
    <m/>
    <n v="0"/>
    <m/>
    <m/>
    <s v="Yes"/>
    <x v="0"/>
    <d v="2015-11-18T20:04:53"/>
    <n v="7"/>
    <s v="128.205.114.91"/>
    <s v="QA76.9.A93 -- C37 2012eb"/>
    <s v="658/.0558"/>
    <d v="2012-02-08T00:00:00"/>
  </r>
  <r>
    <x v="3392"/>
    <d v="1899-12-30T00:00:00"/>
    <x v="13"/>
    <x v="0"/>
    <s v="Buffalo"/>
    <x v="781"/>
    <n v="818101"/>
    <x v="0"/>
    <s v="Computer Science/IT; Business/Management"/>
    <s v="9781118225844"/>
    <m/>
    <n v="0"/>
    <m/>
    <m/>
    <s v="Yes"/>
    <x v="0"/>
    <d v="2015-11-18T20:04:53"/>
    <n v="7"/>
    <s v="128.205.114.91"/>
    <s v="QA76.9.A93 -- C37 2012eb"/>
    <s v="658/.0558"/>
    <d v="2012-02-08T00:00:00"/>
  </r>
  <r>
    <x v="3393"/>
    <d v="1899-12-30T00:00:00"/>
    <x v="13"/>
    <x v="0"/>
    <s v="Buffalo"/>
    <x v="781"/>
    <n v="818101"/>
    <x v="0"/>
    <s v="Computer Science/IT; Business/Management"/>
    <s v="9781118225844"/>
    <m/>
    <n v="0"/>
    <m/>
    <m/>
    <s v="Yes"/>
    <x v="0"/>
    <d v="2015-11-18T20:04:53"/>
    <n v="7"/>
    <s v="128.205.114.91"/>
    <s v="QA76.9.A93 -- C37 2012eb"/>
    <s v="658/.0558"/>
    <d v="2012-02-08T00:00:00"/>
  </r>
  <r>
    <x v="3393"/>
    <d v="1899-12-30T00:00:00"/>
    <x v="13"/>
    <x v="0"/>
    <s v="Buffalo"/>
    <x v="781"/>
    <n v="818101"/>
    <x v="0"/>
    <s v="Computer Science/IT; Business/Management"/>
    <s v="9781118225844"/>
    <m/>
    <n v="0"/>
    <m/>
    <m/>
    <s v="No"/>
    <x v="0"/>
    <d v="2015-11-18T20:04:53"/>
    <n v="7"/>
    <s v="128.205.114.91"/>
    <s v="QA76.9.A93 -- C37 2012eb"/>
    <s v="658/.0558"/>
    <d v="2012-02-08T00:00:00"/>
  </r>
  <r>
    <x v="3394"/>
    <d v="1899-12-30T00:05:01"/>
    <x v="905"/>
    <x v="1"/>
    <s v="brockport"/>
    <x v="912"/>
    <n v="1479927"/>
    <x v="2"/>
    <s v="Social Science"/>
    <s v="9781134566952"/>
    <s v=",1,2,3,20,21,18,22,19,20,20,20,39"/>
    <n v="9"/>
    <m/>
    <m/>
    <s v="No"/>
    <x v="3"/>
    <m/>
    <m/>
    <s v="137.21.7.121"/>
    <s v="HQ1154"/>
    <n v="305.42009999999999"/>
    <d v="1990-03-01T00:00:00"/>
  </r>
  <r>
    <x v="3395"/>
    <d v="1899-12-30T00:06:21"/>
    <x v="13"/>
    <x v="0"/>
    <s v="Buffalo"/>
    <x v="781"/>
    <n v="818101"/>
    <x v="0"/>
    <s v="Computer Science/IT; Business/Management"/>
    <s v="9781118225844"/>
    <s v=",1,3,2,1,1"/>
    <n v="3"/>
    <m/>
    <m/>
    <s v="No"/>
    <x v="1"/>
    <m/>
    <m/>
    <s v="128.205.114.91"/>
    <s v="QA76.9.A93 -- C37 2012eb"/>
    <s v="658/.0558"/>
    <d v="2012-02-08T00:00:00"/>
  </r>
  <r>
    <x v="3396"/>
    <d v="1899-12-30T00:00:00"/>
    <x v="935"/>
    <x v="15"/>
    <s v="morrisville"/>
    <x v="913"/>
    <n v="4037949"/>
    <x v="0"/>
    <s v="Agriculture"/>
    <s v="9781118708361"/>
    <m/>
    <n v="0"/>
    <m/>
    <m/>
    <s v="No"/>
    <x v="2"/>
    <d v="2015-11-18T19:26:50"/>
    <n v="1"/>
    <s v="136.204.32.67"/>
    <m/>
    <n v="636.108971"/>
    <d v="2013-03-27T00:00:00"/>
  </r>
  <r>
    <x v="3397"/>
    <d v="1899-12-30T00:09:35"/>
    <x v="926"/>
    <x v="2"/>
    <s v="hilbert"/>
    <x v="910"/>
    <n v="844066"/>
    <x v="0"/>
    <s v="Business/Management; Economics"/>
    <s v="9781444347425"/>
    <s v=",1,2,3,175,211,212,213,209,210,214,216,217,218,220,221,243,211,209,210,207,208,244,245,241,242,266,267,268,264,265,269,213,209,214,210,270,271,272,273,243,244,245,241,246,242,107,209,211,212,213,214,210,215,216,217,218,219,220,221,222,224,227,228,229,230,231,232,233,234,235,236,237,238,239,240,241,242,243,244,245,246,247,248,249,250,251,253,254,221,215,216,217,213,214"/>
    <n v="59"/>
    <m/>
    <m/>
    <s v="No"/>
    <x v="0"/>
    <d v="2015-11-18T02:21:22"/>
    <n v="7"/>
    <s v="72.45.217.43"/>
    <s v="HG2040.15 -- .S83 2012eb"/>
    <s v="332.7/2"/>
    <d v="2012-01-17T00:00:00"/>
  </r>
  <r>
    <x v="3398"/>
    <d v="1899-12-30T00:00:59"/>
    <x v="935"/>
    <x v="15"/>
    <s v="morrisville"/>
    <x v="913"/>
    <n v="4037949"/>
    <x v="0"/>
    <s v="Agriculture"/>
    <s v="9781118708361"/>
    <s v=",1,31,32,33,29,30,2,28,34,35"/>
    <n v="10"/>
    <m/>
    <m/>
    <s v="No"/>
    <x v="3"/>
    <m/>
    <m/>
    <s v="136.204.32.67"/>
    <m/>
    <n v="636.108971"/>
    <d v="2013-03-27T00:00:00"/>
  </r>
  <r>
    <x v="3399"/>
    <d v="1899-12-30T00:01:04"/>
    <x v="926"/>
    <x v="2"/>
    <s v="hilbert"/>
    <x v="914"/>
    <n v="1330317"/>
    <x v="11"/>
    <s v="Business/Management; Economics"/>
    <s v="9780226030616"/>
    <s v=",1,2,3,116,117,118,154,217,214,30,31,32,28,29,33,36,37,38,39,41,42,43,44,46,47,48,312,374"/>
    <n v="28"/>
    <m/>
    <m/>
    <s v="No"/>
    <x v="3"/>
    <m/>
    <m/>
    <s v="72.45.217.43"/>
    <s v="HD7293"/>
    <n v="332.10973000000001"/>
    <d v="2013-08-19T00:00:00"/>
  </r>
  <r>
    <x v="3400"/>
    <d v="1899-12-30T00:01:08"/>
    <x v="926"/>
    <x v="2"/>
    <s v="hilbert"/>
    <x v="322"/>
    <n v="1728048"/>
    <x v="11"/>
    <s v="Economics; Business/Management"/>
    <s v="9780226093284"/>
    <s v=",1,2,3,50,51,170,171,172,340,341,342,338,339,343,344,345,346,347,348"/>
    <n v="19"/>
    <m/>
    <m/>
    <s v="No"/>
    <x v="2"/>
    <d v="2015-11-18T02:16:50"/>
    <n v="7"/>
    <s v="72.45.217.43"/>
    <s v="HD7293"/>
    <s v="333.33/80973"/>
    <d v="2014-10-17T00:00:00"/>
  </r>
  <r>
    <x v="3401"/>
    <d v="1899-12-30T01:27:06"/>
    <x v="64"/>
    <x v="6"/>
    <s v="sjfc"/>
    <x v="189"/>
    <n v="1557279"/>
    <x v="0"/>
    <s v="Business/Management"/>
    <s v="9781118863664"/>
    <s v=",1,3,2,4,5,6,7,8,9,10,11,12,13,14,15,16,17,2,18,19,20,21,22,23,24,27,29,30,31,32,33,34,35,36,37,38,39,40,41,42,43,44,45,40,46,44,45,46,42,43,47,48,49,44,50,51,52,53,54,55,56,57,58,59,60,61,62,63,58,57,64,65,66,66,61,67,61,67,62,61,62"/>
    <n v="64"/>
    <m/>
    <m/>
    <s v="No"/>
    <x v="0"/>
    <d v="2015-11-17T19:39:23"/>
    <n v="7"/>
    <s v="149.69.254.57"/>
    <s v="HF5661 -- .W384 2014eb"/>
    <n v="657.37800000000004"/>
    <d v="2013-11-07T00:00:00"/>
  </r>
  <r>
    <x v="3402"/>
    <d v="1899-12-30T00:52:39"/>
    <x v="936"/>
    <x v="0"/>
    <s v="Buffalo"/>
    <x v="824"/>
    <n v="1120538"/>
    <x v="12"/>
    <s v="Science; Science: Zoology"/>
    <s v="9781469608082"/>
    <s v=",1,2,3,4,5,6,7,8,20,21,22,18,33,34,35,32,30,31,29,28,27,26,25,31,32,33,34,34"/>
    <n v="23"/>
    <m/>
    <m/>
    <s v="No"/>
    <x v="2"/>
    <d v="2015-11-18T03:55:28"/>
    <n v="1"/>
    <s v="128.205.114.91"/>
    <s v="QL737.C22 -- B43 2013eb"/>
    <n v="599.77309700000001"/>
    <d v="2013-05-23T00:00:00"/>
  </r>
  <r>
    <x v="3403"/>
    <d v="1899-12-30T00:04:30"/>
    <x v="937"/>
    <x v="7"/>
    <s v="oneonta"/>
    <x v="915"/>
    <n v="836174"/>
    <x v="6"/>
    <s v="History"/>
    <s v="9781438139685"/>
    <s v=",1,2,3,2,3,1,2,2,4,5,5,4,19,21,20,17,18,20,18,19,21,22,69,70,71,22,67,68,71,68,69,70,72,67,72,72"/>
    <n v="17"/>
    <m/>
    <m/>
    <s v="No"/>
    <x v="1"/>
    <m/>
    <m/>
    <s v="137.141.13.2"/>
    <s v="DA950.7 .S67 2011"/>
    <n v="941.50810000000001"/>
    <d v="2011-11-01T00:00:00"/>
  </r>
  <r>
    <x v="3404"/>
    <d v="1899-12-30T00:02:46"/>
    <x v="906"/>
    <x v="1"/>
    <s v="brockport"/>
    <x v="151"/>
    <n v="968030"/>
    <x v="0"/>
    <s v="Psychology"/>
    <s v="9781118285138"/>
    <s v=",1,2,3,469,470,471,467,468,472"/>
    <n v="9"/>
    <m/>
    <m/>
    <s v="No"/>
    <x v="1"/>
    <m/>
    <m/>
    <s v="137.21.7.121"/>
    <s v="BF637.C6 -- S85 2013eb"/>
    <n v="158.30000000000001"/>
    <d v="2012-07-10T00:00:00"/>
  </r>
  <r>
    <x v="3405"/>
    <d v="1899-12-30T00:00:04"/>
    <x v="805"/>
    <x v="0"/>
    <s v="Buffalo"/>
    <x v="703"/>
    <n v="1808795"/>
    <x v="1"/>
    <s v="Architecture"/>
    <s v="9781472447951"/>
    <s v=",1,2,3"/>
    <n v="3"/>
    <m/>
    <m/>
    <s v="No"/>
    <x v="2"/>
    <d v="2015-11-17T21:37:46"/>
    <n v="1"/>
    <s v="128.205.114.91"/>
    <s v="NA5870.A9 -- .S353 2014eb"/>
    <s v="726.6094961/8"/>
    <d v="2014-11-28T00:00:00"/>
  </r>
  <r>
    <x v="3406"/>
    <d v="1899-12-30T00:07:51"/>
    <x v="13"/>
    <x v="0"/>
    <s v="Buffalo"/>
    <x v="6"/>
    <n v="1635363"/>
    <x v="0"/>
    <s v="Law"/>
    <s v="9781118678206"/>
    <s v=",1,2,3,3,1,2,49,49,50,50,51,47,51,48,48,52,52,53,53,54,2,54,55,55,56,56"/>
    <n v="13"/>
    <m/>
    <m/>
    <s v="No"/>
    <x v="0"/>
    <d v="2015-11-17T19:57:32"/>
    <n v="7"/>
    <s v="128.205.114.91"/>
    <s v="KF285.Z9 -- H38 2014eb"/>
    <n v="340.07600000000002"/>
    <d v="2014-02-14T00:00:00"/>
  </r>
  <r>
    <x v="3407"/>
    <d v="1899-12-30T00:00:00"/>
    <x v="938"/>
    <x v="2"/>
    <s v="hilbert"/>
    <x v="752"/>
    <n v="320579"/>
    <x v="4"/>
    <s v="Medicine"/>
    <s v="9781593857332"/>
    <m/>
    <n v="0"/>
    <m/>
    <m/>
    <s v="Yes"/>
    <x v="2"/>
    <d v="2015-11-18T16:55:53"/>
    <n v="1"/>
    <s v="72.45.217.43"/>
    <s v="RC552.P67; RC552.P67H353 2007"/>
    <n v="616.85209999999995"/>
    <d v="2014-05-14T00:00:00"/>
  </r>
  <r>
    <x v="3407"/>
    <d v="1899-12-30T00:00:00"/>
    <x v="938"/>
    <x v="2"/>
    <s v="hilbert"/>
    <x v="752"/>
    <n v="320579"/>
    <x v="4"/>
    <s v="Medicine"/>
    <s v="9781593857332"/>
    <m/>
    <n v="0"/>
    <m/>
    <m/>
    <s v="No"/>
    <x v="2"/>
    <d v="2015-11-18T16:55:53"/>
    <n v="1"/>
    <s v="72.45.217.43"/>
    <s v="RC552.P67; RC552.P67H353 2007"/>
    <n v="616.85209999999995"/>
    <d v="2014-05-14T00:00:00"/>
  </r>
  <r>
    <x v="3408"/>
    <d v="1899-12-30T00:01:25"/>
    <x v="938"/>
    <x v="2"/>
    <s v="hilbert"/>
    <x v="752"/>
    <n v="320579"/>
    <x v="4"/>
    <s v="Medicine"/>
    <s v="9781593857332"/>
    <s v=",3,1,2,71,72,73,69,70,295,296,297,293,294,298,293,292,288,2,289,290,291,292,287,278,1,2,3,4,5,6,7,8,9,10,11,12,13,1,2,3"/>
    <n v="31"/>
    <m/>
    <m/>
    <s v="No"/>
    <x v="3"/>
    <m/>
    <m/>
    <s v="72.45.217.43"/>
    <s v="RC552.P67; RC552.P67H353 2007"/>
    <n v="616.85209999999995"/>
    <d v="2014-05-14T00:00:00"/>
  </r>
  <r>
    <x v="3409"/>
    <d v="1899-12-30T00:00:03"/>
    <x v="26"/>
    <x v="6"/>
    <s v="sjfc"/>
    <x v="893"/>
    <n v="1543337"/>
    <x v="7"/>
    <s v="Engineering; Agriculture; Engineering: Chemical"/>
    <s v="9781780642277"/>
    <s v=",1,2,3"/>
    <n v="3"/>
    <m/>
    <m/>
    <s v="No"/>
    <x v="3"/>
    <m/>
    <m/>
    <s v="149.69.254.57"/>
    <s v="SB177.Q55 -- B43 2013eb"/>
    <s v="664/.7"/>
    <d v="2013-09-24T00:00:00"/>
  </r>
  <r>
    <x v="3410"/>
    <d v="1899-12-30T00:00:02"/>
    <x v="939"/>
    <x v="6"/>
    <s v="sjfc"/>
    <x v="893"/>
    <n v="1543337"/>
    <x v="7"/>
    <s v="Engineering; Agriculture; Engineering: Chemical"/>
    <s v="9781780642277"/>
    <s v=",1,2,3"/>
    <n v="3"/>
    <m/>
    <m/>
    <s v="No"/>
    <x v="3"/>
    <m/>
    <m/>
    <s v="149.69.254.57"/>
    <s v="SB177.Q55 -- B43 2013eb"/>
    <s v="664/.7"/>
    <d v="2013-09-24T00:00:00"/>
  </r>
  <r>
    <x v="3411"/>
    <d v="1899-12-30T00:00:11"/>
    <x v="940"/>
    <x v="0"/>
    <s v="Buffalo"/>
    <x v="223"/>
    <n v="1777859"/>
    <x v="4"/>
    <s v="Medicine"/>
    <s v="9781462515479"/>
    <s v=",285,286,287,283,288,289"/>
    <n v="6"/>
    <m/>
    <s v=",287"/>
    <s v="No"/>
    <x v="0"/>
    <d v="2015-11-18T16:42:14"/>
    <n v="7"/>
    <s v="128.205.114.91"/>
    <s v="RC489.B4 -- .R36 2015eb"/>
    <s v="616.89/142"/>
    <d v="2014-11-10T00:00:00"/>
  </r>
  <r>
    <x v="3412"/>
    <d v="1899-12-30T00:00:03"/>
    <x v="939"/>
    <x v="6"/>
    <s v="sjfc"/>
    <x v="893"/>
    <n v="1543337"/>
    <x v="7"/>
    <s v="Engineering; Agriculture; Engineering: Chemical"/>
    <s v="9781780642277"/>
    <s v=",1,2,3"/>
    <n v="3"/>
    <m/>
    <m/>
    <s v="No"/>
    <x v="3"/>
    <m/>
    <m/>
    <s v="149.69.254.57"/>
    <s v="SB177.Q55 -- B43 2013eb"/>
    <s v="664/.7"/>
    <d v="2013-09-24T00:00:00"/>
  </r>
  <r>
    <x v="3413"/>
    <d v="1899-12-30T00:05:32"/>
    <x v="940"/>
    <x v="0"/>
    <s v="Buffalo"/>
    <x v="223"/>
    <n v="1777859"/>
    <x v="4"/>
    <s v="Medicine"/>
    <s v="9781462515479"/>
    <s v=",1,2,3,172,173,174,170,171,175,176,177,178"/>
    <n v="12"/>
    <m/>
    <m/>
    <s v="No"/>
    <x v="1"/>
    <m/>
    <m/>
    <s v="128.205.114.91"/>
    <s v="RC489.B4 -- .R36 2015eb"/>
    <s v="616.89/142"/>
    <d v="2014-11-10T00:00:00"/>
  </r>
  <r>
    <x v="3414"/>
    <d v="1899-12-30T00:01:35"/>
    <x v="941"/>
    <x v="13"/>
    <s v="buffalostate"/>
    <x v="916"/>
    <n v="1925073"/>
    <x v="4"/>
    <s v="Education"/>
    <s v="9781462521128"/>
    <s v=",1,1,2,1,3,2,3,2,2,147,148,147,148,149,149,145,146,146,144,143,142,147"/>
    <n v="11"/>
    <m/>
    <s v=",145,146,147,148"/>
    <s v="No"/>
    <x v="0"/>
    <d v="2015-11-18T15:56:44"/>
    <n v="7"/>
    <s v="136.183.11.43"/>
    <s v="LB1050.46 .M35 2015"/>
    <n v="372.48"/>
    <d v="2015-06-23T00:00:00"/>
  </r>
  <r>
    <x v="3415"/>
    <d v="1899-12-30T00:09:14"/>
    <x v="766"/>
    <x v="7"/>
    <s v="oneonta"/>
    <x v="244"/>
    <n v="848510"/>
    <x v="0"/>
    <s v="Medicine"/>
    <s v="9781118220481"/>
    <s v=",1,2,3,4,5,6,9,10,11,7,8,12,13,14,15,16,62,64,63,60,61,65,66,67,68,69"/>
    <n v="26"/>
    <m/>
    <m/>
    <s v="No"/>
    <x v="0"/>
    <d v="2015-11-18T16:21:26"/>
    <n v="7"/>
    <s v="137.141.13.2"/>
    <s v="RC489.C63 -- C64 2012eb"/>
    <s v="616.89/1425"/>
    <d v="2012-06-06T00:00:00"/>
  </r>
  <r>
    <x v="3416"/>
    <d v="1899-12-30T00:00:23"/>
    <x v="766"/>
    <x v="7"/>
    <s v="oneonta"/>
    <x v="244"/>
    <n v="848510"/>
    <x v="0"/>
    <s v="Medicine"/>
    <s v="9781118220481"/>
    <s v=",4"/>
    <n v="1"/>
    <s v=",1"/>
    <m/>
    <s v="No"/>
    <x v="0"/>
    <d v="2015-11-18T16:21:26"/>
    <n v="7"/>
    <s v="137.141.13.2"/>
    <s v="RC489.C63 -- C64 2012eb"/>
    <s v="616.89/1425"/>
    <d v="2012-06-06T00:00:00"/>
  </r>
  <r>
    <x v="3417"/>
    <d v="1899-12-30T00:04:14"/>
    <x v="766"/>
    <x v="7"/>
    <s v="oneonta"/>
    <x v="244"/>
    <n v="848510"/>
    <x v="0"/>
    <s v="Medicine"/>
    <s v="9781118220481"/>
    <s v=",1,2,3,4,5,6,7,8,9,10,11,12,13,14,15,16,17,18,19,20,21,22,23,24,25,26,27,28,29,30,117,118,119,115,116,120,121,122,145,146,147,143,144,148,149,150,151,152,153,154,155,156,157,158,195,196,197,193,194,191,190,181,170,134,132,1,3"/>
    <n v="65"/>
    <m/>
    <m/>
    <s v="No"/>
    <x v="1"/>
    <m/>
    <m/>
    <s v="137.141.13.2"/>
    <s v="RC489.C63 -- C64 2012eb"/>
    <s v="616.89/1425"/>
    <d v="2012-06-06T00:00:00"/>
  </r>
  <r>
    <x v="3418"/>
    <d v="1899-12-30T00:00:08"/>
    <x v="827"/>
    <x v="0"/>
    <s v="Buffalo"/>
    <x v="848"/>
    <n v="1794187"/>
    <x v="7"/>
    <s v="Agriculture"/>
    <s v="9781780642901"/>
    <s v=",1,2,3,4,5"/>
    <n v="5"/>
    <m/>
    <m/>
    <s v="No"/>
    <x v="3"/>
    <m/>
    <m/>
    <s v="128.205.114.91"/>
    <s v="S600.7.C54 -- .C659 2014eb"/>
    <s v="630.2/515"/>
    <d v="2014-06-18T00:00:00"/>
  </r>
  <r>
    <x v="3419"/>
    <d v="1899-12-30T00:00:38"/>
    <x v="942"/>
    <x v="1"/>
    <s v="brockport"/>
    <x v="472"/>
    <n v="1895748"/>
    <x v="0"/>
    <s v="Science: Botany; Science: Biology/Natural History; Science"/>
    <s v="9781118917138"/>
    <s v=",1,2,3,21,22,23,19,20,2,33,34,35,31,36,38,37,40,39,41"/>
    <n v="18"/>
    <m/>
    <m/>
    <s v="No"/>
    <x v="3"/>
    <m/>
    <m/>
    <s v="137.21.7.121"/>
    <s v="QK570.25 -- .B45 2015eb"/>
    <s v="579.8/176"/>
    <d v="2015-01-12T00:00:00"/>
  </r>
  <r>
    <x v="3420"/>
    <d v="1899-12-30T00:48:47"/>
    <x v="941"/>
    <x v="13"/>
    <s v="buffalostate"/>
    <x v="916"/>
    <n v="1925073"/>
    <x v="4"/>
    <s v="Education"/>
    <s v="9781462521128"/>
    <s v=",1,2,3,2,1,3,171,172,173,171,172,169,173,170,170,2,174,174,169,174,169,1,3,1,3,2,2,2,2,4,4,286,286,288,288,287,284,287,285,285,171,172,173,171,172,173,169,170,170,128,129,130,128,129,126,130,127,127,27,28,27,28,29,25,29,26,331,26,331,333,332,333,332,330,329,330,27,28,29,26,25,321,322,323,321,322,323,5,5,319,320,320,185,186,185,186,187,183,187,184,184,208,209,208,210,207,206,210,209,207,288,289,290,286,290,287,289,291,291,292,292,286,287,116,117,116,118,117,118,114,115,115,119,119,120,120,121,121,123,123,122,122,99,100,99,100,97,98,101,98,101,145,145,146,147,143,147,146,144,144,148,148,143,147,148,149,149,150,150,1,2,1,3,2,3,276,276,277,2,278,277,278,275,274,275,273,257,258,259,258,259,257,256,255,256,260,260,261,262,262,263,261,263,264,264,265,265,266,266,267,267,268,268,263,262"/>
    <n v="93"/>
    <m/>
    <s v=",171,172,171,172,145,146,147,148,264,265,266"/>
    <s v="No"/>
    <x v="0"/>
    <d v="2015-11-18T15:56:44"/>
    <n v="7"/>
    <s v="136.183.11.43"/>
    <s v="LB1050.46 .M35 2015"/>
    <n v="372.48"/>
    <d v="2015-06-23T00:00:00"/>
  </r>
  <r>
    <x v="3421"/>
    <d v="1899-12-30T00:04:16"/>
    <x v="941"/>
    <x v="13"/>
    <s v="buffalostate"/>
    <x v="916"/>
    <n v="1925073"/>
    <x v="4"/>
    <s v="Education"/>
    <s v="9781462521128"/>
    <s v=",1,1,2,2,3,3,2,2,129,129,127,130,131,130,131,128,128,132,132,133,133,134,134,135,135,136,136,137,137,138,138,164,165,164,166,165,166,162,163,163,167,167,168,168,169,170,170,169,171,171,166,165,164,171,172,173,172,169,173,170,168,167,172,173,174,174,175,175,176,176,177,177,172,171,170,169,168,173,168,167,166,165,164,163,162,161,160,159,158,157,156,155,154,153,152,151,150,149,148,147,151,152,153,172,173,174,170,171,169,174,175,169,168,173"/>
    <n v="46"/>
    <m/>
    <m/>
    <s v="No"/>
    <x v="1"/>
    <m/>
    <m/>
    <s v="136.183.11.43"/>
    <s v="LB1050.46 .M35 2015"/>
    <n v="372.48"/>
    <d v="2015-06-23T00:00:00"/>
  </r>
  <r>
    <x v="3422"/>
    <d v="1899-12-30T00:00:12"/>
    <x v="686"/>
    <x v="1"/>
    <s v="brockport"/>
    <x v="722"/>
    <n v="2130115"/>
    <x v="11"/>
    <s v="Social Science; Business/Management"/>
    <s v="9780226222905"/>
    <s v=",1,2,3,4,5,6,7,8,9,10,11,12,13,14,15,16"/>
    <n v="16"/>
    <m/>
    <m/>
    <s v="No"/>
    <x v="2"/>
    <d v="2015-11-18T15:45:22"/>
    <n v="1"/>
    <s v="137.21.7.121"/>
    <s v="HE5620"/>
    <s v="363.1/251"/>
    <d v="2013-04-12T00:00:00"/>
  </r>
  <r>
    <x v="3423"/>
    <d v="1899-12-30T00:00:06"/>
    <x v="686"/>
    <x v="1"/>
    <s v="brockport"/>
    <x v="722"/>
    <n v="2130115"/>
    <x v="11"/>
    <s v="Social Science; Business/Management"/>
    <s v="9780226222905"/>
    <s v=",20,21,22,18,19"/>
    <n v="5"/>
    <m/>
    <m/>
    <s v="No"/>
    <x v="2"/>
    <d v="2015-11-18T15:45:22"/>
    <n v="1"/>
    <s v="137.21.7.121"/>
    <s v="HE5620"/>
    <s v="363.1/251"/>
    <d v="2013-04-12T00:00:00"/>
  </r>
  <r>
    <x v="3424"/>
    <d v="1899-12-30T00:26:15"/>
    <x v="686"/>
    <x v="1"/>
    <s v="brockport"/>
    <x v="722"/>
    <n v="2130115"/>
    <x v="11"/>
    <s v="Social Science; Business/Management"/>
    <s v="9780226222905"/>
    <s v=",2,1,3,4,5,6,7,8,9,10,11,12,13,14,15,16,26,27,28,24,25"/>
    <n v="21"/>
    <m/>
    <m/>
    <s v="No"/>
    <x v="3"/>
    <m/>
    <m/>
    <s v="137.21.7.121"/>
    <s v="HE5620"/>
    <s v="363.1/251"/>
    <d v="2013-04-12T00:00:00"/>
  </r>
  <r>
    <x v="3425"/>
    <d v="1899-12-30T00:02:19"/>
    <x v="943"/>
    <x v="0"/>
    <s v="Buffalo"/>
    <x v="517"/>
    <n v="1645679"/>
    <x v="1"/>
    <s v="Social Science; Medicine"/>
    <s v="9781472413079"/>
    <s v=",33,34,35,36,37,38,39,40,41"/>
    <n v="9"/>
    <m/>
    <m/>
    <s v="No"/>
    <x v="0"/>
    <d v="2015-11-18T15:16:36"/>
    <n v="7"/>
    <s v="128.205.114.91"/>
    <s v="RC569.5.B65 -- K97 2014eb"/>
    <s v="306.4/613"/>
    <d v="2014-03-28T00:00:00"/>
  </r>
  <r>
    <x v="3426"/>
    <d v="1899-12-30T00:00:03"/>
    <x v="943"/>
    <x v="0"/>
    <s v="Buffalo"/>
    <x v="517"/>
    <n v="1645679"/>
    <x v="1"/>
    <s v="Social Science; Medicine"/>
    <s v="9781472413079"/>
    <s v=",1,2,3"/>
    <n v="3"/>
    <m/>
    <m/>
    <s v="No"/>
    <x v="1"/>
    <m/>
    <m/>
    <s v="128.205.114.91"/>
    <s v="RC569.5.B65 -- K97 2014eb"/>
    <s v="306.4/613"/>
    <d v="2014-03-28T00:00:00"/>
  </r>
  <r>
    <x v="3427"/>
    <d v="1899-12-30T00:09:59"/>
    <x v="943"/>
    <x v="0"/>
    <s v="Buffalo"/>
    <x v="517"/>
    <n v="1645679"/>
    <x v="1"/>
    <s v="Social Science; Medicine"/>
    <s v="9781472413079"/>
    <s v=",1,2,3,4,5,6,7,8,9,10,11,12,13,14,15,16,17,18,19,20,21,22,23,24,25,26,27,28,29,30,31,32"/>
    <n v="32"/>
    <m/>
    <m/>
    <s v="No"/>
    <x v="1"/>
    <m/>
    <m/>
    <s v="128.205.114.91"/>
    <s v="RC569.5.B65 -- K97 2014eb"/>
    <s v="306.4/613"/>
    <d v="2014-03-28T00:00:00"/>
  </r>
  <r>
    <x v="3428"/>
    <d v="1899-12-30T00:00:30"/>
    <x v="13"/>
    <x v="0"/>
    <s v="Buffalo"/>
    <x v="6"/>
    <n v="1635363"/>
    <x v="0"/>
    <s v="Law"/>
    <s v="9781118678206"/>
    <s v=",1,2,3,2,1,3,2,2"/>
    <n v="3"/>
    <m/>
    <m/>
    <s v="No"/>
    <x v="0"/>
    <d v="2015-11-17T19:57:32"/>
    <n v="7"/>
    <s v="128.205.114.91"/>
    <s v="KF285.Z9 -- H38 2014eb"/>
    <n v="340.07600000000002"/>
    <d v="2014-02-14T00:00:00"/>
  </r>
  <r>
    <x v="3429"/>
    <d v="1899-12-30T00:33:08"/>
    <x v="944"/>
    <x v="2"/>
    <s v="hilbert"/>
    <x v="702"/>
    <n v="1187185"/>
    <x v="0"/>
    <s v="Engineering; Engineering: Mining; Engineering: Environmental"/>
    <s v="9781118748183"/>
    <s v=",23,24,21,25,22,26,20"/>
    <n v="7"/>
    <m/>
    <s v=",19,20,21,22,29,29,30,31,32,33,36,36,67,68,71,79,80,81,82,84,85,85,90,92,93,94,94,95,96,96,101,126,127,23,24,25,26,27,28"/>
    <s v="No"/>
    <x v="0"/>
    <d v="2015-11-18T14:40:40"/>
    <n v="7"/>
    <s v="72.45.217.43"/>
    <s v="TD195.G3 -- H65 2013eb"/>
    <n v="622.33799999999997"/>
    <d v="2013-05-06T00:00:00"/>
  </r>
  <r>
    <x v="3430"/>
    <d v="1899-12-30T00:06:27"/>
    <x v="944"/>
    <x v="2"/>
    <s v="hilbert"/>
    <x v="702"/>
    <n v="1187185"/>
    <x v="0"/>
    <s v="Engineering; Engineering: Mining; Engineering: Environmental"/>
    <s v="9781118748183"/>
    <s v=",1,2,3,85,86,87,83,84,88,89,90"/>
    <n v="11"/>
    <m/>
    <m/>
    <s v="No"/>
    <x v="1"/>
    <m/>
    <m/>
    <s v="72.45.217.43"/>
    <s v="TD195.G3 -- H65 2013eb"/>
    <n v="622.33799999999997"/>
    <d v="2013-05-06T00:00:00"/>
  </r>
  <r>
    <x v="3431"/>
    <d v="1899-12-30T00:02:33"/>
    <x v="860"/>
    <x v="12"/>
    <s v="potsdam"/>
    <x v="270"/>
    <n v="1637652"/>
    <x v="3"/>
    <s v="Education"/>
    <s v="9780520958449"/>
    <s v=",1,2,3,116,117,118,115,114,119,120,121,122"/>
    <n v="12"/>
    <m/>
    <m/>
    <s v="No"/>
    <x v="0"/>
    <d v="2015-11-13T14:53:56"/>
    <n v="7"/>
    <s v="137.143.104.94"/>
    <s v="LB2340.2 -- .B478 2014eb"/>
    <s v="378.3/62"/>
    <d v="2014-05-02T00:00:00"/>
  </r>
  <r>
    <x v="3432"/>
    <d v="1899-12-30T00:00:22"/>
    <x v="765"/>
    <x v="1"/>
    <s v="brockport"/>
    <x v="917"/>
    <n v="1486866"/>
    <x v="2"/>
    <s v="Social Science"/>
    <s v="9781135431341"/>
    <s v=",43,44,45,41,42,40,46"/>
    <n v="7"/>
    <m/>
    <m/>
    <s v="No"/>
    <x v="2"/>
    <d v="2015-11-18T14:17:51"/>
    <n v="1"/>
    <s v="137.21.7.121"/>
    <s v="HV45.S617"/>
    <n v="361.4"/>
    <d v="2013-10-18T00:00:00"/>
  </r>
  <r>
    <x v="3433"/>
    <d v="1899-12-30T00:42:54"/>
    <x v="789"/>
    <x v="6"/>
    <s v="sjfc"/>
    <x v="68"/>
    <n v="1822529"/>
    <x v="0"/>
    <s v="Mathematics"/>
    <s v="9781118824344"/>
    <s v=",2,1,3,1,2,3,167,168,169,165,166,170,171,172,173,174,175,176,177,178,179,180,181,182,183,184,185"/>
    <n v="24"/>
    <m/>
    <m/>
    <s v="No"/>
    <x v="0"/>
    <d v="2015-11-15T20:04:50"/>
    <n v="7"/>
    <s v="149.69.254.57"/>
    <s v="QA297 -- .S59 2015eb"/>
    <n v="519.4"/>
    <d v="2014-10-20T00:00:00"/>
  </r>
  <r>
    <x v="3434"/>
    <d v="1899-12-30T00:08:48"/>
    <x v="765"/>
    <x v="1"/>
    <s v="brockport"/>
    <x v="917"/>
    <n v="1486866"/>
    <x v="2"/>
    <s v="Social Science"/>
    <s v="9781135431341"/>
    <s v=",1,2,3"/>
    <n v="3"/>
    <m/>
    <m/>
    <s v="No"/>
    <x v="3"/>
    <m/>
    <m/>
    <s v="137.21.7.121"/>
    <s v="HV45.S617"/>
    <n v="361.4"/>
    <d v="2013-10-18T00:00:00"/>
  </r>
  <r>
    <x v="3435"/>
    <d v="1899-12-30T00:24:03"/>
    <x v="26"/>
    <x v="6"/>
    <s v="sjfc"/>
    <x v="631"/>
    <n v="1798778"/>
    <x v="0"/>
    <s v="Medicine"/>
    <s v="9781118760741"/>
    <s v=",342,343,344,340,341,339,338,339,340,335,341,342,343,344,345,339,29,30,31,27,28,25,26,335,336,337,333,334,338"/>
    <n v="20"/>
    <m/>
    <s v=",335,335,335,336,337,338,339,341,342,343,344,345,354,355,356,357,358,358,359,359,359,360,361,361,362,363,335,336,337,338,339,341,342,343,344,345,354,355,356,357,358,358,359,359,359,360,361,361,362,363"/>
    <s v="No"/>
    <x v="0"/>
    <d v="2015-11-18T13:40:01"/>
    <n v="7"/>
    <s v="149.69.254.57"/>
    <s v="RC71.5 -- .D954 2015eb"/>
    <n v="616.07500000000005"/>
    <d v="2014-09-24T00:00:00"/>
  </r>
  <r>
    <x v="3436"/>
    <d v="1899-12-30T00:02:10"/>
    <x v="26"/>
    <x v="6"/>
    <s v="sjfc"/>
    <x v="631"/>
    <n v="1798778"/>
    <x v="0"/>
    <s v="Medicine"/>
    <s v="9781118760741"/>
    <s v=",1,3,2,32,33,34,30,31,356,357,358,354,355,359,360,361,362,363,364,365,366,356,355,354,353,352,351,350,349,348,347,346,345,344,343,342,341,340,339,338,331,333,335,336,337,334"/>
    <n v="43"/>
    <m/>
    <m/>
    <s v="No"/>
    <x v="1"/>
    <m/>
    <m/>
    <s v="149.69.254.57"/>
    <s v="RC71.5 -- .D954 2015eb"/>
    <n v="616.07500000000005"/>
    <d v="2014-09-24T00:00:00"/>
  </r>
  <r>
    <x v="3437"/>
    <d v="1899-12-30T00:00:01"/>
    <x v="945"/>
    <x v="0"/>
    <s v="Buffalo"/>
    <x v="232"/>
    <n v="822111"/>
    <x v="0"/>
    <s v="Social Science"/>
    <s v="9781444356922"/>
    <m/>
    <n v="0"/>
    <m/>
    <m/>
    <s v="No"/>
    <x v="1"/>
    <m/>
    <m/>
    <s v="128.205.114.91"/>
    <s v="HV6773 -- .K69 2012eb"/>
    <s v="302.34/3"/>
    <d v="2012-02-16T00:00:00"/>
  </r>
  <r>
    <x v="3438"/>
    <d v="1899-12-30T00:06:22"/>
    <x v="946"/>
    <x v="12"/>
    <s v="potsdam"/>
    <x v="918"/>
    <n v="2038634"/>
    <x v="1"/>
    <s v="History"/>
    <s v="9781409448099"/>
    <s v=",284,285,286,287,288,289,290,291,292,293,294,295,296,297,298,299,300,301,302,303,304,305,306,307,308,309,310"/>
    <n v="27"/>
    <m/>
    <m/>
    <s v="No"/>
    <x v="2"/>
    <d v="2015-11-18T09:02:03"/>
    <n v="1"/>
    <s v="137.143.104.94"/>
    <n v="2014039122"/>
    <n v="941.08560922000004"/>
    <d v="2015-05-28T00:00:00"/>
  </r>
  <r>
    <x v="3439"/>
    <d v="1899-12-30T00:05:15"/>
    <x v="946"/>
    <x v="12"/>
    <s v="potsdam"/>
    <x v="918"/>
    <n v="2038634"/>
    <x v="1"/>
    <s v="History"/>
    <s v="9781409448099"/>
    <s v=",1,2,3,268,269,268,269,270,271,272,273,274,275,276,277,278,279,280,281,282,283"/>
    <n v="19"/>
    <m/>
    <m/>
    <s v="No"/>
    <x v="3"/>
    <m/>
    <m/>
    <s v="137.143.104.94"/>
    <n v="2014039122"/>
    <n v="941.08560922000004"/>
    <d v="2015-05-28T00:00:00"/>
  </r>
  <r>
    <x v="3440"/>
    <d v="1899-12-30T00:22:37"/>
    <x v="946"/>
    <x v="12"/>
    <s v="potsdam"/>
    <x v="919"/>
    <n v="2008060"/>
    <x v="0"/>
    <s v="History"/>
    <s v="9781118949016"/>
    <s v=",1,2,3,66,67,68,65,64,69,70,71,72,73,74,75,76,77,78,79,80,81,82,83,84,85,86,84,143,148,150,149,151,5,6"/>
    <n v="33"/>
    <m/>
    <m/>
    <s v="No"/>
    <x v="0"/>
    <d v="2015-11-18T06:41:37"/>
    <n v="7"/>
    <s v="137.143.104.94"/>
    <s v="DS558 .H47 2015"/>
    <s v="959.704/3"/>
    <d v="2015-03-25T00:00:00"/>
  </r>
  <r>
    <x v="3441"/>
    <d v="1899-12-30T00:10:15"/>
    <x v="946"/>
    <x v="12"/>
    <s v="potsdam"/>
    <x v="919"/>
    <n v="2008060"/>
    <x v="0"/>
    <s v="History"/>
    <s v="9781118949016"/>
    <s v=",84,85,86,87,88,89,148,149,146,150,147,151,152,153,154,155,156,157,158,195,196,197,194,193,198,199,200"/>
    <n v="27"/>
    <m/>
    <m/>
    <s v="No"/>
    <x v="0"/>
    <d v="2015-11-18T06:41:37"/>
    <n v="7"/>
    <s v="137.143.104.94"/>
    <s v="DS558 .H47 2015"/>
    <s v="959.704/3"/>
    <d v="2015-03-25T00:00:00"/>
  </r>
  <r>
    <x v="3442"/>
    <d v="1899-12-30T00:05:27"/>
    <x v="946"/>
    <x v="12"/>
    <s v="potsdam"/>
    <x v="919"/>
    <n v="2008060"/>
    <x v="0"/>
    <s v="History"/>
    <s v="9781118949016"/>
    <s v=",1,2,3,23,24,25,21,22,26,27,28,32,33,34,30,31,35,37,38,39,36,77,78,79,75,76,80,81,82,83"/>
    <n v="30"/>
    <m/>
    <m/>
    <s v="No"/>
    <x v="3"/>
    <m/>
    <m/>
    <s v="137.143.104.94"/>
    <s v="DS558 .H47 2015"/>
    <s v="959.704/3"/>
    <d v="2015-03-25T00:00:00"/>
  </r>
  <r>
    <x v="3443"/>
    <d v="1899-12-30T00:28:55"/>
    <x v="13"/>
    <x v="0"/>
    <s v="Buffalo"/>
    <x v="473"/>
    <n v="836624"/>
    <x v="0"/>
    <s v="Literature; Fine Arts"/>
    <s v="9781118346686"/>
    <s v=",1,2,3,33,34,35,31,32,42,43,44,40,41,60,61,58,59,72,73,74,70,71,75"/>
    <n v="23"/>
    <m/>
    <m/>
    <s v="No"/>
    <x v="0"/>
    <d v="2015-11-17T04:38:01"/>
    <n v="7"/>
    <s v="128.205.114.91"/>
    <s v="PN6727.K586 W39 2012"/>
    <n v="741.59730000000002"/>
    <d v="2012-03-01T00:00:00"/>
  </r>
  <r>
    <x v="3444"/>
    <d v="1899-12-30T00:04:38"/>
    <x v="947"/>
    <x v="12"/>
    <s v="potsdam"/>
    <x v="920"/>
    <n v="1318801"/>
    <x v="0"/>
    <s v="Science: Biology/Natural History; Science"/>
    <s v="9781118734414"/>
    <s v=",1,2,3,4,5,6,7,8,160,161,162,158,159,163,164,165,166,167,168,169,170,171,172,173,175,193,194,195,191,192,196,197"/>
    <n v="32"/>
    <m/>
    <m/>
    <s v="No"/>
    <x v="3"/>
    <m/>
    <m/>
    <s v="137.143.104.94"/>
    <s v="QH603.M5 .M384 2013"/>
    <n v="571.65700000000004"/>
    <d v="2013-07-12T00:00:00"/>
  </r>
  <r>
    <x v="3445"/>
    <d v="1899-12-30T00:00:05"/>
    <x v="946"/>
    <x v="12"/>
    <s v="potsdam"/>
    <x v="919"/>
    <n v="2008060"/>
    <x v="0"/>
    <s v="History"/>
    <s v="9781118949016"/>
    <s v=",1,2,3"/>
    <n v="3"/>
    <m/>
    <m/>
    <s v="No"/>
    <x v="3"/>
    <m/>
    <m/>
    <s v="137.143.104.94"/>
    <s v="DS558 .H47 2015"/>
    <s v="959.704/3"/>
    <d v="2015-03-25T00:00:00"/>
  </r>
  <r>
    <x v="3446"/>
    <d v="1899-12-30T00:33:26"/>
    <x v="948"/>
    <x v="0"/>
    <s v="Buffalo"/>
    <x v="457"/>
    <n v="2008480"/>
    <x v="4"/>
    <s v="Medicine"/>
    <s v="9781462523221"/>
    <s v=",95,96,97,98"/>
    <n v="4"/>
    <m/>
    <m/>
    <s v="No"/>
    <x v="2"/>
    <d v="2015-11-18T04:12:03"/>
    <n v="1"/>
    <s v="128.205.114.91"/>
    <s v="RC531 -- .A586 2009eb"/>
    <n v="616.85220000000004"/>
    <d v="2015-01-01T00:00:00"/>
  </r>
  <r>
    <x v="3447"/>
    <d v="1899-12-30T00:03:01"/>
    <x v="465"/>
    <x v="2"/>
    <s v="hilbert"/>
    <x v="505"/>
    <n v="1725830"/>
    <x v="0"/>
    <s v="Economics; Business/Management"/>
    <s v="9780745684116"/>
    <s v=",7,8,9,10,11,12,13"/>
    <n v="7"/>
    <m/>
    <m/>
    <s v="No"/>
    <x v="2"/>
    <d v="2015-11-18T04:11:44"/>
    <n v="1"/>
    <s v="72.45.217.43"/>
    <s v="HD5708.46 -- .J366 2014eb"/>
    <n v="331.13704100000001"/>
    <d v="2014-06-27T00:00:00"/>
  </r>
  <r>
    <x v="3448"/>
    <d v="1899-12-30T00:05:11"/>
    <x v="948"/>
    <x v="0"/>
    <s v="Buffalo"/>
    <x v="457"/>
    <n v="2008480"/>
    <x v="4"/>
    <s v="Medicine"/>
    <s v="9781462523221"/>
    <s v=",1,2,3,4,91,92,93,89,90,94"/>
    <n v="10"/>
    <m/>
    <m/>
    <s v="No"/>
    <x v="3"/>
    <m/>
    <m/>
    <s v="128.205.114.91"/>
    <s v="RC531 -- .A586 2009eb"/>
    <n v="616.85220000000004"/>
    <d v="2015-01-01T00:00:00"/>
  </r>
  <r>
    <x v="3449"/>
    <d v="1899-12-30T00:01:27"/>
    <x v="703"/>
    <x v="0"/>
    <s v="Buffalo"/>
    <x v="111"/>
    <n v="1166322"/>
    <x v="0"/>
    <s v="Architecture"/>
    <s v="9781118418512"/>
    <s v=",251,252,253,249,250,248,247,246,244,245,242,243,240,241,239,238,237,236,235,234,251,254,255"/>
    <n v="22"/>
    <m/>
    <s v=",246,247,248,249,250,251,252,253"/>
    <s v="No"/>
    <x v="0"/>
    <d v="2015-11-18T04:05:36"/>
    <n v="7"/>
    <s v="128.205.114.91"/>
    <s v="NA2000 -- .G76 2013eb"/>
    <n v="720.072"/>
    <d v="2013-04-03T00:00:00"/>
  </r>
  <r>
    <x v="3450"/>
    <d v="1899-12-30T00:00:39"/>
    <x v="949"/>
    <x v="13"/>
    <s v="buffalostate"/>
    <x v="921"/>
    <n v="1821089"/>
    <x v="4"/>
    <s v="Psychology"/>
    <s v="9781462519965"/>
    <s v=",1,2,3,5,6,7,4,11,13,12,9,10,14,15,19,20,21,17,18"/>
    <n v="19"/>
    <m/>
    <m/>
    <s v="No"/>
    <x v="3"/>
    <m/>
    <m/>
    <s v="136.183.11.43"/>
    <s v="BF698 -- .M347 2015eb"/>
    <s v="155.2/5"/>
    <d v="2015-02-20T00:00:00"/>
  </r>
  <r>
    <x v="3451"/>
    <d v="1899-12-30T01:26:58"/>
    <x v="936"/>
    <x v="0"/>
    <s v="Buffalo"/>
    <x v="824"/>
    <n v="1120538"/>
    <x v="12"/>
    <s v="Science; Science: Zoology"/>
    <s v="9781469608082"/>
    <s v=",1,2,3,4,20,21,22,19,23,24,25,26,27,22,28,29,24,30,31,32,33,34,35,25,23"/>
    <n v="21"/>
    <m/>
    <m/>
    <s v="No"/>
    <x v="2"/>
    <d v="2015-11-18T03:55:28"/>
    <n v="1"/>
    <s v="128.205.114.91"/>
    <s v="QL737.C22 -- B43 2013eb"/>
    <n v="599.77309700000001"/>
    <d v="2013-05-23T00:00:00"/>
  </r>
  <r>
    <x v="3452"/>
    <d v="1899-12-30T00:00:02"/>
    <x v="936"/>
    <x v="0"/>
    <s v="Buffalo"/>
    <x v="824"/>
    <n v="1120538"/>
    <x v="12"/>
    <s v="Science; Science: Zoology"/>
    <s v="9781469608082"/>
    <m/>
    <n v="0"/>
    <m/>
    <m/>
    <s v="No"/>
    <x v="3"/>
    <m/>
    <m/>
    <s v="128.205.114.91"/>
    <s v="QL737.C22 -- B43 2013eb"/>
    <n v="599.77309700000001"/>
    <d v="2013-05-23T00:00:00"/>
  </r>
  <r>
    <x v="3453"/>
    <d v="1899-12-30T00:12:54"/>
    <x v="703"/>
    <x v="0"/>
    <s v="Buffalo"/>
    <x v="111"/>
    <n v="1166322"/>
    <x v="0"/>
    <s v="Architecture"/>
    <s v="9781118418512"/>
    <s v=",1,2,3"/>
    <n v="3"/>
    <m/>
    <m/>
    <s v="No"/>
    <x v="1"/>
    <m/>
    <m/>
    <s v="128.205.114.91"/>
    <s v="NA2000 -- .G76 2013eb"/>
    <n v="720.072"/>
    <d v="2013-04-03T00:00:00"/>
  </r>
  <r>
    <x v="3454"/>
    <d v="1899-12-30T00:32:57"/>
    <x v="465"/>
    <x v="2"/>
    <s v="hilbert"/>
    <x v="505"/>
    <n v="1725830"/>
    <x v="0"/>
    <s v="Economics; Business/Management"/>
    <s v="9780745684116"/>
    <s v=",1,2,3,4,5,6"/>
    <n v="6"/>
    <m/>
    <m/>
    <s v="No"/>
    <x v="3"/>
    <m/>
    <m/>
    <s v="72.45.217.43"/>
    <s v="HD5708.46 -- .J366 2014eb"/>
    <n v="331.13704100000001"/>
    <d v="2014-06-27T00:00:00"/>
  </r>
  <r>
    <x v="3455"/>
    <d v="1899-12-30T00:01:39"/>
    <x v="950"/>
    <x v="12"/>
    <s v="potsdam"/>
    <x v="922"/>
    <n v="2004809"/>
    <x v="1"/>
    <s v="Law"/>
    <s v="9781472443465"/>
    <s v=",1,24,25,26,22,23,27,28,29,30,31,32,33,2,34,35,36,37,38,39,40,41"/>
    <n v="22"/>
    <m/>
    <m/>
    <s v="No"/>
    <x v="3"/>
    <m/>
    <m/>
    <s v="137.143.104.94"/>
    <s v="K3927 -- .I58 2015eb"/>
    <s v="346.04/84"/>
    <d v="2015-04-28T00:00:00"/>
  </r>
  <r>
    <x v="3456"/>
    <d v="1899-12-30T00:00:00"/>
    <x v="231"/>
    <x v="0"/>
    <s v="Buffalo"/>
    <x v="103"/>
    <n v="865191"/>
    <x v="0"/>
    <s v="Social Science"/>
    <s v="9781118101681"/>
    <m/>
    <n v="0"/>
    <m/>
    <m/>
    <s v="Yes"/>
    <x v="0"/>
    <d v="2015-11-18T02:21:51"/>
    <n v="7"/>
    <s v="128.205.114.91"/>
    <s v="HT166 -- .Y565 2012eb"/>
    <s v="307.1/216; 307.1216; 307.1416"/>
    <d v="2012-02-21T00:00:00"/>
  </r>
  <r>
    <x v="3457"/>
    <d v="1899-12-30T00:00:00"/>
    <x v="231"/>
    <x v="0"/>
    <s v="Buffalo"/>
    <x v="103"/>
    <n v="865191"/>
    <x v="0"/>
    <s v="Social Science"/>
    <s v="9781118101681"/>
    <m/>
    <n v="0"/>
    <m/>
    <m/>
    <s v="Yes"/>
    <x v="0"/>
    <d v="2015-11-18T02:21:51"/>
    <n v="7"/>
    <s v="128.205.114.91"/>
    <s v="HT166 -- .Y565 2012eb"/>
    <s v="307.1/216; 307.1216; 307.1416"/>
    <d v="2012-02-21T00:00:00"/>
  </r>
  <r>
    <x v="3458"/>
    <d v="1899-12-30T00:02:03"/>
    <x v="951"/>
    <x v="5"/>
    <s v="erie"/>
    <x v="923"/>
    <n v="1108303"/>
    <x v="1"/>
    <s v="Religion"/>
    <s v="9781409446156"/>
    <s v=",1,2,3,4,5,6,7,8,9,10,11,12,13,14,15,16,17,18,19,20,21,22,23"/>
    <n v="23"/>
    <m/>
    <m/>
    <s v="No"/>
    <x v="1"/>
    <m/>
    <m/>
    <s v="199.29.6.54"/>
    <s v="BL2470.N5 -- A34 2013eb"/>
    <n v="200.96690000000001"/>
    <d v="2013-03-28T00:00:00"/>
  </r>
  <r>
    <x v="3459"/>
    <d v="1899-12-30T00:00:37"/>
    <x v="952"/>
    <x v="1"/>
    <s v="brockport"/>
    <x v="839"/>
    <n v="1894285"/>
    <x v="4"/>
    <s v="Education"/>
    <s v="9781462520169"/>
    <s v=",1,2,3,4,5,6,7,8,9,10,11,12,32,33,34,44,49,50,51,47,48"/>
    <n v="21"/>
    <m/>
    <m/>
    <s v="No"/>
    <x v="3"/>
    <m/>
    <m/>
    <s v="137.21.7.121"/>
    <s v="LB1072  -- .H37 2015eb"/>
    <n v="370.15300000000002"/>
    <d v="2015-04-15T00:00:00"/>
  </r>
  <r>
    <x v="3460"/>
    <d v="1899-12-30T00:00:00"/>
    <x v="231"/>
    <x v="0"/>
    <s v="Buffalo"/>
    <x v="103"/>
    <n v="865191"/>
    <x v="0"/>
    <s v="Social Science"/>
    <s v="9781118101681"/>
    <m/>
    <n v="0"/>
    <m/>
    <m/>
    <s v="Yes"/>
    <x v="0"/>
    <d v="2015-11-18T02:21:51"/>
    <n v="7"/>
    <s v="128.205.114.91"/>
    <s v="HT166 -- .Y565 2012eb"/>
    <s v="307.1/216; 307.1216; 307.1416"/>
    <d v="2012-02-21T00:00:00"/>
  </r>
  <r>
    <x v="3461"/>
    <d v="1899-12-30T00:02:39"/>
    <x v="231"/>
    <x v="0"/>
    <s v="Buffalo"/>
    <x v="103"/>
    <n v="865191"/>
    <x v="0"/>
    <s v="Social Science"/>
    <s v="9781118101681"/>
    <s v=",1,2,3,1,73,74,75,76,77,78,79"/>
    <n v="10"/>
    <m/>
    <m/>
    <s v="No"/>
    <x v="0"/>
    <d v="2015-11-18T02:21:51"/>
    <n v="7"/>
    <s v="128.205.114.91"/>
    <s v="HT166 -- .Y565 2012eb"/>
    <s v="307.1/216; 307.1216; 307.1416"/>
    <d v="2012-02-21T00:00:00"/>
  </r>
  <r>
    <x v="3462"/>
    <d v="1899-12-30T00:00:59"/>
    <x v="926"/>
    <x v="2"/>
    <s v="hilbert"/>
    <x v="924"/>
    <n v="3061383"/>
    <x v="2"/>
    <s v="Social Science; History"/>
    <s v="9780203055625"/>
    <s v=",27,28,29,25,26,100,98,96,97,99,95,101,102,103,104"/>
    <n v="15"/>
    <m/>
    <m/>
    <s v="No"/>
    <x v="2"/>
    <d v="2015-11-18T03:06:48"/>
    <n v="1"/>
    <s v="72.45.217.43"/>
    <s v="E185.86 -- .C5816 2011eb"/>
    <n v="305.896073"/>
    <d v="2013-10-01T00:00:00"/>
  </r>
  <r>
    <x v="3463"/>
    <d v="1899-12-30T00:00:08"/>
    <x v="13"/>
    <x v="0"/>
    <s v="Buffalo"/>
    <x v="473"/>
    <n v="836624"/>
    <x v="0"/>
    <s v="Literature; Fine Arts"/>
    <s v="9781118346686"/>
    <s v=",1,2,3"/>
    <n v="3"/>
    <m/>
    <m/>
    <s v="No"/>
    <x v="0"/>
    <d v="2015-11-17T04:38:01"/>
    <n v="7"/>
    <s v="128.205.114.91"/>
    <s v="PN6727.K586 W39 2012"/>
    <n v="741.59730000000002"/>
    <d v="2012-03-01T00:00:00"/>
  </r>
  <r>
    <x v="3464"/>
    <d v="1899-12-30T00:08:44"/>
    <x v="926"/>
    <x v="2"/>
    <s v="hilbert"/>
    <x v="924"/>
    <n v="3061383"/>
    <x v="2"/>
    <s v="Social Science; History"/>
    <s v="9780203055625"/>
    <s v=",1,2,3"/>
    <n v="3"/>
    <m/>
    <m/>
    <s v="No"/>
    <x v="3"/>
    <m/>
    <m/>
    <s v="72.45.217.43"/>
    <s v="E185.86 -- .C5816 2011eb"/>
    <n v="305.896073"/>
    <d v="2013-10-01T00:00:00"/>
  </r>
  <r>
    <x v="3465"/>
    <d v="1899-12-30T00:00:07"/>
    <x v="926"/>
    <x v="2"/>
    <s v="hilbert"/>
    <x v="914"/>
    <n v="1330317"/>
    <x v="11"/>
    <s v="Business/Management; Economics"/>
    <s v="9780226030616"/>
    <s v=",1,2,3"/>
    <n v="3"/>
    <m/>
    <m/>
    <s v="No"/>
    <x v="3"/>
    <m/>
    <m/>
    <s v="72.45.217.43"/>
    <s v="HD7293"/>
    <n v="332.10973000000001"/>
    <d v="2013-08-19T00:00:00"/>
  </r>
  <r>
    <x v="3466"/>
    <d v="1899-12-30T00:01:45"/>
    <x v="926"/>
    <x v="2"/>
    <s v="hilbert"/>
    <x v="842"/>
    <n v="1397123"/>
    <x v="2"/>
    <s v="Social Science; History"/>
    <s v="9781134729005"/>
    <s v=",1,2,3,22,23,74,75,76,72,73,212,213,214,210,211,215,216,217,218,219,206,200,65,21,19,20,282,283,284,280,281,285,278,279,286"/>
    <n v="35"/>
    <m/>
    <m/>
    <s v="No"/>
    <x v="3"/>
    <m/>
    <m/>
    <s v="72.45.217.43"/>
    <s v="E184.A1 -- F385 2006eb"/>
    <n v="305.896073"/>
    <d v="2006-03-30T00:00:00"/>
  </r>
  <r>
    <x v="3467"/>
    <d v="1899-12-30T00:00:04"/>
    <x v="926"/>
    <x v="2"/>
    <s v="hilbert"/>
    <x v="925"/>
    <n v="1461190"/>
    <x v="2"/>
    <s v="History"/>
    <s v="9781135005191"/>
    <s v=",1,2,3"/>
    <n v="3"/>
    <m/>
    <m/>
    <s v="No"/>
    <x v="3"/>
    <m/>
    <m/>
    <s v="72.45.217.43"/>
    <s v="DT31 -- .P317 2013eb"/>
    <n v="960"/>
    <d v="2013-10-08T00:00:00"/>
  </r>
  <r>
    <x v="3468"/>
    <d v="1899-12-30T00:00:21"/>
    <x v="953"/>
    <x v="0"/>
    <s v="Buffalo"/>
    <x v="850"/>
    <n v="1589615"/>
    <x v="1"/>
    <s v="History"/>
    <s v="9781409469865"/>
    <s v=",1,2,3,28,29,30,26,27,31,32"/>
    <n v="10"/>
    <m/>
    <m/>
    <s v="No"/>
    <x v="2"/>
    <d v="2015-11-17T20:25:25"/>
    <n v="1"/>
    <s v="128.205.114.91"/>
    <s v="DF587 -- .C636 2014eb"/>
    <n v="949.50199999999995"/>
    <d v="2014-10-28T00:00:00"/>
  </r>
  <r>
    <x v="3469"/>
    <d v="1899-12-30T00:02:52"/>
    <x v="953"/>
    <x v="0"/>
    <s v="Buffalo"/>
    <x v="850"/>
    <n v="1589615"/>
    <x v="1"/>
    <s v="History"/>
    <s v="9781409469865"/>
    <s v=",1,2,3,5,6,7,8,9,10,28,29,30,26,27,31,32,261,262,263,259,260,265,266,272,271,273,269,270,274,275,276"/>
    <n v="31"/>
    <m/>
    <m/>
    <s v="No"/>
    <x v="2"/>
    <d v="2015-11-17T20:25:25"/>
    <n v="1"/>
    <s v="128.205.114.91"/>
    <s v="DF587 -- .C636 2014eb"/>
    <n v="949.50199999999995"/>
    <d v="2014-10-28T00:00:00"/>
  </r>
  <r>
    <x v="3470"/>
    <d v="1899-12-30T00:00:00"/>
    <x v="231"/>
    <x v="0"/>
    <s v="Buffalo"/>
    <x v="103"/>
    <n v="865191"/>
    <x v="0"/>
    <s v="Social Science"/>
    <s v="9781118101681"/>
    <m/>
    <n v="0"/>
    <m/>
    <m/>
    <s v="Yes"/>
    <x v="0"/>
    <d v="2015-11-18T02:21:51"/>
    <n v="7"/>
    <s v="128.205.114.91"/>
    <s v="HT166 -- .Y565 2012eb"/>
    <s v="307.1/216; 307.1216; 307.1416"/>
    <d v="2012-02-21T00:00:00"/>
  </r>
  <r>
    <x v="3470"/>
    <d v="1899-12-30T00:00:00"/>
    <x v="231"/>
    <x v="0"/>
    <s v="Buffalo"/>
    <x v="103"/>
    <n v="865191"/>
    <x v="0"/>
    <s v="Social Science"/>
    <s v="9781118101681"/>
    <m/>
    <n v="0"/>
    <m/>
    <m/>
    <s v="No"/>
    <x v="0"/>
    <d v="2015-11-18T02:21:51"/>
    <n v="7"/>
    <s v="128.205.114.91"/>
    <s v="HT166 -- .Y565 2012eb"/>
    <s v="307.1/216; 307.1216; 307.1416"/>
    <d v="2012-02-21T00:00:00"/>
  </r>
  <r>
    <x v="3471"/>
    <d v="1899-12-30T00:00:25"/>
    <x v="231"/>
    <x v="0"/>
    <s v="Buffalo"/>
    <x v="103"/>
    <n v="865191"/>
    <x v="0"/>
    <s v="Social Science"/>
    <s v="9781118101681"/>
    <s v=",1,2,3,1"/>
    <n v="3"/>
    <m/>
    <m/>
    <s v="No"/>
    <x v="1"/>
    <m/>
    <m/>
    <s v="128.205.114.91"/>
    <s v="HT166 -- .Y565 2012eb"/>
    <s v="307.1/216; 307.1216; 307.1416"/>
    <d v="2012-02-21T00:00:00"/>
  </r>
  <r>
    <x v="3472"/>
    <d v="1899-12-30T00:18:51"/>
    <x v="926"/>
    <x v="2"/>
    <s v="hilbert"/>
    <x v="910"/>
    <n v="844066"/>
    <x v="0"/>
    <s v="Business/Management; Economics"/>
    <s v="9781444347425"/>
    <s v=",11,13,14,16,18,19,17,10,12,15,20,21,22,23,24,25,26,27,28,31,29,1,30,32,33,34,35,36,37,39,44,46,48,49,54,211,243,266"/>
    <n v="38"/>
    <m/>
    <m/>
    <s v="Yes"/>
    <x v="0"/>
    <d v="2015-11-18T02:21:22"/>
    <n v="7"/>
    <s v="72.45.217.43"/>
    <s v="HG2040.15 -- .S83 2012eb"/>
    <s v="332.7/2"/>
    <d v="2012-01-17T00:00:00"/>
  </r>
  <r>
    <x v="3472"/>
    <d v="1899-12-30T00:00:00"/>
    <x v="926"/>
    <x v="2"/>
    <s v="hilbert"/>
    <x v="910"/>
    <n v="844066"/>
    <x v="0"/>
    <s v="Business/Management; Economics"/>
    <s v="9781444347425"/>
    <m/>
    <n v="0"/>
    <m/>
    <m/>
    <s v="No"/>
    <x v="0"/>
    <d v="2015-11-18T02:21:22"/>
    <n v="7"/>
    <s v="72.45.217.43"/>
    <s v="HG2040.15 -- .S83 2012eb"/>
    <s v="332.7/2"/>
    <d v="2012-01-17T00:00:00"/>
  </r>
  <r>
    <x v="3473"/>
    <d v="1899-12-30T00:01:33"/>
    <x v="926"/>
    <x v="2"/>
    <s v="hilbert"/>
    <x v="910"/>
    <n v="844066"/>
    <x v="0"/>
    <s v="Business/Management; Economics"/>
    <s v="9781444347425"/>
    <s v=",1,2,3,7,8,9,5,6,27,28,29,25,26,211,212,213,209,210,214,215,4"/>
    <n v="21"/>
    <m/>
    <m/>
    <s v="No"/>
    <x v="1"/>
    <m/>
    <m/>
    <s v="72.45.217.43"/>
    <s v="HG2040.15 -- .S83 2012eb"/>
    <s v="332.7/2"/>
    <d v="2012-01-17T00:00:00"/>
  </r>
  <r>
    <x v="3474"/>
    <d v="1899-12-30T00:00:00"/>
    <x v="926"/>
    <x v="2"/>
    <s v="hilbert"/>
    <x v="322"/>
    <n v="1728048"/>
    <x v="11"/>
    <s v="Economics; Business/Management"/>
    <s v="9780226093284"/>
    <m/>
    <n v="0"/>
    <m/>
    <m/>
    <s v="Yes"/>
    <x v="2"/>
    <d v="2015-11-18T02:16:50"/>
    <n v="7"/>
    <s v="72.45.217.43"/>
    <s v="HD7293"/>
    <s v="333.33/80973"/>
    <d v="2014-10-17T00:00:00"/>
  </r>
  <r>
    <x v="3474"/>
    <d v="1899-12-30T00:00:00"/>
    <x v="926"/>
    <x v="2"/>
    <s v="hilbert"/>
    <x v="322"/>
    <n v="1728048"/>
    <x v="11"/>
    <s v="Economics; Business/Management"/>
    <s v="9780226093284"/>
    <m/>
    <n v="0"/>
    <m/>
    <m/>
    <s v="No"/>
    <x v="2"/>
    <d v="2015-11-18T02:16:50"/>
    <n v="7"/>
    <s v="72.45.217.43"/>
    <s v="HD7293"/>
    <s v="333.33/80973"/>
    <d v="2014-10-17T00:00:00"/>
  </r>
  <r>
    <x v="3475"/>
    <d v="1899-12-30T00:05:35"/>
    <x v="954"/>
    <x v="1"/>
    <s v="brockport"/>
    <x v="926"/>
    <n v="1584076"/>
    <x v="0"/>
    <s v="History"/>
    <s v="9780745679679"/>
    <s v=",333,334,335,336,337,35,33,34,36,37,42,43,45,53,68,72,73,70,74,75,76,77,78,79,80,81,71,57,59,58,56,55,60,61,62,63,65,64,66,67,69,82,83,84,85,86,87,88,89,90"/>
    <n v="50"/>
    <m/>
    <m/>
    <s v="No"/>
    <x v="0"/>
    <d v="2015-11-18T02:12:13"/>
    <n v="7"/>
    <s v="137.21.7.121"/>
    <s v="DG445 .B384 2013"/>
    <n v="945.05"/>
    <d v="2013-12-18T00:00:00"/>
  </r>
  <r>
    <x v="3476"/>
    <d v="1899-12-30T00:04:46"/>
    <x v="926"/>
    <x v="2"/>
    <s v="hilbert"/>
    <x v="322"/>
    <n v="1728048"/>
    <x v="11"/>
    <s v="Economics; Business/Management"/>
    <s v="9780226093284"/>
    <s v=",1,2,3,26,50,51,52,53,373,374,375,371,372,4,10,6,9,24,25,22,23,13,11,12,8,17,18,19,15,16,14,5,7,20,27"/>
    <n v="35"/>
    <m/>
    <m/>
    <s v="No"/>
    <x v="3"/>
    <m/>
    <m/>
    <s v="72.45.217.43"/>
    <s v="HD7293"/>
    <s v="333.33/80973"/>
    <d v="2014-10-17T00:00:00"/>
  </r>
  <r>
    <x v="3477"/>
    <d v="1899-12-30T00:00:21"/>
    <x v="926"/>
    <x v="2"/>
    <s v="hilbert"/>
    <x v="927"/>
    <n v="1487063"/>
    <x v="2"/>
    <s v="History; Social Science"/>
    <s v="9781135346485"/>
    <s v=",1,2,3,4,14,15,16,12,13"/>
    <n v="9"/>
    <m/>
    <m/>
    <s v="No"/>
    <x v="3"/>
    <m/>
    <m/>
    <s v="72.45.217.43"/>
    <s v="E184.A1 -- S695 2004eb"/>
    <n v="305.56799999999998"/>
    <d v="2001-03-30T00:00:00"/>
  </r>
  <r>
    <x v="3478"/>
    <d v="1899-12-30T00:00:00"/>
    <x v="370"/>
    <x v="2"/>
    <s v="hilbert"/>
    <x v="928"/>
    <n v="1375626"/>
    <x v="0"/>
    <s v="Language/Linguistics"/>
    <s v="9781118510629"/>
    <m/>
    <n v="0"/>
    <m/>
    <m/>
    <s v="Yes"/>
    <x v="2"/>
    <d v="2015-11-18T01:49:51"/>
    <n v="1"/>
    <s v="72.45.217.43"/>
    <s v="PC1121 -- .D5 2013eb"/>
    <n v="458.34210000000002"/>
    <d v="2013-08-02T00:00:00"/>
  </r>
  <r>
    <x v="3478"/>
    <d v="1899-12-30T00:00:00"/>
    <x v="370"/>
    <x v="2"/>
    <s v="hilbert"/>
    <x v="928"/>
    <n v="1375626"/>
    <x v="0"/>
    <s v="Language/Linguistics"/>
    <s v="9781118510629"/>
    <m/>
    <n v="0"/>
    <m/>
    <m/>
    <s v="No"/>
    <x v="2"/>
    <d v="2015-11-18T01:49:51"/>
    <n v="1"/>
    <s v="72.45.217.43"/>
    <s v="PC1121 -- .D5 2013eb"/>
    <n v="458.34210000000002"/>
    <d v="2013-08-02T00:00:00"/>
  </r>
  <r>
    <x v="3479"/>
    <d v="1899-12-30T00:01:50"/>
    <x v="370"/>
    <x v="2"/>
    <s v="hilbert"/>
    <x v="928"/>
    <n v="1375626"/>
    <x v="0"/>
    <s v="Language/Linguistics"/>
    <s v="9781118510629"/>
    <s v=",1,2,3,26,27,28,24,25,29"/>
    <n v="9"/>
    <m/>
    <m/>
    <s v="No"/>
    <x v="3"/>
    <m/>
    <m/>
    <s v="72.45.217.43"/>
    <s v="PC1121 -- .D5 2013eb"/>
    <n v="458.34210000000002"/>
    <d v="2013-08-02T00:00:00"/>
  </r>
  <r>
    <x v="3480"/>
    <d v="1899-12-30T00:25:36"/>
    <x v="954"/>
    <x v="1"/>
    <s v="brockport"/>
    <x v="926"/>
    <n v="1584076"/>
    <x v="0"/>
    <s v="History"/>
    <s v="9780745679679"/>
    <s v=",1,2,3,4,27,28,29,25,26,30,31,32,33,34,35,324,325,326,322,323,327,328,329,330,331,332,330,331,332,328,329,327,326,325,324"/>
    <n v="26"/>
    <m/>
    <m/>
    <s v="No"/>
    <x v="1"/>
    <m/>
    <m/>
    <s v="137.21.7.121"/>
    <s v="DG445 .B384 2013"/>
    <n v="945.05"/>
    <d v="2013-12-18T00:00:00"/>
  </r>
  <r>
    <x v="3481"/>
    <d v="1899-12-30T00:00:09"/>
    <x v="955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3482"/>
    <d v="1899-12-30T01:33:04"/>
    <x v="466"/>
    <x v="1"/>
    <s v="brockport"/>
    <x v="929"/>
    <n v="1110770"/>
    <x v="3"/>
    <s v="Language/Linguistics"/>
    <s v="9780520955233"/>
    <s v=",33,36,37,38,39,34,33,38,39"/>
    <n v="6"/>
    <m/>
    <m/>
    <s v="No"/>
    <x v="2"/>
    <d v="2015-11-18T00:56:17"/>
    <n v="1"/>
    <s v="137.21.7.121"/>
    <s v="PJ1135 .S35 2013"/>
    <n v="493.186421"/>
    <d v="2014-05-14T00:00:00"/>
  </r>
  <r>
    <x v="3483"/>
    <d v="1899-12-30T00:05:08"/>
    <x v="466"/>
    <x v="1"/>
    <s v="brockport"/>
    <x v="929"/>
    <n v="1110770"/>
    <x v="3"/>
    <s v="Language/Linguistics"/>
    <s v="9780520955233"/>
    <s v=",2,1,3,30,31,28,29"/>
    <n v="7"/>
    <m/>
    <m/>
    <s v="No"/>
    <x v="3"/>
    <m/>
    <m/>
    <s v="137.21.7.121"/>
    <s v="PJ1135 .S35 2013"/>
    <n v="493.186421"/>
    <d v="2014-05-14T00:00:00"/>
  </r>
  <r>
    <x v="3484"/>
    <d v="1899-12-30T00:00:54"/>
    <x v="956"/>
    <x v="12"/>
    <s v="potsdam"/>
    <x v="930"/>
    <n v="1584002"/>
    <x v="0"/>
    <s v="Language/Linguistics"/>
    <s v="9781118348338"/>
    <s v=",1,2,3,1,14,15,16,17,18"/>
    <n v="8"/>
    <m/>
    <m/>
    <s v="No"/>
    <x v="3"/>
    <m/>
    <m/>
    <s v="137.143.104.94"/>
    <s v="PE1066 .W384 2013"/>
    <n v="420.7"/>
    <d v="2013-09-25T00:00:00"/>
  </r>
  <r>
    <x v="3485"/>
    <d v="1899-12-30T00:00:00"/>
    <x v="370"/>
    <x v="2"/>
    <s v="hilbert"/>
    <x v="931"/>
    <n v="3058948"/>
    <x v="9"/>
    <s v="Medicine"/>
    <s v="9781444314595"/>
    <m/>
    <n v="0"/>
    <m/>
    <m/>
    <s v="Yes"/>
    <x v="2"/>
    <d v="2015-11-18T00:00:05"/>
    <n v="1"/>
    <s v="72.45.217.43"/>
    <s v="RC78.7.N83 -- W4795 2010eb"/>
    <s v="616.07/548"/>
    <d v="2013-05-07T00:00:00"/>
  </r>
  <r>
    <x v="3486"/>
    <d v="1899-12-30T00:00:07"/>
    <x v="956"/>
    <x v="12"/>
    <s v="potsdam"/>
    <x v="930"/>
    <n v="1584002"/>
    <x v="0"/>
    <s v="Language/Linguistics"/>
    <s v="9781118348338"/>
    <s v=",1,2,3,1"/>
    <n v="3"/>
    <m/>
    <m/>
    <s v="No"/>
    <x v="3"/>
    <m/>
    <m/>
    <s v="137.143.104.94"/>
    <s v="PE1066 .W384 2013"/>
    <n v="420.7"/>
    <d v="2013-09-25T00:00:00"/>
  </r>
  <r>
    <x v="3487"/>
    <d v="1899-12-30T00:00:33"/>
    <x v="370"/>
    <x v="2"/>
    <s v="hilbert"/>
    <x v="931"/>
    <n v="3058948"/>
    <x v="9"/>
    <s v="Medicine"/>
    <s v="9781444314595"/>
    <s v=",1,2,3,4,5,6,7,8,9,10,11,12,13,14,15,16"/>
    <n v="16"/>
    <m/>
    <m/>
    <s v="No"/>
    <x v="2"/>
    <d v="2015-11-18T00:00:05"/>
    <n v="1"/>
    <s v="72.45.217.43"/>
    <s v="RC78.7.N83 -- W4795 2010eb"/>
    <s v="616.07/548"/>
    <d v="2013-05-07T00:00:00"/>
  </r>
  <r>
    <x v="3488"/>
    <d v="1899-12-30T01:02:46"/>
    <x v="957"/>
    <x v="1"/>
    <s v="brockport"/>
    <x v="536"/>
    <n v="836166"/>
    <x v="6"/>
    <s v="Computer Science/IT; Science"/>
    <s v="9781438139470"/>
    <s v=",21,22,20,23,24,25,26,27,29,28,30,31,32,33,34,35,36,37,38,39,40,42,41,43,44,45,46,47,48,49,50,51,52,53,54,55,56,57,58,59,60,61,62,63,64,65,66,68,67,69,71,70,72,73,74,75,76,77,78,79,80,81,82,83,84,85,86,87,88,89,90,91,92,93,94,95,96,97,98,99,100,101,102,103"/>
    <n v="84"/>
    <m/>
    <m/>
    <s v="No"/>
    <x v="0"/>
    <d v="2015-11-18T00:41:48"/>
    <n v="7"/>
    <s v="137.21.7.121"/>
    <s v="Q335.4 -- .K37 2012eb"/>
    <n v="6.3"/>
    <d v="2011-11-01T00:00:00"/>
  </r>
  <r>
    <x v="3489"/>
    <d v="1899-12-30T00:10:24"/>
    <x v="957"/>
    <x v="1"/>
    <s v="brockport"/>
    <x v="536"/>
    <n v="836166"/>
    <x v="6"/>
    <s v="Computer Science/IT; Science"/>
    <s v="9781438139470"/>
    <s v=",1,2,3,4,5,6,7,8,9,10,8,11,12,13,14,15,16,17,18,19"/>
    <n v="19"/>
    <m/>
    <m/>
    <s v="No"/>
    <x v="1"/>
    <m/>
    <m/>
    <s v="137.21.7.121"/>
    <s v="Q335.4 -- .K37 2012eb"/>
    <n v="6.3"/>
    <d v="2011-11-01T00:00:00"/>
  </r>
  <r>
    <x v="3490"/>
    <d v="1899-12-30T00:03:13"/>
    <x v="958"/>
    <x v="7"/>
    <s v="oneonta"/>
    <x v="932"/>
    <n v="1663554"/>
    <x v="12"/>
    <s v="History"/>
    <s v="9781469615585"/>
    <s v=",1,2,3,36,37,38,34,35,40,41,42,39,43,44,45,46,47,48,49,50"/>
    <n v="20"/>
    <m/>
    <m/>
    <s v="No"/>
    <x v="3"/>
    <m/>
    <m/>
    <s v="137.141.13.2"/>
    <m/>
    <n v="974.71"/>
    <d v="2014-09-18T00:00:00"/>
  </r>
  <r>
    <x v="3491"/>
    <d v="1899-12-30T00:05:41"/>
    <x v="13"/>
    <x v="0"/>
    <s v="Buffalo"/>
    <x v="73"/>
    <n v="1119505"/>
    <x v="0"/>
    <s v="Science: Chemistry; Science"/>
    <s v="9781118355015"/>
    <s v=",1,2,3,269,270,271,272,268,273,274,275,276"/>
    <n v="12"/>
    <m/>
    <m/>
    <s v="No"/>
    <x v="0"/>
    <d v="2015-11-14T16:15:40"/>
    <n v="7"/>
    <s v="128.205.114.91"/>
    <s v="QD251.3 -- .S38 2013eb"/>
    <s v="547/.128"/>
    <d v="2013-01-28T00:00:00"/>
  </r>
  <r>
    <x v="3492"/>
    <d v="1899-12-30T00:01:11"/>
    <x v="370"/>
    <x v="2"/>
    <s v="hilbert"/>
    <x v="931"/>
    <n v="3058948"/>
    <x v="9"/>
    <s v="Medicine"/>
    <s v="9781444314595"/>
    <s v=",7,8,9,6,5,1,2,3"/>
    <n v="8"/>
    <m/>
    <m/>
    <s v="Yes"/>
    <x v="2"/>
    <d v="2015-11-18T00:00:05"/>
    <n v="1"/>
    <s v="72.45.217.43"/>
    <s v="RC78.7.N83 -- W4795 2010eb"/>
    <s v="616.07/548"/>
    <d v="2013-05-07T00:00:00"/>
  </r>
  <r>
    <x v="3492"/>
    <d v="1899-12-30T00:00:00"/>
    <x v="370"/>
    <x v="2"/>
    <s v="hilbert"/>
    <x v="931"/>
    <n v="3058948"/>
    <x v="9"/>
    <s v="Medicine"/>
    <s v="9781444314595"/>
    <m/>
    <n v="0"/>
    <m/>
    <m/>
    <s v="No"/>
    <x v="2"/>
    <d v="2015-11-18T00:00:05"/>
    <n v="1"/>
    <s v="72.45.217.43"/>
    <s v="RC78.7.N83 -- W4795 2010eb"/>
    <s v="616.07/548"/>
    <d v="2013-05-07T00:00:00"/>
  </r>
  <r>
    <x v="3493"/>
    <d v="1899-12-30T00:00:59"/>
    <x v="370"/>
    <x v="2"/>
    <s v="hilbert"/>
    <x v="931"/>
    <n v="3058948"/>
    <x v="9"/>
    <s v="Medicine"/>
    <s v="9781444314595"/>
    <s v=",1,2,3,33,34,29,30,31,27,28,32,7,8,9,5,6"/>
    <n v="16"/>
    <m/>
    <m/>
    <s v="No"/>
    <x v="3"/>
    <m/>
    <m/>
    <s v="72.45.217.43"/>
    <s v="RC78.7.N83 -- W4795 2010eb"/>
    <s v="616.07/548"/>
    <d v="2013-05-07T00:00:00"/>
  </r>
  <r>
    <x v="3494"/>
    <d v="1899-12-30T01:22:34"/>
    <x v="13"/>
    <x v="0"/>
    <s v="Buffalo"/>
    <x v="73"/>
    <n v="1119505"/>
    <x v="0"/>
    <s v="Science: Chemistry; Science"/>
    <s v="9781118355015"/>
    <s v=",1,2,3,198,199,200,196,197,201,227,228,229,225,226,230,224,223,1,223,224,225,221,222,220,2,219,218,216,217,215,214,213,212,211,210,208,209,207,206,205,204,203,202,201,200,199,198,197,196,199,198,196,197,200,201,203,204,205,206,207,208,209,214,215,216,217,218"/>
    <n v="38"/>
    <m/>
    <m/>
    <s v="No"/>
    <x v="0"/>
    <d v="2015-11-14T16:15:40"/>
    <n v="7"/>
    <s v="128.205.114.91"/>
    <s v="QD251.3 -- .S38 2013eb"/>
    <s v="547/.128"/>
    <d v="2013-01-28T00:00:00"/>
  </r>
  <r>
    <x v="3495"/>
    <d v="1899-12-30T00:00:26"/>
    <x v="828"/>
    <x v="9"/>
    <s v="trocaire"/>
    <x v="669"/>
    <n v="1742841"/>
    <x v="4"/>
    <s v="Medicine"/>
    <s v="9781462516445"/>
    <s v=",1,2,3,17,18,19,15,16"/>
    <n v="8"/>
    <m/>
    <m/>
    <s v="No"/>
    <x v="0"/>
    <d v="2015-11-17T22:58:24"/>
    <n v="7"/>
    <s v="173.225.62.67"/>
    <s v="RC537 -- .H3376 2014eb"/>
    <n v="616.85270000000003"/>
    <d v="2014-10-22T00:00:00"/>
  </r>
  <r>
    <x v="3496"/>
    <d v="1899-12-30T00:00:34"/>
    <x v="828"/>
    <x v="9"/>
    <s v="trocaire"/>
    <x v="669"/>
    <n v="1742841"/>
    <x v="4"/>
    <s v="Medicine"/>
    <s v="9781462516445"/>
    <s v=",438,439,440,441,443,444,445,446,447"/>
    <n v="9"/>
    <m/>
    <m/>
    <s v="No"/>
    <x v="0"/>
    <d v="2015-11-17T22:58:24"/>
    <n v="7"/>
    <s v="173.225.62.67"/>
    <s v="RC537 -- .H3376 2014eb"/>
    <n v="616.85270000000003"/>
    <d v="2014-10-22T00:00:00"/>
  </r>
  <r>
    <x v="3497"/>
    <d v="1899-12-30T00:00:40"/>
    <x v="33"/>
    <x v="7"/>
    <s v="oneonta"/>
    <x v="499"/>
    <n v="1172554"/>
    <x v="15"/>
    <s v="History"/>
    <s v=""/>
    <s v=",1,2,3,179,180,181,177,178"/>
    <n v="8"/>
    <m/>
    <m/>
    <s v="No"/>
    <x v="1"/>
    <m/>
    <m/>
    <s v="137.141.13.2"/>
    <s v="DF234 .A67 2012"/>
    <s v="938.07092; 938/.07092"/>
    <d v="2013-04-11T00:00:00"/>
  </r>
  <r>
    <x v="3498"/>
    <d v="1899-12-30T00:00:04"/>
    <x v="33"/>
    <x v="7"/>
    <s v="oneonta"/>
    <x v="499"/>
    <n v="1172554"/>
    <x v="15"/>
    <s v="History"/>
    <s v=""/>
    <s v=",1,2,3"/>
    <n v="3"/>
    <m/>
    <m/>
    <s v="No"/>
    <x v="1"/>
    <m/>
    <m/>
    <s v="137.141.13.2"/>
    <s v="DF234 .A67 2012"/>
    <s v="938.07092; 938/.07092"/>
    <d v="2013-04-11T00:00:00"/>
  </r>
  <r>
    <x v="3499"/>
    <d v="1899-12-30T00:20:14"/>
    <x v="828"/>
    <x v="9"/>
    <s v="trocaire"/>
    <x v="669"/>
    <n v="1742841"/>
    <x v="4"/>
    <s v="Medicine"/>
    <s v="9781462516445"/>
    <s v=",1,2,3,371,372,373,369,370,371,372,373,369,370,374,2,375,376,377,378,379,380,381,382,383,384,385,386,387,388,389,407,408,409,405,406,410,411,412,413,414,415,416,417,418,419,420,421,351,352,353,349,354,350,355,356,357,358,359,360,361,362,363,364,365,366,367,368,426,427,428,424,429,425,430,431,432,433,434,435,436,437"/>
    <n v="75"/>
    <m/>
    <m/>
    <s v="No"/>
    <x v="1"/>
    <m/>
    <m/>
    <s v="173.225.62.67"/>
    <s v="RC537 -- .H3376 2014eb"/>
    <n v="616.85270000000003"/>
    <d v="2014-10-22T00:00:00"/>
  </r>
  <r>
    <x v="3500"/>
    <d v="1899-12-30T00:01:55"/>
    <x v="828"/>
    <x v="9"/>
    <s v="trocaire"/>
    <x v="79"/>
    <n v="1757960"/>
    <x v="0"/>
    <s v="Medicine"/>
    <s v="9781118780770"/>
    <s v=",1,2,3,1,2,3,1,2,3,15,16,17,13,14,18"/>
    <n v="9"/>
    <m/>
    <m/>
    <s v="No"/>
    <x v="1"/>
    <m/>
    <m/>
    <s v="173.225.62.67"/>
    <s v="RC537 -- .A236 2014eb"/>
    <s v="616.85/27"/>
    <d v="2014-07-30T00:00:00"/>
  </r>
  <r>
    <x v="3501"/>
    <d v="1899-12-30T00:00:55"/>
    <x v="828"/>
    <x v="9"/>
    <s v="trocaire"/>
    <x v="79"/>
    <n v="1757960"/>
    <x v="0"/>
    <s v="Medicine"/>
    <s v="9781118780770"/>
    <s v=",1,2,3,14,15,16,12,13,17,14,15,16,12,13,11,17"/>
    <n v="10"/>
    <m/>
    <m/>
    <s v="No"/>
    <x v="1"/>
    <m/>
    <m/>
    <s v="173.225.62.67"/>
    <s v="RC537 -- .A236 2014eb"/>
    <s v="616.85/27"/>
    <d v="2014-07-30T00:00:00"/>
  </r>
  <r>
    <x v="3502"/>
    <d v="1899-12-30T02:53:51"/>
    <x v="805"/>
    <x v="0"/>
    <s v="Buffalo"/>
    <x v="703"/>
    <n v="1808795"/>
    <x v="1"/>
    <s v="Architecture"/>
    <s v="9781472447951"/>
    <s v=",20,20,1,21,22,18,19,23,24,2,25,26,27,28,29,30,31,32,33,34,35,36,37,29,23,17,14,15,13,11,12,10,9,16,23,23,24,1,25,21,22,26,27,2,28,29,30,42,44,40,43,41,45,46,47"/>
    <n v="39"/>
    <m/>
    <m/>
    <s v="No"/>
    <x v="2"/>
    <d v="2015-11-17T21:37:46"/>
    <n v="1"/>
    <s v="128.205.114.91"/>
    <s v="NA5870.A9 -- .S353 2014eb"/>
    <s v="726.6094961/8"/>
    <d v="2014-11-28T00:00:00"/>
  </r>
  <r>
    <x v="3503"/>
    <d v="1899-12-30T00:00:49"/>
    <x v="13"/>
    <x v="0"/>
    <s v="Buffalo"/>
    <x v="353"/>
    <n v="843674"/>
    <x v="0"/>
    <s v="Engineering: Construction; Engineering"/>
    <s v="9781118348444"/>
    <s v=",1,379,414"/>
    <n v="3"/>
    <m/>
    <m/>
    <s v="No"/>
    <x v="0"/>
    <d v="2015-11-17T21:18:36"/>
    <n v="7"/>
    <s v="128.205.114.91"/>
    <s v="TH435 -- .R76 2012eb"/>
    <n v="692.50972999999999"/>
    <d v="2012-02-21T00:00:00"/>
  </r>
  <r>
    <x v="3504"/>
    <d v="1899-12-30T00:00:23"/>
    <x v="13"/>
    <x v="0"/>
    <s v="Buffalo"/>
    <x v="353"/>
    <n v="843674"/>
    <x v="0"/>
    <s v="Engineering: Construction; Engineering"/>
    <s v="9781118348444"/>
    <s v=",1,2,3,4,5,6,7,8,9,1"/>
    <n v="9"/>
    <m/>
    <m/>
    <s v="No"/>
    <x v="1"/>
    <m/>
    <m/>
    <s v="128.205.114.91"/>
    <s v="TH435 -- .R76 2012eb"/>
    <n v="692.50972999999999"/>
    <d v="2012-02-21T00:00:00"/>
  </r>
  <r>
    <x v="3505"/>
    <d v="1899-12-30T00:28:34"/>
    <x v="805"/>
    <x v="0"/>
    <s v="Buffalo"/>
    <x v="703"/>
    <n v="1808795"/>
    <x v="1"/>
    <s v="Architecture"/>
    <s v="9781472447951"/>
    <s v=",1,2,3,4,5,6,7,8,9,10,11,12,13,16,17,18,14,15,19,20,21"/>
    <n v="21"/>
    <m/>
    <m/>
    <s v="No"/>
    <x v="3"/>
    <m/>
    <m/>
    <s v="128.205.114.91"/>
    <s v="NA5870.A9 -- .S353 2014eb"/>
    <s v="726.6094961/8"/>
    <d v="2014-11-28T00:00:00"/>
  </r>
  <r>
    <x v="3506"/>
    <d v="1899-12-30T00:00:00"/>
    <x v="953"/>
    <x v="0"/>
    <s v="Buffalo"/>
    <x v="850"/>
    <n v="1589615"/>
    <x v="1"/>
    <s v="History"/>
    <s v="9781409469865"/>
    <m/>
    <n v="0"/>
    <m/>
    <m/>
    <s v="Yes"/>
    <x v="2"/>
    <d v="2015-11-17T20:25:25"/>
    <n v="1"/>
    <s v="128.205.114.91"/>
    <s v="DF587 -- .C636 2014eb"/>
    <n v="949.50199999999995"/>
    <d v="2014-10-28T00:00:00"/>
  </r>
  <r>
    <x v="3507"/>
    <d v="1899-12-30T00:00:00"/>
    <x v="953"/>
    <x v="0"/>
    <s v="Buffalo"/>
    <x v="850"/>
    <n v="1589615"/>
    <x v="1"/>
    <s v="History"/>
    <s v="9781409469865"/>
    <m/>
    <n v="0"/>
    <m/>
    <m/>
    <s v="Yes"/>
    <x v="2"/>
    <d v="2015-11-17T20:25:25"/>
    <n v="1"/>
    <s v="128.205.114.91"/>
    <s v="DF587 -- .C636 2014eb"/>
    <n v="949.50199999999995"/>
    <d v="2014-10-28T00:00:00"/>
  </r>
  <r>
    <x v="3508"/>
    <d v="1899-12-30T00:00:00"/>
    <x v="953"/>
    <x v="0"/>
    <s v="Buffalo"/>
    <x v="850"/>
    <n v="1589615"/>
    <x v="1"/>
    <s v="History"/>
    <s v="9781409469865"/>
    <m/>
    <n v="0"/>
    <m/>
    <m/>
    <s v="Yes"/>
    <x v="2"/>
    <d v="2015-11-17T20:25:25"/>
    <n v="1"/>
    <s v="128.205.114.91"/>
    <s v="DF587 -- .C636 2014eb"/>
    <n v="949.50199999999995"/>
    <d v="2014-10-28T00:00:00"/>
  </r>
  <r>
    <x v="3509"/>
    <d v="1899-12-30T00:00:00"/>
    <x v="953"/>
    <x v="0"/>
    <s v="Buffalo"/>
    <x v="850"/>
    <n v="1589615"/>
    <x v="1"/>
    <s v="History"/>
    <s v="9781409469865"/>
    <m/>
    <n v="0"/>
    <m/>
    <m/>
    <s v="Yes"/>
    <x v="2"/>
    <d v="2015-11-17T20:25:25"/>
    <n v="1"/>
    <s v="128.205.114.91"/>
    <s v="DF587 -- .C636 2014eb"/>
    <n v="949.50199999999995"/>
    <d v="2014-10-28T00:00:00"/>
  </r>
  <r>
    <x v="3510"/>
    <d v="1899-12-30T00:02:14"/>
    <x v="959"/>
    <x v="0"/>
    <s v="Buffalo"/>
    <x v="424"/>
    <n v="817977"/>
    <x v="0"/>
    <s v="Computer Science/IT; Sport &amp; Recreation"/>
    <s v="9781118222188"/>
    <s v=",1,3,2,4,5,6,7,8,9,10,11,12,13,15,16,17,14,2,18,19,20,22,23,24,21,25"/>
    <n v="25"/>
    <m/>
    <m/>
    <s v="No"/>
    <x v="1"/>
    <m/>
    <m/>
    <s v="128.205.114.91"/>
    <s v="QA76.76.C672 -- J36 2013eb"/>
    <s v="794.81526; 794.815268"/>
    <d v="2012-11-26T00:00:00"/>
  </r>
  <r>
    <x v="3511"/>
    <d v="1899-12-30T00:00:35"/>
    <x v="397"/>
    <x v="0"/>
    <s v="Buffalo"/>
    <x v="247"/>
    <n v="1161538"/>
    <x v="0"/>
    <s v="Business/Management; Economics"/>
    <s v="9781118521755"/>
    <s v=",1,2,3,4,5,6,7,8,9,10,11,12"/>
    <n v="12"/>
    <m/>
    <m/>
    <s v="No"/>
    <x v="1"/>
    <m/>
    <m/>
    <s v="128.205.114.91"/>
    <s v="HG6041 -- .L44 2013eb"/>
    <n v="332.63220000000001"/>
    <d v="2013-03-26T00:00:00"/>
  </r>
  <r>
    <x v="3512"/>
    <d v="1899-12-30T00:00:30"/>
    <x v="960"/>
    <x v="0"/>
    <s v="Buffalo"/>
    <x v="933"/>
    <n v="835144"/>
    <x v="0"/>
    <s v="Medicine"/>
    <s v="9781119953814"/>
    <s v=",1,2,3,4,5,6,7,8,9,10"/>
    <n v="10"/>
    <m/>
    <m/>
    <s v="No"/>
    <x v="1"/>
    <m/>
    <m/>
    <s v="128.205.114.91"/>
    <s v="RC489.C63 -- B73 2012eb"/>
    <s v="616.89/1425; 616.89142; 616.891425"/>
    <d v="2012-01-17T00:00:00"/>
  </r>
  <r>
    <x v="3513"/>
    <d v="1899-12-30T00:32:23"/>
    <x v="953"/>
    <x v="0"/>
    <s v="Buffalo"/>
    <x v="850"/>
    <n v="1589615"/>
    <x v="1"/>
    <s v="History"/>
    <s v="9781409469865"/>
    <s v=",7,8,9,7,16,26,28,28,28,35,43,28"/>
    <n v="8"/>
    <m/>
    <m/>
    <s v="No"/>
    <x v="2"/>
    <d v="2015-11-17T20:25:25"/>
    <n v="1"/>
    <s v="128.205.114.91"/>
    <s v="DF587 -- .C636 2014eb"/>
    <n v="949.50199999999995"/>
    <d v="2014-10-28T00:00:00"/>
  </r>
  <r>
    <x v="3514"/>
    <d v="1899-12-30T00:01:04"/>
    <x v="961"/>
    <x v="12"/>
    <s v="potsdam"/>
    <x v="934"/>
    <n v="1775389"/>
    <x v="12"/>
    <s v="History"/>
    <s v="9781469618012"/>
    <s v=",1,2,3,4,5,6,7,8,9,10,544,545,546,542,543"/>
    <n v="15"/>
    <m/>
    <m/>
    <s v="No"/>
    <x v="3"/>
    <m/>
    <m/>
    <s v="137.143.104.94"/>
    <s v="CS16 .G365 2014"/>
    <n v="929.10720000000003"/>
    <d v="2014-09-15T00:00:00"/>
  </r>
  <r>
    <x v="3515"/>
    <d v="1899-12-30T00:10:22"/>
    <x v="953"/>
    <x v="0"/>
    <s v="Buffalo"/>
    <x v="850"/>
    <n v="1589615"/>
    <x v="1"/>
    <s v="History"/>
    <s v="9781409469865"/>
    <s v=",2,1,3,4,5,6"/>
    <n v="6"/>
    <m/>
    <m/>
    <s v="No"/>
    <x v="3"/>
    <m/>
    <m/>
    <s v="128.205.114.91"/>
    <s v="DF587 -- .C636 2014eb"/>
    <n v="949.50199999999995"/>
    <d v="2014-10-28T00:00:00"/>
  </r>
  <r>
    <x v="3516"/>
    <d v="1899-12-30T01:05:14"/>
    <x v="13"/>
    <x v="0"/>
    <s v="Buffalo"/>
    <x v="6"/>
    <n v="1635363"/>
    <x v="0"/>
    <s v="Law"/>
    <s v="9781118678206"/>
    <s v=",53,53,54,54,55,55"/>
    <n v="3"/>
    <m/>
    <m/>
    <s v="No"/>
    <x v="0"/>
    <d v="2015-11-17T19:57:32"/>
    <n v="7"/>
    <s v="128.205.114.91"/>
    <s v="KF285.Z9 -- H38 2014eb"/>
    <n v="340.07600000000002"/>
    <d v="2014-02-14T00:00:00"/>
  </r>
  <r>
    <x v="3517"/>
    <d v="1899-12-30T00:19:17"/>
    <x v="962"/>
    <x v="0"/>
    <s v="Buffalo"/>
    <x v="935"/>
    <n v="1718748"/>
    <x v="0"/>
    <s v="Mathematics"/>
    <s v="9781118791080"/>
    <s v=",1,2,3,172,173,174,170,171,169,168,175,22,23,24,20,21,176,177,17,18,19,15,16,366,367,368,364,365,363,369,370"/>
    <n v="31"/>
    <m/>
    <m/>
    <s v="No"/>
    <x v="0"/>
    <d v="2015-11-17T19:13:55"/>
    <n v="7"/>
    <s v="128.205.114.91"/>
    <s v="QA303 -- .R936 2014eb"/>
    <n v="515"/>
    <d v="2014-06-23T00:00:00"/>
  </r>
  <r>
    <x v="3518"/>
    <d v="1899-12-30T00:00:00"/>
    <x v="962"/>
    <x v="0"/>
    <s v="Buffalo"/>
    <x v="935"/>
    <n v="1718748"/>
    <x v="0"/>
    <s v="Mathematics"/>
    <s v="9781118791080"/>
    <m/>
    <n v="0"/>
    <m/>
    <m/>
    <s v="Yes"/>
    <x v="0"/>
    <d v="2015-11-17T19:13:55"/>
    <n v="7"/>
    <s v="128.205.114.91"/>
    <s v="QA303 -- .R936 2014eb"/>
    <n v="515"/>
    <d v="2014-06-23T00:00:00"/>
  </r>
  <r>
    <x v="3519"/>
    <d v="1899-12-30T00:00:52"/>
    <x v="963"/>
    <x v="8"/>
    <s v="niagaracc"/>
    <x v="936"/>
    <n v="1581669"/>
    <x v="2"/>
    <s v="History; Social Science"/>
    <s v="9781136523458"/>
    <s v=",1,3,2,4,5,6,7,8,28,29,30,2,51,52,53,49,50,81,82,83,79,80"/>
    <n v="21"/>
    <m/>
    <m/>
    <s v="No"/>
    <x v="3"/>
    <m/>
    <m/>
    <s v="132.174.254.37"/>
    <s v="DT1058.N58 -- R53 2004eb"/>
    <n v="394.12089963979997"/>
    <d v="2003-11-13T00:00:00"/>
  </r>
  <r>
    <x v="3520"/>
    <d v="1899-12-30T00:10:52"/>
    <x v="13"/>
    <x v="0"/>
    <s v="Buffalo"/>
    <x v="6"/>
    <n v="1635363"/>
    <x v="0"/>
    <s v="Law"/>
    <s v="9781118678206"/>
    <s v=",1,1,2,3,2,3,4,4,2,2,5,5,49,50,50,51,48,48,51,47,49,52,52"/>
    <n v="11"/>
    <m/>
    <m/>
    <s v="No"/>
    <x v="1"/>
    <m/>
    <m/>
    <s v="128.205.114.91"/>
    <s v="KF285.Z9 -- H38 2014eb"/>
    <n v="340.07600000000002"/>
    <d v="2014-02-14T00:00:00"/>
  </r>
  <r>
    <x v="3521"/>
    <d v="1899-12-30T00:00:46"/>
    <x v="964"/>
    <x v="12"/>
    <s v="potsdam"/>
    <x v="937"/>
    <n v="1663559"/>
    <x v="12"/>
    <s v="Education"/>
    <s v="9781469615479"/>
    <s v=",1,2,3,4,190,191,192,188,189,193,195"/>
    <n v="11"/>
    <m/>
    <m/>
    <s v="No"/>
    <x v="3"/>
    <m/>
    <m/>
    <s v="137.143.104.94"/>
    <s v="LA229 -- .C52 2014eb"/>
    <s v="378.1/98"/>
    <d v="2014-04-15T00:00:00"/>
  </r>
  <r>
    <x v="3522"/>
    <d v="1899-12-30T00:36:06"/>
    <x v="965"/>
    <x v="1"/>
    <s v="brockport"/>
    <x v="938"/>
    <n v="1688585"/>
    <x v="5"/>
    <s v="History; Social Science"/>
    <s v="9781479815807"/>
    <s v=",4,10,11,12,8,9,13,14,15,16,17,18,19,20,21,22,23,24"/>
    <n v="18"/>
    <m/>
    <m/>
    <s v="No"/>
    <x v="0"/>
    <d v="2015-11-17T19:44:58"/>
    <n v="7"/>
    <s v="137.21.7.121"/>
    <s v="E443 -- .W67 2014eb"/>
    <s v="394/.90975"/>
    <d v="2014-06-27T00:00:00"/>
  </r>
  <r>
    <x v="3523"/>
    <d v="1899-12-30T00:06:42"/>
    <x v="963"/>
    <x v="8"/>
    <s v="niagaracc"/>
    <x v="519"/>
    <n v="822662"/>
    <x v="0"/>
    <s v="History"/>
    <s v="9781444355130"/>
    <s v=",1,3,2,4,5,6,7,8,9,10,11,13,18,24,25,26,27,23"/>
    <n v="18"/>
    <m/>
    <m/>
    <s v="No"/>
    <x v="1"/>
    <m/>
    <m/>
    <s v="132.174.254.37"/>
    <s v="DT20 -- .R45 2012eb"/>
    <n v="960.3"/>
    <d v="2011-11-11T00:00:00"/>
  </r>
  <r>
    <x v="3524"/>
    <d v="1899-12-30T01:16:52"/>
    <x v="64"/>
    <x v="6"/>
    <s v="sjfc"/>
    <x v="189"/>
    <n v="1557279"/>
    <x v="0"/>
    <s v="Business/Management"/>
    <s v="9781118863664"/>
    <s v=",12,13,14,15,16,17,18,19,20,21,22,23,24,25,25,26,27,28,29,30,31,32,32,34,36,37,39,40,42,43,44,45,46,47,48,49,50,51,52,53,54,55,56,57,58,59,60,61,62,63,64,65,66,67,68,69,70,71,72,73,75,76,77,78,79,80,81,82,85,86,87,83,84,749,750,751,747,748,738,739,15,16,17,13,14,18,12,11,19,20,21,22,119,120,121,117,118,122,88,89,86,87,85,84,83,82,81,80,77,73,70,67,63,60,56,52,51,53,49,50,48,46,47,44,45,43,42,41,39,38,34,30,27,28,29,25,26,23,24,21,22,19,20,18,17,24,25,22,23,25,2,24,21,2,24,23,21,22,25,2,25,24,22,23,21,26,27,28,29,30,31,32,33,34,35,36,37,37,38,39,40,41,42,43,44,45,46,47,48,49,49,50,51,52,53,54,55,56,57,58,59,60,61,62,63,64,65,66,67,68,69,70,73,91,94,95,92,93,113,114,115,111,112,119,120,121,117,118,122,123,124,437,438,439,435,436"/>
    <n v="109"/>
    <m/>
    <m/>
    <s v="No"/>
    <x v="0"/>
    <d v="2015-11-17T19:39:23"/>
    <n v="7"/>
    <s v="149.69.254.57"/>
    <s v="HF5661 -- .W384 2014eb"/>
    <n v="657.37800000000004"/>
    <d v="2013-11-07T00:00:00"/>
  </r>
  <r>
    <x v="3525"/>
    <d v="1899-12-30T00:11:00"/>
    <x v="965"/>
    <x v="1"/>
    <s v="brockport"/>
    <x v="938"/>
    <n v="1688585"/>
    <x v="5"/>
    <s v="History; Social Science"/>
    <s v="9781479815807"/>
    <s v=",1,3,2"/>
    <n v="3"/>
    <m/>
    <m/>
    <s v="No"/>
    <x v="3"/>
    <m/>
    <m/>
    <s v="137.21.7.121"/>
    <s v="E443 -- .W67 2014eb"/>
    <s v="394/.90975"/>
    <d v="2014-06-27T00:00:00"/>
  </r>
  <r>
    <x v="3526"/>
    <d v="1899-12-30T00:02:04"/>
    <x v="966"/>
    <x v="5"/>
    <s v="erie"/>
    <x v="565"/>
    <n v="877786"/>
    <x v="0"/>
    <s v="Medicine"/>
    <s v="9781118318393"/>
    <s v=",1,2,3,7,9,8,5,6,448,449,450,447,446,451,452,453"/>
    <n v="16"/>
    <m/>
    <m/>
    <s v="No"/>
    <x v="1"/>
    <m/>
    <m/>
    <s v="199.29.6.54"/>
    <s v="RC628 -- .T49 2012eb"/>
    <s v="616.3/98"/>
    <d v="2012-03-20T00:00:00"/>
  </r>
  <r>
    <x v="3527"/>
    <d v="1899-12-30T00:11:59"/>
    <x v="64"/>
    <x v="6"/>
    <s v="sjfc"/>
    <x v="189"/>
    <n v="1557279"/>
    <x v="0"/>
    <s v="Business/Management"/>
    <s v="9781118863664"/>
    <s v=",1,3,2,5,4,6,7,8,9,10,11,6,5,11,4"/>
    <n v="11"/>
    <m/>
    <m/>
    <s v="No"/>
    <x v="1"/>
    <m/>
    <m/>
    <s v="149.69.254.57"/>
    <s v="HF5661 -- .W384 2014eb"/>
    <n v="657.37800000000004"/>
    <d v="2013-11-07T00:00:00"/>
  </r>
  <r>
    <x v="3528"/>
    <d v="1899-12-30T05:13:42"/>
    <x v="860"/>
    <x v="12"/>
    <s v="potsdam"/>
    <x v="270"/>
    <n v="1637652"/>
    <x v="3"/>
    <s v="Education"/>
    <s v="9780520958449"/>
    <s v=",1,2,3,26,27,28,25,24,29,30,31,32,33,35,34,36,37,38,39,40,41,42,43,44,45,46,47,48,49,50,51,52,53,54,55,56,57,58,59,60,61,62,63,64,65,65,66,67,68,69,70,71,72,73,74,75,76,77,78,79,80,81,82,83,84,85,86,87,88,89,90,91,1,91,92,93,89,90,94,2,95,96,97,98,99,100,101,102,103,104,105,106,107,108,109,110,111,112,113,114,115,116,117,110,109,108,107,106,105,104,103,102,101,100,107,100,99,98,97,96,95,94,93,92,91,90,89,88,87,85,86,90,91,92,93,94,95,96,97,98,99,1,99,100,101,98,97,2,102,105,106,107,103,104,108,109,110,111,112,113,114,115,116,117,118,119,1,119,120,121,117,118,14,15,16,12,13,17,2,116,114,115,122,123,124,125,126,1,126,127,128,124,125,2,129,130,131,132,133,134,135,136,137,138,139,140,141,142,143,144,145,145,146,1,147,143,144,2,14,15,16,12,13,17"/>
    <n v="133"/>
    <m/>
    <m/>
    <s v="No"/>
    <x v="0"/>
    <d v="2015-11-13T14:53:56"/>
    <n v="7"/>
    <s v="137.143.104.94"/>
    <s v="LB2340.2 -- .B478 2014eb"/>
    <s v="378.3/62"/>
    <d v="2014-05-02T00:00:00"/>
  </r>
  <r>
    <x v="3529"/>
    <d v="1899-12-30T00:00:21"/>
    <x v="26"/>
    <x v="6"/>
    <s v="sjfc"/>
    <x v="939"/>
    <n v="3038466"/>
    <x v="11"/>
    <s v="Education"/>
    <s v="9780226089072"/>
    <s v=",1,68,69,70,71,67,2"/>
    <n v="7"/>
    <m/>
    <m/>
    <s v="No"/>
    <x v="3"/>
    <m/>
    <m/>
    <s v="149.69.254.57"/>
    <s v="LB1556.5 -- .L93 2014eb"/>
    <n v="371.01097299999998"/>
    <d v="2013-11-01T00:00:00"/>
  </r>
  <r>
    <x v="3530"/>
    <d v="1899-12-30T00:05:37"/>
    <x v="962"/>
    <x v="0"/>
    <s v="Buffalo"/>
    <x v="935"/>
    <n v="1718748"/>
    <x v="0"/>
    <s v="Mathematics"/>
    <s v="9781118791080"/>
    <s v=",168,169,170,171,172"/>
    <n v="5"/>
    <m/>
    <m/>
    <s v="Yes"/>
    <x v="0"/>
    <d v="2015-11-17T19:13:55"/>
    <n v="7"/>
    <s v="128.205.114.91"/>
    <s v="QA303 -- .R936 2014eb"/>
    <n v="515"/>
    <d v="2014-06-23T00:00:00"/>
  </r>
  <r>
    <x v="3530"/>
    <d v="1899-12-30T00:00:00"/>
    <x v="962"/>
    <x v="0"/>
    <s v="Buffalo"/>
    <x v="935"/>
    <n v="1718748"/>
    <x v="0"/>
    <s v="Mathematics"/>
    <s v="9781118791080"/>
    <m/>
    <n v="0"/>
    <m/>
    <m/>
    <s v="No"/>
    <x v="0"/>
    <d v="2015-11-17T19:13:55"/>
    <n v="7"/>
    <s v="128.205.114.91"/>
    <s v="QA303 -- .R936 2014eb"/>
    <n v="515"/>
    <d v="2014-06-23T00:00:00"/>
  </r>
  <r>
    <x v="3531"/>
    <d v="1899-12-30T00:02:30"/>
    <x v="962"/>
    <x v="0"/>
    <s v="Buffalo"/>
    <x v="935"/>
    <n v="1718748"/>
    <x v="0"/>
    <s v="Mathematics"/>
    <s v="9781118791080"/>
    <s v=",1,2,3,49,50,51,47,48,129,130,131,127,128,132,133,134,181,182,183,179,180,163,164,165,161,162,166,167"/>
    <n v="28"/>
    <m/>
    <m/>
    <s v="No"/>
    <x v="1"/>
    <m/>
    <m/>
    <s v="128.205.114.91"/>
    <s v="QA303 -- .R936 2014eb"/>
    <n v="515"/>
    <d v="2014-06-23T00:00:00"/>
  </r>
  <r>
    <x v="3532"/>
    <d v="1899-12-30T00:03:10"/>
    <x v="967"/>
    <x v="2"/>
    <s v="hilbert"/>
    <x v="940"/>
    <n v="3061394"/>
    <x v="2"/>
    <s v="Education"/>
    <s v="9780203814420"/>
    <s v=",1,2,3,22,23,24,21,20,54,55,56,52,53,107,108,109,105,106,1,2,3,5,6,7,4"/>
    <n v="22"/>
    <m/>
    <m/>
    <s v="No"/>
    <x v="3"/>
    <m/>
    <m/>
    <s v="72.45.217.43"/>
    <s v="LB1139.25 -- .H53 2013eb"/>
    <n v="372.21097300000002"/>
    <d v="2013-09-01T00:00:00"/>
  </r>
  <r>
    <x v="3533"/>
    <d v="1899-12-30T00:00:25"/>
    <x v="968"/>
    <x v="12"/>
    <s v="potsdam"/>
    <x v="280"/>
    <n v="1887116"/>
    <x v="0"/>
    <s v="Fine Arts"/>
    <s v="9781118885413"/>
    <s v=",1,2,2,3,3,1,40,40,41,2,41,38"/>
    <n v="6"/>
    <m/>
    <m/>
    <s v="No"/>
    <x v="3"/>
    <m/>
    <m/>
    <s v="137.143.104.94"/>
    <s v="N5740 -- .T83 2015eb"/>
    <n v="709.37"/>
    <d v="2014-12-04T00:00:00"/>
  </r>
  <r>
    <x v="3534"/>
    <d v="1899-12-30T00:01:21"/>
    <x v="341"/>
    <x v="2"/>
    <s v="hilbert"/>
    <x v="203"/>
    <n v="449628"/>
    <x v="2"/>
    <s v="Health; Social Science"/>
    <s v="9781134028863"/>
    <s v=",1,2,3,4,5,6,7,8,9,10,11,12,13,14,15,16,17,18,19,20,21,22,23,24,25,26,27,28,29,30,31,32,33,34"/>
    <n v="34"/>
    <m/>
    <m/>
    <s v="No"/>
    <x v="3"/>
    <m/>
    <m/>
    <s v="72.45.217.43"/>
    <s v="RA1148"/>
    <n v="364.3"/>
    <d v="2013-07-23T00:00:00"/>
  </r>
  <r>
    <x v="3535"/>
    <d v="1899-12-30T00:00:42"/>
    <x v="914"/>
    <x v="12"/>
    <s v="potsdam"/>
    <x v="628"/>
    <n v="1610008"/>
    <x v="1"/>
    <s v="Social Science; Law"/>
    <s v="9781409457206"/>
    <s v=",31,32,33,34,35,36,37,38,39,40,41,42,43,44,45,46"/>
    <n v="16"/>
    <m/>
    <m/>
    <s v="No"/>
    <x v="0"/>
    <d v="2015-11-17T18:09:01"/>
    <n v="7"/>
    <s v="137.143.104.94"/>
    <s v="K5104 -- .C375 2014eb"/>
    <n v="364.66"/>
    <d v="2014-03-28T00:00:00"/>
  </r>
  <r>
    <x v="3536"/>
    <d v="1899-12-30T00:02:21"/>
    <x v="969"/>
    <x v="0"/>
    <s v="Buffalo"/>
    <x v="941"/>
    <n v="995966"/>
    <x v="0"/>
    <s v="Science; Health; Science: Biology/Natural History"/>
    <s v="9781118359730"/>
    <s v=",2,1,3,157,158,154,155,213,214,215,212,217,218,219,220,221,222,223"/>
    <n v="18"/>
    <m/>
    <m/>
    <s v="No"/>
    <x v="1"/>
    <m/>
    <m/>
    <s v="128.205.114.91"/>
    <s v="QP141 -- .D37 2012eb"/>
    <n v="613.70000000000005"/>
    <d v="2012-08-08T00:00:00"/>
  </r>
  <r>
    <x v="3537"/>
    <d v="1899-12-30T00:14:54"/>
    <x v="914"/>
    <x v="12"/>
    <s v="potsdam"/>
    <x v="628"/>
    <n v="1610008"/>
    <x v="1"/>
    <s v="Social Science; Law"/>
    <s v="9781409457206"/>
    <s v=",1,2,3,4,5,6,7,8,9,10,11,12,16,22,23,24,20,21,19,17,16,15,14,18,13,12,11,10,9,8,7,5,4,18,19,20,16,17,15,14,13,21,23,24,25,26,27,28,29,30"/>
    <n v="30"/>
    <m/>
    <m/>
    <s v="No"/>
    <x v="1"/>
    <m/>
    <m/>
    <s v="137.143.104.94"/>
    <s v="K5104 -- .C375 2014eb"/>
    <n v="364.66"/>
    <d v="2014-03-28T00:00:00"/>
  </r>
  <r>
    <x v="3538"/>
    <d v="1899-12-30T00:00:04"/>
    <x v="970"/>
    <x v="0"/>
    <s v="Buffalo"/>
    <x v="630"/>
    <n v="771049"/>
    <x v="18"/>
    <s v="Science: Physics; Science; Environmental Studies"/>
    <s v="9781608706648"/>
    <s v=",1,2,3"/>
    <n v="3"/>
    <m/>
    <m/>
    <s v="No"/>
    <x v="1"/>
    <m/>
    <m/>
    <s v="128.205.114.91"/>
    <s v="QC981.8"/>
    <n v="363.73874000000001"/>
    <d v="2012-01-01T00:00:00"/>
  </r>
  <r>
    <x v="3539"/>
    <d v="1899-12-30T00:00:22"/>
    <x v="971"/>
    <x v="12"/>
    <s v="potsdam"/>
    <x v="942"/>
    <n v="3059089"/>
    <x v="0"/>
    <s v="Psychology"/>
    <s v="9780730323969"/>
    <s v=",1,2,2,3,3,1,2,2"/>
    <n v="3"/>
    <m/>
    <m/>
    <s v="No"/>
    <x v="3"/>
    <m/>
    <m/>
    <s v="137.143.104.94"/>
    <s v="BF108.A9 -- .B878 2015eb"/>
    <n v="150.994"/>
    <d v="2014-08-01T00:00:00"/>
  </r>
  <r>
    <x v="3540"/>
    <d v="1899-12-30T00:00:44"/>
    <x v="13"/>
    <x v="0"/>
    <s v="Buffalo"/>
    <x v="346"/>
    <n v="827065"/>
    <x v="0"/>
    <s v="Literature"/>
    <s v="9781118306291"/>
    <s v=",1,1,238,238,239,239,240,240,241,241,242,242,243,243,244,244,245,245,240,2,2,17,17,18,19,18,15,19,20,25,20,25,28,28,29,29,30,30,31,31,27,32,32,33,33,34,34"/>
    <n v="24"/>
    <m/>
    <m/>
    <s v="No"/>
    <x v="1"/>
    <m/>
    <m/>
    <s v="128.205.114.91"/>
    <s v="PN94 -- .E2 2008eb"/>
    <s v="801/.950904"/>
    <d v="2011-11-30T00:00:00"/>
  </r>
  <r>
    <x v="3541"/>
    <d v="1899-12-30T00:05:01"/>
    <x v="972"/>
    <x v="6"/>
    <s v="sjfc"/>
    <x v="943"/>
    <n v="1134691"/>
    <x v="0"/>
    <s v="Science: Chemistry; Science; Science: Biology/Natural History"/>
    <s v="9783527665488"/>
    <s v=",13,14,15,16,17,18,19,20,21,22,23,24,25,26,27,28"/>
    <n v="16"/>
    <m/>
    <m/>
    <s v="No"/>
    <x v="2"/>
    <d v="2015-11-17T16:40:11"/>
    <n v="1"/>
    <s v="149.69.254.57"/>
    <s v="QP601 -- .C67 2012eb"/>
    <s v="547.7/5804594"/>
    <d v="2013-02-22T00:00:00"/>
  </r>
  <r>
    <x v="3542"/>
    <d v="1899-12-30T00:05:11"/>
    <x v="972"/>
    <x v="6"/>
    <s v="sjfc"/>
    <x v="943"/>
    <n v="1134691"/>
    <x v="0"/>
    <s v="Science: Chemistry; Science; Science: Biology/Natural History"/>
    <s v="9783527665488"/>
    <s v=",1,2,3,4,5,6,7,8,9,10,11,12"/>
    <n v="12"/>
    <m/>
    <m/>
    <s v="No"/>
    <x v="3"/>
    <m/>
    <m/>
    <s v="149.69.254.57"/>
    <s v="QP601 -- .C67 2012eb"/>
    <s v="547.7/5804594"/>
    <d v="2013-02-22T00:00:00"/>
  </r>
  <r>
    <x v="3543"/>
    <d v="1899-12-30T00:49:14"/>
    <x v="634"/>
    <x v="11"/>
    <s v="cobleskill"/>
    <x v="11"/>
    <n v="693176"/>
    <x v="0"/>
    <s v="Engineering: Manufacturing; General Works/Reference; Engineering"/>
    <s v="9781118017746"/>
    <s v=",552,546,545,544,553,554,555,556,557,558,559,560,561,562,563,564,565,566,567,568,569,570,571,572,573,574,575,576,577,578,579,580,581,582,583,584,585,586"/>
    <n v="38"/>
    <m/>
    <m/>
    <s v="No"/>
    <x v="0"/>
    <d v="2015-11-17T16:33:26"/>
    <n v="7"/>
    <s v="137.36.32.34"/>
    <s v="Z246 -- .M43 2012eb"/>
    <s v="686.2/209"/>
    <d v="2011-10-19T00:00:00"/>
  </r>
  <r>
    <x v="3544"/>
    <d v="1899-12-30T00:01:51"/>
    <x v="13"/>
    <x v="0"/>
    <s v="Buffalo"/>
    <x v="944"/>
    <n v="2009965"/>
    <x v="3"/>
    <m/>
    <s v="9780520961869"/>
    <s v=",74,298,299,300,302,304,301,722,723,724,725,726,727,730,731,734,735,739,740,736,774,775,771,319,320,321,322,323,324,326"/>
    <n v="30"/>
    <m/>
    <m/>
    <s v="No"/>
    <x v="2"/>
    <d v="2015-11-17T16:20:28"/>
    <n v="1"/>
    <s v="128.205.114.91"/>
    <m/>
    <m/>
    <d v="2015-10-15T00:00:00"/>
  </r>
  <r>
    <x v="3545"/>
    <d v="1899-12-30T00:12:39"/>
    <x v="13"/>
    <x v="0"/>
    <s v="Buffalo"/>
    <x v="944"/>
    <n v="2009965"/>
    <x v="3"/>
    <m/>
    <s v="9780520961869"/>
    <s v=",1,2,3,4,5,6,7,8,9,10,11"/>
    <n v="11"/>
    <m/>
    <m/>
    <s v="No"/>
    <x v="3"/>
    <m/>
    <m/>
    <s v="128.205.114.91"/>
    <m/>
    <m/>
    <d v="2015-10-15T00:00:00"/>
  </r>
  <r>
    <x v="3546"/>
    <d v="1899-12-30T00:38:58"/>
    <x v="634"/>
    <x v="11"/>
    <s v="cobleskill"/>
    <x v="11"/>
    <n v="693176"/>
    <x v="0"/>
    <s v="Engineering: Manufacturing; General Works/Reference; Engineering"/>
    <s v="9781118017746"/>
    <s v=",1,2,3,546,547,548,544,545,549,550,2,551"/>
    <n v="11"/>
    <m/>
    <m/>
    <s v="No"/>
    <x v="1"/>
    <m/>
    <m/>
    <s v="137.36.32.34"/>
    <s v="Z246 -- .M43 2012eb"/>
    <s v="686.2/209"/>
    <d v="2011-10-19T00:00:00"/>
  </r>
  <r>
    <x v="3547"/>
    <d v="1899-12-30T00:00:21"/>
    <x v="973"/>
    <x v="0"/>
    <s v="Buffalo"/>
    <x v="161"/>
    <n v="821663"/>
    <x v="0"/>
    <s v="Architecture"/>
    <s v="9781118168479"/>
    <s v=",1,1,3,3,2,2,2,2"/>
    <n v="3"/>
    <m/>
    <m/>
    <s v="No"/>
    <x v="1"/>
    <m/>
    <m/>
    <s v="128.205.114.91"/>
    <s v="NA2547 -- .S74 2012eb"/>
    <n v="729"/>
    <d v="2012-03-05T00:00:00"/>
  </r>
  <r>
    <x v="3548"/>
    <d v="1899-12-30T00:58:33"/>
    <x v="13"/>
    <x v="0"/>
    <s v="Buffalo"/>
    <x v="161"/>
    <n v="821663"/>
    <x v="0"/>
    <s v="Architecture"/>
    <s v="9781118168479"/>
    <s v=",1,2,3,330,331,332,328,329,333,334,335,336,337,338,339,340,341,328,329,342,343,344,345,346,347,348,349,350,351,352,353,354,355,356,357"/>
    <n v="33"/>
    <m/>
    <m/>
    <s v="No"/>
    <x v="0"/>
    <d v="2015-11-17T02:43:52"/>
    <n v="7"/>
    <s v="128.205.114.91"/>
    <s v="NA2547 -- .S74 2012eb"/>
    <n v="729"/>
    <d v="2012-03-05T00:00:00"/>
  </r>
  <r>
    <x v="3549"/>
    <d v="1899-12-30T00:30:47"/>
    <x v="936"/>
    <x v="0"/>
    <s v="Buffalo"/>
    <x v="824"/>
    <n v="1120538"/>
    <x v="12"/>
    <s v="Science; Science: Zoology"/>
    <s v="9781469608082"/>
    <s v=",1,2,3,20,21,22,18,19,17,16,15,23,18,24"/>
    <n v="13"/>
    <m/>
    <m/>
    <s v="No"/>
    <x v="2"/>
    <d v="2015-11-16T21:48:26"/>
    <n v="1"/>
    <s v="128.205.114.91"/>
    <s v="QL737.C22 -- B43 2013eb"/>
    <n v="599.77309700000001"/>
    <d v="2013-05-23T00:00:00"/>
  </r>
  <r>
    <x v="3550"/>
    <d v="1899-12-30T00:37:37"/>
    <x v="705"/>
    <x v="13"/>
    <s v="buffalostate"/>
    <x v="516"/>
    <n v="1840835"/>
    <x v="0"/>
    <s v="Business/Management; Economics"/>
    <s v="9781118950166"/>
    <s v=",1,2,3,163,164,165,161,162,172,173,174,170,171,166,167,164,168,187,188,189,185,186,190,191,192,193,194,195,187,186,185,184,183,182,181,180,179,177,178,175,176,174,167,168,164,186,184,189,194,195,196,197,198,199,200,201,202,203,204,205,206,207,208,209,210,211,212,213,214,215,218,219,220,216,217,221,229,230,231,227,228,232,233,234,229,226,225,235,236"/>
    <n v="75"/>
    <m/>
    <m/>
    <s v="No"/>
    <x v="0"/>
    <d v="2015-11-17T03:29:43"/>
    <n v="7"/>
    <s v="136.183.11.43"/>
    <s v="HD9969.S6 .R384 2014"/>
    <n v="338.10923789999998"/>
    <d v="2014-11-10T00:00:00"/>
  </r>
  <r>
    <x v="3551"/>
    <d v="1899-12-30T00:00:01"/>
    <x v="974"/>
    <x v="0"/>
    <s v="Buffalo"/>
    <x v="161"/>
    <n v="821663"/>
    <x v="0"/>
    <s v="Architecture"/>
    <s v="9781118168479"/>
    <s v=",358,360,359"/>
    <n v="3"/>
    <m/>
    <m/>
    <s v="No"/>
    <x v="0"/>
    <d v="2015-11-17T14:46:02"/>
    <n v="7"/>
    <s v="128.205.114.91"/>
    <s v="NA2547 -- .S74 2012eb"/>
    <n v="729"/>
    <d v="2012-03-05T00:00:00"/>
  </r>
  <r>
    <x v="3552"/>
    <d v="1899-12-30T00:10:33"/>
    <x v="974"/>
    <x v="0"/>
    <s v="Buffalo"/>
    <x v="161"/>
    <n v="821663"/>
    <x v="0"/>
    <s v="Architecture"/>
    <s v="9781118168479"/>
    <s v=",1,2,3,327,328,329,325,326,330,331,332,333,334,335,336,337,338,339,340,341,342,343,344,345,346,347,348,349,350,351,349,347,348,350,2,351,2,351,350,347,348,349,348,350,347,2,351,349,352,353,354,355,356,357"/>
    <n v="36"/>
    <m/>
    <m/>
    <s v="No"/>
    <x v="1"/>
    <m/>
    <m/>
    <s v="128.205.114.91"/>
    <s v="NA2547 -- .S74 2012eb"/>
    <n v="729"/>
    <d v="2012-03-05T00:00:00"/>
  </r>
  <r>
    <x v="3553"/>
    <d v="1899-12-30T00:18:47"/>
    <x v="936"/>
    <x v="0"/>
    <s v="Buffalo"/>
    <x v="824"/>
    <n v="1120538"/>
    <x v="12"/>
    <s v="Science; Science: Zoology"/>
    <s v="9781469608082"/>
    <s v=",1,2,3,4,141,142,143,139,140,138,18,6,3,4,5,1,20,21,22,19,23,24,25"/>
    <n v="20"/>
    <m/>
    <m/>
    <s v="No"/>
    <x v="2"/>
    <d v="2015-11-16T21:48:26"/>
    <n v="1"/>
    <s v="128.205.114.91"/>
    <s v="QL737.C22 -- B43 2013eb"/>
    <n v="599.77309700000001"/>
    <d v="2013-05-23T00:00:00"/>
  </r>
  <r>
    <x v="3554"/>
    <d v="1899-12-30T00:04:51"/>
    <x v="395"/>
    <x v="1"/>
    <s v="brockport"/>
    <x v="945"/>
    <n v="3038555"/>
    <x v="11"/>
    <s v="Social Science"/>
    <s v="9780226136851"/>
    <s v=",166,167,168,169,170,171,172,173,174,176,175,177,178,179,180,181,182,183,184,185,186,187,188,189,190,191,192,193,194,195,196,197,198,199,200,201,202,203,204,205,206,207,208"/>
    <n v="43"/>
    <m/>
    <m/>
    <s v="No"/>
    <x v="2"/>
    <d v="2015-11-17T14:28:35"/>
    <n v="1"/>
    <s v="137.21.7.121"/>
    <s v="HV9956.P53 -- .G644 2014eb"/>
    <s v="364.3/496073074811"/>
    <d v="2014-05-01T00:00:00"/>
  </r>
  <r>
    <x v="3555"/>
    <d v="1899-12-30T00:48:05"/>
    <x v="395"/>
    <x v="1"/>
    <s v="brockport"/>
    <x v="945"/>
    <n v="3038555"/>
    <x v="11"/>
    <s v="Social Science"/>
    <s v="9780226136851"/>
    <s v=",1,3,2,106,107,108,104,105,156,157,158,154,155,159,160,161,162,163,164,178,179,210,180,176,177,165"/>
    <n v="26"/>
    <m/>
    <m/>
    <s v="No"/>
    <x v="3"/>
    <m/>
    <m/>
    <s v="137.21.7.121"/>
    <s v="HV9956.P53 -- .G644 2014eb"/>
    <s v="364.3/496073074811"/>
    <d v="2014-05-01T00:00:00"/>
  </r>
  <r>
    <x v="3556"/>
    <d v="1899-12-30T00:19:13"/>
    <x v="910"/>
    <x v="0"/>
    <s v="Buffalo"/>
    <x v="161"/>
    <n v="821663"/>
    <x v="0"/>
    <s v="Architecture"/>
    <s v="9781118168479"/>
    <s v=",335,336,337,338,339,352,351,350,341,342,343,340,344,345,346,347,348,349,350,351,338,339,340,328,326,327,359,361,325"/>
    <n v="24"/>
    <m/>
    <m/>
    <s v="No"/>
    <x v="0"/>
    <d v="2015-11-17T13:39:00"/>
    <n v="7"/>
    <s v="128.205.114.91"/>
    <s v="NA2547 -- .S74 2012eb"/>
    <n v="729"/>
    <d v="2012-03-05T00:00:00"/>
  </r>
  <r>
    <x v="3557"/>
    <d v="1899-12-30T00:11:51"/>
    <x v="910"/>
    <x v="0"/>
    <s v="Buffalo"/>
    <x v="161"/>
    <n v="821663"/>
    <x v="0"/>
    <s v="Architecture"/>
    <s v="9781118168479"/>
    <s v=",1,2,3,327,328,329,326,325,354,355,356,352,353,357,330,331,332,328,329,327,333,334"/>
    <n v="19"/>
    <m/>
    <m/>
    <s v="No"/>
    <x v="1"/>
    <m/>
    <m/>
    <s v="128.205.114.91"/>
    <s v="NA2547 -- .S74 2012eb"/>
    <n v="729"/>
    <d v="2012-03-05T00:00:00"/>
  </r>
  <r>
    <x v="3558"/>
    <d v="1899-12-30T01:38:14"/>
    <x v="711"/>
    <x v="13"/>
    <s v="buffalostate"/>
    <x v="516"/>
    <n v="1840835"/>
    <x v="0"/>
    <s v="Business/Management; Economics"/>
    <s v="9781118950166"/>
    <s v=",164,163,163,169,170,171,172,173,174,175,178,179,180,176,177,181,182,186,187,188,184,185,189,190,184,189,190,191,192,193,187,192,193,194,195,196,198,200,201,202,199,203,204,205,206,207,208,210,209,211,186,187,188,184,185,183,182,181,180,179,178,177,176,186,187,188,186,187,188,184,185,190,191,192,189,187,192,192,193,194,195,197,198,199,196,193,192,191,191,197,198,199,200,192,190,197,9,10,11,7,8,303,304,305,301,302,175,176,177,173,174,195,196,197,193,194,203,204,205,201,215,216,217,213,214,219,220,218,221,183,184,185,181,182,196,197,198,194,195,199,194,199,192,193,194,190,191,197,196,191,192,189,202,203,204,200,201,205,223,224,221,225,222,299,301,300,297,298,223,222,36,37,38,34,35,214,215,216,212,213,217,36,37,38,34,35,203,204,205,201,202,199,200,206,207,208,209,210,211,212,213,214,215,216,217,218,219,220,221,222,223,224,225,219,218,220,217,216,222,223,224,225,226,227,228,229,230,231,232,233,234,235,236,237,238,239,231,232,230,229,235,230,229,228,233,234"/>
    <n v="92"/>
    <m/>
    <m/>
    <s v="No"/>
    <x v="0"/>
    <d v="2015-11-17T13:16:03"/>
    <n v="7"/>
    <s v="136.183.11.43"/>
    <s v="HD9969.S6 .R384 2014"/>
    <n v="338.10923789999998"/>
    <d v="2014-11-10T00:00:00"/>
  </r>
  <r>
    <x v="3559"/>
    <d v="1899-12-30T00:14:04"/>
    <x v="711"/>
    <x v="13"/>
    <s v="buffalostate"/>
    <x v="516"/>
    <n v="1840835"/>
    <x v="0"/>
    <s v="Business/Management; Economics"/>
    <s v="9781118950166"/>
    <s v=",1,2,3,165,166,167,163,164,161,162,167,168,168,169"/>
    <n v="12"/>
    <m/>
    <m/>
    <s v="No"/>
    <x v="1"/>
    <m/>
    <m/>
    <s v="136.183.11.43"/>
    <s v="HD9969.S6 .R384 2014"/>
    <n v="338.10923789999998"/>
    <d v="2014-11-10T00:00:00"/>
  </r>
  <r>
    <x v="3560"/>
    <d v="1899-12-30T00:56:51"/>
    <x v="975"/>
    <x v="0"/>
    <s v="Buffalo"/>
    <x v="73"/>
    <n v="1119505"/>
    <x v="0"/>
    <s v="Science: Chemistry; Science"/>
    <s v="9781118355015"/>
    <s v=",1,2,3,266,267,268,264,265,269,270,271,265,264"/>
    <n v="11"/>
    <m/>
    <m/>
    <s v="No"/>
    <x v="0"/>
    <d v="2015-11-17T00:20:55"/>
    <n v="7"/>
    <s v="128.205.114.91"/>
    <s v="QD251.3 -- .S38 2013eb"/>
    <s v="547/.128"/>
    <d v="2013-01-28T00:00:00"/>
  </r>
  <r>
    <x v="3561"/>
    <d v="1899-12-30T01:14:09"/>
    <x v="395"/>
    <x v="1"/>
    <s v="brockport"/>
    <x v="518"/>
    <n v="1895714"/>
    <x v="0"/>
    <s v="History"/>
    <s v="9781118896112"/>
    <s v=",1,2,3,194,195,196,192,193,295,297,296,293,294,189,190,191,187,188,186,91,92,93,89,90,88,88,86,87,305,306,307,303,304,296,297,293,294,298,371,372,373,370,369,449,450,451,447,448,63,64,65,61,62,60,271,272,273,269,270,148,149,150,146,147,60,59,58,63,339,340,341,337,338,342,249,250,251,247,248,376,377,63,64,65,141,142,143,139,140,137,138,296,295"/>
    <n v="81"/>
    <m/>
    <m/>
    <s v="No"/>
    <x v="0"/>
    <d v="2015-11-17T02:43:00"/>
    <n v="7"/>
    <s v="137.21.7.121"/>
    <s v="DT60 .B373 2014"/>
    <n v="932"/>
    <d v="2015-01-07T00:00:00"/>
  </r>
  <r>
    <x v="3562"/>
    <d v="1899-12-30T00:02:55"/>
    <x v="13"/>
    <x v="0"/>
    <s v="Buffalo"/>
    <x v="161"/>
    <n v="821663"/>
    <x v="0"/>
    <s v="Architecture"/>
    <s v="9781118168479"/>
    <s v=",1,2,3,327,328,329,330,331,332,333,334,335,336,337,338,339"/>
    <n v="16"/>
    <m/>
    <m/>
    <s v="No"/>
    <x v="0"/>
    <d v="2015-11-17T02:43:52"/>
    <n v="7"/>
    <s v="128.205.114.91"/>
    <s v="NA2547 -- .S74 2012eb"/>
    <n v="729"/>
    <d v="2012-03-05T00:00:00"/>
  </r>
  <r>
    <x v="3563"/>
    <d v="1899-12-30T00:00:00"/>
    <x v="45"/>
    <x v="0"/>
    <s v="Buffalo"/>
    <x v="946"/>
    <n v="4038033"/>
    <x v="0"/>
    <s v="Social Science; Computer Science/IT"/>
    <s v="9781118715567"/>
    <m/>
    <n v="0"/>
    <m/>
    <m/>
    <s v="Yes"/>
    <x v="2"/>
    <d v="2015-11-17T09:04:30"/>
    <n v="1"/>
    <s v="128.205.114.91"/>
    <s v="HA29.A377 2013"/>
    <n v="5.55"/>
    <d v="2013-12-31T00:00:00"/>
  </r>
  <r>
    <x v="3563"/>
    <d v="1899-12-30T00:00:00"/>
    <x v="45"/>
    <x v="0"/>
    <s v="Buffalo"/>
    <x v="946"/>
    <n v="4038033"/>
    <x v="0"/>
    <s v="Social Science; Computer Science/IT"/>
    <s v="9781118715567"/>
    <m/>
    <n v="0"/>
    <m/>
    <m/>
    <s v="No"/>
    <x v="2"/>
    <d v="2015-11-17T09:04:30"/>
    <n v="1"/>
    <s v="128.205.114.91"/>
    <s v="HA29.A377 2013"/>
    <n v="5.55"/>
    <d v="2013-12-31T00:00:00"/>
  </r>
  <r>
    <x v="3564"/>
    <d v="1899-12-30T00:00:35"/>
    <x v="45"/>
    <x v="0"/>
    <s v="Buffalo"/>
    <x v="946"/>
    <n v="4038033"/>
    <x v="0"/>
    <s v="Social Science; Computer Science/IT"/>
    <s v="9781118715567"/>
    <s v=",1,2,3"/>
    <n v="3"/>
    <m/>
    <m/>
    <s v="No"/>
    <x v="3"/>
    <m/>
    <m/>
    <s v="128.205.114.91"/>
    <s v="HA29.A377 2013"/>
    <n v="5.55"/>
    <d v="2013-12-31T00:00:00"/>
  </r>
  <r>
    <x v="3565"/>
    <d v="1899-12-30T00:00:00"/>
    <x v="45"/>
    <x v="0"/>
    <s v="Buffalo"/>
    <x v="947"/>
    <n v="1487208"/>
    <x v="2"/>
    <s v="Education"/>
    <s v="9781317966531"/>
    <m/>
    <n v="0"/>
    <m/>
    <m/>
    <s v="Yes"/>
    <x v="2"/>
    <d v="2015-11-17T09:01:52"/>
    <n v="1"/>
    <s v="128.205.114.91"/>
    <m/>
    <n v="370.1"/>
    <d v="2013-10-18T00:00:00"/>
  </r>
  <r>
    <x v="3565"/>
    <d v="1899-12-30T00:00:00"/>
    <x v="45"/>
    <x v="0"/>
    <s v="Buffalo"/>
    <x v="947"/>
    <n v="1487208"/>
    <x v="2"/>
    <s v="Education"/>
    <s v="9781317966531"/>
    <m/>
    <n v="0"/>
    <m/>
    <m/>
    <s v="No"/>
    <x v="2"/>
    <d v="2015-11-17T09:01:52"/>
    <n v="1"/>
    <s v="128.205.114.91"/>
    <m/>
    <n v="370.1"/>
    <d v="2013-10-18T00:00:00"/>
  </r>
  <r>
    <x v="3566"/>
    <d v="1899-12-30T00:00:29"/>
    <x v="45"/>
    <x v="0"/>
    <s v="Buffalo"/>
    <x v="947"/>
    <n v="1487208"/>
    <x v="2"/>
    <s v="Education"/>
    <s v="9781317966531"/>
    <s v=",1,2,3,4"/>
    <n v="4"/>
    <m/>
    <m/>
    <s v="No"/>
    <x v="3"/>
    <m/>
    <m/>
    <s v="128.205.114.91"/>
    <m/>
    <n v="370.1"/>
    <d v="2013-10-18T00:00:00"/>
  </r>
  <r>
    <x v="3567"/>
    <d v="1899-12-30T00:02:32"/>
    <x v="468"/>
    <x v="0"/>
    <s v="Buffalo"/>
    <x v="508"/>
    <n v="1882107"/>
    <x v="3"/>
    <s v="History; Social Science"/>
    <s v="9780520961593"/>
    <s v=",1,2,3,142,143,144,140,141,145,146,147,148,149,150,214,215,216,217,213,218,219,220,221"/>
    <n v="23"/>
    <m/>
    <m/>
    <s v="No"/>
    <x v="3"/>
    <m/>
    <m/>
    <s v="128.205.114.91"/>
    <s v="HX413.8.K68"/>
    <n v="952.03099999999995"/>
    <d v="2015-06-09T00:00:00"/>
  </r>
  <r>
    <x v="3568"/>
    <d v="1899-12-30T00:00:00"/>
    <x v="899"/>
    <x v="0"/>
    <s v="Buffalo"/>
    <x v="630"/>
    <n v="771049"/>
    <x v="18"/>
    <s v="Science: Physics; Science; Environmental Studies"/>
    <s v="9781608706648"/>
    <m/>
    <n v="0"/>
    <m/>
    <m/>
    <s v="No"/>
    <x v="1"/>
    <m/>
    <m/>
    <s v="128.205.114.91"/>
    <s v="QC981.8"/>
    <n v="363.73874000000001"/>
    <d v="2012-01-01T00:00:00"/>
  </r>
  <r>
    <x v="3569"/>
    <d v="1899-12-30T03:09:30"/>
    <x v="13"/>
    <x v="0"/>
    <s v="Buffalo"/>
    <x v="161"/>
    <n v="821663"/>
    <x v="0"/>
    <s v="Architecture"/>
    <s v="9781118168479"/>
    <s v=",1,2,3,327,328,329,325,326,324,322,323,330,331,332,331,332,333,334,335,336,337,338,340,341,342,343,344,346,347,348,349,351,352,353,354"/>
    <n v="33"/>
    <m/>
    <m/>
    <s v="No"/>
    <x v="0"/>
    <d v="2015-11-17T02:43:52"/>
    <n v="7"/>
    <s v="128.205.114.91"/>
    <s v="NA2547 -- .S74 2012eb"/>
    <n v="729"/>
    <d v="2012-03-05T00:00:00"/>
  </r>
  <r>
    <x v="3570"/>
    <d v="1899-12-30T00:00:01"/>
    <x v="976"/>
    <x v="0"/>
    <s v="Buffalo"/>
    <x v="473"/>
    <n v="836624"/>
    <x v="0"/>
    <s v="Literature; Fine Arts"/>
    <s v="9781118346686"/>
    <s v=",36"/>
    <n v="1"/>
    <m/>
    <m/>
    <s v="No"/>
    <x v="0"/>
    <d v="2015-11-17T05:37:51"/>
    <n v="7"/>
    <s v="128.205.114.91"/>
    <s v="PN6727.K586 W39 2012"/>
    <n v="741.59730000000002"/>
    <d v="2012-03-01T00:00:00"/>
  </r>
  <r>
    <x v="3571"/>
    <d v="1899-12-30T00:10:21"/>
    <x v="976"/>
    <x v="0"/>
    <s v="Buffalo"/>
    <x v="473"/>
    <n v="836624"/>
    <x v="0"/>
    <s v="Literature; Fine Arts"/>
    <s v="9781118346686"/>
    <s v=",1,2,3,33,34,29,30,31,27,28,32,35"/>
    <n v="12"/>
    <m/>
    <m/>
    <s v="No"/>
    <x v="1"/>
    <m/>
    <m/>
    <s v="128.205.114.91"/>
    <s v="PN6727.K586 W39 2012"/>
    <n v="741.59730000000002"/>
    <d v="2012-03-01T00:00:00"/>
  </r>
  <r>
    <x v="3572"/>
    <d v="1899-12-30T00:04:59"/>
    <x v="13"/>
    <x v="0"/>
    <s v="Buffalo"/>
    <x v="473"/>
    <n v="836624"/>
    <x v="0"/>
    <s v="Literature; Fine Arts"/>
    <s v="9781118346686"/>
    <s v=",1,2,3,24,25,26,22,21,23,19,20,27,28"/>
    <n v="13"/>
    <m/>
    <m/>
    <s v="No"/>
    <x v="0"/>
    <d v="2015-11-17T04:38:01"/>
    <n v="7"/>
    <s v="128.205.114.91"/>
    <s v="PN6727.K586 W39 2012"/>
    <n v="741.59730000000002"/>
    <d v="2012-03-01T00:00:00"/>
  </r>
  <r>
    <x v="3573"/>
    <d v="1899-12-30T00:24:35"/>
    <x v="13"/>
    <x v="0"/>
    <s v="Buffalo"/>
    <x v="473"/>
    <n v="836624"/>
    <x v="0"/>
    <s v="Literature; Fine Arts"/>
    <s v="9781118346686"/>
    <s v=",1,2,3,29,30,31,27,28,26,25,32,33"/>
    <n v="12"/>
    <m/>
    <m/>
    <s v="No"/>
    <x v="0"/>
    <d v="2015-11-17T04:38:01"/>
    <n v="7"/>
    <s v="128.205.114.91"/>
    <s v="PN6727.K586 W39 2012"/>
    <n v="741.59730000000002"/>
    <d v="2012-03-01T00:00:00"/>
  </r>
  <r>
    <x v="3574"/>
    <d v="1899-12-30T00:00:04"/>
    <x v="613"/>
    <x v="0"/>
    <s v="Buffalo"/>
    <x v="500"/>
    <n v="699744"/>
    <x v="0"/>
    <s v="Engineering; Engineering: Electrical; Engineering: Civil"/>
    <s v="9781118585818"/>
    <s v=",1,2,3"/>
    <n v="3"/>
    <m/>
    <m/>
    <s v="No"/>
    <x v="1"/>
    <m/>
    <m/>
    <s v="128.205.114.91"/>
    <s v="TA1520 -- .S24 2007eb"/>
    <n v="621.36"/>
    <d v="2013-02-05T00:00:00"/>
  </r>
  <r>
    <x v="3575"/>
    <d v="1899-12-30T00:08:33"/>
    <x v="13"/>
    <x v="0"/>
    <s v="Buffalo"/>
    <x v="473"/>
    <n v="836624"/>
    <x v="0"/>
    <s v="Literature; Fine Arts"/>
    <s v="9781118346686"/>
    <s v=",27,26,25,23,21,19,16,18,14,15,13,12,11,10,9,8,7,6,5,4"/>
    <n v="20"/>
    <m/>
    <m/>
    <s v="No"/>
    <x v="0"/>
    <d v="2015-11-17T04:38:01"/>
    <n v="7"/>
    <s v="128.205.114.91"/>
    <s v="PN6727.K586 W39 2012"/>
    <n v="741.59730000000002"/>
    <d v="2012-03-01T00:00:00"/>
  </r>
  <r>
    <x v="3576"/>
    <d v="1899-12-30T00:00:07"/>
    <x v="977"/>
    <x v="1"/>
    <s v="brockport"/>
    <x v="948"/>
    <n v="1220627"/>
    <x v="12"/>
    <s v="Law"/>
    <s v="9781469608099"/>
    <s v=",1,160,161,162,158,159"/>
    <n v="6"/>
    <m/>
    <m/>
    <s v="No"/>
    <x v="3"/>
    <m/>
    <m/>
    <s v="137.21.7.121"/>
    <s v="KF8210.C5 -- R43 2013eb"/>
    <s v="342.7308/72"/>
    <d v="2013-06-03T00:00:00"/>
  </r>
  <r>
    <x v="3577"/>
    <d v="1899-12-30T00:00:42"/>
    <x v="978"/>
    <x v="13"/>
    <s v="buffalostate"/>
    <x v="642"/>
    <n v="918746"/>
    <x v="15"/>
    <s v="Fine Arts"/>
    <s v="9780826441850"/>
    <s v=",1,2,3,14,15,16,12,13,10,9,4,5,6,7,8,11"/>
    <n v="16"/>
    <m/>
    <m/>
    <s v="No"/>
    <x v="1"/>
    <m/>
    <m/>
    <s v="136.183.11.43"/>
    <s v="PN1992.8.R43 -- E84 2012eb"/>
    <n v="791.45749999999998"/>
    <d v="2012-07-01T00:00:00"/>
  </r>
  <r>
    <x v="3578"/>
    <d v="1899-12-30T00:00:06"/>
    <x v="13"/>
    <x v="0"/>
    <s v="Buffalo"/>
    <x v="625"/>
    <n v="836167"/>
    <x v="6"/>
    <s v="Science: Physics; Environmental Studies; Science"/>
    <s v="9781438139487"/>
    <s v=",1,2,3"/>
    <n v="3"/>
    <m/>
    <m/>
    <s v="No"/>
    <x v="1"/>
    <m/>
    <m/>
    <s v="128.205.114.91"/>
    <s v="QC981.8.G56 -- T66 2012eb"/>
    <s v="363.738/74"/>
    <d v="2011-11-01T00:00:00"/>
  </r>
  <r>
    <x v="3579"/>
    <d v="1899-12-30T00:48:38"/>
    <x v="13"/>
    <x v="0"/>
    <s v="Buffalo"/>
    <x v="473"/>
    <n v="836624"/>
    <x v="0"/>
    <s v="Literature; Fine Arts"/>
    <s v="9781118346686"/>
    <s v=",1,2,3,29,30,31,28,27,32,33,34,35,36,37"/>
    <n v="14"/>
    <m/>
    <m/>
    <s v="No"/>
    <x v="1"/>
    <m/>
    <m/>
    <s v="128.205.114.91"/>
    <s v="PN6727.K586 W39 2012"/>
    <n v="741.59730000000002"/>
    <d v="2012-03-01T00:00:00"/>
  </r>
  <r>
    <x v="3580"/>
    <d v="1899-12-30T00:43:49"/>
    <x v="936"/>
    <x v="0"/>
    <s v="Buffalo"/>
    <x v="824"/>
    <n v="1120538"/>
    <x v="12"/>
    <s v="Science; Science: Zoology"/>
    <s v="9781469608082"/>
    <s v=",1,2,3,4,5,6,7,8,9,10,11,14,45,46,47,273,271,272,270,104,105,101,102,106,107,108,110,112,113,116,117,118,119,120,121,122,123,124,125,126,127,128,129,130,131,132,133,134,135,136,137,138,139,140,141,142,143,144,145,146,148,150"/>
    <n v="62"/>
    <m/>
    <m/>
    <s v="No"/>
    <x v="2"/>
    <d v="2015-11-16T21:48:26"/>
    <n v="1"/>
    <s v="128.205.114.91"/>
    <s v="QL737.C22 -- B43 2013eb"/>
    <n v="599.77309700000001"/>
    <d v="2013-05-23T00:00:00"/>
  </r>
  <r>
    <x v="3581"/>
    <d v="1899-12-30T03:55:56"/>
    <x v="13"/>
    <x v="0"/>
    <s v="Buffalo"/>
    <x v="73"/>
    <n v="1119505"/>
    <x v="0"/>
    <s v="Science: Chemistry; Science"/>
    <s v="9781118355015"/>
    <s v=",1,3,2,266,267,268,265,264,269,232,233,234,230,231,235,245,246,247,243,244,248,253,254,255,251,252,256,257,258,259,260,261,262,263,245,246,247,243,244,248,236,237,177,178,175,176,179,173,172,160,162,159,157,161,158,163,164,165,166,167,168,169,170,171,174,180,181,182,183,184,185,186,187,188,189,190,191,192,193,194,195,1,195,196,193,197,194,2,266,267,268,264,265,269,262,263,260,261,259,258,257,256,255,254,253,252,251,250,249,248,247,246,245,244,243,242,241,240,239,238,237,236,235,234,233,232,231,230,264,263,262,261,260,259,258,257,256,255,270,254,253,252,251,250,249,248,247,246,245,244,243,242,241,240,239,238,237,236,235,234,233,232,231"/>
    <n v="85"/>
    <m/>
    <m/>
    <s v="No"/>
    <x v="0"/>
    <d v="2015-11-14T16:15:40"/>
    <n v="7"/>
    <s v="128.205.114.91"/>
    <s v="QD251.3 -- .S38 2013eb"/>
    <s v="547/.128"/>
    <d v="2013-01-28T00:00:00"/>
  </r>
  <r>
    <x v="3582"/>
    <d v="1899-12-30T00:11:55"/>
    <x v="746"/>
    <x v="13"/>
    <s v="buffalostate"/>
    <x v="516"/>
    <n v="1840835"/>
    <x v="0"/>
    <s v="Business/Management; Economics"/>
    <s v="9781118950166"/>
    <s v=",1,2,3,218,219,220,217,216,2,223,224,225,221,222,226,227,228,229,230,231,232,233,234,235,236"/>
    <n v="24"/>
    <m/>
    <m/>
    <s v="No"/>
    <x v="0"/>
    <d v="2015-11-16T23:02:33"/>
    <n v="7"/>
    <s v="136.183.11.43"/>
    <s v="HD9969.S6 .R384 2014"/>
    <n v="338.10923789999998"/>
    <d v="2014-11-10T00:00:00"/>
  </r>
  <r>
    <x v="3583"/>
    <d v="1899-12-30T00:29:43"/>
    <x v="705"/>
    <x v="13"/>
    <s v="buffalostate"/>
    <x v="516"/>
    <n v="1840835"/>
    <x v="0"/>
    <s v="Business/Management; Economics"/>
    <s v="9781118950166"/>
    <s v=",183,184,185,186,187,1,187,188,189,185,186,2,184,189,192,203,204,205,206,207,208,209,210,211,186,184,190,191,193,195,197,1,197,198,199,195,196,201,205,204,210,211,212,213,209,208,2,206,207"/>
    <n v="30"/>
    <m/>
    <m/>
    <s v="No"/>
    <x v="0"/>
    <d v="2015-11-17T03:29:43"/>
    <n v="7"/>
    <s v="136.183.11.43"/>
    <s v="HD9969.S6 .R384 2014"/>
    <n v="338.10923789999998"/>
    <d v="2014-11-10T00:00:00"/>
  </r>
  <r>
    <x v="3584"/>
    <d v="1899-12-30T00:06:27"/>
    <x v="705"/>
    <x v="13"/>
    <s v="buffalostate"/>
    <x v="516"/>
    <n v="1840835"/>
    <x v="0"/>
    <s v="Business/Management; Economics"/>
    <s v="9781118950166"/>
    <s v=",1,2,3,165,166,167,163,164,168,169,170,171,172,173,174,175,176,177,178,179,180,181,182"/>
    <n v="23"/>
    <m/>
    <m/>
    <s v="No"/>
    <x v="1"/>
    <m/>
    <m/>
    <s v="136.183.11.43"/>
    <s v="HD9969.S6 .R384 2014"/>
    <n v="338.10923789999998"/>
    <d v="2014-11-10T00:00:00"/>
  </r>
  <r>
    <x v="3585"/>
    <d v="1899-12-30T00:11:51"/>
    <x v="756"/>
    <x v="1"/>
    <s v="brockport"/>
    <x v="151"/>
    <n v="968030"/>
    <x v="0"/>
    <s v="Psychology"/>
    <s v="9781118285138"/>
    <s v=",1,2,3,333,334,335,331,332,336,337,338,339,340,341,342,343,344,345,346,347,348,349,350,351,352,353,354,355,356,357,358,359,360,361,362"/>
    <n v="35"/>
    <m/>
    <m/>
    <s v="No"/>
    <x v="0"/>
    <d v="2015-11-16T19:50:51"/>
    <n v="7"/>
    <s v="137.21.7.121"/>
    <s v="BF637.C6 -- S85 2013eb"/>
    <n v="158.30000000000001"/>
    <d v="2012-07-10T00:00:00"/>
  </r>
  <r>
    <x v="3586"/>
    <d v="1899-12-30T00:37:04"/>
    <x v="13"/>
    <x v="0"/>
    <s v="Buffalo"/>
    <x v="161"/>
    <n v="821663"/>
    <x v="0"/>
    <s v="Architecture"/>
    <s v="9781118168479"/>
    <s v=",331,332,333,334,335"/>
    <n v="5"/>
    <m/>
    <m/>
    <s v="No"/>
    <x v="0"/>
    <d v="2015-11-17T02:43:52"/>
    <n v="7"/>
    <s v="128.205.114.91"/>
    <s v="NA2547 -- .S74 2012eb"/>
    <n v="729"/>
    <d v="2012-03-05T00:00:00"/>
  </r>
  <r>
    <x v="3587"/>
    <d v="1899-12-30T01:07:31"/>
    <x v="395"/>
    <x v="1"/>
    <s v="brockport"/>
    <x v="518"/>
    <n v="1895714"/>
    <x v="0"/>
    <s v="History"/>
    <s v="9781118896112"/>
    <s v=",27,28,29,25,26,77,78,79,76,75,80,81,82,240,241,242,444,445,446,442,443,441,443,444,443,445,441,442,446,240,242,238,241,239,205,206,203,204,207,208,209,212,213,214,210,211,398,399,400,396,397,241,243,240,62,63,64,60,61,235,236,237,233,234,119,120,121,117,118"/>
    <n v="57"/>
    <m/>
    <m/>
    <s v="No"/>
    <x v="0"/>
    <d v="2015-11-17T02:43:00"/>
    <n v="7"/>
    <s v="137.21.7.121"/>
    <s v="DT60 .B373 2014"/>
    <n v="932"/>
    <d v="2015-01-07T00:00:00"/>
  </r>
  <r>
    <x v="3588"/>
    <d v="1899-12-30T00:00:19"/>
    <x v="979"/>
    <x v="0"/>
    <s v="Buffalo"/>
    <x v="630"/>
    <n v="771049"/>
    <x v="18"/>
    <s v="Science: Physics; Science; Environmental Studies"/>
    <s v="9781608706648"/>
    <s v=",1,2,3,4,7,13,14,19,21,22,23,24,20"/>
    <n v="13"/>
    <m/>
    <m/>
    <s v="No"/>
    <x v="1"/>
    <m/>
    <m/>
    <s v="128.205.114.91"/>
    <s v="QC981.8"/>
    <n v="363.73874000000001"/>
    <d v="2012-01-01T00:00:00"/>
  </r>
  <r>
    <x v="3589"/>
    <d v="1899-12-30T00:23:22"/>
    <x v="13"/>
    <x v="0"/>
    <s v="Buffalo"/>
    <x v="161"/>
    <n v="821663"/>
    <x v="0"/>
    <s v="Architecture"/>
    <s v="9781118168479"/>
    <s v=",1,2,3,327,328,329,325,326,330"/>
    <n v="9"/>
    <m/>
    <m/>
    <s v="No"/>
    <x v="1"/>
    <m/>
    <m/>
    <s v="128.205.114.91"/>
    <s v="NA2547 -- .S74 2012eb"/>
    <n v="729"/>
    <d v="2012-03-05T00:00:00"/>
  </r>
  <r>
    <x v="3590"/>
    <d v="1899-12-30T00:00:14"/>
    <x v="13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3591"/>
    <d v="1899-12-30T00:03:13"/>
    <x v="705"/>
    <x v="13"/>
    <s v="buffalostate"/>
    <x v="516"/>
    <n v="1840835"/>
    <x v="0"/>
    <s v="Business/Management; Economics"/>
    <s v="9781118950166"/>
    <s v=",1,2,3,1,2,3,163,164,165,166,167"/>
    <n v="8"/>
    <m/>
    <m/>
    <s v="No"/>
    <x v="1"/>
    <m/>
    <m/>
    <s v="136.183.11.43"/>
    <s v="HD9969.S6 .R384 2014"/>
    <n v="338.10923789999998"/>
    <d v="2014-11-10T00:00:00"/>
  </r>
  <r>
    <x v="3592"/>
    <d v="1899-12-30T00:00:52"/>
    <x v="13"/>
    <x v="0"/>
    <s v="Buffalo"/>
    <x v="824"/>
    <n v="1120538"/>
    <x v="12"/>
    <s v="Science; Science: Zoology"/>
    <s v="9781469608082"/>
    <s v=",4,231,232,229,233,230,272,273,270,15"/>
    <n v="10"/>
    <m/>
    <m/>
    <s v="Yes"/>
    <x v="2"/>
    <d v="2015-11-17T01:55:46"/>
    <n v="1"/>
    <s v="128.205.114.91"/>
    <s v="QL737.C22 -- B43 2013eb"/>
    <n v="599.77309700000001"/>
    <d v="2013-05-23T00:00:00"/>
  </r>
  <r>
    <x v="3592"/>
    <d v="1899-12-30T00:00:00"/>
    <x v="13"/>
    <x v="0"/>
    <s v="Buffalo"/>
    <x v="824"/>
    <n v="1120538"/>
    <x v="12"/>
    <s v="Science; Science: Zoology"/>
    <s v="9781469608082"/>
    <m/>
    <n v="0"/>
    <m/>
    <m/>
    <s v="No"/>
    <x v="2"/>
    <d v="2015-11-17T01:55:46"/>
    <n v="1"/>
    <s v="128.205.114.91"/>
    <s v="QL737.C22 -- B43 2013eb"/>
    <n v="599.77309700000001"/>
    <d v="2013-05-23T00:00:00"/>
  </r>
  <r>
    <x v="3593"/>
    <d v="1899-12-30T00:00:22"/>
    <x v="13"/>
    <x v="0"/>
    <s v="Buffalo"/>
    <x v="824"/>
    <n v="1120538"/>
    <x v="12"/>
    <s v="Science; Science: Zoology"/>
    <s v="9781469608082"/>
    <s v=",1,2,3"/>
    <n v="3"/>
    <m/>
    <m/>
    <s v="No"/>
    <x v="3"/>
    <m/>
    <m/>
    <s v="128.205.114.91"/>
    <s v="QL737.C22 -- B43 2013eb"/>
    <n v="599.77309700000001"/>
    <d v="2013-05-23T00:00:00"/>
  </r>
  <r>
    <x v="3594"/>
    <d v="1899-12-30T00:48:03"/>
    <x v="395"/>
    <x v="1"/>
    <s v="brockport"/>
    <x v="518"/>
    <n v="1895714"/>
    <x v="0"/>
    <s v="History"/>
    <s v="9781118896112"/>
    <s v=",1,2,3"/>
    <n v="3"/>
    <m/>
    <m/>
    <s v="No"/>
    <x v="1"/>
    <m/>
    <m/>
    <s v="137.21.7.121"/>
    <s v="DT60 .B373 2014"/>
    <n v="932"/>
    <d v="2015-01-07T00:00:00"/>
  </r>
  <r>
    <x v="3595"/>
    <d v="1899-12-30T00:51:21"/>
    <x v="860"/>
    <x v="12"/>
    <s v="potsdam"/>
    <x v="270"/>
    <n v="1637652"/>
    <x v="3"/>
    <s v="Education"/>
    <s v="9780520958449"/>
    <s v=",1,2,3,170,171,172,169,168,26,27,28,25,24,14,16,15,12,13,13,1,14,15,11,12,143,145,2,144,141,142,3,16,17,18,26,27,28,24,25,29,30,31,32,33,34,35,36,37,39,38,40,41,42,43,44,45,46,47,48,49,50,51,23,22,21,56,57,54,58,55,53,52,19,20"/>
    <n v="61"/>
    <m/>
    <m/>
    <s v="No"/>
    <x v="0"/>
    <d v="2015-11-13T14:53:56"/>
    <n v="7"/>
    <s v="137.143.104.94"/>
    <s v="LB2340.2 -- .B478 2014eb"/>
    <s v="378.3/62"/>
    <d v="2014-05-02T00:00:00"/>
  </r>
  <r>
    <x v="3596"/>
    <d v="1899-12-30T00:06:31"/>
    <x v="980"/>
    <x v="13"/>
    <s v="buffalostate"/>
    <x v="949"/>
    <n v="871519"/>
    <x v="0"/>
    <s v="Science: Astronomy; Science"/>
    <s v="9781444398359"/>
    <s v=",1,2,3,166,167,168,164,165,169,170,171,172,173,174,175,176,177,180,96,98,97,94,95,181,182"/>
    <n v="25"/>
    <m/>
    <m/>
    <s v="No"/>
    <x v="0"/>
    <d v="2015-11-17T00:46:24"/>
    <n v="7"/>
    <s v="136.183.11.43"/>
    <s v="QB501 -- .B68 2012eb"/>
    <n v="523.20000000000005"/>
    <d v="2012-02-29T00:00:00"/>
  </r>
  <r>
    <x v="3597"/>
    <d v="1899-12-30T00:21:02"/>
    <x v="980"/>
    <x v="13"/>
    <s v="buffalostate"/>
    <x v="949"/>
    <n v="871519"/>
    <x v="0"/>
    <s v="Science: Astronomy; Science"/>
    <s v="9781444398359"/>
    <s v=",1,2,3,143,144,145,146,142,141,147,148,149,150,151,152,153,154,155,156,157,158,159,160,161,162,163,164,165,166,167,168,169,170,171,172,174"/>
    <n v="36"/>
    <m/>
    <m/>
    <s v="No"/>
    <x v="0"/>
    <d v="2015-11-17T00:46:24"/>
    <n v="7"/>
    <s v="136.183.11.43"/>
    <s v="QB501 -- .B68 2012eb"/>
    <n v="523.20000000000005"/>
    <d v="2012-02-29T00:00:00"/>
  </r>
  <r>
    <x v="3598"/>
    <d v="1899-12-30T00:00:00"/>
    <x v="980"/>
    <x v="13"/>
    <s v="buffalostate"/>
    <x v="949"/>
    <n v="871519"/>
    <x v="0"/>
    <s v="Science: Astronomy; Science"/>
    <s v="9781444398359"/>
    <m/>
    <n v="0"/>
    <m/>
    <m/>
    <s v="Yes"/>
    <x v="0"/>
    <d v="2015-11-17T00:46:24"/>
    <n v="7"/>
    <s v="136.183.11.43"/>
    <s v="QB501 -- .B68 2012eb"/>
    <n v="523.20000000000005"/>
    <d v="2012-02-29T00:00:00"/>
  </r>
  <r>
    <x v="3598"/>
    <d v="1899-12-30T00:00:00"/>
    <x v="980"/>
    <x v="13"/>
    <s v="buffalostate"/>
    <x v="949"/>
    <n v="871519"/>
    <x v="0"/>
    <s v="Science: Astronomy; Science"/>
    <s v="9781444398359"/>
    <m/>
    <n v="0"/>
    <m/>
    <m/>
    <s v="No"/>
    <x v="0"/>
    <d v="2015-11-17T00:46:24"/>
    <n v="7"/>
    <s v="136.183.11.43"/>
    <s v="QB501 -- .B68 2012eb"/>
    <n v="523.20000000000005"/>
    <d v="2012-02-29T00:00:00"/>
  </r>
  <r>
    <x v="3599"/>
    <d v="1899-12-30T00:03:44"/>
    <x v="980"/>
    <x v="13"/>
    <s v="buffalostate"/>
    <x v="949"/>
    <n v="871519"/>
    <x v="0"/>
    <s v="Science: Astronomy; Science"/>
    <s v="9781444398359"/>
    <s v=",1,2,3,143,145,144,141,142,146,148,149,150,151,153,155,156"/>
    <n v="16"/>
    <m/>
    <m/>
    <s v="No"/>
    <x v="1"/>
    <m/>
    <m/>
    <s v="136.183.11.43"/>
    <s v="QB501 -- .B68 2012eb"/>
    <n v="523.20000000000005"/>
    <d v="2012-02-29T00:00:00"/>
  </r>
  <r>
    <x v="3600"/>
    <d v="1899-12-30T00:28:30"/>
    <x v="981"/>
    <x v="7"/>
    <s v="oneonta"/>
    <x v="915"/>
    <n v="836174"/>
    <x v="6"/>
    <s v="History"/>
    <s v="9781438139685"/>
    <s v=",1,2,3,4,19,20,21,17,18,22,23,24,28,29,30,26,27,31,32,33,34,35,36,39,40,41,37,38,42,69,70,71,67,68,72,73,74,75,76,77,78,79,51,52,53,49,50,54,55,56,57,58,59,60,61,62"/>
    <n v="56"/>
    <m/>
    <m/>
    <s v="No"/>
    <x v="0"/>
    <d v="2015-11-16T18:14:07"/>
    <n v="7"/>
    <s v="137.141.13.2"/>
    <s v="DA950.7 .S67 2011"/>
    <n v="941.50810000000001"/>
    <d v="2011-11-01T00:00:00"/>
  </r>
  <r>
    <x v="3601"/>
    <d v="1899-12-30T01:33:40"/>
    <x v="975"/>
    <x v="0"/>
    <s v="Buffalo"/>
    <x v="73"/>
    <n v="1119505"/>
    <x v="0"/>
    <s v="Science: Chemistry; Science"/>
    <s v="9781118355015"/>
    <s v=",263,262,261,260,259,258,257,256,255,254,254,1,255,256,252,253,191,192,193,189,190,194,195,2,178,179,180,176,177,181,175,172,173,174,170,171,266,267,268,264,265,269,270,268,169,167,168,184,185,186,182,183,187,188,197,198,199,196,200,201,202,203,204,205,209,210,211,207,208,212,213,214,215,216,217,218,219,220,221,222,223,224,225,226,227,228,158,159,160,156,157,161,162,163,164,165,166"/>
    <n v="93"/>
    <m/>
    <m/>
    <s v="No"/>
    <x v="0"/>
    <d v="2015-11-17T00:20:55"/>
    <n v="7"/>
    <s v="128.205.114.91"/>
    <s v="QD251.3 -- .S38 2013eb"/>
    <s v="547/.128"/>
    <d v="2013-01-28T00:00:00"/>
  </r>
  <r>
    <x v="3602"/>
    <d v="1899-12-30T00:02:58"/>
    <x v="571"/>
    <x v="1"/>
    <s v="brockport"/>
    <x v="602"/>
    <n v="3038360"/>
    <x v="11"/>
    <s v="Law; Social Science"/>
    <s v="9780226043692"/>
    <s v=",1,2,3,70,71,72,68,69,73,74,75,94,95,96,93,92,164,165,166,162,163,167,168,169"/>
    <n v="24"/>
    <m/>
    <m/>
    <s v="No"/>
    <x v="2"/>
    <d v="2015-11-16T21:59:24"/>
    <n v="1"/>
    <s v="137.21.7.121"/>
    <s v="K5103 -- .R674 2013eb"/>
    <n v="364.601"/>
    <d v="2013-04-01T00:00:00"/>
  </r>
  <r>
    <x v="3603"/>
    <d v="1899-12-30T01:13:56"/>
    <x v="13"/>
    <x v="0"/>
    <s v="Buffalo"/>
    <x v="656"/>
    <n v="1433263"/>
    <x v="3"/>
    <s v="History"/>
    <s v="9780520957145"/>
    <s v=",1,2,3,4,6,5,7,8,9,10,12,11,18,19,20,16,17,148,149,150,146,147,145,21,22,31,32,33,29,30,42,107,112,162,187,188,189,115,117,113,114,116,118,119,120,121,122,123,124,45,46,34,35,36,37,38,39,40,41,111,106,101,100,99,98,96,97,95,94,93,92,91,90,89,87,88,86,164,166,167,165,163,157,153,154,152,151,144,143,142,139,138,140,137,136,134,135,133,132,131,130,128,126,125,127,149,150,148,155,156,158,159"/>
    <n v="109"/>
    <m/>
    <m/>
    <s v="No"/>
    <x v="0"/>
    <d v="2015-11-16T22:18:53"/>
    <n v="7"/>
    <s v="128.205.114.91"/>
    <s v="DT264 -- .L35 2014eb"/>
    <n v="961.10400000000004"/>
    <d v="2013-09-27T00:00:00"/>
  </r>
  <r>
    <x v="3604"/>
    <d v="1899-12-30T00:11:39"/>
    <x v="807"/>
    <x v="0"/>
    <s v="Buffalo"/>
    <x v="73"/>
    <n v="1119505"/>
    <x v="0"/>
    <s v="Science: Chemistry; Science"/>
    <s v="9781118355015"/>
    <s v=",208,209,210,211,212,213,214,215,216,173,174,172,171,170"/>
    <n v="14"/>
    <m/>
    <m/>
    <s v="No"/>
    <x v="0"/>
    <d v="2015-11-16T23:53:54"/>
    <n v="7"/>
    <s v="128.205.114.91"/>
    <s v="QD251.3 -- .S38 2013eb"/>
    <s v="547/.128"/>
    <d v="2013-01-28T00:00:00"/>
  </r>
  <r>
    <x v="3605"/>
    <d v="1899-12-30T00:27:53"/>
    <x v="975"/>
    <x v="0"/>
    <s v="Buffalo"/>
    <x v="73"/>
    <n v="1119505"/>
    <x v="0"/>
    <s v="Science: Chemistry; Science"/>
    <s v="9781118355015"/>
    <s v=",1,2,3,266,267,268,264,265,269,270"/>
    <n v="10"/>
    <m/>
    <m/>
    <s v="No"/>
    <x v="1"/>
    <m/>
    <m/>
    <s v="128.205.114.91"/>
    <s v="QD251.3 -- .S38 2013eb"/>
    <s v="547/.128"/>
    <d v="2013-01-28T00:00:00"/>
  </r>
  <r>
    <x v="3606"/>
    <d v="1899-12-30T00:10:25"/>
    <x v="807"/>
    <x v="0"/>
    <s v="Buffalo"/>
    <x v="73"/>
    <n v="1119505"/>
    <x v="0"/>
    <s v="Science: Chemistry; Science"/>
    <s v="9781118355015"/>
    <s v=",1,2,3,13,14,15,11,12,266,267,268,269,265,270,238,182,183,184,180,181,179,185,186,187,188,189,190,191,192,193,261,264,263,178,176,177,175,194,195,196,198,199,200,197,201,202,203,204,205,206,207"/>
    <n v="51"/>
    <m/>
    <m/>
    <s v="No"/>
    <x v="1"/>
    <m/>
    <m/>
    <s v="128.205.114.91"/>
    <s v="QD251.3 -- .S38 2013eb"/>
    <s v="547/.128"/>
    <d v="2013-01-28T00:00:00"/>
  </r>
  <r>
    <x v="3607"/>
    <d v="1899-12-30T00:00:10"/>
    <x v="13"/>
    <x v="0"/>
    <s v="Buffalo"/>
    <x v="508"/>
    <n v="1882107"/>
    <x v="3"/>
    <s v="History; Social Science"/>
    <s v="9780520961593"/>
    <s v=",43,45,44,41,42,75,76,77,73,74"/>
    <n v="10"/>
    <m/>
    <m/>
    <s v="No"/>
    <x v="2"/>
    <d v="2015-11-16T23:23:58"/>
    <n v="1"/>
    <s v="128.205.114.91"/>
    <s v="HX413.8.K68"/>
    <n v="952.03099999999995"/>
    <d v="2015-06-09T00:00:00"/>
  </r>
  <r>
    <x v="3608"/>
    <d v="1899-12-30T00:02:00"/>
    <x v="13"/>
    <x v="0"/>
    <s v="Buffalo"/>
    <x v="508"/>
    <n v="1882107"/>
    <x v="3"/>
    <s v="History; Social Science"/>
    <s v="9780520961593"/>
    <s v=",1,2,3,4,5,137,138,139,135,136,140,141,142,143,144,145,146,147,148,149,150,151,134"/>
    <n v="23"/>
    <m/>
    <m/>
    <s v="No"/>
    <x v="3"/>
    <m/>
    <m/>
    <s v="128.205.114.91"/>
    <s v="HX413.8.K68"/>
    <n v="952.03099999999995"/>
    <d v="2015-06-09T00:00:00"/>
  </r>
  <r>
    <x v="3609"/>
    <d v="1899-12-30T04:24:49"/>
    <x v="746"/>
    <x v="13"/>
    <s v="buffalostate"/>
    <x v="516"/>
    <n v="1840835"/>
    <x v="0"/>
    <s v="Business/Management; Economics"/>
    <s v="9781118950166"/>
    <s v=",170,171,172,173,174,175,176,177,178,179,180,181,186,187,188,184,185,189,190,191,192,193,194,183,191,192,193,194,195,201,202,203,199,200,204,205,206,218,219,220,216,217,221,222,223,224,225,226,227,228,229,230,231,232,233,234,235"/>
    <n v="53"/>
    <m/>
    <m/>
    <s v="No"/>
    <x v="0"/>
    <d v="2015-11-16T23:02:33"/>
    <n v="7"/>
    <s v="136.183.11.43"/>
    <s v="HD9969.S6 .R384 2014"/>
    <n v="338.10923789999998"/>
    <d v="2014-11-10T00:00:00"/>
  </r>
  <r>
    <x v="3610"/>
    <d v="1899-12-30T00:02:07"/>
    <x v="26"/>
    <x v="6"/>
    <s v="sjfc"/>
    <x v="950"/>
    <n v="4039126"/>
    <x v="0"/>
    <s v="Education"/>
    <s v="9781118837184"/>
    <s v=",27,1,28,29,25,26,2,2,3,1,4"/>
    <n v="9"/>
    <m/>
    <m/>
    <s v="No"/>
    <x v="3"/>
    <m/>
    <m/>
    <s v="149.69.254.57"/>
    <m/>
    <n v="371.14400000000001"/>
    <d v="2014-06-03T00:00:00"/>
  </r>
  <r>
    <x v="3611"/>
    <d v="1899-12-30T00:12:17"/>
    <x v="746"/>
    <x v="13"/>
    <s v="buffalostate"/>
    <x v="516"/>
    <n v="1840835"/>
    <x v="0"/>
    <s v="Business/Management; Economics"/>
    <s v="9781118950166"/>
    <s v=",1,2,3,4,5,6,7,8,9,10,11,140,141,142,138,139,137,136,143,146,149,150,151,155,156,158,159,160,161,162,163,164,165,166,167,168,169"/>
    <n v="37"/>
    <m/>
    <m/>
    <s v="No"/>
    <x v="1"/>
    <m/>
    <m/>
    <s v="136.183.11.43"/>
    <s v="HD9969.S6 .R384 2014"/>
    <n v="338.10923789999998"/>
    <d v="2014-11-10T00:00:00"/>
  </r>
  <r>
    <x v="3612"/>
    <d v="1899-12-30T03:23:35"/>
    <x v="13"/>
    <x v="0"/>
    <s v="Buffalo"/>
    <x v="656"/>
    <n v="1433263"/>
    <x v="3"/>
    <s v="History"/>
    <s v="9780520957145"/>
    <s v=",147,151,151,152,152,115,116,115,117,116,117,113,114,114,119,118,119,118,120,120,121,121,122,122,124,124,123,123,119,118,122,123,124,125,125,126,126,127,127,128,128,129,129,130,130,131,131,132,132,133,133,134,134,135,135,136,136,137,137,138,138,139,139,140,140,141,141,142,142,143,143,138,137,136,135,140,140,1,141,142,138,139,18,19,20,16,17,21,22,2,101,102,103,99,100,20,23,24,25,26,27,10,11,12,9,8,28,29,30,31,32,43,122,134,130,119,114,104,101,90,83,84,82,80,81,79,78,77,63,45,35,33,34,36,37,38,39,40,41,42,54,112,108,116,137,132,58,87,105,91,85,86,88,20,310,311,308,299,301,276,277,300,274,46,47,278,44,48,39,42,55,56,57,60,59,61,95,97,98,96,94,93,72,73,71,74,75,76,89,88,106,110,103,102,107,111,115,113,109,117,118,120,148,149,150,182,183,184,180,181,178,166,167,158,151,152,153,154,155,156,158,159,160,157,266,267,268,264,20,22,18,19,21"/>
    <n v="157"/>
    <m/>
    <m/>
    <s v="No"/>
    <x v="0"/>
    <d v="2015-11-16T22:18:53"/>
    <n v="7"/>
    <s v="128.205.114.91"/>
    <s v="DT264 -- .L35 2014eb"/>
    <n v="961.10400000000004"/>
    <d v="2013-09-27T00:00:00"/>
  </r>
  <r>
    <x v="3613"/>
    <d v="1899-12-30T00:10:01"/>
    <x v="13"/>
    <x v="0"/>
    <s v="Buffalo"/>
    <x v="656"/>
    <n v="1433263"/>
    <x v="3"/>
    <s v="History"/>
    <s v="9780520957145"/>
    <s v=",1,1,1,3,3,2,2,2,2,148,149,150,148,149,150,146,147,147,182,183,184,182,180,183,148,184,149,150,146,147,12,13,12,14,13,11,11,14,8,10,8,9,9,7,6,7,148,149,150,146"/>
    <n v="21"/>
    <m/>
    <m/>
    <s v="No"/>
    <x v="1"/>
    <m/>
    <m/>
    <s v="128.205.114.91"/>
    <s v="DT264 -- .L35 2014eb"/>
    <n v="961.10400000000004"/>
    <d v="2013-09-27T00:00:00"/>
  </r>
  <r>
    <x v="3614"/>
    <d v="1899-12-30T01:32:39"/>
    <x v="571"/>
    <x v="1"/>
    <s v="brockport"/>
    <x v="602"/>
    <n v="3038360"/>
    <x v="11"/>
    <s v="Law; Social Science"/>
    <s v="9780226043692"/>
    <s v=",73,12,13,14,10,11,15,16,17,18,19,68"/>
    <n v="12"/>
    <m/>
    <m/>
    <s v="No"/>
    <x v="2"/>
    <d v="2015-11-16T21:59:24"/>
    <n v="1"/>
    <s v="137.21.7.121"/>
    <s v="K5103 -- .R674 2013eb"/>
    <n v="364.601"/>
    <d v="2013-04-01T00:00:00"/>
  </r>
  <r>
    <x v="3615"/>
    <d v="1899-12-30T00:00:25"/>
    <x v="505"/>
    <x v="1"/>
    <s v="brockport"/>
    <x v="951"/>
    <n v="1834781"/>
    <x v="0"/>
    <s v="Social Science; Business/Management"/>
    <s v="9781118779675"/>
    <s v=",1,351,352,353,349,350,2,354,355"/>
    <n v="9"/>
    <m/>
    <m/>
    <s v="No"/>
    <x v="3"/>
    <m/>
    <m/>
    <s v="137.21.7.121"/>
    <s v="HV6691 -- .G44 2015eb"/>
    <s v="658.4/73"/>
    <d v="2014-11-05T00:00:00"/>
  </r>
  <r>
    <x v="3616"/>
    <d v="1899-12-30T00:10:56"/>
    <x v="571"/>
    <x v="1"/>
    <s v="brockport"/>
    <x v="602"/>
    <n v="3038360"/>
    <x v="11"/>
    <s v="Law; Social Science"/>
    <s v="9780226043692"/>
    <s v=",1,2,3,164,165,166,162,163,167,168,70,71,72,68,69"/>
    <n v="15"/>
    <m/>
    <m/>
    <s v="No"/>
    <x v="3"/>
    <m/>
    <m/>
    <s v="137.21.7.121"/>
    <s v="K5103 -- .R674 2013eb"/>
    <n v="364.601"/>
    <d v="2013-04-01T00:00:00"/>
  </r>
  <r>
    <x v="3617"/>
    <d v="1899-12-30T00:04:32"/>
    <x v="936"/>
    <x v="0"/>
    <s v="Buffalo"/>
    <x v="824"/>
    <n v="1120538"/>
    <x v="12"/>
    <s v="Science; Science: Zoology"/>
    <s v="9781469608082"/>
    <s v=",15,16,1,3,4,5,6,7,8,9"/>
    <n v="10"/>
    <m/>
    <m/>
    <s v="No"/>
    <x v="2"/>
    <d v="2015-11-16T21:48:26"/>
    <n v="1"/>
    <s v="128.205.114.91"/>
    <s v="QL737.C22 -- B43 2013eb"/>
    <n v="599.77309700000001"/>
    <d v="2013-05-23T00:00:00"/>
  </r>
  <r>
    <x v="3618"/>
    <d v="1899-12-30T00:05:26"/>
    <x v="936"/>
    <x v="0"/>
    <s v="Buffalo"/>
    <x v="824"/>
    <n v="1120538"/>
    <x v="12"/>
    <s v="Science; Science: Zoology"/>
    <s v="9781469608082"/>
    <s v=",1,20,21,22,18,19,23,17,2,3,3,1,4,5,2,2,3,1,4,12,13,14,10,11"/>
    <n v="17"/>
    <m/>
    <m/>
    <s v="No"/>
    <x v="3"/>
    <m/>
    <m/>
    <s v="128.205.114.91"/>
    <s v="QL737.C22 -- B43 2013eb"/>
    <n v="599.77309700000001"/>
    <d v="2013-05-23T00:00:00"/>
  </r>
  <r>
    <x v="3619"/>
    <d v="1899-12-30T01:45:10"/>
    <x v="586"/>
    <x v="7"/>
    <s v="oneonta"/>
    <x v="613"/>
    <n v="1935791"/>
    <x v="0"/>
    <s v="Business/Management; Economics"/>
    <s v="9781118909935"/>
    <s v=",64,72,73,74,70,71,75,76,77,78,79,62,63,64,60,61,65,66,67,81,82,83,79,80,84,85,86,87,97,98,99,95,100,101,102,103,96"/>
    <n v="35"/>
    <m/>
    <m/>
    <s v="No"/>
    <x v="0"/>
    <d v="2015-11-16T21:39:48"/>
    <n v="7"/>
    <s v="137.141.13.2"/>
    <s v="HC427.92 -- .C4782 2015eb"/>
    <n v="338.95100000000002"/>
    <d v="2014-12-22T00:00:00"/>
  </r>
  <r>
    <x v="3620"/>
    <d v="1899-12-30T00:03:06"/>
    <x v="13"/>
    <x v="0"/>
    <s v="Buffalo"/>
    <x v="508"/>
    <n v="1882107"/>
    <x v="3"/>
    <s v="History; Social Science"/>
    <s v="9780520961593"/>
    <s v=",1,2,3,4,5,6,7,8,9,130,131,132,128,133,129,134,267,268,269,265,266,148,149,150,146,147,145,144,151,150,152,153,154,155,156,157,158,156,153,28,23,3,4,8,2"/>
    <n v="38"/>
    <m/>
    <m/>
    <s v="No"/>
    <x v="3"/>
    <m/>
    <m/>
    <s v="128.205.114.91"/>
    <s v="HX413.8.K68"/>
    <n v="952.03099999999995"/>
    <d v="2015-06-09T00:00:00"/>
  </r>
  <r>
    <x v="3621"/>
    <d v="1899-12-30T00:14:46"/>
    <x v="586"/>
    <x v="7"/>
    <s v="oneonta"/>
    <x v="613"/>
    <n v="1935791"/>
    <x v="0"/>
    <s v="Business/Management; Economics"/>
    <s v="9781118909935"/>
    <s v=",1,2,3,61,62,63,59,60,58,57,64,59,64"/>
    <n v="11"/>
    <m/>
    <m/>
    <s v="No"/>
    <x v="1"/>
    <m/>
    <m/>
    <s v="137.141.13.2"/>
    <s v="HC427.92 -- .C4782 2015eb"/>
    <n v="338.95100000000002"/>
    <d v="2014-12-22T00:00:00"/>
  </r>
  <r>
    <x v="3622"/>
    <d v="1899-12-30T00:00:08"/>
    <x v="732"/>
    <x v="1"/>
    <s v="brockport"/>
    <x v="765"/>
    <n v="1895391"/>
    <x v="0"/>
    <s v="Business/Management"/>
    <s v="9781119090380"/>
    <s v=",169,168,167,5,6,8"/>
    <n v="6"/>
    <m/>
    <m/>
    <s v="No"/>
    <x v="0"/>
    <d v="2015-11-16T21:00:21"/>
    <n v="7"/>
    <s v="137.21.7.121"/>
    <s v="HD57.7 -- .B46 2015eb"/>
    <s v="658.4/092"/>
    <d v="2015-03-18T00:00:00"/>
  </r>
  <r>
    <x v="3623"/>
    <d v="1899-12-30T00:01:46"/>
    <x v="64"/>
    <x v="6"/>
    <s v="sjfc"/>
    <x v="189"/>
    <n v="1557279"/>
    <x v="0"/>
    <s v="Business/Management"/>
    <s v="9781118863664"/>
    <s v=",1,2,3,7,8,9,5,6,2,676,677,665,535,533,531,532"/>
    <n v="15"/>
    <m/>
    <m/>
    <s v="No"/>
    <x v="1"/>
    <m/>
    <m/>
    <s v="149.69.254.57"/>
    <s v="HF5661 -- .W384 2014eb"/>
    <n v="657.37800000000004"/>
    <d v="2013-11-07T00:00:00"/>
  </r>
  <r>
    <x v="3624"/>
    <d v="1899-12-30T00:06:30"/>
    <x v="732"/>
    <x v="1"/>
    <s v="brockport"/>
    <x v="765"/>
    <n v="1895391"/>
    <x v="0"/>
    <s v="Business/Management"/>
    <s v="9781119090380"/>
    <s v=",1,2,3,1,2,3,4,5,6,7,8,9,10,11,12,13,18,15,7,3,4"/>
    <n v="15"/>
    <m/>
    <m/>
    <s v="No"/>
    <x v="3"/>
    <m/>
    <m/>
    <s v="137.21.7.121"/>
    <s v="HD57.7 -- .B46 2015eb"/>
    <s v="658.4/092"/>
    <d v="2015-03-18T00:00:00"/>
  </r>
  <r>
    <x v="3625"/>
    <d v="1899-12-30T00:00:15"/>
    <x v="64"/>
    <x v="6"/>
    <s v="sjfc"/>
    <x v="318"/>
    <n v="1895286"/>
    <x v="0"/>
    <s v="Military Science"/>
    <s v="9781119038351"/>
    <s v=",1,2,3,4"/>
    <n v="4"/>
    <m/>
    <m/>
    <s v="No"/>
    <x v="1"/>
    <m/>
    <m/>
    <s v="149.69.254.57"/>
    <s v="U408.5"/>
    <n v="355.61"/>
    <d v="2015-05-07T00:00:00"/>
  </r>
  <r>
    <x v="3626"/>
    <d v="1899-12-30T00:00:43"/>
    <x v="64"/>
    <x v="6"/>
    <s v="sjfc"/>
    <x v="189"/>
    <n v="1557279"/>
    <x v="0"/>
    <s v="Business/Management"/>
    <s v="9781118863664"/>
    <s v=",1,2,3,4,15,16,17,13,14,18,2,19"/>
    <n v="11"/>
    <m/>
    <m/>
    <s v="No"/>
    <x v="1"/>
    <m/>
    <m/>
    <s v="149.69.254.57"/>
    <s v="HF5661 -- .W384 2014eb"/>
    <n v="657.37800000000004"/>
    <d v="2013-11-07T00:00:00"/>
  </r>
  <r>
    <x v="3627"/>
    <d v="1899-12-30T00:01:59"/>
    <x v="26"/>
    <x v="6"/>
    <s v="sjfc"/>
    <x v="70"/>
    <n v="1222131"/>
    <x v="0"/>
    <s v="Business/Management"/>
    <s v="9781118760048"/>
    <s v=",1,2,3,244,245,246,242,243,247,248,1"/>
    <n v="10"/>
    <m/>
    <m/>
    <s v="No"/>
    <x v="1"/>
    <m/>
    <m/>
    <s v="149.69.254.57"/>
    <s v="HF5659 .W384 2013"/>
    <n v="657"/>
    <d v="2013-06-21T00:00:00"/>
  </r>
  <r>
    <x v="3628"/>
    <d v="1899-12-30T00:38:19"/>
    <x v="624"/>
    <x v="0"/>
    <s v="Buffalo"/>
    <x v="656"/>
    <n v="1433263"/>
    <x v="3"/>
    <s v="History"/>
    <s v="9780520957145"/>
    <s v=",1,1,2,3,2,3,78,79,78,80,79,80,76,77,77,2,81,81,82,82,83,83,115,116,115,116,114,113,114,117,117"/>
    <n v="16"/>
    <m/>
    <m/>
    <s v="No"/>
    <x v="0"/>
    <d v="2015-11-16T01:18:13"/>
    <n v="7"/>
    <s v="128.205.114.91"/>
    <s v="DT264 -- .L35 2014eb"/>
    <n v="961.10400000000004"/>
    <d v="2013-09-27T00:00:00"/>
  </r>
  <r>
    <x v="3629"/>
    <d v="1899-12-30T00:04:06"/>
    <x v="982"/>
    <x v="7"/>
    <s v="oneonta"/>
    <x v="952"/>
    <n v="1158333"/>
    <x v="11"/>
    <s v="Philosophy"/>
    <s v="9780226924557"/>
    <s v=",19,20,21"/>
    <n v="3"/>
    <m/>
    <m/>
    <s v="No"/>
    <x v="2"/>
    <d v="2015-11-16T20:26:28"/>
    <n v="1"/>
    <s v="137.141.13.2"/>
    <s v="B2430"/>
    <n v="194"/>
    <d v="2013-04-11T00:00:00"/>
  </r>
  <r>
    <x v="3630"/>
    <d v="1899-12-30T00:05:16"/>
    <x v="982"/>
    <x v="7"/>
    <s v="oneonta"/>
    <x v="952"/>
    <n v="1158333"/>
    <x v="11"/>
    <s v="Philosophy"/>
    <s v="9780226924557"/>
    <s v=",1,2,3,4,5,6,7,8,9,10,11,12,13,16,17,18,14,15"/>
    <n v="18"/>
    <m/>
    <m/>
    <s v="No"/>
    <x v="3"/>
    <m/>
    <m/>
    <s v="137.141.13.2"/>
    <s v="B2430"/>
    <n v="194"/>
    <d v="2013-04-11T00:00:00"/>
  </r>
  <r>
    <x v="3631"/>
    <d v="1899-12-30T01:21:48"/>
    <x v="709"/>
    <x v="13"/>
    <s v="buffalostate"/>
    <x v="516"/>
    <n v="1840835"/>
    <x v="0"/>
    <s v="Business/Management; Economics"/>
    <s v="9781118950166"/>
    <s v=",218,220,218,220,217,216,217,219,219,204,204,205,206,205,206,202,203,203,231,232,231,233,233,232,229,230,230,204,205,206,202,203,218,219,220,216,217,187,188,187,189,188,189,185,186,186,210,210,211,211,212,208,212,209,209,213,213,214,214,187,188,189,185,186,231,232,233,229,230,9,10,9,10,11,11,7,340,341,340,341,342,204,342,205,206,202,203,233,234,234,235,231,232,235,218,219,220,216,217,221,221,222,222,223,223,224,224,225,225,226,226,187,188,189,185,186,184,183,182,181,186,187,188,190,191,190,192,189,191,192,187,186,185,190,191,186,185,184,183,182,181,180,179,178,177,176,181,182,183,184,185,186,187,188,189,190,191,186,185,184,189,204,205,206,202,203,301,302,301,302,303,303,299,300,300,192,193,193,190,194,191,194,197,198,197,199,198,199,195,196,196,302,303,304,300,304,301,219,220,221,217,218,214,215,216,215,212,213,211,216,217,229,230,231,227,228,228,232,233,228,227,226,225,231,232,233,230,234,229,227,228,232,233,234,235,236,236,231,230,229,228,227,232,233,234,235,273,274,273,275,274,275,271,272,272,270,269,267,268,266,264,265,262,263,263,260,261,259,263,258,256,257,255,254,253,251,252,250,249,248,187,188,189,185,186,184,183,182,181,180,179,178,177,176,181,182,183,184,185,186,187,188,189,190,191,192,193,194,195,196,197,198,199,200,201,200,202,201,203,204,205,206,207,208,207,209,210,211,212,213,214,215,216,217,218,219,220,221,222,223,224,225,226,227,228,229,230,231,232,233,234,235,236,231,230,235"/>
    <n v="102"/>
    <m/>
    <m/>
    <s v="No"/>
    <x v="0"/>
    <d v="2015-11-16T20:05:34"/>
    <n v="7"/>
    <s v="136.183.11.43"/>
    <s v="HD9969.S6 .R384 2014"/>
    <n v="338.10923789999998"/>
    <d v="2014-11-10T00:00:00"/>
  </r>
  <r>
    <x v="3632"/>
    <d v="1899-12-30T00:11:57"/>
    <x v="709"/>
    <x v="13"/>
    <s v="buffalostate"/>
    <x v="516"/>
    <n v="1840835"/>
    <x v="0"/>
    <s v="Business/Management; Economics"/>
    <s v="9781118950166"/>
    <s v=",1,2,1,2,3,3,2,2,174,174,176,176,172,175,173,175,173,171,170,169,168,167,165,166,164,163,168,169,170,171,172,173,174,175,176,177,177,178,178,179,179,180,180,175,174,172,173,182,183,182,184,180,183,181,184,181,155,156,155,156,157,153,157,154,154,158,158,153,174,175,176,172,173,182,183,184,180,181,155,156,157,153,154"/>
    <n v="31"/>
    <m/>
    <m/>
    <s v="No"/>
    <x v="1"/>
    <m/>
    <m/>
    <s v="136.183.11.43"/>
    <s v="HD9969.S6 .R384 2014"/>
    <n v="338.10923789999998"/>
    <d v="2014-11-10T00:00:00"/>
  </r>
  <r>
    <x v="3633"/>
    <d v="1899-12-30T01:52:18"/>
    <x v="756"/>
    <x v="1"/>
    <s v="brockport"/>
    <x v="151"/>
    <n v="968030"/>
    <x v="0"/>
    <s v="Psychology"/>
    <s v="9781118285138"/>
    <s v=",537,538,535,539,536,540,541,542,543,544,545,546,547,548,517,516,518,514,515,537,538,539,535,536,540,541,542,543,544,545,546,541,547,547,551,552,541"/>
    <n v="21"/>
    <m/>
    <m/>
    <s v="No"/>
    <x v="0"/>
    <d v="2015-11-16T19:50:51"/>
    <n v="7"/>
    <s v="137.21.7.121"/>
    <s v="BF637.C6 -- S85 2013eb"/>
    <n v="158.30000000000001"/>
    <d v="2012-07-10T00:00:00"/>
  </r>
  <r>
    <x v="3634"/>
    <d v="1899-12-30T00:03:00"/>
    <x v="765"/>
    <x v="1"/>
    <s v="brockport"/>
    <x v="953"/>
    <n v="1776083"/>
    <x v="0"/>
    <s v="Medicine"/>
    <s v="9781118510278"/>
    <s v=",67,66,65,39,41,40,37,38,36,35,3,5,4,6,7,8"/>
    <n v="16"/>
    <m/>
    <m/>
    <s v="No"/>
    <x v="2"/>
    <d v="2015-11-16T19:33:04"/>
    <n v="1"/>
    <s v="137.21.7.121"/>
    <s v="RC489.C63 -- .S63 2014eb"/>
    <s v="616.89/1425"/>
    <d v="2014-08-25T00:00:00"/>
  </r>
  <r>
    <x v="3635"/>
    <d v="1899-12-30T00:06:05"/>
    <x v="765"/>
    <x v="1"/>
    <s v="brockport"/>
    <x v="953"/>
    <n v="1776083"/>
    <x v="0"/>
    <s v="Medicine"/>
    <s v="9781118510278"/>
    <s v=",1,2,3,70,71,68,69,72"/>
    <n v="8"/>
    <m/>
    <m/>
    <s v="No"/>
    <x v="3"/>
    <m/>
    <m/>
    <s v="137.21.7.121"/>
    <s v="RC489.C63 -- .S63 2014eb"/>
    <s v="616.89/1425"/>
    <d v="2014-08-25T00:00:00"/>
  </r>
  <r>
    <x v="3636"/>
    <d v="1899-12-30T00:00:32"/>
    <x v="13"/>
    <x v="0"/>
    <s v="Buffalo"/>
    <x v="437"/>
    <n v="1767915"/>
    <x v="0"/>
    <s v="Social Science"/>
    <s v="9780730315148"/>
    <s v=",1,1,2,2,3,1,3,4,4,5,5,15,16,15,16,17,13,17,14,14,18,18,18,2,21,21,22,23,23,19,22,20,20,24,24"/>
    <n v="17"/>
    <m/>
    <m/>
    <s v="No"/>
    <x v="1"/>
    <m/>
    <m/>
    <s v="128.205.114.91"/>
    <s v="HM742 -- .C654 2015eb"/>
    <n v="302.23099999999999"/>
    <d v="2014-08-15T00:00:00"/>
  </r>
  <r>
    <x v="3637"/>
    <d v="1899-12-30T00:21:12"/>
    <x v="983"/>
    <x v="5"/>
    <s v="erie"/>
    <x v="954"/>
    <n v="1574821"/>
    <x v="2"/>
    <s v="Medicine"/>
    <s v="9781317839484"/>
    <s v=",1,2,3"/>
    <n v="3"/>
    <m/>
    <m/>
    <s v="Yes"/>
    <x v="2"/>
    <d v="2015-11-16T18:28:01"/>
    <n v="1"/>
    <s v="199.29.6.54"/>
    <s v="RC564.A285"/>
    <n v="616.86071000000004"/>
    <d v="2013-12-02T00:00:00"/>
  </r>
  <r>
    <x v="3638"/>
    <d v="1899-12-30T00:00:03"/>
    <x v="983"/>
    <x v="5"/>
    <s v="erie"/>
    <x v="954"/>
    <n v="1574821"/>
    <x v="2"/>
    <s v="Medicine"/>
    <s v="9781317839484"/>
    <s v=",1,2,3"/>
    <n v="3"/>
    <m/>
    <m/>
    <s v="No"/>
    <x v="2"/>
    <d v="2015-11-16T18:28:01"/>
    <n v="1"/>
    <s v="199.29.6.54"/>
    <s v="RC564.A285"/>
    <n v="616.86071000000004"/>
    <d v="2013-12-02T00:00:00"/>
  </r>
  <r>
    <x v="3639"/>
    <d v="1899-12-30T00:58:34"/>
    <x v="789"/>
    <x v="6"/>
    <s v="sjfc"/>
    <x v="68"/>
    <n v="1822529"/>
    <x v="0"/>
    <s v="Mathematics"/>
    <s v="9781118824344"/>
    <s v=",1,3,2,1,2,3,151,152,153,149,150,154,155,156,157,158,159,160,161,162,163,164,165,166,167,168,169"/>
    <n v="24"/>
    <m/>
    <m/>
    <s v="No"/>
    <x v="0"/>
    <d v="2015-11-15T20:04:50"/>
    <n v="7"/>
    <s v="149.69.254.57"/>
    <s v="QA297 -- .S59 2015eb"/>
    <n v="519.4"/>
    <d v="2014-10-20T00:00:00"/>
  </r>
  <r>
    <x v="3640"/>
    <d v="1899-12-30T00:00:22"/>
    <x v="984"/>
    <x v="3"/>
    <s v="canton"/>
    <x v="353"/>
    <n v="843674"/>
    <x v="0"/>
    <s v="Engineering: Construction; Engineering"/>
    <s v="9781118348444"/>
    <s v=",199,193,192"/>
    <n v="3"/>
    <m/>
    <s v="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"/>
    <s v="No"/>
    <x v="0"/>
    <d v="2015-11-16T18:48:55"/>
    <n v="7"/>
    <s v="137.37.33.33"/>
    <s v="TH435 -- .R76 2012eb"/>
    <n v="692.50972999999999"/>
    <d v="2012-02-21T00:00:00"/>
  </r>
  <r>
    <x v="3641"/>
    <d v="1899-12-30T00:00:28"/>
    <x v="705"/>
    <x v="13"/>
    <s v="buffalostate"/>
    <x v="516"/>
    <n v="1840835"/>
    <x v="0"/>
    <s v="Business/Management; Economics"/>
    <s v="9781118950166"/>
    <s v=",1,2,3,163,164,165,161,162,166,167,168"/>
    <n v="11"/>
    <m/>
    <m/>
    <s v="No"/>
    <x v="1"/>
    <m/>
    <m/>
    <s v="136.183.11.43"/>
    <s v="HD9969.S6 .R384 2014"/>
    <n v="338.10923789999998"/>
    <d v="2014-11-10T00:00:00"/>
  </r>
  <r>
    <x v="3642"/>
    <d v="1899-12-30T00:00:48"/>
    <x v="985"/>
    <x v="1"/>
    <s v="brockport"/>
    <x v="630"/>
    <n v="771049"/>
    <x v="18"/>
    <s v="Science: Physics; Science; Environmental Studies"/>
    <s v="9781608706648"/>
    <s v=",1,2,3,4,5,6,7,8,9,10,11,12"/>
    <n v="12"/>
    <m/>
    <m/>
    <s v="No"/>
    <x v="1"/>
    <m/>
    <m/>
    <s v="137.21.7.121"/>
    <s v="QC981.8"/>
    <n v="363.73874000000001"/>
    <d v="2012-01-01T00:00:00"/>
  </r>
  <r>
    <x v="3643"/>
    <d v="1899-12-30T00:02:54"/>
    <x v="984"/>
    <x v="3"/>
    <s v="canton"/>
    <x v="353"/>
    <n v="843674"/>
    <x v="0"/>
    <s v="Engineering: Construction; Engineering"/>
    <s v="9781118348444"/>
    <s v=",1,2,3,4,5,6,7,8,9,10,51,52,53,49,50,54,379,380,381,377,378,69,70,71,72,68,281,282,283,279,280,67,73,74,75,87,139,140,169,175,176,177,178,179,180,182,183,185,188,190,191,192,193,194,195,196,197,199,200,198"/>
    <n v="60"/>
    <m/>
    <m/>
    <s v="No"/>
    <x v="1"/>
    <m/>
    <m/>
    <s v="137.37.33.33"/>
    <s v="TH435 -- .R76 2012eb"/>
    <n v="692.50972999999999"/>
    <d v="2012-02-21T00:00:00"/>
  </r>
  <r>
    <x v="3644"/>
    <d v="1899-12-30T00:09:18"/>
    <x v="983"/>
    <x v="5"/>
    <s v="erie"/>
    <x v="954"/>
    <n v="1574821"/>
    <x v="2"/>
    <s v="Medicine"/>
    <s v="9781317839484"/>
    <s v=",55,3,1,2,4,5,6,7,12,13,14,10,11,15,16,17,18,19,20,21,22,23,24,25,26,27,28,29,30,31,32,33,34,35,36,37,38,39,40,11,10"/>
    <n v="39"/>
    <m/>
    <s v=",38,39,40,41,42,43,44,45,46,47,48,49,50,51,52,53,54,55,56,5,12,13,14,15,16,17,18,19,20,21,22,23,24,25,26,27,28,29,30,31,32,33,34,35,36,37"/>
    <s v="No"/>
    <x v="2"/>
    <d v="2015-11-16T18:28:01"/>
    <n v="1"/>
    <s v="199.29.6.54"/>
    <s v="RC564.A285"/>
    <n v="616.86071000000004"/>
    <d v="2013-12-02T00:00:00"/>
  </r>
  <r>
    <x v="3645"/>
    <d v="1899-12-30T00:02:50"/>
    <x v="983"/>
    <x v="5"/>
    <s v="erie"/>
    <x v="954"/>
    <n v="1574821"/>
    <x v="2"/>
    <s v="Medicine"/>
    <s v="9781317839484"/>
    <s v=",1,2,3,4,5,6,7,8,9,10,11,12,13,14,15,2,16,18,47,210,3,1,4,5,6,7,27,38,39,40,36,37,41,42,43,44,45,46,48,49,50,51,52,53,54,55,56,57,58,38,39,40,36,56,57,58,54"/>
    <n v="42"/>
    <m/>
    <m/>
    <s v="No"/>
    <x v="3"/>
    <m/>
    <m/>
    <s v="199.29.6.54"/>
    <s v="RC564.A285"/>
    <n v="616.86071000000004"/>
    <d v="2013-12-02T00:00:00"/>
  </r>
  <r>
    <x v="3646"/>
    <d v="1899-12-30T01:30:57"/>
    <x v="756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3647"/>
    <d v="1899-12-30T00:07:31"/>
    <x v="981"/>
    <x v="7"/>
    <s v="oneonta"/>
    <x v="915"/>
    <n v="836174"/>
    <x v="6"/>
    <s v="History"/>
    <s v="9781438139685"/>
    <s v=",22,22,22,17,22,22,23,17"/>
    <n v="3"/>
    <m/>
    <m/>
    <s v="No"/>
    <x v="0"/>
    <d v="2015-11-16T18:14:07"/>
    <n v="7"/>
    <s v="137.141.13.2"/>
    <s v="DA950.7 .S67 2011"/>
    <n v="941.50810000000001"/>
    <d v="2011-11-01T00:00:00"/>
  </r>
  <r>
    <x v="3648"/>
    <d v="1899-12-30T01:46:58"/>
    <x v="986"/>
    <x v="0"/>
    <s v="Buffalo"/>
    <x v="73"/>
    <n v="1119505"/>
    <x v="0"/>
    <s v="Science: Chemistry; Science"/>
    <s v="9781118355015"/>
    <s v=",1,2,3,266,267,268,264,265,269,263,422,423,1,422,424,420,423,421,424,420,421,2,282,283,284,269,270,240,241,242,238,239,243,244,245,255,256,257,253,254,258,259,260,178,179,180,176,177,181,142,143,144,140,141,145,146,147,148,149,150,151,152,153,236,237,234,235,107,108,109,105,106,110,111,112,113,232,233,230,231,246,247,248,249,250,198,199,200,197,196,227,228,229,225,222,223,226,224,251,252,261,262,297,298,299,295,296,300,301"/>
    <n v="101"/>
    <m/>
    <s v=",267,268,422"/>
    <s v="No"/>
    <x v="0"/>
    <d v="2015-11-15T20:59:21"/>
    <n v="7"/>
    <s v="128.205.114.91"/>
    <s v="QD251.3 -- .S38 2013eb"/>
    <s v="547/.128"/>
    <d v="2013-01-28T00:00:00"/>
  </r>
  <r>
    <x v="3649"/>
    <d v="1899-12-30T00:20:16"/>
    <x v="13"/>
    <x v="0"/>
    <s v="Buffalo"/>
    <x v="73"/>
    <n v="1119505"/>
    <x v="0"/>
    <s v="Science: Chemistry; Science"/>
    <s v="9781118355015"/>
    <s v=",1,2,3,197,198,199,195,196,200,201,84,85,86,82,83,87,88,89,90,91,200,196,197,201,202,203,204,205,206,207,208"/>
    <n v="27"/>
    <m/>
    <m/>
    <s v="No"/>
    <x v="0"/>
    <d v="2015-11-14T16:15:40"/>
    <n v="7"/>
    <s v="128.205.114.91"/>
    <s v="QD251.3 -- .S38 2013eb"/>
    <s v="547/.128"/>
    <d v="2013-01-28T00:00:00"/>
  </r>
  <r>
    <x v="3650"/>
    <d v="1899-12-30T00:24:20"/>
    <x v="981"/>
    <x v="7"/>
    <s v="oneonta"/>
    <x v="915"/>
    <n v="836174"/>
    <x v="6"/>
    <s v="History"/>
    <s v="9781438139685"/>
    <s v=",1,2,3,19,20,21,17,18,22"/>
    <n v="9"/>
    <m/>
    <m/>
    <s v="No"/>
    <x v="1"/>
    <m/>
    <m/>
    <s v="137.141.13.2"/>
    <s v="DA950.7 .S67 2011"/>
    <n v="941.50810000000001"/>
    <d v="2011-11-01T00:00:00"/>
  </r>
  <r>
    <x v="3651"/>
    <d v="1899-12-30T00:00:33"/>
    <x v="987"/>
    <x v="16"/>
    <s v="monroecc"/>
    <x v="955"/>
    <n v="1896024"/>
    <x v="0"/>
    <s v="Education"/>
    <s v="9781119061496"/>
    <s v=",1,2,3,5,6,7,8,4"/>
    <n v="8"/>
    <m/>
    <m/>
    <s v="No"/>
    <x v="3"/>
    <m/>
    <m/>
    <s v="150.160.200.114"/>
    <s v="LB2326.3 -- .E543 2015eb"/>
    <n v="378.00720000000001"/>
    <d v="2015-03-11T00:00:00"/>
  </r>
  <r>
    <x v="3652"/>
    <d v="1899-12-30T00:00:40"/>
    <x v="986"/>
    <x v="0"/>
    <s v="Buffalo"/>
    <x v="73"/>
    <n v="1119505"/>
    <x v="0"/>
    <s v="Science: Chemistry; Science"/>
    <s v="9781118355015"/>
    <s v=",1,2,3,266,267,268,264,269,265,267"/>
    <n v="9"/>
    <m/>
    <m/>
    <s v="No"/>
    <x v="0"/>
    <d v="2015-11-15T20:59:21"/>
    <n v="7"/>
    <s v="128.205.114.91"/>
    <s v="QD251.3 -- .S38 2013eb"/>
    <s v="547/.128"/>
    <d v="2013-01-28T00:00:00"/>
  </r>
  <r>
    <x v="3653"/>
    <d v="1899-12-30T00:10:59"/>
    <x v="988"/>
    <x v="16"/>
    <s v="monroecc"/>
    <x v="956"/>
    <n v="1969391"/>
    <x v="1"/>
    <s v="Social Science"/>
    <s v="9781409442608"/>
    <s v=",34,35,36,32,33,38,27,28,25,26,34,35,36,33,37,38,33,32,31,30,29,27,28,26,25,24,23,22,21,20,19,24,25"/>
    <n v="20"/>
    <m/>
    <m/>
    <s v="No"/>
    <x v="2"/>
    <d v="2015-11-16T17:08:39"/>
    <n v="1"/>
    <s v="150.160.200.114"/>
    <s v="HT352.U6 -- .N493 2015eb"/>
    <n v="307.76097299999998"/>
    <d v="2015-03-28T00:00:00"/>
  </r>
  <r>
    <x v="3654"/>
    <d v="1899-12-30T00:07:08"/>
    <x v="988"/>
    <x v="16"/>
    <s v="monroecc"/>
    <x v="956"/>
    <n v="1969391"/>
    <x v="1"/>
    <s v="Social Science"/>
    <s v="9781409442608"/>
    <s v=",1,3,2,36,37,38,34,35,306,307,308,304,305,309,310,6,7,8,4,5,9,10,11,12,13,14,15,16,17,18,19,20,21,22,23,24,25,18,1,3"/>
    <n v="37"/>
    <m/>
    <m/>
    <s v="No"/>
    <x v="3"/>
    <m/>
    <m/>
    <s v="150.160.200.114"/>
    <s v="HT352.U6 -- .N493 2015eb"/>
    <n v="307.76097299999998"/>
    <d v="2015-03-28T00:00:00"/>
  </r>
  <r>
    <x v="3655"/>
    <d v="1899-12-30T00:08:38"/>
    <x v="989"/>
    <x v="1"/>
    <s v="brockport"/>
    <x v="519"/>
    <n v="822662"/>
    <x v="0"/>
    <s v="History"/>
    <s v="9781444355130"/>
    <s v=",1,2,3,48,49,50,46,47,271,272,273,269,274,270,296,297,298,295,299,340,341,342,338,339,323,324,325,321,326,322,320,319,317,318,316,315,314,313,312,311,310,309,314,315,316"/>
    <n v="42"/>
    <m/>
    <m/>
    <s v="No"/>
    <x v="1"/>
    <m/>
    <m/>
    <s v="137.21.7.121"/>
    <s v="DT20 -- .R45 2012eb"/>
    <n v="960.3"/>
    <d v="2011-11-11T00:00:00"/>
  </r>
  <r>
    <x v="3656"/>
    <d v="1899-12-30T02:09:04"/>
    <x v="990"/>
    <x v="0"/>
    <s v="Buffalo"/>
    <x v="656"/>
    <n v="1433263"/>
    <x v="3"/>
    <s v="History"/>
    <s v="9780520957145"/>
    <s v="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1,122,123,1,123,124,125,121,122,120,119,118,117,2,126,127,128,129,130,131,132,133,134,135,136,137,138,138,1,139,140,136,137,141,2,142,143,144,145,146,147,148,149,150,151,152,153,154,155,156,157,158,159,160,161,162,163,164,165,166,167,168,169,171,172,173,182,183,184,180,181,179,178,176,177,185,186,187,188,189,190,191,192,193,194,195,196,197,198,196"/>
    <n v="174"/>
    <m/>
    <m/>
    <s v="No"/>
    <x v="0"/>
    <d v="2015-11-16T16:44:17"/>
    <n v="7"/>
    <s v="128.205.114.91"/>
    <s v="DT264 -- .L35 2014eb"/>
    <n v="961.10400000000004"/>
    <d v="2013-09-27T00:00:00"/>
  </r>
  <r>
    <x v="3657"/>
    <d v="1899-12-30T00:11:34"/>
    <x v="990"/>
    <x v="0"/>
    <s v="Buffalo"/>
    <x v="656"/>
    <n v="1433263"/>
    <x v="3"/>
    <s v="History"/>
    <s v="9780520957145"/>
    <s v=",1,2,3,1,2,3,4,5,6,7,8,9,10,11,12,13,14,15,16,17,18,19,20,21,22,23"/>
    <n v="23"/>
    <m/>
    <m/>
    <s v="No"/>
    <x v="1"/>
    <m/>
    <m/>
    <s v="128.205.114.91"/>
    <s v="DT264 -- .L35 2014eb"/>
    <n v="961.10400000000004"/>
    <d v="2013-09-27T00:00:00"/>
  </r>
  <r>
    <x v="3658"/>
    <d v="1899-12-30T00:59:00"/>
    <x v="13"/>
    <x v="0"/>
    <s v="Buffalo"/>
    <x v="73"/>
    <n v="1119505"/>
    <x v="0"/>
    <s v="Science: Chemistry; Science"/>
    <s v="9781118355015"/>
    <s v=",1,2,3,262,263,264,265,261,266,267,268,269,2,262,261,260,259,258,268,269,227,228,229,225,226,230,231,232,233,223,224,222,191,192,193,189,190,194,187,188,186,185,184,178,179,180,176,181,177,270,271,262,261,260,258,259,227,228,229,225,226,230,224,223,222,221,220,219,218,217,215,216,220,270,217,215,216,220,221,232,233,234,230,231,235,236,237,238,239,240,241,242,243,244,245,246,247,248,249,250,251,252,253,254,255,256,257,258,259,260,261,262,263,264,265,266,267,268,269,270"/>
    <n v="77"/>
    <m/>
    <m/>
    <s v="No"/>
    <x v="0"/>
    <d v="2015-11-14T16:15:40"/>
    <n v="7"/>
    <s v="128.205.114.91"/>
    <s v="QD251.3 -- .S38 2013eb"/>
    <s v="547/.128"/>
    <d v="2013-01-28T00:00:00"/>
  </r>
  <r>
    <x v="3659"/>
    <d v="1899-12-30T00:01:09"/>
    <x v="117"/>
    <x v="4"/>
    <s v="monroe2boces"/>
    <x v="118"/>
    <n v="1809742"/>
    <x v="0"/>
    <s v="Sport &amp; Recreation"/>
    <s v="9781118968291"/>
    <s v=",1,3,2,48,49,50,51,46,45,47,43,44,40,41"/>
    <n v="14"/>
    <m/>
    <m/>
    <s v="No"/>
    <x v="0"/>
    <d v="2015-11-16T15:51:28"/>
    <n v="7"/>
    <s v="216.226.127.171"/>
    <s v="GV1469.35.M535 -- .S739 2015eb"/>
    <n v="794.8"/>
    <d v="2014-09-29T00:00:00"/>
  </r>
  <r>
    <x v="3660"/>
    <d v="1899-12-30T00:00:42"/>
    <x v="117"/>
    <x v="4"/>
    <s v="monroe2boces"/>
    <x v="118"/>
    <n v="1809742"/>
    <x v="0"/>
    <s v="Sport &amp; Recreation"/>
    <s v="9781118968291"/>
    <s v=",1,2,3,39,37,42,38,36,35,33,34,32,2,31,30,29,27,28"/>
    <n v="17"/>
    <m/>
    <m/>
    <s v="No"/>
    <x v="0"/>
    <d v="2015-11-16T15:51:28"/>
    <n v="7"/>
    <s v="216.226.127.171"/>
    <s v="GV1469.35.M535 -- .S739 2015eb"/>
    <n v="794.8"/>
    <d v="2014-09-29T00:00:00"/>
  </r>
  <r>
    <x v="3661"/>
    <d v="1899-12-30T00:00:00"/>
    <x v="991"/>
    <x v="0"/>
    <s v="Buffalo"/>
    <x v="957"/>
    <n v="1168529"/>
    <x v="0"/>
    <s v="Mathematics"/>
    <s v="9781118710944"/>
    <m/>
    <n v="0"/>
    <m/>
    <m/>
    <s v="Yes"/>
    <x v="0"/>
    <d v="2015-11-15T02:35:58"/>
    <n v="7"/>
    <s v="128.205.114.91"/>
    <s v="QA278 .A353 2013"/>
    <s v="519.5; 519.535"/>
    <d v="2013-04-08T00:00:00"/>
  </r>
  <r>
    <x v="3662"/>
    <d v="1899-12-30T00:00:03"/>
    <x v="991"/>
    <x v="0"/>
    <s v="Buffalo"/>
    <x v="957"/>
    <n v="1168529"/>
    <x v="0"/>
    <s v="Mathematics"/>
    <s v="9781118710944"/>
    <s v=",1,2,3"/>
    <n v="3"/>
    <m/>
    <m/>
    <s v="No"/>
    <x v="0"/>
    <d v="2015-11-15T02:35:58"/>
    <n v="7"/>
    <s v="128.205.114.91"/>
    <s v="QA278 .A353 2013"/>
    <s v="519.5; 519.535"/>
    <d v="2013-04-08T00:00:00"/>
  </r>
  <r>
    <x v="3663"/>
    <d v="1899-12-30T00:08:06"/>
    <x v="747"/>
    <x v="9"/>
    <s v="trocaire"/>
    <x v="783"/>
    <n v="1693780"/>
    <x v="0"/>
    <s v="Social Science; Health"/>
    <s v="9781118869420"/>
    <s v=",45,46,47,48"/>
    <n v="4"/>
    <m/>
    <m/>
    <s v="No"/>
    <x v="0"/>
    <d v="2015-11-16T16:14:11"/>
    <n v="7"/>
    <s v="173.225.62.67"/>
    <s v="RA407.3 -- .Y34 2014eb"/>
    <n v="362.10973000000001"/>
    <d v="2014-05-20T00:00:00"/>
  </r>
  <r>
    <x v="3664"/>
    <d v="1899-12-30T00:10:13"/>
    <x v="747"/>
    <x v="9"/>
    <s v="trocaire"/>
    <x v="783"/>
    <n v="1693780"/>
    <x v="0"/>
    <s v="Social Science; Health"/>
    <s v="9781118869420"/>
    <s v=",1,3,2,4,5,6,7,8,9,10,11,13,14,15,12,16,17,18,19,20,21,22,42,43,44,40,41"/>
    <n v="27"/>
    <m/>
    <m/>
    <s v="No"/>
    <x v="3"/>
    <m/>
    <m/>
    <s v="173.225.62.67"/>
    <s v="RA407.3 -- .Y34 2014eb"/>
    <n v="362.10973000000001"/>
    <d v="2014-05-20T00:00:00"/>
  </r>
  <r>
    <x v="3665"/>
    <d v="1899-12-30T00:00:24"/>
    <x v="117"/>
    <x v="4"/>
    <s v="monroe2boces"/>
    <x v="118"/>
    <n v="1809742"/>
    <x v="0"/>
    <s v="Sport &amp; Recreation"/>
    <s v="9781118968291"/>
    <s v=",83,81,86,92,93,94,90,91"/>
    <n v="8"/>
    <m/>
    <m/>
    <s v="No"/>
    <x v="0"/>
    <d v="2015-11-16T15:51:28"/>
    <n v="7"/>
    <s v="216.226.127.171"/>
    <s v="GV1469.35.M535 -- .S739 2015eb"/>
    <n v="794.8"/>
    <d v="2014-09-29T00:00:00"/>
  </r>
  <r>
    <x v="3666"/>
    <d v="1899-12-30T00:02:59"/>
    <x v="117"/>
    <x v="4"/>
    <s v="monroe2boces"/>
    <x v="118"/>
    <n v="1809742"/>
    <x v="0"/>
    <s v="Sport &amp; Recreation"/>
    <s v="9781118968291"/>
    <s v=",1,2,3,69,70,71,67,68"/>
    <n v="8"/>
    <m/>
    <m/>
    <s v="No"/>
    <x v="1"/>
    <m/>
    <m/>
    <s v="216.226.127.171"/>
    <s v="GV1469.35.M535 -- .S739 2015eb"/>
    <n v="794.8"/>
    <d v="2014-09-29T00:00:00"/>
  </r>
  <r>
    <x v="3667"/>
    <d v="1899-12-30T00:02:27"/>
    <x v="117"/>
    <x v="4"/>
    <s v="monroe2boces"/>
    <x v="118"/>
    <n v="1809742"/>
    <x v="0"/>
    <s v="Sport &amp; Recreation"/>
    <s v="9781118968291"/>
    <s v=",1,2,1,3,2,3,4,4,2,2,25,26,25,26,22,23,23,21,26,21,26,21"/>
    <n v="9"/>
    <m/>
    <m/>
    <s v="No"/>
    <x v="1"/>
    <m/>
    <m/>
    <s v="216.226.127.171"/>
    <s v="GV1469.35.M535 -- .S739 2015eb"/>
    <n v="794.8"/>
    <d v="2014-09-29T00:00:00"/>
  </r>
  <r>
    <x v="3668"/>
    <d v="1899-12-30T00:28:41"/>
    <x v="26"/>
    <x v="6"/>
    <s v="sjfc"/>
    <x v="345"/>
    <n v="1119449"/>
    <x v="0"/>
    <s v="Psychology"/>
    <s v="9781118482230"/>
    <s v=",135,136,136,137,137,138,138,139,139,140,140,141,141,142,142,143,143,144,144,145,145,146,146,147,147,148,148,149,149,150,150,151,151,152,152,153,153,154,155,154,155,156,156,157,157,158,158,159,159,160,160,161,161,162,162,163,163,164,164,165,165,166,166,167,167,168,168,169,169,170,170,171,171,172,172,173,173,174,174,170,175,175,169,174,175,176,176,177,177,178,178,179,179,180,180,181,181,182,182,183,183,184,184,185,185,186,186,187,187,188,188,189,189,190,190,191,191,192,192,193,193,194,194,195,195,196,196,197,197,198,198,193"/>
    <n v="64"/>
    <m/>
    <m/>
    <s v="No"/>
    <x v="0"/>
    <d v="2015-11-16T15:17:33"/>
    <n v="7"/>
    <s v="149.69.254.57"/>
    <s v="BF576 .S737 2013"/>
    <s v="152.4; 152.4024378198"/>
    <d v="2013-01-28T00:00:00"/>
  </r>
  <r>
    <x v="3669"/>
    <d v="1899-12-30T00:10:03"/>
    <x v="992"/>
    <x v="12"/>
    <s v="potsdam"/>
    <x v="631"/>
    <n v="1798778"/>
    <x v="0"/>
    <s v="Medicine"/>
    <s v="9781118760741"/>
    <s v=",516,493,495,494,491,492,496,493,490,496,497,498,13,14,15,11,12,521,522,523,520,519,496,497,498,495,492,493,499,500,492,489,530,531,532,15,11,12"/>
    <n v="26"/>
    <s v=",513"/>
    <m/>
    <s v="No"/>
    <x v="0"/>
    <d v="2015-11-16T15:13:27"/>
    <n v="7"/>
    <s v="137.143.104.94"/>
    <s v="RC71.5 -- .D954 2015eb"/>
    <n v="616.07500000000005"/>
    <d v="2014-09-24T00:00:00"/>
  </r>
  <r>
    <x v="3670"/>
    <d v="1899-12-30T00:01:47"/>
    <x v="992"/>
    <x v="12"/>
    <s v="potsdam"/>
    <x v="631"/>
    <n v="1798778"/>
    <x v="0"/>
    <s v="Medicine"/>
    <s v="9781118760741"/>
    <s v=",1,2,3,532,534,533,530,531,529,513,514,515,511,512"/>
    <n v="14"/>
    <m/>
    <m/>
    <s v="No"/>
    <x v="1"/>
    <m/>
    <m/>
    <s v="137.143.104.94"/>
    <s v="RC71.5 -- .D954 2015eb"/>
    <n v="616.07500000000005"/>
    <d v="2014-09-24T00:00:00"/>
  </r>
  <r>
    <x v="3671"/>
    <d v="1899-12-30T00:10:15"/>
    <x v="26"/>
    <x v="6"/>
    <s v="sjfc"/>
    <x v="345"/>
    <n v="1119449"/>
    <x v="0"/>
    <s v="Psychology"/>
    <s v="9781118482230"/>
    <s v=",1,2,2,1,3,3,103,104,103,104,105,101,105,102,102,2,106,106,107,107,108,108,109,110,109,111,110,111,112,112,107,112,107,106,111,112,113,113,114,114,115,115,116,116,116,117,117,118,118,119,119,114,119,120,120,121,121,122,122,123,123,125,125,126,126,127,127,128,128,130,130,131,131,132,132,133,133,134,134,135,135,130"/>
    <n v="36"/>
    <m/>
    <m/>
    <s v="No"/>
    <x v="1"/>
    <m/>
    <m/>
    <s v="149.69.254.57"/>
    <s v="BF576 .S737 2013"/>
    <s v="152.4; 152.4024378198"/>
    <d v="2013-01-28T00:00:00"/>
  </r>
  <r>
    <x v="3672"/>
    <d v="1899-12-30T00:00:02"/>
    <x v="117"/>
    <x v="4"/>
    <s v="monroe2boces"/>
    <x v="118"/>
    <n v="1809742"/>
    <x v="0"/>
    <s v="Sport &amp; Recreation"/>
    <s v="9781118968291"/>
    <s v=",1,2,3"/>
    <n v="3"/>
    <m/>
    <m/>
    <s v="No"/>
    <x v="1"/>
    <m/>
    <m/>
    <s v="216.226.127.171"/>
    <s v="GV1469.35.M535 -- .S739 2015eb"/>
    <n v="794.8"/>
    <d v="2014-09-29T00:00:00"/>
  </r>
  <r>
    <x v="3673"/>
    <d v="1899-12-30T00:01:38"/>
    <x v="26"/>
    <x v="6"/>
    <s v="sjfc"/>
    <x v="401"/>
    <n v="1119450"/>
    <x v="0"/>
    <s v="Psychology"/>
    <s v="9781118483794"/>
    <s v=",93,94,94,95,95,96,96,97,97,98,98,99,99,21,21,23,22,23,22,19,20,20,24,24,25,26,26,27,25,27,28,28,29,29,30,30,31,31"/>
    <n v="20"/>
    <m/>
    <m/>
    <s v="No"/>
    <x v="2"/>
    <d v="2015-11-16T15:05:12"/>
    <n v="1"/>
    <s v="149.69.254.57"/>
    <s v="BF576 .S737 2013"/>
    <s v="152.4; 152.4024378198"/>
    <d v="2013-01-28T00:00:00"/>
  </r>
  <r>
    <x v="3674"/>
    <d v="1899-12-30T00:05:01"/>
    <x v="26"/>
    <x v="6"/>
    <s v="sjfc"/>
    <x v="401"/>
    <n v="1119450"/>
    <x v="0"/>
    <s v="Psychology"/>
    <s v="9781118483794"/>
    <s v=",1,2,2,3,1,3,89,89,91,91,87,88,88,2,77,77,75,76,76,80,80,80,75,80,81,81,82,82,83,83,84,84,85,85,86,86,87,88,89,90,91,90,92,92,93,93,88,87,92"/>
    <n v="20"/>
    <m/>
    <m/>
    <s v="No"/>
    <x v="3"/>
    <m/>
    <m/>
    <s v="149.69.254.57"/>
    <s v="BF576 .S737 2013"/>
    <s v="152.4; 152.4024378198"/>
    <d v="2013-01-28T00:00:00"/>
  </r>
  <r>
    <x v="3675"/>
    <d v="1899-12-30T00:03:29"/>
    <x v="26"/>
    <x v="6"/>
    <s v="sjfc"/>
    <x v="402"/>
    <n v="1119451"/>
    <x v="0"/>
    <s v="Psychology"/>
    <s v="9781118483893"/>
    <s v=",123,124,125,126,127,127,128,128,129,129,129,130,130,131,131,132,132,133,133,134,134,135,135,136,137,136,137,138,138,139,139,140,140,141,141,142,142,143,143,44,44,45,45,41,41,39,39,42,42,40,40,43,44,43,45,46,46,47,47"/>
    <n v="30"/>
    <m/>
    <m/>
    <s v="No"/>
    <x v="2"/>
    <d v="2015-11-16T14:55:54"/>
    <n v="1"/>
    <s v="149.69.254.57"/>
    <s v="BF576 .S737 2013"/>
    <s v="152.4; 152.4024378198"/>
    <d v="2013-01-28T00:00:00"/>
  </r>
  <r>
    <x v="3676"/>
    <d v="1899-12-30T00:05:03"/>
    <x v="26"/>
    <x v="6"/>
    <s v="sjfc"/>
    <x v="402"/>
    <n v="1119451"/>
    <x v="0"/>
    <s v="Psychology"/>
    <s v="9781118483893"/>
    <s v=",1,1,2,2,3,3,111,111,112,112,113,113,109,110,110,2,114,114,115,115,116,116,117,117,119,119,120,120,121,122,121,122,123,123,124,124,125,126,126,125,121,120,118,117,118,116,115,113,114,118,119,120,121,121,122"/>
    <n v="21"/>
    <m/>
    <m/>
    <s v="No"/>
    <x v="3"/>
    <m/>
    <m/>
    <s v="149.69.254.57"/>
    <s v="BF576 .S737 2013"/>
    <s v="152.4; 152.4024378198"/>
    <d v="2013-01-28T00:00:00"/>
  </r>
  <r>
    <x v="3677"/>
    <d v="1899-12-30T00:04:48"/>
    <x v="117"/>
    <x v="4"/>
    <s v="monroe2boces"/>
    <x v="118"/>
    <n v="1809742"/>
    <x v="0"/>
    <s v="Sport &amp; Recreation"/>
    <s v="9781118968291"/>
    <s v=",1,3,1,3,2,2,2,2,183,183,186,186,182,181,186,181,186,181,186,181,180,179,178,177,176,175,180"/>
    <n v="13"/>
    <m/>
    <m/>
    <s v="No"/>
    <x v="1"/>
    <m/>
    <m/>
    <s v="216.226.127.171"/>
    <s v="GV1469.35.M535 -- .S739 2015eb"/>
    <n v="794.8"/>
    <d v="2014-09-29T00:00:00"/>
  </r>
  <r>
    <x v="3678"/>
    <d v="1899-12-30T00:02:47"/>
    <x v="993"/>
    <x v="16"/>
    <s v="monroecc"/>
    <x v="955"/>
    <n v="1896024"/>
    <x v="0"/>
    <s v="Education"/>
    <s v="9781119061496"/>
    <s v=",1,2,3,35,36,37,33,34,6,7,8,4,5,11,12,13,9,7,8,4,5,9,10,11"/>
    <n v="18"/>
    <m/>
    <m/>
    <s v="No"/>
    <x v="3"/>
    <m/>
    <m/>
    <s v="150.160.200.114"/>
    <s v="LB2326.3 -- .E543 2015eb"/>
    <n v="378.00720000000001"/>
    <d v="2015-03-11T00:00:00"/>
  </r>
  <r>
    <x v="3679"/>
    <d v="1899-12-30T00:52:52"/>
    <x v="789"/>
    <x v="6"/>
    <s v="sjfc"/>
    <x v="68"/>
    <n v="1822529"/>
    <x v="0"/>
    <s v="Mathematics"/>
    <s v="9781118824344"/>
    <s v=",1,2,3,1,2,3,134,135,136,132,133,137,138,139,140,141,142,143,144,132,133,132,131,143,144,145,146,147,148,149,150,151,152,153"/>
    <n v="26"/>
    <m/>
    <m/>
    <s v="No"/>
    <x v="0"/>
    <d v="2015-11-15T20:04:50"/>
    <n v="7"/>
    <s v="149.69.254.57"/>
    <s v="QA297 -- .S59 2015eb"/>
    <n v="519.4"/>
    <d v="2014-10-20T00:00:00"/>
  </r>
  <r>
    <x v="3680"/>
    <d v="1899-12-30T03:29:21"/>
    <x v="624"/>
    <x v="0"/>
    <s v="Buffalo"/>
    <x v="656"/>
    <n v="1433263"/>
    <x v="3"/>
    <s v="History"/>
    <s v="9780520957145"/>
    <s v=",1,1,3,3,2,2,18,19,20,19,18,20,21,22,21,23,22,24,23,24,25,25,2,26,26,27,27,28,28,29,29,30,30,31,31,32,32,33,33,34,34,35,35,36,36,37,37,38,38,39,39,40,40,41,41,42,42,43,43,44,44,45,45,46,46,47,47,47,78,79,78,79,80,77,76,77,80,182,183,182,183,184,180,184,181,181,185,185,186,186,187,187,188,188,189,189,190,190,191,191,45,46,47,43,44,48,48,49,49,50,50,50,1,51,50,51,1,45,46,45,47,46,47,43,44,44,48,51,52,53,49,53,48,50,53,2,2,54,54,55,55,56,56"/>
    <n v="59"/>
    <m/>
    <m/>
    <s v="No"/>
    <x v="0"/>
    <d v="2015-11-16T01:18:13"/>
    <n v="7"/>
    <s v="128.205.114.91"/>
    <s v="DT264 -- .L35 2014eb"/>
    <n v="961.10400000000004"/>
    <d v="2013-09-27T00:00:00"/>
  </r>
  <r>
    <x v="3681"/>
    <d v="1899-12-30T00:06:57"/>
    <x v="994"/>
    <x v="0"/>
    <s v="Buffalo"/>
    <x v="223"/>
    <n v="1777859"/>
    <x v="4"/>
    <s v="Medicine"/>
    <s v="9781462515479"/>
    <s v=",114,115,116,117,396,409,410,407,408,406,405,404,403,401,402,114,115,116,112,170,162,163,57,58,117,118,119,120,113,112,120,121,122,123,124,125,126,127,128,129,130,131,132,133,134,135,136,137,138,139,140,141,142,143,93,94,95,91,92,96,97,98,99,100,101,102,103,285,286,287,283,288,284,289,290,291,292,293,294,295,296,297,298,299,300,301,302,303,304,305,306,307,308,309"/>
    <n v="88"/>
    <m/>
    <s v=",95,96,97,98,99,100,114,115,116,117,118,119,120,121,122,123,124,125,126,127,128,129,130,131,132,133,134,288,289,290,291,292,293,294,295,296,304,305,301,302"/>
    <s v="No"/>
    <x v="0"/>
    <d v="2015-11-16T13:49:33"/>
    <n v="7"/>
    <s v="128.205.114.91"/>
    <s v="RC489.B4 -- .R36 2015eb"/>
    <s v="616.89/142"/>
    <d v="2014-11-10T00:00:00"/>
  </r>
  <r>
    <x v="3682"/>
    <d v="1899-12-30T00:00:11"/>
    <x v="994"/>
    <x v="0"/>
    <s v="Buffalo"/>
    <x v="223"/>
    <n v="1777859"/>
    <x v="4"/>
    <s v="Medicine"/>
    <s v="9781462515479"/>
    <s v=",1,2,3,4"/>
    <n v="4"/>
    <m/>
    <m/>
    <s v="No"/>
    <x v="3"/>
    <m/>
    <m/>
    <s v="128.205.114.91"/>
    <s v="RC489.B4 -- .R36 2015eb"/>
    <s v="616.89/142"/>
    <d v="2014-11-10T00:00:00"/>
  </r>
  <r>
    <x v="3683"/>
    <d v="1899-12-30T00:11:27"/>
    <x v="995"/>
    <x v="0"/>
    <s v="Buffalo"/>
    <x v="223"/>
    <n v="1777859"/>
    <x v="4"/>
    <s v="Medicine"/>
    <s v="9781462515479"/>
    <s v=",285,286,287,283,284,288,289,290,291,292,293,294,295,93,94,95,91,92,96,97,98,99,100,101,102,103,104,105,106,107,108,109,110,111,112,113,114,115,116"/>
    <n v="39"/>
    <m/>
    <s v=",142,143,144,145,146,147,148,149,150,151,152,153,154,155,156,157,158,159,160,161,162,163,164,165,166,167,168,169,170,171,275,276,277,278,279,280,281,282,283,284"/>
    <s v="No"/>
    <x v="2"/>
    <d v="2015-11-16T13:34:30"/>
    <n v="1"/>
    <s v="128.205.114.91"/>
    <s v="RC489.B4 -- .R36 2015eb"/>
    <s v="616.89/142"/>
    <d v="2014-11-10T00:00:00"/>
  </r>
  <r>
    <x v="3684"/>
    <d v="1899-12-30T00:00:06"/>
    <x v="995"/>
    <x v="0"/>
    <s v="Buffalo"/>
    <x v="223"/>
    <n v="1777859"/>
    <x v="4"/>
    <s v="Medicine"/>
    <s v="9781462515479"/>
    <s v=",1,2,3"/>
    <n v="3"/>
    <m/>
    <m/>
    <s v="No"/>
    <x v="3"/>
    <m/>
    <m/>
    <s v="128.205.114.91"/>
    <s v="RC489.B4 -- .R36 2015eb"/>
    <s v="616.89/142"/>
    <d v="2014-11-10T00:00:00"/>
  </r>
  <r>
    <x v="3685"/>
    <d v="1899-12-30T02:52:37"/>
    <x v="996"/>
    <x v="0"/>
    <s v="Buffalo"/>
    <x v="656"/>
    <n v="1433263"/>
    <x v="3"/>
    <s v="History"/>
    <s v="9780520957145"/>
    <s v=",21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90,267,273,242,230,216,198,189,184,185,186,182,183,181,180"/>
    <n v="112"/>
    <m/>
    <m/>
    <s v="No"/>
    <x v="0"/>
    <d v="2015-11-16T13:33:47"/>
    <n v="7"/>
    <s v="128.205.114.91"/>
    <s v="DT264 -- .L35 2014eb"/>
    <n v="961.10400000000004"/>
    <d v="2013-09-27T00:00:00"/>
  </r>
  <r>
    <x v="3686"/>
    <d v="1899-12-30T00:01:13"/>
    <x v="940"/>
    <x v="0"/>
    <s v="Buffalo"/>
    <x v="223"/>
    <n v="1777859"/>
    <x v="4"/>
    <s v="Medicine"/>
    <s v="9781462515479"/>
    <s v=",1,2,3,142,143,144,145,141,146,147,148,149,150,151,152"/>
    <n v="15"/>
    <m/>
    <m/>
    <s v="No"/>
    <x v="2"/>
    <d v="2015-11-16T13:22:12"/>
    <n v="1"/>
    <s v="128.205.114.91"/>
    <s v="RC489.B4 -- .R36 2015eb"/>
    <s v="616.89/142"/>
    <d v="2014-11-10T00:00:00"/>
  </r>
  <r>
    <x v="3687"/>
    <d v="1899-12-30T00:00:11"/>
    <x v="997"/>
    <x v="13"/>
    <s v="buffalostate"/>
    <x v="220"/>
    <n v="979949"/>
    <x v="14"/>
    <s v="Literature"/>
    <s v="9780786493234"/>
    <s v=",1,2,3,4,5,6,7,8,9,10"/>
    <n v="10"/>
    <m/>
    <m/>
    <s v="No"/>
    <x v="1"/>
    <m/>
    <m/>
    <s v="136.183.11.43"/>
    <s v="PS3603.O4558 -- Z6845 2012eb"/>
    <s v="813/.6"/>
    <d v="2012-07-12T00:00:00"/>
  </r>
  <r>
    <x v="3688"/>
    <d v="1899-12-30T00:10:21"/>
    <x v="996"/>
    <x v="0"/>
    <s v="Buffalo"/>
    <x v="656"/>
    <n v="1433263"/>
    <x v="3"/>
    <s v="History"/>
    <s v="9780520957145"/>
    <s v=",1,2,3,4,5,6,7,8,9,10,11,12,13,14,15,16,17,18,19,20"/>
    <n v="20"/>
    <m/>
    <m/>
    <s v="No"/>
    <x v="1"/>
    <m/>
    <m/>
    <s v="128.205.114.91"/>
    <s v="DT264 -- .L35 2014eb"/>
    <n v="961.10400000000004"/>
    <d v="2013-09-27T00:00:00"/>
  </r>
  <r>
    <x v="3689"/>
    <d v="1899-12-30T00:08:27"/>
    <x v="940"/>
    <x v="0"/>
    <s v="Buffalo"/>
    <x v="223"/>
    <n v="1777859"/>
    <x v="4"/>
    <s v="Medicine"/>
    <s v="9781462515479"/>
    <s v=",17,19,17,275,275,275"/>
    <n v="3"/>
    <m/>
    <s v=",17,18,19,20,21,22,23,24,25,26,27,28,29,30,31,32,33,34,35,36,37,38,39,40,41,42,43,44,45,46,47,48,49,50,51,52"/>
    <s v="Yes"/>
    <x v="2"/>
    <d v="2015-11-16T13:22:12"/>
    <n v="1"/>
    <s v="128.205.114.91"/>
    <s v="RC489.B4 -- .R36 2015eb"/>
    <s v="616.89/142"/>
    <d v="2014-11-10T00:00:00"/>
  </r>
  <r>
    <x v="3690"/>
    <d v="1899-12-30T00:00:00"/>
    <x v="940"/>
    <x v="0"/>
    <s v="Buffalo"/>
    <x v="223"/>
    <n v="1777859"/>
    <x v="4"/>
    <s v="Medicine"/>
    <s v="9781462515479"/>
    <m/>
    <n v="0"/>
    <m/>
    <m/>
    <s v="No"/>
    <x v="2"/>
    <d v="2015-11-16T13:22:12"/>
    <n v="1"/>
    <s v="128.205.114.91"/>
    <s v="RC489.B4 -- .R36 2015eb"/>
    <s v="616.89/142"/>
    <d v="2014-11-10T00:00:00"/>
  </r>
  <r>
    <x v="3691"/>
    <d v="1899-12-30T00:00:20"/>
    <x v="940"/>
    <x v="0"/>
    <s v="Buffalo"/>
    <x v="223"/>
    <n v="1777859"/>
    <x v="4"/>
    <s v="Medicine"/>
    <s v="9781462515479"/>
    <s v=",1,2,3,1"/>
    <n v="3"/>
    <m/>
    <m/>
    <s v="No"/>
    <x v="3"/>
    <m/>
    <m/>
    <s v="128.205.114.91"/>
    <s v="RC489.B4 -- .R36 2015eb"/>
    <s v="616.89/142"/>
    <d v="2014-11-10T00:00:00"/>
  </r>
  <r>
    <x v="3692"/>
    <d v="1899-12-30T00:03:06"/>
    <x v="998"/>
    <x v="5"/>
    <s v="erie"/>
    <x v="625"/>
    <n v="836167"/>
    <x v="6"/>
    <s v="Science: Physics; Environmental Studies; Science"/>
    <s v="9781438139487"/>
    <s v=",1,49,50,51,47,2,47,1"/>
    <n v="6"/>
    <m/>
    <m/>
    <s v="No"/>
    <x v="1"/>
    <m/>
    <m/>
    <s v="199.29.6.54"/>
    <s v="QC981.8.G56 -- T66 2012eb"/>
    <s v="363.738/74"/>
    <d v="2011-11-01T00:00:00"/>
  </r>
  <r>
    <x v="3693"/>
    <d v="1899-12-30T00:00:27"/>
    <x v="998"/>
    <x v="5"/>
    <s v="erie"/>
    <x v="625"/>
    <n v="836167"/>
    <x v="6"/>
    <s v="Science: Physics; Environmental Studies; Science"/>
    <s v="9781438139487"/>
    <s v=",1,8,9,10,6,7,11,12,2,14"/>
    <n v="10"/>
    <m/>
    <m/>
    <s v="No"/>
    <x v="1"/>
    <m/>
    <m/>
    <s v="199.29.6.54"/>
    <s v="QC981.8.G56 -- T66 2012eb"/>
    <s v="363.738/74"/>
    <d v="2011-11-01T00:00:00"/>
  </r>
  <r>
    <x v="3694"/>
    <d v="1899-12-30T00:00:22"/>
    <x v="998"/>
    <x v="5"/>
    <s v="erie"/>
    <x v="625"/>
    <n v="836167"/>
    <x v="6"/>
    <s v="Science: Physics; Environmental Studies; Science"/>
    <s v="9781438139487"/>
    <s v=",1,8,9,10,6,7,11,12,13"/>
    <n v="9"/>
    <m/>
    <m/>
    <s v="No"/>
    <x v="1"/>
    <m/>
    <m/>
    <s v="199.29.6.54"/>
    <s v="QC981.8.G56 -- T66 2012eb"/>
    <s v="363.738/74"/>
    <d v="2011-11-01T00:00:00"/>
  </r>
  <r>
    <x v="3695"/>
    <d v="1899-12-30T00:01:14"/>
    <x v="999"/>
    <x v="7"/>
    <s v="oneonta"/>
    <x v="958"/>
    <n v="817384"/>
    <x v="0"/>
    <s v="Medicine; Pharmacy; Health"/>
    <s v="9781118160114"/>
    <s v=",1,2,3,4,217,218,219,216,215,220,221,222,223,224"/>
    <n v="14"/>
    <m/>
    <m/>
    <s v="No"/>
    <x v="0"/>
    <d v="2015-11-16T02:13:12"/>
    <n v="7"/>
    <s v="137.141.13.2"/>
    <s v="RM237.65 -- .C667 2012eb"/>
    <s v="613.2/82"/>
    <d v="2011-11-02T00:00:00"/>
  </r>
  <r>
    <x v="3696"/>
    <d v="1899-12-30T01:35:33"/>
    <x v="13"/>
    <x v="0"/>
    <s v="Buffalo"/>
    <x v="73"/>
    <n v="1119505"/>
    <x v="0"/>
    <s v="Science: Chemistry; Science"/>
    <s v="9781118355015"/>
    <s v=",1,2,3,251,253,252,249,250,254,255,256,257,258,259,260,261,262,263,264,265,266,267,268,269"/>
    <n v="24"/>
    <m/>
    <m/>
    <s v="No"/>
    <x v="0"/>
    <d v="2015-11-14T16:15:40"/>
    <n v="7"/>
    <s v="128.205.114.91"/>
    <s v="QD251.3 -- .S38 2013eb"/>
    <s v="547/.128"/>
    <d v="2013-01-28T00:00:00"/>
  </r>
  <r>
    <x v="3697"/>
    <d v="1899-12-30T00:00:34"/>
    <x v="1000"/>
    <x v="13"/>
    <s v="buffalostate"/>
    <x v="7"/>
    <n v="1711065"/>
    <x v="3"/>
    <s v="Political Science; Social Science"/>
    <s v="9780520959156"/>
    <s v=",1,2,3,4,5,6,7,8,9,10,11,13,12,14,15,16,17,18,19,20"/>
    <n v="20"/>
    <m/>
    <m/>
    <s v="No"/>
    <x v="1"/>
    <m/>
    <m/>
    <s v="136.183.11.43"/>
    <s v="JV6450 -- .P67 2014eb"/>
    <s v="304.8/73"/>
    <d v="2014-08-30T00:00:00"/>
  </r>
  <r>
    <x v="3698"/>
    <d v="1899-12-30T00:00:03"/>
    <x v="1001"/>
    <x v="13"/>
    <s v="buffalostate"/>
    <x v="517"/>
    <n v="1645679"/>
    <x v="1"/>
    <s v="Social Science; Medicine"/>
    <s v="9781472413079"/>
    <s v=",1,2,3"/>
    <n v="3"/>
    <m/>
    <m/>
    <s v="No"/>
    <x v="1"/>
    <m/>
    <m/>
    <s v="136.183.11.43"/>
    <s v="RC569.5.B65 -- K97 2014eb"/>
    <s v="306.4/613"/>
    <d v="2014-03-28T00:00:00"/>
  </r>
  <r>
    <x v="3699"/>
    <d v="1899-12-30T00:00:18"/>
    <x v="918"/>
    <x v="13"/>
    <s v="buffalostate"/>
    <x v="902"/>
    <n v="1572865"/>
    <x v="5"/>
    <s v="History; Social Science"/>
    <s v="9780814769331"/>
    <s v=",1,2,3,4,5,6,7,8,9,10,11,12,13,14"/>
    <n v="14"/>
    <m/>
    <m/>
    <s v="No"/>
    <x v="1"/>
    <m/>
    <m/>
    <s v="136.183.11.43"/>
    <s v="E184.A1 -- .R446 2014eb"/>
    <n v="305.800973"/>
    <d v="2014-01-20T00:00:00"/>
  </r>
  <r>
    <x v="3700"/>
    <d v="1899-12-30T00:03:26"/>
    <x v="13"/>
    <x v="0"/>
    <s v="Buffalo"/>
    <x v="702"/>
    <n v="1187185"/>
    <x v="0"/>
    <s v="Engineering; Engineering: Mining; Engineering: Environmental"/>
    <s v="9781118748183"/>
    <s v=",1,2,3,5,6,7,4,15,11,10,8,9"/>
    <n v="12"/>
    <m/>
    <m/>
    <s v="No"/>
    <x v="0"/>
    <d v="2015-11-15T22:13:48"/>
    <n v="7"/>
    <s v="128.205.114.91"/>
    <s v="TD195.G3 -- H65 2013eb"/>
    <n v="622.33799999999997"/>
    <d v="2013-05-06T00:00:00"/>
  </r>
  <r>
    <x v="3701"/>
    <d v="1899-12-30T00:05:33"/>
    <x v="1002"/>
    <x v="6"/>
    <s v="sjfc"/>
    <x v="959"/>
    <n v="1895917"/>
    <x v="0"/>
    <s v="Fine Arts"/>
    <s v="9781119014959"/>
    <s v=",17,16,15,14,13,12,11,10,1,2,3"/>
    <n v="11"/>
    <m/>
    <m/>
    <s v="No"/>
    <x v="0"/>
    <d v="2015-11-16T02:13:38"/>
    <n v="7"/>
    <s v="149.69.254.57"/>
    <s v="PN1995.9.A3 -- .T37 2015eb"/>
    <s v="791.43/6582"/>
    <d v="2015-03-24T00:00:00"/>
  </r>
  <r>
    <x v="3702"/>
    <d v="1899-12-30T00:00:13"/>
    <x v="999"/>
    <x v="7"/>
    <s v="oneonta"/>
    <x v="958"/>
    <n v="817384"/>
    <x v="0"/>
    <s v="Medicine; Pharmacy; Health"/>
    <s v="9781118160114"/>
    <s v=",254,255,256,257"/>
    <n v="4"/>
    <m/>
    <m/>
    <s v="No"/>
    <x v="0"/>
    <d v="2015-11-16T02:13:12"/>
    <n v="7"/>
    <s v="137.141.13.2"/>
    <s v="RM237.65 -- .C667 2012eb"/>
    <s v="613.2/82"/>
    <d v="2011-11-02T00:00:00"/>
  </r>
  <r>
    <x v="3703"/>
    <d v="1899-12-30T00:10:05"/>
    <x v="999"/>
    <x v="7"/>
    <s v="oneonta"/>
    <x v="958"/>
    <n v="817384"/>
    <x v="0"/>
    <s v="Medicine; Pharmacy; Health"/>
    <s v="9781118160114"/>
    <s v=",1,2,3,4,44,45,46,42,43,47,48,49,23,24,25,21,22,26,27,28,29,30,31,32,33,34,35,36,37,38,65,66,67,63,64,68,203,204,205,201,202,206,207,208,209,210,211,212,213,214,215,249,250,251,247,248,252,253"/>
    <n v="58"/>
    <m/>
    <m/>
    <s v="No"/>
    <x v="1"/>
    <m/>
    <m/>
    <s v="137.141.13.2"/>
    <s v="RM237.65 -- .C667 2012eb"/>
    <s v="613.2/82"/>
    <d v="2011-11-02T00:00:00"/>
  </r>
  <r>
    <x v="3704"/>
    <d v="1899-12-30T00:04:58"/>
    <x v="13"/>
    <x v="0"/>
    <s v="Buffalo"/>
    <x v="702"/>
    <n v="1187185"/>
    <x v="0"/>
    <s v="Engineering; Engineering: Mining; Engineering: Environmental"/>
    <s v="9781118748183"/>
    <s v=",1,2,3,82,83,84,80,81,85,86"/>
    <n v="10"/>
    <m/>
    <m/>
    <s v="No"/>
    <x v="0"/>
    <d v="2015-11-15T22:13:48"/>
    <n v="7"/>
    <s v="128.205.114.91"/>
    <s v="TD195.G3 -- H65 2013eb"/>
    <n v="622.33799999999997"/>
    <d v="2013-05-06T00:00:00"/>
  </r>
  <r>
    <x v="3705"/>
    <d v="1899-12-30T00:00:10"/>
    <x v="971"/>
    <x v="12"/>
    <s v="potsdam"/>
    <x v="753"/>
    <n v="2038643"/>
    <x v="1"/>
    <s v="Social Science"/>
    <s v="9781472427625"/>
    <s v=",25,40,39,41,37,38,9,11,12,13"/>
    <n v="10"/>
    <m/>
    <m/>
    <s v="No"/>
    <x v="0"/>
    <d v="2015-11-16T01:42:20"/>
    <n v="7"/>
    <s v="137.143.104.94"/>
    <n v="2013049432"/>
    <n v="306.46100000000001"/>
    <d v="2015-05-28T00:00:00"/>
  </r>
  <r>
    <x v="3706"/>
    <d v="1899-12-30T01:03:35"/>
    <x v="13"/>
    <x v="0"/>
    <s v="Buffalo"/>
    <x v="960"/>
    <n v="1996922"/>
    <x v="4"/>
    <s v="Education; Language/Linguistics"/>
    <s v="9781462521289"/>
    <s v=",30,31,32,33,34,35,36,37,29,28,29"/>
    <n v="10"/>
    <m/>
    <m/>
    <s v="No"/>
    <x v="2"/>
    <d v="2015-11-16T01:41:21"/>
    <n v="1"/>
    <s v="128.205.114.91"/>
    <s v="PE1128 .A2 A347 2015"/>
    <s v="372.652; 372.6521044"/>
    <d v="2015-07-02T00:00:00"/>
  </r>
  <r>
    <x v="3707"/>
    <d v="1899-12-30T00:04:45"/>
    <x v="971"/>
    <x v="12"/>
    <s v="potsdam"/>
    <x v="753"/>
    <n v="2038643"/>
    <x v="1"/>
    <s v="Social Science"/>
    <s v="9781472427625"/>
    <s v=",1,2,3,192,193,194,191,190,195,196,197,198,199,16,17,18,14,15,19,20,21,22,23,24,10,4,5,6,7,8"/>
    <n v="30"/>
    <m/>
    <m/>
    <s v="No"/>
    <x v="3"/>
    <m/>
    <m/>
    <s v="137.143.104.94"/>
    <n v="2013049432"/>
    <n v="306.46100000000001"/>
    <d v="2015-05-28T00:00:00"/>
  </r>
  <r>
    <x v="3708"/>
    <d v="1899-12-30T00:08:00"/>
    <x v="13"/>
    <x v="0"/>
    <s v="Buffalo"/>
    <x v="960"/>
    <n v="1996922"/>
    <x v="4"/>
    <s v="Education; Language/Linguistics"/>
    <s v="9781462521289"/>
    <s v=",1,2,3,27,28,29,25,26,24,23,22,21,20,19"/>
    <n v="14"/>
    <m/>
    <m/>
    <s v="No"/>
    <x v="3"/>
    <m/>
    <m/>
    <s v="128.205.114.91"/>
    <s v="PE1128 .A2 A347 2015"/>
    <s v="372.652; 372.6521044"/>
    <d v="2015-07-02T00:00:00"/>
  </r>
  <r>
    <x v="3709"/>
    <d v="1899-12-30T00:00:43"/>
    <x v="1003"/>
    <x v="12"/>
    <s v="potsdam"/>
    <x v="961"/>
    <n v="2056249"/>
    <x v="0"/>
    <s v="Philosophy; Journalism"/>
    <s v="9781119031758"/>
    <s v=",1,2,3,292,293,294,295,296,297,295,296,297,294,292,293"/>
    <n v="9"/>
    <m/>
    <m/>
    <s v="No"/>
    <x v="3"/>
    <m/>
    <m/>
    <s v="137.143.104.94"/>
    <s v="PN4756 .F67 2015"/>
    <n v="174.90700000000001"/>
    <d v="2015-05-18T00:00:00"/>
  </r>
  <r>
    <x v="3710"/>
    <d v="1899-12-30T01:22:27"/>
    <x v="624"/>
    <x v="0"/>
    <s v="Buffalo"/>
    <x v="656"/>
    <n v="1433263"/>
    <x v="3"/>
    <s v="History"/>
    <s v="9780520957145"/>
    <s v=",21,22,1,22,23,20,21,24,25,2"/>
    <n v="8"/>
    <m/>
    <m/>
    <s v="No"/>
    <x v="0"/>
    <d v="2015-11-16T01:18:13"/>
    <n v="7"/>
    <s v="128.205.114.91"/>
    <s v="DT264 -- .L35 2014eb"/>
    <n v="961.10400000000004"/>
    <d v="2013-09-27T00:00:00"/>
  </r>
  <r>
    <x v="3711"/>
    <d v="1899-12-30T02:03:04"/>
    <x v="853"/>
    <x v="0"/>
    <s v="Buffalo"/>
    <x v="477"/>
    <n v="1120279"/>
    <x v="0"/>
    <s v="Science: Biology/Natural History; Science"/>
    <s v="9781118537671"/>
    <s v=",1,2,3,3,1,5,4,2,50,51,52,48,53,54,55,56,57,58,59,60,61,62,63,64,65,66,67,68,69,70,71,72,73,74,75,76,77,78,57,59,58,55,56,60,61,58,58,57"/>
    <n v="35"/>
    <m/>
    <m/>
    <s v="No"/>
    <x v="0"/>
    <d v="2015-11-14T22:02:09"/>
    <n v="7"/>
    <s v="128.205.114.91"/>
    <s v="QH371 .K384 2012"/>
    <n v="599.93499999999995"/>
    <d v="2012-11-19T00:00:00"/>
  </r>
  <r>
    <x v="3712"/>
    <d v="1899-12-30T01:01:57"/>
    <x v="1002"/>
    <x v="6"/>
    <s v="sjfc"/>
    <x v="959"/>
    <n v="1895917"/>
    <x v="0"/>
    <s v="Fine Arts"/>
    <s v="9781119014959"/>
    <s v=",1,2,3,4,5,6,7,8,9,10,11,12,13,14,15,16,17,18,19,20,21,22,23"/>
    <n v="23"/>
    <m/>
    <m/>
    <s v="No"/>
    <x v="1"/>
    <m/>
    <m/>
    <s v="149.69.254.57"/>
    <s v="PN1995.9.A3 -- .T37 2015eb"/>
    <s v="791.43/6582"/>
    <d v="2015-03-24T00:00:00"/>
  </r>
  <r>
    <x v="3713"/>
    <d v="1899-12-30T00:14:41"/>
    <x v="624"/>
    <x v="0"/>
    <s v="Buffalo"/>
    <x v="656"/>
    <n v="1433263"/>
    <x v="3"/>
    <s v="History"/>
    <s v="9780520957145"/>
    <s v=",1,2,3,6,7,8,9,5,10,12,13,16,17,18,14,31,32,33,29,196,197,198,194,195,19,20"/>
    <n v="26"/>
    <m/>
    <m/>
    <s v="No"/>
    <x v="1"/>
    <m/>
    <m/>
    <s v="128.205.114.91"/>
    <s v="DT264 -- .L35 2014eb"/>
    <n v="961.10400000000004"/>
    <d v="2013-09-27T00:00:00"/>
  </r>
  <r>
    <x v="3714"/>
    <d v="1899-12-30T00:00:03"/>
    <x v="971"/>
    <x v="12"/>
    <s v="potsdam"/>
    <x v="962"/>
    <n v="1926299"/>
    <x v="5"/>
    <s v="Health; Social Science"/>
    <s v="9780814762905"/>
    <s v=",1,3,2"/>
    <n v="3"/>
    <m/>
    <m/>
    <s v="No"/>
    <x v="3"/>
    <m/>
    <m/>
    <s v="137.143.104.94"/>
    <s v="RA564.85"/>
    <s v="613.04244; 613/.04244"/>
    <d v="2015-03-06T00:00:00"/>
  </r>
  <r>
    <x v="3715"/>
    <d v="1899-12-30T00:00:16"/>
    <x v="971"/>
    <x v="12"/>
    <s v="potsdam"/>
    <x v="753"/>
    <n v="2038643"/>
    <x v="1"/>
    <s v="Social Science"/>
    <s v="9781472427625"/>
    <s v=",1,2,3,192,193,194,190,191,195,196"/>
    <n v="10"/>
    <m/>
    <m/>
    <s v="No"/>
    <x v="3"/>
    <m/>
    <m/>
    <s v="137.143.104.94"/>
    <n v="2013049432"/>
    <n v="306.46100000000001"/>
    <d v="2015-05-28T00:00:00"/>
  </r>
  <r>
    <x v="3716"/>
    <d v="1899-12-30T00:00:38"/>
    <x v="971"/>
    <x v="12"/>
    <s v="potsdam"/>
    <x v="734"/>
    <n v="1498550"/>
    <x v="0"/>
    <s v="Social Science"/>
    <s v="9780745683454"/>
    <s v=",1,2,3,21,22,23,19,20,24,25,26"/>
    <n v="11"/>
    <m/>
    <m/>
    <s v="No"/>
    <x v="3"/>
    <m/>
    <m/>
    <s v="137.143.104.94"/>
    <s v="HQ767 -- .B658 2013eb"/>
    <n v="363.46"/>
    <d v="2013-10-21T00:00:00"/>
  </r>
  <r>
    <x v="3717"/>
    <d v="1899-12-30T00:01:19"/>
    <x v="1004"/>
    <x v="0"/>
    <s v="Buffalo"/>
    <x v="963"/>
    <n v="1969426"/>
    <x v="1"/>
    <s v="Environmental Studies; History"/>
    <s v="9781472440372"/>
    <s v=",1,2,3,22,23,24,20,21,25,6,7,8,4,5,18,19,16,17,14,15"/>
    <n v="20"/>
    <m/>
    <m/>
    <s v="No"/>
    <x v="3"/>
    <m/>
    <m/>
    <s v="128.205.114.91"/>
    <s v="CC135 -- .M363 2015eb"/>
    <s v="363.6/9"/>
    <d v="2015-03-28T00:00:00"/>
  </r>
  <r>
    <x v="3718"/>
    <d v="1899-12-30T00:36:59"/>
    <x v="912"/>
    <x v="12"/>
    <s v="potsdam"/>
    <x v="719"/>
    <n v="771074"/>
    <x v="18"/>
    <s v="Medicine; Pharmacy; Social Science; Health"/>
    <s v="9780761499732"/>
    <s v=",1,2,3,29,30,31,27,28,29,30,31,32,33,34"/>
    <n v="11"/>
    <m/>
    <m/>
    <s v="No"/>
    <x v="0"/>
    <d v="2015-11-09T01:36:03"/>
    <n v="7"/>
    <s v="137.143.104.94"/>
    <s v="RM301.17 .K567 2012"/>
    <s v="362.29; 615.1"/>
    <d v="2012-01-01T00:00:00"/>
  </r>
  <r>
    <x v="3719"/>
    <d v="1899-12-30T00:08:03"/>
    <x v="944"/>
    <x v="2"/>
    <s v="hilbert"/>
    <x v="702"/>
    <n v="1187185"/>
    <x v="0"/>
    <s v="Engineering; Engineering: Mining; Engineering: Environmental"/>
    <s v="9781118748183"/>
    <s v=",1,2,3,6,7,8,4,5,19,20,21,17,18,22,23,24"/>
    <n v="16"/>
    <m/>
    <m/>
    <s v="No"/>
    <x v="1"/>
    <m/>
    <m/>
    <s v="72.45.217.43"/>
    <s v="TD195.G3 -- H65 2013eb"/>
    <n v="622.33799999999997"/>
    <d v="2013-05-06T00:00:00"/>
  </r>
  <r>
    <x v="3720"/>
    <d v="1899-12-30T00:00:15"/>
    <x v="912"/>
    <x v="12"/>
    <s v="potsdam"/>
    <x v="589"/>
    <n v="1938274"/>
    <x v="0"/>
    <s v="Health; Social Science; Medicine"/>
    <s v="9781119098201"/>
    <s v=",1,2,3,87,88,89,85,86"/>
    <n v="8"/>
    <m/>
    <m/>
    <s v="No"/>
    <x v="0"/>
    <d v="2015-11-10T22:36:31"/>
    <n v="7"/>
    <s v="137.143.104.94"/>
    <s v="RC564 -- .B74 2015eb"/>
    <s v="362.29/186"/>
    <d v="2015-01-29T00:00:00"/>
  </r>
  <r>
    <x v="3721"/>
    <d v="1899-12-30T00:00:03"/>
    <x v="912"/>
    <x v="12"/>
    <s v="potsdam"/>
    <x v="719"/>
    <n v="771074"/>
    <x v="18"/>
    <s v="Medicine; Pharmacy; Social Science; Health"/>
    <s v="9780761499732"/>
    <s v=",1,2,3"/>
    <n v="3"/>
    <m/>
    <m/>
    <s v="No"/>
    <x v="0"/>
    <d v="2015-11-09T01:36:03"/>
    <n v="7"/>
    <s v="137.143.104.94"/>
    <s v="RM301.17 .K567 2012"/>
    <s v="362.29; 615.1"/>
    <d v="2012-01-01T00:00:00"/>
  </r>
  <r>
    <x v="3722"/>
    <d v="1899-12-30T00:00:04"/>
    <x v="912"/>
    <x v="12"/>
    <s v="potsdam"/>
    <x v="589"/>
    <n v="1938274"/>
    <x v="0"/>
    <s v="Health; Social Science; Medicine"/>
    <s v="9781119098201"/>
    <s v=",1,2,3"/>
    <n v="3"/>
    <m/>
    <m/>
    <s v="No"/>
    <x v="0"/>
    <d v="2015-11-10T22:36:31"/>
    <n v="7"/>
    <s v="137.143.104.94"/>
    <s v="RC564 -- .B74 2015eb"/>
    <s v="362.29/186"/>
    <d v="2015-01-29T00:00:00"/>
  </r>
  <r>
    <x v="3723"/>
    <d v="1899-12-30T00:00:16"/>
    <x v="912"/>
    <x v="12"/>
    <s v="potsdam"/>
    <x v="719"/>
    <n v="771074"/>
    <x v="18"/>
    <s v="Medicine; Pharmacy; Social Science; Health"/>
    <s v="9780761499732"/>
    <s v=",1,2,3,29,30,31,27,28"/>
    <n v="8"/>
    <m/>
    <m/>
    <s v="No"/>
    <x v="0"/>
    <d v="2015-11-09T01:36:03"/>
    <n v="7"/>
    <s v="137.143.104.94"/>
    <s v="RM301.17 .K567 2012"/>
    <s v="362.29; 615.1"/>
    <d v="2012-01-01T00:00:00"/>
  </r>
  <r>
    <x v="3724"/>
    <d v="1899-12-30T00:00:08"/>
    <x v="860"/>
    <x v="12"/>
    <s v="potsdam"/>
    <x v="270"/>
    <n v="1637652"/>
    <x v="3"/>
    <s v="Education"/>
    <s v="9780520958449"/>
    <s v=",1,2,3,116,118,117,114,115"/>
    <n v="8"/>
    <m/>
    <m/>
    <s v="No"/>
    <x v="0"/>
    <d v="2015-11-13T14:53:56"/>
    <n v="7"/>
    <s v="137.143.104.94"/>
    <s v="LB2340.2 -- .B478 2014eb"/>
    <s v="378.3/62"/>
    <d v="2014-05-02T00:00:00"/>
  </r>
  <r>
    <x v="3725"/>
    <d v="1899-12-30T00:00:09"/>
    <x v="202"/>
    <x v="0"/>
    <s v="Buffalo"/>
    <x v="964"/>
    <n v="1985019"/>
    <x v="11"/>
    <s v="Social Science; Business/Management"/>
    <s v="9780226237015"/>
    <s v=",1,2,3,1"/>
    <n v="3"/>
    <m/>
    <m/>
    <s v="No"/>
    <x v="3"/>
    <m/>
    <m/>
    <s v="128.205.114.91"/>
    <s v="HD69"/>
    <s v="302.3/5"/>
    <d v="2015-03-17T00:00:00"/>
  </r>
  <r>
    <x v="3726"/>
    <d v="1899-12-30T00:00:38"/>
    <x v="1005"/>
    <x v="11"/>
    <s v="cobleskill"/>
    <x v="958"/>
    <n v="817384"/>
    <x v="0"/>
    <s v="Medicine; Pharmacy; Health"/>
    <s v="9781118160114"/>
    <s v=",25,1,26,27,23,24,28,2,235,236,237,233,234,238,239"/>
    <n v="15"/>
    <m/>
    <m/>
    <s v="No"/>
    <x v="1"/>
    <m/>
    <m/>
    <s v="137.36.32.34"/>
    <s v="RM237.65 -- .C667 2012eb"/>
    <s v="613.2/82"/>
    <d v="2011-11-02T00:00:00"/>
  </r>
  <r>
    <x v="3727"/>
    <d v="1899-12-30T00:02:24"/>
    <x v="1006"/>
    <x v="6"/>
    <s v="sjfc"/>
    <x v="244"/>
    <n v="848510"/>
    <x v="0"/>
    <s v="Medicine"/>
    <s v="9781118220481"/>
    <s v=",1,2,3,94,95,96,92,93"/>
    <n v="8"/>
    <m/>
    <m/>
    <s v="No"/>
    <x v="0"/>
    <d v="2015-11-15T21:03:31"/>
    <n v="7"/>
    <s v="149.69.254.57"/>
    <s v="RC489.C63 -- C64 2012eb"/>
    <s v="616.89/1425"/>
    <d v="2012-06-06T00:00:00"/>
  </r>
  <r>
    <x v="3728"/>
    <d v="1899-12-30T00:58:42"/>
    <x v="912"/>
    <x v="12"/>
    <s v="potsdam"/>
    <x v="589"/>
    <n v="1938274"/>
    <x v="0"/>
    <s v="Health; Social Science; Medicine"/>
    <s v="9781119098201"/>
    <s v=",1,2,2,1,3,1,3,2,2,87,88,87,88,89,89,85,86,86,87,86,87"/>
    <n v="8"/>
    <m/>
    <m/>
    <s v="No"/>
    <x v="0"/>
    <d v="2015-11-10T22:36:31"/>
    <n v="7"/>
    <s v="137.143.104.94"/>
    <s v="RC564 -- .B74 2015eb"/>
    <s v="362.29/186"/>
    <d v="2015-01-29T00:00:00"/>
  </r>
  <r>
    <x v="3729"/>
    <d v="1899-12-30T00:08:09"/>
    <x v="1007"/>
    <x v="0"/>
    <s v="Buffalo"/>
    <x v="151"/>
    <n v="968030"/>
    <x v="0"/>
    <s v="Psychology"/>
    <s v="9781118285138"/>
    <s v=",1,2,3,109,110,111,107,108,112,113,114,115"/>
    <n v="12"/>
    <m/>
    <m/>
    <s v="No"/>
    <x v="1"/>
    <m/>
    <m/>
    <s v="128.205.114.91"/>
    <s v="BF637.C6 -- S85 2013eb"/>
    <n v="158.30000000000001"/>
    <d v="2012-07-10T00:00:00"/>
  </r>
  <r>
    <x v="3730"/>
    <d v="1899-12-30T02:31:24"/>
    <x v="13"/>
    <x v="0"/>
    <s v="Buffalo"/>
    <x v="175"/>
    <n v="875809"/>
    <x v="0"/>
    <s v="Language/Linguistics"/>
    <s v="9781118223598"/>
    <s v=",23,26,42,55,56,54,53,17,15,14,13,16,18,19,20,21,23,24,25,25"/>
    <n v="18"/>
    <m/>
    <m/>
    <s v="Yes"/>
    <x v="0"/>
    <d v="2015-11-15T22:17:40"/>
    <n v="7"/>
    <s v="128.205.114.91"/>
    <s v="PE1128.A2 -- F455 2012eb"/>
    <n v="428.00709999999998"/>
    <d v="2012-08-07T00:00:00"/>
  </r>
  <r>
    <x v="3730"/>
    <d v="1899-12-30T00:00:00"/>
    <x v="13"/>
    <x v="0"/>
    <s v="Buffalo"/>
    <x v="175"/>
    <n v="875809"/>
    <x v="0"/>
    <s v="Language/Linguistics"/>
    <s v="9781118223598"/>
    <m/>
    <n v="0"/>
    <m/>
    <m/>
    <s v="No"/>
    <x v="0"/>
    <d v="2015-11-15T22:17:40"/>
    <n v="7"/>
    <s v="128.205.114.91"/>
    <s v="PE1128.A2 -- F455 2012eb"/>
    <n v="428.00709999999998"/>
    <d v="2012-08-07T00:00:00"/>
  </r>
  <r>
    <x v="3731"/>
    <d v="1899-12-30T00:00:17"/>
    <x v="13"/>
    <x v="0"/>
    <s v="Buffalo"/>
    <x v="702"/>
    <n v="1187185"/>
    <x v="0"/>
    <s v="Engineering; Engineering: Mining; Engineering: Environmental"/>
    <s v="9781118748183"/>
    <s v=",107,106,109,106"/>
    <n v="3"/>
    <m/>
    <m/>
    <s v="No"/>
    <x v="0"/>
    <d v="2015-11-15T22:13:48"/>
    <n v="7"/>
    <s v="128.205.114.91"/>
    <s v="TD195.G3 -- H65 2013eb"/>
    <n v="622.33799999999997"/>
    <d v="2013-05-06T00:00:00"/>
  </r>
  <r>
    <x v="3732"/>
    <d v="1899-12-30T00:00:04"/>
    <x v="13"/>
    <x v="0"/>
    <s v="Buffalo"/>
    <x v="702"/>
    <n v="1187185"/>
    <x v="0"/>
    <s v="Engineering; Engineering: Mining; Engineering: Environmental"/>
    <s v="9781118748183"/>
    <s v=",1,2,3"/>
    <n v="3"/>
    <m/>
    <m/>
    <s v="No"/>
    <x v="1"/>
    <m/>
    <m/>
    <s v="128.205.114.91"/>
    <s v="TD195.G3 -- H65 2013eb"/>
    <n v="622.33799999999997"/>
    <d v="2013-05-06T00:00:00"/>
  </r>
  <r>
    <x v="3733"/>
    <d v="1899-12-30T00:14:24"/>
    <x v="13"/>
    <x v="0"/>
    <s v="Buffalo"/>
    <x v="175"/>
    <n v="875809"/>
    <x v="0"/>
    <s v="Language/Linguistics"/>
    <s v="9781118223598"/>
    <s v=",1,2,2,3,3,1,4,4,5,5,2,2,6,6,7,7,8,8,9,9,10,10,11,11,9,19,19,21"/>
    <n v="13"/>
    <m/>
    <m/>
    <s v="No"/>
    <x v="1"/>
    <m/>
    <m/>
    <s v="128.205.114.91"/>
    <s v="PE1128.A2 -- F455 2012eb"/>
    <n v="428.00709999999998"/>
    <d v="2012-08-07T00:00:00"/>
  </r>
  <r>
    <x v="3734"/>
    <d v="1899-12-30T00:19:52"/>
    <x v="13"/>
    <x v="0"/>
    <s v="Buffalo"/>
    <x v="702"/>
    <n v="1187185"/>
    <x v="0"/>
    <s v="Engineering; Engineering: Mining; Engineering: Environmental"/>
    <s v="9781118748183"/>
    <s v=",1,2,3,82,83,84,80,81,85,89,90,91,87,88,92,102,103,104,100,101,105,179,174"/>
    <n v="23"/>
    <m/>
    <m/>
    <s v="No"/>
    <x v="1"/>
    <m/>
    <m/>
    <s v="128.205.114.91"/>
    <s v="TD195.G3 -- H65 2013eb"/>
    <n v="622.33799999999997"/>
    <d v="2013-05-06T00:00:00"/>
  </r>
  <r>
    <x v="3735"/>
    <d v="1899-12-30T00:14:19"/>
    <x v="1008"/>
    <x v="0"/>
    <s v="Buffalo"/>
    <x v="73"/>
    <n v="1119505"/>
    <x v="0"/>
    <s v="Science: Chemistry; Science"/>
    <s v="9781118355015"/>
    <s v=",270,271,272,268,269,273,274,275,276,277,278,279,280,281,282,283,284,285,286,287,316,317,313,314,296,294,295,209,210,211,207,208,212,213,214,206,198,199,200,197,196,201,202,203,204,205,215,216,217,218,219,220,221,222,223"/>
    <n v="55"/>
    <m/>
    <m/>
    <s v="No"/>
    <x v="0"/>
    <d v="2015-11-15T21:44:50"/>
    <n v="7"/>
    <s v="128.205.114.91"/>
    <s v="QD251.3 -- .S38 2013eb"/>
    <s v="547/.128"/>
    <d v="2013-01-28T00:00:00"/>
  </r>
  <r>
    <x v="3736"/>
    <d v="1899-12-30T00:00:04"/>
    <x v="1009"/>
    <x v="7"/>
    <s v="oneonta"/>
    <x v="965"/>
    <n v="362585"/>
    <x v="4"/>
    <s v="Education"/>
    <s v="9781606232316"/>
    <s v=",1,2,3"/>
    <n v="3"/>
    <m/>
    <m/>
    <s v="No"/>
    <x v="3"/>
    <m/>
    <m/>
    <s v="137.141.13.2"/>
    <s v="LB1050.45.O26 2007"/>
    <n v="372.46199999999999"/>
    <d v="2014-05-14T00:00:00"/>
  </r>
  <r>
    <x v="3737"/>
    <d v="1899-12-30T00:00:00"/>
    <x v="1010"/>
    <x v="0"/>
    <s v="Buffalo"/>
    <x v="630"/>
    <n v="771049"/>
    <x v="18"/>
    <s v="Science: Physics; Science; Environmental Studies"/>
    <s v="9781608706648"/>
    <m/>
    <n v="0"/>
    <m/>
    <m/>
    <s v="No"/>
    <x v="1"/>
    <m/>
    <m/>
    <s v="128.205.114.91"/>
    <s v="QC981.8"/>
    <n v="363.73874000000001"/>
    <d v="2012-01-01T00:00:00"/>
  </r>
  <r>
    <x v="3738"/>
    <d v="1899-12-30T00:26:25"/>
    <x v="1008"/>
    <x v="0"/>
    <s v="Buffalo"/>
    <x v="73"/>
    <n v="1119505"/>
    <x v="0"/>
    <s v="Science: Chemistry; Science"/>
    <s v="9781118355015"/>
    <s v=",1,2,3,297,299,298,295,296,300,301,302,303,304,298,297,296"/>
    <n v="13"/>
    <m/>
    <m/>
    <s v="No"/>
    <x v="1"/>
    <m/>
    <m/>
    <s v="128.205.114.91"/>
    <s v="QD251.3 -- .S38 2013eb"/>
    <s v="547/.128"/>
    <d v="2013-01-28T00:00:00"/>
  </r>
  <r>
    <x v="3739"/>
    <d v="1899-12-30T00:11:01"/>
    <x v="1006"/>
    <x v="6"/>
    <s v="sjfc"/>
    <x v="244"/>
    <n v="848510"/>
    <x v="0"/>
    <s v="Medicine"/>
    <s v="9781118220481"/>
    <s v=",405,404,403,408,403,13,14,15,11,12,16,13,14,15,16,12,13,17,18,19"/>
    <n v="13"/>
    <m/>
    <m/>
    <s v="No"/>
    <x v="0"/>
    <d v="2015-11-15T21:03:31"/>
    <n v="7"/>
    <s v="149.69.254.57"/>
    <s v="RC489.C63 -- C64 2012eb"/>
    <s v="616.89/1425"/>
    <d v="2012-06-06T00:00:00"/>
  </r>
  <r>
    <x v="3740"/>
    <d v="1899-12-30T02:25:51"/>
    <x v="986"/>
    <x v="0"/>
    <s v="Buffalo"/>
    <x v="73"/>
    <n v="1119505"/>
    <x v="0"/>
    <s v="Science: Chemistry; Science"/>
    <s v="9781118355015"/>
    <s v=",236,237,238,239,240,241,242,243,244,1,244,245,246,242,243,2,247,248,249,250,251,252,253,254,255"/>
    <n v="22"/>
    <m/>
    <m/>
    <s v="No"/>
    <x v="0"/>
    <d v="2015-11-15T20:59:21"/>
    <n v="7"/>
    <s v="128.205.114.91"/>
    <s v="QD251.3 -- .S38 2013eb"/>
    <s v="547/.128"/>
    <d v="2013-01-28T00:00:00"/>
  </r>
  <r>
    <x v="3741"/>
    <d v="1899-12-30T00:07:03"/>
    <x v="1006"/>
    <x v="6"/>
    <s v="sjfc"/>
    <x v="244"/>
    <n v="848510"/>
    <x v="0"/>
    <s v="Medicine"/>
    <s v="9781118220481"/>
    <s v=",1,2,3,3,1,1,235,235,365,365,374,374,61,61,351,351,13,13,13,14,15,11,12,16,11,16,415,416,417,413,414,418,419,420,421,422,423,424,425,428,429,430,431,427,432,456,457,458,454,455,459,460,461,462,463,459,458,456,457,454,455,453,452,450,451,448,446,445,444,442,443,440,441,439,437,438,436,435,432,430,429,427,428,425,426,408,409,410,406,407,405,404,403,408,409,410,411,412,413,408,406,407"/>
    <n v="71"/>
    <m/>
    <m/>
    <s v="No"/>
    <x v="1"/>
    <m/>
    <m/>
    <s v="149.69.254.57"/>
    <s v="RC489.C63 -- C64 2012eb"/>
    <s v="616.89/1425"/>
    <d v="2012-06-06T00:00:00"/>
  </r>
  <r>
    <x v="3742"/>
    <d v="1899-12-30T00:00:38"/>
    <x v="466"/>
    <x v="1"/>
    <s v="brockport"/>
    <x v="929"/>
    <n v="1110770"/>
    <x v="3"/>
    <s v="Language/Linguistics"/>
    <s v="9780520955233"/>
    <s v=",1,2,1,3,3,2,30,31,30,31,29,29,32,32,2,33,33,37,37,39,39"/>
    <n v="10"/>
    <m/>
    <m/>
    <s v="No"/>
    <x v="3"/>
    <m/>
    <m/>
    <s v="137.21.7.121"/>
    <s v="PJ1135 .S35 2013"/>
    <n v="493.186421"/>
    <d v="2014-05-14T00:00:00"/>
  </r>
  <r>
    <x v="3743"/>
    <d v="1899-12-30T00:11:09"/>
    <x v="986"/>
    <x v="0"/>
    <s v="Buffalo"/>
    <x v="73"/>
    <n v="1119505"/>
    <x v="0"/>
    <s v="Science: Chemistry; Science"/>
    <s v="9781118355015"/>
    <s v=",1,2,3,231,232,233,229,230,266,267,268,264,265,234,235"/>
    <n v="15"/>
    <m/>
    <m/>
    <s v="No"/>
    <x v="1"/>
    <m/>
    <m/>
    <s v="128.205.114.91"/>
    <s v="QD251.3 -- .S38 2013eb"/>
    <s v="547/.128"/>
    <d v="2013-01-28T00:00:00"/>
  </r>
  <r>
    <x v="3744"/>
    <d v="1899-12-30T00:21:55"/>
    <x v="991"/>
    <x v="0"/>
    <s v="Buffalo"/>
    <x v="957"/>
    <n v="1168529"/>
    <x v="0"/>
    <s v="Mathematics"/>
    <s v="9781118710944"/>
    <s v=",1,3,2,135,136,137,133,134,132,130,131,142,138,137,139,140,135,130,136,137,138,135,23,24,25,21,22,26,31,32,33,29,30,27,28,135,136,137,138,134"/>
    <n v="28"/>
    <m/>
    <m/>
    <s v="No"/>
    <x v="0"/>
    <d v="2015-11-15T02:35:58"/>
    <n v="7"/>
    <s v="128.205.114.91"/>
    <s v="QA278 .A353 2013"/>
    <s v="519.5; 519.535"/>
    <d v="2013-04-08T00:00:00"/>
  </r>
  <r>
    <x v="3745"/>
    <d v="1899-12-30T00:00:25"/>
    <x v="991"/>
    <x v="0"/>
    <s v="Buffalo"/>
    <x v="957"/>
    <n v="1168529"/>
    <x v="0"/>
    <s v="Mathematics"/>
    <s v="9781118710944"/>
    <s v=",1,2,3,135,136,137,134,133"/>
    <n v="8"/>
    <m/>
    <m/>
    <s v="No"/>
    <x v="0"/>
    <d v="2015-11-15T02:35:58"/>
    <n v="7"/>
    <s v="128.205.114.91"/>
    <s v="QA278 .A353 2013"/>
    <s v="519.5; 519.535"/>
    <d v="2013-04-08T00:00:00"/>
  </r>
  <r>
    <x v="3746"/>
    <d v="1899-12-30T00:15:05"/>
    <x v="1011"/>
    <x v="7"/>
    <s v="oneonta"/>
    <x v="966"/>
    <n v="1674208"/>
    <x v="0"/>
    <s v="Science: Geology; Business/Management; Science"/>
    <s v="9780745682785"/>
    <s v=",19,14,12,8,12,1,8,3,5,5,6,6,8,10,11,10,12,13,11,14,15,16,17,18,19,20,20,21,21,16,15,20,21"/>
    <n v="17"/>
    <m/>
    <m/>
    <s v="No"/>
    <x v="2"/>
    <d v="2015-11-15T20:21:56"/>
    <n v="1"/>
    <s v="137.141.13.2"/>
    <s v="HD9677.A2 -- .S65 2014eb"/>
    <n v="553.82000000000005"/>
    <d v="2014-04-10T00:00:00"/>
  </r>
  <r>
    <x v="3747"/>
    <d v="1899-12-30T00:56:04"/>
    <x v="1012"/>
    <x v="1"/>
    <s v="brockport"/>
    <x v="967"/>
    <n v="1655935"/>
    <x v="0"/>
    <s v="Business/Management"/>
    <s v="9781118833339"/>
    <s v=",197,199,198,195,196,245,246,243,244,248,249,251,252,253,250,297,298,299,295,256,257,258,254,255,259,191,193,189,190,192,221,222,223,219,220,224,225,226,227,228,229,230,231,232,233,6,7,8,4,5"/>
    <n v="50"/>
    <m/>
    <m/>
    <s v="No"/>
    <x v="2"/>
    <d v="2015-11-15T20:21:19"/>
    <n v="1"/>
    <s v="137.21.7.121"/>
    <s v="HD69.S8 -- .T466 2014eb"/>
    <n v="650.13"/>
    <d v="2014-03-17T00:00:00"/>
  </r>
  <r>
    <x v="3748"/>
    <d v="1899-12-30T00:05:58"/>
    <x v="1011"/>
    <x v="7"/>
    <s v="oneonta"/>
    <x v="966"/>
    <n v="1674208"/>
    <x v="0"/>
    <s v="Science: Geology; Business/Management; Science"/>
    <s v="9780745682785"/>
    <s v=",1,2,1,2,3,3,16,18,17,15,18,16,17,14,15,19,19,2,19"/>
    <n v="9"/>
    <m/>
    <m/>
    <s v="No"/>
    <x v="3"/>
    <m/>
    <m/>
    <s v="137.141.13.2"/>
    <s v="HD9677.A2 -- .S65 2014eb"/>
    <n v="553.82000000000005"/>
    <d v="2014-04-10T00:00:00"/>
  </r>
  <r>
    <x v="3749"/>
    <d v="1899-12-30T00:00:30"/>
    <x v="13"/>
    <x v="0"/>
    <s v="Buffalo"/>
    <x v="73"/>
    <n v="1119505"/>
    <x v="0"/>
    <s v="Science: Chemistry; Science"/>
    <s v="9781118355015"/>
    <s v=",1,2,3,9,10,11,7,8,269,270,271,267,268,266,265"/>
    <n v="15"/>
    <m/>
    <s v=",267,268"/>
    <s v="No"/>
    <x v="0"/>
    <d v="2015-11-14T16:15:40"/>
    <n v="7"/>
    <s v="128.205.114.91"/>
    <s v="QD251.3 -- .S38 2013eb"/>
    <s v="547/.128"/>
    <d v="2013-01-28T00:00:00"/>
  </r>
  <r>
    <x v="3750"/>
    <d v="1899-12-30T00:18:46"/>
    <x v="789"/>
    <x v="6"/>
    <s v="sjfc"/>
    <x v="68"/>
    <n v="1822529"/>
    <x v="0"/>
    <s v="Mathematics"/>
    <s v="9781118824344"/>
    <s v=",121,122,123,124,125,126,127,128,129,130,131,132,133,134,135,136"/>
    <n v="16"/>
    <m/>
    <m/>
    <s v="No"/>
    <x v="0"/>
    <d v="2015-11-15T20:04:50"/>
    <n v="7"/>
    <s v="149.69.254.57"/>
    <s v="QA297 -- .S59 2015eb"/>
    <n v="519.4"/>
    <d v="2014-10-20T00:00:00"/>
  </r>
  <r>
    <x v="3751"/>
    <d v="1899-12-30T00:17:03"/>
    <x v="1012"/>
    <x v="1"/>
    <s v="brockport"/>
    <x v="967"/>
    <n v="1655935"/>
    <x v="0"/>
    <s v="Business/Management"/>
    <s v="9781118833339"/>
    <s v=",1,3,2,54,55,56,52,53,57,58,59,52,51"/>
    <n v="12"/>
    <m/>
    <m/>
    <s v="No"/>
    <x v="3"/>
    <m/>
    <m/>
    <s v="137.21.7.121"/>
    <s v="HD69.S8 -- .T466 2014eb"/>
    <n v="650.13"/>
    <d v="2014-03-17T00:00:00"/>
  </r>
  <r>
    <x v="3752"/>
    <d v="1899-12-30T00:00:26"/>
    <x v="991"/>
    <x v="0"/>
    <s v="Buffalo"/>
    <x v="957"/>
    <n v="1168529"/>
    <x v="0"/>
    <s v="Mathematics"/>
    <s v="9781118710944"/>
    <s v=",1,3,2,135,136,137,133,134"/>
    <n v="8"/>
    <m/>
    <m/>
    <s v="No"/>
    <x v="0"/>
    <d v="2015-11-15T02:35:58"/>
    <n v="7"/>
    <s v="128.205.114.91"/>
    <s v="QA278 .A353 2013"/>
    <s v="519.5; 519.535"/>
    <d v="2013-04-08T00:00:00"/>
  </r>
  <r>
    <x v="3753"/>
    <d v="1899-12-30T00:10:14"/>
    <x v="789"/>
    <x v="6"/>
    <s v="sjfc"/>
    <x v="68"/>
    <n v="1822529"/>
    <x v="0"/>
    <s v="Mathematics"/>
    <s v="9781118824344"/>
    <s v=",1,2,3,1,3,2,113,114,115,111,112,116,117,118,119,120"/>
    <n v="13"/>
    <m/>
    <m/>
    <s v="No"/>
    <x v="1"/>
    <m/>
    <m/>
    <s v="149.69.254.57"/>
    <s v="QA297 -- .S59 2015eb"/>
    <n v="519.4"/>
    <d v="2014-10-20T00:00:00"/>
  </r>
  <r>
    <x v="3754"/>
    <d v="1899-12-30T00:00:04"/>
    <x v="991"/>
    <x v="0"/>
    <s v="Buffalo"/>
    <x v="957"/>
    <n v="1168529"/>
    <x v="0"/>
    <s v="Mathematics"/>
    <s v="9781118710944"/>
    <s v=",1,3,2"/>
    <n v="3"/>
    <m/>
    <m/>
    <s v="No"/>
    <x v="0"/>
    <d v="2015-11-15T02:35:58"/>
    <n v="7"/>
    <s v="128.205.114.91"/>
    <s v="QA278 .A353 2013"/>
    <s v="519.5; 519.535"/>
    <d v="2013-04-08T00:00:00"/>
  </r>
  <r>
    <x v="3755"/>
    <d v="1899-12-30T00:00:06"/>
    <x v="222"/>
    <x v="0"/>
    <s v="Buffalo"/>
    <x v="400"/>
    <n v="1870655"/>
    <x v="11"/>
    <s v="Education"/>
    <s v="9780226201979"/>
    <s v=",190,187,190,2"/>
    <n v="3"/>
    <m/>
    <s v=",10,11,12,13,14,15,16,17,18,19,20,21,22,23,24,25,26,27,188,189,190,191,192,193,194,195,196,197,198,199,200,201,202,203,204,205,206,207,208,209,210,211,212,213,214,215,216,217,218,219,220,221,222,223,224,225,226,227,228,229,230,231,232,233,234,235,236,237,238,239,240,241,242,243,244,245,246,247"/>
    <s v="No"/>
    <x v="2"/>
    <d v="2015-11-15T17:26:06"/>
    <n v="1"/>
    <s v="128.205.114.91"/>
    <s v="LB2342"/>
    <s v="379.1/180973"/>
    <d v="2014-12-31T00:00:00"/>
  </r>
  <r>
    <x v="3756"/>
    <d v="1899-12-30T00:00:16"/>
    <x v="222"/>
    <x v="0"/>
    <s v="Buffalo"/>
    <x v="400"/>
    <n v="1870655"/>
    <x v="11"/>
    <s v="Education"/>
    <s v="9780226201979"/>
    <s v=",1,2,3,2,1,3,188,189,188,189,187"/>
    <n v="6"/>
    <m/>
    <m/>
    <s v="No"/>
    <x v="3"/>
    <m/>
    <m/>
    <s v="128.205.114.91"/>
    <s v="LB2342"/>
    <s v="379.1/180973"/>
    <d v="2014-12-31T00:00:00"/>
  </r>
  <r>
    <x v="3757"/>
    <d v="1899-12-30T00:01:27"/>
    <x v="1013"/>
    <x v="13"/>
    <s v="buffalostate"/>
    <x v="968"/>
    <n v="1655863"/>
    <x v="12"/>
    <s v="Education"/>
    <s v="9781469615516"/>
    <s v=",1,3,2,4,5,6,7,8,9,10,11,12,13,14,15,16,17"/>
    <n v="17"/>
    <m/>
    <m/>
    <s v="No"/>
    <x v="3"/>
    <m/>
    <m/>
    <s v="136.183.11.43"/>
    <s v="LC2670.6 -- .G37 2014eb"/>
    <s v="378.1/98268073"/>
    <d v="2014-05-12T00:00:00"/>
  </r>
  <r>
    <x v="3758"/>
    <d v="1899-12-30T01:17:16"/>
    <x v="991"/>
    <x v="0"/>
    <s v="Buffalo"/>
    <x v="957"/>
    <n v="1168529"/>
    <x v="0"/>
    <s v="Mathematics"/>
    <s v="9781118710944"/>
    <s v=",1,2,3,319,320,321,317,318,322,323,324,325,326,327,328,697,698,699,695,696,491,492,493,489,490,494,495,396,397,398,394,395,399,393,41,42,43,39,40,35,36,37,33,34,32,38,39,40,41,42,43,44,45,46,47,48,49,50,51,52,53,54,55,56,57,131,132,133,129,130,134,135,130,136,137,181,182,183,179,180,131,132,129,130"/>
    <n v="74"/>
    <m/>
    <m/>
    <s v="No"/>
    <x v="0"/>
    <d v="2015-11-15T02:35:58"/>
    <n v="7"/>
    <s v="128.205.114.91"/>
    <s v="QA278 .A353 2013"/>
    <s v="519.5; 519.535"/>
    <d v="2013-04-08T00:00:00"/>
  </r>
  <r>
    <x v="3759"/>
    <d v="1899-12-30T00:02:22"/>
    <x v="1014"/>
    <x v="5"/>
    <s v="erie"/>
    <x v="874"/>
    <n v="918811"/>
    <x v="18"/>
    <s v="History"/>
    <s v="9781608708062"/>
    <s v=",64,65,66,62,68,69,71,72,73,74,76,77,67,63,70,75"/>
    <n v="16"/>
    <m/>
    <s v=",138,64,65,66,67,68,69,70,71,72,73,74,75,65,66,67,68,69,70,71,72,73,74,64,65,66,67,68,69,70,71,72,73,74,64,65,66,67,68,69,70,71,72,73,74"/>
    <s v="No"/>
    <x v="0"/>
    <d v="2015-11-15T16:30:43"/>
    <n v="7"/>
    <s v="199.29.6.54"/>
    <s v="F2508.5 .R53 2012"/>
    <n v="981"/>
    <d v="2012-03-01T00:00:00"/>
  </r>
  <r>
    <x v="3760"/>
    <d v="1899-12-30T00:02:16"/>
    <x v="1014"/>
    <x v="5"/>
    <s v="erie"/>
    <x v="874"/>
    <n v="918811"/>
    <x v="18"/>
    <s v="History"/>
    <s v="9781608708062"/>
    <s v=",1,2,3,64,138,140,136,139,137,141"/>
    <n v="10"/>
    <m/>
    <m/>
    <s v="No"/>
    <x v="1"/>
    <m/>
    <m/>
    <s v="199.29.6.54"/>
    <s v="F2508.5 .R53 2012"/>
    <n v="981"/>
    <d v="2012-03-01T00:00:00"/>
  </r>
  <r>
    <x v="3761"/>
    <d v="1899-12-30T00:01:40"/>
    <x v="1015"/>
    <x v="0"/>
    <s v="Buffalo"/>
    <x v="134"/>
    <n v="1791341"/>
    <x v="0"/>
    <s v="Engineering; Engineering: Construction"/>
    <s v="9781118862285"/>
    <s v=",1,3,2,113,114,115,116,118,117,119,120,121,122,123,124,126,127,563,560,561,564,565,566"/>
    <n v="23"/>
    <m/>
    <m/>
    <s v="No"/>
    <x v="1"/>
    <m/>
    <m/>
    <s v="128.205.114.91"/>
    <s v="TH6010 -- .G766 2015eb"/>
    <n v="696"/>
    <d v="2014-09-17T00:00:00"/>
  </r>
  <r>
    <x v="3762"/>
    <d v="1899-12-30T00:40:44"/>
    <x v="912"/>
    <x v="12"/>
    <s v="potsdam"/>
    <x v="719"/>
    <n v="771074"/>
    <x v="18"/>
    <s v="Medicine; Pharmacy; Social Science; Health"/>
    <s v="9780761499732"/>
    <s v=",1,2,3,2,1,3,29,30,31,30,29,27,31,28,28,2,26,25,24,22,20,24,22,20,17,17,18,19,18,19,15,17,29,29,29,29,29,30,30,30,30,35,36,36,36,29,29,31,30,29,30,32,31,33,34,33,32,32,32,31,30,29"/>
    <n v="22"/>
    <m/>
    <m/>
    <s v="No"/>
    <x v="0"/>
    <d v="2015-11-09T01:36:03"/>
    <n v="7"/>
    <s v="137.143.104.94"/>
    <s v="RM301.17 .K567 2012"/>
    <s v="362.29; 615.1"/>
    <d v="2012-01-01T00:00:00"/>
  </r>
  <r>
    <x v="3763"/>
    <d v="1899-12-30T00:00:00"/>
    <x v="991"/>
    <x v="0"/>
    <s v="Buffalo"/>
    <x v="957"/>
    <n v="1168529"/>
    <x v="0"/>
    <s v="Mathematics"/>
    <s v="9781118710944"/>
    <m/>
    <n v="0"/>
    <s v=",21"/>
    <m/>
    <s v="Yes"/>
    <x v="0"/>
    <d v="2015-11-15T02:35:58"/>
    <n v="7"/>
    <s v="128.205.114.91"/>
    <s v="QA278 .A353 2013"/>
    <s v="519.5; 519.535"/>
    <d v="2013-04-08T00:00:00"/>
  </r>
  <r>
    <x v="3764"/>
    <d v="1899-12-30T00:01:42"/>
    <x v="991"/>
    <x v="0"/>
    <s v="Buffalo"/>
    <x v="957"/>
    <n v="1168529"/>
    <x v="0"/>
    <s v="Mathematics"/>
    <s v="9781118710944"/>
    <s v=",1,3,2,21,22,23,19,20"/>
    <n v="8"/>
    <m/>
    <m/>
    <s v="No"/>
    <x v="0"/>
    <d v="2015-11-15T02:35:58"/>
    <n v="7"/>
    <s v="128.205.114.91"/>
    <s v="QA278 .A353 2013"/>
    <s v="519.5; 519.535"/>
    <d v="2013-04-08T00:00:00"/>
  </r>
  <r>
    <x v="3765"/>
    <d v="1899-12-30T00:00:00"/>
    <x v="1016"/>
    <x v="0"/>
    <s v="Buffalo"/>
    <x v="73"/>
    <n v="1119505"/>
    <x v="0"/>
    <s v="Science: Chemistry; Science"/>
    <s v="9781118355015"/>
    <m/>
    <n v="0"/>
    <m/>
    <s v=",232,233,234,235,236,237,238,239,240,241,242,243,244,245,246,247,248,249,250,251,252,253,254,255,256,257,258,259,260,261,262,263,264,265,266,267,268"/>
    <s v="No"/>
    <x v="0"/>
    <d v="2015-11-15T15:25:36"/>
    <n v="7"/>
    <s v="128.205.114.91"/>
    <s v="QD251.3 -- .S38 2013eb"/>
    <s v="547/.128"/>
    <d v="2013-01-28T00:00:00"/>
  </r>
  <r>
    <x v="3766"/>
    <d v="1899-12-30T00:01:06"/>
    <x v="1016"/>
    <x v="0"/>
    <s v="Buffalo"/>
    <x v="73"/>
    <n v="1119505"/>
    <x v="0"/>
    <s v="Science: Chemistry; Science"/>
    <s v="9781118355015"/>
    <s v=",1,2,3,191,197,198,199,195,196,203,204,205,201,2,202,231,233,232,229,230,234,266,267,268,265,264,269,270,231,232,233,229,230,234"/>
    <n v="27"/>
    <m/>
    <m/>
    <s v="No"/>
    <x v="1"/>
    <m/>
    <m/>
    <s v="128.205.114.91"/>
    <s v="QD251.3 -- .S38 2013eb"/>
    <s v="547/.128"/>
    <d v="2013-01-28T00:00:00"/>
  </r>
  <r>
    <x v="3767"/>
    <d v="1899-12-30T00:16:13"/>
    <x v="991"/>
    <x v="0"/>
    <s v="Buffalo"/>
    <x v="957"/>
    <n v="1168529"/>
    <x v="0"/>
    <s v="Mathematics"/>
    <s v="9781118710944"/>
    <s v=",1,2,2,3,1,3,21,22,21,23,22,23,19,20,20,18,2,23,18,23,24,24"/>
    <n v="10"/>
    <m/>
    <m/>
    <s v="No"/>
    <x v="0"/>
    <d v="2015-11-15T02:35:58"/>
    <n v="7"/>
    <s v="128.205.114.91"/>
    <s v="QA278 .A353 2013"/>
    <s v="519.5; 519.535"/>
    <d v="2013-04-08T00:00:00"/>
  </r>
  <r>
    <x v="3768"/>
    <d v="1899-12-30T00:02:44"/>
    <x v="1006"/>
    <x v="6"/>
    <s v="sjfc"/>
    <x v="244"/>
    <n v="848510"/>
    <x v="0"/>
    <s v="Medicine"/>
    <s v="9781118220481"/>
    <s v=",1,2,3,13,14,15,11,12,16,17,2,18,19,20,21,22,23,24,25,26,27,28,29,30,31,32,33,34,35,36,37,38,39,40,41,42,43,44,45,46,47,48,49,50,51,52,53,55,56,57,58,59,60,61,62,63,64,65,66,67"/>
    <n v="59"/>
    <m/>
    <m/>
    <s v="No"/>
    <x v="1"/>
    <m/>
    <m/>
    <s v="149.69.254.57"/>
    <s v="RC489.C63 -- C64 2012eb"/>
    <s v="616.89/1425"/>
    <d v="2012-06-06T00:00:00"/>
  </r>
  <r>
    <x v="3769"/>
    <d v="1899-12-30T00:00:20"/>
    <x v="1006"/>
    <x v="6"/>
    <s v="sjfc"/>
    <x v="244"/>
    <n v="848510"/>
    <x v="0"/>
    <s v="Medicine"/>
    <s v="9781118220481"/>
    <s v=",1,2,3"/>
    <n v="3"/>
    <m/>
    <m/>
    <s v="No"/>
    <x v="1"/>
    <m/>
    <m/>
    <s v="149.69.254.57"/>
    <s v="RC489.C63 -- C64 2012eb"/>
    <s v="616.89/1425"/>
    <d v="2012-06-06T00:00:00"/>
  </r>
  <r>
    <x v="3770"/>
    <d v="1899-12-30T00:00:31"/>
    <x v="1017"/>
    <x v="0"/>
    <s v="Buffalo"/>
    <x v="960"/>
    <n v="1996922"/>
    <x v="4"/>
    <s v="Education; Language/Linguistics"/>
    <s v="9781462521289"/>
    <s v=",1,2,2,1,3,3,2,2,27,28,27,29,28,29,25,26,26"/>
    <n v="8"/>
    <m/>
    <m/>
    <s v="No"/>
    <x v="3"/>
    <m/>
    <m/>
    <s v="128.205.114.91"/>
    <s v="PE1128 .A2 A347 2015"/>
    <s v="372.652; 372.6521044"/>
    <d v="2015-07-02T00:00:00"/>
  </r>
  <r>
    <x v="3771"/>
    <d v="1899-12-30T00:13:01"/>
    <x v="13"/>
    <x v="0"/>
    <s v="Buffalo"/>
    <x v="850"/>
    <n v="1589615"/>
    <x v="1"/>
    <s v="History"/>
    <s v="9781409469865"/>
    <s v=",70,71,72,73,71,70,343,344,345,346,347,348,328,329,330,331,464,465,466"/>
    <n v="17"/>
    <m/>
    <m/>
    <s v="No"/>
    <x v="2"/>
    <d v="2015-11-15T11:09:35"/>
    <n v="1"/>
    <s v="128.205.114.91"/>
    <s v="DF587 -- .C636 2014eb"/>
    <n v="949.50199999999995"/>
    <d v="2014-10-28T00:00:00"/>
  </r>
  <r>
    <x v="3772"/>
    <d v="1899-12-30T00:09:16"/>
    <x v="13"/>
    <x v="0"/>
    <s v="Buffalo"/>
    <x v="850"/>
    <n v="1589615"/>
    <x v="1"/>
    <s v="History"/>
    <s v="9781409469865"/>
    <s v=",1,140,141,142,138,139,143,2,144,145,146,147,148,149,150,151,152,153,154,3,4,60,61,62,63,64,65,66,67,68,69"/>
    <n v="31"/>
    <m/>
    <m/>
    <s v="No"/>
    <x v="3"/>
    <m/>
    <m/>
    <s v="128.205.114.91"/>
    <s v="DF587 -- .C636 2014eb"/>
    <n v="949.50199999999995"/>
    <d v="2014-10-28T00:00:00"/>
  </r>
  <r>
    <x v="3773"/>
    <d v="1899-12-30T00:00:22"/>
    <x v="13"/>
    <x v="0"/>
    <s v="Buffalo"/>
    <x v="850"/>
    <n v="1589615"/>
    <x v="1"/>
    <s v="History"/>
    <s v="9781409469865"/>
    <s v=",1,28,29,30,26,31,27,2"/>
    <n v="8"/>
    <m/>
    <m/>
    <s v="No"/>
    <x v="3"/>
    <m/>
    <m/>
    <s v="128.205.114.91"/>
    <s v="DF587 -- .C636 2014eb"/>
    <n v="949.50199999999995"/>
    <d v="2014-10-28T00:00:00"/>
  </r>
  <r>
    <x v="3774"/>
    <d v="1899-12-30T00:00:00"/>
    <x v="168"/>
    <x v="0"/>
    <s v="Buffalo"/>
    <x v="167"/>
    <n v="1746990"/>
    <x v="1"/>
    <s v="Business/Management"/>
    <s v="9781472432100"/>
    <m/>
    <n v="0"/>
    <m/>
    <m/>
    <s v="Yes"/>
    <x v="2"/>
    <d v="2015-11-15T05:41:35"/>
    <n v="1"/>
    <s v="128.205.114.91"/>
    <s v="HF5548.37 -- .T74 2014eb"/>
    <s v="658.4/78"/>
    <d v="2014-09-28T00:00:00"/>
  </r>
  <r>
    <x v="3774"/>
    <d v="1899-12-30T00:00:00"/>
    <x v="168"/>
    <x v="0"/>
    <s v="Buffalo"/>
    <x v="167"/>
    <n v="1746990"/>
    <x v="1"/>
    <s v="Business/Management"/>
    <s v="9781472432100"/>
    <m/>
    <n v="0"/>
    <m/>
    <m/>
    <s v="No"/>
    <x v="2"/>
    <d v="2015-11-15T05:41:35"/>
    <n v="1"/>
    <s v="128.205.114.91"/>
    <s v="HF5548.37 -- .T74 2014eb"/>
    <s v="658.4/78"/>
    <d v="2014-09-28T00:00:00"/>
  </r>
  <r>
    <x v="3775"/>
    <d v="1899-12-30T00:01:01"/>
    <x v="168"/>
    <x v="0"/>
    <s v="Buffalo"/>
    <x v="167"/>
    <n v="1746990"/>
    <x v="1"/>
    <s v="Business/Management"/>
    <s v="9781472432100"/>
    <s v=",1,2,3"/>
    <n v="3"/>
    <m/>
    <m/>
    <s v="No"/>
    <x v="3"/>
    <m/>
    <m/>
    <s v="128.205.114.91"/>
    <s v="HF5548.37 -- .T74 2014eb"/>
    <s v="658.4/78"/>
    <d v="2014-09-28T00:00:00"/>
  </r>
  <r>
    <x v="3776"/>
    <d v="1899-12-30T00:01:30"/>
    <x v="726"/>
    <x v="0"/>
    <s v="Buffalo"/>
    <x v="167"/>
    <n v="1746990"/>
    <x v="1"/>
    <s v="Business/Management"/>
    <s v="9781472432100"/>
    <s v=",1,2,3,108,109,110,106,107,111,112,113,114,115,116,118,117"/>
    <n v="16"/>
    <m/>
    <m/>
    <s v="No"/>
    <x v="3"/>
    <m/>
    <m/>
    <s v="128.205.114.91"/>
    <s v="HF5548.37 -- .T74 2014eb"/>
    <s v="658.4/78"/>
    <d v="2014-09-28T00:00:00"/>
  </r>
  <r>
    <x v="3777"/>
    <d v="1899-12-30T00:00:13"/>
    <x v="1002"/>
    <x v="6"/>
    <s v="sjfc"/>
    <x v="959"/>
    <n v="1895917"/>
    <x v="0"/>
    <s v="Fine Arts"/>
    <s v="9781119014959"/>
    <s v=",1,2,3,7,8,9,5,6"/>
    <n v="8"/>
    <m/>
    <m/>
    <s v="No"/>
    <x v="1"/>
    <m/>
    <m/>
    <s v="149.69.254.57"/>
    <s v="PN1995.9.A3 -- .T37 2015eb"/>
    <s v="791.43/6582"/>
    <d v="2015-03-24T00:00:00"/>
  </r>
  <r>
    <x v="3778"/>
    <d v="1899-12-30T00:01:17"/>
    <x v="885"/>
    <x v="13"/>
    <s v="buffalostate"/>
    <x v="546"/>
    <n v="1809344"/>
    <x v="16"/>
    <s v="Social Science"/>
    <s v="9781137356192"/>
    <s v=",1,2,3,4,5,6,7,8,9,10,11,12,13,14,15,16,17,18"/>
    <n v="18"/>
    <m/>
    <m/>
    <s v="No"/>
    <x v="1"/>
    <m/>
    <m/>
    <s v="136.183.11.43"/>
    <s v="HV6556 -- .P748 2014eb"/>
    <n v="364.4"/>
    <d v="2014-10-03T00:00:00"/>
  </r>
  <r>
    <x v="3779"/>
    <d v="1899-12-30T01:16:07"/>
    <x v="991"/>
    <x v="0"/>
    <s v="Buffalo"/>
    <x v="957"/>
    <n v="1168529"/>
    <x v="0"/>
    <s v="Mathematics"/>
    <s v="9781118710944"/>
    <s v=",9,11,7,10,8,19,20,21,17,18,22"/>
    <n v="11"/>
    <m/>
    <m/>
    <s v="No"/>
    <x v="0"/>
    <d v="2015-11-15T02:35:58"/>
    <n v="7"/>
    <s v="128.205.114.91"/>
    <s v="QA278 .A353 2013"/>
    <s v="519.5; 519.535"/>
    <d v="2013-04-08T00:00:00"/>
  </r>
  <r>
    <x v="3780"/>
    <d v="1899-12-30T00:14:03"/>
    <x v="991"/>
    <x v="0"/>
    <s v="Buffalo"/>
    <x v="957"/>
    <n v="1168529"/>
    <x v="0"/>
    <s v="Mathematics"/>
    <s v="9781118710944"/>
    <s v=",1,2,3"/>
    <n v="3"/>
    <m/>
    <m/>
    <s v="No"/>
    <x v="1"/>
    <m/>
    <m/>
    <s v="128.205.114.91"/>
    <s v="QA278 .A353 2013"/>
    <s v="519.5; 519.535"/>
    <d v="2013-04-08T00:00:00"/>
  </r>
  <r>
    <x v="3781"/>
    <d v="1899-12-30T00:02:20"/>
    <x v="623"/>
    <x v="6"/>
    <s v="sjfc"/>
    <x v="662"/>
    <n v="1318689"/>
    <x v="0"/>
    <s v="Business/Management"/>
    <s v="9781118573310"/>
    <s v=",1,2,3,53,54,55,51,52,56,57,36,37,38,34,35,39,40,41"/>
    <n v="18"/>
    <m/>
    <m/>
    <s v="No"/>
    <x v="0"/>
    <d v="2015-11-14T16:42:14"/>
    <n v="7"/>
    <s v="149.69.254.57"/>
    <s v="HD31 -- .B6135 2013eb"/>
    <s v="658.4/063"/>
    <d v="2013-07-16T00:00:00"/>
  </r>
  <r>
    <x v="3782"/>
    <d v="1899-12-30T00:01:26"/>
    <x v="1018"/>
    <x v="13"/>
    <s v="buffalostate"/>
    <x v="510"/>
    <n v="1109590"/>
    <x v="14"/>
    <s v="Fine Arts"/>
    <s v="9781476600093"/>
    <s v=",1,2,3,4,5,6,7,8,9,10,11,12,21,23,25,29,35,45,50,53,71,89,117,132,134,131,115,113,96,94,97,111,114,112,116,110,109,108,118,119,120,121,122,123,124,125,126"/>
    <n v="47"/>
    <m/>
    <m/>
    <s v="No"/>
    <x v="1"/>
    <m/>
    <m/>
    <s v="136.183.11.43"/>
    <s v="PN1999.W27 -- D58 2013eb"/>
    <s v="791.43/6552; 791.436552"/>
    <d v="2013-01-20T00:00:00"/>
  </r>
  <r>
    <x v="3783"/>
    <d v="1899-12-30T00:00:22"/>
    <x v="623"/>
    <x v="6"/>
    <s v="sjfc"/>
    <x v="662"/>
    <n v="1318689"/>
    <x v="0"/>
    <s v="Business/Management"/>
    <s v="9781118573310"/>
    <s v=",1,6,7,8,4,5,2"/>
    <n v="7"/>
    <m/>
    <m/>
    <s v="No"/>
    <x v="0"/>
    <d v="2015-11-14T16:42:14"/>
    <n v="7"/>
    <s v="149.69.254.57"/>
    <s v="HD31 -- .B6135 2013eb"/>
    <s v="658.4/063"/>
    <d v="2013-07-16T00:00:00"/>
  </r>
  <r>
    <x v="3784"/>
    <d v="1899-12-30T00:11:38"/>
    <x v="623"/>
    <x v="6"/>
    <s v="sjfc"/>
    <x v="662"/>
    <n v="1318689"/>
    <x v="0"/>
    <s v="Business/Management"/>
    <s v="9781118573310"/>
    <s v=",1,2,3,124,125,126,122,123,127,128,3,4,5,178,179,176,180,177,353,354,355,351,352,350,238,239,240,236,237,235,234,233,232,231,230,338,339,340,336,337,335,21,22,23,19,20,24,25,26,27,28,29,30,31,32,33,34,35,36,37,38,39,40,44,46,41,42"/>
    <n v="66"/>
    <m/>
    <m/>
    <s v="No"/>
    <x v="0"/>
    <d v="2015-11-14T16:42:14"/>
    <n v="7"/>
    <s v="149.69.254.57"/>
    <s v="HD31 -- .B6135 2013eb"/>
    <s v="658.4/063"/>
    <d v="2013-07-16T00:00:00"/>
  </r>
  <r>
    <x v="3785"/>
    <d v="1899-12-30T00:00:59"/>
    <x v="991"/>
    <x v="0"/>
    <s v="Buffalo"/>
    <x v="957"/>
    <n v="1168529"/>
    <x v="0"/>
    <s v="Mathematics"/>
    <s v="9781118710944"/>
    <s v=",1,2,3,4,9,10,11,7,8,12,13"/>
    <n v="11"/>
    <m/>
    <m/>
    <s v="No"/>
    <x v="1"/>
    <m/>
    <m/>
    <s v="128.205.114.91"/>
    <s v="QA278 .A353 2013"/>
    <s v="519.5; 519.535"/>
    <d v="2013-04-08T00:00:00"/>
  </r>
  <r>
    <x v="3786"/>
    <d v="1899-12-30T00:54:21"/>
    <x v="13"/>
    <x v="0"/>
    <s v="Buffalo"/>
    <x v="161"/>
    <n v="821663"/>
    <x v="0"/>
    <s v="Architecture"/>
    <s v="9781118168479"/>
    <s v=",1,2,3,328,329,325,326,330,331,332,333,334,324,327,327,327,327,328,329,325,330,326,331,332,355,352,353,333,334"/>
    <n v="17"/>
    <m/>
    <m/>
    <s v="No"/>
    <x v="0"/>
    <d v="2015-11-09T06:11:26"/>
    <n v="7"/>
    <s v="128.205.114.91"/>
    <s v="NA2547 -- .S74 2012eb"/>
    <n v="729"/>
    <d v="2012-03-05T00:00:00"/>
  </r>
  <r>
    <x v="3787"/>
    <d v="1899-12-30T02:02:14"/>
    <x v="1019"/>
    <x v="16"/>
    <s v="monroecc"/>
    <x v="926"/>
    <n v="1584076"/>
    <x v="0"/>
    <s v="History"/>
    <s v="9780745679679"/>
    <s v=",1,2,3,251,252,253,249,250,254,255,256,257,258,1,259,258,259,260,258,256,260,257,257,255,254,253,252,251,2,250,249,248,11,12,13,9,10,14,15,16,17,18,19,261,262,263,264,25,26,27,23,24,28,1,28,30,29,28,26,29,27,30,27,25,23,24,2,11,12,13,9,10,5,6,7,3,4,8,251,252,253,249,250,254,255,256,257,258,259,260"/>
    <n v="44"/>
    <m/>
    <m/>
    <s v="No"/>
    <x v="0"/>
    <d v="2015-11-13T22:28:35"/>
    <n v="7"/>
    <s v="150.160.200.114"/>
    <s v="DG445 .B384 2013"/>
    <n v="945.05"/>
    <d v="2013-12-18T00:00:00"/>
  </r>
  <r>
    <x v="3788"/>
    <d v="1899-12-30T00:09:40"/>
    <x v="1020"/>
    <x v="14"/>
    <s v="houghton"/>
    <x v="220"/>
    <n v="979949"/>
    <x v="14"/>
    <s v="Literature"/>
    <s v="9780786493234"/>
    <s v=",1,2,3,4,5,6,7,8,9,10,11,12,13,14,15,16,17"/>
    <n v="17"/>
    <m/>
    <m/>
    <s v="No"/>
    <x v="1"/>
    <m/>
    <m/>
    <s v="96.43.64.169"/>
    <s v="PS3603.O4558 -- Z6845 2012eb"/>
    <s v="813/.6"/>
    <d v="2012-07-12T00:00:00"/>
  </r>
  <r>
    <x v="3789"/>
    <d v="1899-12-30T00:05:53"/>
    <x v="1020"/>
    <x v="14"/>
    <s v="houghton"/>
    <x v="207"/>
    <n v="979950"/>
    <x v="14"/>
    <s v="Literature"/>
    <s v="9781476600321"/>
    <s v=",1,2,3,4,5,6,7,8,9,10,11,12,98,99,100,96,97,101"/>
    <n v="18"/>
    <m/>
    <m/>
    <s v="No"/>
    <x v="1"/>
    <m/>
    <m/>
    <s v="96.43.64.169"/>
    <s v="PS3603.O4558 -- Z84 2012eb"/>
    <s v="813/.6"/>
    <d v="2012-07-10T00:00:00"/>
  </r>
  <r>
    <x v="3790"/>
    <d v="1899-12-30T00:00:00"/>
    <x v="853"/>
    <x v="0"/>
    <s v="Buffalo"/>
    <x v="477"/>
    <n v="1120279"/>
    <x v="0"/>
    <s v="Science: Biology/Natural History; Science"/>
    <s v="9781118537671"/>
    <s v=",97,98"/>
    <n v="2"/>
    <m/>
    <m/>
    <s v="No"/>
    <x v="0"/>
    <d v="2015-11-14T22:02:09"/>
    <n v="7"/>
    <s v="128.205.114.91"/>
    <s v="QH371 .K384 2012"/>
    <n v="599.93499999999995"/>
    <d v="2012-11-19T00:00:00"/>
  </r>
  <r>
    <x v="3791"/>
    <d v="1899-12-30T00:31:26"/>
    <x v="853"/>
    <x v="0"/>
    <s v="Buffalo"/>
    <x v="477"/>
    <n v="1120279"/>
    <x v="0"/>
    <s v="Science: Biology/Natural History; Science"/>
    <s v="9781118537671"/>
    <s v=",1,2,3,149,150,151,147,148,190,191,192,188,189,193,194,195,196,112,113,114,110,115,111,116,117,118,119,120,121,122,123,124,122,123,124,120,121,122,123,124,120,121,119,118,117,116,115,114,99,100,101,97,98,102,103,104,105,106,107,108"/>
    <n v="44"/>
    <m/>
    <m/>
    <s v="No"/>
    <x v="1"/>
    <m/>
    <m/>
    <s v="128.205.114.91"/>
    <s v="QH371 .K384 2012"/>
    <n v="599.93499999999995"/>
    <d v="2012-11-19T00:00:00"/>
  </r>
  <r>
    <x v="3792"/>
    <d v="1899-12-30T00:00:14"/>
    <x v="13"/>
    <x v="0"/>
    <s v="Buffalo"/>
    <x v="73"/>
    <n v="1119505"/>
    <x v="0"/>
    <s v="Science: Chemistry; Science"/>
    <s v="9781118355015"/>
    <s v=",1,2,3,266,267,268,264,265,269"/>
    <n v="9"/>
    <m/>
    <m/>
    <s v="No"/>
    <x v="0"/>
    <d v="2015-11-14T16:15:40"/>
    <n v="7"/>
    <s v="128.205.114.91"/>
    <s v="QD251.3 -- .S38 2013eb"/>
    <s v="547/.128"/>
    <d v="2013-01-28T00:00:00"/>
  </r>
  <r>
    <x v="3793"/>
    <d v="1899-12-30T00:03:19"/>
    <x v="1021"/>
    <x v="16"/>
    <s v="monroecc"/>
    <x v="969"/>
    <n v="2110656"/>
    <x v="1"/>
    <s v="General Works/Reference"/>
    <s v="9781472422910"/>
    <s v=",21,22,23,182,206,208,204,205,209,210"/>
    <n v="10"/>
    <m/>
    <m/>
    <s v="No"/>
    <x v="2"/>
    <d v="2015-11-14T18:13:33"/>
    <n v="1"/>
    <s v="150.160.200.114"/>
    <s v="AZ105 .C56 2015"/>
    <n v="1.3028500000000001"/>
    <d v="2015-09-28T00:00:00"/>
  </r>
  <r>
    <x v="3794"/>
    <d v="1899-12-30T00:05:19"/>
    <x v="1021"/>
    <x v="16"/>
    <s v="monroecc"/>
    <x v="969"/>
    <n v="2110656"/>
    <x v="1"/>
    <s v="General Works/Reference"/>
    <s v="9781472422910"/>
    <s v=",1,2,3,4,5,6,7,8,9,10,11,12,13,14,15,16,17,18,19,20"/>
    <n v="20"/>
    <m/>
    <m/>
    <s v="No"/>
    <x v="3"/>
    <m/>
    <m/>
    <s v="150.160.200.114"/>
    <s v="AZ105 .C56 2015"/>
    <n v="1.3028500000000001"/>
    <d v="2015-09-28T00:00:00"/>
  </r>
  <r>
    <x v="3795"/>
    <d v="1899-12-30T00:11:50"/>
    <x v="13"/>
    <x v="0"/>
    <s v="Buffalo"/>
    <x v="73"/>
    <n v="1119505"/>
    <x v="0"/>
    <s v="Science: Chemistry; Science"/>
    <s v="9781118355015"/>
    <s v=",1,2,3,232,233,234,230,231,235,236,237,238,239"/>
    <n v="13"/>
    <m/>
    <m/>
    <s v="No"/>
    <x v="0"/>
    <d v="2015-11-14T16:15:40"/>
    <n v="7"/>
    <s v="128.205.114.91"/>
    <s v="QD251.3 -- .S38 2013eb"/>
    <s v="547/.128"/>
    <d v="2013-01-28T00:00:00"/>
  </r>
  <r>
    <x v="3796"/>
    <d v="1899-12-30T00:05:51"/>
    <x v="1008"/>
    <x v="0"/>
    <s v="Buffalo"/>
    <x v="73"/>
    <n v="1119505"/>
    <x v="0"/>
    <s v="Science: Chemistry; Science"/>
    <s v="9781118355015"/>
    <s v=",1,2,3,81,82,83,79,84,80,85,86,87,88,89,90,91,92,93,94,95,96,97,98,99,100,101,102,103,1,2,3,111,112,113,109,110,108,114,107,115,84,85,86,87,88,89,90,91,92,93,94,95,96"/>
    <n v="37"/>
    <m/>
    <m/>
    <s v="No"/>
    <x v="0"/>
    <d v="2015-11-07T20:21:35"/>
    <n v="7"/>
    <s v="128.205.114.91"/>
    <s v="QD251.3 -- .S38 2013eb"/>
    <s v="547/.128"/>
    <d v="2013-01-28T00:00:00"/>
  </r>
  <r>
    <x v="3797"/>
    <d v="1899-12-30T00:00:04"/>
    <x v="623"/>
    <x v="6"/>
    <s v="sjfc"/>
    <x v="662"/>
    <n v="1318689"/>
    <x v="0"/>
    <s v="Business/Management"/>
    <s v="9781118573310"/>
    <s v=",1,2,3"/>
    <n v="3"/>
    <m/>
    <m/>
    <s v="No"/>
    <x v="0"/>
    <d v="2015-11-14T16:42:14"/>
    <n v="7"/>
    <s v="149.69.254.57"/>
    <s v="HD31 -- .B6135 2013eb"/>
    <s v="658.4/063"/>
    <d v="2013-07-16T00:00:00"/>
  </r>
  <r>
    <x v="3798"/>
    <d v="1899-12-30T00:02:12"/>
    <x v="623"/>
    <x v="6"/>
    <s v="sjfc"/>
    <x v="662"/>
    <n v="1318689"/>
    <x v="0"/>
    <s v="Business/Management"/>
    <s v="9781118573310"/>
    <s v=",1,2,3,26,27,28,29,30,31,32,33,34,35,36,37,38,39,40,41,42,43,1,2,3"/>
    <n v="21"/>
    <m/>
    <m/>
    <s v="No"/>
    <x v="0"/>
    <d v="2015-11-14T16:42:14"/>
    <n v="7"/>
    <s v="149.69.254.57"/>
    <s v="HD31 -- .B6135 2013eb"/>
    <s v="658.4/063"/>
    <d v="2013-07-16T00:00:00"/>
  </r>
  <r>
    <x v="3799"/>
    <d v="1899-12-30T00:08:59"/>
    <x v="623"/>
    <x v="6"/>
    <s v="sjfc"/>
    <x v="662"/>
    <n v="1318689"/>
    <x v="0"/>
    <s v="Business/Management"/>
    <s v="9781118573310"/>
    <s v=",25,23,24,59,60,61,57,58,62,63,64,65,32,33,34,43,35,36"/>
    <n v="18"/>
    <m/>
    <m/>
    <s v="No"/>
    <x v="0"/>
    <d v="2015-11-14T16:42:14"/>
    <n v="7"/>
    <s v="149.69.254.57"/>
    <s v="HD31 -- .B6135 2013eb"/>
    <s v="658.4/063"/>
    <d v="2013-07-16T00:00:00"/>
  </r>
  <r>
    <x v="3800"/>
    <d v="1899-12-30T00:25:47"/>
    <x v="623"/>
    <x v="6"/>
    <s v="sjfc"/>
    <x v="662"/>
    <n v="1318689"/>
    <x v="0"/>
    <s v="Business/Management"/>
    <s v="9781118573310"/>
    <s v=",1,2,3,28,29,30,26,27,33,20,21,22,18,19,31,32,33,38,39,40,36,37,41"/>
    <n v="22"/>
    <m/>
    <m/>
    <s v="No"/>
    <x v="1"/>
    <m/>
    <m/>
    <s v="149.69.254.57"/>
    <s v="HD31 -- .B6135 2013eb"/>
    <s v="658.4/063"/>
    <d v="2013-07-16T00:00:00"/>
  </r>
  <r>
    <x v="3801"/>
    <d v="1899-12-30T00:19:03"/>
    <x v="13"/>
    <x v="0"/>
    <s v="Buffalo"/>
    <x v="73"/>
    <n v="1119505"/>
    <x v="0"/>
    <s v="Science: Chemistry; Science"/>
    <s v="9781118355015"/>
    <s v=",236,266,267,268,264,265,269,270,262,259,257,256,255,254,252,251,249,247,246,245,244,243,241,242,240,239,238,237"/>
    <n v="28"/>
    <m/>
    <m/>
    <s v="No"/>
    <x v="0"/>
    <d v="2015-11-14T16:15:40"/>
    <n v="7"/>
    <s v="128.205.114.91"/>
    <s v="QD251.3 -- .S38 2013eb"/>
    <s v="547/.128"/>
    <d v="2013-01-28T00:00:00"/>
  </r>
  <r>
    <x v="3802"/>
    <d v="1899-12-30T00:14:24"/>
    <x v="13"/>
    <x v="0"/>
    <s v="Buffalo"/>
    <x v="73"/>
    <n v="1119505"/>
    <x v="0"/>
    <s v="Science: Chemistry; Science"/>
    <s v="9781118355015"/>
    <s v=",1,2,3,231,232,233,229,230,234,235"/>
    <n v="10"/>
    <m/>
    <m/>
    <s v="No"/>
    <x v="1"/>
    <m/>
    <m/>
    <s v="128.205.114.91"/>
    <s v="QD251.3 -- .S38 2013eb"/>
    <s v="547/.128"/>
    <d v="2013-01-28T00:00:00"/>
  </r>
  <r>
    <x v="3803"/>
    <d v="1899-12-30T00:02:05"/>
    <x v="1008"/>
    <x v="0"/>
    <s v="Buffalo"/>
    <x v="73"/>
    <n v="1119505"/>
    <x v="0"/>
    <s v="Science: Chemistry; Science"/>
    <s v="9781118355015"/>
    <s v=",1,2,3,231,232,233,229,230,231,269,270,271,268,266,267"/>
    <n v="14"/>
    <m/>
    <s v=",231,232,233,234,235,236,237,238,239,240,241,242,243,244,245,246,247,248,249,250,251,252,253,254,255,256,257,258,259,260,261,262,263,264,265,266,267,268"/>
    <s v="No"/>
    <x v="0"/>
    <d v="2015-11-07T20:21:35"/>
    <n v="7"/>
    <s v="128.205.114.91"/>
    <s v="QD251.3 -- .S38 2013eb"/>
    <s v="547/.128"/>
    <d v="2013-01-28T00:00:00"/>
  </r>
  <r>
    <x v="3804"/>
    <d v="1899-12-30T00:02:23"/>
    <x v="1003"/>
    <x v="12"/>
    <s v="potsdam"/>
    <x v="961"/>
    <n v="2056249"/>
    <x v="0"/>
    <s v="Philosophy; Journalism"/>
    <s v="9781119031758"/>
    <s v=",1,2,3,292,293,294,290,291"/>
    <n v="8"/>
    <m/>
    <m/>
    <s v="No"/>
    <x v="3"/>
    <m/>
    <m/>
    <s v="137.143.104.94"/>
    <s v="PN4756 .F67 2015"/>
    <n v="174.90700000000001"/>
    <d v="2015-05-18T00:00:00"/>
  </r>
  <r>
    <x v="3805"/>
    <d v="1899-12-30T00:00:52"/>
    <x v="1022"/>
    <x v="0"/>
    <s v="Buffalo"/>
    <x v="707"/>
    <n v="1759293"/>
    <x v="4"/>
    <s v="Medicine"/>
    <s v="9781462517046"/>
    <s v=",1,2,3,4,5,6,7"/>
    <n v="7"/>
    <m/>
    <m/>
    <s v="No"/>
    <x v="3"/>
    <m/>
    <m/>
    <s v="128.205.114.91"/>
    <s v="RC533 -- .C646 2013eb"/>
    <n v="616.85226999999998"/>
    <d v="2014-11-10T00:00:00"/>
  </r>
  <r>
    <x v="3806"/>
    <d v="1899-12-30T00:00:00"/>
    <x v="1023"/>
    <x v="7"/>
    <s v="oneonta"/>
    <x v="970"/>
    <n v="1550534"/>
    <x v="0"/>
    <s v="Political Science"/>
    <s v="9780745672397"/>
    <s v=",14"/>
    <n v="1"/>
    <m/>
    <m/>
    <s v="No"/>
    <x v="2"/>
    <d v="2015-11-14T01:50:19"/>
    <n v="1"/>
    <s v="137.141.13.2"/>
    <s v="JA36 .S384 2013"/>
    <n v="320.08199999999999"/>
    <d v="2013-11-06T00:00:00"/>
  </r>
  <r>
    <x v="3807"/>
    <d v="1899-12-30T00:06:47"/>
    <x v="1023"/>
    <x v="7"/>
    <s v="oneonta"/>
    <x v="970"/>
    <n v="1550534"/>
    <x v="0"/>
    <s v="Political Science"/>
    <s v="9780745672397"/>
    <s v=",1,2,3,4,5,6,7,8,9,10,11,12,13"/>
    <n v="13"/>
    <m/>
    <m/>
    <s v="No"/>
    <x v="3"/>
    <m/>
    <m/>
    <s v="137.141.13.2"/>
    <s v="JA36 .S384 2013"/>
    <n v="320.08199999999999"/>
    <d v="2013-11-06T00:00:00"/>
  </r>
  <r>
    <x v="3808"/>
    <d v="1899-12-30T00:01:21"/>
    <x v="1024"/>
    <x v="16"/>
    <s v="monroecc"/>
    <x v="955"/>
    <n v="1896024"/>
    <x v="0"/>
    <s v="Education"/>
    <s v="9781119061496"/>
    <s v=",1,2,3,9,10,11,7,8,12,13,14,15,16,17,18,19,20,21,23,24,25,22,39,40,41,38,37"/>
    <n v="27"/>
    <m/>
    <m/>
    <s v="No"/>
    <x v="3"/>
    <m/>
    <m/>
    <s v="150.160.200.114"/>
    <s v="LB2326.3 -- .E543 2015eb"/>
    <n v="378.00720000000001"/>
    <d v="2015-03-11T00:00:00"/>
  </r>
  <r>
    <x v="3809"/>
    <d v="1899-12-30T00:01:02"/>
    <x v="1025"/>
    <x v="0"/>
    <s v="Buffalo"/>
    <x v="799"/>
    <n v="1815566"/>
    <x v="1"/>
    <s v="Political Science"/>
    <s v="9781472430083"/>
    <s v=",38,39,40,36,37,41,34,30,17,14,10,4,5,6,7,8,9,11,12,13,15,16,18,19,20,21,22,23,24"/>
    <n v="29"/>
    <m/>
    <m/>
    <s v="No"/>
    <x v="2"/>
    <d v="2015-11-14T00:25:05"/>
    <n v="1"/>
    <s v="128.205.114.91"/>
    <s v="JV6346 -- .L37 2014eb"/>
    <s v="325/.21"/>
    <d v="2014-12-28T00:00:00"/>
  </r>
  <r>
    <x v="3810"/>
    <d v="1899-12-30T00:11:34"/>
    <x v="1025"/>
    <x v="0"/>
    <s v="Buffalo"/>
    <x v="799"/>
    <n v="1815566"/>
    <x v="1"/>
    <s v="Political Science"/>
    <s v="9781472430083"/>
    <s v=",1,2,3"/>
    <n v="3"/>
    <m/>
    <m/>
    <s v="No"/>
    <x v="3"/>
    <m/>
    <m/>
    <s v="128.205.114.91"/>
    <s v="JV6346 -- .L37 2014eb"/>
    <s v="325/.21"/>
    <d v="2014-12-28T00:00:00"/>
  </r>
  <r>
    <x v="3811"/>
    <d v="1899-12-30T00:32:47"/>
    <x v="1019"/>
    <x v="16"/>
    <s v="monroecc"/>
    <x v="926"/>
    <n v="1584076"/>
    <x v="0"/>
    <s v="History"/>
    <s v="9780745679679"/>
    <s v=",8,13,14,14,9,14,15,15,27,28,27,29,28,29,25,26,26,30,30,251,252,253,252,249,251,250,253,250,254"/>
    <n v="17"/>
    <m/>
    <m/>
    <s v="No"/>
    <x v="0"/>
    <d v="2015-11-13T22:28:35"/>
    <n v="7"/>
    <s v="150.160.200.114"/>
    <s v="DG445 .B384 2013"/>
    <n v="945.05"/>
    <d v="2013-12-18T00:00:00"/>
  </r>
  <r>
    <x v="3812"/>
    <d v="1899-12-30T00:11:31"/>
    <x v="1019"/>
    <x v="16"/>
    <s v="monroecc"/>
    <x v="926"/>
    <n v="1584076"/>
    <x v="0"/>
    <s v="History"/>
    <s v="9780745679679"/>
    <s v=",1,2,2,3,3,1,4,4,4,5,5,2,2,6,6,7,7,8,8,9,9,10,10,5,11,11,12,10,12,13,13,9,10"/>
    <n v="13"/>
    <m/>
    <m/>
    <s v="No"/>
    <x v="1"/>
    <m/>
    <m/>
    <s v="150.160.200.114"/>
    <s v="DG445 .B384 2013"/>
    <n v="945.05"/>
    <d v="2013-12-18T00:00:00"/>
  </r>
  <r>
    <x v="3813"/>
    <d v="1899-12-30T00:03:37"/>
    <x v="1026"/>
    <x v="7"/>
    <s v="oneonta"/>
    <x v="971"/>
    <n v="875791"/>
    <x v="0"/>
    <s v="Education"/>
    <s v="9781118220153"/>
    <s v=",1,2,3,4,5,6,7,8,9,10,11,12,13,14,12"/>
    <n v="14"/>
    <m/>
    <m/>
    <s v="No"/>
    <x v="1"/>
    <m/>
    <m/>
    <s v="137.141.13.2"/>
    <s v="LA229 -- .L48 2012eb"/>
    <s v="378.1/98; 378.198"/>
    <d v="2012-07-20T00:00:00"/>
  </r>
  <r>
    <x v="3814"/>
    <d v="1899-12-30T00:00:00"/>
    <x v="491"/>
    <x v="8"/>
    <s v="niagaracc"/>
    <x v="16"/>
    <n v="877717"/>
    <x v="6"/>
    <s v="Fine Arts"/>
    <s v="9781438139265"/>
    <m/>
    <n v="0"/>
    <m/>
    <m/>
    <s v="No"/>
    <x v="0"/>
    <d v="2015-11-13T20:59:48"/>
    <n v="7"/>
    <s v="132.174.254.37"/>
    <s v="PN1998.3.M577 -- L46 2012eb"/>
    <s v="791.4302/33092; B"/>
    <d v="2012-01-01T00:00:00"/>
  </r>
  <r>
    <x v="3815"/>
    <d v="1899-12-30T00:00:10"/>
    <x v="491"/>
    <x v="8"/>
    <s v="niagaracc"/>
    <x v="16"/>
    <n v="877717"/>
    <x v="6"/>
    <s v="Fine Arts"/>
    <s v="9781438139265"/>
    <s v=",1,2,3"/>
    <n v="3"/>
    <m/>
    <m/>
    <s v="No"/>
    <x v="1"/>
    <m/>
    <m/>
    <s v="132.174.254.37"/>
    <s v="PN1998.3.M577 -- L46 2012eb"/>
    <s v="791.4302/33092; B"/>
    <d v="2012-01-01T00:00:00"/>
  </r>
  <r>
    <x v="3816"/>
    <d v="1899-12-30T00:00:06"/>
    <x v="491"/>
    <x v="8"/>
    <s v="niagaracc"/>
    <x v="16"/>
    <n v="877717"/>
    <x v="6"/>
    <s v="Fine Arts"/>
    <s v="9781438139265"/>
    <s v=",1,2,3"/>
    <n v="3"/>
    <m/>
    <m/>
    <s v="No"/>
    <x v="1"/>
    <m/>
    <m/>
    <s v="132.174.254.37"/>
    <s v="PN1998.3.M577 -- L46 2012eb"/>
    <s v="791.4302/33092; B"/>
    <d v="2012-01-01T00:00:00"/>
  </r>
  <r>
    <x v="3817"/>
    <d v="1899-12-30T00:00:59"/>
    <x v="259"/>
    <x v="12"/>
    <s v="potsdam"/>
    <x v="972"/>
    <n v="1887742"/>
    <x v="0"/>
    <s v="Education"/>
    <s v="9781118603796"/>
    <s v=",1,2,3,4,5,6,7,8,9,57,112,113,114,115,116,117,61,62,63,59,60"/>
    <n v="21"/>
    <m/>
    <m/>
    <s v="No"/>
    <x v="3"/>
    <m/>
    <m/>
    <s v="137.143.104.94"/>
    <s v="LB1707 -- .B334 2015eb"/>
    <s v="370.71/1"/>
    <d v="2014-12-09T00:00:00"/>
  </r>
  <r>
    <x v="3818"/>
    <d v="1899-12-30T00:02:57"/>
    <x v="1027"/>
    <x v="1"/>
    <s v="brockport"/>
    <x v="275"/>
    <n v="1895307"/>
    <x v="0"/>
    <s v="Business/Management"/>
    <s v="9781119049074"/>
    <s v=",1,2,2,1,3,3,4,4,5,5,6,6,7,7,8,8,9,9,2,10,10,11,11,12,12,13,13,14,14,9,14,9,14"/>
    <n v="14"/>
    <m/>
    <m/>
    <s v="No"/>
    <x v="3"/>
    <m/>
    <m/>
    <s v="137.21.7.121"/>
    <s v="HD30.4 .S384 2015"/>
    <n v="658.10923300000002"/>
    <d v="2015-04-15T00:00:00"/>
  </r>
  <r>
    <x v="3819"/>
    <d v="1899-12-30T00:00:00"/>
    <x v="606"/>
    <x v="0"/>
    <s v="Buffalo"/>
    <x v="973"/>
    <n v="2130134"/>
    <x v="11"/>
    <s v="Agriculture; Science: Biology/Natural History; Science"/>
    <s v="9780226219950"/>
    <m/>
    <n v="0"/>
    <m/>
    <m/>
    <s v="Yes"/>
    <x v="2"/>
    <d v="2015-11-13T19:45:21"/>
    <n v="1"/>
    <s v="128.205.114.91"/>
    <s v="QH75"/>
    <n v="639.9"/>
    <d v="2013-02-28T00:00:00"/>
  </r>
  <r>
    <x v="3819"/>
    <d v="1899-12-30T00:00:00"/>
    <x v="606"/>
    <x v="0"/>
    <s v="Buffalo"/>
    <x v="973"/>
    <n v="2130134"/>
    <x v="11"/>
    <s v="Agriculture; Science: Biology/Natural History; Science"/>
    <s v="9780226219950"/>
    <m/>
    <n v="0"/>
    <m/>
    <m/>
    <s v="No"/>
    <x v="2"/>
    <d v="2015-11-13T19:45:21"/>
    <n v="1"/>
    <s v="128.205.114.91"/>
    <s v="QH75"/>
    <n v="639.9"/>
    <d v="2013-02-28T00:00:00"/>
  </r>
  <r>
    <x v="3820"/>
    <d v="1899-12-30T00:00:37"/>
    <x v="606"/>
    <x v="0"/>
    <s v="Buffalo"/>
    <x v="973"/>
    <n v="2130134"/>
    <x v="11"/>
    <s v="Agriculture; Science: Biology/Natural History; Science"/>
    <s v="9780226219950"/>
    <s v=",1,2,3"/>
    <n v="3"/>
    <m/>
    <m/>
    <s v="No"/>
    <x v="3"/>
    <m/>
    <m/>
    <s v="128.205.114.91"/>
    <s v="QH75"/>
    <n v="639.9"/>
    <d v="2013-02-28T00:00:00"/>
  </r>
  <r>
    <x v="3821"/>
    <d v="1899-12-30T00:00:56"/>
    <x v="13"/>
    <x v="0"/>
    <s v="Buffalo"/>
    <x v="73"/>
    <n v="1119505"/>
    <x v="0"/>
    <s v="Science: Chemistry; Science"/>
    <s v="9781118355015"/>
    <s v=",1,2,2,1,3,3,169,170,171,170,171,169,167,168,168,2,172,172,173,173,174,174,169,167,168"/>
    <n v="11"/>
    <m/>
    <m/>
    <s v="No"/>
    <x v="1"/>
    <m/>
    <m/>
    <s v="128.205.114.91"/>
    <s v="QD251.3 -- .S38 2013eb"/>
    <s v="547/.128"/>
    <d v="2013-01-28T00:00:00"/>
  </r>
  <r>
    <x v="3822"/>
    <d v="1899-12-30T00:05:09"/>
    <x v="1028"/>
    <x v="0"/>
    <s v="Buffalo"/>
    <x v="103"/>
    <n v="865191"/>
    <x v="0"/>
    <s v="Social Science"/>
    <s v="9781118101681"/>
    <s v=",1,2,3,11,12,13,9,10,14,15,16,17,18,19,20,21,1,2,3,12,13,14,19,21,22,23,20"/>
    <n v="18"/>
    <m/>
    <m/>
    <s v="No"/>
    <x v="1"/>
    <m/>
    <m/>
    <s v="128.205.114.91"/>
    <s v="HT166 -- .Y565 2012eb"/>
    <s v="307.1/216; 307.1216; 307.1416"/>
    <d v="2012-02-21T00:00:00"/>
  </r>
  <r>
    <x v="3823"/>
    <d v="1899-12-30T00:02:43"/>
    <x v="440"/>
    <x v="0"/>
    <s v="Buffalo"/>
    <x v="974"/>
    <n v="1767547"/>
    <x v="17"/>
    <s v="Fine Arts"/>
    <s v="9780748678181"/>
    <s v=",1,7,8,9,5,6,2,10,11,12,13,14,15,16,17,18"/>
    <n v="16"/>
    <m/>
    <m/>
    <s v="No"/>
    <x v="1"/>
    <m/>
    <m/>
    <s v="128.205.114.91"/>
    <s v="PN1992.8 .T78"/>
    <n v="791.45655599999998"/>
    <d v="2014-01-23T00:00:00"/>
  </r>
  <r>
    <x v="3824"/>
    <d v="1899-12-30T00:03:46"/>
    <x v="13"/>
    <x v="0"/>
    <s v="Buffalo"/>
    <x v="975"/>
    <n v="817871"/>
    <x v="0"/>
    <s v="Computer Science/IT"/>
    <s v="9781118206911"/>
    <s v=",1,2,3,84,85,86,82,83,87,88,89,90,91,92,93,94,95,96,97,98"/>
    <n v="20"/>
    <m/>
    <m/>
    <s v="No"/>
    <x v="1"/>
    <m/>
    <m/>
    <s v="128.205.114.91"/>
    <s v="QA76.76.H94"/>
    <n v="6.74"/>
    <d v="2011-12-20T00:00:00"/>
  </r>
  <r>
    <x v="3825"/>
    <d v="1899-12-30T00:00:04"/>
    <x v="1003"/>
    <x v="12"/>
    <s v="potsdam"/>
    <x v="961"/>
    <n v="2056249"/>
    <x v="0"/>
    <s v="Philosophy; Journalism"/>
    <s v="9781119031758"/>
    <s v=",1,2,3"/>
    <n v="3"/>
    <m/>
    <m/>
    <s v="No"/>
    <x v="3"/>
    <m/>
    <m/>
    <s v="137.143.104.94"/>
    <s v="PN4756 .F67 2015"/>
    <n v="174.90700000000001"/>
    <d v="2015-05-18T00:00:00"/>
  </r>
  <r>
    <x v="3826"/>
    <d v="1899-12-30T00:00:33"/>
    <x v="867"/>
    <x v="13"/>
    <s v="buffalostate"/>
    <x v="868"/>
    <n v="1650364"/>
    <x v="3"/>
    <s v="Social Science; Religion"/>
    <s v="9780520958272"/>
    <s v=",1,1,1,2,3,2,3,4,4,5,5,6,6,7,7,8,8,9,9,2,10,10,11,11,12,12,13,13,14,14,15,15"/>
    <n v="15"/>
    <m/>
    <m/>
    <s v="No"/>
    <x v="3"/>
    <m/>
    <m/>
    <s v="136.183.11.43"/>
    <s v="HQ767.3 -- .M56 2014eb"/>
    <s v="241/.6976"/>
    <d v="2014-05-20T00:00:00"/>
  </r>
  <r>
    <x v="3827"/>
    <d v="1899-12-30T00:00:05"/>
    <x v="13"/>
    <x v="0"/>
    <s v="Buffalo"/>
    <x v="379"/>
    <n v="1110728"/>
    <x v="0"/>
    <s v="Business/Management; Economics"/>
    <s v="9781118461204"/>
    <s v=",1,2,3"/>
    <n v="3"/>
    <m/>
    <m/>
    <s v="No"/>
    <x v="1"/>
    <m/>
    <m/>
    <s v="128.205.114.91"/>
    <s v="HG4910 -- .M53 2013eb"/>
    <s v="332.63/22"/>
    <d v="2013-01-09T00:00:00"/>
  </r>
  <r>
    <x v="3828"/>
    <d v="1899-12-30T00:06:33"/>
    <x v="13"/>
    <x v="0"/>
    <s v="Buffalo"/>
    <x v="247"/>
    <n v="1161538"/>
    <x v="0"/>
    <s v="Business/Management; Economics"/>
    <s v="9781118521755"/>
    <s v=",1,2,3,4,5,6,7,8,6,7,5,1,1,3,1,1,2,3,4,5"/>
    <n v="8"/>
    <m/>
    <m/>
    <s v="No"/>
    <x v="1"/>
    <m/>
    <m/>
    <s v="128.205.114.91"/>
    <s v="HG6041 -- .L44 2013eb"/>
    <n v="332.63220000000001"/>
    <d v="2013-03-26T00:00:00"/>
  </r>
  <r>
    <x v="3829"/>
    <d v="1899-12-30T00:00:18"/>
    <x v="1029"/>
    <x v="8"/>
    <s v="niagaracc"/>
    <x v="976"/>
    <n v="967750"/>
    <x v="15"/>
    <s v="History"/>
    <s v="9781441116635"/>
    <s v=",150"/>
    <n v="1"/>
    <s v=",148"/>
    <m/>
    <s v="No"/>
    <x v="0"/>
    <d v="2015-11-13T16:53:58"/>
    <n v="7"/>
    <s v="132.174.254.37"/>
    <s v="DE86"/>
    <n v="937"/>
    <d v="2012-06-21T00:00:00"/>
  </r>
  <r>
    <x v="3830"/>
    <d v="1899-12-30T00:01:01"/>
    <x v="1029"/>
    <x v="8"/>
    <s v="niagaracc"/>
    <x v="976"/>
    <n v="967750"/>
    <x v="15"/>
    <s v="History"/>
    <s v="9781441116635"/>
    <s v=",1,2,3,4,5,6,7,8,147,148,149,145,146"/>
    <n v="13"/>
    <m/>
    <m/>
    <s v="No"/>
    <x v="1"/>
    <m/>
    <m/>
    <s v="132.174.254.37"/>
    <s v="DE86"/>
    <n v="937"/>
    <d v="2012-06-21T00:00:00"/>
  </r>
  <r>
    <x v="3831"/>
    <d v="1899-12-30T00:00:46"/>
    <x v="1030"/>
    <x v="4"/>
    <s v="monroe2boces"/>
    <x v="118"/>
    <n v="1809742"/>
    <x v="0"/>
    <s v="Sport &amp; Recreation"/>
    <s v="9781118968291"/>
    <s v=",1,2,3,4,5,6,7,8,9,10,11,12,13,14,15,16,17,18,92,20"/>
    <n v="20"/>
    <m/>
    <m/>
    <s v="No"/>
    <x v="1"/>
    <m/>
    <m/>
    <s v="216.226.127.160"/>
    <s v="GV1469.35.M535 -- .S739 2015eb"/>
    <n v="794.8"/>
    <d v="2014-09-29T00:00:00"/>
  </r>
  <r>
    <x v="3832"/>
    <d v="1899-12-30T00:18:24"/>
    <x v="1031"/>
    <x v="6"/>
    <s v="sjfc"/>
    <x v="668"/>
    <n v="1674203"/>
    <x v="0"/>
    <s v="Philosophy"/>
    <s v="9780745674179"/>
    <s v=",73,74,75,70,71,72,68,69,76,82,82,83,1,84,80,81,2,79,78,77,70,73,74,75,71,72,76,79,80,81,82"/>
    <n v="19"/>
    <m/>
    <s v=",60,61,62,63,64,65,66,67,73,74,75,76,77,78,79,80"/>
    <s v="No"/>
    <x v="2"/>
    <d v="2015-11-13T15:32:39"/>
    <n v="1"/>
    <s v="149.69.254.57"/>
    <s v="B2948 -- .F75 2014eb"/>
    <n v="193"/>
    <d v="2014-04-10T00:00:00"/>
  </r>
  <r>
    <x v="3833"/>
    <d v="1899-12-30T00:00:24"/>
    <x v="1031"/>
    <x v="6"/>
    <s v="sjfc"/>
    <x v="668"/>
    <n v="1674203"/>
    <x v="0"/>
    <s v="Philosophy"/>
    <s v="9780745674179"/>
    <s v=",1,74,75,73,71,72,76,77,78,79,80,81,82,2"/>
    <n v="14"/>
    <m/>
    <m/>
    <s v="No"/>
    <x v="3"/>
    <m/>
    <m/>
    <s v="149.69.254.57"/>
    <s v="B2948 -- .F75 2014eb"/>
    <n v="193"/>
    <d v="2014-04-10T00:00:00"/>
  </r>
  <r>
    <x v="3834"/>
    <d v="1899-12-30T00:04:11"/>
    <x v="26"/>
    <x v="6"/>
    <s v="sjfc"/>
    <x v="668"/>
    <n v="1674203"/>
    <x v="0"/>
    <s v="Philosophy"/>
    <s v="9780745674179"/>
    <s v=",1,73,74,75,71,72,2,76,77,78,79,80,81,82,83,84,72,71"/>
    <n v="16"/>
    <m/>
    <m/>
    <s v="No"/>
    <x v="3"/>
    <m/>
    <m/>
    <s v="149.69.254.57"/>
    <s v="B2948 -- .F75 2014eb"/>
    <n v="193"/>
    <d v="2014-04-10T00:00:00"/>
  </r>
  <r>
    <x v="3835"/>
    <d v="1899-12-30T00:00:03"/>
    <x v="117"/>
    <x v="4"/>
    <s v="monroe2boces"/>
    <x v="118"/>
    <n v="1809742"/>
    <x v="0"/>
    <s v="Sport &amp; Recreation"/>
    <s v="9781118968291"/>
    <s v=",1,3,2"/>
    <n v="3"/>
    <m/>
    <m/>
    <s v="No"/>
    <x v="1"/>
    <m/>
    <m/>
    <s v="216.226.127.171"/>
    <s v="GV1469.35.M535 -- .S739 2015eb"/>
    <n v="794.8"/>
    <d v="2014-09-29T00:00:00"/>
  </r>
  <r>
    <x v="3836"/>
    <d v="1899-12-30T00:01:00"/>
    <x v="1032"/>
    <x v="0"/>
    <s v="Buffalo"/>
    <x v="3"/>
    <n v="822040"/>
    <x v="0"/>
    <s v="Literature; Psychology"/>
    <s v="9781118289099"/>
    <s v=",1,3,2,4,27,78,88,74,75,76,77,78,2,102,133,134,150,149,151,147,148,146,162,182,183,184,185,186,187,188,189,190,191,192,193,195,197,203,204,205,206,207,208,209,210,211,212,213,214,215,216"/>
    <n v="49"/>
    <m/>
    <m/>
    <s v="No"/>
    <x v="1"/>
    <m/>
    <m/>
    <s v="128.205.114.91"/>
    <s v="BF76.7 -- .B447 2012eb"/>
    <s v="808.06/615"/>
    <d v="2012-03-22T00:00:00"/>
  </r>
  <r>
    <x v="3837"/>
    <d v="1899-12-30T00:23:59"/>
    <x v="860"/>
    <x v="12"/>
    <s v="potsdam"/>
    <x v="270"/>
    <n v="1637652"/>
    <x v="3"/>
    <s v="Education"/>
    <s v="9780520958449"/>
    <s v=",31,32,33,34,35,36,37,38,39,40,41,42,43,44,45,46,47,48,49,50,51,52,53,54,55,56,57,58,59,60,61,61,62,116,117,118,114,115,119,120"/>
    <n v="39"/>
    <m/>
    <m/>
    <s v="No"/>
    <x v="0"/>
    <d v="2015-11-13T14:53:56"/>
    <n v="7"/>
    <s v="137.143.104.94"/>
    <s v="LB2340.2 -- .B478 2014eb"/>
    <s v="378.3/62"/>
    <d v="2014-05-02T00:00:00"/>
  </r>
  <r>
    <x v="3838"/>
    <d v="1899-12-30T00:08:12"/>
    <x v="860"/>
    <x v="12"/>
    <s v="potsdam"/>
    <x v="270"/>
    <n v="1637652"/>
    <x v="3"/>
    <s v="Education"/>
    <s v="9780520958449"/>
    <s v=",1,2,3,26,27,28,24,25,29,24,30"/>
    <n v="10"/>
    <m/>
    <m/>
    <s v="No"/>
    <x v="1"/>
    <m/>
    <m/>
    <s v="137.143.104.94"/>
    <s v="LB2340.2 -- .B478 2014eb"/>
    <s v="378.3/62"/>
    <d v="2014-05-02T00:00:00"/>
  </r>
  <r>
    <x v="3839"/>
    <d v="1899-12-30T00:00:04"/>
    <x v="13"/>
    <x v="0"/>
    <s v="Buffalo"/>
    <x v="628"/>
    <n v="1610008"/>
    <x v="1"/>
    <s v="Social Science; Law"/>
    <s v="9781409457206"/>
    <s v=",1,2,3"/>
    <n v="3"/>
    <m/>
    <m/>
    <s v="No"/>
    <x v="1"/>
    <m/>
    <m/>
    <s v="128.205.114.91"/>
    <s v="K5104 -- .C375 2014eb"/>
    <n v="364.66"/>
    <d v="2014-03-28T00:00:00"/>
  </r>
  <r>
    <x v="3840"/>
    <d v="1899-12-30T00:03:18"/>
    <x v="672"/>
    <x v="6"/>
    <s v="sjfc"/>
    <x v="705"/>
    <n v="1770683"/>
    <x v="0"/>
    <s v="History"/>
    <s v="9781118631768"/>
    <s v=",1,2,3,167,168,169,149,151,150,147,148,152,144,145,146,153,154,155,156,157,158,159,160,161,162,163,164"/>
    <n v="27"/>
    <m/>
    <m/>
    <s v="No"/>
    <x v="3"/>
    <m/>
    <m/>
    <s v="149.69.254.57"/>
    <s v="DF757"/>
    <n v="949.5"/>
    <d v="2014-08-19T00:00:00"/>
  </r>
  <r>
    <x v="3841"/>
    <d v="1899-12-30T00:02:18"/>
    <x v="860"/>
    <x v="12"/>
    <s v="potsdam"/>
    <x v="270"/>
    <n v="1637652"/>
    <x v="3"/>
    <s v="Education"/>
    <s v="9780520958449"/>
    <s v=",1,2,3,10,11,8,9,6,7,12,13,14,15,16,17"/>
    <n v="15"/>
    <m/>
    <m/>
    <s v="No"/>
    <x v="1"/>
    <m/>
    <m/>
    <s v="137.143.104.94"/>
    <s v="LB2340.2 -- .B478 2014eb"/>
    <s v="378.3/62"/>
    <d v="2014-05-02T00:00:00"/>
  </r>
  <r>
    <x v="3842"/>
    <d v="1899-12-30T00:04:48"/>
    <x v="919"/>
    <x v="13"/>
    <s v="buffalostate"/>
    <x v="536"/>
    <n v="836166"/>
    <x v="6"/>
    <s v="Computer Science/IT; Science"/>
    <s v="9781438139470"/>
    <s v=",59,91,92,93,89,90,104,105,106,102,103,107"/>
    <n v="12"/>
    <m/>
    <m/>
    <s v="No"/>
    <x v="0"/>
    <d v="2015-11-13T13:19:01"/>
    <n v="7"/>
    <s v="136.183.11.43"/>
    <s v="Q335.4 -- .K37 2012eb"/>
    <n v="6.3"/>
    <d v="2011-11-01T00:00:00"/>
  </r>
  <r>
    <x v="3843"/>
    <d v="1899-12-30T00:03:19"/>
    <x v="919"/>
    <x v="13"/>
    <s v="buffalostate"/>
    <x v="536"/>
    <n v="836166"/>
    <x v="6"/>
    <s v="Computer Science/IT; Science"/>
    <s v="9781438139470"/>
    <s v=",1,2,3,55,57,53,54"/>
    <n v="7"/>
    <m/>
    <m/>
    <s v="No"/>
    <x v="1"/>
    <m/>
    <m/>
    <s v="136.183.11.43"/>
    <s v="Q335.4 -- .K37 2012eb"/>
    <n v="6.3"/>
    <d v="2011-11-01T00:00:00"/>
  </r>
  <r>
    <x v="3844"/>
    <d v="1899-12-30T00:16:53"/>
    <x v="1033"/>
    <x v="16"/>
    <s v="monroecc"/>
    <x v="977"/>
    <n v="3038721"/>
    <x v="11"/>
    <s v="Agriculture"/>
    <s v="9780226116938"/>
    <s v=",1,2,3,16,18,17,14,15,19,20,21,22,23,24,25"/>
    <n v="15"/>
    <m/>
    <m/>
    <s v="No"/>
    <x v="2"/>
    <d v="2015-11-13T06:34:45"/>
    <n v="1"/>
    <s v="150.160.200.114"/>
    <s v="SH214.4 -- .B35 2015eb"/>
    <n v="639.20000000000005"/>
    <d v="2015-03-01T00:00:00"/>
  </r>
  <r>
    <x v="3845"/>
    <d v="1899-12-30T00:00:00"/>
    <x v="1033"/>
    <x v="16"/>
    <s v="monroecc"/>
    <x v="977"/>
    <n v="3038721"/>
    <x v="11"/>
    <s v="Agriculture"/>
    <s v="9780226116938"/>
    <m/>
    <n v="0"/>
    <m/>
    <m/>
    <s v="Yes"/>
    <x v="2"/>
    <d v="2015-11-13T06:34:45"/>
    <n v="1"/>
    <s v="150.160.200.114"/>
    <s v="SH214.4 -- .B35 2015eb"/>
    <n v="639.20000000000005"/>
    <d v="2015-03-01T00:00:00"/>
  </r>
  <r>
    <x v="3846"/>
    <d v="1899-12-30T00:00:00"/>
    <x v="1033"/>
    <x v="16"/>
    <s v="monroecc"/>
    <x v="977"/>
    <n v="3038721"/>
    <x v="11"/>
    <s v="Agriculture"/>
    <s v="9780226116938"/>
    <m/>
    <n v="0"/>
    <m/>
    <m/>
    <s v="Yes"/>
    <x v="2"/>
    <d v="2015-11-13T06:34:45"/>
    <n v="1"/>
    <s v="150.160.200.114"/>
    <s v="SH214.4 -- .B35 2015eb"/>
    <n v="639.20000000000005"/>
    <d v="2015-03-01T00:00:00"/>
  </r>
  <r>
    <x v="3847"/>
    <d v="1899-12-30T00:12:38"/>
    <x v="1033"/>
    <x v="16"/>
    <s v="monroecc"/>
    <x v="977"/>
    <n v="3038721"/>
    <x v="11"/>
    <s v="Agriculture"/>
    <s v="9780226116938"/>
    <s v=",13,14,15,16,17,18,16,16,68,68,68,69,70,66,67,65,64,63,62,61,60,59,58,57"/>
    <n v="20"/>
    <m/>
    <m/>
    <s v="No"/>
    <x v="2"/>
    <d v="2015-11-13T06:34:45"/>
    <n v="1"/>
    <s v="150.160.200.114"/>
    <s v="SH214.4 -- .B35 2015eb"/>
    <n v="639.20000000000005"/>
    <d v="2015-03-01T00:00:00"/>
  </r>
  <r>
    <x v="3848"/>
    <d v="1899-12-30T00:07:31"/>
    <x v="1033"/>
    <x v="16"/>
    <s v="monroecc"/>
    <x v="977"/>
    <n v="3038721"/>
    <x v="11"/>
    <s v="Agriculture"/>
    <s v="9780226116938"/>
    <s v=",1,2,3,4,5,8,9,10,6,7,11,12"/>
    <n v="12"/>
    <m/>
    <m/>
    <s v="No"/>
    <x v="3"/>
    <m/>
    <m/>
    <s v="150.160.200.114"/>
    <s v="SH214.4 -- .B35 2015eb"/>
    <n v="639.20000000000005"/>
    <d v="2015-03-01T00:00:00"/>
  </r>
  <r>
    <x v="3849"/>
    <d v="1899-12-30T00:08:23"/>
    <x v="919"/>
    <x v="13"/>
    <s v="buffalostate"/>
    <x v="536"/>
    <n v="836166"/>
    <x v="6"/>
    <s v="Computer Science/IT; Science"/>
    <s v="9781438139470"/>
    <s v=",1,2,3,4,5,6,38,39,40,36,41,42,43"/>
    <n v="13"/>
    <m/>
    <m/>
    <s v="No"/>
    <x v="1"/>
    <m/>
    <m/>
    <s v="136.183.11.43"/>
    <s v="Q335.4 -- .K37 2012eb"/>
    <n v="6.3"/>
    <d v="2011-11-01T00:00:00"/>
  </r>
  <r>
    <x v="3850"/>
    <d v="1899-12-30T00:01:11"/>
    <x v="535"/>
    <x v="0"/>
    <s v="Buffalo"/>
    <x v="559"/>
    <n v="1217954"/>
    <x v="1"/>
    <s v="Engineering; Engineering: General"/>
    <s v="9781409457558"/>
    <s v=",1,2,3,509,510,511,508,507,512"/>
    <n v="9"/>
    <m/>
    <m/>
    <s v="No"/>
    <x v="1"/>
    <m/>
    <m/>
    <s v="128.205.114.91"/>
    <s v="T59.7 -- .S73 2013eb"/>
    <s v="620.8/2"/>
    <d v="2013-10-28T00:00:00"/>
  </r>
  <r>
    <x v="3851"/>
    <d v="1899-12-30T00:02:31"/>
    <x v="13"/>
    <x v="0"/>
    <s v="Buffalo"/>
    <x v="548"/>
    <n v="771134"/>
    <x v="18"/>
    <s v="Social Science"/>
    <s v="9781608706426"/>
    <s v=",1,3,42,43,44,2,40,45,46,47"/>
    <n v="10"/>
    <m/>
    <m/>
    <s v="No"/>
    <x v="1"/>
    <m/>
    <m/>
    <s v="128.205.114.91"/>
    <s v="HQ1034.U5"/>
    <n v="306.84800000000001"/>
    <d v="2012-01-01T00:00:00"/>
  </r>
  <r>
    <x v="3852"/>
    <d v="1899-12-30T00:00:39"/>
    <x v="1034"/>
    <x v="13"/>
    <s v="buffalostate"/>
    <x v="978"/>
    <n v="861675"/>
    <x v="0"/>
    <s v="Business/Management"/>
    <s v="9781118284315"/>
    <s v=",1,2,3,11,12,13,9,10,14,15,16,17,18,19"/>
    <n v="14"/>
    <m/>
    <m/>
    <s v="No"/>
    <x v="0"/>
    <d v="2015-11-13T02:06:15"/>
    <n v="7"/>
    <s v="136.183.11.43"/>
    <s v="HD57.7 -- .K68 2012eb"/>
    <s v="658.4/092"/>
    <d v="2012-06-18T00:00:00"/>
  </r>
  <r>
    <x v="3853"/>
    <d v="1899-12-30T00:18:22"/>
    <x v="1034"/>
    <x v="13"/>
    <s v="buffalostate"/>
    <x v="978"/>
    <n v="861675"/>
    <x v="0"/>
    <s v="Business/Management"/>
    <s v="9781118284315"/>
    <s v=",115,116,117,113,114,118,171,172,173,169,170,174,229,230,231,227,228,232,287,288,289,286,285,290,12,11,13,9,10,15,4,5,6,7,8,14"/>
    <n v="36"/>
    <m/>
    <m/>
    <s v="No"/>
    <x v="0"/>
    <d v="2015-11-13T02:06:15"/>
    <n v="7"/>
    <s v="136.183.11.43"/>
    <s v="HD57.7 -- .K68 2012eb"/>
    <s v="658.4/092"/>
    <d v="2012-06-18T00:00:00"/>
  </r>
  <r>
    <x v="3854"/>
    <d v="1899-12-30T00:00:14"/>
    <x v="1035"/>
    <x v="13"/>
    <s v="buffalostate"/>
    <x v="270"/>
    <n v="1637652"/>
    <x v="3"/>
    <s v="Education"/>
    <s v="9780520958449"/>
    <s v=",1,2,3,4,5,6,7,8"/>
    <n v="8"/>
    <m/>
    <m/>
    <s v="No"/>
    <x v="0"/>
    <d v="2015-11-06T19:02:37"/>
    <n v="7"/>
    <s v="136.183.11.43"/>
    <s v="LB2340.2 -- .B478 2014eb"/>
    <s v="378.3/62"/>
    <d v="2014-05-02T00:00:00"/>
  </r>
  <r>
    <x v="3855"/>
    <d v="1899-12-30T00:06:32"/>
    <x v="1034"/>
    <x v="13"/>
    <s v="buffalostate"/>
    <x v="978"/>
    <n v="861675"/>
    <x v="0"/>
    <s v="Business/Management"/>
    <s v="9781118284315"/>
    <s v=",1,2,3,57,58,59,55,56,60"/>
    <n v="9"/>
    <m/>
    <m/>
    <s v="No"/>
    <x v="1"/>
    <m/>
    <m/>
    <s v="136.183.11.43"/>
    <s v="HD57.7 -- .K68 2012eb"/>
    <s v="658.4/092"/>
    <d v="2012-06-18T00:00:00"/>
  </r>
  <r>
    <x v="3856"/>
    <d v="1899-12-30T00:03:56"/>
    <x v="1034"/>
    <x v="13"/>
    <s v="buffalostate"/>
    <x v="978"/>
    <n v="861675"/>
    <x v="0"/>
    <s v="Business/Management"/>
    <s v="9781118284315"/>
    <s v=",1,2,3,13,14,15,12,11,16,17,18,19,20,21,22,23,24,25,26,27,28,29,30,31,32,33,34,36,4,57,58,59,55,56,60"/>
    <n v="35"/>
    <m/>
    <m/>
    <s v="No"/>
    <x v="1"/>
    <m/>
    <m/>
    <s v="136.183.11.43"/>
    <s v="HD57.7 -- .K68 2012eb"/>
    <s v="658.4/092"/>
    <d v="2012-06-18T00:00:00"/>
  </r>
  <r>
    <x v="3857"/>
    <d v="1899-12-30T00:00:13"/>
    <x v="1036"/>
    <x v="1"/>
    <s v="brockport"/>
    <x v="979"/>
    <n v="1637618"/>
    <x v="0"/>
    <s v="Religion; Social Science"/>
    <s v="9780745681474"/>
    <s v=",12,13,14,15,16,17,18,19,20,21,22,23"/>
    <n v="12"/>
    <m/>
    <m/>
    <s v="No"/>
    <x v="2"/>
    <d v="2015-11-13T01:39:13"/>
    <n v="1"/>
    <s v="137.21.7.121"/>
    <s v="HS403 -- .A87 2014eb"/>
    <n v="299.31"/>
    <d v="2014-02-18T00:00:00"/>
  </r>
  <r>
    <x v="3858"/>
    <d v="1899-12-30T00:53:25"/>
    <x v="1036"/>
    <x v="1"/>
    <s v="brockport"/>
    <x v="979"/>
    <n v="1637618"/>
    <x v="0"/>
    <s v="Religion; Social Science"/>
    <s v="9780745681474"/>
    <s v=",1,2,3,51,52,53,49,50,7,8,9,5,6,10,11"/>
    <n v="15"/>
    <m/>
    <m/>
    <s v="No"/>
    <x v="3"/>
    <m/>
    <m/>
    <s v="137.21.7.121"/>
    <s v="HS403 -- .A87 2014eb"/>
    <n v="299.31"/>
    <d v="2014-02-18T00:00:00"/>
  </r>
  <r>
    <x v="3859"/>
    <d v="1899-12-30T00:03:20"/>
    <x v="1007"/>
    <x v="0"/>
    <s v="Buffalo"/>
    <x v="151"/>
    <n v="968030"/>
    <x v="0"/>
    <s v="Psychology"/>
    <s v="9781118285138"/>
    <s v=",1,2,3,25,26,27,23,24,28,29,30,31,21,22,19,20"/>
    <n v="16"/>
    <m/>
    <m/>
    <s v="No"/>
    <x v="1"/>
    <m/>
    <m/>
    <s v="128.205.114.91"/>
    <s v="BF637.C6 -- S85 2013eb"/>
    <n v="158.30000000000001"/>
    <d v="2012-07-10T00:00:00"/>
  </r>
  <r>
    <x v="3860"/>
    <d v="1899-12-30T00:00:03"/>
    <x v="1007"/>
    <x v="0"/>
    <s v="Buffalo"/>
    <x v="151"/>
    <n v="968030"/>
    <x v="0"/>
    <s v="Psychology"/>
    <s v="9781118285138"/>
    <s v=",1,2,3"/>
    <n v="3"/>
    <m/>
    <m/>
    <s v="No"/>
    <x v="1"/>
    <m/>
    <m/>
    <s v="128.205.114.91"/>
    <s v="BF637.C6 -- S85 2013eb"/>
    <n v="158.30000000000001"/>
    <d v="2012-07-10T00:00:00"/>
  </r>
  <r>
    <x v="3861"/>
    <d v="1899-12-30T00:00:04"/>
    <x v="1007"/>
    <x v="0"/>
    <s v="Buffalo"/>
    <x v="151"/>
    <n v="968030"/>
    <x v="0"/>
    <s v="Psychology"/>
    <s v="9781118285138"/>
    <s v=",1,2,3"/>
    <n v="3"/>
    <m/>
    <m/>
    <s v="No"/>
    <x v="1"/>
    <m/>
    <m/>
    <s v="128.205.114.91"/>
    <s v="BF637.C6 -- S85 2013eb"/>
    <n v="158.30000000000001"/>
    <d v="2012-07-10T00:00:00"/>
  </r>
  <r>
    <x v="3862"/>
    <d v="1899-12-30T00:00:13"/>
    <x v="962"/>
    <x v="0"/>
    <s v="Buffalo"/>
    <x v="980"/>
    <n v="1780448"/>
    <x v="0"/>
    <s v="Engineering; Engineering: Electrical"/>
    <s v="9781118967683"/>
    <s v=",1,2,3,4,18,19,20,16,17"/>
    <n v="9"/>
    <m/>
    <m/>
    <s v="No"/>
    <x v="1"/>
    <m/>
    <m/>
    <s v="128.205.114.91"/>
    <s v="TK7881.4 -- .S776 2014eb"/>
    <n v="621.38930000000005"/>
    <d v="2014-09-04T00:00:00"/>
  </r>
  <r>
    <x v="3863"/>
    <d v="1899-12-30T00:00:41"/>
    <x v="1037"/>
    <x v="5"/>
    <s v="erie"/>
    <x v="719"/>
    <n v="771074"/>
    <x v="18"/>
    <s v="Medicine; Pharmacy; Social Science; Health"/>
    <s v="9780761499732"/>
    <s v=",1,2,3,4,5,6,7,8,9,10,11,12,13,14,15"/>
    <n v="15"/>
    <m/>
    <m/>
    <s v="No"/>
    <x v="1"/>
    <m/>
    <m/>
    <s v="199.29.6.54"/>
    <s v="RM301.17 .K567 2012"/>
    <s v="362.29; 615.1"/>
    <d v="2012-01-01T00:00:00"/>
  </r>
  <r>
    <x v="3864"/>
    <d v="1899-12-30T00:00:40"/>
    <x v="26"/>
    <x v="6"/>
    <s v="sjfc"/>
    <x v="705"/>
    <n v="1770683"/>
    <x v="0"/>
    <s v="History"/>
    <s v="9781118631768"/>
    <s v=",1,2,3,152,153,154,150,155,151"/>
    <n v="9"/>
    <m/>
    <m/>
    <s v="No"/>
    <x v="3"/>
    <m/>
    <m/>
    <s v="149.69.254.57"/>
    <s v="DF757"/>
    <n v="949.5"/>
    <d v="2014-08-19T00:00:00"/>
  </r>
  <r>
    <x v="3865"/>
    <d v="1899-12-30T00:00:03"/>
    <x v="13"/>
    <x v="0"/>
    <s v="Buffalo"/>
    <x v="754"/>
    <n v="818332"/>
    <x v="0"/>
    <s v="Social Science"/>
    <s v="9781118252772"/>
    <s v=",1,2,3"/>
    <n v="3"/>
    <m/>
    <m/>
    <s v="No"/>
    <x v="1"/>
    <m/>
    <m/>
    <s v="128.205.114.91"/>
    <s v="GN419.3 -- .T375 2012eb"/>
    <s v="391.6/5"/>
    <d v="2012-02-21T00:00:00"/>
  </r>
  <r>
    <x v="3866"/>
    <d v="1899-12-30T00:00:06"/>
    <x v="1036"/>
    <x v="1"/>
    <s v="brockport"/>
    <x v="518"/>
    <n v="1895714"/>
    <x v="0"/>
    <s v="History"/>
    <s v="9781118896112"/>
    <s v=",1,2,2,3,3,1"/>
    <n v="3"/>
    <m/>
    <m/>
    <s v="No"/>
    <x v="0"/>
    <d v="2015-11-07T22:13:28"/>
    <n v="7"/>
    <s v="137.21.7.121"/>
    <s v="DT60 .B373 2014"/>
    <n v="932"/>
    <d v="2015-01-07T00:00:00"/>
  </r>
  <r>
    <x v="3867"/>
    <d v="1899-12-30T00:00:22"/>
    <x v="1038"/>
    <x v="11"/>
    <s v="cobleskill"/>
    <x v="684"/>
    <n v="1120621"/>
    <x v="0"/>
    <s v="Education"/>
    <s v="9781118362679"/>
    <s v=",1,37,38,39,35,36,37,2"/>
    <n v="7"/>
    <m/>
    <m/>
    <s v="No"/>
    <x v="1"/>
    <m/>
    <m/>
    <s v="137.36.32.34"/>
    <s v="LB3013.3 .R59 2012"/>
    <s v="371.5/8; 371.58"/>
    <d v="2012-08-15T00:00:00"/>
  </r>
  <r>
    <x v="3868"/>
    <d v="1899-12-30T00:08:02"/>
    <x v="1039"/>
    <x v="1"/>
    <s v="brockport"/>
    <x v="414"/>
    <n v="1143522"/>
    <x v="0"/>
    <s v="History"/>
    <s v="9781118257197"/>
    <s v=",1,2,3,5,4,5,6,7,8,9,10,11,12,13,14,15,16,17,18,19,20,21,22,23,24,25,26,27,28,29,30,31,217,218,219,215,216,220,221,222"/>
    <n v="39"/>
    <m/>
    <m/>
    <s v="No"/>
    <x v="1"/>
    <m/>
    <m/>
    <s v="137.21.7.121"/>
    <s v="F1219.73 .S58 2013"/>
    <n v="972"/>
    <d v="2013-03-01T00:00:00"/>
  </r>
  <r>
    <x v="3869"/>
    <d v="1899-12-30T00:00:01"/>
    <x v="1040"/>
    <x v="16"/>
    <s v="monroecc"/>
    <x v="698"/>
    <n v="1542215"/>
    <x v="2"/>
    <s v="Medicine"/>
    <s v="9781134386420"/>
    <s v=",2"/>
    <n v="1"/>
    <m/>
    <m/>
    <s v="Yes"/>
    <x v="2"/>
    <d v="2015-11-12T19:27:00"/>
    <n v="1"/>
    <s v="150.160.200.114"/>
    <n v="99459981"/>
    <n v="616.9"/>
    <d v="1998-01-23T00:00:00"/>
  </r>
  <r>
    <x v="3869"/>
    <d v="1899-12-30T00:00:00"/>
    <x v="1040"/>
    <x v="16"/>
    <s v="monroecc"/>
    <x v="698"/>
    <n v="1542215"/>
    <x v="2"/>
    <s v="Medicine"/>
    <s v="9781134386420"/>
    <m/>
    <n v="0"/>
    <m/>
    <m/>
    <s v="No"/>
    <x v="2"/>
    <d v="2015-11-12T19:27:00"/>
    <n v="1"/>
    <s v="150.160.200.114"/>
    <n v="99459981"/>
    <n v="616.9"/>
    <d v="1998-01-23T00:00:00"/>
  </r>
  <r>
    <x v="3870"/>
    <d v="1899-12-30T00:00:20"/>
    <x v="1040"/>
    <x v="16"/>
    <s v="monroecc"/>
    <x v="698"/>
    <n v="1542215"/>
    <x v="2"/>
    <s v="Medicine"/>
    <s v="9781134386420"/>
    <s v=",1,1,2,2,3,3,140,140,142,142,138,141,139,139,141,143,143,144,144,145"/>
    <n v="11"/>
    <m/>
    <m/>
    <s v="No"/>
    <x v="3"/>
    <m/>
    <m/>
    <s v="150.160.200.114"/>
    <n v="99459981"/>
    <n v="616.9"/>
    <d v="1998-01-23T00:00:00"/>
  </r>
  <r>
    <x v="3871"/>
    <d v="1899-12-30T00:00:04"/>
    <x v="1040"/>
    <x v="16"/>
    <s v="monroecc"/>
    <x v="981"/>
    <n v="3058244"/>
    <x v="0"/>
    <s v="Medicine"/>
    <s v="9780470643136"/>
    <s v=",1,1,2,2,3,3"/>
    <n v="3"/>
    <m/>
    <m/>
    <s v="No"/>
    <x v="3"/>
    <m/>
    <m/>
    <s v="150.160.200.114"/>
    <s v="RC455.2.C4 -- D95 2010eb"/>
    <s v="616.89001/2"/>
    <d v="2010-08-20T00:00:00"/>
  </r>
  <r>
    <x v="3872"/>
    <d v="1899-12-30T00:48:31"/>
    <x v="765"/>
    <x v="1"/>
    <s v="brockport"/>
    <x v="953"/>
    <n v="1776083"/>
    <x v="0"/>
    <s v="Medicine"/>
    <s v="9781118510278"/>
    <s v=",1,2,3,37,38,39,35,36,26,27,28,24,25,29,30,31,32,33,34,35,36,37,38,39,23,20,21,22,18,19,27,29,25,26,32,33,190,191,188,192,189,193,194,195,197,196,198,199,200"/>
    <n v="38"/>
    <m/>
    <m/>
    <s v="No"/>
    <x v="2"/>
    <d v="2015-11-11T20:46:18"/>
    <n v="1"/>
    <s v="137.21.7.121"/>
    <s v="RC489.C63 -- .S63 2014eb"/>
    <s v="616.89/1425"/>
    <d v="2014-08-25T00:00:00"/>
  </r>
  <r>
    <x v="3873"/>
    <d v="1899-12-30T00:00:17"/>
    <x v="747"/>
    <x v="9"/>
    <s v="trocaire"/>
    <x v="783"/>
    <n v="1693780"/>
    <x v="0"/>
    <s v="Social Science; Health"/>
    <s v="9781118869420"/>
    <s v=",1,2,3,4"/>
    <n v="4"/>
    <m/>
    <m/>
    <s v="No"/>
    <x v="3"/>
    <m/>
    <m/>
    <s v="173.225.62.67"/>
    <s v="RA407.3 -- .Y34 2014eb"/>
    <n v="362.10973000000001"/>
    <d v="2014-05-20T00:00:00"/>
  </r>
  <r>
    <x v="3874"/>
    <d v="1899-12-30T00:00:57"/>
    <x v="604"/>
    <x v="12"/>
    <s v="potsdam"/>
    <x v="982"/>
    <n v="1576323"/>
    <x v="0"/>
    <s v="Psychology; Business/Management"/>
    <s v="9780857084576"/>
    <s v=",1,2,1,2,3,1,3,1,2,2,105,105,107,106,103,107,106,104,104,179,179,180,180,181,177,181,178,178"/>
    <n v="13"/>
    <m/>
    <s v=",179"/>
    <s v="No"/>
    <x v="2"/>
    <d v="2015-11-12T18:24:44"/>
    <n v="1"/>
    <s v="137.143.104.94"/>
    <s v="HD4904.25 -- .H334 2014eb"/>
    <n v="158.1"/>
    <d v="2013-12-03T00:00:00"/>
  </r>
  <r>
    <x v="3875"/>
    <d v="1899-12-30T00:00:04"/>
    <x v="13"/>
    <x v="0"/>
    <s v="Buffalo"/>
    <x v="73"/>
    <n v="1119505"/>
    <x v="0"/>
    <s v="Science: Chemistry; Science"/>
    <s v="9781118355015"/>
    <s v=",1,2,3"/>
    <n v="3"/>
    <m/>
    <m/>
    <s v="No"/>
    <x v="0"/>
    <d v="2015-11-06T16:36:29"/>
    <n v="7"/>
    <s v="128.205.114.91"/>
    <s v="QD251.3 -- .S38 2013eb"/>
    <s v="547/.128"/>
    <d v="2013-01-28T00:00:00"/>
  </r>
  <r>
    <x v="3876"/>
    <d v="1899-12-30T00:00:00"/>
    <x v="604"/>
    <x v="12"/>
    <s v="potsdam"/>
    <x v="982"/>
    <n v="1576323"/>
    <x v="0"/>
    <s v="Psychology; Business/Management"/>
    <s v="9780857084576"/>
    <m/>
    <n v="0"/>
    <m/>
    <s v=",14,15,16"/>
    <s v="No"/>
    <x v="2"/>
    <d v="2015-11-12T18:24:44"/>
    <n v="1"/>
    <s v="137.143.104.94"/>
    <s v="HD4904.25 -- .H334 2014eb"/>
    <n v="158.1"/>
    <d v="2013-12-03T00:00:00"/>
  </r>
  <r>
    <x v="3877"/>
    <d v="1899-12-30T00:02:25"/>
    <x v="604"/>
    <x v="12"/>
    <s v="potsdam"/>
    <x v="982"/>
    <n v="1576323"/>
    <x v="0"/>
    <s v="Psychology; Business/Management"/>
    <s v="9780857084576"/>
    <s v=",1,1,2,2,3,3,2,2,177,178,177,178,179,179,176,175,176,156,156,157,158,154,158,157,155,155,14,15,16,15,13,16,12,14,13,11,16,17,17,12,17"/>
    <n v="20"/>
    <m/>
    <m/>
    <s v="No"/>
    <x v="3"/>
    <m/>
    <m/>
    <s v="137.143.104.94"/>
    <s v="HD4904.25 -- .H334 2014eb"/>
    <n v="158.1"/>
    <d v="2013-12-03T00:00:00"/>
  </r>
  <r>
    <x v="3878"/>
    <d v="1899-12-30T00:00:47"/>
    <x v="13"/>
    <x v="0"/>
    <s v="Buffalo"/>
    <x v="73"/>
    <n v="1119505"/>
    <x v="0"/>
    <s v="Science: Chemistry; Science"/>
    <s v="9781118355015"/>
    <s v=",1,2,3,266,267,268,264,265,269,270"/>
    <n v="10"/>
    <m/>
    <m/>
    <s v="No"/>
    <x v="0"/>
    <d v="2015-11-06T16:36:29"/>
    <n v="7"/>
    <s v="128.205.114.91"/>
    <s v="QD251.3 -- .S38 2013eb"/>
    <s v="547/.128"/>
    <d v="2013-01-28T00:00:00"/>
  </r>
  <r>
    <x v="3879"/>
    <d v="1899-12-30T00:01:41"/>
    <x v="604"/>
    <x v="12"/>
    <s v="potsdam"/>
    <x v="983"/>
    <n v="1666468"/>
    <x v="0"/>
    <s v="Business/Management"/>
    <s v="9780857084989"/>
    <s v=",1,2,2,3,1,3,2,2,161,161,163,163,162,162,159,160,160,164,164,165,165,166,166,167,167,168,168"/>
    <n v="13"/>
    <m/>
    <s v=",161,162,163,164,165,166,167,168,169,170"/>
    <s v="No"/>
    <x v="0"/>
    <d v="2015-11-12T18:16:27"/>
    <n v="7"/>
    <s v="137.143.104.94"/>
    <s v="HD57.7 .C6687 2014"/>
    <n v="650.1"/>
    <d v="2014-04-03T00:00:00"/>
  </r>
  <r>
    <x v="3880"/>
    <d v="1899-12-30T00:00:00"/>
    <x v="604"/>
    <x v="12"/>
    <s v="potsdam"/>
    <x v="983"/>
    <n v="1666468"/>
    <x v="0"/>
    <s v="Business/Management"/>
    <s v="9780857084989"/>
    <m/>
    <n v="0"/>
    <m/>
    <s v=",123,124,125,126"/>
    <s v="No"/>
    <x v="0"/>
    <d v="2015-11-12T18:16:27"/>
    <n v="7"/>
    <s v="137.143.104.94"/>
    <s v="HD57.7 .C6687 2014"/>
    <n v="650.1"/>
    <d v="2014-04-03T00:00:00"/>
  </r>
  <r>
    <x v="3881"/>
    <d v="1899-12-30T00:01:55"/>
    <x v="604"/>
    <x v="12"/>
    <s v="potsdam"/>
    <x v="983"/>
    <n v="1666468"/>
    <x v="0"/>
    <s v="Business/Management"/>
    <s v="9780857084989"/>
    <s v=",1,2,1,2,1,3,3,7,7,8,9,5,8,6,9,6,2,10,10,5,10,11,11,12,12,123,123,124,124,125,125,121,122,122,126,126,127,128,127,128,123,128,125,124,123,121,122,126,127"/>
    <n v="19"/>
    <m/>
    <m/>
    <s v="No"/>
    <x v="1"/>
    <m/>
    <m/>
    <s v="137.143.104.94"/>
    <s v="HD57.7 .C6687 2014"/>
    <n v="650.1"/>
    <d v="2014-04-03T00:00:00"/>
  </r>
  <r>
    <x v="3882"/>
    <d v="1899-12-30T00:01:43"/>
    <x v="1041"/>
    <x v="7"/>
    <s v="oneonta"/>
    <x v="529"/>
    <n v="1822530"/>
    <x v="0"/>
    <s v="Science; Science: Biology/Natural History"/>
    <s v="9781118871317"/>
    <s v=",1,2,3,4,5,6,7"/>
    <n v="7"/>
    <m/>
    <m/>
    <s v="No"/>
    <x v="3"/>
    <m/>
    <m/>
    <s v="137.141.13.2"/>
    <s v="QR41.2 -- .S74 2015eb"/>
    <n v="579"/>
    <d v="2014-10-20T00:00:00"/>
  </r>
  <r>
    <x v="3883"/>
    <d v="1899-12-30T00:02:35"/>
    <x v="604"/>
    <x v="12"/>
    <s v="potsdam"/>
    <x v="984"/>
    <n v="1791959"/>
    <x v="0"/>
    <s v="Psychology"/>
    <s v="9780857085764"/>
    <s v=",1,2,2,3,3,1,2,2,36,36,132,132,133,133,134,134,131,131,130,130,128,129,129,133,134,129,128,133,134,135,135,137,137,138,138,8,9,8,10,6,7,10,9,7,8,9,10,6,7,104,104,105"/>
    <n v="21"/>
    <m/>
    <m/>
    <s v="No"/>
    <x v="3"/>
    <m/>
    <m/>
    <s v="137.143.104.94"/>
    <s v="BF637.S4 -- .A78 2015eb"/>
    <n v="158.1"/>
    <d v="2014-09-19T00:00:00"/>
  </r>
  <r>
    <x v="3884"/>
    <d v="1899-12-30T00:00:20"/>
    <x v="26"/>
    <x v="6"/>
    <s v="sjfc"/>
    <x v="753"/>
    <n v="2038643"/>
    <x v="1"/>
    <s v="Social Science"/>
    <s v="9781472427625"/>
    <s v=",1,2,3,6,7,8,4,5"/>
    <n v="8"/>
    <m/>
    <m/>
    <s v="No"/>
    <x v="3"/>
    <m/>
    <m/>
    <s v="149.69.254.57"/>
    <n v="2013049432"/>
    <n v="306.46100000000001"/>
    <d v="2015-05-28T00:00:00"/>
  </r>
  <r>
    <x v="3885"/>
    <d v="1899-12-30T00:01:06"/>
    <x v="26"/>
    <x v="6"/>
    <s v="sjfc"/>
    <x v="985"/>
    <n v="1747362"/>
    <x v="5"/>
    <s v="Social Science"/>
    <s v="9780814760659"/>
    <s v=",1,2,2,3,1,3,2,2,4,4,5,5,6,6,7,7,8,8,9,10,10,9,11,11,12,12,13,13,14,14,15,15,16,16,17,17,18,18,13"/>
    <n v="18"/>
    <m/>
    <m/>
    <s v="No"/>
    <x v="3"/>
    <m/>
    <m/>
    <s v="149.69.254.57"/>
    <s v="HQ27 -- .B47 2014eb"/>
    <n v="306.70835"/>
    <d v="2014-08-29T00:00:00"/>
  </r>
  <r>
    <x v="3886"/>
    <d v="1899-12-30T00:00:21"/>
    <x v="26"/>
    <x v="6"/>
    <s v="sjfc"/>
    <x v="985"/>
    <n v="1747362"/>
    <x v="5"/>
    <s v="Social Science"/>
    <s v="9780814760659"/>
    <s v=",1,2,3,2,3,1,4,4,5,5,6,6,7,7,8,9,8,9,2"/>
    <n v="9"/>
    <m/>
    <m/>
    <s v="No"/>
    <x v="3"/>
    <m/>
    <m/>
    <s v="149.69.254.57"/>
    <s v="HQ27 -- .B47 2014eb"/>
    <n v="306.70835"/>
    <d v="2014-08-29T00:00:00"/>
  </r>
  <r>
    <x v="3887"/>
    <d v="1899-12-30T00:00:00"/>
    <x v="713"/>
    <x v="5"/>
    <s v="erie"/>
    <x v="437"/>
    <n v="1767915"/>
    <x v="0"/>
    <s v="Social Science"/>
    <s v="9780730315148"/>
    <m/>
    <n v="0"/>
    <m/>
    <s v=",25"/>
    <s v="No"/>
    <x v="0"/>
    <d v="2015-11-12T16:05:55"/>
    <n v="7"/>
    <s v="199.29.6.54"/>
    <s v="HM742 -- .C654 2015eb"/>
    <n v="302.23099999999999"/>
    <d v="2014-08-15T00:00:00"/>
  </r>
  <r>
    <x v="3888"/>
    <d v="1899-12-30T00:00:34"/>
    <x v="713"/>
    <x v="5"/>
    <s v="erie"/>
    <x v="437"/>
    <n v="1767915"/>
    <x v="0"/>
    <s v="Social Science"/>
    <s v="9780730315148"/>
    <s v=",1,2,3,25,26,27,23,24"/>
    <n v="8"/>
    <m/>
    <m/>
    <s v="No"/>
    <x v="1"/>
    <m/>
    <m/>
    <s v="199.29.6.54"/>
    <s v="HM742 -- .C654 2015eb"/>
    <n v="302.23099999999999"/>
    <d v="2014-08-15T00:00:00"/>
  </r>
  <r>
    <x v="3889"/>
    <d v="1899-12-30T00:03:27"/>
    <x v="13"/>
    <x v="0"/>
    <s v="Buffalo"/>
    <x v="111"/>
    <n v="1166322"/>
    <x v="0"/>
    <s v="Architecture"/>
    <s v="9781118418512"/>
    <s v=",1,3,2,7,8,9,5,6,10,11,473,474,475,471,472,476,477,478,479,480,472,378,372,358,359,360,356,357,321,319,318,320,316,317,315,314,313,312,311,310,309,308,307,306,305,304,303,302,301,300,299,298"/>
    <n v="51"/>
    <m/>
    <m/>
    <s v="No"/>
    <x v="1"/>
    <m/>
    <m/>
    <s v="128.205.114.91"/>
    <s v="NA2000 -- .G76 2013eb"/>
    <n v="720.072"/>
    <d v="2013-04-03T00:00:00"/>
  </r>
  <r>
    <x v="3890"/>
    <d v="1899-12-30T00:00:52"/>
    <x v="1042"/>
    <x v="5"/>
    <s v="erie"/>
    <x v="986"/>
    <n v="1638687"/>
    <x v="0"/>
    <s v="Medicine; Pharmacy; Social Science; Health"/>
    <s v="9781118850152"/>
    <s v=",1,2,3,7,8,9,5,6,10,11,2,12,13,14,15,16,17,18,19,20,21"/>
    <n v="20"/>
    <m/>
    <m/>
    <s v="No"/>
    <x v="1"/>
    <m/>
    <m/>
    <s v="199.29.6.54"/>
    <s v="RM315 -- .H693 2014eb"/>
    <n v="362.29"/>
    <d v="2014-02-21T00:00:00"/>
  </r>
  <r>
    <x v="3891"/>
    <d v="1899-12-30T00:17:12"/>
    <x v="1043"/>
    <x v="0"/>
    <s v="Buffalo"/>
    <x v="73"/>
    <n v="1119505"/>
    <x v="0"/>
    <s v="Science: Chemistry; Science"/>
    <s v="9781118355015"/>
    <s v=",270,265,232,233,232,233,234,230,234,231,231,235,236,235,237,236,237,238,239,238,239,262,262,264,262,263,260,263,261,261,265,266,267,268,269,270,271,271,266,265,258,259,258,259,260,257,256,257,261,262,257,256,255,232,233,234,230,231,235,236,237,266,267,268,269,270,255,256,257,253,254,254,266,267,268,264,269,265,270"/>
    <n v="29"/>
    <m/>
    <m/>
    <s v="No"/>
    <x v="0"/>
    <d v="2015-11-12T14:59:34"/>
    <n v="7"/>
    <s v="128.205.114.91"/>
    <s v="QD251.3 -- .S38 2013eb"/>
    <s v="547/.128"/>
    <d v="2013-01-28T00:00:00"/>
  </r>
  <r>
    <x v="3892"/>
    <d v="1899-12-30T00:55:55"/>
    <x v="13"/>
    <x v="0"/>
    <s v="Buffalo"/>
    <x v="73"/>
    <n v="1119505"/>
    <x v="0"/>
    <s v="Science: Chemistry; Science"/>
    <s v="9781118355015"/>
    <s v=",1,2,2,3,1,3,266,267,266,267,268,264,268,269,269,265,2,264,262,263,261,260,259,258,257,256,255,260,261,262,266,267,268,264,265,263,260,259,258,256,257,266,267,268,264,265,269,264,263,262,261,260,259,258,257,256,255,254,253,252,266,267,268,264,265,269,264,263,262,261,260,266,267,268,265,269,270,270,265,263,264,262,261,260,259,258,257,256,255,254,253,252,251,250,249,248,247,246,245,244,243,266,267,268,264,269,265,270"/>
    <n v="31"/>
    <m/>
    <m/>
    <s v="No"/>
    <x v="0"/>
    <d v="2015-11-06T16:36:29"/>
    <n v="7"/>
    <s v="128.205.114.91"/>
    <s v="QD251.3 -- .S38 2013eb"/>
    <s v="547/.128"/>
    <d v="2013-01-28T00:00:00"/>
  </r>
  <r>
    <x v="3893"/>
    <d v="1899-12-30T00:32:32"/>
    <x v="1043"/>
    <x v="0"/>
    <s v="Buffalo"/>
    <x v="73"/>
    <n v="1119505"/>
    <x v="0"/>
    <s v="Science: Chemistry; Science"/>
    <s v="9781118355015"/>
    <s v=",1,1,2,2,3,3,266,267,267,2,268,264,268,266,265,265,269,269,264,269,270,270,265"/>
    <n v="10"/>
    <m/>
    <m/>
    <s v="No"/>
    <x v="1"/>
    <m/>
    <m/>
    <s v="128.205.114.91"/>
    <s v="QD251.3 -- .S38 2013eb"/>
    <s v="547/.128"/>
    <d v="2013-01-28T00:00:00"/>
  </r>
  <r>
    <x v="3894"/>
    <d v="1899-12-30T00:00:03"/>
    <x v="26"/>
    <x v="6"/>
    <s v="sjfc"/>
    <x v="987"/>
    <n v="1666472"/>
    <x v="0"/>
    <s v="Sport &amp; Recreation"/>
    <s v="9781118444658"/>
    <s v=",1,2,3"/>
    <n v="3"/>
    <m/>
    <m/>
    <s v="No"/>
    <x v="3"/>
    <m/>
    <m/>
    <s v="149.69.254.57"/>
    <s v="GV558 -- .M36 2014eb"/>
    <n v="796.01"/>
    <d v="2014-04-09T00:00:00"/>
  </r>
  <r>
    <x v="3895"/>
    <d v="1899-12-30T00:21:57"/>
    <x v="653"/>
    <x v="0"/>
    <s v="Buffalo"/>
    <x v="111"/>
    <n v="1166322"/>
    <x v="0"/>
    <s v="Architecture"/>
    <s v="9781118418512"/>
    <s v=",450,451,312,313,314,310,311,315,316,317,312,315,318,319,308,309,316,456,457,458,454,455,474,475,476,472,473,477,471,470,303,304,305,301,302,306,307"/>
    <n v="34"/>
    <m/>
    <m/>
    <s v="No"/>
    <x v="0"/>
    <d v="2015-11-12T10:25:36"/>
    <n v="7"/>
    <s v="128.205.114.91"/>
    <s v="NA2000 -- .G76 2013eb"/>
    <n v="720.072"/>
    <d v="2013-04-03T00:00:00"/>
  </r>
  <r>
    <x v="3896"/>
    <d v="1899-12-30T00:18:03"/>
    <x v="653"/>
    <x v="0"/>
    <s v="Buffalo"/>
    <x v="111"/>
    <n v="1166322"/>
    <x v="0"/>
    <s v="Architecture"/>
    <s v="9781118418512"/>
    <s v=",1,2,3,129,130,131,132,133,134,129,128,127,422,423,420,424,421,425,435,436,437,434,433,60,61,62,59,58,436,438,435,446,447,448,444,445,449"/>
    <n v="34"/>
    <m/>
    <m/>
    <s v="No"/>
    <x v="1"/>
    <m/>
    <m/>
    <s v="128.205.114.91"/>
    <s v="NA2000 -- .G76 2013eb"/>
    <n v="720.072"/>
    <d v="2013-04-03T00:00:00"/>
  </r>
  <r>
    <x v="3897"/>
    <d v="1899-12-30T00:00:35"/>
    <x v="1044"/>
    <x v="13"/>
    <s v="buffalostate"/>
    <x v="754"/>
    <n v="818332"/>
    <x v="0"/>
    <s v="Social Science"/>
    <s v="9781118252772"/>
    <s v=",1,2,3,4,5,6,7,8,9,10,11,12,13,14,15,16"/>
    <n v="16"/>
    <m/>
    <m/>
    <s v="No"/>
    <x v="1"/>
    <m/>
    <m/>
    <s v="136.183.11.43"/>
    <s v="GN419.3 -- .T375 2012eb"/>
    <s v="391.6/5"/>
    <d v="2012-02-21T00:00:00"/>
  </r>
  <r>
    <x v="3898"/>
    <d v="1899-12-30T00:08:42"/>
    <x v="1045"/>
    <x v="7"/>
    <s v="oneonta"/>
    <x v="760"/>
    <n v="943645"/>
    <x v="15"/>
    <s v="History"/>
    <s v="9781441104755"/>
    <s v=",4,5,6,7,8,242,243,244,240,241,245,239,238,237,235,236,234,232,200,201,202,198,199,203,99,100,101,98,97,102,103,178,179,180,176,177,181,182,183,184,185,186,187"/>
    <n v="43"/>
    <m/>
    <m/>
    <s v="No"/>
    <x v="0"/>
    <d v="2015-11-12T06:28:59"/>
    <n v="7"/>
    <s v="137.141.13.2"/>
    <s v="CB5 .M384 2012"/>
    <n v="948.02200000000005"/>
    <d v="2012-05-31T00:00:00"/>
  </r>
  <r>
    <x v="3899"/>
    <d v="1899-12-30T00:11:19"/>
    <x v="1045"/>
    <x v="7"/>
    <s v="oneonta"/>
    <x v="760"/>
    <n v="943645"/>
    <x v="15"/>
    <s v="History"/>
    <s v="9781441104755"/>
    <s v=",1,2,3"/>
    <n v="3"/>
    <m/>
    <m/>
    <s v="No"/>
    <x v="1"/>
    <m/>
    <m/>
    <s v="137.141.13.2"/>
    <s v="CB5 .M384 2012"/>
    <n v="948.02200000000005"/>
    <d v="2012-05-31T00:00:00"/>
  </r>
  <r>
    <x v="3900"/>
    <d v="1899-12-30T00:03:31"/>
    <x v="1046"/>
    <x v="12"/>
    <s v="potsdam"/>
    <x v="988"/>
    <n v="1983497"/>
    <x v="0"/>
    <s v="Social Science"/>
    <s v="9780745689395"/>
    <s v=",1,2,3,217,218,219,215,220,216,221"/>
    <n v="10"/>
    <m/>
    <m/>
    <s v="No"/>
    <x v="0"/>
    <d v="2015-11-05T06:39:36"/>
    <n v="7"/>
    <s v="137.143.104.94"/>
    <s v="GT525"/>
    <n v="391.6"/>
    <d v="2015-03-03T00:00:00"/>
  </r>
  <r>
    <x v="3901"/>
    <d v="1899-12-30T00:00:16"/>
    <x v="801"/>
    <x v="0"/>
    <s v="Buffalo"/>
    <x v="827"/>
    <n v="1969430"/>
    <x v="1"/>
    <s v="Social Science"/>
    <s v="9781472443038"/>
    <s v=",1,2,3"/>
    <n v="3"/>
    <m/>
    <m/>
    <s v="No"/>
    <x v="3"/>
    <m/>
    <m/>
    <s v="128.205.114.91"/>
    <s v="HQ281 -- .S65 2015eb"/>
    <s v="306.3/6209593"/>
    <d v="2015-03-28T00:00:00"/>
  </r>
  <r>
    <x v="3902"/>
    <d v="1899-12-30T00:04:47"/>
    <x v="1047"/>
    <x v="13"/>
    <s v="buffalostate"/>
    <x v="674"/>
    <n v="980956"/>
    <x v="0"/>
    <s v="Psychology; Social Science"/>
    <s v="9781118227251"/>
    <s v=",318,319,320,321,322,323,325,324,326,327,328,329,330,331,332,333,334,335,336,337,338,339,340,341,342,343,344,345,346,347,348,349"/>
    <n v="32"/>
    <m/>
    <m/>
    <s v="No"/>
    <x v="0"/>
    <d v="2015-11-12T04:29:43"/>
    <n v="7"/>
    <s v="136.183.11.43"/>
    <s v="HV40 -- .T51377 2012eb"/>
    <s v="150.1023/36132"/>
    <d v="2012-07-23T00:00:00"/>
  </r>
  <r>
    <x v="3903"/>
    <d v="1899-12-30T00:12:10"/>
    <x v="1047"/>
    <x v="13"/>
    <s v="buffalostate"/>
    <x v="674"/>
    <n v="980956"/>
    <x v="0"/>
    <s v="Psychology; Social Science"/>
    <s v="9781118227251"/>
    <s v=",1,2,3,4,5,6,7,8,9,10,11,12,13,14,15,16,17,18,19,20,21,22,23,24,25,26,27,28,29,30,31,32,33,34,35,36,37,39,38,40,41,42,43,44,45,46,47,48,49,50,51,52,53,54,55,56,57,58,59,60,61,62,63,64,65,66,67,68,69,70,71,72,73,74,75,76,77,78,79,80,81,82,83,85,84,87,91,92,93,94,95,96,97,98,99,100,101,102,103,104,105,106,107,108,109,110,112,111,113,114,116,115,117,118,119,120,121,135,149,225,180,226,227,228,229,231,230,240,232,234,233,235,236,237,238,239,241,242,244,243,245,246,247,248,249,250,251,252,253,254,255,256,257,258,259,260,261,262,263,264,265,266,267,268,269,270,271,272,273,274,275,276,277,278,279,281,280,283,284,282,285,286,287,288,289,290,291,292,293,294,295,296,297,298,299,300,301,303,302,305,304,306,307,308,309,310,311,312,313,314,315,316,317"/>
    <n v="213"/>
    <m/>
    <m/>
    <s v="No"/>
    <x v="1"/>
    <m/>
    <m/>
    <s v="136.183.11.43"/>
    <s v="HV40 -- .T51377 2012eb"/>
    <s v="150.1023/36132"/>
    <d v="2012-07-23T00:00:00"/>
  </r>
  <r>
    <x v="3904"/>
    <d v="1899-12-30T00:09:33"/>
    <x v="1048"/>
    <x v="7"/>
    <s v="oneonta"/>
    <x v="498"/>
    <n v="867850"/>
    <x v="10"/>
    <s v="History"/>
    <s v="9781400834860"/>
    <s v=",1,2,3,4,5,6,7,8,8,1,9,10,6,7,2,2,1,3,4"/>
    <n v="10"/>
    <m/>
    <m/>
    <s v="No"/>
    <x v="1"/>
    <m/>
    <m/>
    <s v="137.141.13.2"/>
    <s v="DF234.37 -- .B7413 2010eb"/>
    <s v="938/.07092"/>
    <d v="2012-03-25T00:00:00"/>
  </r>
  <r>
    <x v="3905"/>
    <d v="1899-12-30T00:00:39"/>
    <x v="950"/>
    <x v="12"/>
    <s v="potsdam"/>
    <x v="922"/>
    <n v="2004809"/>
    <x v="1"/>
    <s v="Law"/>
    <s v="9781472443465"/>
    <s v=",1,2,3,4,5,6,16,27,33,37,41,47,48,49,45,46,44,43,42"/>
    <n v="19"/>
    <m/>
    <m/>
    <s v="No"/>
    <x v="2"/>
    <d v="2015-11-11T04:55:48"/>
    <n v="1"/>
    <s v="137.143.104.94"/>
    <s v="K3927 -- .I58 2015eb"/>
    <s v="346.04/84"/>
    <d v="2015-04-28T00:00:00"/>
  </r>
  <r>
    <x v="3906"/>
    <d v="1899-12-30T00:00:00"/>
    <x v="1040"/>
    <x v="16"/>
    <s v="monroecc"/>
    <x v="989"/>
    <n v="1895943"/>
    <x v="0"/>
    <s v="Business/Management"/>
    <s v="9781119026600"/>
    <m/>
    <n v="0"/>
    <m/>
    <m/>
    <s v="Yes"/>
    <x v="0"/>
    <d v="2015-11-12T03:30:05"/>
    <n v="7"/>
    <s v="150.160.200.114"/>
    <s v="HF5635 -- .B665 2015eb"/>
    <n v="657"/>
    <d v="2015-03-27T00:00:00"/>
  </r>
  <r>
    <x v="3906"/>
    <d v="1899-12-30T00:00:00"/>
    <x v="1040"/>
    <x v="16"/>
    <s v="monroecc"/>
    <x v="989"/>
    <n v="1895943"/>
    <x v="0"/>
    <s v="Business/Management"/>
    <s v="9781119026600"/>
    <m/>
    <n v="0"/>
    <m/>
    <m/>
    <s v="No"/>
    <x v="0"/>
    <d v="2015-11-12T03:30:05"/>
    <n v="7"/>
    <s v="150.160.200.114"/>
    <s v="HF5635 -- .B665 2015eb"/>
    <n v="657"/>
    <d v="2015-03-27T00:00:00"/>
  </r>
  <r>
    <x v="3907"/>
    <d v="1899-12-30T00:00:12"/>
    <x v="1040"/>
    <x v="16"/>
    <s v="monroecc"/>
    <x v="989"/>
    <n v="1895943"/>
    <x v="0"/>
    <s v="Business/Management"/>
    <s v="9781119026600"/>
    <s v=",1,2,3"/>
    <n v="3"/>
    <m/>
    <m/>
    <s v="No"/>
    <x v="3"/>
    <m/>
    <m/>
    <s v="150.160.200.114"/>
    <s v="HF5635 -- .B665 2015eb"/>
    <n v="657"/>
    <d v="2015-03-27T00:00:00"/>
  </r>
  <r>
    <x v="3908"/>
    <d v="1899-12-30T00:00:00"/>
    <x v="1049"/>
    <x v="0"/>
    <s v="Buffalo"/>
    <x v="990"/>
    <n v="1582755"/>
    <x v="11"/>
    <s v="Religion"/>
    <s v="9780226083902"/>
    <m/>
    <n v="0"/>
    <m/>
    <s v=",38,39,40,41,42,43,44,45,46,47,48,49,50,51,52,53,54,55,56,57,58,59,60,61,62,63,64,65,66,67,68,69,130,131,132,133,134,135,136,137,138,139,140,141,142,143,144,145,146,147,148,149,150,151,152,153,154,155,156,157,158,159,160,161,162,163,164,165,166,167,168,169,170,171,172,173,174,175,176,177,178,179,180,181,182,183,184,185,186,187,188,189,190,191,192,193,194,195,196,197"/>
    <s v="No"/>
    <x v="2"/>
    <d v="2015-11-12T03:18:03"/>
    <n v="1"/>
    <s v="128.205.114.91"/>
    <s v="BT83"/>
    <s v="201/.72"/>
    <d v="2014-01-13T00:00:00"/>
  </r>
  <r>
    <x v="3909"/>
    <d v="1899-12-30T00:00:21"/>
    <x v="1049"/>
    <x v="0"/>
    <s v="Buffalo"/>
    <x v="990"/>
    <n v="1582755"/>
    <x v="11"/>
    <s v="Religion"/>
    <s v="9780226083902"/>
    <s v=",1,2,3,130,131,132,133,134"/>
    <n v="8"/>
    <m/>
    <m/>
    <s v="No"/>
    <x v="3"/>
    <m/>
    <m/>
    <s v="128.205.114.91"/>
    <s v="BT83"/>
    <s v="201/.72"/>
    <d v="2014-01-13T00:00:00"/>
  </r>
  <r>
    <x v="3910"/>
    <d v="1899-12-30T00:01:08"/>
    <x v="1050"/>
    <x v="15"/>
    <s v="morrisville"/>
    <x v="991"/>
    <n v="1078671"/>
    <x v="11"/>
    <s v="Social Science; Health; Medicine"/>
    <s v="9780226922133"/>
    <s v=",1,2,3,31,32,33,29,30,34,35,36,37,14,15,16,12,13,17,18,19,20,21"/>
    <n v="22"/>
    <m/>
    <m/>
    <s v="No"/>
    <x v="2"/>
    <d v="2015-11-11T23:17:14"/>
    <n v="1"/>
    <s v="136.204.32.68"/>
    <s v="R725.55 -- .C33 2012eb"/>
    <n v="362.11"/>
    <d v="2013-01-18T00:00:00"/>
  </r>
  <r>
    <x v="3911"/>
    <d v="1899-12-30T00:04:05"/>
    <x v="950"/>
    <x v="12"/>
    <s v="potsdam"/>
    <x v="922"/>
    <n v="2004809"/>
    <x v="1"/>
    <s v="Law"/>
    <s v="9781472443465"/>
    <s v=",1,24,25,26,22,23,2,27,28,29,30,31,32,33,34,35,36,37,38,39,40,41"/>
    <n v="22"/>
    <m/>
    <m/>
    <s v="No"/>
    <x v="2"/>
    <d v="2015-11-11T04:55:48"/>
    <n v="1"/>
    <s v="137.143.104.94"/>
    <s v="K3927 -- .I58 2015eb"/>
    <s v="346.04/84"/>
    <d v="2015-04-28T00:00:00"/>
  </r>
  <r>
    <x v="3912"/>
    <d v="1899-12-30T00:02:14"/>
    <x v="1051"/>
    <x v="12"/>
    <s v="potsdam"/>
    <x v="992"/>
    <n v="1685765"/>
    <x v="5"/>
    <s v="Social Science; Religion"/>
    <s v="9781479890996"/>
    <s v=",1,2,3,4,5,6,7,8,9,10,12,13,14,11,15,16,17,18,19,20,21,22,23,24,33,34,30,26,25,27"/>
    <n v="30"/>
    <m/>
    <m/>
    <s v="No"/>
    <x v="3"/>
    <m/>
    <m/>
    <s v="137.143.104.94"/>
    <s v="BL2532.R37 -- .M335 2014eb"/>
    <s v="305.6/996760963"/>
    <d v="2014-07-04T00:00:00"/>
  </r>
  <r>
    <x v="3913"/>
    <d v="1899-12-30T00:01:15"/>
    <x v="1052"/>
    <x v="1"/>
    <s v="brockport"/>
    <x v="993"/>
    <n v="1337899"/>
    <x v="11"/>
    <s v="Fine Arts; Museums"/>
    <s v="9780226059747"/>
    <s v=",1,154,155,156,152,153,2,151,226,227,228,224"/>
    <n v="12"/>
    <m/>
    <m/>
    <s v="No"/>
    <x v="3"/>
    <m/>
    <m/>
    <s v="137.21.7.121"/>
    <s v="AM305"/>
    <s v="790.1/32097309034"/>
    <d v="2013-09-19T00:00:00"/>
  </r>
  <r>
    <x v="3914"/>
    <d v="1899-12-30T00:00:36"/>
    <x v="1053"/>
    <x v="1"/>
    <s v="brockport"/>
    <x v="994"/>
    <n v="2038619"/>
    <x v="1"/>
    <s v="Political Science"/>
    <s v="9781409435358"/>
    <s v=",150,151,152,148,149,153,147"/>
    <n v="7"/>
    <m/>
    <m/>
    <s v="No"/>
    <x v="2"/>
    <d v="2015-11-11T23:19:18"/>
    <n v="1"/>
    <s v="137.21.7.121"/>
    <n v="2014044650"/>
    <n v="327.47050000000002"/>
    <d v="2015-05-28T00:00:00"/>
  </r>
  <r>
    <x v="3915"/>
    <d v="1899-12-30T00:01:29"/>
    <x v="1050"/>
    <x v="15"/>
    <s v="morrisville"/>
    <x v="991"/>
    <n v="1078671"/>
    <x v="11"/>
    <s v="Social Science; Health; Medicine"/>
    <s v="9780226922133"/>
    <s v=",19,20,21,22"/>
    <n v="4"/>
    <m/>
    <m/>
    <s v="No"/>
    <x v="2"/>
    <d v="2015-11-11T23:17:14"/>
    <n v="1"/>
    <s v="136.204.32.68"/>
    <s v="R725.55 -- .C33 2012eb"/>
    <n v="362.11"/>
    <d v="2013-01-18T00:00:00"/>
  </r>
  <r>
    <x v="3916"/>
    <d v="1899-12-30T00:02:47"/>
    <x v="1050"/>
    <x v="15"/>
    <s v="morrisville"/>
    <x v="991"/>
    <n v="1078671"/>
    <x v="11"/>
    <s v="Social Science; Health; Medicine"/>
    <s v="9780226922133"/>
    <s v=",1,2,3,14,15,16,12,13,17,18"/>
    <n v="10"/>
    <m/>
    <m/>
    <s v="No"/>
    <x v="3"/>
    <m/>
    <m/>
    <s v="136.204.32.68"/>
    <s v="R725.55 -- .C33 2012eb"/>
    <n v="362.11"/>
    <d v="2013-01-18T00:00:00"/>
  </r>
  <r>
    <x v="3917"/>
    <d v="1899-12-30T00:16:02"/>
    <x v="1053"/>
    <x v="1"/>
    <s v="brockport"/>
    <x v="994"/>
    <n v="2038619"/>
    <x v="1"/>
    <s v="Political Science"/>
    <s v="9781409435358"/>
    <s v=",1,3,2"/>
    <n v="3"/>
    <m/>
    <m/>
    <s v="No"/>
    <x v="3"/>
    <m/>
    <m/>
    <s v="137.21.7.121"/>
    <n v="2014044650"/>
    <n v="327.47050000000002"/>
    <d v="2015-05-28T00:00:00"/>
  </r>
  <r>
    <x v="3918"/>
    <d v="1899-12-30T00:00:25"/>
    <x v="13"/>
    <x v="0"/>
    <s v="Buffalo"/>
    <x v="995"/>
    <n v="817992"/>
    <x v="0"/>
    <s v="Computer Science/IT"/>
    <s v="9781118222591"/>
    <s v=",2,1,4,3,3,2,2"/>
    <n v="4"/>
    <m/>
    <m/>
    <s v="No"/>
    <x v="0"/>
    <d v="2015-11-11T22:32:14"/>
    <n v="7"/>
    <s v="128.205.114.91"/>
    <s v="QA76.76.H94 -- B68 2012eb"/>
    <s v="004.6; 006.74"/>
    <d v="2012-06-21T00:00:00"/>
  </r>
  <r>
    <x v="3919"/>
    <d v="1899-12-30T01:13:14"/>
    <x v="13"/>
    <x v="0"/>
    <s v="Buffalo"/>
    <x v="73"/>
    <n v="1119505"/>
    <x v="0"/>
    <s v="Science: Chemistry; Science"/>
    <s v="9781118355015"/>
    <s v=",1,2,2,3,3,1,2,2,231,232,233,231,232,233,229,230,230,266,267,268,267,268,266,264,265,265,269,269,251,252,251,252,250,253,249,250,253,248,247,246,245,232,233,231,229,230,234,234,235,235,236,236,237,237,238,238,239,239,240,240,241,241,242,242,243,243,244,244,245,266,267,268,264,265,269,264,251,252,253,249,250,248,247,245,246,240,241,242,238,239,243,244,245,246,247,248,249,250,251,252,252,253,254,254,255,255,256,256,257,257,258,258,266,267,268,264,269,265,253,254,255,251,252,256,257,258,259,259,260,260,261,261,262,262,263,264,263,265,266,267,268,232,233,234,230,231,235,236,237,238,239,240,241,242,243,244,245,246,247,248,249,250,251,252,253,254,255,256,257,258,259,260,261,262,263,264,265,266,267,268,269,260,259,258,257,256,255,254,253,252,240,241,242,238,239,243,244,245,246,237,236,235,234,233,232,247,248,249,250,251,231,230,229,280,281,282"/>
    <n v="47"/>
    <m/>
    <m/>
    <s v="No"/>
    <x v="0"/>
    <d v="2015-11-06T16:36:29"/>
    <n v="7"/>
    <s v="128.205.114.91"/>
    <s v="QD251.3 -- .S38 2013eb"/>
    <s v="547/.128"/>
    <d v="2013-01-28T00:00:00"/>
  </r>
  <r>
    <x v="3920"/>
    <d v="1899-12-30T00:00:00"/>
    <x v="13"/>
    <x v="0"/>
    <s v="Buffalo"/>
    <x v="975"/>
    <n v="817871"/>
    <x v="0"/>
    <s v="Computer Science/IT"/>
    <s v="9781118206911"/>
    <m/>
    <n v="0"/>
    <m/>
    <m/>
    <s v="Yes"/>
    <x v="0"/>
    <d v="2015-11-06T19:11:49"/>
    <n v="7"/>
    <s v="128.205.114.91"/>
    <s v="QA76.76.H94"/>
    <n v="6.74"/>
    <d v="2011-12-20T00:00:00"/>
  </r>
  <r>
    <x v="3921"/>
    <d v="1899-12-30T00:00:24"/>
    <x v="13"/>
    <x v="0"/>
    <s v="Buffalo"/>
    <x v="975"/>
    <n v="817871"/>
    <x v="0"/>
    <s v="Computer Science/IT"/>
    <s v="9781118206911"/>
    <s v=",1,1,2,2,3,3,1,2,2"/>
    <n v="3"/>
    <m/>
    <m/>
    <s v="No"/>
    <x v="0"/>
    <d v="2015-11-06T19:11:49"/>
    <n v="7"/>
    <s v="128.205.114.91"/>
    <s v="QA76.76.H94"/>
    <n v="6.74"/>
    <d v="2011-12-20T00:00:00"/>
  </r>
  <r>
    <x v="3922"/>
    <d v="1899-12-30T00:27:48"/>
    <x v="13"/>
    <x v="0"/>
    <s v="Buffalo"/>
    <x v="995"/>
    <n v="817992"/>
    <x v="0"/>
    <s v="Computer Science/IT"/>
    <s v="9781118222591"/>
    <s v=",1,1,3,3,2,2,2,2"/>
    <n v="3"/>
    <m/>
    <m/>
    <s v="No"/>
    <x v="1"/>
    <m/>
    <m/>
    <s v="128.205.114.91"/>
    <s v="QA76.76.H94 -- B68 2012eb"/>
    <s v="004.6; 006.74"/>
    <d v="2012-06-21T00:00:00"/>
  </r>
  <r>
    <x v="3923"/>
    <d v="1899-12-30T00:02:01"/>
    <x v="1050"/>
    <x v="15"/>
    <s v="morrisville"/>
    <x v="991"/>
    <n v="1078671"/>
    <x v="11"/>
    <s v="Social Science; Health; Medicine"/>
    <s v="9780226922133"/>
    <s v=",1,2,3,14,15,16,13,12,17,18,19"/>
    <n v="11"/>
    <m/>
    <m/>
    <s v="No"/>
    <x v="3"/>
    <m/>
    <m/>
    <s v="136.204.32.68"/>
    <s v="R725.55 -- .C33 2012eb"/>
    <n v="362.11"/>
    <d v="2013-01-18T00:00:00"/>
  </r>
  <r>
    <x v="3924"/>
    <d v="1899-12-30T00:00:51"/>
    <x v="1050"/>
    <x v="15"/>
    <s v="morrisville"/>
    <x v="991"/>
    <n v="1078671"/>
    <x v="11"/>
    <s v="Social Science; Health; Medicine"/>
    <s v="9780226922133"/>
    <s v=",1,2,3,31,32,33,29,30"/>
    <n v="8"/>
    <m/>
    <m/>
    <s v="No"/>
    <x v="3"/>
    <m/>
    <m/>
    <s v="136.204.32.68"/>
    <s v="R725.55 -- .C33 2012eb"/>
    <n v="362.11"/>
    <d v="2013-01-18T00:00:00"/>
  </r>
  <r>
    <x v="3925"/>
    <d v="1899-12-30T00:00:13"/>
    <x v="1054"/>
    <x v="5"/>
    <s v="erie"/>
    <x v="996"/>
    <n v="1895441"/>
    <x v="0"/>
    <s v="Agriculture"/>
    <s v="9781118409718"/>
    <s v=",1,2,2,3,1,3,4,4"/>
    <n v="4"/>
    <m/>
    <m/>
    <s v="No"/>
    <x v="3"/>
    <m/>
    <m/>
    <s v="199.29.6.54"/>
    <s v="SF724 .G384 2015"/>
    <n v="636.08960091300003"/>
    <d v="2015-01-12T00:00:00"/>
  </r>
  <r>
    <x v="3926"/>
    <d v="1899-12-30T00:00:02"/>
    <x v="765"/>
    <x v="1"/>
    <s v="brockport"/>
    <x v="953"/>
    <n v="1776083"/>
    <x v="0"/>
    <s v="Medicine"/>
    <s v="9781118510278"/>
    <s v=",1,3"/>
    <n v="2"/>
    <m/>
    <m/>
    <s v="No"/>
    <x v="2"/>
    <d v="2015-11-11T20:46:18"/>
    <n v="1"/>
    <s v="137.21.7.121"/>
    <s v="RC489.C63 -- .S63 2014eb"/>
    <s v="616.89/1425"/>
    <d v="2014-08-25T00:00:00"/>
  </r>
  <r>
    <x v="3927"/>
    <d v="1899-12-30T00:05:51"/>
    <x v="765"/>
    <x v="1"/>
    <s v="brockport"/>
    <x v="953"/>
    <n v="1776083"/>
    <x v="0"/>
    <s v="Medicine"/>
    <s v="9781118510278"/>
    <s v=",1,2,3,40,41,42,38,39,199,200,201,197,198,202,203,119,120,121,117,118,107,108,109,105,106,70,71,72,68,69"/>
    <n v="30"/>
    <m/>
    <m/>
    <s v="No"/>
    <x v="3"/>
    <m/>
    <m/>
    <s v="137.21.7.121"/>
    <s v="RC489.C63 -- .S63 2014eb"/>
    <s v="616.89/1425"/>
    <d v="2014-08-25T00:00:00"/>
  </r>
  <r>
    <x v="3928"/>
    <d v="1899-12-30T00:00:03"/>
    <x v="1055"/>
    <x v="5"/>
    <s v="erie"/>
    <x v="997"/>
    <n v="1784948"/>
    <x v="0"/>
    <s v="History"/>
    <s v="9781119022336"/>
    <s v=",1"/>
    <n v="1"/>
    <m/>
    <m/>
    <s v="No"/>
    <x v="1"/>
    <m/>
    <m/>
    <s v="199.29.6.54"/>
    <s v="DS835 -- .T686 2013eb"/>
    <n v="952"/>
    <d v="2014-09-11T00:00:00"/>
  </r>
  <r>
    <x v="3929"/>
    <d v="1899-12-30T00:04:42"/>
    <x v="1056"/>
    <x v="0"/>
    <s v="Buffalo"/>
    <x v="73"/>
    <n v="1119505"/>
    <x v="0"/>
    <s v="Science: Chemistry; Science"/>
    <s v="9781118355015"/>
    <s v=",194,197,194,193,191,192,189,190,192,189,179,140,139,135,136,137,138,141,142,143,144,145,155,157,176,177,178,169,168,170,171,172,182,294,292,291,290,293,289,277,205,206,207,208,209,210,211,212,213,214,215,216,217,218,219,220,221,222,223,224,225,226,227,228,229,230,231,232,233,249,250,251,252,255,256,257,258,259,261,262,264,265,266,267,268,269,270,271,276,156,153,157,159,160,161,158,15,8,1,2,3,27,28,42,46,47,48,44,45"/>
    <n v="105"/>
    <m/>
    <s v="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"/>
    <s v="Yes"/>
    <x v="0"/>
    <d v="2015-11-09T23:39:02"/>
    <n v="7"/>
    <s v="128.205.114.91"/>
    <s v="QD251.3 -- .S38 2013eb"/>
    <s v="547/.128"/>
    <d v="2013-01-28T00:00:00"/>
  </r>
  <r>
    <x v="3930"/>
    <d v="1899-12-30T00:00:30"/>
    <x v="1056"/>
    <x v="0"/>
    <s v="Buffalo"/>
    <x v="73"/>
    <n v="1119505"/>
    <x v="0"/>
    <s v="Science: Chemistry; Science"/>
    <s v="9781118355015"/>
    <s v=",1,2,3,197,198,199,195,196"/>
    <n v="8"/>
    <m/>
    <m/>
    <s v="No"/>
    <x v="0"/>
    <d v="2015-11-09T23:39:02"/>
    <n v="7"/>
    <s v="128.205.114.91"/>
    <s v="QD251.3 -- .S38 2013eb"/>
    <s v="547/.128"/>
    <d v="2013-01-28T00:00:00"/>
  </r>
  <r>
    <x v="3931"/>
    <d v="1899-12-30T00:02:00"/>
    <x v="1057"/>
    <x v="1"/>
    <s v="brockport"/>
    <x v="998"/>
    <n v="819226"/>
    <x v="0"/>
    <s v="Medicine"/>
    <s v="9781119998570"/>
    <s v=",1,2,3,70,71,72,68,69,73,74,75,76,129,130,131,127,128"/>
    <n v="17"/>
    <m/>
    <m/>
    <s v="No"/>
    <x v="1"/>
    <m/>
    <m/>
    <s v="137.21.7.121"/>
    <s v="RJ496.S7 -- C557 2011eb"/>
    <s v="618.92/855"/>
    <d v="2012-01-09T00:00:00"/>
  </r>
  <r>
    <x v="3932"/>
    <d v="1899-12-30T00:00:33"/>
    <x v="1058"/>
    <x v="15"/>
    <s v="morrisville"/>
    <x v="999"/>
    <n v="2038579"/>
    <x v="0"/>
    <s v="Philosophy"/>
    <s v="9781119010050"/>
    <s v=",1,2,3,57,58,59,55,56"/>
    <n v="8"/>
    <m/>
    <m/>
    <s v="No"/>
    <x v="3"/>
    <m/>
    <m/>
    <s v="136.204.32.68"/>
    <s v="B72 .M384 2015"/>
    <n v="109.2"/>
    <d v="2015-06-30T00:00:00"/>
  </r>
  <r>
    <x v="3933"/>
    <d v="1899-12-30T00:00:28"/>
    <x v="454"/>
    <x v="5"/>
    <s v="erie"/>
    <x v="1000"/>
    <n v="1869295"/>
    <x v="1"/>
    <s v="Social Science"/>
    <s v="9781472417114"/>
    <s v=",1,2,3,66,68,64,67,65"/>
    <n v="8"/>
    <m/>
    <m/>
    <s v="No"/>
    <x v="3"/>
    <m/>
    <m/>
    <s v="199.29.6.54"/>
    <s v="HM741 -- .R63 2015eb"/>
    <n v="303.01"/>
    <d v="2015-01-28T00:00:00"/>
  </r>
  <r>
    <x v="3934"/>
    <d v="1899-12-30T00:02:21"/>
    <x v="1059"/>
    <x v="0"/>
    <s v="Buffalo"/>
    <x v="1001"/>
    <n v="1655589"/>
    <x v="3"/>
    <s v="Religion"/>
    <s v="9780520957985"/>
    <s v=",1,2,3,4,5,6,7,8,9,10,11,12,13,14,15,16,17,18,20,19,21,22,23,24,25,26,27,28,29,30,31,32,33"/>
    <n v="33"/>
    <m/>
    <m/>
    <s v="No"/>
    <x v="3"/>
    <m/>
    <m/>
    <s v="128.205.114.91"/>
    <s v="BR1085.A58 -- S54 2014eb"/>
    <s v="275.64/8"/>
    <d v="2014-04-12T00:00:00"/>
  </r>
  <r>
    <x v="3935"/>
    <d v="1899-12-30T00:02:39"/>
    <x v="1060"/>
    <x v="13"/>
    <s v="buffalostate"/>
    <x v="1002"/>
    <n v="1676710"/>
    <x v="11"/>
    <s v="Science; Agriculture; Science: Biology/Natural History"/>
    <s v="9780226118109"/>
    <s v=",282,283,284,280,281,285,286"/>
    <n v="7"/>
    <m/>
    <m/>
    <s v="No"/>
    <x v="2"/>
    <d v="2015-11-11T17:53:22"/>
    <n v="1"/>
    <s v="136.183.11.43"/>
    <s v="SD409"/>
    <n v="577.29999999999995"/>
    <d v="2014-05-23T00:00:00"/>
  </r>
  <r>
    <x v="3936"/>
    <d v="1899-12-30T00:06:05"/>
    <x v="1060"/>
    <x v="13"/>
    <s v="buffalostate"/>
    <x v="1002"/>
    <n v="1676710"/>
    <x v="11"/>
    <s v="Science; Agriculture; Science: Biology/Natural History"/>
    <s v="9780226118109"/>
    <s v=",1,2,3"/>
    <n v="3"/>
    <m/>
    <m/>
    <s v="No"/>
    <x v="3"/>
    <m/>
    <m/>
    <s v="136.183.11.43"/>
    <s v="SD409"/>
    <n v="577.29999999999995"/>
    <d v="2014-05-23T00:00:00"/>
  </r>
  <r>
    <x v="3937"/>
    <d v="1899-12-30T00:00:27"/>
    <x v="13"/>
    <x v="0"/>
    <s v="Buffalo"/>
    <x v="1003"/>
    <n v="2058068"/>
    <x v="1"/>
    <s v="Social Science"/>
    <s v="9781472414533"/>
    <s v=",1,3,2,4,5,6,7,8,9,10"/>
    <n v="10"/>
    <m/>
    <m/>
    <s v="No"/>
    <x v="3"/>
    <m/>
    <m/>
    <s v="128.205.114.91"/>
    <s v="HQ1075.5.I74 O99 2015"/>
    <n v="305.30976700000002"/>
    <d v="2015-07-28T00:00:00"/>
  </r>
  <r>
    <x v="3938"/>
    <d v="1899-12-30T00:08:51"/>
    <x v="1061"/>
    <x v="0"/>
    <s v="Buffalo"/>
    <x v="719"/>
    <n v="771074"/>
    <x v="18"/>
    <s v="Medicine; Pharmacy; Social Science; Health"/>
    <s v="9780761499732"/>
    <s v=",1,2,3,6,11,12,13,15,19,23,26,29,2,30,31,27,28,39,40,42,45,47,48,49,46,51,52,53,62,73,74,75,76,72"/>
    <n v="33"/>
    <m/>
    <m/>
    <s v="No"/>
    <x v="1"/>
    <m/>
    <m/>
    <s v="128.205.114.91"/>
    <s v="RM301.17 .K567 2012"/>
    <s v="362.29; 615.1"/>
    <d v="2012-01-01T00:00:00"/>
  </r>
  <r>
    <x v="3939"/>
    <d v="1899-12-30T00:48:06"/>
    <x v="876"/>
    <x v="0"/>
    <s v="Buffalo"/>
    <x v="1004"/>
    <n v="1882097"/>
    <x v="3"/>
    <s v="Social Science"/>
    <s v="9780520958692"/>
    <s v=",20,21,22,23,24,25,26,27,29,28,30,31,32,33,34,35,36,37,38,39,40,41,42,43,44,45,46,47,48,49,50,51,52,53,54,55,56,57"/>
    <n v="38"/>
    <m/>
    <m/>
    <s v="No"/>
    <x v="2"/>
    <d v="2015-11-11T16:24:19"/>
    <n v="1"/>
    <s v="128.205.114.91"/>
    <s v="HN290.R5 -- .R63 2015eb"/>
    <n v="303.60000000000002"/>
    <d v="2015-05-01T00:00:00"/>
  </r>
  <r>
    <x v="3940"/>
    <d v="1899-12-30T00:05:08"/>
    <x v="876"/>
    <x v="0"/>
    <s v="Buffalo"/>
    <x v="1004"/>
    <n v="1882097"/>
    <x v="3"/>
    <s v="Social Science"/>
    <s v="9780520958692"/>
    <s v=",1,2,3,4,5,6,7,8,9,10,11,12,13,14,15,16,17,18,19,17"/>
    <n v="19"/>
    <m/>
    <m/>
    <s v="No"/>
    <x v="3"/>
    <m/>
    <m/>
    <s v="128.205.114.91"/>
    <s v="HN290.R5 -- .R63 2015eb"/>
    <n v="303.60000000000002"/>
    <d v="2015-05-01T00:00:00"/>
  </r>
  <r>
    <x v="3941"/>
    <d v="1899-12-30T00:04:46"/>
    <x v="989"/>
    <x v="1"/>
    <s v="brockport"/>
    <x v="519"/>
    <n v="822662"/>
    <x v="0"/>
    <s v="History"/>
    <s v="9781444355130"/>
    <s v=",1,2,3,279,280,281,277,278,323,324,325,321,317,318,319,311,312,313,309,310,314,315,316,320,322,326,327,328,329,330,331,332,333,334,335,336,337,338,339,340,341,342,343,344,345,346,347,348,349"/>
    <n v="49"/>
    <m/>
    <m/>
    <s v="No"/>
    <x v="1"/>
    <m/>
    <m/>
    <s v="137.21.7.121"/>
    <s v="DT20 -- .R45 2012eb"/>
    <n v="960.3"/>
    <d v="2011-11-11T00:00:00"/>
  </r>
  <r>
    <x v="3942"/>
    <d v="1899-12-30T00:03:31"/>
    <x v="13"/>
    <x v="0"/>
    <s v="Buffalo"/>
    <x v="73"/>
    <n v="1119505"/>
    <x v="0"/>
    <s v="Science: Chemistry; Science"/>
    <s v="9781118355015"/>
    <s v=",1,2,3,266,267,264,265,269,270,271,1,272,271,273,269,270,267,268,266,2,265,264"/>
    <n v="13"/>
    <m/>
    <m/>
    <s v="No"/>
    <x v="0"/>
    <d v="2015-11-06T16:36:29"/>
    <n v="7"/>
    <s v="128.205.114.91"/>
    <s v="QD251.3 -- .S38 2013eb"/>
    <s v="547/.128"/>
    <d v="2013-01-28T00:00:00"/>
  </r>
  <r>
    <x v="3943"/>
    <d v="1899-12-30T00:00:00"/>
    <x v="45"/>
    <x v="0"/>
    <s v="Buffalo"/>
    <x v="1005"/>
    <n v="1386415"/>
    <x v="2"/>
    <s v="Psychology"/>
    <s v="9781135124779"/>
    <m/>
    <n v="0"/>
    <m/>
    <m/>
    <s v="Yes"/>
    <x v="2"/>
    <d v="2015-11-11T12:07:21"/>
    <n v="1"/>
    <s v="128.205.114.91"/>
    <s v="BF203 -- .P27 2014eb"/>
    <n v="152.13999999999999"/>
    <d v="2013-09-11T00:00:00"/>
  </r>
  <r>
    <x v="3943"/>
    <d v="1899-12-30T00:00:00"/>
    <x v="45"/>
    <x v="0"/>
    <s v="Buffalo"/>
    <x v="1005"/>
    <n v="1386415"/>
    <x v="2"/>
    <s v="Psychology"/>
    <s v="9781135124779"/>
    <m/>
    <n v="0"/>
    <m/>
    <m/>
    <s v="No"/>
    <x v="2"/>
    <d v="2015-11-11T12:07:21"/>
    <n v="1"/>
    <s v="128.205.114.91"/>
    <s v="BF203 -- .P27 2014eb"/>
    <n v="152.13999999999999"/>
    <d v="2013-09-11T00:00:00"/>
  </r>
  <r>
    <x v="3944"/>
    <d v="1899-12-30T00:00:22"/>
    <x v="45"/>
    <x v="0"/>
    <s v="Buffalo"/>
    <x v="1005"/>
    <n v="1386415"/>
    <x v="2"/>
    <s v="Psychology"/>
    <s v="9781135124779"/>
    <s v=",1,2,3,4"/>
    <n v="4"/>
    <m/>
    <m/>
    <s v="No"/>
    <x v="3"/>
    <m/>
    <m/>
    <s v="128.205.114.91"/>
    <s v="BF203 -- .P27 2014eb"/>
    <n v="152.13999999999999"/>
    <d v="2013-09-11T00:00:00"/>
  </r>
  <r>
    <x v="3945"/>
    <d v="1899-12-30T00:00:43"/>
    <x v="171"/>
    <x v="0"/>
    <s v="Buffalo"/>
    <x v="314"/>
    <n v="1765699"/>
    <x v="16"/>
    <s v="Social Science"/>
    <s v="9781137388476"/>
    <s v=",6,7,8,5,4,9"/>
    <n v="6"/>
    <m/>
    <m/>
    <s v="No"/>
    <x v="0"/>
    <d v="2015-11-11T10:19:59"/>
    <n v="7"/>
    <s v="128.205.114.91"/>
    <s v="HV1568 -- .D5688 2014eb"/>
    <s v="365/.60870973"/>
    <d v="2014-05-29T00:00:00"/>
  </r>
  <r>
    <x v="3946"/>
    <d v="1899-12-30T00:11:05"/>
    <x v="171"/>
    <x v="0"/>
    <s v="Buffalo"/>
    <x v="314"/>
    <n v="1765699"/>
    <x v="16"/>
    <s v="Social Science"/>
    <s v="9781137388476"/>
    <s v=",1,2,3,180,181,182,178,179,156,157,158,154,155,159,160,164,168,169,171,172,173,174,170,175,177,176,98,99,100,96,97,101,102,106,107,108,109,110,111,112,113,114,115,116,117,118,119"/>
    <n v="47"/>
    <m/>
    <m/>
    <s v="No"/>
    <x v="1"/>
    <m/>
    <m/>
    <s v="128.205.114.91"/>
    <s v="HV1568 -- .D5688 2014eb"/>
    <s v="365/.60870973"/>
    <d v="2014-05-29T00:00:00"/>
  </r>
  <r>
    <x v="3947"/>
    <d v="1899-12-30T00:18:13"/>
    <x v="13"/>
    <x v="0"/>
    <s v="Buffalo"/>
    <x v="850"/>
    <n v="1589615"/>
    <x v="1"/>
    <s v="History"/>
    <s v="9781409469865"/>
    <s v=",1,2,3,8,9,10,6,7,28,29,30,26,27,31,32,33,34,35,36,37,11,12,13,14,15,16,17,18,43,44,45,41,42,46"/>
    <n v="34"/>
    <m/>
    <m/>
    <s v="No"/>
    <x v="2"/>
    <d v="2015-11-11T07:25:48"/>
    <n v="1"/>
    <s v="128.205.114.91"/>
    <s v="DF587 -- .C636 2014eb"/>
    <n v="949.50199999999995"/>
    <d v="2014-10-28T00:00:00"/>
  </r>
  <r>
    <x v="3948"/>
    <d v="1899-12-30T00:14:41"/>
    <x v="13"/>
    <x v="0"/>
    <s v="Buffalo"/>
    <x v="850"/>
    <n v="1589615"/>
    <x v="1"/>
    <s v="History"/>
    <s v="9781409469865"/>
    <s v=",32,33,34,35,36,37,38,39,40,42"/>
    <n v="10"/>
    <m/>
    <m/>
    <s v="No"/>
    <x v="2"/>
    <d v="2015-11-11T07:25:48"/>
    <n v="1"/>
    <s v="128.205.114.91"/>
    <s v="DF587 -- .C636 2014eb"/>
    <n v="949.50199999999995"/>
    <d v="2014-10-28T00:00:00"/>
  </r>
  <r>
    <x v="3949"/>
    <d v="1899-12-30T00:06:11"/>
    <x v="13"/>
    <x v="0"/>
    <s v="Buffalo"/>
    <x v="850"/>
    <n v="1589615"/>
    <x v="1"/>
    <s v="History"/>
    <s v="9781409469865"/>
    <s v=",1,28,29,30,26,27,2,31"/>
    <n v="8"/>
    <m/>
    <m/>
    <s v="No"/>
    <x v="3"/>
    <m/>
    <m/>
    <s v="128.205.114.91"/>
    <s v="DF587 -- .C636 2014eb"/>
    <n v="949.50199999999995"/>
    <d v="2014-10-28T00:00:00"/>
  </r>
  <r>
    <x v="3950"/>
    <d v="1899-12-30T00:00:02"/>
    <x v="13"/>
    <x v="0"/>
    <s v="Buffalo"/>
    <x v="232"/>
    <n v="822111"/>
    <x v="0"/>
    <s v="Social Science"/>
    <s v="9781444356922"/>
    <s v=",132,134,131,130,133"/>
    <n v="5"/>
    <m/>
    <m/>
    <s v="No"/>
    <x v="0"/>
    <d v="2015-11-11T07:01:22"/>
    <n v="7"/>
    <s v="128.205.114.91"/>
    <s v="HV6773 -- .K69 2012eb"/>
    <s v="302.34/3"/>
    <d v="2012-02-16T00:00:00"/>
  </r>
  <r>
    <x v="3951"/>
    <d v="1899-12-30T00:01:06"/>
    <x v="1062"/>
    <x v="0"/>
    <s v="Buffalo"/>
    <x v="850"/>
    <n v="1589615"/>
    <x v="1"/>
    <s v="History"/>
    <s v="9781409469865"/>
    <s v=",1,2,3,4,5,6,7,25,8,9,11,16,28,29,30,26,27,31,35,36,33"/>
    <n v="21"/>
    <m/>
    <m/>
    <s v="No"/>
    <x v="3"/>
    <m/>
    <m/>
    <s v="128.205.114.91"/>
    <s v="DF587 -- .C636 2014eb"/>
    <n v="949.50199999999995"/>
    <d v="2014-10-28T00:00:00"/>
  </r>
  <r>
    <x v="3952"/>
    <d v="1899-12-30T03:02:59"/>
    <x v="1063"/>
    <x v="0"/>
    <s v="Buffalo"/>
    <x v="1006"/>
    <n v="1655862"/>
    <x v="12"/>
    <s v="Social Science; Religion"/>
    <s v="9781469615493"/>
    <s v=",212,214,1,210,211,213,215,216,217,209,208,207,205,206,204,203,2,144,184,185,186,182,183,187,188,188,189,190,1,186,187,191,192,193,194,195,196,197,198,199,200,201,202,203,204,205,206,207,208,209,210,211,2,1,2,4,3,184,185,186,182,183,187,188,189,190,191,192,193,194,195,196,197,198,199,200,201,202,203,204,205,206,207,208,209,210,211,212,213,214,215,216,217"/>
    <n v="41"/>
    <m/>
    <m/>
    <s v="No"/>
    <x v="0"/>
    <d v="2015-11-11T06:37:33"/>
    <n v="7"/>
    <s v="128.205.114.91"/>
    <s v="BX1406.3 -- .D89 2014eb"/>
    <s v="391.0088/28273"/>
    <d v="2014-04-15T00:00:00"/>
  </r>
  <r>
    <x v="3953"/>
    <d v="1899-12-30T00:28:51"/>
    <x v="13"/>
    <x v="0"/>
    <s v="Buffalo"/>
    <x v="232"/>
    <n v="822111"/>
    <x v="0"/>
    <s v="Social Science"/>
    <s v="9781444356922"/>
    <s v=",2,1,3,9,33,42,85,110,213,209,177,167,168,169,170,171,103,104,105,101,102,106,201,202,203,200,199"/>
    <n v="27"/>
    <m/>
    <m/>
    <s v="No"/>
    <x v="1"/>
    <m/>
    <m/>
    <s v="128.205.114.91"/>
    <s v="HV6773 -- .K69 2012eb"/>
    <s v="302.34/3"/>
    <d v="2012-02-16T00:00:00"/>
  </r>
  <r>
    <x v="3954"/>
    <d v="1899-12-30T00:00:57"/>
    <x v="1060"/>
    <x v="13"/>
    <s v="buffalostate"/>
    <x v="1002"/>
    <n v="1676710"/>
    <x v="11"/>
    <s v="Science; Agriculture; Science: Biology/Natural History"/>
    <s v="9780226118109"/>
    <s v=",1,2,3,282,283,284,280,281"/>
    <n v="8"/>
    <m/>
    <m/>
    <s v="No"/>
    <x v="3"/>
    <m/>
    <m/>
    <s v="136.183.11.43"/>
    <s v="SD409"/>
    <n v="577.29999999999995"/>
    <d v="2014-05-23T00:00:00"/>
  </r>
  <r>
    <x v="3955"/>
    <d v="1899-12-30T01:29:10"/>
    <x v="1063"/>
    <x v="0"/>
    <s v="Buffalo"/>
    <x v="1006"/>
    <n v="1655862"/>
    <x v="12"/>
    <s v="Social Science; Religion"/>
    <s v="9781469615493"/>
    <s v=",1,2,3,184,185,186,182,183,187,188,189,190,191,192,193,194,195,196,197,198,200,199,201,202,203,204,205,206,207,208,209,210,211,212"/>
    <n v="34"/>
    <m/>
    <m/>
    <s v="No"/>
    <x v="1"/>
    <m/>
    <m/>
    <s v="128.205.114.91"/>
    <s v="BX1406.3 -- .D89 2014eb"/>
    <s v="391.0088/28273"/>
    <d v="2014-04-15T00:00:00"/>
  </r>
  <r>
    <x v="3956"/>
    <d v="1899-12-30T00:00:00"/>
    <x v="950"/>
    <x v="12"/>
    <s v="potsdam"/>
    <x v="922"/>
    <n v="2004809"/>
    <x v="1"/>
    <s v="Law"/>
    <s v="9781472443465"/>
    <s v=",49"/>
    <n v="1"/>
    <m/>
    <m/>
    <s v="No"/>
    <x v="2"/>
    <d v="2015-11-11T04:55:48"/>
    <n v="1"/>
    <s v="137.143.104.94"/>
    <s v="K3927 -- .I58 2015eb"/>
    <s v="346.04/84"/>
    <d v="2015-04-28T00:00:00"/>
  </r>
  <r>
    <x v="3957"/>
    <d v="1899-12-30T00:05:18"/>
    <x v="950"/>
    <x v="12"/>
    <s v="potsdam"/>
    <x v="922"/>
    <n v="2004809"/>
    <x v="1"/>
    <s v="Law"/>
    <s v="9781472443465"/>
    <s v=",1,18,19,20,16,17,21,22,23,2,24,25,26,27,28,29,44,45,46,42,43,47,48"/>
    <n v="23"/>
    <m/>
    <m/>
    <s v="No"/>
    <x v="3"/>
    <m/>
    <m/>
    <s v="137.143.104.94"/>
    <s v="K3927 -- .I58 2015eb"/>
    <s v="346.04/84"/>
    <d v="2015-04-28T00:00:00"/>
  </r>
  <r>
    <x v="3958"/>
    <d v="1899-12-30T00:08:47"/>
    <x v="1064"/>
    <x v="1"/>
    <s v="brockport"/>
    <x v="11"/>
    <n v="693176"/>
    <x v="0"/>
    <s v="Engineering: Manufacturing; General Works/Reference; Engineering"/>
    <s v="9781118017746"/>
    <s v=",395,396,394,397,398,399,400,401,402,403,404,405,406,407,408,409,410,411,412,413,414"/>
    <n v="21"/>
    <m/>
    <m/>
    <s v="No"/>
    <x v="0"/>
    <d v="2015-11-11T03:33:07"/>
    <n v="7"/>
    <s v="137.21.7.121"/>
    <s v="Z246 -- .M43 2012eb"/>
    <s v="686.2/209"/>
    <d v="2011-10-19T00:00:00"/>
  </r>
  <r>
    <x v="3959"/>
    <d v="1899-12-30T00:10:10"/>
    <x v="1064"/>
    <x v="1"/>
    <s v="brockport"/>
    <x v="11"/>
    <n v="693176"/>
    <x v="0"/>
    <s v="Engineering: Manufacturing; General Works/Reference; Engineering"/>
    <s v="9781118017746"/>
    <s v=",1,2,3,388,389,390,386,387,388,389,390,386,387,391,392,393,394"/>
    <n v="12"/>
    <m/>
    <m/>
    <s v="No"/>
    <x v="1"/>
    <m/>
    <m/>
    <s v="137.21.7.121"/>
    <s v="Z246 -- .M43 2012eb"/>
    <s v="686.2/209"/>
    <d v="2011-10-19T00:00:00"/>
  </r>
  <r>
    <x v="3960"/>
    <d v="1899-12-30T01:05:52"/>
    <x v="1065"/>
    <x v="7"/>
    <s v="oneonta"/>
    <x v="499"/>
    <n v="1172554"/>
    <x v="15"/>
    <s v="History"/>
    <s v=""/>
    <s v=",131,132,133,179,180,181,177,178,182,183,262,263,264,265,261,260,262,263,264,260,261,273,274,275,276,277,362,360,361,359,358,356,357,265,127,128,129,125,126,179,180,181,177,178,182,183,176"/>
    <n v="34"/>
    <m/>
    <m/>
    <s v="No"/>
    <x v="0"/>
    <d v="2015-11-11T02:49:13"/>
    <n v="7"/>
    <s v="137.141.13.2"/>
    <s v="DF234 .A67 2012"/>
    <s v="938.07092; 938/.07092"/>
    <d v="2013-04-11T00:00:00"/>
  </r>
  <r>
    <x v="3961"/>
    <d v="1899-12-30T00:18:47"/>
    <x v="1065"/>
    <x v="7"/>
    <s v="oneonta"/>
    <x v="499"/>
    <n v="1172554"/>
    <x v="15"/>
    <s v="History"/>
    <s v=""/>
    <s v=",1,2,3,362,360,361,359,358,4,5,6,7,8,9,10,337,338,357,14,15,16,12,13,17,18,19,11,33,34,35,31,32,36,127,128,129,126,125,130"/>
    <n v="39"/>
    <m/>
    <m/>
    <s v="No"/>
    <x v="1"/>
    <m/>
    <m/>
    <s v="137.141.13.2"/>
    <s v="DF234 .A67 2012"/>
    <s v="938.07092; 938/.07092"/>
    <d v="2013-04-11T00:00:00"/>
  </r>
  <r>
    <x v="3962"/>
    <d v="1899-12-30T00:00:06"/>
    <x v="1066"/>
    <x v="1"/>
    <s v="brockport"/>
    <x v="674"/>
    <n v="980956"/>
    <x v="0"/>
    <s v="Psychology; Social Science"/>
    <s v="9781118227251"/>
    <s v=",1,2,3"/>
    <n v="3"/>
    <m/>
    <m/>
    <s v="No"/>
    <x v="1"/>
    <m/>
    <m/>
    <s v="137.21.7.121"/>
    <s v="HV40 -- .T51377 2012eb"/>
    <s v="150.1023/36132"/>
    <d v="2012-07-23T00:00:00"/>
  </r>
  <r>
    <x v="3963"/>
    <d v="1899-12-30T00:00:18"/>
    <x v="604"/>
    <x v="12"/>
    <s v="potsdam"/>
    <x v="982"/>
    <n v="1576323"/>
    <x v="0"/>
    <s v="Psychology; Business/Management"/>
    <s v="9780857084576"/>
    <s v=",1,2,3,13,14,11,12,15"/>
    <n v="8"/>
    <m/>
    <m/>
    <s v="No"/>
    <x v="3"/>
    <m/>
    <m/>
    <s v="137.143.104.94"/>
    <s v="HD4904.25 -- .H334 2014eb"/>
    <n v="158.1"/>
    <d v="2013-12-03T00:00:00"/>
  </r>
  <r>
    <x v="3964"/>
    <d v="1899-12-30T00:00:14"/>
    <x v="604"/>
    <x v="12"/>
    <s v="potsdam"/>
    <x v="1007"/>
    <n v="1895417"/>
    <x v="0"/>
    <s v="Psychology"/>
    <s v="9780857086006"/>
    <s v=",1,2,3,26,25,27,23,24"/>
    <n v="8"/>
    <m/>
    <m/>
    <s v="No"/>
    <x v="3"/>
    <m/>
    <m/>
    <s v="137.143.104.94"/>
    <s v="BF637.C4 -- .T95 2015eb"/>
    <n v="158"/>
    <d v="2015-03-30T00:00:00"/>
  </r>
  <r>
    <x v="3965"/>
    <d v="1899-12-30T00:01:23"/>
    <x v="604"/>
    <x v="12"/>
    <s v="potsdam"/>
    <x v="26"/>
    <n v="1895579"/>
    <x v="0"/>
    <s v="Psychology"/>
    <s v="9781118757178"/>
    <s v=",1,2,3,56,57,58,55,54"/>
    <n v="8"/>
    <m/>
    <m/>
    <s v="No"/>
    <x v="3"/>
    <m/>
    <m/>
    <s v="137.143.104.94"/>
    <s v="BF204.6 -- .P675 2015eb"/>
    <s v="150.19/88"/>
    <d v="2015-03-09T00:00:00"/>
  </r>
  <r>
    <x v="3966"/>
    <d v="1899-12-30T00:00:04"/>
    <x v="604"/>
    <x v="12"/>
    <s v="potsdam"/>
    <x v="456"/>
    <n v="875438"/>
    <x v="0"/>
    <s v="Social Science"/>
    <s v="9781118232682"/>
    <s v=",1,2,3"/>
    <n v="3"/>
    <m/>
    <m/>
    <s v="No"/>
    <x v="1"/>
    <m/>
    <m/>
    <s v="137.143.104.94"/>
    <s v="HM716 -- .F73 2012eb"/>
    <n v="302.3"/>
    <d v="2012-03-08T00:00:00"/>
  </r>
  <r>
    <x v="3967"/>
    <d v="1899-12-30T00:00:04"/>
    <x v="604"/>
    <x v="12"/>
    <s v="potsdam"/>
    <x v="456"/>
    <n v="875438"/>
    <x v="0"/>
    <s v="Social Science"/>
    <s v="9781118232682"/>
    <s v=",1,2,3"/>
    <n v="3"/>
    <m/>
    <m/>
    <s v="No"/>
    <x v="1"/>
    <m/>
    <m/>
    <s v="137.143.104.94"/>
    <s v="HM716 -- .F73 2012eb"/>
    <n v="302.3"/>
    <d v="2012-03-08T00:00:00"/>
  </r>
  <r>
    <x v="3968"/>
    <d v="1899-12-30T00:00:04"/>
    <x v="604"/>
    <x v="12"/>
    <s v="potsdam"/>
    <x v="1008"/>
    <n v="1666483"/>
    <x v="0"/>
    <s v="Business/Management"/>
    <s v="9781118727973"/>
    <s v=",1,2"/>
    <n v="2"/>
    <m/>
    <m/>
    <s v="No"/>
    <x v="3"/>
    <m/>
    <m/>
    <s v="137.143.104.94"/>
    <s v="HD57.7 .A384 2014"/>
    <n v="658.40899999999999"/>
    <d v="2014-04-03T00:00:00"/>
  </r>
  <r>
    <x v="3969"/>
    <d v="1899-12-30T00:03:45"/>
    <x v="604"/>
    <x v="12"/>
    <s v="potsdam"/>
    <x v="1009"/>
    <n v="1763118"/>
    <x v="1"/>
    <s v="Business/Management"/>
    <s v="9781472420695"/>
    <s v=",1,2,3,19,18,20,17,16,112,113,114,110,111,106,4,5,14,15"/>
    <n v="18"/>
    <m/>
    <m/>
    <s v="No"/>
    <x v="3"/>
    <m/>
    <m/>
    <s v="137.143.104.94"/>
    <s v="HD57.7 -- .B687 2014eb"/>
    <s v="658.4/092"/>
    <d v="2014-10-28T00:00:00"/>
  </r>
  <r>
    <x v="3970"/>
    <d v="1899-12-30T00:00:54"/>
    <x v="604"/>
    <x v="12"/>
    <s v="potsdam"/>
    <x v="983"/>
    <n v="1666468"/>
    <x v="0"/>
    <s v="Business/Management"/>
    <s v="9780857084989"/>
    <s v=",1,2,3,7,8,9,5,6,10,11,12,13,14,4"/>
    <n v="14"/>
    <m/>
    <m/>
    <s v="No"/>
    <x v="1"/>
    <m/>
    <m/>
    <s v="137.143.104.94"/>
    <s v="HD57.7 .C6687 2014"/>
    <n v="650.1"/>
    <d v="2014-04-03T00:00:00"/>
  </r>
  <r>
    <x v="3971"/>
    <d v="1899-12-30T00:02:50"/>
    <x v="1056"/>
    <x v="0"/>
    <s v="Buffalo"/>
    <x v="73"/>
    <n v="1119505"/>
    <x v="0"/>
    <s v="Science: Chemistry; Science"/>
    <s v="9781118355015"/>
    <s v=",164,165,166,167,163,162,197,198,199,200,196,227,228,229,225,230,231,232,233,234"/>
    <n v="20"/>
    <m/>
    <m/>
    <s v="Yes"/>
    <x v="0"/>
    <d v="2015-11-09T23:39:02"/>
    <n v="7"/>
    <s v="128.205.114.91"/>
    <s v="QD251.3 -- .S38 2013eb"/>
    <s v="547/.128"/>
    <d v="2013-01-28T00:00:00"/>
  </r>
  <r>
    <x v="3972"/>
    <d v="1899-12-30T00:00:15"/>
    <x v="1056"/>
    <x v="0"/>
    <s v="Buffalo"/>
    <x v="73"/>
    <n v="1119505"/>
    <x v="0"/>
    <s v="Science: Chemistry; Science"/>
    <s v="9781118355015"/>
    <s v=",1,2,3,106,107,108,104,109,105"/>
    <n v="9"/>
    <m/>
    <m/>
    <s v="No"/>
    <x v="0"/>
    <d v="2015-11-09T23:39:02"/>
    <n v="7"/>
    <s v="128.205.114.91"/>
    <s v="QD251.3 -- .S38 2013eb"/>
    <s v="547/.128"/>
    <d v="2013-01-28T00:00:00"/>
  </r>
  <r>
    <x v="3973"/>
    <d v="1899-12-30T00:07:36"/>
    <x v="1067"/>
    <x v="0"/>
    <s v="Buffalo"/>
    <x v="1010"/>
    <n v="1120512"/>
    <x v="12"/>
    <s v="Economics; Political Science"/>
    <s v="9781469608020"/>
    <s v=",12,20,16,17,193,194,195,192,189,190,188"/>
    <n v="11"/>
    <m/>
    <m/>
    <s v="No"/>
    <x v="2"/>
    <d v="2015-11-11T01:01:36"/>
    <n v="1"/>
    <s v="128.205.114.91"/>
    <s v="JK723.A34 -- Y45 2013eb"/>
    <s v="331.6/396073009041"/>
    <d v="2013-04-22T00:00:00"/>
  </r>
  <r>
    <x v="3974"/>
    <d v="1899-12-30T00:06:06"/>
    <x v="1067"/>
    <x v="0"/>
    <s v="Buffalo"/>
    <x v="1010"/>
    <n v="1120512"/>
    <x v="12"/>
    <s v="Economics; Political Science"/>
    <s v="9781469608020"/>
    <s v=",1,2,3,17,18,15,19,13,14"/>
    <n v="9"/>
    <m/>
    <m/>
    <s v="No"/>
    <x v="3"/>
    <m/>
    <m/>
    <s v="128.205.114.91"/>
    <s v="JK723.A34 -- Y45 2013eb"/>
    <s v="331.6/396073009041"/>
    <d v="2013-04-22T00:00:00"/>
  </r>
  <r>
    <x v="3975"/>
    <d v="1899-12-30T00:00:11"/>
    <x v="454"/>
    <x v="5"/>
    <s v="erie"/>
    <x v="1011"/>
    <n v="1998752"/>
    <x v="0"/>
    <s v="Medicine"/>
    <s v="9781118802519"/>
    <s v=",92,87,85"/>
    <n v="3"/>
    <m/>
    <m/>
    <s v="No"/>
    <x v="0"/>
    <d v="2015-11-11T00:43:52"/>
    <n v="7"/>
    <s v="199.29.6.54"/>
    <s v="RC925 -- .W555 2016eb"/>
    <n v="616.70000000000005"/>
    <d v="2015-03-31T00:00:00"/>
  </r>
  <r>
    <x v="3976"/>
    <d v="1899-12-30T00:06:18"/>
    <x v="454"/>
    <x v="5"/>
    <s v="erie"/>
    <x v="1011"/>
    <n v="1998752"/>
    <x v="0"/>
    <s v="Medicine"/>
    <s v="9781118802519"/>
    <s v=",1,2,3,84,85,86,82,83,87,88,89,90,91,92,93,84,80"/>
    <n v="16"/>
    <m/>
    <m/>
    <s v="No"/>
    <x v="3"/>
    <m/>
    <m/>
    <s v="199.29.6.54"/>
    <s v="RC925 -- .W555 2016eb"/>
    <n v="616.70000000000005"/>
    <d v="2015-03-31T00:00:00"/>
  </r>
  <r>
    <x v="3977"/>
    <d v="1899-12-30T00:01:35"/>
    <x v="454"/>
    <x v="5"/>
    <s v="erie"/>
    <x v="1011"/>
    <n v="1998752"/>
    <x v="0"/>
    <s v="Medicine"/>
    <s v="9781118802519"/>
    <s v=",1,2,3,84,85,86,82,83,87,88,87,82"/>
    <n v="10"/>
    <m/>
    <m/>
    <s v="No"/>
    <x v="3"/>
    <m/>
    <m/>
    <s v="199.29.6.54"/>
    <s v="RC925 -- .W555 2016eb"/>
    <n v="616.70000000000005"/>
    <d v="2015-03-31T00:00:00"/>
  </r>
  <r>
    <x v="3978"/>
    <d v="1899-12-30T00:00:47"/>
    <x v="454"/>
    <x v="5"/>
    <s v="erie"/>
    <x v="1011"/>
    <n v="1998752"/>
    <x v="0"/>
    <s v="Medicine"/>
    <s v="9781118802519"/>
    <s v=",1,2,3,142,138,139,143"/>
    <n v="7"/>
    <m/>
    <m/>
    <s v="No"/>
    <x v="3"/>
    <m/>
    <m/>
    <s v="199.29.6.54"/>
    <s v="RC925 -- .W555 2016eb"/>
    <n v="616.70000000000005"/>
    <d v="2015-03-31T00:00:00"/>
  </r>
  <r>
    <x v="3979"/>
    <d v="1899-12-30T00:00:57"/>
    <x v="454"/>
    <x v="5"/>
    <s v="erie"/>
    <x v="1011"/>
    <n v="1998752"/>
    <x v="0"/>
    <s v="Medicine"/>
    <s v="9781118802519"/>
    <s v=",1,2,3,82,83,87"/>
    <n v="6"/>
    <m/>
    <m/>
    <s v="No"/>
    <x v="3"/>
    <m/>
    <m/>
    <s v="199.29.6.54"/>
    <s v="RC925 -- .W555 2016eb"/>
    <n v="616.70000000000005"/>
    <d v="2015-03-31T00:00:00"/>
  </r>
  <r>
    <x v="3980"/>
    <d v="1899-12-30T00:00:03"/>
    <x v="481"/>
    <x v="1"/>
    <s v="brockport"/>
    <x v="1012"/>
    <n v="1895572"/>
    <x v="0"/>
    <s v="Social Science"/>
    <s v="9781118745960"/>
    <s v=",1,3,2"/>
    <n v="3"/>
    <m/>
    <m/>
    <s v="No"/>
    <x v="3"/>
    <m/>
    <m/>
    <s v="137.21.7.121"/>
    <s v="GN69 -- .F674 2015eb"/>
    <n v="301"/>
    <d v="2015-02-17T00:00:00"/>
  </r>
  <r>
    <x v="3981"/>
    <d v="1899-12-30T00:00:21"/>
    <x v="481"/>
    <x v="1"/>
    <s v="brockport"/>
    <x v="372"/>
    <n v="877782"/>
    <x v="0"/>
    <s v="Social Science; Science: Biology/Natural History; Science"/>
    <s v="9781118255407"/>
    <s v=",1,2,3,22,23,24,20,139,140,141,137,138"/>
    <n v="12"/>
    <m/>
    <m/>
    <s v="No"/>
    <x v="1"/>
    <m/>
    <m/>
    <s v="137.21.7.121"/>
    <s v="GN69.8 -- .C659 2012eb"/>
    <n v="599.9"/>
    <d v="2012-03-26T00:00:00"/>
  </r>
  <r>
    <x v="3982"/>
    <d v="1899-12-30T00:00:03"/>
    <x v="454"/>
    <x v="5"/>
    <s v="erie"/>
    <x v="1013"/>
    <n v="1377498"/>
    <x v="2"/>
    <s v="History; Social Science"/>
    <s v="9781135941628"/>
    <s v=",1,2,3"/>
    <n v="3"/>
    <m/>
    <m/>
    <s v="No"/>
    <x v="3"/>
    <m/>
    <m/>
    <s v="199.29.6.54"/>
    <s v="F2536"/>
    <n v="306.08998000000003"/>
    <d v="2003-12-01T00:00:00"/>
  </r>
  <r>
    <x v="3983"/>
    <d v="1899-12-30T00:01:20"/>
    <x v="454"/>
    <x v="5"/>
    <s v="erie"/>
    <x v="1014"/>
    <n v="3061108"/>
    <x v="2"/>
    <s v="Medicine"/>
    <s v="9780203370315"/>
    <s v=",1,3,2,42,43,44,40,41,28,29,30,26,27"/>
    <n v="13"/>
    <m/>
    <m/>
    <s v="No"/>
    <x v="3"/>
    <m/>
    <m/>
    <s v="199.29.6.54"/>
    <s v="RC387.5 -- .W547 2013eb"/>
    <s v="617.4/81044"/>
    <d v="2013-09-01T00:00:00"/>
  </r>
  <r>
    <x v="3984"/>
    <d v="1899-12-30T00:01:53"/>
    <x v="1068"/>
    <x v="12"/>
    <s v="potsdam"/>
    <x v="1015"/>
    <n v="1808808"/>
    <x v="1"/>
    <s v="Literature"/>
    <s v="9781472443427"/>
    <s v=",1,3,2,4,5,6,189,190,191,228,214,215,216,211,212,213,210,209,208,110,111,112,108,109,113,92"/>
    <n v="26"/>
    <m/>
    <m/>
    <s v="No"/>
    <x v="3"/>
    <m/>
    <m/>
    <s v="137.143.104.94"/>
    <s v="PR658.S42 -- G46 2014eb"/>
    <s v="822/.309353"/>
    <d v="2014-11-28T00:00:00"/>
  </r>
  <r>
    <x v="3985"/>
    <d v="1899-12-30T00:00:01"/>
    <x v="912"/>
    <x v="12"/>
    <s v="potsdam"/>
    <x v="589"/>
    <n v="1938274"/>
    <x v="0"/>
    <s v="Health; Social Science; Medicine"/>
    <s v="9781119098201"/>
    <s v=",1,3,1,3"/>
    <n v="2"/>
    <m/>
    <m/>
    <s v="No"/>
    <x v="0"/>
    <d v="2015-11-10T22:36:31"/>
    <n v="7"/>
    <s v="137.143.104.94"/>
    <s v="RC564 -- .B74 2015eb"/>
    <s v="362.29/186"/>
    <d v="2015-01-29T00:00:00"/>
  </r>
  <r>
    <x v="3986"/>
    <d v="1899-12-30T00:27:36"/>
    <x v="912"/>
    <x v="12"/>
    <s v="potsdam"/>
    <x v="589"/>
    <n v="1938274"/>
    <x v="0"/>
    <s v="Health; Social Science; Medicine"/>
    <s v="9781119098201"/>
    <s v=",1,1,2,2,3,3,2,2,44,45,44,44,45,46,46,74,87,87,86,87"/>
    <n v="9"/>
    <m/>
    <m/>
    <s v="No"/>
    <x v="1"/>
    <m/>
    <m/>
    <s v="137.143.104.94"/>
    <s v="RC564 -- .B74 2015eb"/>
    <s v="362.29/186"/>
    <d v="2015-01-29T00:00:00"/>
  </r>
  <r>
    <x v="3987"/>
    <d v="1899-12-30T00:00:50"/>
    <x v="475"/>
    <x v="1"/>
    <s v="brockport"/>
    <x v="519"/>
    <n v="822662"/>
    <x v="0"/>
    <s v="History"/>
    <s v="9781444355130"/>
    <s v=",2,1,3,4,16,21,22,23,19,20,386,379,349,155,316,317,318,314,315"/>
    <n v="19"/>
    <m/>
    <m/>
    <s v="No"/>
    <x v="1"/>
    <m/>
    <m/>
    <s v="137.21.7.121"/>
    <s v="DT20 -- .R45 2012eb"/>
    <n v="960.3"/>
    <d v="2011-11-11T00:00:00"/>
  </r>
  <r>
    <x v="3988"/>
    <d v="1899-12-30T00:00:59"/>
    <x v="1069"/>
    <x v="15"/>
    <s v="morrisville"/>
    <x v="1016"/>
    <n v="1760730"/>
    <x v="4"/>
    <s v="Medicine; Fine Arts"/>
    <s v="9781462518210"/>
    <s v=",1,2,3,4,5,6,7,8,9,10,11,12,13,14,15,16,17,18,19,20,21,25,29,30,31,32,33,28,34,35"/>
    <n v="30"/>
    <m/>
    <m/>
    <s v="No"/>
    <x v="3"/>
    <m/>
    <m/>
    <s v="136.204.32.68"/>
    <s v="ML3920 -- .M89776 2015eb"/>
    <s v="615.8/5154"/>
    <d v="2014-12-19T00:00:00"/>
  </r>
  <r>
    <x v="3989"/>
    <d v="1899-12-30T00:00:16"/>
    <x v="434"/>
    <x v="0"/>
    <s v="Buffalo"/>
    <x v="1017"/>
    <n v="661788"/>
    <x v="9"/>
    <s v="Computer Science/IT"/>
    <s v="9780470978306"/>
    <s v=",1,2,3,4,5,6,7,8"/>
    <n v="8"/>
    <m/>
    <m/>
    <s v="No"/>
    <x v="3"/>
    <m/>
    <m/>
    <s v="128.205.114.91"/>
    <s v="QA76.73.J38 -- R895 2011eb"/>
    <s v="006.7/4"/>
    <d v="2011-02-08T00:00:00"/>
  </r>
  <r>
    <x v="3990"/>
    <d v="1899-12-30T00:00:06"/>
    <x v="26"/>
    <x v="6"/>
    <s v="sjfc"/>
    <x v="1018"/>
    <n v="1921048"/>
    <x v="0"/>
    <s v="Social Science"/>
    <s v="9780745688954"/>
    <s v=",1,2,3,4"/>
    <n v="4"/>
    <m/>
    <m/>
    <s v="No"/>
    <x v="3"/>
    <m/>
    <m/>
    <s v="149.69.254.57"/>
    <s v="HQ21 .J384 2015"/>
    <n v="306.7"/>
    <d v="2015-01-12T00:00:00"/>
  </r>
  <r>
    <x v="3991"/>
    <d v="1899-12-30T00:02:19"/>
    <x v="13"/>
    <x v="0"/>
    <s v="Buffalo"/>
    <x v="850"/>
    <n v="1589615"/>
    <x v="1"/>
    <s v="History"/>
    <s v="9781409469865"/>
    <s v=",2,1,2,1,3,3,8,9,8,10,9,6,10,7,7,2,28,28,29,26,29,30,27,30,27,31,31,350,351,350,352,352,351,348,349,349"/>
    <n v="19"/>
    <m/>
    <m/>
    <s v="No"/>
    <x v="3"/>
    <m/>
    <m/>
    <s v="128.205.114.91"/>
    <s v="DF587 -- .C636 2014eb"/>
    <n v="949.50199999999995"/>
    <d v="2014-10-28T00:00:00"/>
  </r>
  <r>
    <x v="3992"/>
    <d v="1899-12-30T00:00:37"/>
    <x v="26"/>
    <x v="6"/>
    <s v="sjfc"/>
    <x v="510"/>
    <n v="1109590"/>
    <x v="14"/>
    <s v="Fine Arts"/>
    <s v="9781476600093"/>
    <s v=",1,2,3,4,5,6,7,9,8,10"/>
    <n v="10"/>
    <m/>
    <m/>
    <s v="No"/>
    <x v="1"/>
    <m/>
    <m/>
    <s v="149.69.254.57"/>
    <s v="PN1999.W27 -- D58 2013eb"/>
    <s v="791.43/6552; 791.436552"/>
    <d v="2013-01-20T00:00:00"/>
  </r>
  <r>
    <x v="3993"/>
    <d v="1899-12-30T00:00:02"/>
    <x v="26"/>
    <x v="6"/>
    <s v="sjfc"/>
    <x v="517"/>
    <n v="1645679"/>
    <x v="1"/>
    <s v="Social Science; Medicine"/>
    <s v="9781472413079"/>
    <s v=",1,2,3"/>
    <n v="3"/>
    <m/>
    <m/>
    <s v="No"/>
    <x v="1"/>
    <m/>
    <m/>
    <s v="149.69.254.57"/>
    <s v="RC569.5.B65 -- K97 2014eb"/>
    <s v="306.4/613"/>
    <d v="2014-03-28T00:00:00"/>
  </r>
  <r>
    <x v="3994"/>
    <d v="1899-12-30T00:00:23"/>
    <x v="26"/>
    <x v="6"/>
    <s v="sjfc"/>
    <x v="277"/>
    <n v="1166802"/>
    <x v="0"/>
    <s v="Social Science"/>
    <s v="9780745664507"/>
    <s v=",1,2,3,4,5,6,7,8,9,10,11,12,13,14,15,16,17,18,2,19"/>
    <n v="19"/>
    <m/>
    <m/>
    <s v="No"/>
    <x v="3"/>
    <m/>
    <m/>
    <s v="149.69.254.57"/>
    <s v="HQ1075 -- .B73 2013eb"/>
    <n v="305.3"/>
    <d v="2013-04-03T00:00:00"/>
  </r>
  <r>
    <x v="3995"/>
    <d v="1899-12-30T00:46:15"/>
    <x v="1070"/>
    <x v="0"/>
    <s v="Buffalo"/>
    <x v="747"/>
    <n v="1378902"/>
    <x v="11"/>
    <s v="Education"/>
    <s v="9780226066554"/>
    <s v=",27,28,29,30,90,91,92,88,89,93,88,87,86,84,85,83,81,82,80,79,76,77,6,7,8,5,3,4,1,2"/>
    <n v="29"/>
    <m/>
    <m/>
    <s v="No"/>
    <x v="0"/>
    <d v="2015-11-10T19:27:54"/>
    <n v="7"/>
    <s v="128.205.114.91"/>
    <s v="LC5133"/>
    <s v="370.9173/209747"/>
    <d v="2013-10-04T00:00:00"/>
  </r>
  <r>
    <x v="3996"/>
    <d v="1899-12-30T00:05:16"/>
    <x v="1070"/>
    <x v="0"/>
    <s v="Buffalo"/>
    <x v="747"/>
    <n v="1378902"/>
    <x v="11"/>
    <s v="Education"/>
    <s v="9780226066554"/>
    <s v=",1,2,3,4,5,6,7,8,9,10,11,12,13,14,15,16,17,18,24,25,26,22,23"/>
    <n v="23"/>
    <m/>
    <m/>
    <s v="No"/>
    <x v="3"/>
    <m/>
    <m/>
    <s v="128.205.114.91"/>
    <s v="LC5133"/>
    <s v="370.9173/209747"/>
    <d v="2013-10-04T00:00:00"/>
  </r>
  <r>
    <x v="3997"/>
    <d v="1899-12-30T00:00:04"/>
    <x v="1071"/>
    <x v="6"/>
    <s v="sjfc"/>
    <x v="728"/>
    <n v="1872281"/>
    <x v="4"/>
    <s v="Education; Business/Management"/>
    <s v="9781462519606"/>
    <s v=",1,2,3"/>
    <n v="3"/>
    <m/>
    <m/>
    <s v="No"/>
    <x v="1"/>
    <m/>
    <m/>
    <s v="149.69.254.57"/>
    <s v="HD75 -- .P448 2015eb"/>
    <n v="378.101"/>
    <d v="2015-05-26T00:00:00"/>
  </r>
  <r>
    <x v="3998"/>
    <d v="1899-12-30T00:04:21"/>
    <x v="470"/>
    <x v="0"/>
    <s v="Buffalo"/>
    <x v="511"/>
    <n v="1655943"/>
    <x v="4"/>
    <s v="Medicine"/>
    <s v="9781462514205"/>
    <s v=",1,2,3,23,25,24,22,21,26,27,37,38,39,35,36,40,41,42,43,52,53,54,50,51,55,56,57,58,59,60,61,62,63,64"/>
    <n v="34"/>
    <m/>
    <m/>
    <s v="No"/>
    <x v="3"/>
    <m/>
    <m/>
    <s v="128.205.114.91"/>
    <s v="RJ499.3 060 -- .C556 2014eb"/>
    <n v="618.9289"/>
    <d v="2014-05-14T00:00:00"/>
  </r>
  <r>
    <x v="3999"/>
    <d v="1899-12-30T00:00:24"/>
    <x v="1072"/>
    <x v="15"/>
    <s v="morrisville"/>
    <x v="399"/>
    <n v="1517671"/>
    <x v="2"/>
    <s v="Literature"/>
    <s v="9781136601156"/>
    <s v=",1,3,2,16,17,18,14,15,30,43,44,45,2,42,41"/>
    <n v="14"/>
    <m/>
    <m/>
    <s v="No"/>
    <x v="3"/>
    <m/>
    <m/>
    <s v="136.204.32.67"/>
    <s v="PR2833 -- .T465 2001eb"/>
    <n v="822.33"/>
    <d v="2013-10-28T00:00:00"/>
  </r>
  <r>
    <x v="4000"/>
    <d v="1899-12-30T00:00:08"/>
    <x v="26"/>
    <x v="6"/>
    <s v="sjfc"/>
    <x v="74"/>
    <n v="768534"/>
    <x v="10"/>
    <s v="History; Geography/Travel"/>
    <s v="9781400839704"/>
    <s v=",1,2,3,4,5,6"/>
    <n v="6"/>
    <m/>
    <m/>
    <s v="No"/>
    <x v="1"/>
    <m/>
    <m/>
    <s v="149.69.254.57"/>
    <s v="E839 -- .B59 2012eb"/>
    <s v="909.82/7"/>
    <d v="2011-10-31T00:00:00"/>
  </r>
  <r>
    <x v="4001"/>
    <d v="1899-12-30T00:00:17"/>
    <x v="26"/>
    <x v="6"/>
    <s v="sjfc"/>
    <x v="1019"/>
    <n v="1747365"/>
    <x v="5"/>
    <s v="Health; Social Science"/>
    <s v="9781479878901"/>
    <s v=",1,2,3,4,5,6,7,8"/>
    <n v="8"/>
    <m/>
    <m/>
    <s v="No"/>
    <x v="3"/>
    <m/>
    <m/>
    <s v="149.69.254.57"/>
    <s v="RA1141 -- .M85 2014eb"/>
    <n v="362.88299999999998"/>
    <d v="2014-08-29T00:00:00"/>
  </r>
  <r>
    <x v="4002"/>
    <d v="1899-12-30T00:00:00"/>
    <x v="935"/>
    <x v="15"/>
    <s v="morrisville"/>
    <x v="1020"/>
    <n v="1695066"/>
    <x v="0"/>
    <s v="Business/Management"/>
    <s v="9780730312918"/>
    <m/>
    <n v="0"/>
    <m/>
    <m/>
    <s v="No"/>
    <x v="2"/>
    <d v="2015-11-10T18:14:10"/>
    <n v="1"/>
    <s v="136.204.32.68"/>
    <s v="HD30.3 -- .K375 2014eb"/>
    <n v="658.45"/>
    <d v="2014-05-23T00:00:00"/>
  </r>
  <r>
    <x v="4003"/>
    <d v="1899-12-30T00:00:36"/>
    <x v="935"/>
    <x v="15"/>
    <s v="morrisville"/>
    <x v="1020"/>
    <n v="1695066"/>
    <x v="0"/>
    <s v="Business/Management"/>
    <s v="9780730312918"/>
    <s v=",1,50,51,52,48,49,53,55,2,285,286,287,283,284,282"/>
    <n v="15"/>
    <m/>
    <m/>
    <s v="No"/>
    <x v="3"/>
    <m/>
    <m/>
    <s v="136.204.32.68"/>
    <s v="HD30.3 -- .K375 2014eb"/>
    <n v="658.45"/>
    <d v="2014-05-23T00:00:00"/>
  </r>
  <r>
    <x v="4004"/>
    <d v="1899-12-30T00:49:20"/>
    <x v="592"/>
    <x v="1"/>
    <s v="brockport"/>
    <x v="625"/>
    <n v="836167"/>
    <x v="6"/>
    <s v="Science: Physics; Environmental Studies; Science"/>
    <s v="9781438139487"/>
    <s v=",43,44,45,46,47,48,49,50,51,52,53,54,55,56,57,58,59,60,48,47,46"/>
    <n v="18"/>
    <m/>
    <m/>
    <s v="No"/>
    <x v="0"/>
    <d v="2015-11-10T17:53:27"/>
    <n v="7"/>
    <s v="137.21.7.121"/>
    <s v="QC981.8.G56 -- T66 2012eb"/>
    <s v="363.738/74"/>
    <d v="2011-11-01T00:00:00"/>
  </r>
  <r>
    <x v="4005"/>
    <d v="1899-12-30T00:13:22"/>
    <x v="592"/>
    <x v="1"/>
    <s v="brockport"/>
    <x v="625"/>
    <n v="836167"/>
    <x v="6"/>
    <s v="Science: Physics; Environmental Studies; Science"/>
    <s v="9781438139487"/>
    <s v=",1,36,37,38,34,35,2,39,40,41,40,41,42"/>
    <n v="11"/>
    <m/>
    <m/>
    <s v="No"/>
    <x v="1"/>
    <m/>
    <m/>
    <s v="137.21.7.121"/>
    <s v="QC981.8.G56 -- T66 2012eb"/>
    <s v="363.738/74"/>
    <d v="2011-11-01T00:00:00"/>
  </r>
  <r>
    <x v="4006"/>
    <d v="1899-12-30T00:00:11"/>
    <x v="1073"/>
    <x v="15"/>
    <s v="morrisville"/>
    <x v="1021"/>
    <n v="1985832"/>
    <x v="0"/>
    <s v="Environmental Studies; Economics"/>
    <s v="9781119128601"/>
    <s v=",1,2,3,4,5,6,7"/>
    <n v="7"/>
    <m/>
    <m/>
    <s v="No"/>
    <x v="3"/>
    <m/>
    <m/>
    <s v="136.204.32.68"/>
    <s v="GE105 .M87 2015"/>
    <n v="333.72"/>
    <d v="2015-05-14T00:00:00"/>
  </r>
  <r>
    <x v="4007"/>
    <d v="1899-12-30T00:00:09"/>
    <x v="727"/>
    <x v="0"/>
    <s v="Buffalo"/>
    <x v="1022"/>
    <n v="1895994"/>
    <x v="0"/>
    <s v="Sport &amp; Recreation; Computer Science/IT"/>
    <s v="9781119046035"/>
    <s v=",1,2,3"/>
    <n v="3"/>
    <m/>
    <m/>
    <s v="No"/>
    <x v="3"/>
    <m/>
    <m/>
    <s v="128.205.114.91"/>
    <s v="QA76.73.P98 -- .P455 2015eb"/>
    <n v="794.81525999999997"/>
    <d v="2015-01-16T00:00:00"/>
  </r>
  <r>
    <x v="4008"/>
    <d v="1899-12-30T00:00:03"/>
    <x v="1074"/>
    <x v="13"/>
    <s v="buffalostate"/>
    <x v="379"/>
    <n v="1110728"/>
    <x v="0"/>
    <s v="Business/Management; Economics"/>
    <s v="9781118461204"/>
    <s v=",2,1,3"/>
    <n v="3"/>
    <m/>
    <m/>
    <s v="No"/>
    <x v="1"/>
    <m/>
    <m/>
    <s v="136.183.11.43"/>
    <s v="HG4910 -- .M53 2013eb"/>
    <s v="332.63/22"/>
    <d v="2013-01-09T00:00:00"/>
  </r>
  <r>
    <x v="4009"/>
    <d v="1899-12-30T00:00:11"/>
    <x v="13"/>
    <x v="0"/>
    <s v="Buffalo"/>
    <x v="1023"/>
    <n v="1126588"/>
    <x v="17"/>
    <s v="History"/>
    <s v="9780748677108"/>
    <s v=",1,2,1,2,3,3,4,4,5,5,6,7,7,6"/>
    <n v="7"/>
    <m/>
    <m/>
    <s v="No"/>
    <x v="1"/>
    <m/>
    <m/>
    <s v="128.205.114.91"/>
    <s v="DS281 -- .L54 2013eb"/>
    <n v="935.7"/>
    <d v="2013-01-14T00:00:00"/>
  </r>
  <r>
    <x v="4010"/>
    <d v="1899-12-30T00:01:18"/>
    <x v="13"/>
    <x v="0"/>
    <s v="Buffalo"/>
    <x v="630"/>
    <n v="771049"/>
    <x v="18"/>
    <s v="Science: Physics; Science; Environmental Studies"/>
    <s v="9781608706648"/>
    <s v=",1,2,3,8,9,10,6,7,20,21,22,19,18,11,12,13"/>
    <n v="16"/>
    <m/>
    <m/>
    <s v="No"/>
    <x v="1"/>
    <m/>
    <m/>
    <s v="128.205.114.91"/>
    <s v="QC981.8"/>
    <n v="363.73874000000001"/>
    <d v="2012-01-01T00:00:00"/>
  </r>
  <r>
    <x v="4011"/>
    <d v="1899-12-30T00:08:47"/>
    <x v="13"/>
    <x v="0"/>
    <s v="Buffalo"/>
    <x v="73"/>
    <n v="1119505"/>
    <x v="0"/>
    <s v="Science: Chemistry; Science"/>
    <s v="9781118355015"/>
    <s v=",1,2,2,3,3,1,2,2,218,219,220,219,216,218,217,217,220,215,220,221,221,222,222,223,223,224,224,225,225,226,226,227,227,228,228,229,229,230,230,225,224,223,221,222,220,219,224,218,217,216,215,214,219,214,213"/>
    <n v="21"/>
    <m/>
    <m/>
    <s v="No"/>
    <x v="0"/>
    <d v="2015-11-06T16:36:29"/>
    <n v="7"/>
    <s v="128.205.114.91"/>
    <s v="QD251.3 -- .S38 2013eb"/>
    <s v="547/.128"/>
    <d v="2013-01-28T00:00:00"/>
  </r>
  <r>
    <x v="4012"/>
    <d v="1899-12-30T00:00:38"/>
    <x v="1075"/>
    <x v="4"/>
    <s v="monroe2boces"/>
    <x v="1024"/>
    <n v="834631"/>
    <x v="0"/>
    <s v="Medicine"/>
    <s v="9781444354669"/>
    <s v=",1,2,3,86,87,88,84,85,94,62,54,69,74,79,89"/>
    <n v="15"/>
    <m/>
    <s v=",86"/>
    <s v="No"/>
    <x v="0"/>
    <d v="2015-11-09T13:04:12"/>
    <n v="7"/>
    <s v="216.226.127.171"/>
    <s v="RC113.2 -- .A85 2012eb"/>
    <s v="616.90022/3"/>
    <d v="2012-01-03T00:00:00"/>
  </r>
  <r>
    <x v="4013"/>
    <d v="1899-12-30T00:05:42"/>
    <x v="1075"/>
    <x v="4"/>
    <s v="monroe2boces"/>
    <x v="1024"/>
    <n v="834631"/>
    <x v="0"/>
    <s v="Medicine"/>
    <s v="9781444354669"/>
    <s v=",1,2,3,4,5,6,7,240,242,238,240,241,242,238,239,243"/>
    <n v="13"/>
    <m/>
    <s v=",240"/>
    <s v="No"/>
    <x v="0"/>
    <d v="2015-11-09T13:04:12"/>
    <n v="7"/>
    <s v="216.226.127.171"/>
    <s v="RC113.2 -- .A85 2012eb"/>
    <s v="616.90022/3"/>
    <d v="2012-01-03T00:00:00"/>
  </r>
  <r>
    <x v="4014"/>
    <d v="1899-12-30T00:01:29"/>
    <x v="1075"/>
    <x v="4"/>
    <s v="monroe2boces"/>
    <x v="1024"/>
    <n v="834631"/>
    <x v="0"/>
    <s v="Medicine"/>
    <s v="9781444354669"/>
    <s v=",1,2,3,1,2,3,268,269,270,266,267,310,311,308,44,45,46,42,43,268,269,270,266"/>
    <n v="16"/>
    <m/>
    <m/>
    <s v="No"/>
    <x v="0"/>
    <d v="2015-11-09T13:04:12"/>
    <n v="7"/>
    <s v="216.226.127.171"/>
    <s v="RC113.2 -- .A85 2012eb"/>
    <s v="616.90022/3"/>
    <d v="2012-01-03T00:00:00"/>
  </r>
  <r>
    <x v="4015"/>
    <d v="1899-12-30T00:00:55"/>
    <x v="1075"/>
    <x v="4"/>
    <s v="monroe2boces"/>
    <x v="1024"/>
    <n v="834631"/>
    <x v="0"/>
    <s v="Medicine"/>
    <s v="9781444354669"/>
    <s v=",1,2,3,86,84,89"/>
    <n v="6"/>
    <m/>
    <m/>
    <s v="No"/>
    <x v="0"/>
    <d v="2015-11-09T13:04:12"/>
    <n v="7"/>
    <s v="216.226.127.171"/>
    <s v="RC113.2 -- .A85 2012eb"/>
    <s v="616.90022/3"/>
    <d v="2012-01-03T00:00:00"/>
  </r>
  <r>
    <x v="4016"/>
    <d v="1899-12-30T00:00:05"/>
    <x v="446"/>
    <x v="4"/>
    <s v="monroe2boces"/>
    <x v="118"/>
    <n v="1809742"/>
    <x v="0"/>
    <s v="Sport &amp; Recreation"/>
    <s v="9781118968291"/>
    <s v=",15,13,14"/>
    <n v="3"/>
    <m/>
    <m/>
    <s v="No"/>
    <x v="0"/>
    <d v="2015-11-10T14:27:23"/>
    <n v="7"/>
    <s v="199.190.223.190"/>
    <s v="GV1469.35.M535 -- .S739 2015eb"/>
    <n v="794.8"/>
    <d v="2014-09-29T00:00:00"/>
  </r>
  <r>
    <x v="4017"/>
    <d v="1899-12-30T00:31:23"/>
    <x v="446"/>
    <x v="4"/>
    <s v="monroe2boces"/>
    <x v="118"/>
    <n v="1809742"/>
    <x v="0"/>
    <s v="Sport &amp; Recreation"/>
    <s v="9781118968291"/>
    <s v=",1,2,3,18,19,20,16,17,21,22,23,24,25"/>
    <n v="13"/>
    <m/>
    <m/>
    <s v="No"/>
    <x v="1"/>
    <m/>
    <m/>
    <s v="199.190.223.190"/>
    <s v="GV1469.35.M535 -- .S739 2015eb"/>
    <n v="794.8"/>
    <d v="2014-09-29T00:00:00"/>
  </r>
  <r>
    <x v="4018"/>
    <d v="1899-12-30T00:00:37"/>
    <x v="1076"/>
    <x v="1"/>
    <s v="brockport"/>
    <x v="1025"/>
    <n v="1593777"/>
    <x v="5"/>
    <s v="Social Science"/>
    <s v="9780814764794"/>
    <s v=",308,306,310,307,10,11,8,12,9,20,21,22,19,309,310,307,308"/>
    <n v="14"/>
    <m/>
    <m/>
    <s v="No"/>
    <x v="2"/>
    <d v="2015-11-10T13:19:26"/>
    <n v="1"/>
    <s v="137.21.7.121"/>
    <s v="P96.W6 -- P88 2014eb"/>
    <s v="302.230835/2"/>
    <d v="2014-02-25T00:00:00"/>
  </r>
  <r>
    <x v="4019"/>
    <d v="1899-12-30T00:05:06"/>
    <x v="1076"/>
    <x v="1"/>
    <s v="brockport"/>
    <x v="1025"/>
    <n v="1593777"/>
    <x v="5"/>
    <s v="Social Science"/>
    <s v="9780814764794"/>
    <s v=",1,2,3,8,9,10,6,7,12,13,14,11,16,17,18,15,40,41,42,38,39,43,44,72,73,70,74,71,75,76,110,111,112,108,109,142,143,144,140,141,145,146,147,148,149,150,170,171,172,168,169,173,174,196,197,198,194,195,232,233,234,230,231,235,294,295,296,292,293"/>
    <n v="69"/>
    <m/>
    <m/>
    <s v="No"/>
    <x v="3"/>
    <m/>
    <m/>
    <s v="137.21.7.121"/>
    <s v="P96.W6 -- P88 2014eb"/>
    <s v="302.230835/2"/>
    <d v="2014-02-25T00:00:00"/>
  </r>
  <r>
    <x v="4020"/>
    <d v="1899-12-30T00:00:43"/>
    <x v="996"/>
    <x v="0"/>
    <s v="Buffalo"/>
    <x v="473"/>
    <n v="836624"/>
    <x v="0"/>
    <s v="Literature; Fine Arts"/>
    <s v="9781118346686"/>
    <s v=",1,2,3,4,5,6,7,8,9,10,11,12,13,14,15"/>
    <n v="15"/>
    <m/>
    <m/>
    <s v="No"/>
    <x v="1"/>
    <m/>
    <m/>
    <s v="128.205.114.91"/>
    <s v="PN6727.K586 W39 2012"/>
    <n v="741.59730000000002"/>
    <d v="2012-03-01T00:00:00"/>
  </r>
  <r>
    <x v="4021"/>
    <d v="1899-12-30T00:00:59"/>
    <x v="1077"/>
    <x v="1"/>
    <s v="brockport"/>
    <x v="499"/>
    <n v="1172554"/>
    <x v="15"/>
    <s v="History"/>
    <s v=""/>
    <s v=",1,2,3,4,5,6,14,16,17,18,15,19,20,21,22,23,24,25,11,12,13,10,12,13,14,10,11,15,16,17,18,19,20,21"/>
    <n v="22"/>
    <m/>
    <m/>
    <s v="No"/>
    <x v="1"/>
    <m/>
    <m/>
    <s v="137.21.7.121"/>
    <s v="DF234 .A67 2012"/>
    <s v="938.07092; 938/.07092"/>
    <d v="2013-04-11T00:00:00"/>
  </r>
  <r>
    <x v="4022"/>
    <d v="1899-12-30T00:00:04"/>
    <x v="1078"/>
    <x v="5"/>
    <s v="erie"/>
    <x v="667"/>
    <n v="800610"/>
    <x v="4"/>
    <s v="Medicine"/>
    <s v="9781609186951"/>
    <s v=",1,3,2"/>
    <n v="3"/>
    <m/>
    <m/>
    <s v="No"/>
    <x v="1"/>
    <m/>
    <m/>
    <s v="199.29.6.54"/>
    <s v="RC537 -- .L43 2012eb"/>
    <n v="616.89499999999998"/>
    <d v="2011-11-09T00:00:00"/>
  </r>
  <r>
    <x v="4023"/>
    <d v="1899-12-30T03:49:53"/>
    <x v="13"/>
    <x v="0"/>
    <s v="Buffalo"/>
    <x v="73"/>
    <n v="1119505"/>
    <x v="0"/>
    <s v="Science: Chemistry; Science"/>
    <s v="9781118355015"/>
    <s v=",1,3,2,198,199,200,197,196,201,1,201,202,203,200,199,198,2,204,205,206,207,208,209,210,211,212,213,214,215,216,217,218,219,220,221,222,223,224,225,226,227,228,229,230,231,232,48,49,50,46,47,51,164,165,166,162,163,167,168,223,229,230,231,223,222,221,220,219,218,217,216,215,214,213,212,211,210,209,208,207,206,205,204,203,202,201,200,199,198,197,196,232,195"/>
    <n v="54"/>
    <m/>
    <m/>
    <s v="No"/>
    <x v="0"/>
    <d v="2015-11-06T16:36:29"/>
    <n v="7"/>
    <s v="128.205.114.91"/>
    <s v="QD251.3 -- .S38 2013eb"/>
    <s v="547/.128"/>
    <d v="2013-01-28T00:00:00"/>
  </r>
  <r>
    <x v="4024"/>
    <d v="1899-12-30T00:48:19"/>
    <x v="807"/>
    <x v="0"/>
    <s v="Buffalo"/>
    <x v="73"/>
    <n v="1119505"/>
    <x v="0"/>
    <s v="Science: Chemistry; Science"/>
    <s v="9781118355015"/>
    <s v=",1,2,3,227,228,229,225,226,224,223,222,165,13,9,198,199,200,197,201,202,203,204,205,206,207,208,209,210,211,212,213,214,215,216,217,218,219,220,221"/>
    <n v="39"/>
    <m/>
    <m/>
    <s v="No"/>
    <x v="0"/>
    <d v="2015-11-05T02:11:31"/>
    <n v="7"/>
    <s v="128.205.114.91"/>
    <s v="QD251.3 -- .S38 2013eb"/>
    <s v="547/.128"/>
    <d v="2013-01-28T00:00:00"/>
  </r>
  <r>
    <x v="4025"/>
    <d v="1899-12-30T00:00:03"/>
    <x v="213"/>
    <x v="12"/>
    <s v="potsdam"/>
    <x v="1026"/>
    <n v="2050967"/>
    <x v="0"/>
    <s v="Language/Linguistics"/>
    <s v="9781119099215"/>
    <s v=",1,2,3"/>
    <n v="3"/>
    <m/>
    <m/>
    <s v="No"/>
    <x v="1"/>
    <m/>
    <m/>
    <s v="137.143.104.94"/>
    <s v="P291 .B726 2015"/>
    <n v="415"/>
    <d v="2015-06-23T00:00:00"/>
  </r>
  <r>
    <x v="4026"/>
    <d v="1899-12-30T00:28:03"/>
    <x v="13"/>
    <x v="0"/>
    <s v="Buffalo"/>
    <x v="1027"/>
    <n v="1543057"/>
    <x v="2"/>
    <s v="Social Science"/>
    <s v="9781134221509"/>
    <s v=",99,100,101,97,98,102,103,1,103,104,105,101,102"/>
    <n v="10"/>
    <m/>
    <m/>
    <s v="No"/>
    <x v="2"/>
    <d v="2015-11-10T01:00:47"/>
    <n v="1"/>
    <s v="128.205.114.91"/>
    <s v="HQ1088 -- .P75 2003eb"/>
    <n v="305.32"/>
    <d v="2013-11-05T00:00:00"/>
  </r>
  <r>
    <x v="4027"/>
    <d v="1899-12-30T00:00:04"/>
    <x v="933"/>
    <x v="7"/>
    <s v="oneonta"/>
    <x v="659"/>
    <n v="1757100"/>
    <x v="3"/>
    <s v="History; Business/Management"/>
    <s v="9780520961302"/>
    <s v=",1,2,3"/>
    <n v="3"/>
    <m/>
    <m/>
    <s v="No"/>
    <x v="2"/>
    <d v="2015-11-10T00:51:19"/>
    <n v="1"/>
    <s v="137.141.13.2"/>
    <s v="HC39 -- .R663 2015eb"/>
    <s v="937/.07"/>
    <d v="2014-11-24T00:00:00"/>
  </r>
  <r>
    <x v="4028"/>
    <d v="1899-12-30T00:48:17"/>
    <x v="933"/>
    <x v="7"/>
    <s v="oneonta"/>
    <x v="659"/>
    <n v="1757100"/>
    <x v="3"/>
    <s v="History; Business/Management"/>
    <s v="9780520961302"/>
    <s v=",4,5,6,7,8,9,10,11,12,13,14,15,2,1,3"/>
    <n v="15"/>
    <m/>
    <m/>
    <s v="No"/>
    <x v="2"/>
    <d v="2015-11-10T00:51:19"/>
    <n v="1"/>
    <s v="137.141.13.2"/>
    <s v="HC39 -- .R663 2015eb"/>
    <s v="937/.07"/>
    <d v="2014-11-24T00:00:00"/>
  </r>
  <r>
    <x v="4029"/>
    <d v="1899-12-30T00:12:41"/>
    <x v="13"/>
    <x v="0"/>
    <s v="Buffalo"/>
    <x v="1027"/>
    <n v="1543057"/>
    <x v="2"/>
    <s v="Social Science"/>
    <s v="9781134221509"/>
    <s v=",1,2,3,4,5,6,18,19,20,16,17,21,22,23,24,25,26,27,28,29,30,31,32,33,34,36,37,38,39,40,41,42,43"/>
    <n v="33"/>
    <m/>
    <m/>
    <s v="No"/>
    <x v="3"/>
    <m/>
    <m/>
    <s v="128.205.114.91"/>
    <s v="HQ1088 -- .P75 2003eb"/>
    <n v="305.32"/>
    <d v="2013-11-05T00:00:00"/>
  </r>
  <r>
    <x v="4030"/>
    <d v="1899-12-30T00:11:43"/>
    <x v="933"/>
    <x v="7"/>
    <s v="oneonta"/>
    <x v="659"/>
    <n v="1757100"/>
    <x v="3"/>
    <s v="History; Business/Management"/>
    <s v="9780520961302"/>
    <s v=",1,2,3"/>
    <n v="3"/>
    <m/>
    <m/>
    <s v="No"/>
    <x v="3"/>
    <m/>
    <m/>
    <s v="137.141.13.2"/>
    <s v="HC39 -- .R663 2015eb"/>
    <s v="937/.07"/>
    <d v="2014-11-24T00:00:00"/>
  </r>
  <r>
    <x v="4031"/>
    <d v="1899-12-30T00:00:52"/>
    <x v="1050"/>
    <x v="15"/>
    <s v="morrisville"/>
    <x v="991"/>
    <n v="1078671"/>
    <x v="11"/>
    <s v="Social Science; Health; Medicine"/>
    <s v="9780226922133"/>
    <s v=",1,2,3,141,142,143,139,140,31,32,33,29,30,34"/>
    <n v="14"/>
    <m/>
    <m/>
    <s v="No"/>
    <x v="2"/>
    <d v="2015-11-09T16:35:25"/>
    <n v="1"/>
    <s v="136.204.32.68"/>
    <s v="R725.55 -- .C33 2012eb"/>
    <n v="362.11"/>
    <d v="2013-01-18T00:00:00"/>
  </r>
  <r>
    <x v="4032"/>
    <d v="1899-12-30T00:01:43"/>
    <x v="1079"/>
    <x v="6"/>
    <s v="sjfc"/>
    <x v="835"/>
    <n v="1823006"/>
    <x v="4"/>
    <s v="Science; General Works/Reference"/>
    <s v="9781462519095"/>
    <s v=",1,2,3,250,251,252,248,249,253,135,136,137,133,134,138,139,140,141,142,143,144,145,146,147,148,149,150,151"/>
    <n v="28"/>
    <m/>
    <m/>
    <s v="No"/>
    <x v="1"/>
    <m/>
    <m/>
    <s v="149.69.254.57"/>
    <s v="Q180.55.E4 -- .R655 2015eb"/>
    <n v="1.4028499999999999"/>
    <d v="2015-01-07T00:00:00"/>
  </r>
  <r>
    <x v="4033"/>
    <d v="1899-12-30T03:08:47"/>
    <x v="1056"/>
    <x v="0"/>
    <s v="Buffalo"/>
    <x v="73"/>
    <n v="1119505"/>
    <x v="0"/>
    <s v="Science: Chemistry; Science"/>
    <s v="9781118355015"/>
    <s v=",1,2,3,4,5,6,2,3,4,1,197,198,199,200,196,201,206,207,203,208,227,228,231,232,225,226,45,46,47,48,49,50,51,1,52,53,51,49,50,227,228,229,230,231,232,2,226,225,224,223,222,220,221,219,218,217,217,1,218,219,215,216,221,227,229,232,233,231,230,228,226,2,216,215,214,213,212,211,210,209,208,207,205,206,204,203,202,201,200,199,198,196,197,195,52,164,165,166,167,168,192,193,194,194,1,195,196,192,193,107,108,109,105,106,110,111,2,112,113,114,128,129,142,143,144,140,141,101,104,145,146,147,148,149,150,151,158,159,160,156,157,161,162,130,127,125,126,124,123,122,121,163,164,165,166,167,168,169,170,152,153,154,155"/>
    <n v="110"/>
    <m/>
    <m/>
    <s v="No"/>
    <x v="0"/>
    <d v="2015-11-09T23:39:02"/>
    <n v="7"/>
    <s v="128.205.114.91"/>
    <s v="QD251.3 -- .S38 2013eb"/>
    <s v="547/.128"/>
    <d v="2013-01-28T00:00:00"/>
  </r>
  <r>
    <x v="4034"/>
    <d v="1899-12-30T00:00:37"/>
    <x v="1056"/>
    <x v="0"/>
    <s v="Buffalo"/>
    <x v="73"/>
    <n v="1119505"/>
    <x v="0"/>
    <s v="Science: Chemistry; Science"/>
    <s v="9781118355015"/>
    <s v=",198"/>
    <n v="1"/>
    <m/>
    <m/>
    <s v="Yes"/>
    <x v="0"/>
    <d v="2015-11-09T23:39:02"/>
    <n v="7"/>
    <s v="128.205.114.91"/>
    <s v="QD251.3 -- .S38 2013eb"/>
    <s v="547/.128"/>
    <d v="2013-01-28T00:00:00"/>
  </r>
  <r>
    <x v="4035"/>
    <d v="1899-12-30T00:01:15"/>
    <x v="1056"/>
    <x v="0"/>
    <s v="Buffalo"/>
    <x v="73"/>
    <n v="1119505"/>
    <x v="0"/>
    <s v="Science: Chemistry; Science"/>
    <s v="9781118355015"/>
    <s v=",1,2,3,197,198,199,200,201,202,203,204,205,206,207,208,209,210,211,212,213,214,215,216,217,218,219,220,221,222,223,224,225,226,227,195,196"/>
    <n v="36"/>
    <m/>
    <m/>
    <s v="No"/>
    <x v="0"/>
    <d v="2015-11-09T23:39:02"/>
    <n v="7"/>
    <s v="128.205.114.91"/>
    <s v="QD251.3 -- .S38 2013eb"/>
    <s v="547/.128"/>
    <d v="2013-01-28T00:00:00"/>
  </r>
  <r>
    <x v="4036"/>
    <d v="1899-12-30T00:00:47"/>
    <x v="1056"/>
    <x v="0"/>
    <s v="Buffalo"/>
    <x v="73"/>
    <n v="1119505"/>
    <x v="0"/>
    <s v="Science: Chemistry; Science"/>
    <s v="9781118355015"/>
    <s v=",201,202,203,204,205,206,207,208,209,210,211,212,213,214,215,216,217,218,219,220"/>
    <n v="20"/>
    <s v=",208"/>
    <m/>
    <s v="Yes"/>
    <x v="0"/>
    <d v="2015-11-09T23:39:02"/>
    <n v="7"/>
    <s v="128.205.114.91"/>
    <s v="QD251.3 -- .S38 2013eb"/>
    <s v="547/.128"/>
    <d v="2013-01-28T00:00:00"/>
  </r>
  <r>
    <x v="4036"/>
    <d v="1899-12-30T00:00:00"/>
    <x v="1056"/>
    <x v="0"/>
    <s v="Buffalo"/>
    <x v="73"/>
    <n v="1119505"/>
    <x v="0"/>
    <s v="Science: Chemistry; Science"/>
    <s v="9781118355015"/>
    <m/>
    <n v="0"/>
    <m/>
    <m/>
    <s v="No"/>
    <x v="0"/>
    <d v="2015-11-09T23:39:02"/>
    <n v="7"/>
    <s v="128.205.114.91"/>
    <s v="QD251.3 -- .S38 2013eb"/>
    <s v="547/.128"/>
    <d v="2013-01-28T00:00:00"/>
  </r>
  <r>
    <x v="4037"/>
    <d v="1899-12-30T00:05:43"/>
    <x v="1056"/>
    <x v="0"/>
    <s v="Buffalo"/>
    <x v="73"/>
    <n v="1119505"/>
    <x v="0"/>
    <s v="Science: Chemistry; Science"/>
    <s v="9781118355015"/>
    <s v=",1,2,3,4,197,198,199,195,196,200,197,198,227,227,191,227,191,191,191,191,192,193,194"/>
    <n v="15"/>
    <m/>
    <m/>
    <s v="No"/>
    <x v="1"/>
    <m/>
    <m/>
    <s v="128.205.114.91"/>
    <s v="QD251.3 -- .S38 2013eb"/>
    <s v="547/.128"/>
    <d v="2013-01-28T00:00:00"/>
  </r>
  <r>
    <x v="4038"/>
    <d v="1899-12-30T00:00:13"/>
    <x v="1050"/>
    <x v="15"/>
    <s v="morrisville"/>
    <x v="991"/>
    <n v="1078671"/>
    <x v="11"/>
    <s v="Social Science; Health; Medicine"/>
    <s v="9780226922133"/>
    <s v=",1,2,3,31,32,33,29,30"/>
    <n v="8"/>
    <m/>
    <m/>
    <s v="No"/>
    <x v="2"/>
    <d v="2015-11-09T16:35:25"/>
    <n v="1"/>
    <s v="136.204.32.68"/>
    <s v="R725.55 -- .C33 2012eb"/>
    <n v="362.11"/>
    <d v="2013-01-18T00:00:00"/>
  </r>
  <r>
    <x v="4039"/>
    <d v="1899-12-30T00:00:00"/>
    <x v="1080"/>
    <x v="16"/>
    <s v="monroecc"/>
    <x v="747"/>
    <n v="1378902"/>
    <x v="11"/>
    <s v="Education"/>
    <s v="9780226066554"/>
    <m/>
    <n v="0"/>
    <s v=",172"/>
    <s v=",24,25,26,27,28,29,30,31,32,33,34,35,36,37,38,39,40,41,42,43,44,45,46,47,48,49,50,51,52,53,54,55,56,57,58,59,60,61,62,63,64,65,66,67,68,69,70,71,72,73,74,75,76,77,78,79,80,81,82,83,84,85,86,87,88,89,222,223,224,225,226,227,228,229,230,231,232,233,234,235,236,237"/>
    <s v="No"/>
    <x v="2"/>
    <d v="2015-11-09T22:43:13"/>
    <n v="1"/>
    <s v="150.160.200.114"/>
    <s v="LC5133"/>
    <s v="370.9173/209747"/>
    <d v="2013-10-04T00:00:00"/>
  </r>
  <r>
    <x v="4040"/>
    <d v="1899-12-30T00:02:54"/>
    <x v="1080"/>
    <x v="16"/>
    <s v="monroecc"/>
    <x v="747"/>
    <n v="1378902"/>
    <x v="11"/>
    <s v="Education"/>
    <s v="9780226066554"/>
    <s v=",1,2,3,4,5,6,7,8,222,223,224,225,226,220,221,154,155,156,152,153,157,158,159,160,161,162,163,164,165,167,168,169,170,171,172,173,174,175,173"/>
    <n v="38"/>
    <m/>
    <m/>
    <s v="No"/>
    <x v="3"/>
    <m/>
    <m/>
    <s v="150.160.200.114"/>
    <s v="LC5133"/>
    <s v="370.9173/209747"/>
    <d v="2013-10-04T00:00:00"/>
  </r>
  <r>
    <x v="4041"/>
    <d v="1899-12-30T00:10:32"/>
    <x v="13"/>
    <x v="0"/>
    <s v="Buffalo"/>
    <x v="161"/>
    <n v="821663"/>
    <x v="0"/>
    <s v="Architecture"/>
    <s v="9781118168479"/>
    <s v=",1,2,2,1,3,3,295,296,295,296,294,293,294,297,297,2,298,298,292,297,298,298,300,300"/>
    <n v="11"/>
    <m/>
    <m/>
    <s v="No"/>
    <x v="0"/>
    <d v="2015-11-09T06:11:26"/>
    <n v="7"/>
    <s v="128.205.114.91"/>
    <s v="NA2547 -- .S74 2012eb"/>
    <n v="729"/>
    <d v="2012-03-05T00:00:00"/>
  </r>
  <r>
    <x v="4042"/>
    <d v="1899-12-30T00:00:21"/>
    <x v="13"/>
    <x v="0"/>
    <s v="Buffalo"/>
    <x v="844"/>
    <n v="1332527"/>
    <x v="0"/>
    <s v="Business/Management"/>
    <s v="9781118720882"/>
    <s v=",1,2,2,3,1,3,101,102,103,103,99,102,100,100,101,2"/>
    <n v="8"/>
    <m/>
    <m/>
    <s v="No"/>
    <x v="1"/>
    <m/>
    <m/>
    <s v="128.205.114.91"/>
    <s v="HB615 -- .A95 2013eb"/>
    <n v="658.11"/>
    <d v="2013-07-31T00:00:00"/>
  </r>
  <r>
    <x v="4043"/>
    <d v="1899-12-30T00:00:04"/>
    <x v="1081"/>
    <x v="7"/>
    <s v="oneonta"/>
    <x v="414"/>
    <n v="1143522"/>
    <x v="0"/>
    <s v="History"/>
    <s v="9781118257197"/>
    <s v=",1,3,2"/>
    <n v="3"/>
    <m/>
    <m/>
    <s v="No"/>
    <x v="0"/>
    <d v="2015-11-04T00:30:55"/>
    <n v="7"/>
    <s v="137.141.13.2"/>
    <s v="F1219.73 .S58 2013"/>
    <n v="972"/>
    <d v="2013-03-01T00:00:00"/>
  </r>
  <r>
    <x v="4044"/>
    <d v="1899-12-30T00:00:23"/>
    <x v="1082"/>
    <x v="12"/>
    <s v="potsdam"/>
    <x v="646"/>
    <n v="2198556"/>
    <x v="0"/>
    <m/>
    <s v="9781118905166"/>
    <s v=",1,2,1,2,3,3,2,2"/>
    <n v="3"/>
    <m/>
    <m/>
    <s v="No"/>
    <x v="1"/>
    <m/>
    <m/>
    <s v="137.143.104.94"/>
    <m/>
    <m/>
    <d v="2015-08-27T00:00:00"/>
  </r>
  <r>
    <x v="4045"/>
    <d v="1899-12-30T01:37:44"/>
    <x v="13"/>
    <x v="0"/>
    <s v="Buffalo"/>
    <x v="73"/>
    <n v="1119505"/>
    <x v="0"/>
    <s v="Science: Chemistry; Science"/>
    <s v="9781118355015"/>
    <s v=",1,2,3,107,108,109,105,106,110,111,112,113,114,115,116,117,118,119,120,121,122,123,124,125,126,127,128,129,130,131,132,133,134,135,136,137,138,139,140,141,142,143,144,145,146,147,148,1,148,149,150,147,146,151,152,2,153,154,155,156,157,158,159,160,161,162,163,164,165,166,167,107,108,128,129,130,126,127,131,132,133,134,135,136,137,138,139,140,141,142,143,158,159,160,156,157,161,162,163,164"/>
    <n v="66"/>
    <m/>
    <m/>
    <s v="No"/>
    <x v="0"/>
    <d v="2015-11-06T16:36:29"/>
    <n v="7"/>
    <s v="128.205.114.91"/>
    <s v="QD251.3 -- .S38 2013eb"/>
    <s v="547/.128"/>
    <d v="2013-01-28T00:00:00"/>
  </r>
  <r>
    <x v="4046"/>
    <d v="1899-12-30T00:00:22"/>
    <x v="13"/>
    <x v="0"/>
    <s v="Buffalo"/>
    <x v="1028"/>
    <n v="1183913"/>
    <x v="0"/>
    <s v="Engineering; Engineering: Electrical"/>
    <s v="9781118446423"/>
    <s v=",1,2,3,4,5,6,7,8,9,10,11,12,13,2"/>
    <n v="13"/>
    <m/>
    <m/>
    <s v="No"/>
    <x v="1"/>
    <m/>
    <m/>
    <s v="128.205.114.91"/>
    <s v="TK7895.M5 -- .N877 2013eb"/>
    <n v="621.38099999999997"/>
    <d v="2013-04-29T00:00:00"/>
  </r>
  <r>
    <x v="4047"/>
    <d v="1899-12-30T00:01:09"/>
    <x v="1083"/>
    <x v="12"/>
    <s v="potsdam"/>
    <x v="1029"/>
    <n v="1896021"/>
    <x v="0"/>
    <s v="Engineering; Engineering: Electrical"/>
    <s v="9781119058335"/>
    <s v=",244,245,246,247,248,249,250,251,252,253,254,255,256,259,260,261,262,263,264"/>
    <n v="19"/>
    <m/>
    <m/>
    <s v="No"/>
    <x v="0"/>
    <d v="2015-11-09T21:10:45"/>
    <n v="7"/>
    <s v="137.143.104.94"/>
    <s v="TK6565.T73"/>
    <s v="621.3841/3"/>
    <d v="2015-06-17T00:00:00"/>
  </r>
  <r>
    <x v="4048"/>
    <d v="1899-12-30T00:12:09"/>
    <x v="1083"/>
    <x v="12"/>
    <s v="potsdam"/>
    <x v="1029"/>
    <n v="1896021"/>
    <x v="0"/>
    <s v="Engineering; Engineering: Electrical"/>
    <s v="9781119058335"/>
    <s v=",1,2,3,4,5,6,7,8,9,10,237,238,239,235,236,240,241,242,243"/>
    <n v="19"/>
    <m/>
    <m/>
    <s v="No"/>
    <x v="3"/>
    <m/>
    <m/>
    <s v="137.143.104.94"/>
    <s v="TK6565.T73"/>
    <s v="621.3841/3"/>
    <d v="2015-06-17T00:00:00"/>
  </r>
  <r>
    <x v="4049"/>
    <d v="1899-12-30T00:00:05"/>
    <x v="910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4050"/>
    <d v="1899-12-30T00:06:25"/>
    <x v="748"/>
    <x v="7"/>
    <s v="oneonta"/>
    <x v="1030"/>
    <n v="1557284"/>
    <x v="0"/>
    <s v="Social Science"/>
    <s v="9781118554067"/>
    <s v=",224,225,225,226,227,227,227,248,248,248,249,225,225,224,224,224,224,224,223,224,224,224,223,224,295,295,295,295,295,341,341,317,317"/>
    <n v="10"/>
    <m/>
    <s v=",225,224,224,225,226,227,228,229,230,231,232,233,234,235,236,237,238,239,240,241,242,243,244,245,246,247,248,249,295,296,297,298,299,300,301,302,303,304,305,306,307,308,309,310,311,312,313,314,315,316,317"/>
    <s v="Yes"/>
    <x v="2"/>
    <d v="2015-11-09T20:36:43"/>
    <n v="7"/>
    <s v="137.141.13.2"/>
    <s v="P90 -- .O88 2014eb"/>
    <n v="302.23"/>
    <d v="2013-11-08T00:00:00"/>
  </r>
  <r>
    <x v="4050"/>
    <d v="1899-12-30T00:00:00"/>
    <x v="748"/>
    <x v="7"/>
    <s v="oneonta"/>
    <x v="1030"/>
    <n v="1557284"/>
    <x v="0"/>
    <s v="Social Science"/>
    <s v="9781118554067"/>
    <m/>
    <n v="0"/>
    <m/>
    <m/>
    <s v="No"/>
    <x v="2"/>
    <d v="2015-11-09T20:36:43"/>
    <n v="7"/>
    <s v="137.141.13.2"/>
    <s v="P90 -- .O88 2014eb"/>
    <n v="302.23"/>
    <d v="2013-11-08T00:00:00"/>
  </r>
  <r>
    <x v="4051"/>
    <d v="1899-12-30T00:02:05"/>
    <x v="748"/>
    <x v="7"/>
    <s v="oneonta"/>
    <x v="1030"/>
    <n v="1557284"/>
    <x v="0"/>
    <s v="Social Science"/>
    <s v="9781118554067"/>
    <s v=",1,2,3,224,225,226,223,222,227,228,229,230,231,232,233,234,223,224,224,224"/>
    <n v="16"/>
    <m/>
    <m/>
    <s v="No"/>
    <x v="3"/>
    <m/>
    <m/>
    <s v="137.141.13.2"/>
    <s v="P90 -- .O88 2014eb"/>
    <n v="302.23"/>
    <d v="2013-11-08T00:00:00"/>
  </r>
  <r>
    <x v="4052"/>
    <d v="1899-12-30T00:16:37"/>
    <x v="586"/>
    <x v="7"/>
    <s v="oneonta"/>
    <x v="613"/>
    <n v="1935791"/>
    <x v="0"/>
    <s v="Business/Management; Economics"/>
    <s v="9781118909935"/>
    <s v=",1,3,2,4,5,6,7,8,9,10,11,12,13,14,15,16,17,18,19,20,21,22,23,24,25,36,37,34,35,38,59,60,61,57,58,62,63,66,67,68,65,64,69,70,90,91,92,88,89"/>
    <n v="49"/>
    <m/>
    <m/>
    <s v="No"/>
    <x v="0"/>
    <d v="2015-11-09T19:24:16"/>
    <n v="7"/>
    <s v="137.141.13.2"/>
    <s v="HC427.92 -- .C4782 2015eb"/>
    <n v="338.95100000000002"/>
    <d v="2014-12-22T00:00:00"/>
  </r>
  <r>
    <x v="4053"/>
    <d v="1899-12-30T00:02:37"/>
    <x v="1084"/>
    <x v="12"/>
    <s v="potsdam"/>
    <x v="1031"/>
    <n v="3038775"/>
    <x v="11"/>
    <s v="Library Science; Social Science"/>
    <s v="9780226206981"/>
    <s v=",1,2,3,456,457,458,454,455,459"/>
    <n v="9"/>
    <m/>
    <m/>
    <s v="No"/>
    <x v="3"/>
    <m/>
    <m/>
    <s v="137.143.104.94"/>
    <s v="ZA4045 -- .E266 2015eb"/>
    <s v="302.23/1"/>
    <d v="2015-05-01T00:00:00"/>
  </r>
  <r>
    <x v="4054"/>
    <d v="1899-12-30T00:00:00"/>
    <x v="1085"/>
    <x v="12"/>
    <s v="potsdam"/>
    <x v="175"/>
    <n v="875809"/>
    <x v="0"/>
    <s v="Language/Linguistics"/>
    <s v="9781118223598"/>
    <m/>
    <n v="0"/>
    <m/>
    <m/>
    <s v="Yes"/>
    <x v="0"/>
    <d v="2015-11-09T20:23:40"/>
    <n v="7"/>
    <s v="137.143.104.94"/>
    <s v="PE1128.A2 -- F455 2012eb"/>
    <n v="428.00709999999998"/>
    <d v="2012-08-07T00:00:00"/>
  </r>
  <r>
    <x v="4054"/>
    <d v="1899-12-30T00:00:00"/>
    <x v="1085"/>
    <x v="12"/>
    <s v="potsdam"/>
    <x v="175"/>
    <n v="875809"/>
    <x v="0"/>
    <s v="Language/Linguistics"/>
    <s v="9781118223598"/>
    <m/>
    <n v="0"/>
    <m/>
    <m/>
    <s v="No"/>
    <x v="0"/>
    <d v="2015-11-09T20:23:40"/>
    <n v="7"/>
    <s v="137.143.104.94"/>
    <s v="PE1128.A2 -- F455 2012eb"/>
    <n v="428.00709999999998"/>
    <d v="2012-08-07T00:00:00"/>
  </r>
  <r>
    <x v="4055"/>
    <d v="1899-12-30T00:04:52"/>
    <x v="1085"/>
    <x v="12"/>
    <s v="potsdam"/>
    <x v="175"/>
    <n v="875809"/>
    <x v="0"/>
    <s v="Language/Linguistics"/>
    <s v="9781118223598"/>
    <s v=",1,15,16,15,16,17,13,17,14,14,1,2,2,18,18,19,19,14,20,20,21,21,22,22,20"/>
    <n v="12"/>
    <m/>
    <m/>
    <s v="No"/>
    <x v="1"/>
    <m/>
    <m/>
    <s v="137.143.104.94"/>
    <s v="PE1128.A2 -- F455 2012eb"/>
    <n v="428.00709999999998"/>
    <d v="2012-08-07T00:00:00"/>
  </r>
  <r>
    <x v="4056"/>
    <d v="1899-12-30T00:01:04"/>
    <x v="912"/>
    <x v="12"/>
    <s v="potsdam"/>
    <x v="1032"/>
    <n v="2038680"/>
    <x v="0"/>
    <s v="Science: Chemistry; Science"/>
    <s v="9783527688159"/>
    <s v=",1,1,2,2,3,3,34,34,27,27,28,28,29,29,25,26,26,27,2,31,34"/>
    <n v="10"/>
    <m/>
    <m/>
    <s v="No"/>
    <x v="3"/>
    <m/>
    <m/>
    <s v="137.143.104.94"/>
    <s v="QD481 -- .Z48 2015eb"/>
    <s v="547.1; 547.1223"/>
    <d v="2015-04-28T00:00:00"/>
  </r>
  <r>
    <x v="4057"/>
    <d v="1899-12-30T02:10:02"/>
    <x v="13"/>
    <x v="0"/>
    <s v="Buffalo"/>
    <x v="1006"/>
    <n v="1655862"/>
    <x v="12"/>
    <s v="Social Science; Religion"/>
    <s v="9781469615493"/>
    <s v=",1,2,3,2,184,185,186,187,188,189,190,191,193,194,195,196,197,198,200,199,201,202,203,204,199,199,205,206,207,208,203,209,208,209,210,211,211,212,212,207,213,214,215,211,216,211,209,207,1"/>
    <n v="35"/>
    <m/>
    <m/>
    <s v="No"/>
    <x v="0"/>
    <d v="2015-11-08T20:28:31"/>
    <n v="7"/>
    <s v="128.205.114.91"/>
    <s v="BX1406.3 -- .D89 2014eb"/>
    <s v="391.0088/28273"/>
    <d v="2014-04-15T00:00:00"/>
  </r>
  <r>
    <x v="4058"/>
    <d v="1899-12-30T00:15:51"/>
    <x v="586"/>
    <x v="7"/>
    <s v="oneonta"/>
    <x v="613"/>
    <n v="1935791"/>
    <x v="0"/>
    <s v="Business/Management; Economics"/>
    <s v="9781118909935"/>
    <s v=",61,62,59,63,60,64,65,66,67,68,69,70,71,72,73,74,75,76,77,78,81,82,83,79,80,84,85,177,178,179,175,176,180,181,183,184,225,226,227,223,224"/>
    <n v="41"/>
    <m/>
    <m/>
    <s v="No"/>
    <x v="0"/>
    <d v="2015-11-09T19:24:16"/>
    <n v="7"/>
    <s v="137.141.13.2"/>
    <s v="HC427.92 -- .C4782 2015eb"/>
    <n v="338.95100000000002"/>
    <d v="2014-12-22T00:00:00"/>
  </r>
  <r>
    <x v="4059"/>
    <d v="1899-12-30T00:00:53"/>
    <x v="1081"/>
    <x v="7"/>
    <s v="oneonta"/>
    <x v="414"/>
    <n v="1143522"/>
    <x v="0"/>
    <s v="History"/>
    <s v="9781118257197"/>
    <s v=",1,2,3,239,240,241,237,238"/>
    <n v="8"/>
    <m/>
    <m/>
    <s v="No"/>
    <x v="0"/>
    <d v="2015-11-04T00:30:55"/>
    <n v="7"/>
    <s v="137.141.13.2"/>
    <s v="F1219.73 .S58 2013"/>
    <n v="972"/>
    <d v="2013-03-01T00:00:00"/>
  </r>
  <r>
    <x v="4060"/>
    <d v="1899-12-30T00:00:19"/>
    <x v="1086"/>
    <x v="9"/>
    <s v="trocaire"/>
    <x v="1033"/>
    <n v="1318968"/>
    <x v="2"/>
    <s v="Social Science"/>
    <s v="9781135122126"/>
    <s v=",1,2,3,4,5,6,7,8,9"/>
    <n v="9"/>
    <m/>
    <m/>
    <s v="No"/>
    <x v="3"/>
    <m/>
    <m/>
    <s v="173.225.62.67"/>
    <s v="HQ32 -- .P67 2014eb"/>
    <n v="306.70846"/>
    <d v="2013-07-18T00:00:00"/>
  </r>
  <r>
    <x v="4061"/>
    <d v="1899-12-30T00:02:11"/>
    <x v="912"/>
    <x v="12"/>
    <s v="potsdam"/>
    <x v="719"/>
    <n v="771074"/>
    <x v="18"/>
    <s v="Medicine; Pharmacy; Social Science; Health"/>
    <s v="9780761499732"/>
    <s v=",1,1,2,2,3,3,2,2,29,30,30,29,27,31,28,31,28,29"/>
    <n v="8"/>
    <m/>
    <m/>
    <s v="No"/>
    <x v="0"/>
    <d v="2015-11-09T01:36:03"/>
    <n v="7"/>
    <s v="137.143.104.94"/>
    <s v="RM301.17 .K567 2012"/>
    <s v="362.29; 615.1"/>
    <d v="2012-01-01T00:00:00"/>
  </r>
  <r>
    <x v="4062"/>
    <d v="1899-12-30T00:01:13"/>
    <x v="1087"/>
    <x v="12"/>
    <s v="potsdam"/>
    <x v="1034"/>
    <n v="1969395"/>
    <x v="1"/>
    <s v="Social Science; Health"/>
    <s v="9781409454588"/>
    <s v=",1,2,3,43,44,45,41,42,46,47,48,43,40,38,34,32,28,26,22,19,15,12,9,7,8,5,6"/>
    <n v="26"/>
    <m/>
    <m/>
    <s v="No"/>
    <x v="3"/>
    <m/>
    <m/>
    <s v="137.143.104.94"/>
    <s v="RA441 -- .G46 2015eb"/>
    <n v="362.1"/>
    <d v="2015-03-28T00:00:00"/>
  </r>
  <r>
    <x v="4063"/>
    <d v="1899-12-30T00:00:03"/>
    <x v="1088"/>
    <x v="5"/>
    <s v="erie"/>
    <x v="1035"/>
    <n v="1895099"/>
    <x v="0"/>
    <s v="Education"/>
    <s v="9781118825730"/>
    <s v=",1,2,3"/>
    <n v="3"/>
    <m/>
    <m/>
    <s v="No"/>
    <x v="3"/>
    <m/>
    <m/>
    <s v="199.29.6.54"/>
    <s v="LB2367.4 .A15 2015"/>
    <n v="378.1662"/>
    <d v="2015-05-04T00:00:00"/>
  </r>
  <r>
    <x v="4064"/>
    <d v="1899-12-30T00:00:11"/>
    <x v="964"/>
    <x v="12"/>
    <s v="potsdam"/>
    <x v="1036"/>
    <n v="1463510"/>
    <x v="0"/>
    <s v="Language/Linguistics; Fine Arts"/>
    <s v="9781118805251"/>
    <s v=",1,2,3,4"/>
    <n v="4"/>
    <m/>
    <m/>
    <s v="No"/>
    <x v="3"/>
    <m/>
    <m/>
    <s v="137.143.104.94"/>
    <s v="TT820 -- .A45 2014eb"/>
    <n v="419"/>
    <d v="2013-10-07T00:00:00"/>
  </r>
  <r>
    <x v="4065"/>
    <d v="1899-12-30T00:22:37"/>
    <x v="586"/>
    <x v="7"/>
    <s v="oneonta"/>
    <x v="613"/>
    <n v="1935791"/>
    <x v="0"/>
    <s v="Business/Management; Economics"/>
    <s v="9781118909935"/>
    <s v=",1,2,3,4,5,6,7,8,21,20,22,18,19,23,24,25,26,27,28"/>
    <n v="19"/>
    <m/>
    <m/>
    <s v="No"/>
    <x v="3"/>
    <m/>
    <m/>
    <s v="137.141.13.2"/>
    <s v="HC427.92 -- .C4782 2015eb"/>
    <n v="338.95100000000002"/>
    <d v="2014-12-22T00:00:00"/>
  </r>
  <r>
    <x v="4066"/>
    <d v="1899-12-30T00:49:32"/>
    <x v="789"/>
    <x v="6"/>
    <s v="sjfc"/>
    <x v="68"/>
    <n v="1822529"/>
    <x v="0"/>
    <s v="Mathematics"/>
    <s v="9781118824344"/>
    <s v=",1,2,3,1,2,3,113,114,115,111,112,116,117,118,119,120,121,122,123,124,125,126,127,128,129,130,131,132,133,134,107,102,103,104,100,101,95,96,97,93,94,131"/>
    <n v="38"/>
    <m/>
    <m/>
    <s v="No"/>
    <x v="0"/>
    <d v="2015-11-02T19:57:11"/>
    <n v="7"/>
    <s v="149.69.254.57"/>
    <s v="QA297 -- .S59 2015eb"/>
    <n v="519.4"/>
    <d v="2014-10-20T00:00:00"/>
  </r>
  <r>
    <x v="4067"/>
    <d v="1899-12-30T00:00:06"/>
    <x v="964"/>
    <x v="12"/>
    <s v="potsdam"/>
    <x v="1034"/>
    <n v="1969395"/>
    <x v="1"/>
    <s v="Social Science; Health"/>
    <s v="9781409454588"/>
    <s v=",1,2,3"/>
    <n v="3"/>
    <m/>
    <m/>
    <s v="No"/>
    <x v="3"/>
    <m/>
    <m/>
    <s v="137.143.104.94"/>
    <s v="RA441 -- .G46 2015eb"/>
    <n v="362.1"/>
    <d v="2015-03-28T00:00:00"/>
  </r>
  <r>
    <x v="4068"/>
    <d v="1899-12-30T02:06:31"/>
    <x v="13"/>
    <x v="0"/>
    <s v="Buffalo"/>
    <x v="1037"/>
    <n v="1745058"/>
    <x v="0"/>
    <s v="Education"/>
    <s v="9781118761267"/>
    <s v=",45,46,47,48,49,39,1,39,40,41,37,38,26,28,24,27,25,2,42,43,44,40,41,45,46,47,48,49,55,56,57,53,54,35,39,36,37,33,34,29,30,31,32"/>
    <n v="33"/>
    <m/>
    <m/>
    <s v="No"/>
    <x v="0"/>
    <d v="2015-11-09T18:48:29"/>
    <n v="7"/>
    <s v="128.205.114.91"/>
    <s v="LB1032 -- .B375 2014eb"/>
    <s v="378.1/2"/>
    <d v="2014-07-18T00:00:00"/>
  </r>
  <r>
    <x v="4069"/>
    <d v="1899-12-30T02:57:11"/>
    <x v="13"/>
    <x v="0"/>
    <s v="Buffalo"/>
    <x v="161"/>
    <n v="821663"/>
    <x v="0"/>
    <s v="Architecture"/>
    <s v="9781118168479"/>
    <s v=",1,2,3,295,296,297,293,294,298,299,300,301,302,303,304,305,306,307,308,309,310,311,312,313"/>
    <n v="24"/>
    <m/>
    <m/>
    <s v="No"/>
    <x v="0"/>
    <d v="2015-11-09T06:11:26"/>
    <n v="7"/>
    <s v="128.205.114.91"/>
    <s v="NA2547 -- .S74 2012eb"/>
    <n v="729"/>
    <d v="2012-03-05T00:00:00"/>
  </r>
  <r>
    <x v="4070"/>
    <d v="1899-12-30T00:16:57"/>
    <x v="13"/>
    <x v="0"/>
    <s v="Buffalo"/>
    <x v="1037"/>
    <n v="1745058"/>
    <x v="0"/>
    <s v="Education"/>
    <s v="9781118761267"/>
    <s v=",1,2,3,42,43,44,41,40"/>
    <n v="8"/>
    <m/>
    <m/>
    <s v="No"/>
    <x v="1"/>
    <m/>
    <m/>
    <s v="128.205.114.91"/>
    <s v="LB1032 -- .B375 2014eb"/>
    <s v="378.1/2"/>
    <d v="2014-07-18T00:00:00"/>
  </r>
  <r>
    <x v="4071"/>
    <d v="1899-12-30T00:00:43"/>
    <x v="519"/>
    <x v="8"/>
    <s v="niagaracc"/>
    <x v="16"/>
    <n v="877717"/>
    <x v="6"/>
    <s v="Fine Arts"/>
    <s v="9781438139265"/>
    <s v=",2,3,1,4,5,6,7,8,9,10,11,12,13,14,15,16,17,18,19,20,21"/>
    <n v="21"/>
    <m/>
    <m/>
    <s v="No"/>
    <x v="1"/>
    <m/>
    <m/>
    <s v="132.174.254.37"/>
    <s v="PN1998.3.M577 -- L46 2012eb"/>
    <s v="791.4302/33092; B"/>
    <d v="2012-01-01T00:00:00"/>
  </r>
  <r>
    <x v="4072"/>
    <d v="1899-12-30T00:00:04"/>
    <x v="454"/>
    <x v="5"/>
    <s v="erie"/>
    <x v="1038"/>
    <n v="1581891"/>
    <x v="2"/>
    <s v="Medicine"/>
    <s v="9781317782841"/>
    <s v=",1,2,3"/>
    <n v="3"/>
    <m/>
    <m/>
    <s v="No"/>
    <x v="3"/>
    <m/>
    <m/>
    <s v="199.29.6.54"/>
    <s v="RJ506.C48 -- S48 1991eb"/>
    <n v="616.85"/>
    <d v="2013-12-16T00:00:00"/>
  </r>
  <r>
    <x v="4073"/>
    <d v="1899-12-30T00:00:20"/>
    <x v="1040"/>
    <x v="16"/>
    <s v="monroecc"/>
    <x v="1039"/>
    <n v="1883954"/>
    <x v="0"/>
    <s v="Science; Science: Biology/Natural History; Medicine"/>
    <s v="9781118677711"/>
    <s v=",2,2"/>
    <n v="1"/>
    <m/>
    <m/>
    <s v="Yes"/>
    <x v="0"/>
    <d v="2015-11-09T18:18:05"/>
    <n v="7"/>
    <s v="150.160.200.114"/>
    <s v="QH603.L9 -- .A986 2015eb"/>
    <s v="616.07/9"/>
    <d v="2014-12-03T00:00:00"/>
  </r>
  <r>
    <x v="4073"/>
    <d v="1899-12-30T00:00:00"/>
    <x v="1040"/>
    <x v="16"/>
    <s v="monroecc"/>
    <x v="1039"/>
    <n v="1883954"/>
    <x v="0"/>
    <s v="Science; Science: Biology/Natural History; Medicine"/>
    <s v="9781118677711"/>
    <m/>
    <n v="0"/>
    <m/>
    <m/>
    <s v="No"/>
    <x v="0"/>
    <d v="2015-11-09T18:18:05"/>
    <n v="7"/>
    <s v="150.160.200.114"/>
    <s v="QH603.L9 -- .A986 2015eb"/>
    <s v="616.07/9"/>
    <d v="2014-12-03T00:00:00"/>
  </r>
  <r>
    <x v="4074"/>
    <d v="1899-12-30T00:00:09"/>
    <x v="1040"/>
    <x v="16"/>
    <s v="monroecc"/>
    <x v="1039"/>
    <n v="1883954"/>
    <x v="0"/>
    <s v="Science; Science: Biology/Natural History; Medicine"/>
    <s v="9781118677711"/>
    <s v=",1,2,2,1,3,3"/>
    <n v="3"/>
    <m/>
    <m/>
    <s v="No"/>
    <x v="3"/>
    <m/>
    <m/>
    <s v="150.160.200.114"/>
    <s v="QH603.L9 -- .A986 2015eb"/>
    <s v="616.07/9"/>
    <d v="2014-12-03T00:00:00"/>
  </r>
  <r>
    <x v="4075"/>
    <d v="1899-12-30T00:19:30"/>
    <x v="1089"/>
    <x v="1"/>
    <s v="brockport"/>
    <x v="642"/>
    <n v="918746"/>
    <x v="15"/>
    <s v="Fine Arts"/>
    <s v="9780826441850"/>
    <s v=",13,17,17,18,18,19,19,20,20,21,21,22,22,23,23,24,24,106,106,108,107,108,104,107,105,105,109,109,110,110,111,111,112,113,112,114,70,32,70,32,114,8,113,1,2,3"/>
    <n v="26"/>
    <s v=",14"/>
    <m/>
    <s v="No"/>
    <x v="0"/>
    <d v="2015-11-09T18:14:23"/>
    <n v="7"/>
    <s v="137.21.7.121"/>
    <s v="PN1992.8.R43 -- E84 2012eb"/>
    <n v="791.45749999999998"/>
    <d v="2012-07-01T00:00:00"/>
  </r>
  <r>
    <x v="4076"/>
    <d v="1899-12-30T00:00:27"/>
    <x v="1090"/>
    <x v="0"/>
    <s v="Buffalo"/>
    <x v="510"/>
    <n v="1109590"/>
    <x v="14"/>
    <s v="Fine Arts"/>
    <s v="9781476600093"/>
    <s v=",1,2,3"/>
    <n v="3"/>
    <m/>
    <m/>
    <s v="No"/>
    <x v="1"/>
    <m/>
    <m/>
    <s v="128.205.114.91"/>
    <s v="PN1999.W27 -- D58 2013eb"/>
    <s v="791.43/6552; 791.436552"/>
    <d v="2013-01-20T00:00:00"/>
  </r>
  <r>
    <x v="4077"/>
    <d v="1899-12-30T00:00:00"/>
    <x v="1040"/>
    <x v="16"/>
    <s v="monroecc"/>
    <x v="1040"/>
    <n v="1896080"/>
    <x v="0"/>
    <s v="Engineering; Medicine; Engineering: Environmental"/>
    <s v="9783527687992"/>
    <m/>
    <n v="0"/>
    <m/>
    <m/>
    <s v="Yes"/>
    <x v="0"/>
    <d v="2015-11-09T18:11:31"/>
    <n v="7"/>
    <s v="150.160.200.114"/>
    <s v="TD427.M53 -- .M634 2015eb"/>
    <n v="616.9"/>
    <d v="2015-02-23T00:00:00"/>
  </r>
  <r>
    <x v="4077"/>
    <d v="1899-12-30T00:00:00"/>
    <x v="1040"/>
    <x v="16"/>
    <s v="monroecc"/>
    <x v="1040"/>
    <n v="1896080"/>
    <x v="0"/>
    <s v="Engineering; Medicine; Engineering: Environmental"/>
    <s v="9783527687992"/>
    <m/>
    <n v="0"/>
    <m/>
    <m/>
    <s v="No"/>
    <x v="0"/>
    <d v="2015-11-09T18:11:31"/>
    <n v="7"/>
    <s v="150.160.200.114"/>
    <s v="TD427.M53 -- .M634 2015eb"/>
    <n v="616.9"/>
    <d v="2015-02-23T00:00:00"/>
  </r>
  <r>
    <x v="4078"/>
    <d v="1899-12-30T00:00:09"/>
    <x v="1040"/>
    <x v="16"/>
    <s v="monroecc"/>
    <x v="1040"/>
    <n v="1896080"/>
    <x v="0"/>
    <s v="Engineering; Medicine; Engineering: Environmental"/>
    <s v="9783527687992"/>
    <s v=",1,2,2,1,3,3"/>
    <n v="3"/>
    <m/>
    <m/>
    <s v="No"/>
    <x v="3"/>
    <m/>
    <m/>
    <s v="150.160.200.114"/>
    <s v="TD427.M53 -- .M634 2015eb"/>
    <n v="616.9"/>
    <d v="2015-02-23T00:00:00"/>
  </r>
  <r>
    <x v="4079"/>
    <d v="1899-12-30T00:02:03"/>
    <x v="966"/>
    <x v="5"/>
    <s v="erie"/>
    <x v="565"/>
    <n v="877786"/>
    <x v="0"/>
    <s v="Medicine"/>
    <s v="9781118318393"/>
    <s v=",1,2,3,408,409,410,406,407,428,429,487,488,489,485,486,480,476,477,475,473,474"/>
    <n v="21"/>
    <m/>
    <m/>
    <s v="No"/>
    <x v="1"/>
    <m/>
    <m/>
    <s v="199.29.6.54"/>
    <s v="RC628 -- .T49 2012eb"/>
    <s v="616.3/98"/>
    <d v="2012-03-20T00:00:00"/>
  </r>
  <r>
    <x v="4080"/>
    <d v="1899-12-30T00:31:38"/>
    <x v="1050"/>
    <x v="15"/>
    <s v="morrisville"/>
    <x v="991"/>
    <n v="1078671"/>
    <x v="11"/>
    <s v="Social Science; Health; Medicine"/>
    <s v="9780226922133"/>
    <s v=",1,2,3,4,5,6,7,8,9,10,12,2,13,14,15,16,17,18,19,20,21,22,23,24,24,25"/>
    <n v="24"/>
    <m/>
    <m/>
    <s v="No"/>
    <x v="2"/>
    <d v="2015-11-09T16:35:25"/>
    <n v="1"/>
    <s v="136.204.32.68"/>
    <s v="R725.55 -- .C33 2012eb"/>
    <n v="362.11"/>
    <d v="2013-01-18T00:00:00"/>
  </r>
  <r>
    <x v="4081"/>
    <d v="1899-12-30T00:09:35"/>
    <x v="1089"/>
    <x v="1"/>
    <s v="brockport"/>
    <x v="642"/>
    <n v="918746"/>
    <x v="15"/>
    <s v="Fine Arts"/>
    <s v="9780826441850"/>
    <s v=",1,2,2,1,3,3,2,2,10,11,10,12,11,8,12,9,9,14,14,13,13,14,15,15,16,16,14"/>
    <n v="12"/>
    <m/>
    <m/>
    <s v="No"/>
    <x v="1"/>
    <m/>
    <m/>
    <s v="137.21.7.121"/>
    <s v="PN1992.8.R43 -- E84 2012eb"/>
    <n v="791.45749999999998"/>
    <d v="2012-07-01T00:00:00"/>
  </r>
  <r>
    <x v="4082"/>
    <d v="1899-12-30T00:05:38"/>
    <x v="1091"/>
    <x v="12"/>
    <s v="potsdam"/>
    <x v="1041"/>
    <n v="1895734"/>
    <x v="0"/>
    <s v="Medicine; Pharmacy"/>
    <s v="9781118907221"/>
    <s v=",1,2,3,2,3,1,24,24,25,25,26,26,23,2,22,23,123,124,123,124,125,121,122,125,122,126,126,127,127,128,128,123,128,129,129,124,123"/>
    <n v="17"/>
    <m/>
    <m/>
    <s v="No"/>
    <x v="0"/>
    <d v="2015-11-03T19:22:34"/>
    <n v="7"/>
    <s v="137.143.104.94"/>
    <s v="RM301.25 -- .N475 2015eb"/>
    <n v="615.19000000000005"/>
    <d v="2015-04-13T00:00:00"/>
  </r>
  <r>
    <x v="4083"/>
    <d v="1899-12-30T00:28:29"/>
    <x v="1091"/>
    <x v="12"/>
    <s v="potsdam"/>
    <x v="1041"/>
    <n v="1895734"/>
    <x v="0"/>
    <s v="Medicine; Pharmacy"/>
    <s v="9781118907221"/>
    <s v=",1,1,2,2,3,3,123,124,123,124,125,125,121,2,122,122,123,123"/>
    <n v="8"/>
    <m/>
    <m/>
    <s v="No"/>
    <x v="0"/>
    <d v="2015-11-03T19:22:34"/>
    <n v="7"/>
    <s v="137.143.104.94"/>
    <s v="RM301.25 -- .N475 2015eb"/>
    <n v="615.19000000000005"/>
    <d v="2015-04-13T00:00:00"/>
  </r>
  <r>
    <x v="4084"/>
    <d v="1899-12-30T00:00:32"/>
    <x v="1089"/>
    <x v="1"/>
    <s v="brockport"/>
    <x v="642"/>
    <n v="918746"/>
    <x v="15"/>
    <s v="Fine Arts"/>
    <s v="9780826441850"/>
    <s v=",1,2,2,1,3,3,2,2,106,107,106,107,104,108,105,108,105,104,105"/>
    <n v="8"/>
    <m/>
    <m/>
    <s v="No"/>
    <x v="1"/>
    <m/>
    <m/>
    <s v="137.21.7.121"/>
    <s v="PN1992.8.R43 -- E84 2012eb"/>
    <n v="791.45749999999998"/>
    <d v="2012-07-01T00:00:00"/>
  </r>
  <r>
    <x v="4085"/>
    <d v="1899-12-30T00:00:04"/>
    <x v="1092"/>
    <x v="8"/>
    <s v="niagaracc"/>
    <x v="1042"/>
    <n v="1249494"/>
    <x v="3"/>
    <s v="Agriculture; Social Science; Health"/>
    <s v="9780520954571"/>
    <s v=",1,3,2"/>
    <n v="3"/>
    <m/>
    <m/>
    <s v="No"/>
    <x v="1"/>
    <m/>
    <m/>
    <s v="132.174.254.37"/>
    <s v="SB295.C35 -- C54 2013eb"/>
    <n v="362.29300000000001"/>
    <d v="2013-09-01T00:00:00"/>
  </r>
  <r>
    <x v="4086"/>
    <d v="1899-12-30T00:00:00"/>
    <x v="1050"/>
    <x v="15"/>
    <s v="morrisville"/>
    <x v="991"/>
    <n v="1078671"/>
    <x v="11"/>
    <s v="Social Science; Health; Medicine"/>
    <s v="9780226922133"/>
    <s v=",18"/>
    <n v="1"/>
    <m/>
    <m/>
    <s v="No"/>
    <x v="2"/>
    <d v="2015-11-09T16:35:25"/>
    <n v="1"/>
    <s v="136.204.32.68"/>
    <s v="R725.55 -- .C33 2012eb"/>
    <n v="362.11"/>
    <d v="2013-01-18T00:00:00"/>
  </r>
  <r>
    <x v="4087"/>
    <d v="1899-12-30T00:06:18"/>
    <x v="1050"/>
    <x v="15"/>
    <s v="morrisville"/>
    <x v="991"/>
    <n v="1078671"/>
    <x v="11"/>
    <s v="Social Science; Health; Medicine"/>
    <s v="9780226922133"/>
    <s v=",1,2,3,4,5,7,8,14,15,16,12,13,17"/>
    <n v="13"/>
    <m/>
    <m/>
    <s v="No"/>
    <x v="3"/>
    <m/>
    <m/>
    <s v="136.204.32.68"/>
    <s v="R725.55 -- .C33 2012eb"/>
    <n v="362.11"/>
    <d v="2013-01-18T00:00:00"/>
  </r>
  <r>
    <x v="4088"/>
    <d v="1899-12-30T00:00:54"/>
    <x v="1093"/>
    <x v="5"/>
    <s v="erie"/>
    <x v="232"/>
    <n v="822111"/>
    <x v="0"/>
    <s v="Social Science"/>
    <s v="9781444356922"/>
    <s v=",1,2,3,4,5,6,70,71,72,68,69,73,74,75,201,202,203,199,200,198,197"/>
    <n v="21"/>
    <m/>
    <m/>
    <s v="No"/>
    <x v="1"/>
    <m/>
    <m/>
    <s v="199.29.6.54"/>
    <s v="HV6773 -- .K69 2012eb"/>
    <s v="302.34/3"/>
    <d v="2012-02-16T00:00:00"/>
  </r>
  <r>
    <x v="4089"/>
    <d v="1899-12-30T00:00:50"/>
    <x v="1094"/>
    <x v="12"/>
    <s v="potsdam"/>
    <x v="1043"/>
    <n v="1766691"/>
    <x v="3"/>
    <s v="Agriculture"/>
    <s v="9780520960497"/>
    <s v=",47,64,65,66,63,62,67,68,69,188,189,190,187,186"/>
    <n v="14"/>
    <m/>
    <m/>
    <s v="No"/>
    <x v="2"/>
    <d v="2015-11-09T16:01:29"/>
    <n v="1"/>
    <s v="137.143.104.94"/>
    <s v="S930 -- .P76 2015eb"/>
    <n v="639.9"/>
    <d v="2015-03-20T00:00:00"/>
  </r>
  <r>
    <x v="4090"/>
    <d v="1899-12-30T00:08:51"/>
    <x v="1094"/>
    <x v="12"/>
    <s v="potsdam"/>
    <x v="1043"/>
    <n v="1766691"/>
    <x v="3"/>
    <s v="Agriculture"/>
    <s v="9780520960497"/>
    <s v=",1,2,3,24,25,26,22,23,27,28,29,30"/>
    <n v="12"/>
    <m/>
    <m/>
    <s v="No"/>
    <x v="3"/>
    <m/>
    <m/>
    <s v="137.143.104.94"/>
    <s v="S930 -- .P76 2015eb"/>
    <n v="639.9"/>
    <d v="2015-03-20T00:00:00"/>
  </r>
  <r>
    <x v="4091"/>
    <d v="1899-12-30T00:00:03"/>
    <x v="1095"/>
    <x v="0"/>
    <s v="Buffalo"/>
    <x v="583"/>
    <n v="1687475"/>
    <x v="4"/>
    <s v="Education"/>
    <s v="9781462516254"/>
    <s v=",1,2,3"/>
    <n v="3"/>
    <m/>
    <m/>
    <s v="No"/>
    <x v="1"/>
    <m/>
    <m/>
    <s v="128.205.114.91"/>
    <s v="LC146.6 -- .G67 2014eb"/>
    <n v="371.29129999999998"/>
    <d v="2014-09-11T00:00:00"/>
  </r>
  <r>
    <x v="4092"/>
    <d v="1899-12-30T00:00:21"/>
    <x v="1096"/>
    <x v="5"/>
    <s v="erie"/>
    <x v="684"/>
    <n v="1120621"/>
    <x v="0"/>
    <s v="Education"/>
    <s v="9781118362679"/>
    <s v=",1,5,6,7,3,8,9,10,11,12,13,2"/>
    <n v="12"/>
    <m/>
    <m/>
    <s v="No"/>
    <x v="1"/>
    <m/>
    <m/>
    <s v="199.29.6.54"/>
    <s v="LB3013.3 .R59 2012"/>
    <s v="371.5/8; 371.58"/>
    <d v="2012-08-15T00:00:00"/>
  </r>
  <r>
    <x v="4093"/>
    <d v="1899-12-30T00:08:51"/>
    <x v="1097"/>
    <x v="4"/>
    <s v="monroe2boces"/>
    <x v="46"/>
    <n v="1602291"/>
    <x v="0"/>
    <s v="Health; Social Science; Medicine"/>
    <s v="9781118817001"/>
    <s v=",1,2,3,4,5,6,7,8,9,10,11,12,2,13,14,15,16,17,491,514,515,516,517,518,519,398,399,395,396,190,192,188,193,32,33,34,30,31,43,44,45,41,42,57,58,59,55,56,120,121,122,118,119,132,133,134,130,131,143,144,145,141,142,268,269,265,266,288,284,285,1,287,286"/>
    <n v="71"/>
    <m/>
    <m/>
    <s v="No"/>
    <x v="1"/>
    <m/>
    <m/>
    <s v="216.226.102.163"/>
    <s v="RC564.15 -- .P47 2014eb"/>
    <n v="362.29"/>
    <d v="2014-01-10T00:00:00"/>
  </r>
  <r>
    <x v="4094"/>
    <d v="1899-12-30T00:06:18"/>
    <x v="13"/>
    <x v="0"/>
    <s v="Buffalo"/>
    <x v="796"/>
    <n v="1318206"/>
    <x v="0"/>
    <s v="Computer Science/IT; Social Science"/>
    <s v="9781118363560"/>
    <s v=",2,2,4,4,5,5"/>
    <n v="3"/>
    <m/>
    <m/>
    <s v="Yes"/>
    <x v="0"/>
    <d v="2015-11-09T15:21:45"/>
    <n v="7"/>
    <s v="128.205.114.91"/>
    <s v="HA32 -- .M4994 2013eb"/>
    <s v="005.5/5"/>
    <d v="2013-07-15T00:00:00"/>
  </r>
  <r>
    <x v="4094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11-09T15:21:45"/>
    <n v="7"/>
    <s v="128.205.114.91"/>
    <s v="HA32 -- .M4994 2013eb"/>
    <s v="005.5/5"/>
    <d v="2013-07-15T00:00:00"/>
  </r>
  <r>
    <x v="4095"/>
    <d v="1899-12-30T00:00:11"/>
    <x v="13"/>
    <x v="0"/>
    <s v="Buffalo"/>
    <x v="796"/>
    <n v="1318206"/>
    <x v="0"/>
    <s v="Computer Science/IT; Social Science"/>
    <s v="9781118363560"/>
    <s v=",1,3,3,2,2,1"/>
    <n v="3"/>
    <m/>
    <m/>
    <s v="No"/>
    <x v="1"/>
    <m/>
    <m/>
    <s v="128.205.114.91"/>
    <s v="HA32 -- .M4994 2013eb"/>
    <s v="005.5/5"/>
    <d v="2013-07-15T00:00:00"/>
  </r>
  <r>
    <x v="4096"/>
    <d v="1899-12-30T00:00:08"/>
    <x v="26"/>
    <x v="6"/>
    <s v="sjfc"/>
    <x v="1044"/>
    <n v="1153525"/>
    <x v="0"/>
    <s v="Business/Management; Economics"/>
    <s v="9781118526361"/>
    <s v=",1,2,3,21,22,23,19,20"/>
    <n v="8"/>
    <m/>
    <m/>
    <s v="No"/>
    <x v="3"/>
    <m/>
    <m/>
    <s v="149.69.254.57"/>
    <s v="HG179 -- .V457 2013eb"/>
    <n v="332.02400972999999"/>
    <d v="2013-03-07T00:00:00"/>
  </r>
  <r>
    <x v="4097"/>
    <d v="1899-12-30T00:00:03"/>
    <x v="26"/>
    <x v="6"/>
    <s v="sjfc"/>
    <x v="1045"/>
    <n v="1895605"/>
    <x v="0"/>
    <s v="Medicine; Health"/>
    <s v="9781118792766"/>
    <s v=",1,2,3"/>
    <n v="3"/>
    <m/>
    <m/>
    <s v="No"/>
    <x v="3"/>
    <m/>
    <m/>
    <s v="149.69.254.57"/>
    <s v="RJ206 -- .E275 2015eb"/>
    <s v="613/.0432"/>
    <d v="2015-02-11T00:00:00"/>
  </r>
  <r>
    <x v="4098"/>
    <d v="1899-12-30T00:00:27"/>
    <x v="1098"/>
    <x v="13"/>
    <s v="buffalostate"/>
    <x v="1046"/>
    <n v="2004800"/>
    <x v="1"/>
    <s v="Literature"/>
    <s v="9781472416353"/>
    <s v=",1,2,3,4,8,9,10,6,7,12,13,14,11"/>
    <n v="13"/>
    <m/>
    <m/>
    <s v="No"/>
    <x v="3"/>
    <m/>
    <m/>
    <s v="136.183.11.43"/>
    <s v="PQ6073.E54 -- .A375 2015eb"/>
    <s v="860.9/3552"/>
    <d v="2015-04-28T00:00:00"/>
  </r>
  <r>
    <x v="4099"/>
    <d v="1899-12-30T00:00:14"/>
    <x v="26"/>
    <x v="6"/>
    <s v="sjfc"/>
    <x v="1047"/>
    <n v="487698"/>
    <x v="0"/>
    <s v="Home Economics"/>
    <s v="9780470606490"/>
    <s v=",1,2,3,4,29,30,31,27,28"/>
    <n v="9"/>
    <m/>
    <m/>
    <s v="No"/>
    <x v="3"/>
    <m/>
    <m/>
    <s v="149.69.254.57"/>
    <s v="TX309 -- .N687 2010eb"/>
    <n v="648.79999999999995"/>
    <d v="2014-05-14T00:00:00"/>
  </r>
  <r>
    <x v="4100"/>
    <d v="1899-12-30T00:00:20"/>
    <x v="26"/>
    <x v="6"/>
    <s v="sjfc"/>
    <x v="1048"/>
    <n v="1895758"/>
    <x v="0"/>
    <s v="Education"/>
    <s v="9781118924747"/>
    <s v=",1,2,3,23,24,25,21,26,22,27,28"/>
    <n v="11"/>
    <m/>
    <m/>
    <s v="No"/>
    <x v="3"/>
    <m/>
    <m/>
    <s v="149.69.254.57"/>
    <s v="LB1590.3 -- .C644 2015eb"/>
    <n v="370.15199999999999"/>
    <d v="2015-03-25T00:00:00"/>
  </r>
  <r>
    <x v="4101"/>
    <d v="1899-12-30T00:00:04"/>
    <x v="26"/>
    <x v="6"/>
    <s v="sjfc"/>
    <x v="1049"/>
    <n v="1762784"/>
    <x v="0"/>
    <s v="Medicine"/>
    <s v="9781118589915"/>
    <s v=",1,2,3"/>
    <n v="3"/>
    <m/>
    <m/>
    <s v="No"/>
    <x v="3"/>
    <m/>
    <m/>
    <s v="149.69.254.57"/>
    <s v="R853.S7 -- .B378 2014eb"/>
    <s v="610.285/555"/>
    <d v="2014-08-06T00:00:00"/>
  </r>
  <r>
    <x v="4102"/>
    <d v="1899-12-30T00:01:48"/>
    <x v="26"/>
    <x v="6"/>
    <s v="sjfc"/>
    <x v="1045"/>
    <n v="1895605"/>
    <x v="0"/>
    <s v="Medicine; Health"/>
    <s v="9781118792766"/>
    <s v=",1,2,3,4,5,6,7,8,9,10,11,12,13,14,2,15,19,20,21,17,18,22,28,29,30,26,27,31,32,33,35,36,1,36"/>
    <n v="31"/>
    <m/>
    <m/>
    <s v="No"/>
    <x v="3"/>
    <m/>
    <m/>
    <s v="149.69.254.57"/>
    <s v="RJ206 -- .E275 2015eb"/>
    <s v="613/.0432"/>
    <d v="2015-02-11T00:00:00"/>
  </r>
  <r>
    <x v="4103"/>
    <d v="1899-12-30T00:00:14"/>
    <x v="26"/>
    <x v="6"/>
    <s v="sjfc"/>
    <x v="1050"/>
    <n v="1895422"/>
    <x v="0"/>
    <s v="Psychology"/>
    <s v="9780857086204"/>
    <s v=",1,2,3,4,5,6,7"/>
    <n v="7"/>
    <m/>
    <m/>
    <s v="No"/>
    <x v="3"/>
    <m/>
    <m/>
    <s v="149.69.254.57"/>
    <s v="BF637.S4 -- .M344 2015eb"/>
    <n v="158.1"/>
    <d v="2015-04-08T00:00:00"/>
  </r>
  <r>
    <x v="4104"/>
    <d v="1899-12-30T00:02:05"/>
    <x v="26"/>
    <x v="6"/>
    <s v="sjfc"/>
    <x v="1051"/>
    <n v="1746963"/>
    <x v="1"/>
    <s v="Business/Management"/>
    <s v="9781472424860"/>
    <s v=",1,2,3,4,5,6,7,28,29,30,26,27,2,1,3"/>
    <n v="12"/>
    <m/>
    <m/>
    <s v="No"/>
    <x v="3"/>
    <m/>
    <m/>
    <s v="149.69.254.57"/>
    <s v="HF5415.123 -- .M85 2014eb"/>
    <s v="658.8/342"/>
    <d v="2014-09-28T00:00:00"/>
  </r>
  <r>
    <x v="4105"/>
    <d v="1899-12-30T00:52:51"/>
    <x v="26"/>
    <x v="6"/>
    <s v="sjfc"/>
    <x v="345"/>
    <n v="1119449"/>
    <x v="0"/>
    <s v="Psychology"/>
    <s v="9781118482230"/>
    <s v=",23,24,25,26,27,28,29,30,31,32,33,34,35,36,37,38,39,40,41,42,43,44,45,46,47,48,49,50,51,52,53,54,55,56,57,58,59,60,61,63,64,65,66,67,68,69,70,71,72,73,74,75,76,77,78,79,80,81,82,83,84,85,86,87,88,90,91,92,93,94,95,96,98,99,100,101,102,103,104,105"/>
    <n v="80"/>
    <m/>
    <m/>
    <s v="No"/>
    <x v="0"/>
    <d v="2015-11-09T14:17:03"/>
    <n v="7"/>
    <s v="149.69.254.57"/>
    <s v="BF576 .S737 2013"/>
    <s v="152.4; 152.4024378198"/>
    <d v="2013-01-28T00:00:00"/>
  </r>
  <r>
    <x v="4106"/>
    <d v="1899-12-30T00:06:13"/>
    <x v="26"/>
    <x v="6"/>
    <s v="sjfc"/>
    <x v="345"/>
    <n v="1119449"/>
    <x v="0"/>
    <s v="Psychology"/>
    <s v="9781118482230"/>
    <s v=",1,2,3,4,5,6,7,8,9,10,11,12,13,14,15,16,17,18,19,20,21,22"/>
    <n v="22"/>
    <m/>
    <m/>
    <s v="No"/>
    <x v="3"/>
    <m/>
    <m/>
    <s v="149.69.254.57"/>
    <s v="BF576 .S737 2013"/>
    <s v="152.4; 152.4024378198"/>
    <d v="2013-01-28T00:00:00"/>
  </r>
  <r>
    <x v="4107"/>
    <d v="1899-12-30T00:01:00"/>
    <x v="1099"/>
    <x v="0"/>
    <s v="Buffalo"/>
    <x v="754"/>
    <n v="818332"/>
    <x v="0"/>
    <s v="Social Science"/>
    <s v="9781118252772"/>
    <s v=",1,2,2,1,3,3,4,4,5,5,6,6,7,7,8,8,9,9,10,10,11,11,2,12,12,13,13,14,14,9,8,6,7"/>
    <n v="14"/>
    <m/>
    <m/>
    <s v="No"/>
    <x v="1"/>
    <m/>
    <m/>
    <s v="128.205.114.91"/>
    <s v="GN419.3 -- .T375 2012eb"/>
    <s v="391.6/5"/>
    <d v="2012-02-21T00:00:00"/>
  </r>
  <r>
    <x v="4108"/>
    <d v="1899-12-30T00:00:45"/>
    <x v="1075"/>
    <x v="4"/>
    <s v="monroe2boces"/>
    <x v="1024"/>
    <n v="834631"/>
    <x v="0"/>
    <s v="Medicine"/>
    <s v="9781444354669"/>
    <s v=",1,2,3,135,136,137,138,134,133"/>
    <n v="9"/>
    <m/>
    <m/>
    <s v="No"/>
    <x v="0"/>
    <d v="2015-11-09T13:04:12"/>
    <n v="7"/>
    <s v="216.226.127.171"/>
    <s v="RC113.2 -- .A85 2012eb"/>
    <s v="616.90022/3"/>
    <d v="2012-01-03T00:00:00"/>
  </r>
  <r>
    <x v="4109"/>
    <d v="1899-12-30T00:07:39"/>
    <x v="13"/>
    <x v="0"/>
    <s v="Buffalo"/>
    <x v="73"/>
    <n v="1119505"/>
    <x v="0"/>
    <s v="Science: Chemistry; Science"/>
    <s v="9781118355015"/>
    <s v=",1,2,3,128,129,130,126,127,142,143,144,140,141,145,146,147,148"/>
    <n v="17"/>
    <m/>
    <m/>
    <s v="No"/>
    <x v="0"/>
    <d v="2015-11-06T16:36:29"/>
    <n v="7"/>
    <s v="128.205.114.91"/>
    <s v="QD251.3 -- .S38 2013eb"/>
    <s v="547/.128"/>
    <d v="2013-01-28T00:00:00"/>
  </r>
  <r>
    <x v="4110"/>
    <d v="1899-12-30T00:01:57"/>
    <x v="13"/>
    <x v="0"/>
    <s v="Buffalo"/>
    <x v="1052"/>
    <n v="2058089"/>
    <x v="1"/>
    <s v="Social Science"/>
    <s v="9781472455406"/>
    <s v=",1,1,2,2,3,3,2,2,4,4,5,5,6,6,7,7,8,8,9,9,10,10,11,11,12,12,13,13,14,14,15,15,16,17,16,17,18,18,19,19"/>
    <n v="19"/>
    <m/>
    <m/>
    <s v="No"/>
    <x v="3"/>
    <m/>
    <m/>
    <s v="128.205.114.91"/>
    <s v="HN400.S6 .S384 2015"/>
    <s v="305.50941; 305.896''073"/>
    <d v="2015-07-28T00:00:00"/>
  </r>
  <r>
    <x v="4111"/>
    <d v="1899-12-30T00:00:05"/>
    <x v="13"/>
    <x v="0"/>
    <s v="Buffalo"/>
    <x v="1052"/>
    <n v="2058089"/>
    <x v="1"/>
    <s v="Social Science"/>
    <s v="9781472455406"/>
    <s v=",1,2,1,3,2,3,1"/>
    <n v="3"/>
    <m/>
    <m/>
    <s v="No"/>
    <x v="3"/>
    <m/>
    <m/>
    <s v="128.205.114.91"/>
    <s v="HN400.S6 .S384 2015"/>
    <s v="305.50941; 305.896''073"/>
    <d v="2015-07-28T00:00:00"/>
  </r>
  <r>
    <x v="4112"/>
    <d v="1899-12-30T00:04:33"/>
    <x v="1075"/>
    <x v="4"/>
    <s v="monroe2boces"/>
    <x v="1024"/>
    <n v="834631"/>
    <x v="0"/>
    <s v="Medicine"/>
    <s v="9781444354669"/>
    <s v=",1,3,2,136,133,134,132,137,138,139,140,135,141,135,134,133,138"/>
    <n v="13"/>
    <m/>
    <s v=",104,105,104,105,135,136"/>
    <s v="No"/>
    <x v="0"/>
    <d v="2015-11-09T13:04:12"/>
    <n v="7"/>
    <s v="216.226.127.171"/>
    <s v="RC113.2 -- .A85 2012eb"/>
    <s v="616.90022/3"/>
    <d v="2012-01-03T00:00:00"/>
  </r>
  <r>
    <x v="4113"/>
    <d v="1899-12-30T00:00:04"/>
    <x v="1100"/>
    <x v="0"/>
    <s v="Buffalo"/>
    <x v="1053"/>
    <n v="1788961"/>
    <x v="4"/>
    <s v="Education"/>
    <s v="9781462519514"/>
    <s v=",1,2,3"/>
    <n v="3"/>
    <m/>
    <s v=",15,16,17,18,19,20"/>
    <s v="No"/>
    <x v="2"/>
    <d v="2015-11-08T19:48:07"/>
    <n v="1"/>
    <s v="128.205.114.91"/>
    <s v="LB3013 -- .S566 2015eb"/>
    <n v="371.10239999999999"/>
    <d v="2015-01-02T00:00:00"/>
  </r>
  <r>
    <x v="4114"/>
    <d v="1899-12-30T00:02:30"/>
    <x v="1101"/>
    <x v="1"/>
    <s v="brockport"/>
    <x v="1054"/>
    <n v="1580785"/>
    <x v="0"/>
    <s v="Business/Management"/>
    <s v="9781118756263"/>
    <s v=",1,2,3,9,8,6,4,5,324,325,326,322,323,327"/>
    <n v="14"/>
    <m/>
    <m/>
    <s v="No"/>
    <x v="3"/>
    <m/>
    <m/>
    <s v="137.21.7.121"/>
    <s v="HF5549.5 -- .K45 2014eb"/>
    <n v="658.31399999999996"/>
    <d v="2013-12-13T00:00:00"/>
  </r>
  <r>
    <x v="4115"/>
    <d v="1899-12-30T00:00:00"/>
    <x v="1075"/>
    <x v="4"/>
    <s v="monroe2boces"/>
    <x v="1024"/>
    <n v="834631"/>
    <x v="0"/>
    <s v="Medicine"/>
    <s v="9781444354669"/>
    <m/>
    <n v="0"/>
    <m/>
    <s v=",276,276"/>
    <s v="No"/>
    <x v="0"/>
    <d v="2015-11-09T13:04:12"/>
    <n v="7"/>
    <s v="216.226.127.171"/>
    <s v="RC113.2 -- .A85 2012eb"/>
    <s v="616.90022/3"/>
    <d v="2012-01-03T00:00:00"/>
  </r>
  <r>
    <x v="4116"/>
    <d v="1899-12-30T00:02:25"/>
    <x v="1075"/>
    <x v="4"/>
    <s v="monroe2boces"/>
    <x v="1024"/>
    <n v="834631"/>
    <x v="0"/>
    <s v="Medicine"/>
    <s v="9781444354669"/>
    <s v=",1,2,3,266,267,268,264,265,44,45,46,42,43,276,277,278,274,275,279,276,277,273,274,278"/>
    <n v="20"/>
    <m/>
    <m/>
    <s v="No"/>
    <x v="1"/>
    <m/>
    <m/>
    <s v="216.226.127.171"/>
    <s v="RC113.2 -- .A85 2012eb"/>
    <s v="616.90022/3"/>
    <d v="2012-01-03T00:00:00"/>
  </r>
  <r>
    <x v="4117"/>
    <d v="1899-12-30T00:01:59"/>
    <x v="1075"/>
    <x v="4"/>
    <s v="monroe2boces"/>
    <x v="1024"/>
    <n v="834631"/>
    <x v="0"/>
    <s v="Medicine"/>
    <s v="9781444354669"/>
    <s v=",2,1,3,268,264"/>
    <n v="5"/>
    <m/>
    <m/>
    <s v="No"/>
    <x v="1"/>
    <m/>
    <m/>
    <s v="216.226.127.171"/>
    <s v="RC113.2 -- .A85 2012eb"/>
    <s v="616.90022/3"/>
    <d v="2012-01-03T00:00:00"/>
  </r>
  <r>
    <x v="4118"/>
    <d v="1899-12-30T00:04:08"/>
    <x v="1075"/>
    <x v="4"/>
    <s v="monroe2boces"/>
    <x v="1024"/>
    <n v="834631"/>
    <x v="0"/>
    <s v="Medicine"/>
    <s v="9781444354669"/>
    <s v=",1,2,3,276,274,306,307,308,304,309,310,311,44,45,46,42,266,267,268,264,265"/>
    <n v="21"/>
    <m/>
    <m/>
    <s v="No"/>
    <x v="1"/>
    <m/>
    <m/>
    <s v="216.226.127.171"/>
    <s v="RC113.2 -- .A85 2012eb"/>
    <s v="616.90022/3"/>
    <d v="2012-01-03T00:00:00"/>
  </r>
  <r>
    <x v="4119"/>
    <d v="1899-12-30T00:00:03"/>
    <x v="1099"/>
    <x v="0"/>
    <s v="Buffalo"/>
    <x v="754"/>
    <n v="818332"/>
    <x v="0"/>
    <s v="Social Science"/>
    <s v="9781118252772"/>
    <s v=",1,2,3"/>
    <n v="3"/>
    <m/>
    <m/>
    <s v="No"/>
    <x v="1"/>
    <m/>
    <m/>
    <s v="128.205.114.91"/>
    <s v="GN419.3 -- .T375 2012eb"/>
    <s v="391.6/5"/>
    <d v="2012-02-21T00:00:00"/>
  </r>
  <r>
    <x v="4120"/>
    <d v="1899-12-30T00:00:21"/>
    <x v="1084"/>
    <x v="12"/>
    <s v="potsdam"/>
    <x v="1031"/>
    <n v="3038775"/>
    <x v="11"/>
    <s v="Library Science; Social Science"/>
    <s v="9780226206981"/>
    <s v=",1,2,3,1"/>
    <n v="3"/>
    <m/>
    <m/>
    <s v="No"/>
    <x v="3"/>
    <m/>
    <m/>
    <s v="137.143.104.94"/>
    <s v="ZA4045 -- .E266 2015eb"/>
    <s v="302.23/1"/>
    <d v="2015-05-01T00:00:00"/>
  </r>
  <r>
    <x v="4121"/>
    <d v="1899-12-30T00:00:23"/>
    <x v="1099"/>
    <x v="0"/>
    <s v="Buffalo"/>
    <x v="754"/>
    <n v="818332"/>
    <x v="0"/>
    <s v="Social Science"/>
    <s v="9781118252772"/>
    <s v=",1,2,3,4,5,6,7,8,9,10,11,12,13,14"/>
    <n v="14"/>
    <m/>
    <m/>
    <s v="No"/>
    <x v="1"/>
    <m/>
    <m/>
    <s v="128.205.114.91"/>
    <s v="GN419.3 -- .T375 2012eb"/>
    <s v="391.6/5"/>
    <d v="2012-02-21T00:00:00"/>
  </r>
  <r>
    <x v="4122"/>
    <d v="1899-12-30T00:00:00"/>
    <x v="13"/>
    <x v="0"/>
    <s v="Buffalo"/>
    <x v="161"/>
    <n v="821663"/>
    <x v="0"/>
    <s v="Architecture"/>
    <s v="9781118168479"/>
    <m/>
    <n v="0"/>
    <m/>
    <s v=",295,296,297,298,299,300,301,302,303,304,305,306,307,308,309,310,311,312,313,314,315,316,317,318,319,320,321,322,323,324,325,326"/>
    <s v="No"/>
    <x v="0"/>
    <d v="2015-11-09T06:11:26"/>
    <n v="7"/>
    <s v="128.205.114.91"/>
    <s v="NA2547 -- .S74 2012eb"/>
    <n v="729"/>
    <d v="2012-03-05T00:00:00"/>
  </r>
  <r>
    <x v="4123"/>
    <d v="1899-12-30T00:01:23"/>
    <x v="867"/>
    <x v="13"/>
    <s v="buffalostate"/>
    <x v="868"/>
    <n v="1650364"/>
    <x v="3"/>
    <s v="Social Science; Religion"/>
    <s v="9780520958272"/>
    <s v=",16,17,18,19,20,21,22,23,24,25"/>
    <n v="10"/>
    <m/>
    <m/>
    <s v="No"/>
    <x v="2"/>
    <d v="2015-11-09T05:37:26"/>
    <n v="1"/>
    <s v="136.183.11.43"/>
    <s v="HQ767.3 -- .M56 2014eb"/>
    <s v="241/.6976"/>
    <d v="2014-05-20T00:00:00"/>
  </r>
  <r>
    <x v="4124"/>
    <d v="1899-12-30T00:01:08"/>
    <x v="867"/>
    <x v="13"/>
    <s v="buffalostate"/>
    <x v="868"/>
    <n v="1650364"/>
    <x v="3"/>
    <s v="Social Science; Religion"/>
    <s v="9780520958272"/>
    <s v=",1,2,3,4,5,6,7,8,9,10,11,12,13,14,15"/>
    <n v="15"/>
    <m/>
    <m/>
    <s v="No"/>
    <x v="3"/>
    <m/>
    <m/>
    <s v="136.183.11.43"/>
    <s v="HQ767.3 -- .M56 2014eb"/>
    <s v="241/.6976"/>
    <d v="2014-05-20T00:00:00"/>
  </r>
  <r>
    <x v="4125"/>
    <d v="1899-12-30T00:00:03"/>
    <x v="867"/>
    <x v="13"/>
    <s v="buffalostate"/>
    <x v="868"/>
    <n v="1650364"/>
    <x v="3"/>
    <s v="Social Science; Religion"/>
    <s v="9780520958272"/>
    <s v=",1,2,3"/>
    <n v="3"/>
    <m/>
    <m/>
    <s v="No"/>
    <x v="3"/>
    <m/>
    <m/>
    <s v="136.183.11.43"/>
    <s v="HQ767.3 -- .M56 2014eb"/>
    <s v="241/.6976"/>
    <d v="2014-05-20T00:00:00"/>
  </r>
  <r>
    <x v="4126"/>
    <d v="1899-12-30T00:02:48"/>
    <x v="440"/>
    <x v="0"/>
    <s v="Buffalo"/>
    <x v="473"/>
    <n v="836624"/>
    <x v="0"/>
    <s v="Literature; Fine Arts"/>
    <s v="9781118346686"/>
    <s v=",1,104,105,106,102,103,2,107,108,109,110,29,30,31,28,27,32"/>
    <n v="17"/>
    <m/>
    <m/>
    <s v="No"/>
    <x v="0"/>
    <d v="2015-11-09T01:21:53"/>
    <n v="7"/>
    <s v="128.205.114.91"/>
    <s v="PN6727.K586 W39 2012"/>
    <n v="741.59730000000002"/>
    <d v="2012-03-01T00:00:00"/>
  </r>
  <r>
    <x v="4127"/>
    <d v="1899-12-30T01:30:53"/>
    <x v="13"/>
    <x v="0"/>
    <s v="Buffalo"/>
    <x v="161"/>
    <n v="821663"/>
    <x v="0"/>
    <s v="Architecture"/>
    <s v="9781118168479"/>
    <s v=",1,2,3,295,297,294,296,293,298"/>
    <n v="9"/>
    <m/>
    <m/>
    <s v="No"/>
    <x v="1"/>
    <m/>
    <m/>
    <s v="128.205.114.91"/>
    <s v="NA2547 -- .S74 2012eb"/>
    <n v="729"/>
    <d v="2012-03-05T00:00:00"/>
  </r>
  <r>
    <x v="4128"/>
    <d v="1899-12-30T00:04:21"/>
    <x v="1081"/>
    <x v="7"/>
    <s v="oneonta"/>
    <x v="414"/>
    <n v="1143522"/>
    <x v="0"/>
    <s v="History"/>
    <s v="9781118257197"/>
    <s v=",1,2,3,183,184,185,181,182,186,184"/>
    <n v="9"/>
    <s v=",184"/>
    <m/>
    <s v="No"/>
    <x v="0"/>
    <d v="2015-11-04T00:30:55"/>
    <n v="7"/>
    <s v="137.141.13.2"/>
    <s v="F1219.73 .S58 2013"/>
    <n v="972"/>
    <d v="2013-03-01T00:00:00"/>
  </r>
  <r>
    <x v="4129"/>
    <d v="1899-12-30T00:01:25"/>
    <x v="828"/>
    <x v="9"/>
    <s v="trocaire"/>
    <x v="79"/>
    <n v="1757960"/>
    <x v="0"/>
    <s v="Medicine"/>
    <s v="9781118780770"/>
    <s v=",1,2,3,4,5,6,7,8,9,10,11,12"/>
    <n v="12"/>
    <m/>
    <m/>
    <s v="No"/>
    <x v="1"/>
    <m/>
    <m/>
    <s v="173.225.62.67"/>
    <s v="RC537 -- .A236 2014eb"/>
    <s v="616.85/27"/>
    <d v="2014-07-30T00:00:00"/>
  </r>
  <r>
    <x v="4130"/>
    <d v="1899-12-30T00:00:17"/>
    <x v="828"/>
    <x v="9"/>
    <s v="trocaire"/>
    <x v="669"/>
    <n v="1742841"/>
    <x v="4"/>
    <s v="Medicine"/>
    <s v="9781462516445"/>
    <s v=",1,2,3,17,18,19,15,16"/>
    <n v="8"/>
    <m/>
    <m/>
    <s v="No"/>
    <x v="0"/>
    <d v="2015-11-02T03:59:47"/>
    <n v="7"/>
    <s v="173.225.62.67"/>
    <s v="RC537 -- .H3376 2014eb"/>
    <n v="616.85270000000003"/>
    <d v="2014-10-22T00:00:00"/>
  </r>
  <r>
    <x v="4131"/>
    <d v="1899-12-30T00:00:00"/>
    <x v="773"/>
    <x v="5"/>
    <s v="erie"/>
    <x v="642"/>
    <n v="918746"/>
    <x v="15"/>
    <s v="Fine Arts"/>
    <s v="9780826441850"/>
    <m/>
    <n v="0"/>
    <m/>
    <m/>
    <s v="Yes"/>
    <x v="0"/>
    <d v="2015-11-09T03:48:59"/>
    <n v="7"/>
    <s v="199.29.6.54"/>
    <s v="PN1992.8.R43 -- E84 2012eb"/>
    <n v="791.45749999999998"/>
    <d v="2012-07-01T00:00:00"/>
  </r>
  <r>
    <x v="4131"/>
    <d v="1899-12-30T00:00:00"/>
    <x v="773"/>
    <x v="5"/>
    <s v="erie"/>
    <x v="642"/>
    <n v="918746"/>
    <x v="15"/>
    <s v="Fine Arts"/>
    <s v="9780826441850"/>
    <m/>
    <n v="0"/>
    <m/>
    <m/>
    <s v="No"/>
    <x v="0"/>
    <d v="2015-11-09T03:48:59"/>
    <n v="7"/>
    <s v="199.29.6.54"/>
    <s v="PN1992.8.R43 -- E84 2012eb"/>
    <n v="791.45749999999998"/>
    <d v="2012-07-01T00:00:00"/>
  </r>
  <r>
    <x v="4132"/>
    <d v="1899-12-30T00:00:43"/>
    <x v="773"/>
    <x v="5"/>
    <s v="erie"/>
    <x v="642"/>
    <n v="918746"/>
    <x v="15"/>
    <s v="Fine Arts"/>
    <s v="9780826441850"/>
    <s v=",1,2,3,4,5,6,7,8,9,10,11,12,208,209,210,206,207"/>
    <n v="17"/>
    <m/>
    <m/>
    <s v="No"/>
    <x v="1"/>
    <m/>
    <m/>
    <s v="199.29.6.54"/>
    <s v="PN1992.8.R43 -- E84 2012eb"/>
    <n v="791.45749999999998"/>
    <d v="2012-07-01T00:00:00"/>
  </r>
  <r>
    <x v="4133"/>
    <d v="1899-12-30T00:00:00"/>
    <x v="752"/>
    <x v="1"/>
    <s v="brockport"/>
    <x v="231"/>
    <n v="1779911"/>
    <x v="16"/>
    <s v="Business/Management"/>
    <s v="9781137313256"/>
    <s v=",250"/>
    <n v="1"/>
    <s v=",247,247"/>
    <m/>
    <s v="No"/>
    <x v="0"/>
    <d v="2015-11-09T03:28:41"/>
    <n v="7"/>
    <s v="137.21.7.121"/>
    <s v="HF5415.32 -- .A384 2014eb"/>
    <n v="659.10829999999999"/>
    <d v="2014-08-29T00:00:00"/>
  </r>
  <r>
    <x v="4134"/>
    <d v="1899-12-30T00:01:56"/>
    <x v="1046"/>
    <x v="12"/>
    <s v="potsdam"/>
    <x v="988"/>
    <n v="1983497"/>
    <x v="0"/>
    <s v="Social Science"/>
    <s v="9780745689395"/>
    <s v=",1,2,3,217,218,219,215,216,220,221,222"/>
    <n v="11"/>
    <m/>
    <m/>
    <s v="No"/>
    <x v="0"/>
    <d v="2015-11-05T06:39:36"/>
    <n v="7"/>
    <s v="137.143.104.94"/>
    <s v="GT525"/>
    <n v="391.6"/>
    <d v="2015-03-03T00:00:00"/>
  </r>
  <r>
    <x v="4135"/>
    <d v="1899-12-30T00:00:00"/>
    <x v="940"/>
    <x v="0"/>
    <s v="Buffalo"/>
    <x v="223"/>
    <n v="1777859"/>
    <x v="4"/>
    <s v="Medicine"/>
    <s v="9781462515479"/>
    <m/>
    <n v="0"/>
    <m/>
    <m/>
    <s v="No"/>
    <x v="2"/>
    <d v="2015-11-09T02:56:33"/>
    <n v="1"/>
    <s v="128.205.114.91"/>
    <s v="RC489.B4 -- .R36 2015eb"/>
    <s v="616.89/142"/>
    <d v="2014-11-10T00:00:00"/>
  </r>
  <r>
    <x v="4136"/>
    <d v="1899-12-30T00:00:59"/>
    <x v="940"/>
    <x v="0"/>
    <s v="Buffalo"/>
    <x v="223"/>
    <n v="1777859"/>
    <x v="4"/>
    <s v="Medicine"/>
    <s v="9781462515479"/>
    <s v=",1,2,3,1"/>
    <n v="3"/>
    <m/>
    <m/>
    <s v="No"/>
    <x v="3"/>
    <m/>
    <m/>
    <s v="128.205.114.91"/>
    <s v="RC489.B4 -- .R36 2015eb"/>
    <s v="616.89/142"/>
    <d v="2014-11-10T00:00:00"/>
  </r>
  <r>
    <x v="4137"/>
    <d v="1899-12-30T00:00:53"/>
    <x v="1102"/>
    <x v="7"/>
    <s v="oneonta"/>
    <x v="232"/>
    <n v="822111"/>
    <x v="0"/>
    <s v="Social Science"/>
    <s v="9781444356922"/>
    <s v=",1,132,133,134,130,131,2,135"/>
    <n v="8"/>
    <m/>
    <m/>
    <s v="No"/>
    <x v="1"/>
    <m/>
    <m/>
    <s v="137.141.13.2"/>
    <s v="HV6773 -- .K69 2012eb"/>
    <s v="302.34/3"/>
    <d v="2012-02-16T00:00:00"/>
  </r>
  <r>
    <x v="4138"/>
    <d v="1899-12-30T00:01:57"/>
    <x v="1103"/>
    <x v="9"/>
    <s v="trocaire"/>
    <x v="684"/>
    <n v="1120621"/>
    <x v="0"/>
    <s v="Education"/>
    <s v="9781118362679"/>
    <s v=",1,2,3,136,137,138,134,135,139,140,141"/>
    <n v="11"/>
    <m/>
    <m/>
    <s v="No"/>
    <x v="0"/>
    <d v="2015-11-07T21:56:58"/>
    <n v="7"/>
    <s v="173.225.62.67"/>
    <s v="LB3013.3 .R59 2012"/>
    <s v="371.5/8; 371.58"/>
    <d v="2012-08-15T00:00:00"/>
  </r>
  <r>
    <x v="4139"/>
    <d v="1899-12-30T00:05:45"/>
    <x v="828"/>
    <x v="9"/>
    <s v="trocaire"/>
    <x v="244"/>
    <n v="848510"/>
    <x v="0"/>
    <s v="Medicine"/>
    <s v="9781118220481"/>
    <s v=",1,2,3,4,5,6,7,8,9,10"/>
    <n v="10"/>
    <m/>
    <m/>
    <s v="No"/>
    <x v="0"/>
    <d v="2015-11-04T05:00:15"/>
    <n v="7"/>
    <s v="173.225.62.67"/>
    <s v="RC489.C63 -- C64 2012eb"/>
    <s v="616.89/1425"/>
    <d v="2012-06-06T00:00:00"/>
  </r>
  <r>
    <x v="4140"/>
    <d v="1899-12-30T00:35:05"/>
    <x v="1104"/>
    <x v="0"/>
    <s v="Buffalo"/>
    <x v="1055"/>
    <n v="1644382"/>
    <x v="3"/>
    <s v="Agriculture"/>
    <s v="9780520957053"/>
    <s v=",448,449,450,445,451,452"/>
    <n v="6"/>
    <m/>
    <m/>
    <s v="No"/>
    <x v="2"/>
    <d v="2015-11-09T02:40:02"/>
    <n v="1"/>
    <s v="128.205.114.91"/>
    <s v="SB398.28 -- .D34 2014eb"/>
    <n v="634.80944999999997"/>
    <d v="2014-05-16T00:00:00"/>
  </r>
  <r>
    <x v="4141"/>
    <d v="1899-12-30T00:58:55"/>
    <x v="752"/>
    <x v="1"/>
    <s v="brockport"/>
    <x v="231"/>
    <n v="1779911"/>
    <x v="16"/>
    <s v="Business/Management"/>
    <s v="9781137313256"/>
    <s v=",1,2,3,247,248,249,245,246"/>
    <n v="8"/>
    <m/>
    <m/>
    <s v="No"/>
    <x v="1"/>
    <m/>
    <m/>
    <s v="137.21.7.121"/>
    <s v="HF5415.32 -- .A384 2014eb"/>
    <n v="659.10829999999999"/>
    <d v="2014-08-29T00:00:00"/>
  </r>
  <r>
    <x v="4142"/>
    <d v="1899-12-30T00:12:03"/>
    <x v="1104"/>
    <x v="0"/>
    <s v="Buffalo"/>
    <x v="1055"/>
    <n v="1644382"/>
    <x v="3"/>
    <s v="Agriculture"/>
    <s v="9780520957053"/>
    <s v=",1,2,3,4,5,6,1,2,3,445,446,447,443,444,442,441"/>
    <n v="13"/>
    <m/>
    <m/>
    <s v="No"/>
    <x v="3"/>
    <m/>
    <m/>
    <s v="128.205.114.91"/>
    <s v="SB398.28 -- .D34 2014eb"/>
    <n v="634.80944999999997"/>
    <d v="2014-05-16T00:00:00"/>
  </r>
  <r>
    <x v="4143"/>
    <d v="1899-12-30T00:02:50"/>
    <x v="1103"/>
    <x v="9"/>
    <s v="trocaire"/>
    <x v="684"/>
    <n v="1120621"/>
    <x v="0"/>
    <s v="Education"/>
    <s v="9781118362679"/>
    <s v=",1,2,3,4,5,6,7,8"/>
    <n v="8"/>
    <m/>
    <m/>
    <s v="No"/>
    <x v="0"/>
    <d v="2015-11-07T21:56:58"/>
    <n v="7"/>
    <s v="173.225.62.67"/>
    <s v="LB3013.3 .R59 2012"/>
    <s v="371.5/8; 371.58"/>
    <d v="2012-08-15T00:00:00"/>
  </r>
  <r>
    <x v="4144"/>
    <d v="1899-12-30T00:03:45"/>
    <x v="867"/>
    <x v="13"/>
    <s v="buffalostate"/>
    <x v="868"/>
    <n v="1650364"/>
    <x v="3"/>
    <s v="Social Science; Religion"/>
    <s v="9780520958272"/>
    <s v=",1,2,3,4,5,6,7,8,9,10,11,12,13,14,15"/>
    <n v="15"/>
    <m/>
    <m/>
    <s v="No"/>
    <x v="3"/>
    <m/>
    <m/>
    <s v="136.183.11.43"/>
    <s v="HQ767.3 -- .M56 2014eb"/>
    <s v="241/.6976"/>
    <d v="2014-05-20T00:00:00"/>
  </r>
  <r>
    <x v="4145"/>
    <d v="1899-12-30T00:02:14"/>
    <x v="1105"/>
    <x v="1"/>
    <s v="brockport"/>
    <x v="1056"/>
    <n v="1603259"/>
    <x v="0"/>
    <s v="Business/Management; Economics"/>
    <s v="9780745682396"/>
    <s v=",1,2,3,4,8,11,9,12,13,14,10,15,16,17,18,19,20,21,22,23,24,43,44,45,41,42,46,49,47,48,50,51,158,159,160,156,157"/>
    <n v="37"/>
    <m/>
    <m/>
    <s v="No"/>
    <x v="3"/>
    <m/>
    <m/>
    <s v="137.21.7.121"/>
    <s v="HD6508 -- .L83 2014eb"/>
    <n v="331.88"/>
    <d v="2014-04-10T00:00:00"/>
  </r>
  <r>
    <x v="4146"/>
    <d v="1899-12-30T00:06:52"/>
    <x v="1103"/>
    <x v="9"/>
    <s v="trocaire"/>
    <x v="1057"/>
    <n v="332602"/>
    <x v="0"/>
    <s v="Education"/>
    <s v="9780631227885"/>
    <s v=",1,2,3,4,5,6,7,8,9,10,11,12"/>
    <n v="12"/>
    <m/>
    <m/>
    <s v="No"/>
    <x v="0"/>
    <d v="2015-11-02T20:50:12"/>
    <n v="7"/>
    <s v="173.225.62.67"/>
    <s v="LB1124 -- .O48 1993eb"/>
    <s v="371.5/8"/>
    <d v="2013-05-30T00:00:00"/>
  </r>
  <r>
    <x v="4147"/>
    <d v="1899-12-30T00:00:05"/>
    <x v="454"/>
    <x v="5"/>
    <s v="erie"/>
    <x v="1058"/>
    <n v="2073211"/>
    <x v="5"/>
    <s v="Social Science"/>
    <s v="9780814785997"/>
    <s v=",1,2,3"/>
    <n v="3"/>
    <m/>
    <m/>
    <s v="No"/>
    <x v="3"/>
    <m/>
    <m/>
    <s v="199.29.6.54"/>
    <s v="HQ1206 .T4676 2015"/>
    <s v="306.4/613"/>
    <d v="2015-07-24T00:00:00"/>
  </r>
  <r>
    <x v="4148"/>
    <d v="1899-12-30T00:50:48"/>
    <x v="912"/>
    <x v="12"/>
    <s v="potsdam"/>
    <x v="719"/>
    <n v="771074"/>
    <x v="18"/>
    <s v="Medicine; Pharmacy; Social Science; Health"/>
    <s v="9780761499732"/>
    <s v=",190,191,192,230,234,236,280,282,283,300,300,29,29,51"/>
    <n v="12"/>
    <m/>
    <m/>
    <s v="No"/>
    <x v="0"/>
    <d v="2015-11-09T01:36:03"/>
    <n v="7"/>
    <s v="137.143.104.94"/>
    <s v="RM301.17 .K567 2012"/>
    <s v="362.29; 615.1"/>
    <d v="2012-01-01T00:00:00"/>
  </r>
  <r>
    <x v="4149"/>
    <d v="1899-12-30T00:00:37"/>
    <x v="867"/>
    <x v="13"/>
    <s v="buffalostate"/>
    <x v="868"/>
    <n v="1650364"/>
    <x v="3"/>
    <s v="Social Science; Religion"/>
    <s v="9780520958272"/>
    <s v=",1,2,3,37,40,36,35,33,34,30,29,31,27,28"/>
    <n v="14"/>
    <m/>
    <m/>
    <s v="No"/>
    <x v="3"/>
    <m/>
    <m/>
    <s v="136.183.11.43"/>
    <s v="HQ767.3 -- .M56 2014eb"/>
    <s v="241/.6976"/>
    <d v="2014-05-20T00:00:00"/>
  </r>
  <r>
    <x v="4150"/>
    <d v="1899-12-30T00:00:49"/>
    <x v="828"/>
    <x v="9"/>
    <s v="trocaire"/>
    <x v="79"/>
    <n v="1757960"/>
    <x v="0"/>
    <s v="Medicine"/>
    <s v="9781118780770"/>
    <s v=",1,2,3,4,5,6,7,8,9,10,11"/>
    <n v="11"/>
    <m/>
    <m/>
    <s v="No"/>
    <x v="0"/>
    <d v="2015-11-02T02:01:33"/>
    <n v="7"/>
    <s v="173.225.62.67"/>
    <s v="RC537 -- .A236 2014eb"/>
    <s v="616.85/27"/>
    <d v="2014-07-30T00:00:00"/>
  </r>
  <r>
    <x v="4151"/>
    <d v="1899-12-30T00:10:51"/>
    <x v="912"/>
    <x v="12"/>
    <s v="potsdam"/>
    <x v="719"/>
    <n v="771074"/>
    <x v="18"/>
    <s v="Medicine; Pharmacy; Social Science; Health"/>
    <s v="9780761499732"/>
    <s v=",1,2,3,4,5,6,7,87,88,89,85,86,84,126,127,128,124,125,129,130,131,187,188,189,185,186"/>
    <n v="26"/>
    <m/>
    <m/>
    <s v="No"/>
    <x v="1"/>
    <m/>
    <m/>
    <s v="137.143.104.94"/>
    <s v="RM301.17 .K567 2012"/>
    <s v="362.29; 615.1"/>
    <d v="2012-01-01T00:00:00"/>
  </r>
  <r>
    <x v="4152"/>
    <d v="1899-12-30T00:05:25"/>
    <x v="440"/>
    <x v="0"/>
    <s v="Buffalo"/>
    <x v="473"/>
    <n v="836624"/>
    <x v="0"/>
    <s v="Literature; Fine Arts"/>
    <s v="9781118346686"/>
    <s v=",41,42,43,44,73,74,75,71,72,76,77,78,79"/>
    <n v="13"/>
    <m/>
    <m/>
    <s v="No"/>
    <x v="0"/>
    <d v="2015-11-09T01:22:57"/>
    <n v="7"/>
    <s v="128.205.114.91"/>
    <s v="PN6727.K586 W39 2012"/>
    <n v="741.59730000000002"/>
    <d v="2012-03-01T00:00:00"/>
  </r>
  <r>
    <x v="4153"/>
    <d v="1899-12-30T00:00:04"/>
    <x v="670"/>
    <x v="9"/>
    <s v="trocaire"/>
    <x v="696"/>
    <n v="918742"/>
    <x v="15"/>
    <s v="Social Science"/>
    <s v="9781441130525"/>
    <s v=",1,2,3"/>
    <n v="3"/>
    <m/>
    <m/>
    <s v="No"/>
    <x v="1"/>
    <m/>
    <m/>
    <s v="173.225.62.67"/>
    <s v="HV7436 -- .F58 2012eb"/>
    <n v="363.33097299999997"/>
    <d v="2012-06-01T00:00:00"/>
  </r>
  <r>
    <x v="4154"/>
    <d v="1899-12-30T00:00:07"/>
    <x v="440"/>
    <x v="0"/>
    <s v="Buffalo"/>
    <x v="473"/>
    <n v="836624"/>
    <x v="0"/>
    <s v="Literature; Fine Arts"/>
    <s v="9781118346686"/>
    <s v=",34,35"/>
    <n v="2"/>
    <m/>
    <m/>
    <s v="No"/>
    <x v="0"/>
    <d v="2015-11-09T01:21:53"/>
    <n v="7"/>
    <s v="128.205.114.91"/>
    <s v="PN6727.K586 W39 2012"/>
    <n v="741.59730000000002"/>
    <d v="2012-03-01T00:00:00"/>
  </r>
  <r>
    <x v="4154"/>
    <d v="1899-12-30T01:04:25"/>
    <x v="1106"/>
    <x v="1"/>
    <s v="brockport"/>
    <x v="1059"/>
    <n v="1715160"/>
    <x v="3"/>
    <s v="Social Science"/>
    <s v="9780520959835"/>
    <s v=",18,20,19,17,16,21,22"/>
    <n v="7"/>
    <m/>
    <m/>
    <s v="No"/>
    <x v="2"/>
    <d v="2015-11-09T01:21:52"/>
    <n v="1"/>
    <s v="137.21.7.121"/>
    <s v="HV9475.C2 -- .C295 2015eb"/>
    <s v="365/.64"/>
    <d v="2014-12-12T00:00:00"/>
  </r>
  <r>
    <x v="4155"/>
    <d v="1899-12-30T00:07:26"/>
    <x v="440"/>
    <x v="0"/>
    <s v="Buffalo"/>
    <x v="473"/>
    <n v="836624"/>
    <x v="0"/>
    <s v="Literature; Fine Arts"/>
    <s v="9781118346686"/>
    <s v=",1,38,39,40,36,37,2"/>
    <n v="7"/>
    <m/>
    <m/>
    <s v="No"/>
    <x v="1"/>
    <m/>
    <m/>
    <s v="128.205.114.91"/>
    <s v="PN6727.K586 W39 2012"/>
    <n v="741.59730000000002"/>
    <d v="2012-03-01T00:00:00"/>
  </r>
  <r>
    <x v="4156"/>
    <d v="1899-12-30T00:06:28"/>
    <x v="440"/>
    <x v="0"/>
    <s v="Buffalo"/>
    <x v="473"/>
    <n v="836624"/>
    <x v="0"/>
    <s v="Literature; Fine Arts"/>
    <s v="9781118346686"/>
    <s v=",1,29,30,31,27,28,2,32,33"/>
    <n v="9"/>
    <m/>
    <m/>
    <s v="No"/>
    <x v="1"/>
    <m/>
    <m/>
    <s v="128.205.114.91"/>
    <s v="PN6727.K586 W39 2012"/>
    <n v="741.59730000000002"/>
    <d v="2012-03-01T00:00:00"/>
  </r>
  <r>
    <x v="4157"/>
    <d v="1899-12-30T00:03:14"/>
    <x v="440"/>
    <x v="0"/>
    <s v="Buffalo"/>
    <x v="473"/>
    <n v="836624"/>
    <x v="0"/>
    <s v="Literature; Fine Arts"/>
    <s v="9781118346686"/>
    <s v=",1,21,22,23,19,20,2,24,25,26"/>
    <n v="10"/>
    <m/>
    <m/>
    <s v="No"/>
    <x v="1"/>
    <m/>
    <m/>
    <s v="128.205.114.91"/>
    <s v="PN6727.K586 W39 2012"/>
    <n v="741.59730000000002"/>
    <d v="2012-03-01T00:00:00"/>
  </r>
  <r>
    <x v="4158"/>
    <d v="1899-12-30T00:11:53"/>
    <x v="13"/>
    <x v="0"/>
    <s v="Buffalo"/>
    <x v="582"/>
    <n v="817432"/>
    <x v="0"/>
    <s v="Fine Arts"/>
    <s v="9781118169261"/>
    <s v=",117,118,119,120,121,122,123,129,130,131,127,128,132,133,134,135,136,137,138,139,140,141,142,143,144,150,151,152,148,149,153,154,155,156,157,158,159,160,161,162,163,164,165,166,167,168,169,170,171,172,173"/>
    <n v="51"/>
    <m/>
    <m/>
    <s v="No"/>
    <x v="0"/>
    <d v="2015-11-09T01:12:38"/>
    <n v="7"/>
    <s v="128.205.114.91"/>
    <s v="MT6 -- .P55 2012eb"/>
    <n v="781"/>
    <d v="2011-10-18T00:00:00"/>
  </r>
  <r>
    <x v="4159"/>
    <d v="1899-12-30T00:09:29"/>
    <x v="1106"/>
    <x v="1"/>
    <s v="brockport"/>
    <x v="1059"/>
    <n v="1715160"/>
    <x v="3"/>
    <s v="Social Science"/>
    <s v="9780520959835"/>
    <s v=",1,2,3"/>
    <n v="3"/>
    <m/>
    <m/>
    <s v="No"/>
    <x v="3"/>
    <m/>
    <m/>
    <s v="137.21.7.121"/>
    <s v="HV9475.C2 -- .C295 2015eb"/>
    <s v="365/.64"/>
    <d v="2014-12-12T00:00:00"/>
  </r>
  <r>
    <x v="4160"/>
    <d v="1899-12-30T00:19:24"/>
    <x v="13"/>
    <x v="0"/>
    <s v="Buffalo"/>
    <x v="582"/>
    <n v="817432"/>
    <x v="0"/>
    <s v="Fine Arts"/>
    <s v="9781118169261"/>
    <s v=",1,2,3,113,114,115,111,112,116"/>
    <n v="9"/>
    <m/>
    <m/>
    <s v="No"/>
    <x v="1"/>
    <m/>
    <m/>
    <s v="128.205.114.91"/>
    <s v="MT6 -- .P55 2012eb"/>
    <n v="781"/>
    <d v="2011-10-18T00:00:00"/>
  </r>
  <r>
    <x v="4161"/>
    <d v="1899-12-30T00:11:07"/>
    <x v="1035"/>
    <x v="13"/>
    <s v="buffalostate"/>
    <x v="270"/>
    <n v="1637652"/>
    <x v="3"/>
    <s v="Education"/>
    <s v="9780520958449"/>
    <s v=",1,2,3,26,27,28,24,25,29,30,31,32,33,34,35,36,37,38,39,40,41,42,43,44,45,46,47,48,49,50,51,52,53,54,55,56,57,58,59"/>
    <n v="39"/>
    <m/>
    <m/>
    <s v="No"/>
    <x v="0"/>
    <d v="2015-11-06T19:02:37"/>
    <n v="7"/>
    <s v="136.183.11.43"/>
    <s v="LB2340.2 -- .B478 2014eb"/>
    <s v="378.3/62"/>
    <d v="2014-05-02T00:00:00"/>
  </r>
  <r>
    <x v="4162"/>
    <d v="1899-12-30T00:00:48"/>
    <x v="773"/>
    <x v="5"/>
    <s v="erie"/>
    <x v="642"/>
    <n v="918746"/>
    <x v="15"/>
    <s v="Fine Arts"/>
    <s v="9780826441850"/>
    <s v=",1,2,3,4,5,6,7,8,9,10,11,12,13,14,15,16"/>
    <n v="16"/>
    <m/>
    <m/>
    <s v="No"/>
    <x v="1"/>
    <m/>
    <m/>
    <s v="199.29.6.54"/>
    <s v="PN1992.8.R43 -- E84 2012eb"/>
    <n v="791.45749999999998"/>
    <d v="2012-07-01T00:00:00"/>
  </r>
  <r>
    <x v="4163"/>
    <d v="1899-12-30T00:02:04"/>
    <x v="1107"/>
    <x v="0"/>
    <s v="Buffalo"/>
    <x v="31"/>
    <n v="1682559"/>
    <x v="4"/>
    <s v="Medicine"/>
    <s v="9781462515431"/>
    <s v=",32,33,34,35,36,37,38,39,40,41,40"/>
    <n v="10"/>
    <s v=",31"/>
    <m/>
    <s v="No"/>
    <x v="0"/>
    <d v="2015-11-08T22:55:39"/>
    <n v="7"/>
    <s v="128.205.114.91"/>
    <s v="RC469 -- .M677 2014eb"/>
    <n v="616.89"/>
    <d v="2014-05-10T00:00:00"/>
  </r>
  <r>
    <x v="4164"/>
    <d v="1899-12-30T00:01:02"/>
    <x v="1107"/>
    <x v="0"/>
    <s v="Buffalo"/>
    <x v="31"/>
    <n v="1682559"/>
    <x v="4"/>
    <s v="Medicine"/>
    <s v="9781462515431"/>
    <s v=",1,1,2,3,2,3,31,32,31,32,33,29,33,30,30,34,34,35,30,35,29,31,2,31,31,31,31"/>
    <n v="10"/>
    <m/>
    <m/>
    <s v="No"/>
    <x v="1"/>
    <m/>
    <m/>
    <s v="128.205.114.91"/>
    <s v="RC469 -- .M677 2014eb"/>
    <n v="616.89"/>
    <d v="2014-05-10T00:00:00"/>
  </r>
  <r>
    <x v="4165"/>
    <d v="1899-12-30T01:37:57"/>
    <x v="13"/>
    <x v="0"/>
    <s v="Buffalo"/>
    <x v="73"/>
    <n v="1119505"/>
    <x v="0"/>
    <s v="Science: Chemistry; Science"/>
    <s v="9781118355015"/>
    <s v=",1,2,3,198,199,200,196,197,201,202,203,204,227,228,229,226,225,230,231,223,224,205,206,207,208,209,210,211,212,213,214,215,216,217,218,188,189,190,186,1,188,187,189,162,163,164,160,161,165,166,167,142,143,144,140,141,177,178,179,175,176,180,159,158,219,107,108,105,1,106,109,107,108,109,105,106,110,111,2,112,113,114,115,116,117,118,119,120,121,122,123,124,164,165,166,162,163,167,142,143,144,140,141,145,146,147,128,129,130,126,127,125,131,132,133,148,149,150,151,152,153,154,155,156,157,158,159,160,161,232"/>
    <n v="105"/>
    <m/>
    <m/>
    <s v="No"/>
    <x v="0"/>
    <d v="2015-11-06T16:36:29"/>
    <n v="7"/>
    <s v="128.205.114.91"/>
    <s v="QD251.3 -- .S38 2013eb"/>
    <s v="547/.128"/>
    <d v="2013-01-28T00:00:00"/>
  </r>
  <r>
    <x v="4166"/>
    <d v="1899-12-30T00:01:27"/>
    <x v="1108"/>
    <x v="12"/>
    <s v="potsdam"/>
    <x v="1060"/>
    <n v="1895713"/>
    <x v="0"/>
    <s v="Education"/>
    <s v="9781118938959"/>
    <s v=",1,1,2,2,3,3,4,5,5,6,4,6,7,7,8,9,9,10,8,10,10,11,12,11,12,13,13,14,14,2,15,15,16,16,17,17,18,19,18,19,20,18,19,20,16,17,15"/>
    <n v="20"/>
    <m/>
    <m/>
    <s v="No"/>
    <x v="1"/>
    <m/>
    <m/>
    <s v="137.143.104.94"/>
    <s v="LB1044.84 -- .M48 2015eb"/>
    <n v="371.33"/>
    <d v="2015-03-04T00:00:00"/>
  </r>
  <r>
    <x v="4167"/>
    <d v="1899-12-30T00:01:13"/>
    <x v="1108"/>
    <x v="12"/>
    <s v="potsdam"/>
    <x v="1060"/>
    <n v="1895713"/>
    <x v="0"/>
    <s v="Education"/>
    <s v="9781118938959"/>
    <s v=",1,1,2,2,3,3,4,4,5,5,6,6,2,2,43,43,44,44,45,45,41,42,42,46,46"/>
    <n v="12"/>
    <m/>
    <m/>
    <s v="No"/>
    <x v="1"/>
    <m/>
    <m/>
    <s v="137.143.104.94"/>
    <s v="LB1044.84 -- .M48 2015eb"/>
    <n v="371.33"/>
    <d v="2015-03-04T00:00:00"/>
  </r>
  <r>
    <x v="4168"/>
    <d v="1899-12-30T01:16:11"/>
    <x v="1109"/>
    <x v="6"/>
    <s v="sjfc"/>
    <x v="959"/>
    <n v="1895917"/>
    <x v="0"/>
    <s v="Fine Arts"/>
    <s v="9781119014959"/>
    <s v=",105,106,107,103,87,88,89,85,86,90,91,92,93,94,95,104,102,104,87,88,105,120,120,104,120,114,114,115,116,117,113,121,122,118,119,87,88,89,85,86,120,123,105,106,107,103,108,104,109,111,110,112,113,124,125,126,127,134,136,135,132,133,137,138,128,139,140,141,153,154,155,151,152,161,162,167,168,169,165,166,164,163,156,157,170,171,181,182,183,179,180,184,185,186,195,196,197,193,194,198,199,200"/>
    <n v="82"/>
    <m/>
    <m/>
    <s v="No"/>
    <x v="0"/>
    <d v="2015-11-08T20:43:11"/>
    <n v="7"/>
    <s v="149.69.254.57"/>
    <s v="PN1995.9.A3 -- .T37 2015eb"/>
    <s v="791.43/6582"/>
    <d v="2015-03-24T00:00:00"/>
  </r>
  <r>
    <x v="4169"/>
    <d v="1899-12-30T00:00:21"/>
    <x v="1100"/>
    <x v="0"/>
    <s v="Buffalo"/>
    <x v="1053"/>
    <n v="1788961"/>
    <x v="4"/>
    <s v="Education"/>
    <s v="9781462519514"/>
    <s v=",1,2,3,23,24,25,21,22"/>
    <n v="8"/>
    <m/>
    <m/>
    <s v="No"/>
    <x v="2"/>
    <d v="2015-11-08T19:48:07"/>
    <n v="1"/>
    <s v="128.205.114.91"/>
    <s v="LB3013 -- .S566 2015eb"/>
    <n v="371.10239999999999"/>
    <d v="2015-01-02T00:00:00"/>
  </r>
  <r>
    <x v="4170"/>
    <d v="1899-12-30T00:02:27"/>
    <x v="1100"/>
    <x v="0"/>
    <s v="Buffalo"/>
    <x v="1053"/>
    <n v="1788961"/>
    <x v="4"/>
    <s v="Education"/>
    <s v="9781462519514"/>
    <s v=",18,21,22,31,32,33,29,30,34"/>
    <n v="9"/>
    <m/>
    <m/>
    <s v="Yes"/>
    <x v="2"/>
    <d v="2015-11-08T19:48:07"/>
    <n v="1"/>
    <s v="128.205.114.91"/>
    <s v="LB3013 -- .S566 2015eb"/>
    <n v="371.10239999999999"/>
    <d v="2015-01-02T00:00:00"/>
  </r>
  <r>
    <x v="4171"/>
    <d v="1899-12-30T02:09:11"/>
    <x v="13"/>
    <x v="0"/>
    <s v="Buffalo"/>
    <x v="1006"/>
    <n v="1655862"/>
    <x v="12"/>
    <s v="Social Science; Religion"/>
    <s v="9781469615493"/>
    <s v=",195,196,191,190,189,195,196,197,197,192,197,193,198,193,198,199,1,199,200,201,202,198,197,2,196,195,194,215,216,213,214,209,202,203,201,200,198,197,196,195"/>
    <n v="22"/>
    <m/>
    <m/>
    <s v="No"/>
    <x v="0"/>
    <d v="2015-11-08T20:28:31"/>
    <n v="7"/>
    <s v="128.205.114.91"/>
    <s v="BX1406.3 -- .D89 2014eb"/>
    <s v="391.0088/28273"/>
    <d v="2014-04-15T00:00:00"/>
  </r>
  <r>
    <x v="4172"/>
    <d v="1899-12-30T00:27:04"/>
    <x v="664"/>
    <x v="1"/>
    <s v="brockport"/>
    <x v="852"/>
    <n v="1107458"/>
    <x v="14"/>
    <s v="History; Political Science"/>
    <s v="9781476600161"/>
    <s v=",1,2,3,58,59,60,56,57,61,62,63,64,65,66,67,68,69,70"/>
    <n v="18"/>
    <m/>
    <m/>
    <s v="No"/>
    <x v="0"/>
    <d v="2015-11-08T17:28:59"/>
    <n v="7"/>
    <s v="137.21.7.121"/>
    <s v="F1414 -- .G214 2013eb"/>
    <s v="321.9092/28; 321.909228"/>
    <d v="2013-01-13T00:00:00"/>
  </r>
  <r>
    <x v="4173"/>
    <d v="1899-12-30T00:17:58"/>
    <x v="13"/>
    <x v="0"/>
    <s v="Buffalo"/>
    <x v="1006"/>
    <n v="1655862"/>
    <x v="12"/>
    <s v="Social Science; Religion"/>
    <s v="9781469615493"/>
    <s v=",1,2,3,184,186,185,182,183,187,188,189,190,191,192,193,194,194"/>
    <n v="16"/>
    <m/>
    <m/>
    <s v="No"/>
    <x v="3"/>
    <m/>
    <m/>
    <s v="128.205.114.91"/>
    <s v="BX1406.3 -- .D89 2014eb"/>
    <s v="391.0088/28273"/>
    <d v="2014-04-15T00:00:00"/>
  </r>
  <r>
    <x v="4174"/>
    <d v="1899-12-30T00:50:14"/>
    <x v="1109"/>
    <x v="6"/>
    <s v="sjfc"/>
    <x v="959"/>
    <n v="1895917"/>
    <x v="0"/>
    <s v="Fine Arts"/>
    <s v="9781119014959"/>
    <s v=",1,2,3,17,18,19,15,16"/>
    <n v="8"/>
    <m/>
    <m/>
    <s v="No"/>
    <x v="3"/>
    <m/>
    <m/>
    <s v="149.69.254.57"/>
    <s v="PN1995.9.A3 -- .T37 2015eb"/>
    <s v="791.43/6582"/>
    <d v="2015-03-24T00:00:00"/>
  </r>
  <r>
    <x v="4175"/>
    <d v="1899-12-30T00:41:52"/>
    <x v="1100"/>
    <x v="0"/>
    <s v="Buffalo"/>
    <x v="1053"/>
    <n v="1788961"/>
    <x v="4"/>
    <s v="Education"/>
    <s v="9781462519514"/>
    <s v=",1,2,3,13,15,9,4,5,6,1,2,3,4,5,6,7,8,9,10,11,12,13,14,15,16,17,18,19,20,21,22,23,24,25,26,27,28,29,30,31,32,30,31,32,28,29,33,34,35,36,37,38,39,40,41,1,2,3,15,18,19,20,17,16"/>
    <n v="41"/>
    <s v=",1,18"/>
    <m/>
    <s v="No"/>
    <x v="2"/>
    <d v="2015-11-08T19:48:07"/>
    <n v="1"/>
    <s v="128.205.114.91"/>
    <s v="LB3013 -- .S566 2015eb"/>
    <n v="371.10239999999999"/>
    <d v="2015-01-02T00:00:00"/>
  </r>
  <r>
    <x v="4176"/>
    <d v="1899-12-30T00:00:02"/>
    <x v="1100"/>
    <x v="0"/>
    <s v="Buffalo"/>
    <x v="1053"/>
    <n v="1788961"/>
    <x v="4"/>
    <s v="Education"/>
    <s v="9781462519514"/>
    <m/>
    <n v="0"/>
    <m/>
    <m/>
    <s v="No"/>
    <x v="3"/>
    <m/>
    <m/>
    <s v="128.205.114.91"/>
    <s v="LB3013 -- .S566 2015eb"/>
    <n v="371.10239999999999"/>
    <d v="2015-01-02T00:00:00"/>
  </r>
  <r>
    <x v="4177"/>
    <d v="1899-12-30T00:16:45"/>
    <x v="13"/>
    <x v="0"/>
    <s v="Buffalo"/>
    <x v="73"/>
    <n v="1119505"/>
    <x v="0"/>
    <s v="Science: Chemistry; Science"/>
    <s v="9781118355015"/>
    <s v=",1,2,3,227,228,229,225,226,230,48,49,50,46,47,51,52,198,1,199,196,197,200,198,199,200,196,197,2,225,226,227,223,224,46,225,226,225,227,226,223,224,228,229,230,215,216,217,213,214,218,219,220,212,211,164,165,166,162,167,163,168"/>
    <n v="40"/>
    <m/>
    <m/>
    <s v="No"/>
    <x v="0"/>
    <d v="2015-11-06T16:36:29"/>
    <n v="7"/>
    <s v="128.205.114.91"/>
    <s v="QD251.3 -- .S38 2013eb"/>
    <s v="547/.128"/>
    <d v="2013-01-28T00:00:00"/>
  </r>
  <r>
    <x v="4178"/>
    <d v="1899-12-30T00:00:09"/>
    <x v="828"/>
    <x v="9"/>
    <s v="trocaire"/>
    <x v="244"/>
    <n v="848510"/>
    <x v="0"/>
    <s v="Medicine"/>
    <s v="9781118220481"/>
    <s v=",1,2,3"/>
    <n v="3"/>
    <m/>
    <m/>
    <s v="No"/>
    <x v="0"/>
    <d v="2015-11-04T05:00:15"/>
    <n v="7"/>
    <s v="173.225.62.67"/>
    <s v="RC489.C63 -- C64 2012eb"/>
    <s v="616.89/1425"/>
    <d v="2012-06-06T00:00:00"/>
  </r>
  <r>
    <x v="4179"/>
    <d v="1899-12-30T00:00:45"/>
    <x v="1110"/>
    <x v="1"/>
    <s v="brockport"/>
    <x v="1061"/>
    <n v="1583994"/>
    <x v="11"/>
    <s v="Philosophy; Medicine"/>
    <s v="9780226088266"/>
    <s v=",1,2,3,4,5,6,108,109,110,106,107"/>
    <n v="11"/>
    <m/>
    <m/>
    <s v="No"/>
    <x v="3"/>
    <m/>
    <m/>
    <s v="137.21.7.121"/>
    <s v="R726"/>
    <n v="179.7"/>
    <d v="2014-01-10T00:00:00"/>
  </r>
  <r>
    <x v="4180"/>
    <d v="1899-12-30T00:00:45"/>
    <x v="1111"/>
    <x v="0"/>
    <s v="Buffalo"/>
    <x v="625"/>
    <n v="836167"/>
    <x v="6"/>
    <s v="Science: Physics; Environmental Studies; Science"/>
    <s v="9781438139487"/>
    <s v=",1,3,2,4,5,6,7,8,9,10,11,12,13,14,15,36,37,49,85,86,87,88,84,50,74,75,76,72,73,77,78,102,103,83"/>
    <n v="34"/>
    <m/>
    <m/>
    <s v="No"/>
    <x v="1"/>
    <m/>
    <m/>
    <s v="128.205.114.91"/>
    <s v="QC981.8.G56 -- T66 2012eb"/>
    <s v="363.738/74"/>
    <d v="2011-11-01T00:00:00"/>
  </r>
  <r>
    <x v="4181"/>
    <d v="1899-12-30T00:00:03"/>
    <x v="1112"/>
    <x v="0"/>
    <s v="Buffalo"/>
    <x v="630"/>
    <n v="771049"/>
    <x v="18"/>
    <s v="Science: Physics; Science; Environmental Studies"/>
    <s v="9781608706648"/>
    <s v=",1,2,3"/>
    <n v="3"/>
    <m/>
    <m/>
    <s v="No"/>
    <x v="1"/>
    <m/>
    <m/>
    <s v="128.205.114.91"/>
    <s v="QC981.8"/>
    <n v="363.73874000000001"/>
    <d v="2012-01-01T00:00:00"/>
  </r>
  <r>
    <x v="4182"/>
    <d v="1899-12-30T00:00:02"/>
    <x v="1113"/>
    <x v="4"/>
    <s v="monroe2boces"/>
    <x v="1062"/>
    <n v="1991884"/>
    <x v="5"/>
    <s v="Social Science"/>
    <s v="9780814760499"/>
    <s v=",1,2,3"/>
    <n v="3"/>
    <m/>
    <m/>
    <s v="No"/>
    <x v="3"/>
    <m/>
    <m/>
    <s v="74.65.33.180"/>
    <s v="GN409 .W38 2015"/>
    <s v="394/.9091631"/>
    <d v="2015-04-24T00:00:00"/>
  </r>
  <r>
    <x v="4182"/>
    <d v="1899-12-30T00:02:34"/>
    <x v="1111"/>
    <x v="0"/>
    <s v="Buffalo"/>
    <x v="630"/>
    <n v="771049"/>
    <x v="18"/>
    <s v="Science: Physics; Science; Environmental Studies"/>
    <s v="9781608706648"/>
    <s v=",38,64,63,65,61,62,60,58,59,57,56,55,53,54,52,51"/>
    <n v="16"/>
    <m/>
    <m/>
    <s v="No"/>
    <x v="0"/>
    <d v="2015-11-08T17:55:49"/>
    <n v="7"/>
    <s v="128.205.114.91"/>
    <s v="QC981.8"/>
    <n v="363.73874000000001"/>
    <d v="2012-01-01T00:00:00"/>
  </r>
  <r>
    <x v="4183"/>
    <d v="1899-12-30T02:25:37"/>
    <x v="789"/>
    <x v="6"/>
    <s v="sjfc"/>
    <x v="68"/>
    <n v="1822529"/>
    <x v="0"/>
    <s v="Mathematics"/>
    <s v="9781118824344"/>
    <s v=",1,2,3,1,2,3,103,104,105,101,102,100,99,98,106,107,108,109,110,111,112,113,113,1,115,114,111,112,113,114,115,111,112,116,117,2,118,119,120,121,122,123,124,125,126,127,128,129,130,131,132,133"/>
    <n v="39"/>
    <m/>
    <m/>
    <s v="No"/>
    <x v="0"/>
    <d v="2015-11-02T19:57:11"/>
    <n v="7"/>
    <s v="149.69.254.57"/>
    <s v="QA297 -- .S59 2015eb"/>
    <n v="519.4"/>
    <d v="2014-10-20T00:00:00"/>
  </r>
  <r>
    <x v="4184"/>
    <d v="1899-12-30T00:19:45"/>
    <x v="1111"/>
    <x v="0"/>
    <s v="Buffalo"/>
    <x v="630"/>
    <n v="771049"/>
    <x v="18"/>
    <s v="Science: Physics; Science; Environmental Studies"/>
    <s v="9781608706648"/>
    <s v=",1,2,3,4,5,6,7,8,9,10,11,12,13,14,15,16,17,18"/>
    <n v="18"/>
    <m/>
    <m/>
    <s v="No"/>
    <x v="1"/>
    <m/>
    <m/>
    <s v="128.205.114.91"/>
    <s v="QC981.8"/>
    <n v="363.73874000000001"/>
    <d v="2012-01-01T00:00:00"/>
  </r>
  <r>
    <x v="4185"/>
    <d v="1899-12-30T02:30:05"/>
    <x v="664"/>
    <x v="1"/>
    <s v="brockport"/>
    <x v="852"/>
    <n v="1107458"/>
    <x v="14"/>
    <s v="History; Political Science"/>
    <s v="9781476600161"/>
    <s v=",1,2,3,58,59,60,56,57,61,62,63,64,65,66,67,69,68,2,3,8,9,10,6,7"/>
    <n v="22"/>
    <m/>
    <m/>
    <s v="No"/>
    <x v="0"/>
    <d v="2015-11-08T17:28:59"/>
    <n v="7"/>
    <s v="137.21.7.121"/>
    <s v="F1414 -- .G214 2013eb"/>
    <s v="321.9092/28; 321.909228"/>
    <d v="2013-01-13T00:00:00"/>
  </r>
  <r>
    <x v="4186"/>
    <d v="1899-12-30T00:00:00"/>
    <x v="664"/>
    <x v="1"/>
    <s v="brockport"/>
    <x v="852"/>
    <n v="1107458"/>
    <x v="14"/>
    <s v="History; Political Science"/>
    <s v="9781476600161"/>
    <m/>
    <n v="0"/>
    <m/>
    <m/>
    <s v="Yes"/>
    <x v="0"/>
    <d v="2015-11-08T17:28:59"/>
    <n v="7"/>
    <s v="137.21.7.121"/>
    <s v="F1414 -- .G214 2013eb"/>
    <s v="321.9092/28; 321.909228"/>
    <d v="2013-01-13T00:00:00"/>
  </r>
  <r>
    <x v="4186"/>
    <d v="1899-12-30T00:00:00"/>
    <x v="664"/>
    <x v="1"/>
    <s v="brockport"/>
    <x v="852"/>
    <n v="1107458"/>
    <x v="14"/>
    <s v="History; Political Science"/>
    <s v="9781476600161"/>
    <m/>
    <n v="0"/>
    <m/>
    <m/>
    <s v="No"/>
    <x v="0"/>
    <d v="2015-11-08T17:28:59"/>
    <n v="7"/>
    <s v="137.21.7.121"/>
    <s v="F1414 -- .G214 2013eb"/>
    <s v="321.9092/28; 321.909228"/>
    <d v="2013-01-13T00:00:00"/>
  </r>
  <r>
    <x v="4187"/>
    <d v="1899-12-30T00:02:59"/>
    <x v="664"/>
    <x v="1"/>
    <s v="brockport"/>
    <x v="852"/>
    <n v="1107458"/>
    <x v="14"/>
    <s v="History; Political Science"/>
    <s v="9781476600161"/>
    <s v=",1,2,3,56"/>
    <n v="4"/>
    <m/>
    <m/>
    <s v="No"/>
    <x v="1"/>
    <m/>
    <m/>
    <s v="137.21.7.121"/>
    <s v="F1414 -- .G214 2013eb"/>
    <s v="321.9092/28; 321.909228"/>
    <d v="2013-01-13T00:00:00"/>
  </r>
  <r>
    <x v="4188"/>
    <d v="1899-12-30T00:08:27"/>
    <x v="714"/>
    <x v="12"/>
    <s v="potsdam"/>
    <x v="713"/>
    <n v="565082"/>
    <x v="0"/>
    <s v="Education"/>
    <s v="9781118041567"/>
    <s v=",1,3,2,1,2,3,4,169,170,171,167,168,172,170,171,172,169,168,162,163,164,160,161,191,192,189,193,197,201,206,198,196,189,190,194,195"/>
    <n v="27"/>
    <m/>
    <m/>
    <s v="No"/>
    <x v="0"/>
    <d v="2015-11-04T03:54:11"/>
    <n v="7"/>
    <s v="137.143.104.94"/>
    <s v="LB1775 .P25 2010"/>
    <s v="371.1; 371.102"/>
    <d v="2010-06-08T00:00:00"/>
  </r>
  <r>
    <x v="4189"/>
    <d v="1899-12-30T00:30:24"/>
    <x v="1114"/>
    <x v="1"/>
    <s v="brockport"/>
    <x v="965"/>
    <n v="362585"/>
    <x v="4"/>
    <s v="Education"/>
    <s v="9781606232316"/>
    <s v=",96,96,97,97,98,98,99,99,100,100,100"/>
    <n v="5"/>
    <m/>
    <m/>
    <s v="No"/>
    <x v="2"/>
    <d v="2015-11-08T16:39:47"/>
    <n v="1"/>
    <s v="137.21.7.121"/>
    <s v="LB1050.45.O26 2007"/>
    <n v="372.46199999999999"/>
    <d v="2014-05-14T00:00:00"/>
  </r>
  <r>
    <x v="4190"/>
    <d v="1899-12-30T00:05:24"/>
    <x v="1114"/>
    <x v="1"/>
    <s v="brockport"/>
    <x v="965"/>
    <n v="362585"/>
    <x v="4"/>
    <s v="Education"/>
    <s v="9781606232316"/>
    <s v=",1,1,2,1,2,3,3,91,92,91,92,93,89,93,90,90,2,94,94,95,95"/>
    <n v="10"/>
    <m/>
    <m/>
    <s v="No"/>
    <x v="3"/>
    <m/>
    <m/>
    <s v="137.21.7.121"/>
    <s v="LB1050.45.O26 2007"/>
    <n v="372.46199999999999"/>
    <d v="2014-05-14T00:00:00"/>
  </r>
  <r>
    <x v="4191"/>
    <d v="1899-12-30T00:01:07"/>
    <x v="1115"/>
    <x v="0"/>
    <s v="Buffalo"/>
    <x v="592"/>
    <n v="1655946"/>
    <x v="4"/>
    <s v="Medicine"/>
    <s v="9781462514472"/>
    <s v=",8,9,13,14,15,12,11,16,17,82,83,84,80,81,61,62,59,63,60,64,93,95,94,91,92,96,97,98,99,100"/>
    <n v="30"/>
    <m/>
    <m/>
    <s v="No"/>
    <x v="2"/>
    <d v="2015-11-08T15:18:12"/>
    <n v="1"/>
    <s v="128.205.114.91"/>
    <s v="RJ506.O66 -- .B375 2014eb"/>
    <n v="616.89008349999995"/>
    <d v="2014-05-14T00:00:00"/>
  </r>
  <r>
    <x v="4192"/>
    <d v="1899-12-30T00:19:07"/>
    <x v="1115"/>
    <x v="0"/>
    <s v="Buffalo"/>
    <x v="592"/>
    <n v="1655946"/>
    <x v="4"/>
    <s v="Medicine"/>
    <s v="9781462514472"/>
    <s v=",1,2,3,4,5,6,7"/>
    <n v="7"/>
    <m/>
    <m/>
    <s v="No"/>
    <x v="3"/>
    <m/>
    <m/>
    <s v="128.205.114.91"/>
    <s v="RJ506.O66 -- .B375 2014eb"/>
    <n v="616.89008349999995"/>
    <d v="2014-05-14T00:00:00"/>
  </r>
  <r>
    <x v="4193"/>
    <d v="1899-12-30T00:25:32"/>
    <x v="828"/>
    <x v="9"/>
    <s v="trocaire"/>
    <x v="669"/>
    <n v="1742841"/>
    <x v="4"/>
    <s v="Medicine"/>
    <s v="9781462516445"/>
    <s v=",1,2,3,17,18,19,15,16,2,607,608,609,605,606,610,611,612,613,614,615,616,464,465,466,462,463,467,468"/>
    <n v="27"/>
    <m/>
    <m/>
    <s v="No"/>
    <x v="0"/>
    <d v="2015-11-02T03:59:47"/>
    <n v="7"/>
    <s v="173.225.62.67"/>
    <s v="RC537 -- .H3376 2014eb"/>
    <n v="616.85270000000003"/>
    <d v="2014-10-22T00:00:00"/>
  </r>
  <r>
    <x v="4194"/>
    <d v="1899-12-30T00:01:05"/>
    <x v="828"/>
    <x v="9"/>
    <s v="trocaire"/>
    <x v="669"/>
    <n v="1742841"/>
    <x v="4"/>
    <s v="Medicine"/>
    <s v="9781462516445"/>
    <s v=",1,2,3,17,18,19,15,16,21,22,23,20"/>
    <n v="12"/>
    <m/>
    <m/>
    <s v="No"/>
    <x v="0"/>
    <d v="2015-11-02T03:59:47"/>
    <n v="7"/>
    <s v="173.225.62.67"/>
    <s v="RC537 -- .H3376 2014eb"/>
    <n v="616.85270000000003"/>
    <d v="2014-10-22T00:00:00"/>
  </r>
  <r>
    <x v="4195"/>
    <d v="1899-12-30T00:02:09"/>
    <x v="1116"/>
    <x v="12"/>
    <s v="potsdam"/>
    <x v="1063"/>
    <n v="1501510"/>
    <x v="2"/>
    <s v="Social Science"/>
    <s v="9781317787556"/>
    <s v=",1,3,2,256,258,257,259,255,260,261,262,263,264,265,266,268,269,270,271,272,267,273,274,275,276"/>
    <n v="25"/>
    <m/>
    <m/>
    <s v="No"/>
    <x v="3"/>
    <m/>
    <m/>
    <s v="137.143.104.94"/>
    <s v="HV1461 -- .A47 2012eb"/>
    <n v="362.6071073"/>
    <d v="2013-10-23T00:00:00"/>
  </r>
  <r>
    <x v="4196"/>
    <d v="1899-12-30T00:01:59"/>
    <x v="1116"/>
    <x v="12"/>
    <s v="potsdam"/>
    <x v="1064"/>
    <n v="1569750"/>
    <x v="2"/>
    <s v="Social Science"/>
    <s v="9781317837350"/>
    <s v=",1,2,3,169,170,171,167,168,172,173,174,175,112,113,114,110,111"/>
    <n v="17"/>
    <m/>
    <m/>
    <s v="No"/>
    <x v="3"/>
    <m/>
    <m/>
    <s v="137.143.104.94"/>
    <s v="HV1461.V65"/>
    <n v="362.60973000000001"/>
    <d v="2013-11-26T00:00:00"/>
  </r>
  <r>
    <x v="4197"/>
    <d v="1899-12-30T01:14:22"/>
    <x v="789"/>
    <x v="6"/>
    <s v="sjfc"/>
    <x v="68"/>
    <n v="1822529"/>
    <x v="0"/>
    <s v="Mathematics"/>
    <s v="9781118824344"/>
    <s v=",1,2,3,1,2,3,88,89,90,86,87,91,92,93,94,95,96,97,98,99,100,101,102,103,104,105"/>
    <n v="23"/>
    <m/>
    <m/>
    <s v="No"/>
    <x v="0"/>
    <d v="2015-11-02T19:57:11"/>
    <n v="7"/>
    <s v="149.69.254.57"/>
    <s v="QA297 -- .S59 2015eb"/>
    <n v="519.4"/>
    <d v="2014-10-20T00:00:00"/>
  </r>
  <r>
    <x v="4198"/>
    <d v="1899-12-30T00:00:37"/>
    <x v="1117"/>
    <x v="1"/>
    <s v="brockport"/>
    <x v="755"/>
    <n v="1839929"/>
    <x v="4"/>
    <s v="Medicine"/>
    <s v="9781462519873"/>
    <s v=",21,22"/>
    <n v="2"/>
    <m/>
    <m/>
    <s v="No"/>
    <x v="2"/>
    <d v="2015-11-08T06:38:20"/>
    <n v="1"/>
    <s v="137.21.7.121"/>
    <s v="RC537.5 -- .K466 2015eb"/>
    <s v="618.97/68527"/>
    <d v="2015-02-25T00:00:00"/>
  </r>
  <r>
    <x v="4199"/>
    <d v="1899-12-30T00:07:41"/>
    <x v="1117"/>
    <x v="1"/>
    <s v="brockport"/>
    <x v="755"/>
    <n v="1839929"/>
    <x v="4"/>
    <s v="Medicine"/>
    <s v="9781462519873"/>
    <s v=",1,2,3,17,18,19,15,16,26,20,9,4"/>
    <n v="12"/>
    <m/>
    <m/>
    <s v="No"/>
    <x v="3"/>
    <m/>
    <m/>
    <s v="137.21.7.121"/>
    <s v="RC537.5 -- .K466 2015eb"/>
    <s v="618.97/68527"/>
    <d v="2015-02-25T00:00:00"/>
  </r>
  <r>
    <x v="4200"/>
    <d v="1899-12-30T00:28:42"/>
    <x v="986"/>
    <x v="0"/>
    <s v="Buffalo"/>
    <x v="73"/>
    <n v="1119505"/>
    <x v="0"/>
    <s v="Science: Chemistry; Science"/>
    <s v="9781118355015"/>
    <s v=",1,2,3,209,210,211,207,208,212,213,214,215,216,217,218,219,220,221,222,223,224,225,226,227,228,229,230"/>
    <n v="27"/>
    <m/>
    <m/>
    <s v="No"/>
    <x v="0"/>
    <d v="2015-11-07T20:23:25"/>
    <n v="7"/>
    <s v="128.205.114.91"/>
    <s v="QD251.3 -- .S38 2013eb"/>
    <s v="547/.128"/>
    <d v="2013-01-28T00:00:00"/>
  </r>
  <r>
    <x v="4201"/>
    <d v="1899-12-30T00:00:00"/>
    <x v="1040"/>
    <x v="16"/>
    <s v="monroecc"/>
    <x v="1065"/>
    <n v="1964836"/>
    <x v="0"/>
    <s v="Medicine; Pharmacy"/>
    <s v="9781118543559"/>
    <m/>
    <n v="0"/>
    <m/>
    <m/>
    <s v="Yes"/>
    <x v="0"/>
    <d v="2015-11-08T06:28:20"/>
    <n v="7"/>
    <s v="150.160.200.114"/>
    <s v="RM666.H33 -- .P498 2015eb"/>
    <s v="615.3/21"/>
    <d v="2015-02-17T00:00:00"/>
  </r>
  <r>
    <x v="4201"/>
    <d v="1899-12-30T00:00:00"/>
    <x v="1040"/>
    <x v="16"/>
    <s v="monroecc"/>
    <x v="1065"/>
    <n v="1964836"/>
    <x v="0"/>
    <s v="Medicine; Pharmacy"/>
    <s v="9781118543559"/>
    <m/>
    <n v="0"/>
    <m/>
    <m/>
    <s v="No"/>
    <x v="0"/>
    <d v="2015-11-08T06:28:20"/>
    <n v="7"/>
    <s v="150.160.200.114"/>
    <s v="RM666.H33 -- .P498 2015eb"/>
    <s v="615.3/21"/>
    <d v="2015-02-17T00:00:00"/>
  </r>
  <r>
    <x v="4202"/>
    <d v="1899-12-30T00:02:00"/>
    <x v="1040"/>
    <x v="16"/>
    <s v="monroecc"/>
    <x v="1065"/>
    <n v="1964836"/>
    <x v="0"/>
    <s v="Medicine; Pharmacy"/>
    <s v="9781118543559"/>
    <s v=",1,2,3,44,36,37,38,34,35,96,97,98,94,95,99,100"/>
    <n v="16"/>
    <m/>
    <m/>
    <s v="No"/>
    <x v="3"/>
    <m/>
    <m/>
    <s v="150.160.200.114"/>
    <s v="RM666.H33 -- .P498 2015eb"/>
    <s v="615.3/21"/>
    <d v="2015-02-17T00:00:00"/>
  </r>
  <r>
    <x v="4203"/>
    <d v="1899-12-30T00:15:22"/>
    <x v="1118"/>
    <x v="0"/>
    <s v="Buffalo"/>
    <x v="1066"/>
    <n v="1760734"/>
    <x v="4"/>
    <s v="Social Science"/>
    <s v="9781462518517"/>
    <s v=",406,407,408,409,410,411,19,20,21,17,22,18,23,81,82,83,79,84,85,86,87,88,89,124,125,126,122,127,123,128,129,130,131,132,133,134,135,136,137,138,139,140,141,142,148,149,150,146,147,100,101,102,98,103,99,104,105,106,107,108,109,110,111"/>
    <n v="63"/>
    <m/>
    <m/>
    <s v="No"/>
    <x v="0"/>
    <d v="2015-11-08T06:22:26"/>
    <n v="7"/>
    <s v="128.205.114.91"/>
    <s v="HM1033 -- .T436 2015eb"/>
    <n v="302"/>
    <d v="2014-11-12T00:00:00"/>
  </r>
  <r>
    <x v="4204"/>
    <d v="1899-12-30T00:00:00"/>
    <x v="1040"/>
    <x v="16"/>
    <s v="monroecc"/>
    <x v="1067"/>
    <n v="4035485"/>
    <x v="0"/>
    <s v="Medicine; Pharmacy"/>
    <s v="9781118451274"/>
    <m/>
    <n v="0"/>
    <m/>
    <m/>
    <s v="Yes"/>
    <x v="2"/>
    <d v="2015-11-08T06:22:08"/>
    <n v="1"/>
    <s v="150.160.200.114"/>
    <m/>
    <n v="615.78269999999998"/>
    <d v="2014-07-18T00:00:00"/>
  </r>
  <r>
    <x v="4204"/>
    <d v="1899-12-30T00:00:00"/>
    <x v="1040"/>
    <x v="16"/>
    <s v="monroecc"/>
    <x v="1067"/>
    <n v="4035485"/>
    <x v="0"/>
    <s v="Medicine; Pharmacy"/>
    <s v="9781118451274"/>
    <m/>
    <n v="0"/>
    <m/>
    <m/>
    <s v="No"/>
    <x v="2"/>
    <d v="2015-11-08T06:22:08"/>
    <n v="1"/>
    <s v="150.160.200.114"/>
    <m/>
    <n v="615.78269999999998"/>
    <d v="2014-07-18T00:00:00"/>
  </r>
  <r>
    <x v="4205"/>
    <d v="1899-12-30T00:00:17"/>
    <x v="1040"/>
    <x v="16"/>
    <s v="monroecc"/>
    <x v="1067"/>
    <n v="4035485"/>
    <x v="0"/>
    <s v="Medicine; Pharmacy"/>
    <s v="9781118451274"/>
    <s v=",1,2,3"/>
    <n v="3"/>
    <m/>
    <m/>
    <s v="No"/>
    <x v="3"/>
    <m/>
    <m/>
    <s v="150.160.200.114"/>
    <m/>
    <n v="615.78269999999998"/>
    <d v="2014-07-18T00:00:00"/>
  </r>
  <r>
    <x v="4206"/>
    <d v="1899-12-30T00:00:00"/>
    <x v="1040"/>
    <x v="16"/>
    <s v="monroecc"/>
    <x v="1068"/>
    <n v="1848227"/>
    <x v="0"/>
    <s v="Science: Anatomy/Physiology; Science; Medicine"/>
    <s v="9781118938300"/>
    <m/>
    <n v="0"/>
    <m/>
    <m/>
    <s v="Yes"/>
    <x v="0"/>
    <d v="2015-11-08T06:21:27"/>
    <n v="7"/>
    <s v="150.160.200.114"/>
    <s v="RK280"/>
    <s v="612.3; 612.3/11"/>
    <d v="2014-11-13T00:00:00"/>
  </r>
  <r>
    <x v="4206"/>
    <d v="1899-12-30T00:00:00"/>
    <x v="1040"/>
    <x v="16"/>
    <s v="monroecc"/>
    <x v="1068"/>
    <n v="1848227"/>
    <x v="0"/>
    <s v="Science: Anatomy/Physiology; Science; Medicine"/>
    <s v="9781118938300"/>
    <m/>
    <n v="0"/>
    <m/>
    <m/>
    <s v="No"/>
    <x v="0"/>
    <d v="2015-11-08T06:21:27"/>
    <n v="7"/>
    <s v="150.160.200.114"/>
    <s v="RK280"/>
    <s v="612.3; 612.3/11"/>
    <d v="2014-11-13T00:00:00"/>
  </r>
  <r>
    <x v="4207"/>
    <d v="1899-12-30T00:00:12"/>
    <x v="1040"/>
    <x v="16"/>
    <s v="monroecc"/>
    <x v="1068"/>
    <n v="1848227"/>
    <x v="0"/>
    <s v="Science: Anatomy/Physiology; Science; Medicine"/>
    <s v="9781118938300"/>
    <s v=",1,2,3"/>
    <n v="3"/>
    <m/>
    <m/>
    <s v="No"/>
    <x v="3"/>
    <m/>
    <m/>
    <s v="150.160.200.114"/>
    <s v="RK280"/>
    <s v="612.3; 612.3/11"/>
    <d v="2014-11-13T00:00:00"/>
  </r>
  <r>
    <x v="4208"/>
    <d v="1899-12-30T00:00:00"/>
    <x v="1040"/>
    <x v="16"/>
    <s v="monroecc"/>
    <x v="1069"/>
    <n v="1998742"/>
    <x v="0"/>
    <s v="Medicine; Science; Science: Biology/Natural History"/>
    <s v="9781118451663"/>
    <m/>
    <n v="0"/>
    <m/>
    <m/>
    <s v="Yes"/>
    <x v="0"/>
    <d v="2015-11-08T06:21:08"/>
    <n v="7"/>
    <s v="150.160.200.114"/>
    <s v="QR181 .R35 2015"/>
    <n v="616.07899999999995"/>
    <d v="2015-07-07T00:00:00"/>
  </r>
  <r>
    <x v="4208"/>
    <d v="1899-12-30T00:00:00"/>
    <x v="1040"/>
    <x v="16"/>
    <s v="monroecc"/>
    <x v="1069"/>
    <n v="1998742"/>
    <x v="0"/>
    <s v="Medicine; Science; Science: Biology/Natural History"/>
    <s v="9781118451663"/>
    <m/>
    <n v="0"/>
    <m/>
    <m/>
    <s v="No"/>
    <x v="0"/>
    <d v="2015-11-08T06:21:08"/>
    <n v="7"/>
    <s v="150.160.200.114"/>
    <s v="QR181 .R35 2015"/>
    <n v="616.07899999999995"/>
    <d v="2015-07-07T00:00:00"/>
  </r>
  <r>
    <x v="4209"/>
    <d v="1899-12-30T00:00:13"/>
    <x v="1040"/>
    <x v="16"/>
    <s v="monroecc"/>
    <x v="1069"/>
    <n v="1998742"/>
    <x v="0"/>
    <s v="Medicine; Science; Science: Biology/Natural History"/>
    <s v="9781118451663"/>
    <s v=",1,2,3"/>
    <n v="3"/>
    <m/>
    <m/>
    <s v="No"/>
    <x v="1"/>
    <m/>
    <m/>
    <s v="150.160.200.114"/>
    <s v="QR181 .R35 2015"/>
    <n v="616.07899999999995"/>
    <d v="2015-07-07T00:00:00"/>
  </r>
  <r>
    <x v="4210"/>
    <d v="1899-12-30T00:00:03"/>
    <x v="1040"/>
    <x v="16"/>
    <s v="monroecc"/>
    <x v="1070"/>
    <n v="1851934"/>
    <x v="0"/>
    <s v="Medicine"/>
    <s v="9781118638415"/>
    <s v=",1,2,3"/>
    <n v="3"/>
    <m/>
    <m/>
    <s v="No"/>
    <x v="1"/>
    <m/>
    <m/>
    <s v="150.160.200.114"/>
    <s v="RC46 -- .E87 2015eb"/>
    <n v="616"/>
    <d v="2014-11-13T00:00:00"/>
  </r>
  <r>
    <x v="4211"/>
    <d v="1899-12-30T00:00:00"/>
    <x v="1040"/>
    <x v="16"/>
    <s v="monroecc"/>
    <x v="1071"/>
    <n v="1834782"/>
    <x v="0"/>
    <s v="Science: Anatomy/Physiology; Science: Biology/Natural History; Science"/>
    <s v="9781118817308"/>
    <m/>
    <n v="0"/>
    <m/>
    <m/>
    <s v="Yes"/>
    <x v="0"/>
    <d v="2015-11-08T06:19:22"/>
    <n v="7"/>
    <s v="150.160.200.114"/>
    <s v="QP91 -- .B356 2015eb"/>
    <n v="612.11"/>
    <d v="2014-11-03T00:00:00"/>
  </r>
  <r>
    <x v="4211"/>
    <d v="1899-12-30T00:00:00"/>
    <x v="1040"/>
    <x v="16"/>
    <s v="monroecc"/>
    <x v="1071"/>
    <n v="1834782"/>
    <x v="0"/>
    <s v="Science: Anatomy/Physiology; Science: Biology/Natural History; Science"/>
    <s v="9781118817308"/>
    <m/>
    <n v="0"/>
    <m/>
    <m/>
    <s v="No"/>
    <x v="0"/>
    <d v="2015-11-08T06:19:22"/>
    <n v="7"/>
    <s v="150.160.200.114"/>
    <s v="QP91 -- .B356 2015eb"/>
    <n v="612.11"/>
    <d v="2014-11-03T00:00:00"/>
  </r>
  <r>
    <x v="4212"/>
    <d v="1899-12-30T00:00:00"/>
    <x v="1040"/>
    <x v="16"/>
    <s v="monroecc"/>
    <x v="1072"/>
    <n v="4034050"/>
    <x v="0"/>
    <s v="Medicine"/>
    <s v="9781118311073"/>
    <m/>
    <n v="0"/>
    <m/>
    <m/>
    <s v="Yes"/>
    <x v="2"/>
    <d v="2015-11-08T06:18:29"/>
    <n v="1"/>
    <s v="150.160.200.114"/>
    <s v="RB113.F86 2013"/>
    <n v="616.07000000000005"/>
    <d v="2013-01-03T00:00:00"/>
  </r>
  <r>
    <x v="4212"/>
    <d v="1899-12-30T00:00:00"/>
    <x v="1040"/>
    <x v="16"/>
    <s v="monroecc"/>
    <x v="1072"/>
    <n v="4034050"/>
    <x v="0"/>
    <s v="Medicine"/>
    <s v="9781118311073"/>
    <m/>
    <n v="0"/>
    <m/>
    <m/>
    <s v="No"/>
    <x v="2"/>
    <d v="2015-11-08T06:18:29"/>
    <n v="1"/>
    <s v="150.160.200.114"/>
    <s v="RB113.F86 2013"/>
    <n v="616.07000000000005"/>
    <d v="2013-01-03T00:00:00"/>
  </r>
  <r>
    <x v="4213"/>
    <d v="1899-12-30T00:00:00"/>
    <x v="1040"/>
    <x v="16"/>
    <s v="monroecc"/>
    <x v="1073"/>
    <n v="1584781"/>
    <x v="0"/>
    <s v="Medicine; Pharmacy"/>
    <s v="9781118661765"/>
    <m/>
    <n v="0"/>
    <m/>
    <m/>
    <s v="Yes"/>
    <x v="2"/>
    <d v="2015-11-08T06:18:14"/>
    <n v="1"/>
    <s v="150.160.200.114"/>
    <s v="RM671.A1 .B384 2013"/>
    <n v="616.024"/>
    <d v="2013-12-23T00:00:00"/>
  </r>
  <r>
    <x v="4213"/>
    <d v="1899-12-30T00:00:00"/>
    <x v="1040"/>
    <x v="16"/>
    <s v="monroecc"/>
    <x v="1073"/>
    <n v="1584781"/>
    <x v="0"/>
    <s v="Medicine; Pharmacy"/>
    <s v="9781118661765"/>
    <m/>
    <n v="0"/>
    <m/>
    <m/>
    <s v="No"/>
    <x v="2"/>
    <d v="2015-11-08T06:18:14"/>
    <n v="1"/>
    <s v="150.160.200.114"/>
    <s v="RM671.A1 .B384 2013"/>
    <n v="616.024"/>
    <d v="2013-12-23T00:00:00"/>
  </r>
  <r>
    <x v="4214"/>
    <d v="1899-12-30T00:00:16"/>
    <x v="1040"/>
    <x v="16"/>
    <s v="monroecc"/>
    <x v="1073"/>
    <n v="1584781"/>
    <x v="0"/>
    <s v="Medicine; Pharmacy"/>
    <s v="9781118661765"/>
    <s v=",1,2,3"/>
    <n v="3"/>
    <m/>
    <m/>
    <s v="No"/>
    <x v="3"/>
    <m/>
    <m/>
    <s v="150.160.200.114"/>
    <s v="RM671.A1 .B384 2013"/>
    <n v="616.024"/>
    <d v="2013-12-23T00:00:00"/>
  </r>
  <r>
    <x v="4215"/>
    <d v="1899-12-30T00:01:32"/>
    <x v="1040"/>
    <x v="16"/>
    <s v="monroecc"/>
    <x v="1071"/>
    <n v="1834782"/>
    <x v="0"/>
    <s v="Science: Anatomy/Physiology; Science: Biology/Natural History; Science"/>
    <s v="9781118817308"/>
    <s v=",1,2,3,17,18,19,15,16,20,21"/>
    <n v="10"/>
    <m/>
    <m/>
    <s v="No"/>
    <x v="3"/>
    <m/>
    <m/>
    <s v="150.160.200.114"/>
    <s v="QP91 -- .B356 2015eb"/>
    <n v="612.11"/>
    <d v="2014-11-03T00:00:00"/>
  </r>
  <r>
    <x v="4216"/>
    <d v="1899-12-30T00:00:52"/>
    <x v="1040"/>
    <x v="16"/>
    <s v="monroecc"/>
    <x v="1072"/>
    <n v="4034050"/>
    <x v="0"/>
    <s v="Medicine"/>
    <s v="9781118311073"/>
    <s v=",1,2,3"/>
    <n v="3"/>
    <m/>
    <m/>
    <s v="No"/>
    <x v="3"/>
    <m/>
    <m/>
    <s v="150.160.200.114"/>
    <s v="RB113.F86 2013"/>
    <n v="616.07000000000005"/>
    <d v="2013-01-03T00:00:00"/>
  </r>
  <r>
    <x v="4217"/>
    <d v="1899-12-30T00:00:00"/>
    <x v="1040"/>
    <x v="16"/>
    <s v="monroecc"/>
    <x v="1074"/>
    <n v="4033603"/>
    <x v="0"/>
    <s v="Medicine"/>
    <s v="9781118272121"/>
    <m/>
    <n v="0"/>
    <m/>
    <m/>
    <s v="Yes"/>
    <x v="2"/>
    <d v="2015-11-08T06:16:02"/>
    <n v="1"/>
    <s v="150.160.200.114"/>
    <s v="RB40"/>
    <n v="616.07560000000001"/>
    <d v="2013-08-02T00:00:00"/>
  </r>
  <r>
    <x v="4217"/>
    <d v="1899-12-30T00:00:00"/>
    <x v="1040"/>
    <x v="16"/>
    <s v="monroecc"/>
    <x v="1074"/>
    <n v="4033603"/>
    <x v="0"/>
    <s v="Medicine"/>
    <s v="9781118272121"/>
    <m/>
    <n v="0"/>
    <m/>
    <m/>
    <s v="No"/>
    <x v="2"/>
    <d v="2015-11-08T06:16:02"/>
    <n v="1"/>
    <s v="150.160.200.114"/>
    <s v="RB40"/>
    <n v="616.07560000000001"/>
    <d v="2013-08-02T00:00:00"/>
  </r>
  <r>
    <x v="4218"/>
    <d v="1899-12-30T00:00:35"/>
    <x v="1040"/>
    <x v="16"/>
    <s v="monroecc"/>
    <x v="1074"/>
    <n v="4033603"/>
    <x v="0"/>
    <s v="Medicine"/>
    <s v="9781118272121"/>
    <s v=",1,2,3"/>
    <n v="3"/>
    <m/>
    <m/>
    <s v="No"/>
    <x v="3"/>
    <m/>
    <m/>
    <s v="150.160.200.114"/>
    <s v="RB40"/>
    <n v="616.07560000000001"/>
    <d v="2013-08-02T00:00:00"/>
  </r>
  <r>
    <x v="4219"/>
    <d v="1899-12-30T00:10:24"/>
    <x v="1118"/>
    <x v="0"/>
    <s v="Buffalo"/>
    <x v="1066"/>
    <n v="1760734"/>
    <x v="4"/>
    <s v="Social Science"/>
    <s v="9781462518517"/>
    <s v=",1,2,3"/>
    <n v="3"/>
    <m/>
    <m/>
    <s v="No"/>
    <x v="3"/>
    <m/>
    <m/>
    <s v="128.205.114.91"/>
    <s v="HM1033 -- .T436 2015eb"/>
    <n v="302"/>
    <d v="2014-11-12T00:00:00"/>
  </r>
  <r>
    <x v="4220"/>
    <d v="1899-12-30T00:15:15"/>
    <x v="1103"/>
    <x v="9"/>
    <s v="trocaire"/>
    <x v="684"/>
    <n v="1120621"/>
    <x v="0"/>
    <s v="Education"/>
    <s v="9781118362679"/>
    <s v=",1,2,3,31,32,33,30,29,59,60,61,57,58,55,56,62,63,71,72,69,70,73,74,75,76,84,85,86,83,82,87,88,89,90,81,80,91,92,93,94,95,96,97,77,78,79,98,106,107,108,104,105,109,110,111,117,118,119,116,115,114,120,121,122,123,124,125,126,127,128,129,130,131,132,133,134,135,136,137,138,139,140,141,142,143,144"/>
    <n v="86"/>
    <m/>
    <m/>
    <s v="No"/>
    <x v="0"/>
    <d v="2015-11-07T21:56:58"/>
    <n v="7"/>
    <s v="173.225.62.67"/>
    <s v="LB3013.3 .R59 2012"/>
    <s v="371.5/8; 371.58"/>
    <d v="2012-08-15T00:00:00"/>
  </r>
  <r>
    <x v="4221"/>
    <d v="1899-12-30T00:06:45"/>
    <x v="1103"/>
    <x v="9"/>
    <s v="trocaire"/>
    <x v="1057"/>
    <n v="332602"/>
    <x v="0"/>
    <s v="Education"/>
    <s v="9780631227885"/>
    <s v=",1,2,3,18,19,20,17,16,21,22,23,24,25,26,27,28,29,30,31,32,33,34,35,36,37,38,39,40,41,42,43,44,45,46,47,48,49,19,20,21,17,18,22,23"/>
    <n v="37"/>
    <m/>
    <m/>
    <s v="No"/>
    <x v="0"/>
    <d v="2015-11-02T20:50:12"/>
    <n v="7"/>
    <s v="173.225.62.67"/>
    <s v="LB1124 -- .O48 1993eb"/>
    <s v="371.5/8"/>
    <d v="2013-05-30T00:00:00"/>
  </r>
  <r>
    <x v="4222"/>
    <d v="1899-12-30T00:02:25"/>
    <x v="503"/>
    <x v="7"/>
    <s v="oneonta"/>
    <x v="1075"/>
    <n v="1819685"/>
    <x v="0"/>
    <s v="Religion; Political Science"/>
    <s v="9780745686646"/>
    <s v=",23,24,25,26,27,28,30"/>
    <n v="7"/>
    <m/>
    <m/>
    <s v="No"/>
    <x v="2"/>
    <d v="2015-11-08T04:09:41"/>
    <n v="1"/>
    <s v="137.141.13.2"/>
    <s v="BL625.9.I55 -- .K585 2014eb"/>
    <n v="325.10000000000002"/>
    <d v="2014-10-16T00:00:00"/>
  </r>
  <r>
    <x v="4223"/>
    <d v="1899-12-30T00:00:04"/>
    <x v="1040"/>
    <x v="16"/>
    <s v="monroecc"/>
    <x v="1074"/>
    <n v="4033603"/>
    <x v="0"/>
    <s v="Medicine"/>
    <s v="9781118272121"/>
    <s v=",1,2,3"/>
    <n v="3"/>
    <m/>
    <m/>
    <s v="No"/>
    <x v="3"/>
    <m/>
    <m/>
    <s v="150.160.200.114"/>
    <s v="RB40"/>
    <n v="616.07560000000001"/>
    <d v="2013-08-02T00:00:00"/>
  </r>
  <r>
    <x v="4224"/>
    <d v="1899-12-30T00:06:15"/>
    <x v="503"/>
    <x v="7"/>
    <s v="oneonta"/>
    <x v="1075"/>
    <n v="1819685"/>
    <x v="0"/>
    <s v="Religion; Political Science"/>
    <s v="9780745686646"/>
    <s v=",1,2,3,4,5,6,7,8,9,10,11,12,13,14,15,16,17,18,19,20,21,22"/>
    <n v="22"/>
    <m/>
    <m/>
    <s v="No"/>
    <x v="3"/>
    <m/>
    <m/>
    <s v="137.141.13.2"/>
    <s v="BL625.9.I55 -- .K585 2014eb"/>
    <n v="325.10000000000002"/>
    <d v="2014-10-16T00:00:00"/>
  </r>
  <r>
    <x v="4225"/>
    <d v="1899-12-30T00:00:03"/>
    <x v="1040"/>
    <x v="16"/>
    <s v="monroecc"/>
    <x v="1076"/>
    <n v="1762077"/>
    <x v="0"/>
    <s v="Medicine"/>
    <s v="9781118914908"/>
    <s v=",2,1,3"/>
    <n v="3"/>
    <m/>
    <m/>
    <s v="No"/>
    <x v="1"/>
    <m/>
    <m/>
    <s v="150.160.200.114"/>
    <s v="RC71.5 -- .N877 2014eb"/>
    <n v="616.07500000000005"/>
    <d v="2014-08-05T00:00:00"/>
  </r>
  <r>
    <x v="4226"/>
    <d v="1899-12-30T00:04:19"/>
    <x v="1040"/>
    <x v="16"/>
    <s v="monroecc"/>
    <x v="1077"/>
    <n v="1847931"/>
    <x v="0"/>
    <s v="Medicine"/>
    <s v="9781118850978"/>
    <s v=",1,2,3,51,52,53,49,50,54,55,56,62,63,64,60,59,65,66,67,68,58,57,74,73,71,102,103,100,111,112,113,109,143,144,145,141,142,151,152,149,148,154,171,168,200,201,202,198"/>
    <n v="48"/>
    <m/>
    <m/>
    <s v="No"/>
    <x v="3"/>
    <m/>
    <m/>
    <s v="150.160.200.114"/>
    <s v="RL71 -- .W45 2015eb"/>
    <n v="616.5"/>
    <d v="2014-11-11T00:00:00"/>
  </r>
  <r>
    <x v="4227"/>
    <d v="1899-12-30T00:29:47"/>
    <x v="1119"/>
    <x v="12"/>
    <s v="potsdam"/>
    <x v="1078"/>
    <n v="1895314"/>
    <x v="0"/>
    <s v="Home Economics; Pharmacy; Medicine"/>
    <s v="9781119052531"/>
    <s v=",1,38,39,40,36,37,2,41,42,43,61,62,63,59,60,64,65,66,67,68,69,70,104,105,106,102,103,107,108,109,110,111,112,113,149,150,151,147,148,161,162,159,160,163,197,198,199,196,195,200,201,202,203"/>
    <n v="53"/>
    <m/>
    <m/>
    <s v="No"/>
    <x v="2"/>
    <d v="2015-11-07T17:37:49"/>
    <n v="1"/>
    <s v="137.143.104.94"/>
    <s v="RM237.86"/>
    <n v="641.56309999999996"/>
    <d v="2015-06-02T00:00:00"/>
  </r>
  <r>
    <x v="4228"/>
    <d v="1899-12-30T01:20:28"/>
    <x v="1103"/>
    <x v="9"/>
    <s v="trocaire"/>
    <x v="684"/>
    <n v="1120621"/>
    <x v="0"/>
    <s v="Education"/>
    <s v="9781118362679"/>
    <s v=",1,2,3,4,5,6,7,8,9,45,46,47,44,43,48,49,50,51,31,32,33,29,30,57,58,59,55,56,60,61,71,72,73,69,70,74,75,137,139,138,135,136,140,141,142"/>
    <n v="45"/>
    <m/>
    <m/>
    <s v="No"/>
    <x v="0"/>
    <d v="2015-11-07T21:56:58"/>
    <n v="7"/>
    <s v="173.225.62.67"/>
    <s v="LB3013.3 .R59 2012"/>
    <s v="371.5/8; 371.58"/>
    <d v="2012-08-15T00:00:00"/>
  </r>
  <r>
    <x v="4229"/>
    <d v="1899-12-30T00:00:26"/>
    <x v="964"/>
    <x v="12"/>
    <s v="potsdam"/>
    <x v="369"/>
    <n v="3057725"/>
    <x v="0"/>
    <s v="Fine Arts"/>
    <s v="9780470099667"/>
    <s v=",2,1,3,4,5,6,7,8,9"/>
    <n v="9"/>
    <m/>
    <m/>
    <s v="No"/>
    <x v="1"/>
    <m/>
    <m/>
    <s v="137.143.104.94"/>
    <s v="TT825 -- .D48 2006eb"/>
    <s v="746.43/2"/>
    <d v="2006-09-19T00:00:00"/>
  </r>
  <r>
    <x v="4230"/>
    <d v="1899-12-30T00:00:09"/>
    <x v="769"/>
    <x v="0"/>
    <s v="Buffalo"/>
    <x v="684"/>
    <n v="1120621"/>
    <x v="0"/>
    <s v="Education"/>
    <s v="9781118362679"/>
    <s v=",1,2,3"/>
    <n v="3"/>
    <m/>
    <m/>
    <s v="No"/>
    <x v="1"/>
    <m/>
    <m/>
    <s v="128.205.114.91"/>
    <s v="LB3013.3 .R59 2012"/>
    <s v="371.5/8; 371.58"/>
    <d v="2012-08-15T00:00:00"/>
  </r>
  <r>
    <x v="4231"/>
    <d v="1899-12-30T00:00:05"/>
    <x v="1036"/>
    <x v="1"/>
    <s v="brockport"/>
    <x v="1079"/>
    <n v="1832720"/>
    <x v="0"/>
    <s v="Religion"/>
    <s v="9781118610497"/>
    <s v=",21,8"/>
    <n v="2"/>
    <m/>
    <m/>
    <s v="No"/>
    <x v="2"/>
    <d v="2015-11-08T00:29:56"/>
    <n v="1"/>
    <s v="137.21.7.121"/>
    <s v="BL2441.3 -- .Q575 2015eb"/>
    <s v="299/.31"/>
    <d v="2014-09-15T00:00:00"/>
  </r>
  <r>
    <x v="4232"/>
    <d v="1899-12-30T00:07:43"/>
    <x v="1036"/>
    <x v="1"/>
    <s v="brockport"/>
    <x v="1079"/>
    <n v="1832720"/>
    <x v="0"/>
    <s v="Religion"/>
    <s v="9781118610497"/>
    <s v=",2,3,1,11,12,13,9,10,14,15,16,17,18,19,20"/>
    <n v="15"/>
    <m/>
    <m/>
    <s v="No"/>
    <x v="3"/>
    <m/>
    <m/>
    <s v="137.21.7.121"/>
    <s v="BL2441.3 -- .Q575 2015eb"/>
    <s v="299/.31"/>
    <d v="2014-09-15T00:00:00"/>
  </r>
  <r>
    <x v="4233"/>
    <d v="1899-12-30T00:38:09"/>
    <x v="807"/>
    <x v="0"/>
    <s v="Buffalo"/>
    <x v="73"/>
    <n v="1119505"/>
    <x v="0"/>
    <s v="Science: Chemistry; Science"/>
    <s v="9781118355015"/>
    <s v=",1,2,3,4,5,227,228,229,225,226,249,250,230,224,223,231,222,221,220,219,218,217,216,215,214,213,232"/>
    <n v="27"/>
    <m/>
    <m/>
    <s v="No"/>
    <x v="0"/>
    <d v="2015-11-05T02:11:31"/>
    <n v="7"/>
    <s v="128.205.114.91"/>
    <s v="QD251.3 -- .S38 2013eb"/>
    <s v="547/.128"/>
    <d v="2013-01-28T00:00:00"/>
  </r>
  <r>
    <x v="4234"/>
    <d v="1899-12-30T04:54:22"/>
    <x v="828"/>
    <x v="9"/>
    <s v="trocaire"/>
    <x v="669"/>
    <n v="1742841"/>
    <x v="4"/>
    <s v="Medicine"/>
    <s v="9781462516445"/>
    <s v=",1,2,3,275,276,277,274,273,351,352,353,349,350,354,355,356,357,358,359,360,361,485,486,487,483,484,464,465,466,462,463,529,530,531,528,527,532,533,534,535,536,537,538,539,540,541,542,464,465,466,462,463,487,488,482,483"/>
    <n v="49"/>
    <m/>
    <m/>
    <s v="No"/>
    <x v="0"/>
    <d v="2015-11-02T03:59:47"/>
    <n v="7"/>
    <s v="173.225.62.67"/>
    <s v="RC537 -- .H3376 2014eb"/>
    <n v="616.85270000000003"/>
    <d v="2014-10-22T00:00:00"/>
  </r>
  <r>
    <x v="4235"/>
    <d v="1899-12-30T00:56:56"/>
    <x v="1036"/>
    <x v="1"/>
    <s v="brockport"/>
    <x v="518"/>
    <n v="1895714"/>
    <x v="0"/>
    <s v="History"/>
    <s v="9781118896112"/>
    <s v=",10,11,12,12,13,14,13,15,14,11,17,15,16,18,18,19,16,19,17,14,13,18,20,20,22,22,23,24,23,25,24,21,25,26,26,27,27,28,28,29,29,30,32,35,32,35,30,36,37,36,37,38,39,43,44,38,44,39,43,45,46,47,45,46,48,48,47,50,49,50,49,51,51,52,52,53,53,54,54,55,55,56,56,180,182,181,182,181,180,179,178,179,169,170,171,169,167,170,168,171,168,172,172,167,172,173,173,168,167,172,173,174,174,175,175,170,169,174,175,176,176,177,177,178,179,180,174,179,180,181,176,175,180,181,182,177"/>
    <n v="57"/>
    <m/>
    <m/>
    <s v="No"/>
    <x v="0"/>
    <d v="2015-11-07T22:13:28"/>
    <n v="7"/>
    <s v="137.21.7.121"/>
    <s v="DT60 .B373 2014"/>
    <n v="932"/>
    <d v="2015-01-07T00:00:00"/>
  </r>
  <r>
    <x v="4236"/>
    <d v="1899-12-30T00:50:00"/>
    <x v="1008"/>
    <x v="0"/>
    <s v="Buffalo"/>
    <x v="73"/>
    <n v="1119505"/>
    <x v="0"/>
    <s v="Science: Chemistry; Science"/>
    <s v="9781118355015"/>
    <s v=",1,2,3,48,49,50,51,47,164,165,166,167,168,142,143,144,140,141,145,184,185,186,187,183,188,189,190,191,192,193,194,195,173,174,175,171,172,176,177,178,179,128,129,130,126,127,125,124,122,123,121,120,119,118,117,116,115,114,113,112,180,181"/>
    <n v="62"/>
    <m/>
    <m/>
    <s v="No"/>
    <x v="0"/>
    <d v="2015-11-07T20:21:35"/>
    <n v="7"/>
    <s v="128.205.114.91"/>
    <s v="QD251.3 -- .S38 2013eb"/>
    <s v="547/.128"/>
    <d v="2013-01-28T00:00:00"/>
  </r>
  <r>
    <x v="4237"/>
    <d v="1899-12-30T00:07:09"/>
    <x v="1036"/>
    <x v="1"/>
    <s v="brockport"/>
    <x v="518"/>
    <n v="1895714"/>
    <x v="0"/>
    <s v="History"/>
    <s v="9781118896112"/>
    <s v=",1,3,3,2,2,1,4,4,5,5,6,7,6,7,8,8,9,9,2,10,10,5"/>
    <n v="10"/>
    <m/>
    <m/>
    <s v="No"/>
    <x v="3"/>
    <m/>
    <m/>
    <s v="137.21.7.121"/>
    <s v="DT60 .B373 2014"/>
    <n v="932"/>
    <d v="2015-01-07T00:00:00"/>
  </r>
  <r>
    <x v="4238"/>
    <d v="1899-12-30T00:00:22"/>
    <x v="1103"/>
    <x v="9"/>
    <s v="trocaire"/>
    <x v="684"/>
    <n v="1120621"/>
    <x v="0"/>
    <s v="Education"/>
    <s v="9781118362679"/>
    <s v=",51,52,53,54,55"/>
    <n v="5"/>
    <m/>
    <m/>
    <s v="No"/>
    <x v="0"/>
    <d v="2015-11-07T21:56:58"/>
    <n v="7"/>
    <s v="173.225.62.67"/>
    <s v="LB3013.3 .R59 2012"/>
    <s v="371.5/8; 371.58"/>
    <d v="2012-08-15T00:00:00"/>
  </r>
  <r>
    <x v="4239"/>
    <d v="1899-12-30T00:03:32"/>
    <x v="1103"/>
    <x v="9"/>
    <s v="trocaire"/>
    <x v="684"/>
    <n v="1120621"/>
    <x v="0"/>
    <s v="Education"/>
    <s v="9781118362679"/>
    <s v=",1,2,3,37,38,39,35,36,40,41,42,43,44,45,46,47,48,49,50"/>
    <n v="19"/>
    <m/>
    <m/>
    <s v="No"/>
    <x v="1"/>
    <m/>
    <m/>
    <s v="173.225.62.67"/>
    <s v="LB3013.3 .R59 2012"/>
    <s v="371.5/8; 371.58"/>
    <d v="2012-08-15T00:00:00"/>
  </r>
  <r>
    <x v="4240"/>
    <d v="1899-12-30T00:04:45"/>
    <x v="13"/>
    <x v="0"/>
    <s v="Buffalo"/>
    <x v="702"/>
    <n v="1187185"/>
    <x v="0"/>
    <s v="Engineering; Engineering: Mining; Engineering: Environmental"/>
    <s v="9781118748183"/>
    <s v=",1,22,21,23,20,19,2,24,82,83,84,80,81,85"/>
    <n v="14"/>
    <m/>
    <m/>
    <s v="No"/>
    <x v="0"/>
    <d v="2015-11-05T22:19:58"/>
    <n v="7"/>
    <s v="128.205.114.91"/>
    <s v="TD195.G3 -- H65 2013eb"/>
    <n v="622.33799999999997"/>
    <d v="2013-05-06T00:00:00"/>
  </r>
  <r>
    <x v="4241"/>
    <d v="1899-12-30T00:00:41"/>
    <x v="828"/>
    <x v="9"/>
    <s v="trocaire"/>
    <x v="79"/>
    <n v="1757960"/>
    <x v="0"/>
    <s v="Medicine"/>
    <s v="9781118780770"/>
    <s v=",1,2,3,15,16,17,13,14,15,16,17,13,14"/>
    <n v="8"/>
    <m/>
    <m/>
    <s v="No"/>
    <x v="0"/>
    <d v="2015-11-02T02:01:33"/>
    <n v="7"/>
    <s v="173.225.62.67"/>
    <s v="RC537 -- .A236 2014eb"/>
    <s v="616.85/27"/>
    <d v="2014-07-30T00:00:00"/>
  </r>
  <r>
    <x v="4242"/>
    <d v="1899-12-30T00:04:00"/>
    <x v="1103"/>
    <x v="9"/>
    <s v="trocaire"/>
    <x v="232"/>
    <n v="822111"/>
    <x v="0"/>
    <s v="Social Science"/>
    <s v="9781444356922"/>
    <s v=",38,39,40,41,42,43,44"/>
    <n v="7"/>
    <m/>
    <m/>
    <s v="No"/>
    <x v="0"/>
    <d v="2015-11-07T20:30:33"/>
    <n v="7"/>
    <s v="173.225.62.67"/>
    <s v="HV6773 -- .K69 2012eb"/>
    <s v="302.34/3"/>
    <d v="2012-02-16T00:00:00"/>
  </r>
  <r>
    <x v="4243"/>
    <d v="1899-12-30T00:04:32"/>
    <x v="1103"/>
    <x v="9"/>
    <s v="trocaire"/>
    <x v="232"/>
    <n v="822111"/>
    <x v="0"/>
    <s v="Social Science"/>
    <s v="9781444356922"/>
    <s v=",1,2,3,32,34,33,30,31,35,36,37"/>
    <n v="11"/>
    <m/>
    <m/>
    <s v="No"/>
    <x v="1"/>
    <m/>
    <m/>
    <s v="173.225.62.67"/>
    <s v="HV6773 -- .K69 2012eb"/>
    <s v="302.34/3"/>
    <d v="2012-02-16T00:00:00"/>
  </r>
  <r>
    <x v="4244"/>
    <d v="1899-12-30T00:36:54"/>
    <x v="986"/>
    <x v="0"/>
    <s v="Buffalo"/>
    <x v="73"/>
    <n v="1119505"/>
    <x v="0"/>
    <s v="Science: Chemistry; Science"/>
    <s v="9781118355015"/>
    <s v=",202,203,204,205,206,207,208,209,210,211"/>
    <n v="10"/>
    <m/>
    <m/>
    <s v="No"/>
    <x v="0"/>
    <d v="2015-11-07T20:23:25"/>
    <n v="7"/>
    <s v="128.205.114.91"/>
    <s v="QD251.3 -- .S38 2013eb"/>
    <s v="547/.128"/>
    <d v="2013-01-28T00:00:00"/>
  </r>
  <r>
    <x v="4245"/>
    <d v="1899-12-30T00:00:00"/>
    <x v="1008"/>
    <x v="0"/>
    <s v="Buffalo"/>
    <x v="73"/>
    <n v="1119505"/>
    <x v="0"/>
    <s v="Science: Chemistry; Science"/>
    <s v="9781118355015"/>
    <m/>
    <n v="0"/>
    <m/>
    <s v=",197,198,199,200,201,202,203,204,205,206,207,208,209,210,211,212,213,214,215,216,217,218,219,220,221,222,223,224,225,226,227,228,229,230"/>
    <s v="No"/>
    <x v="0"/>
    <d v="2015-11-07T20:21:35"/>
    <n v="7"/>
    <s v="128.205.114.91"/>
    <s v="QD251.3 -- .S38 2013eb"/>
    <s v="547/.128"/>
    <d v="2013-01-28T00:00:00"/>
  </r>
  <r>
    <x v="4246"/>
    <d v="1899-12-30T00:00:29"/>
    <x v="1008"/>
    <x v="0"/>
    <s v="Buffalo"/>
    <x v="73"/>
    <n v="1119505"/>
    <x v="0"/>
    <s v="Science: Chemistry; Science"/>
    <s v="9781118355015"/>
    <s v=",1,2,3,197,198,199,195,196,200,227,228,229,225,230,231,232"/>
    <n v="16"/>
    <m/>
    <m/>
    <s v="No"/>
    <x v="1"/>
    <m/>
    <m/>
    <s v="128.205.114.91"/>
    <s v="QD251.3 -- .S38 2013eb"/>
    <s v="547/.128"/>
    <d v="2013-01-28T00:00:00"/>
  </r>
  <r>
    <x v="4247"/>
    <d v="1899-12-30T00:21:04"/>
    <x v="1100"/>
    <x v="0"/>
    <s v="Buffalo"/>
    <x v="1053"/>
    <n v="1788961"/>
    <x v="4"/>
    <s v="Education"/>
    <s v="9781462519514"/>
    <s v=",1,2,3,4,5,6,8,10,11,13,15,16,18,19,20,21,22,23,24,21,22,23,19,20,24,25,26,27,28,29,30,31,32,33,34,35,36,37,38,39,40"/>
    <n v="35"/>
    <m/>
    <m/>
    <s v="No"/>
    <x v="2"/>
    <d v="2015-11-07T17:09:26"/>
    <n v="1"/>
    <s v="128.205.114.91"/>
    <s v="LB3013 -- .S566 2015eb"/>
    <n v="371.10239999999999"/>
    <d v="2015-01-02T00:00:00"/>
  </r>
  <r>
    <x v="4248"/>
    <d v="1899-12-30T00:10:32"/>
    <x v="986"/>
    <x v="0"/>
    <s v="Buffalo"/>
    <x v="73"/>
    <n v="1119505"/>
    <x v="0"/>
    <s v="Science: Chemistry; Science"/>
    <s v="9781118355015"/>
    <s v=",1,2,3,197,198,199,195,196,227,228,229,225,226,230,231,232,233,200,201"/>
    <n v="19"/>
    <m/>
    <m/>
    <s v="No"/>
    <x v="1"/>
    <m/>
    <m/>
    <s v="128.205.114.91"/>
    <s v="QD251.3 -- .S38 2013eb"/>
    <s v="547/.128"/>
    <d v="2013-01-28T00:00:00"/>
  </r>
  <r>
    <x v="4249"/>
    <d v="1899-12-30T00:30:27"/>
    <x v="1063"/>
    <x v="0"/>
    <s v="Buffalo"/>
    <x v="1006"/>
    <n v="1655862"/>
    <x v="12"/>
    <s v="Social Science; Religion"/>
    <s v="9781469615493"/>
    <s v=",189,190,190,191,191"/>
    <n v="3"/>
    <m/>
    <m/>
    <s v="No"/>
    <x v="2"/>
    <d v="2015-11-07T20:04:23"/>
    <n v="1"/>
    <s v="128.205.114.91"/>
    <s v="BX1406.3 -- .D89 2014eb"/>
    <s v="391.0088/28273"/>
    <d v="2014-04-15T00:00:00"/>
  </r>
  <r>
    <x v="4250"/>
    <d v="1899-12-30T00:01:26"/>
    <x v="769"/>
    <x v="0"/>
    <s v="Buffalo"/>
    <x v="684"/>
    <n v="1120621"/>
    <x v="0"/>
    <s v="Education"/>
    <s v="9781118362679"/>
    <s v=",1,2,3,4,57,58,59,55,56"/>
    <n v="9"/>
    <m/>
    <m/>
    <s v="No"/>
    <x v="1"/>
    <m/>
    <m/>
    <s v="128.205.114.91"/>
    <s v="LB3013.3 .R59 2012"/>
    <s v="371.5/8; 371.58"/>
    <d v="2012-08-15T00:00:00"/>
  </r>
  <r>
    <x v="4251"/>
    <d v="1899-12-30T00:00:26"/>
    <x v="828"/>
    <x v="9"/>
    <s v="trocaire"/>
    <x v="232"/>
    <n v="822111"/>
    <x v="0"/>
    <s v="Social Science"/>
    <s v="9781444356922"/>
    <s v=",1,2,3,70,71,72,68,69,73"/>
    <n v="9"/>
    <m/>
    <m/>
    <s v="No"/>
    <x v="1"/>
    <m/>
    <m/>
    <s v="173.225.62.67"/>
    <s v="HV6773 -- .K69 2012eb"/>
    <s v="302.34/3"/>
    <d v="2012-02-16T00:00:00"/>
  </r>
  <r>
    <x v="4252"/>
    <d v="1899-12-30T00:14:56"/>
    <x v="13"/>
    <x v="0"/>
    <s v="Buffalo"/>
    <x v="1080"/>
    <n v="1185074"/>
    <x v="4"/>
    <s v="Language/Linguistics; Education"/>
    <s v="9781462510122"/>
    <s v=",399,400,401,397,398,402,403,404,405,406,401,407,408,409,410,411,412,413,414,415,416,417,418,419,420,421,422,423,424,405,366,367,368"/>
    <n v="31"/>
    <m/>
    <s v=",423,424,425,426,427,428,429,430,431,432,433,434,435,436,437,438,439,440,441,442,443,444,445,446,447,448,399,400,401,403,404,403,405,406,407,408,409,410,411,412,413,414,415,416,417,418,419,420"/>
    <s v="No"/>
    <x v="0"/>
    <d v="2015-11-07T19:48:45"/>
    <n v="7"/>
    <s v="128.205.114.91"/>
    <s v="LB1576 -- .B487 2013eb"/>
    <n v="428.00709999999998"/>
    <d v="2014-05-14T00:00:00"/>
  </r>
  <r>
    <x v="4253"/>
    <d v="1899-12-30T00:00:45"/>
    <x v="13"/>
    <x v="0"/>
    <s v="Buffalo"/>
    <x v="1080"/>
    <n v="1185074"/>
    <x v="4"/>
    <s v="Language/Linguistics; Education"/>
    <s v="9781462510122"/>
    <s v=",1,2,3,402,403,404,400,401,409,410,411,407,408,412,413,414,415,416,417,418,419,420,421,422,423,424,425"/>
    <n v="27"/>
    <m/>
    <m/>
    <s v="No"/>
    <x v="1"/>
    <m/>
    <m/>
    <s v="128.205.114.91"/>
    <s v="LB1576 -- .B487 2013eb"/>
    <n v="428.00709999999998"/>
    <d v="2014-05-14T00:00:00"/>
  </r>
  <r>
    <x v="4254"/>
    <d v="1899-12-30T00:17:01"/>
    <x v="1063"/>
    <x v="0"/>
    <s v="Buffalo"/>
    <x v="1006"/>
    <n v="1655862"/>
    <x v="12"/>
    <s v="Social Science; Religion"/>
    <s v="9781469615493"/>
    <s v=",1,2,3,184,185,186,182,183,187,188"/>
    <n v="10"/>
    <m/>
    <m/>
    <s v="No"/>
    <x v="3"/>
    <m/>
    <m/>
    <s v="128.205.114.91"/>
    <s v="BX1406.3 -- .D89 2014eb"/>
    <s v="391.0088/28273"/>
    <d v="2014-04-15T00:00:00"/>
  </r>
  <r>
    <x v="4255"/>
    <d v="1899-12-30T00:00:22"/>
    <x v="13"/>
    <x v="0"/>
    <s v="Buffalo"/>
    <x v="510"/>
    <n v="1109590"/>
    <x v="14"/>
    <s v="Fine Arts"/>
    <s v="9781476600093"/>
    <s v=",1,3,3,2,2,1,124,124,125,126,122,125,123,123,2,126"/>
    <n v="8"/>
    <m/>
    <m/>
    <s v="No"/>
    <x v="1"/>
    <m/>
    <m/>
    <s v="128.205.114.91"/>
    <s v="PN1999.W27 -- D58 2013eb"/>
    <s v="791.43/6552; 791.436552"/>
    <d v="2013-01-20T00:00:00"/>
  </r>
  <r>
    <x v="4256"/>
    <d v="1899-12-30T00:04:27"/>
    <x v="1120"/>
    <x v="0"/>
    <s v="Buffalo"/>
    <x v="1081"/>
    <n v="1760713"/>
    <x v="4"/>
    <s v="Education"/>
    <s v="9781462517213"/>
    <s v=",90,92,91,88,89,37,38,39,35,36,40,41,42,43,44,45,46,47,48,49,50,51,52,53,54,55,56,57,58,59,60,61,62,63,64,65,66,67,68,69,70,71,72,73,74,75,76,77,78,79,80,81,82,83,85,86,87,88,89,90,91,92,93,85,83,81,80,79,71,72,73,69,70,74,75,76,77,78,82,84,86,94,95,96"/>
    <n v="62"/>
    <m/>
    <s v=",71,72,73,74,75,76,77,78,79,80,81,82,83,84,85,86,87,88,89,90,91,92,93,94"/>
    <s v="No"/>
    <x v="2"/>
    <d v="2015-11-07T19:31:53"/>
    <n v="1"/>
    <s v="128.205.114.91"/>
    <s v="LB1576 -- .B486 2014eb"/>
    <n v="372.6044"/>
    <d v="2014-11-13T00:00:00"/>
  </r>
  <r>
    <x v="4257"/>
    <d v="1899-12-30T00:05:26"/>
    <x v="1120"/>
    <x v="0"/>
    <s v="Buffalo"/>
    <x v="1081"/>
    <n v="1760713"/>
    <x v="4"/>
    <s v="Education"/>
    <s v="9781462517213"/>
    <s v=",1,2,3,71,72,73,69,70,68,64,65,66,62,63,67,68,69,70,71,72,73,74,75,76,77,78,79,80,81,82,83,84,85,86,87,88,89,90,91,92"/>
    <n v="34"/>
    <m/>
    <m/>
    <s v="No"/>
    <x v="3"/>
    <m/>
    <m/>
    <s v="128.205.114.91"/>
    <s v="LB1576 -- .B486 2014eb"/>
    <n v="372.6044"/>
    <d v="2014-11-13T00:00:00"/>
  </r>
  <r>
    <x v="4258"/>
    <d v="1899-12-30T00:00:33"/>
    <x v="1121"/>
    <x v="0"/>
    <s v="Buffalo"/>
    <x v="799"/>
    <n v="1815566"/>
    <x v="1"/>
    <s v="Political Science"/>
    <s v="9781472430083"/>
    <s v=",1,2,3,4,5,6,7,8,9,10,11,12"/>
    <n v="12"/>
    <m/>
    <m/>
    <s v="No"/>
    <x v="3"/>
    <m/>
    <m/>
    <s v="128.205.114.91"/>
    <s v="JV6346 -- .L37 2014eb"/>
    <s v="325/.21"/>
    <d v="2014-12-28T00:00:00"/>
  </r>
  <r>
    <x v="4259"/>
    <d v="1899-12-30T01:41:32"/>
    <x v="789"/>
    <x v="6"/>
    <s v="sjfc"/>
    <x v="68"/>
    <n v="1822529"/>
    <x v="0"/>
    <s v="Mathematics"/>
    <s v="9781118824344"/>
    <s v=",1,2,3,1,2,3,75,76,77,73,74,78,79,80,1,80,82,81,78,79,83,2,81,82,83,79,80,84,85,86,87,88,89,90,91,401,402,403,399,400,404,405,406,27,28,29,25,26,30,31,32,33,34,35,44,45,46,42,43,47,48,49,50,51,52,41,40,77,78,79,75,76,89,90,91,92,93,94,95,96,97"/>
    <n v="60"/>
    <m/>
    <m/>
    <s v="No"/>
    <x v="0"/>
    <d v="2015-11-02T19:57:11"/>
    <n v="7"/>
    <s v="149.69.254.57"/>
    <s v="QA297 -- .S59 2015eb"/>
    <n v="519.4"/>
    <d v="2014-10-20T00:00:00"/>
  </r>
  <r>
    <x v="4260"/>
    <d v="1899-12-30T00:00:28"/>
    <x v="1119"/>
    <x v="12"/>
    <s v="potsdam"/>
    <x v="1082"/>
    <n v="1650815"/>
    <x v="0"/>
    <s v="Medicine; Home Economics; Pharmacy"/>
    <s v="9780730304869"/>
    <s v=",1,2,3,2,1,3,2,2"/>
    <n v="3"/>
    <m/>
    <m/>
    <s v="No"/>
    <x v="3"/>
    <m/>
    <m/>
    <s v="137.143.104.94"/>
    <s v="RM237.86 -- .C568 2014eb"/>
    <n v="641.56380000000001"/>
    <d v="2014-03-04T00:00:00"/>
  </r>
  <r>
    <x v="4261"/>
    <d v="1899-12-30T00:16:55"/>
    <x v="1119"/>
    <x v="12"/>
    <s v="potsdam"/>
    <x v="1078"/>
    <n v="1895314"/>
    <x v="0"/>
    <s v="Home Economics; Pharmacy; Medicine"/>
    <s v="9781119052531"/>
    <s v=",93,93,94,94,95,95,90,95,96,96,67,67,68,68,69,65,69,66,66,121,122,121,122,123,119,120,123,120,124,124,125,125,126,126,127,127,128,128,123,122,121,126"/>
    <n v="20"/>
    <m/>
    <m/>
    <s v="Yes"/>
    <x v="2"/>
    <d v="2015-11-07T17:37:49"/>
    <n v="1"/>
    <s v="137.143.104.94"/>
    <s v="RM237.86"/>
    <n v="641.56309999999996"/>
    <d v="2015-06-02T00:00:00"/>
  </r>
  <r>
    <x v="4262"/>
    <d v="1899-12-30T00:00:06"/>
    <x v="1119"/>
    <x v="12"/>
    <s v="potsdam"/>
    <x v="1078"/>
    <n v="1895314"/>
    <x v="0"/>
    <s v="Home Economics; Pharmacy; Medicine"/>
    <s v="9781119052531"/>
    <s v=",90,90,91,89,88,92,91,89,92"/>
    <n v="5"/>
    <m/>
    <m/>
    <s v="No"/>
    <x v="2"/>
    <d v="2015-11-07T17:37:49"/>
    <n v="1"/>
    <s v="137.143.104.94"/>
    <s v="RM237.86"/>
    <n v="641.56309999999996"/>
    <d v="2015-06-02T00:00:00"/>
  </r>
  <r>
    <x v="4263"/>
    <d v="1899-12-30T00:07:29"/>
    <x v="1119"/>
    <x v="12"/>
    <s v="potsdam"/>
    <x v="1078"/>
    <n v="1895314"/>
    <x v="0"/>
    <s v="Home Economics; Pharmacy; Medicine"/>
    <s v="9781119052531"/>
    <s v=",1,2,3,1,2,3,2,2"/>
    <n v="3"/>
    <m/>
    <m/>
    <s v="No"/>
    <x v="3"/>
    <m/>
    <m/>
    <s v="137.143.104.94"/>
    <s v="RM237.86"/>
    <n v="641.56309999999996"/>
    <d v="2015-06-02T00:00:00"/>
  </r>
  <r>
    <x v="4264"/>
    <d v="1899-12-30T00:00:04"/>
    <x v="1122"/>
    <x v="0"/>
    <s v="Buffalo"/>
    <x v="1083"/>
    <n v="1676117"/>
    <x v="0"/>
    <s v="Computer Science/IT; Business/Management"/>
    <s v="9781118898109"/>
    <s v=",1,2,3"/>
    <n v="3"/>
    <m/>
    <m/>
    <s v="No"/>
    <x v="1"/>
    <m/>
    <m/>
    <s v="128.205.114.91"/>
    <s v="HF5548.4.M523 -- .N457 2014eb"/>
    <n v="5.54"/>
    <d v="2014-04-14T00:00:00"/>
  </r>
  <r>
    <x v="4265"/>
    <d v="1899-12-30T00:17:55"/>
    <x v="1100"/>
    <x v="0"/>
    <s v="Buffalo"/>
    <x v="1053"/>
    <n v="1788961"/>
    <x v="4"/>
    <s v="Education"/>
    <s v="9781462519514"/>
    <s v=",18,3,1,2,4,5,6,7,8,9,10,11,12,15,16,17,13,14,18,19,20,21,22"/>
    <n v="22"/>
    <s v=",20"/>
    <m/>
    <s v="Yes"/>
    <x v="2"/>
    <d v="2015-11-07T17:09:26"/>
    <n v="1"/>
    <s v="128.205.114.91"/>
    <s v="LB3013 -- .S566 2015eb"/>
    <n v="371.10239999999999"/>
    <d v="2015-01-02T00:00:00"/>
  </r>
  <r>
    <x v="4265"/>
    <d v="1899-12-30T00:00:00"/>
    <x v="1100"/>
    <x v="0"/>
    <s v="Buffalo"/>
    <x v="1053"/>
    <n v="1788961"/>
    <x v="4"/>
    <s v="Education"/>
    <s v="9781462519514"/>
    <m/>
    <n v="0"/>
    <m/>
    <m/>
    <s v="No"/>
    <x v="2"/>
    <d v="2015-11-07T17:09:26"/>
    <n v="1"/>
    <s v="128.205.114.91"/>
    <s v="LB3013 -- .S566 2015eb"/>
    <n v="371.10239999999999"/>
    <d v="2015-01-02T00:00:00"/>
  </r>
  <r>
    <x v="4266"/>
    <d v="1899-12-30T00:00:48"/>
    <x v="1100"/>
    <x v="0"/>
    <s v="Buffalo"/>
    <x v="1053"/>
    <n v="1788961"/>
    <x v="4"/>
    <s v="Education"/>
    <s v="9781462519514"/>
    <s v=",1,2,3,4,7,15,16,17,13,14"/>
    <n v="10"/>
    <m/>
    <m/>
    <s v="No"/>
    <x v="3"/>
    <m/>
    <m/>
    <s v="128.205.114.91"/>
    <s v="LB3013 -- .S566 2015eb"/>
    <n v="371.10239999999999"/>
    <d v="2015-01-02T00:00:00"/>
  </r>
  <r>
    <x v="4267"/>
    <d v="1899-12-30T00:00:05"/>
    <x v="1006"/>
    <x v="6"/>
    <s v="sjfc"/>
    <x v="244"/>
    <n v="848510"/>
    <x v="0"/>
    <s v="Medicine"/>
    <s v="9781118220481"/>
    <s v=",1,2,3"/>
    <n v="3"/>
    <m/>
    <m/>
    <s v="No"/>
    <x v="1"/>
    <m/>
    <m/>
    <s v="149.69.254.57"/>
    <s v="RC489.C63 -- C64 2012eb"/>
    <s v="616.89/1425"/>
    <d v="2012-06-06T00:00:00"/>
  </r>
  <r>
    <x v="4268"/>
    <d v="1899-12-30T00:00:00"/>
    <x v="1123"/>
    <x v="15"/>
    <s v="morrisville"/>
    <x v="1084"/>
    <n v="1244526"/>
    <x v="2"/>
    <s v="Engineering: Mechanical; Engineering; Engineering: General"/>
    <s v="9781136073823"/>
    <m/>
    <n v="0"/>
    <m/>
    <m/>
    <s v="No"/>
    <x v="2"/>
    <d v="2015-11-07T13:48:29"/>
    <n v="1"/>
    <s v="136.204.32.67"/>
    <s v="TL272 -- .D43 2012eb"/>
    <n v="629.25400000000002"/>
    <d v="2013-07-04T00:00:00"/>
  </r>
  <r>
    <x v="4269"/>
    <d v="1899-12-30T00:03:28"/>
    <x v="1123"/>
    <x v="15"/>
    <s v="morrisville"/>
    <x v="1084"/>
    <n v="1244526"/>
    <x v="2"/>
    <s v="Engineering: Mechanical; Engineering; Engineering: General"/>
    <s v="9781136073823"/>
    <s v=",1,2,3,230,231,232,4,5,6"/>
    <n v="9"/>
    <m/>
    <m/>
    <s v="No"/>
    <x v="3"/>
    <m/>
    <m/>
    <s v="136.204.32.67"/>
    <s v="TL272 -- .D43 2012eb"/>
    <n v="629.25400000000002"/>
    <d v="2013-07-04T00:00:00"/>
  </r>
  <r>
    <x v="4270"/>
    <d v="1899-12-30T00:00:00"/>
    <x v="828"/>
    <x v="9"/>
    <s v="trocaire"/>
    <x v="1057"/>
    <n v="332602"/>
    <x v="0"/>
    <s v="Education"/>
    <s v="9780631227885"/>
    <m/>
    <n v="0"/>
    <m/>
    <m/>
    <s v="No"/>
    <x v="0"/>
    <d v="2015-10-31T18:36:28"/>
    <n v="7"/>
    <s v="173.225.62.67"/>
    <s v="LB1124 -- .O48 1993eb"/>
    <s v="371.5/8"/>
    <d v="2013-05-30T00:00:00"/>
  </r>
  <r>
    <x v="4271"/>
    <d v="1899-12-30T00:24:45"/>
    <x v="828"/>
    <x v="9"/>
    <s v="trocaire"/>
    <x v="684"/>
    <n v="1120621"/>
    <x v="0"/>
    <s v="Education"/>
    <s v="9781118362679"/>
    <s v=",1,2,59,61,57,58,60,62,63"/>
    <n v="9"/>
    <m/>
    <m/>
    <s v="No"/>
    <x v="0"/>
    <d v="2015-10-31T21:28:20"/>
    <n v="7"/>
    <s v="173.225.62.67"/>
    <s v="LB3013.3 .R59 2012"/>
    <s v="371.5/8; 371.58"/>
    <d v="2012-08-15T00:00:00"/>
  </r>
  <r>
    <x v="4272"/>
    <d v="1899-12-30T01:01:09"/>
    <x v="1035"/>
    <x v="13"/>
    <s v="buffalostate"/>
    <x v="270"/>
    <n v="1637652"/>
    <x v="3"/>
    <s v="Education"/>
    <s v="9780520958449"/>
    <s v=",1,2,3,26,27,28,24,25,29,30,31,32,33,34,35,36,37,38,39,40,41,42,43,44,45,46,47,48,49,50,51,52,53,54,55,92,93,94,90,91,56,57,58,26,27,28,24,25,29,30"/>
    <n v="43"/>
    <m/>
    <m/>
    <s v="No"/>
    <x v="0"/>
    <d v="2015-11-06T19:02:37"/>
    <n v="7"/>
    <s v="136.183.11.43"/>
    <s v="LB2340.2 -- .B478 2014eb"/>
    <s v="378.3/62"/>
    <d v="2014-05-02T00:00:00"/>
  </r>
  <r>
    <x v="4273"/>
    <d v="1899-12-30T00:00:00"/>
    <x v="1124"/>
    <x v="0"/>
    <s v="Buffalo"/>
    <x v="605"/>
    <n v="832297"/>
    <x v="0"/>
    <s v="History"/>
    <s v="9781118300947"/>
    <m/>
    <n v="0"/>
    <m/>
    <s v=",187,188,189,190,191,192,193,194,195,196,197,198,199,200"/>
    <s v="No"/>
    <x v="0"/>
    <d v="2015-11-06T23:29:54"/>
    <n v="7"/>
    <s v="128.205.114.91"/>
    <s v="DF12 -- .R65 2011eb"/>
    <n v="938"/>
    <d v="2011-12-19T00:00:00"/>
  </r>
  <r>
    <x v="4274"/>
    <d v="1899-12-30T00:04:44"/>
    <x v="1124"/>
    <x v="0"/>
    <s v="Buffalo"/>
    <x v="605"/>
    <n v="832297"/>
    <x v="0"/>
    <s v="History"/>
    <s v="9781118300947"/>
    <s v=",1,2,3,187,188,189,185,186"/>
    <n v="8"/>
    <m/>
    <m/>
    <s v="No"/>
    <x v="1"/>
    <m/>
    <m/>
    <s v="128.205.114.91"/>
    <s v="DF12 -- .R65 2011eb"/>
    <n v="938"/>
    <d v="2011-12-19T00:00:00"/>
  </r>
  <r>
    <x v="4275"/>
    <d v="1899-12-30T00:05:31"/>
    <x v="1103"/>
    <x v="9"/>
    <s v="trocaire"/>
    <x v="232"/>
    <n v="822111"/>
    <x v="0"/>
    <s v="Social Science"/>
    <s v="9781444356922"/>
    <s v=",1,2,3,103,104,101,102,105,106,32,33,34,31,30,35,36,37,132,133,134,130,131,135,136"/>
    <n v="24"/>
    <m/>
    <m/>
    <s v="No"/>
    <x v="1"/>
    <m/>
    <m/>
    <s v="173.225.62.67"/>
    <s v="HV6773 -- .K69 2012eb"/>
    <s v="302.34/3"/>
    <d v="2012-02-16T00:00:00"/>
  </r>
  <r>
    <x v="4276"/>
    <d v="1899-12-30T00:06:30"/>
    <x v="1103"/>
    <x v="9"/>
    <s v="trocaire"/>
    <x v="684"/>
    <n v="1120621"/>
    <x v="0"/>
    <s v="Education"/>
    <s v="9781118362679"/>
    <s v=",3,2,1,23,25,24,21,22"/>
    <n v="8"/>
    <m/>
    <m/>
    <s v="No"/>
    <x v="0"/>
    <d v="2015-10-31T03:43:55"/>
    <n v="7"/>
    <s v="173.225.62.67"/>
    <s v="LB3013.3 .R59 2012"/>
    <s v="371.5/8; 371.58"/>
    <d v="2012-08-15T00:00:00"/>
  </r>
  <r>
    <x v="4277"/>
    <d v="1899-12-30T00:08:59"/>
    <x v="1125"/>
    <x v="0"/>
    <s v="Buffalo"/>
    <x v="654"/>
    <n v="1724876"/>
    <x v="0"/>
    <s v="Business/Management; Economics"/>
    <s v="9781118914113"/>
    <s v=",1,2,3,1,4,5,2,3"/>
    <n v="5"/>
    <m/>
    <s v="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270,271,272,273,274,275,276,277,278,279,280,281,282,283,284,285,286,287,288,289,290,291,292,293,294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270,271,272,273,274,275,276,277,278,279,280,281,282,283,284,285,286,287,288,289,290,291,292,293,294,366,367,368,369,370,371,372,373,374,375,376,377,378,379,380,381,382,383,384,385,386,387,388,389,390,391,392,393,394,395,396,397,398,399,400,401,402,403,404,405,406,407,408,409,410,411,412,413,414,415,416,417,418,419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270,271,272,273,274,275,276,277,278,279,280,281,282,283,284,285,286,287,288,289,290,291,292,293,294,366,367,368,369,370,371,372,373,374,375,376,377,378,379,380,381,382,383,384,385,386,387,388,389,390,391,392,393,394,395,396,397,398,399,400,401,402,403,404,405,406,407,408,409,410,411,412,413,414,415,416,417,418,419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,366,367,368,369,370,371,372,373,374,375,376,377,378,379,380,381,382,383,384,385,386,387,388,389,390,391,392,393,394,395,396,397,398,399,400,401,402,403,404,405,406,407,408,409,410,411,412,413,414,415,416,417,418,419,421,422,423,424,425,426,427,428,429,430,431,432,433,434,435,436,437,438,439,440,441,442,443,444,445,446,447,448,449,450,451,452,453,454,455,456,457,458,459,460,461,462,463,464,465,466,467,468,469,470,471,472,473,474,475,476,477,478,479,480,481,482,483,484,485,486,487,488,489,490,491,492,493,494,495,496,497"/>
    <s v="No"/>
    <x v="0"/>
    <d v="2015-11-02T18:36:48"/>
    <n v="7"/>
    <s v="128.205.114.91"/>
    <s v="HG173 -- .G733 2014eb"/>
    <n v="332"/>
    <d v="2014-06-26T00:00:00"/>
  </r>
  <r>
    <x v="4278"/>
    <d v="1899-12-30T00:01:47"/>
    <x v="828"/>
    <x v="9"/>
    <s v="trocaire"/>
    <x v="1057"/>
    <n v="332602"/>
    <x v="0"/>
    <s v="Education"/>
    <s v="9780631227885"/>
    <s v=",1,2,3,40,41,42,38,39,43"/>
    <n v="9"/>
    <m/>
    <m/>
    <s v="No"/>
    <x v="0"/>
    <d v="2015-10-31T18:36:28"/>
    <n v="7"/>
    <s v="173.225.62.67"/>
    <s v="LB1124 -- .O48 1993eb"/>
    <s v="371.5/8"/>
    <d v="2013-05-30T00:00:00"/>
  </r>
  <r>
    <x v="4279"/>
    <d v="1899-12-30T00:00:00"/>
    <x v="1126"/>
    <x v="1"/>
    <s v="brockport"/>
    <x v="263"/>
    <n v="821733"/>
    <x v="0"/>
    <s v="Military Science"/>
    <s v="9781118220627"/>
    <m/>
    <n v="0"/>
    <m/>
    <s v=",221,222"/>
    <s v="No"/>
    <x v="0"/>
    <d v="2015-11-06T21:10:59"/>
    <n v="7"/>
    <s v="137.21.7.121"/>
    <m/>
    <n v="358.41550973"/>
    <d v="2013-06-04T00:00:00"/>
  </r>
  <r>
    <x v="4280"/>
    <d v="1899-12-30T01:42:42"/>
    <x v="1103"/>
    <x v="9"/>
    <s v="trocaire"/>
    <x v="1057"/>
    <n v="332602"/>
    <x v="0"/>
    <s v="Education"/>
    <s v="9780631227885"/>
    <s v=",1,2,3,19,20,21,17,18,22,37,38,39,35,36,40,41,42"/>
    <n v="17"/>
    <m/>
    <m/>
    <s v="No"/>
    <x v="0"/>
    <d v="2015-11-02T20:50:12"/>
    <n v="7"/>
    <s v="173.225.62.67"/>
    <s v="LB1124 -- .O48 1993eb"/>
    <s v="371.5/8"/>
    <d v="2013-05-30T00:00:00"/>
  </r>
  <r>
    <x v="4281"/>
    <d v="1899-12-30T00:01:53"/>
    <x v="1126"/>
    <x v="1"/>
    <s v="brockport"/>
    <x v="263"/>
    <n v="821733"/>
    <x v="0"/>
    <s v="Military Science"/>
    <s v="9781118220627"/>
    <s v=",1,2,3,274,275,276,272,273,277,271,270,221,222,223,219,220,224,225,219,218,217,226,221,221"/>
    <n v="21"/>
    <m/>
    <m/>
    <s v="No"/>
    <x v="3"/>
    <m/>
    <m/>
    <s v="137.21.7.121"/>
    <m/>
    <n v="358.41550973"/>
    <d v="2013-06-04T00:00:00"/>
  </r>
  <r>
    <x v="4282"/>
    <d v="1899-12-30T00:00:44"/>
    <x v="1126"/>
    <x v="1"/>
    <s v="brockport"/>
    <x v="263"/>
    <n v="821733"/>
    <x v="0"/>
    <s v="Military Science"/>
    <s v="9781118220627"/>
    <s v=",1,3,2,198,199,200,196,197,201,202,203,194"/>
    <n v="12"/>
    <m/>
    <m/>
    <s v="No"/>
    <x v="3"/>
    <m/>
    <m/>
    <s v="137.21.7.121"/>
    <m/>
    <n v="358.41550973"/>
    <d v="2013-06-04T00:00:00"/>
  </r>
  <r>
    <x v="4283"/>
    <d v="1899-12-30T00:01:48"/>
    <x v="1127"/>
    <x v="7"/>
    <s v="oneonta"/>
    <x v="1085"/>
    <n v="1895172"/>
    <x v="0"/>
    <s v="Business/Management"/>
    <s v="9781118961780"/>
    <s v=",1,2,2,3,3,1,2,2,4,4,4,5,5,6,7,7,6,8,8,9,10,9,10,11,11,12,6,12,12,13,14,15,14,13,11,15,31,32,32,33,31,33,29,30,30"/>
    <n v="20"/>
    <m/>
    <m/>
    <s v="No"/>
    <x v="3"/>
    <m/>
    <m/>
    <s v="137.141.13.2"/>
    <s v="HD38.7"/>
    <n v="658.47028"/>
    <d v="2015-05-06T00:00:00"/>
  </r>
  <r>
    <x v="4284"/>
    <d v="1899-12-30T00:16:39"/>
    <x v="787"/>
    <x v="1"/>
    <s v="brockport"/>
    <x v="151"/>
    <n v="968030"/>
    <x v="0"/>
    <s v="Psychology"/>
    <s v="9781118285138"/>
    <s v=",1,2,3,307,308,309,305,306,310,311,312,313,314,385,386,387,383,384,388,389,390,391,392,393,429,430,431,427,428,432"/>
    <n v="30"/>
    <m/>
    <m/>
    <s v="No"/>
    <x v="0"/>
    <d v="2015-11-01T20:42:09"/>
    <n v="7"/>
    <s v="137.21.7.121"/>
    <s v="BF637.C6 -- S85 2013eb"/>
    <n v="158.30000000000001"/>
    <d v="2012-07-10T00:00:00"/>
  </r>
  <r>
    <x v="4285"/>
    <d v="1899-12-30T00:49:57"/>
    <x v="1081"/>
    <x v="7"/>
    <s v="oneonta"/>
    <x v="414"/>
    <n v="1143522"/>
    <x v="0"/>
    <s v="History"/>
    <s v="9781118257197"/>
    <s v=",1,2,3,185,186,187,183,184,188,173,174,175,171,172,176,181,182,179,180,178,177,187,151,152,153,149,150,59,60,61,57,58,62,63,64,66,67,68,65,69,70,148,149,150,146,147,152,153,154,155,156,157,158,159,160,217,218,219,215,216,220,221,222,223,224,225,226"/>
    <n v="62"/>
    <m/>
    <m/>
    <s v="No"/>
    <x v="0"/>
    <d v="2015-11-04T00:30:55"/>
    <n v="7"/>
    <s v="137.141.13.2"/>
    <s v="F1219.73 .S58 2013"/>
    <n v="972"/>
    <d v="2013-03-01T00:00:00"/>
  </r>
  <r>
    <x v="4286"/>
    <d v="1899-12-30T00:00:45"/>
    <x v="1006"/>
    <x v="6"/>
    <s v="sjfc"/>
    <x v="244"/>
    <n v="848510"/>
    <x v="0"/>
    <s v="Medicine"/>
    <s v="9781118220481"/>
    <s v=",1,2,3,13,14,15,11,12,16,17,18,19,20,21,23,24,25,22,26,27,28,29"/>
    <n v="22"/>
    <m/>
    <m/>
    <s v="No"/>
    <x v="1"/>
    <m/>
    <m/>
    <s v="149.69.254.57"/>
    <s v="RC489.C63 -- C64 2012eb"/>
    <s v="616.89/1425"/>
    <d v="2012-06-06T00:00:00"/>
  </r>
  <r>
    <x v="4287"/>
    <d v="1899-12-30T00:09:28"/>
    <x v="13"/>
    <x v="0"/>
    <s v="Buffalo"/>
    <x v="605"/>
    <n v="832297"/>
    <x v="0"/>
    <s v="History"/>
    <s v="9781118300947"/>
    <s v=",1,2,3,124,125,126,122,123,121"/>
    <n v="9"/>
    <m/>
    <m/>
    <s v="No"/>
    <x v="1"/>
    <m/>
    <m/>
    <s v="128.205.114.91"/>
    <s v="DF12 -- .R65 2011eb"/>
    <n v="938"/>
    <d v="2011-12-19T00:00:00"/>
  </r>
  <r>
    <x v="4288"/>
    <d v="1899-12-30T00:00:00"/>
    <x v="1128"/>
    <x v="1"/>
    <s v="brockport"/>
    <x v="263"/>
    <n v="821733"/>
    <x v="0"/>
    <s v="Military Science"/>
    <s v="9781118220627"/>
    <m/>
    <n v="0"/>
    <m/>
    <s v=",218,219"/>
    <s v="No"/>
    <x v="2"/>
    <d v="2015-11-06T20:03:54"/>
    <n v="1"/>
    <s v="137.21.7.121"/>
    <m/>
    <n v="358.41550973"/>
    <d v="2013-06-04T00:00:00"/>
  </r>
  <r>
    <x v="4289"/>
    <d v="1899-12-30T00:03:01"/>
    <x v="1128"/>
    <x v="1"/>
    <s v="brockport"/>
    <x v="263"/>
    <n v="821733"/>
    <x v="0"/>
    <s v="Military Science"/>
    <s v="9781118220627"/>
    <s v=",1,3,2,198,199,200,196,197,209,214,216,217,218,219,220,221,222,223,224,224,225,272,273,274,270,271,219,220,224,225,218,216,217"/>
    <n v="25"/>
    <m/>
    <m/>
    <s v="No"/>
    <x v="3"/>
    <m/>
    <m/>
    <s v="137.21.7.121"/>
    <m/>
    <n v="358.41550973"/>
    <d v="2013-06-04T00:00:00"/>
  </r>
  <r>
    <x v="4290"/>
    <d v="1899-12-30T00:07:09"/>
    <x v="828"/>
    <x v="9"/>
    <s v="trocaire"/>
    <x v="1057"/>
    <n v="332602"/>
    <x v="0"/>
    <s v="Education"/>
    <s v="9780631227885"/>
    <s v=",1,2,3,42,43,44,40,41,45"/>
    <n v="9"/>
    <m/>
    <m/>
    <s v="No"/>
    <x v="0"/>
    <d v="2015-10-31T18:36:28"/>
    <n v="7"/>
    <s v="173.225.62.67"/>
    <s v="LB1124 -- .O48 1993eb"/>
    <s v="371.5/8"/>
    <d v="2013-05-30T00:00:00"/>
  </r>
  <r>
    <x v="4291"/>
    <d v="1899-12-30T00:08:21"/>
    <x v="13"/>
    <x v="0"/>
    <s v="Buffalo"/>
    <x v="975"/>
    <n v="817871"/>
    <x v="0"/>
    <s v="Computer Science/IT"/>
    <s v="9781118206911"/>
    <s v=",319,320,321,318,317,322,323,324,325,326,328,327,329,330,331,418,420,419,417"/>
    <n v="19"/>
    <m/>
    <m/>
    <s v="No"/>
    <x v="0"/>
    <d v="2015-11-06T19:11:49"/>
    <n v="7"/>
    <s v="128.205.114.91"/>
    <s v="QA76.76.H94"/>
    <n v="6.74"/>
    <d v="2011-12-20T00:00:00"/>
  </r>
  <r>
    <x v="4292"/>
    <d v="1899-12-30T00:13:44"/>
    <x v="1035"/>
    <x v="13"/>
    <s v="buffalostate"/>
    <x v="270"/>
    <n v="1637652"/>
    <x v="3"/>
    <s v="Education"/>
    <s v="9780520958449"/>
    <s v=",18,19,20,21,22"/>
    <n v="5"/>
    <m/>
    <m/>
    <s v="No"/>
    <x v="0"/>
    <d v="2015-11-06T19:02:37"/>
    <n v="7"/>
    <s v="136.183.11.43"/>
    <s v="LB2340.2 -- .B478 2014eb"/>
    <s v="378.3/62"/>
    <d v="2014-05-02T00:00:00"/>
  </r>
  <r>
    <x v="4293"/>
    <d v="1899-12-30T00:11:27"/>
    <x v="13"/>
    <x v="0"/>
    <s v="Buffalo"/>
    <x v="975"/>
    <n v="817871"/>
    <x v="0"/>
    <s v="Computer Science/IT"/>
    <s v="9781118206911"/>
    <s v=",1,2,3,257,258,259,255,256,261,262,263,260"/>
    <n v="12"/>
    <m/>
    <m/>
    <s v="No"/>
    <x v="1"/>
    <m/>
    <m/>
    <s v="128.205.114.91"/>
    <s v="QA76.76.H94"/>
    <n v="6.74"/>
    <d v="2011-12-20T00:00:00"/>
  </r>
  <r>
    <x v="4294"/>
    <d v="1899-12-30T00:13:02"/>
    <x v="1035"/>
    <x v="13"/>
    <s v="buffalostate"/>
    <x v="270"/>
    <n v="1637652"/>
    <x v="3"/>
    <s v="Education"/>
    <s v="9780520958449"/>
    <s v=",1,2,3,14,15,16,12,13,17"/>
    <n v="9"/>
    <m/>
    <m/>
    <s v="No"/>
    <x v="1"/>
    <m/>
    <m/>
    <s v="136.183.11.43"/>
    <s v="LB2340.2 -- .B478 2014eb"/>
    <s v="378.3/62"/>
    <d v="2014-05-02T00:00:00"/>
  </r>
  <r>
    <x v="4295"/>
    <d v="1899-12-30T00:00:03"/>
    <x v="1129"/>
    <x v="0"/>
    <s v="Buffalo"/>
    <x v="642"/>
    <n v="918746"/>
    <x v="15"/>
    <s v="Fine Arts"/>
    <s v="9780826441850"/>
    <s v=",1,2,3"/>
    <n v="3"/>
    <m/>
    <m/>
    <s v="No"/>
    <x v="1"/>
    <m/>
    <m/>
    <s v="128.205.114.91"/>
    <s v="PN1992.8.R43 -- E84 2012eb"/>
    <n v="791.45749999999998"/>
    <d v="2012-07-01T00:00:00"/>
  </r>
  <r>
    <x v="4296"/>
    <d v="1899-12-30T00:02:04"/>
    <x v="1130"/>
    <x v="12"/>
    <s v="potsdam"/>
    <x v="1086"/>
    <n v="1474730"/>
    <x v="2"/>
    <s v="Literature"/>
    <s v="9781136357251"/>
    <s v=",1,2,3,26,28,27,24,25,32,33,34,30,31,29,35,36,37,39,40,44,45,46,42,43,47,49,51,52,53,50,54,55,156,157"/>
    <n v="34"/>
    <m/>
    <m/>
    <s v="No"/>
    <x v="3"/>
    <m/>
    <m/>
    <s v="137.143.104.94"/>
    <s v="PN6119.8 -- .W37 1999eb"/>
    <n v="808.82935799999996"/>
    <d v="1999-09-02T00:00:00"/>
  </r>
  <r>
    <x v="4297"/>
    <d v="1899-12-30T00:00:19"/>
    <x v="1130"/>
    <x v="12"/>
    <s v="potsdam"/>
    <x v="1087"/>
    <n v="1514118"/>
    <x v="11"/>
    <s v="Political Science"/>
    <s v="9780226077567"/>
    <s v=",1,2,3,11,16,15,14,12,30,46,56,62,1"/>
    <n v="12"/>
    <m/>
    <m/>
    <s v="No"/>
    <x v="3"/>
    <m/>
    <m/>
    <s v="137.143.104.94"/>
    <s v="JZ1249"/>
    <s v="327.1/6019"/>
    <d v="2013-12-06T00:00:00"/>
  </r>
  <r>
    <x v="4298"/>
    <d v="1899-12-30T00:04:20"/>
    <x v="1131"/>
    <x v="3"/>
    <s v="canton"/>
    <x v="1088"/>
    <n v="1809240"/>
    <x v="16"/>
    <s v="Social Science"/>
    <s v="9781137393630"/>
    <s v=",1,2,3,182,183,184,180,181,185,186,187,188,189,190,191,192,193,194,195,196,197,198,199,200,201,202,203,204,205,206,207,209,210,211,212,213,214,215,216,142,5,3,4,6,7,8,9,10,11,12,13,14,15,16,17,18,19,20,21,22,23,24,25,26,27,28,29,30,31,180,181,179,178,177,176,175,174,173,172,170,171,168,169,167,166,165,164,163,162,160,161,158,159,157,156,154,155,153,152,151,150,149,148,146,147,144,145,143,142,141,140,139,138"/>
    <n v="109"/>
    <m/>
    <m/>
    <s v="No"/>
    <x v="1"/>
    <m/>
    <m/>
    <s v="137.37.33.33"/>
    <s v="HM851 -- .W454 2014eb"/>
    <s v="302.23/1"/>
    <d v="2014-08-22T00:00:00"/>
  </r>
  <r>
    <x v="4299"/>
    <d v="1899-12-30T00:03:16"/>
    <x v="874"/>
    <x v="0"/>
    <s v="Buffalo"/>
    <x v="184"/>
    <n v="1710997"/>
    <x v="3"/>
    <s v="Business/Management; Economics"/>
    <s v="9780520959224"/>
    <s v=",16,36,37,38,34,35,39,40,41,42,43,44,45,46,47,48"/>
    <n v="16"/>
    <m/>
    <m/>
    <s v="No"/>
    <x v="2"/>
    <d v="2015-11-06T16:45:10"/>
    <n v="1"/>
    <s v="128.205.114.91"/>
    <s v="HD8072.5 -- .I87 2014eb"/>
    <s v="332.0240086/9420973"/>
    <d v="2015-01-14T00:00:00"/>
  </r>
  <r>
    <x v="4300"/>
    <d v="1899-12-30T01:36:30"/>
    <x v="13"/>
    <x v="0"/>
    <s v="Buffalo"/>
    <x v="73"/>
    <n v="1119505"/>
    <x v="0"/>
    <s v="Science: Chemistry; Science"/>
    <s v="9781118355015"/>
    <s v=",1,3,2,48,49,50,46,51,47,227,228,229,226,225,224,223,230,164,165,166,167,168,225,224,223,231,222,221,220,219,218,217,216,215,214,213,213,1,214,215,211,212,2,216,217,218,219"/>
    <n v="35"/>
    <m/>
    <m/>
    <s v="No"/>
    <x v="0"/>
    <d v="2015-11-06T16:36:29"/>
    <n v="7"/>
    <s v="128.205.114.91"/>
    <s v="QD251.3 -- .S38 2013eb"/>
    <s v="547/.128"/>
    <d v="2013-01-28T00:00:00"/>
  </r>
  <r>
    <x v="4301"/>
    <d v="1899-12-30T00:00:02"/>
    <x v="13"/>
    <x v="0"/>
    <s v="Buffalo"/>
    <x v="73"/>
    <n v="1119505"/>
    <x v="0"/>
    <s v="Science: Chemistry; Science"/>
    <s v="9781118355015"/>
    <m/>
    <n v="0"/>
    <m/>
    <m/>
    <s v="No"/>
    <x v="1"/>
    <m/>
    <m/>
    <s v="128.205.114.91"/>
    <s v="QD251.3 -- .S38 2013eb"/>
    <s v="547/.128"/>
    <d v="2013-01-28T00:00:00"/>
  </r>
  <r>
    <x v="4302"/>
    <d v="1899-12-30T00:00:17"/>
    <x v="1132"/>
    <x v="16"/>
    <s v="monroecc"/>
    <x v="1089"/>
    <n v="4037849"/>
    <x v="0"/>
    <s v="Agriculture"/>
    <s v="9781118701201"/>
    <s v=",1,2,3"/>
    <n v="3"/>
    <m/>
    <m/>
    <s v="No"/>
    <x v="3"/>
    <m/>
    <m/>
    <s v="150.160.200.114"/>
    <s v="SF426.C375 2005"/>
    <n v="636.70000000000005"/>
    <d v="2013-03-25T00:00:00"/>
  </r>
  <r>
    <x v="4303"/>
    <d v="1899-12-30T00:16:04"/>
    <x v="874"/>
    <x v="0"/>
    <s v="Buffalo"/>
    <x v="184"/>
    <n v="1710997"/>
    <x v="3"/>
    <s v="Business/Management; Economics"/>
    <s v="9780520959224"/>
    <s v=",1,2,3,4,5,6,7,8,9,10,11,12,13,14,15"/>
    <n v="15"/>
    <m/>
    <m/>
    <s v="No"/>
    <x v="3"/>
    <m/>
    <m/>
    <s v="128.205.114.91"/>
    <s v="HD8072.5 -- .I87 2014eb"/>
    <s v="332.0240086/9420973"/>
    <d v="2015-01-14T00:00:00"/>
  </r>
  <r>
    <x v="4304"/>
    <d v="1899-12-30T00:02:18"/>
    <x v="1133"/>
    <x v="0"/>
    <s v="Buffalo"/>
    <x v="1090"/>
    <n v="1823060"/>
    <x v="0"/>
    <s v="Computer Science/IT"/>
    <s v="9781119019152"/>
    <s v=",68,70,69,66,67,67,71,72,73,73,68,67,66,165,166,167,165,167,166,163,164,164"/>
    <n v="13"/>
    <m/>
    <m/>
    <s v="No"/>
    <x v="0"/>
    <d v="2015-11-06T15:44:02"/>
    <n v="7"/>
    <s v="128.205.114.91"/>
    <s v="TK5105.59 -- .F73 2015eb"/>
    <n v="5.8"/>
    <d v="2014-10-20T00:00:00"/>
  </r>
  <r>
    <x v="4305"/>
    <d v="1899-12-30T00:00:03"/>
    <x v="1134"/>
    <x v="13"/>
    <s v="buffalostate"/>
    <x v="232"/>
    <n v="822111"/>
    <x v="0"/>
    <s v="Social Science"/>
    <s v="9781444356922"/>
    <s v=",1,2,3"/>
    <n v="3"/>
    <m/>
    <m/>
    <s v="No"/>
    <x v="1"/>
    <m/>
    <m/>
    <s v="136.183.11.43"/>
    <s v="HV6773 -- .K69 2012eb"/>
    <s v="302.34/3"/>
    <d v="2012-02-16T00:00:00"/>
  </r>
  <r>
    <x v="4306"/>
    <d v="1899-12-30T00:21:27"/>
    <x v="1133"/>
    <x v="0"/>
    <s v="Buffalo"/>
    <x v="1090"/>
    <n v="1823060"/>
    <x v="0"/>
    <s v="Computer Science/IT"/>
    <s v="9781119019152"/>
    <s v=",1,2,3,2,3,1,2,2,70,71,71,72,68,70,72,69,69,70,71,72,68,69,59,60,61,59,57,61,58,60,58,62,62,63,63,64,64"/>
    <n v="16"/>
    <m/>
    <m/>
    <s v="No"/>
    <x v="1"/>
    <m/>
    <m/>
    <s v="128.205.114.91"/>
    <s v="TK5105.59 -- .F73 2015eb"/>
    <n v="5.8"/>
    <d v="2014-10-20T00:00:00"/>
  </r>
  <r>
    <x v="4307"/>
    <d v="1899-12-30T00:00:41"/>
    <x v="1135"/>
    <x v="1"/>
    <s v="brockport"/>
    <x v="768"/>
    <n v="829309"/>
    <x v="4"/>
    <s v="Medicine"/>
    <s v="9781462502387"/>
    <s v=",1,2,3,4,5,6,7,8,9,10,11,12,13,14"/>
    <n v="14"/>
    <m/>
    <m/>
    <s v="No"/>
    <x v="1"/>
    <m/>
    <m/>
    <s v="137.21.7.121"/>
    <s v="RC489.B4 -- K64 2012eb"/>
    <n v="616.89142000000004"/>
    <d v="2011-12-14T00:00:00"/>
  </r>
  <r>
    <x v="4308"/>
    <d v="1899-12-30T00:00:05"/>
    <x v="1136"/>
    <x v="1"/>
    <s v="brockport"/>
    <x v="1091"/>
    <n v="707308"/>
    <x v="0"/>
    <s v="Agriculture"/>
    <s v="9780632055524"/>
    <s v=",1,2,3"/>
    <n v="3"/>
    <m/>
    <m/>
    <s v="No"/>
    <x v="3"/>
    <m/>
    <m/>
    <s v="137.21.7.121"/>
    <s v="SF287 -- .M34 2003eb"/>
    <s v="636.1/0835"/>
    <d v="2013-04-29T00:00:00"/>
  </r>
  <r>
    <x v="4309"/>
    <d v="1899-12-30T00:00:14"/>
    <x v="1137"/>
    <x v="0"/>
    <s v="Buffalo"/>
    <x v="127"/>
    <n v="1166311"/>
    <x v="0"/>
    <s v="Military Science"/>
    <s v="9781118525616"/>
    <s v=",1,2,3,4,5"/>
    <n v="5"/>
    <m/>
    <m/>
    <s v="No"/>
    <x v="1"/>
    <m/>
    <m/>
    <s v="128.205.114.91"/>
    <s v="U408.5 .P384 2013"/>
    <n v="355.00700000000001"/>
    <d v="2013-04-02T00:00:00"/>
  </r>
  <r>
    <x v="4310"/>
    <d v="1899-12-30T00:00:45"/>
    <x v="609"/>
    <x v="0"/>
    <s v="Buffalo"/>
    <x v="477"/>
    <n v="1120279"/>
    <x v="0"/>
    <s v="Science: Biology/Natural History; Science"/>
    <s v="9781118537671"/>
    <s v=",1,2,3,118,119,120,116,117,48,49,50,46,47,73,74,75,71,72,33,34,35,275,276,277,273,274,278,279,280,281"/>
    <n v="30"/>
    <m/>
    <m/>
    <s v="No"/>
    <x v="1"/>
    <m/>
    <m/>
    <s v="128.205.114.91"/>
    <s v="QH371 .K384 2012"/>
    <n v="599.93499999999995"/>
    <d v="2012-11-19T00:00:00"/>
  </r>
  <r>
    <x v="4311"/>
    <d v="1899-12-30T00:02:16"/>
    <x v="1138"/>
    <x v="0"/>
    <s v="Buffalo"/>
    <x v="161"/>
    <n v="821663"/>
    <x v="0"/>
    <s v="Architecture"/>
    <s v="9781118168479"/>
    <s v=",1,2,3,4,5,6,7,296,297,298,294,299,300"/>
    <n v="13"/>
    <m/>
    <m/>
    <s v="No"/>
    <x v="0"/>
    <d v="2015-11-02T15:48:32"/>
    <n v="7"/>
    <s v="128.205.114.91"/>
    <s v="NA2547 -- .S74 2012eb"/>
    <n v="729"/>
    <d v="2012-03-05T00:00:00"/>
  </r>
  <r>
    <x v="4312"/>
    <d v="1899-12-30T00:18:11"/>
    <x v="1119"/>
    <x v="12"/>
    <s v="potsdam"/>
    <x v="1078"/>
    <n v="1895314"/>
    <x v="0"/>
    <s v="Home Economics; Pharmacy; Medicine"/>
    <s v="9781119052531"/>
    <s v=",1,2,3,33,34,32,35,31,69,70,71,67,68,72,73,74,75"/>
    <n v="17"/>
    <m/>
    <m/>
    <s v="No"/>
    <x v="2"/>
    <d v="2015-11-06T00:51:04"/>
    <n v="1"/>
    <s v="137.143.104.94"/>
    <s v="RM237.86"/>
    <n v="641.56309999999996"/>
    <d v="2015-06-02T00:00:00"/>
  </r>
  <r>
    <x v="4313"/>
    <d v="1899-12-30T00:10:12"/>
    <x v="1119"/>
    <x v="12"/>
    <s v="potsdam"/>
    <x v="1078"/>
    <n v="1895314"/>
    <x v="0"/>
    <s v="Home Economics; Pharmacy; Medicine"/>
    <s v="9781119052531"/>
    <s v=",1,2,3,4,31,32,33,29,30,69,70,71,67,68,1,68,69,70,67"/>
    <n v="14"/>
    <m/>
    <m/>
    <s v="No"/>
    <x v="2"/>
    <d v="2015-11-06T00:51:04"/>
    <n v="1"/>
    <s v="137.143.104.94"/>
    <s v="RM237.86"/>
    <n v="641.56309999999996"/>
    <d v="2015-06-02T00:00:00"/>
  </r>
  <r>
    <x v="4314"/>
    <d v="1899-12-30T00:00:20"/>
    <x v="1119"/>
    <x v="12"/>
    <s v="potsdam"/>
    <x v="1078"/>
    <n v="1895314"/>
    <x v="0"/>
    <s v="Home Economics; Pharmacy; Medicine"/>
    <s v="9781119052531"/>
    <s v=",1,2,3,4"/>
    <n v="4"/>
    <m/>
    <m/>
    <s v="No"/>
    <x v="2"/>
    <d v="2015-11-06T00:51:04"/>
    <n v="1"/>
    <s v="137.143.104.94"/>
    <s v="RM237.86"/>
    <n v="641.56309999999996"/>
    <d v="2015-06-02T00:00:00"/>
  </r>
  <r>
    <x v="4315"/>
    <d v="1899-12-30T00:01:05"/>
    <x v="1139"/>
    <x v="12"/>
    <s v="potsdam"/>
    <x v="1092"/>
    <n v="1583279"/>
    <x v="2"/>
    <s v="Medicine"/>
    <s v="9781317835134"/>
    <s v=",1,2,3,7,8,9,5,6,98,99,100,96,97,101"/>
    <n v="14"/>
    <m/>
    <m/>
    <s v="No"/>
    <x v="3"/>
    <m/>
    <m/>
    <s v="137.143.104.94"/>
    <s v="RC489.A7 -- .N324 2011eb"/>
    <n v="615.85155999999995"/>
    <d v="2013-12-19T00:00:00"/>
  </r>
  <r>
    <x v="4316"/>
    <d v="1899-12-30T00:01:29"/>
    <x v="1139"/>
    <x v="12"/>
    <s v="potsdam"/>
    <x v="1093"/>
    <n v="1498708"/>
    <x v="2"/>
    <s v="Health; Social Science"/>
    <s v="9781136161117"/>
    <s v=",1,2,3,6,7,8,4,5,9,54,55,56,52,53,57,58,59,60,61"/>
    <n v="19"/>
    <m/>
    <m/>
    <s v="No"/>
    <x v="3"/>
    <m/>
    <m/>
    <s v="137.143.104.94"/>
    <s v="RA425 -- .M43 2014eb"/>
    <n v="306.46100000000001"/>
    <d v="2013-10-23T00:00:00"/>
  </r>
  <r>
    <x v="4317"/>
    <d v="1899-12-30T00:00:12"/>
    <x v="1139"/>
    <x v="12"/>
    <s v="potsdam"/>
    <x v="1094"/>
    <n v="1569757"/>
    <x v="2"/>
    <s v="Medicine"/>
    <s v="9781136017926"/>
    <s v=",1,3,2,8,9,10,6,7"/>
    <n v="8"/>
    <m/>
    <m/>
    <s v="No"/>
    <x v="3"/>
    <m/>
    <m/>
    <s v="137.143.104.94"/>
    <s v="RC489.A7 -- I43 2013eb"/>
    <n v="615.85155999999995"/>
    <d v="2013-11-26T00:00:00"/>
  </r>
  <r>
    <x v="4318"/>
    <d v="1899-12-30T00:00:58"/>
    <x v="1139"/>
    <x v="12"/>
    <s v="potsdam"/>
    <x v="1095"/>
    <n v="1539136"/>
    <x v="2"/>
    <s v="Medicine; Health; Social Science"/>
    <s v="9781136690778"/>
    <s v=",1,2,3,8,9,10,6,7,11,12,13,14,15"/>
    <n v="13"/>
    <m/>
    <m/>
    <s v="No"/>
    <x v="3"/>
    <m/>
    <m/>
    <s v="137.143.104.94"/>
    <s v="R118 -- .C37 1993eb"/>
    <n v="362.1"/>
    <d v="2013-11-05T00:00:00"/>
  </r>
  <r>
    <x v="4319"/>
    <d v="1899-12-30T00:01:23"/>
    <x v="1139"/>
    <x v="12"/>
    <s v="potsdam"/>
    <x v="1096"/>
    <n v="1520916"/>
    <x v="2"/>
    <s v="Medicine"/>
    <s v="9781135012571"/>
    <s v=",1,2,3,10,11,12,8,9,7,13,14"/>
    <n v="11"/>
    <m/>
    <m/>
    <s v="No"/>
    <x v="3"/>
    <m/>
    <m/>
    <s v="137.143.104.94"/>
    <s v="RC489.A7 -- W35 2013eb"/>
    <n v="616.89165600000001"/>
    <d v="2013-10-31T00:00:00"/>
  </r>
  <r>
    <x v="4320"/>
    <d v="1899-12-30T00:01:36"/>
    <x v="1139"/>
    <x v="12"/>
    <s v="potsdam"/>
    <x v="1097"/>
    <n v="1355951"/>
    <x v="2"/>
    <s v="Medicine"/>
    <s v="9781134853861"/>
    <s v=",1,3,2,6,7,8,4,5,113,114,111,112,116"/>
    <n v="13"/>
    <m/>
    <m/>
    <s v="No"/>
    <x v="3"/>
    <m/>
    <m/>
    <s v="137.143.104.94"/>
    <s v="RC489.A7 -- A79 1993eb"/>
    <n v="616.89156200000002"/>
    <d v="1996-01-04T00:00:00"/>
  </r>
  <r>
    <x v="4321"/>
    <d v="1899-12-30T00:23:09"/>
    <x v="975"/>
    <x v="0"/>
    <s v="Buffalo"/>
    <x v="73"/>
    <n v="1119505"/>
    <x v="0"/>
    <s v="Science: Chemistry; Science"/>
    <s v="9781118355015"/>
    <s v=",203,204,205,206,207,208,209,210,211,212,213,214,216,215,217,164,165,166,162,167,168,231,232,233,223,222,221,220,219,218"/>
    <n v="30"/>
    <m/>
    <m/>
    <s v="No"/>
    <x v="0"/>
    <d v="2015-11-06T01:43:05"/>
    <n v="7"/>
    <s v="128.205.114.91"/>
    <s v="QD251.3 -- .S38 2013eb"/>
    <s v="547/.128"/>
    <d v="2013-01-28T00:00:00"/>
  </r>
  <r>
    <x v="4322"/>
    <d v="1899-12-30T00:00:11"/>
    <x v="1140"/>
    <x v="0"/>
    <s v="Buffalo"/>
    <x v="73"/>
    <n v="1119505"/>
    <x v="0"/>
    <s v="Science: Chemistry; Science"/>
    <s v="9781118355015"/>
    <s v=",1,2,3,48,49,50,51,47"/>
    <n v="8"/>
    <m/>
    <m/>
    <s v="No"/>
    <x v="0"/>
    <d v="2015-11-05T14:25:13"/>
    <n v="7"/>
    <s v="128.205.114.91"/>
    <s v="QD251.3 -- .S38 2013eb"/>
    <s v="547/.128"/>
    <d v="2013-01-28T00:00:00"/>
  </r>
  <r>
    <x v="4323"/>
    <d v="1899-12-30T00:01:01"/>
    <x v="1139"/>
    <x v="12"/>
    <s v="potsdam"/>
    <x v="1098"/>
    <n v="2130961"/>
    <x v="0"/>
    <s v="Medicine"/>
    <s v="9781118722183"/>
    <s v=",1,2,3,7,8,9,5,6,10,11,12,13,14"/>
    <n v="13"/>
    <m/>
    <m/>
    <s v="No"/>
    <x v="3"/>
    <m/>
    <m/>
    <s v="137.143.104.94"/>
    <s v="RJ504 .S516 2015"/>
    <s v="616.89/140835"/>
    <d v="2015-07-24T00:00:00"/>
  </r>
  <r>
    <x v="4324"/>
    <d v="1899-12-30T00:00:28"/>
    <x v="1139"/>
    <x v="12"/>
    <s v="potsdam"/>
    <x v="889"/>
    <n v="1760729"/>
    <x v="4"/>
    <s v="Medicine"/>
    <s v="9781462518449"/>
    <s v=",1,2,3,21,22,23,19,20,24"/>
    <n v="9"/>
    <m/>
    <m/>
    <s v="No"/>
    <x v="3"/>
    <m/>
    <m/>
    <s v="137.143.104.94"/>
    <s v="RJ506.P66 -- .C743 2015eb"/>
    <n v="618.92852100000005"/>
    <d v="2014-11-10T00:00:00"/>
  </r>
  <r>
    <x v="4325"/>
    <d v="1899-12-30T00:00:56"/>
    <x v="1139"/>
    <x v="12"/>
    <s v="potsdam"/>
    <x v="1099"/>
    <n v="1889224"/>
    <x v="0"/>
    <s v="Psychology"/>
    <s v="9781119026402"/>
    <s v=",1,2,3,7,8,9,5,6,104,106,105,102,103,107"/>
    <n v="14"/>
    <m/>
    <m/>
    <s v="No"/>
    <x v="3"/>
    <m/>
    <m/>
    <s v="137.143.104.94"/>
    <s v="BF637.C6 -- .G533 2011eb"/>
    <s v="158/.3"/>
    <d v="2014-12-08T00:00:00"/>
  </r>
  <r>
    <x v="4326"/>
    <d v="1899-12-30T00:10:40"/>
    <x v="975"/>
    <x v="0"/>
    <s v="Buffalo"/>
    <x v="73"/>
    <n v="1119505"/>
    <x v="0"/>
    <s v="Science: Chemistry; Science"/>
    <s v="9781118355015"/>
    <s v=",1,2,3,227,228,229,225,226,230,34,36,35,48,49,50,51,47,224,198,199,200,196,197,201,202"/>
    <n v="25"/>
    <m/>
    <m/>
    <s v="No"/>
    <x v="1"/>
    <m/>
    <m/>
    <s v="128.205.114.91"/>
    <s v="QD251.3 -- .S38 2013eb"/>
    <s v="547/.128"/>
    <d v="2013-01-28T00:00:00"/>
  </r>
  <r>
    <x v="4327"/>
    <d v="1899-12-30T00:01:07"/>
    <x v="1141"/>
    <x v="12"/>
    <s v="potsdam"/>
    <x v="772"/>
    <n v="1969407"/>
    <x v="1"/>
    <s v="Architecture"/>
    <s v="9781472422880"/>
    <s v=",1,2,3,96,98,99,95,94,93"/>
    <n v="9"/>
    <m/>
    <m/>
    <s v="No"/>
    <x v="3"/>
    <m/>
    <m/>
    <s v="137.143.104.94"/>
    <s v="NA2000 -- .S253 2015eb"/>
    <n v="720.71"/>
    <d v="2015-03-28T00:00:00"/>
  </r>
  <r>
    <x v="4328"/>
    <d v="1899-12-30T00:11:02"/>
    <x v="1119"/>
    <x v="12"/>
    <s v="potsdam"/>
    <x v="1078"/>
    <n v="1895314"/>
    <x v="0"/>
    <s v="Home Economics; Pharmacy; Medicine"/>
    <s v="9781119052531"/>
    <s v=",35,36,37,38,39"/>
    <n v="5"/>
    <m/>
    <m/>
    <s v="No"/>
    <x v="2"/>
    <d v="2015-11-06T00:51:04"/>
    <n v="1"/>
    <s v="137.143.104.94"/>
    <s v="RM237.86"/>
    <n v="641.56309999999996"/>
    <d v="2015-06-02T00:00:00"/>
  </r>
  <r>
    <x v="4329"/>
    <d v="1899-12-30T00:03:01"/>
    <x v="807"/>
    <x v="0"/>
    <s v="Buffalo"/>
    <x v="73"/>
    <n v="1119505"/>
    <x v="0"/>
    <s v="Science: Chemistry; Science"/>
    <s v="9781118355015"/>
    <s v=",1,2,3,227,228,229,225,230,226,231,232,224,223"/>
    <n v="13"/>
    <m/>
    <m/>
    <s v="No"/>
    <x v="0"/>
    <d v="2015-11-05T02:11:31"/>
    <n v="7"/>
    <s v="128.205.114.91"/>
    <s v="QD251.3 -- .S38 2013eb"/>
    <s v="547/.128"/>
    <d v="2013-01-28T00:00:00"/>
  </r>
  <r>
    <x v="4330"/>
    <d v="1899-12-30T00:05:50"/>
    <x v="1119"/>
    <x v="12"/>
    <s v="potsdam"/>
    <x v="1078"/>
    <n v="1895314"/>
    <x v="0"/>
    <s v="Home Economics; Pharmacy; Medicine"/>
    <s v="9781119052531"/>
    <s v=",1,2,3,31,33,32,29,30,34"/>
    <n v="9"/>
    <m/>
    <m/>
    <s v="No"/>
    <x v="3"/>
    <m/>
    <m/>
    <s v="137.143.104.94"/>
    <s v="RM237.86"/>
    <n v="641.56309999999996"/>
    <d v="2015-06-02T00:00:00"/>
  </r>
  <r>
    <x v="4331"/>
    <d v="1899-12-30T00:00:03"/>
    <x v="1141"/>
    <x v="12"/>
    <s v="potsdam"/>
    <x v="1100"/>
    <n v="1562138"/>
    <x v="2"/>
    <s v="Social Science"/>
    <s v="9781317972860"/>
    <s v=",1,2,3"/>
    <n v="3"/>
    <m/>
    <m/>
    <s v="No"/>
    <x v="3"/>
    <m/>
    <m/>
    <s v="137.143.104.94"/>
    <s v="HT113 -- .P56 2011eb"/>
    <n v="307.1216"/>
    <d v="2013-11-12T00:00:00"/>
  </r>
  <r>
    <x v="4332"/>
    <d v="1899-12-30T00:02:14"/>
    <x v="1119"/>
    <x v="12"/>
    <s v="potsdam"/>
    <x v="1078"/>
    <n v="1895314"/>
    <x v="0"/>
    <s v="Home Economics; Pharmacy; Medicine"/>
    <s v="9781119052531"/>
    <s v=",1,2,3,31,33,30,29,34,35,4,36"/>
    <n v="11"/>
    <m/>
    <m/>
    <s v="No"/>
    <x v="3"/>
    <m/>
    <m/>
    <s v="137.143.104.94"/>
    <s v="RM237.86"/>
    <n v="641.56309999999996"/>
    <d v="2015-06-02T00:00:00"/>
  </r>
  <r>
    <x v="4333"/>
    <d v="1899-12-30T00:00:13"/>
    <x v="1141"/>
    <x v="12"/>
    <s v="potsdam"/>
    <x v="1101"/>
    <n v="1985701"/>
    <x v="0"/>
    <s v="Fine Arts"/>
    <s v="9783433605844"/>
    <s v=",1,2,3,83,84,85,81,82"/>
    <n v="8"/>
    <m/>
    <m/>
    <s v="No"/>
    <x v="3"/>
    <m/>
    <m/>
    <s v="137.143.104.94"/>
    <s v="NK1390 -- .A334 2015eb"/>
    <n v="745.44420000000002"/>
    <d v="2015-03-06T00:00:00"/>
  </r>
  <r>
    <x v="4334"/>
    <d v="1899-12-30T00:23:32"/>
    <x v="634"/>
    <x v="11"/>
    <s v="cobleskill"/>
    <x v="11"/>
    <n v="693176"/>
    <x v="0"/>
    <s v="Engineering: Manufacturing; General Works/Reference; Engineering"/>
    <s v="9781118017746"/>
    <s v=",572,574,573,570,571,486,487,484,485,488,406,408,407,404,405,409,410,411,403,401,402,400,399,397,398,396,395,394,393,392,391,390,389,388,387,385,386,384,382,383,406,393"/>
    <n v="40"/>
    <m/>
    <m/>
    <s v="No"/>
    <x v="0"/>
    <d v="2015-11-06T00:31:03"/>
    <n v="7"/>
    <s v="137.36.32.34"/>
    <s v="Z246 -- .M43 2012eb"/>
    <s v="686.2/209"/>
    <d v="2011-10-19T00:00:00"/>
  </r>
  <r>
    <x v="4335"/>
    <d v="1899-12-30T00:10:56"/>
    <x v="634"/>
    <x v="11"/>
    <s v="cobleskill"/>
    <x v="11"/>
    <n v="693176"/>
    <x v="0"/>
    <s v="Engineering: Manufacturing; General Works/Reference; Engineering"/>
    <s v="9781118017746"/>
    <s v=",1,2,3,434,435,436,433,432,417,418,419,415,416,420,414,413,421,422,423,424,425,426,427,428,429,430,417,412"/>
    <n v="27"/>
    <m/>
    <m/>
    <s v="No"/>
    <x v="1"/>
    <m/>
    <m/>
    <s v="137.36.32.34"/>
    <s v="Z246 -- .M43 2012eb"/>
    <s v="686.2/209"/>
    <d v="2011-10-19T00:00:00"/>
  </r>
  <r>
    <x v="4336"/>
    <d v="1899-12-30T00:05:00"/>
    <x v="1142"/>
    <x v="0"/>
    <s v="Buffalo"/>
    <x v="642"/>
    <n v="918746"/>
    <x v="15"/>
    <s v="Fine Arts"/>
    <s v="9780826441850"/>
    <s v=",1,2,3,4,5,6,7,8,12,18,21,22,192,193,194,190,191,195,196,10,11,9"/>
    <n v="22"/>
    <m/>
    <m/>
    <s v="No"/>
    <x v="1"/>
    <m/>
    <m/>
    <s v="128.205.114.91"/>
    <s v="PN1992.8.R43 -- E84 2012eb"/>
    <n v="791.45749999999998"/>
    <d v="2012-07-01T00:00:00"/>
  </r>
  <r>
    <x v="4337"/>
    <d v="1899-12-30T00:02:17"/>
    <x v="1143"/>
    <x v="0"/>
    <s v="Buffalo"/>
    <x v="684"/>
    <n v="1120621"/>
    <x v="0"/>
    <s v="Education"/>
    <s v="9781118362679"/>
    <s v=",1,2,3,55,56,57,53,54,58,59,60,61,62,63,64,65"/>
    <n v="16"/>
    <m/>
    <m/>
    <s v="No"/>
    <x v="1"/>
    <m/>
    <m/>
    <s v="128.205.114.91"/>
    <s v="LB3013.3 .R59 2012"/>
    <s v="371.5/8; 371.58"/>
    <d v="2012-08-15T00:00:00"/>
  </r>
  <r>
    <x v="4338"/>
    <d v="1899-12-30T00:00:17"/>
    <x v="1144"/>
    <x v="0"/>
    <s v="Buffalo"/>
    <x v="1102"/>
    <n v="1498686"/>
    <x v="11"/>
    <s v="Religion"/>
    <s v="9780226072692"/>
    <s v=",1,2,3,4,53,54,55,51,56"/>
    <n v="9"/>
    <m/>
    <m/>
    <s v="No"/>
    <x v="3"/>
    <m/>
    <m/>
    <s v="128.205.114.91"/>
    <s v="BQ709"/>
    <s v="294.3/9209575"/>
    <d v="2013-11-27T00:00:00"/>
  </r>
  <r>
    <x v="4339"/>
    <d v="1899-12-30T00:00:39"/>
    <x v="1145"/>
    <x v="12"/>
    <s v="potsdam"/>
    <x v="1103"/>
    <n v="1887746"/>
    <x v="0"/>
    <s v="Religion"/>
    <s v="9781118697559"/>
    <s v=",1,2,3,4,5,6,7,8"/>
    <n v="8"/>
    <m/>
    <m/>
    <s v="No"/>
    <x v="3"/>
    <m/>
    <m/>
    <s v="137.143.104.94"/>
    <s v="BV4501.2 -- .M2357 1999eb"/>
    <n v="248"/>
    <d v="2013-05-30T00:00:00"/>
  </r>
  <r>
    <x v="4340"/>
    <d v="1899-12-30T00:03:24"/>
    <x v="1146"/>
    <x v="5"/>
    <s v="erie"/>
    <x v="232"/>
    <n v="822111"/>
    <x v="0"/>
    <s v="Social Science"/>
    <s v="9781444356922"/>
    <s v=",5,6,7,3,4,70,71,72,68,69,73,74,70,69,68,11,15,16,17,13,14,32,33,34,31,30,5,6,7,3,4"/>
    <n v="23"/>
    <s v=",70"/>
    <m/>
    <s v="No"/>
    <x v="0"/>
    <d v="2015-11-05T22:35:23"/>
    <n v="7"/>
    <s v="199.29.6.54"/>
    <s v="HV6773 -- .K69 2012eb"/>
    <s v="302.34/3"/>
    <d v="2012-02-16T00:00:00"/>
  </r>
  <r>
    <x v="4341"/>
    <d v="1899-12-30T00:01:16"/>
    <x v="1145"/>
    <x v="12"/>
    <s v="potsdam"/>
    <x v="1103"/>
    <n v="1887746"/>
    <x v="0"/>
    <s v="Religion"/>
    <s v="9781118697559"/>
    <s v=",1,2,3,4,5,6,34,36,32,33,37,31,55,56,57,53,54,58"/>
    <n v="18"/>
    <m/>
    <m/>
    <s v="No"/>
    <x v="3"/>
    <m/>
    <m/>
    <s v="137.143.104.94"/>
    <s v="BV4501.2 -- .M2357 1999eb"/>
    <n v="248"/>
    <d v="2013-05-30T00:00:00"/>
  </r>
  <r>
    <x v="4342"/>
    <d v="1899-12-30T00:26:44"/>
    <x v="13"/>
    <x v="0"/>
    <s v="Buffalo"/>
    <x v="702"/>
    <n v="1187185"/>
    <x v="0"/>
    <s v="Engineering; Engineering: Mining; Engineering: Environmental"/>
    <s v="9781118748183"/>
    <s v=",87,88,86,89,90,91,34,35,36,32,33,37,38,39,79,78,86,87,88,99,100,101,97,98,103,104,105,102,96,97,101,102,104,105,106,107"/>
    <n v="28"/>
    <m/>
    <m/>
    <s v="No"/>
    <x v="0"/>
    <d v="2015-11-05T22:19:58"/>
    <n v="7"/>
    <s v="128.205.114.91"/>
    <s v="TD195.G3 -- H65 2013eb"/>
    <n v="622.33799999999997"/>
    <d v="2013-05-06T00:00:00"/>
  </r>
  <r>
    <x v="4343"/>
    <d v="1899-12-30T00:17:18"/>
    <x v="1146"/>
    <x v="5"/>
    <s v="erie"/>
    <x v="232"/>
    <n v="822111"/>
    <x v="0"/>
    <s v="Social Science"/>
    <s v="9781444356922"/>
    <s v=",1,2,3,11,17,14,15,16,13,18"/>
    <n v="10"/>
    <m/>
    <m/>
    <s v="No"/>
    <x v="1"/>
    <m/>
    <m/>
    <s v="199.29.6.54"/>
    <s v="HV6773 -- .K69 2012eb"/>
    <s v="302.34/3"/>
    <d v="2012-02-16T00:00:00"/>
  </r>
  <r>
    <x v="4344"/>
    <d v="1899-12-30T00:13:44"/>
    <x v="13"/>
    <x v="0"/>
    <s v="Buffalo"/>
    <x v="702"/>
    <n v="1187185"/>
    <x v="0"/>
    <s v="Engineering; Engineering: Mining; Engineering: Environmental"/>
    <s v="9781118748183"/>
    <s v=",1,79,80,81,78,77,83,102,99,64,42,35,34,33,32,31,30,29,28,27,2,26,24,25,23,22,21,81,82,83,80,84,77,85,86"/>
    <n v="31"/>
    <m/>
    <m/>
    <s v="No"/>
    <x v="1"/>
    <m/>
    <m/>
    <s v="128.205.114.91"/>
    <s v="TD195.G3 -- H65 2013eb"/>
    <n v="622.33799999999997"/>
    <d v="2013-05-06T00:00:00"/>
  </r>
  <r>
    <x v="4345"/>
    <d v="1899-12-30T00:00:21"/>
    <x v="491"/>
    <x v="8"/>
    <s v="niagaracc"/>
    <x v="16"/>
    <n v="877717"/>
    <x v="6"/>
    <s v="Fine Arts"/>
    <s v="9781438139265"/>
    <s v=",1,2,2,1,3,1,3,2,2"/>
    <n v="3"/>
    <m/>
    <m/>
    <s v="No"/>
    <x v="0"/>
    <d v="2015-11-02T22:03:58"/>
    <n v="7"/>
    <s v="132.174.254.37"/>
    <s v="PN1998.3.M577 -- L46 2012eb"/>
    <s v="791.4302/33092; B"/>
    <d v="2012-01-01T00:00:00"/>
  </r>
  <r>
    <x v="4346"/>
    <d v="1899-12-30T00:00:56"/>
    <x v="491"/>
    <x v="8"/>
    <s v="niagaracc"/>
    <x v="16"/>
    <n v="877717"/>
    <x v="6"/>
    <s v="Fine Arts"/>
    <s v="9781438139265"/>
    <s v=",1,1,2,2,3,1,3,2,2,4,4"/>
    <n v="4"/>
    <m/>
    <m/>
    <s v="No"/>
    <x v="0"/>
    <d v="2015-11-02T22:03:58"/>
    <n v="7"/>
    <s v="132.174.254.37"/>
    <s v="PN1998.3.M577 -- L46 2012eb"/>
    <s v="791.4302/33092; B"/>
    <d v="2012-01-01T00:00:00"/>
  </r>
  <r>
    <x v="4347"/>
    <d v="1899-12-30T00:03:16"/>
    <x v="539"/>
    <x v="9"/>
    <s v="trocaire"/>
    <x v="1104"/>
    <n v="1943360"/>
    <x v="0"/>
    <s v="Philosophy"/>
    <s v="9780745688718"/>
    <s v=",1,2,3,42,43,44,40,41,45,46,80,81,82,78,79,76,77,38,8,9,10,6,7,81,82"/>
    <n v="23"/>
    <m/>
    <m/>
    <s v="No"/>
    <x v="3"/>
    <m/>
    <m/>
    <s v="173.225.62.67"/>
    <s v="BJ1595 -- .C623 2015eb"/>
    <n v="128"/>
    <d v="2015-02-04T00:00:00"/>
  </r>
  <r>
    <x v="4348"/>
    <d v="1899-12-30T01:10:33"/>
    <x v="906"/>
    <x v="1"/>
    <s v="brockport"/>
    <x v="151"/>
    <n v="968030"/>
    <x v="0"/>
    <s v="Psychology"/>
    <s v="9781118285138"/>
    <s v=",1,2,3,197,198,199,195,196,314,315,316,312,313,311,310,309,307,308,305,306,429,430,431,427,428,432,433,434,435,436,437,438,439,440,441,442,443"/>
    <n v="37"/>
    <m/>
    <m/>
    <s v="No"/>
    <x v="0"/>
    <d v="2015-11-05T02:16:24"/>
    <n v="7"/>
    <s v="137.21.7.121"/>
    <s v="BF637.C6 -- S85 2013eb"/>
    <n v="158.30000000000001"/>
    <d v="2012-07-10T00:00:00"/>
  </r>
  <r>
    <x v="4349"/>
    <d v="1899-12-30T00:04:08"/>
    <x v="925"/>
    <x v="1"/>
    <s v="brockport"/>
    <x v="151"/>
    <n v="968030"/>
    <x v="0"/>
    <s v="Psychology"/>
    <s v="9781118285138"/>
    <s v=",1,2,3,505,507,506,504,502,503,501,500,499,498,497,496,495,494,498,494,495"/>
    <n v="17"/>
    <m/>
    <m/>
    <s v="No"/>
    <x v="1"/>
    <m/>
    <m/>
    <s v="137.21.7.121"/>
    <s v="BF637.C6 -- S85 2013eb"/>
    <n v="158.30000000000001"/>
    <d v="2012-07-10T00:00:00"/>
  </r>
  <r>
    <x v="4350"/>
    <d v="1899-12-30T00:25:18"/>
    <x v="913"/>
    <x v="1"/>
    <s v="brockport"/>
    <x v="151"/>
    <n v="968030"/>
    <x v="0"/>
    <s v="Psychology"/>
    <s v="9781118285138"/>
    <s v=",399,401,402,403,401,399,402,400,403,400,404,404,405,405,400,405,406,406,407,407,408,408,409,409,410,410,411,411,412,412,413,414,407,414,406,413,405,404,403,401,402,406,407,408,409"/>
    <n v="16"/>
    <m/>
    <m/>
    <s v="No"/>
    <x v="0"/>
    <d v="2015-11-05T19:28:01"/>
    <n v="7"/>
    <s v="137.21.7.121"/>
    <s v="BF637.C6 -- S85 2013eb"/>
    <n v="158.30000000000001"/>
    <d v="2012-07-10T00:00:00"/>
  </r>
  <r>
    <x v="4351"/>
    <d v="1899-12-30T00:11:43"/>
    <x v="913"/>
    <x v="1"/>
    <s v="brockport"/>
    <x v="151"/>
    <n v="968030"/>
    <x v="0"/>
    <s v="Psychology"/>
    <s v="9781118285138"/>
    <s v=",1,2,2,3,3,1,2,2,399,400,399,401,400,401,397,398,402,403,398,403,402,404,404"/>
    <n v="11"/>
    <m/>
    <m/>
    <s v="No"/>
    <x v="1"/>
    <m/>
    <m/>
    <s v="137.21.7.121"/>
    <s v="BF637.C6 -- S85 2013eb"/>
    <n v="158.30000000000001"/>
    <d v="2012-07-10T00:00:00"/>
  </r>
  <r>
    <x v="4352"/>
    <d v="1899-12-30T00:04:55"/>
    <x v="1147"/>
    <x v="12"/>
    <s v="potsdam"/>
    <x v="1024"/>
    <n v="834631"/>
    <x v="0"/>
    <s v="Medicine"/>
    <s v="9781444354669"/>
    <s v=",1,2,3,8,9,10,6,7,11,12,17,34,35,64,65,62,61,238,240,239,237,236,260,261,262,258,292,293,294,290,291,296,298,295,297,299,300,301,302,295"/>
    <n v="39"/>
    <m/>
    <m/>
    <s v="No"/>
    <x v="1"/>
    <m/>
    <m/>
    <s v="137.143.104.94"/>
    <s v="RC113.2 -- .A85 2012eb"/>
    <s v="616.90022/3"/>
    <d v="2012-01-03T00:00:00"/>
  </r>
  <r>
    <x v="4353"/>
    <d v="1899-12-30T00:00:04"/>
    <x v="1147"/>
    <x v="12"/>
    <s v="potsdam"/>
    <x v="1024"/>
    <n v="834631"/>
    <x v="0"/>
    <s v="Medicine"/>
    <s v="9781444354669"/>
    <s v=",1,2,3"/>
    <n v="3"/>
    <m/>
    <m/>
    <s v="No"/>
    <x v="1"/>
    <m/>
    <m/>
    <s v="137.143.104.94"/>
    <s v="RC113.2 -- .A85 2012eb"/>
    <s v="616.90022/3"/>
    <d v="2012-01-03T00:00:00"/>
  </r>
  <r>
    <x v="4354"/>
    <d v="1899-12-30T01:11:46"/>
    <x v="789"/>
    <x v="6"/>
    <s v="sjfc"/>
    <x v="68"/>
    <n v="1822529"/>
    <x v="0"/>
    <s v="Mathematics"/>
    <s v="9781118824344"/>
    <s v=",2,3,1,1,3,2,56,57,58,54,55,53,52,51,59,39,40,41,37,38,60,1,60,62,61,58,59,56,57,58,59,60,56,57,2,61,62,63,64,65,66,67,68,69,70,71,72,73,39,40,41,37,38,74,75,76,77,78,79,80,81,82,83,84,85,86,87,88,89,90,91,92,93,94,95,96,97"/>
    <n v="55"/>
    <m/>
    <m/>
    <s v="No"/>
    <x v="0"/>
    <d v="2015-11-02T19:57:11"/>
    <n v="7"/>
    <s v="149.69.254.57"/>
    <s v="QA297 -- .S59 2015eb"/>
    <n v="519.4"/>
    <d v="2014-10-20T00:00:00"/>
  </r>
  <r>
    <x v="4355"/>
    <d v="1899-12-30T00:00:04"/>
    <x v="1148"/>
    <x v="12"/>
    <s v="potsdam"/>
    <x v="1105"/>
    <n v="1771581"/>
    <x v="0"/>
    <s v="Business/Management"/>
    <s v="9781118933855"/>
    <s v=",1,3,2"/>
    <n v="3"/>
    <m/>
    <m/>
    <s v="No"/>
    <x v="3"/>
    <m/>
    <m/>
    <s v="137.143.104.94"/>
    <s v="HG4028.W65 -- .S243 2014eb"/>
    <s v="658.15/224"/>
    <d v="2014-08-21T00:00:00"/>
  </r>
  <r>
    <x v="4356"/>
    <d v="1899-12-30T00:01:03"/>
    <x v="829"/>
    <x v="12"/>
    <s v="potsdam"/>
    <x v="16"/>
    <n v="877717"/>
    <x v="6"/>
    <s v="Fine Arts"/>
    <s v="9781438139265"/>
    <s v=",1,2,3,8,10,9,6,7,11,12,13,14,15,16,17,18,19"/>
    <n v="17"/>
    <m/>
    <m/>
    <s v="No"/>
    <x v="1"/>
    <m/>
    <m/>
    <s v="137.143.104.94"/>
    <s v="PN1998.3.M577 -- L46 2012eb"/>
    <s v="791.4302/33092; B"/>
    <d v="2012-01-01T00:00:00"/>
  </r>
  <r>
    <x v="4357"/>
    <d v="1899-12-30T00:00:48"/>
    <x v="925"/>
    <x v="1"/>
    <s v="brockport"/>
    <x v="151"/>
    <n v="968030"/>
    <x v="0"/>
    <s v="Psychology"/>
    <s v="9781118285138"/>
    <s v=",1,2,3,497,498,499,495,496,494,493,492,491,490,488,489,487,485,486,484,482,483,493,494,495"/>
    <n v="21"/>
    <m/>
    <m/>
    <s v="No"/>
    <x v="1"/>
    <m/>
    <m/>
    <s v="137.21.7.121"/>
    <s v="BF637.C6 -- S85 2013eb"/>
    <n v="158.30000000000001"/>
    <d v="2012-07-10T00:00:00"/>
  </r>
  <r>
    <x v="4358"/>
    <d v="1899-12-30T00:00:04"/>
    <x v="1145"/>
    <x v="12"/>
    <s v="potsdam"/>
    <x v="1103"/>
    <n v="1887746"/>
    <x v="0"/>
    <s v="Religion"/>
    <s v="9781118697559"/>
    <s v=",1,2,3"/>
    <n v="3"/>
    <m/>
    <m/>
    <s v="No"/>
    <x v="2"/>
    <d v="2015-11-04T17:58:20"/>
    <n v="1"/>
    <s v="137.143.104.94"/>
    <s v="BV4501.2 -- .M2357 1999eb"/>
    <n v="248"/>
    <d v="2013-05-30T00:00:00"/>
  </r>
  <r>
    <x v="4359"/>
    <d v="1899-12-30T00:35:29"/>
    <x v="13"/>
    <x v="0"/>
    <s v="Buffalo"/>
    <x v="73"/>
    <n v="1119505"/>
    <x v="0"/>
    <s v="Science: Chemistry; Science"/>
    <s v="9781118355015"/>
    <s v=",1,2,3,227,228,229,230,231,226,48,49,50,46,51,47,225,224,223,164,165,166,162,167,163,168,223"/>
    <n v="25"/>
    <m/>
    <m/>
    <s v="No"/>
    <x v="0"/>
    <d v="2015-10-29T18:29:10"/>
    <n v="7"/>
    <s v="128.205.114.91"/>
    <s v="QD251.3 -- .S38 2013eb"/>
    <s v="547/.128"/>
    <d v="2013-01-28T00:00:00"/>
  </r>
  <r>
    <x v="4360"/>
    <d v="1899-12-30T00:02:31"/>
    <x v="1149"/>
    <x v="9"/>
    <s v="trocaire"/>
    <x v="1106"/>
    <n v="2121793"/>
    <x v="0"/>
    <s v="Computer Science/IT"/>
    <s v="9781119088738"/>
    <s v=",1,2,3,242,243,244,240,241,245,246,247,248,250,251,270,271,272,268,269,273,275,276,285,286,288,289,335,337,333"/>
    <n v="29"/>
    <m/>
    <m/>
    <s v="No"/>
    <x v="3"/>
    <m/>
    <m/>
    <s v="173.225.62.67"/>
    <s v="TK5105.8885.W66 S23 2015"/>
    <n v="6.7519999999999998"/>
    <d v="2015-07-15T00:00:00"/>
  </r>
  <r>
    <x v="4361"/>
    <d v="1899-12-30T00:01:42"/>
    <x v="454"/>
    <x v="5"/>
    <s v="erie"/>
    <x v="1107"/>
    <n v="2073209"/>
    <x v="5"/>
    <s v="History"/>
    <s v="9781479873661"/>
    <s v=",1,2,3,45,46,47,191,192,193,189,190"/>
    <n v="11"/>
    <m/>
    <m/>
    <s v="No"/>
    <x v="3"/>
    <m/>
    <m/>
    <s v="199.29.6.54"/>
    <s v="F128.9.I8"/>
    <s v="973/.0451"/>
    <d v="2015-07-03T00:00:00"/>
  </r>
  <r>
    <x v="4362"/>
    <d v="1899-12-30T00:00:09"/>
    <x v="26"/>
    <x v="6"/>
    <s v="sjfc"/>
    <x v="1108"/>
    <n v="1765098"/>
    <x v="0"/>
    <s v="Social Science; Health"/>
    <s v="9781118907917"/>
    <s v=",1,2,3,7,8,9,5,6"/>
    <n v="8"/>
    <m/>
    <m/>
    <s v="No"/>
    <x v="3"/>
    <m/>
    <m/>
    <s v="149.69.254.57"/>
    <s v="RA601 -- .H54 2014eb"/>
    <s v="363.19/26"/>
    <d v="2014-08-07T00:00:00"/>
  </r>
  <r>
    <x v="4363"/>
    <d v="1899-12-30T00:01:14"/>
    <x v="860"/>
    <x v="12"/>
    <s v="potsdam"/>
    <x v="1109"/>
    <n v="1471871"/>
    <x v="0"/>
    <s v="Business/Management; Economics"/>
    <s v="9781118733431"/>
    <s v=",1,2,3,4,5,6,7,8,9,10,11,12,13,14,15,16,17"/>
    <n v="17"/>
    <m/>
    <m/>
    <s v="No"/>
    <x v="3"/>
    <m/>
    <m/>
    <s v="137.143.104.94"/>
    <s v="HG179 -- .W52644 2014eb"/>
    <n v="332.6"/>
    <d v="2013-10-11T00:00:00"/>
  </r>
  <r>
    <x v="4364"/>
    <d v="1899-12-30T00:00:25"/>
    <x v="1046"/>
    <x v="12"/>
    <s v="potsdam"/>
    <x v="988"/>
    <n v="1983497"/>
    <x v="0"/>
    <s v="Social Science"/>
    <s v="9780745689395"/>
    <s v=",1,2,3,217,218,219,215,216,214,213"/>
    <n v="10"/>
    <m/>
    <m/>
    <s v="No"/>
    <x v="0"/>
    <d v="2015-11-05T06:39:36"/>
    <n v="7"/>
    <s v="137.143.104.94"/>
    <s v="GT525"/>
    <n v="391.6"/>
    <d v="2015-03-03T00:00:00"/>
  </r>
  <r>
    <x v="4365"/>
    <d v="1899-12-30T00:00:04"/>
    <x v="1046"/>
    <x v="12"/>
    <s v="potsdam"/>
    <x v="988"/>
    <n v="1983497"/>
    <x v="0"/>
    <s v="Social Science"/>
    <s v="9780745689395"/>
    <s v=",1,2,3"/>
    <n v="3"/>
    <m/>
    <m/>
    <s v="No"/>
    <x v="0"/>
    <d v="2015-11-05T06:39:36"/>
    <n v="7"/>
    <s v="137.143.104.94"/>
    <s v="GT525"/>
    <n v="391.6"/>
    <d v="2015-03-03T00:00:00"/>
  </r>
  <r>
    <x v="4366"/>
    <d v="1899-12-30T00:02:33"/>
    <x v="1145"/>
    <x v="12"/>
    <s v="potsdam"/>
    <x v="1103"/>
    <n v="1887746"/>
    <x v="0"/>
    <s v="Religion"/>
    <s v="9781118697559"/>
    <s v=",1,2,3,96,98,97,94,95,99,100,101"/>
    <n v="11"/>
    <m/>
    <m/>
    <s v="No"/>
    <x v="2"/>
    <d v="2015-11-04T17:58:20"/>
    <n v="1"/>
    <s v="137.143.104.94"/>
    <s v="BV4501.2 -- .M2357 1999eb"/>
    <n v="248"/>
    <d v="2013-05-30T00:00:00"/>
  </r>
  <r>
    <x v="4367"/>
    <d v="1899-12-30T00:00:07"/>
    <x v="1145"/>
    <x v="12"/>
    <s v="potsdam"/>
    <x v="1103"/>
    <n v="1887746"/>
    <x v="0"/>
    <s v="Religion"/>
    <s v="9781118697559"/>
    <s v=",1,2,3"/>
    <n v="3"/>
    <m/>
    <m/>
    <s v="No"/>
    <x v="2"/>
    <d v="2015-11-04T17:58:20"/>
    <n v="1"/>
    <s v="137.143.104.94"/>
    <s v="BV4501.2 -- .M2357 1999eb"/>
    <n v="248"/>
    <d v="2013-05-30T00:00:00"/>
  </r>
  <r>
    <x v="4368"/>
    <d v="1899-12-30T00:25:57"/>
    <x v="560"/>
    <x v="1"/>
    <s v="brockport"/>
    <x v="151"/>
    <n v="968030"/>
    <x v="0"/>
    <s v="Psychology"/>
    <s v="9781118285138"/>
    <s v=",497,498,499,500,501,502,503,504,505,506,507,508,509"/>
    <n v="13"/>
    <m/>
    <m/>
    <s v="No"/>
    <x v="0"/>
    <d v="2015-11-05T14:51:14"/>
    <n v="7"/>
    <s v="137.21.7.121"/>
    <s v="BF637.C6 -- S85 2013eb"/>
    <n v="158.30000000000001"/>
    <d v="2012-07-10T00:00:00"/>
  </r>
  <r>
    <x v="4369"/>
    <d v="1899-12-30T00:47:32"/>
    <x v="1043"/>
    <x v="0"/>
    <s v="Buffalo"/>
    <x v="73"/>
    <n v="1119505"/>
    <x v="0"/>
    <s v="Science: Chemistry; Science"/>
    <s v="9781118355015"/>
    <s v=",1,2,3,227,228,229,226,224,225,231,232,233,230,225,223,224,215,216,217,213,214,232,233,218,219,220,221,216,215,214,232,233,230,228,229,227,213,209,198,199,200,201,197,202,203,204,232,232,230,228,229,227,198,199,200,196,197,201,202,203,204,205,225,226,218,219,220,216,217,215,213,214,198,199,200,196,197,206,207,208,209,210,211,212,213,214,215,216,217,218,198,199,200,196,197,201,202,203,204,219,205,206,207,208,203,215,216,217,213,214,218,219,209,210,198,199,200,196,197,201,225,226,227,223,228,229,230"/>
    <n v="40"/>
    <m/>
    <m/>
    <s v="No"/>
    <x v="0"/>
    <d v="2015-10-30T15:06:47"/>
    <n v="7"/>
    <s v="128.205.114.91"/>
    <s v="QD251.3 -- .S38 2013eb"/>
    <s v="547/.128"/>
    <d v="2013-01-28T00:00:00"/>
  </r>
  <r>
    <x v="4370"/>
    <d v="1899-12-30T00:54:57"/>
    <x v="756"/>
    <x v="1"/>
    <s v="brockport"/>
    <x v="151"/>
    <n v="968030"/>
    <x v="0"/>
    <s v="Psychology"/>
    <s v="9781118285138"/>
    <s v=",1,2,3,493,494,495,491,492,496,497,498,489,1,3,499,500,501,502,503,504,498,497,504"/>
    <n v="18"/>
    <m/>
    <m/>
    <s v="No"/>
    <x v="0"/>
    <d v="2015-11-04T19:24:16"/>
    <n v="7"/>
    <s v="137.21.7.121"/>
    <s v="BF637.C6 -- S85 2013eb"/>
    <n v="158.30000000000001"/>
    <d v="2012-07-10T00:00:00"/>
  </r>
  <r>
    <x v="4371"/>
    <d v="1899-12-30T00:12:11"/>
    <x v="560"/>
    <x v="1"/>
    <s v="brockport"/>
    <x v="151"/>
    <n v="968030"/>
    <x v="0"/>
    <s v="Psychology"/>
    <s v="9781118285138"/>
    <s v=",1,2,3,493,494,495,491,492,496"/>
    <n v="9"/>
    <m/>
    <m/>
    <s v="No"/>
    <x v="1"/>
    <m/>
    <m/>
    <s v="137.21.7.121"/>
    <s v="BF637.C6 -- S85 2013eb"/>
    <n v="158.30000000000001"/>
    <d v="2012-07-10T00:00:00"/>
  </r>
  <r>
    <x v="4372"/>
    <d v="1899-12-30T00:18:01"/>
    <x v="1043"/>
    <x v="0"/>
    <s v="Buffalo"/>
    <x v="73"/>
    <n v="1119505"/>
    <x v="0"/>
    <s v="Science: Chemistry; Science"/>
    <s v="9781118355015"/>
    <s v=",1,2,3,52,53,54,51,49,50,48,47,215,216,217,213,218,219,220,225,226,227,223,224,228,229,229,230,197,198,199,195,196,200,227,228,229,225,230,224,230,231,232,233,169,170,171,168,166,167,165,164"/>
    <n v="43"/>
    <m/>
    <m/>
    <s v="No"/>
    <x v="0"/>
    <d v="2015-10-30T15:06:47"/>
    <n v="7"/>
    <s v="128.205.114.91"/>
    <s v="QD251.3 -- .S38 2013eb"/>
    <s v="547/.128"/>
    <d v="2013-01-28T00:00:00"/>
  </r>
  <r>
    <x v="4373"/>
    <d v="1899-12-30T01:22:32"/>
    <x v="1140"/>
    <x v="0"/>
    <s v="Buffalo"/>
    <x v="73"/>
    <n v="1119505"/>
    <x v="0"/>
    <s v="Science: Chemistry; Science"/>
    <s v="9781118355015"/>
    <s v=",2,48,49,50,51,47,164,165,166,162,167,168,227,228,229,230,226,231,231,232,233,234,235,236,238"/>
    <n v="24"/>
    <m/>
    <s v=",197,198,199,200,201,202,203,204,205,206,207,208,209,210,211,212,213,214,215,216,217,218,219,220,221,222,223,224,225,226,227,228,229,230"/>
    <s v="No"/>
    <x v="0"/>
    <d v="2015-11-05T14:25:13"/>
    <n v="7"/>
    <s v="128.205.114.91"/>
    <s v="QD251.3 -- .S38 2013eb"/>
    <s v="547/.128"/>
    <d v="2013-01-28T00:00:00"/>
  </r>
  <r>
    <x v="4374"/>
    <d v="1899-12-30T00:00:17"/>
    <x v="1140"/>
    <x v="0"/>
    <s v="Buffalo"/>
    <x v="73"/>
    <n v="1119505"/>
    <x v="0"/>
    <s v="Science: Chemistry; Science"/>
    <s v="9781118355015"/>
    <s v=",1,2,3,197,198,199"/>
    <n v="6"/>
    <m/>
    <m/>
    <s v="No"/>
    <x v="1"/>
    <m/>
    <m/>
    <s v="128.205.114.91"/>
    <s v="QD251.3 -- .S38 2013eb"/>
    <s v="547/.128"/>
    <d v="2013-01-28T00:00:00"/>
  </r>
  <r>
    <x v="4375"/>
    <d v="1899-12-30T00:00:18"/>
    <x v="1150"/>
    <x v="1"/>
    <s v="brockport"/>
    <x v="1110"/>
    <n v="1725831"/>
    <x v="0"/>
    <s v="Social Science"/>
    <s v="9781118896334"/>
    <s v=",6,7,8,4,5,3,5,6"/>
    <n v="6"/>
    <m/>
    <m/>
    <s v="No"/>
    <x v="2"/>
    <d v="2015-11-05T13:47:16"/>
    <n v="1"/>
    <s v="137.21.7.121"/>
    <s v="GN316 .C35 2014"/>
    <n v="305.8"/>
    <d v="2014-06-27T00:00:00"/>
  </r>
  <r>
    <x v="4376"/>
    <d v="1899-12-30T00:05:04"/>
    <x v="1150"/>
    <x v="1"/>
    <s v="brockport"/>
    <x v="1110"/>
    <n v="1725831"/>
    <x v="0"/>
    <s v="Social Science"/>
    <s v="9781118896334"/>
    <s v=",1,2,3,4,5,6,7,8,9,10,11,12,13,14,15,16,17,23,24,25,21,22,23,23,23,26,27,28,29,30,24,25,28,26,29,30,31,32,33,66,67,68,64,69,70,71,72,73,74,75,76,77"/>
    <n v="43"/>
    <m/>
    <m/>
    <s v="No"/>
    <x v="3"/>
    <m/>
    <m/>
    <s v="137.21.7.121"/>
    <s v="GN316 .C35 2014"/>
    <n v="305.8"/>
    <d v="2014-06-27T00:00:00"/>
  </r>
  <r>
    <x v="4377"/>
    <d v="1899-12-30T00:03:05"/>
    <x v="1151"/>
    <x v="1"/>
    <s v="brockport"/>
    <x v="519"/>
    <n v="822662"/>
    <x v="0"/>
    <s v="History"/>
    <s v="9781444355130"/>
    <s v=",1,3,2,226,227,228,224,225,226,227,228,224,229,230,231,232,233,302,303,304,300,301,305,306,307,308,309,302,299"/>
    <n v="24"/>
    <m/>
    <m/>
    <s v="No"/>
    <x v="0"/>
    <d v="2015-10-30T09:37:59"/>
    <n v="7"/>
    <s v="137.21.7.121"/>
    <s v="DT20 -- .R45 2012eb"/>
    <n v="960.3"/>
    <d v="2011-11-11T00:00:00"/>
  </r>
  <r>
    <x v="4378"/>
    <d v="1899-12-30T00:50:51"/>
    <x v="1151"/>
    <x v="1"/>
    <s v="brockport"/>
    <x v="519"/>
    <n v="822662"/>
    <x v="0"/>
    <s v="History"/>
    <s v="9781444355130"/>
    <s v=",1,2,3,220,221,222,218,219,223,227,228,229,225,226,230,302,303,304,300,301,305,302,303,304,300,302,303,304,300,301,305,306,307,308,299"/>
    <n v="25"/>
    <s v=",302,302"/>
    <m/>
    <s v="No"/>
    <x v="0"/>
    <d v="2015-10-30T09:37:59"/>
    <n v="7"/>
    <s v="137.21.7.121"/>
    <s v="DT20 -- .R45 2012eb"/>
    <n v="960.3"/>
    <d v="2011-11-11T00:00:00"/>
  </r>
  <r>
    <x v="4379"/>
    <d v="1899-12-30T00:00:00"/>
    <x v="1151"/>
    <x v="1"/>
    <s v="brockport"/>
    <x v="519"/>
    <n v="822662"/>
    <x v="0"/>
    <s v="History"/>
    <s v="9781444355130"/>
    <m/>
    <n v="0"/>
    <m/>
    <m/>
    <s v="No"/>
    <x v="0"/>
    <d v="2015-10-30T09:37:59"/>
    <n v="7"/>
    <s v="137.21.7.121"/>
    <s v="DT20 -- .R45 2012eb"/>
    <n v="960.3"/>
    <d v="2011-11-11T00:00:00"/>
  </r>
  <r>
    <x v="4380"/>
    <d v="1899-12-30T00:00:09"/>
    <x v="1152"/>
    <x v="0"/>
    <s v="Buffalo"/>
    <x v="1111"/>
    <n v="2051171"/>
    <x v="3"/>
    <s v="Social Science"/>
    <s v="9780520964037"/>
    <s v=",1,2,3"/>
    <n v="3"/>
    <m/>
    <m/>
    <s v="No"/>
    <x v="2"/>
    <d v="2015-11-05T07:19:52"/>
    <n v="7"/>
    <s v="128.205.114.91"/>
    <s v="HV6433"/>
    <n v="363.32499999999999"/>
    <d v="2015-09-08T00:00:00"/>
  </r>
  <r>
    <x v="4381"/>
    <d v="1899-12-30T00:04:37"/>
    <x v="13"/>
    <x v="0"/>
    <s v="Buffalo"/>
    <x v="758"/>
    <n v="1388962"/>
    <x v="7"/>
    <s v="Medicine"/>
    <s v="9781780643403"/>
    <s v=",1,2,3,4,5,6,7,8,13,14,15,11,12,16,17,18,19,20,21,22,23,254,255,256,252,253,257,258,259"/>
    <n v="29"/>
    <m/>
    <m/>
    <s v="No"/>
    <x v="0"/>
    <d v="2015-11-05T03:36:28"/>
    <n v="7"/>
    <s v="128.205.114.91"/>
    <s v="RC376 -- .M465 2013eb"/>
    <s v="616.8/2"/>
    <d v="2013-01-01T00:00:00"/>
  </r>
  <r>
    <x v="4382"/>
    <d v="1899-12-30T00:00:00"/>
    <x v="1152"/>
    <x v="0"/>
    <s v="Buffalo"/>
    <x v="1111"/>
    <n v="2051171"/>
    <x v="3"/>
    <s v="Social Science"/>
    <s v="9780520964037"/>
    <m/>
    <n v="0"/>
    <m/>
    <m/>
    <s v="Yes"/>
    <x v="2"/>
    <d v="2015-11-05T07:19:52"/>
    <n v="7"/>
    <s v="128.205.114.91"/>
    <s v="HV6433"/>
    <n v="363.32499999999999"/>
    <d v="2015-09-08T00:00:00"/>
  </r>
  <r>
    <x v="4383"/>
    <d v="1899-12-30T00:00:45"/>
    <x v="1152"/>
    <x v="0"/>
    <s v="Buffalo"/>
    <x v="1111"/>
    <n v="2051171"/>
    <x v="3"/>
    <s v="Social Science"/>
    <s v="9780520964037"/>
    <s v=",33,60"/>
    <n v="2"/>
    <m/>
    <m/>
    <s v="Yes"/>
    <x v="2"/>
    <d v="2015-11-05T07:19:52"/>
    <n v="7"/>
    <s v="128.205.114.91"/>
    <s v="HV6433"/>
    <n v="363.32499999999999"/>
    <d v="2015-09-08T00:00:00"/>
  </r>
  <r>
    <x v="4383"/>
    <d v="1899-12-30T00:00:00"/>
    <x v="1152"/>
    <x v="0"/>
    <s v="Buffalo"/>
    <x v="1111"/>
    <n v="2051171"/>
    <x v="3"/>
    <s v="Social Science"/>
    <s v="9780520964037"/>
    <m/>
    <n v="0"/>
    <m/>
    <m/>
    <s v="No"/>
    <x v="2"/>
    <d v="2015-11-05T07:19:52"/>
    <n v="7"/>
    <s v="128.205.114.91"/>
    <s v="HV6433"/>
    <n v="363.32499999999999"/>
    <d v="2015-09-08T00:00:00"/>
  </r>
  <r>
    <x v="4384"/>
    <d v="1899-12-30T00:00:41"/>
    <x v="1152"/>
    <x v="0"/>
    <s v="Buffalo"/>
    <x v="1111"/>
    <n v="2051171"/>
    <x v="3"/>
    <s v="Social Science"/>
    <s v="9780520964037"/>
    <s v=",1,2,3,1"/>
    <n v="3"/>
    <m/>
    <m/>
    <s v="No"/>
    <x v="3"/>
    <m/>
    <m/>
    <s v="128.205.114.91"/>
    <s v="HV6433"/>
    <n v="363.32499999999999"/>
    <d v="2015-09-08T00:00:00"/>
  </r>
  <r>
    <x v="4385"/>
    <d v="1899-12-30T00:05:31"/>
    <x v="1046"/>
    <x v="12"/>
    <s v="potsdam"/>
    <x v="988"/>
    <n v="1983497"/>
    <x v="0"/>
    <s v="Social Science"/>
    <s v="9780745689395"/>
    <s v=",9,8,217"/>
    <n v="3"/>
    <m/>
    <m/>
    <s v="No"/>
    <x v="0"/>
    <d v="2015-11-05T06:39:36"/>
    <n v="7"/>
    <s v="137.143.104.94"/>
    <s v="GT525"/>
    <n v="391.6"/>
    <d v="2015-03-03T00:00:00"/>
  </r>
  <r>
    <x v="4386"/>
    <d v="1899-12-30T00:25:28"/>
    <x v="1046"/>
    <x v="12"/>
    <s v="potsdam"/>
    <x v="988"/>
    <n v="1983497"/>
    <x v="0"/>
    <s v="Social Science"/>
    <s v="9780745689395"/>
    <s v=",1,2,3"/>
    <n v="3"/>
    <m/>
    <m/>
    <s v="No"/>
    <x v="1"/>
    <m/>
    <m/>
    <s v="137.143.104.94"/>
    <s v="GT525"/>
    <n v="391.6"/>
    <d v="2015-03-03T00:00:00"/>
  </r>
  <r>
    <x v="4387"/>
    <d v="1899-12-30T00:00:49"/>
    <x v="1151"/>
    <x v="1"/>
    <s v="brockport"/>
    <x v="519"/>
    <n v="822662"/>
    <x v="0"/>
    <s v="History"/>
    <s v="9781444355130"/>
    <s v=",1,2,3,302,303,304,300,301,299,304"/>
    <n v="9"/>
    <m/>
    <m/>
    <s v="No"/>
    <x v="0"/>
    <d v="2015-10-30T09:37:59"/>
    <n v="7"/>
    <s v="137.21.7.121"/>
    <s v="DT20 -- .R45 2012eb"/>
    <n v="960.3"/>
    <d v="2011-11-11T00:00:00"/>
  </r>
  <r>
    <x v="4387"/>
    <d v="1899-12-30T00:00:00"/>
    <x v="1151"/>
    <x v="1"/>
    <s v="brockport"/>
    <x v="519"/>
    <n v="822662"/>
    <x v="0"/>
    <s v="History"/>
    <s v="9781444355130"/>
    <m/>
    <n v="0"/>
    <m/>
    <m/>
    <s v="No"/>
    <x v="0"/>
    <d v="2015-10-30T09:37:59"/>
    <n v="7"/>
    <s v="137.21.7.121"/>
    <s v="DT20 -- .R45 2012eb"/>
    <n v="960.3"/>
    <d v="2011-11-11T00:00:00"/>
  </r>
  <r>
    <x v="4388"/>
    <d v="1899-12-30T01:07:03"/>
    <x v="717"/>
    <x v="13"/>
    <s v="buffalostate"/>
    <x v="516"/>
    <n v="1840835"/>
    <x v="0"/>
    <s v="Business/Management; Economics"/>
    <s v="9781118950166"/>
    <s v=",1,2,3,165,166,163,167,164,168,169,170,171,172,173,174,175,176,177,178,186,187,188,184,185,189,190,182,183,180,181,192,194,193,191,201,203,202,199,200,204,205,206,207,208,209,212,213,214,211,210,215,216,217,218,219,220,221,222,223,224,225,226,227,228,229,230,231,232,233,234,235"/>
    <n v="71"/>
    <m/>
    <m/>
    <s v="No"/>
    <x v="0"/>
    <d v="2015-11-05T02:48:34"/>
    <n v="7"/>
    <s v="136.183.11.43"/>
    <s v="HD9969.S6 .R384 2014"/>
    <n v="338.10923789999998"/>
    <d v="2014-11-10T00:00:00"/>
  </r>
  <r>
    <x v="4389"/>
    <d v="1899-12-30T00:04:30"/>
    <x v="1153"/>
    <x v="1"/>
    <s v="brockport"/>
    <x v="648"/>
    <n v="912464"/>
    <x v="15"/>
    <s v="Language/Linguistics"/>
    <s v="9781408176238"/>
    <s v=",1,2,3,5,6,7,4,8,81,83,85,82,84,9,10,11,12,13,14,15,16,18,17,19,20,21,22,23,25,26,27,28,29"/>
    <n v="33"/>
    <m/>
    <m/>
    <s v="No"/>
    <x v="1"/>
    <m/>
    <m/>
    <s v="137.21.7.121"/>
    <s v="PE1128"/>
    <n v="428.24076000000002"/>
    <d v="2012-05-17T00:00:00"/>
  </r>
  <r>
    <x v="4390"/>
    <d v="1899-12-30T00:31:54"/>
    <x v="13"/>
    <x v="0"/>
    <s v="Buffalo"/>
    <x v="758"/>
    <n v="1388962"/>
    <x v="7"/>
    <s v="Medicine"/>
    <s v="9781780643403"/>
    <s v=",13,14,15,16,17,18,19,20,21,22,23,24,25,254,255,256,252,253,257,258,259,260,261,29,30,31,28,27,32,33,34,35,267,268,269,265,266,270,271,43,45,44,42,41,145,146,147,143,144"/>
    <n v="49"/>
    <m/>
    <m/>
    <s v="No"/>
    <x v="0"/>
    <d v="2015-11-05T03:36:28"/>
    <n v="7"/>
    <s v="128.205.114.91"/>
    <s v="RC376 -- .M465 2013eb"/>
    <s v="616.8/2"/>
    <d v="2013-01-01T00:00:00"/>
  </r>
  <r>
    <x v="4391"/>
    <d v="1899-12-30T00:00:11"/>
    <x v="1154"/>
    <x v="0"/>
    <s v="Buffalo"/>
    <x v="648"/>
    <n v="912464"/>
    <x v="15"/>
    <s v="Language/Linguistics"/>
    <s v="9781408176238"/>
    <s v=",113,114,115,111,112,116"/>
    <n v="6"/>
    <m/>
    <m/>
    <s v="No"/>
    <x v="0"/>
    <d v="2015-11-05T03:27:13"/>
    <n v="7"/>
    <s v="128.205.114.91"/>
    <s v="PE1128"/>
    <n v="428.24076000000002"/>
    <d v="2012-05-17T00:00:00"/>
  </r>
  <r>
    <x v="4392"/>
    <d v="1899-12-30T00:02:19"/>
    <x v="1155"/>
    <x v="12"/>
    <s v="potsdam"/>
    <x v="1112"/>
    <n v="1245462"/>
    <x v="0"/>
    <s v="Fine Arts; Literature"/>
    <s v="9781118499870"/>
    <s v=",1,2,3,7,4,5,6,8,9,10,11,12,13"/>
    <n v="13"/>
    <m/>
    <m/>
    <s v="No"/>
    <x v="3"/>
    <m/>
    <m/>
    <s v="137.143.104.94"/>
    <s v="PN6710 -- .K84 2013eb"/>
    <s v="741.5/9"/>
    <d v="2013-06-25T00:00:00"/>
  </r>
  <r>
    <x v="4393"/>
    <d v="1899-12-30T00:11:42"/>
    <x v="1154"/>
    <x v="0"/>
    <s v="Buffalo"/>
    <x v="648"/>
    <n v="912464"/>
    <x v="15"/>
    <s v="Language/Linguistics"/>
    <s v="9781408176238"/>
    <s v=",1,2,3,17,18,19,15,16,83,84,85,81,82"/>
    <n v="13"/>
    <m/>
    <m/>
    <s v="No"/>
    <x v="1"/>
    <m/>
    <m/>
    <s v="128.205.114.91"/>
    <s v="PE1128"/>
    <n v="428.24076000000002"/>
    <d v="2012-05-17T00:00:00"/>
  </r>
  <r>
    <x v="4394"/>
    <d v="1899-12-30T00:59:13"/>
    <x v="717"/>
    <x v="13"/>
    <s v="buffalostate"/>
    <x v="516"/>
    <n v="1840835"/>
    <x v="0"/>
    <s v="Business/Management; Economics"/>
    <s v="9781118950166"/>
    <s v=",51,52,53,54,55,56,57,58,59,60,61,62,63,64,65,66,67,68,69,70,71,72,73"/>
    <n v="23"/>
    <m/>
    <m/>
    <s v="No"/>
    <x v="0"/>
    <d v="2015-11-05T02:48:34"/>
    <n v="7"/>
    <s v="136.183.11.43"/>
    <s v="HD9969.S6 .R384 2014"/>
    <n v="338.10923789999998"/>
    <d v="2014-11-10T00:00:00"/>
  </r>
  <r>
    <x v="4395"/>
    <d v="1899-12-30T00:48:54"/>
    <x v="13"/>
    <x v="0"/>
    <s v="Buffalo"/>
    <x v="758"/>
    <n v="1388962"/>
    <x v="7"/>
    <s v="Medicine"/>
    <s v="9781780643403"/>
    <s v=",1,2,3,4,5,6,7,8,9,10,11,12"/>
    <n v="12"/>
    <m/>
    <m/>
    <s v="No"/>
    <x v="3"/>
    <m/>
    <m/>
    <s v="128.205.114.91"/>
    <s v="RC376 -- .M465 2013eb"/>
    <s v="616.8/2"/>
    <d v="2013-01-01T00:00:00"/>
  </r>
  <r>
    <x v="4396"/>
    <d v="1899-12-30T00:10:09"/>
    <x v="717"/>
    <x v="13"/>
    <s v="buffalostate"/>
    <x v="516"/>
    <n v="1840835"/>
    <x v="0"/>
    <s v="Business/Management; Economics"/>
    <s v="9781118950166"/>
    <s v=",1,2,3,46,47,48,44,45,49,50"/>
    <n v="10"/>
    <m/>
    <m/>
    <s v="No"/>
    <x v="1"/>
    <m/>
    <m/>
    <s v="136.183.11.43"/>
    <s v="HD9969.S6 .R384 2014"/>
    <n v="338.10923789999998"/>
    <d v="2014-11-10T00:00:00"/>
  </r>
  <r>
    <x v="4397"/>
    <d v="1899-12-30T00:00:00"/>
    <x v="906"/>
    <x v="1"/>
    <s v="brockport"/>
    <x v="151"/>
    <n v="968030"/>
    <x v="0"/>
    <s v="Psychology"/>
    <s v="9781118285138"/>
    <s v=",411"/>
    <n v="1"/>
    <m/>
    <m/>
    <s v="No"/>
    <x v="0"/>
    <d v="2015-11-05T02:16:24"/>
    <n v="7"/>
    <s v="137.21.7.121"/>
    <s v="BF637.C6 -- S85 2013eb"/>
    <n v="158.30000000000001"/>
    <d v="2012-07-10T00:00:00"/>
  </r>
  <r>
    <x v="4398"/>
    <d v="1899-12-30T00:40:17"/>
    <x v="807"/>
    <x v="0"/>
    <s v="Buffalo"/>
    <x v="73"/>
    <n v="1119505"/>
    <x v="0"/>
    <s v="Science: Chemistry; Science"/>
    <s v="9781118355015"/>
    <s v=",203,204,205,206,207,208,209,210,211,212,213,214,215,217,216,218,219,220,221,222,223,224"/>
    <n v="22"/>
    <m/>
    <m/>
    <s v="No"/>
    <x v="0"/>
    <d v="2015-11-05T02:11:31"/>
    <n v="7"/>
    <s v="128.205.114.91"/>
    <s v="QD251.3 -- .S38 2013eb"/>
    <s v="547/.128"/>
    <d v="2013-01-28T00:00:00"/>
  </r>
  <r>
    <x v="4399"/>
    <d v="1899-12-30T00:10:47"/>
    <x v="906"/>
    <x v="1"/>
    <s v="brockport"/>
    <x v="151"/>
    <n v="968030"/>
    <x v="0"/>
    <s v="Psychology"/>
    <s v="9781118285138"/>
    <s v=",1,2,3,408,409,410,406,407"/>
    <n v="8"/>
    <m/>
    <m/>
    <s v="No"/>
    <x v="1"/>
    <m/>
    <m/>
    <s v="137.21.7.121"/>
    <s v="BF637.C6 -- S85 2013eb"/>
    <n v="158.30000000000001"/>
    <d v="2012-07-10T00:00:00"/>
  </r>
  <r>
    <x v="4400"/>
    <d v="1899-12-30T00:14:07"/>
    <x v="807"/>
    <x v="0"/>
    <s v="Buffalo"/>
    <x v="73"/>
    <n v="1119505"/>
    <x v="0"/>
    <s v="Science: Chemistry; Science"/>
    <s v="9781118355015"/>
    <s v=",1,2,3,197,198,199,195,196,200,227,228,229,225,226,230,201,202"/>
    <n v="17"/>
    <m/>
    <m/>
    <s v="No"/>
    <x v="1"/>
    <m/>
    <m/>
    <s v="128.205.114.91"/>
    <s v="QD251.3 -- .S38 2013eb"/>
    <s v="547/.128"/>
    <d v="2013-01-28T00:00:00"/>
  </r>
  <r>
    <x v="4401"/>
    <d v="1899-12-30T00:00:06"/>
    <x v="925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4402"/>
    <d v="1899-12-30T00:01:05"/>
    <x v="1156"/>
    <x v="12"/>
    <s v="potsdam"/>
    <x v="1113"/>
    <n v="1830135"/>
    <x v="0"/>
    <s v="Business/Management"/>
    <s v="9781119003960"/>
    <s v=",1,3,2,4,5,6,7,8,9,10,202,203,204,200,201"/>
    <n v="15"/>
    <m/>
    <m/>
    <s v="No"/>
    <x v="3"/>
    <m/>
    <m/>
    <s v="137.143.104.94"/>
    <s v="HD57.7 -- .W6495 2015eb"/>
    <s v="658.4/092"/>
    <d v="2014-10-30T00:00:00"/>
  </r>
  <r>
    <x v="4403"/>
    <d v="1899-12-30T00:18:24"/>
    <x v="955"/>
    <x v="1"/>
    <s v="brockport"/>
    <x v="151"/>
    <n v="968030"/>
    <x v="0"/>
    <s v="Psychology"/>
    <s v="9781118285138"/>
    <s v=",1,2,3,413,414,415,411,412,416,422,423,424,421,420,419,425,426,427,428,363,364,365,417,418"/>
    <n v="24"/>
    <m/>
    <m/>
    <s v="No"/>
    <x v="0"/>
    <d v="2015-11-03T03:39:18"/>
    <n v="7"/>
    <s v="137.21.7.121"/>
    <s v="BF637.C6 -- S85 2013eb"/>
    <n v="158.30000000000001"/>
    <d v="2012-07-10T00:00:00"/>
  </r>
  <r>
    <x v="4404"/>
    <d v="1899-12-30T00:00:28"/>
    <x v="13"/>
    <x v="0"/>
    <s v="Buffalo"/>
    <x v="175"/>
    <n v="875809"/>
    <x v="0"/>
    <s v="Language/Linguistics"/>
    <s v="9781118223598"/>
    <s v=",20,26"/>
    <n v="2"/>
    <m/>
    <m/>
    <s v="Yes"/>
    <x v="0"/>
    <d v="2015-11-04T23:28:54"/>
    <n v="7"/>
    <s v="128.205.114.91"/>
    <s v="PE1128.A2 -- F455 2012eb"/>
    <n v="428.00709999999998"/>
    <d v="2012-08-07T00:00:00"/>
  </r>
  <r>
    <x v="4405"/>
    <d v="1899-12-30T00:01:07"/>
    <x v="1157"/>
    <x v="12"/>
    <s v="potsdam"/>
    <x v="1114"/>
    <n v="1557287"/>
    <x v="0"/>
    <s v="Fine Arts"/>
    <s v="9781118799192"/>
    <s v=",1,92,93,94,91,90,89,2,95,96,97,98"/>
    <n v="12"/>
    <m/>
    <m/>
    <s v="No"/>
    <x v="2"/>
    <d v="2015-11-04T23:33:19"/>
    <n v="1"/>
    <s v="137.143.104.94"/>
    <s v="NC795 -- .S84 2014eb"/>
    <s v="743/.836"/>
    <d v="2013-11-08T00:00:00"/>
  </r>
  <r>
    <x v="4406"/>
    <d v="1899-12-30T00:01:03"/>
    <x v="1157"/>
    <x v="12"/>
    <s v="potsdam"/>
    <x v="1114"/>
    <n v="1557287"/>
    <x v="0"/>
    <s v="Fine Arts"/>
    <s v="9781118799192"/>
    <s v=",48,50,49,46,47,82,83,84,95,59,60,61,57,58"/>
    <n v="14"/>
    <m/>
    <m/>
    <s v="No"/>
    <x v="2"/>
    <d v="2015-11-04T23:33:19"/>
    <n v="1"/>
    <s v="137.143.104.94"/>
    <s v="NC795 -- .S84 2014eb"/>
    <s v="743/.836"/>
    <d v="2013-11-08T00:00:00"/>
  </r>
  <r>
    <x v="4407"/>
    <d v="1899-12-30T00:04:41"/>
    <x v="13"/>
    <x v="0"/>
    <s v="Buffalo"/>
    <x v="175"/>
    <n v="875809"/>
    <x v="0"/>
    <s v="Language/Linguistics"/>
    <s v="9781118223598"/>
    <s v=",25,23,24,25,21,22"/>
    <n v="5"/>
    <m/>
    <m/>
    <s v="No"/>
    <x v="0"/>
    <d v="2015-11-04T23:28:54"/>
    <n v="7"/>
    <s v="128.205.114.91"/>
    <s v="PE1128.A2 -- F455 2012eb"/>
    <n v="428.00709999999998"/>
    <d v="2012-08-07T00:00:00"/>
  </r>
  <r>
    <x v="4408"/>
    <d v="1899-12-30T00:05:09"/>
    <x v="1157"/>
    <x v="12"/>
    <s v="potsdam"/>
    <x v="1114"/>
    <n v="1557287"/>
    <x v="0"/>
    <s v="Fine Arts"/>
    <s v="9781118799192"/>
    <s v=",1,2,3,94"/>
    <n v="4"/>
    <m/>
    <m/>
    <s v="No"/>
    <x v="3"/>
    <m/>
    <m/>
    <s v="137.143.104.94"/>
    <s v="NC795 -- .S84 2014eb"/>
    <s v="743/.836"/>
    <d v="2013-11-08T00:00:00"/>
  </r>
  <r>
    <x v="4409"/>
    <d v="1899-12-30T00:11:56"/>
    <x v="13"/>
    <x v="0"/>
    <s v="Buffalo"/>
    <x v="175"/>
    <n v="875809"/>
    <x v="0"/>
    <s v="Language/Linguistics"/>
    <s v="9781118223598"/>
    <s v=",1,2,3,4,9,10,11,7,8,12,13,14,15,16,17,18,19,20,21,22,23,24"/>
    <n v="22"/>
    <m/>
    <m/>
    <s v="No"/>
    <x v="1"/>
    <m/>
    <m/>
    <s v="128.205.114.91"/>
    <s v="PE1128.A2 -- F455 2012eb"/>
    <n v="428.00709999999998"/>
    <d v="2012-08-07T00:00:00"/>
  </r>
  <r>
    <x v="4410"/>
    <d v="1899-12-30T00:11:35"/>
    <x v="1158"/>
    <x v="12"/>
    <s v="potsdam"/>
    <x v="1115"/>
    <n v="1985694"/>
    <x v="0"/>
    <s v="Business/Management; Political Science; Law"/>
    <s v="9780745689005"/>
    <s v=",83,85,84,81,82,86,80,87,88,89,90,91,92,93,94,95,96,97,98"/>
    <n v="19"/>
    <m/>
    <m/>
    <s v="No"/>
    <x v="0"/>
    <d v="2015-11-04T23:08:54"/>
    <n v="7"/>
    <s v="137.143.104.94"/>
    <s v="HB1951; JV6465"/>
    <n v="345.05"/>
    <d v="2015-03-05T00:00:00"/>
  </r>
  <r>
    <x v="4411"/>
    <d v="1899-12-30T00:00:31"/>
    <x v="1158"/>
    <x v="12"/>
    <s v="potsdam"/>
    <x v="1115"/>
    <n v="1985694"/>
    <x v="0"/>
    <s v="Business/Management; Political Science; Law"/>
    <s v="9780745689005"/>
    <s v=",1,2,3,1,82,88,83"/>
    <n v="6"/>
    <m/>
    <m/>
    <s v="No"/>
    <x v="3"/>
    <m/>
    <m/>
    <s v="137.143.104.94"/>
    <s v="HB1951; JV6465"/>
    <n v="345.05"/>
    <d v="2015-03-05T00:00:00"/>
  </r>
  <r>
    <x v="4412"/>
    <d v="1899-12-30T00:04:22"/>
    <x v="1158"/>
    <x v="12"/>
    <s v="potsdam"/>
    <x v="1115"/>
    <n v="1985694"/>
    <x v="0"/>
    <s v="Business/Management; Political Science; Law"/>
    <s v="9780745689005"/>
    <s v=",1,2,3,82,83,84,80,81,85,88,89,90,86,87,91,89"/>
    <n v="15"/>
    <m/>
    <m/>
    <s v="No"/>
    <x v="3"/>
    <m/>
    <m/>
    <s v="137.143.104.94"/>
    <s v="HB1951; JV6465"/>
    <n v="345.05"/>
    <d v="2015-03-05T00:00:00"/>
  </r>
  <r>
    <x v="4413"/>
    <d v="1899-12-30T00:05:42"/>
    <x v="1159"/>
    <x v="13"/>
    <s v="buffalostate"/>
    <x v="1116"/>
    <n v="1655945"/>
    <x v="4"/>
    <s v="Social Science"/>
    <s v="9781462515318"/>
    <s v=",100,19,20"/>
    <n v="3"/>
    <m/>
    <s v=",21,22,23,24,25,26,27,28,29,30,31,32,33,34,35,36,37,38,39,40,41,42,43,44,45,46,47,48,49,50,51,52,53,54,55,56,57,58,59,131,132,133,134,135,136,137,138,139,140,141,142,143,144,145,146,147,148,149,150,151,152,153,154,155,156,157,158,159,160,131,132,133,134,135,136,137,138,139,140,141,142,143,144,145,146,147,148,149,150,151,152,153,154,155,156,157,158,159,160"/>
    <s v="No"/>
    <x v="2"/>
    <d v="2015-11-04T22:59:39"/>
    <n v="1"/>
    <s v="136.183.11.43"/>
    <s v="HQ1180 -- .F452 2014eb"/>
    <n v="305.42009999999999"/>
    <d v="2014-05-14T00:00:00"/>
  </r>
  <r>
    <x v="4414"/>
    <d v="1899-12-30T00:02:44"/>
    <x v="1159"/>
    <x v="13"/>
    <s v="buffalostate"/>
    <x v="1116"/>
    <n v="1655945"/>
    <x v="4"/>
    <s v="Social Science"/>
    <s v="9781462515318"/>
    <s v=",1,2,3,4,9,12,13,14,10,11,17,18,19,15,16,132,133,129,130,21,22,23,20,24,25,26,27,28,29,30,131,132,133,129,130,134,135,136,141,142,138,139,137,136,129,130,143"/>
    <n v="40"/>
    <m/>
    <m/>
    <s v="No"/>
    <x v="3"/>
    <m/>
    <m/>
    <s v="136.183.11.43"/>
    <s v="HQ1180 -- .F452 2014eb"/>
    <n v="305.42009999999999"/>
    <d v="2014-05-14T00:00:00"/>
  </r>
  <r>
    <x v="4415"/>
    <d v="1899-12-30T00:00:09"/>
    <x v="1158"/>
    <x v="12"/>
    <s v="potsdam"/>
    <x v="1115"/>
    <n v="1985694"/>
    <x v="0"/>
    <s v="Business/Management; Political Science; Law"/>
    <s v="9780745689005"/>
    <s v=",1,2,3,12,13,14,10,11"/>
    <n v="8"/>
    <m/>
    <m/>
    <s v="No"/>
    <x v="3"/>
    <m/>
    <m/>
    <s v="137.143.104.94"/>
    <s v="HB1951; JV6465"/>
    <n v="345.05"/>
    <d v="2015-03-05T00:00:00"/>
  </r>
  <r>
    <x v="4416"/>
    <d v="1899-12-30T00:00:15"/>
    <x v="1158"/>
    <x v="12"/>
    <s v="potsdam"/>
    <x v="1117"/>
    <n v="1895764"/>
    <x v="0"/>
    <s v="Social Science"/>
    <s v="9781118928929"/>
    <s v=",1,2,3,4,5,6,7"/>
    <n v="7"/>
    <m/>
    <m/>
    <s v="No"/>
    <x v="3"/>
    <m/>
    <m/>
    <s v="137.143.104.94"/>
    <s v="HM621 -- .B35 2015eb"/>
    <s v="303.48/2"/>
    <d v="2015-03-17T00:00:00"/>
  </r>
  <r>
    <x v="4417"/>
    <d v="1899-12-30T00:00:27"/>
    <x v="1160"/>
    <x v="0"/>
    <s v="Buffalo"/>
    <x v="1118"/>
    <n v="1774374"/>
    <x v="4"/>
    <s v="Psychology"/>
    <s v="9781462519040"/>
    <s v=",1,261,262,263,259,260,264,265,266,267,268,269,270,271,2,272,273,274,275,276"/>
    <n v="20"/>
    <m/>
    <m/>
    <s v="No"/>
    <x v="3"/>
    <m/>
    <m/>
    <s v="128.205.114.91"/>
    <s v="BF327 -- .H363 2015eb"/>
    <n v="158"/>
    <d v="2014-12-24T00:00:00"/>
  </r>
  <r>
    <x v="4418"/>
    <d v="1899-12-30T00:00:22"/>
    <x v="1160"/>
    <x v="0"/>
    <s v="Buffalo"/>
    <x v="1118"/>
    <n v="1774374"/>
    <x v="4"/>
    <s v="Psychology"/>
    <s v="9781462519040"/>
    <s v=",1,261,262,263,259,260,286,446,447,448,444,445,183,2"/>
    <n v="14"/>
    <m/>
    <m/>
    <s v="No"/>
    <x v="3"/>
    <m/>
    <m/>
    <s v="128.205.114.91"/>
    <s v="BF327 -- .H363 2015eb"/>
    <n v="158"/>
    <d v="2014-12-24T00:00:00"/>
  </r>
  <r>
    <x v="4419"/>
    <d v="1899-12-30T00:00:22"/>
    <x v="1161"/>
    <x v="0"/>
    <s v="Buffalo"/>
    <x v="1119"/>
    <n v="2039130"/>
    <x v="1"/>
    <s v="Social Science"/>
    <s v="9781472459435"/>
    <s v=",1,203,204,202,200,201,2"/>
    <n v="7"/>
    <m/>
    <m/>
    <s v="No"/>
    <x v="3"/>
    <m/>
    <m/>
    <s v="128.205.114.91"/>
    <s v="GN42 .S74 2015"/>
    <n v="301.072"/>
    <d v="2015-06-28T00:00:00"/>
  </r>
  <r>
    <x v="4420"/>
    <d v="1899-12-30T00:29:49"/>
    <x v="714"/>
    <x v="12"/>
    <s v="potsdam"/>
    <x v="713"/>
    <n v="565082"/>
    <x v="0"/>
    <s v="Education"/>
    <s v="9781118041567"/>
    <s v=",1,2,3,173,174,175,171,172,173,174,175,171,172,176,177,178,179,180,181,182,184,188,189,185,186,183,187,190,191,192,187,188,186,185"/>
    <n v="25"/>
    <m/>
    <m/>
    <s v="No"/>
    <x v="0"/>
    <d v="2015-11-04T03:54:11"/>
    <n v="7"/>
    <s v="137.143.104.94"/>
    <s v="LB1775 .P25 2010"/>
    <s v="371.1; 371.102"/>
    <d v="2010-06-08T00:00:00"/>
  </r>
  <r>
    <x v="4421"/>
    <d v="1899-12-30T00:00:36"/>
    <x v="13"/>
    <x v="0"/>
    <s v="Buffalo"/>
    <x v="630"/>
    <n v="771049"/>
    <x v="18"/>
    <s v="Science: Physics; Science; Environmental Studies"/>
    <s v="9781608706648"/>
    <s v=",1,2,3,4,8,9,10,6,7,11,20,21,22,23,19,24,31,32,33,29,30"/>
    <n v="21"/>
    <m/>
    <m/>
    <s v="No"/>
    <x v="1"/>
    <m/>
    <m/>
    <s v="128.205.114.91"/>
    <s v="QC981.8"/>
    <n v="363.73874000000001"/>
    <d v="2012-01-01T00:00:00"/>
  </r>
  <r>
    <x v="4422"/>
    <d v="1899-12-30T00:09:05"/>
    <x v="948"/>
    <x v="0"/>
    <s v="Buffalo"/>
    <x v="457"/>
    <n v="2008480"/>
    <x v="4"/>
    <s v="Medicine"/>
    <s v="9781462523221"/>
    <s v=",50,51,52,53,54,49"/>
    <n v="6"/>
    <m/>
    <m/>
    <s v="No"/>
    <x v="2"/>
    <d v="2015-11-04T20:19:40"/>
    <n v="1"/>
    <s v="128.205.114.91"/>
    <s v="RC531 -- .A586 2009eb"/>
    <n v="616.85220000000004"/>
    <d v="2015-01-01T00:00:00"/>
  </r>
  <r>
    <x v="4423"/>
    <d v="1899-12-30T00:22:24"/>
    <x v="948"/>
    <x v="0"/>
    <s v="Buffalo"/>
    <x v="457"/>
    <n v="2008480"/>
    <x v="4"/>
    <s v="Medicine"/>
    <s v="9781462523221"/>
    <s v=",1,2,3,13,14,15,11,12,16,17,18,19,20,21,47,48,49,45,46"/>
    <n v="19"/>
    <m/>
    <m/>
    <s v="No"/>
    <x v="3"/>
    <m/>
    <m/>
    <s v="128.205.114.91"/>
    <s v="RC531 -- .A586 2009eb"/>
    <n v="616.85220000000004"/>
    <d v="2015-01-01T00:00:00"/>
  </r>
  <r>
    <x v="4424"/>
    <d v="1899-12-30T00:04:37"/>
    <x v="1162"/>
    <x v="12"/>
    <s v="potsdam"/>
    <x v="760"/>
    <n v="943645"/>
    <x v="15"/>
    <s v="History"/>
    <s v="9781441104755"/>
    <s v=",147,148,149,150,151,152,153,154,155,156,157,158,159"/>
    <n v="13"/>
    <m/>
    <m/>
    <s v="No"/>
    <x v="0"/>
    <d v="2015-11-04T19:49:14"/>
    <n v="7"/>
    <s v="137.143.104.94"/>
    <s v="CB5 .M384 2012"/>
    <n v="948.02200000000005"/>
    <d v="2012-05-31T00:00:00"/>
  </r>
  <r>
    <x v="4425"/>
    <d v="1899-12-30T00:00:10"/>
    <x v="1163"/>
    <x v="0"/>
    <s v="Buffalo"/>
    <x v="1120"/>
    <n v="1583996"/>
    <x v="11"/>
    <s v="Science: Astronomy; Science"/>
    <s v="9780226084404"/>
    <s v=",4,6,5,7,8,9"/>
    <n v="6"/>
    <m/>
    <m/>
    <s v="No"/>
    <x v="2"/>
    <d v="2015-11-04T19:48:37"/>
    <n v="1"/>
    <s v="128.205.114.91"/>
    <s v="QB32"/>
    <s v="523.1/135"/>
    <d v="2014-01-06T00:00:00"/>
  </r>
  <r>
    <x v="4426"/>
    <d v="1899-12-30T00:10:30"/>
    <x v="1162"/>
    <x v="12"/>
    <s v="potsdam"/>
    <x v="760"/>
    <n v="943645"/>
    <x v="15"/>
    <s v="History"/>
    <s v="9781441104755"/>
    <s v=",1,2,3,4,5,6,7,8,144,145,146,142,143"/>
    <n v="13"/>
    <m/>
    <m/>
    <s v="No"/>
    <x v="1"/>
    <m/>
    <m/>
    <s v="137.143.104.94"/>
    <s v="CB5 .M384 2012"/>
    <n v="948.02200000000005"/>
    <d v="2012-05-31T00:00:00"/>
  </r>
  <r>
    <x v="4427"/>
    <d v="1899-12-30T00:06:23"/>
    <x v="1162"/>
    <x v="12"/>
    <s v="potsdam"/>
    <x v="590"/>
    <n v="837573"/>
    <x v="0"/>
    <s v="Social Science"/>
    <s v="9781444354805"/>
    <s v=",240,188,190,189,186,187,191,192,193,194"/>
    <n v="10"/>
    <m/>
    <m/>
    <s v="No"/>
    <x v="0"/>
    <d v="2015-11-04T19:28:09"/>
    <n v="7"/>
    <s v="137.143.104.94"/>
    <s v="HQ1127 -- .C637 2012eb"/>
    <n v="305.40929999999997"/>
    <d v="2012-01-09T00:00:00"/>
  </r>
  <r>
    <x v="4428"/>
    <d v="1899-12-30T00:00:24"/>
    <x v="756"/>
    <x v="1"/>
    <s v="brockport"/>
    <x v="151"/>
    <n v="968030"/>
    <x v="0"/>
    <s v="Psychology"/>
    <s v="9781118285138"/>
    <s v=",550,551"/>
    <n v="2"/>
    <m/>
    <m/>
    <s v="No"/>
    <x v="0"/>
    <d v="2015-11-04T19:24:16"/>
    <n v="7"/>
    <s v="137.21.7.121"/>
    <s v="BF637.C6 -- S85 2013eb"/>
    <n v="158.30000000000001"/>
    <d v="2012-07-10T00:00:00"/>
  </r>
  <r>
    <x v="4429"/>
    <d v="1899-12-30T00:24:49"/>
    <x v="1163"/>
    <x v="0"/>
    <s v="Buffalo"/>
    <x v="1120"/>
    <n v="1583996"/>
    <x v="11"/>
    <s v="Science: Astronomy; Science"/>
    <s v="9780226084404"/>
    <s v=",1,3,2"/>
    <n v="3"/>
    <m/>
    <m/>
    <s v="No"/>
    <x v="3"/>
    <m/>
    <m/>
    <s v="128.205.114.91"/>
    <s v="QB32"/>
    <s v="523.1/135"/>
    <d v="2014-01-06T00:00:00"/>
  </r>
  <r>
    <x v="4430"/>
    <d v="1899-12-30T00:16:46"/>
    <x v="1162"/>
    <x v="12"/>
    <s v="potsdam"/>
    <x v="590"/>
    <n v="837573"/>
    <x v="0"/>
    <s v="Social Science"/>
    <s v="9781444354805"/>
    <s v=",1,2,3,4,5,6,7,8,9,10,114,115,112,113,226,227,228,224,225,229,230,231,232,233,234,235,236,237,238,239"/>
    <n v="30"/>
    <m/>
    <m/>
    <s v="No"/>
    <x v="1"/>
    <m/>
    <m/>
    <s v="137.143.104.94"/>
    <s v="HQ1127 -- .C637 2012eb"/>
    <n v="305.40929999999997"/>
    <d v="2012-01-09T00:00:00"/>
  </r>
  <r>
    <x v="4431"/>
    <d v="1899-12-30T00:13:55"/>
    <x v="756"/>
    <x v="1"/>
    <s v="brockport"/>
    <x v="151"/>
    <n v="968030"/>
    <x v="0"/>
    <s v="Psychology"/>
    <s v="9781118285138"/>
    <s v=",1,2,3,547,549,548,546,545"/>
    <n v="8"/>
    <m/>
    <m/>
    <s v="No"/>
    <x v="1"/>
    <m/>
    <m/>
    <s v="137.21.7.121"/>
    <s v="BF637.C6 -- S85 2013eb"/>
    <n v="158.30000000000001"/>
    <d v="2012-07-10T00:00:00"/>
  </r>
  <r>
    <x v="4432"/>
    <d v="1899-12-30T00:00:03"/>
    <x v="26"/>
    <x v="6"/>
    <s v="sjfc"/>
    <x v="1121"/>
    <n v="1660347"/>
    <x v="11"/>
    <s v="Education"/>
    <s v="9780226122144"/>
    <s v=",7,12"/>
    <n v="2"/>
    <m/>
    <m/>
    <s v="No"/>
    <x v="2"/>
    <d v="2015-11-04T19:02:32"/>
    <n v="1"/>
    <s v="149.69.254.57"/>
    <s v="LC501"/>
    <s v="371.071/2"/>
    <d v="2014-04-11T00:00:00"/>
  </r>
  <r>
    <x v="4433"/>
    <d v="1899-12-30T00:00:22"/>
    <x v="1103"/>
    <x v="9"/>
    <s v="trocaire"/>
    <x v="684"/>
    <n v="1120621"/>
    <x v="0"/>
    <s v="Education"/>
    <s v="9781118362679"/>
    <s v=",1,2,3,55,56,57,53,54"/>
    <n v="8"/>
    <m/>
    <m/>
    <s v="No"/>
    <x v="0"/>
    <d v="2015-10-31T03:43:55"/>
    <n v="7"/>
    <s v="173.225.62.67"/>
    <s v="LB3013.3 .R59 2012"/>
    <s v="371.5/8; 371.58"/>
    <d v="2012-08-15T00:00:00"/>
  </r>
  <r>
    <x v="4434"/>
    <d v="1899-12-30T00:00:32"/>
    <x v="26"/>
    <x v="6"/>
    <s v="sjfc"/>
    <x v="1122"/>
    <n v="1673310"/>
    <x v="4"/>
    <s v="Education"/>
    <s v="9781462515691"/>
    <s v=",1,2,3,4,5,6,7,8,9,10,11,12,13,14,15,16,17,18,19,20"/>
    <n v="20"/>
    <m/>
    <m/>
    <s v="No"/>
    <x v="3"/>
    <m/>
    <m/>
    <s v="149.69.254.57"/>
    <s v="LB1576 -- .E4225 2014eb"/>
    <n v="372.6"/>
    <d v="2014-07-15T00:00:00"/>
  </r>
  <r>
    <x v="4435"/>
    <d v="1899-12-30T00:10:16"/>
    <x v="26"/>
    <x v="6"/>
    <s v="sjfc"/>
    <x v="1121"/>
    <n v="1660347"/>
    <x v="11"/>
    <s v="Education"/>
    <s v="9780226122144"/>
    <s v=",1,2,3,4,13,21,80,27,10,11,12,8,9,2"/>
    <n v="13"/>
    <m/>
    <m/>
    <s v="No"/>
    <x v="3"/>
    <m/>
    <m/>
    <s v="149.69.254.57"/>
    <s v="LC501"/>
    <s v="371.071/2"/>
    <d v="2014-04-11T00:00:00"/>
  </r>
  <r>
    <x v="4436"/>
    <d v="1899-12-30T00:00:13"/>
    <x v="26"/>
    <x v="6"/>
    <s v="sjfc"/>
    <x v="573"/>
    <n v="2065773"/>
    <x v="0"/>
    <s v="Social Science"/>
    <s v="9780745690490"/>
    <s v=",1,2,3,4,5,6,7,8,9,10"/>
    <n v="10"/>
    <m/>
    <m/>
    <s v="No"/>
    <x v="1"/>
    <m/>
    <m/>
    <s v="149.69.254.57"/>
    <s v="HM1281 .M395 2015"/>
    <n v="303.61"/>
    <d v="2015-06-04T00:00:00"/>
  </r>
  <r>
    <x v="4437"/>
    <d v="1899-12-30T00:00:50"/>
    <x v="26"/>
    <x v="6"/>
    <s v="sjfc"/>
    <x v="1122"/>
    <n v="1673310"/>
    <x v="4"/>
    <s v="Education"/>
    <s v="9781462515691"/>
    <s v=",1,2,3,4,5,6,7,8,9,10,11,13,14,15,12,2,16,17,18,19,20,21,22,23,24,25,27"/>
    <n v="26"/>
    <m/>
    <m/>
    <s v="No"/>
    <x v="3"/>
    <m/>
    <m/>
    <s v="149.69.254.57"/>
    <s v="LB1576 -- .E4225 2014eb"/>
    <n v="372.6"/>
    <d v="2014-07-15T00:00:00"/>
  </r>
  <r>
    <x v="4438"/>
    <d v="1899-12-30T00:15:33"/>
    <x v="26"/>
    <x v="6"/>
    <s v="sjfc"/>
    <x v="1123"/>
    <n v="1882105"/>
    <x v="3"/>
    <s v="Economics; Business/Management"/>
    <s v="9780520958852"/>
    <s v=",1,3,2,6,7,238,239,240,230,231,232,228,229,227,226,225,224,223,222,221,226,1,2,3,2,1,3,222,223,224,220,221,225,226,227,219,218,217,216,215,214,213,211,212,179,180,181,177,178,183,182,12,13,14,10,11,15,16,238,239,240,236,237,241,242,243"/>
    <n v="49"/>
    <m/>
    <m/>
    <s v="No"/>
    <x v="2"/>
    <d v="2015-11-04T16:56:02"/>
    <n v="1"/>
    <s v="149.69.254.57"/>
    <s v="HD5724 .C4896 2015"/>
    <s v="331.13; 331.1370973"/>
    <d v="2015-07-20T00:00:00"/>
  </r>
  <r>
    <x v="4439"/>
    <d v="1899-12-30T00:01:00"/>
    <x v="941"/>
    <x v="13"/>
    <s v="buffalostate"/>
    <x v="916"/>
    <n v="1925073"/>
    <x v="4"/>
    <s v="Education"/>
    <s v="9781462521128"/>
    <s v=",1,2,3,145,146,147,144,143,142"/>
    <n v="9"/>
    <m/>
    <s v=",144,145,146,147,148,149,150"/>
    <s v="No"/>
    <x v="0"/>
    <d v="2015-11-04T18:00:14"/>
    <n v="7"/>
    <s v="136.183.11.43"/>
    <s v="LB1050.46 .M35 2015"/>
    <n v="372.48"/>
    <d v="2015-06-23T00:00:00"/>
  </r>
  <r>
    <x v="4440"/>
    <d v="1899-12-30T00:28:46"/>
    <x v="1103"/>
    <x v="9"/>
    <s v="trocaire"/>
    <x v="684"/>
    <n v="1120621"/>
    <x v="0"/>
    <s v="Education"/>
    <s v="9781118362679"/>
    <s v=",1,3,2,136,137,134,138,135,139,140,141"/>
    <n v="11"/>
    <m/>
    <m/>
    <s v="No"/>
    <x v="0"/>
    <d v="2015-10-31T03:43:55"/>
    <n v="7"/>
    <s v="173.225.62.67"/>
    <s v="LB3013.3 .R59 2012"/>
    <s v="371.5/8; 371.58"/>
    <d v="2012-08-15T00:00:00"/>
  </r>
  <r>
    <x v="4441"/>
    <d v="1899-12-30T00:08:50"/>
    <x v="941"/>
    <x v="13"/>
    <s v="buffalostate"/>
    <x v="916"/>
    <n v="1925073"/>
    <x v="4"/>
    <s v="Education"/>
    <s v="9781462521128"/>
    <s v=",147,142,147,148,149,150,151,152,126,127,126,127,128,124,128,125,125,129,129,124,129,137,137,138,139,135,136,138,139,136,134,139,140,140,141,142,143,144,145,146,147,148,149,150,152,151,153,148,153,154,154,155,155,156,156,151,150,149,148,147,146,145,150"/>
    <n v="29"/>
    <m/>
    <s v=",129,130,131,132,133,134,135,144,145,146,147,148,149,150"/>
    <s v="No"/>
    <x v="0"/>
    <d v="2015-11-04T18:00:14"/>
    <n v="7"/>
    <s v="136.183.11.43"/>
    <s v="LB1050.46 .M35 2015"/>
    <n v="372.48"/>
    <d v="2015-06-23T00:00:00"/>
  </r>
  <r>
    <x v="4442"/>
    <d v="1899-12-30T00:00:14"/>
    <x v="1145"/>
    <x v="12"/>
    <s v="potsdam"/>
    <x v="1103"/>
    <n v="1887746"/>
    <x v="0"/>
    <s v="Religion"/>
    <s v="9781118697559"/>
    <s v=",24,23,25,26,29,30,31,27,28"/>
    <n v="9"/>
    <m/>
    <m/>
    <s v="No"/>
    <x v="2"/>
    <d v="2015-11-04T17:58:20"/>
    <n v="1"/>
    <s v="137.143.104.94"/>
    <s v="BV4501.2 -- .M2357 1999eb"/>
    <n v="248"/>
    <d v="2013-05-30T00:00:00"/>
  </r>
  <r>
    <x v="4443"/>
    <d v="1899-12-30T00:02:31"/>
    <x v="941"/>
    <x v="13"/>
    <s v="buffalostate"/>
    <x v="916"/>
    <n v="1925073"/>
    <x v="4"/>
    <s v="Education"/>
    <s v="9781462521128"/>
    <s v=",1,2,1,2,3,3,2,2,145,145,147,143,147,146,144,144,146,142,141,146,147,148,148,150,150,146,151,152,151,152,153,153,149,148,147,146,145,144,143,142"/>
    <n v="16"/>
    <m/>
    <m/>
    <s v="No"/>
    <x v="1"/>
    <m/>
    <m/>
    <s v="136.183.11.43"/>
    <s v="LB1050.46 .M35 2015"/>
    <n v="372.48"/>
    <d v="2015-06-23T00:00:00"/>
  </r>
  <r>
    <x v="4444"/>
    <d v="1899-12-30T00:05:36"/>
    <x v="1145"/>
    <x v="12"/>
    <s v="potsdam"/>
    <x v="1103"/>
    <n v="1887746"/>
    <x v="0"/>
    <s v="Religion"/>
    <s v="9781118697559"/>
    <s v=",1,2,3,15,16,17,20,21,22,18,19,14"/>
    <n v="12"/>
    <m/>
    <m/>
    <s v="No"/>
    <x v="3"/>
    <m/>
    <m/>
    <s v="137.143.104.94"/>
    <s v="BV4501.2 -- .M2357 1999eb"/>
    <n v="248"/>
    <d v="2013-05-30T00:00:00"/>
  </r>
  <r>
    <x v="4445"/>
    <d v="1899-12-30T00:05:43"/>
    <x v="989"/>
    <x v="1"/>
    <s v="brockport"/>
    <x v="519"/>
    <n v="822662"/>
    <x v="0"/>
    <s v="History"/>
    <s v="9781444355130"/>
    <s v=",1,2,3,296,297,298,294,295,299,300,301,302,303,304,305,306,307,308,309,310,311,312,313"/>
    <n v="23"/>
    <m/>
    <m/>
    <s v="No"/>
    <x v="0"/>
    <d v="2015-10-30T15:40:31"/>
    <n v="7"/>
    <s v="137.21.7.121"/>
    <s v="DT20 -- .R45 2012eb"/>
    <n v="960.3"/>
    <d v="2011-11-11T00:00:00"/>
  </r>
  <r>
    <x v="4446"/>
    <d v="1899-12-30T00:06:57"/>
    <x v="26"/>
    <x v="6"/>
    <s v="sjfc"/>
    <x v="1123"/>
    <n v="1882105"/>
    <x v="3"/>
    <s v="Economics; Business/Management"/>
    <s v="9780520958852"/>
    <s v=",10,11,8,9,12,130,131,132,128,129,133,134,135,136,137,138,5,6,7,3,4"/>
    <n v="21"/>
    <m/>
    <m/>
    <s v="No"/>
    <x v="2"/>
    <d v="2015-11-04T16:56:02"/>
    <n v="1"/>
    <s v="149.69.254.57"/>
    <s v="HD5724 .C4896 2015"/>
    <s v="331.13; 331.1370973"/>
    <d v="2015-07-20T00:00:00"/>
  </r>
  <r>
    <x v="4447"/>
    <d v="1899-12-30T00:00:29"/>
    <x v="213"/>
    <x v="12"/>
    <s v="potsdam"/>
    <x v="1124"/>
    <n v="1812458"/>
    <x v="0"/>
    <s v="Engineering; Engineering: General; Engineering: Mechanical"/>
    <s v="9781118787540"/>
    <s v=",1,3,1,3,2,2,25,25,27,26,27,23,24,26,24,2,25,25,26,27,23,24"/>
    <n v="8"/>
    <m/>
    <m/>
    <s v="No"/>
    <x v="3"/>
    <m/>
    <m/>
    <s v="137.143.104.94"/>
    <s v="TL570 -- .S4426 2015eb"/>
    <s v="629.132/3001"/>
    <d v="2014-10-06T00:00:00"/>
  </r>
  <r>
    <x v="4448"/>
    <d v="1899-12-30T00:05:20"/>
    <x v="26"/>
    <x v="6"/>
    <s v="sjfc"/>
    <x v="1123"/>
    <n v="1882105"/>
    <x v="3"/>
    <s v="Economics; Business/Management"/>
    <s v="9780520958852"/>
    <s v=",1,2,3,16,17,18,14,15,19,20,21,22"/>
    <n v="12"/>
    <m/>
    <m/>
    <s v="No"/>
    <x v="3"/>
    <m/>
    <m/>
    <s v="149.69.254.57"/>
    <s v="HD5724 .C4896 2015"/>
    <s v="331.13; 331.1370973"/>
    <d v="2015-07-20T00:00:00"/>
  </r>
  <r>
    <x v="4449"/>
    <d v="1899-12-30T00:00:04"/>
    <x v="1164"/>
    <x v="5"/>
    <s v="erie"/>
    <x v="1125"/>
    <n v="818250"/>
    <x v="0"/>
    <s v="Health; Social Science"/>
    <s v="9781118244982"/>
    <s v=",1,2,1,2,3,3"/>
    <n v="3"/>
    <m/>
    <m/>
    <s v="No"/>
    <x v="1"/>
    <m/>
    <m/>
    <s v="199.29.6.54"/>
    <s v="TX369 -- .B53 2012eb"/>
    <s v="363.19/29"/>
    <d v="2011-11-08T00:00:00"/>
  </r>
  <r>
    <x v="4450"/>
    <d v="1899-12-30T00:00:03"/>
    <x v="26"/>
    <x v="6"/>
    <s v="sjfc"/>
    <x v="1122"/>
    <n v="1673310"/>
    <x v="4"/>
    <s v="Education"/>
    <s v="9781462515691"/>
    <s v=",1,2,3"/>
    <n v="3"/>
    <m/>
    <m/>
    <s v="No"/>
    <x v="3"/>
    <m/>
    <m/>
    <s v="149.69.254.57"/>
    <s v="LB1576 -- .E4225 2014eb"/>
    <n v="372.6"/>
    <d v="2014-07-15T00:00:00"/>
  </r>
  <r>
    <x v="4451"/>
    <d v="1899-12-30T00:01:07"/>
    <x v="26"/>
    <x v="6"/>
    <s v="sjfc"/>
    <x v="1122"/>
    <n v="1673310"/>
    <x v="4"/>
    <s v="Education"/>
    <s v="9781462515691"/>
    <s v=",1,2,3,4,5,7,9,6,8,10,17,18,19,15,16,20,21"/>
    <n v="17"/>
    <m/>
    <m/>
    <s v="No"/>
    <x v="3"/>
    <m/>
    <m/>
    <s v="149.69.254.57"/>
    <s v="LB1576 -- .E4225 2014eb"/>
    <n v="372.6"/>
    <d v="2014-07-15T00:00:00"/>
  </r>
  <r>
    <x v="4452"/>
    <d v="1899-12-30T00:00:01"/>
    <x v="1165"/>
    <x v="12"/>
    <s v="potsdam"/>
    <x v="1126"/>
    <n v="1895268"/>
    <x v="0"/>
    <s v="Social Science"/>
    <s v="9781119026334"/>
    <s v=",45"/>
    <n v="1"/>
    <m/>
    <m/>
    <s v="Yes"/>
    <x v="0"/>
    <d v="2015-11-04T16:23:26"/>
    <n v="7"/>
    <s v="137.143.104.94"/>
    <s v="HV6626 -- .L397 2013eb"/>
    <s v="362.82/92"/>
    <d v="2015-01-14T00:00:00"/>
  </r>
  <r>
    <x v="4452"/>
    <d v="1899-12-30T00:00:00"/>
    <x v="1165"/>
    <x v="12"/>
    <s v="potsdam"/>
    <x v="1126"/>
    <n v="1895268"/>
    <x v="0"/>
    <s v="Social Science"/>
    <s v="9781119026334"/>
    <m/>
    <n v="0"/>
    <m/>
    <m/>
    <s v="No"/>
    <x v="0"/>
    <d v="2015-11-04T16:23:26"/>
    <n v="7"/>
    <s v="137.143.104.94"/>
    <s v="HV6626 -- .L397 2013eb"/>
    <s v="362.82/92"/>
    <d v="2015-01-14T00:00:00"/>
  </r>
  <r>
    <x v="4453"/>
    <d v="1899-12-30T00:00:22"/>
    <x v="1165"/>
    <x v="12"/>
    <s v="potsdam"/>
    <x v="1126"/>
    <n v="1895268"/>
    <x v="0"/>
    <s v="Social Science"/>
    <s v="9781119026334"/>
    <s v=",1,2,3,46,47,48,44"/>
    <n v="7"/>
    <m/>
    <m/>
    <s v="No"/>
    <x v="3"/>
    <m/>
    <m/>
    <s v="137.143.104.94"/>
    <s v="HV6626 -- .L397 2013eb"/>
    <s v="362.82/92"/>
    <d v="2015-01-14T00:00:00"/>
  </r>
  <r>
    <x v="4454"/>
    <d v="1899-12-30T00:00:08"/>
    <x v="1165"/>
    <x v="12"/>
    <s v="potsdam"/>
    <x v="1126"/>
    <n v="1895268"/>
    <x v="0"/>
    <s v="Social Science"/>
    <s v="9781119026334"/>
    <s v=",1,2,3"/>
    <n v="3"/>
    <m/>
    <m/>
    <s v="No"/>
    <x v="3"/>
    <m/>
    <m/>
    <s v="137.143.104.94"/>
    <s v="HV6626 -- .L397 2013eb"/>
    <s v="362.82/92"/>
    <d v="2015-01-14T00:00:00"/>
  </r>
  <r>
    <x v="4455"/>
    <d v="1899-12-30T00:04:44"/>
    <x v="13"/>
    <x v="0"/>
    <s v="Buffalo"/>
    <x v="582"/>
    <n v="817432"/>
    <x v="0"/>
    <s v="Fine Arts"/>
    <s v="9781118169261"/>
    <s v=",1,2,3,96,97,98,94,95,99,100,101,102,103,104,105,106,107,108,109"/>
    <n v="19"/>
    <m/>
    <m/>
    <s v="No"/>
    <x v="1"/>
    <m/>
    <m/>
    <s v="128.205.114.91"/>
    <s v="MT6 -- .P55 2012eb"/>
    <n v="781"/>
    <d v="2011-10-18T00:00:00"/>
  </r>
  <r>
    <x v="4456"/>
    <d v="1899-12-30T00:12:35"/>
    <x v="1166"/>
    <x v="12"/>
    <s v="potsdam"/>
    <x v="1127"/>
    <n v="1798775"/>
    <x v="0"/>
    <s v="Computer Science/IT"/>
    <s v="9781118421666"/>
    <s v=",5,6,7,8,9,10,12,11,13,14,15,16,17,18,19,20,21,22,23,24,25,26,27,28,29"/>
    <n v="25"/>
    <m/>
    <m/>
    <s v="No"/>
    <x v="2"/>
    <d v="2015-11-04T15:39:32"/>
    <n v="1"/>
    <s v="137.143.104.94"/>
    <s v="QA76.73.J38 -- .L694 2015eb"/>
    <n v="5.133"/>
    <d v="2014-09-24T00:00:00"/>
  </r>
  <r>
    <x v="4457"/>
    <d v="1899-12-30T00:00:46"/>
    <x v="1167"/>
    <x v="12"/>
    <s v="potsdam"/>
    <x v="1128"/>
    <n v="1895175"/>
    <x v="0"/>
    <s v="Business/Management"/>
    <s v="9781118972007"/>
    <s v=",1,2,3,5,4,6,7,8,9,10"/>
    <n v="10"/>
    <m/>
    <m/>
    <s v="No"/>
    <x v="3"/>
    <m/>
    <m/>
    <s v="137.143.104.94"/>
    <s v="HD5715 -- .B543 2015eb"/>
    <s v="658.3/124"/>
    <d v="2015-04-20T00:00:00"/>
  </r>
  <r>
    <x v="4458"/>
    <d v="1899-12-30T00:05:04"/>
    <x v="1166"/>
    <x v="12"/>
    <s v="potsdam"/>
    <x v="1127"/>
    <n v="1798775"/>
    <x v="0"/>
    <s v="Computer Science/IT"/>
    <s v="9781118421666"/>
    <s v=",1,2,3,4"/>
    <n v="4"/>
    <m/>
    <m/>
    <s v="No"/>
    <x v="3"/>
    <m/>
    <m/>
    <s v="137.143.104.94"/>
    <s v="QA76.73.J38 -- .L694 2015eb"/>
    <n v="5.133"/>
    <d v="2014-09-24T00:00:00"/>
  </r>
  <r>
    <x v="4459"/>
    <d v="1899-12-30T00:01:31"/>
    <x v="1168"/>
    <x v="13"/>
    <s v="buffalostate"/>
    <x v="1129"/>
    <n v="1825704"/>
    <x v="1"/>
    <s v="Social Science"/>
    <s v="9781409442943"/>
    <s v=",1,2,3,4,282,284,283,280,281"/>
    <n v="9"/>
    <m/>
    <m/>
    <s v="No"/>
    <x v="3"/>
    <m/>
    <m/>
    <s v="136.183.11.43"/>
    <s v="HT361 -- .S73 2014eb"/>
    <n v="307.76"/>
    <d v="2014-12-28T00:00:00"/>
  </r>
  <r>
    <x v="4460"/>
    <d v="1899-12-30T00:01:24"/>
    <x v="713"/>
    <x v="5"/>
    <s v="erie"/>
    <x v="437"/>
    <n v="1767915"/>
    <x v="0"/>
    <s v="Social Science"/>
    <s v="9780730315148"/>
    <s v=",2,1,3,17,18,19,15,16,13,14"/>
    <n v="10"/>
    <m/>
    <m/>
    <s v="No"/>
    <x v="1"/>
    <m/>
    <m/>
    <s v="199.29.6.54"/>
    <s v="HM742 -- .C654 2015eb"/>
    <n v="302.23099999999999"/>
    <d v="2014-08-15T00:00:00"/>
  </r>
  <r>
    <x v="4461"/>
    <d v="1899-12-30T00:05:47"/>
    <x v="1133"/>
    <x v="0"/>
    <s v="Buffalo"/>
    <x v="1090"/>
    <n v="1823060"/>
    <x v="0"/>
    <s v="Computer Science/IT"/>
    <s v="9781119019152"/>
    <s v=",1,2,2,3,3,1,4,4,5,5,6,6,7,7,8,8,9,9,2,47,48,47,48,49,46,45,46,49,50,50,51,51,52,53,52,53,54,54,55,55,56,56,57,57,184,184,185,185,181,182,182"/>
    <n v="26"/>
    <m/>
    <m/>
    <s v="No"/>
    <x v="1"/>
    <m/>
    <m/>
    <s v="128.205.114.91"/>
    <s v="TK5105.59 -- .F73 2015eb"/>
    <n v="5.8"/>
    <d v="2014-10-20T00:00:00"/>
  </r>
  <r>
    <x v="4462"/>
    <d v="1899-12-30T00:00:09"/>
    <x v="26"/>
    <x v="6"/>
    <s v="sjfc"/>
    <x v="1130"/>
    <n v="1184118"/>
    <x v="0"/>
    <s v="Economics; Business/Management; Science; Science: Biology/Natural History"/>
    <s v="9780745637778"/>
    <s v=",1,2,3,11,12,13,9,10"/>
    <n v="8"/>
    <m/>
    <m/>
    <s v="No"/>
    <x v="3"/>
    <m/>
    <m/>
    <s v="149.69.254.57"/>
    <s v="QH545.F53"/>
    <n v="338.37270000000001"/>
    <d v="2013-04-26T00:00:00"/>
  </r>
  <r>
    <x v="4463"/>
    <d v="1899-12-30T00:01:04"/>
    <x v="454"/>
    <x v="5"/>
    <s v="erie"/>
    <x v="487"/>
    <n v="1022416"/>
    <x v="0"/>
    <s v="Engineering; Engineering: Chemical"/>
    <s v="9781118373811"/>
    <s v=",1,2,3,517,518,519,515,516,202,203,204,200,201,205,199"/>
    <n v="15"/>
    <m/>
    <m/>
    <s v="No"/>
    <x v="1"/>
    <m/>
    <m/>
    <s v="199.29.6.54"/>
    <s v="TP248.65.F66 -- G4573 2012eb"/>
    <n v="664"/>
    <d v="2012-09-05T00:00:00"/>
  </r>
  <r>
    <x v="4464"/>
    <d v="1899-12-30T00:00:52"/>
    <x v="1093"/>
    <x v="5"/>
    <s v="erie"/>
    <x v="630"/>
    <n v="771049"/>
    <x v="18"/>
    <s v="Science: Physics; Science; Environmental Studies"/>
    <s v="9781608706648"/>
    <s v=",1,2,3,4,5,6,20,21,22,18,19,17,16"/>
    <n v="13"/>
    <m/>
    <m/>
    <s v="No"/>
    <x v="1"/>
    <m/>
    <m/>
    <s v="199.29.6.54"/>
    <s v="QC981.8"/>
    <n v="363.73874000000001"/>
    <d v="2012-01-01T00:00:00"/>
  </r>
  <r>
    <x v="4465"/>
    <d v="1899-12-30T00:00:34"/>
    <x v="1169"/>
    <x v="13"/>
    <s v="buffalostate"/>
    <x v="1131"/>
    <n v="1969413"/>
    <x v="1"/>
    <s v="Law"/>
    <s v="9781472428981"/>
    <s v=",1,3,2,52,53,54,50,51"/>
    <n v="8"/>
    <m/>
    <m/>
    <s v="No"/>
    <x v="3"/>
    <m/>
    <m/>
    <s v="136.183.11.43"/>
    <s v="KJE5306 -- .L36 2015eb"/>
    <s v="341.242/2014"/>
    <d v="2015-03-28T00:00:00"/>
  </r>
  <r>
    <x v="4466"/>
    <d v="1899-12-30T00:05:19"/>
    <x v="828"/>
    <x v="9"/>
    <s v="trocaire"/>
    <x v="669"/>
    <n v="1742841"/>
    <x v="4"/>
    <s v="Medicine"/>
    <s v="9781462516445"/>
    <s v=",1,2,3,487,488,489,485,486,464,465,466,462,463,467,468,469,470"/>
    <n v="17"/>
    <m/>
    <m/>
    <s v="No"/>
    <x v="0"/>
    <d v="2015-11-02T03:59:47"/>
    <n v="7"/>
    <s v="173.225.62.67"/>
    <s v="RC537 -- .H3376 2014eb"/>
    <n v="616.85270000000003"/>
    <d v="2014-10-22T00:00:00"/>
  </r>
  <r>
    <x v="4467"/>
    <d v="1899-12-30T00:44:25"/>
    <x v="789"/>
    <x v="6"/>
    <s v="sjfc"/>
    <x v="68"/>
    <n v="1822529"/>
    <x v="0"/>
    <s v="Mathematics"/>
    <s v="9781118824344"/>
    <s v=",1,3,2,1,2,3,49,50,51,47,48,52,53,54,55,56,57,58,59,60,61,62,63,64,65,66,67,68,69"/>
    <n v="26"/>
    <m/>
    <m/>
    <s v="No"/>
    <x v="0"/>
    <d v="2015-11-02T19:57:11"/>
    <n v="7"/>
    <s v="149.69.254.57"/>
    <s v="QA297 -- .S59 2015eb"/>
    <n v="519.4"/>
    <d v="2014-10-20T00:00:00"/>
  </r>
  <r>
    <x v="4468"/>
    <d v="1899-12-30T00:20:12"/>
    <x v="1043"/>
    <x v="0"/>
    <s v="Buffalo"/>
    <x v="73"/>
    <n v="1119505"/>
    <x v="0"/>
    <s v="Science: Chemistry; Science"/>
    <s v="9781118355015"/>
    <s v=",1,3,3,1,2,2,198,199,198,199,200,197,196,200,197,195,200,195,200,2,201,201,202,202,203,203,204,204,205,205,206,206,207,207,208,208,209,209,210,210,211,211,212,212,213,213,214,214,215,215,216,216,217,217,218,218,219,219,220,220,221,221,222,222,223,223,224,224,227,228,229,225,228,229,227,226,226,230,230,225,224,223,222,198,199,200,196,225,226,227,223,224,228,223,222,221,220,219,218,217,216,215,227,228,229,230,226,48,48,48,49,50,51,49,51,48,50,47,227,228,227,228,229,230,226,231,231,232,232,233,233"/>
    <n v="47"/>
    <m/>
    <m/>
    <s v="No"/>
    <x v="0"/>
    <d v="2015-10-30T15:06:47"/>
    <n v="7"/>
    <s v="128.205.114.91"/>
    <s v="QD251.3 -- .S38 2013eb"/>
    <s v="547/.128"/>
    <d v="2013-01-28T00:00:00"/>
  </r>
  <r>
    <x v="4469"/>
    <d v="1899-12-30T00:00:04"/>
    <x v="1170"/>
    <x v="0"/>
    <s v="Buffalo"/>
    <x v="772"/>
    <n v="1969407"/>
    <x v="1"/>
    <s v="Architecture"/>
    <s v="9781472422880"/>
    <s v=",1,2,3"/>
    <n v="3"/>
    <m/>
    <m/>
    <s v="No"/>
    <x v="3"/>
    <m/>
    <m/>
    <s v="128.205.114.91"/>
    <s v="NA2000 -- .S253 2015eb"/>
    <n v="720.71"/>
    <d v="2015-03-28T00:00:00"/>
  </r>
  <r>
    <x v="4470"/>
    <d v="1899-12-30T00:48:22"/>
    <x v="1023"/>
    <x v="7"/>
    <s v="oneonta"/>
    <x v="1132"/>
    <n v="1651145"/>
    <x v="0"/>
    <s v="Political Science; Social Science"/>
    <s v="9780745684277"/>
    <s v=",12,13,14,15,16,17,18,19,20,21,22,23,24,25,26,27,28,29"/>
    <n v="18"/>
    <m/>
    <m/>
    <s v="No"/>
    <x v="2"/>
    <d v="2015-11-04T13:33:40"/>
    <n v="1"/>
    <s v="137.141.13.2"/>
    <s v="JZ1318"/>
    <n v="303.48200000000003"/>
    <d v="2014-03-03T00:00:00"/>
  </r>
  <r>
    <x v="4471"/>
    <d v="1899-12-30T00:05:15"/>
    <x v="1023"/>
    <x v="7"/>
    <s v="oneonta"/>
    <x v="1132"/>
    <n v="1651145"/>
    <x v="0"/>
    <s v="Political Science; Social Science"/>
    <s v="9780745684277"/>
    <s v=",1,2,3,4,5,6,7,8,9,10,11"/>
    <n v="11"/>
    <m/>
    <m/>
    <s v="No"/>
    <x v="3"/>
    <m/>
    <m/>
    <s v="137.141.13.2"/>
    <s v="JZ1318"/>
    <n v="303.48200000000003"/>
    <d v="2014-03-03T00:00:00"/>
  </r>
  <r>
    <x v="4472"/>
    <d v="1899-12-30T00:00:04"/>
    <x v="26"/>
    <x v="6"/>
    <s v="sjfc"/>
    <x v="1133"/>
    <n v="2025594"/>
    <x v="3"/>
    <s v="Agriculture"/>
    <s v="9780520961838"/>
    <s v=",1,3,2"/>
    <n v="3"/>
    <m/>
    <m/>
    <s v="No"/>
    <x v="3"/>
    <m/>
    <m/>
    <s v="149.69.254.57"/>
    <s v="SH167.S17"/>
    <s v="639.3; 639.3/755"/>
    <d v="2015-06-30T00:00:00"/>
  </r>
  <r>
    <x v="4473"/>
    <d v="1899-12-30T00:24:55"/>
    <x v="801"/>
    <x v="0"/>
    <s v="Buffalo"/>
    <x v="827"/>
    <n v="1969430"/>
    <x v="1"/>
    <s v="Social Science"/>
    <s v="9781472443038"/>
    <s v=",5,6,7,8,9,10,11,12,13,14,15,16,17,18,19,20,1,2,3"/>
    <n v="19"/>
    <m/>
    <m/>
    <s v="No"/>
    <x v="2"/>
    <d v="2015-11-04T09:14:27"/>
    <n v="1"/>
    <s v="128.205.114.91"/>
    <s v="HQ281 -- .S65 2015eb"/>
    <s v="306.3/6209593"/>
    <d v="2015-03-28T00:00:00"/>
  </r>
  <r>
    <x v="4474"/>
    <d v="1899-12-30T00:04:52"/>
    <x v="801"/>
    <x v="0"/>
    <s v="Buffalo"/>
    <x v="827"/>
    <n v="1969430"/>
    <x v="1"/>
    <s v="Social Science"/>
    <s v="9781472443038"/>
    <s v=",1,2,3,4"/>
    <n v="4"/>
    <m/>
    <m/>
    <s v="No"/>
    <x v="3"/>
    <m/>
    <m/>
    <s v="128.205.114.91"/>
    <s v="HQ281 -- .S65 2015eb"/>
    <s v="306.3/6209593"/>
    <d v="2015-03-28T00:00:00"/>
  </r>
  <r>
    <x v="4475"/>
    <d v="1899-12-30T00:00:12"/>
    <x v="828"/>
    <x v="9"/>
    <s v="trocaire"/>
    <x v="1134"/>
    <n v="759923"/>
    <x v="4"/>
    <s v="Medicine"/>
    <s v="9781609186418"/>
    <s v=",1,2,3,79,80,81,77,78"/>
    <n v="8"/>
    <m/>
    <m/>
    <s v="No"/>
    <x v="1"/>
    <m/>
    <m/>
    <s v="173.225.62.67"/>
    <s v="RJ505.C63 -- C45 2012eb"/>
    <n v="618.9289"/>
    <d v="2014-07-04T00:00:00"/>
  </r>
  <r>
    <x v="4476"/>
    <d v="1899-12-30T00:00:00"/>
    <x v="370"/>
    <x v="2"/>
    <s v="hilbert"/>
    <x v="931"/>
    <n v="3058948"/>
    <x v="9"/>
    <s v="Medicine"/>
    <s v="9781444314595"/>
    <m/>
    <n v="0"/>
    <m/>
    <m/>
    <s v="Yes"/>
    <x v="2"/>
    <d v="2015-11-04T04:37:30"/>
    <n v="1"/>
    <s v="72.45.217.43"/>
    <s v="RC78.7.N83 -- W4795 2010eb"/>
    <s v="616.07/548"/>
    <d v="2013-05-07T00:00:00"/>
  </r>
  <r>
    <x v="4477"/>
    <d v="1899-12-30T00:00:26"/>
    <x v="370"/>
    <x v="2"/>
    <s v="hilbert"/>
    <x v="931"/>
    <n v="3058948"/>
    <x v="9"/>
    <s v="Medicine"/>
    <s v="9781444314595"/>
    <s v=",1,2,3,4,5,6,7,8,9,10,11,12,13,14,15"/>
    <n v="15"/>
    <m/>
    <m/>
    <s v="No"/>
    <x v="2"/>
    <d v="2015-11-04T04:37:30"/>
    <n v="1"/>
    <s v="72.45.217.43"/>
    <s v="RC78.7.N83 -- W4795 2010eb"/>
    <s v="616.07/548"/>
    <d v="2013-05-07T00:00:00"/>
  </r>
  <r>
    <x v="4478"/>
    <d v="1899-12-30T00:06:03"/>
    <x v="828"/>
    <x v="9"/>
    <s v="trocaire"/>
    <x v="244"/>
    <n v="848510"/>
    <x v="0"/>
    <s v="Medicine"/>
    <s v="9781118220481"/>
    <s v=",384,381,386,380,330,309,273,271,272,269,270,337,338,339,335,336,340,341"/>
    <n v="18"/>
    <m/>
    <m/>
    <s v="No"/>
    <x v="0"/>
    <d v="2015-11-04T05:00:15"/>
    <n v="7"/>
    <s v="173.225.62.67"/>
    <s v="RC489.C63 -- C64 2012eb"/>
    <s v="616.89/1425"/>
    <d v="2012-06-06T00:00:00"/>
  </r>
  <r>
    <x v="4479"/>
    <d v="1899-12-30T00:12:01"/>
    <x v="828"/>
    <x v="9"/>
    <s v="trocaire"/>
    <x v="244"/>
    <n v="848510"/>
    <x v="0"/>
    <s v="Medicine"/>
    <s v="9781118220481"/>
    <s v=",1,2,3,382,383,385"/>
    <n v="6"/>
    <m/>
    <m/>
    <s v="No"/>
    <x v="1"/>
    <m/>
    <m/>
    <s v="173.225.62.67"/>
    <s v="RC489.C63 -- C64 2012eb"/>
    <s v="616.89/1425"/>
    <d v="2012-06-06T00:00:00"/>
  </r>
  <r>
    <x v="4480"/>
    <d v="1899-12-30T00:00:00"/>
    <x v="370"/>
    <x v="2"/>
    <s v="hilbert"/>
    <x v="931"/>
    <n v="3058948"/>
    <x v="9"/>
    <s v="Medicine"/>
    <s v="9781444314595"/>
    <m/>
    <n v="0"/>
    <m/>
    <m/>
    <s v="Yes"/>
    <x v="2"/>
    <d v="2015-11-04T04:37:30"/>
    <n v="1"/>
    <s v="72.45.217.43"/>
    <s v="RC78.7.N83 -- W4795 2010eb"/>
    <s v="616.07/548"/>
    <d v="2013-05-07T00:00:00"/>
  </r>
  <r>
    <x v="4480"/>
    <d v="1899-12-30T00:00:00"/>
    <x v="370"/>
    <x v="2"/>
    <s v="hilbert"/>
    <x v="931"/>
    <n v="3058948"/>
    <x v="9"/>
    <s v="Medicine"/>
    <s v="9781444314595"/>
    <m/>
    <n v="0"/>
    <m/>
    <m/>
    <s v="No"/>
    <x v="2"/>
    <d v="2015-11-04T04:37:30"/>
    <n v="1"/>
    <s v="72.45.217.43"/>
    <s v="RC78.7.N83 -- W4795 2010eb"/>
    <s v="616.07/548"/>
    <d v="2013-05-07T00:00:00"/>
  </r>
  <r>
    <x v="4481"/>
    <d v="1899-12-30T00:01:08"/>
    <x v="370"/>
    <x v="2"/>
    <s v="hilbert"/>
    <x v="931"/>
    <n v="3058948"/>
    <x v="9"/>
    <s v="Medicine"/>
    <s v="9781444314595"/>
    <s v=",1,2,3"/>
    <n v="3"/>
    <m/>
    <m/>
    <s v="No"/>
    <x v="3"/>
    <m/>
    <m/>
    <s v="72.45.217.43"/>
    <s v="RC78.7.N83 -- W4795 2010eb"/>
    <s v="616.07/548"/>
    <d v="2013-05-07T00:00:00"/>
  </r>
  <r>
    <x v="4482"/>
    <d v="1899-12-30T00:03:21"/>
    <x v="714"/>
    <x v="12"/>
    <s v="potsdam"/>
    <x v="713"/>
    <n v="565082"/>
    <x v="0"/>
    <s v="Education"/>
    <s v="9781118041567"/>
    <s v=",174,176,179"/>
    <n v="3"/>
    <m/>
    <m/>
    <s v="No"/>
    <x v="0"/>
    <d v="2015-11-04T03:54:11"/>
    <n v="7"/>
    <s v="137.143.104.94"/>
    <s v="LB1775 .P25 2010"/>
    <s v="371.1; 371.102"/>
    <d v="2010-06-08T00:00:00"/>
  </r>
  <r>
    <x v="4483"/>
    <d v="1899-12-30T00:12:17"/>
    <x v="828"/>
    <x v="9"/>
    <s v="trocaire"/>
    <x v="669"/>
    <n v="1742841"/>
    <x v="4"/>
    <s v="Medicine"/>
    <s v="9781462516445"/>
    <s v=",1,3,2,426,427,424,425,428,429,312,313,310,314,311"/>
    <n v="14"/>
    <m/>
    <m/>
    <s v="No"/>
    <x v="0"/>
    <d v="2015-11-02T03:59:47"/>
    <n v="7"/>
    <s v="173.225.62.67"/>
    <s v="RC537 -- .H3376 2014eb"/>
    <n v="616.85270000000003"/>
    <d v="2014-10-22T00:00:00"/>
  </r>
  <r>
    <x v="4484"/>
    <d v="1899-12-30T00:14:49"/>
    <x v="714"/>
    <x v="12"/>
    <s v="potsdam"/>
    <x v="713"/>
    <n v="565082"/>
    <x v="0"/>
    <s v="Education"/>
    <s v="9781118041567"/>
    <s v=",1,2,3,4,5,169,170,171,167,168,169,170,171,167,172,173,175,177,180,183,184,186,189,188,178,168"/>
    <n v="21"/>
    <m/>
    <m/>
    <s v="No"/>
    <x v="1"/>
    <m/>
    <m/>
    <s v="137.143.104.94"/>
    <s v="LB1775 .P25 2010"/>
    <s v="371.1; 371.102"/>
    <d v="2010-06-08T00:00:00"/>
  </r>
  <r>
    <x v="4485"/>
    <d v="1899-12-30T00:00:04"/>
    <x v="1171"/>
    <x v="0"/>
    <s v="Buffalo"/>
    <x v="1135"/>
    <n v="1742839"/>
    <x v="4"/>
    <s v="Medicine"/>
    <s v="9781462516728"/>
    <s v=",1"/>
    <n v="1"/>
    <m/>
    <m/>
    <s v="No"/>
    <x v="3"/>
    <m/>
    <m/>
    <s v="128.205.114.91"/>
    <s v="RC516 -- .M563 2014eb"/>
    <n v="616.89499999999998"/>
    <d v="2014-10-29T00:00:00"/>
  </r>
  <r>
    <x v="4486"/>
    <d v="1899-12-30T01:50:18"/>
    <x v="828"/>
    <x v="9"/>
    <s v="trocaire"/>
    <x v="79"/>
    <n v="1757960"/>
    <x v="0"/>
    <s v="Medicine"/>
    <s v="9781118780770"/>
    <s v=",1,2,3,32,33,30,32,30,31,34,35,52,53,54,50,51,55,56,57,58,59,60"/>
    <n v="20"/>
    <m/>
    <m/>
    <s v="No"/>
    <x v="0"/>
    <d v="2015-11-02T02:01:33"/>
    <n v="7"/>
    <s v="173.225.62.67"/>
    <s v="RC537 -- .A236 2014eb"/>
    <s v="616.85/27"/>
    <d v="2014-07-30T00:00:00"/>
  </r>
  <r>
    <x v="4487"/>
    <d v="1899-12-30T00:04:33"/>
    <x v="13"/>
    <x v="0"/>
    <s v="Buffalo"/>
    <x v="642"/>
    <n v="918746"/>
    <x v="15"/>
    <s v="Fine Arts"/>
    <s v="9780826441850"/>
    <s v=",25,26,27,28,29,30,31,32,33,34,35,36,37,38,39,40,41,42,43,44,45"/>
    <n v="21"/>
    <m/>
    <m/>
    <s v="No"/>
    <x v="0"/>
    <d v="2015-11-04T02:01:13"/>
    <n v="7"/>
    <s v="128.205.114.91"/>
    <s v="PN1992.8.R43 -- E84 2012eb"/>
    <n v="791.45749999999998"/>
    <d v="2012-07-01T00:00:00"/>
  </r>
  <r>
    <x v="4488"/>
    <d v="1899-12-30T00:10:27"/>
    <x v="13"/>
    <x v="0"/>
    <s v="Buffalo"/>
    <x v="642"/>
    <n v="918746"/>
    <x v="15"/>
    <s v="Fine Arts"/>
    <s v="9780826441850"/>
    <s v=",1,2,3,1,4,5,6,8,7,9,10,11,12,13,14,15,16,17,18,19,20,21,22,23,24"/>
    <n v="24"/>
    <m/>
    <m/>
    <s v="No"/>
    <x v="1"/>
    <m/>
    <m/>
    <s v="128.205.114.91"/>
    <s v="PN1992.8.R43 -- E84 2012eb"/>
    <n v="791.45749999999998"/>
    <d v="2012-07-01T00:00:00"/>
  </r>
  <r>
    <x v="4489"/>
    <d v="1899-12-30T00:00:16"/>
    <x v="26"/>
    <x v="6"/>
    <s v="sjfc"/>
    <x v="3"/>
    <n v="822040"/>
    <x v="0"/>
    <s v="Literature; Psychology"/>
    <s v="9781118289099"/>
    <s v=",193,1,194,195,191,192,202,203,204,200,201,205,206,207,199,198"/>
    <n v="16"/>
    <m/>
    <m/>
    <s v="No"/>
    <x v="0"/>
    <d v="2015-11-04T01:14:56"/>
    <n v="7"/>
    <s v="149.69.254.57"/>
    <s v="BF76.7 -- .B447 2012eb"/>
    <s v="808.06/615"/>
    <d v="2012-03-22T00:00:00"/>
  </r>
  <r>
    <x v="4490"/>
    <d v="1899-12-30T00:13:50"/>
    <x v="26"/>
    <x v="6"/>
    <s v="sjfc"/>
    <x v="3"/>
    <n v="822040"/>
    <x v="0"/>
    <s v="Literature; Psychology"/>
    <s v="9781118289099"/>
    <s v=",1,2,3,130,131,132,128,129,133,134,127,126,124,125,123,122,185,187,186,183,184,188,1,188,189,190,186,187,191,192,193"/>
    <n v="27"/>
    <m/>
    <m/>
    <s v="No"/>
    <x v="1"/>
    <m/>
    <m/>
    <s v="149.69.254.57"/>
    <s v="BF76.7 -- .B447 2012eb"/>
    <s v="808.06/615"/>
    <d v="2012-03-22T00:00:00"/>
  </r>
  <r>
    <x v="4491"/>
    <d v="1899-12-30T00:02:21"/>
    <x v="1114"/>
    <x v="1"/>
    <s v="brockport"/>
    <x v="1136"/>
    <n v="1715302"/>
    <x v="4"/>
    <s v="Education"/>
    <s v="9781462516322"/>
    <s v=",103,102,101,108,1,108,109,110,106,107,54,55,56,53,52,82,83,84,80,81,2"/>
    <n v="20"/>
    <m/>
    <m/>
    <s v="No"/>
    <x v="2"/>
    <d v="2015-11-04T00:55:27"/>
    <n v="1"/>
    <s v="137.21.7.121"/>
    <s v="LB1050.45 -- .O366 2014eb"/>
    <n v="372.47"/>
    <d v="2014-06-19T00:00:00"/>
  </r>
  <r>
    <x v="4492"/>
    <d v="1899-12-30T00:05:03"/>
    <x v="1114"/>
    <x v="1"/>
    <s v="brockport"/>
    <x v="1136"/>
    <n v="1715302"/>
    <x v="4"/>
    <s v="Education"/>
    <s v="9781462516322"/>
    <s v=",1,2,3,4,5,6,7,8,9,10,11,12,13,14,16,20,21,22,23,19,96,97,98,94,95,99,100,101,102,103,104,105,106,107,108,109,110"/>
    <n v="37"/>
    <m/>
    <m/>
    <s v="No"/>
    <x v="3"/>
    <m/>
    <m/>
    <s v="137.21.7.121"/>
    <s v="LB1050.45 -- .O366 2014eb"/>
    <n v="372.47"/>
    <d v="2014-06-19T00:00:00"/>
  </r>
  <r>
    <x v="4493"/>
    <d v="1899-12-30T00:00:04"/>
    <x v="1114"/>
    <x v="1"/>
    <s v="brockport"/>
    <x v="965"/>
    <n v="362585"/>
    <x v="4"/>
    <s v="Education"/>
    <s v="9781606232316"/>
    <s v=",61,62,63,59,60"/>
    <n v="5"/>
    <m/>
    <m/>
    <s v="No"/>
    <x v="2"/>
    <d v="2015-11-04T00:31:01"/>
    <n v="1"/>
    <s v="137.21.7.121"/>
    <s v="LB1050.45.O26 2007"/>
    <n v="372.46199999999999"/>
    <d v="2014-05-14T00:00:00"/>
  </r>
  <r>
    <x v="4494"/>
    <d v="1899-12-30T00:00:30"/>
    <x v="1081"/>
    <x v="7"/>
    <s v="oneonta"/>
    <x v="414"/>
    <n v="1143522"/>
    <x v="0"/>
    <s v="History"/>
    <s v="9781118257197"/>
    <s v=",20,21,22,23,24,25,224,225,226,222,223"/>
    <n v="11"/>
    <m/>
    <m/>
    <s v="No"/>
    <x v="0"/>
    <d v="2015-11-04T00:30:55"/>
    <n v="7"/>
    <s v="137.141.13.2"/>
    <s v="F1219.73 .S58 2013"/>
    <n v="972"/>
    <d v="2013-03-01T00:00:00"/>
  </r>
  <r>
    <x v="4495"/>
    <d v="1899-12-30T00:08:02"/>
    <x v="1114"/>
    <x v="1"/>
    <s v="brockport"/>
    <x v="965"/>
    <n v="362585"/>
    <x v="4"/>
    <s v="Education"/>
    <s v="9781606232316"/>
    <s v=",1,2,3,4,5,6,7,8,9,11,10,12,13,14,91,92,93,89,90,94,95,96,97,98,99,100,101,102,103,104,105"/>
    <n v="31"/>
    <m/>
    <m/>
    <s v="No"/>
    <x v="3"/>
    <m/>
    <m/>
    <s v="137.21.7.121"/>
    <s v="LB1050.45.O26 2007"/>
    <n v="372.46199999999999"/>
    <d v="2014-05-14T00:00:00"/>
  </r>
  <r>
    <x v="4496"/>
    <d v="1899-12-30T00:16:00"/>
    <x v="1081"/>
    <x v="7"/>
    <s v="oneonta"/>
    <x v="414"/>
    <n v="1143522"/>
    <x v="0"/>
    <s v="History"/>
    <s v="9781118257197"/>
    <s v=",1,2,3,217,218,219,215,216,9,10,11,17,18,19,15,16"/>
    <n v="16"/>
    <m/>
    <m/>
    <s v="No"/>
    <x v="1"/>
    <m/>
    <m/>
    <s v="137.141.13.2"/>
    <s v="F1219.73 .S58 2013"/>
    <n v="972"/>
    <d v="2013-03-01T00:00:00"/>
  </r>
  <r>
    <x v="4497"/>
    <d v="1899-12-30T01:09:35"/>
    <x v="831"/>
    <x v="0"/>
    <s v="Buffalo"/>
    <x v="844"/>
    <n v="1332527"/>
    <x v="0"/>
    <s v="Business/Management"/>
    <s v="9781118720882"/>
    <s v=",25,26,27,28,29,30,31,32,33,34,35,36,37,38,39,40,41,42,43,44,45,46,47,48,49,50,51"/>
    <n v="27"/>
    <m/>
    <m/>
    <s v="No"/>
    <x v="0"/>
    <d v="2015-11-04T00:02:32"/>
    <n v="7"/>
    <s v="128.205.114.91"/>
    <s v="HB615 -- .A95 2013eb"/>
    <n v="658.11"/>
    <d v="2013-07-31T00:00:00"/>
  </r>
  <r>
    <x v="4498"/>
    <d v="1899-12-30T00:10:03"/>
    <x v="831"/>
    <x v="0"/>
    <s v="Buffalo"/>
    <x v="844"/>
    <n v="1332527"/>
    <x v="0"/>
    <s v="Business/Management"/>
    <s v="9781118720882"/>
    <s v=",1,2,3,19,20,21,22,23,24,22,23,24"/>
    <n v="9"/>
    <m/>
    <m/>
    <s v="No"/>
    <x v="1"/>
    <m/>
    <m/>
    <s v="128.205.114.91"/>
    <s v="HB615 -- .A95 2013eb"/>
    <n v="658.11"/>
    <d v="2013-07-31T00:00:00"/>
  </r>
  <r>
    <x v="4499"/>
    <d v="1899-12-30T00:00:04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4500"/>
    <d v="1899-12-30T00:00:43"/>
    <x v="26"/>
    <x v="6"/>
    <s v="sjfc"/>
    <x v="1137"/>
    <n v="1896037"/>
    <x v="0"/>
    <s v="Science; Medicine; Science: Biology/Natural History"/>
    <s v="9781119066262"/>
    <s v=",1,3,3,2,1,2,2,2,4,4,5,5,6,6,7,7,20,20,21,22,18,21,19,22,19"/>
    <n v="12"/>
    <m/>
    <m/>
    <s v="No"/>
    <x v="1"/>
    <m/>
    <m/>
    <s v="149.69.254.57"/>
    <s v="QR201.E16 -- C43 2015eb"/>
    <s v="616.9; 616.925"/>
    <d v="2014-12-17T00:00:00"/>
  </r>
  <r>
    <x v="4501"/>
    <d v="1899-12-30T00:00:21"/>
    <x v="13"/>
    <x v="0"/>
    <s v="Buffalo"/>
    <x v="642"/>
    <n v="918746"/>
    <x v="15"/>
    <s v="Fine Arts"/>
    <s v="9780826441850"/>
    <s v=",1,2,1,2,3,3,4,4,5,5,6,6,7,7,9,9,8,8,4,2"/>
    <n v="9"/>
    <m/>
    <m/>
    <s v="No"/>
    <x v="1"/>
    <m/>
    <m/>
    <s v="128.205.114.91"/>
    <s v="PN1992.8.R43 -- E84 2012eb"/>
    <n v="791.45749999999998"/>
    <d v="2012-07-01T00:00:00"/>
  </r>
  <r>
    <x v="4502"/>
    <d v="1899-12-30T00:00:50"/>
    <x v="1103"/>
    <x v="9"/>
    <s v="trocaire"/>
    <x v="684"/>
    <n v="1120621"/>
    <x v="0"/>
    <s v="Education"/>
    <s v="9781118362679"/>
    <s v=",1,2,3,37,38,39,35,36,40,41,42"/>
    <n v="11"/>
    <m/>
    <m/>
    <s v="No"/>
    <x v="0"/>
    <d v="2015-10-31T03:43:55"/>
    <n v="7"/>
    <s v="173.225.62.67"/>
    <s v="LB3013.3 .R59 2012"/>
    <s v="371.5/8; 371.58"/>
    <d v="2012-08-15T00:00:00"/>
  </r>
  <r>
    <x v="4503"/>
    <d v="1899-12-30T00:00:34"/>
    <x v="454"/>
    <x v="5"/>
    <s v="erie"/>
    <x v="1138"/>
    <n v="1637200"/>
    <x v="7"/>
    <s v="Agriculture"/>
    <s v="9781780641775"/>
    <s v=",1,2,3,106,107,108,105,104,109,153,154,155,151,152,104,106"/>
    <n v="14"/>
    <m/>
    <m/>
    <s v="No"/>
    <x v="3"/>
    <m/>
    <m/>
    <s v="199.29.6.54"/>
    <s v="SF95 -- .A636 2013eb"/>
    <s v="632/.8"/>
    <d v="2013-01-01T00:00:00"/>
  </r>
  <r>
    <x v="4504"/>
    <d v="1899-12-30T00:00:51"/>
    <x v="1172"/>
    <x v="8"/>
    <s v="niagaracc"/>
    <x v="1139"/>
    <n v="886774"/>
    <x v="4"/>
    <s v="Education"/>
    <s v="9781462504039"/>
    <s v=",1,2,3,64,65,66,62,63,67,68"/>
    <n v="10"/>
    <m/>
    <m/>
    <s v="No"/>
    <x v="1"/>
    <m/>
    <m/>
    <s v="132.174.254.37"/>
    <s v="LC1200 -- .I545 2012eb"/>
    <s v="371.9/046"/>
    <d v="2012-04-02T00:00:00"/>
  </r>
  <r>
    <x v="4505"/>
    <d v="1899-12-30T00:00:48"/>
    <x v="828"/>
    <x v="9"/>
    <s v="trocaire"/>
    <x v="1140"/>
    <n v="1641469"/>
    <x v="4"/>
    <s v="Medicine"/>
    <s v="9781462513444"/>
    <s v=",1,2,3,371,372,373,369,370,374"/>
    <n v="9"/>
    <m/>
    <m/>
    <s v="No"/>
    <x v="1"/>
    <m/>
    <m/>
    <s v="173.225.62.67"/>
    <s v="RC489.B4 -- C584 2014eb"/>
    <n v="616.89142000000004"/>
    <d v="2014-02-27T00:00:00"/>
  </r>
  <r>
    <x v="4506"/>
    <d v="1899-12-30T00:00:26"/>
    <x v="13"/>
    <x v="0"/>
    <s v="Buffalo"/>
    <x v="79"/>
    <n v="1757960"/>
    <x v="0"/>
    <s v="Medicine"/>
    <s v="9781118780770"/>
    <s v=",1,2,3,4,5,6,7,8,9,10,11,12,13,14,15,16,17,18,2,19,20,22,21,23,24"/>
    <n v="24"/>
    <m/>
    <m/>
    <s v="No"/>
    <x v="1"/>
    <m/>
    <m/>
    <s v="128.205.114.91"/>
    <s v="RC537 -- .A236 2014eb"/>
    <s v="616.85/27"/>
    <d v="2014-07-30T00:00:00"/>
  </r>
  <r>
    <x v="4507"/>
    <d v="1899-12-30T00:00:00"/>
    <x v="1173"/>
    <x v="0"/>
    <s v="Buffalo"/>
    <x v="497"/>
    <n v="1825699"/>
    <x v="1"/>
    <s v="Fine Arts"/>
    <s v="9781472409645"/>
    <m/>
    <n v="0"/>
    <m/>
    <m/>
    <s v="Yes"/>
    <x v="2"/>
    <d v="2015-11-03T21:35:08"/>
    <n v="1"/>
    <s v="128.205.114.91"/>
    <s v="ML80.B42 -- .B43 2014eb"/>
    <n v="780.92"/>
    <d v="2014-12-28T00:00:00"/>
  </r>
  <r>
    <x v="4507"/>
    <d v="1899-12-30T00:00:00"/>
    <x v="1173"/>
    <x v="0"/>
    <s v="Buffalo"/>
    <x v="497"/>
    <n v="1825699"/>
    <x v="1"/>
    <s v="Fine Arts"/>
    <s v="9781472409645"/>
    <m/>
    <n v="0"/>
    <m/>
    <m/>
    <s v="No"/>
    <x v="2"/>
    <d v="2015-11-03T21:35:08"/>
    <n v="1"/>
    <s v="128.205.114.91"/>
    <s v="ML80.B42 -- .B43 2014eb"/>
    <n v="780.92"/>
    <d v="2014-12-28T00:00:00"/>
  </r>
  <r>
    <x v="4508"/>
    <d v="1899-12-30T00:02:19"/>
    <x v="1173"/>
    <x v="0"/>
    <s v="Buffalo"/>
    <x v="497"/>
    <n v="1825699"/>
    <x v="1"/>
    <s v="Fine Arts"/>
    <s v="9781472409645"/>
    <s v=",1,1,2,2,3,3,6,7,7,8,4,8,5,6,5,2,9,9,4,204,204,205,205,206,206,203,202,203,204"/>
    <n v="14"/>
    <m/>
    <m/>
    <s v="No"/>
    <x v="3"/>
    <m/>
    <m/>
    <s v="128.205.114.91"/>
    <s v="ML80.B42 -- .B43 2014eb"/>
    <n v="780.92"/>
    <d v="2014-12-28T00:00:00"/>
  </r>
  <r>
    <x v="4509"/>
    <d v="1899-12-30T00:00:55"/>
    <x v="801"/>
    <x v="0"/>
    <s v="Buffalo"/>
    <x v="827"/>
    <n v="1969430"/>
    <x v="1"/>
    <s v="Social Science"/>
    <s v="9781472443038"/>
    <s v=",1,2,3,4,5,42,43,44,40,41,39"/>
    <n v="11"/>
    <m/>
    <m/>
    <s v="No"/>
    <x v="3"/>
    <m/>
    <m/>
    <s v="128.205.114.91"/>
    <s v="HQ281 -- .S65 2015eb"/>
    <s v="306.3/6209593"/>
    <d v="2015-03-28T00:00:00"/>
  </r>
  <r>
    <x v="4510"/>
    <d v="1899-12-30T00:00:41"/>
    <x v="1174"/>
    <x v="12"/>
    <s v="potsdam"/>
    <x v="1078"/>
    <n v="1895314"/>
    <x v="0"/>
    <s v="Home Economics; Pharmacy; Medicine"/>
    <s v="9781119052531"/>
    <s v=",1,2,3,1,2,3,4,4,5,5,6,6,7,2,7,8,8,9,9,10,10,11,11,12,12,13,13,14,14"/>
    <n v="14"/>
    <m/>
    <m/>
    <s v="No"/>
    <x v="3"/>
    <m/>
    <m/>
    <s v="137.143.104.94"/>
    <s v="RM237.86"/>
    <n v="641.56309999999996"/>
    <d v="2015-06-02T00:00:00"/>
  </r>
  <r>
    <x v="4511"/>
    <d v="1899-12-30T00:00:06"/>
    <x v="1175"/>
    <x v="12"/>
    <s v="potsdam"/>
    <x v="1078"/>
    <n v="1895314"/>
    <x v="0"/>
    <s v="Home Economics; Pharmacy; Medicine"/>
    <s v="9781119052531"/>
    <s v=",1,15,16,17,13,14"/>
    <n v="6"/>
    <m/>
    <m/>
    <s v="No"/>
    <x v="3"/>
    <m/>
    <m/>
    <s v="137.143.104.94"/>
    <s v="RM237.86"/>
    <n v="641.56309999999996"/>
    <d v="2015-06-02T00:00:00"/>
  </r>
  <r>
    <x v="4512"/>
    <d v="1899-12-30T00:00:03"/>
    <x v="906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4513"/>
    <d v="1899-12-30T00:19:47"/>
    <x v="13"/>
    <x v="0"/>
    <s v="Buffalo"/>
    <x v="844"/>
    <n v="1332527"/>
    <x v="0"/>
    <s v="Business/Management"/>
    <s v="9781118720882"/>
    <s v=",1,1,2,2,3,3,4,4,5,5,6,6,7,8,8,7,9,9,10,10,11,11,2,12,12,13,13,14,14,15,15,16,17,17,16,18,18,19,19,20,20,21,21,22,22,23,23"/>
    <n v="23"/>
    <m/>
    <m/>
    <s v="No"/>
    <x v="0"/>
    <d v="2015-11-02T16:58:16"/>
    <n v="7"/>
    <s v="128.205.114.91"/>
    <s v="HB615 -- .A95 2013eb"/>
    <n v="658.11"/>
    <d v="2013-07-31T00:00:00"/>
  </r>
  <r>
    <x v="4514"/>
    <d v="1899-12-30T00:04:22"/>
    <x v="1176"/>
    <x v="1"/>
    <s v="brockport"/>
    <x v="1141"/>
    <n v="1171793"/>
    <x v="0"/>
    <s v="Social Science"/>
    <s v="9780745676654"/>
    <s v=",170,171,171,172,151,152,153,149,150,154,156,155,157,158"/>
    <n v="13"/>
    <m/>
    <m/>
    <s v="No"/>
    <x v="0"/>
    <d v="2015-11-03T20:27:24"/>
    <n v="7"/>
    <s v="137.21.7.121"/>
    <s v="HM756 -- .G58 2013eb"/>
    <n v="307.76"/>
    <d v="2013-08-20T00:00:00"/>
  </r>
  <r>
    <x v="4515"/>
    <d v="1899-12-30T00:06:10"/>
    <x v="787"/>
    <x v="1"/>
    <s v="brockport"/>
    <x v="151"/>
    <n v="968030"/>
    <x v="0"/>
    <s v="Psychology"/>
    <s v="9781118285138"/>
    <s v=",1,2,3,445,446,447,443,444,448,449,450,451,429,430,431,427,428,432,433,434,435,436,453,454,455,452"/>
    <n v="26"/>
    <m/>
    <m/>
    <s v="No"/>
    <x v="0"/>
    <d v="2015-11-01T20:42:09"/>
    <n v="7"/>
    <s v="137.21.7.121"/>
    <s v="BF637.C6 -- S85 2013eb"/>
    <n v="158.30000000000001"/>
    <d v="2012-07-10T00:00:00"/>
  </r>
  <r>
    <x v="4516"/>
    <d v="1899-12-30T00:30:25"/>
    <x v="789"/>
    <x v="6"/>
    <s v="sjfc"/>
    <x v="68"/>
    <n v="1822529"/>
    <x v="0"/>
    <s v="Mathematics"/>
    <s v="9781118824344"/>
    <s v=",1,3,2,1,2,3,1,2,3,26,27,28,24,25,29,30,31,32,33,34,35,36,37,38,39,40,41,42,43,44,45,35,34,44,45,46,47,48,49,50,51,52,53,54,55"/>
    <n v="35"/>
    <m/>
    <m/>
    <s v="No"/>
    <x v="0"/>
    <d v="2015-11-02T19:57:11"/>
    <n v="7"/>
    <s v="149.69.254.57"/>
    <s v="QA297 -- .S59 2015eb"/>
    <n v="519.4"/>
    <d v="2014-10-20T00:00:00"/>
  </r>
  <r>
    <x v="4517"/>
    <d v="1899-12-30T00:12:24"/>
    <x v="1176"/>
    <x v="1"/>
    <s v="brockport"/>
    <x v="1141"/>
    <n v="1171793"/>
    <x v="0"/>
    <s v="Social Science"/>
    <s v="9780745676654"/>
    <s v=",1,2,3,151,152,153,149,150,145,146,144,142,143,147,154,158,160,159,157,156,161,162,163,158,157,162,163,164,165,166,167,169,168"/>
    <n v="29"/>
    <m/>
    <m/>
    <s v="No"/>
    <x v="1"/>
    <m/>
    <m/>
    <s v="137.21.7.121"/>
    <s v="HM756 -- .G58 2013eb"/>
    <n v="307.76"/>
    <d v="2013-08-20T00:00:00"/>
  </r>
  <r>
    <x v="4518"/>
    <d v="1899-12-30T00:02:04"/>
    <x v="1177"/>
    <x v="12"/>
    <s v="potsdam"/>
    <x v="1142"/>
    <n v="1895760"/>
    <x v="0"/>
    <s v="Engineering: Mechanical; Engineering: General; Engineering"/>
    <s v="9781118926376"/>
    <s v=",39,40,41,42,43,44,45,46,47,48"/>
    <n v="10"/>
    <m/>
    <m/>
    <s v="No"/>
    <x v="0"/>
    <d v="2015-11-03T19:42:15"/>
    <n v="7"/>
    <s v="137.143.104.94"/>
    <s v="TJ756 .F47 2015"/>
    <n v="621.42999999999995"/>
    <d v="2015-07-01T00:00:00"/>
  </r>
  <r>
    <x v="4519"/>
    <d v="1899-12-30T00:00:15"/>
    <x v="1091"/>
    <x v="12"/>
    <s v="potsdam"/>
    <x v="211"/>
    <n v="1884289"/>
    <x v="0"/>
    <s v="Medicine; Pharmacy; Health; Social Science"/>
    <s v="9781118636282"/>
    <s v=",10,11,12,13,14,15,16"/>
    <n v="7"/>
    <m/>
    <m/>
    <s v="No"/>
    <x v="0"/>
    <d v="2015-11-03T19:39:34"/>
    <n v="7"/>
    <s v="137.143.104.94"/>
    <s v="RA638 -- .V33 2015eb"/>
    <s v="615.3/72"/>
    <d v="2014-12-04T00:00:00"/>
  </r>
  <r>
    <x v="4520"/>
    <d v="1899-12-30T00:05:52"/>
    <x v="1177"/>
    <x v="12"/>
    <s v="potsdam"/>
    <x v="1142"/>
    <n v="1895760"/>
    <x v="0"/>
    <s v="Engineering: Mechanical; Engineering: General; Engineering"/>
    <s v="9781118926376"/>
    <s v=",1,2,3,22,23,24,20,21,25,26,27,28,29,30,31,32,33,34,35,36,37,38"/>
    <n v="22"/>
    <m/>
    <m/>
    <s v="No"/>
    <x v="3"/>
    <m/>
    <m/>
    <s v="137.143.104.94"/>
    <s v="TJ756 .F47 2015"/>
    <n v="621.42999999999995"/>
    <d v="2015-07-01T00:00:00"/>
  </r>
  <r>
    <x v="4521"/>
    <d v="1899-12-30T00:00:14"/>
    <x v="26"/>
    <x v="6"/>
    <s v="sjfc"/>
    <x v="277"/>
    <n v="1166802"/>
    <x v="0"/>
    <s v="Social Science"/>
    <s v="9780745664507"/>
    <s v=",1,2,3,31,32,33,29,30"/>
    <n v="8"/>
    <m/>
    <m/>
    <s v="No"/>
    <x v="3"/>
    <m/>
    <m/>
    <s v="149.69.254.57"/>
    <s v="HQ1075 -- .B73 2013eb"/>
    <n v="305.3"/>
    <d v="2013-04-03T00:00:00"/>
  </r>
  <r>
    <x v="4522"/>
    <d v="1899-12-30T00:07:12"/>
    <x v="1091"/>
    <x v="12"/>
    <s v="potsdam"/>
    <x v="211"/>
    <n v="1884289"/>
    <x v="0"/>
    <s v="Medicine; Pharmacy; Health; Social Science"/>
    <s v="9781118636282"/>
    <s v=",1,2,3,4,5,6,7,8,9"/>
    <n v="9"/>
    <m/>
    <m/>
    <s v="No"/>
    <x v="3"/>
    <m/>
    <m/>
    <s v="137.143.104.94"/>
    <s v="RA638 -- .V33 2015eb"/>
    <s v="615.3/72"/>
    <d v="2014-12-04T00:00:00"/>
  </r>
  <r>
    <x v="4523"/>
    <d v="1899-12-30T00:00:15"/>
    <x v="26"/>
    <x v="6"/>
    <s v="sjfc"/>
    <x v="1143"/>
    <n v="1996595"/>
    <x v="5"/>
    <s v="Political Science"/>
    <s v="9781479886630"/>
    <s v=",1,2,3,22,23,24,20,21"/>
    <n v="8"/>
    <m/>
    <m/>
    <s v="No"/>
    <x v="3"/>
    <m/>
    <m/>
    <s v="149.69.254.57"/>
    <s v="JK2281"/>
    <s v="324.7/30973; 324.730973"/>
    <d v="2015-03-27T00:00:00"/>
  </r>
  <r>
    <x v="4524"/>
    <d v="1899-12-30T00:00:03"/>
    <x v="1091"/>
    <x v="12"/>
    <s v="potsdam"/>
    <x v="1144"/>
    <n v="1887114"/>
    <x v="0"/>
    <s v="Social Science"/>
    <s v="9781118521250"/>
    <s v=",1,2,3"/>
    <n v="3"/>
    <m/>
    <m/>
    <s v="No"/>
    <x v="3"/>
    <m/>
    <m/>
    <s v="137.143.104.94"/>
    <s v="HQ767.9  -- .H87 2015eb"/>
    <n v="305.23099999999999"/>
    <d v="2014-12-04T00:00:00"/>
  </r>
  <r>
    <x v="4525"/>
    <d v="1899-12-30T00:00:05"/>
    <x v="1091"/>
    <x v="12"/>
    <s v="potsdam"/>
    <x v="1041"/>
    <n v="1895734"/>
    <x v="0"/>
    <s v="Medicine; Pharmacy"/>
    <s v="9781118907221"/>
    <s v=",126,127,128"/>
    <n v="3"/>
    <m/>
    <m/>
    <s v="No"/>
    <x v="0"/>
    <d v="2015-11-03T19:22:34"/>
    <n v="7"/>
    <s v="137.143.104.94"/>
    <s v="RM301.25 -- .N475 2015eb"/>
    <n v="615.19000000000005"/>
    <d v="2015-04-13T00:00:00"/>
  </r>
  <r>
    <x v="4526"/>
    <d v="1899-12-30T00:01:54"/>
    <x v="1177"/>
    <x v="12"/>
    <s v="potsdam"/>
    <x v="1145"/>
    <n v="1568766"/>
    <x v="0"/>
    <s v="Business/Management; Economics; Environmental Studies"/>
    <s v="9780745679075"/>
    <s v=",1,2,3,4,5,6,7,8,9,10,11,12,13,14,16,15,17,18,19,20,21,22"/>
    <n v="22"/>
    <m/>
    <m/>
    <s v="No"/>
    <x v="3"/>
    <m/>
    <m/>
    <s v="137.143.104.94"/>
    <s v="HD9502.A2 -- .B733 2014eb"/>
    <n v="333.79"/>
    <d v="2013-11-20T00:00:00"/>
  </r>
  <r>
    <x v="4527"/>
    <d v="1899-12-30T00:09:45"/>
    <x v="1091"/>
    <x v="12"/>
    <s v="potsdam"/>
    <x v="1041"/>
    <n v="1895734"/>
    <x v="0"/>
    <s v="Medicine; Pharmacy"/>
    <s v="9781118907221"/>
    <s v=",1,2,3,123,124,121,125,122,126,127,128"/>
    <n v="11"/>
    <m/>
    <m/>
    <s v="No"/>
    <x v="3"/>
    <m/>
    <m/>
    <s v="137.143.104.94"/>
    <s v="RM301.25 -- .N475 2015eb"/>
    <n v="615.19000000000005"/>
    <d v="2015-04-13T00:00:00"/>
  </r>
  <r>
    <x v="4528"/>
    <d v="1899-12-30T00:00:00"/>
    <x v="1178"/>
    <x v="0"/>
    <s v="Buffalo"/>
    <x v="129"/>
    <n v="817848"/>
    <x v="0"/>
    <s v="Engineering; Engineering: Civil"/>
    <s v="9781118205624"/>
    <m/>
    <n v="0"/>
    <s v=",41"/>
    <m/>
    <s v="No"/>
    <x v="0"/>
    <d v="2015-11-03T19:11:48"/>
    <n v="7"/>
    <s v="128.205.114.91"/>
    <s v="TA683.2 -- .H365 2012eb"/>
    <s v="624.1/8341"/>
    <d v="2012-04-20T00:00:00"/>
  </r>
  <r>
    <x v="4529"/>
    <d v="1899-12-30T00:00:54"/>
    <x v="1178"/>
    <x v="0"/>
    <s v="Buffalo"/>
    <x v="129"/>
    <n v="817848"/>
    <x v="0"/>
    <s v="Engineering; Engineering: Civil"/>
    <s v="9781118205624"/>
    <s v=",1,2,3,4,36,37,38,34,35,39,40,41,42,43"/>
    <n v="14"/>
    <m/>
    <m/>
    <s v="No"/>
    <x v="1"/>
    <m/>
    <m/>
    <s v="128.205.114.91"/>
    <s v="TA683.2 -- .H365 2012eb"/>
    <s v="624.1/8341"/>
    <d v="2012-04-20T00:00:00"/>
  </r>
  <r>
    <x v="4530"/>
    <d v="1899-12-30T00:00:09"/>
    <x v="828"/>
    <x v="9"/>
    <s v="trocaire"/>
    <x v="1057"/>
    <n v="332602"/>
    <x v="0"/>
    <s v="Education"/>
    <s v="9780631227885"/>
    <s v=",1,2,3"/>
    <n v="3"/>
    <m/>
    <m/>
    <s v="No"/>
    <x v="0"/>
    <d v="2015-10-31T18:36:28"/>
    <n v="7"/>
    <s v="173.225.62.67"/>
    <s v="LB1124 -- .O48 1993eb"/>
    <s v="371.5/8"/>
    <d v="2013-05-30T00:00:00"/>
  </r>
  <r>
    <x v="4531"/>
    <d v="1899-12-30T00:00:41"/>
    <x v="828"/>
    <x v="9"/>
    <s v="trocaire"/>
    <x v="684"/>
    <n v="1120621"/>
    <x v="0"/>
    <s v="Education"/>
    <s v="9781118362679"/>
    <s v=",1,2,3,31,32,33,30,29"/>
    <n v="8"/>
    <m/>
    <m/>
    <s v="No"/>
    <x v="0"/>
    <d v="2015-10-31T21:28:20"/>
    <n v="7"/>
    <s v="173.225.62.67"/>
    <s v="LB3013.3 .R59 2012"/>
    <s v="371.5/8; 371.58"/>
    <d v="2012-08-15T00:00:00"/>
  </r>
  <r>
    <x v="4532"/>
    <d v="1899-12-30T00:03:32"/>
    <x v="1179"/>
    <x v="10"/>
    <s v="daemen"/>
    <x v="1146"/>
    <n v="2011348"/>
    <x v="0"/>
    <s v="Business/Management; Philosophy"/>
    <s v="9781118941911"/>
    <s v=",1,2,3,4,39,40,41,37,38,77,78,79,75,76,80,29,30,31,27,28,32,33,34,35,36,26,25,24,23,22,21,20,18,16,17,5,6,7,9,10,11,12,8"/>
    <n v="43"/>
    <m/>
    <m/>
    <s v="No"/>
    <x v="3"/>
    <m/>
    <m/>
    <s v="38.123.35.150"/>
    <s v="HF5387 -- .T439 2015eb"/>
    <n v="174.4"/>
    <d v="2015-04-08T00:00:00"/>
  </r>
  <r>
    <x v="4533"/>
    <d v="1899-12-30T03:32:06"/>
    <x v="828"/>
    <x v="9"/>
    <s v="trocaire"/>
    <x v="669"/>
    <n v="1742841"/>
    <x v="4"/>
    <s v="Medicine"/>
    <s v="9781462516445"/>
    <s v=",1,2,3,80,81,82,78,79,23,24,25,21,22,26,27,371,372,373,369,370,367,368,365,366"/>
    <n v="24"/>
    <m/>
    <m/>
    <s v="No"/>
    <x v="0"/>
    <d v="2015-11-02T03:59:47"/>
    <n v="7"/>
    <s v="173.225.62.67"/>
    <s v="RC537 -- .H3376 2014eb"/>
    <n v="616.85270000000003"/>
    <d v="2014-10-22T00:00:00"/>
  </r>
  <r>
    <x v="4534"/>
    <d v="1899-12-30T00:00:37"/>
    <x v="828"/>
    <x v="9"/>
    <s v="trocaire"/>
    <x v="79"/>
    <n v="1757960"/>
    <x v="0"/>
    <s v="Medicine"/>
    <s v="9781118780770"/>
    <s v=",1,2,3,15,16,17,13,14,15,16,13,14"/>
    <n v="8"/>
    <m/>
    <m/>
    <s v="No"/>
    <x v="0"/>
    <d v="2015-11-02T02:01:33"/>
    <n v="7"/>
    <s v="173.225.62.67"/>
    <s v="RC537 -- .A236 2014eb"/>
    <s v="616.85/27"/>
    <d v="2014-07-30T00:00:00"/>
  </r>
  <r>
    <x v="4535"/>
    <d v="1899-12-30T00:31:25"/>
    <x v="1103"/>
    <x v="9"/>
    <s v="trocaire"/>
    <x v="684"/>
    <n v="1120621"/>
    <x v="0"/>
    <s v="Education"/>
    <s v="9781118362679"/>
    <s v=",1,2,3,34,35,32,36,33,37,38,39,40,41"/>
    <n v="13"/>
    <m/>
    <m/>
    <s v="No"/>
    <x v="0"/>
    <d v="2015-10-31T03:43:55"/>
    <n v="7"/>
    <s v="173.225.62.67"/>
    <s v="LB3013.3 .R59 2012"/>
    <s v="371.5/8; 371.58"/>
    <d v="2012-08-15T00:00:00"/>
  </r>
  <r>
    <x v="4536"/>
    <d v="1899-12-30T00:00:44"/>
    <x v="1075"/>
    <x v="4"/>
    <s v="monroe2boces"/>
    <x v="1024"/>
    <n v="834631"/>
    <x v="0"/>
    <s v="Medicine"/>
    <s v="9781444354669"/>
    <s v=",1,3,2,48,44,250,248,1,2,3"/>
    <n v="7"/>
    <m/>
    <m/>
    <s v="No"/>
    <x v="1"/>
    <m/>
    <m/>
    <s v="216.226.127.171"/>
    <s v="RC113.2 -- .A85 2012eb"/>
    <s v="616.90022/3"/>
    <d v="2012-01-03T00:00:00"/>
  </r>
  <r>
    <x v="4537"/>
    <d v="1899-12-30T00:00:04"/>
    <x v="1180"/>
    <x v="12"/>
    <s v="potsdam"/>
    <x v="843"/>
    <n v="1833666"/>
    <x v="11"/>
    <s v="Science; Science: Biology/Natural History"/>
    <s v="9780226166216"/>
    <s v=",376,369,376,366,369,366,364,362,364,360,360,362"/>
    <n v="6"/>
    <m/>
    <m/>
    <s v="No"/>
    <x v="2"/>
    <d v="2015-11-03T17:03:07"/>
    <n v="1"/>
    <s v="137.143.104.94"/>
    <s v="QH353"/>
    <s v="577/.18"/>
    <d v="2014-11-24T00:00:00"/>
  </r>
  <r>
    <x v="4538"/>
    <d v="1899-12-30T00:14:49"/>
    <x v="1180"/>
    <x v="12"/>
    <s v="potsdam"/>
    <x v="843"/>
    <n v="1833666"/>
    <x v="11"/>
    <s v="Science; Science: Biology/Natural History"/>
    <s v="9780226166216"/>
    <s v=",1,3,3,2,2,1,4,4,5,6,5,7,6,7,8,8,3,2,1,4,5,6,7,8,9,9,10,10,11,11,12,12,201,312,367,201,312,367,368,368,411,411,418,418,419,419,420,421,420,421,424,424,426,427,426,427,425,425,423,420,419,421,417,418,415,416,414,413,412,411,410,409,408,407,406"/>
    <n v="37"/>
    <m/>
    <m/>
    <s v="No"/>
    <x v="3"/>
    <m/>
    <m/>
    <s v="137.143.104.94"/>
    <s v="QH353"/>
    <s v="577/.18"/>
    <d v="2014-11-24T00:00:00"/>
  </r>
  <r>
    <x v="4539"/>
    <d v="1899-12-30T00:02:06"/>
    <x v="13"/>
    <x v="0"/>
    <s v="Buffalo"/>
    <x v="161"/>
    <n v="821663"/>
    <x v="0"/>
    <s v="Architecture"/>
    <s v="9781118168479"/>
    <s v=",1,2,3,87,88,89,85,86,90,91,92,93,94,95,96,97,98,99,100,101,102,103,104,105,106,107,108,109,110,111,112,113,114,115,116,117"/>
    <n v="36"/>
    <m/>
    <m/>
    <s v="No"/>
    <x v="1"/>
    <m/>
    <m/>
    <s v="128.205.114.91"/>
    <s v="NA2547 -- .S74 2012eb"/>
    <n v="729"/>
    <d v="2012-03-05T00:00:00"/>
  </r>
  <r>
    <x v="4540"/>
    <d v="1899-12-30T00:00:00"/>
    <x v="1181"/>
    <x v="1"/>
    <s v="brockport"/>
    <x v="1147"/>
    <n v="1662663"/>
    <x v="0"/>
    <s v="Fine Arts"/>
    <s v="9781118769522"/>
    <m/>
    <n v="0"/>
    <m/>
    <m/>
    <s v="Yes"/>
    <x v="2"/>
    <d v="2015-11-03T16:29:46"/>
    <n v="7"/>
    <s v="137.21.7.121"/>
    <s v="M292"/>
    <n v="785.12"/>
    <d v="2014-03-24T00:00:00"/>
  </r>
  <r>
    <x v="4540"/>
    <d v="1899-12-30T00:00:00"/>
    <x v="1181"/>
    <x v="1"/>
    <s v="brockport"/>
    <x v="1147"/>
    <n v="1662663"/>
    <x v="0"/>
    <s v="Fine Arts"/>
    <s v="9781118769522"/>
    <m/>
    <n v="0"/>
    <m/>
    <m/>
    <s v="No"/>
    <x v="2"/>
    <d v="2015-11-03T16:29:46"/>
    <n v="7"/>
    <s v="137.21.7.121"/>
    <s v="M292"/>
    <n v="785.12"/>
    <d v="2014-03-24T00:00:00"/>
  </r>
  <r>
    <x v="4541"/>
    <d v="1899-12-30T00:02:11"/>
    <x v="1181"/>
    <x v="1"/>
    <s v="brockport"/>
    <x v="1147"/>
    <n v="1662663"/>
    <x v="0"/>
    <s v="Fine Arts"/>
    <s v="9781118769522"/>
    <s v=",1,2,3,4,5,6,7,9,8,10,11,12,13"/>
    <n v="13"/>
    <m/>
    <m/>
    <s v="No"/>
    <x v="3"/>
    <m/>
    <m/>
    <s v="137.21.7.121"/>
    <s v="M292"/>
    <n v="785.12"/>
    <d v="2014-03-24T00:00:00"/>
  </r>
  <r>
    <x v="4542"/>
    <d v="1899-12-30T00:00:08"/>
    <x v="1170"/>
    <x v="0"/>
    <s v="Buffalo"/>
    <x v="772"/>
    <n v="1969407"/>
    <x v="1"/>
    <s v="Architecture"/>
    <s v="9781472422880"/>
    <s v=",1,2,3,4,5,6,7,8"/>
    <n v="8"/>
    <m/>
    <m/>
    <s v="No"/>
    <x v="2"/>
    <d v="2015-11-02T18:49:23"/>
    <n v="1"/>
    <s v="128.205.114.91"/>
    <s v="NA2000 -- .S253 2015eb"/>
    <n v="720.71"/>
    <d v="2015-03-28T00:00:00"/>
  </r>
  <r>
    <x v="4543"/>
    <d v="1899-12-30T00:00:53"/>
    <x v="1182"/>
    <x v="1"/>
    <s v="brockport"/>
    <x v="578"/>
    <n v="1816989"/>
    <x v="7"/>
    <s v="Social Science; Health; Medicine"/>
    <s v="9781780644578"/>
    <s v=",1,3,2,35,36,37,33,34,38,39,40,41,42,43"/>
    <n v="14"/>
    <m/>
    <m/>
    <s v="No"/>
    <x v="3"/>
    <m/>
    <m/>
    <s v="137.21.7.121"/>
    <s v="RA793 -- .C5766 2014eb"/>
    <s v="616.9/88"/>
    <d v="2014-09-26T00:00:00"/>
  </r>
  <r>
    <x v="4544"/>
    <d v="1899-12-30T00:01:04"/>
    <x v="432"/>
    <x v="0"/>
    <s v="Buffalo"/>
    <x v="161"/>
    <n v="821663"/>
    <x v="0"/>
    <s v="Architecture"/>
    <s v="9781118168479"/>
    <s v=",1,1,3,3,2,2,47,48,49,47,48,49,45,46,46,2,50,50,51,51,52,52,53,53,54,54,55,55,56,56,57,57,58,58,59,59,60,60,61,61"/>
    <n v="20"/>
    <m/>
    <m/>
    <s v="No"/>
    <x v="1"/>
    <m/>
    <m/>
    <s v="128.205.114.91"/>
    <s v="NA2547 -- .S74 2012eb"/>
    <n v="729"/>
    <d v="2012-03-05T00:00:00"/>
  </r>
  <r>
    <x v="4545"/>
    <d v="1899-12-30T00:01:27"/>
    <x v="1183"/>
    <x v="12"/>
    <s v="potsdam"/>
    <x v="696"/>
    <n v="918742"/>
    <x v="15"/>
    <s v="Social Science"/>
    <s v="9781441130525"/>
    <s v=",1,2,3,4,5,6,7,8,9,10,11,12,16,18,13,15,14"/>
    <n v="17"/>
    <m/>
    <m/>
    <s v="No"/>
    <x v="1"/>
    <m/>
    <m/>
    <s v="137.143.104.94"/>
    <s v="HV7436 -- .F58 2012eb"/>
    <n v="363.33097299999997"/>
    <d v="2012-06-01T00:00:00"/>
  </r>
  <r>
    <x v="4546"/>
    <d v="1899-12-30T00:01:33"/>
    <x v="1184"/>
    <x v="12"/>
    <s v="potsdam"/>
    <x v="628"/>
    <n v="1610008"/>
    <x v="1"/>
    <s v="Social Science; Law"/>
    <s v="9781409457206"/>
    <s v=",1,2,3,4,5,6,7,8,9,10,11,12,13,14,15,16,17,18,10,5,4,2,3"/>
    <n v="18"/>
    <m/>
    <m/>
    <s v="No"/>
    <x v="1"/>
    <m/>
    <m/>
    <s v="137.143.104.94"/>
    <s v="K5104 -- .C375 2014eb"/>
    <n v="364.66"/>
    <d v="2014-03-28T00:00:00"/>
  </r>
  <r>
    <x v="4547"/>
    <d v="1899-12-30T00:01:18"/>
    <x v="1185"/>
    <x v="12"/>
    <s v="potsdam"/>
    <x v="1148"/>
    <n v="2009964"/>
    <x v="3"/>
    <s v="Fine Arts"/>
    <s v="9780520962934"/>
    <s v=",1,2,3,4,5,6,7,8,9,10,11,12,13,14,15,16,17,18,19"/>
    <n v="19"/>
    <m/>
    <m/>
    <s v="No"/>
    <x v="3"/>
    <m/>
    <m/>
    <s v="137.143.104.94"/>
    <s v="ML3790 .M384 2015"/>
    <n v="780.23"/>
    <d v="2015-09-01T00:00:00"/>
  </r>
  <r>
    <x v="4548"/>
    <d v="1899-12-30T00:01:05"/>
    <x v="1186"/>
    <x v="12"/>
    <s v="potsdam"/>
    <x v="1149"/>
    <n v="2144890"/>
    <x v="0"/>
    <s v="History; Social Science"/>
    <s v="9780745695853"/>
    <s v=",1,2,3,4,5,6,7,8,9,10,11,12,13,14,15,16,17,18"/>
    <n v="18"/>
    <m/>
    <m/>
    <s v="No"/>
    <x v="1"/>
    <m/>
    <m/>
    <s v="137.143.104.94"/>
    <s v="E441"/>
    <s v="306.3/620973"/>
    <d v="2015-08-06T00:00:00"/>
  </r>
  <r>
    <x v="4549"/>
    <d v="1899-12-30T00:09:00"/>
    <x v="1187"/>
    <x v="12"/>
    <s v="potsdam"/>
    <x v="1150"/>
    <n v="1939110"/>
    <x v="3"/>
    <s v="Social Science"/>
    <s v="9780520959378"/>
    <s v=",20,21,22,23,24,25,26,27,28,29,30,52,53,54,50,51"/>
    <n v="16"/>
    <m/>
    <m/>
    <s v="No"/>
    <x v="2"/>
    <d v="2015-11-03T14:31:00"/>
    <n v="1"/>
    <s v="137.143.104.94"/>
    <s v="HV6878.5 -- .J87 2015eb"/>
    <n v="364.10980000000001"/>
    <d v="2015-06-05T00:00:00"/>
  </r>
  <r>
    <x v="4550"/>
    <d v="1899-12-30T00:05:40"/>
    <x v="1187"/>
    <x v="12"/>
    <s v="potsdam"/>
    <x v="1150"/>
    <n v="1939110"/>
    <x v="3"/>
    <s v="Social Science"/>
    <s v="9780520959378"/>
    <s v=",1,2,3,4,5,6,7,8,9,10,11,13,14,12,15,16,17,18,19"/>
    <n v="19"/>
    <m/>
    <m/>
    <s v="No"/>
    <x v="3"/>
    <m/>
    <m/>
    <s v="137.143.104.94"/>
    <s v="HV6878.5 -- .J87 2015eb"/>
    <n v="364.10980000000001"/>
    <d v="2015-06-05T00:00:00"/>
  </r>
  <r>
    <x v="4551"/>
    <d v="1899-12-30T00:01:47"/>
    <x v="13"/>
    <x v="0"/>
    <s v="Buffalo"/>
    <x v="73"/>
    <n v="1119505"/>
    <x v="0"/>
    <s v="Science: Chemistry; Science"/>
    <s v="9781118355015"/>
    <s v=",1,2,3,197,199,198,195,196,200,201,202,203,204,205,206,207,208,209,228,225,226,231"/>
    <n v="22"/>
    <m/>
    <m/>
    <s v="No"/>
    <x v="0"/>
    <d v="2015-10-29T18:29:10"/>
    <n v="7"/>
    <s v="128.205.114.91"/>
    <s v="QD251.3 -- .S38 2013eb"/>
    <s v="547/.128"/>
    <d v="2013-01-28T00:00:00"/>
  </r>
  <r>
    <x v="4552"/>
    <d v="1899-12-30T00:10:38"/>
    <x v="1188"/>
    <x v="0"/>
    <s v="Buffalo"/>
    <x v="161"/>
    <n v="821663"/>
    <x v="0"/>
    <s v="Architecture"/>
    <s v="9781118168479"/>
    <s v=",1,2,3,180,181,182,178,179,205,206,207,203,204,183,184,185,206,207,203,204,202,192,193,194,190,191,195,196,197,198,199,191,190,206,207,203,240,241,242,238,239,208,209,210,211,241,242,238,239,237,236,235,234,233,232,241"/>
    <n v="42"/>
    <m/>
    <m/>
    <s v="No"/>
    <x v="0"/>
    <d v="2015-11-03T12:21:53"/>
    <n v="7"/>
    <s v="128.205.114.91"/>
    <s v="NA2547 -- .S74 2012eb"/>
    <n v="729"/>
    <d v="2012-03-05T00:00:00"/>
  </r>
  <r>
    <x v="4553"/>
    <d v="1899-12-30T00:00:56"/>
    <x v="1189"/>
    <x v="1"/>
    <s v="brockport"/>
    <x v="1151"/>
    <n v="1895123"/>
    <x v="0"/>
    <s v="Computer Science/IT"/>
    <s v="9781118865996"/>
    <s v=",1,2,3,4,657,658,656,655,651,647,7,8,9,10,6,11,210,211,212,208,209,213"/>
    <n v="22"/>
    <m/>
    <m/>
    <s v="No"/>
    <x v="3"/>
    <m/>
    <m/>
    <s v="137.21.7.121"/>
    <s v="QA76.73.J39 -- .Y675 2015eb"/>
    <n v="5.2762000000000002"/>
    <d v="2015-03-05T00:00:00"/>
  </r>
  <r>
    <x v="4554"/>
    <d v="1899-12-30T02:31:16"/>
    <x v="1190"/>
    <x v="0"/>
    <s v="Buffalo"/>
    <x v="381"/>
    <n v="1138225"/>
    <x v="0"/>
    <s v="Mathematics"/>
    <s v="9781118548356"/>
    <s v=",22,23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337,338,339,344,346,347,348,349,345,350,351,352,353,354,458,459,460,456,457,461,462,463,464,465,466,467,468,469,470,471"/>
    <n v="345"/>
    <m/>
    <m/>
    <s v="No"/>
    <x v="0"/>
    <d v="2015-11-03T14:02:16"/>
    <n v="7"/>
    <s v="128.205.114.91"/>
    <s v="QA278.2 .H67 2013"/>
    <n v="519.53599999999994"/>
    <d v="2013-02-26T00:00:00"/>
  </r>
  <r>
    <x v="4555"/>
    <d v="1899-12-30T00:10:38"/>
    <x v="1190"/>
    <x v="0"/>
    <s v="Buffalo"/>
    <x v="381"/>
    <n v="1138225"/>
    <x v="0"/>
    <s v="Mathematics"/>
    <s v="9781118548356"/>
    <s v=",1,3,2,4,5,6,7,8,9,10,11,12,13,14,15,16,17,18,19,20,21"/>
    <n v="21"/>
    <m/>
    <m/>
    <s v="No"/>
    <x v="1"/>
    <m/>
    <m/>
    <s v="128.205.114.91"/>
    <s v="QA278.2 .H67 2013"/>
    <n v="519.53599999999994"/>
    <d v="2013-02-26T00:00:00"/>
  </r>
  <r>
    <x v="4556"/>
    <d v="1899-12-30T00:00:00"/>
    <x v="1191"/>
    <x v="12"/>
    <s v="potsdam"/>
    <x v="29"/>
    <n v="1935742"/>
    <x v="8"/>
    <s v="Science; Science: Geology"/>
    <s v="9781118473252"/>
    <m/>
    <n v="0"/>
    <m/>
    <m/>
    <s v="Yes"/>
    <x v="0"/>
    <d v="2015-11-03T13:39:30"/>
    <n v="7"/>
    <s v="137.143.104.94"/>
    <s v="GB54.5"/>
    <n v="550"/>
    <d v="2013-03-27T00:00:00"/>
  </r>
  <r>
    <x v="4556"/>
    <d v="1899-12-30T00:00:00"/>
    <x v="1191"/>
    <x v="12"/>
    <s v="potsdam"/>
    <x v="29"/>
    <n v="1935742"/>
    <x v="8"/>
    <s v="Science; Science: Geology"/>
    <s v="9781118473252"/>
    <m/>
    <n v="0"/>
    <m/>
    <m/>
    <s v="No"/>
    <x v="0"/>
    <d v="2015-11-03T13:39:30"/>
    <n v="7"/>
    <s v="137.143.104.94"/>
    <s v="GB54.5"/>
    <n v="550"/>
    <d v="2013-03-27T00:00:00"/>
  </r>
  <r>
    <x v="4557"/>
    <d v="1899-12-30T00:03:27"/>
    <x v="1191"/>
    <x v="12"/>
    <s v="potsdam"/>
    <x v="29"/>
    <n v="1935742"/>
    <x v="8"/>
    <s v="Science; Science: Geology"/>
    <s v="9781118473252"/>
    <s v=",1,2,3"/>
    <n v="3"/>
    <m/>
    <m/>
    <s v="No"/>
    <x v="3"/>
    <m/>
    <m/>
    <s v="137.143.104.94"/>
    <s v="GB54.5"/>
    <n v="550"/>
    <d v="2013-03-27T00:00:00"/>
  </r>
  <r>
    <x v="4558"/>
    <d v="1899-12-30T00:10:03"/>
    <x v="433"/>
    <x v="0"/>
    <s v="Buffalo"/>
    <x v="161"/>
    <n v="821663"/>
    <x v="0"/>
    <s v="Architecture"/>
    <s v="9781118168479"/>
    <s v=",1,2,3,263,264,265,261,262,257,258,259,255,256,254"/>
    <n v="14"/>
    <m/>
    <m/>
    <s v="No"/>
    <x v="0"/>
    <d v="2015-11-03T02:32:02"/>
    <n v="7"/>
    <s v="128.205.114.91"/>
    <s v="NA2547 -- .S74 2012eb"/>
    <n v="729"/>
    <d v="2012-03-05T00:00:00"/>
  </r>
  <r>
    <x v="4559"/>
    <d v="1899-12-30T01:52:00"/>
    <x v="1188"/>
    <x v="0"/>
    <s v="Buffalo"/>
    <x v="161"/>
    <n v="821663"/>
    <x v="0"/>
    <s v="Architecture"/>
    <s v="9781118168479"/>
    <s v=",62,64,63,60,61,59,58,48,49,50,47,51,52,53,54,55,56,57,58,59,63,64,46,63,64,83,85,84,81,82,80,79,68,69,70,66,67,71,85,72,73,74,84,80,85,79,78,77,76,75,111,112,113,109,110,108,107,106,152,153,154,150,151,148,149,116,117,118,114,123,125,124,121,122,128,129,130,126,127,139,140,141,137,138,153,154,149,148,173,174,175,171,172,170,159,160,161,157,158,169,168,167,166,162,163,164,205,206,207,203,204,202,192,179,180"/>
    <n v="100"/>
    <m/>
    <m/>
    <s v="No"/>
    <x v="0"/>
    <d v="2015-11-03T12:21:53"/>
    <n v="7"/>
    <s v="128.205.114.91"/>
    <s v="NA2547 -- .S74 2012eb"/>
    <n v="729"/>
    <d v="2012-03-05T00:00:00"/>
  </r>
  <r>
    <x v="4560"/>
    <d v="1899-12-30T00:12:06"/>
    <x v="1188"/>
    <x v="0"/>
    <s v="Buffalo"/>
    <x v="161"/>
    <n v="821663"/>
    <x v="0"/>
    <s v="Architecture"/>
    <s v="9781118168479"/>
    <s v=",1,2,3,21,22,44,45,46,42,43,41,40,23,24,25,19,20,24,25,45,46,47,19,20,25,26,27"/>
    <n v="20"/>
    <m/>
    <m/>
    <s v="No"/>
    <x v="1"/>
    <m/>
    <m/>
    <s v="128.205.114.91"/>
    <s v="NA2547 -- .S74 2012eb"/>
    <n v="729"/>
    <d v="2012-03-05T00:00:00"/>
  </r>
  <r>
    <x v="4561"/>
    <d v="1899-12-30T00:16:01"/>
    <x v="433"/>
    <x v="0"/>
    <s v="Buffalo"/>
    <x v="161"/>
    <n v="821663"/>
    <x v="0"/>
    <s v="Architecture"/>
    <s v="9781118168479"/>
    <s v=",1,2,3,208,209,210,206,207,214,215,216,212,213,238,235,236"/>
    <n v="16"/>
    <m/>
    <m/>
    <s v="No"/>
    <x v="0"/>
    <d v="2015-11-03T02:32:02"/>
    <n v="7"/>
    <s v="128.205.114.91"/>
    <s v="NA2547 -- .S74 2012eb"/>
    <n v="729"/>
    <d v="2012-03-05T00:00:00"/>
  </r>
  <r>
    <x v="4562"/>
    <d v="1899-12-30T00:16:35"/>
    <x v="433"/>
    <x v="0"/>
    <s v="Buffalo"/>
    <x v="161"/>
    <n v="821663"/>
    <x v="0"/>
    <s v="Architecture"/>
    <s v="9781118168479"/>
    <s v=",1,2,3,181,182,183,179,180,178,178,205,206,207,203,204,185,187,186,184,188,181,186,185,183,188"/>
    <n v="19"/>
    <m/>
    <m/>
    <s v="No"/>
    <x v="0"/>
    <d v="2015-11-03T02:32:02"/>
    <n v="7"/>
    <s v="128.205.114.91"/>
    <s v="NA2547 -- .S74 2012eb"/>
    <n v="729"/>
    <d v="2012-03-05T00:00:00"/>
  </r>
  <r>
    <x v="4563"/>
    <d v="1899-12-30T00:00:15"/>
    <x v="798"/>
    <x v="0"/>
    <s v="Buffalo"/>
    <x v="161"/>
    <n v="821663"/>
    <x v="0"/>
    <s v="Architecture"/>
    <s v="9781118168479"/>
    <s v=",1,3,2,1,2,3"/>
    <n v="3"/>
    <m/>
    <m/>
    <s v="No"/>
    <x v="0"/>
    <d v="2015-11-03T05:53:43"/>
    <n v="7"/>
    <s v="128.205.114.91"/>
    <s v="NA2547 -- .S74 2012eb"/>
    <n v="729"/>
    <d v="2012-03-05T00:00:00"/>
  </r>
  <r>
    <x v="4564"/>
    <d v="1899-12-30T00:20:20"/>
    <x v="798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4565"/>
    <d v="1899-12-30T00:06:39"/>
    <x v="709"/>
    <x v="13"/>
    <s v="buffalostate"/>
    <x v="516"/>
    <n v="1840835"/>
    <x v="0"/>
    <s v="Business/Management; Economics"/>
    <s v="9781118950166"/>
    <s v=",349,346,350,347,263,264,265,262,261,185,186,187,183,184,188,182,121,122,123,119,118,115,114,124,125,126,127,351,352,353"/>
    <n v="30"/>
    <m/>
    <m/>
    <s v="No"/>
    <x v="0"/>
    <d v="2015-11-03T04:55:42"/>
    <n v="7"/>
    <s v="136.183.11.43"/>
    <s v="HD9969.S6 .R384 2014"/>
    <n v="338.10923789999998"/>
    <d v="2014-11-10T00:00:00"/>
  </r>
  <r>
    <x v="4566"/>
    <d v="1899-12-30T00:10:02"/>
    <x v="709"/>
    <x v="13"/>
    <s v="buffalostate"/>
    <x v="516"/>
    <n v="1840835"/>
    <x v="0"/>
    <s v="Business/Management; Economics"/>
    <s v="9781118950166"/>
    <s v=",1,2,3,364,366,365,362,363,146,147,148,144,145,149,150,151,146,144,296,297,298,295,294,299,157,158,159,155,156,146,118,119,120,116,117,348"/>
    <n v="33"/>
    <m/>
    <m/>
    <s v="No"/>
    <x v="1"/>
    <m/>
    <m/>
    <s v="136.183.11.43"/>
    <s v="HD9969.S6 .R384 2014"/>
    <n v="338.10923789999998"/>
    <d v="2014-11-10T00:00:00"/>
  </r>
  <r>
    <x v="4567"/>
    <d v="1899-12-30T00:00:11"/>
    <x v="13"/>
    <x v="0"/>
    <s v="Buffalo"/>
    <x v="517"/>
    <n v="1645679"/>
    <x v="1"/>
    <s v="Social Science; Medicine"/>
    <s v="9781472413079"/>
    <s v=",1,2,3,9,6,4,5"/>
    <n v="7"/>
    <m/>
    <m/>
    <s v="No"/>
    <x v="0"/>
    <d v="2015-11-03T04:36:56"/>
    <n v="7"/>
    <s v="128.205.114.91"/>
    <s v="RC569.5.B65 -- K97 2014eb"/>
    <s v="306.4/613"/>
    <d v="2014-03-28T00:00:00"/>
  </r>
  <r>
    <x v="4568"/>
    <d v="1899-12-30T00:00:00"/>
    <x v="370"/>
    <x v="2"/>
    <s v="hilbert"/>
    <x v="935"/>
    <n v="1718748"/>
    <x v="0"/>
    <s v="Mathematics"/>
    <s v="9781118791080"/>
    <m/>
    <n v="0"/>
    <m/>
    <m/>
    <s v="Yes"/>
    <x v="0"/>
    <d v="2015-11-03T04:31:56"/>
    <n v="7"/>
    <s v="72.45.217.43"/>
    <s v="QA303 -- .R936 2014eb"/>
    <n v="515"/>
    <d v="2014-06-23T00:00:00"/>
  </r>
  <r>
    <x v="4569"/>
    <d v="1899-12-30T00:00:04"/>
    <x v="370"/>
    <x v="2"/>
    <s v="hilbert"/>
    <x v="935"/>
    <n v="1718748"/>
    <x v="0"/>
    <s v="Mathematics"/>
    <s v="9781118791080"/>
    <s v=",1,2,3"/>
    <n v="3"/>
    <m/>
    <m/>
    <s v="No"/>
    <x v="0"/>
    <d v="2015-11-03T04:31:56"/>
    <n v="7"/>
    <s v="72.45.217.43"/>
    <s v="QA303 -- .R936 2014eb"/>
    <n v="515"/>
    <d v="2014-06-23T00:00:00"/>
  </r>
  <r>
    <x v="4570"/>
    <d v="1899-12-30T00:24:08"/>
    <x v="13"/>
    <x v="0"/>
    <s v="Buffalo"/>
    <x v="517"/>
    <n v="1645679"/>
    <x v="1"/>
    <s v="Social Science; Medicine"/>
    <s v="9781472413079"/>
    <s v=",6,12,1,8,42,72,72,73,74,70,71,54,9,11,16,17,18,14,15,19,20,22,23,24,21,25,26,12,13,10"/>
    <n v="28"/>
    <m/>
    <m/>
    <s v="No"/>
    <x v="0"/>
    <d v="2015-11-03T04:36:56"/>
    <n v="7"/>
    <s v="128.205.114.91"/>
    <s v="RC569.5.B65 -- K97 2014eb"/>
    <s v="306.4/613"/>
    <d v="2014-03-28T00:00:00"/>
  </r>
  <r>
    <x v="4571"/>
    <d v="1899-12-30T00:00:00"/>
    <x v="370"/>
    <x v="2"/>
    <s v="hilbert"/>
    <x v="935"/>
    <n v="1718748"/>
    <x v="0"/>
    <s v="Mathematics"/>
    <s v="9781118791080"/>
    <m/>
    <n v="0"/>
    <m/>
    <m/>
    <s v="Yes"/>
    <x v="0"/>
    <d v="2015-11-03T04:31:56"/>
    <n v="7"/>
    <s v="72.45.217.43"/>
    <s v="QA303 -- .R936 2014eb"/>
    <n v="515"/>
    <d v="2014-06-23T00:00:00"/>
  </r>
  <r>
    <x v="4572"/>
    <d v="1899-12-30T00:02:26"/>
    <x v="370"/>
    <x v="2"/>
    <s v="hilbert"/>
    <x v="935"/>
    <n v="1718748"/>
    <x v="0"/>
    <s v="Mathematics"/>
    <s v="9781118791080"/>
    <s v=",5,1,6,7,3,4,8,9,2,10,11,12,13,14,15,16"/>
    <n v="16"/>
    <m/>
    <m/>
    <s v="Yes"/>
    <x v="0"/>
    <d v="2015-11-03T04:31:56"/>
    <n v="7"/>
    <s v="72.45.217.43"/>
    <s v="QA303 -- .R936 2014eb"/>
    <n v="515"/>
    <d v="2014-06-23T00:00:00"/>
  </r>
  <r>
    <x v="4572"/>
    <d v="1899-12-30T00:00:00"/>
    <x v="370"/>
    <x v="2"/>
    <s v="hilbert"/>
    <x v="935"/>
    <n v="1718748"/>
    <x v="0"/>
    <s v="Mathematics"/>
    <s v="9781118791080"/>
    <m/>
    <n v="0"/>
    <m/>
    <m/>
    <s v="No"/>
    <x v="0"/>
    <d v="2015-11-03T04:31:56"/>
    <n v="7"/>
    <s v="72.45.217.43"/>
    <s v="QA303 -- .R936 2014eb"/>
    <n v="515"/>
    <d v="2014-06-23T00:00:00"/>
  </r>
  <r>
    <x v="4573"/>
    <d v="1899-12-30T01:55:04"/>
    <x v="13"/>
    <x v="0"/>
    <s v="Buffalo"/>
    <x v="73"/>
    <n v="1119505"/>
    <x v="0"/>
    <s v="Science: Chemistry; Science"/>
    <s v="9781118355015"/>
    <s v=",1,2,3,191,192,193,189,190,2,194,195,196,197,1,197,198,199,195,196,186,187,188,2,184,185,189,190,191,192,193,194,192,191,190,198,199,188,189,190,186,187,191,185,191,192,193,190,194,195,196,197,198"/>
    <n v="19"/>
    <m/>
    <m/>
    <s v="No"/>
    <x v="0"/>
    <d v="2015-10-29T18:29:10"/>
    <n v="7"/>
    <s v="128.205.114.91"/>
    <s v="QD251.3 -- .S38 2013eb"/>
    <s v="547/.128"/>
    <d v="2013-01-28T00:00:00"/>
  </r>
  <r>
    <x v="4574"/>
    <d v="1899-12-30T00:01:45"/>
    <x v="1192"/>
    <x v="15"/>
    <s v="morrisville"/>
    <x v="1152"/>
    <n v="1747546"/>
    <x v="3"/>
    <s v="Social Science; Military Science"/>
    <s v="9780520959675"/>
    <s v=",1,2,3,4,5,6,7,8,9,10,11,12,13,14,15,16,17,18,19,20,21,22"/>
    <n v="22"/>
    <m/>
    <m/>
    <s v="No"/>
    <x v="3"/>
    <m/>
    <m/>
    <s v="136.204.32.67"/>
    <s v="V6602 -- .C376 2015eb"/>
    <s v="362.83/9812083"/>
    <d v="2015-01-23T00:00:00"/>
  </r>
  <r>
    <x v="4575"/>
    <d v="1899-12-30T00:04:25"/>
    <x v="370"/>
    <x v="2"/>
    <s v="hilbert"/>
    <x v="935"/>
    <n v="1718748"/>
    <x v="0"/>
    <s v="Mathematics"/>
    <s v="9781118791080"/>
    <s v=",1,2,3,4,5,1,5,6,7,4,3,14,8,9,10,11,12,2,13,15,16,17,18,19,20,21,22,23,24,25,26,27,28,29,30,31,387,385,386"/>
    <n v="34"/>
    <m/>
    <m/>
    <s v="No"/>
    <x v="1"/>
    <m/>
    <m/>
    <s v="72.45.217.43"/>
    <s v="QA303 -- .R936 2014eb"/>
    <n v="515"/>
    <d v="2014-06-23T00:00:00"/>
  </r>
  <r>
    <x v="4576"/>
    <d v="1899-12-30T00:21:17"/>
    <x v="13"/>
    <x v="0"/>
    <s v="Buffalo"/>
    <x v="517"/>
    <n v="1645679"/>
    <x v="1"/>
    <s v="Social Science; Medicine"/>
    <s v="9781472413079"/>
    <s v=",1,2,3,4,5,6,7,8,3"/>
    <n v="8"/>
    <m/>
    <m/>
    <s v="No"/>
    <x v="1"/>
    <m/>
    <m/>
    <s v="128.205.114.91"/>
    <s v="RC569.5.B65 -- K97 2014eb"/>
    <s v="306.4/613"/>
    <d v="2014-03-28T00:00:00"/>
  </r>
  <r>
    <x v="4577"/>
    <d v="1899-12-30T00:27:31"/>
    <x v="1193"/>
    <x v="0"/>
    <s v="Buffalo"/>
    <x v="844"/>
    <n v="1332527"/>
    <x v="0"/>
    <s v="Business/Management"/>
    <s v="9781118720882"/>
    <s v=",5,13,8,14,9,10,11,7,12,15,16,17,18,19,20,21,22,23,24,25,26,27,28,29,30,31,32,33,34,35,36,37,38,39,40,41,42,43,44,51,52,67,80,81,79,78,77,76,75,74,73,72,71,70,69,68,65,66,63,64,61,62,60,59,57,58,55,56,54,53,50"/>
    <n v="71"/>
    <m/>
    <m/>
    <s v="Yes"/>
    <x v="0"/>
    <d v="2015-11-03T04:10:45"/>
    <n v="7"/>
    <s v="128.205.114.91"/>
    <s v="HB615 -- .A95 2013eb"/>
    <n v="658.11"/>
    <d v="2013-07-31T00:00:00"/>
  </r>
  <r>
    <x v="4577"/>
    <d v="1899-12-30T00:00:00"/>
    <x v="1193"/>
    <x v="0"/>
    <s v="Buffalo"/>
    <x v="844"/>
    <n v="1332527"/>
    <x v="0"/>
    <s v="Business/Management"/>
    <s v="9781118720882"/>
    <m/>
    <n v="0"/>
    <m/>
    <m/>
    <s v="No"/>
    <x v="0"/>
    <d v="2015-11-03T04:10:45"/>
    <n v="7"/>
    <s v="128.205.114.91"/>
    <s v="HB615 -- .A95 2013eb"/>
    <n v="658.11"/>
    <d v="2013-07-31T00:00:00"/>
  </r>
  <r>
    <x v="4578"/>
    <d v="1899-12-30T00:00:19"/>
    <x v="1193"/>
    <x v="0"/>
    <s v="Buffalo"/>
    <x v="844"/>
    <n v="1332527"/>
    <x v="0"/>
    <s v="Business/Management"/>
    <s v="9781118720882"/>
    <s v=",1,2,3"/>
    <n v="3"/>
    <m/>
    <m/>
    <s v="No"/>
    <x v="1"/>
    <m/>
    <m/>
    <s v="128.205.114.91"/>
    <s v="HB615 -- .A95 2013eb"/>
    <n v="658.11"/>
    <d v="2013-07-31T00:00:00"/>
  </r>
  <r>
    <x v="4579"/>
    <d v="1899-12-30T00:20:37"/>
    <x v="955"/>
    <x v="1"/>
    <s v="brockport"/>
    <x v="151"/>
    <n v="968030"/>
    <x v="0"/>
    <s v="Psychology"/>
    <s v="9781118285138"/>
    <s v=",497,479,499,500,501,502,498,503,504"/>
    <n v="9"/>
    <m/>
    <m/>
    <s v="No"/>
    <x v="0"/>
    <d v="2015-11-03T03:39:18"/>
    <n v="7"/>
    <s v="137.21.7.121"/>
    <s v="BF637.C6 -- S85 2013eb"/>
    <n v="158.30000000000001"/>
    <d v="2012-07-10T00:00:00"/>
  </r>
  <r>
    <x v="4580"/>
    <d v="1899-12-30T00:00:21"/>
    <x v="1194"/>
    <x v="1"/>
    <s v="brockport"/>
    <x v="1153"/>
    <n v="1611704"/>
    <x v="5"/>
    <s v="Medicine"/>
    <s v="9780814777077"/>
    <s v=",1,28,29,30,26,27,31,17,7,2,3,8,9,10,6"/>
    <n v="15"/>
    <m/>
    <m/>
    <s v="No"/>
    <x v="3"/>
    <m/>
    <m/>
    <s v="137.21.7.121"/>
    <s v="RC555 -- .G54 2014eb"/>
    <s v="616.85/82"/>
    <d v="2014-03-07T00:00:00"/>
  </r>
  <r>
    <x v="4581"/>
    <d v="1899-12-30T00:11:04"/>
    <x v="955"/>
    <x v="1"/>
    <s v="brockport"/>
    <x v="151"/>
    <n v="968030"/>
    <x v="0"/>
    <s v="Psychology"/>
    <s v="9781118285138"/>
    <s v=",1,2,3,9,10,11,7,8,493,494,495,491,492,496"/>
    <n v="14"/>
    <m/>
    <m/>
    <s v="No"/>
    <x v="1"/>
    <m/>
    <m/>
    <s v="137.21.7.121"/>
    <s v="BF637.C6 -- S85 2013eb"/>
    <n v="158.30000000000001"/>
    <d v="2012-07-10T00:00:00"/>
  </r>
  <r>
    <x v="4582"/>
    <d v="1899-12-30T00:34:35"/>
    <x v="1103"/>
    <x v="9"/>
    <s v="trocaire"/>
    <x v="1057"/>
    <n v="332602"/>
    <x v="0"/>
    <s v="Education"/>
    <s v="9780631227885"/>
    <s v=",1,2,3,19,20,21,17,18,22,23,24,25,26,27,28,30,29,31,32"/>
    <n v="19"/>
    <m/>
    <m/>
    <s v="No"/>
    <x v="0"/>
    <d v="2015-11-02T20:50:12"/>
    <n v="7"/>
    <s v="173.225.62.67"/>
    <s v="LB1124 -- .O48 1993eb"/>
    <s v="371.5/8"/>
    <d v="2013-05-30T00:00:00"/>
  </r>
  <r>
    <x v="4583"/>
    <d v="1899-12-30T01:35:51"/>
    <x v="433"/>
    <x v="0"/>
    <s v="Buffalo"/>
    <x v="161"/>
    <n v="821663"/>
    <x v="0"/>
    <s v="Architecture"/>
    <s v="9781118168479"/>
    <s v=",392,393,394,390,391,65,68,70,72,73,74,71,83,84,85,81,82,79,80,62,60,61,44,45,46,42,43,16,18,17,14,15,13,23,24,25,21,22,30,31,32,28,29,33,27,26,110,111,112,109,108"/>
    <n v="51"/>
    <m/>
    <m/>
    <s v="Yes"/>
    <x v="0"/>
    <d v="2015-11-03T02:32:02"/>
    <n v="7"/>
    <s v="128.205.114.91"/>
    <s v="NA2547 -- .S74 2012eb"/>
    <n v="729"/>
    <d v="2012-03-05T00:00:00"/>
  </r>
  <r>
    <x v="4583"/>
    <d v="1899-12-30T00:00:00"/>
    <x v="433"/>
    <x v="0"/>
    <s v="Buffalo"/>
    <x v="161"/>
    <n v="821663"/>
    <x v="0"/>
    <s v="Architecture"/>
    <s v="9781118168479"/>
    <m/>
    <n v="0"/>
    <m/>
    <m/>
    <s v="No"/>
    <x v="0"/>
    <d v="2015-11-03T02:32:02"/>
    <n v="7"/>
    <s v="128.205.114.91"/>
    <s v="NA2547 -- .S74 2012eb"/>
    <n v="729"/>
    <d v="2012-03-05T00:00:00"/>
  </r>
  <r>
    <x v="4584"/>
    <d v="1899-12-30T00:01:20"/>
    <x v="433"/>
    <x v="0"/>
    <s v="Buffalo"/>
    <x v="161"/>
    <n v="821663"/>
    <x v="0"/>
    <s v="Architecture"/>
    <s v="9781118168479"/>
    <s v=",1,2,3,65,66,67,63,64,68,69,66"/>
    <n v="10"/>
    <m/>
    <m/>
    <s v="No"/>
    <x v="1"/>
    <m/>
    <m/>
    <s v="128.205.114.91"/>
    <s v="NA2547 -- .S74 2012eb"/>
    <n v="729"/>
    <d v="2012-03-05T00:00:00"/>
  </r>
  <r>
    <x v="4585"/>
    <d v="1899-12-30T00:00:22"/>
    <x v="1195"/>
    <x v="16"/>
    <s v="monroecc"/>
    <x v="827"/>
    <n v="1969430"/>
    <x v="1"/>
    <s v="Social Science"/>
    <s v="9781472443038"/>
    <s v=",1,3,2,4,5,6,7,8"/>
    <n v="8"/>
    <m/>
    <m/>
    <s v="No"/>
    <x v="3"/>
    <m/>
    <m/>
    <s v="150.160.200.114"/>
    <s v="HQ281 -- .S65 2015eb"/>
    <s v="306.3/6209593"/>
    <d v="2015-03-28T00:00:00"/>
  </r>
  <r>
    <x v="4586"/>
    <d v="1899-12-30T00:04:58"/>
    <x v="1046"/>
    <x v="12"/>
    <s v="potsdam"/>
    <x v="988"/>
    <n v="1983497"/>
    <x v="0"/>
    <s v="Social Science"/>
    <s v="9780745689395"/>
    <s v=",1,2,3,217,218,219,216,215,220,221,222"/>
    <n v="11"/>
    <m/>
    <m/>
    <s v="No"/>
    <x v="0"/>
    <d v="2015-10-28T22:08:20"/>
    <n v="7"/>
    <s v="137.143.104.94"/>
    <s v="GT525"/>
    <n v="391.6"/>
    <d v="2015-03-03T00:00:00"/>
  </r>
  <r>
    <x v="4587"/>
    <d v="1899-12-30T00:00:07"/>
    <x v="828"/>
    <x v="9"/>
    <s v="trocaire"/>
    <x v="1134"/>
    <n v="759923"/>
    <x v="4"/>
    <s v="Medicine"/>
    <s v="9781609186418"/>
    <s v=",1,2,3"/>
    <n v="3"/>
    <m/>
    <m/>
    <s v="No"/>
    <x v="1"/>
    <m/>
    <m/>
    <s v="173.225.62.67"/>
    <s v="RJ505.C63 -- C45 2012eb"/>
    <n v="618.9289"/>
    <d v="2014-07-04T00:00:00"/>
  </r>
  <r>
    <x v="4588"/>
    <d v="1899-12-30T00:00:05"/>
    <x v="1196"/>
    <x v="0"/>
    <s v="Buffalo"/>
    <x v="1154"/>
    <n v="1318682"/>
    <x v="0"/>
    <s v="Engineering: General; Engineering; Engineering: Mechanical"/>
    <s v="9781118549483"/>
    <s v=",1,2,3"/>
    <n v="3"/>
    <m/>
    <m/>
    <s v="No"/>
    <x v="0"/>
    <d v="2015-10-30T18:15:38"/>
    <n v="7"/>
    <s v="128.205.114.91"/>
    <s v="TJ223.P76 -- B58 2013eb"/>
    <n v="629.89"/>
    <d v="2013-07-16T00:00:00"/>
  </r>
  <r>
    <x v="4589"/>
    <d v="1899-12-30T00:00:38"/>
    <x v="1197"/>
    <x v="1"/>
    <s v="brockport"/>
    <x v="1155"/>
    <n v="3038700"/>
    <x v="11"/>
    <s v="Fine Arts; Sport &amp; Recreation"/>
    <s v="9780226186306"/>
    <s v=",1,2,3,165"/>
    <n v="4"/>
    <m/>
    <m/>
    <s v="No"/>
    <x v="3"/>
    <m/>
    <m/>
    <s v="137.21.7.121"/>
    <s v="GV1785.B3475 -- .T46 2014eb"/>
    <s v="792.802/8092"/>
    <d v="2014-10-01T00:00:00"/>
  </r>
  <r>
    <x v="4590"/>
    <d v="1899-12-30T00:02:35"/>
    <x v="1198"/>
    <x v="7"/>
    <s v="oneonta"/>
    <x v="1156"/>
    <n v="2039095"/>
    <x v="1"/>
    <s v="Law"/>
    <s v="9781472443007"/>
    <s v=",1,2,3,4,5,6,7,39,41,40,37,38,35,36,8,69,70,71,67,98,99,100,96,97"/>
    <n v="24"/>
    <m/>
    <m/>
    <s v="No"/>
    <x v="3"/>
    <m/>
    <m/>
    <s v="137.141.13.2"/>
    <s v="KZ3881.S46 C43 2015"/>
    <s v="341.4''2"/>
    <d v="2015-06-28T00:00:00"/>
  </r>
  <r>
    <x v="4591"/>
    <d v="1899-12-30T01:01:36"/>
    <x v="1196"/>
    <x v="0"/>
    <s v="Buffalo"/>
    <x v="1154"/>
    <n v="1318682"/>
    <x v="0"/>
    <s v="Engineering: General; Engineering; Engineering: Mechanical"/>
    <s v="9781118549483"/>
    <s v=",1,69,70,71,67,68,72,2,73,74,75,76,77,78,79,80,81,82,83,84,85,86,87,88,89,90,91,92,93,94,95,101,102,99,98,100,97,96,97,97,103,104,105,106,107,108,109,110,111,112,113,114,115,116,117,118,121,122,123,124,120,119,125,126,128,129,130,131,127"/>
    <n v="67"/>
    <m/>
    <m/>
    <s v="No"/>
    <x v="0"/>
    <d v="2015-10-30T18:15:38"/>
    <n v="7"/>
    <s v="128.205.114.91"/>
    <s v="TJ223.P76 -- B58 2013eb"/>
    <n v="629.89"/>
    <d v="2013-07-16T00:00:00"/>
  </r>
  <r>
    <x v="4592"/>
    <d v="1899-12-30T00:00:00"/>
    <x v="1080"/>
    <x v="16"/>
    <s v="monroecc"/>
    <x v="747"/>
    <n v="1378902"/>
    <x v="11"/>
    <s v="Education"/>
    <s v="9780226066554"/>
    <m/>
    <n v="0"/>
    <m/>
    <m/>
    <s v="Yes"/>
    <x v="2"/>
    <d v="2015-11-03T00:50:28"/>
    <n v="1"/>
    <s v="150.160.200.114"/>
    <s v="LC5133"/>
    <s v="370.9173/209747"/>
    <d v="2013-10-04T00:00:00"/>
  </r>
  <r>
    <x v="4592"/>
    <d v="1899-12-30T00:00:00"/>
    <x v="1080"/>
    <x v="16"/>
    <s v="monroecc"/>
    <x v="747"/>
    <n v="1378902"/>
    <x v="11"/>
    <s v="Education"/>
    <s v="9780226066554"/>
    <m/>
    <n v="0"/>
    <m/>
    <m/>
    <s v="No"/>
    <x v="2"/>
    <d v="2015-11-03T00:50:28"/>
    <n v="1"/>
    <s v="150.160.200.114"/>
    <s v="LC5133"/>
    <s v="370.9173/209747"/>
    <d v="2013-10-04T00:00:00"/>
  </r>
  <r>
    <x v="4593"/>
    <d v="1899-12-30T00:05:59"/>
    <x v="1080"/>
    <x v="16"/>
    <s v="monroecc"/>
    <x v="747"/>
    <n v="1378902"/>
    <x v="11"/>
    <s v="Education"/>
    <s v="9780226066554"/>
    <s v=",1,2,3,6,16,17,10,4,5,7,8,9,11,12,13,14,15,18,19,20,21,22,23,24,25,26,27"/>
    <n v="27"/>
    <m/>
    <m/>
    <s v="No"/>
    <x v="3"/>
    <m/>
    <m/>
    <s v="150.160.200.114"/>
    <s v="LC5133"/>
    <s v="370.9173/209747"/>
    <d v="2013-10-04T00:00:00"/>
  </r>
  <r>
    <x v="4594"/>
    <d v="1899-12-30T00:00:37"/>
    <x v="156"/>
    <x v="0"/>
    <s v="Buffalo"/>
    <x v="1157"/>
    <n v="2065161"/>
    <x v="11"/>
    <s v="Philosophy"/>
    <s v="9780226233741"/>
    <s v=",4,5,6"/>
    <n v="3"/>
    <m/>
    <m/>
    <s v="No"/>
    <x v="2"/>
    <d v="2015-11-03T00:40:51"/>
    <n v="1"/>
    <s v="128.205.114.91"/>
    <s v="B802"/>
    <n v="117"/>
    <d v="2015-05-29T00:00:00"/>
  </r>
  <r>
    <x v="4595"/>
    <d v="1899-12-30T00:00:16"/>
    <x v="156"/>
    <x v="0"/>
    <s v="Buffalo"/>
    <x v="1157"/>
    <n v="2065161"/>
    <x v="11"/>
    <s v="Philosophy"/>
    <s v="9780226233741"/>
    <s v=",1,2,3"/>
    <n v="3"/>
    <m/>
    <m/>
    <s v="No"/>
    <x v="3"/>
    <m/>
    <m/>
    <s v="128.205.114.91"/>
    <s v="B802"/>
    <n v="117"/>
    <d v="2015-05-29T00:00:00"/>
  </r>
  <r>
    <x v="4596"/>
    <d v="1899-12-30T00:02:33"/>
    <x v="13"/>
    <x v="0"/>
    <s v="Buffalo"/>
    <x v="161"/>
    <n v="821663"/>
    <x v="0"/>
    <s v="Architecture"/>
    <s v="9781118168479"/>
    <s v=",1,2,3,47,48,49,45,46,50,92,93,94,90,91"/>
    <n v="14"/>
    <m/>
    <m/>
    <s v="No"/>
    <x v="1"/>
    <m/>
    <m/>
    <s v="128.205.114.91"/>
    <s v="NA2547 -- .S74 2012eb"/>
    <n v="729"/>
    <d v="2012-03-05T00:00:00"/>
  </r>
  <r>
    <x v="4597"/>
    <d v="1899-12-30T00:38:16"/>
    <x v="828"/>
    <x v="9"/>
    <s v="trocaire"/>
    <x v="79"/>
    <n v="1757960"/>
    <x v="0"/>
    <s v="Medicine"/>
    <s v="9781118780770"/>
    <s v=",1,2,3,1,2,3,1,2,3,31,32,33,29,30,34,35,36,37,38,39,42,43,41,40,15,16,17,13,14"/>
    <n v="23"/>
    <m/>
    <m/>
    <s v="No"/>
    <x v="0"/>
    <d v="2015-11-02T02:01:33"/>
    <n v="7"/>
    <s v="173.225.62.67"/>
    <s v="RC537 -- .A236 2014eb"/>
    <s v="616.85/27"/>
    <d v="2014-07-30T00:00:00"/>
  </r>
  <r>
    <x v="4598"/>
    <d v="1899-12-30T00:01:13"/>
    <x v="1196"/>
    <x v="0"/>
    <s v="Buffalo"/>
    <x v="1154"/>
    <n v="1318682"/>
    <x v="0"/>
    <s v="Engineering: General; Engineering; Engineering: Mechanical"/>
    <s v="9781118549483"/>
    <s v=",1,2,3,69,70,71,67,68,72,73,74,75,76"/>
    <n v="13"/>
    <m/>
    <m/>
    <s v="No"/>
    <x v="0"/>
    <d v="2015-10-30T18:15:38"/>
    <n v="7"/>
    <s v="128.205.114.91"/>
    <s v="TJ223.P76 -- B58 2013eb"/>
    <n v="629.89"/>
    <d v="2013-07-16T00:00:00"/>
  </r>
  <r>
    <x v="4599"/>
    <d v="1899-12-30T00:00:16"/>
    <x v="13"/>
    <x v="0"/>
    <s v="Buffalo"/>
    <x v="1158"/>
    <n v="1969404"/>
    <x v="1"/>
    <s v="History; Military Science"/>
    <s v="9781472419590"/>
    <s v=",1,2,3,1"/>
    <n v="3"/>
    <m/>
    <m/>
    <s v="No"/>
    <x v="3"/>
    <m/>
    <m/>
    <s v="128.205.114.91"/>
    <s v="D128 -- .M4335 2015eb"/>
    <s v="355.02094/0902"/>
    <d v="2015-03-28T00:00:00"/>
  </r>
  <r>
    <x v="4600"/>
    <d v="1899-12-30T00:00:51"/>
    <x v="808"/>
    <x v="9"/>
    <s v="trocaire"/>
    <x v="834"/>
    <n v="538048"/>
    <x v="11"/>
    <s v="Law"/>
    <s v="9780226493671"/>
    <s v=",1,3,2,14,15,16,12,13,17"/>
    <n v="9"/>
    <m/>
    <m/>
    <s v="No"/>
    <x v="2"/>
    <d v="2015-11-02T18:38:18"/>
    <n v="1"/>
    <s v="173.225.62.67"/>
    <s v="KF3941 -- .L68 2010eb"/>
    <s v="344.7305/33"/>
    <d v="2013-01-29T00:00:00"/>
  </r>
  <r>
    <x v="4601"/>
    <d v="1899-12-30T00:02:22"/>
    <x v="1086"/>
    <x v="9"/>
    <s v="trocaire"/>
    <x v="1159"/>
    <n v="1895843"/>
    <x v="0"/>
    <s v="Medicine"/>
    <s v="9781118972953"/>
    <s v=",10,11,112,113,114,110,111,115"/>
    <n v="8"/>
    <m/>
    <m/>
    <s v="No"/>
    <x v="0"/>
    <d v="2015-11-02T23:04:03"/>
    <n v="7"/>
    <s v="173.225.62.67"/>
    <s v="RC488.5 .S384 2015"/>
    <n v="616.89156200000002"/>
    <d v="2015-05-20T00:00:00"/>
  </r>
  <r>
    <x v="4602"/>
    <d v="1899-12-30T00:17:08"/>
    <x v="491"/>
    <x v="8"/>
    <s v="niagaracc"/>
    <x v="16"/>
    <n v="877717"/>
    <x v="6"/>
    <s v="Fine Arts"/>
    <s v="9781438139265"/>
    <s v=",1,2,3,5,11,12,20,73,117,118,119,115,116,79,80,81,77,78,82,83,76,84,85,86,87,88,89,90,91,92,93,94,95,96,97,98,100,101,102,103,104,105,106,107,108,109,110,111,99,113,114,68,6,7,8,13,14,10,15,16,17,18,19,21,22,23,24,25,26,27,28,29,30"/>
    <n v="73"/>
    <m/>
    <s v=",79,80,81,82,83,84,85,86,87,88,89,90,91,93,94,95,96,97,98,99,101,102,103,104,105,106,107,108"/>
    <s v="No"/>
    <x v="0"/>
    <d v="2015-11-02T22:03:58"/>
    <n v="7"/>
    <s v="132.174.254.37"/>
    <s v="PN1998.3.M577 -- L46 2012eb"/>
    <s v="791.4302/33092; B"/>
    <d v="2012-01-01T00:00:00"/>
  </r>
  <r>
    <x v="4603"/>
    <d v="1899-12-30T00:12:32"/>
    <x v="791"/>
    <x v="6"/>
    <s v="sjfc"/>
    <x v="822"/>
    <n v="1034770"/>
    <x v="4"/>
    <s v="Medicine"/>
    <s v="9781462507566"/>
    <s v=",1,2,3,30,31,32,28,33,29,34,35,36,37,41,42,43,39,40,44,45,46,8,9,10,6,7,403,404,405,401,402,406,407,408,409,410,411,412"/>
    <n v="38"/>
    <m/>
    <m/>
    <s v="No"/>
    <x v="0"/>
    <d v="2015-11-01T14:30:07"/>
    <n v="7"/>
    <s v="149.69.254.57"/>
    <s v="RC533 -- .M56 2012eb"/>
    <n v="616.85839999999996"/>
    <d v="2013-10-20T00:00:00"/>
  </r>
  <r>
    <x v="4604"/>
    <d v="1899-12-30T00:00:31"/>
    <x v="491"/>
    <x v="8"/>
    <s v="niagaracc"/>
    <x v="16"/>
    <n v="877717"/>
    <x v="6"/>
    <s v="Fine Arts"/>
    <s v="9781438139265"/>
    <s v=",1,2,3,25,106,107,108,104,105,91,92,93,89,90,94,95,96,97,99,103,110,112,113,114,115,111,109"/>
    <n v="27"/>
    <m/>
    <m/>
    <s v="No"/>
    <x v="0"/>
    <d v="2015-11-02T22:03:58"/>
    <n v="7"/>
    <s v="132.174.254.37"/>
    <s v="PN1998.3.M577 -- L46 2012eb"/>
    <s v="791.4302/33092; B"/>
    <d v="2012-01-01T00:00:00"/>
  </r>
  <r>
    <x v="4605"/>
    <d v="1899-12-30T00:00:53"/>
    <x v="491"/>
    <x v="8"/>
    <s v="niagaracc"/>
    <x v="16"/>
    <n v="877717"/>
    <x v="6"/>
    <s v="Fine Arts"/>
    <s v="9781438139265"/>
    <s v=",1,2,3,4,32,118,119,120,121,117,111,109,108,103,99,96,97,98,100,101,102,104,105,106,107,110"/>
    <n v="26"/>
    <m/>
    <m/>
    <s v="No"/>
    <x v="0"/>
    <d v="2015-11-02T22:03:58"/>
    <n v="7"/>
    <s v="132.174.254.37"/>
    <s v="PN1998.3.M577 -- L46 2012eb"/>
    <s v="791.4302/33092; B"/>
    <d v="2012-01-01T00:00:00"/>
  </r>
  <r>
    <x v="4606"/>
    <d v="1899-12-30T00:06:24"/>
    <x v="1086"/>
    <x v="9"/>
    <s v="trocaire"/>
    <x v="1159"/>
    <n v="1895843"/>
    <x v="0"/>
    <s v="Medicine"/>
    <s v="9781118972953"/>
    <s v=",1,2,3,4,5,6,7,8,9"/>
    <n v="9"/>
    <m/>
    <m/>
    <s v="No"/>
    <x v="3"/>
    <m/>
    <m/>
    <s v="173.225.62.67"/>
    <s v="RC488.5 .S384 2015"/>
    <n v="616.89156200000002"/>
    <d v="2015-05-20T00:00:00"/>
  </r>
  <r>
    <x v="4607"/>
    <d v="1899-12-30T00:00:03"/>
    <x v="491"/>
    <x v="8"/>
    <s v="niagaracc"/>
    <x v="16"/>
    <n v="877717"/>
    <x v="6"/>
    <s v="Fine Arts"/>
    <s v="9781438139265"/>
    <s v=",1,2,3"/>
    <n v="3"/>
    <m/>
    <m/>
    <s v="No"/>
    <x v="0"/>
    <d v="2015-11-02T22:03:58"/>
    <n v="7"/>
    <s v="132.174.254.37"/>
    <s v="PN1998.3.M577 -- L46 2012eb"/>
    <s v="791.4302/33092; B"/>
    <d v="2012-01-01T00:00:00"/>
  </r>
  <r>
    <x v="4608"/>
    <d v="1899-12-30T00:01:56"/>
    <x v="1086"/>
    <x v="9"/>
    <s v="trocaire"/>
    <x v="1160"/>
    <n v="1527427"/>
    <x v="0"/>
    <s v="Social Science; Sport &amp; Recreation"/>
    <s v="9780745671901"/>
    <s v=",1,2,3,4,5,6,7,8,9,10,11,12,13,14,15"/>
    <n v="15"/>
    <m/>
    <m/>
    <s v="No"/>
    <x v="3"/>
    <m/>
    <m/>
    <s v="173.225.62.67"/>
    <s v="GV1469.17.S63 -- K57 2013eb"/>
    <n v="306.48700000000002"/>
    <d v="2013-10-30T00:00:00"/>
  </r>
  <r>
    <x v="4609"/>
    <d v="1899-12-30T00:09:07"/>
    <x v="491"/>
    <x v="8"/>
    <s v="niagaracc"/>
    <x v="16"/>
    <n v="877717"/>
    <x v="6"/>
    <s v="Fine Arts"/>
    <s v="9781438139265"/>
    <s v=",1,2,3,4,5,7,10,51,87,88,89,90,91,92,93,94,95,96,97,98,99,100,101,102,103,104,105,106,107,108,110,112,111,113,109,114,115,116,117,118,111,110,109,108,107,106,105,104,103,102,101,100,99,98,97,96,95,94,93,92,91,90,89,88,87,86,85,84,83,82,81,80,79,78,77,76,75,74,73,72,71,70,69,68,67,66,65,64,63,62,61,60,59,58,57,56,55,54,53,52,51,50,49,48,47,46,45,44,43,42,41,40,39,38,37,36,35,34,33,32,31,30,29,28,27,26,25,24,23,22,21,20,19,18,17,16,15,14,13,12"/>
    <n v="114"/>
    <m/>
    <m/>
    <s v="No"/>
    <x v="0"/>
    <d v="2015-11-02T22:03:58"/>
    <n v="7"/>
    <s v="132.174.254.37"/>
    <s v="PN1998.3.M577 -- L46 2012eb"/>
    <s v="791.4302/33092; B"/>
    <d v="2012-01-01T00:00:00"/>
  </r>
  <r>
    <x v="4610"/>
    <d v="1899-12-30T00:10:17"/>
    <x v="491"/>
    <x v="8"/>
    <s v="niagaracc"/>
    <x v="16"/>
    <n v="877717"/>
    <x v="6"/>
    <s v="Fine Arts"/>
    <s v="9781438139265"/>
    <s v=",1,2,3,4,5,6,7,8,13,14,15,17,19,23,24,22,20,21,18,16,12,10,9,11,15,16,17,20,21,19,26,52,94,112,113,114,110,111,120,121,118,119,117,116,115"/>
    <n v="39"/>
    <m/>
    <s v=",12,13,14,15"/>
    <s v="No"/>
    <x v="0"/>
    <d v="2015-11-02T22:03:58"/>
    <n v="7"/>
    <s v="132.174.254.37"/>
    <s v="PN1998.3.M577 -- L46 2012eb"/>
    <s v="791.4302/33092; B"/>
    <d v="2012-01-01T00:00:00"/>
  </r>
  <r>
    <x v="4611"/>
    <d v="1899-12-30T00:00:55"/>
    <x v="491"/>
    <x v="8"/>
    <s v="niagaracc"/>
    <x v="16"/>
    <n v="877717"/>
    <x v="6"/>
    <s v="Fine Arts"/>
    <s v="9781438139265"/>
    <s v=",12,10,3"/>
    <n v="3"/>
    <m/>
    <m/>
    <s v="Yes"/>
    <x v="0"/>
    <d v="2015-11-02T22:03:58"/>
    <n v="7"/>
    <s v="132.174.254.37"/>
    <s v="PN1998.3.M577 -- L46 2012eb"/>
    <s v="791.4302/33092; B"/>
    <d v="2012-01-01T00:00:00"/>
  </r>
  <r>
    <x v="4612"/>
    <d v="1899-12-30T00:03:28"/>
    <x v="491"/>
    <x v="8"/>
    <s v="niagaracc"/>
    <x v="16"/>
    <n v="877717"/>
    <x v="6"/>
    <s v="Fine Arts"/>
    <s v="9781438139265"/>
    <s v=",16,17"/>
    <n v="2"/>
    <m/>
    <m/>
    <s v="Yes"/>
    <x v="0"/>
    <d v="2015-11-02T22:03:58"/>
    <n v="7"/>
    <s v="132.174.254.37"/>
    <s v="PN1998.3.M577 -- L46 2012eb"/>
    <s v="791.4302/33092; B"/>
    <d v="2012-01-01T00:00:00"/>
  </r>
  <r>
    <x v="4613"/>
    <d v="1899-12-30T00:01:30"/>
    <x v="491"/>
    <x v="8"/>
    <s v="niagaracc"/>
    <x v="16"/>
    <n v="877717"/>
    <x v="6"/>
    <s v="Fine Arts"/>
    <s v="9781438139265"/>
    <s v=",1,2,3,4,5,6,7,8,9,10,11,12,13,14,15"/>
    <n v="15"/>
    <m/>
    <m/>
    <s v="No"/>
    <x v="0"/>
    <d v="2015-11-02T22:03:58"/>
    <n v="7"/>
    <s v="132.174.254.37"/>
    <s v="PN1998.3.M577 -- L46 2012eb"/>
    <s v="791.4302/33092; B"/>
    <d v="2012-01-01T00:00:00"/>
  </r>
  <r>
    <x v="4614"/>
    <d v="1899-12-30T00:06:21"/>
    <x v="491"/>
    <x v="8"/>
    <s v="niagaracc"/>
    <x v="16"/>
    <n v="877717"/>
    <x v="6"/>
    <s v="Fine Arts"/>
    <s v="9781438139265"/>
    <s v=",4,121,119,121,120,1,120,8,9,10,11,12,7,6,79,80,81,91,92,93,89,56,57,58,54,55,59,60,61,62,63,64,68,69,66,65,67,70,71,72,73,16,1,2,3,8,9,10,11,12,13,14,25,26,27,23,24,116,117,118,114,115,121,119,15"/>
    <n v="55"/>
    <s v=",1,12"/>
    <m/>
    <s v="No"/>
    <x v="0"/>
    <d v="2015-11-02T22:03:58"/>
    <n v="7"/>
    <s v="132.174.254.37"/>
    <s v="PN1998.3.M577 -- L46 2012eb"/>
    <s v="791.4302/33092; B"/>
    <d v="2012-01-01T00:00:00"/>
  </r>
  <r>
    <x v="4615"/>
    <d v="1899-12-30T00:07:31"/>
    <x v="491"/>
    <x v="8"/>
    <s v="niagaracc"/>
    <x v="16"/>
    <n v="877717"/>
    <x v="6"/>
    <s v="Fine Arts"/>
    <s v="9781438139265"/>
    <s v=",1,2,3,4,25,31,32,33,34,35,19,12,6,5,8,9,10,11,7,13,14,15,16,17,18,19,20,21,22,23,24,25,26,27,28,29,30,31,32,33,34,35,36,37,38,39,40,41,42,43,44,45,46,47,48,49,50,51,53,55,56,57,58,59,60,62,63,65,67,69,71,75,76,77,78,79,101,104,115,119,120,121,118,117,116,6,1,2,3"/>
    <n v="78"/>
    <m/>
    <m/>
    <s v="No"/>
    <x v="1"/>
    <m/>
    <m/>
    <s v="132.174.254.37"/>
    <s v="PN1998.3.M577 -- L46 2012eb"/>
    <s v="791.4302/33092; B"/>
    <d v="2012-01-01T00:00:00"/>
  </r>
  <r>
    <x v="4616"/>
    <d v="1899-12-30T00:00:06"/>
    <x v="1199"/>
    <x v="8"/>
    <s v="niagaracc"/>
    <x v="1161"/>
    <n v="1964097"/>
    <x v="0"/>
    <s v="Psychology; Health"/>
    <s v="9781118850336"/>
    <s v=",1,2,3,4,5"/>
    <n v="5"/>
    <m/>
    <m/>
    <s v="No"/>
    <x v="3"/>
    <m/>
    <m/>
    <s v="132.174.254.37"/>
    <s v="BF575 .S75 A55 2015"/>
    <n v="613"/>
    <d v="2015-02-12T00:00:00"/>
  </r>
  <r>
    <x v="4617"/>
    <d v="1899-12-30T00:04:07"/>
    <x v="26"/>
    <x v="6"/>
    <s v="sjfc"/>
    <x v="822"/>
    <n v="1034770"/>
    <x v="4"/>
    <s v="Medicine"/>
    <s v="9781462507566"/>
    <s v=",1,2,3,17,18,19,15,16,20,21,22,8,9,10,7,6"/>
    <n v="16"/>
    <m/>
    <m/>
    <s v="No"/>
    <x v="1"/>
    <m/>
    <m/>
    <s v="149.69.254.57"/>
    <s v="RC533 -- .M56 2012eb"/>
    <n v="616.85839999999996"/>
    <d v="2013-10-20T00:00:00"/>
  </r>
  <r>
    <x v="4618"/>
    <d v="1899-12-30T00:00:09"/>
    <x v="1200"/>
    <x v="13"/>
    <s v="buffalostate"/>
    <x v="1162"/>
    <n v="1377286"/>
    <x v="11"/>
    <s v="Business/Management"/>
    <s v="9780226073675"/>
    <s v=",1,2,3,4,5"/>
    <n v="5"/>
    <m/>
    <m/>
    <s v="No"/>
    <x v="3"/>
    <m/>
    <m/>
    <s v="136.183.11.43"/>
    <s v="HF5382"/>
    <n v="650.14"/>
    <d v="2013-10-16T00:00:00"/>
  </r>
  <r>
    <x v="4619"/>
    <d v="1899-12-30T00:03:05"/>
    <x v="13"/>
    <x v="0"/>
    <s v="Buffalo"/>
    <x v="1163"/>
    <n v="836633"/>
    <x v="0"/>
    <s v="Psychology"/>
    <s v="9781119953784"/>
    <s v=",1,2,3,4,5,6,7,8,9,10,11,13,12,14,15,16,17,18,19,20,21,22,23,24,25,26,27,28,29,30,31,32,33,34,35,36,37,38,39,40,41"/>
    <n v="41"/>
    <m/>
    <m/>
    <s v="No"/>
    <x v="1"/>
    <m/>
    <m/>
    <s v="128.205.114.91"/>
    <s v="BF637.N66 K84"/>
    <n v="153.69"/>
    <d v="2012-01-03T00:00:00"/>
  </r>
  <r>
    <x v="4620"/>
    <d v="1899-12-30T00:07:15"/>
    <x v="13"/>
    <x v="0"/>
    <s v="Buffalo"/>
    <x v="73"/>
    <n v="1119505"/>
    <x v="0"/>
    <s v="Science: Chemistry; Science"/>
    <s v="9781118355015"/>
    <s v=",1,2,3,169,170,171,167,168,172,170,171,172,168,169"/>
    <n v="9"/>
    <m/>
    <m/>
    <s v="No"/>
    <x v="0"/>
    <d v="2015-10-29T18:29:10"/>
    <n v="7"/>
    <s v="128.205.114.91"/>
    <s v="QD251.3 -- .S38 2013eb"/>
    <s v="547/.128"/>
    <d v="2013-01-28T00:00:00"/>
  </r>
  <r>
    <x v="4621"/>
    <d v="1899-12-30T00:13:47"/>
    <x v="1103"/>
    <x v="9"/>
    <s v="trocaire"/>
    <x v="1057"/>
    <n v="332602"/>
    <x v="0"/>
    <s v="Education"/>
    <s v="9780631227885"/>
    <s v=",42,43,40,44,41,45,46,47,48,49,42,43,40,41"/>
    <n v="10"/>
    <m/>
    <m/>
    <s v="No"/>
    <x v="0"/>
    <d v="2015-11-02T20:50:12"/>
    <n v="7"/>
    <s v="173.225.62.67"/>
    <s v="LB1124 -- .O48 1993eb"/>
    <s v="371.5/8"/>
    <d v="2013-05-30T00:00:00"/>
  </r>
  <r>
    <x v="4622"/>
    <d v="1899-12-30T00:07:36"/>
    <x v="13"/>
    <x v="0"/>
    <s v="Buffalo"/>
    <x v="1164"/>
    <n v="2055108"/>
    <x v="1"/>
    <m/>
    <s v="9781472459763"/>
    <s v=",38,39,40,32,33,26,27,28,24,14,15,16,12,13,11,10,9"/>
    <n v="17"/>
    <m/>
    <m/>
    <s v="No"/>
    <x v="2"/>
    <d v="2015-11-02T20:04:32"/>
    <n v="1"/>
    <s v="128.205.114.91"/>
    <n v="2014043798"/>
    <s v="342.2408''50269"/>
    <d v="2015-03-16T00:00:00"/>
  </r>
  <r>
    <x v="4623"/>
    <d v="1899-12-30T00:10:58"/>
    <x v="787"/>
    <x v="1"/>
    <s v="brockport"/>
    <x v="151"/>
    <n v="968030"/>
    <x v="0"/>
    <s v="Psychology"/>
    <s v="9781118285138"/>
    <s v=",1,2,3,508,509,510,506,507,511,515,516,517,513,514,359,360,361,357,358,362,334,335,336,332,333,337,338,339,340,341,342,343"/>
    <n v="32"/>
    <m/>
    <m/>
    <s v="No"/>
    <x v="0"/>
    <d v="2015-11-01T20:42:09"/>
    <n v="7"/>
    <s v="137.21.7.121"/>
    <s v="BF637.C6 -- S85 2013eb"/>
    <n v="158.30000000000001"/>
    <d v="2012-07-10T00:00:00"/>
  </r>
  <r>
    <x v="4624"/>
    <d v="1899-12-30T00:36:04"/>
    <x v="789"/>
    <x v="6"/>
    <s v="sjfc"/>
    <x v="68"/>
    <n v="1822529"/>
    <x v="0"/>
    <s v="Mathematics"/>
    <s v="9781118824344"/>
    <s v=",1,28,27,24,26,25,23,21,22,20,19,2,23,24,25,21,22,26,27,28,29,30,31,32,33,34,26,1,27,28,24,25,29,30,28,29,30,26,27,31,32,33,2,34,35,36,37,38,39,40,41,42,43,44,45,46,47,48,49,41,26,27,1,28,24,25"/>
    <n v="33"/>
    <s v=",31,32,31,32"/>
    <m/>
    <s v="No"/>
    <x v="0"/>
    <d v="2015-11-02T19:57:11"/>
    <n v="7"/>
    <s v="149.69.254.57"/>
    <s v="QA297 -- .S59 2015eb"/>
    <n v="519.4"/>
    <d v="2014-10-20T00:00:00"/>
  </r>
  <r>
    <x v="4625"/>
    <d v="1899-12-30T00:07:42"/>
    <x v="13"/>
    <x v="0"/>
    <s v="Buffalo"/>
    <x v="1164"/>
    <n v="2055108"/>
    <x v="1"/>
    <m/>
    <s v="9781472459763"/>
    <s v=",1,2,3,34,35,36,32,33,37"/>
    <n v="9"/>
    <m/>
    <m/>
    <s v="No"/>
    <x v="3"/>
    <m/>
    <m/>
    <s v="128.205.114.91"/>
    <n v="2014043798"/>
    <s v="342.2408''50269"/>
    <d v="2015-03-16T00:00:00"/>
  </r>
  <r>
    <x v="4626"/>
    <d v="1899-12-30T00:13:59"/>
    <x v="789"/>
    <x v="6"/>
    <s v="sjfc"/>
    <x v="68"/>
    <n v="1822529"/>
    <x v="0"/>
    <s v="Mathematics"/>
    <s v="9781118824344"/>
    <s v=",1,2,3,1,2,3,4,2,3,4,1,4,5,6,7,8,9,10,11,12,13,14,15,16,17,18,19,20,21,22,23,24,25,13,26"/>
    <n v="26"/>
    <m/>
    <m/>
    <s v="No"/>
    <x v="1"/>
    <m/>
    <m/>
    <s v="149.69.254.57"/>
    <s v="QA297 -- .S59 2015eb"/>
    <n v="519.4"/>
    <d v="2014-10-20T00:00:00"/>
  </r>
  <r>
    <x v="4627"/>
    <d v="1899-12-30T00:01:33"/>
    <x v="13"/>
    <x v="0"/>
    <s v="Buffalo"/>
    <x v="161"/>
    <n v="821663"/>
    <x v="0"/>
    <s v="Architecture"/>
    <s v="9781118168479"/>
    <s v=",1,2,3,47,48,49,45,50,46,65,66,87,88,89,85,86,2,90,91,92,93,94,95,96,97,98,99,100,101,115,116,117,113,114,118,119,120,121,122,123,124,125,126,127,128,129,130,157,158,159,155,156,160,161,162,163,165,164,179,180,181,177,182,178,183,184,185,186,187,188,189,190,191,192,193,194,133,110,82,40,1,2"/>
    <n v="79"/>
    <m/>
    <m/>
    <s v="No"/>
    <x v="1"/>
    <m/>
    <m/>
    <s v="128.205.114.91"/>
    <s v="NA2547 -- .S74 2012eb"/>
    <n v="729"/>
    <d v="2012-03-05T00:00:00"/>
  </r>
  <r>
    <x v="4628"/>
    <d v="1899-12-30T00:00:08"/>
    <x v="122"/>
    <x v="12"/>
    <s v="potsdam"/>
    <x v="122"/>
    <n v="1715305"/>
    <x v="4"/>
    <s v="Medicine"/>
    <s v="9781462516742"/>
    <s v=",1,2,3,1"/>
    <n v="3"/>
    <m/>
    <m/>
    <s v="No"/>
    <x v="1"/>
    <m/>
    <m/>
    <s v="137.143.104.94"/>
    <s v="RJ499 -- .C455 2014eb"/>
    <n v="618.9289"/>
    <d v="2014-09-04T00:00:00"/>
  </r>
  <r>
    <x v="4629"/>
    <d v="1899-12-30T00:00:18"/>
    <x v="13"/>
    <x v="0"/>
    <s v="Buffalo"/>
    <x v="161"/>
    <n v="821663"/>
    <x v="0"/>
    <s v="Architecture"/>
    <s v="9781118168479"/>
    <s v=",1,2,3,4,5,6,7,10,11,14,15,17,21,22"/>
    <n v="14"/>
    <m/>
    <m/>
    <s v="No"/>
    <x v="1"/>
    <m/>
    <m/>
    <s v="128.205.114.91"/>
    <s v="NA2547 -- .S74 2012eb"/>
    <n v="729"/>
    <d v="2012-03-05T00:00:00"/>
  </r>
  <r>
    <x v="4630"/>
    <d v="1899-12-30T00:00:09"/>
    <x v="122"/>
    <x v="12"/>
    <s v="potsdam"/>
    <x v="1165"/>
    <n v="1887754"/>
    <x v="0"/>
    <s v="Medicine"/>
    <s v="9781118840184"/>
    <s v=",1,2,3,1"/>
    <n v="3"/>
    <m/>
    <m/>
    <s v="No"/>
    <x v="3"/>
    <m/>
    <m/>
    <s v="137.143.104.94"/>
    <s v="RJ499 -- .W556 2015eb"/>
    <s v="618.92/89"/>
    <d v="2014-12-12T00:00:00"/>
  </r>
  <r>
    <x v="4631"/>
    <d v="1899-12-30T01:25:52"/>
    <x v="1103"/>
    <x v="9"/>
    <s v="trocaire"/>
    <x v="1057"/>
    <n v="332602"/>
    <x v="0"/>
    <s v="Education"/>
    <s v="9780631227885"/>
    <s v=",1,2,3,19,20,21,18,17,22,23"/>
    <n v="10"/>
    <m/>
    <m/>
    <s v="No"/>
    <x v="1"/>
    <m/>
    <m/>
    <s v="173.225.62.67"/>
    <s v="LB1124 -- .O48 1993eb"/>
    <s v="371.5/8"/>
    <d v="2013-05-30T00:00:00"/>
  </r>
  <r>
    <x v="4632"/>
    <d v="1899-12-30T01:34:37"/>
    <x v="828"/>
    <x v="9"/>
    <s v="trocaire"/>
    <x v="1057"/>
    <n v="332602"/>
    <x v="0"/>
    <s v="Education"/>
    <s v="9780631227885"/>
    <s v=",1,2,3,4,5,6,7,8,9,10,11,12,19,20,21,17,18,22,23,24,25,42,43,44,41,40,45"/>
    <n v="27"/>
    <m/>
    <m/>
    <s v="No"/>
    <x v="0"/>
    <d v="2015-10-31T18:36:28"/>
    <n v="7"/>
    <s v="173.225.62.67"/>
    <s v="LB1124 -- .O48 1993eb"/>
    <s v="371.5/8"/>
    <d v="2013-05-30T00:00:00"/>
  </r>
  <r>
    <x v="4633"/>
    <d v="1899-12-30T00:00:00"/>
    <x v="828"/>
    <x v="9"/>
    <s v="trocaire"/>
    <x v="1057"/>
    <n v="332602"/>
    <x v="0"/>
    <s v="Education"/>
    <s v="9780631227885"/>
    <m/>
    <n v="0"/>
    <m/>
    <m/>
    <s v="No"/>
    <x v="0"/>
    <d v="2015-10-31T18:36:28"/>
    <n v="7"/>
    <s v="173.225.62.67"/>
    <s v="LB1124 -- .O48 1993eb"/>
    <s v="371.5/8"/>
    <d v="2013-05-30T00:00:00"/>
  </r>
  <r>
    <x v="4634"/>
    <d v="1899-12-30T00:01:47"/>
    <x v="1165"/>
    <x v="12"/>
    <s v="potsdam"/>
    <x v="719"/>
    <n v="771074"/>
    <x v="18"/>
    <s v="Medicine; Pharmacy; Social Science; Health"/>
    <s v="9780761499732"/>
    <s v=",4,36,102,104,128,129,130,160,163,164,165,161,162"/>
    <n v="13"/>
    <m/>
    <m/>
    <s v="Yes"/>
    <x v="0"/>
    <d v="2015-11-02T19:11:17"/>
    <n v="7"/>
    <s v="137.143.104.94"/>
    <s v="RM301.17 .K567 2012"/>
    <s v="362.29; 615.1"/>
    <d v="2012-01-01T00:00:00"/>
  </r>
  <r>
    <x v="4635"/>
    <d v="1899-12-30T00:00:00"/>
    <x v="1165"/>
    <x v="12"/>
    <s v="potsdam"/>
    <x v="719"/>
    <n v="771074"/>
    <x v="18"/>
    <s v="Medicine; Pharmacy; Social Science; Health"/>
    <s v="9780761499732"/>
    <m/>
    <n v="0"/>
    <m/>
    <m/>
    <s v="Yes"/>
    <x v="0"/>
    <d v="2015-11-02T19:11:17"/>
    <n v="7"/>
    <s v="137.143.104.94"/>
    <s v="RM301.17 .K567 2012"/>
    <s v="362.29; 615.1"/>
    <d v="2012-01-01T00:00:00"/>
  </r>
  <r>
    <x v="4635"/>
    <d v="1899-12-30T00:00:00"/>
    <x v="1165"/>
    <x v="12"/>
    <s v="potsdam"/>
    <x v="719"/>
    <n v="771074"/>
    <x v="18"/>
    <s v="Medicine; Pharmacy; Social Science; Health"/>
    <s v="9780761499732"/>
    <m/>
    <n v="0"/>
    <m/>
    <m/>
    <s v="No"/>
    <x v="0"/>
    <d v="2015-11-02T19:11:17"/>
    <n v="7"/>
    <s v="137.143.104.94"/>
    <s v="RM301.17 .K567 2012"/>
    <s v="362.29; 615.1"/>
    <d v="2012-01-01T00:00:00"/>
  </r>
  <r>
    <x v="4636"/>
    <d v="1899-12-30T00:01:09"/>
    <x v="1165"/>
    <x v="12"/>
    <s v="potsdam"/>
    <x v="719"/>
    <n v="771074"/>
    <x v="18"/>
    <s v="Medicine; Pharmacy; Social Science; Health"/>
    <s v="9780761499732"/>
    <s v=",1,2,3"/>
    <n v="3"/>
    <m/>
    <m/>
    <s v="No"/>
    <x v="1"/>
    <m/>
    <m/>
    <s v="137.143.104.94"/>
    <s v="RM301.17 .K567 2012"/>
    <s v="362.29; 615.1"/>
    <d v="2012-01-01T00:00:00"/>
  </r>
  <r>
    <x v="4637"/>
    <d v="1899-12-30T00:00:18"/>
    <x v="122"/>
    <x v="12"/>
    <s v="potsdam"/>
    <x v="122"/>
    <n v="1715305"/>
    <x v="4"/>
    <s v="Medicine"/>
    <s v="9781462516742"/>
    <s v=",1,2,3,4,5,6,7,8,10,9,11,12,17,18,19,15,16"/>
    <n v="17"/>
    <m/>
    <m/>
    <s v="No"/>
    <x v="1"/>
    <m/>
    <m/>
    <s v="137.143.104.94"/>
    <s v="RJ499 -- .C455 2014eb"/>
    <n v="618.9289"/>
    <d v="2014-09-04T00:00:00"/>
  </r>
  <r>
    <x v="4638"/>
    <d v="1899-12-30T00:02:41"/>
    <x v="828"/>
    <x v="9"/>
    <s v="trocaire"/>
    <x v="684"/>
    <n v="1120621"/>
    <x v="0"/>
    <s v="Education"/>
    <s v="9781118362679"/>
    <s v=",1,3,2,34,35,36,33,32,37"/>
    <n v="9"/>
    <m/>
    <m/>
    <s v="No"/>
    <x v="0"/>
    <d v="2015-10-31T21:28:20"/>
    <n v="7"/>
    <s v="173.225.62.67"/>
    <s v="LB3013.3 .R59 2012"/>
    <s v="371.5/8; 371.58"/>
    <d v="2012-08-15T00:00:00"/>
  </r>
  <r>
    <x v="4639"/>
    <d v="1899-12-30T02:54:17"/>
    <x v="1170"/>
    <x v="0"/>
    <s v="Buffalo"/>
    <x v="772"/>
    <n v="1969407"/>
    <x v="1"/>
    <s v="Architecture"/>
    <s v="9781472422880"/>
    <s v=",29,27,28,26,26,1,28,27,24,25,158,159,160,156,157,154,155,152,153,2,166,167,168,164,165,211,274,275,272,273,277,278,282,283,284,280,281,279,285,286,287,288,289,290,291,292,293,294,338,339,340,341,342,343,1,343"/>
    <n v="51"/>
    <m/>
    <m/>
    <s v="No"/>
    <x v="2"/>
    <d v="2015-11-02T18:49:23"/>
    <n v="1"/>
    <s v="128.205.114.91"/>
    <s v="NA2000 -- .S253 2015eb"/>
    <n v="720.71"/>
    <d v="2015-03-28T00:00:00"/>
  </r>
  <r>
    <x v="4640"/>
    <d v="1899-12-30T00:01:09"/>
    <x v="808"/>
    <x v="9"/>
    <s v="trocaire"/>
    <x v="834"/>
    <n v="538048"/>
    <x v="11"/>
    <s v="Law"/>
    <s v="9780226493671"/>
    <s v=",15,16,17"/>
    <n v="3"/>
    <m/>
    <m/>
    <s v="No"/>
    <x v="2"/>
    <d v="2015-11-02T18:38:18"/>
    <n v="1"/>
    <s v="173.225.62.67"/>
    <s v="KF3941 -- .L68 2010eb"/>
    <s v="344.7305/33"/>
    <d v="2013-01-29T00:00:00"/>
  </r>
  <r>
    <x v="4641"/>
    <d v="1899-12-30T00:00:00"/>
    <x v="1125"/>
    <x v="0"/>
    <s v="Buffalo"/>
    <x v="654"/>
    <n v="1724876"/>
    <x v="0"/>
    <s v="Business/Management; Economics"/>
    <s v="9781118914113"/>
    <m/>
    <n v="0"/>
    <m/>
    <s v=",20,21,22,23,24,25,26,27,28,29,30,31,32,33,34,35,36,37,38,39,40,41,42,43,44,45,46,47,48,49,50,51,52,53,54,55,56,57,58,59,60,61,62,63,64,65,66,67,68,69,70,71,72,73,74,75,76,77,78,79,80,81,82,83,84,85,86,87,88,89,90,91,92,93,94,95,96,97,98,99,100,101,102,103,104,105,106,107"/>
    <s v="No"/>
    <x v="0"/>
    <d v="2015-11-02T18:36:48"/>
    <n v="7"/>
    <s v="128.205.114.91"/>
    <s v="HG173 -- .G733 2014eb"/>
    <n v="332"/>
    <d v="2014-06-26T00:00:00"/>
  </r>
  <r>
    <x v="4642"/>
    <d v="1899-12-30T00:00:15"/>
    <x v="1125"/>
    <x v="0"/>
    <s v="Buffalo"/>
    <x v="654"/>
    <n v="1724876"/>
    <x v="0"/>
    <s v="Business/Management; Economics"/>
    <s v="9781118914113"/>
    <s v=",1,2,3"/>
    <n v="3"/>
    <m/>
    <m/>
    <s v="No"/>
    <x v="1"/>
    <m/>
    <m/>
    <s v="128.205.114.91"/>
    <s v="HG173 -- .G733 2014eb"/>
    <n v="332"/>
    <d v="2014-06-26T00:00:00"/>
  </r>
  <r>
    <x v="4643"/>
    <d v="1899-12-30T00:05:13"/>
    <x v="808"/>
    <x v="9"/>
    <s v="trocaire"/>
    <x v="834"/>
    <n v="538048"/>
    <x v="11"/>
    <s v="Law"/>
    <s v="9780226493671"/>
    <s v=",1,2,3,4,5,6,7,8,9,10,11,12,13,14"/>
    <n v="14"/>
    <m/>
    <m/>
    <s v="No"/>
    <x v="3"/>
    <m/>
    <m/>
    <s v="173.225.62.67"/>
    <s v="KF3941 -- .L68 2010eb"/>
    <s v="344.7305/33"/>
    <d v="2013-01-29T00:00:00"/>
  </r>
  <r>
    <x v="4644"/>
    <d v="1899-12-30T00:21:12"/>
    <x v="1170"/>
    <x v="0"/>
    <s v="Buffalo"/>
    <x v="772"/>
    <n v="1969407"/>
    <x v="1"/>
    <s v="Architecture"/>
    <s v="9781472422880"/>
    <s v=",1,2,3,31,32,33,29,30,34,2"/>
    <n v="9"/>
    <m/>
    <m/>
    <s v="No"/>
    <x v="3"/>
    <m/>
    <m/>
    <s v="128.205.114.91"/>
    <s v="NA2000 -- .S253 2015eb"/>
    <n v="720.71"/>
    <d v="2015-03-28T00:00:00"/>
  </r>
  <r>
    <x v="4645"/>
    <d v="1899-12-30T00:01:58"/>
    <x v="1201"/>
    <x v="12"/>
    <s v="potsdam"/>
    <x v="839"/>
    <n v="1894285"/>
    <x v="4"/>
    <s v="Education"/>
    <s v="9781462520169"/>
    <s v=",1,1,2,3,2,3,2,2,252,253,252,250,254,251,253,254,251,249,479,480,479,481,477,480,478,481,478,479,480,481,477,478,242,242,244,240,244,241,241,245,245,239,240"/>
    <n v="20"/>
    <m/>
    <m/>
    <s v="No"/>
    <x v="3"/>
    <m/>
    <m/>
    <s v="137.143.104.94"/>
    <s v="LB1072  -- .H37 2015eb"/>
    <n v="370.15300000000002"/>
    <d v="2015-04-15T00:00:00"/>
  </r>
  <r>
    <x v="4646"/>
    <d v="1899-12-30T00:00:03"/>
    <x v="1201"/>
    <x v="12"/>
    <s v="potsdam"/>
    <x v="839"/>
    <n v="1894285"/>
    <x v="4"/>
    <s v="Education"/>
    <s v="9781462520169"/>
    <s v=",1"/>
    <n v="1"/>
    <m/>
    <m/>
    <s v="No"/>
    <x v="3"/>
    <m/>
    <m/>
    <s v="137.143.104.94"/>
    <s v="LB1072  -- .H37 2015eb"/>
    <n v="370.15300000000002"/>
    <d v="2015-04-15T00:00:00"/>
  </r>
  <r>
    <x v="4647"/>
    <d v="1899-12-30T00:00:42"/>
    <x v="1202"/>
    <x v="1"/>
    <s v="brockport"/>
    <x v="845"/>
    <n v="1120969"/>
    <x v="3"/>
    <s v="Health; Social Science"/>
    <s v="9780520955189"/>
    <s v=",1,3,2,4,5,6,7,8,9,10,11,12,13,14,16,15,24,25,26,22,23,27,28,29,30"/>
    <n v="25"/>
    <m/>
    <m/>
    <s v="No"/>
    <x v="3"/>
    <m/>
    <m/>
    <s v="137.21.7.121"/>
    <s v="RA390.F8 -- R43 2013eb"/>
    <n v="362.1"/>
    <d v="2013-02-25T00:00:00"/>
  </r>
  <r>
    <x v="4648"/>
    <d v="1899-12-30T00:38:11"/>
    <x v="1203"/>
    <x v="5"/>
    <s v="erie"/>
    <x v="829"/>
    <n v="818121"/>
    <x v="0"/>
    <s v="Fine Arts; Business/Management"/>
    <s v="9781118226339"/>
    <s v=",1,2,3,151,152,153,154,155,153,154,153,154,155,151,152,156,157,195,196,197,193,194,198,199,200,201,202,203,204,195,196,197,193,194"/>
    <n v="22"/>
    <m/>
    <m/>
    <s v="No"/>
    <x v="0"/>
    <d v="2015-10-29T19:25:56"/>
    <n v="7"/>
    <s v="199.29.6.54"/>
    <s v="PN1992.55 -- .P76 2012eb"/>
    <s v="658.872; 659.02854678"/>
    <d v="2012-01-26T00:00:00"/>
  </r>
  <r>
    <x v="4649"/>
    <d v="1899-12-30T00:00:29"/>
    <x v="1014"/>
    <x v="5"/>
    <s v="erie"/>
    <x v="874"/>
    <n v="918811"/>
    <x v="18"/>
    <s v="History"/>
    <s v="9781608708062"/>
    <s v=",1,3"/>
    <n v="2"/>
    <m/>
    <m/>
    <s v="No"/>
    <x v="0"/>
    <d v="2015-11-02T17:49:51"/>
    <n v="7"/>
    <s v="199.29.6.54"/>
    <s v="F2508.5 .R53 2012"/>
    <n v="981"/>
    <d v="2012-03-01T00:00:00"/>
  </r>
  <r>
    <x v="4650"/>
    <d v="1899-12-30T00:00:05"/>
    <x v="1014"/>
    <x v="5"/>
    <s v="erie"/>
    <x v="874"/>
    <n v="918811"/>
    <x v="18"/>
    <s v="History"/>
    <s v="9781608708062"/>
    <s v=",60,45,3"/>
    <n v="3"/>
    <m/>
    <m/>
    <s v="No"/>
    <x v="0"/>
    <d v="2015-11-02T17:49:51"/>
    <n v="7"/>
    <s v="199.29.6.54"/>
    <s v="F2508.5 .R53 2012"/>
    <n v="981"/>
    <d v="2012-03-01T00:00:00"/>
  </r>
  <r>
    <x v="4651"/>
    <d v="1899-12-30T00:16:57"/>
    <x v="974"/>
    <x v="0"/>
    <s v="Buffalo"/>
    <x v="161"/>
    <n v="821663"/>
    <x v="0"/>
    <s v="Architecture"/>
    <s v="9781118168479"/>
    <s v=",214,214,215,212,215,216,213,216,213,214,212,213,213,48,49,50,48,50,49,46,207,208,209,208,207,205,209,206,206,237,238,237,238,235,239,236,239,236,257,258,258,257,259,259,255,256,256"/>
    <n v="24"/>
    <m/>
    <m/>
    <s v="No"/>
    <x v="0"/>
    <d v="2015-11-02T17:40:57"/>
    <n v="7"/>
    <s v="128.205.114.91"/>
    <s v="NA2547 -- .S74 2012eb"/>
    <n v="729"/>
    <d v="2012-03-05T00:00:00"/>
  </r>
  <r>
    <x v="4652"/>
    <d v="1899-12-30T00:10:59"/>
    <x v="1014"/>
    <x v="5"/>
    <s v="erie"/>
    <x v="874"/>
    <n v="918811"/>
    <x v="18"/>
    <s v="History"/>
    <s v="9781608708062"/>
    <s v=",1,64,65,62,2,67,69"/>
    <n v="7"/>
    <m/>
    <m/>
    <s v="No"/>
    <x v="1"/>
    <m/>
    <m/>
    <s v="199.29.6.54"/>
    <s v="F2508.5 .R53 2012"/>
    <n v="981"/>
    <d v="2012-03-01T00:00:00"/>
  </r>
  <r>
    <x v="4653"/>
    <d v="1899-12-30T00:26:43"/>
    <x v="974"/>
    <x v="0"/>
    <s v="Buffalo"/>
    <x v="161"/>
    <n v="821663"/>
    <x v="0"/>
    <s v="Architecture"/>
    <s v="9781118168479"/>
    <s v=",1,2,2,3,3,1,197,198,197,199,198,195,199,196,196,2"/>
    <n v="8"/>
    <m/>
    <m/>
    <s v="No"/>
    <x v="1"/>
    <m/>
    <m/>
    <s v="128.205.114.91"/>
    <s v="NA2547 -- .S74 2012eb"/>
    <n v="729"/>
    <d v="2012-03-05T00:00:00"/>
  </r>
  <r>
    <x v="4654"/>
    <d v="1899-12-30T01:12:30"/>
    <x v="13"/>
    <x v="0"/>
    <s v="Buffalo"/>
    <x v="73"/>
    <n v="1119505"/>
    <x v="0"/>
    <s v="Science: Chemistry; Science"/>
    <s v="9781118355015"/>
    <s v=",1,2,3,185,186,187,183,184,188,189,190,191,192,193,194,195,196,197"/>
    <n v="18"/>
    <m/>
    <m/>
    <s v="No"/>
    <x v="0"/>
    <d v="2015-10-29T18:29:10"/>
    <n v="7"/>
    <s v="128.205.114.91"/>
    <s v="QD251.3 -- .S38 2013eb"/>
    <s v="547/.128"/>
    <d v="2013-01-28T00:00:00"/>
  </r>
  <r>
    <x v="4655"/>
    <d v="1899-12-30T00:00:18"/>
    <x v="13"/>
    <x v="0"/>
    <s v="Buffalo"/>
    <x v="73"/>
    <n v="1119505"/>
    <x v="0"/>
    <s v="Science: Chemistry; Science"/>
    <s v="9781118355015"/>
    <s v=",1,2,3,191,192,193,194,195,196,197"/>
    <n v="10"/>
    <m/>
    <m/>
    <s v="No"/>
    <x v="0"/>
    <d v="2015-10-29T18:29:10"/>
    <n v="7"/>
    <s v="128.205.114.91"/>
    <s v="QD251.3 -- .S38 2013eb"/>
    <s v="547/.128"/>
    <d v="2013-01-28T00:00:00"/>
  </r>
  <r>
    <x v="4656"/>
    <d v="1899-12-30T00:00:22"/>
    <x v="13"/>
    <x v="0"/>
    <s v="Buffalo"/>
    <x v="73"/>
    <n v="1119505"/>
    <x v="0"/>
    <s v="Science: Chemistry; Science"/>
    <s v="9781118355015"/>
    <s v=",1,2,3,191,192,193,189,194,190,195,196,197"/>
    <n v="12"/>
    <m/>
    <m/>
    <s v="No"/>
    <x v="0"/>
    <d v="2015-10-29T18:29:10"/>
    <n v="7"/>
    <s v="128.205.114.91"/>
    <s v="QD251.3 -- .S38 2013eb"/>
    <s v="547/.128"/>
    <d v="2013-01-28T00:00:00"/>
  </r>
  <r>
    <x v="4657"/>
    <d v="1899-12-30T00:01:11"/>
    <x v="1147"/>
    <x v="12"/>
    <s v="potsdam"/>
    <x v="1024"/>
    <n v="834631"/>
    <x v="0"/>
    <s v="Medicine"/>
    <s v="9781444354669"/>
    <s v=",1,2,3,8,9,10,6,7,34,35,36,32,33,306,307,308,309,305,303,298"/>
    <n v="20"/>
    <m/>
    <m/>
    <s v="No"/>
    <x v="1"/>
    <m/>
    <m/>
    <s v="137.143.104.94"/>
    <s v="RC113.2 -- .A85 2012eb"/>
    <s v="616.90022/3"/>
    <d v="2012-01-03T00:00:00"/>
  </r>
  <r>
    <x v="4658"/>
    <d v="1899-12-30T00:02:28"/>
    <x v="13"/>
    <x v="0"/>
    <s v="Buffalo"/>
    <x v="844"/>
    <n v="1332527"/>
    <x v="0"/>
    <s v="Business/Management"/>
    <s v="9781118720882"/>
    <s v=",2,2,1"/>
    <n v="2"/>
    <m/>
    <m/>
    <s v="No"/>
    <x v="0"/>
    <d v="2015-11-02T16:58:16"/>
    <n v="7"/>
    <s v="128.205.114.91"/>
    <s v="HB615 -- .A95 2013eb"/>
    <n v="658.11"/>
    <d v="2013-07-31T00:00:00"/>
  </r>
  <r>
    <x v="4659"/>
    <d v="1899-12-30T00:00:19"/>
    <x v="13"/>
    <x v="0"/>
    <s v="Buffalo"/>
    <x v="844"/>
    <n v="1332527"/>
    <x v="0"/>
    <s v="Business/Management"/>
    <s v="9781118720882"/>
    <s v=",2,2,1,3,3,1,1"/>
    <n v="3"/>
    <m/>
    <m/>
    <s v="No"/>
    <x v="1"/>
    <m/>
    <m/>
    <s v="128.205.114.91"/>
    <s v="HB615 -- .A95 2013eb"/>
    <n v="658.11"/>
    <d v="2013-07-31T00:00:00"/>
  </r>
  <r>
    <x v="4660"/>
    <d v="1899-12-30T00:00:21"/>
    <x v="13"/>
    <x v="0"/>
    <s v="Buffalo"/>
    <x v="1164"/>
    <n v="2055108"/>
    <x v="1"/>
    <m/>
    <s v="9781472459763"/>
    <s v=",1,2,3,4,10,11,12,8,9,13,14"/>
    <n v="11"/>
    <m/>
    <m/>
    <s v="No"/>
    <x v="3"/>
    <m/>
    <m/>
    <s v="128.205.114.91"/>
    <n v="2014043798"/>
    <s v="342.2408''50269"/>
    <d v="2015-03-16T00:00:00"/>
  </r>
  <r>
    <x v="4661"/>
    <d v="1899-12-30T00:00:09"/>
    <x v="26"/>
    <x v="6"/>
    <s v="sjfc"/>
    <x v="1123"/>
    <n v="1882105"/>
    <x v="3"/>
    <s v="Economics; Business/Management"/>
    <s v="9780520958852"/>
    <s v=",1,2,3,6,7,8,4,5"/>
    <n v="8"/>
    <m/>
    <m/>
    <s v="No"/>
    <x v="3"/>
    <m/>
    <m/>
    <s v="149.69.254.57"/>
    <s v="HD5724 .C4896 2015"/>
    <s v="331.13; 331.1370973"/>
    <d v="2015-07-20T00:00:00"/>
  </r>
  <r>
    <x v="4662"/>
    <d v="1899-12-30T00:00:03"/>
    <x v="1138"/>
    <x v="0"/>
    <s v="Buffalo"/>
    <x v="161"/>
    <n v="821663"/>
    <x v="0"/>
    <s v="Architecture"/>
    <s v="9781118168479"/>
    <s v=",1,2,3"/>
    <n v="3"/>
    <m/>
    <m/>
    <s v="No"/>
    <x v="0"/>
    <d v="2015-11-02T15:48:32"/>
    <n v="7"/>
    <s v="128.205.114.91"/>
    <s v="NA2547 -- .S74 2012eb"/>
    <n v="729"/>
    <d v="2012-03-05T00:00:00"/>
  </r>
  <r>
    <x v="4663"/>
    <d v="1899-12-30T00:06:11"/>
    <x v="1138"/>
    <x v="0"/>
    <s v="Buffalo"/>
    <x v="161"/>
    <n v="821663"/>
    <x v="0"/>
    <s v="Architecture"/>
    <s v="9781118168479"/>
    <s v=",33,34,35,36,37,38,39,41,42,43,44,45,46,47,48,50,49,51,52,53,54,55,56,44"/>
    <n v="23"/>
    <m/>
    <m/>
    <s v="Yes"/>
    <x v="0"/>
    <d v="2015-11-02T15:48:32"/>
    <n v="7"/>
    <s v="128.205.114.91"/>
    <s v="NA2547 -- .S74 2012eb"/>
    <n v="729"/>
    <d v="2012-03-05T00:00:00"/>
  </r>
  <r>
    <x v="4664"/>
    <d v="1899-12-30T00:37:05"/>
    <x v="989"/>
    <x v="1"/>
    <s v="brockport"/>
    <x v="519"/>
    <n v="822662"/>
    <x v="0"/>
    <s v="History"/>
    <s v="9781444355130"/>
    <s v=",1,3,2,256,257,258,254,255,259,260,261,262,263,264,265,266,267,268,269,270,271,272,273,274,275,259,260,261,262,263,264,265,266,267,268,269,270,271"/>
    <n v="25"/>
    <m/>
    <m/>
    <s v="No"/>
    <x v="0"/>
    <d v="2015-10-30T15:40:31"/>
    <n v="7"/>
    <s v="137.21.7.121"/>
    <s v="DT20 -- .R45 2012eb"/>
    <n v="960.3"/>
    <d v="2011-11-11T00:00:00"/>
  </r>
  <r>
    <x v="4665"/>
    <d v="1899-12-30T00:00:00"/>
    <x v="1138"/>
    <x v="0"/>
    <s v="Buffalo"/>
    <x v="161"/>
    <n v="821663"/>
    <x v="0"/>
    <s v="Architecture"/>
    <s v="9781118168479"/>
    <m/>
    <n v="0"/>
    <m/>
    <m/>
    <s v="Yes"/>
    <x v="0"/>
    <d v="2015-11-02T15:48:32"/>
    <n v="7"/>
    <s v="128.205.114.91"/>
    <s v="NA2547 -- .S74 2012eb"/>
    <n v="729"/>
    <d v="2012-03-05T00:00:00"/>
  </r>
  <r>
    <x v="4666"/>
    <d v="1899-12-30T00:00:00"/>
    <x v="1138"/>
    <x v="0"/>
    <s v="Buffalo"/>
    <x v="161"/>
    <n v="821663"/>
    <x v="0"/>
    <s v="Architecture"/>
    <s v="9781118168479"/>
    <m/>
    <n v="0"/>
    <m/>
    <m/>
    <s v="Yes"/>
    <x v="0"/>
    <d v="2015-11-02T15:48:32"/>
    <n v="7"/>
    <s v="128.205.114.91"/>
    <s v="NA2547 -- .S74 2012eb"/>
    <n v="729"/>
    <d v="2012-03-05T00:00:00"/>
  </r>
  <r>
    <x v="4667"/>
    <d v="1899-12-30T00:00:00"/>
    <x v="1138"/>
    <x v="0"/>
    <s v="Buffalo"/>
    <x v="161"/>
    <n v="821663"/>
    <x v="0"/>
    <s v="Architecture"/>
    <s v="9781118168479"/>
    <m/>
    <n v="0"/>
    <m/>
    <m/>
    <s v="Yes"/>
    <x v="0"/>
    <d v="2015-11-02T15:48:32"/>
    <n v="7"/>
    <s v="128.205.114.91"/>
    <s v="NA2547 -- .S74 2012eb"/>
    <n v="729"/>
    <d v="2012-03-05T00:00:00"/>
  </r>
  <r>
    <x v="4668"/>
    <d v="1899-12-30T00:00:03"/>
    <x v="1204"/>
    <x v="13"/>
    <s v="buffalostate"/>
    <x v="1037"/>
    <n v="1745058"/>
    <x v="0"/>
    <s v="Education"/>
    <s v="9781118761267"/>
    <s v=",1,2,3"/>
    <n v="3"/>
    <m/>
    <m/>
    <s v="No"/>
    <x v="1"/>
    <m/>
    <m/>
    <s v="136.183.11.43"/>
    <s v="LB1032 -- .B375 2014eb"/>
    <s v="378.1/2"/>
    <d v="2014-07-18T00:00:00"/>
  </r>
  <r>
    <x v="4669"/>
    <d v="1899-12-30T00:00:03"/>
    <x v="13"/>
    <x v="0"/>
    <s v="Buffalo"/>
    <x v="582"/>
    <n v="817432"/>
    <x v="0"/>
    <s v="Fine Arts"/>
    <s v="9781118169261"/>
    <s v=",1,2,3"/>
    <n v="3"/>
    <m/>
    <m/>
    <s v="No"/>
    <x v="1"/>
    <m/>
    <m/>
    <s v="128.205.114.91"/>
    <s v="MT6 -- .P55 2012eb"/>
    <n v="781"/>
    <d v="2011-10-18T00:00:00"/>
  </r>
  <r>
    <x v="4670"/>
    <d v="1899-12-30T00:07:43"/>
    <x v="1151"/>
    <x v="1"/>
    <s v="brockport"/>
    <x v="519"/>
    <n v="822662"/>
    <x v="0"/>
    <s v="History"/>
    <s v="9781444355130"/>
    <s v=",1,2,2,3,1,3,279,280,279,281,280,277,281,278,278,2,282,282,283,284,283,284,285,286,287,287,288,286,288,289,285,290,289,291,292,291,293,292,290,293,294,296,294,296,297,295,295,297,292,291,290,289,288,287,286,285,279,280,281,277,278,282,283"/>
    <n v="24"/>
    <m/>
    <m/>
    <s v="No"/>
    <x v="0"/>
    <d v="2015-10-30T09:37:59"/>
    <n v="7"/>
    <s v="137.21.7.121"/>
    <s v="DT20 -- .R45 2012eb"/>
    <n v="960.3"/>
    <d v="2011-11-11T00:00:00"/>
  </r>
  <r>
    <x v="4671"/>
    <d v="1899-12-30T00:14:50"/>
    <x v="1138"/>
    <x v="0"/>
    <s v="Buffalo"/>
    <x v="161"/>
    <n v="821663"/>
    <x v="0"/>
    <s v="Architecture"/>
    <s v="9781118168479"/>
    <s v=",4,5,3,24,25,26,23,22,29,31,30,27,28,32,33,34,35,36,37,38,39,40,41,42,43,44,32"/>
    <n v="26"/>
    <m/>
    <m/>
    <s v="No"/>
    <x v="0"/>
    <d v="2015-11-02T15:48:32"/>
    <n v="7"/>
    <s v="128.205.114.91"/>
    <s v="NA2547 -- .S74 2012eb"/>
    <n v="729"/>
    <d v="2012-03-05T00:00:00"/>
  </r>
  <r>
    <x v="4672"/>
    <d v="1899-12-30T00:00:17"/>
    <x v="26"/>
    <x v="6"/>
    <s v="sjfc"/>
    <x v="345"/>
    <n v="1119449"/>
    <x v="0"/>
    <s v="Psychology"/>
    <s v="9781118482230"/>
    <s v=",1,2,3,17,18,19,15,16,20,21"/>
    <n v="10"/>
    <m/>
    <m/>
    <s v="No"/>
    <x v="3"/>
    <m/>
    <m/>
    <s v="149.69.254.57"/>
    <s v="BF576 .S737 2013"/>
    <s v="152.4; 152.4024378198"/>
    <d v="2013-01-28T00:00:00"/>
  </r>
  <r>
    <x v="4673"/>
    <d v="1899-12-30T00:10:47"/>
    <x v="1138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4674"/>
    <d v="1899-12-30T00:04:16"/>
    <x v="535"/>
    <x v="0"/>
    <s v="Buffalo"/>
    <x v="581"/>
    <n v="1124406"/>
    <x v="0"/>
    <s v="Business/Management; Computer Science/IT"/>
    <s v="9781118490389"/>
    <s v=",136,137,141,142,143,144,145,146,147,148,149,150,151,152,153,154,155,156,157,158,159,160,161,162,163,164,165,166,167,168,169,170,171,172,173,174,175,176,177,178"/>
    <n v="40"/>
    <m/>
    <m/>
    <s v="No"/>
    <x v="0"/>
    <d v="2015-11-02T15:28:04"/>
    <n v="7"/>
    <s v="128.205.114.91"/>
    <s v="HF5548.4.M523 W34573 2010"/>
    <n v="5.54"/>
    <d v="2013-02-06T00:00:00"/>
  </r>
  <r>
    <x v="4675"/>
    <d v="1899-12-30T00:00:00"/>
    <x v="1056"/>
    <x v="0"/>
    <s v="Buffalo"/>
    <x v="73"/>
    <n v="1119505"/>
    <x v="0"/>
    <s v="Science: Chemistry; Science"/>
    <s v="9781118355015"/>
    <m/>
    <n v="0"/>
    <m/>
    <s v=",169,170,171,172,173,174,175,176,177,178,179,180,181,182,183,184,185,186,187,188,189,190,191,192,193,194,195,196"/>
    <s v="No"/>
    <x v="0"/>
    <d v="2015-11-02T15:26:29"/>
    <n v="7"/>
    <s v="128.205.114.91"/>
    <s v="QD251.3 -- .S38 2013eb"/>
    <s v="547/.128"/>
    <d v="2013-01-28T00:00:00"/>
  </r>
  <r>
    <x v="4676"/>
    <d v="1899-12-30T00:03:39"/>
    <x v="1056"/>
    <x v="0"/>
    <s v="Buffalo"/>
    <x v="73"/>
    <n v="1119505"/>
    <x v="0"/>
    <s v="Science: Chemistry; Science"/>
    <s v="9781118355015"/>
    <s v=",1,2,3,169,170,171,167,168"/>
    <n v="8"/>
    <m/>
    <m/>
    <s v="No"/>
    <x v="1"/>
    <m/>
    <m/>
    <s v="128.205.114.91"/>
    <s v="QD251.3 -- .S38 2013eb"/>
    <s v="547/.128"/>
    <d v="2013-01-28T00:00:00"/>
  </r>
  <r>
    <x v="4677"/>
    <d v="1899-12-30T00:09:57"/>
    <x v="535"/>
    <x v="0"/>
    <s v="Buffalo"/>
    <x v="581"/>
    <n v="1124406"/>
    <x v="0"/>
    <s v="Business/Management; Computer Science/IT"/>
    <s v="9781118490389"/>
    <s v=",1,2,3,258,259,260,256,257,261,262,263,264,265,266,267,268,269,270,271,272,273,274,275,276,277,278,279,280,281,282,283,284,285,286,287,288,289,290,291,292,293,294,295,296,297,298,299,300,301,302,303,304,305,306,307,308,309,310,311,312,313,314,315,316,317,318,319,320,321,322,323,324,325,326,327,328,329,330,331,332,333,334,335,336,125,126,127,123,124,128,129,138,139,140"/>
    <n v="94"/>
    <m/>
    <m/>
    <s v="No"/>
    <x v="1"/>
    <m/>
    <m/>
    <s v="128.205.114.91"/>
    <s v="HF5548.4.M523 W34573 2010"/>
    <n v="5.54"/>
    <d v="2013-02-06T00:00:00"/>
  </r>
  <r>
    <x v="4678"/>
    <d v="1899-12-30T00:00:41"/>
    <x v="429"/>
    <x v="4"/>
    <s v="monroe2boces"/>
    <x v="127"/>
    <n v="1166311"/>
    <x v="0"/>
    <s v="Military Science"/>
    <s v="9781118525616"/>
    <s v=",1,2,3,21,22,23,19,20,367,368,369,365,366"/>
    <n v="13"/>
    <m/>
    <m/>
    <s v="No"/>
    <x v="1"/>
    <m/>
    <m/>
    <s v="72.43.69.30"/>
    <s v="U408.5 .P384 2013"/>
    <n v="355.00700000000001"/>
    <d v="2013-04-02T00:00:00"/>
  </r>
  <r>
    <x v="4679"/>
    <d v="1899-12-30T00:00:07"/>
    <x v="1205"/>
    <x v="0"/>
    <s v="Buffalo"/>
    <x v="134"/>
    <n v="1791341"/>
    <x v="0"/>
    <s v="Engineering; Engineering: Construction"/>
    <s v="9781118862285"/>
    <s v=",1,2,3"/>
    <n v="3"/>
    <m/>
    <m/>
    <s v="No"/>
    <x v="1"/>
    <m/>
    <m/>
    <s v="128.205.114.91"/>
    <s v="TH6010 -- .G766 2015eb"/>
    <n v="696"/>
    <d v="2014-09-17T00:00:00"/>
  </r>
  <r>
    <x v="4680"/>
    <d v="1899-12-30T00:01:43"/>
    <x v="974"/>
    <x v="0"/>
    <s v="Buffalo"/>
    <x v="161"/>
    <n v="821663"/>
    <x v="0"/>
    <s v="Architecture"/>
    <s v="9781118168479"/>
    <s v=",1,2,2,3,3,1,2,2,50,51,50,52,51,48,52,49,49,53,53,48,46,47,46,45,44,50,51,52,49"/>
    <n v="13"/>
    <m/>
    <m/>
    <s v="No"/>
    <x v="1"/>
    <m/>
    <m/>
    <s v="128.205.114.91"/>
    <s v="NA2547 -- .S74 2012eb"/>
    <n v="729"/>
    <d v="2012-03-05T00:00:00"/>
  </r>
  <r>
    <x v="4681"/>
    <d v="1899-12-30T01:55:19"/>
    <x v="828"/>
    <x v="9"/>
    <s v="trocaire"/>
    <x v="79"/>
    <n v="1757960"/>
    <x v="0"/>
    <s v="Medicine"/>
    <s v="9781118780770"/>
    <s v=",1,2,3,15,16,17,13,14,18,15"/>
    <n v="9"/>
    <m/>
    <m/>
    <s v="No"/>
    <x v="0"/>
    <d v="2015-11-02T02:01:33"/>
    <n v="7"/>
    <s v="173.225.62.67"/>
    <s v="RC537 -- .A236 2014eb"/>
    <s v="616.85/27"/>
    <d v="2014-07-30T00:00:00"/>
  </r>
  <r>
    <x v="4682"/>
    <d v="1899-12-30T00:00:00"/>
    <x v="1206"/>
    <x v="11"/>
    <s v="cobleskill"/>
    <x v="1042"/>
    <n v="1249494"/>
    <x v="3"/>
    <s v="Agriculture; Social Science; Health"/>
    <s v="9780520954571"/>
    <s v=",13"/>
    <n v="1"/>
    <m/>
    <m/>
    <s v="No"/>
    <x v="0"/>
    <d v="2015-11-02T07:46:36"/>
    <n v="7"/>
    <s v="137.36.32.34"/>
    <s v="SB295.C35 -- C54 2013eb"/>
    <n v="362.29300000000001"/>
    <d v="2013-09-01T00:00:00"/>
  </r>
  <r>
    <x v="4683"/>
    <d v="1899-12-30T01:31:13"/>
    <x v="1206"/>
    <x v="11"/>
    <s v="cobleskill"/>
    <x v="1042"/>
    <n v="1249494"/>
    <x v="3"/>
    <s v="Agriculture; Social Science; Health"/>
    <s v="9780520954571"/>
    <s v=",1,2,3,4,5,6,7,8,9,10,11,12,13,14"/>
    <n v="14"/>
    <m/>
    <m/>
    <s v="No"/>
    <x v="1"/>
    <m/>
    <m/>
    <s v="137.36.32.34"/>
    <s v="SB295.C35 -- C54 2013eb"/>
    <n v="362.29300000000001"/>
    <d v="2013-09-01T00:00:00"/>
  </r>
  <r>
    <x v="4684"/>
    <d v="1899-12-30T00:00:56"/>
    <x v="828"/>
    <x v="9"/>
    <s v="trocaire"/>
    <x v="244"/>
    <n v="848510"/>
    <x v="0"/>
    <s v="Medicine"/>
    <s v="9781118220481"/>
    <s v=",1,2,3"/>
    <n v="3"/>
    <m/>
    <m/>
    <s v="No"/>
    <x v="1"/>
    <m/>
    <m/>
    <s v="173.225.62.67"/>
    <s v="RC489.C63 -- C64 2012eb"/>
    <s v="616.89/1425"/>
    <d v="2012-06-06T00:00:00"/>
  </r>
  <r>
    <x v="4685"/>
    <d v="1899-12-30T00:01:37"/>
    <x v="828"/>
    <x v="9"/>
    <s v="trocaire"/>
    <x v="1134"/>
    <n v="759923"/>
    <x v="4"/>
    <s v="Medicine"/>
    <s v="9781609186418"/>
    <s v=",1,2,3,208,209,210,206,207,211"/>
    <n v="9"/>
    <m/>
    <m/>
    <s v="No"/>
    <x v="1"/>
    <m/>
    <m/>
    <s v="173.225.62.67"/>
    <s v="RJ505.C63 -- C45 2012eb"/>
    <n v="618.9289"/>
    <d v="2014-07-04T00:00:00"/>
  </r>
  <r>
    <x v="4686"/>
    <d v="1899-12-30T00:05:03"/>
    <x v="828"/>
    <x v="9"/>
    <s v="trocaire"/>
    <x v="669"/>
    <n v="1742841"/>
    <x v="4"/>
    <s v="Medicine"/>
    <s v="9781462516445"/>
    <s v=",390,390,391,392,389,397,388,395,393,396,394,372,373,374,371,370,369,375,376,377,378,379,380,382,381,383,384,351,352,353,349,350"/>
    <n v="31"/>
    <m/>
    <m/>
    <s v="No"/>
    <x v="0"/>
    <d v="2015-11-02T03:59:47"/>
    <n v="7"/>
    <s v="173.225.62.67"/>
    <s v="RC537 -- .H3376 2014eb"/>
    <n v="616.85270000000003"/>
    <d v="2014-10-22T00:00:00"/>
  </r>
  <r>
    <x v="4687"/>
    <d v="1899-12-30T00:16:44"/>
    <x v="828"/>
    <x v="9"/>
    <s v="trocaire"/>
    <x v="669"/>
    <n v="1742841"/>
    <x v="4"/>
    <s v="Medicine"/>
    <s v="9781462516445"/>
    <s v=",1,3,2,1,371"/>
    <n v="4"/>
    <m/>
    <m/>
    <s v="No"/>
    <x v="1"/>
    <m/>
    <m/>
    <s v="173.225.62.67"/>
    <s v="RC537 -- .H3376 2014eb"/>
    <n v="616.85270000000003"/>
    <d v="2014-10-22T00:00:00"/>
  </r>
  <r>
    <x v="4688"/>
    <d v="1899-12-30T00:01:11"/>
    <x v="1207"/>
    <x v="12"/>
    <s v="potsdam"/>
    <x v="1166"/>
    <n v="1895603"/>
    <x v="0"/>
    <s v="Social Science"/>
    <s v="9781118789315"/>
    <s v=",1,2,3,33,34,35,31,32,30,37,38,39,36"/>
    <n v="13"/>
    <m/>
    <m/>
    <s v="No"/>
    <x v="3"/>
    <m/>
    <m/>
    <s v="137.143.104.94"/>
    <s v="P87.5 -- .C66 2015eb"/>
    <s v="302/.03"/>
    <d v="2015-02-03T00:00:00"/>
  </r>
  <r>
    <x v="4689"/>
    <d v="1899-12-30T00:03:08"/>
    <x v="1207"/>
    <x v="12"/>
    <s v="potsdam"/>
    <x v="829"/>
    <n v="818121"/>
    <x v="0"/>
    <s v="Fine Arts; Business/Management"/>
    <s v="9781118226339"/>
    <s v=",1,2,3,9,10,11,7,8,12,5,4,6,13"/>
    <n v="13"/>
    <m/>
    <m/>
    <s v="No"/>
    <x v="1"/>
    <m/>
    <m/>
    <s v="137.143.104.94"/>
    <s v="PN1992.55 -- .P76 2012eb"/>
    <s v="658.872; 659.02854678"/>
    <d v="2012-01-26T00:00:00"/>
  </r>
  <r>
    <x v="4690"/>
    <d v="1899-12-30T02:14:10"/>
    <x v="13"/>
    <x v="0"/>
    <s v="Buffalo"/>
    <x v="73"/>
    <n v="1119505"/>
    <x v="0"/>
    <s v="Science: Chemistry; Science"/>
    <s v="9781118355015"/>
    <s v=",1,2,3,174,173,175,171,172,176,177,178,179,180,181,182,183,184,179,171,172,185,186"/>
    <n v="19"/>
    <m/>
    <m/>
    <s v="No"/>
    <x v="0"/>
    <d v="2015-10-29T18:29:10"/>
    <n v="7"/>
    <s v="128.205.114.91"/>
    <s v="QD251.3 -- .S38 2013eb"/>
    <s v="547/.128"/>
    <d v="2013-01-28T00:00:00"/>
  </r>
  <r>
    <x v="4691"/>
    <d v="1899-12-30T01:21:56"/>
    <x v="828"/>
    <x v="9"/>
    <s v="trocaire"/>
    <x v="79"/>
    <n v="1757960"/>
    <x v="0"/>
    <s v="Medicine"/>
    <s v="9781118780770"/>
    <s v=",1,2,3,24,26,23,25,22,24,27,28,38,39,37,36,35"/>
    <n v="15"/>
    <m/>
    <m/>
    <s v="No"/>
    <x v="0"/>
    <d v="2015-11-02T02:01:33"/>
    <n v="7"/>
    <s v="173.225.62.67"/>
    <s v="RC537 -- .A236 2014eb"/>
    <s v="616.85/27"/>
    <d v="2014-07-30T00:00:00"/>
  </r>
  <r>
    <x v="4692"/>
    <d v="1899-12-30T00:03:22"/>
    <x v="874"/>
    <x v="0"/>
    <s v="Buffalo"/>
    <x v="873"/>
    <n v="1760725"/>
    <x v="4"/>
    <s v="Medicine"/>
    <s v="9781462517992"/>
    <s v=",1,2,3,27,28,29,25,26,30,31,32,33,34,35"/>
    <n v="14"/>
    <m/>
    <m/>
    <s v="No"/>
    <x v="3"/>
    <m/>
    <m/>
    <s v="128.205.114.91"/>
    <s v="RC489.C63 -- .W675 2015eb"/>
    <s v="616.89/142"/>
    <d v="2014-11-10T00:00:00"/>
  </r>
  <r>
    <x v="4693"/>
    <d v="1899-12-30T00:00:03"/>
    <x v="1207"/>
    <x v="12"/>
    <s v="potsdam"/>
    <x v="1167"/>
    <n v="1604130"/>
    <x v="0"/>
    <s v="Economics; Business/Management"/>
    <s v="9780745678917"/>
    <s v=",1"/>
    <n v="1"/>
    <m/>
    <m/>
    <s v="No"/>
    <x v="3"/>
    <m/>
    <m/>
    <s v="137.143.104.94"/>
    <s v="HB501 -- .L495 2013eb"/>
    <n v="330.12200000000001"/>
    <d v="2014-01-24T00:00:00"/>
  </r>
  <r>
    <x v="4694"/>
    <d v="1899-12-30T00:00:04"/>
    <x v="1207"/>
    <x v="12"/>
    <s v="potsdam"/>
    <x v="1168"/>
    <n v="1895151"/>
    <x v="0"/>
    <s v="Business/Management"/>
    <s v="9781118933244"/>
    <s v=",1,2,3"/>
    <n v="3"/>
    <m/>
    <m/>
    <s v="No"/>
    <x v="3"/>
    <m/>
    <m/>
    <s v="137.143.104.94"/>
    <s v="HD2746.5 .G447 2015"/>
    <n v="658.40120000000002"/>
    <d v="2015-05-08T00:00:00"/>
  </r>
  <r>
    <x v="4695"/>
    <d v="1899-12-30T00:01:08"/>
    <x v="1207"/>
    <x v="12"/>
    <s v="potsdam"/>
    <x v="1166"/>
    <n v="1895603"/>
    <x v="0"/>
    <s v="Social Science"/>
    <s v="9781118789315"/>
    <s v=",1,2,3,5,4,6,7,8,9,33,34,35,31,32,37,38,39,36"/>
    <n v="18"/>
    <m/>
    <m/>
    <s v="No"/>
    <x v="3"/>
    <m/>
    <m/>
    <s v="137.143.104.94"/>
    <s v="P87.5 -- .C66 2015eb"/>
    <s v="302/.03"/>
    <d v="2015-02-03T00:00:00"/>
  </r>
  <r>
    <x v="4696"/>
    <d v="1899-12-30T00:19:47"/>
    <x v="1064"/>
    <x v="1"/>
    <s v="brockport"/>
    <x v="11"/>
    <n v="693176"/>
    <x v="0"/>
    <s v="Engineering: Manufacturing; General Works/Reference; Engineering"/>
    <s v="9781118017746"/>
    <s v=",1,2,3,292,293,294,290,291,296,297,298,295,299,300,301,302,303,304,305,306,307,308,305,306,307,303,304,305,307,306,304,302,303,308,309,310,311,312,313,314,315,316,317,318,319,320,321,322,323,324,325,326,327"/>
    <n v="41"/>
    <m/>
    <m/>
    <s v="No"/>
    <x v="0"/>
    <d v="2015-10-28T02:39:13"/>
    <n v="7"/>
    <s v="137.21.7.121"/>
    <s v="Z246 -- .M43 2012eb"/>
    <s v="686.2/209"/>
    <d v="2011-10-19T00:00:00"/>
  </r>
  <r>
    <x v="4697"/>
    <d v="1899-12-30T02:16:22"/>
    <x v="828"/>
    <x v="9"/>
    <s v="trocaire"/>
    <x v="79"/>
    <n v="1757960"/>
    <x v="0"/>
    <s v="Medicine"/>
    <s v="9781118780770"/>
    <s v=",1,18,18,19,20,21,22,23,27,27,27,26,28,25,29"/>
    <n v="12"/>
    <m/>
    <m/>
    <s v="No"/>
    <x v="0"/>
    <d v="2015-11-02T02:01:33"/>
    <n v="7"/>
    <s v="173.225.62.67"/>
    <s v="RC537 -- .A236 2014eb"/>
    <s v="616.85/27"/>
    <d v="2014-07-30T00:00:00"/>
  </r>
  <r>
    <x v="4698"/>
    <d v="1899-12-30T00:03:06"/>
    <x v="828"/>
    <x v="9"/>
    <s v="trocaire"/>
    <x v="79"/>
    <n v="1757960"/>
    <x v="0"/>
    <s v="Medicine"/>
    <s v="9781118780770"/>
    <s v=",1,2,3"/>
    <n v="3"/>
    <m/>
    <m/>
    <s v="No"/>
    <x v="1"/>
    <m/>
    <m/>
    <s v="173.225.62.67"/>
    <s v="RC537 -- .A236 2014eb"/>
    <s v="616.85/27"/>
    <d v="2014-07-30T00:00:00"/>
  </r>
  <r>
    <x v="4699"/>
    <d v="1899-12-30T00:02:20"/>
    <x v="791"/>
    <x v="6"/>
    <s v="sjfc"/>
    <x v="822"/>
    <n v="1034770"/>
    <x v="4"/>
    <s v="Medicine"/>
    <s v="9781462507566"/>
    <s v=",1,2,3,351,352,353,349,350,354,355,356,357,358,359,360,361,362,363,364"/>
    <n v="19"/>
    <m/>
    <m/>
    <s v="No"/>
    <x v="0"/>
    <d v="2015-11-01T14:30:07"/>
    <n v="7"/>
    <s v="149.69.254.57"/>
    <s v="RC533 -- .M56 2012eb"/>
    <n v="616.85839999999996"/>
    <d v="2013-10-20T00:00:00"/>
  </r>
  <r>
    <x v="4700"/>
    <d v="1899-12-30T00:00:58"/>
    <x v="1208"/>
    <x v="7"/>
    <s v="oneonta"/>
    <x v="1169"/>
    <n v="1666572"/>
    <x v="11"/>
    <s v="History; Political Science"/>
    <s v="9780226136066"/>
    <s v=",11,13,12,10,9,51,52,53,49,50"/>
    <n v="10"/>
    <m/>
    <m/>
    <s v="No"/>
    <x v="2"/>
    <d v="2015-11-02T00:53:25"/>
    <n v="1"/>
    <s v="137.141.13.2"/>
    <s v="F548"/>
    <s v="323.1196/073077311"/>
    <d v="2014-04-28T00:00:00"/>
  </r>
  <r>
    <x v="4701"/>
    <d v="1899-12-30T00:07:25"/>
    <x v="1208"/>
    <x v="7"/>
    <s v="oneonta"/>
    <x v="1169"/>
    <n v="1666572"/>
    <x v="11"/>
    <s v="History; Political Science"/>
    <s v="9780226136066"/>
    <s v=",1,2,3,300,302,301,299,298,303,304,305,306,307,308"/>
    <n v="14"/>
    <m/>
    <m/>
    <s v="No"/>
    <x v="3"/>
    <m/>
    <m/>
    <s v="137.141.13.2"/>
    <s v="F548"/>
    <s v="323.1196/073077311"/>
    <d v="2014-04-28T00:00:00"/>
  </r>
  <r>
    <x v="4702"/>
    <d v="1899-12-30T00:04:54"/>
    <x v="1203"/>
    <x v="5"/>
    <s v="erie"/>
    <x v="829"/>
    <n v="818121"/>
    <x v="0"/>
    <s v="Fine Arts; Business/Management"/>
    <s v="9781118226339"/>
    <s v=",1,2,3,25,26,27,23,24,28,127,128,129,125,99,100,101,102,97,98,99,5,6,7,8,4,13,14,15,19,20,21,17,22,29,30,151,152,153,154,156,157,158,159,175,176,177,173,174,178,179,180,181,182,183,184,185,186,187"/>
    <n v="57"/>
    <m/>
    <m/>
    <s v="No"/>
    <x v="0"/>
    <d v="2015-10-29T19:25:56"/>
    <n v="7"/>
    <s v="199.29.6.54"/>
    <s v="PN1992.55 -- .P76 2012eb"/>
    <s v="658.872; 659.02854678"/>
    <d v="2012-01-26T00:00:00"/>
  </r>
  <r>
    <x v="4703"/>
    <d v="1899-12-30T00:00:00"/>
    <x v="950"/>
    <x v="12"/>
    <s v="potsdam"/>
    <x v="922"/>
    <n v="2004809"/>
    <x v="1"/>
    <s v="Law"/>
    <s v="9781472443465"/>
    <s v=",32"/>
    <n v="1"/>
    <m/>
    <m/>
    <s v="No"/>
    <x v="2"/>
    <d v="2015-11-01T23:45:55"/>
    <n v="1"/>
    <s v="137.143.104.94"/>
    <s v="K3927 -- .I58 2015eb"/>
    <s v="346.04/84"/>
    <d v="2015-04-28T00:00:00"/>
  </r>
  <r>
    <x v="4704"/>
    <d v="1899-12-30T00:07:32"/>
    <x v="950"/>
    <x v="12"/>
    <s v="potsdam"/>
    <x v="922"/>
    <n v="2004809"/>
    <x v="1"/>
    <s v="Law"/>
    <s v="9781472443465"/>
    <s v=",1,2,3,4,5,6,7,8,9,10,12,11,13,14,15,16,17,18,19,20,21,22,23,24,25,26,27,28,29,30,31"/>
    <n v="31"/>
    <m/>
    <m/>
    <s v="No"/>
    <x v="3"/>
    <m/>
    <m/>
    <s v="137.143.104.94"/>
    <s v="K3927 -- .I58 2015eb"/>
    <s v="346.04/84"/>
    <d v="2015-04-28T00:00:00"/>
  </r>
  <r>
    <x v="4705"/>
    <d v="1899-12-30T00:09:21"/>
    <x v="13"/>
    <x v="0"/>
    <s v="Buffalo"/>
    <x v="404"/>
    <n v="1732123"/>
    <x v="0"/>
    <s v="Economics; Business/Management"/>
    <s v="9781118884942"/>
    <s v=",1,2,3,4,5,6,7,8,9,10,11,12,13,14,15,16,17,18,19,20,21"/>
    <n v="21"/>
    <m/>
    <m/>
    <s v="No"/>
    <x v="1"/>
    <m/>
    <m/>
    <s v="128.205.114.91"/>
    <s v="HG179 -- .T976 2014eb"/>
    <n v="332.024"/>
    <d v="2014-07-07T00:00:00"/>
  </r>
  <r>
    <x v="4706"/>
    <d v="1899-12-30T00:00:46"/>
    <x v="1209"/>
    <x v="12"/>
    <s v="potsdam"/>
    <x v="1170"/>
    <n v="1882078"/>
    <x v="3"/>
    <s v="History; Social Science"/>
    <s v="9780520960480"/>
    <s v=",1,1,3,3,2,4,2,4,34,34,35,36,32,35,33,36,33,37,37,2,38,38,39,40,39,40,41,41,42,42,43,44,43,44,45,46,45,46,47,48,47,49,50,49,48,50"/>
    <n v="23"/>
    <m/>
    <m/>
    <s v="No"/>
    <x v="3"/>
    <m/>
    <m/>
    <s v="137.143.104.94"/>
    <s v="E185.97.D73 .M384 2015"/>
    <n v="301.09199999999998"/>
    <d v="2015-08-27T00:00:00"/>
  </r>
  <r>
    <x v="4707"/>
    <d v="1899-12-30T00:12:56"/>
    <x v="466"/>
    <x v="1"/>
    <s v="brockport"/>
    <x v="929"/>
    <n v="1110770"/>
    <x v="3"/>
    <s v="Language/Linguistics"/>
    <s v="9780520955233"/>
    <s v=",8,62,63,1,4,5,1,5"/>
    <n v="6"/>
    <m/>
    <m/>
    <s v="No"/>
    <x v="2"/>
    <d v="2015-11-01T22:20:55"/>
    <n v="1"/>
    <s v="137.21.7.121"/>
    <s v="PJ1135 .S35 2013"/>
    <n v="493.186421"/>
    <d v="2014-05-14T00:00:00"/>
  </r>
  <r>
    <x v="4708"/>
    <d v="1899-12-30T00:00:45"/>
    <x v="13"/>
    <x v="0"/>
    <s v="Buffalo"/>
    <x v="73"/>
    <n v="1119505"/>
    <x v="0"/>
    <s v="Science: Chemistry; Science"/>
    <s v="9781118355015"/>
    <s v=",1,2,3,178,179,180,176,177,181,182,183,184"/>
    <n v="12"/>
    <m/>
    <m/>
    <s v="No"/>
    <x v="0"/>
    <d v="2015-10-29T18:29:10"/>
    <n v="7"/>
    <s v="128.205.114.91"/>
    <s v="QD251.3 -- .S38 2013eb"/>
    <s v="547/.128"/>
    <d v="2013-01-28T00:00:00"/>
  </r>
  <r>
    <x v="4709"/>
    <d v="1899-12-30T00:09:27"/>
    <x v="1210"/>
    <x v="1"/>
    <s v="brockport"/>
    <x v="151"/>
    <n v="968030"/>
    <x v="0"/>
    <s v="Psychology"/>
    <s v="9781118285138"/>
    <s v=",1,2,3,408,409,410,406,407,548,549,550,546,547,555,556,557,553,554,558,559,560,561,562,563"/>
    <n v="24"/>
    <m/>
    <m/>
    <s v="No"/>
    <x v="1"/>
    <m/>
    <m/>
    <s v="137.21.7.121"/>
    <s v="BF637.C6 -- S85 2013eb"/>
    <n v="158.30000000000001"/>
    <d v="2012-07-10T00:00:00"/>
  </r>
  <r>
    <x v="4710"/>
    <d v="1899-12-30T01:07:49"/>
    <x v="466"/>
    <x v="1"/>
    <s v="brockport"/>
    <x v="929"/>
    <n v="1110770"/>
    <x v="3"/>
    <s v="Language/Linguistics"/>
    <s v="9780520955233"/>
    <s v=",1,2,2,3,3,1,2,1,2,1,1,1,1,1,2,3,4,5,8,37"/>
    <n v="7"/>
    <m/>
    <m/>
    <s v="No"/>
    <x v="3"/>
    <m/>
    <m/>
    <s v="137.21.7.121"/>
    <s v="PJ1135 .S35 2013"/>
    <n v="493.186421"/>
    <d v="2014-05-14T00:00:00"/>
  </r>
  <r>
    <x v="4711"/>
    <d v="1899-12-30T00:09:23"/>
    <x v="828"/>
    <x v="9"/>
    <s v="trocaire"/>
    <x v="79"/>
    <n v="1757960"/>
    <x v="0"/>
    <s v="Medicine"/>
    <s v="9781118780770"/>
    <s v=",1,2,3,15,17,13,16,14,18,15,15,16,18,17,18"/>
    <n v="9"/>
    <m/>
    <m/>
    <s v="No"/>
    <x v="1"/>
    <m/>
    <m/>
    <s v="173.225.62.67"/>
    <s v="RC537 -- .A236 2014eb"/>
    <s v="616.85/27"/>
    <d v="2014-07-30T00:00:00"/>
  </r>
  <r>
    <x v="4712"/>
    <d v="1899-12-30T01:25:03"/>
    <x v="787"/>
    <x v="1"/>
    <s v="brockport"/>
    <x v="151"/>
    <n v="968030"/>
    <x v="0"/>
    <s v="Psychology"/>
    <s v="9781118285138"/>
    <s v=",560,563,564,565"/>
    <n v="4"/>
    <m/>
    <m/>
    <s v="No"/>
    <x v="0"/>
    <d v="2015-11-01T20:42:09"/>
    <n v="7"/>
    <s v="137.21.7.121"/>
    <s v="BF637.C6 -- S85 2013eb"/>
    <n v="158.30000000000001"/>
    <d v="2012-07-10T00:00:00"/>
  </r>
  <r>
    <x v="4713"/>
    <d v="1899-12-30T00:26:54"/>
    <x v="787"/>
    <x v="1"/>
    <s v="brockport"/>
    <x v="151"/>
    <n v="968030"/>
    <x v="0"/>
    <s v="Psychology"/>
    <s v="9781118285138"/>
    <s v=",1,2,3,560,561,562,558,559,563,564,557,556,554,555,553,552,551,550,549,548,547,546,545"/>
    <n v="23"/>
    <m/>
    <m/>
    <s v="No"/>
    <x v="1"/>
    <m/>
    <m/>
    <s v="137.21.7.121"/>
    <s v="BF637.C6 -- S85 2013eb"/>
    <n v="158.30000000000001"/>
    <d v="2012-07-10T00:00:00"/>
  </r>
  <r>
    <x v="4714"/>
    <d v="1899-12-30T00:00:04"/>
    <x v="535"/>
    <x v="0"/>
    <s v="Buffalo"/>
    <x v="581"/>
    <n v="1124406"/>
    <x v="0"/>
    <s v="Business/Management; Computer Science/IT"/>
    <s v="9781118490389"/>
    <s v=",1,2,3"/>
    <n v="3"/>
    <m/>
    <m/>
    <s v="No"/>
    <x v="1"/>
    <m/>
    <m/>
    <s v="128.205.114.91"/>
    <s v="HF5548.4.M523 W34573 2010"/>
    <n v="5.54"/>
    <d v="2013-02-06T00:00:00"/>
  </r>
  <r>
    <x v="4715"/>
    <d v="1899-12-30T00:09:16"/>
    <x v="989"/>
    <x v="1"/>
    <s v="brockport"/>
    <x v="519"/>
    <n v="822662"/>
    <x v="0"/>
    <s v="History"/>
    <s v="9781444355130"/>
    <s v=",1,2,3,256,257,258,254,255,259,260,261,262,263,264,165,166,167,163,164,185,186,187,183,209,210,211,207,208,212,213,214,215,216,217,218,219,220,221,222,223,224,225,226,227,228,229,230,231,232,233,234"/>
    <n v="51"/>
    <m/>
    <m/>
    <s v="No"/>
    <x v="0"/>
    <d v="2015-10-30T15:40:31"/>
    <n v="7"/>
    <s v="137.21.7.121"/>
    <s v="DT20 -- .R45 2012eb"/>
    <n v="960.3"/>
    <d v="2011-11-11T00:00:00"/>
  </r>
  <r>
    <x v="4716"/>
    <d v="1899-12-30T00:49:05"/>
    <x v="791"/>
    <x v="6"/>
    <s v="sjfc"/>
    <x v="822"/>
    <n v="1034770"/>
    <x v="4"/>
    <s v="Medicine"/>
    <s v="9781462507566"/>
    <s v=",1,2,3,41,42,43,39,40,44,45,46,47,48,49,50,51,52,53,54,55,56,57,58,59,60,61,62,63,64,65,66,67,68,1,68,70,66,67,69,78,80,76,79,77,81,2,82,83,84,86,87,82,83,84,85"/>
    <n v="47"/>
    <m/>
    <m/>
    <s v="No"/>
    <x v="0"/>
    <d v="2015-11-01T14:30:07"/>
    <n v="7"/>
    <s v="149.69.254.57"/>
    <s v="RC533 -- .M56 2012eb"/>
    <n v="616.85839999999996"/>
    <d v="2013-10-20T00:00:00"/>
  </r>
  <r>
    <x v="4717"/>
    <d v="1899-12-30T00:40:24"/>
    <x v="1211"/>
    <x v="0"/>
    <s v="Buffalo"/>
    <x v="1171"/>
    <n v="1991216"/>
    <x v="4"/>
    <s v="Medicine"/>
    <s v="9781462521029"/>
    <s v=",24,25,26,27,28,267,268,269,265,266,270,271,272,273,274,275,276"/>
    <n v="17"/>
    <m/>
    <m/>
    <s v="Yes"/>
    <x v="2"/>
    <d v="2015-11-01T19:26:35"/>
    <n v="7"/>
    <s v="128.205.114.91"/>
    <s v="RC480.7 .M68 2015"/>
    <n v="616.89"/>
    <d v="2015-06-15T00:00:00"/>
  </r>
  <r>
    <x v="4717"/>
    <d v="1899-12-30T00:00:00"/>
    <x v="1211"/>
    <x v="0"/>
    <s v="Buffalo"/>
    <x v="1171"/>
    <n v="1991216"/>
    <x v="4"/>
    <s v="Medicine"/>
    <s v="9781462521029"/>
    <m/>
    <n v="0"/>
    <m/>
    <m/>
    <s v="No"/>
    <x v="2"/>
    <d v="2015-11-01T19:26:35"/>
    <n v="7"/>
    <s v="128.205.114.91"/>
    <s v="RC480.7 .M68 2015"/>
    <n v="616.89"/>
    <d v="2015-06-15T00:00:00"/>
  </r>
  <r>
    <x v="4718"/>
    <d v="1899-12-30T00:02:38"/>
    <x v="1211"/>
    <x v="0"/>
    <s v="Buffalo"/>
    <x v="1171"/>
    <n v="1991216"/>
    <x v="4"/>
    <s v="Medicine"/>
    <s v="9781462521029"/>
    <s v=",1,2,3,19,20,21,17,18,22,2,23"/>
    <n v="10"/>
    <m/>
    <m/>
    <s v="No"/>
    <x v="3"/>
    <m/>
    <m/>
    <s v="128.205.114.91"/>
    <s v="RC480.7 .M68 2015"/>
    <n v="616.89"/>
    <d v="2015-06-15T00:00:00"/>
  </r>
  <r>
    <x v="4719"/>
    <d v="1899-12-30T00:33:43"/>
    <x v="1212"/>
    <x v="6"/>
    <s v="sjfc"/>
    <x v="1137"/>
    <n v="1896037"/>
    <x v="0"/>
    <s v="Science; Medicine; Science: Biology/Natural History"/>
    <s v="9781119066262"/>
    <s v=",49,51,50,48,47,37,38,39,31,32,33,29,30,40,57,58,59,55,56,60,61,62,63,64,65,66,67"/>
    <n v="27"/>
    <m/>
    <m/>
    <s v="No"/>
    <x v="0"/>
    <d v="2015-11-01T17:38:11"/>
    <n v="7"/>
    <s v="149.69.254.57"/>
    <s v="QR201.E16 -- C43 2015eb"/>
    <s v="616.9; 616.925"/>
    <d v="2014-12-17T00:00:00"/>
  </r>
  <r>
    <x v="4720"/>
    <d v="1899-12-30T00:14:07"/>
    <x v="1212"/>
    <x v="6"/>
    <s v="sjfc"/>
    <x v="1137"/>
    <n v="1896037"/>
    <x v="0"/>
    <s v="Science; Medicine; Science: Biology/Natural History"/>
    <s v="9781119066262"/>
    <s v=",1,2,3,54,55,56,52,53,19,20,21,17,18,22"/>
    <n v="14"/>
    <m/>
    <m/>
    <s v="No"/>
    <x v="1"/>
    <m/>
    <m/>
    <s v="149.69.254.57"/>
    <s v="QR201.E16 -- C43 2015eb"/>
    <s v="616.9; 616.925"/>
    <d v="2014-12-17T00:00:00"/>
  </r>
  <r>
    <x v="4721"/>
    <d v="1899-12-30T00:00:12"/>
    <x v="1040"/>
    <x v="16"/>
    <s v="monroecc"/>
    <x v="1172"/>
    <n v="1662677"/>
    <x v="0"/>
    <s v="Education"/>
    <s v="9781118841280"/>
    <s v=",2,2"/>
    <n v="1"/>
    <m/>
    <m/>
    <s v="Yes"/>
    <x v="2"/>
    <d v="2015-11-01T17:10:35"/>
    <n v="1"/>
    <s v="150.160.200.114"/>
    <s v="LC5225.T4 S67 2014"/>
    <s v="374.973; 374/.973"/>
    <d v="2014-03-26T00:00:00"/>
  </r>
  <r>
    <x v="4721"/>
    <d v="1899-12-30T00:00:00"/>
    <x v="1040"/>
    <x v="16"/>
    <s v="monroecc"/>
    <x v="1172"/>
    <n v="1662677"/>
    <x v="0"/>
    <s v="Education"/>
    <s v="9781118841280"/>
    <m/>
    <n v="0"/>
    <m/>
    <m/>
    <s v="No"/>
    <x v="2"/>
    <d v="2015-11-01T17:10:35"/>
    <n v="1"/>
    <s v="150.160.200.114"/>
    <s v="LC5225.T4 S67 2014"/>
    <s v="374.973; 374/.973"/>
    <d v="2014-03-26T00:00:00"/>
  </r>
  <r>
    <x v="4722"/>
    <d v="1899-12-30T00:00:10"/>
    <x v="1040"/>
    <x v="16"/>
    <s v="monroecc"/>
    <x v="1172"/>
    <n v="1662677"/>
    <x v="0"/>
    <s v="Education"/>
    <s v="9781118841280"/>
    <s v=",2,1,2,3,3,1"/>
    <n v="3"/>
    <m/>
    <m/>
    <s v="No"/>
    <x v="3"/>
    <m/>
    <m/>
    <s v="150.160.200.114"/>
    <s v="LC5225.T4 S67 2014"/>
    <s v="374.973; 374/.973"/>
    <d v="2014-03-26T00:00:00"/>
  </r>
  <r>
    <x v="4723"/>
    <d v="1899-12-30T00:00:17"/>
    <x v="1040"/>
    <x v="16"/>
    <s v="monroecc"/>
    <x v="1173"/>
    <n v="1318536"/>
    <x v="5"/>
    <s v="Social Science"/>
    <s v="9781479897506"/>
    <s v=",2,2"/>
    <n v="1"/>
    <m/>
    <m/>
    <s v="Yes"/>
    <x v="2"/>
    <d v="2015-11-01T17:07:06"/>
    <n v="1"/>
    <s v="150.160.200.114"/>
    <s v="HN18.3 -- .A13 2013eb"/>
    <n v="303.37200000000001"/>
    <d v="2013-09-09T00:00:00"/>
  </r>
  <r>
    <x v="4723"/>
    <d v="1899-12-30T00:00:00"/>
    <x v="1040"/>
    <x v="16"/>
    <s v="monroecc"/>
    <x v="1173"/>
    <n v="1318536"/>
    <x v="5"/>
    <s v="Social Science"/>
    <s v="9781479897506"/>
    <m/>
    <n v="0"/>
    <m/>
    <m/>
    <s v="No"/>
    <x v="2"/>
    <d v="2015-11-01T17:07:06"/>
    <n v="1"/>
    <s v="150.160.200.114"/>
    <s v="HN18.3 -- .A13 2013eb"/>
    <n v="303.37200000000001"/>
    <d v="2013-09-09T00:00:00"/>
  </r>
  <r>
    <x v="4724"/>
    <d v="1899-12-30T00:00:05"/>
    <x v="1040"/>
    <x v="16"/>
    <s v="monroecc"/>
    <x v="1173"/>
    <n v="1318536"/>
    <x v="5"/>
    <s v="Social Science"/>
    <s v="9781479897506"/>
    <s v=",1,1,2,3,2,3"/>
    <n v="3"/>
    <m/>
    <m/>
    <s v="No"/>
    <x v="3"/>
    <m/>
    <m/>
    <s v="150.160.200.114"/>
    <s v="HN18.3 -- .A13 2013eb"/>
    <n v="303.37200000000001"/>
    <d v="2013-09-09T00:00:00"/>
  </r>
  <r>
    <x v="4725"/>
    <d v="1899-12-30T00:00:14"/>
    <x v="1040"/>
    <x v="16"/>
    <s v="monroecc"/>
    <x v="1174"/>
    <n v="1155387"/>
    <x v="0"/>
    <s v="General Works/Reference; Business/Management"/>
    <s v="9781118616376"/>
    <s v=",2,2"/>
    <n v="1"/>
    <m/>
    <m/>
    <s v="Yes"/>
    <x v="2"/>
    <d v="2015-11-01T17:06:16"/>
    <n v="1"/>
    <s v="150.160.200.114"/>
    <s v="HD69.C6 N53 2013"/>
    <s v="001; 658"/>
    <d v="2013-03-15T00:00:00"/>
  </r>
  <r>
    <x v="4725"/>
    <d v="1899-12-30T00:00:00"/>
    <x v="1040"/>
    <x v="16"/>
    <s v="monroecc"/>
    <x v="1174"/>
    <n v="1155387"/>
    <x v="0"/>
    <s v="General Works/Reference; Business/Management"/>
    <s v="9781118616376"/>
    <m/>
    <n v="0"/>
    <m/>
    <m/>
    <s v="No"/>
    <x v="2"/>
    <d v="2015-11-01T17:06:16"/>
    <n v="1"/>
    <s v="150.160.200.114"/>
    <s v="HD69.C6 N53 2013"/>
    <s v="001; 658"/>
    <d v="2013-03-15T00:00:00"/>
  </r>
  <r>
    <x v="4726"/>
    <d v="1899-12-30T00:00:09"/>
    <x v="1040"/>
    <x v="16"/>
    <s v="monroecc"/>
    <x v="1174"/>
    <n v="1155387"/>
    <x v="0"/>
    <s v="General Works/Reference; Business/Management"/>
    <s v="9781118616376"/>
    <s v=",1,2,2,3,3,1"/>
    <n v="3"/>
    <m/>
    <m/>
    <s v="No"/>
    <x v="3"/>
    <m/>
    <m/>
    <s v="150.160.200.114"/>
    <s v="HD69.C6 N53 2013"/>
    <s v="001; 658"/>
    <d v="2013-03-15T00:00:00"/>
  </r>
  <r>
    <x v="4727"/>
    <d v="1899-12-30T00:00:16"/>
    <x v="1040"/>
    <x v="16"/>
    <s v="monroecc"/>
    <x v="471"/>
    <n v="1953321"/>
    <x v="0"/>
    <s v="Business/Management"/>
    <s v="9781119062448"/>
    <s v=",2,2"/>
    <n v="1"/>
    <m/>
    <m/>
    <s v="Yes"/>
    <x v="0"/>
    <d v="2015-11-01T17:06:02"/>
    <n v="7"/>
    <s v="150.160.200.114"/>
    <s v="HF5548.4.M523 -- F35 2015eb"/>
    <n v="658.15028555399999"/>
    <d v="2015-03-16T00:00:00"/>
  </r>
  <r>
    <x v="4727"/>
    <d v="1899-12-30T00:00:00"/>
    <x v="1040"/>
    <x v="16"/>
    <s v="monroecc"/>
    <x v="471"/>
    <n v="1953321"/>
    <x v="0"/>
    <s v="Business/Management"/>
    <s v="9781119062448"/>
    <m/>
    <n v="0"/>
    <m/>
    <m/>
    <s v="No"/>
    <x v="0"/>
    <d v="2015-11-01T17:06:02"/>
    <n v="7"/>
    <s v="150.160.200.114"/>
    <s v="HF5548.4.M523 -- F35 2015eb"/>
    <n v="658.15028555399999"/>
    <d v="2015-03-16T00:00:00"/>
  </r>
  <r>
    <x v="4728"/>
    <d v="1899-12-30T00:00:06"/>
    <x v="1040"/>
    <x v="16"/>
    <s v="monroecc"/>
    <x v="471"/>
    <n v="1953321"/>
    <x v="0"/>
    <s v="Business/Management"/>
    <s v="9781119062448"/>
    <s v=",1,2,2,1,3,3"/>
    <n v="3"/>
    <m/>
    <m/>
    <s v="No"/>
    <x v="1"/>
    <m/>
    <m/>
    <s v="150.160.200.114"/>
    <s v="HF5548.4.M523 -- F35 2015eb"/>
    <n v="658.15028555399999"/>
    <d v="2015-03-16T00:00:00"/>
  </r>
  <r>
    <x v="4729"/>
    <d v="1899-12-30T00:00:06"/>
    <x v="1213"/>
    <x v="0"/>
    <s v="Buffalo"/>
    <x v="768"/>
    <n v="829309"/>
    <x v="4"/>
    <s v="Medicine"/>
    <s v="9781462502387"/>
    <s v=",39,40,41"/>
    <n v="3"/>
    <m/>
    <m/>
    <s v="No"/>
    <x v="0"/>
    <d v="2015-11-01T17:05:28"/>
    <n v="7"/>
    <s v="128.205.114.91"/>
    <s v="RC489.B4 -- K64 2012eb"/>
    <n v="616.89142000000004"/>
    <d v="2011-12-14T00:00:00"/>
  </r>
  <r>
    <x v="4730"/>
    <d v="1899-12-30T00:00:14"/>
    <x v="1040"/>
    <x v="16"/>
    <s v="monroecc"/>
    <x v="1175"/>
    <n v="1896284"/>
    <x v="0"/>
    <s v="Business/Management"/>
    <s v="9780857085214"/>
    <s v=",2,2"/>
    <n v="1"/>
    <m/>
    <m/>
    <s v="Yes"/>
    <x v="0"/>
    <d v="2015-11-01T17:05:20"/>
    <n v="7"/>
    <s v="150.160.200.114"/>
    <s v="HF5386"/>
    <n v="658"/>
    <d v="2014-12-11T00:00:00"/>
  </r>
  <r>
    <x v="4730"/>
    <d v="1899-12-30T00:00:00"/>
    <x v="1040"/>
    <x v="16"/>
    <s v="monroecc"/>
    <x v="1175"/>
    <n v="1896284"/>
    <x v="0"/>
    <s v="Business/Management"/>
    <s v="9780857085214"/>
    <m/>
    <n v="0"/>
    <m/>
    <m/>
    <s v="No"/>
    <x v="0"/>
    <d v="2015-11-01T17:05:20"/>
    <n v="7"/>
    <s v="150.160.200.114"/>
    <s v="HF5386"/>
    <n v="658"/>
    <d v="2014-12-11T00:00:00"/>
  </r>
  <r>
    <x v="4731"/>
    <d v="1899-12-30T00:00:08"/>
    <x v="1040"/>
    <x v="16"/>
    <s v="monroecc"/>
    <x v="1175"/>
    <n v="1896284"/>
    <x v="0"/>
    <s v="Business/Management"/>
    <s v="9780857085214"/>
    <s v=",1,3,3,2,2,1"/>
    <n v="3"/>
    <m/>
    <m/>
    <s v="No"/>
    <x v="3"/>
    <m/>
    <m/>
    <s v="150.160.200.114"/>
    <s v="HF5386"/>
    <n v="658"/>
    <d v="2014-12-11T00:00:00"/>
  </r>
  <r>
    <x v="4732"/>
    <d v="1899-12-30T00:00:00"/>
    <x v="1040"/>
    <x v="16"/>
    <s v="monroecc"/>
    <x v="1176"/>
    <n v="1895414"/>
    <x v="0"/>
    <s v="Social Science; Health"/>
    <s v="9780857085917"/>
    <m/>
    <n v="0"/>
    <m/>
    <m/>
    <s v="Yes"/>
    <x v="0"/>
    <d v="2015-11-01T17:04:44"/>
    <n v="7"/>
    <s v="150.160.200.114"/>
    <s v="RA785 -- .H377 2015eb"/>
    <n v="613"/>
    <d v="2015-02-13T00:00:00"/>
  </r>
  <r>
    <x v="4732"/>
    <d v="1899-12-30T00:00:00"/>
    <x v="1040"/>
    <x v="16"/>
    <s v="monroecc"/>
    <x v="1176"/>
    <n v="1895414"/>
    <x v="0"/>
    <s v="Social Science; Health"/>
    <s v="9780857085917"/>
    <m/>
    <n v="0"/>
    <m/>
    <m/>
    <s v="No"/>
    <x v="0"/>
    <d v="2015-11-01T17:04:44"/>
    <n v="7"/>
    <s v="150.160.200.114"/>
    <s v="RA785 -- .H377 2015eb"/>
    <n v="613"/>
    <d v="2015-02-13T00:00:00"/>
  </r>
  <r>
    <x v="4733"/>
    <d v="1899-12-30T00:00:00"/>
    <x v="1040"/>
    <x v="16"/>
    <s v="monroecc"/>
    <x v="1177"/>
    <n v="836860"/>
    <x v="4"/>
    <s v="Psychology"/>
    <s v="9781462503117"/>
    <m/>
    <n v="0"/>
    <m/>
    <m/>
    <s v="Yes"/>
    <x v="0"/>
    <d v="2015-11-01T17:03:54"/>
    <n v="7"/>
    <s v="150.160.200.114"/>
    <s v="BF697 -- .H345 2012eb"/>
    <n v="155.19999999999999"/>
    <d v="2014-05-14T00:00:00"/>
  </r>
  <r>
    <x v="4733"/>
    <d v="1899-12-30T00:00:00"/>
    <x v="1040"/>
    <x v="16"/>
    <s v="monroecc"/>
    <x v="1177"/>
    <n v="836860"/>
    <x v="4"/>
    <s v="Psychology"/>
    <s v="9781462503117"/>
    <m/>
    <n v="0"/>
    <m/>
    <m/>
    <s v="No"/>
    <x v="0"/>
    <d v="2015-11-01T17:03:54"/>
    <n v="7"/>
    <s v="150.160.200.114"/>
    <s v="BF697 -- .H345 2012eb"/>
    <n v="155.19999999999999"/>
    <d v="2014-05-14T00:00:00"/>
  </r>
  <r>
    <x v="4734"/>
    <d v="1899-12-30T00:00:00"/>
    <x v="1040"/>
    <x v="16"/>
    <s v="monroecc"/>
    <x v="1178"/>
    <n v="3038574"/>
    <x v="11"/>
    <s v="Science: Biology/Natural History; Science"/>
    <s v="9780226057644"/>
    <m/>
    <n v="0"/>
    <m/>
    <m/>
    <s v="Yes"/>
    <x v="2"/>
    <d v="2015-11-01T17:03:46"/>
    <n v="1"/>
    <s v="150.160.200.114"/>
    <s v="QH528.5 -- .S87 2014eb"/>
    <s v="571.8/790222"/>
    <d v="2014-04-01T00:00:00"/>
  </r>
  <r>
    <x v="4734"/>
    <d v="1899-12-30T00:00:00"/>
    <x v="1040"/>
    <x v="16"/>
    <s v="monroecc"/>
    <x v="1178"/>
    <n v="3038574"/>
    <x v="11"/>
    <s v="Science: Biology/Natural History; Science"/>
    <s v="9780226057644"/>
    <m/>
    <n v="0"/>
    <m/>
    <m/>
    <s v="No"/>
    <x v="2"/>
    <d v="2015-11-01T17:03:46"/>
    <n v="1"/>
    <s v="150.160.200.114"/>
    <s v="QH528.5 -- .S87 2014eb"/>
    <s v="571.8/790222"/>
    <d v="2014-04-01T00:00:00"/>
  </r>
  <r>
    <x v="4735"/>
    <d v="1899-12-30T00:00:00"/>
    <x v="1040"/>
    <x v="16"/>
    <s v="monroecc"/>
    <x v="1179"/>
    <n v="1675478"/>
    <x v="4"/>
    <s v="Education"/>
    <s v="9781462515837"/>
    <m/>
    <n v="0"/>
    <m/>
    <m/>
    <s v="Yes"/>
    <x v="2"/>
    <d v="2015-11-01T17:03:27"/>
    <n v="1"/>
    <s v="150.160.200.114"/>
    <s v="LB1050.42 -- .D84 2014eb"/>
    <n v="372.4"/>
    <d v="2014-07-30T00:00:00"/>
  </r>
  <r>
    <x v="4735"/>
    <d v="1899-12-30T00:00:00"/>
    <x v="1040"/>
    <x v="16"/>
    <s v="monroecc"/>
    <x v="1179"/>
    <n v="1675478"/>
    <x v="4"/>
    <s v="Education"/>
    <s v="9781462515837"/>
    <m/>
    <n v="0"/>
    <m/>
    <m/>
    <s v="No"/>
    <x v="2"/>
    <d v="2015-11-01T17:03:27"/>
    <n v="1"/>
    <s v="150.160.200.114"/>
    <s v="LB1050.42 -- .D84 2014eb"/>
    <n v="372.4"/>
    <d v="2014-07-30T00:00:00"/>
  </r>
  <r>
    <x v="4736"/>
    <d v="1899-12-30T00:00:00"/>
    <x v="1040"/>
    <x v="16"/>
    <s v="monroecc"/>
    <x v="1180"/>
    <n v="1890984"/>
    <x v="0"/>
    <s v="Business/Management"/>
    <s v="9780857085078"/>
    <m/>
    <n v="0"/>
    <m/>
    <m/>
    <s v="Yes"/>
    <x v="0"/>
    <d v="2015-11-01T17:02:58"/>
    <n v="7"/>
    <s v="150.160.200.114"/>
    <s v="HD9999.I492"/>
    <n v="658"/>
    <d v="2014-12-11T00:00:00"/>
  </r>
  <r>
    <x v="4736"/>
    <d v="1899-12-30T00:00:00"/>
    <x v="1040"/>
    <x v="16"/>
    <s v="monroecc"/>
    <x v="1180"/>
    <n v="1890984"/>
    <x v="0"/>
    <s v="Business/Management"/>
    <s v="9780857085078"/>
    <m/>
    <n v="0"/>
    <m/>
    <m/>
    <s v="No"/>
    <x v="0"/>
    <d v="2015-11-01T17:02:58"/>
    <n v="7"/>
    <s v="150.160.200.114"/>
    <s v="HD9999.I492"/>
    <n v="658"/>
    <d v="2014-12-11T00:00:00"/>
  </r>
  <r>
    <x v="4737"/>
    <d v="1899-12-30T00:00:35"/>
    <x v="1040"/>
    <x v="16"/>
    <s v="monroecc"/>
    <x v="1179"/>
    <n v="1675478"/>
    <x v="4"/>
    <s v="Education"/>
    <s v="9781462515837"/>
    <s v=",1,1,2,2,3,3,2,2"/>
    <n v="3"/>
    <m/>
    <m/>
    <s v="No"/>
    <x v="3"/>
    <m/>
    <m/>
    <s v="150.160.200.114"/>
    <s v="LB1050.42 -- .D84 2014eb"/>
    <n v="372.4"/>
    <d v="2014-07-30T00:00:00"/>
  </r>
  <r>
    <x v="4738"/>
    <d v="1899-12-30T00:02:01"/>
    <x v="1040"/>
    <x v="16"/>
    <s v="monroecc"/>
    <x v="1176"/>
    <n v="1895414"/>
    <x v="0"/>
    <s v="Social Science; Health"/>
    <s v="9780857085917"/>
    <s v=",1,1,1,2,2,3,3,2,2"/>
    <n v="3"/>
    <m/>
    <m/>
    <s v="No"/>
    <x v="3"/>
    <m/>
    <m/>
    <s v="150.160.200.114"/>
    <s v="RA785 -- .H377 2015eb"/>
    <n v="613"/>
    <d v="2015-02-13T00:00:00"/>
  </r>
  <r>
    <x v="4739"/>
    <d v="1899-12-30T00:01:18"/>
    <x v="1040"/>
    <x v="16"/>
    <s v="monroecc"/>
    <x v="1177"/>
    <n v="836860"/>
    <x v="4"/>
    <s v="Psychology"/>
    <s v="9781462503117"/>
    <s v=",1,2,2,3,1,3,2,2"/>
    <n v="3"/>
    <m/>
    <m/>
    <s v="No"/>
    <x v="1"/>
    <m/>
    <m/>
    <s v="150.160.200.114"/>
    <s v="BF697 -- .H345 2012eb"/>
    <n v="155.19999999999999"/>
    <d v="2014-05-14T00:00:00"/>
  </r>
  <r>
    <x v="4740"/>
    <d v="1899-12-30T00:01:14"/>
    <x v="1040"/>
    <x v="16"/>
    <s v="monroecc"/>
    <x v="1178"/>
    <n v="3038574"/>
    <x v="11"/>
    <s v="Science: Biology/Natural History; Science"/>
    <s v="9780226057644"/>
    <s v=",1,2,2,1,3,3,2,2"/>
    <n v="3"/>
    <m/>
    <m/>
    <s v="No"/>
    <x v="3"/>
    <m/>
    <m/>
    <s v="150.160.200.114"/>
    <s v="QH528.5 -- .S87 2014eb"/>
    <s v="571.8/790222"/>
    <d v="2014-04-01T00:00:00"/>
  </r>
  <r>
    <x v="4741"/>
    <d v="1899-12-30T00:01:12"/>
    <x v="1040"/>
    <x v="16"/>
    <s v="monroecc"/>
    <x v="1180"/>
    <n v="1890984"/>
    <x v="0"/>
    <s v="Business/Management"/>
    <s v="9780857085078"/>
    <s v=",1,2,1,2,3,3,2,2"/>
    <n v="3"/>
    <m/>
    <m/>
    <s v="No"/>
    <x v="3"/>
    <m/>
    <m/>
    <s v="150.160.200.114"/>
    <s v="HD9999.I492"/>
    <n v="658"/>
    <d v="2014-12-11T00:00:00"/>
  </r>
  <r>
    <x v="4742"/>
    <d v="1899-12-30T00:10:20"/>
    <x v="1213"/>
    <x v="0"/>
    <s v="Buffalo"/>
    <x v="768"/>
    <n v="829309"/>
    <x v="4"/>
    <s v="Medicine"/>
    <s v="9781462502387"/>
    <s v=",1,2,3,4,5,6,7,8,9,10,11,12,13,14,22,18,19,20,16,17,23,24,21,25,26,27,28,29,30,31,33,34,35,32,36,37,38"/>
    <n v="37"/>
    <m/>
    <m/>
    <s v="No"/>
    <x v="1"/>
    <m/>
    <m/>
    <s v="128.205.114.91"/>
    <s v="RC489.B4 -- K64 2012eb"/>
    <n v="616.89142000000004"/>
    <d v="2011-12-14T00:00:00"/>
  </r>
  <r>
    <x v="4743"/>
    <d v="1899-12-30T00:04:20"/>
    <x v="1214"/>
    <x v="5"/>
    <s v="erie"/>
    <x v="7"/>
    <n v="1711065"/>
    <x v="3"/>
    <s v="Political Science; Social Science"/>
    <s v="9780520959156"/>
    <s v=",1,1,2,1,2,3,3,4,4,5,6,5,6,7,7,2,2,1,4,5,6,7,8,8,9,10,9,10,11,11,12,12,13,13,14,14,15,16,15,16,17,18,17,18,19,20,19,20,21,21,22,22,23,23,24,24,25,25,26,27,26,27,28,28,29,29,30,30,31,31,33,33,34,35,34,35,32,30,32,35,44,45,44,45,46,46,42,43,43,155,156,155,157,156,153,157,154,154,44,45,46,42,43,301,302,301,302,303,303,299,300,300,1,300,1,300,301,302,301,302,298,299,299,2,2"/>
    <n v="51"/>
    <m/>
    <m/>
    <s v="No"/>
    <x v="1"/>
    <m/>
    <m/>
    <s v="199.29.6.54"/>
    <s v="JV6450 -- .P67 2014eb"/>
    <s v="304.8/73"/>
    <d v="2014-08-30T00:00:00"/>
  </r>
  <r>
    <x v="4744"/>
    <d v="1899-12-30T02:39:02"/>
    <x v="13"/>
    <x v="0"/>
    <s v="Buffalo"/>
    <x v="73"/>
    <n v="1119505"/>
    <x v="0"/>
    <s v="Science: Chemistry; Science"/>
    <s v="9781118355015"/>
    <s v=",1,2,3,172,173,174,170,171,175,171,176,177,178,179,180,181,182,183,171,172,183,187,184"/>
    <n v="19"/>
    <m/>
    <m/>
    <s v="No"/>
    <x v="0"/>
    <d v="2015-10-29T18:29:10"/>
    <n v="7"/>
    <s v="128.205.114.91"/>
    <s v="QD251.3 -- .S38 2013eb"/>
    <s v="547/.128"/>
    <d v="2013-01-28T00:00:00"/>
  </r>
  <r>
    <x v="4745"/>
    <d v="1899-12-30T03:07:53"/>
    <x v="791"/>
    <x v="6"/>
    <s v="sjfc"/>
    <x v="822"/>
    <n v="1034770"/>
    <x v="4"/>
    <s v="Medicine"/>
    <s v="9781462507566"/>
    <s v=",45,30,31,32,28,29,33,34,35,36,1,36,37,38,34,35,6,7,8,4,5,2,30,31,28,32,29,33,1,33,34,35,31,32,2,41,42,43,39,40,38,37,36,44,45,46,47,48"/>
    <n v="28"/>
    <m/>
    <m/>
    <s v="No"/>
    <x v="0"/>
    <d v="2015-11-01T14:30:07"/>
    <n v="7"/>
    <s v="149.69.254.57"/>
    <s v="RC533 -- .M56 2012eb"/>
    <n v="616.85839999999996"/>
    <d v="2013-10-20T00:00:00"/>
  </r>
  <r>
    <x v="4746"/>
    <d v="1899-12-30T00:12:49"/>
    <x v="791"/>
    <x v="6"/>
    <s v="sjfc"/>
    <x v="822"/>
    <n v="1034770"/>
    <x v="4"/>
    <s v="Medicine"/>
    <s v="9781462507566"/>
    <s v=",1,2,3,41,42,43,39,40,41,44"/>
    <n v="9"/>
    <m/>
    <m/>
    <s v="No"/>
    <x v="1"/>
    <m/>
    <m/>
    <s v="149.69.254.57"/>
    <s v="RC533 -- .M56 2012eb"/>
    <n v="616.85839999999996"/>
    <d v="2013-10-20T00:00:00"/>
  </r>
  <r>
    <x v="4747"/>
    <d v="1899-12-30T00:07:32"/>
    <x v="874"/>
    <x v="0"/>
    <s v="Buffalo"/>
    <x v="873"/>
    <n v="1760725"/>
    <x v="4"/>
    <s v="Medicine"/>
    <s v="9781462517992"/>
    <s v=",33,34,35,36,37,38,39"/>
    <n v="7"/>
    <m/>
    <m/>
    <s v="No"/>
    <x v="2"/>
    <d v="2015-11-01T02:36:02"/>
    <n v="1"/>
    <s v="128.205.114.91"/>
    <s v="RC489.C63 -- .W675 2015eb"/>
    <s v="616.89/142"/>
    <d v="2014-11-10T00:00:00"/>
  </r>
  <r>
    <x v="4748"/>
    <d v="1899-12-30T00:09:28"/>
    <x v="874"/>
    <x v="0"/>
    <s v="Buffalo"/>
    <x v="873"/>
    <n v="1760725"/>
    <x v="4"/>
    <s v="Medicine"/>
    <s v="9781462517992"/>
    <s v=",1,2,3,27,28,29,25,26,30,31,32"/>
    <n v="11"/>
    <m/>
    <m/>
    <s v="No"/>
    <x v="3"/>
    <m/>
    <m/>
    <s v="128.205.114.91"/>
    <s v="RC489.C63 -- .W675 2015eb"/>
    <s v="616.89/142"/>
    <d v="2014-11-10T00:00:00"/>
  </r>
  <r>
    <x v="4749"/>
    <d v="1899-12-30T00:00:31"/>
    <x v="1103"/>
    <x v="9"/>
    <s v="trocaire"/>
    <x v="1057"/>
    <n v="332602"/>
    <x v="0"/>
    <s v="Education"/>
    <s v="9780631227885"/>
    <s v=",1,2,3,4,5,6,7,8,19,20,21,17,18,22"/>
    <n v="14"/>
    <m/>
    <m/>
    <s v="No"/>
    <x v="0"/>
    <d v="2015-10-25T23:57:21"/>
    <n v="7"/>
    <s v="173.225.62.67"/>
    <s v="LB1124 -- .O48 1993eb"/>
    <s v="371.5/8"/>
    <d v="2013-05-30T00:00:00"/>
  </r>
  <r>
    <x v="4750"/>
    <d v="1899-12-30T00:00:39"/>
    <x v="13"/>
    <x v="0"/>
    <s v="Buffalo"/>
    <x v="500"/>
    <n v="699744"/>
    <x v="0"/>
    <s v="Engineering; Engineering: Electrical; Engineering: Civil"/>
    <s v="9781118585818"/>
    <s v=",742,743,744,745,741,746,749,750,706,707,708,709,705,710,711,712,713,714,715,716"/>
    <n v="20"/>
    <m/>
    <m/>
    <s v="No"/>
    <x v="0"/>
    <d v="2015-10-31T23:28:26"/>
    <n v="7"/>
    <s v="128.205.114.91"/>
    <s v="TA1520 -- .S24 2007eb"/>
    <n v="621.36"/>
    <d v="2013-02-05T00:00:00"/>
  </r>
  <r>
    <x v="4751"/>
    <d v="1899-12-30T01:04:40"/>
    <x v="13"/>
    <x v="0"/>
    <s v="Buffalo"/>
    <x v="500"/>
    <n v="699744"/>
    <x v="0"/>
    <s v="Engineering; Engineering: Electrical; Engineering: Civil"/>
    <s v="9781118585818"/>
    <s v=",1,2,3,706,707,708,704,705,709,710,711,712,713,714,715,716,717,718,719,720,721,722,723,724,725,726,727,728,729,730,731,732,733,734,735,736,737,738,739,740,743,744,742,753,750,349,350,351,347,352,348,353,354,355,356,357,358,359,360,361,362,363,364,365,366,367,368,369,370,371,372,373,374,347,348"/>
    <n v="73"/>
    <m/>
    <m/>
    <s v="No"/>
    <x v="1"/>
    <m/>
    <m/>
    <s v="128.205.114.91"/>
    <s v="TA1520 -- .S24 2007eb"/>
    <n v="621.36"/>
    <d v="2013-02-05T00:00:00"/>
  </r>
  <r>
    <x v="4752"/>
    <d v="1899-12-30T00:00:15"/>
    <x v="828"/>
    <x v="9"/>
    <s v="trocaire"/>
    <x v="684"/>
    <n v="1120621"/>
    <x v="0"/>
    <s v="Education"/>
    <s v="9781118362679"/>
    <s v=",34,35,36,37,38,39,40,41,42"/>
    <n v="9"/>
    <m/>
    <m/>
    <s v="No"/>
    <x v="0"/>
    <d v="2015-10-31T21:28:20"/>
    <n v="7"/>
    <s v="173.225.62.67"/>
    <s v="LB3013.3 .R59 2012"/>
    <s v="371.5/8; 371.58"/>
    <d v="2012-08-15T00:00:00"/>
  </r>
  <r>
    <x v="4753"/>
    <d v="1899-12-30T00:02:06"/>
    <x v="1215"/>
    <x v="1"/>
    <s v="brockport"/>
    <x v="1181"/>
    <n v="836598"/>
    <x v="0"/>
    <s v="Geography/Travel; History"/>
    <s v="9781118292631"/>
    <s v=",1,2,3,21,22,23,19,20,24,25,26,27,46,47,48,44,45,49,50,51,52,53,54,97,98,99,95,96"/>
    <n v="28"/>
    <m/>
    <m/>
    <s v="No"/>
    <x v="1"/>
    <m/>
    <m/>
    <s v="137.21.7.121"/>
    <s v="D16 -- .C83 2013eb"/>
    <n v="907.2"/>
    <d v="2012-06-21T00:00:00"/>
  </r>
  <r>
    <x v="4754"/>
    <d v="1899-12-30T00:00:13"/>
    <x v="1040"/>
    <x v="16"/>
    <s v="monroecc"/>
    <x v="1182"/>
    <n v="3057122"/>
    <x v="9"/>
    <s v="Engineering; Home Economics; Engineering: Construction"/>
    <s v="9780470399842"/>
    <s v=",2,2"/>
    <n v="1"/>
    <m/>
    <m/>
    <s v="Yes"/>
    <x v="0"/>
    <d v="2015-10-31T20:45:41"/>
    <n v="7"/>
    <s v="150.160.200.114"/>
    <s v="TH4816.3.B37 -- V35 2009eb"/>
    <s v="643/.52"/>
    <d v="2009-02-20T00:00:00"/>
  </r>
  <r>
    <x v="4754"/>
    <d v="1899-12-30T00:00:00"/>
    <x v="1040"/>
    <x v="16"/>
    <s v="monroecc"/>
    <x v="1182"/>
    <n v="3057122"/>
    <x v="9"/>
    <s v="Engineering; Home Economics; Engineering: Construction"/>
    <s v="9780470399842"/>
    <m/>
    <n v="0"/>
    <m/>
    <m/>
    <s v="No"/>
    <x v="0"/>
    <d v="2015-10-31T20:45:41"/>
    <n v="7"/>
    <s v="150.160.200.114"/>
    <s v="TH4816.3.B37 -- V35 2009eb"/>
    <s v="643/.52"/>
    <d v="2009-02-20T00:00:00"/>
  </r>
  <r>
    <x v="4755"/>
    <d v="1899-12-30T00:00:16"/>
    <x v="1040"/>
    <x v="16"/>
    <s v="monroecc"/>
    <x v="1182"/>
    <n v="3057122"/>
    <x v="9"/>
    <s v="Engineering; Home Economics; Engineering: Construction"/>
    <s v="9780470399842"/>
    <s v=",1,2,2,3,3,1"/>
    <n v="3"/>
    <m/>
    <m/>
    <s v="No"/>
    <x v="3"/>
    <m/>
    <m/>
    <s v="150.160.200.114"/>
    <s v="TH4816.3.B37 -- V35 2009eb"/>
    <s v="643/.52"/>
    <d v="2009-02-20T00:00:00"/>
  </r>
  <r>
    <x v="4756"/>
    <d v="1899-12-30T01:35:04"/>
    <x v="828"/>
    <x v="9"/>
    <s v="trocaire"/>
    <x v="684"/>
    <n v="1120621"/>
    <x v="0"/>
    <s v="Education"/>
    <s v="9781118362679"/>
    <s v=",1,2,3,4,5,29,30,31,27,28,32,33"/>
    <n v="12"/>
    <m/>
    <m/>
    <s v="No"/>
    <x v="1"/>
    <m/>
    <m/>
    <s v="173.225.62.67"/>
    <s v="LB3013.3 .R59 2012"/>
    <s v="371.5/8; 371.58"/>
    <d v="2012-08-15T00:00:00"/>
  </r>
  <r>
    <x v="4757"/>
    <d v="1899-12-30T00:00:40"/>
    <x v="13"/>
    <x v="0"/>
    <s v="Buffalo"/>
    <x v="73"/>
    <n v="1119505"/>
    <x v="0"/>
    <s v="Science: Chemistry; Science"/>
    <s v="9781118355015"/>
    <s v=",1,2,3,8,9,10,7,6,170,171,172,168,169,173,174"/>
    <n v="15"/>
    <m/>
    <m/>
    <s v="No"/>
    <x v="0"/>
    <d v="2015-10-29T18:29:10"/>
    <n v="7"/>
    <s v="128.205.114.91"/>
    <s v="QD251.3 -- .S38 2013eb"/>
    <s v="547/.128"/>
    <d v="2013-01-28T00:00:00"/>
  </r>
  <r>
    <x v="4758"/>
    <d v="1899-12-30T01:31:26"/>
    <x v="13"/>
    <x v="0"/>
    <s v="Buffalo"/>
    <x v="1006"/>
    <n v="1655862"/>
    <x v="12"/>
    <s v="Social Science; Religion"/>
    <s v="9781469615493"/>
    <s v=",187,188,187,188,189,190,191,182,187,188,189,190,184,184,189"/>
    <n v="7"/>
    <m/>
    <m/>
    <s v="No"/>
    <x v="2"/>
    <d v="2015-10-31T18:59:29"/>
    <n v="1"/>
    <s v="128.205.114.91"/>
    <s v="BX1406.3 -- .D89 2014eb"/>
    <s v="391.0088/28273"/>
    <d v="2014-04-15T00:00:00"/>
  </r>
  <r>
    <x v="4759"/>
    <d v="1899-12-30T00:01:42"/>
    <x v="897"/>
    <x v="1"/>
    <s v="brockport"/>
    <x v="951"/>
    <n v="1834781"/>
    <x v="0"/>
    <s v="Social Science; Business/Management"/>
    <s v="9781118779675"/>
    <s v=",1,2,3,19,20,17,57,54,55,21,22,18,56,58,53"/>
    <n v="15"/>
    <m/>
    <m/>
    <s v="No"/>
    <x v="3"/>
    <m/>
    <m/>
    <s v="137.21.7.121"/>
    <s v="HV6691 -- .G44 2015eb"/>
    <s v="658.4/73"/>
    <d v="2014-11-05T00:00:00"/>
  </r>
  <r>
    <x v="4760"/>
    <d v="1899-12-30T00:07:36"/>
    <x v="13"/>
    <x v="0"/>
    <s v="Buffalo"/>
    <x v="1006"/>
    <n v="1655862"/>
    <x v="12"/>
    <s v="Social Science; Religion"/>
    <s v="9781469615493"/>
    <s v=",1,2,3,184,185,186,182,183"/>
    <n v="8"/>
    <m/>
    <m/>
    <s v="No"/>
    <x v="3"/>
    <m/>
    <m/>
    <s v="128.205.114.91"/>
    <s v="BX1406.3 -- .D89 2014eb"/>
    <s v="391.0088/28273"/>
    <d v="2014-04-15T00:00:00"/>
  </r>
  <r>
    <x v="4761"/>
    <d v="1899-12-30T04:28:21"/>
    <x v="986"/>
    <x v="0"/>
    <s v="Buffalo"/>
    <x v="73"/>
    <n v="1119505"/>
    <x v="0"/>
    <s v="Science: Chemistry; Science"/>
    <s v="9781118355015"/>
    <s v=",181,182,182,1,183,184,180,181,197,198,199,196,195,194,2,193,192,185,186,187,188,189,190,191,1,191,192,193,189,190,178,179,180,2,176,177,181,182,183,184,185,194,195,196,197,198,184,170,171,172,168,1,172,169,173,174,170,171,173,174,175,2,176,177,168,175,169,178,179,180,176,177,181,182,183,184,188,185,185,1,186,187,184,183,2,191,193,192,189,190,194,195,196,197,198,199,200,189,188,191,192,193,189,190,194,195,196,197,200,198,182"/>
    <n v="35"/>
    <m/>
    <m/>
    <s v="No"/>
    <x v="0"/>
    <d v="2015-10-31T18:38:07"/>
    <n v="7"/>
    <s v="128.205.114.91"/>
    <s v="QD251.3 -- .S38 2013eb"/>
    <s v="547/.128"/>
    <d v="2013-01-28T00:00:00"/>
  </r>
  <r>
    <x v="4762"/>
    <d v="1899-12-30T01:03:08"/>
    <x v="828"/>
    <x v="9"/>
    <s v="trocaire"/>
    <x v="1057"/>
    <n v="332602"/>
    <x v="0"/>
    <s v="Education"/>
    <s v="9780631227885"/>
    <s v=",28,29,30,31,32,33,34,35,36,38,37,39,40,41,42,43,44,45,46,47,48,49,50,51,52,53,54,55,56,57,58,59,60,61,62,63,64,65,66,67,68,69,70,71,72,73,74,75,76,77,78,79"/>
    <n v="52"/>
    <m/>
    <m/>
    <s v="No"/>
    <x v="0"/>
    <d v="2015-10-31T18:36:28"/>
    <n v="7"/>
    <s v="173.225.62.67"/>
    <s v="LB1124 -- .O48 1993eb"/>
    <s v="371.5/8"/>
    <d v="2013-05-30T00:00:00"/>
  </r>
  <r>
    <x v="4763"/>
    <d v="1899-12-30T00:10:05"/>
    <x v="828"/>
    <x v="9"/>
    <s v="trocaire"/>
    <x v="1057"/>
    <n v="332602"/>
    <x v="0"/>
    <s v="Education"/>
    <s v="9780631227885"/>
    <s v=",1,2,3,18,19,20,21,17,2,22,23,24,25,26,27"/>
    <n v="14"/>
    <m/>
    <m/>
    <s v="No"/>
    <x v="1"/>
    <m/>
    <m/>
    <s v="173.225.62.67"/>
    <s v="LB1124 -- .O48 1993eb"/>
    <s v="371.5/8"/>
    <d v="2013-05-30T00:00:00"/>
  </r>
  <r>
    <x v="4764"/>
    <d v="1899-12-30T00:16:46"/>
    <x v="986"/>
    <x v="0"/>
    <s v="Buffalo"/>
    <x v="73"/>
    <n v="1119505"/>
    <x v="0"/>
    <s v="Science: Chemistry; Science"/>
    <s v="9781118355015"/>
    <s v=",1,2,3,173,174,175,171,172,176,177,178,179,180"/>
    <n v="13"/>
    <m/>
    <m/>
    <s v="No"/>
    <x v="1"/>
    <m/>
    <m/>
    <s v="128.205.114.91"/>
    <s v="QD251.3 -- .S38 2013eb"/>
    <s v="547/.128"/>
    <d v="2013-01-28T00:00:00"/>
  </r>
  <r>
    <x v="4765"/>
    <d v="1899-12-30T00:24:24"/>
    <x v="1103"/>
    <x v="9"/>
    <s v="trocaire"/>
    <x v="1057"/>
    <n v="332602"/>
    <x v="0"/>
    <s v="Education"/>
    <s v="9780631227885"/>
    <s v=",1,2,3,4,5,6,7,8,9,10,11,12,65,66,67,63,64,68,69,70,71,72,73"/>
    <n v="23"/>
    <m/>
    <m/>
    <s v="No"/>
    <x v="0"/>
    <d v="2015-10-25T23:57:21"/>
    <n v="7"/>
    <s v="173.225.62.67"/>
    <s v="LB1124 -- .O48 1993eb"/>
    <s v="371.5/8"/>
    <d v="2013-05-30T00:00:00"/>
  </r>
  <r>
    <x v="4766"/>
    <d v="1899-12-30T00:07:44"/>
    <x v="1103"/>
    <x v="9"/>
    <s v="trocaire"/>
    <x v="684"/>
    <n v="1120621"/>
    <x v="0"/>
    <s v="Education"/>
    <s v="9781118362679"/>
    <s v=",1,2,3,29,30,31,27,28,32,37,38,39,35,36,40,41,42,43,44,45,46,47,48,49,50,51,52,53,54,55,56,57,58,59,60,61,62,63,64,65,66,67,68,69,70,71,72,73"/>
    <n v="48"/>
    <m/>
    <m/>
    <s v="No"/>
    <x v="0"/>
    <d v="2015-10-31T03:43:55"/>
    <n v="7"/>
    <s v="173.225.62.67"/>
    <s v="LB3013.3 .R59 2012"/>
    <s v="371.5/8; 371.58"/>
    <d v="2012-08-15T00:00:00"/>
  </r>
  <r>
    <x v="4767"/>
    <d v="1899-12-30T00:00:27"/>
    <x v="1215"/>
    <x v="1"/>
    <s v="brockport"/>
    <x v="277"/>
    <n v="1166802"/>
    <x v="0"/>
    <s v="Social Science"/>
    <s v="9780745664507"/>
    <s v=",1,2,3,45,46,47,44,43,48,49"/>
    <n v="10"/>
    <m/>
    <m/>
    <s v="No"/>
    <x v="3"/>
    <m/>
    <m/>
    <s v="137.21.7.121"/>
    <s v="HQ1075 -- .B73 2013eb"/>
    <n v="305.3"/>
    <d v="2013-04-03T00:00:00"/>
  </r>
  <r>
    <x v="4768"/>
    <d v="1899-12-30T00:00:13"/>
    <x v="1215"/>
    <x v="1"/>
    <s v="brockport"/>
    <x v="1183"/>
    <n v="1598280"/>
    <x v="0"/>
    <s v="Law; Social Science"/>
    <s v="9780745679761"/>
    <s v=",1,2,3,13,14,15,11,12"/>
    <n v="8"/>
    <m/>
    <m/>
    <s v="No"/>
    <x v="3"/>
    <m/>
    <m/>
    <s v="137.21.7.121"/>
    <s v="HQ1236"/>
    <s v="341.4; 341.4858"/>
    <d v="2014-01-14T00:00:00"/>
  </r>
  <r>
    <x v="4769"/>
    <d v="1899-12-30T00:02:19"/>
    <x v="1216"/>
    <x v="1"/>
    <s v="brockport"/>
    <x v="1184"/>
    <n v="1765082"/>
    <x v="0"/>
    <s v="Medicine; Psychology"/>
    <s v="9781118753132"/>
    <s v=",7,1,2,3,6,8,4,5"/>
    <n v="8"/>
    <m/>
    <m/>
    <s v="No"/>
    <x v="2"/>
    <d v="2015-10-31T17:27:42"/>
    <n v="1"/>
    <s v="137.21.7.121"/>
    <s v="BF321 -- .V74 2014eb"/>
    <s v="616.89/1425"/>
    <d v="2014-08-01T00:00:00"/>
  </r>
  <r>
    <x v="4770"/>
    <d v="1899-12-30T00:05:58"/>
    <x v="1216"/>
    <x v="1"/>
    <s v="brockport"/>
    <x v="1184"/>
    <n v="1765082"/>
    <x v="0"/>
    <s v="Medicine; Psychology"/>
    <s v="9781118753132"/>
    <s v=",1,15,16,17,13,14,29,30,31,27,28,2,32,33,26,25"/>
    <n v="16"/>
    <m/>
    <m/>
    <s v="No"/>
    <x v="3"/>
    <m/>
    <m/>
    <s v="137.21.7.121"/>
    <s v="BF321 -- .V74 2014eb"/>
    <s v="616.89/1425"/>
    <d v="2014-08-01T00:00:00"/>
  </r>
  <r>
    <x v="4771"/>
    <d v="1899-12-30T00:08:23"/>
    <x v="1216"/>
    <x v="1"/>
    <s v="brockport"/>
    <x v="1185"/>
    <n v="1869098"/>
    <x v="0"/>
    <s v="Medicine"/>
    <s v="9781118760390"/>
    <s v=",1,2,3,6,7,8,4,5,9,13,14,15,11,12,16,17,18"/>
    <n v="17"/>
    <m/>
    <m/>
    <s v="No"/>
    <x v="0"/>
    <d v="2015-10-30T20:33:30"/>
    <n v="7"/>
    <s v="137.21.7.121"/>
    <s v="RC451.4.P79 -- Z37 2015eb"/>
    <s v="616.89/14092"/>
    <d v="2014-11-20T00:00:00"/>
  </r>
  <r>
    <x v="4772"/>
    <d v="1899-12-30T00:02:19"/>
    <x v="1215"/>
    <x v="1"/>
    <s v="brockport"/>
    <x v="1183"/>
    <n v="1598280"/>
    <x v="0"/>
    <s v="Law; Social Science"/>
    <s v="9780745679761"/>
    <s v=",1,2,3,13,14,11,12,15,16,30,31,32,29,28,33,34,35,70,71,72,69,68"/>
    <n v="22"/>
    <m/>
    <m/>
    <s v="No"/>
    <x v="3"/>
    <m/>
    <m/>
    <s v="137.21.7.121"/>
    <s v="HQ1236"/>
    <s v="341.4; 341.4858"/>
    <d v="2014-01-14T00:00:00"/>
  </r>
  <r>
    <x v="4773"/>
    <d v="1899-12-30T00:01:33"/>
    <x v="1217"/>
    <x v="0"/>
    <s v="Buffalo"/>
    <x v="7"/>
    <n v="1711065"/>
    <x v="3"/>
    <s v="Political Science; Social Science"/>
    <s v="9780520959156"/>
    <s v=",1,2,3,45,44,46,42,43,47,48,49,50,51,52,53,54"/>
    <n v="16"/>
    <m/>
    <m/>
    <s v="No"/>
    <x v="1"/>
    <m/>
    <m/>
    <s v="128.205.114.91"/>
    <s v="JV6450 -- .P67 2014eb"/>
    <s v="304.8/73"/>
    <d v="2014-08-30T00:00:00"/>
  </r>
  <r>
    <x v="4774"/>
    <d v="1899-12-30T00:01:45"/>
    <x v="1040"/>
    <x v="16"/>
    <s v="monroecc"/>
    <x v="1182"/>
    <n v="3057122"/>
    <x v="9"/>
    <s v="Engineering; Home Economics; Engineering: Construction"/>
    <s v="9780470399842"/>
    <s v=",1,2,3,16,17,19,20,21,22,26,27,24,25,28,29,30,31,32,33,34,35,36,54,56,52,53,57"/>
    <n v="27"/>
    <m/>
    <m/>
    <s v="No"/>
    <x v="3"/>
    <m/>
    <m/>
    <s v="150.160.200.114"/>
    <s v="TH4816.3.B37 -- V35 2009eb"/>
    <s v="643/.52"/>
    <d v="2009-02-20T00:00:00"/>
  </r>
  <r>
    <x v="4775"/>
    <d v="1899-12-30T00:49:50"/>
    <x v="1103"/>
    <x v="9"/>
    <s v="trocaire"/>
    <x v="684"/>
    <n v="1120621"/>
    <x v="0"/>
    <s v="Education"/>
    <s v="9781118362679"/>
    <s v=",32,33,34,35,36,37,38,39,40,41,42,43,44,45,46,47,48,148,149,150,146,147,151,152,153"/>
    <n v="25"/>
    <m/>
    <m/>
    <s v="No"/>
    <x v="0"/>
    <d v="2015-10-31T03:43:55"/>
    <n v="7"/>
    <s v="173.225.62.67"/>
    <s v="LB3013.3 .R59 2012"/>
    <s v="371.5/8; 371.58"/>
    <d v="2012-08-15T00:00:00"/>
  </r>
  <r>
    <x v="4776"/>
    <d v="1899-12-30T00:11:22"/>
    <x v="1103"/>
    <x v="9"/>
    <s v="trocaire"/>
    <x v="684"/>
    <n v="1120621"/>
    <x v="0"/>
    <s v="Education"/>
    <s v="9781118362679"/>
    <s v=",1,2,3,4,5,6,7,8,9,10,11,12,13,14,15,16,17,18,19,20,21,22,23,24,25,26,27,28,29,30,31"/>
    <n v="31"/>
    <m/>
    <m/>
    <s v="No"/>
    <x v="1"/>
    <m/>
    <m/>
    <s v="173.225.62.67"/>
    <s v="LB3013.3 .R59 2012"/>
    <s v="371.5/8; 371.58"/>
    <d v="2012-08-15T00:00:00"/>
  </r>
  <r>
    <x v="4777"/>
    <d v="1899-12-30T00:05:01"/>
    <x v="1218"/>
    <x v="16"/>
    <s v="monroecc"/>
    <x v="1186"/>
    <n v="1124311"/>
    <x v="0"/>
    <s v="Business/Management"/>
    <s v="9781118453827"/>
    <s v=",386,387,388,384,389,381,382,383,379,380,13,14,15,11,12,16,67,69,68,70,66,71,72,73,74,75,76,77,78,79,80,81,82,83,84,85,86,87,88,291,293,289,290,294,324,325,326,322,323"/>
    <n v="49"/>
    <m/>
    <m/>
    <s v="Yes"/>
    <x v="2"/>
    <d v="2015-10-31T03:22:24"/>
    <n v="1"/>
    <s v="150.160.200.114"/>
    <s v="HF5686.C8 -- B69 2013eb"/>
    <n v="657.42"/>
    <d v="2013-02-06T00:00:00"/>
  </r>
  <r>
    <x v="4777"/>
    <d v="1899-12-30T00:00:00"/>
    <x v="1218"/>
    <x v="16"/>
    <s v="monroecc"/>
    <x v="1186"/>
    <n v="1124311"/>
    <x v="0"/>
    <s v="Business/Management"/>
    <s v="9781118453827"/>
    <m/>
    <n v="0"/>
    <m/>
    <m/>
    <s v="No"/>
    <x v="2"/>
    <d v="2015-10-31T03:22:24"/>
    <n v="1"/>
    <s v="150.160.200.114"/>
    <s v="HF5686.C8 -- B69 2013eb"/>
    <n v="657.42"/>
    <d v="2013-02-06T00:00:00"/>
  </r>
  <r>
    <x v="4778"/>
    <d v="1899-12-30T00:00:36"/>
    <x v="1218"/>
    <x v="16"/>
    <s v="monroecc"/>
    <x v="1186"/>
    <n v="1124311"/>
    <x v="0"/>
    <s v="Business/Management"/>
    <s v="9781118453827"/>
    <s v=",1,2,3"/>
    <n v="3"/>
    <m/>
    <m/>
    <s v="No"/>
    <x v="3"/>
    <m/>
    <m/>
    <s v="150.160.200.114"/>
    <s v="HF5686.C8 -- B69 2013eb"/>
    <n v="657.42"/>
    <d v="2013-02-06T00:00:00"/>
  </r>
  <r>
    <x v="4779"/>
    <d v="1899-12-30T00:14:05"/>
    <x v="1219"/>
    <x v="7"/>
    <s v="oneonta"/>
    <x v="1187"/>
    <n v="1318800"/>
    <x v="0"/>
    <s v="Medicine"/>
    <s v="9781118734391"/>
    <s v=",1,2,3,4,5,6,7,29,30,31,27,28,33,34,35,36,37,38,39,40,41,42,43"/>
    <n v="23"/>
    <m/>
    <m/>
    <s v="No"/>
    <x v="2"/>
    <d v="2015-10-31T02:27:04"/>
    <n v="1"/>
    <s v="137.141.13.2"/>
    <s v="RC268.4"/>
    <s v="616.99/4042; 616.994042"/>
    <d v="2013-07-12T00:00:00"/>
  </r>
  <r>
    <x v="4780"/>
    <d v="1899-12-30T00:06:19"/>
    <x v="1219"/>
    <x v="7"/>
    <s v="oneonta"/>
    <x v="1187"/>
    <n v="1318800"/>
    <x v="0"/>
    <s v="Medicine"/>
    <s v="9781118734391"/>
    <s v=",5,7,6,29,30,31,27,28,26,25,10"/>
    <n v="11"/>
    <m/>
    <m/>
    <s v="No"/>
    <x v="2"/>
    <d v="2015-10-31T02:27:04"/>
    <n v="1"/>
    <s v="137.141.13.2"/>
    <s v="RC268.4"/>
    <s v="616.99/4042; 616.994042"/>
    <d v="2013-07-12T00:00:00"/>
  </r>
  <r>
    <x v="4781"/>
    <d v="1899-12-30T00:09:24"/>
    <x v="1219"/>
    <x v="7"/>
    <s v="oneonta"/>
    <x v="1187"/>
    <n v="1318800"/>
    <x v="0"/>
    <s v="Medicine"/>
    <s v="9781118734391"/>
    <s v=",1,2,3,4"/>
    <n v="4"/>
    <m/>
    <m/>
    <s v="No"/>
    <x v="3"/>
    <m/>
    <m/>
    <s v="137.141.13.2"/>
    <s v="RC268.4"/>
    <s v="616.99/4042; 616.994042"/>
    <d v="2013-07-12T00:00:00"/>
  </r>
  <r>
    <x v="4782"/>
    <d v="1899-12-30T02:25:23"/>
    <x v="1103"/>
    <x v="9"/>
    <s v="trocaire"/>
    <x v="1057"/>
    <n v="332602"/>
    <x v="0"/>
    <s v="Education"/>
    <s v="9780631227885"/>
    <s v=",1,2,3,4,5,6,7,8,9,10,11,12,13,14,15,16,17,18,19,20,21,22,23,24,25,26,27,28,29,30,31,32,33,34,35,36,37,38,39,58,59,60,56,57,61,62,63,64,65,66,67,68,69,70,71,72,73,74,75,76,77,78,79,80,81,82,83,84,85,86,87,88,89,90"/>
    <n v="74"/>
    <m/>
    <m/>
    <s v="No"/>
    <x v="0"/>
    <d v="2015-10-25T23:57:21"/>
    <n v="7"/>
    <s v="173.225.62.67"/>
    <s v="LB1124 -- .O48 1993eb"/>
    <s v="371.5/8"/>
    <d v="2013-05-30T00:00:00"/>
  </r>
  <r>
    <x v="4783"/>
    <d v="1899-12-30T00:01:10"/>
    <x v="1220"/>
    <x v="12"/>
    <s v="potsdam"/>
    <x v="1188"/>
    <n v="1763122"/>
    <x v="1"/>
    <s v="Literature"/>
    <s v="9781472446848"/>
    <s v=",20,21,22,23,52,53,54,50,51,146,147,148,224,225,226,222,223,227,228,229,230,231,232,233"/>
    <n v="24"/>
    <m/>
    <m/>
    <s v="No"/>
    <x v="0"/>
    <d v="2015-10-31T00:00:00"/>
    <n v="7"/>
    <s v="137.143.104.94"/>
    <s v="PS169.A88 -- .C736 2014eb"/>
    <s v="810.9/357"/>
    <d v="2014-10-28T00:00:00"/>
  </r>
  <r>
    <x v="4784"/>
    <d v="1899-12-30T00:09:56"/>
    <x v="1220"/>
    <x v="12"/>
    <s v="potsdam"/>
    <x v="1188"/>
    <n v="1763122"/>
    <x v="1"/>
    <s v="Literature"/>
    <s v="9781472446848"/>
    <s v=",1,2,3,12,13,14,10,11,12,13,14,10,11,2,15,16,17,18,19"/>
    <n v="13"/>
    <m/>
    <m/>
    <s v="No"/>
    <x v="3"/>
    <m/>
    <m/>
    <s v="137.143.104.94"/>
    <s v="PS169.A88 -- .C736 2014eb"/>
    <s v="810.9/357"/>
    <d v="2014-10-28T00:00:00"/>
  </r>
  <r>
    <x v="4785"/>
    <d v="1899-12-30T00:14:10"/>
    <x v="1221"/>
    <x v="0"/>
    <s v="Buffalo"/>
    <x v="500"/>
    <n v="699744"/>
    <x v="0"/>
    <s v="Engineering; Engineering: Electrical; Engineering: Civil"/>
    <s v="9781118585818"/>
    <s v=",1,2,3,4,5,966,967,968,964,965,963,435,436,437,433,434,438,439,440,441,442,443,770,771,767,768,770,772,771,769,769,767,768,761,759,760,757,758,756,749,744,739,735,736,737,734,732,729,727,726,720,721,722,719,717,718,723,724,725"/>
    <n v="54"/>
    <s v=",769,769,769"/>
    <s v=",769"/>
    <s v="No"/>
    <x v="0"/>
    <d v="2015-10-27T13:56:09"/>
    <n v="7"/>
    <s v="128.205.114.91"/>
    <s v="TA1520 -- .S24 2007eb"/>
    <n v="621.36"/>
    <d v="2013-02-05T00:00:00"/>
  </r>
  <r>
    <x v="4786"/>
    <d v="1899-12-30T00:00:05"/>
    <x v="1040"/>
    <x v="16"/>
    <s v="monroecc"/>
    <x v="1189"/>
    <n v="1126727"/>
    <x v="5"/>
    <s v="Social Science; Business/Management"/>
    <s v="9780814771556"/>
    <s v=",1,2,2,3,3,1"/>
    <n v="3"/>
    <m/>
    <m/>
    <s v="No"/>
    <x v="3"/>
    <m/>
    <m/>
    <s v="150.160.200.114"/>
    <s v="HD7304.N5 -- R59 2013eb"/>
    <s v="307.3/36097471"/>
    <d v="2013-03-25T00:00:00"/>
  </r>
  <r>
    <x v="4787"/>
    <d v="1899-12-30T00:02:50"/>
    <x v="1040"/>
    <x v="16"/>
    <s v="monroecc"/>
    <x v="1182"/>
    <n v="3057122"/>
    <x v="9"/>
    <s v="Engineering; Home Economics; Engineering: Construction"/>
    <s v="9780470399842"/>
    <s v=",1,2,2,3,3,1,2,2,1,12,201,201"/>
    <n v="5"/>
    <m/>
    <m/>
    <s v="No"/>
    <x v="3"/>
    <m/>
    <m/>
    <s v="150.160.200.114"/>
    <s v="TH4816.3.B37 -- V35 2009eb"/>
    <s v="643/.52"/>
    <d v="2009-02-20T00:00:00"/>
  </r>
  <r>
    <x v="4788"/>
    <d v="1899-12-30T00:00:18"/>
    <x v="1040"/>
    <x v="16"/>
    <s v="monroecc"/>
    <x v="1190"/>
    <n v="1895426"/>
    <x v="0"/>
    <s v="Engineering; Engineering: Construction"/>
    <s v="9781118333105"/>
    <s v=",2,2"/>
    <n v="1"/>
    <m/>
    <m/>
    <s v="Yes"/>
    <x v="0"/>
    <d v="2015-10-30T22:27:10"/>
    <n v="7"/>
    <s v="150.160.200.114"/>
    <s v="TH2278 -- .T635 2015eb"/>
    <n v="694.6"/>
    <d v="2015-03-30T00:00:00"/>
  </r>
  <r>
    <x v="4788"/>
    <d v="1899-12-30T00:00:00"/>
    <x v="1040"/>
    <x v="16"/>
    <s v="monroecc"/>
    <x v="1190"/>
    <n v="1895426"/>
    <x v="0"/>
    <s v="Engineering; Engineering: Construction"/>
    <s v="9781118333105"/>
    <m/>
    <n v="0"/>
    <m/>
    <m/>
    <s v="No"/>
    <x v="0"/>
    <d v="2015-10-30T22:27:10"/>
    <n v="7"/>
    <s v="150.160.200.114"/>
    <s v="TH2278 -- .T635 2015eb"/>
    <n v="694.6"/>
    <d v="2015-03-30T00:00:00"/>
  </r>
  <r>
    <x v="4789"/>
    <d v="1899-12-30T00:00:10"/>
    <x v="1040"/>
    <x v="16"/>
    <s v="monroecc"/>
    <x v="1190"/>
    <n v="1895426"/>
    <x v="0"/>
    <s v="Engineering; Engineering: Construction"/>
    <s v="9781118333105"/>
    <s v=",1,2,2,3,1,3"/>
    <n v="3"/>
    <m/>
    <m/>
    <s v="No"/>
    <x v="3"/>
    <m/>
    <m/>
    <s v="150.160.200.114"/>
    <s v="TH2278 -- .T635 2015eb"/>
    <n v="694.6"/>
    <d v="2015-03-30T00:00:00"/>
  </r>
  <r>
    <x v="4790"/>
    <d v="1899-12-30T00:00:00"/>
    <x v="1040"/>
    <x v="16"/>
    <s v="monroecc"/>
    <x v="362"/>
    <n v="1895443"/>
    <x v="0"/>
    <s v="Engineering; Engineering: Electrical; Architecture"/>
    <s v="9781118417713"/>
    <m/>
    <n v="0"/>
    <m/>
    <m/>
    <s v="Yes"/>
    <x v="0"/>
    <d v="2015-10-30T22:26:48"/>
    <n v="7"/>
    <s v="150.160.200.114"/>
    <s v="TK4175 -- .G67 2014eb"/>
    <s v="729/.28"/>
    <d v="2015-01-28T00:00:00"/>
  </r>
  <r>
    <x v="4790"/>
    <d v="1899-12-30T00:00:00"/>
    <x v="1040"/>
    <x v="16"/>
    <s v="monroecc"/>
    <x v="362"/>
    <n v="1895443"/>
    <x v="0"/>
    <s v="Engineering; Engineering: Electrical; Architecture"/>
    <s v="9781118417713"/>
    <m/>
    <n v="0"/>
    <m/>
    <m/>
    <s v="No"/>
    <x v="0"/>
    <d v="2015-10-30T22:26:48"/>
    <n v="7"/>
    <s v="150.160.200.114"/>
    <s v="TK4175 -- .G67 2014eb"/>
    <s v="729/.28"/>
    <d v="2015-01-28T00:00:00"/>
  </r>
  <r>
    <x v="4791"/>
    <d v="1899-12-30T00:00:46"/>
    <x v="1040"/>
    <x v="16"/>
    <s v="monroecc"/>
    <x v="362"/>
    <n v="1895443"/>
    <x v="0"/>
    <s v="Engineering; Engineering: Electrical; Architecture"/>
    <s v="9781118417713"/>
    <s v=",1,2,2,3,3,1,2,2"/>
    <n v="3"/>
    <m/>
    <m/>
    <s v="No"/>
    <x v="3"/>
    <m/>
    <m/>
    <s v="150.160.200.114"/>
    <s v="TK4175 -- .G67 2014eb"/>
    <s v="729/.28"/>
    <d v="2015-01-28T00:00:00"/>
  </r>
  <r>
    <x v="4792"/>
    <d v="1899-12-30T00:00:00"/>
    <x v="1040"/>
    <x v="16"/>
    <s v="monroecc"/>
    <x v="369"/>
    <n v="3057725"/>
    <x v="0"/>
    <s v="Fine Arts"/>
    <s v="9780470099667"/>
    <m/>
    <n v="0"/>
    <m/>
    <m/>
    <s v="Yes"/>
    <x v="0"/>
    <d v="2015-10-30T22:23:31"/>
    <n v="7"/>
    <s v="150.160.200.114"/>
    <s v="TT825 -- .D48 2006eb"/>
    <s v="746.43/2"/>
    <d v="2006-09-19T00:00:00"/>
  </r>
  <r>
    <x v="4792"/>
    <d v="1899-12-30T00:00:00"/>
    <x v="1040"/>
    <x v="16"/>
    <s v="monroecc"/>
    <x v="369"/>
    <n v="3057725"/>
    <x v="0"/>
    <s v="Fine Arts"/>
    <s v="9780470099667"/>
    <m/>
    <n v="0"/>
    <m/>
    <m/>
    <s v="No"/>
    <x v="0"/>
    <d v="2015-10-30T22:23:31"/>
    <n v="7"/>
    <s v="150.160.200.114"/>
    <s v="TT825 -- .D48 2006eb"/>
    <s v="746.43/2"/>
    <d v="2006-09-19T00:00:00"/>
  </r>
  <r>
    <x v="4793"/>
    <d v="1899-12-30T00:01:03"/>
    <x v="1040"/>
    <x v="16"/>
    <s v="monroecc"/>
    <x v="369"/>
    <n v="3057725"/>
    <x v="0"/>
    <s v="Fine Arts"/>
    <s v="9780470099667"/>
    <s v=",1,2,1,2,3,3,2,17,18,19,17,19,18,48,49,48,49,50,50,46,47,47,51,51"/>
    <n v="12"/>
    <m/>
    <m/>
    <s v="No"/>
    <x v="3"/>
    <m/>
    <m/>
    <s v="150.160.200.114"/>
    <s v="TT825 -- .D48 2006eb"/>
    <s v="746.43/2"/>
    <d v="2006-09-19T00:00:00"/>
  </r>
  <r>
    <x v="4794"/>
    <d v="1899-12-30T00:00:00"/>
    <x v="1040"/>
    <x v="16"/>
    <s v="monroecc"/>
    <x v="1191"/>
    <n v="1365052"/>
    <x v="0"/>
    <s v="Architecture; Engineering; Engineering: Civil"/>
    <s v="9781118419908"/>
    <m/>
    <n v="0"/>
    <m/>
    <m/>
    <s v="Yes"/>
    <x v="2"/>
    <d v="2015-10-30T22:21:07"/>
    <n v="1"/>
    <s v="150.160.200.114"/>
    <s v="TA403.4 -- .B56 2014eb"/>
    <n v="729"/>
    <d v="2013-08-26T00:00:00"/>
  </r>
  <r>
    <x v="4794"/>
    <d v="1899-12-30T00:00:00"/>
    <x v="1040"/>
    <x v="16"/>
    <s v="monroecc"/>
    <x v="1191"/>
    <n v="1365052"/>
    <x v="0"/>
    <s v="Architecture; Engineering; Engineering: Civil"/>
    <s v="9781118419908"/>
    <m/>
    <n v="0"/>
    <m/>
    <m/>
    <s v="No"/>
    <x v="2"/>
    <d v="2015-10-30T22:21:07"/>
    <n v="1"/>
    <s v="150.160.200.114"/>
    <s v="TA403.4 -- .B56 2014eb"/>
    <n v="729"/>
    <d v="2013-08-26T00:00:00"/>
  </r>
  <r>
    <x v="4795"/>
    <d v="1899-12-30T00:00:00"/>
    <x v="1040"/>
    <x v="16"/>
    <s v="monroecc"/>
    <x v="1192"/>
    <n v="1120973"/>
    <x v="0"/>
    <s v="Engineering; Fine Arts; Engineering: Construction"/>
    <s v="9781118404621"/>
    <m/>
    <n v="0"/>
    <m/>
    <m/>
    <s v="Yes"/>
    <x v="0"/>
    <d v="2015-10-30T22:21:00"/>
    <n v="7"/>
    <s v="150.160.200.114"/>
    <s v="TH4816.3.K58 B43 2013"/>
    <s v="690.44; 690/.44; 747.797"/>
    <d v="2013-01-30T00:00:00"/>
  </r>
  <r>
    <x v="4795"/>
    <d v="1899-12-30T00:00:00"/>
    <x v="1040"/>
    <x v="16"/>
    <s v="monroecc"/>
    <x v="1192"/>
    <n v="1120973"/>
    <x v="0"/>
    <s v="Engineering; Fine Arts; Engineering: Construction"/>
    <s v="9781118404621"/>
    <m/>
    <n v="0"/>
    <m/>
    <m/>
    <s v="No"/>
    <x v="0"/>
    <d v="2015-10-30T22:21:00"/>
    <n v="7"/>
    <s v="150.160.200.114"/>
    <s v="TH4816.3.K58 B43 2013"/>
    <s v="690.44; 690/.44; 747.797"/>
    <d v="2013-01-30T00:00:00"/>
  </r>
  <r>
    <x v="4796"/>
    <d v="1899-12-30T00:00:00"/>
    <x v="1040"/>
    <x v="16"/>
    <s v="monroecc"/>
    <x v="584"/>
    <n v="1895557"/>
    <x v="0"/>
    <s v="Fine Arts"/>
    <s v="9781118715659"/>
    <m/>
    <n v="0"/>
    <m/>
    <m/>
    <s v="Yes"/>
    <x v="0"/>
    <d v="2015-10-30T22:20:55"/>
    <n v="7"/>
    <s v="150.160.200.114"/>
    <s v="NK2117.K5 -- .W65 2015eb"/>
    <s v="747.7/8"/>
    <d v="2015-01-05T00:00:00"/>
  </r>
  <r>
    <x v="4796"/>
    <d v="1899-12-30T00:00:00"/>
    <x v="1040"/>
    <x v="16"/>
    <s v="monroecc"/>
    <x v="584"/>
    <n v="1895557"/>
    <x v="0"/>
    <s v="Fine Arts"/>
    <s v="9781118715659"/>
    <m/>
    <n v="0"/>
    <m/>
    <m/>
    <s v="No"/>
    <x v="0"/>
    <d v="2015-10-30T22:20:55"/>
    <n v="7"/>
    <s v="150.160.200.114"/>
    <s v="NK2117.K5 -- .W65 2015eb"/>
    <s v="747.7/8"/>
    <d v="2015-01-05T00:00:00"/>
  </r>
  <r>
    <x v="4797"/>
    <d v="1899-12-30T00:00:00"/>
    <x v="1040"/>
    <x v="16"/>
    <s v="monroecc"/>
    <x v="1193"/>
    <n v="1642645"/>
    <x v="0"/>
    <s v="Engineering; Engineering: Construction; Fine Arts"/>
    <s v="9781118806463"/>
    <m/>
    <n v="0"/>
    <m/>
    <m/>
    <s v="Yes"/>
    <x v="2"/>
    <d v="2015-10-30T22:20:48"/>
    <n v="1"/>
    <s v="150.160.200.114"/>
    <s v="TH4816.3.K58 -- .K76 2014eb"/>
    <s v="747.7/8"/>
    <d v="2014-02-27T00:00:00"/>
  </r>
  <r>
    <x v="4797"/>
    <d v="1899-12-30T00:00:00"/>
    <x v="1040"/>
    <x v="16"/>
    <s v="monroecc"/>
    <x v="1193"/>
    <n v="1642645"/>
    <x v="0"/>
    <s v="Engineering; Engineering: Construction; Fine Arts"/>
    <s v="9781118806463"/>
    <m/>
    <n v="0"/>
    <m/>
    <m/>
    <s v="No"/>
    <x v="2"/>
    <d v="2015-10-30T22:20:48"/>
    <n v="1"/>
    <s v="150.160.200.114"/>
    <s v="TH4816.3.K58 -- .K76 2014eb"/>
    <s v="747.7/8"/>
    <d v="2014-02-27T00:00:00"/>
  </r>
  <r>
    <x v="4798"/>
    <d v="1899-12-30T00:00:00"/>
    <x v="1040"/>
    <x v="16"/>
    <s v="monroecc"/>
    <x v="1194"/>
    <n v="1120820"/>
    <x v="0"/>
    <s v="Engineering; Fine Arts; Engineering: Construction"/>
    <s v="9781118404508"/>
    <m/>
    <n v="0"/>
    <m/>
    <m/>
    <s v="Yes"/>
    <x v="2"/>
    <d v="2015-10-30T22:19:29"/>
    <n v="1"/>
    <s v="150.160.200.114"/>
    <s v="TH6485 .P37 2013"/>
    <s v="690.42; 690/.42; 747.78"/>
    <d v="2013-01-17T00:00:00"/>
  </r>
  <r>
    <x v="4798"/>
    <d v="1899-12-30T00:00:00"/>
    <x v="1040"/>
    <x v="16"/>
    <s v="monroecc"/>
    <x v="1194"/>
    <n v="1120820"/>
    <x v="0"/>
    <s v="Engineering; Fine Arts; Engineering: Construction"/>
    <s v="9781118404508"/>
    <m/>
    <n v="0"/>
    <m/>
    <m/>
    <s v="No"/>
    <x v="2"/>
    <d v="2015-10-30T22:19:29"/>
    <n v="1"/>
    <s v="150.160.200.114"/>
    <s v="TH6485 .P37 2013"/>
    <s v="690.42; 690/.42; 747.78"/>
    <d v="2013-01-17T00:00:00"/>
  </r>
  <r>
    <x v="4799"/>
    <d v="1899-12-30T00:01:35"/>
    <x v="1040"/>
    <x v="16"/>
    <s v="monroecc"/>
    <x v="1194"/>
    <n v="1120820"/>
    <x v="0"/>
    <s v="Engineering; Fine Arts; Engineering: Construction"/>
    <s v="9781118404508"/>
    <s v=",1,2,3,2,3,1,2,2"/>
    <n v="3"/>
    <m/>
    <m/>
    <s v="No"/>
    <x v="3"/>
    <m/>
    <m/>
    <s v="150.160.200.114"/>
    <s v="TH6485 .P37 2013"/>
    <s v="690.42; 690/.42; 747.78"/>
    <d v="2013-01-17T00:00:00"/>
  </r>
  <r>
    <x v="4800"/>
    <d v="1899-12-30T00:02:58"/>
    <x v="1040"/>
    <x v="16"/>
    <s v="monroecc"/>
    <x v="1193"/>
    <n v="1642645"/>
    <x v="0"/>
    <s v="Engineering; Engineering: Construction; Fine Arts"/>
    <s v="9781118806463"/>
    <s v=",1,2,2,1,3,3,2,2"/>
    <n v="3"/>
    <m/>
    <m/>
    <s v="No"/>
    <x v="3"/>
    <m/>
    <m/>
    <s v="150.160.200.114"/>
    <s v="TH4816.3.K58 -- .K76 2014eb"/>
    <s v="747.7/8"/>
    <d v="2014-02-27T00:00:00"/>
  </r>
  <r>
    <x v="4801"/>
    <d v="1899-12-30T00:03:08"/>
    <x v="1040"/>
    <x v="16"/>
    <s v="monroecc"/>
    <x v="584"/>
    <n v="1895557"/>
    <x v="0"/>
    <s v="Fine Arts"/>
    <s v="9781118715659"/>
    <s v=",1,2,2,3,1,3,2,2"/>
    <n v="3"/>
    <m/>
    <m/>
    <s v="No"/>
    <x v="3"/>
    <m/>
    <m/>
    <s v="150.160.200.114"/>
    <s v="NK2117.K5 -- .W65 2015eb"/>
    <s v="747.7/8"/>
    <d v="2015-01-05T00:00:00"/>
  </r>
  <r>
    <x v="4802"/>
    <d v="1899-12-30T00:03:17"/>
    <x v="1040"/>
    <x v="16"/>
    <s v="monroecc"/>
    <x v="1192"/>
    <n v="1120973"/>
    <x v="0"/>
    <s v="Engineering; Fine Arts; Engineering: Construction"/>
    <s v="9781118404621"/>
    <s v=",1,2,3,2,3,1,2,2"/>
    <n v="3"/>
    <m/>
    <m/>
    <s v="No"/>
    <x v="1"/>
    <m/>
    <m/>
    <s v="150.160.200.114"/>
    <s v="TH4816.3.K58 B43 2013"/>
    <s v="690.44; 690/.44; 747.797"/>
    <d v="2013-01-30T00:00:00"/>
  </r>
  <r>
    <x v="4803"/>
    <d v="1899-12-30T00:03:27"/>
    <x v="1040"/>
    <x v="16"/>
    <s v="monroecc"/>
    <x v="1191"/>
    <n v="1365052"/>
    <x v="0"/>
    <s v="Architecture; Engineering; Engineering: Civil"/>
    <s v="9781118419908"/>
    <s v=",1,2,2,3,3,1,2,2"/>
    <n v="3"/>
    <m/>
    <m/>
    <s v="No"/>
    <x v="3"/>
    <m/>
    <m/>
    <s v="150.160.200.114"/>
    <s v="TA403.4 -- .B56 2014eb"/>
    <n v="729"/>
    <d v="2013-08-26T00:00:00"/>
  </r>
  <r>
    <x v="4804"/>
    <d v="1899-12-30T00:00:51"/>
    <x v="1222"/>
    <x v="5"/>
    <s v="erie"/>
    <x v="1195"/>
    <n v="3059071"/>
    <x v="0"/>
    <s v="Business/Management; Social Science"/>
    <s v="9781118839669"/>
    <s v=",850,851,852,853,854,855,856,857"/>
    <n v="8"/>
    <m/>
    <s v=",844,845,846,847,848,849,850,851,852"/>
    <s v="No"/>
    <x v="0"/>
    <d v="2015-10-30T21:45:34"/>
    <n v="7"/>
    <s v="199.29.6.54"/>
    <s v="HD57.7 -- .L43 2014eb"/>
    <n v="303.33999999999997"/>
    <d v="2013-12-01T00:00:00"/>
  </r>
  <r>
    <x v="4805"/>
    <d v="1899-12-30T00:06:03"/>
    <x v="1222"/>
    <x v="5"/>
    <s v="erie"/>
    <x v="1195"/>
    <n v="3059071"/>
    <x v="0"/>
    <s v="Business/Management; Social Science"/>
    <s v="9781118839669"/>
    <s v=",842,843,1,844,840,841,2,845,846,847,848,849"/>
    <n v="12"/>
    <m/>
    <m/>
    <s v="No"/>
    <x v="3"/>
    <m/>
    <m/>
    <s v="199.29.6.54"/>
    <s v="HD57.7 -- .L43 2014eb"/>
    <n v="303.33999999999997"/>
    <d v="2013-12-01T00:00:00"/>
  </r>
  <r>
    <x v="4806"/>
    <d v="1899-12-30T00:02:58"/>
    <x v="1223"/>
    <x v="7"/>
    <s v="oneonta"/>
    <x v="1196"/>
    <n v="879339"/>
    <x v="0"/>
    <s v="Medicine"/>
    <s v="9781119962212"/>
    <s v=",46,46,47,48,47,48,49,49,50,50,51,51,52,52,53,53,54,54,54,55,55,56,56,51,56,57,57,58,58"/>
    <n v="13"/>
    <m/>
    <m/>
    <s v="No"/>
    <x v="0"/>
    <d v="2015-10-30T20:55:32"/>
    <n v="7"/>
    <s v="137.141.13.2"/>
    <s v="RJ499 -- .C55 2012eb"/>
    <n v="616.89008349999995"/>
    <d v="2012-03-23T00:00:00"/>
  </r>
  <r>
    <x v="4807"/>
    <d v="1899-12-30T00:10:08"/>
    <x v="1223"/>
    <x v="7"/>
    <s v="oneonta"/>
    <x v="1196"/>
    <n v="879339"/>
    <x v="0"/>
    <s v="Medicine"/>
    <s v="9781119962212"/>
    <s v=",1,2,2,3,3,1,2,2,474,475,476,474,475,476,472,473,473,477,477,472,477,478,478,479,479,473,472,474,36,37,38,37,36,34,35,38,35,39,39,34,39,40,40,41,41,42,42,43,43,44,44,45,45"/>
    <n v="23"/>
    <m/>
    <m/>
    <s v="No"/>
    <x v="1"/>
    <m/>
    <m/>
    <s v="137.141.13.2"/>
    <s v="RJ499 -- .C55 2012eb"/>
    <n v="616.89008349999995"/>
    <d v="2012-03-23T00:00:00"/>
  </r>
  <r>
    <x v="4808"/>
    <d v="1899-12-30T00:00:00"/>
    <x v="1216"/>
    <x v="1"/>
    <s v="brockport"/>
    <x v="1185"/>
    <n v="1869098"/>
    <x v="0"/>
    <s v="Medicine"/>
    <s v="9781118760390"/>
    <m/>
    <n v="0"/>
    <m/>
    <m/>
    <s v="Yes"/>
    <x v="0"/>
    <d v="2015-10-30T20:33:30"/>
    <n v="7"/>
    <s v="137.21.7.121"/>
    <s v="RC451.4.P79 -- Z37 2015eb"/>
    <s v="616.89/14092"/>
    <d v="2014-11-20T00:00:00"/>
  </r>
  <r>
    <x v="4809"/>
    <d v="1899-12-30T00:00:00"/>
    <x v="1216"/>
    <x v="1"/>
    <s v="brockport"/>
    <x v="1185"/>
    <n v="1869098"/>
    <x v="0"/>
    <s v="Medicine"/>
    <s v="9781118760390"/>
    <m/>
    <n v="0"/>
    <m/>
    <m/>
    <s v="Yes"/>
    <x v="0"/>
    <d v="2015-10-30T20:33:30"/>
    <n v="7"/>
    <s v="137.21.7.121"/>
    <s v="RC451.4.P79 -- Z37 2015eb"/>
    <s v="616.89/14092"/>
    <d v="2014-11-20T00:00:00"/>
  </r>
  <r>
    <x v="4809"/>
    <d v="1899-12-30T00:00:00"/>
    <x v="1216"/>
    <x v="1"/>
    <s v="brockport"/>
    <x v="1185"/>
    <n v="1869098"/>
    <x v="0"/>
    <s v="Medicine"/>
    <s v="9781118760390"/>
    <m/>
    <n v="0"/>
    <m/>
    <m/>
    <s v="No"/>
    <x v="0"/>
    <d v="2015-10-30T20:33:30"/>
    <n v="7"/>
    <s v="137.21.7.121"/>
    <s v="RC451.4.P79 -- Z37 2015eb"/>
    <s v="616.89/14092"/>
    <d v="2014-11-20T00:00:00"/>
  </r>
  <r>
    <x v="4810"/>
    <d v="1899-12-30T00:00:26"/>
    <x v="1216"/>
    <x v="1"/>
    <s v="brockport"/>
    <x v="1185"/>
    <n v="1869098"/>
    <x v="0"/>
    <s v="Medicine"/>
    <s v="9781118760390"/>
    <s v=",1,3,2,4,5"/>
    <n v="5"/>
    <m/>
    <m/>
    <s v="No"/>
    <x v="3"/>
    <m/>
    <m/>
    <s v="137.21.7.121"/>
    <s v="RC451.4.P79 -- Z37 2015eb"/>
    <s v="616.89/14092"/>
    <d v="2014-11-20T00:00:00"/>
  </r>
  <r>
    <x v="4811"/>
    <d v="1899-12-30T00:01:23"/>
    <x v="1224"/>
    <x v="5"/>
    <s v="erie"/>
    <x v="891"/>
    <n v="1597377"/>
    <x v="0"/>
    <s v="Literature"/>
    <s v="9781118559512"/>
    <s v=",1,2,3,432,433,429,430,434,435,428,427,426,425,431"/>
    <n v="14"/>
    <m/>
    <m/>
    <s v="No"/>
    <x v="3"/>
    <m/>
    <m/>
    <s v="199.29.6.54"/>
    <s v="PS508.N3 -- .W554 2014eb"/>
    <n v="810.80896072999997"/>
    <d v="2014-01-13T00:00:00"/>
  </r>
  <r>
    <x v="4812"/>
    <d v="1899-12-30T00:05:07"/>
    <x v="1225"/>
    <x v="1"/>
    <s v="brockport"/>
    <x v="1197"/>
    <n v="1811430"/>
    <x v="0"/>
    <s v="Religion"/>
    <s v="9781118323533"/>
    <s v=",242,243,237,235,236,233,234,231,232,229,230"/>
    <n v="11"/>
    <m/>
    <m/>
    <s v="No"/>
    <x v="2"/>
    <d v="2015-10-30T19:17:01"/>
    <n v="1"/>
    <s v="137.21.7.121"/>
    <s v="BL2525 -- .B74 2015eb"/>
    <n v="200.97300000000001"/>
    <d v="2014-09-30T00:00:00"/>
  </r>
  <r>
    <x v="4813"/>
    <d v="1899-12-30T00:05:01"/>
    <x v="1225"/>
    <x v="1"/>
    <s v="brockport"/>
    <x v="1197"/>
    <n v="1811430"/>
    <x v="0"/>
    <s v="Religion"/>
    <s v="9781118323533"/>
    <s v=",1,2,3,239,240,241,237,238,236,235,234,233,232,231,229,235,236,237,238,239,240,241"/>
    <n v="15"/>
    <m/>
    <m/>
    <s v="No"/>
    <x v="3"/>
    <m/>
    <m/>
    <s v="137.21.7.121"/>
    <s v="BL2525 -- .B74 2015eb"/>
    <n v="200.97300000000001"/>
    <d v="2014-09-30T00:00:00"/>
  </r>
  <r>
    <x v="4814"/>
    <d v="1899-12-30T00:38:32"/>
    <x v="1226"/>
    <x v="3"/>
    <s v="canton"/>
    <x v="353"/>
    <n v="843674"/>
    <x v="0"/>
    <s v="Engineering: Construction; Engineering"/>
    <s v="9781118348444"/>
    <s v=",61,55,54,53,52,493,494,495,491,492,496,507,508,509,505,506,497,498,499,500,501,502,71,73,72,74,70,75,76,107,91,92,93,90,89,87,88,94,95,96,97,98,99,100,101,102,103,104,105,88,87,106,107,108,109,110,111,112,113,114,129,145,154,155,160,159,158,157,156,153,151,152,150,149,148,147,146,145,425,426,427,423,424,69,70,67,68,283,284,285,281,282,75,76,286,287,279,280,278,277,275,276,274,258,204,200,189,171,172,170,142,143,141,139,144,145,146,70,67,68,379,380,381,377,382,378,51,52,53,49,50,61,62,63,64,65,66,67,68,50"/>
    <n v="122"/>
    <m/>
    <m/>
    <s v="No"/>
    <x v="0"/>
    <d v="2015-10-30T18:30:57"/>
    <n v="7"/>
    <s v="137.37.33.33"/>
    <s v="TH435 -- .R76 2012eb"/>
    <n v="692.50972999999999"/>
    <d v="2012-02-21T00:00:00"/>
  </r>
  <r>
    <x v="4815"/>
    <d v="1899-12-30T00:02:00"/>
    <x v="1196"/>
    <x v="0"/>
    <s v="Buffalo"/>
    <x v="1154"/>
    <n v="1318682"/>
    <x v="0"/>
    <s v="Engineering: General; Engineering; Engineering: Mechanical"/>
    <s v="9781118549483"/>
    <s v=",4,5,6,7,8,9,10,11,12,13"/>
    <n v="10"/>
    <m/>
    <m/>
    <s v="Yes"/>
    <x v="0"/>
    <d v="2015-10-30T18:15:38"/>
    <n v="7"/>
    <s v="128.205.114.91"/>
    <s v="TJ223.P76 -- B58 2013eb"/>
    <n v="629.89"/>
    <d v="2013-07-16T00:00:00"/>
  </r>
  <r>
    <x v="4816"/>
    <d v="1899-12-30T00:00:03"/>
    <x v="1196"/>
    <x v="0"/>
    <s v="Buffalo"/>
    <x v="1154"/>
    <n v="1318682"/>
    <x v="0"/>
    <s v="Engineering: General; Engineering; Engineering: Mechanical"/>
    <s v="9781118549483"/>
    <s v=",1,2,3"/>
    <n v="3"/>
    <m/>
    <m/>
    <s v="No"/>
    <x v="0"/>
    <d v="2015-10-30T18:15:38"/>
    <n v="7"/>
    <s v="128.205.114.91"/>
    <s v="TJ223.P76 -- B58 2013eb"/>
    <n v="629.89"/>
    <d v="2013-07-16T00:00:00"/>
  </r>
  <r>
    <x v="4817"/>
    <d v="1899-12-30T00:00:00"/>
    <x v="1196"/>
    <x v="0"/>
    <s v="Buffalo"/>
    <x v="1154"/>
    <n v="1318682"/>
    <x v="0"/>
    <s v="Engineering: General; Engineering; Engineering: Mechanical"/>
    <s v="9781118549483"/>
    <m/>
    <n v="0"/>
    <m/>
    <s v=",31,32,33,34,35,36,37,38,39,40,41,42,43,44,45,46,47,48,49,50,51,52,53,54,55,56,57,58,59,60,61,62,63,64,65,66,67,68,69,70,71,72,73,74,75,76,77,78,79,80,81,82,83,84,85,86,87,88,89,90"/>
    <s v="No"/>
    <x v="0"/>
    <d v="2015-10-30T18:15:38"/>
    <n v="7"/>
    <s v="128.205.114.91"/>
    <s v="TJ223.P76 -- B58 2013eb"/>
    <n v="629.89"/>
    <d v="2013-07-16T00:00:00"/>
  </r>
  <r>
    <x v="4818"/>
    <d v="1899-12-30T00:00:08"/>
    <x v="1196"/>
    <x v="0"/>
    <s v="Buffalo"/>
    <x v="1154"/>
    <n v="1318682"/>
    <x v="0"/>
    <s v="Engineering: General; Engineering; Engineering: Mechanical"/>
    <s v="9781118549483"/>
    <s v=",1,3,2"/>
    <n v="3"/>
    <m/>
    <m/>
    <s v="No"/>
    <x v="1"/>
    <m/>
    <m/>
    <s v="128.205.114.91"/>
    <s v="TJ223.P76 -- B58 2013eb"/>
    <n v="629.89"/>
    <d v="2013-07-16T00:00:00"/>
  </r>
  <r>
    <x v="4819"/>
    <d v="1899-12-30T01:00:29"/>
    <x v="984"/>
    <x v="3"/>
    <s v="canton"/>
    <x v="353"/>
    <n v="843674"/>
    <x v="0"/>
    <s v="Engineering: Construction; Engineering"/>
    <s v="9781118348444"/>
    <s v=",58,59,60,56,57,51,52,53,49,50,54,55,493,494,495,491,496,492,497,498,499,500,501,502,412,413,414,468,469,470,466,467,471,472,473,474,476,478,479,481,485,5,6,7,3,4,61,62,63,64,65,66,67,68,69,70,71,72,73,103,116,117,136,142,143,144,145,146,147,148,149,150,141,140,139,138,137,136,135,134,133,132,131,130,129,128,73,74,75,76,80,160,161,162,163,158,159,156,157,155,154,153,152,151,150,149"/>
    <n v="102"/>
    <m/>
    <m/>
    <s v="No"/>
    <x v="0"/>
    <d v="2015-10-30T18:06:35"/>
    <n v="7"/>
    <s v="137.37.33.33"/>
    <s v="TH435 -- .R76 2012eb"/>
    <n v="692.50972999999999"/>
    <d v="2012-02-21T00:00:00"/>
  </r>
  <r>
    <x v="4820"/>
    <d v="1899-12-30T00:31:41"/>
    <x v="1226"/>
    <x v="3"/>
    <s v="canton"/>
    <x v="353"/>
    <n v="843674"/>
    <x v="0"/>
    <s v="Engineering: Construction; Engineering"/>
    <s v="9781118348444"/>
    <s v=",1,2,3,4,5,6,7,8,9,10,11,58,59,60,56,57"/>
    <n v="16"/>
    <m/>
    <m/>
    <s v="No"/>
    <x v="1"/>
    <m/>
    <m/>
    <s v="137.37.33.33"/>
    <s v="TH435 -- .R76 2012eb"/>
    <n v="692.50972999999999"/>
    <d v="2012-02-21T00:00:00"/>
  </r>
  <r>
    <x v="4821"/>
    <d v="1899-12-30T00:09:02"/>
    <x v="984"/>
    <x v="3"/>
    <s v="canton"/>
    <x v="353"/>
    <n v="843674"/>
    <x v="0"/>
    <s v="Engineering: Construction; Engineering"/>
    <s v="9781118348444"/>
    <s v=",1,2,3,4,5,6,7,8,1"/>
    <n v="8"/>
    <m/>
    <m/>
    <s v="No"/>
    <x v="1"/>
    <m/>
    <m/>
    <s v="137.37.33.33"/>
    <s v="TH435 -- .R76 2012eb"/>
    <n v="692.50972999999999"/>
    <d v="2012-02-21T00:00:00"/>
  </r>
  <r>
    <x v="4822"/>
    <d v="1899-12-30T00:01:33"/>
    <x v="13"/>
    <x v="0"/>
    <s v="Buffalo"/>
    <x v="568"/>
    <n v="1819342"/>
    <x v="0"/>
    <s v="Computer Science/IT; General Works/Reference"/>
    <s v="9781118940334"/>
    <s v=",16,16,17,16,18,17,18,19,19,20,20,21,21,22,22,23,23,24,24,25,25,20,19,18"/>
    <n v="10"/>
    <m/>
    <m/>
    <s v="No"/>
    <x v="0"/>
    <d v="2015-10-30T17:52:48"/>
    <n v="7"/>
    <s v="128.205.114.91"/>
    <s v="QA76.6 -- .M338 2015eb"/>
    <n v="1.6419999999999999"/>
    <d v="2014-10-16T00:00:00"/>
  </r>
  <r>
    <x v="4823"/>
    <d v="1899-12-30T00:41:11"/>
    <x v="13"/>
    <x v="0"/>
    <s v="Buffalo"/>
    <x v="73"/>
    <n v="1119505"/>
    <x v="0"/>
    <s v="Science: Chemistry; Science"/>
    <s v="9781118355015"/>
    <s v=",1,2,3,170,171,172,168,169,173,174,178,175"/>
    <n v="12"/>
    <m/>
    <m/>
    <s v="No"/>
    <x v="0"/>
    <d v="2015-10-29T18:29:10"/>
    <n v="7"/>
    <s v="128.205.114.91"/>
    <s v="QD251.3 -- .S38 2013eb"/>
    <s v="547/.128"/>
    <d v="2013-01-28T00:00:00"/>
  </r>
  <r>
    <x v="4824"/>
    <d v="1899-12-30T00:21:33"/>
    <x v="13"/>
    <x v="0"/>
    <s v="Buffalo"/>
    <x v="568"/>
    <n v="1819342"/>
    <x v="0"/>
    <s v="Computer Science/IT; General Works/Reference"/>
    <s v="9781118940334"/>
    <s v=",1,2,3,3,1,2,4,5,4,5,6,6,7,7,8,8,9,9,2,4,1,2,3,4,5,6,7,8,9,10,10,11,12,13,11,12,14,13,14,15,15"/>
    <n v="15"/>
    <m/>
    <m/>
    <s v="No"/>
    <x v="1"/>
    <m/>
    <m/>
    <s v="128.205.114.91"/>
    <s v="QA76.6 -- .M338 2015eb"/>
    <n v="1.6419999999999999"/>
    <d v="2014-10-16T00:00:00"/>
  </r>
  <r>
    <x v="4825"/>
    <d v="1899-12-30T00:01:53"/>
    <x v="1227"/>
    <x v="13"/>
    <s v="buffalostate"/>
    <x v="270"/>
    <n v="1637652"/>
    <x v="3"/>
    <s v="Education"/>
    <s v="9780520958449"/>
    <s v=",17,26,27,28,24,25,29,30,31,32"/>
    <n v="10"/>
    <m/>
    <m/>
    <s v="No"/>
    <x v="0"/>
    <d v="2015-10-30T17:23:57"/>
    <n v="7"/>
    <s v="136.183.11.43"/>
    <s v="LB2340.2 -- .B478 2014eb"/>
    <s v="378.3/62"/>
    <d v="2014-05-02T00:00:00"/>
  </r>
  <r>
    <x v="4826"/>
    <d v="1899-12-30T00:00:46"/>
    <x v="1228"/>
    <x v="8"/>
    <s v="niagaracc"/>
    <x v="261"/>
    <n v="902995"/>
    <x v="6"/>
    <s v="Medicine"/>
    <s v="9781438139234"/>
    <s v=",1,2,3,21,12,13,14,10,11,15"/>
    <n v="10"/>
    <m/>
    <m/>
    <s v="No"/>
    <x v="1"/>
    <m/>
    <m/>
    <s v="132.174.254.37"/>
    <s v="RC569.5.I54 -- M37 2012eb"/>
    <s v="616.85/84"/>
    <d v="2012-03-01T00:00:00"/>
  </r>
  <r>
    <x v="4827"/>
    <d v="1899-12-30T00:11:53"/>
    <x v="1227"/>
    <x v="13"/>
    <s v="buffalostate"/>
    <x v="270"/>
    <n v="1637652"/>
    <x v="3"/>
    <s v="Education"/>
    <s v="9780520958449"/>
    <s v=",1,2,3,14,15,16,12,13,17,18,244,245,246,242,243,2,242,241,240,239,238,237,236,235,14,15,16,12,13"/>
    <n v="22"/>
    <m/>
    <m/>
    <s v="No"/>
    <x v="1"/>
    <m/>
    <m/>
    <s v="136.183.11.43"/>
    <s v="LB2340.2 -- .B478 2014eb"/>
    <s v="378.3/62"/>
    <d v="2014-05-02T00:00:00"/>
  </r>
  <r>
    <x v="4828"/>
    <d v="1899-12-30T00:01:46"/>
    <x v="13"/>
    <x v="0"/>
    <s v="Buffalo"/>
    <x v="975"/>
    <n v="817871"/>
    <x v="0"/>
    <s v="Computer Science/IT"/>
    <s v="9781118206911"/>
    <s v=",1,2,3,257,258,259,255,256,260,261,262,263,264,265,266,267,268,257,258,259,255,256,427,428,429,425,426,430,431"/>
    <n v="24"/>
    <m/>
    <m/>
    <s v="No"/>
    <x v="1"/>
    <m/>
    <m/>
    <s v="128.205.114.91"/>
    <s v="QA76.76.H94"/>
    <n v="6.74"/>
    <d v="2011-12-20T00:00:00"/>
  </r>
  <r>
    <x v="4829"/>
    <d v="1899-12-30T00:06:32"/>
    <x v="846"/>
    <x v="1"/>
    <s v="brockport"/>
    <x v="519"/>
    <n v="822662"/>
    <x v="0"/>
    <s v="History"/>
    <s v="9781444355130"/>
    <s v=",1,2,3,259,260,261,257,258,264,267,268,269,270,271,272,273,274,276,277,278,279,280,281,282,283,284,285,286,287,288,289,290,291,292,293,294,295,296"/>
    <n v="38"/>
    <m/>
    <m/>
    <s v="No"/>
    <x v="1"/>
    <m/>
    <m/>
    <s v="137.21.7.121"/>
    <s v="DT20 -- .R45 2012eb"/>
    <n v="960.3"/>
    <d v="2011-11-11T00:00:00"/>
  </r>
  <r>
    <x v="4830"/>
    <d v="1899-12-30T00:00:04"/>
    <x v="1229"/>
    <x v="13"/>
    <s v="buffalostate"/>
    <x v="838"/>
    <n v="1645284"/>
    <x v="11"/>
    <s v="History; Social Science"/>
    <s v="9780226122595"/>
    <s v=",1,2,3"/>
    <n v="3"/>
    <m/>
    <m/>
    <s v="No"/>
    <x v="3"/>
    <m/>
    <m/>
    <s v="136.183.11.43"/>
    <s v="E184"/>
    <n v="304.80973"/>
    <d v="2014-03-28T00:00:00"/>
  </r>
  <r>
    <x v="4831"/>
    <d v="1899-12-30T00:01:01"/>
    <x v="1230"/>
    <x v="0"/>
    <s v="Buffalo"/>
    <x v="555"/>
    <n v="822647"/>
    <x v="0"/>
    <s v="Language/Linguistics"/>
    <s v="9781444347173"/>
    <s v=",1,2,3,3,2,1,4,4,5,5,6,6,7,7,8,8,2,9,9,10,10,5"/>
    <n v="10"/>
    <m/>
    <m/>
    <s v="No"/>
    <x v="1"/>
    <m/>
    <m/>
    <s v="128.205.114.91"/>
    <s v="P118.2 -- .R473 2012eb"/>
    <s v="401/.93"/>
    <d v="2011-10-24T00:00:00"/>
  </r>
  <r>
    <x v="4832"/>
    <d v="1899-12-30T00:00:00"/>
    <x v="727"/>
    <x v="0"/>
    <s v="Buffalo"/>
    <x v="1198"/>
    <n v="1784643"/>
    <x v="1"/>
    <s v="Engineering: Civil; Engineering: General; Engineering"/>
    <s v="9781472425164"/>
    <m/>
    <n v="0"/>
    <m/>
    <m/>
    <s v="No"/>
    <x v="2"/>
    <d v="2015-10-30T07:28:20"/>
    <n v="1"/>
    <s v="128.205.114.91"/>
    <s v="TA169 -- .R475 2014eb"/>
    <s v="620/.00452"/>
    <d v="2014-11-28T00:00:00"/>
  </r>
  <r>
    <x v="4833"/>
    <d v="1899-12-30T00:07:44"/>
    <x v="989"/>
    <x v="1"/>
    <s v="brockport"/>
    <x v="519"/>
    <n v="822662"/>
    <x v="0"/>
    <s v="History"/>
    <s v="9781444355130"/>
    <s v=",285,286,287,288,289,290,291,292,293,294,295,296,297"/>
    <n v="13"/>
    <m/>
    <m/>
    <s v="No"/>
    <x v="0"/>
    <d v="2015-10-30T15:40:31"/>
    <n v="7"/>
    <s v="137.21.7.121"/>
    <s v="DT20 -- .R45 2012eb"/>
    <n v="960.3"/>
    <d v="2011-11-11T00:00:00"/>
  </r>
  <r>
    <x v="4834"/>
    <d v="1899-12-30T00:12:10"/>
    <x v="989"/>
    <x v="1"/>
    <s v="brockport"/>
    <x v="519"/>
    <n v="822662"/>
    <x v="0"/>
    <s v="History"/>
    <s v="9781444355130"/>
    <s v=",1,2,3,279,280,281,277,278,282,283,284"/>
    <n v="11"/>
    <m/>
    <m/>
    <s v="No"/>
    <x v="1"/>
    <m/>
    <m/>
    <s v="137.21.7.121"/>
    <s v="DT20 -- .R45 2012eb"/>
    <n v="960.3"/>
    <d v="2011-11-11T00:00:00"/>
  </r>
  <r>
    <x v="4835"/>
    <d v="1899-12-30T00:37:07"/>
    <x v="1231"/>
    <x v="0"/>
    <s v="Buffalo"/>
    <x v="1199"/>
    <n v="1190428"/>
    <x v="3"/>
    <s v="Health; Social Science"/>
    <s v="9780520955066"/>
    <s v=",1,2,3,120,121,122,118,119,123,124,125,126,127,128,2,54,55,56,52,53,51,57,58,59,60,61,62,63,64,120,121,122,123,124,125,126,127,128,129,130,131,126,125,131,132,133,134,135"/>
    <n v="35"/>
    <m/>
    <m/>
    <s v="No"/>
    <x v="0"/>
    <d v="2015-10-27T13:59:54"/>
    <n v="7"/>
    <s v="128.205.114.91"/>
    <s v="TX360.U6 -- N47 2013eb"/>
    <s v="363.8/5/0973"/>
    <d v="2013-05-14T00:00:00"/>
  </r>
  <r>
    <x v="4836"/>
    <d v="1899-12-30T00:35:17"/>
    <x v="1043"/>
    <x v="0"/>
    <s v="Buffalo"/>
    <x v="73"/>
    <n v="1119505"/>
    <x v="0"/>
    <s v="Science: Chemistry; Science"/>
    <s v="9781118355015"/>
    <s v=",189,188,185,186,187,184,182,183,188,189,190,187,185,184,189,190,191,192,193,194,195,196,197,192,197,198,198,198,193,192,191,190,189,188,187,192,193,194,195,196,197,192,191,196,197,198,193,198,192,193"/>
    <n v="17"/>
    <m/>
    <m/>
    <s v="No"/>
    <x v="0"/>
    <d v="2015-10-30T15:06:47"/>
    <n v="7"/>
    <s v="128.205.114.91"/>
    <s v="QD251.3 -- .S38 2013eb"/>
    <s v="547/.128"/>
    <d v="2013-01-28T00:00:00"/>
  </r>
  <r>
    <x v="4837"/>
    <d v="1899-12-30T00:10:02"/>
    <x v="1043"/>
    <x v="0"/>
    <s v="Buffalo"/>
    <x v="73"/>
    <n v="1119505"/>
    <x v="0"/>
    <s v="Science: Chemistry; Science"/>
    <s v="9781118355015"/>
    <s v=",1,2,2,3,3,1,178,179,180,180,176,178,177,179,177,181,181,2,182,183,182,183,184,184,191,192,191,192,193,193,194,195,196,196,195,194,197,197,192,191,189,190,188,186,187,186,187,188,184,185,185,189,190,185,184,183,182,187,188,189,190,191,192,193,194"/>
    <n v="25"/>
    <m/>
    <m/>
    <s v="No"/>
    <x v="1"/>
    <m/>
    <m/>
    <s v="128.205.114.91"/>
    <s v="QD251.3 -- .S38 2013eb"/>
    <s v="547/.128"/>
    <d v="2013-01-28T00:00:00"/>
  </r>
  <r>
    <x v="4838"/>
    <d v="1899-12-30T00:00:33"/>
    <x v="429"/>
    <x v="4"/>
    <s v="monroe2boces"/>
    <x v="1200"/>
    <n v="871516"/>
    <x v="0"/>
    <s v="Science: Biology/Natural History; Science"/>
    <s v="9781444347210"/>
    <s v=",1,2,3,4,5,19,20,16,17"/>
    <n v="9"/>
    <m/>
    <m/>
    <s v="No"/>
    <x v="1"/>
    <m/>
    <m/>
    <s v="72.43.69.30"/>
    <s v="QH84.2 -- .A582 2012eb"/>
    <s v="577.0998/9"/>
    <d v="2012-02-28T00:00:00"/>
  </r>
  <r>
    <x v="4839"/>
    <d v="1899-12-30T00:00:39"/>
    <x v="989"/>
    <x v="1"/>
    <s v="brockport"/>
    <x v="519"/>
    <n v="822662"/>
    <x v="0"/>
    <s v="History"/>
    <s v="9781444355130"/>
    <s v=",1,2,3,279,280,281,277,278,282,283,284,285,286,287,288,289,290,291,292,293,294,295,296"/>
    <n v="23"/>
    <m/>
    <m/>
    <s v="No"/>
    <x v="1"/>
    <m/>
    <m/>
    <s v="137.21.7.121"/>
    <s v="DT20 -- .R45 2012eb"/>
    <n v="960.3"/>
    <d v="2011-11-11T00:00:00"/>
  </r>
  <r>
    <x v="4840"/>
    <d v="1899-12-30T00:03:31"/>
    <x v="1231"/>
    <x v="0"/>
    <s v="Buffalo"/>
    <x v="1199"/>
    <n v="1190428"/>
    <x v="3"/>
    <s v="Health; Social Science"/>
    <s v="9780520955066"/>
    <s v=",1,2,3,120,121,122,123,124,125,126,127"/>
    <n v="11"/>
    <m/>
    <m/>
    <s v="No"/>
    <x v="0"/>
    <d v="2015-10-27T13:59:54"/>
    <n v="7"/>
    <s v="128.205.114.91"/>
    <s v="TX360.U6 -- N47 2013eb"/>
    <s v="363.8/5/0973"/>
    <d v="2013-05-14T00:00:00"/>
  </r>
  <r>
    <x v="4841"/>
    <d v="1899-12-30T00:10:25"/>
    <x v="1232"/>
    <x v="8"/>
    <s v="niagaracc"/>
    <x v="1201"/>
    <n v="2039103"/>
    <x v="1"/>
    <s v="Religion"/>
    <s v="9781472430151"/>
    <s v=",42,36,37,42,43,44,45,46,47,49,50,2,3,4,1,5,6,79,80,81,77,78"/>
    <n v="21"/>
    <m/>
    <m/>
    <s v="No"/>
    <x v="2"/>
    <d v="2015-10-30T13:33:52"/>
    <n v="1"/>
    <s v="132.174.254.37"/>
    <s v="BT825 .D925 2015"/>
    <s v="265''.8509409031"/>
    <d v="2015-06-28T00:00:00"/>
  </r>
  <r>
    <x v="4842"/>
    <d v="1899-12-30T00:06:00"/>
    <x v="1232"/>
    <x v="8"/>
    <s v="niagaracc"/>
    <x v="1201"/>
    <n v="2039103"/>
    <x v="1"/>
    <s v="Religion"/>
    <s v="9781472430151"/>
    <s v=",1,2,3,38,39,40,36,37,41,36,36,41"/>
    <n v="9"/>
    <m/>
    <m/>
    <s v="No"/>
    <x v="3"/>
    <m/>
    <m/>
    <s v="132.174.254.37"/>
    <s v="BT825 .D925 2015"/>
    <s v="265''.8509409031"/>
    <d v="2015-06-28T00:00:00"/>
  </r>
  <r>
    <x v="4843"/>
    <d v="1899-12-30T00:00:18"/>
    <x v="1232"/>
    <x v="8"/>
    <s v="niagaracc"/>
    <x v="1202"/>
    <n v="1808791"/>
    <x v="1"/>
    <s v="Medicine"/>
    <s v="9781472418746"/>
    <s v=",1,2,3,24,25,26,22,23,27"/>
    <n v="9"/>
    <m/>
    <m/>
    <s v="No"/>
    <x v="3"/>
    <m/>
    <m/>
    <s v="132.174.254.37"/>
    <s v="RB150.S84 -- .D663 2014eb"/>
    <s v="618.92/026"/>
    <d v="2014-11-28T00:00:00"/>
  </r>
  <r>
    <x v="4844"/>
    <d v="1899-12-30T00:00:48"/>
    <x v="1232"/>
    <x v="8"/>
    <s v="niagaracc"/>
    <x v="1202"/>
    <n v="1808791"/>
    <x v="1"/>
    <s v="Medicine"/>
    <s v="9781472418746"/>
    <s v=",1,2,3,228,229,230,226,227"/>
    <n v="8"/>
    <m/>
    <m/>
    <s v="No"/>
    <x v="3"/>
    <m/>
    <m/>
    <s v="132.174.254.37"/>
    <s v="RB150.S84 -- .D663 2014eb"/>
    <s v="618.92/026"/>
    <d v="2014-11-28T00:00:00"/>
  </r>
  <r>
    <x v="4845"/>
    <d v="1899-12-30T00:00:00"/>
    <x v="382"/>
    <x v="0"/>
    <s v="Buffalo"/>
    <x v="406"/>
    <n v="1762797"/>
    <x v="0"/>
    <s v="Social Science"/>
    <s v="9781118921296"/>
    <m/>
    <n v="0"/>
    <m/>
    <m/>
    <s v="Yes"/>
    <x v="0"/>
    <d v="2015-10-30T13:01:53"/>
    <n v="7"/>
    <s v="128.205.114.91"/>
    <s v="HM538 -- .D55 2014eb"/>
    <s v="300.72/3"/>
    <d v="2014-08-06T00:00:00"/>
  </r>
  <r>
    <x v="4845"/>
    <d v="1899-12-30T00:00:00"/>
    <x v="382"/>
    <x v="0"/>
    <s v="Buffalo"/>
    <x v="406"/>
    <n v="1762797"/>
    <x v="0"/>
    <s v="Social Science"/>
    <s v="9781118921296"/>
    <m/>
    <n v="0"/>
    <m/>
    <m/>
    <s v="No"/>
    <x v="0"/>
    <d v="2015-10-30T13:01:53"/>
    <n v="7"/>
    <s v="128.205.114.91"/>
    <s v="HM538 -- .D55 2014eb"/>
    <s v="300.72/3"/>
    <d v="2014-08-06T00:00:00"/>
  </r>
  <r>
    <x v="4846"/>
    <d v="1899-12-30T00:00:17"/>
    <x v="382"/>
    <x v="0"/>
    <s v="Buffalo"/>
    <x v="406"/>
    <n v="1762797"/>
    <x v="0"/>
    <s v="Social Science"/>
    <s v="9781118921296"/>
    <s v=",1,2,3"/>
    <n v="3"/>
    <m/>
    <m/>
    <s v="No"/>
    <x v="1"/>
    <m/>
    <m/>
    <s v="128.205.114.91"/>
    <s v="HM538 -- .D55 2014eb"/>
    <s v="300.72/3"/>
    <d v="2014-08-06T00:00:00"/>
  </r>
  <r>
    <x v="4847"/>
    <d v="1899-12-30T00:00:37"/>
    <x v="13"/>
    <x v="0"/>
    <s v="Buffalo"/>
    <x v="73"/>
    <n v="1119505"/>
    <x v="0"/>
    <s v="Science: Chemistry; Science"/>
    <s v="9781118355015"/>
    <s v=",1,3,2,169,170,171,167,168,172,173"/>
    <n v="10"/>
    <m/>
    <m/>
    <s v="No"/>
    <x v="0"/>
    <d v="2015-10-29T18:29:10"/>
    <n v="7"/>
    <s v="128.205.114.91"/>
    <s v="QD251.3 -- .S38 2013eb"/>
    <s v="547/.128"/>
    <d v="2013-01-28T00:00:00"/>
  </r>
  <r>
    <x v="4848"/>
    <d v="1899-12-30T00:00:00"/>
    <x v="1151"/>
    <x v="1"/>
    <s v="brockport"/>
    <x v="519"/>
    <n v="822662"/>
    <x v="0"/>
    <s v="History"/>
    <s v="9781444355130"/>
    <m/>
    <n v="0"/>
    <m/>
    <s v=",265,266,267,268,269,270,271,272,273,274,275,276,277,278"/>
    <s v="No"/>
    <x v="0"/>
    <d v="2015-10-30T09:37:59"/>
    <n v="7"/>
    <s v="137.21.7.121"/>
    <s v="DT20 -- .R45 2012eb"/>
    <n v="960.3"/>
    <d v="2011-11-11T00:00:00"/>
  </r>
  <r>
    <x v="4849"/>
    <d v="1899-12-30T00:03:43"/>
    <x v="1151"/>
    <x v="1"/>
    <s v="brockport"/>
    <x v="519"/>
    <n v="822662"/>
    <x v="0"/>
    <s v="History"/>
    <s v="9781444355130"/>
    <s v=",1,3,2,265,266,267,263,268,269,270,280,307,306,308,56,264,293,294,295,296,297,298,292,291,289,290,287,288,286,283,284,285,281,282,276,277,279,278"/>
    <n v="38"/>
    <m/>
    <m/>
    <s v="No"/>
    <x v="1"/>
    <m/>
    <m/>
    <s v="137.21.7.121"/>
    <s v="DT20 -- .R45 2012eb"/>
    <n v="960.3"/>
    <d v="2011-11-11T00:00:00"/>
  </r>
  <r>
    <x v="4850"/>
    <d v="1899-12-30T00:00:00"/>
    <x v="727"/>
    <x v="0"/>
    <s v="Buffalo"/>
    <x v="1198"/>
    <n v="1784643"/>
    <x v="1"/>
    <s v="Engineering: Civil; Engineering: General; Engineering"/>
    <s v="9781472425164"/>
    <m/>
    <n v="0"/>
    <m/>
    <m/>
    <s v="Yes"/>
    <x v="2"/>
    <d v="2015-10-30T07:28:20"/>
    <n v="1"/>
    <s v="128.205.114.91"/>
    <s v="TA169 -- .R475 2014eb"/>
    <s v="620/.00452"/>
    <d v="2014-11-28T00:00:00"/>
  </r>
  <r>
    <x v="4851"/>
    <d v="1899-12-30T00:17:58"/>
    <x v="727"/>
    <x v="0"/>
    <s v="Buffalo"/>
    <x v="1198"/>
    <n v="1784643"/>
    <x v="1"/>
    <s v="Engineering: Civil; Engineering: General; Engineering"/>
    <s v="9781472425164"/>
    <s v=",173,174,175,1,175,176,177,174,173,172,171"/>
    <n v="8"/>
    <m/>
    <m/>
    <s v="No"/>
    <x v="2"/>
    <d v="2015-10-30T07:28:20"/>
    <n v="1"/>
    <s v="128.205.114.91"/>
    <s v="TA169 -- .R475 2014eb"/>
    <s v="620/.00452"/>
    <d v="2014-11-28T00:00:00"/>
  </r>
  <r>
    <x v="4852"/>
    <d v="1899-12-30T00:11:07"/>
    <x v="727"/>
    <x v="0"/>
    <s v="Buffalo"/>
    <x v="1198"/>
    <n v="1784643"/>
    <x v="1"/>
    <s v="Engineering: Civil; Engineering: General; Engineering"/>
    <s v="9781472425164"/>
    <s v=",1,2,3,168,169,170,166,167,171,172"/>
    <n v="10"/>
    <m/>
    <m/>
    <s v="No"/>
    <x v="3"/>
    <m/>
    <m/>
    <s v="128.205.114.91"/>
    <s v="TA169 -- .R475 2014eb"/>
    <s v="620/.00452"/>
    <d v="2014-11-28T00:00:00"/>
  </r>
  <r>
    <x v="4853"/>
    <d v="1899-12-30T00:21:26"/>
    <x v="1233"/>
    <x v="0"/>
    <s v="Buffalo"/>
    <x v="1203"/>
    <n v="1869289"/>
    <x v="1"/>
    <s v="Social Science"/>
    <s v="9781409445227"/>
    <s v=",59,65,66,67,60,59,76,77,78,75,73,74,52,54,53,50,51"/>
    <n v="16"/>
    <m/>
    <s v=",26,27,28,29,30,31,32,33,34,35,36,37,38,39,26,27,28,29,30,31,32,33,34,35,36,37,38,39,62,63,64,65,66,67,68,69,70,71,72,73,74,75"/>
    <s v="No"/>
    <x v="2"/>
    <d v="2015-10-30T06:46:25"/>
    <n v="1"/>
    <s v="128.205.114.91"/>
    <s v="HV6431 -- .H684 2015eb"/>
    <s v="363.325/17"/>
    <d v="2015-01-28T00:00:00"/>
  </r>
  <r>
    <x v="4854"/>
    <d v="1899-12-30T00:11:59"/>
    <x v="1233"/>
    <x v="0"/>
    <s v="Buffalo"/>
    <x v="1203"/>
    <n v="1869289"/>
    <x v="1"/>
    <s v="Social Science"/>
    <s v="9781409445227"/>
    <s v=",1,2,3,280,281,278,282,279,283,284,285,286,287,288,289,62,63,64,60,61"/>
    <n v="20"/>
    <m/>
    <m/>
    <s v="No"/>
    <x v="3"/>
    <m/>
    <m/>
    <s v="128.205.114.91"/>
    <s v="HV6431 -- .H684 2015eb"/>
    <s v="363.325/17"/>
    <d v="2015-01-28T00:00:00"/>
  </r>
  <r>
    <x v="4855"/>
    <d v="1899-12-30T00:00:01"/>
    <x v="1234"/>
    <x v="0"/>
    <s v="Buffalo"/>
    <x v="1204"/>
    <n v="1604461"/>
    <x v="11"/>
    <s v="Education"/>
    <s v="9780226120355"/>
    <s v=",30"/>
    <n v="1"/>
    <m/>
    <m/>
    <s v="No"/>
    <x v="2"/>
    <d v="2015-10-30T04:54:54"/>
    <n v="1"/>
    <s v="128.205.114.91"/>
    <s v="LC5131"/>
    <s v="371.009173/2"/>
    <d v="2014-03-18T00:00:00"/>
  </r>
  <r>
    <x v="4856"/>
    <d v="1899-12-30T00:03:59"/>
    <x v="1235"/>
    <x v="0"/>
    <s v="Buffalo"/>
    <x v="654"/>
    <n v="1724876"/>
    <x v="0"/>
    <s v="Business/Management; Economics"/>
    <s v="9781118914113"/>
    <s v=",1,2,3,1,8,9,9,10,11,12"/>
    <n v="8"/>
    <m/>
    <m/>
    <s v="No"/>
    <x v="1"/>
    <m/>
    <m/>
    <s v="128.205.114.91"/>
    <s v="HG173 -- .G733 2014eb"/>
    <n v="332"/>
    <d v="2014-06-26T00:00:00"/>
  </r>
  <r>
    <x v="4857"/>
    <d v="1899-12-30T00:00:40"/>
    <x v="1235"/>
    <x v="0"/>
    <s v="Buffalo"/>
    <x v="335"/>
    <n v="821801"/>
    <x v="0"/>
    <s v="Education; Business/Management"/>
    <s v="9781118224144"/>
    <s v=",779"/>
    <n v="1"/>
    <m/>
    <m/>
    <s v="Yes"/>
    <x v="0"/>
    <d v="2015-10-30T04:20:55"/>
    <n v="7"/>
    <s v="128.205.114.91"/>
    <s v="HF1118 .O33; LB2367.3 .O34"/>
    <n v="658.00760000000002"/>
    <d v="2012-03-06T00:00:00"/>
  </r>
  <r>
    <x v="4858"/>
    <d v="1899-12-30T00:00:00"/>
    <x v="1235"/>
    <x v="0"/>
    <s v="Buffalo"/>
    <x v="335"/>
    <n v="821801"/>
    <x v="0"/>
    <s v="Education; Business/Management"/>
    <s v="9781118224144"/>
    <m/>
    <n v="0"/>
    <s v=",1"/>
    <m/>
    <s v="No"/>
    <x v="0"/>
    <d v="2015-10-30T04:20:55"/>
    <n v="7"/>
    <s v="128.205.114.91"/>
    <s v="HF1118 .O33; LB2367.3 .O34"/>
    <n v="658.00760000000002"/>
    <d v="2012-03-06T00:00:00"/>
  </r>
  <r>
    <x v="4859"/>
    <d v="1899-12-30T00:00:23"/>
    <x v="1235"/>
    <x v="0"/>
    <s v="Buffalo"/>
    <x v="335"/>
    <n v="821801"/>
    <x v="0"/>
    <s v="Education; Business/Management"/>
    <s v="9781118224144"/>
    <s v=",1,2,3,1"/>
    <n v="3"/>
    <m/>
    <m/>
    <s v="No"/>
    <x v="1"/>
    <m/>
    <m/>
    <s v="128.205.114.91"/>
    <s v="HF1118 .O33; LB2367.3 .O34"/>
    <n v="658.00760000000002"/>
    <d v="2012-03-06T00:00:00"/>
  </r>
  <r>
    <x v="4860"/>
    <d v="1899-12-30T01:52:27"/>
    <x v="1234"/>
    <x v="0"/>
    <s v="Buffalo"/>
    <x v="1204"/>
    <n v="1604461"/>
    <x v="11"/>
    <s v="Education"/>
    <s v="9780226120355"/>
    <s v=",1,2,3,4,5,6,32,34,33,31,30,35,36,37"/>
    <n v="14"/>
    <m/>
    <m/>
    <s v="No"/>
    <x v="3"/>
    <m/>
    <m/>
    <s v="128.205.114.91"/>
    <s v="LC5131"/>
    <s v="371.009173/2"/>
    <d v="2014-03-18T00:00:00"/>
  </r>
  <r>
    <x v="4861"/>
    <d v="1899-12-30T00:00:24"/>
    <x v="1236"/>
    <x v="6"/>
    <s v="sjfc"/>
    <x v="1205"/>
    <n v="1782535"/>
    <x v="0"/>
    <s v="Journalism; Social Science"/>
    <s v="9780745684550"/>
    <s v=",1,47,48,49,45,46,2"/>
    <n v="7"/>
    <m/>
    <m/>
    <s v="No"/>
    <x v="3"/>
    <m/>
    <m/>
    <s v="149.69.254.57"/>
    <s v="PN4879 -- .M336 2014eb"/>
    <n v="302.23239999999998"/>
    <d v="2014-10-22T00:00:00"/>
  </r>
  <r>
    <x v="4862"/>
    <d v="1899-12-30T00:23:34"/>
    <x v="13"/>
    <x v="0"/>
    <s v="Buffalo"/>
    <x v="73"/>
    <n v="1119505"/>
    <x v="0"/>
    <s v="Science: Chemistry; Science"/>
    <s v="9781118355015"/>
    <s v=",1,2,3,4,297,298,294,292,293,290,291,295,296,299,333,332,329,330,169,170,171,167,168,172,173"/>
    <n v="25"/>
    <m/>
    <m/>
    <s v="No"/>
    <x v="0"/>
    <d v="2015-10-29T18:29:10"/>
    <n v="7"/>
    <s v="128.205.114.91"/>
    <s v="QD251.3 -- .S38 2013eb"/>
    <s v="547/.128"/>
    <d v="2013-01-28T00:00:00"/>
  </r>
  <r>
    <x v="4863"/>
    <d v="1899-12-30T00:30:25"/>
    <x v="1231"/>
    <x v="0"/>
    <s v="Buffalo"/>
    <x v="1199"/>
    <n v="1190428"/>
    <x v="3"/>
    <s v="Health; Social Science"/>
    <s v="9780520955066"/>
    <s v=",1,2,3,120,121,122,118,119,123,124,125,126,127,128,129,130,131,132,133,134,135,136,137,138"/>
    <n v="24"/>
    <m/>
    <m/>
    <s v="No"/>
    <x v="0"/>
    <d v="2015-10-27T13:59:54"/>
    <n v="7"/>
    <s v="128.205.114.91"/>
    <s v="TX360.U6 -- N47 2013eb"/>
    <s v="363.8/5/0973"/>
    <d v="2013-05-14T00:00:00"/>
  </r>
  <r>
    <x v="4864"/>
    <d v="1899-12-30T00:00:04"/>
    <x v="1168"/>
    <x v="13"/>
    <s v="buffalostate"/>
    <x v="1129"/>
    <n v="1825704"/>
    <x v="1"/>
    <s v="Social Science"/>
    <s v="9781409442943"/>
    <s v=",1,2,3"/>
    <n v="3"/>
    <m/>
    <m/>
    <s v="No"/>
    <x v="3"/>
    <m/>
    <m/>
    <s v="136.183.11.43"/>
    <s v="HT361 -- .S73 2014eb"/>
    <n v="307.76"/>
    <d v="2014-12-28T00:00:00"/>
  </r>
  <r>
    <x v="4865"/>
    <d v="1899-12-30T00:00:03"/>
    <x v="1237"/>
    <x v="7"/>
    <s v="oneonta"/>
    <x v="1206"/>
    <n v="2073473"/>
    <x v="0"/>
    <s v="Business/Management"/>
    <s v="9781119020608"/>
    <s v=",1,2,3"/>
    <n v="3"/>
    <m/>
    <m/>
    <s v="No"/>
    <x v="3"/>
    <m/>
    <m/>
    <s v="137.141.13.2"/>
    <s v="HD58.8"/>
    <s v="658.4/06"/>
    <d v="2015-06-16T00:00:00"/>
  </r>
  <r>
    <x v="4866"/>
    <d v="1899-12-30T00:19:11"/>
    <x v="1209"/>
    <x v="12"/>
    <s v="potsdam"/>
    <x v="1170"/>
    <n v="1882078"/>
    <x v="3"/>
    <s v="History; Social Science"/>
    <s v="9780520960480"/>
    <s v=",44,45,45,46,46,47,47,48,49,48,49,50,50,51,51,52,52,53,53,54,54,55,55,56,56,57,57,58,58,59,59,60,60,61,61,62,62,63,63,64,64,65,65,66,66,67,67,68,68,63"/>
    <n v="25"/>
    <m/>
    <m/>
    <s v="No"/>
    <x v="2"/>
    <d v="2015-10-29T22:25:58"/>
    <n v="1"/>
    <s v="137.143.104.94"/>
    <s v="E185.97.D73 .M384 2015"/>
    <n v="301.09199999999998"/>
    <d v="2015-08-27T00:00:00"/>
  </r>
  <r>
    <x v="4867"/>
    <d v="1899-12-30T00:05:16"/>
    <x v="1209"/>
    <x v="12"/>
    <s v="potsdam"/>
    <x v="1170"/>
    <n v="1882078"/>
    <x v="3"/>
    <s v="History; Social Science"/>
    <s v="9780520960480"/>
    <s v=",1,1,2,3,3,2,6,6,7,7,8,8,4,9,9,10,10,11,11,12,12,13,13,14,15,14,15,30,31,32,31,34,35,36,33,36,33,35,34,32,30,2,37,37,38,38,33,39,40,39,41,38,40,41,42,42,37,42,43,43,44,44,39"/>
    <n v="29"/>
    <m/>
    <m/>
    <s v="No"/>
    <x v="3"/>
    <m/>
    <m/>
    <s v="137.143.104.94"/>
    <s v="E185.97.D73 .M384 2015"/>
    <n v="301.09199999999998"/>
    <d v="2015-08-27T00:00:00"/>
  </r>
  <r>
    <x v="4868"/>
    <d v="1899-12-30T03:01:38"/>
    <x v="1238"/>
    <x v="7"/>
    <s v="oneonta"/>
    <x v="926"/>
    <n v="1584076"/>
    <x v="0"/>
    <s v="History"/>
    <s v="9780745679679"/>
    <s v=",4,5,6,7,8,9,10,11,12,13,14,15,16,17,18,19,20,21,22,23,24,25,26,27,28,29,32,71,158,200,308,335,204,205,206,53,16,23,24,22,21,18,17,14,12,10,6,1,3,4,5,7,8,9,35,70,71,72,73,77,80,84,85,86,87,88,92,96,100,104,108,109,112,115,119,120,121,122,123,124,125,128,129,130,127,126,47,15,13,11,16,19,20,26,29,33,36,38,39,40,41,42,43,37,44,45,197,198,199,195,196,200,201,202,251,252,249,250,253,27,28,25,23"/>
    <n v="93"/>
    <m/>
    <m/>
    <s v="No"/>
    <x v="0"/>
    <d v="2015-10-29T22:04:21"/>
    <n v="7"/>
    <s v="137.141.13.2"/>
    <s v="DG445 .B384 2013"/>
    <n v="945.05"/>
    <d v="2013-12-18T00:00:00"/>
  </r>
  <r>
    <x v="4869"/>
    <d v="1899-12-30T00:00:12"/>
    <x v="510"/>
    <x v="0"/>
    <s v="Buffalo"/>
    <x v="550"/>
    <n v="1650800"/>
    <x v="3"/>
    <s v="Sport &amp; Recreation"/>
    <s v="9780520958258"/>
    <s v=",1,2,3,4,5,7,8,9,6"/>
    <n v="9"/>
    <m/>
    <m/>
    <s v="No"/>
    <x v="3"/>
    <m/>
    <m/>
    <s v="128.205.114.91"/>
    <s v="GV944.B7 -- .K57 2014eb"/>
    <n v="796.33409810000001"/>
    <d v="2014-06-12T00:00:00"/>
  </r>
  <r>
    <x v="4870"/>
    <d v="1899-12-30T00:20:17"/>
    <x v="1238"/>
    <x v="7"/>
    <s v="oneonta"/>
    <x v="926"/>
    <n v="1584076"/>
    <x v="0"/>
    <s v="History"/>
    <s v="9780745679679"/>
    <s v=",1,2,3"/>
    <n v="3"/>
    <m/>
    <m/>
    <s v="No"/>
    <x v="1"/>
    <m/>
    <m/>
    <s v="137.141.13.2"/>
    <s v="DG445 .B384 2013"/>
    <n v="945.05"/>
    <d v="2013-12-18T00:00:00"/>
  </r>
  <r>
    <x v="4871"/>
    <d v="1899-12-30T01:13:55"/>
    <x v="1231"/>
    <x v="0"/>
    <s v="Buffalo"/>
    <x v="1199"/>
    <n v="1190428"/>
    <x v="3"/>
    <s v="Health; Social Science"/>
    <s v="9780520955066"/>
    <s v=",1,2,3,4,6,36,47,251,250,252,242,109,108,28,26,27,29,30,31,32,33,34,35,36,37,38,39,40,42,43,44,45,46,47,48,49,50,51,52,53,54,55,56,57,58,59,60,61,62,63,64,66,67,68,69,70,71,72,73,74,75,36,27,28,29,30,26,31,33,34,35,32,56,57,58,54,55,59,60,61,62,120,121,122,118,119,123,118,124,125,126,127"/>
    <n v="69"/>
    <m/>
    <m/>
    <s v="No"/>
    <x v="0"/>
    <d v="2015-10-27T13:59:54"/>
    <n v="7"/>
    <s v="128.205.114.91"/>
    <s v="TX360.U6 -- N47 2013eb"/>
    <s v="363.8/5/0973"/>
    <d v="2013-05-14T00:00:00"/>
  </r>
  <r>
    <x v="4872"/>
    <d v="1899-12-30T00:00:09"/>
    <x v="684"/>
    <x v="0"/>
    <s v="Buffalo"/>
    <x v="344"/>
    <n v="1691133"/>
    <x v="4"/>
    <s v="Medicine"/>
    <s v="9781462516278"/>
    <s v=",1,2,3,4,5,6,7"/>
    <n v="7"/>
    <m/>
    <m/>
    <s v="No"/>
    <x v="0"/>
    <d v="2015-10-29T00:48:22"/>
    <n v="7"/>
    <s v="128.205.114.91"/>
    <s v="RC552.P67 -- .H353 2014eb"/>
    <s v="616.85/21"/>
    <d v="2014-05-15T00:00:00"/>
  </r>
  <r>
    <x v="4873"/>
    <d v="1899-12-30T00:04:06"/>
    <x v="765"/>
    <x v="1"/>
    <s v="brockport"/>
    <x v="675"/>
    <n v="1596089"/>
    <x v="4"/>
    <s v="Medicine"/>
    <s v="9781462513307"/>
    <s v=",1,2,3,55,56,57,53,54,58,59,60,61,62,63"/>
    <n v="14"/>
    <m/>
    <m/>
    <s v="No"/>
    <x v="3"/>
    <m/>
    <m/>
    <s v="137.21.7.121"/>
    <s v="RC455.4.L67 -- P43 2014eb"/>
    <n v="616.85209999999995"/>
    <d v="2014-05-14T00:00:00"/>
  </r>
  <r>
    <x v="4874"/>
    <d v="1899-12-30T00:03:12"/>
    <x v="1239"/>
    <x v="1"/>
    <s v="brockport"/>
    <x v="1207"/>
    <n v="1404696"/>
    <x v="5"/>
    <s v="Social Science"/>
    <s v="9781479829026"/>
    <s v=",1,2,3,150,151,152,153,148,149,266,269,270,271,267,268,16,15,18,23,27,28,29,30,26,40,115,116,84,85,86,82,78,79,80,77,76,74,75,83,84,85,86,94,95,96,93,90,91,92,88,89,97,98,99,100,101"/>
    <n v="53"/>
    <m/>
    <m/>
    <s v="No"/>
    <x v="3"/>
    <m/>
    <m/>
    <s v="137.21.7.121"/>
    <s v="HV9471 -- .C574 2014eb"/>
    <s v="365/.973"/>
    <d v="2013-11-01T00:00:00"/>
  </r>
  <r>
    <x v="4875"/>
    <d v="1899-12-30T00:14:04"/>
    <x v="684"/>
    <x v="0"/>
    <s v="Buffalo"/>
    <x v="344"/>
    <n v="1691133"/>
    <x v="4"/>
    <s v="Medicine"/>
    <s v="9781462516278"/>
    <s v=",1,2,3,371,372,373,369,370,374"/>
    <n v="9"/>
    <m/>
    <m/>
    <s v="No"/>
    <x v="0"/>
    <d v="2015-10-29T00:48:22"/>
    <n v="7"/>
    <s v="128.205.114.91"/>
    <s v="RC552.P67 -- .H353 2014eb"/>
    <s v="616.85/21"/>
    <d v="2014-05-15T00:00:00"/>
  </r>
  <r>
    <x v="4876"/>
    <d v="1899-12-30T00:11:15"/>
    <x v="13"/>
    <x v="0"/>
    <s v="Buffalo"/>
    <x v="73"/>
    <n v="1119505"/>
    <x v="0"/>
    <s v="Science: Chemistry; Science"/>
    <s v="9781118355015"/>
    <s v=",1,2,3,169,170,171,167,168,172,173,178,179,180,176,181,177,182,183,175,174"/>
    <n v="20"/>
    <m/>
    <m/>
    <s v="No"/>
    <x v="0"/>
    <d v="2015-10-29T18:29:10"/>
    <n v="7"/>
    <s v="128.205.114.91"/>
    <s v="QD251.3 -- .S38 2013eb"/>
    <s v="547/.128"/>
    <d v="2013-01-28T00:00:00"/>
  </r>
  <r>
    <x v="4877"/>
    <d v="1899-12-30T00:00:39"/>
    <x v="1203"/>
    <x v="5"/>
    <s v="erie"/>
    <x v="829"/>
    <n v="818121"/>
    <x v="0"/>
    <s v="Fine Arts; Business/Management"/>
    <s v="9781118226339"/>
    <s v=",15,19,20,21,17,18"/>
    <n v="6"/>
    <m/>
    <m/>
    <s v="No"/>
    <x v="0"/>
    <d v="2015-10-29T19:25:56"/>
    <n v="7"/>
    <s v="199.29.6.54"/>
    <s v="PN1992.55 -- .P76 2012eb"/>
    <s v="658.872; 659.02854678"/>
    <d v="2012-01-26T00:00:00"/>
  </r>
  <r>
    <x v="4878"/>
    <d v="1899-12-30T00:00:05"/>
    <x v="13"/>
    <x v="0"/>
    <s v="Buffalo"/>
    <x v="73"/>
    <n v="1119505"/>
    <x v="0"/>
    <s v="Science: Chemistry; Science"/>
    <s v="9781118355015"/>
    <s v=",1,2,3"/>
    <n v="3"/>
    <m/>
    <m/>
    <s v="No"/>
    <x v="0"/>
    <d v="2015-10-29T18:29:10"/>
    <n v="7"/>
    <s v="128.205.114.91"/>
    <s v="QD251.3 -- .S38 2013eb"/>
    <s v="547/.128"/>
    <d v="2013-01-28T00:00:00"/>
  </r>
  <r>
    <x v="4879"/>
    <d v="1899-12-30T00:23:10"/>
    <x v="1203"/>
    <x v="5"/>
    <s v="erie"/>
    <x v="829"/>
    <n v="818121"/>
    <x v="0"/>
    <s v="Fine Arts; Business/Management"/>
    <s v="9781118226339"/>
    <s v=",1,2,3,4,7,5,6,8,9,10,11,12,13,14"/>
    <n v="14"/>
    <m/>
    <m/>
    <s v="No"/>
    <x v="1"/>
    <m/>
    <m/>
    <s v="199.29.6.54"/>
    <s v="PN1992.55 -- .P76 2012eb"/>
    <s v="658.872; 659.02854678"/>
    <d v="2012-01-26T00:00:00"/>
  </r>
  <r>
    <x v="4880"/>
    <d v="1899-12-30T00:05:26"/>
    <x v="702"/>
    <x v="1"/>
    <s v="brockport"/>
    <x v="739"/>
    <n v="2110627"/>
    <x v="1"/>
    <s v="History; Social Science"/>
    <s v="9781472436481"/>
    <s v=",1,2,3,133,134,135,131,132,136,137,131,270,272,268,269,273,106,107,108,104,105,109,110,112,113,114,111,124,142,149,150,151,147,146,144,145,143,141,140,139,138,137,136,135,134,133,131,132,130,129,128,127,125,126,124"/>
    <n v="46"/>
    <m/>
    <m/>
    <s v="No"/>
    <x v="0"/>
    <d v="2015-10-27T21:33:38"/>
    <n v="7"/>
    <s v="137.21.7.121"/>
    <s v="DT655 .P38 2015"/>
    <s v="361.7/309675109041; 361.7''309675109041"/>
    <d v="2015-09-28T00:00:00"/>
  </r>
  <r>
    <x v="4881"/>
    <d v="1899-12-30T02:17:35"/>
    <x v="13"/>
    <x v="0"/>
    <s v="Buffalo"/>
    <x v="73"/>
    <n v="1119505"/>
    <x v="0"/>
    <s v="Science: Chemistry; Science"/>
    <s v="9781118355015"/>
    <s v=",1,2,3,59,60,61,57,58,62,81,82,83,79,80,84,85,86,87,107,108,109,105,106,110,111,112,113,114,115,184,185,186,183,182,180,181,179,184,1,184,186,185,182,183,273,274,275,271,272,2,276,277"/>
    <n v="44"/>
    <m/>
    <m/>
    <s v="No"/>
    <x v="0"/>
    <d v="2015-10-29T18:29:10"/>
    <n v="7"/>
    <s v="128.205.114.91"/>
    <s v="QD251.3 -- .S38 2013eb"/>
    <s v="547/.128"/>
    <d v="2013-01-28T00:00:00"/>
  </r>
  <r>
    <x v="4882"/>
    <d v="1899-12-30T00:00:01"/>
    <x v="13"/>
    <x v="0"/>
    <s v="Buffalo"/>
    <x v="73"/>
    <n v="1119505"/>
    <x v="0"/>
    <s v="Science: Chemistry; Science"/>
    <s v="9781118355015"/>
    <m/>
    <n v="0"/>
    <m/>
    <m/>
    <s v="No"/>
    <x v="1"/>
    <m/>
    <m/>
    <s v="128.205.114.91"/>
    <s v="QD251.3 -- .S38 2013eb"/>
    <s v="547/.128"/>
    <d v="2013-01-28T00:00:00"/>
  </r>
  <r>
    <x v="4883"/>
    <d v="1899-12-30T00:02:01"/>
    <x v="920"/>
    <x v="0"/>
    <s v="Buffalo"/>
    <x v="111"/>
    <n v="1166322"/>
    <x v="0"/>
    <s v="Architecture"/>
    <s v="9781118418512"/>
    <s v=",1,2,3,3,1,2,2,2,322,322,323,323,325,325,326,326,327,327,324,324,328,328,323,361,362,361,362,363,363,359,360,360"/>
    <n v="15"/>
    <m/>
    <m/>
    <s v="No"/>
    <x v="0"/>
    <d v="2015-10-29T16:55:47"/>
    <n v="7"/>
    <s v="128.205.114.91"/>
    <s v="NA2000 -- .G76 2013eb"/>
    <n v="720.072"/>
    <d v="2013-04-03T00:00:00"/>
  </r>
  <r>
    <x v="4884"/>
    <d v="1899-12-30T00:00:47"/>
    <x v="1240"/>
    <x v="0"/>
    <s v="Buffalo"/>
    <x v="346"/>
    <n v="827065"/>
    <x v="0"/>
    <s v="Literature"/>
    <s v="9781118306291"/>
    <s v=",1,1,2,2,1,1,3,3,10,10,11,12,12,11,8,9,9,2,124,125,126,125,122,124,123,126,123,127,127,128,128"/>
    <n v="15"/>
    <m/>
    <m/>
    <s v="No"/>
    <x v="1"/>
    <m/>
    <m/>
    <s v="128.205.114.91"/>
    <s v="PN94 -- .E2 2008eb"/>
    <s v="801/.950904"/>
    <d v="2011-11-30T00:00:00"/>
  </r>
  <r>
    <x v="4885"/>
    <d v="1899-12-30T00:00:00"/>
    <x v="1241"/>
    <x v="0"/>
    <s v="Buffalo"/>
    <x v="1208"/>
    <n v="1887315"/>
    <x v="1"/>
    <s v="Business/Management; Economics"/>
    <s v="9781472444462"/>
    <m/>
    <n v="0"/>
    <m/>
    <m/>
    <s v="Yes"/>
    <x v="2"/>
    <d v="2015-10-29T04:19:04"/>
    <n v="1"/>
    <s v="128.205.114.91"/>
    <s v="HG4751 -- .L365 2015eb"/>
    <s v="332.63/2044"/>
    <d v="2015-02-28T00:00:00"/>
  </r>
  <r>
    <x v="4886"/>
    <d v="1899-12-30T00:00:23"/>
    <x v="1241"/>
    <x v="0"/>
    <s v="Buffalo"/>
    <x v="1208"/>
    <n v="1887315"/>
    <x v="1"/>
    <s v="Business/Management; Economics"/>
    <s v="9781472444462"/>
    <s v=",1,2,1,3,3,2,2,2"/>
    <n v="3"/>
    <s v=",1"/>
    <m/>
    <s v="No"/>
    <x v="2"/>
    <d v="2015-10-29T04:19:04"/>
    <n v="1"/>
    <s v="128.205.114.91"/>
    <s v="HG4751 -- .L365 2015eb"/>
    <s v="332.63/2044"/>
    <d v="2015-02-28T00:00:00"/>
  </r>
  <r>
    <x v="4887"/>
    <d v="1899-12-30T00:02:55"/>
    <x v="1242"/>
    <x v="1"/>
    <s v="brockport"/>
    <x v="151"/>
    <n v="968030"/>
    <x v="0"/>
    <s v="Psychology"/>
    <s v="9781118285138"/>
    <s v=",1,2,3,307,308,305,309,306,310,311,312,313,314"/>
    <n v="13"/>
    <m/>
    <m/>
    <s v="No"/>
    <x v="1"/>
    <m/>
    <m/>
    <s v="137.21.7.121"/>
    <s v="BF637.C6 -- S85 2013eb"/>
    <n v="158.30000000000001"/>
    <d v="2012-07-10T00:00:00"/>
  </r>
  <r>
    <x v="4888"/>
    <d v="1899-12-30T00:08:37"/>
    <x v="684"/>
    <x v="0"/>
    <s v="Buffalo"/>
    <x v="344"/>
    <n v="1691133"/>
    <x v="4"/>
    <s v="Medicine"/>
    <s v="9781462516278"/>
    <s v=",1,2,3,426,427,428,424,425,317,6,4,5,7,8,429,430,439,440,441,438,436,437,435,434,433,432,431,244,153,116,115,120,122,123,124,125,126,127,128,129,121,118,119,426,427,428,424,425,429,430,431"/>
    <n v="43"/>
    <m/>
    <m/>
    <s v="No"/>
    <x v="0"/>
    <d v="2015-10-29T00:48:22"/>
    <n v="7"/>
    <s v="128.205.114.91"/>
    <s v="RC552.P67 -- .H353 2014eb"/>
    <s v="616.85/21"/>
    <d v="2014-05-15T00:00:00"/>
  </r>
  <r>
    <x v="4889"/>
    <d v="1899-12-30T00:00:23"/>
    <x v="1243"/>
    <x v="7"/>
    <s v="oneonta"/>
    <x v="1209"/>
    <n v="1584080"/>
    <x v="0"/>
    <s v="Science; Science: Geology"/>
    <s v="9781118637890"/>
    <s v=",1,2,3,4,5,30,31,32,28,29"/>
    <n v="10"/>
    <m/>
    <m/>
    <s v="No"/>
    <x v="3"/>
    <m/>
    <m/>
    <s v="137.141.13.2"/>
    <s v="QE538.8 .K32 2013"/>
    <n v="551.22011199999997"/>
    <d v="2013-12-18T00:00:00"/>
  </r>
  <r>
    <x v="4890"/>
    <d v="1899-12-30T00:00:49"/>
    <x v="920"/>
    <x v="0"/>
    <s v="Buffalo"/>
    <x v="111"/>
    <n v="1166322"/>
    <x v="0"/>
    <s v="Architecture"/>
    <s v="9781118418512"/>
    <s v=",275,276,277,273,274,278,279,280,281,282,283,284,275,274,273,325,326,327,323,324,328,329"/>
    <n v="19"/>
    <m/>
    <m/>
    <s v="No"/>
    <x v="0"/>
    <d v="2015-10-29T16:55:47"/>
    <n v="7"/>
    <s v="128.205.114.91"/>
    <s v="NA2000 -- .G76 2013eb"/>
    <n v="720.072"/>
    <d v="2013-04-03T00:00:00"/>
  </r>
  <r>
    <x v="4891"/>
    <d v="1899-12-30T00:02:33"/>
    <x v="1008"/>
    <x v="0"/>
    <s v="Buffalo"/>
    <x v="73"/>
    <n v="1119505"/>
    <x v="0"/>
    <s v="Science: Chemistry; Science"/>
    <s v="9781118355015"/>
    <s v=",186,187,191,192,193,194,195,196,169,170,171,167,168,172,173,174,175,176,177,178,179,180,181,182,183,184,185,186,191,192,193,194,195,196,197,198,199"/>
    <n v="30"/>
    <m/>
    <s v=",169,170,171,172,173,174,175,176,177,178,179,180,181,182,183,184,185,186,187,188,189,190,191,192,193,194,195,196"/>
    <s v="No"/>
    <x v="0"/>
    <d v="2015-10-29T16:38:57"/>
    <n v="7"/>
    <s v="128.205.114.91"/>
    <s v="QD251.3 -- .S38 2013eb"/>
    <s v="547/.128"/>
    <d v="2013-01-28T00:00:00"/>
  </r>
  <r>
    <x v="4892"/>
    <d v="1899-12-30T00:00:25"/>
    <x v="1008"/>
    <x v="0"/>
    <s v="Buffalo"/>
    <x v="73"/>
    <n v="1119505"/>
    <x v="0"/>
    <s v="Science: Chemistry; Science"/>
    <s v="9781118355015"/>
    <s v=",1,2,3,169,170,171,167,168,178,179,180,176,181,182,183,184,185,2,186"/>
    <n v="18"/>
    <m/>
    <m/>
    <s v="No"/>
    <x v="1"/>
    <m/>
    <m/>
    <s v="128.205.114.91"/>
    <s v="QD251.3 -- .S38 2013eb"/>
    <s v="547/.128"/>
    <d v="2013-01-28T00:00:00"/>
  </r>
  <r>
    <x v="4893"/>
    <d v="1899-12-30T00:03:01"/>
    <x v="13"/>
    <x v="0"/>
    <s v="Buffalo"/>
    <x v="111"/>
    <n v="1166322"/>
    <x v="0"/>
    <s v="Architecture"/>
    <s v="9781118418512"/>
    <s v=",275,276,277,273,274,278,279,280,281,282,283,325,326,327,323,324"/>
    <n v="16"/>
    <m/>
    <m/>
    <s v="No"/>
    <x v="0"/>
    <d v="2015-10-29T16:35:17"/>
    <n v="7"/>
    <s v="128.205.114.91"/>
    <s v="NA2000 -- .G76 2013eb"/>
    <n v="720.072"/>
    <d v="2013-04-03T00:00:00"/>
  </r>
  <r>
    <x v="4894"/>
    <d v="1899-12-30T00:16:26"/>
    <x v="13"/>
    <x v="0"/>
    <s v="Buffalo"/>
    <x v="111"/>
    <n v="1166322"/>
    <x v="0"/>
    <s v="Architecture"/>
    <s v="9781118418512"/>
    <s v=",185,186,187,183,184,188,189,185,186,187,183,184,188,182,227,228,229,225,226,230,231,275,276,277,273,274,278,279,280,281,282,283,275,274,273,325,326,327,323,324,328,329,361,362,363,359,360,391,392,393,389,390,427,428,429,425,426"/>
    <n v="48"/>
    <m/>
    <m/>
    <s v="No"/>
    <x v="0"/>
    <d v="2015-10-29T16:34:36"/>
    <n v="7"/>
    <s v="128.205.114.91"/>
    <s v="NA2000 -- .G76 2013eb"/>
    <n v="720.072"/>
    <d v="2013-04-03T00:00:00"/>
  </r>
  <r>
    <x v="4895"/>
    <d v="1899-12-30T00:22:05"/>
    <x v="920"/>
    <x v="0"/>
    <s v="Buffalo"/>
    <x v="111"/>
    <n v="1166322"/>
    <x v="0"/>
    <s v="Architecture"/>
    <s v="9781118418512"/>
    <s v=",1,2,3"/>
    <n v="3"/>
    <m/>
    <m/>
    <s v="No"/>
    <x v="1"/>
    <m/>
    <m/>
    <s v="128.205.114.91"/>
    <s v="NA2000 -- .G76 2013eb"/>
    <n v="720.072"/>
    <d v="2013-04-03T00:00:00"/>
  </r>
  <r>
    <x v="4896"/>
    <d v="1899-12-30T00:03:55"/>
    <x v="13"/>
    <x v="0"/>
    <s v="Buffalo"/>
    <x v="1006"/>
    <n v="1655862"/>
    <x v="12"/>
    <s v="Social Science; Religion"/>
    <s v="9781469615493"/>
    <s v=",1,2,3,4,5,6,7,8,9,10,11,12,13,14,15,16,17,18,19,20,21,22,23,24,25,26,27,28,28,29,30,31,32,33,184,185,186,182,183"/>
    <n v="38"/>
    <m/>
    <m/>
    <s v="No"/>
    <x v="3"/>
    <m/>
    <m/>
    <s v="128.205.114.91"/>
    <s v="BX1406.3 -- .D89 2014eb"/>
    <s v="391.0088/28273"/>
    <d v="2014-04-15T00:00:00"/>
  </r>
  <r>
    <x v="4897"/>
    <d v="1899-12-30T00:07:06"/>
    <x v="13"/>
    <x v="0"/>
    <s v="Buffalo"/>
    <x v="111"/>
    <n v="1166322"/>
    <x v="0"/>
    <s v="Architecture"/>
    <s v="9781118418512"/>
    <s v=",1,2,3,185,186,187,183,184,190,198,191,192,193,189,188,194,195,227,228,229,225,226,230,231,232"/>
    <n v="25"/>
    <m/>
    <m/>
    <s v="No"/>
    <x v="1"/>
    <m/>
    <m/>
    <s v="128.205.114.91"/>
    <s v="NA2000 -- .G76 2013eb"/>
    <n v="720.072"/>
    <d v="2013-04-03T00:00:00"/>
  </r>
  <r>
    <x v="4898"/>
    <d v="1899-12-30T00:48:35"/>
    <x v="13"/>
    <x v="0"/>
    <s v="Buffalo"/>
    <x v="111"/>
    <n v="1166322"/>
    <x v="0"/>
    <s v="Architecture"/>
    <s v="9781118418512"/>
    <s v=",1,2,3"/>
    <n v="3"/>
    <m/>
    <m/>
    <s v="No"/>
    <x v="1"/>
    <m/>
    <m/>
    <s v="128.205.114.91"/>
    <s v="NA2000 -- .G76 2013eb"/>
    <n v="720.072"/>
    <d v="2013-04-03T00:00:00"/>
  </r>
  <r>
    <x v="4899"/>
    <d v="1899-12-30T00:11:57"/>
    <x v="13"/>
    <x v="0"/>
    <s v="Buffalo"/>
    <x v="73"/>
    <n v="1119505"/>
    <x v="0"/>
    <s v="Science: Chemistry; Science"/>
    <s v="9781118355015"/>
    <s v=",1,2,3,169,171,170,167,168,172,173"/>
    <n v="10"/>
    <m/>
    <m/>
    <s v="No"/>
    <x v="0"/>
    <d v="2015-10-22T17:25:01"/>
    <n v="7"/>
    <s v="128.205.114.91"/>
    <s v="QD251.3 -- .S38 2013eb"/>
    <s v="547/.128"/>
    <d v="2013-01-28T00:00:00"/>
  </r>
  <r>
    <x v="4900"/>
    <d v="1899-12-30T00:19:20"/>
    <x v="1244"/>
    <x v="7"/>
    <s v="oneonta"/>
    <x v="926"/>
    <n v="1584076"/>
    <x v="0"/>
    <s v="History"/>
    <s v="9780745679679"/>
    <s v=",1,2,3,11,12,13,9,10,251,252,253,249,250"/>
    <n v="13"/>
    <m/>
    <m/>
    <s v="No"/>
    <x v="0"/>
    <d v="2015-10-29T14:23:32"/>
    <n v="7"/>
    <s v="137.141.13.2"/>
    <s v="DG445 .B384 2013"/>
    <n v="945.05"/>
    <d v="2013-12-18T00:00:00"/>
  </r>
  <r>
    <x v="4901"/>
    <d v="1899-12-30T00:00:02"/>
    <x v="1244"/>
    <x v="7"/>
    <s v="oneonta"/>
    <x v="926"/>
    <n v="1584076"/>
    <x v="0"/>
    <s v="History"/>
    <s v="9780745679679"/>
    <m/>
    <n v="0"/>
    <m/>
    <m/>
    <s v="No"/>
    <x v="3"/>
    <m/>
    <m/>
    <s v="137.141.13.2"/>
    <s v="DG445 .B384 2013"/>
    <n v="945.05"/>
    <d v="2013-12-18T00:00:00"/>
  </r>
  <r>
    <x v="4902"/>
    <d v="1899-12-30T00:28:33"/>
    <x v="684"/>
    <x v="0"/>
    <s v="Buffalo"/>
    <x v="344"/>
    <n v="1691133"/>
    <x v="4"/>
    <s v="Medicine"/>
    <s v="9781462516278"/>
    <s v=",1,2,3,120,121,122,118,119,123,124,125,126,127,128,129,130,131,132,133,134,135,136,137,138,139,140,141,142,143"/>
    <n v="29"/>
    <m/>
    <m/>
    <s v="No"/>
    <x v="0"/>
    <d v="2015-10-29T00:48:22"/>
    <n v="7"/>
    <s v="128.205.114.91"/>
    <s v="RC552.P67 -- .H353 2014eb"/>
    <s v="616.85/21"/>
    <d v="2014-05-15T00:00:00"/>
  </r>
  <r>
    <x v="4903"/>
    <d v="1899-12-30T00:00:46"/>
    <x v="67"/>
    <x v="5"/>
    <s v="erie"/>
    <x v="1210"/>
    <n v="1810518"/>
    <x v="0"/>
    <s v="Business/Management; Economics"/>
    <s v="9781118996560"/>
    <s v=",1,2,3,27,28,29,25,26,30,31"/>
    <n v="10"/>
    <m/>
    <m/>
    <s v="No"/>
    <x v="1"/>
    <m/>
    <m/>
    <s v="199.29.6.54"/>
    <s v="HG4910 -- .D394 2014eb"/>
    <n v="332.6"/>
    <d v="2014-09-30T00:00:00"/>
  </r>
  <r>
    <x v="4904"/>
    <d v="1899-12-30T00:00:04"/>
    <x v="1245"/>
    <x v="7"/>
    <s v="oneonta"/>
    <x v="852"/>
    <n v="1107458"/>
    <x v="14"/>
    <s v="History; Political Science"/>
    <s v="9781476600161"/>
    <s v=",1,2,3"/>
    <n v="3"/>
    <m/>
    <m/>
    <s v="No"/>
    <x v="1"/>
    <m/>
    <m/>
    <s v="137.141.13.2"/>
    <s v="F1414 -- .G214 2013eb"/>
    <s v="321.9092/28; 321.909228"/>
    <d v="2013-01-13T00:00:00"/>
  </r>
  <r>
    <x v="4905"/>
    <d v="1899-12-30T00:01:41"/>
    <x v="1246"/>
    <x v="7"/>
    <s v="oneonta"/>
    <x v="1211"/>
    <n v="1527435"/>
    <x v="0"/>
    <s v="Computer Science/IT"/>
    <s v="9781118750728"/>
    <s v=",1,2,3,4,20,21"/>
    <n v="6"/>
    <m/>
    <m/>
    <s v="No"/>
    <x v="3"/>
    <m/>
    <m/>
    <s v="137.141.13.2"/>
    <s v="TK5105.88813 .J384 2013"/>
    <n v="4.5599999999999996"/>
    <d v="2013-10-31T00:00:00"/>
  </r>
  <r>
    <x v="4906"/>
    <d v="1899-12-30T00:01:39"/>
    <x v="1046"/>
    <x v="12"/>
    <s v="potsdam"/>
    <x v="988"/>
    <n v="1983497"/>
    <x v="0"/>
    <s v="Social Science"/>
    <s v="9780745689395"/>
    <s v=",1,2,3,224,225,226,222,227,223,228,221,220"/>
    <n v="12"/>
    <m/>
    <m/>
    <s v="No"/>
    <x v="0"/>
    <d v="2015-10-28T22:08:20"/>
    <n v="7"/>
    <s v="137.143.104.94"/>
    <s v="GT525"/>
    <n v="391.6"/>
    <d v="2015-03-03T00:00:00"/>
  </r>
  <r>
    <x v="4907"/>
    <d v="1899-12-30T00:05:31"/>
    <x v="1247"/>
    <x v="1"/>
    <s v="brockport"/>
    <x v="753"/>
    <n v="2038643"/>
    <x v="1"/>
    <s v="Social Science"/>
    <s v="9781472427625"/>
    <m/>
    <n v="0"/>
    <m/>
    <m/>
    <s v="No"/>
    <x v="3"/>
    <m/>
    <m/>
    <s v="137.21.7.121"/>
    <n v="2013049432"/>
    <n v="306.46100000000001"/>
    <d v="2015-05-28T00:00:00"/>
  </r>
  <r>
    <x v="4908"/>
    <d v="1899-12-30T00:01:39"/>
    <x v="572"/>
    <x v="15"/>
    <s v="morrisville"/>
    <x v="1212"/>
    <n v="1663502"/>
    <x v="12"/>
    <s v="Education"/>
    <s v="9781469612744"/>
    <s v=",1,2,3,20,22,21,19,18,220,221,222,218,219,223,224,225"/>
    <n v="16"/>
    <m/>
    <m/>
    <s v="No"/>
    <x v="3"/>
    <m/>
    <m/>
    <s v="136.204.32.68"/>
    <s v="LC2802.N8 -- T58 2013eb"/>
    <s v="371.829/960756"/>
    <d v="2013-08-01T00:00:00"/>
  </r>
  <r>
    <x v="4909"/>
    <d v="1899-12-30T00:01:03"/>
    <x v="1247"/>
    <x v="1"/>
    <s v="brockport"/>
    <x v="868"/>
    <n v="1650364"/>
    <x v="3"/>
    <s v="Social Science; Religion"/>
    <s v="9780520958272"/>
    <s v=",2,1,3,4,2,12,20,20,21,22,23,24,19"/>
    <n v="11"/>
    <m/>
    <m/>
    <s v="No"/>
    <x v="2"/>
    <d v="2015-10-29T05:10:55"/>
    <n v="1"/>
    <s v="137.21.7.121"/>
    <s v="HQ767.3 -- .M56 2014eb"/>
    <s v="241/.6976"/>
    <d v="2014-05-20T00:00:00"/>
  </r>
  <r>
    <x v="4910"/>
    <d v="1899-12-30T00:07:00"/>
    <x v="1247"/>
    <x v="1"/>
    <s v="brockport"/>
    <x v="868"/>
    <n v="1650364"/>
    <x v="3"/>
    <s v="Social Science; Religion"/>
    <s v="9780520958272"/>
    <s v=",12,13,14,10,11,15,9"/>
    <n v="7"/>
    <m/>
    <m/>
    <s v="No"/>
    <x v="2"/>
    <d v="2015-10-29T05:10:55"/>
    <n v="1"/>
    <s v="137.21.7.121"/>
    <s v="HQ767.3 -- .M56 2014eb"/>
    <s v="241/.6976"/>
    <d v="2014-05-20T00:00:00"/>
  </r>
  <r>
    <x v="4911"/>
    <d v="1899-12-30T00:18:07"/>
    <x v="1247"/>
    <x v="1"/>
    <s v="brockport"/>
    <x v="868"/>
    <n v="1650364"/>
    <x v="3"/>
    <s v="Social Science; Religion"/>
    <s v="9780520958272"/>
    <s v=",1,2,3"/>
    <n v="3"/>
    <m/>
    <m/>
    <s v="No"/>
    <x v="3"/>
    <m/>
    <m/>
    <s v="137.21.7.121"/>
    <s v="HQ767.3 -- .M56 2014eb"/>
    <s v="241/.6976"/>
    <d v="2014-05-20T00:00:00"/>
  </r>
  <r>
    <x v="4912"/>
    <d v="1899-12-30T00:03:01"/>
    <x v="1241"/>
    <x v="0"/>
    <s v="Buffalo"/>
    <x v="1208"/>
    <n v="1887315"/>
    <x v="1"/>
    <s v="Business/Management; Economics"/>
    <s v="9781472444462"/>
    <s v=",1,41,42,43,2,10,11,12,8,9,14,22,28,23,24,25,21,6,7,4,5,20"/>
    <n v="22"/>
    <m/>
    <s v=",19,20,21,22,23,24,25,26,27,28,29,30,31,32,33,34,35,36,37,38,39,40,41,42,43,44,45,46,47,48,49,50"/>
    <s v="Yes"/>
    <x v="2"/>
    <d v="2015-10-29T04:19:04"/>
    <n v="1"/>
    <s v="128.205.114.91"/>
    <s v="HG4751 -- .L365 2015eb"/>
    <s v="332.63/2044"/>
    <d v="2015-02-28T00:00:00"/>
  </r>
  <r>
    <x v="4913"/>
    <d v="1899-12-30T00:00:00"/>
    <x v="1241"/>
    <x v="0"/>
    <s v="Buffalo"/>
    <x v="1208"/>
    <n v="1887315"/>
    <x v="1"/>
    <s v="Business/Management; Economics"/>
    <s v="9781472444462"/>
    <m/>
    <n v="0"/>
    <s v=",41"/>
    <m/>
    <s v="Yes"/>
    <x v="2"/>
    <d v="2015-10-29T04:19:04"/>
    <n v="1"/>
    <s v="128.205.114.91"/>
    <s v="HG4751 -- .L365 2015eb"/>
    <s v="332.63/2044"/>
    <d v="2015-02-28T00:00:00"/>
  </r>
  <r>
    <x v="4914"/>
    <d v="1899-12-30T00:04:22"/>
    <x v="1241"/>
    <x v="0"/>
    <s v="Buffalo"/>
    <x v="1208"/>
    <n v="1887315"/>
    <x v="1"/>
    <s v="Business/Management; Economics"/>
    <s v="9781472444462"/>
    <s v=",22,50,43,41"/>
    <n v="4"/>
    <m/>
    <s v=",0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99,0,1,2,3,4,5,6,7,8,9,10,11,12,13,14,15,16,17,18,19,20,21,22,23,24,25,26,27,28,29,30,31,32,33,34,35,36,37,38,39,40,41,42,43,44,45,46,47,48,49,50,51,52,53,54,55,56,57,58,59,60,61,62,63,64,65,66,67,68,69,70,71,72,73,74,75,76,77,78,79,80,81,82,83,84,85,86,87,88,89,90,91,92,93,94,95,96,97,98,22,23,24,25,26,27,28,29,30,31,32,33,34,35,36,37,38,39,40"/>
    <s v="No"/>
    <x v="2"/>
    <d v="2015-10-29T04:19:04"/>
    <n v="1"/>
    <s v="128.205.114.91"/>
    <s v="HG4751 -- .L365 2015eb"/>
    <s v="332.63/2044"/>
    <d v="2015-02-28T00:00:00"/>
  </r>
  <r>
    <x v="4915"/>
    <d v="1899-12-30T00:00:23"/>
    <x v="1241"/>
    <x v="0"/>
    <s v="Buffalo"/>
    <x v="1208"/>
    <n v="1887315"/>
    <x v="1"/>
    <s v="Business/Management; Economics"/>
    <s v="9781472444462"/>
    <s v=",1,2,3,4,5"/>
    <n v="5"/>
    <m/>
    <m/>
    <s v="No"/>
    <x v="3"/>
    <m/>
    <m/>
    <s v="128.205.114.91"/>
    <s v="HG4751 -- .L365 2015eb"/>
    <s v="332.63/2044"/>
    <d v="2015-02-28T00:00:00"/>
  </r>
  <r>
    <x v="4916"/>
    <d v="1899-12-30T00:00:33"/>
    <x v="1248"/>
    <x v="13"/>
    <s v="buffalostate"/>
    <x v="1213"/>
    <n v="1760736"/>
    <x v="4"/>
    <s v="Social Science; Home Economics"/>
    <s v="9781462518296"/>
    <s v=",5,6,7,10,15,23,24,25,21,22,115,116,117,113,114,118,119,120"/>
    <n v="18"/>
    <m/>
    <m/>
    <s v="No"/>
    <x v="2"/>
    <d v="2015-10-29T03:53:05"/>
    <n v="1"/>
    <s v="136.183.11.43"/>
    <s v="HQ784.I58 -- G65 2015eb"/>
    <n v="649.1"/>
    <d v="2015-01-15T00:00:00"/>
  </r>
  <r>
    <x v="4917"/>
    <d v="1899-12-30T00:10:15"/>
    <x v="1244"/>
    <x v="7"/>
    <s v="oneonta"/>
    <x v="926"/>
    <n v="1584076"/>
    <x v="0"/>
    <s v="History"/>
    <s v="9780745679679"/>
    <s v=",1,2,3,225,227,226,224,223,228,229,230,231,232,233,234,204,197,198"/>
    <n v="18"/>
    <m/>
    <m/>
    <s v="No"/>
    <x v="2"/>
    <d v="2015-10-28T14:02:34"/>
    <n v="1"/>
    <s v="137.141.13.2"/>
    <s v="DG445 .B384 2013"/>
    <n v="945.05"/>
    <d v="2013-12-18T00:00:00"/>
  </r>
  <r>
    <x v="4918"/>
    <d v="1899-12-30T00:19:07"/>
    <x v="1248"/>
    <x v="13"/>
    <s v="buffalostate"/>
    <x v="1213"/>
    <n v="1760736"/>
    <x v="4"/>
    <s v="Social Science; Home Economics"/>
    <s v="9781462518296"/>
    <s v=",1,115,116,117,114,113,126,133,99,2,97,102,101,47,46,48,44,45,3,4,5"/>
    <n v="21"/>
    <m/>
    <m/>
    <s v="No"/>
    <x v="3"/>
    <m/>
    <m/>
    <s v="136.183.11.43"/>
    <s v="HQ784.I58 -- G65 2015eb"/>
    <n v="649.1"/>
    <d v="2015-01-15T00:00:00"/>
  </r>
  <r>
    <x v="4919"/>
    <d v="1899-12-30T00:00:00"/>
    <x v="1248"/>
    <x v="13"/>
    <s v="buffalostate"/>
    <x v="1213"/>
    <n v="1760736"/>
    <x v="4"/>
    <s v="Social Science; Home Economics"/>
    <s v="9781462518296"/>
    <m/>
    <n v="0"/>
    <m/>
    <m/>
    <s v="No"/>
    <x v="3"/>
    <m/>
    <m/>
    <s v="136.183.11.43"/>
    <s v="HQ784.I58 -- G65 2015eb"/>
    <n v="649.1"/>
    <d v="2015-01-15T00:00:00"/>
  </r>
  <r>
    <x v="4920"/>
    <d v="1899-12-30T00:01:48"/>
    <x v="1249"/>
    <x v="12"/>
    <s v="potsdam"/>
    <x v="1214"/>
    <n v="1663521"/>
    <x v="12"/>
    <s v="Social Science"/>
    <s v="9781469612614"/>
    <s v=",26,39,41,38,37,40,51,62,63,64,60,61,65,57,49,24"/>
    <n v="16"/>
    <m/>
    <m/>
    <s v="No"/>
    <x v="2"/>
    <d v="2015-10-29T03:10:40"/>
    <n v="1"/>
    <s v="137.143.104.94"/>
    <s v="HQ1170 -- .M567 2014eb"/>
    <s v="305.6/97"/>
    <d v="2014-01-02T00:00:00"/>
  </r>
  <r>
    <x v="4921"/>
    <d v="1899-12-30T00:07:00"/>
    <x v="1249"/>
    <x v="12"/>
    <s v="potsdam"/>
    <x v="1214"/>
    <n v="1663521"/>
    <x v="12"/>
    <s v="Social Science"/>
    <s v="9781469612614"/>
    <s v=",8,1,9,10,6,7,11,12,13,14,15,16,17,18,2,19,20,21"/>
    <n v="18"/>
    <m/>
    <m/>
    <s v="No"/>
    <x v="3"/>
    <m/>
    <m/>
    <s v="137.143.104.94"/>
    <s v="HQ1170 -- .M567 2014eb"/>
    <s v="305.6/97"/>
    <d v="2014-01-02T00:00:00"/>
  </r>
  <r>
    <x v="4922"/>
    <d v="1899-12-30T00:00:54"/>
    <x v="1250"/>
    <x v="13"/>
    <s v="buffalostate"/>
    <x v="1215"/>
    <n v="1747545"/>
    <x v="3"/>
    <s v="Sport &amp; Recreation"/>
    <s v="9780520959897"/>
    <s v=",1,2,3,4,5,6"/>
    <n v="6"/>
    <m/>
    <m/>
    <s v="No"/>
    <x v="3"/>
    <m/>
    <m/>
    <s v="136.183.11.43"/>
    <s v="GV854.8.A43 -- .D46 2015eb"/>
    <n v="796.93"/>
    <d v="2014-11-26T00:00:00"/>
  </r>
  <r>
    <x v="4923"/>
    <d v="1899-12-30T00:10:10"/>
    <x v="703"/>
    <x v="0"/>
    <s v="Buffalo"/>
    <x v="111"/>
    <n v="1166322"/>
    <x v="0"/>
    <s v="Architecture"/>
    <s v="9781118418512"/>
    <s v=",427,428,429,425,426,430,431,432"/>
    <n v="8"/>
    <m/>
    <s v=",185,186,428,429,430,427,428,429,430"/>
    <s v="No"/>
    <x v="0"/>
    <d v="2015-10-29T02:14:18"/>
    <n v="7"/>
    <s v="128.205.114.91"/>
    <s v="NA2000 -- .G76 2013eb"/>
    <n v="720.072"/>
    <d v="2013-04-03T00:00:00"/>
  </r>
  <r>
    <x v="4924"/>
    <d v="1899-12-30T00:34:21"/>
    <x v="1046"/>
    <x v="12"/>
    <s v="potsdam"/>
    <x v="988"/>
    <n v="1983497"/>
    <x v="0"/>
    <s v="Social Science"/>
    <s v="9780745689395"/>
    <s v=",1,2,3,217,218,219,215,216,214,213,212,211,210,209,220,220,221,222,224"/>
    <n v="18"/>
    <m/>
    <m/>
    <s v="No"/>
    <x v="0"/>
    <d v="2015-10-28T22:08:20"/>
    <n v="7"/>
    <s v="137.143.104.94"/>
    <s v="GT525"/>
    <n v="391.6"/>
    <d v="2015-03-03T00:00:00"/>
  </r>
  <r>
    <x v="4925"/>
    <d v="1899-12-30T00:09:46"/>
    <x v="703"/>
    <x v="0"/>
    <s v="Buffalo"/>
    <x v="111"/>
    <n v="1166322"/>
    <x v="0"/>
    <s v="Architecture"/>
    <s v="9781118418512"/>
    <s v=",1,2,3,185,186,187,183,184,188"/>
    <n v="9"/>
    <m/>
    <m/>
    <s v="No"/>
    <x v="1"/>
    <m/>
    <m/>
    <s v="128.205.114.91"/>
    <s v="NA2000 -- .G76 2013eb"/>
    <n v="720.072"/>
    <d v="2013-04-03T00:00:00"/>
  </r>
  <r>
    <x v="4926"/>
    <d v="1899-12-30T00:02:23"/>
    <x v="613"/>
    <x v="0"/>
    <s v="Buffalo"/>
    <x v="500"/>
    <n v="699744"/>
    <x v="0"/>
    <s v="Engineering; Engineering: Electrical; Engineering: Civil"/>
    <s v="9781118585818"/>
    <s v=",1,2,3,25,26,27,24,28,29,30,31,32,33,34,62,63,64,65,66,61,67,68,706,707,708,704,709,705,710,711,712,713,714,715,716,717,718,719,720,721,722"/>
    <n v="41"/>
    <m/>
    <m/>
    <s v="No"/>
    <x v="1"/>
    <m/>
    <m/>
    <s v="128.205.114.91"/>
    <s v="TA1520 -- .S24 2007eb"/>
    <n v="621.36"/>
    <d v="2013-02-05T00:00:00"/>
  </r>
  <r>
    <x v="4927"/>
    <d v="1899-12-30T00:03:23"/>
    <x v="1251"/>
    <x v="7"/>
    <s v="oneonta"/>
    <x v="1216"/>
    <n v="943949"/>
    <x v="14"/>
    <s v="Science; Science: General"/>
    <s v="9780786490868"/>
    <s v=",4,5,6,7,8,9"/>
    <n v="6"/>
    <m/>
    <m/>
    <s v="No"/>
    <x v="0"/>
    <d v="2015-10-29T01:12:14"/>
    <n v="7"/>
    <s v="137.141.13.2"/>
    <s v="Q125 -- .D334 2012eb"/>
    <n v="509"/>
    <d v="2012-05-31T00:00:00"/>
  </r>
  <r>
    <x v="4928"/>
    <d v="1899-12-30T00:11:50"/>
    <x v="1251"/>
    <x v="7"/>
    <s v="oneonta"/>
    <x v="1216"/>
    <n v="943949"/>
    <x v="14"/>
    <s v="Science; Science: General"/>
    <s v="9780786490868"/>
    <s v=",1,2,3,65,66,67,63,64,68"/>
    <n v="9"/>
    <m/>
    <m/>
    <s v="No"/>
    <x v="1"/>
    <m/>
    <m/>
    <s v="137.141.13.2"/>
    <s v="Q125 -- .D334 2012eb"/>
    <n v="509"/>
    <d v="2012-05-31T00:00:00"/>
  </r>
  <r>
    <x v="4929"/>
    <d v="1899-12-30T00:26:59"/>
    <x v="684"/>
    <x v="0"/>
    <s v="Buffalo"/>
    <x v="344"/>
    <n v="1691133"/>
    <x v="4"/>
    <s v="Medicine"/>
    <s v="9781462516278"/>
    <s v=",126,127,117,115,116,113,114,23,24,25,21,22,20,19,18,17,16,14,15,12,6,4,128,129,130,239,240,241,237,238,242,243,244,245,246,247,248,249,250,426,427,428,424,425"/>
    <n v="44"/>
    <m/>
    <m/>
    <s v="No"/>
    <x v="0"/>
    <d v="2015-10-29T00:48:22"/>
    <n v="7"/>
    <s v="128.205.114.91"/>
    <s v="RC552.P67 -- .H353 2014eb"/>
    <s v="616.85/21"/>
    <d v="2014-05-15T00:00:00"/>
  </r>
  <r>
    <x v="4930"/>
    <d v="1899-12-30T00:15:56"/>
    <x v="684"/>
    <x v="0"/>
    <s v="Buffalo"/>
    <x v="344"/>
    <n v="1691133"/>
    <x v="4"/>
    <s v="Medicine"/>
    <s v="9781462516278"/>
    <s v=",1,3,2,120,121,122,118,119,123,124,125"/>
    <n v="11"/>
    <m/>
    <m/>
    <s v="No"/>
    <x v="1"/>
    <m/>
    <m/>
    <s v="128.205.114.91"/>
    <s v="RC552.P67 -- .H353 2014eb"/>
    <s v="616.85/21"/>
    <d v="2014-05-15T00:00:00"/>
  </r>
  <r>
    <x v="4931"/>
    <d v="1899-12-30T00:03:51"/>
    <x v="1252"/>
    <x v="13"/>
    <s v="buffalostate"/>
    <x v="437"/>
    <n v="1767915"/>
    <x v="0"/>
    <s v="Social Science"/>
    <s v="9780730315148"/>
    <s v=",1,2,3,25,26,27,23,24,28"/>
    <n v="9"/>
    <m/>
    <m/>
    <s v="No"/>
    <x v="1"/>
    <m/>
    <m/>
    <s v="136.183.11.43"/>
    <s v="HM742 -- .C654 2015eb"/>
    <n v="302.23099999999999"/>
    <d v="2014-08-15T00:00:00"/>
  </r>
  <r>
    <x v="4932"/>
    <d v="1899-12-30T00:03:56"/>
    <x v="1145"/>
    <x v="12"/>
    <s v="potsdam"/>
    <x v="1103"/>
    <n v="1887746"/>
    <x v="0"/>
    <s v="Religion"/>
    <s v="9781118697559"/>
    <s v=",1,2,3,61,62,63,59,60,64,16,17,18,14,15,22,19"/>
    <n v="16"/>
    <m/>
    <m/>
    <s v="No"/>
    <x v="3"/>
    <m/>
    <m/>
    <s v="137.143.104.94"/>
    <s v="BV4501.2 -- .M2357 1999eb"/>
    <n v="248"/>
    <d v="2013-05-30T00:00:00"/>
  </r>
  <r>
    <x v="4933"/>
    <d v="1899-12-30T00:01:00"/>
    <x v="1253"/>
    <x v="12"/>
    <s v="potsdam"/>
    <x v="1217"/>
    <n v="2040243"/>
    <x v="4"/>
    <s v="Education"/>
    <s v="9781462523863"/>
    <s v=",1,2,3,4,6,7,8,5,9,10,11,17,18,19,15,16,56,57,58,55,54,59,60,61,62,63,64,53,51,52"/>
    <n v="30"/>
    <m/>
    <m/>
    <s v="No"/>
    <x v="3"/>
    <m/>
    <m/>
    <s v="137.143.104.94"/>
    <s v="LB1573.3"/>
    <n v="372.46499999999997"/>
    <d v="2015-01-01T00:00:00"/>
  </r>
  <r>
    <x v="4934"/>
    <d v="1899-12-30T00:00:46"/>
    <x v="1145"/>
    <x v="12"/>
    <s v="potsdam"/>
    <x v="1103"/>
    <n v="1887746"/>
    <x v="0"/>
    <s v="Religion"/>
    <s v="9781118697559"/>
    <s v=",1,2,3,16,17,18,14,15"/>
    <n v="8"/>
    <m/>
    <m/>
    <s v="No"/>
    <x v="3"/>
    <m/>
    <m/>
    <s v="137.143.104.94"/>
    <s v="BV4501.2 -- .M2357 1999eb"/>
    <n v="248"/>
    <d v="2013-05-30T00:00:00"/>
  </r>
  <r>
    <x v="4935"/>
    <d v="1899-12-30T00:00:01"/>
    <x v="1046"/>
    <x v="12"/>
    <s v="potsdam"/>
    <x v="1006"/>
    <n v="1655862"/>
    <x v="12"/>
    <s v="Social Science; Religion"/>
    <s v="9781469615493"/>
    <s v=",24"/>
    <n v="1"/>
    <m/>
    <m/>
    <s v="No"/>
    <x v="2"/>
    <d v="2015-10-28T22:08:20"/>
    <n v="1"/>
    <s v="137.143.104.94"/>
    <s v="BX1406.3 -- .D89 2014eb"/>
    <s v="391.0088/28273"/>
    <d v="2014-04-15T00:00:00"/>
  </r>
  <r>
    <x v="4935"/>
    <d v="1899-12-30T01:07:32"/>
    <x v="1046"/>
    <x v="12"/>
    <s v="potsdam"/>
    <x v="988"/>
    <n v="1983497"/>
    <x v="0"/>
    <s v="Social Science"/>
    <s v="9780745689395"/>
    <s v=",220,220,221,217,218,222,223,224,224,225,221,226,227"/>
    <n v="10"/>
    <m/>
    <m/>
    <s v="No"/>
    <x v="0"/>
    <d v="2015-10-28T22:08:20"/>
    <n v="7"/>
    <s v="137.143.104.94"/>
    <s v="GT525"/>
    <n v="391.6"/>
    <d v="2015-03-03T00:00:00"/>
  </r>
  <r>
    <x v="4936"/>
    <d v="1899-12-30T00:00:07"/>
    <x v="1145"/>
    <x v="12"/>
    <s v="potsdam"/>
    <x v="1103"/>
    <n v="1887746"/>
    <x v="0"/>
    <s v="Religion"/>
    <s v="9781118697559"/>
    <s v=",1,2,3,5,8"/>
    <n v="5"/>
    <m/>
    <m/>
    <s v="No"/>
    <x v="3"/>
    <m/>
    <m/>
    <s v="137.143.104.94"/>
    <s v="BV4501.2 -- .M2357 1999eb"/>
    <n v="248"/>
    <d v="2013-05-30T00:00:00"/>
  </r>
  <r>
    <x v="4937"/>
    <d v="1899-12-30T00:00:09"/>
    <x v="889"/>
    <x v="1"/>
    <s v="brockport"/>
    <x v="1218"/>
    <n v="284081"/>
    <x v="0"/>
    <s v="Social Science"/>
    <s v="9781405172776"/>
    <s v=",1,2,3,4"/>
    <n v="4"/>
    <m/>
    <m/>
    <s v="No"/>
    <x v="3"/>
    <m/>
    <m/>
    <s v="137.21.7.121"/>
    <m/>
    <n v="301.09199999999998"/>
    <d v="2015-05-01T00:00:00"/>
  </r>
  <r>
    <x v="4938"/>
    <d v="1899-12-30T00:05:10"/>
    <x v="1244"/>
    <x v="7"/>
    <s v="oneonta"/>
    <x v="926"/>
    <n v="1584076"/>
    <x v="0"/>
    <s v="History"/>
    <s v="9780745679679"/>
    <s v=",1,2,3,251,252,253,250,249,254,255,256,257,258,259,260,261,262,263,264,265,266,267"/>
    <n v="22"/>
    <m/>
    <m/>
    <s v="No"/>
    <x v="2"/>
    <d v="2015-10-28T14:02:34"/>
    <n v="1"/>
    <s v="137.141.13.2"/>
    <s v="DG445 .B384 2013"/>
    <n v="945.05"/>
    <d v="2013-12-18T00:00:00"/>
  </r>
  <r>
    <x v="4939"/>
    <d v="1899-12-30T01:41:18"/>
    <x v="1046"/>
    <x v="12"/>
    <s v="potsdam"/>
    <x v="988"/>
    <n v="1983497"/>
    <x v="0"/>
    <s v="Social Science"/>
    <s v="9780745689395"/>
    <s v=",1,2,3,4,5,6,7,8,9,217,218,219,215,216"/>
    <n v="14"/>
    <m/>
    <m/>
    <s v="No"/>
    <x v="3"/>
    <m/>
    <m/>
    <s v="137.143.104.94"/>
    <s v="GT525"/>
    <n v="391.6"/>
    <d v="2015-03-03T00:00:00"/>
  </r>
  <r>
    <x v="4940"/>
    <d v="1899-12-30T01:50:55"/>
    <x v="1046"/>
    <x v="12"/>
    <s v="potsdam"/>
    <x v="1006"/>
    <n v="1655862"/>
    <x v="12"/>
    <s v="Social Science; Religion"/>
    <s v="9781469615493"/>
    <s v=",1,2,3,16,17,18,14,15,19,20,21,22,23"/>
    <n v="13"/>
    <m/>
    <m/>
    <s v="No"/>
    <x v="3"/>
    <m/>
    <m/>
    <s v="137.143.104.94"/>
    <s v="BX1406.3 -- .D89 2014eb"/>
    <s v="391.0088/28273"/>
    <d v="2014-04-15T00:00:00"/>
  </r>
  <r>
    <x v="4941"/>
    <d v="1899-12-30T00:52:54"/>
    <x v="13"/>
    <x v="0"/>
    <s v="Buffalo"/>
    <x v="73"/>
    <n v="1119505"/>
    <x v="0"/>
    <s v="Science: Chemistry; Science"/>
    <s v="9781118355015"/>
    <s v=",1,2,3,151,152,153,149,150,154,155,156,157,158,159,160,161,162,163,164,165,166,167,178,179,180,176,177,175,191,192,193,189,190"/>
    <n v="33"/>
    <m/>
    <m/>
    <s v="No"/>
    <x v="0"/>
    <d v="2015-10-22T17:25:01"/>
    <n v="7"/>
    <s v="128.205.114.91"/>
    <s v="QD251.3 -- .S38 2013eb"/>
    <s v="547/.128"/>
    <d v="2013-01-28T00:00:00"/>
  </r>
  <r>
    <x v="4942"/>
    <d v="1899-12-30T00:00:03"/>
    <x v="557"/>
    <x v="9"/>
    <s v="trocaire"/>
    <x v="407"/>
    <n v="822491"/>
    <x v="0"/>
    <s v="Science; Science: Biology/Natural History; Science: Anatomy/Physiology"/>
    <s v="9781118276273"/>
    <s v=",1,2,3"/>
    <n v="3"/>
    <m/>
    <m/>
    <s v="No"/>
    <x v="1"/>
    <m/>
    <m/>
    <s v="173.225.62.67"/>
    <s v="QP34.5 .F862 2011"/>
    <n v="612"/>
    <d v="2011-11-21T00:00:00"/>
  </r>
  <r>
    <x v="4943"/>
    <d v="1899-12-30T00:02:35"/>
    <x v="1254"/>
    <x v="0"/>
    <s v="Buffalo"/>
    <x v="1219"/>
    <n v="1104736"/>
    <x v="9"/>
    <s v="Mathematics"/>
    <s v="9781118497579"/>
    <s v=",1,2,3,4,5,6,7,8,9,11,10,12,13,14,15,3,4,1"/>
    <n v="15"/>
    <m/>
    <m/>
    <s v="No"/>
    <x v="1"/>
    <m/>
    <m/>
    <s v="128.205.114.91"/>
    <s v="QA278.8 .G384 2012"/>
    <s v="519.5/4"/>
    <d v="2021-05-01T00:00:00"/>
  </r>
  <r>
    <x v="4944"/>
    <d v="1899-12-30T00:03:32"/>
    <x v="756"/>
    <x v="1"/>
    <s v="brockport"/>
    <x v="151"/>
    <n v="968030"/>
    <x v="0"/>
    <s v="Psychology"/>
    <s v="9781118285138"/>
    <s v=",4,4,4,55,56,55,57,56,57,54,53,54,58,58,425,426,425,427,426,427,423,424,424,428,428"/>
    <n v="13"/>
    <m/>
    <m/>
    <s v="No"/>
    <x v="0"/>
    <d v="2015-10-28T18:08:57"/>
    <n v="7"/>
    <s v="137.21.7.121"/>
    <s v="BF637.C6 -- S85 2013eb"/>
    <n v="158.30000000000001"/>
    <d v="2012-07-10T00:00:00"/>
  </r>
  <r>
    <x v="4945"/>
    <d v="1899-12-30T00:08:08"/>
    <x v="13"/>
    <x v="0"/>
    <s v="Buffalo"/>
    <x v="958"/>
    <n v="817384"/>
    <x v="0"/>
    <s v="Medicine; Pharmacy; Health"/>
    <s v="9781118160114"/>
    <s v=",4,6,5,7,8,9,10,11,12,7,6,5,4,3"/>
    <n v="10"/>
    <m/>
    <m/>
    <s v="Yes"/>
    <x v="0"/>
    <d v="2015-10-28T18:01:42"/>
    <n v="7"/>
    <s v="128.205.114.91"/>
    <s v="RM237.65 -- .C667 2012eb"/>
    <s v="613.2/82"/>
    <d v="2011-11-02T00:00:00"/>
  </r>
  <r>
    <x v="4945"/>
    <d v="1899-12-30T00:00:00"/>
    <x v="13"/>
    <x v="0"/>
    <s v="Buffalo"/>
    <x v="958"/>
    <n v="817384"/>
    <x v="0"/>
    <s v="Medicine; Pharmacy; Health"/>
    <s v="9781118160114"/>
    <m/>
    <n v="0"/>
    <m/>
    <m/>
    <s v="No"/>
    <x v="0"/>
    <d v="2015-10-28T18:01:42"/>
    <n v="7"/>
    <s v="128.205.114.91"/>
    <s v="RM237.65 -- .C667 2012eb"/>
    <s v="613.2/82"/>
    <d v="2011-11-02T00:00:00"/>
  </r>
  <r>
    <x v="4946"/>
    <d v="1899-12-30T00:01:00"/>
    <x v="13"/>
    <x v="0"/>
    <s v="Buffalo"/>
    <x v="958"/>
    <n v="817384"/>
    <x v="0"/>
    <s v="Medicine; Pharmacy; Health"/>
    <s v="9781118160114"/>
    <s v=",1,2,3"/>
    <n v="3"/>
    <m/>
    <m/>
    <s v="No"/>
    <x v="1"/>
    <m/>
    <m/>
    <s v="128.205.114.91"/>
    <s v="RM237.65 -- .C667 2012eb"/>
    <s v="613.2/82"/>
    <d v="2011-11-02T00:00:00"/>
  </r>
  <r>
    <x v="4947"/>
    <d v="1899-12-30T00:13:09"/>
    <x v="756"/>
    <x v="1"/>
    <s v="brockport"/>
    <x v="151"/>
    <n v="968030"/>
    <x v="0"/>
    <s v="Psychology"/>
    <s v="9781118285138"/>
    <s v=",1,2,2,3,3,1,2,2"/>
    <n v="3"/>
    <m/>
    <m/>
    <s v="No"/>
    <x v="1"/>
    <m/>
    <m/>
    <s v="137.21.7.121"/>
    <s v="BF637.C6 -- S85 2013eb"/>
    <n v="158.30000000000001"/>
    <d v="2012-07-10T00:00:00"/>
  </r>
  <r>
    <x v="4948"/>
    <d v="1899-12-30T00:02:49"/>
    <x v="1255"/>
    <x v="13"/>
    <s v="buffalostate"/>
    <x v="232"/>
    <n v="822111"/>
    <x v="0"/>
    <s v="Social Science"/>
    <s v="9781444356922"/>
    <s v=",1,2,3,15,16,17,13,14,18,19,20,21,22,23,11,12,13,9,10,1,3,2"/>
    <n v="18"/>
    <m/>
    <m/>
    <s v="No"/>
    <x v="1"/>
    <m/>
    <m/>
    <s v="136.183.11.43"/>
    <s v="HV6773 -- .K69 2012eb"/>
    <s v="302.34/3"/>
    <d v="2012-02-16T00:00:00"/>
  </r>
  <r>
    <x v="4949"/>
    <d v="1899-12-30T00:00:09"/>
    <x v="13"/>
    <x v="0"/>
    <s v="Buffalo"/>
    <x v="975"/>
    <n v="817871"/>
    <x v="0"/>
    <s v="Computer Science/IT"/>
    <s v="9781118206911"/>
    <s v=",1,2,3"/>
    <n v="3"/>
    <m/>
    <m/>
    <s v="No"/>
    <x v="0"/>
    <d v="2015-10-22T19:18:19"/>
    <n v="7"/>
    <s v="128.205.114.91"/>
    <s v="QA76.76.H94"/>
    <n v="6.74"/>
    <d v="2011-12-20T00:00:00"/>
  </r>
  <r>
    <x v="4950"/>
    <d v="1899-12-30T00:00:21"/>
    <x v="26"/>
    <x v="6"/>
    <s v="sjfc"/>
    <x v="1205"/>
    <n v="1782535"/>
    <x v="0"/>
    <s v="Journalism; Social Science"/>
    <s v="9780745684550"/>
    <s v=",1,7,8,9,5,6,2"/>
    <n v="7"/>
    <m/>
    <m/>
    <s v="No"/>
    <x v="3"/>
    <m/>
    <m/>
    <s v="149.69.254.57"/>
    <s v="PN4879 -- .M336 2014eb"/>
    <n v="302.23239999999998"/>
    <d v="2014-10-22T00:00:00"/>
  </r>
  <r>
    <x v="4951"/>
    <d v="1899-12-30T00:00:53"/>
    <x v="26"/>
    <x v="6"/>
    <s v="sjfc"/>
    <x v="1220"/>
    <n v="1996923"/>
    <x v="4"/>
    <s v="Literature; Education"/>
    <s v="9781462521593"/>
    <s v=",1,2,3,4,5,6,7,8,9,10,11,12,13,14,15,16,17,18,19,21"/>
    <n v="20"/>
    <m/>
    <m/>
    <s v="No"/>
    <x v="3"/>
    <m/>
    <m/>
    <s v="149.69.254.57"/>
    <s v="LB2844.1.R4"/>
    <n v="822.92"/>
    <d v="2015-06-09T00:00:00"/>
  </r>
  <r>
    <x v="4952"/>
    <d v="1899-12-30T00:04:37"/>
    <x v="1256"/>
    <x v="13"/>
    <s v="buffalostate"/>
    <x v="372"/>
    <n v="877782"/>
    <x v="0"/>
    <s v="Social Science; Science: Biology/Natural History; Science"/>
    <s v="9781118255407"/>
    <s v=",2,2,1,3,3,1,4,4,5,6,5,6,2,2,7,7,8,8,9,9,10,10,5,86,87,88,87,88,84,86,85,85,89,90,89,90,91,91,86,85,84,88"/>
    <n v="18"/>
    <m/>
    <m/>
    <s v="No"/>
    <x v="1"/>
    <m/>
    <m/>
    <s v="136.183.11.43"/>
    <s v="GN69.8 -- .C659 2012eb"/>
    <n v="599.9"/>
    <d v="2012-03-26T00:00:00"/>
  </r>
  <r>
    <x v="4953"/>
    <d v="1899-12-30T00:03:00"/>
    <x v="1257"/>
    <x v="12"/>
    <s v="potsdam"/>
    <x v="1221"/>
    <n v="3038586"/>
    <x v="11"/>
    <s v="History"/>
    <s v="9780226034478"/>
    <s v=",1,14,15,12,13,2,1,3,2,4,5,6,7,8,9,10,12,13,11,14,15,16,17,18,19,40,41,38,39,42,140,141,142,138,139,302,303,304,300"/>
    <n v="33"/>
    <m/>
    <m/>
    <s v="No"/>
    <x v="2"/>
    <d v="2015-10-28T15:50:40"/>
    <n v="1"/>
    <s v="137.143.104.94"/>
    <s v="F128.68.H3 -- V47 2013eb"/>
    <s v="974.7/1"/>
    <d v="2013-12-01T00:00:00"/>
  </r>
  <r>
    <x v="4954"/>
    <d v="1899-12-30T00:03:39"/>
    <x v="1258"/>
    <x v="1"/>
    <s v="brockport"/>
    <x v="739"/>
    <n v="2110627"/>
    <x v="1"/>
    <s v="History; Social Science"/>
    <s v="9781472436481"/>
    <s v=",296,297,298,299,300,301,302,303,304,172,174,173,170,171,175,42,43,44,40,41,45,46,47,48,49,194,195,192,196,193"/>
    <n v="30"/>
    <m/>
    <m/>
    <s v="No"/>
    <x v="0"/>
    <d v="2015-10-28T15:13:26"/>
    <n v="7"/>
    <s v="137.21.7.121"/>
    <s v="DT655 .P38 2015"/>
    <s v="361.7/309675109041; 361.7''309675109041"/>
    <d v="2015-09-28T00:00:00"/>
  </r>
  <r>
    <x v="4955"/>
    <d v="1899-12-30T00:27:37"/>
    <x v="1259"/>
    <x v="5"/>
    <s v="erie"/>
    <x v="536"/>
    <n v="836166"/>
    <x v="6"/>
    <s v="Computer Science/IT; Science"/>
    <s v="9781438139470"/>
    <s v=",13,14,15,16,17,18,19,20,21,22,23,24,25,27,29,24,23,1,2,3"/>
    <n v="18"/>
    <m/>
    <m/>
    <s v="No"/>
    <x v="0"/>
    <d v="2015-10-28T15:11:37"/>
    <n v="7"/>
    <s v="199.29.6.54"/>
    <s v="Q335.4 -- .K37 2012eb"/>
    <n v="6.3"/>
    <d v="2011-11-01T00:00:00"/>
  </r>
  <r>
    <x v="4956"/>
    <d v="1899-12-30T00:07:37"/>
    <x v="1258"/>
    <x v="1"/>
    <s v="brockport"/>
    <x v="739"/>
    <n v="2110627"/>
    <x v="1"/>
    <s v="History; Social Science"/>
    <s v="9781472436481"/>
    <s v=",1,2,3,130,131,132,128,129,135,136,137,133,134,11,12,13,9,10,291,292,293,289,290,288,294,295"/>
    <n v="26"/>
    <m/>
    <m/>
    <s v="No"/>
    <x v="1"/>
    <m/>
    <m/>
    <s v="137.21.7.121"/>
    <s v="DT655 .P38 2015"/>
    <s v="361.7/309675109041; 361.7''309675109041"/>
    <d v="2015-09-28T00:00:00"/>
  </r>
  <r>
    <x v="4957"/>
    <d v="1899-12-30T00:50:35"/>
    <x v="1257"/>
    <x v="12"/>
    <s v="potsdam"/>
    <x v="1221"/>
    <n v="3038586"/>
    <x v="11"/>
    <s v="History"/>
    <s v="9780226034478"/>
    <s v=",1,2,3,4,5,6,7,8,9,10,11,12,13,14"/>
    <n v="14"/>
    <m/>
    <m/>
    <s v="No"/>
    <x v="3"/>
    <m/>
    <m/>
    <s v="137.143.104.94"/>
    <s v="F128.68.H3 -- V47 2013eb"/>
    <s v="974.7/1"/>
    <d v="2013-12-01T00:00:00"/>
  </r>
  <r>
    <x v="4958"/>
    <d v="1899-12-30T00:20:24"/>
    <x v="1259"/>
    <x v="5"/>
    <s v="erie"/>
    <x v="536"/>
    <n v="836166"/>
    <x v="6"/>
    <s v="Computer Science/IT; Science"/>
    <s v="9781438139470"/>
    <s v=",1,8,9,10,6,7,2,11,12"/>
    <n v="9"/>
    <m/>
    <m/>
    <s v="No"/>
    <x v="1"/>
    <m/>
    <m/>
    <s v="199.29.6.54"/>
    <s v="Q335.4 -- .K37 2012eb"/>
    <n v="6.3"/>
    <d v="2011-11-01T00:00:00"/>
  </r>
  <r>
    <x v="4959"/>
    <d v="1899-12-30T02:14:23"/>
    <x v="1260"/>
    <x v="0"/>
    <s v="Buffalo"/>
    <x v="667"/>
    <n v="800610"/>
    <x v="4"/>
    <s v="Medicine"/>
    <s v="9781609186951"/>
    <s v=",1,2,3,189,190,191,187,188,192,193,194,289,290,291,288,287,292,293,294,295,197,198,199,195,196,200,201,202,203,194,203,204,205,206,299,300,301,297,298,302,303,304,305,306,307,308,309,310,304,303,308,302,301,300,299,298,297,212,213,214,210,215,216,217,218,219,220,221,222,223,224,225,226,211,209,208,207,206,205,204,203,202,201,200,199,198,206,207,208,209,210,211,308,309,310,306,307,305,304,303"/>
    <n v="66"/>
    <m/>
    <m/>
    <s v="No"/>
    <x v="0"/>
    <d v="2015-10-27T17:45:23"/>
    <n v="7"/>
    <s v="128.205.114.91"/>
    <s v="RC537 -- .L43 2012eb"/>
    <n v="616.89499999999998"/>
    <d v="2011-11-09T00:00:00"/>
  </r>
  <r>
    <x v="4960"/>
    <d v="1899-12-30T00:01:47"/>
    <x v="1252"/>
    <x v="13"/>
    <s v="buffalostate"/>
    <x v="437"/>
    <n v="1767915"/>
    <x v="0"/>
    <s v="Social Science"/>
    <s v="9780730315148"/>
    <s v=",1,2,3,4,19,20,21,17,18,2,25,26,27,23,24,28,22,16,2,3,3,1,4,5,2,6"/>
    <n v="19"/>
    <m/>
    <m/>
    <s v="No"/>
    <x v="1"/>
    <m/>
    <m/>
    <s v="136.183.11.43"/>
    <s v="HM742 -- .C654 2015eb"/>
    <n v="302.23099999999999"/>
    <d v="2014-08-15T00:00:00"/>
  </r>
  <r>
    <x v="4961"/>
    <d v="1899-12-30T00:00:04"/>
    <x v="702"/>
    <x v="1"/>
    <s v="brockport"/>
    <x v="739"/>
    <n v="2110627"/>
    <x v="1"/>
    <s v="History; Social Science"/>
    <s v="9781472436481"/>
    <s v=",1,3,2"/>
    <n v="3"/>
    <m/>
    <m/>
    <s v="No"/>
    <x v="0"/>
    <d v="2015-10-27T21:33:38"/>
    <n v="7"/>
    <s v="137.21.7.121"/>
    <s v="DT655 .P38 2015"/>
    <s v="361.7/309675109041; 361.7''309675109041"/>
    <d v="2015-09-28T00:00:00"/>
  </r>
  <r>
    <x v="4962"/>
    <d v="1899-12-30T00:32:07"/>
    <x v="1231"/>
    <x v="0"/>
    <s v="Buffalo"/>
    <x v="1199"/>
    <n v="1190428"/>
    <x v="3"/>
    <s v="Health; Social Science"/>
    <s v="9780520955066"/>
    <s v=",1,2,3,56,57,58,54,55,59,60,61,62,63,64,65,66,67,68,69,70,71,72,73,74"/>
    <n v="24"/>
    <m/>
    <m/>
    <s v="No"/>
    <x v="0"/>
    <d v="2015-10-27T13:59:54"/>
    <n v="7"/>
    <s v="128.205.114.91"/>
    <s v="TX360.U6 -- N47 2013eb"/>
    <s v="363.8/5/0973"/>
    <d v="2013-05-14T00:00:00"/>
  </r>
  <r>
    <x v="4963"/>
    <d v="1899-12-30T00:00:32"/>
    <x v="791"/>
    <x v="6"/>
    <s v="sjfc"/>
    <x v="822"/>
    <n v="1034770"/>
    <x v="4"/>
    <s v="Medicine"/>
    <s v="9781462507566"/>
    <s v=",1,2,3,17,18,19,15,16"/>
    <n v="8"/>
    <m/>
    <m/>
    <s v="No"/>
    <x v="1"/>
    <m/>
    <m/>
    <s v="149.69.254.57"/>
    <s v="RC533 -- .M56 2012eb"/>
    <n v="616.85839999999996"/>
    <d v="2013-10-20T00:00:00"/>
  </r>
  <r>
    <x v="4964"/>
    <d v="1899-12-30T00:00:30"/>
    <x v="1244"/>
    <x v="7"/>
    <s v="oneonta"/>
    <x v="926"/>
    <n v="1584076"/>
    <x v="0"/>
    <s v="History"/>
    <s v="9780745679679"/>
    <s v=",1,2,3,11,12,13,9,10,2,14,15,16,17"/>
    <n v="12"/>
    <m/>
    <m/>
    <s v="No"/>
    <x v="2"/>
    <d v="2015-10-28T14:02:34"/>
    <n v="1"/>
    <s v="137.141.13.2"/>
    <s v="DG445 .B384 2013"/>
    <n v="945.05"/>
    <d v="2013-12-18T00:00:00"/>
  </r>
  <r>
    <x v="4965"/>
    <d v="1899-12-30T00:00:01"/>
    <x v="1244"/>
    <x v="7"/>
    <s v="oneonta"/>
    <x v="926"/>
    <n v="1584076"/>
    <x v="0"/>
    <s v="History"/>
    <s v="9780745679679"/>
    <m/>
    <n v="0"/>
    <m/>
    <m/>
    <s v="No"/>
    <x v="3"/>
    <m/>
    <m/>
    <s v="137.141.13.2"/>
    <s v="DG445 .B384 2013"/>
    <n v="945.05"/>
    <d v="2013-12-18T00:00:00"/>
  </r>
  <r>
    <x v="4966"/>
    <d v="1899-12-30T00:04:01"/>
    <x v="1261"/>
    <x v="0"/>
    <s v="Buffalo"/>
    <x v="1222"/>
    <n v="1539075"/>
    <x v="11"/>
    <s v="History"/>
    <s v="9780226072869"/>
    <s v=",1,2,3,14,15,16,12,13,17,18"/>
    <n v="10"/>
    <m/>
    <m/>
    <s v="No"/>
    <x v="3"/>
    <m/>
    <m/>
    <s v="128.205.114.91"/>
    <s v="DA415"/>
    <s v="942.06/2"/>
    <d v="2013-11-15T00:00:00"/>
  </r>
  <r>
    <x v="4967"/>
    <d v="1899-12-30T00:01:16"/>
    <x v="749"/>
    <x v="3"/>
    <s v="canton"/>
    <x v="353"/>
    <n v="843674"/>
    <x v="0"/>
    <s v="Engineering: Construction; Engineering"/>
    <s v="9781118348444"/>
    <s v=",281,278,277,282"/>
    <n v="4"/>
    <m/>
    <m/>
    <s v="No"/>
    <x v="0"/>
    <d v="2015-10-28T13:52:32"/>
    <n v="7"/>
    <s v="137.37.33.33"/>
    <s v="TH435 -- .R76 2012eb"/>
    <n v="692.50972999999999"/>
    <d v="2012-02-21T00:00:00"/>
  </r>
  <r>
    <x v="4968"/>
    <d v="1899-12-30T00:10:03"/>
    <x v="749"/>
    <x v="3"/>
    <s v="canton"/>
    <x v="353"/>
    <n v="843674"/>
    <x v="0"/>
    <s v="Engineering: Construction; Engineering"/>
    <s v="9781118348444"/>
    <s v=",1,2,3,51,52,53,58,59,60,56,57,55,61,62,63,507,508,509,505,506,279,280"/>
    <n v="22"/>
    <m/>
    <m/>
    <s v="No"/>
    <x v="1"/>
    <m/>
    <m/>
    <s v="137.37.33.33"/>
    <s v="TH435 -- .R76 2012eb"/>
    <n v="692.50972999999999"/>
    <d v="2012-02-21T00:00:00"/>
  </r>
  <r>
    <x v="4969"/>
    <d v="1899-12-30T00:00:44"/>
    <x v="1262"/>
    <x v="13"/>
    <s v="buffalostate"/>
    <x v="623"/>
    <n v="1725781"/>
    <x v="16"/>
    <s v="Social Science; Computer Science/IT"/>
    <s v="9781137287021"/>
    <s v=",1,2,3,4,5,6,7,8,9,10,11,12,13,14,15,16,17,18"/>
    <n v="18"/>
    <m/>
    <m/>
    <s v="No"/>
    <x v="1"/>
    <m/>
    <m/>
    <s v="136.183.11.43"/>
    <s v="HQ799.9.I58 -- .M435 2014eb"/>
    <n v="4.6780834999999996"/>
    <d v="2014-06-16T00:00:00"/>
  </r>
  <r>
    <x v="4970"/>
    <d v="1899-12-30T00:06:53"/>
    <x v="789"/>
    <x v="6"/>
    <s v="sjfc"/>
    <x v="68"/>
    <n v="1822529"/>
    <x v="0"/>
    <s v="Mathematics"/>
    <s v="9781118824344"/>
    <s v=",1,2,3,1,2,3,6,7,8,4,5,9,10,11,12,13,14,15,16,17,18,19,20,21,22,23,24,25,26,27,28,29,30,31,32,33,34,35,36,37,38,39,40,41,42,43,44,45,46,47,48,49,50,51,52,53,54,55,56,57,58,59,60,61,62,63,64,65,66,67,68,69,71,70,72,73,74,75,76,77,78,79,81,80,82,83,84,85,86,87,88,89,90,91,92,93,94,149,150,151,147,148,152,153,154,155,156,51,4,5,7,8,10,11,12,13,14,15,16,17,18,19,20,21,22"/>
    <n v="104"/>
    <m/>
    <m/>
    <s v="No"/>
    <x v="1"/>
    <m/>
    <m/>
    <s v="149.69.254.57"/>
    <s v="QA297 -- .S59 2015eb"/>
    <n v="519.4"/>
    <d v="2014-10-20T00:00:00"/>
  </r>
  <r>
    <x v="4971"/>
    <d v="1899-12-30T00:00:20"/>
    <x v="1263"/>
    <x v="1"/>
    <s v="brockport"/>
    <x v="414"/>
    <n v="1143522"/>
    <x v="0"/>
    <s v="History"/>
    <s v="9781118257197"/>
    <s v=",1,38,37,39,35,36,2"/>
    <n v="7"/>
    <m/>
    <m/>
    <s v="No"/>
    <x v="0"/>
    <d v="2015-10-28T07:54:32"/>
    <n v="7"/>
    <s v="137.21.7.121"/>
    <s v="F1219.73 .S58 2013"/>
    <n v="972"/>
    <d v="2013-03-01T00:00:00"/>
  </r>
  <r>
    <x v="4972"/>
    <d v="1899-12-30T01:52:27"/>
    <x v="1263"/>
    <x v="1"/>
    <s v="brockport"/>
    <x v="414"/>
    <n v="1143522"/>
    <x v="0"/>
    <s v="History"/>
    <s v="9781118257197"/>
    <s v=",1,2,3,27,28,29,25,26,30,31,32,34,33,35,36,37"/>
    <n v="16"/>
    <m/>
    <m/>
    <s v="No"/>
    <x v="1"/>
    <m/>
    <m/>
    <s v="137.21.7.121"/>
    <s v="F1219.73 .S58 2013"/>
    <n v="972"/>
    <d v="2013-03-01T00:00:00"/>
  </r>
  <r>
    <x v="4973"/>
    <d v="1899-12-30T00:00:08"/>
    <x v="1263"/>
    <x v="1"/>
    <s v="brockport"/>
    <x v="414"/>
    <n v="1143522"/>
    <x v="0"/>
    <s v="History"/>
    <s v="9781118257197"/>
    <s v=",1,2,3"/>
    <n v="3"/>
    <m/>
    <m/>
    <s v="No"/>
    <x v="1"/>
    <m/>
    <m/>
    <s v="137.21.7.121"/>
    <s v="F1219.73 .S58 2013"/>
    <n v="972"/>
    <d v="2013-03-01T00:00:00"/>
  </r>
  <r>
    <x v="4974"/>
    <d v="1899-12-30T00:00:51"/>
    <x v="1264"/>
    <x v="1"/>
    <s v="brockport"/>
    <x v="1223"/>
    <n v="1747357"/>
    <x v="5"/>
    <s v="Education; Military Science"/>
    <s v="9780814760420"/>
    <s v=",1,2,3,168,169,170,166,167,171,173,174"/>
    <n v="11"/>
    <m/>
    <m/>
    <s v="No"/>
    <x v="3"/>
    <m/>
    <m/>
    <s v="137.21.7.121"/>
    <s v="UB357 -- .B67 2014eb"/>
    <s v="371.2/23"/>
    <d v="2014-08-01T00:00:00"/>
  </r>
  <r>
    <x v="4975"/>
    <d v="1899-12-30T00:11:54"/>
    <x v="1064"/>
    <x v="1"/>
    <s v="brockport"/>
    <x v="11"/>
    <n v="693176"/>
    <x v="0"/>
    <s v="Engineering: Manufacturing; General Works/Reference; Engineering"/>
    <s v="9781118017746"/>
    <s v=",295,296,297,298,299,300,301"/>
    <n v="7"/>
    <m/>
    <m/>
    <s v="No"/>
    <x v="0"/>
    <d v="2015-10-28T02:39:13"/>
    <n v="7"/>
    <s v="137.21.7.121"/>
    <s v="Z246 -- .M43 2012eb"/>
    <s v="686.2/209"/>
    <d v="2011-10-19T00:00:00"/>
  </r>
  <r>
    <x v="4976"/>
    <d v="1899-12-30T00:00:47"/>
    <x v="13"/>
    <x v="0"/>
    <s v="Buffalo"/>
    <x v="630"/>
    <n v="771049"/>
    <x v="18"/>
    <s v="Science: Physics; Science; Environmental Studies"/>
    <s v="9781608706648"/>
    <s v=",1,2,3,4,5,6,41,42,43,44,40,45,46,47,48,49,50,52,51,8,9,10,7,11,12,13,14,15"/>
    <n v="28"/>
    <m/>
    <m/>
    <s v="No"/>
    <x v="1"/>
    <m/>
    <m/>
    <s v="128.205.114.91"/>
    <s v="QC981.8"/>
    <n v="363.73874000000001"/>
    <d v="2012-01-01T00:00:00"/>
  </r>
  <r>
    <x v="4977"/>
    <d v="1899-12-30T00:12:21"/>
    <x v="1064"/>
    <x v="1"/>
    <s v="brockport"/>
    <x v="11"/>
    <n v="693176"/>
    <x v="0"/>
    <s v="Engineering: Manufacturing; General Works/Reference; Engineering"/>
    <s v="9781118017746"/>
    <s v=",1,2,3,272,273,274,270,271,275,276,277,278,279,280,281,282,280,281,282,278,279,280,281,282,278,283,284,285,286,287,288,289,290,291,292,293,294"/>
    <n v="28"/>
    <m/>
    <m/>
    <s v="No"/>
    <x v="1"/>
    <m/>
    <m/>
    <s v="137.21.7.121"/>
    <s v="Z246 -- .M43 2012eb"/>
    <s v="686.2/209"/>
    <d v="2011-10-19T00:00:00"/>
  </r>
  <r>
    <x v="4978"/>
    <d v="1899-12-30T00:00:21"/>
    <x v="1265"/>
    <x v="13"/>
    <s v="buffalostate"/>
    <x v="261"/>
    <n v="902995"/>
    <x v="6"/>
    <s v="Medicine"/>
    <s v="9781438139234"/>
    <s v=",1,12,14,13,11,10,15,2"/>
    <n v="8"/>
    <m/>
    <m/>
    <s v="No"/>
    <x v="1"/>
    <m/>
    <m/>
    <s v="136.183.11.43"/>
    <s v="RC569.5.I54 -- M37 2012eb"/>
    <s v="616.85/84"/>
    <d v="2012-03-01T00:00:00"/>
  </r>
  <r>
    <x v="4979"/>
    <d v="1899-12-30T00:01:05"/>
    <x v="1266"/>
    <x v="13"/>
    <s v="buffalostate"/>
    <x v="87"/>
    <n v="1597004"/>
    <x v="3"/>
    <s v="Social Science"/>
    <s v="9780520958173"/>
    <s v=",1,2,3,5,4,6,174,175,176,173,172,140,141,142,138,139"/>
    <n v="16"/>
    <m/>
    <m/>
    <s v="No"/>
    <x v="1"/>
    <m/>
    <m/>
    <s v="136.183.11.43"/>
    <s v="GT2884 -- .D84 2014eb"/>
    <s v="394.1/3"/>
    <d v="2014-05-01T00:00:00"/>
  </r>
  <r>
    <x v="4980"/>
    <d v="1899-12-30T00:01:19"/>
    <x v="1267"/>
    <x v="12"/>
    <s v="potsdam"/>
    <x v="1224"/>
    <n v="1820923"/>
    <x v="5"/>
    <s v="Social Science"/>
    <s v="9781479856558"/>
    <s v=",1,2,3,32,33,34,30,35,37,38,14,15,16,12,13"/>
    <n v="15"/>
    <m/>
    <m/>
    <s v="No"/>
    <x v="3"/>
    <m/>
    <m/>
    <s v="137.143.104.94"/>
    <s v="HQ792.U5 -- .C423 2014eb"/>
    <n v="305.23097300000001"/>
    <d v="2014-09-26T00:00:00"/>
  </r>
  <r>
    <x v="4981"/>
    <d v="1899-12-30T01:53:24"/>
    <x v="1244"/>
    <x v="7"/>
    <s v="oneonta"/>
    <x v="926"/>
    <n v="1584076"/>
    <x v="0"/>
    <s v="History"/>
    <s v="9780745679679"/>
    <s v=",1,2,3,11,12,10,14,13,15,15,9"/>
    <n v="10"/>
    <m/>
    <m/>
    <s v="No"/>
    <x v="2"/>
    <d v="2015-10-27T13:17:09"/>
    <n v="1"/>
    <s v="137.141.13.2"/>
    <s v="DG445 .B384 2013"/>
    <n v="945.05"/>
    <d v="2013-12-18T00:00:00"/>
  </r>
  <r>
    <x v="4982"/>
    <d v="1899-12-30T00:00:38"/>
    <x v="1244"/>
    <x v="7"/>
    <s v="oneonta"/>
    <x v="926"/>
    <n v="1584076"/>
    <x v="0"/>
    <s v="History"/>
    <s v="9780745679679"/>
    <s v=",1,2,3"/>
    <n v="3"/>
    <m/>
    <m/>
    <s v="No"/>
    <x v="2"/>
    <d v="2015-10-27T13:17:09"/>
    <n v="1"/>
    <s v="137.141.13.2"/>
    <s v="DG445 .B384 2013"/>
    <n v="945.05"/>
    <d v="2013-12-18T00:00:00"/>
  </r>
  <r>
    <x v="4983"/>
    <d v="1899-12-30T00:03:22"/>
    <x v="1268"/>
    <x v="7"/>
    <s v="oneonta"/>
    <x v="915"/>
    <n v="836174"/>
    <x v="6"/>
    <s v="History"/>
    <s v="9781438139685"/>
    <s v=",1,2,3,117,118,119,115,116,8,9,10,6,7,11,12,13,14,15,16,17,51,52,53,50,49,54,55,56,90,91,100,101,102,98,99,103,104,105"/>
    <n v="38"/>
    <m/>
    <m/>
    <s v="No"/>
    <x v="1"/>
    <m/>
    <m/>
    <s v="137.141.13.2"/>
    <s v="DA950.7 .S67 2011"/>
    <n v="941.50810000000001"/>
    <d v="2011-11-01T00:00:00"/>
  </r>
  <r>
    <x v="4984"/>
    <d v="1899-12-30T00:02:47"/>
    <x v="1269"/>
    <x v="13"/>
    <s v="buffalostate"/>
    <x v="546"/>
    <n v="1809344"/>
    <x v="16"/>
    <s v="Social Science"/>
    <s v="9781137356192"/>
    <s v=",1,2,3,1,3,2,2,2,204,204,205,205,206,202,206,203,203"/>
    <n v="8"/>
    <m/>
    <m/>
    <s v="No"/>
    <x v="1"/>
    <m/>
    <m/>
    <s v="136.183.11.43"/>
    <s v="HV6556 -- .P748 2014eb"/>
    <n v="364.4"/>
    <d v="2014-10-03T00:00:00"/>
  </r>
  <r>
    <x v="4985"/>
    <d v="1899-12-30T00:03:10"/>
    <x v="1270"/>
    <x v="6"/>
    <s v="sjfc"/>
    <x v="1225"/>
    <n v="1378784"/>
    <x v="0"/>
    <s v="Medicine"/>
    <s v="9781118739655"/>
    <s v=",6,1,2,3,4"/>
    <n v="5"/>
    <m/>
    <m/>
    <s v="No"/>
    <x v="2"/>
    <d v="2015-10-27T21:59:41"/>
    <n v="1"/>
    <s v="149.69.254.57"/>
    <s v="RC480"/>
    <s v="616.89/14; 616.8914"/>
    <d v="2013-09-04T00:00:00"/>
  </r>
  <r>
    <x v="4986"/>
    <d v="1899-12-30T00:06:12"/>
    <x v="1270"/>
    <x v="6"/>
    <s v="sjfc"/>
    <x v="1225"/>
    <n v="1378784"/>
    <x v="0"/>
    <s v="Medicine"/>
    <s v="9781118739655"/>
    <s v=",1,2,3,4,5,6,7,8,9,10,11"/>
    <n v="11"/>
    <m/>
    <m/>
    <s v="No"/>
    <x v="3"/>
    <m/>
    <m/>
    <s v="149.69.254.57"/>
    <s v="RC480"/>
    <s v="616.89/14; 616.8914"/>
    <d v="2013-09-04T00:00:00"/>
  </r>
  <r>
    <x v="4987"/>
    <d v="1899-12-30T00:33:34"/>
    <x v="702"/>
    <x v="1"/>
    <s v="brockport"/>
    <x v="739"/>
    <n v="2110627"/>
    <x v="1"/>
    <s v="History; Social Science"/>
    <s v="9781472436481"/>
    <s v=",133,132,126,127,128,124,125,129,142,143,144,140,141,130,132,131,129,126,303,304,305,301,302,275,276,277,273,274,278,279,280,281,293,294,295,291,292,321,319,320,118,119,120,116,117,190,192,188,189,286,287,288,284,285,40,41,42,38,39,161,162,163,160"/>
    <n v="60"/>
    <m/>
    <m/>
    <s v="No"/>
    <x v="0"/>
    <d v="2015-10-27T21:33:38"/>
    <n v="7"/>
    <s v="137.21.7.121"/>
    <s v="DT655 .P38 2015"/>
    <s v="361.7/309675109041; 361.7''309675109041"/>
    <d v="2015-09-28T00:00:00"/>
  </r>
  <r>
    <x v="4988"/>
    <d v="1899-12-30T00:00:38"/>
    <x v="1271"/>
    <x v="0"/>
    <s v="Buffalo"/>
    <x v="655"/>
    <n v="1698594"/>
    <x v="17"/>
    <s v="Literature"/>
    <s v="9780748689774"/>
    <s v=",1,2,2,1,3,3,4,4,3,5,5,3,2,1,24,24,25,24"/>
    <n v="7"/>
    <m/>
    <m/>
    <s v="No"/>
    <x v="1"/>
    <m/>
    <m/>
    <s v="128.205.114.91"/>
    <s v="PN189 -- .H363 2014eb"/>
    <n v="808.02"/>
    <d v="2014-04-14T00:00:00"/>
  </r>
  <r>
    <x v="4989"/>
    <d v="1899-12-30T00:14:13"/>
    <x v="702"/>
    <x v="1"/>
    <s v="brockport"/>
    <x v="739"/>
    <n v="2110627"/>
    <x v="1"/>
    <s v="History; Social Science"/>
    <s v="9781472436481"/>
    <s v=",1,2,3,308,309,310,306,307,311,312,313,314,315,317,318,320,321,310,311,312,313,314,315,80,81,82,78,83,79,84,128,124,125,136,129,137,137,138,134,135"/>
    <n v="33"/>
    <m/>
    <m/>
    <s v="No"/>
    <x v="1"/>
    <m/>
    <m/>
    <s v="137.21.7.121"/>
    <s v="DT655 .P38 2015"/>
    <s v="361.7/309675109041; 361.7''309675109041"/>
    <d v="2015-09-28T00:00:00"/>
  </r>
  <r>
    <x v="4990"/>
    <d v="1899-12-30T00:00:35"/>
    <x v="13"/>
    <x v="0"/>
    <s v="Buffalo"/>
    <x v="73"/>
    <n v="1119505"/>
    <x v="0"/>
    <s v="Science: Chemistry; Science"/>
    <s v="9781118355015"/>
    <s v=",1,2,3,158,159,160,156,157,155,154,153,152,151,150,149"/>
    <n v="15"/>
    <m/>
    <m/>
    <s v="No"/>
    <x v="0"/>
    <d v="2015-10-22T17:25:01"/>
    <n v="7"/>
    <s v="128.205.114.91"/>
    <s v="QD251.3 -- .S38 2013eb"/>
    <s v="547/.128"/>
    <d v="2013-01-28T00:00:00"/>
  </r>
  <r>
    <x v="4991"/>
    <d v="1899-12-30T00:00:23"/>
    <x v="1272"/>
    <x v="0"/>
    <s v="Buffalo"/>
    <x v="1226"/>
    <n v="1132737"/>
    <x v="11"/>
    <s v="Political Science"/>
    <s v="9780226016177"/>
    <s v=",1,1,2,2,3,3,2,2"/>
    <n v="3"/>
    <m/>
    <m/>
    <s v="No"/>
    <x v="3"/>
    <m/>
    <m/>
    <s v="128.205.114.91"/>
    <s v="JC71"/>
    <s v="320.01/1"/>
    <d v="2013-04-01T00:00:00"/>
  </r>
  <r>
    <x v="4992"/>
    <d v="1899-12-30T00:02:39"/>
    <x v="1258"/>
    <x v="1"/>
    <s v="brockport"/>
    <x v="739"/>
    <n v="2110627"/>
    <x v="1"/>
    <s v="History; Social Science"/>
    <s v="9781472436481"/>
    <s v=",1,2,3,293,295,294,291,292,8,5,4,6,7,8,10,9"/>
    <n v="15"/>
    <m/>
    <m/>
    <s v="No"/>
    <x v="1"/>
    <m/>
    <m/>
    <s v="137.21.7.121"/>
    <s v="DT655 .P38 2015"/>
    <s v="361.7/309675109041; 361.7''309675109041"/>
    <d v="2015-09-28T00:00:00"/>
  </r>
  <r>
    <x v="4993"/>
    <d v="1899-12-30T00:03:41"/>
    <x v="1273"/>
    <x v="0"/>
    <s v="Buffalo"/>
    <x v="1226"/>
    <n v="1132737"/>
    <x v="11"/>
    <s v="Political Science"/>
    <s v="9780226016177"/>
    <s v=",291,288,290,276,282,284,285,286,287,288,289,290,291,292,293"/>
    <n v="12"/>
    <m/>
    <m/>
    <s v="Yes"/>
    <x v="2"/>
    <d v="2015-10-27T19:59:59"/>
    <n v="1"/>
    <s v="128.205.114.91"/>
    <s v="JC71"/>
    <s v="320.01/1"/>
    <d v="2013-04-01T00:00:00"/>
  </r>
  <r>
    <x v="4993"/>
    <d v="1899-12-30T00:00:00"/>
    <x v="1273"/>
    <x v="0"/>
    <s v="Buffalo"/>
    <x v="1226"/>
    <n v="1132737"/>
    <x v="11"/>
    <s v="Political Science"/>
    <s v="9780226016177"/>
    <m/>
    <n v="0"/>
    <m/>
    <m/>
    <s v="No"/>
    <x v="2"/>
    <d v="2015-10-27T19:59:59"/>
    <n v="1"/>
    <s v="128.205.114.91"/>
    <s v="JC71"/>
    <s v="320.01/1"/>
    <d v="2013-04-01T00:00:00"/>
  </r>
  <r>
    <x v="4994"/>
    <d v="1899-12-30T00:04:22"/>
    <x v="1273"/>
    <x v="0"/>
    <s v="Buffalo"/>
    <x v="1226"/>
    <n v="1132737"/>
    <x v="11"/>
    <s v="Political Science"/>
    <s v="9780226016177"/>
    <s v=",1,2,3,5,6,4,7,12,9,10,11,8,272,274,271,270,279,280,281,277,278"/>
    <n v="21"/>
    <m/>
    <m/>
    <s v="No"/>
    <x v="3"/>
    <m/>
    <m/>
    <s v="128.205.114.91"/>
    <s v="JC71"/>
    <s v="320.01/1"/>
    <d v="2013-04-01T00:00:00"/>
  </r>
  <r>
    <x v="4995"/>
    <d v="1899-12-30T00:17:16"/>
    <x v="1274"/>
    <x v="0"/>
    <s v="Buffalo"/>
    <x v="1140"/>
    <n v="1641469"/>
    <x v="4"/>
    <s v="Medicine"/>
    <s v="9781462513444"/>
    <s v=",249,250,251,252,253,255,256,257,254,258,259,260,261,262,263,264,265,266,267,268,269,270,271,272,273,274,275,276,277,278,279,280,281,282,283,284,285,286,287,288,289,290,291,292,293,350,351,352,348,349,658,659,660,656,657,661,662,663,664,665,666,667,668,669,670,671,672,673,674,675,676,721,722,723,719,720"/>
    <n v="76"/>
    <m/>
    <m/>
    <s v="No"/>
    <x v="0"/>
    <d v="2015-10-27T19:32:03"/>
    <n v="7"/>
    <s v="128.205.114.91"/>
    <s v="RC489.B4 -- C584 2014eb"/>
    <n v="616.89142000000004"/>
    <d v="2014-02-27T00:00:00"/>
  </r>
  <r>
    <x v="4996"/>
    <d v="1899-12-30T00:10:23"/>
    <x v="1274"/>
    <x v="0"/>
    <s v="Buffalo"/>
    <x v="1140"/>
    <n v="1641469"/>
    <x v="4"/>
    <s v="Medicine"/>
    <s v="9781462513444"/>
    <s v=",1,2,3,4,5,6,7,8,9,10,11,12,13,14,15,16,17,132,133,134,130,131,135,136,137,138,139,140,141,142,143,224,226,222,223,225,227,228,229,230,231,232,233,234,235,236,237,238,239,240,241,242,243,244,245,246,247,248"/>
    <n v="58"/>
    <m/>
    <m/>
    <s v="No"/>
    <x v="1"/>
    <m/>
    <m/>
    <s v="128.205.114.91"/>
    <s v="RC489.B4 -- C584 2014eb"/>
    <n v="616.89142000000004"/>
    <d v="2014-02-27T00:00:00"/>
  </r>
  <r>
    <x v="4997"/>
    <d v="1899-12-30T00:34:20"/>
    <x v="13"/>
    <x v="0"/>
    <s v="Buffalo"/>
    <x v="73"/>
    <n v="1119505"/>
    <x v="0"/>
    <s v="Science: Chemistry; Science"/>
    <s v="9781118355015"/>
    <s v=",1,2,2,1,3,3,107,108,109,109,107,105,108,106,106,110,110,111,111,2,112,112,113,113,114,114,115,115,116,116,117,117,118,118,113,112,111,89,90,91,90,89,87,91,88,88,92,92,93,93,88,93,94,94,89,88,151,152,153,151,152,153,150,149,150,154,154,155,155,107,108,109,105,106,110,111,112,113,114,115,116,117,112,117,118,113,112,111,110,115,116,117,118,119,119,114,113,112,111,110,115,117,118,119,116,114,119,120,120,121,121,122,122,123,123,118,117,116,115,114,113,118,119,120"/>
    <n v="37"/>
    <m/>
    <m/>
    <s v="No"/>
    <x v="0"/>
    <d v="2015-10-22T17:25:01"/>
    <n v="7"/>
    <s v="128.205.114.91"/>
    <s v="QD251.3 -- .S38 2013eb"/>
    <s v="547/.128"/>
    <d v="2013-01-28T00:00:00"/>
  </r>
  <r>
    <x v="4998"/>
    <d v="1899-12-30T00:01:35"/>
    <x v="26"/>
    <x v="6"/>
    <s v="sjfc"/>
    <x v="1227"/>
    <n v="1895496"/>
    <x v="0"/>
    <s v="Science: Anatomy/Physiology; Science; Science: Biology/Natural History"/>
    <s v="9781118568392"/>
    <s v=",1,2,3,4,5,6,7,8,9,10,11,15,16,17,19,18,14,20"/>
    <n v="18"/>
    <m/>
    <m/>
    <s v="No"/>
    <x v="3"/>
    <m/>
    <m/>
    <s v="149.69.254.57"/>
    <s v="QP376 -- .B735 2015eb"/>
    <n v="612.82000000000005"/>
    <d v="2015-03-12T00:00:00"/>
  </r>
  <r>
    <x v="4999"/>
    <d v="1899-12-30T00:27:24"/>
    <x v="1260"/>
    <x v="0"/>
    <s v="Buffalo"/>
    <x v="667"/>
    <n v="800610"/>
    <x v="4"/>
    <s v="Medicine"/>
    <s v="9781609186951"/>
    <s v=",193,194,195,196,197,198,199,200,201,202,203,204,205,206,207,208,209,210,211,212,213,214,241,242,243,239,240"/>
    <n v="27"/>
    <m/>
    <m/>
    <s v="No"/>
    <x v="0"/>
    <d v="2015-10-27T17:45:23"/>
    <n v="7"/>
    <s v="128.205.114.91"/>
    <s v="RC537 -- .L43 2012eb"/>
    <n v="616.89499999999998"/>
    <d v="2011-11-09T00:00:00"/>
  </r>
  <r>
    <x v="5000"/>
    <d v="1899-12-30T00:11:45"/>
    <x v="1260"/>
    <x v="0"/>
    <s v="Buffalo"/>
    <x v="667"/>
    <n v="800610"/>
    <x v="4"/>
    <s v="Medicine"/>
    <s v="9781609186951"/>
    <s v=",1,2,3,4,5,6,27,28,29,26,25,30,31,32,33,189,190,191,187,188,192"/>
    <n v="21"/>
    <m/>
    <m/>
    <s v="No"/>
    <x v="1"/>
    <m/>
    <m/>
    <s v="128.205.114.91"/>
    <s v="RC537 -- .L43 2012eb"/>
    <n v="616.89499999999998"/>
    <d v="2011-11-09T00:00:00"/>
  </r>
  <r>
    <x v="5001"/>
    <d v="1899-12-30T00:03:47"/>
    <x v="1275"/>
    <x v="13"/>
    <s v="buffalostate"/>
    <x v="270"/>
    <n v="1637652"/>
    <x v="3"/>
    <s v="Education"/>
    <s v="9780520958449"/>
    <s v=",1,2,3,194,170,171,172,168,169,173,167"/>
    <n v="11"/>
    <m/>
    <m/>
    <s v="No"/>
    <x v="1"/>
    <m/>
    <m/>
    <s v="136.183.11.43"/>
    <s v="LB2340.2 -- .B478 2014eb"/>
    <s v="378.3/62"/>
    <d v="2014-05-02T00:00:00"/>
  </r>
  <r>
    <x v="5002"/>
    <d v="1899-12-30T00:03:48"/>
    <x v="1276"/>
    <x v="1"/>
    <s v="brockport"/>
    <x v="1228"/>
    <n v="1895326"/>
    <x v="0"/>
    <s v="Home Economics"/>
    <s v="9781119057215"/>
    <s v=",1,3,2,4,5,6,7,9,10,2,11,13,14,15,16,17,19,22,23,24,25,26,27,28,29,30,31,33,38,39,35,40,41,42,43,44,45,46,47,48,49,50,51,52,53,54,57,58,59"/>
    <n v="48"/>
    <m/>
    <m/>
    <s v="No"/>
    <x v="3"/>
    <m/>
    <m/>
    <s v="137.21.7.121"/>
    <s v="TX840.J84 -- C76 2015eb"/>
    <s v="641.87/5"/>
    <d v="2015-04-27T00:00:00"/>
  </r>
  <r>
    <x v="5003"/>
    <d v="1899-12-30T00:00:53"/>
    <x v="736"/>
    <x v="1"/>
    <s v="brockport"/>
    <x v="739"/>
    <n v="2110627"/>
    <x v="1"/>
    <s v="History; Social Science"/>
    <s v="9781472436481"/>
    <s v=",1,2,3,303,304,305,302,301"/>
    <n v="8"/>
    <m/>
    <m/>
    <s v="No"/>
    <x v="1"/>
    <m/>
    <m/>
    <s v="137.21.7.121"/>
    <s v="DT655 .P38 2015"/>
    <s v="361.7/309675109041; 361.7''309675109041"/>
    <d v="2015-09-28T00:00:00"/>
  </r>
  <r>
    <x v="5004"/>
    <d v="1899-12-30T00:00:23"/>
    <x v="1147"/>
    <x v="12"/>
    <s v="potsdam"/>
    <x v="1229"/>
    <n v="2051521"/>
    <x v="0"/>
    <s v="Health; Social Science"/>
    <s v="9781118597392"/>
    <s v=",1,2,2,3,3,1,2,2"/>
    <n v="3"/>
    <m/>
    <m/>
    <s v="No"/>
    <x v="3"/>
    <m/>
    <m/>
    <s v="137.143.104.94"/>
    <s v="RA783.5 .Z384 2015"/>
    <n v="613.67999999999995"/>
    <d v="2015-05-12T00:00:00"/>
  </r>
  <r>
    <x v="5005"/>
    <d v="1899-12-30T00:00:24"/>
    <x v="1147"/>
    <x v="12"/>
    <s v="potsdam"/>
    <x v="1024"/>
    <n v="834631"/>
    <x v="0"/>
    <s v="Medicine"/>
    <s v="9781444354669"/>
    <s v=",1,2,3,2,3,1,4,4,2,2"/>
    <n v="4"/>
    <m/>
    <m/>
    <s v="No"/>
    <x v="1"/>
    <m/>
    <m/>
    <s v="137.143.104.94"/>
    <s v="RC113.2 -- .A85 2012eb"/>
    <s v="616.90022/3"/>
    <d v="2012-01-03T00:00:00"/>
  </r>
  <r>
    <x v="5006"/>
    <d v="1899-12-30T00:01:20"/>
    <x v="1275"/>
    <x v="13"/>
    <s v="buffalostate"/>
    <x v="270"/>
    <n v="1637652"/>
    <x v="3"/>
    <s v="Education"/>
    <s v="9780520958449"/>
    <s v=",1,2,3,4,5,26,27,28,24,25,29,30,31,32,33,34,35,36,37,38,39,40,41,42,43,44,45,46,47,48,49"/>
    <n v="31"/>
    <m/>
    <m/>
    <s v="No"/>
    <x v="1"/>
    <m/>
    <m/>
    <s v="136.183.11.43"/>
    <s v="LB2340.2 -- .B478 2014eb"/>
    <s v="378.3/62"/>
    <d v="2014-05-02T00:00:00"/>
  </r>
  <r>
    <x v="5007"/>
    <d v="1899-12-30T00:00:10"/>
    <x v="1011"/>
    <x v="7"/>
    <s v="oneonta"/>
    <x v="966"/>
    <n v="1674208"/>
    <x v="0"/>
    <s v="Science: Geology; Business/Management; Science"/>
    <s v="9780745682785"/>
    <s v=",1,2,3,16,17,18,14,15"/>
    <n v="8"/>
    <m/>
    <m/>
    <s v="No"/>
    <x v="3"/>
    <m/>
    <m/>
    <s v="137.141.13.2"/>
    <s v="HD9677.A2 -- .S65 2014eb"/>
    <n v="553.82000000000005"/>
    <d v="2014-04-10T00:00:00"/>
  </r>
  <r>
    <x v="5008"/>
    <d v="1899-12-30T00:00:22"/>
    <x v="1011"/>
    <x v="7"/>
    <s v="oneonta"/>
    <x v="966"/>
    <n v="1674208"/>
    <x v="0"/>
    <s v="Science: Geology; Business/Management; Science"/>
    <s v="9780745682785"/>
    <s v=",1,2,3,4,5,6,7,8,9,10,11,12,13,14,15,16,17,18,2"/>
    <n v="18"/>
    <m/>
    <m/>
    <s v="No"/>
    <x v="3"/>
    <m/>
    <m/>
    <s v="137.141.13.2"/>
    <s v="HD9677.A2 -- .S65 2014eb"/>
    <n v="553.82000000000005"/>
    <d v="2014-04-10T00:00:00"/>
  </r>
  <r>
    <x v="5009"/>
    <d v="1899-12-30T00:03:35"/>
    <x v="1277"/>
    <x v="0"/>
    <s v="Buffalo"/>
    <x v="675"/>
    <n v="1596089"/>
    <x v="4"/>
    <s v="Medicine"/>
    <s v="9781462513307"/>
    <s v=",1,2,3,23,24,25,21,22,26,27,28,29"/>
    <n v="12"/>
    <m/>
    <m/>
    <s v="No"/>
    <x v="3"/>
    <m/>
    <m/>
    <s v="128.205.114.91"/>
    <s v="RC455.4.L67 -- P43 2014eb"/>
    <n v="616.85209999999995"/>
    <d v="2014-05-14T00:00:00"/>
  </r>
  <r>
    <x v="5010"/>
    <d v="1899-12-30T00:00:04"/>
    <x v="637"/>
    <x v="13"/>
    <s v="buffalostate"/>
    <x v="673"/>
    <n v="1734072"/>
    <x v="1"/>
    <s v="Religion"/>
    <s v="9781472421500"/>
    <s v=",1,2,3"/>
    <n v="3"/>
    <m/>
    <m/>
    <s v="No"/>
    <x v="3"/>
    <m/>
    <m/>
    <s v="136.183.11.43"/>
    <s v="BL639 -- .R447 2014eb"/>
    <s v="204/.2"/>
    <d v="2014-09-28T00:00:00"/>
  </r>
  <r>
    <x v="5011"/>
    <d v="1899-12-30T00:00:47"/>
    <x v="1278"/>
    <x v="7"/>
    <s v="oneonta"/>
    <x v="1230"/>
    <n v="1184746"/>
    <x v="0"/>
    <s v="Science: Geology; Science; Social Science"/>
    <s v="9781118327531"/>
    <s v=",1,2,3,93,94,95,91,92,96,97,98,99,100,119,120,121,117,118"/>
    <n v="18"/>
    <m/>
    <m/>
    <s v="No"/>
    <x v="1"/>
    <m/>
    <m/>
    <s v="137.141.13.2"/>
    <s v="GB5014 -- .P46 2013eb"/>
    <n v="363.34089999999998"/>
    <d v="2013-05-03T00:00:00"/>
  </r>
  <r>
    <x v="5012"/>
    <d v="1899-12-30T00:00:49"/>
    <x v="1278"/>
    <x v="7"/>
    <s v="oneonta"/>
    <x v="1230"/>
    <n v="1184746"/>
    <x v="0"/>
    <s v="Science: Geology; Science; Social Science"/>
    <s v="9781118327531"/>
    <s v=",1,2,3,4,23,24,25,21,22,93,94,95,91,92,96,97,98"/>
    <n v="17"/>
    <m/>
    <m/>
    <s v="No"/>
    <x v="1"/>
    <m/>
    <m/>
    <s v="137.141.13.2"/>
    <s v="GB5014 -- .P46 2013eb"/>
    <n v="363.34089999999998"/>
    <d v="2013-05-03T00:00:00"/>
  </r>
  <r>
    <x v="5013"/>
    <d v="1899-12-30T00:00:02"/>
    <x v="973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5014"/>
    <d v="1899-12-30T00:04:50"/>
    <x v="1279"/>
    <x v="13"/>
    <s v="buffalostate"/>
    <x v="1199"/>
    <n v="1190428"/>
    <x v="3"/>
    <s v="Health; Social Science"/>
    <s v="9780520955066"/>
    <s v=",125,126,247,248,249,245,246,250,118,119"/>
    <n v="10"/>
    <m/>
    <m/>
    <s v="No"/>
    <x v="0"/>
    <d v="2015-10-27T14:59:48"/>
    <n v="7"/>
    <s v="136.183.11.43"/>
    <s v="TX360.U6 -- N47 2013eb"/>
    <s v="363.8/5/0973"/>
    <d v="2013-05-14T00:00:00"/>
  </r>
  <r>
    <x v="5015"/>
    <d v="1899-12-30T00:10:24"/>
    <x v="1279"/>
    <x v="13"/>
    <s v="buffalostate"/>
    <x v="1199"/>
    <n v="1190428"/>
    <x v="3"/>
    <s v="Health; Social Science"/>
    <s v="9780520955066"/>
    <s v=",1,2,3,4,5,6,7,8,9,10,94,95,96,92,93,91,90,120,121,122,118,119,123,124"/>
    <n v="24"/>
    <m/>
    <m/>
    <s v="No"/>
    <x v="1"/>
    <m/>
    <m/>
    <s v="136.183.11.43"/>
    <s v="TX360.U6 -- N47 2013eb"/>
    <s v="363.8/5/0973"/>
    <d v="2013-05-14T00:00:00"/>
  </r>
  <r>
    <x v="5016"/>
    <d v="1899-12-30T00:04:12"/>
    <x v="1280"/>
    <x v="5"/>
    <s v="erie"/>
    <x v="1231"/>
    <n v="2078737"/>
    <x v="0"/>
    <s v="Engineering: Electrical; Engineering"/>
    <s v="9781118974346"/>
    <s v=",1,2,3,4,5,6,7,8,9,2,10,11,12,13,14,15,16,17,18,19,20,21,22,23,24,25,26,27,27,28,28,29,30,31,32,33,34,35,36,37,38,39,40,41,42,43,35,33,32,31,30,29,28,26,25,24,23,21,20,19,18,17,15,14,13,12,11,10,9,8,7,6,5,4,3,2,1"/>
    <n v="43"/>
    <m/>
    <m/>
    <s v="No"/>
    <x v="1"/>
    <m/>
    <m/>
    <s v="199.29.6.54"/>
    <s v="TK7868 .I58 D46 2015"/>
    <s v="621.39; 621.3981"/>
    <d v="2015-06-26T00:00:00"/>
  </r>
  <r>
    <x v="5017"/>
    <d v="1899-12-30T00:18:13"/>
    <x v="1231"/>
    <x v="0"/>
    <s v="Buffalo"/>
    <x v="1199"/>
    <n v="1190428"/>
    <x v="3"/>
    <s v="Health; Social Science"/>
    <s v="9780520955066"/>
    <s v=",63,63,64,64,59,61,62,63,59,60,61,62,63,59,60,64,65,65,60,65,66,66,67,67"/>
    <n v="9"/>
    <m/>
    <m/>
    <s v="No"/>
    <x v="0"/>
    <d v="2015-10-27T13:59:54"/>
    <n v="7"/>
    <s v="128.205.114.91"/>
    <s v="TX360.U6 -- N47 2013eb"/>
    <s v="363.8/5/0973"/>
    <d v="2013-05-14T00:00:00"/>
  </r>
  <r>
    <x v="5018"/>
    <d v="1899-12-30T00:06:35"/>
    <x v="1221"/>
    <x v="0"/>
    <s v="Buffalo"/>
    <x v="500"/>
    <n v="699744"/>
    <x v="0"/>
    <s v="Engineering; Engineering: Electrical; Engineering: Civil"/>
    <s v="9781118585818"/>
    <s v=",668,669,670,671,675,676,677,678,674,679,680,681,682,690"/>
    <n v="14"/>
    <m/>
    <m/>
    <s v="No"/>
    <x v="0"/>
    <d v="2015-10-27T13:56:09"/>
    <n v="7"/>
    <s v="128.205.114.91"/>
    <s v="TA1520 -- .S24 2007eb"/>
    <n v="621.36"/>
    <d v="2013-02-05T00:00:00"/>
  </r>
  <r>
    <x v="5019"/>
    <d v="1899-12-30T00:13:15"/>
    <x v="1231"/>
    <x v="0"/>
    <s v="Buffalo"/>
    <x v="1199"/>
    <n v="1190428"/>
    <x v="3"/>
    <s v="Health; Social Science"/>
    <s v="9780520955066"/>
    <s v=",1,1,2,1,3,2,3,54,54,56,55,52,56,55,53,53,57,58,57,58,59,59,60,61,60,61,2,62,62,57,62,57,62"/>
    <n v="14"/>
    <m/>
    <m/>
    <s v="No"/>
    <x v="1"/>
    <m/>
    <m/>
    <s v="128.205.114.91"/>
    <s v="TX360.U6 -- N47 2013eb"/>
    <s v="363.8/5/0973"/>
    <d v="2013-05-14T00:00:00"/>
  </r>
  <r>
    <x v="5020"/>
    <d v="1899-12-30T00:13:01"/>
    <x v="1221"/>
    <x v="0"/>
    <s v="Buffalo"/>
    <x v="500"/>
    <n v="699744"/>
    <x v="0"/>
    <s v="Engineering; Engineering: Electrical; Engineering: Civil"/>
    <s v="9781118585818"/>
    <s v=",1,2,3,685,686,687,683,684,682,681,687,688,689,691,685,682,681,679,677,676,674,673,672,669,666,664,665,662,663,667,661"/>
    <n v="27"/>
    <m/>
    <m/>
    <s v="No"/>
    <x v="1"/>
    <m/>
    <m/>
    <s v="128.205.114.91"/>
    <s v="TA1520 -- .S24 2007eb"/>
    <n v="621.36"/>
    <d v="2013-02-05T00:00:00"/>
  </r>
  <r>
    <x v="5021"/>
    <d v="1899-12-30T00:00:58"/>
    <x v="1140"/>
    <x v="0"/>
    <s v="Buffalo"/>
    <x v="73"/>
    <n v="1119505"/>
    <x v="0"/>
    <s v="Science: Chemistry; Science"/>
    <s v="9781118355015"/>
    <s v=",2,191,192,193,194,195,196,197,198,199"/>
    <n v="10"/>
    <m/>
    <s v=",169,170,171,172,173,174,175,176,177,178,179,180,181,182,183,184,185,186,187,188,189,190,191,192,193,194,195,196"/>
    <s v="No"/>
    <x v="0"/>
    <d v="2015-10-27T13:32:03"/>
    <n v="7"/>
    <s v="128.205.114.91"/>
    <s v="QD251.3 -- .S38 2013eb"/>
    <s v="547/.128"/>
    <d v="2013-01-28T00:00:00"/>
  </r>
  <r>
    <x v="5022"/>
    <d v="1899-12-30T00:00:20"/>
    <x v="1140"/>
    <x v="0"/>
    <s v="Buffalo"/>
    <x v="73"/>
    <n v="1119505"/>
    <x v="0"/>
    <s v="Science: Chemistry; Science"/>
    <s v="9781118355015"/>
    <s v=",1,2,3,169,170,171,167,168"/>
    <n v="8"/>
    <m/>
    <m/>
    <s v="No"/>
    <x v="1"/>
    <m/>
    <m/>
    <s v="128.205.114.91"/>
    <s v="QD251.3 -- .S38 2013eb"/>
    <s v="547/.128"/>
    <d v="2013-01-28T00:00:00"/>
  </r>
  <r>
    <x v="5023"/>
    <d v="1899-12-30T00:09:53"/>
    <x v="40"/>
    <x v="0"/>
    <s v="Buffalo"/>
    <x v="161"/>
    <n v="821663"/>
    <x v="0"/>
    <s v="Architecture"/>
    <s v="9781118168479"/>
    <s v=",269,270,271,272,273,274,275,276,277,278,279,280,281,282,283,284,285,286,287,288,289,290,291,292,293,294,295,296"/>
    <n v="28"/>
    <m/>
    <m/>
    <s v="No"/>
    <x v="0"/>
    <d v="2015-10-27T13:27:04"/>
    <n v="7"/>
    <s v="128.205.114.91"/>
    <s v="NA2547 -- .S74 2012eb"/>
    <n v="729"/>
    <d v="2012-03-05T00:00:00"/>
  </r>
  <r>
    <x v="5024"/>
    <d v="1899-12-30T01:08:49"/>
    <x v="1244"/>
    <x v="7"/>
    <s v="oneonta"/>
    <x v="926"/>
    <n v="1584076"/>
    <x v="0"/>
    <s v="History"/>
    <s v="9780745679679"/>
    <s v=",11,14"/>
    <n v="2"/>
    <m/>
    <m/>
    <s v="No"/>
    <x v="2"/>
    <d v="2015-10-27T13:17:09"/>
    <n v="1"/>
    <s v="137.141.13.2"/>
    <s v="DG445 .B384 2013"/>
    <n v="945.05"/>
    <d v="2013-12-18T00:00:00"/>
  </r>
  <r>
    <x v="5025"/>
    <d v="1899-12-30T00:11:20"/>
    <x v="40"/>
    <x v="0"/>
    <s v="Buffalo"/>
    <x v="161"/>
    <n v="821663"/>
    <x v="0"/>
    <s v="Architecture"/>
    <s v="9781118168479"/>
    <s v=",1,2,3,265,266,267,263,264,268"/>
    <n v="9"/>
    <m/>
    <m/>
    <s v="No"/>
    <x v="1"/>
    <m/>
    <m/>
    <s v="128.205.114.91"/>
    <s v="NA2547 -- .S74 2012eb"/>
    <n v="729"/>
    <d v="2012-03-05T00:00:00"/>
  </r>
  <r>
    <x v="5026"/>
    <d v="1899-12-30T00:04:27"/>
    <x v="1244"/>
    <x v="7"/>
    <s v="oneonta"/>
    <x v="926"/>
    <n v="1584076"/>
    <x v="0"/>
    <s v="History"/>
    <s v="9780745679679"/>
    <s v=",1,2,3,4,11,12,13,9,10"/>
    <n v="9"/>
    <m/>
    <m/>
    <s v="No"/>
    <x v="3"/>
    <m/>
    <m/>
    <s v="137.141.13.2"/>
    <s v="DG445 .B384 2013"/>
    <n v="945.05"/>
    <d v="2013-12-18T00:00:00"/>
  </r>
  <r>
    <x v="5027"/>
    <d v="1899-12-30T03:06:07"/>
    <x v="824"/>
    <x v="0"/>
    <s v="Buffalo"/>
    <x v="161"/>
    <n v="821663"/>
    <x v="0"/>
    <s v="Architecture"/>
    <s v="9781118168479"/>
    <s v=",247,248,249,250,251,252,253,254,255,256,258,259,260,257,261,262,1,263,262,261,264,260,2,295,296,297,293,294,1,294,295,296,292,293,289,290,2,291,287,288,286,291,285,284,283,282,281,280"/>
    <n v="38"/>
    <m/>
    <m/>
    <s v="No"/>
    <x v="0"/>
    <d v="2015-10-27T10:14:45"/>
    <n v="7"/>
    <s v="128.205.114.91"/>
    <s v="NA2547 -- .S74 2012eb"/>
    <n v="729"/>
    <d v="2012-03-05T00:00:00"/>
  </r>
  <r>
    <x v="5028"/>
    <d v="1899-12-30T00:19:13"/>
    <x v="824"/>
    <x v="0"/>
    <s v="Buffalo"/>
    <x v="161"/>
    <n v="821663"/>
    <x v="0"/>
    <s v="Architecture"/>
    <s v="9781118168479"/>
    <s v=",1,2,3,243,244,245,241,242,246"/>
    <n v="9"/>
    <m/>
    <m/>
    <s v="No"/>
    <x v="1"/>
    <m/>
    <m/>
    <s v="128.205.114.91"/>
    <s v="NA2547 -- .S74 2012eb"/>
    <n v="729"/>
    <d v="2012-03-05T00:00:00"/>
  </r>
  <r>
    <x v="5029"/>
    <d v="1899-12-30T00:06:14"/>
    <x v="13"/>
    <x v="0"/>
    <s v="Buffalo"/>
    <x v="161"/>
    <n v="821663"/>
    <x v="0"/>
    <s v="Architecture"/>
    <s v="9781118168479"/>
    <s v=",1,2,3,243,244,245,242,241,246,247,248,249,250,251,252,253,254,255,256,257,258,259,260,261,262,263"/>
    <n v="26"/>
    <m/>
    <m/>
    <s v="No"/>
    <x v="1"/>
    <m/>
    <m/>
    <s v="128.205.114.91"/>
    <s v="NA2547 -- .S74 2012eb"/>
    <n v="729"/>
    <d v="2012-03-05T00:00:00"/>
  </r>
  <r>
    <x v="5030"/>
    <d v="1899-12-30T00:03:11"/>
    <x v="1281"/>
    <x v="1"/>
    <s v="brockport"/>
    <x v="532"/>
    <n v="1895927"/>
    <x v="0"/>
    <s v="Science: Biology/Natural History; Science"/>
    <s v="9781119019794"/>
    <s v=",255,256,253,254,257,286,287,288,284,285,504,505,506,502,503,692,693,690,691,694,739,740,741,737,738,736,367,369,366,543"/>
    <n v="30"/>
    <m/>
    <m/>
    <s v="No"/>
    <x v="0"/>
    <d v="2015-10-27T04:03:53"/>
    <n v="7"/>
    <s v="137.21.7.121"/>
    <s v="QH104 -- .M587 2015eb"/>
    <n v="577.67999999999995"/>
    <d v="2015-02-26T00:00:00"/>
  </r>
  <r>
    <x v="5031"/>
    <d v="1899-12-30T00:05:08"/>
    <x v="1281"/>
    <x v="1"/>
    <s v="brockport"/>
    <x v="532"/>
    <n v="1895927"/>
    <x v="0"/>
    <s v="Science: Biology/Natural History; Science"/>
    <s v="9781119019794"/>
    <s v=",1,2,3,4,260,261,262,258,259,263,540,541,542,538,539,305,306,307,303,304,366,367,368,365,518,519,520,50,51,52,48,49,372,373,374,370,371,516,517"/>
    <n v="39"/>
    <m/>
    <m/>
    <s v="No"/>
    <x v="3"/>
    <m/>
    <m/>
    <s v="137.21.7.121"/>
    <s v="QH104 -- .M587 2015eb"/>
    <n v="577.67999999999995"/>
    <d v="2015-02-26T00:00:00"/>
  </r>
  <r>
    <x v="5032"/>
    <d v="1899-12-30T00:01:59"/>
    <x v="824"/>
    <x v="0"/>
    <s v="Buffalo"/>
    <x v="161"/>
    <n v="821663"/>
    <x v="0"/>
    <s v="Architecture"/>
    <s v="9781118168479"/>
    <s v=",1,2,3,265,266,267,263,264,268,288,289,290,286,287,285,284,283,282,280,281"/>
    <n v="20"/>
    <m/>
    <m/>
    <s v="No"/>
    <x v="1"/>
    <m/>
    <m/>
    <s v="128.205.114.91"/>
    <s v="NA2547 -- .S74 2012eb"/>
    <n v="729"/>
    <d v="2012-03-05T00:00:00"/>
  </r>
  <r>
    <x v="5033"/>
    <d v="1899-12-30T00:00:21"/>
    <x v="481"/>
    <x v="1"/>
    <s v="brockport"/>
    <x v="369"/>
    <n v="3057725"/>
    <x v="0"/>
    <s v="Fine Arts"/>
    <s v="9780470099667"/>
    <s v=",1,2,3,4,17,18,19,15,16"/>
    <n v="9"/>
    <m/>
    <m/>
    <s v="No"/>
    <x v="3"/>
    <m/>
    <m/>
    <s v="137.21.7.121"/>
    <s v="TT825 -- .D48 2006eb"/>
    <s v="746.43/2"/>
    <d v="2006-09-19T00:00:00"/>
  </r>
  <r>
    <x v="5034"/>
    <d v="1899-12-30T00:38:51"/>
    <x v="1282"/>
    <x v="7"/>
    <s v="oneonta"/>
    <x v="1232"/>
    <n v="1895853"/>
    <x v="0"/>
    <s v="Business/Management"/>
    <s v="9781118979617"/>
    <s v=",40,41,42,38,39,72,73,74,70,71,105,106,107,103,104,109,108,110,111,112,29,30,31,32,33,34,35,36,37,43,44,45,46,47,48,49,50,51,52,53,54,55,56,57,58,59,60,61,62,63,64,65,66,67,68,69,75,76,77,78,79,80,81,82,83,84,85,86,87,88,89,90,91,92,93,94,95,96,97,98,99,100,101,102"/>
    <n v="84"/>
    <m/>
    <m/>
    <s v="No"/>
    <x v="0"/>
    <d v="2015-10-27T01:28:05"/>
    <n v="7"/>
    <s v="137.141.13.2"/>
    <s v="HD57.7 -- .D78 2015eb"/>
    <n v="658.40920000000006"/>
    <d v="2015-03-10T00:00:00"/>
  </r>
  <r>
    <x v="5035"/>
    <d v="1899-12-30T00:08:20"/>
    <x v="1282"/>
    <x v="7"/>
    <s v="oneonta"/>
    <x v="1232"/>
    <n v="1895853"/>
    <x v="0"/>
    <s v="Business/Management"/>
    <s v="9781118979617"/>
    <s v=",1,2,3,4,5,6,7,8,9,10,11,12,13,14,15,16,17,18,20,19,21,22,23,24,25,26,27,28"/>
    <n v="28"/>
    <m/>
    <m/>
    <s v="No"/>
    <x v="3"/>
    <m/>
    <m/>
    <s v="137.141.13.2"/>
    <s v="HD57.7 -- .D78 2015eb"/>
    <n v="658.40920000000006"/>
    <d v="2015-03-10T00:00:00"/>
  </r>
  <r>
    <x v="5036"/>
    <d v="1899-12-30T00:02:09"/>
    <x v="1244"/>
    <x v="7"/>
    <s v="oneonta"/>
    <x v="926"/>
    <n v="1584076"/>
    <x v="0"/>
    <s v="History"/>
    <s v="9780745679679"/>
    <s v=",1,3,2,225,226,227,223,224,228,237,236,238,234,235"/>
    <n v="14"/>
    <m/>
    <m/>
    <s v="No"/>
    <x v="3"/>
    <m/>
    <m/>
    <s v="137.141.13.2"/>
    <s v="DG445 .B384 2013"/>
    <n v="945.05"/>
    <d v="2013-12-18T00:00:00"/>
  </r>
  <r>
    <x v="5037"/>
    <d v="1899-12-30T00:06:55"/>
    <x v="1283"/>
    <x v="7"/>
    <s v="oneonta"/>
    <x v="593"/>
    <n v="943954"/>
    <x v="14"/>
    <s v="History"/>
    <s v="9780786492770"/>
    <s v=",49,50,48,66,78,79,80,76,77,81,82,120,121,118,119,122,123,124,125,126,37,39,36,34,33"/>
    <n v="25"/>
    <m/>
    <m/>
    <s v="No"/>
    <x v="0"/>
    <d v="2015-10-27T00:18:55"/>
    <n v="7"/>
    <s v="137.141.13.2"/>
    <s v="E176.1 -- .F215 2012eb"/>
    <s v="973.09/9"/>
    <d v="2012-06-01T00:00:00"/>
  </r>
  <r>
    <x v="5038"/>
    <d v="1899-12-30T00:10:17"/>
    <x v="1283"/>
    <x v="7"/>
    <s v="oneonta"/>
    <x v="593"/>
    <n v="943954"/>
    <x v="14"/>
    <s v="History"/>
    <s v="9780786492770"/>
    <s v=",1,2,3,6,38,83,138,275,276,277,273,278,279,280,281,282,283,284,285,286,287,294,227,228,229,225,226,13,35,44,45,46,42,43,47"/>
    <n v="35"/>
    <m/>
    <m/>
    <s v="No"/>
    <x v="1"/>
    <m/>
    <m/>
    <s v="137.141.13.2"/>
    <s v="E176.1 -- .F215 2012eb"/>
    <s v="973.09/9"/>
    <d v="2012-06-01T00:00:00"/>
  </r>
  <r>
    <x v="5039"/>
    <d v="1899-12-30T00:00:03"/>
    <x v="1284"/>
    <x v="12"/>
    <s v="potsdam"/>
    <x v="1233"/>
    <n v="1337897"/>
    <x v="11"/>
    <s v="General Works/Reference; Fine Arts"/>
    <s v="9780226067674"/>
    <s v=",1,2,3"/>
    <n v="3"/>
    <m/>
    <m/>
    <s v="No"/>
    <x v="3"/>
    <m/>
    <m/>
    <s v="137.143.104.94"/>
    <s v="ML406"/>
    <s v="016.78165026/6"/>
    <d v="2013-10-01T00:00:00"/>
  </r>
  <r>
    <x v="5040"/>
    <d v="1899-12-30T00:00:11"/>
    <x v="1285"/>
    <x v="6"/>
    <s v="sjfc"/>
    <x v="314"/>
    <n v="1765699"/>
    <x v="16"/>
    <s v="Social Science"/>
    <s v="9781137388476"/>
    <s v=",184,185,186,187,188"/>
    <n v="5"/>
    <m/>
    <m/>
    <s v="No"/>
    <x v="0"/>
    <d v="2015-10-26T22:10:12"/>
    <n v="7"/>
    <s v="149.69.254.57"/>
    <s v="HV1568 -- .D5688 2014eb"/>
    <s v="365/.60870973"/>
    <d v="2014-05-29T00:00:00"/>
  </r>
  <r>
    <x v="5041"/>
    <d v="1899-12-30T00:07:39"/>
    <x v="1286"/>
    <x v="1"/>
    <s v="brockport"/>
    <x v="151"/>
    <n v="968030"/>
    <x v="0"/>
    <s v="Psychology"/>
    <s v="9781118285138"/>
    <s v=",1,2,3,491,493,492,489,490,496,497,498,495,494,499,553,554,555,552,551,549,550,547,548,546,545,544,542,543,540,541,539,538,537,501,502,499,503,500"/>
    <n v="37"/>
    <m/>
    <m/>
    <s v="No"/>
    <x v="0"/>
    <d v="2015-10-22T17:38:31"/>
    <n v="7"/>
    <s v="137.21.7.121"/>
    <s v="BF637.C6 -- S85 2013eb"/>
    <n v="158.30000000000001"/>
    <d v="2012-07-10T00:00:00"/>
  </r>
  <r>
    <x v="5042"/>
    <d v="1899-12-30T00:14:42"/>
    <x v="1285"/>
    <x v="6"/>
    <s v="sjfc"/>
    <x v="314"/>
    <n v="1765699"/>
    <x v="16"/>
    <s v="Social Science"/>
    <s v="9781137388476"/>
    <s v=",1,2,3,4,6,7,8,5,2,9,10,180,181,182,178,179,183"/>
    <n v="16"/>
    <m/>
    <m/>
    <s v="No"/>
    <x v="1"/>
    <m/>
    <m/>
    <s v="149.69.254.57"/>
    <s v="HV1568 -- .D5688 2014eb"/>
    <s v="365/.60870973"/>
    <d v="2014-05-29T00:00:00"/>
  </r>
  <r>
    <x v="5043"/>
    <d v="1899-12-30T00:02:40"/>
    <x v="1285"/>
    <x v="6"/>
    <s v="sjfc"/>
    <x v="1234"/>
    <n v="1596090"/>
    <x v="4"/>
    <s v="Education"/>
    <s v="9781462513628"/>
    <s v=",1,2,3,4,5,6,7,8,9,10,11,12,13,14,14,16,17,18,15"/>
    <n v="18"/>
    <m/>
    <m/>
    <s v="No"/>
    <x v="3"/>
    <m/>
    <m/>
    <s v="149.69.254.57"/>
    <s v="LC4091 -- .D65 2014eb"/>
    <n v="371.82"/>
    <d v="2014-05-14T00:00:00"/>
  </r>
  <r>
    <x v="5044"/>
    <d v="1899-12-30T00:03:59"/>
    <x v="1287"/>
    <x v="3"/>
    <s v="canton"/>
    <x v="480"/>
    <n v="1732137"/>
    <x v="3"/>
    <s v="Social Science"/>
    <s v="9780520959286"/>
    <s v=",1,2,3,4,5,5,6,7,8,9,10,11,12,3"/>
    <n v="12"/>
    <m/>
    <m/>
    <s v="No"/>
    <x v="2"/>
    <d v="2015-10-26T20:09:45"/>
    <n v="1"/>
    <s v="137.37.33.33"/>
    <s v="HQ759.4 -- .E736 2015eb"/>
    <n v="306.87430000000001"/>
    <d v="2015-02-06T00:00:00"/>
  </r>
  <r>
    <x v="5045"/>
    <d v="1899-12-30T00:00:00"/>
    <x v="1287"/>
    <x v="3"/>
    <s v="canton"/>
    <x v="480"/>
    <n v="1732137"/>
    <x v="3"/>
    <s v="Social Science"/>
    <s v="9780520959286"/>
    <m/>
    <n v="0"/>
    <m/>
    <s v=",55,56,57,58,59,60,61,62,63,64,65,66,67,68,69,70,71,72,73,74,75,76,77,78,79,80,81,82,83,84,85,86,87,88,89,90,91"/>
    <s v="No"/>
    <x v="2"/>
    <d v="2015-10-26T20:09:45"/>
    <n v="1"/>
    <s v="137.37.33.33"/>
    <s v="HQ759.4 -- .E736 2015eb"/>
    <n v="306.87430000000001"/>
    <d v="2015-02-06T00:00:00"/>
  </r>
  <r>
    <x v="5046"/>
    <d v="1899-12-30T00:04:49"/>
    <x v="1287"/>
    <x v="3"/>
    <s v="canton"/>
    <x v="480"/>
    <n v="1732137"/>
    <x v="3"/>
    <s v="Social Science"/>
    <s v="9780520959286"/>
    <s v=",1,3,2,55,56,57,53,54,58,52,58,59,60,61,62,63,64,65,66,68,69,70,72,73,71,74,75,76,77,78,79,80,81,82,83,84,85,86,87,88,89,90,91,92,93,94"/>
    <n v="45"/>
    <m/>
    <m/>
    <s v="No"/>
    <x v="3"/>
    <m/>
    <m/>
    <s v="137.37.33.33"/>
    <s v="HQ759.4 -- .E736 2015eb"/>
    <n v="306.87430000000001"/>
    <d v="2015-02-06T00:00:00"/>
  </r>
  <r>
    <x v="5047"/>
    <d v="1899-12-30T00:05:52"/>
    <x v="634"/>
    <x v="11"/>
    <s v="cobleskill"/>
    <x v="11"/>
    <n v="693176"/>
    <x v="0"/>
    <s v="Engineering: Manufacturing; General Works/Reference; Engineering"/>
    <s v="9781118017746"/>
    <s v=",392,393,394,390,391,422,423,424,420,421,425,426,427,428,429,423,422,421,420,419,418,417,385,386,387,383,384,424,425,426,422,423,424,425,426,422,423"/>
    <n v="23"/>
    <m/>
    <m/>
    <s v="No"/>
    <x v="0"/>
    <d v="2015-10-26T19:42:13"/>
    <n v="7"/>
    <s v="137.36.32.34"/>
    <s v="Z246 -- .M43 2012eb"/>
    <s v="686.2/209"/>
    <d v="2011-10-19T00:00:00"/>
  </r>
  <r>
    <x v="5048"/>
    <d v="1899-12-30T00:01:08"/>
    <x v="1288"/>
    <x v="1"/>
    <s v="brockport"/>
    <x v="1235"/>
    <n v="1693156"/>
    <x v="3"/>
    <s v="Religion"/>
    <s v="9780520957718"/>
    <s v=",1,1,3,2,3,2,1,1,26,27,28,26,24,27,25,28,25,2,29,29,30,30,31,31"/>
    <n v="11"/>
    <m/>
    <m/>
    <s v="No"/>
    <x v="3"/>
    <m/>
    <m/>
    <s v="137.21.7.121"/>
    <s v="BP166 -- .I85 2014eb"/>
    <n v="297.2"/>
    <d v="2014-05-31T00:00:00"/>
  </r>
  <r>
    <x v="5049"/>
    <d v="1899-12-30T00:40:23"/>
    <x v="634"/>
    <x v="11"/>
    <s v="cobleskill"/>
    <x v="11"/>
    <n v="693176"/>
    <x v="0"/>
    <s v="Engineering: Manufacturing; General Works/Reference; Engineering"/>
    <s v="9781118017746"/>
    <s v=",1,3,2"/>
    <n v="3"/>
    <m/>
    <m/>
    <s v="No"/>
    <x v="1"/>
    <m/>
    <m/>
    <s v="137.36.32.34"/>
    <s v="Z246 -- .M43 2012eb"/>
    <s v="686.2/209"/>
    <d v="2011-10-19T00:00:00"/>
  </r>
  <r>
    <x v="5050"/>
    <d v="1899-12-30T00:00:03"/>
    <x v="1289"/>
    <x v="13"/>
    <s v="buffalostate"/>
    <x v="1236"/>
    <n v="1809270"/>
    <x v="16"/>
    <s v="Health; Social Science"/>
    <s v="9781137354785"/>
    <s v=",1,2,3"/>
    <n v="3"/>
    <m/>
    <m/>
    <s v="No"/>
    <x v="1"/>
    <m/>
    <m/>
    <s v="136.183.11.43"/>
    <s v="RA643 -- .D695 2014eb"/>
    <s v="362.1969009172/4"/>
    <d v="2014-10-06T00:00:00"/>
  </r>
  <r>
    <x v="5051"/>
    <d v="1899-12-30T00:00:00"/>
    <x v="1098"/>
    <x v="13"/>
    <s v="buffalostate"/>
    <x v="1037"/>
    <n v="1745058"/>
    <x v="0"/>
    <s v="Education"/>
    <s v="9781118761267"/>
    <m/>
    <n v="0"/>
    <m/>
    <m/>
    <s v="Yes"/>
    <x v="0"/>
    <d v="2015-10-26T16:52:12"/>
    <n v="7"/>
    <s v="136.183.11.43"/>
    <s v="LB1032 -- .B375 2014eb"/>
    <s v="378.1/2"/>
    <d v="2014-07-18T00:00:00"/>
  </r>
  <r>
    <x v="5051"/>
    <d v="1899-12-30T00:00:00"/>
    <x v="1098"/>
    <x v="13"/>
    <s v="buffalostate"/>
    <x v="1037"/>
    <n v="1745058"/>
    <x v="0"/>
    <s v="Education"/>
    <s v="9781118761267"/>
    <m/>
    <n v="0"/>
    <m/>
    <m/>
    <s v="No"/>
    <x v="0"/>
    <d v="2015-10-26T16:52:12"/>
    <n v="7"/>
    <s v="136.183.11.43"/>
    <s v="LB1032 -- .B375 2014eb"/>
    <s v="378.1/2"/>
    <d v="2014-07-18T00:00:00"/>
  </r>
  <r>
    <x v="5052"/>
    <d v="1899-12-30T00:00:48"/>
    <x v="1098"/>
    <x v="13"/>
    <s v="buffalostate"/>
    <x v="1037"/>
    <n v="1745058"/>
    <x v="0"/>
    <s v="Education"/>
    <s v="9781118761267"/>
    <s v=",1,2,3,4,5,6,7,8,9,10,11,12,13"/>
    <n v="13"/>
    <m/>
    <m/>
    <s v="No"/>
    <x v="1"/>
    <m/>
    <m/>
    <s v="136.183.11.43"/>
    <s v="LB1032 -- .B375 2014eb"/>
    <s v="378.1/2"/>
    <d v="2014-07-18T00:00:00"/>
  </r>
  <r>
    <x v="5053"/>
    <d v="1899-12-30T00:53:50"/>
    <x v="1290"/>
    <x v="0"/>
    <s v="Buffalo"/>
    <x v="1111"/>
    <n v="2051171"/>
    <x v="3"/>
    <s v="Social Science"/>
    <s v="9780520964037"/>
    <s v=",117,117,118,118,113,118,113,118,119,119,120,120,121,121,122,122,123,123,124,124,125,125,126,126,127,127,128,128,129,129,130,130,131,131,126,131,132,132,133,133,134,134,135,135,136,136,137,137,138,138,139,139,140,140,141,141,166,167,166,168,167,164,168,165,165,169,169,170,170,171,171,172,172,173,173,174,174,175,175,176,176,177,177,178,178,179,179,180,180,181,181,182,182,183,183,184,184,182,183,184,180,181,179,184,185,185,186,186,187,187,188,188,189,189,190,190,191,191,192,192,193,193,194,195,194,195,196,196,197,197,200,201,200,201,218,218,219,220,219,220,216,217,217,221,221,222,222,223,224,223,224,225,226,226,227,228,227,225,229,230,228,229,230,224,229,230,231,231,232,232,233,231,233,232,234,234,235,231,235,230"/>
    <n v="82"/>
    <m/>
    <m/>
    <s v="No"/>
    <x v="2"/>
    <d v="2015-10-26T16:45:20"/>
    <n v="1"/>
    <s v="128.205.114.91"/>
    <s v="HV6433"/>
    <n v="363.32499999999999"/>
    <d v="2015-09-08T00:00:00"/>
  </r>
  <r>
    <x v="5054"/>
    <d v="1899-12-30T00:06:31"/>
    <x v="1290"/>
    <x v="0"/>
    <s v="Buffalo"/>
    <x v="1111"/>
    <n v="2051171"/>
    <x v="3"/>
    <s v="Social Science"/>
    <s v="9780520964037"/>
    <s v=",1,1,2,2,3,3,1,1,111,112,113,113,109,112,110,111,110,2,114,114,115,115,116,116"/>
    <n v="11"/>
    <m/>
    <m/>
    <s v="No"/>
    <x v="3"/>
    <m/>
    <m/>
    <s v="128.205.114.91"/>
    <s v="HV6433"/>
    <n v="363.32499999999999"/>
    <d v="2015-09-08T00:00:00"/>
  </r>
  <r>
    <x v="5055"/>
    <d v="1899-12-30T00:00:51"/>
    <x v="1099"/>
    <x v="0"/>
    <s v="Buffalo"/>
    <x v="754"/>
    <n v="818332"/>
    <x v="0"/>
    <s v="Social Science"/>
    <s v="9781118252772"/>
    <s v=",1,3,2,40,98,149,242,254,215,24,19,17,9,10,11,7,8,12,13,14,6"/>
    <n v="21"/>
    <m/>
    <m/>
    <s v="No"/>
    <x v="1"/>
    <m/>
    <m/>
    <s v="128.205.114.91"/>
    <s v="GN419.3 -- .T375 2012eb"/>
    <s v="391.6/5"/>
    <d v="2012-02-21T00:00:00"/>
  </r>
  <r>
    <x v="5056"/>
    <d v="1899-12-30T00:00:30"/>
    <x v="1291"/>
    <x v="1"/>
    <s v="brockport"/>
    <x v="1237"/>
    <n v="1566381"/>
    <x v="0"/>
    <s v="Political Science; Social Science"/>
    <s v="9780745679778"/>
    <s v=",1,3,2,4,7,8,9,5,10,6,11,12,17,18,19,15,16"/>
    <n v="17"/>
    <m/>
    <m/>
    <s v="No"/>
    <x v="3"/>
    <m/>
    <m/>
    <s v="137.21.7.121"/>
    <s v="JV6475 -- .K537 2014eb"/>
    <n v="305.800973"/>
    <d v="2013-11-18T00:00:00"/>
  </r>
  <r>
    <x v="5057"/>
    <d v="1899-12-30T00:01:14"/>
    <x v="1268"/>
    <x v="7"/>
    <s v="oneonta"/>
    <x v="915"/>
    <n v="836174"/>
    <x v="6"/>
    <s v="History"/>
    <s v="9781438139685"/>
    <s v=",1,2,3,4,5,6,7,8,9,10,11,12,13,14,6,4"/>
    <n v="14"/>
    <m/>
    <m/>
    <s v="No"/>
    <x v="1"/>
    <m/>
    <m/>
    <s v="137.141.13.2"/>
    <s v="DA950.7 .S67 2011"/>
    <n v="941.50810000000001"/>
    <d v="2011-11-01T00:00:00"/>
  </r>
  <r>
    <x v="5058"/>
    <d v="1899-12-30T00:00:03"/>
    <x v="13"/>
    <x v="0"/>
    <s v="Buffalo"/>
    <x v="73"/>
    <n v="1119505"/>
    <x v="0"/>
    <s v="Science: Chemistry; Science"/>
    <s v="9781118355015"/>
    <s v=",1,2,3"/>
    <n v="3"/>
    <m/>
    <m/>
    <s v="No"/>
    <x v="0"/>
    <d v="2015-10-22T17:25:01"/>
    <n v="7"/>
    <s v="128.205.114.91"/>
    <s v="QD251.3 -- .S38 2013eb"/>
    <s v="547/.128"/>
    <d v="2013-01-28T00:00:00"/>
  </r>
  <r>
    <x v="5059"/>
    <d v="1899-12-30T00:01:03"/>
    <x v="1292"/>
    <x v="8"/>
    <s v="niagaracc"/>
    <x v="487"/>
    <n v="1022416"/>
    <x v="0"/>
    <s v="Engineering; Engineering: Chemical"/>
    <s v="9781118373811"/>
    <s v=",1,3,2"/>
    <n v="3"/>
    <m/>
    <m/>
    <s v="No"/>
    <x v="1"/>
    <m/>
    <m/>
    <s v="132.174.254.37"/>
    <s v="TP248.65.F66 -- G4573 2012eb"/>
    <n v="664"/>
    <d v="2012-09-05T00:00:00"/>
  </r>
  <r>
    <x v="5060"/>
    <d v="1899-12-30T00:02:31"/>
    <x v="1293"/>
    <x v="0"/>
    <s v="Buffalo"/>
    <x v="31"/>
    <n v="1682559"/>
    <x v="4"/>
    <s v="Medicine"/>
    <s v="9781462515431"/>
    <s v=",364,365,366,362,363,367,368,369,370,371,372,373,374,375,376,377,378,379,380,381,382,383,384,385,386,387,388,389,390,659,660,661,657,662,658,663,664,665,666"/>
    <n v="39"/>
    <m/>
    <m/>
    <s v="No"/>
    <x v="0"/>
    <d v="2015-10-26T14:36:18"/>
    <n v="7"/>
    <s v="128.205.114.91"/>
    <s v="RC469 -- .M677 2014eb"/>
    <n v="616.89"/>
    <d v="2014-05-10T00:00:00"/>
  </r>
  <r>
    <x v="5061"/>
    <d v="1899-12-30T00:06:38"/>
    <x v="13"/>
    <x v="0"/>
    <s v="Buffalo"/>
    <x v="414"/>
    <n v="1143522"/>
    <x v="0"/>
    <s v="History"/>
    <s v="9781118257197"/>
    <s v=",1,3,2,218,219,220,216,217,221,224,225,226,222,223,231,232,233,229,230,234,216,215,227,228,229,223,222,221,220,219,218,217,216"/>
    <n v="23"/>
    <m/>
    <m/>
    <s v="No"/>
    <x v="1"/>
    <m/>
    <m/>
    <s v="128.205.114.91"/>
    <s v="F1219.73 .S58 2013"/>
    <n v="972"/>
    <d v="2013-03-01T00:00:00"/>
  </r>
  <r>
    <x v="5062"/>
    <d v="1899-12-30T00:01:21"/>
    <x v="1294"/>
    <x v="0"/>
    <s v="Buffalo"/>
    <x v="293"/>
    <n v="1775471"/>
    <x v="0"/>
    <s v="Computer Science/IT"/>
    <s v="9781118891490"/>
    <s v=",1,3,2,9,10,11,8,7,12,13,2,14,15,16,17,18,19,149,150,151,147,148,152,154,155,156,157,158,159,160"/>
    <n v="29"/>
    <m/>
    <m/>
    <s v="No"/>
    <x v="1"/>
    <m/>
    <m/>
    <s v="128.205.114.91"/>
    <s v="QA76.73.P98 -- .M845 2014eb"/>
    <n v="5.133"/>
    <d v="2014-08-26T00:00:00"/>
  </r>
  <r>
    <x v="5063"/>
    <d v="1899-12-30T00:00:49"/>
    <x v="26"/>
    <x v="6"/>
    <s v="sjfc"/>
    <x v="812"/>
    <n v="918813"/>
    <x v="18"/>
    <s v="History"/>
    <s v="9781608708086"/>
    <s v=",1,3,2,6,8,7,4,5,12,14,13,10,11,15"/>
    <n v="14"/>
    <m/>
    <m/>
    <s v="No"/>
    <x v="1"/>
    <m/>
    <m/>
    <s v="149.69.254.57"/>
    <s v="F2258.5 .D83 2012"/>
    <n v="986.1"/>
    <d v="2012-03-01T00:00:00"/>
  </r>
  <r>
    <x v="5064"/>
    <d v="1899-12-30T00:31:49"/>
    <x v="1293"/>
    <x v="0"/>
    <s v="Buffalo"/>
    <x v="31"/>
    <n v="1682559"/>
    <x v="4"/>
    <s v="Medicine"/>
    <s v="9781462515431"/>
    <s v=",1,2,3,231,232,233,229,230,234,235,236,237,238,239,240,241,242,243,244,245,246,247,248,249,250,251,603,604,605,602,601,606,607,608,609,610,611,612,613,614,615,616,230,603,601,602"/>
    <n v="42"/>
    <m/>
    <m/>
    <s v="No"/>
    <x v="1"/>
    <m/>
    <m/>
    <s v="128.205.114.91"/>
    <s v="RC469 -- .M677 2014eb"/>
    <n v="616.89"/>
    <d v="2014-05-10T00:00:00"/>
  </r>
  <r>
    <x v="5065"/>
    <d v="1899-12-30T00:31:20"/>
    <x v="270"/>
    <x v="0"/>
    <s v="Buffalo"/>
    <x v="986"/>
    <n v="1638687"/>
    <x v="0"/>
    <s v="Medicine; Pharmacy; Social Science; Health"/>
    <s v="9781118850152"/>
    <s v=",147,148,144,145,146,136,137,138,134,135,139,140,141,142,143,141,142,139,140,144,145,146,147,148,149,150"/>
    <n v="17"/>
    <s v=",102"/>
    <m/>
    <s v="No"/>
    <x v="0"/>
    <d v="2015-10-26T13:58:23"/>
    <n v="7"/>
    <s v="128.205.114.91"/>
    <s v="RM315 -- .H693 2014eb"/>
    <n v="362.29"/>
    <d v="2014-02-21T00:00:00"/>
  </r>
  <r>
    <x v="5066"/>
    <d v="1899-12-30T00:02:47"/>
    <x v="270"/>
    <x v="0"/>
    <s v="Buffalo"/>
    <x v="986"/>
    <n v="1638687"/>
    <x v="0"/>
    <s v="Medicine; Pharmacy; Social Science; Health"/>
    <s v="9781118850152"/>
    <s v=",1,3,2,18,19,20,16,17,21,22,23,25,26,27,23,24,28,29,71,72,73,69,70,93,94,95,91,92,96,95,92,93,97,98,99,100,101,102,103,104"/>
    <n v="36"/>
    <m/>
    <m/>
    <s v="No"/>
    <x v="1"/>
    <m/>
    <m/>
    <s v="128.205.114.91"/>
    <s v="RM315 -- .H693 2014eb"/>
    <n v="362.29"/>
    <d v="2014-02-21T00:00:00"/>
  </r>
  <r>
    <x v="5067"/>
    <d v="1899-12-30T00:00:50"/>
    <x v="26"/>
    <x v="6"/>
    <s v="sjfc"/>
    <x v="812"/>
    <n v="918813"/>
    <x v="18"/>
    <s v="History"/>
    <s v="9781608708086"/>
    <s v=",1,2,3,6,8,7,5,4,88,89,90,92"/>
    <n v="12"/>
    <m/>
    <m/>
    <s v="No"/>
    <x v="1"/>
    <m/>
    <m/>
    <s v="149.69.254.57"/>
    <s v="F2258.5 .D83 2012"/>
    <n v="986.1"/>
    <d v="2012-03-01T00:00:00"/>
  </r>
  <r>
    <x v="5068"/>
    <d v="1899-12-30T00:25:28"/>
    <x v="910"/>
    <x v="0"/>
    <s v="Buffalo"/>
    <x v="161"/>
    <n v="821663"/>
    <x v="0"/>
    <s v="Architecture"/>
    <s v="9781118168479"/>
    <s v=",21,22,23,19,20,243,244,245,242,241,246,264,265,266,262,263,256,257,258,255,253,254,255,257,256,253,254,252,243,245,244,241,242,246,263,265,264,261,262,247,248,249,250,251,252,253"/>
    <n v="29"/>
    <m/>
    <m/>
    <s v="No"/>
    <x v="0"/>
    <d v="2015-10-26T13:31:55"/>
    <n v="7"/>
    <s v="128.205.114.91"/>
    <s v="NA2547 -- .S74 2012eb"/>
    <n v="729"/>
    <d v="2012-03-05T00:00:00"/>
  </r>
  <r>
    <x v="5069"/>
    <d v="1899-12-30T02:09:11"/>
    <x v="13"/>
    <x v="0"/>
    <s v="Buffalo"/>
    <x v="73"/>
    <n v="1119505"/>
    <x v="0"/>
    <s v="Science: Chemistry; Science"/>
    <s v="9781118355015"/>
    <s v=",1,2,3,191,192,193,189,190,194,195,196,197,198,192,191,190,189,187,188,191,190,188,187,186,185,184,183,182,188,187,186,185,183,182,181,180,178,179,107,108,109,105,106,110,111,112,113,114,185,186,187,183,188,190,191"/>
    <n v="34"/>
    <m/>
    <m/>
    <s v="No"/>
    <x v="0"/>
    <d v="2015-10-22T17:25:01"/>
    <n v="7"/>
    <s v="128.205.114.91"/>
    <s v="QD251.3 -- .S38 2013eb"/>
    <s v="547/.128"/>
    <d v="2013-01-28T00:00:00"/>
  </r>
  <r>
    <x v="5070"/>
    <d v="1899-12-30T00:03:06"/>
    <x v="13"/>
    <x v="0"/>
    <s v="Buffalo"/>
    <x v="73"/>
    <n v="1119505"/>
    <x v="0"/>
    <s v="Science: Chemistry; Science"/>
    <s v="9781118355015"/>
    <s v=",1,2,3,191,192,193,190,189,194,195,196,197,192,191,190,189,188,187,193,194,195"/>
    <n v="14"/>
    <m/>
    <m/>
    <s v="No"/>
    <x v="0"/>
    <d v="2015-10-22T17:25:01"/>
    <n v="7"/>
    <s v="128.205.114.91"/>
    <s v="QD251.3 -- .S38 2013eb"/>
    <s v="547/.128"/>
    <d v="2013-01-28T00:00:00"/>
  </r>
  <r>
    <x v="5071"/>
    <d v="1899-12-30T00:23:24"/>
    <x v="910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5072"/>
    <d v="1899-12-30T00:00:24"/>
    <x v="1295"/>
    <x v="0"/>
    <s v="Buffalo"/>
    <x v="379"/>
    <n v="1110728"/>
    <x v="0"/>
    <s v="Business/Management; Economics"/>
    <s v="9781118461204"/>
    <s v=",1,2,3,4,5,6,7,8,9,10,11,12,13,14"/>
    <n v="14"/>
    <m/>
    <m/>
    <s v="No"/>
    <x v="1"/>
    <m/>
    <m/>
    <s v="128.205.114.91"/>
    <s v="HG4910 -- .M53 2013eb"/>
    <s v="332.63/22"/>
    <d v="2013-01-09T00:00:00"/>
  </r>
  <r>
    <x v="5073"/>
    <d v="1899-12-30T00:00:00"/>
    <x v="45"/>
    <x v="0"/>
    <s v="Buffalo"/>
    <x v="1238"/>
    <n v="2192203"/>
    <x v="1"/>
    <m/>
    <s v="9781472433510"/>
    <m/>
    <n v="0"/>
    <m/>
    <m/>
    <s v="Yes"/>
    <x v="2"/>
    <d v="2015-10-26T01:32:26"/>
    <n v="1"/>
    <s v="128.205.114.91"/>
    <n v="2015015240"/>
    <s v="133.4''3094"/>
    <d v="2015-10-28T00:00:00"/>
  </r>
  <r>
    <x v="5073"/>
    <d v="1899-12-30T00:00:00"/>
    <x v="45"/>
    <x v="0"/>
    <s v="Buffalo"/>
    <x v="1238"/>
    <n v="2192203"/>
    <x v="1"/>
    <m/>
    <s v="9781472433510"/>
    <m/>
    <n v="0"/>
    <m/>
    <m/>
    <s v="No"/>
    <x v="2"/>
    <d v="2015-10-26T01:32:26"/>
    <n v="1"/>
    <s v="128.205.114.91"/>
    <n v="2015015240"/>
    <s v="133.4''3094"/>
    <d v="2015-10-28T00:00:00"/>
  </r>
  <r>
    <x v="5074"/>
    <d v="1899-12-30T00:00:23"/>
    <x v="45"/>
    <x v="0"/>
    <s v="Buffalo"/>
    <x v="1238"/>
    <n v="2192203"/>
    <x v="1"/>
    <m/>
    <s v="9781472433510"/>
    <s v=",1,2,3"/>
    <n v="3"/>
    <m/>
    <m/>
    <s v="No"/>
    <x v="3"/>
    <m/>
    <m/>
    <s v="128.205.114.91"/>
    <n v="2015015240"/>
    <s v="133.4''3094"/>
    <d v="2015-10-28T00:00:00"/>
  </r>
  <r>
    <x v="5075"/>
    <d v="1899-12-30T00:00:00"/>
    <x v="45"/>
    <x v="0"/>
    <s v="Buffalo"/>
    <x v="1239"/>
    <n v="2192212"/>
    <x v="1"/>
    <m/>
    <s v="9781472443960"/>
    <m/>
    <n v="0"/>
    <m/>
    <m/>
    <s v="Yes"/>
    <x v="2"/>
    <d v="2015-10-26T01:29:15"/>
    <n v="1"/>
    <s v="128.205.114.91"/>
    <n v="2015014509"/>
    <s v="306.76''63"/>
    <d v="2015-10-28T00:00:00"/>
  </r>
  <r>
    <x v="5075"/>
    <d v="1899-12-30T00:00:00"/>
    <x v="45"/>
    <x v="0"/>
    <s v="Buffalo"/>
    <x v="1239"/>
    <n v="2192212"/>
    <x v="1"/>
    <m/>
    <s v="9781472443960"/>
    <m/>
    <n v="0"/>
    <m/>
    <m/>
    <s v="No"/>
    <x v="2"/>
    <d v="2015-10-26T01:29:15"/>
    <n v="1"/>
    <s v="128.205.114.91"/>
    <n v="2015014509"/>
    <s v="306.76''63"/>
    <d v="2015-10-28T00:00:00"/>
  </r>
  <r>
    <x v="5076"/>
    <d v="1899-12-30T00:00:15"/>
    <x v="45"/>
    <x v="0"/>
    <s v="Buffalo"/>
    <x v="1239"/>
    <n v="2192212"/>
    <x v="1"/>
    <m/>
    <s v="9781472443960"/>
    <s v=",1,2,3"/>
    <n v="3"/>
    <m/>
    <m/>
    <s v="No"/>
    <x v="3"/>
    <m/>
    <m/>
    <s v="128.205.114.91"/>
    <n v="2015014509"/>
    <s v="306.76''63"/>
    <d v="2015-10-28T00:00:00"/>
  </r>
  <r>
    <x v="5077"/>
    <d v="1899-12-30T00:00:00"/>
    <x v="45"/>
    <x v="0"/>
    <s v="Buffalo"/>
    <x v="1240"/>
    <n v="2192222"/>
    <x v="1"/>
    <s v="Engineering: Chemical; Engineering"/>
    <s v="9781472441843"/>
    <m/>
    <n v="0"/>
    <m/>
    <m/>
    <s v="Yes"/>
    <x v="2"/>
    <d v="2015-10-26T01:27:54"/>
    <n v="1"/>
    <s v="128.205.114.91"/>
    <n v="2015007109"/>
    <n v="664"/>
    <d v="2015-10-28T00:00:00"/>
  </r>
  <r>
    <x v="5077"/>
    <d v="1899-12-30T00:00:00"/>
    <x v="45"/>
    <x v="0"/>
    <s v="Buffalo"/>
    <x v="1240"/>
    <n v="2192222"/>
    <x v="1"/>
    <s v="Engineering: Chemical; Engineering"/>
    <s v="9781472441843"/>
    <m/>
    <n v="0"/>
    <m/>
    <m/>
    <s v="No"/>
    <x v="2"/>
    <d v="2015-10-26T01:27:54"/>
    <n v="1"/>
    <s v="128.205.114.91"/>
    <n v="2015007109"/>
    <n v="664"/>
    <d v="2015-10-28T00:00:00"/>
  </r>
  <r>
    <x v="5078"/>
    <d v="1899-12-30T00:00:12"/>
    <x v="45"/>
    <x v="0"/>
    <s v="Buffalo"/>
    <x v="1240"/>
    <n v="2192222"/>
    <x v="1"/>
    <s v="Engineering: Chemical; Engineering"/>
    <s v="9781472441843"/>
    <s v=",1,2,3"/>
    <n v="3"/>
    <m/>
    <m/>
    <s v="No"/>
    <x v="3"/>
    <m/>
    <m/>
    <s v="128.205.114.91"/>
    <n v="2015007109"/>
    <n v="664"/>
    <d v="2015-10-28T00:00:00"/>
  </r>
  <r>
    <x v="5079"/>
    <d v="1899-12-30T00:00:00"/>
    <x v="45"/>
    <x v="0"/>
    <s v="Buffalo"/>
    <x v="1241"/>
    <n v="2192225"/>
    <x v="1"/>
    <m/>
    <s v="9781472443717"/>
    <m/>
    <n v="0"/>
    <m/>
    <m/>
    <s v="Yes"/>
    <x v="2"/>
    <d v="2015-10-26T01:26:25"/>
    <n v="1"/>
    <s v="128.205.114.91"/>
    <n v="2015009330"/>
    <s v="381.082''0942"/>
    <d v="2015-10-28T00:00:00"/>
  </r>
  <r>
    <x v="5079"/>
    <d v="1899-12-30T00:00:00"/>
    <x v="45"/>
    <x v="0"/>
    <s v="Buffalo"/>
    <x v="1241"/>
    <n v="2192225"/>
    <x v="1"/>
    <m/>
    <s v="9781472443717"/>
    <m/>
    <n v="0"/>
    <m/>
    <m/>
    <s v="No"/>
    <x v="2"/>
    <d v="2015-10-26T01:26:25"/>
    <n v="1"/>
    <s v="128.205.114.91"/>
    <n v="2015009330"/>
    <s v="381.082''0942"/>
    <d v="2015-10-28T00:00:00"/>
  </r>
  <r>
    <x v="5080"/>
    <d v="1899-12-30T00:00:22"/>
    <x v="45"/>
    <x v="0"/>
    <s v="Buffalo"/>
    <x v="1241"/>
    <n v="2192225"/>
    <x v="1"/>
    <m/>
    <s v="9781472443717"/>
    <s v=",1,2,3"/>
    <n v="3"/>
    <m/>
    <m/>
    <s v="No"/>
    <x v="3"/>
    <m/>
    <m/>
    <s v="128.205.114.91"/>
    <n v="2015009330"/>
    <s v="381.082''0942"/>
    <d v="2015-10-28T00:00:00"/>
  </r>
  <r>
    <x v="5081"/>
    <d v="1899-12-30T00:00:00"/>
    <x v="45"/>
    <x v="0"/>
    <s v="Buffalo"/>
    <x v="1242"/>
    <n v="2192232"/>
    <x v="1"/>
    <s v="Social Science"/>
    <s v="9781472452665"/>
    <m/>
    <n v="0"/>
    <m/>
    <m/>
    <s v="Yes"/>
    <x v="2"/>
    <d v="2015-10-26T01:24:09"/>
    <n v="1"/>
    <s v="128.205.114.91"/>
    <n v="2015008397"/>
    <n v="307.77"/>
    <d v="2015-10-28T00:00:00"/>
  </r>
  <r>
    <x v="5081"/>
    <d v="1899-12-30T00:00:00"/>
    <x v="45"/>
    <x v="0"/>
    <s v="Buffalo"/>
    <x v="1242"/>
    <n v="2192232"/>
    <x v="1"/>
    <s v="Social Science"/>
    <s v="9781472452665"/>
    <m/>
    <n v="0"/>
    <m/>
    <m/>
    <s v="No"/>
    <x v="2"/>
    <d v="2015-10-26T01:24:09"/>
    <n v="1"/>
    <s v="128.205.114.91"/>
    <n v="2015008397"/>
    <n v="307.77"/>
    <d v="2015-10-28T00:00:00"/>
  </r>
  <r>
    <x v="5082"/>
    <d v="1899-12-30T00:00:19"/>
    <x v="45"/>
    <x v="0"/>
    <s v="Buffalo"/>
    <x v="1242"/>
    <n v="2192232"/>
    <x v="1"/>
    <s v="Social Science"/>
    <s v="9781472452665"/>
    <s v=",1,2,3"/>
    <n v="3"/>
    <m/>
    <m/>
    <s v="No"/>
    <x v="3"/>
    <m/>
    <m/>
    <s v="128.205.114.91"/>
    <n v="2015008397"/>
    <n v="307.77"/>
    <d v="2015-10-28T00:00:00"/>
  </r>
  <r>
    <x v="5083"/>
    <d v="1899-12-30T01:02:05"/>
    <x v="1103"/>
    <x v="9"/>
    <s v="trocaire"/>
    <x v="1057"/>
    <n v="332602"/>
    <x v="0"/>
    <s v="Education"/>
    <s v="9780631227885"/>
    <s v=",1,2,3,15,16,17,13,14,18,19,20,21,22,23,24,25,26,27,17,16,25"/>
    <n v="18"/>
    <m/>
    <m/>
    <s v="No"/>
    <x v="0"/>
    <d v="2015-10-25T23:57:21"/>
    <n v="7"/>
    <s v="173.225.62.67"/>
    <s v="LB1124 -- .O48 1993eb"/>
    <s v="371.5/8"/>
    <d v="2013-05-30T00:00:00"/>
  </r>
  <r>
    <x v="5084"/>
    <d v="1899-12-30T00:00:29"/>
    <x v="1296"/>
    <x v="12"/>
    <s v="potsdam"/>
    <x v="760"/>
    <n v="943645"/>
    <x v="15"/>
    <s v="History"/>
    <s v="9781441104755"/>
    <s v=",1,2,3,200,201,202,198,199"/>
    <n v="8"/>
    <m/>
    <m/>
    <s v="No"/>
    <x v="1"/>
    <m/>
    <m/>
    <s v="137.143.104.94"/>
    <s v="CB5 .M384 2012"/>
    <n v="948.02200000000005"/>
    <d v="2012-05-31T00:00:00"/>
  </r>
  <r>
    <x v="5085"/>
    <d v="1899-12-30T00:00:08"/>
    <x v="1270"/>
    <x v="6"/>
    <s v="sjfc"/>
    <x v="1225"/>
    <n v="1378784"/>
    <x v="0"/>
    <s v="Medicine"/>
    <s v="9781118739655"/>
    <s v=",1,2,3,8"/>
    <n v="4"/>
    <m/>
    <m/>
    <s v="No"/>
    <x v="3"/>
    <m/>
    <m/>
    <s v="149.69.254.57"/>
    <s v="RC480"/>
    <s v="616.89/14; 616.8914"/>
    <d v="2013-09-04T00:00:00"/>
  </r>
  <r>
    <x v="5086"/>
    <d v="1899-12-30T00:43:25"/>
    <x v="1103"/>
    <x v="9"/>
    <s v="trocaire"/>
    <x v="232"/>
    <n v="822111"/>
    <x v="0"/>
    <s v="Social Science"/>
    <s v="9781444356922"/>
    <s v=",32,33,34,30,31,35,43,40,29,28,26,27,36,37,38,39,41,42,44,45,46,47,48,49,50,51,52,53,54,55,56,57,58,59,60,61,62"/>
    <n v="37"/>
    <m/>
    <m/>
    <s v="No"/>
    <x v="0"/>
    <d v="2015-10-26T00:02:17"/>
    <n v="7"/>
    <s v="173.225.62.67"/>
    <s v="HV6773 -- .K69 2012eb"/>
    <s v="302.34/3"/>
    <d v="2012-02-16T00:00:00"/>
  </r>
  <r>
    <x v="5087"/>
    <d v="1899-12-30T00:00:18"/>
    <x v="1103"/>
    <x v="9"/>
    <s v="trocaire"/>
    <x v="1057"/>
    <n v="332602"/>
    <x v="0"/>
    <s v="Education"/>
    <s v="9780631227885"/>
    <s v=",28,29,30,31,32"/>
    <n v="5"/>
    <m/>
    <m/>
    <s v="No"/>
    <x v="0"/>
    <d v="2015-10-25T23:57:21"/>
    <n v="7"/>
    <s v="173.225.62.67"/>
    <s v="LB1124 -- .O48 1993eb"/>
    <s v="371.5/8"/>
    <d v="2013-05-30T00:00:00"/>
  </r>
  <r>
    <x v="5088"/>
    <d v="1899-12-30T00:00:18"/>
    <x v="1103"/>
    <x v="9"/>
    <s v="trocaire"/>
    <x v="684"/>
    <n v="1120621"/>
    <x v="0"/>
    <s v="Education"/>
    <s v="9781118362679"/>
    <s v=",1,2,3,25,26,27,23,24"/>
    <n v="8"/>
    <m/>
    <m/>
    <s v="No"/>
    <x v="1"/>
    <m/>
    <m/>
    <s v="173.225.62.67"/>
    <s v="LB3013.3 .R59 2012"/>
    <s v="371.5/8; 371.58"/>
    <d v="2012-08-15T00:00:00"/>
  </r>
  <r>
    <x v="5089"/>
    <d v="1899-12-30T00:18:02"/>
    <x v="1103"/>
    <x v="9"/>
    <s v="trocaire"/>
    <x v="232"/>
    <n v="822111"/>
    <x v="0"/>
    <s v="Social Science"/>
    <s v="9781444356922"/>
    <s v=",1,2,3,70,71,72,68,69"/>
    <n v="8"/>
    <m/>
    <m/>
    <s v="No"/>
    <x v="1"/>
    <m/>
    <m/>
    <s v="173.225.62.67"/>
    <s v="HV6773 -- .K69 2012eb"/>
    <s v="302.34/3"/>
    <d v="2012-02-16T00:00:00"/>
  </r>
  <r>
    <x v="5090"/>
    <d v="1899-12-30T00:21:28"/>
    <x v="1103"/>
    <x v="9"/>
    <s v="trocaire"/>
    <x v="1057"/>
    <n v="332602"/>
    <x v="0"/>
    <s v="Education"/>
    <s v="9780631227885"/>
    <s v=",1,2,3,18,19,20,17,16,21,22,23,24,25,26,27"/>
    <n v="15"/>
    <m/>
    <m/>
    <s v="No"/>
    <x v="1"/>
    <m/>
    <m/>
    <s v="173.225.62.67"/>
    <s v="LB1124 -- .O48 1993eb"/>
    <s v="371.5/8"/>
    <d v="2013-05-30T00:00:00"/>
  </r>
  <r>
    <x v="5091"/>
    <d v="1899-12-30T00:00:21"/>
    <x v="1297"/>
    <x v="1"/>
    <s v="brockport"/>
    <x v="1110"/>
    <n v="1725831"/>
    <x v="0"/>
    <s v="Social Science"/>
    <s v="9781118896334"/>
    <s v=",1,2,3,4,5,6,7,8,9,10,11,12,13"/>
    <n v="13"/>
    <m/>
    <m/>
    <s v="No"/>
    <x v="3"/>
    <m/>
    <m/>
    <s v="137.21.7.121"/>
    <s v="GN316 .C35 2014"/>
    <n v="305.8"/>
    <d v="2014-06-27T00:00:00"/>
  </r>
  <r>
    <x v="5092"/>
    <d v="1899-12-30T00:00:51"/>
    <x v="1138"/>
    <x v="0"/>
    <s v="Buffalo"/>
    <x v="161"/>
    <n v="821663"/>
    <x v="0"/>
    <s v="Architecture"/>
    <s v="9781118168479"/>
    <s v=",1,4"/>
    <n v="2"/>
    <m/>
    <m/>
    <s v="Yes"/>
    <x v="0"/>
    <d v="2015-10-25T22:37:57"/>
    <n v="7"/>
    <s v="128.205.114.91"/>
    <s v="NA2547 -- .S74 2012eb"/>
    <n v="729"/>
    <d v="2012-03-05T00:00:00"/>
  </r>
  <r>
    <x v="5093"/>
    <d v="1899-12-30T00:00:00"/>
    <x v="1138"/>
    <x v="0"/>
    <s v="Buffalo"/>
    <x v="161"/>
    <n v="821663"/>
    <x v="0"/>
    <s v="Architecture"/>
    <s v="9781118168479"/>
    <m/>
    <n v="0"/>
    <m/>
    <m/>
    <s v="Yes"/>
    <x v="0"/>
    <d v="2015-10-25T22:37:57"/>
    <n v="7"/>
    <s v="128.205.114.91"/>
    <s v="NA2547 -- .S74 2012eb"/>
    <n v="729"/>
    <d v="2012-03-05T00:00:00"/>
  </r>
  <r>
    <x v="5094"/>
    <d v="1899-12-30T00:00:43"/>
    <x v="1138"/>
    <x v="0"/>
    <s v="Buffalo"/>
    <x v="161"/>
    <n v="821663"/>
    <x v="0"/>
    <s v="Architecture"/>
    <s v="9781118168479"/>
    <s v=",4,5"/>
    <n v="2"/>
    <m/>
    <m/>
    <s v="Yes"/>
    <x v="0"/>
    <d v="2015-10-25T22:37:57"/>
    <n v="7"/>
    <s v="128.205.114.91"/>
    <s v="NA2547 -- .S74 2012eb"/>
    <n v="729"/>
    <d v="2012-03-05T00:00:00"/>
  </r>
  <r>
    <x v="5094"/>
    <d v="1899-12-30T00:00:00"/>
    <x v="1138"/>
    <x v="0"/>
    <s v="Buffalo"/>
    <x v="161"/>
    <n v="821663"/>
    <x v="0"/>
    <s v="Architecture"/>
    <s v="9781118168479"/>
    <m/>
    <n v="0"/>
    <m/>
    <m/>
    <s v="No"/>
    <x v="0"/>
    <d v="2015-10-25T22:37:57"/>
    <n v="7"/>
    <s v="128.205.114.91"/>
    <s v="NA2547 -- .S74 2012eb"/>
    <n v="729"/>
    <d v="2012-03-05T00:00:00"/>
  </r>
  <r>
    <x v="5095"/>
    <d v="1899-12-30T00:00:34"/>
    <x v="1138"/>
    <x v="0"/>
    <s v="Buffalo"/>
    <x v="161"/>
    <n v="821663"/>
    <x v="0"/>
    <s v="Architecture"/>
    <s v="9781118168479"/>
    <s v=",1,2,3,1,3"/>
    <n v="3"/>
    <m/>
    <m/>
    <s v="No"/>
    <x v="1"/>
    <m/>
    <m/>
    <s v="128.205.114.91"/>
    <s v="NA2547 -- .S74 2012eb"/>
    <n v="729"/>
    <d v="2012-03-05T00:00:00"/>
  </r>
  <r>
    <x v="5096"/>
    <d v="1899-12-30T00:12:13"/>
    <x v="1298"/>
    <x v="0"/>
    <s v="Buffalo"/>
    <x v="901"/>
    <n v="864784"/>
    <x v="10"/>
    <s v="Education"/>
    <s v="9781400841578"/>
    <s v=",1,2,3,4,142,143,144,140,141,142,143,144,140,141,145,146,147,148,149,150,151,152,153,154,155,156,157,158,159,160,161,162,163,167,166,168,165,164,160,159,158,157,156,155,154"/>
    <n v="33"/>
    <m/>
    <m/>
    <s v="No"/>
    <x v="1"/>
    <m/>
    <m/>
    <s v="128.205.114.91"/>
    <s v="LA227.4 .D455 2012"/>
    <n v="378.73"/>
    <d v="2014-05-27T00:00:00"/>
  </r>
  <r>
    <x v="5097"/>
    <d v="1899-12-30T00:00:48"/>
    <x v="1299"/>
    <x v="15"/>
    <s v="morrisville"/>
    <x v="1243"/>
    <n v="1129665"/>
    <x v="0"/>
    <s v="Engineering; Engineering: Chemical; Engineering: Manufacturing"/>
    <s v="9781118387443"/>
    <s v=",1,2,3,4,5,6,7,8,6,7,8,9,5,10,2,11,12,13,14,15"/>
    <n v="15"/>
    <m/>
    <m/>
    <s v="No"/>
    <x v="3"/>
    <m/>
    <m/>
    <s v="136.204.32.68"/>
    <s v="TS1960"/>
    <s v="664.902; 664.9029"/>
    <d v="2013-02-15T00:00:00"/>
  </r>
  <r>
    <x v="5098"/>
    <d v="1899-12-30T00:04:02"/>
    <x v="1300"/>
    <x v="12"/>
    <s v="potsdam"/>
    <x v="1244"/>
    <n v="1733902"/>
    <x v="11"/>
    <s v="History"/>
    <s v="9780226144672"/>
    <s v=",1,2,3,286,288,284,285,289,290,291,292,287,293,1,2,3,1,2,3,166,167,168,164,165,228,229,230,169,170,171,153,155,151,152,218,219,220,216,216,1,217,218,214,215,2"/>
    <n v="35"/>
    <m/>
    <m/>
    <s v="No"/>
    <x v="2"/>
    <d v="2015-10-25T20:26:35"/>
    <n v="1"/>
    <s v="137.143.104.94"/>
    <s v="D57"/>
    <n v="930"/>
    <d v="2013-06-28T00:00:00"/>
  </r>
  <r>
    <x v="5099"/>
    <d v="1899-12-30T00:00:02"/>
    <x v="247"/>
    <x v="7"/>
    <s v="oneonta"/>
    <x v="1245"/>
    <n v="1895267"/>
    <x v="0"/>
    <s v="Social Science; Education"/>
    <s v="9781119026471"/>
    <s v=",1,2,3"/>
    <n v="3"/>
    <m/>
    <m/>
    <s v="No"/>
    <x v="0"/>
    <d v="2015-10-25T20:48:47"/>
    <n v="7"/>
    <s v="137.141.13.2"/>
    <s v="HV6773 -- .B38 2011eb"/>
    <s v="371.5/8"/>
    <d v="2014-12-17T00:00:00"/>
  </r>
  <r>
    <x v="5100"/>
    <d v="1899-12-30T00:00:00"/>
    <x v="1300"/>
    <x v="12"/>
    <s v="potsdam"/>
    <x v="1244"/>
    <n v="1733902"/>
    <x v="11"/>
    <s v="History"/>
    <s v="9780226144672"/>
    <m/>
    <n v="0"/>
    <m/>
    <m/>
    <s v="No"/>
    <x v="2"/>
    <d v="2015-10-25T20:26:35"/>
    <n v="1"/>
    <s v="137.143.104.94"/>
    <s v="D57"/>
    <n v="930"/>
    <d v="2013-06-28T00:00:00"/>
  </r>
  <r>
    <x v="5101"/>
    <d v="1899-12-30T00:00:00"/>
    <x v="247"/>
    <x v="7"/>
    <s v="oneonta"/>
    <x v="1245"/>
    <n v="1895267"/>
    <x v="0"/>
    <s v="Social Science; Education"/>
    <s v="9781119026471"/>
    <m/>
    <n v="0"/>
    <s v=",1"/>
    <m/>
    <s v="No"/>
    <x v="0"/>
    <d v="2015-10-25T20:48:47"/>
    <n v="7"/>
    <s v="137.141.13.2"/>
    <s v="HV6773 -- .B38 2011eb"/>
    <s v="371.5/8"/>
    <d v="2014-12-17T00:00:00"/>
  </r>
  <r>
    <x v="5102"/>
    <d v="1899-12-30T00:00:24"/>
    <x v="247"/>
    <x v="7"/>
    <s v="oneonta"/>
    <x v="1245"/>
    <n v="1895267"/>
    <x v="0"/>
    <s v="Social Science; Education"/>
    <s v="9781119026471"/>
    <s v=",1,2,3"/>
    <n v="3"/>
    <m/>
    <m/>
    <s v="No"/>
    <x v="1"/>
    <m/>
    <m/>
    <s v="137.141.13.2"/>
    <s v="HV6773 -- .B38 2011eb"/>
    <s v="371.5/8"/>
    <d v="2014-12-17T00:00:00"/>
  </r>
  <r>
    <x v="5103"/>
    <d v="1899-12-30T00:00:00"/>
    <x v="1301"/>
    <x v="7"/>
    <s v="oneonta"/>
    <x v="232"/>
    <n v="822111"/>
    <x v="0"/>
    <s v="Social Science"/>
    <s v="9781444356922"/>
    <m/>
    <n v="0"/>
    <m/>
    <m/>
    <s v="Yes"/>
    <x v="0"/>
    <d v="2015-10-25T20:39:53"/>
    <n v="7"/>
    <s v="137.141.13.2"/>
    <s v="HV6773 -- .K69 2012eb"/>
    <s v="302.34/3"/>
    <d v="2012-02-16T00:00:00"/>
  </r>
  <r>
    <x v="5103"/>
    <d v="1899-12-30T00:00:00"/>
    <x v="1301"/>
    <x v="7"/>
    <s v="oneonta"/>
    <x v="232"/>
    <n v="822111"/>
    <x v="0"/>
    <s v="Social Science"/>
    <s v="9781444356922"/>
    <m/>
    <n v="0"/>
    <m/>
    <m/>
    <s v="No"/>
    <x v="0"/>
    <d v="2015-10-25T20:39:53"/>
    <n v="7"/>
    <s v="137.141.13.2"/>
    <s v="HV6773 -- .K69 2012eb"/>
    <s v="302.34/3"/>
    <d v="2012-02-16T00:00:00"/>
  </r>
  <r>
    <x v="5104"/>
    <d v="1899-12-30T00:00:46"/>
    <x v="1301"/>
    <x v="7"/>
    <s v="oneonta"/>
    <x v="232"/>
    <n v="822111"/>
    <x v="0"/>
    <s v="Social Science"/>
    <s v="9781444356922"/>
    <s v=",1,2,3,169,170,171,167,168,173,172"/>
    <n v="10"/>
    <m/>
    <m/>
    <s v="No"/>
    <x v="1"/>
    <m/>
    <m/>
    <s v="137.141.13.2"/>
    <s v="HV6773 -- .K69 2012eb"/>
    <s v="302.34/3"/>
    <d v="2012-02-16T00:00:00"/>
  </r>
  <r>
    <x v="5105"/>
    <d v="1899-12-30T00:01:44"/>
    <x v="1301"/>
    <x v="7"/>
    <s v="oneonta"/>
    <x v="1245"/>
    <n v="1895267"/>
    <x v="0"/>
    <s v="Social Science; Education"/>
    <s v="9781119026471"/>
    <s v=",4,5,6,7,8,9,8,5,6,10,1,2,3"/>
    <n v="10"/>
    <m/>
    <m/>
    <s v="Yes"/>
    <x v="0"/>
    <d v="2015-10-25T20:09:52"/>
    <n v="7"/>
    <s v="137.141.13.2"/>
    <s v="HV6773 -- .B38 2011eb"/>
    <s v="371.5/8"/>
    <d v="2014-12-17T00:00:00"/>
  </r>
  <r>
    <x v="5106"/>
    <d v="1899-12-30T00:00:03"/>
    <x v="1301"/>
    <x v="7"/>
    <s v="oneonta"/>
    <x v="1245"/>
    <n v="1895267"/>
    <x v="0"/>
    <s v="Social Science; Education"/>
    <s v="9781119026471"/>
    <s v=",1,2,3"/>
    <n v="3"/>
    <m/>
    <m/>
    <s v="No"/>
    <x v="0"/>
    <d v="2015-10-25T20:09:52"/>
    <n v="7"/>
    <s v="137.141.13.2"/>
    <s v="HV6773 -- .B38 2011eb"/>
    <s v="371.5/8"/>
    <d v="2014-12-17T00:00:00"/>
  </r>
  <r>
    <x v="5107"/>
    <d v="1899-12-30T00:00:00"/>
    <x v="1301"/>
    <x v="7"/>
    <s v="oneonta"/>
    <x v="1245"/>
    <n v="1895267"/>
    <x v="0"/>
    <s v="Social Science; Education"/>
    <s v="9781119026471"/>
    <m/>
    <n v="0"/>
    <m/>
    <s v=",6,6"/>
    <s v="Yes"/>
    <x v="0"/>
    <d v="2015-10-25T20:09:52"/>
    <n v="7"/>
    <s v="137.141.13.2"/>
    <s v="HV6773 -- .B38 2011eb"/>
    <s v="371.5/8"/>
    <d v="2014-12-17T00:00:00"/>
  </r>
  <r>
    <x v="5108"/>
    <d v="1899-12-30T00:04:28"/>
    <x v="1300"/>
    <x v="12"/>
    <s v="potsdam"/>
    <x v="1244"/>
    <n v="1733902"/>
    <x v="11"/>
    <s v="History"/>
    <s v="9780226144672"/>
    <s v=",235,236,230,153,154,156,157,153,151,152"/>
    <n v="9"/>
    <m/>
    <s v=",206,207,208,242,243,244,232,233,234"/>
    <s v="No"/>
    <x v="2"/>
    <d v="2015-10-25T20:26:35"/>
    <n v="1"/>
    <s v="137.143.104.94"/>
    <s v="D57"/>
    <n v="930"/>
    <d v="2013-06-28T00:00:00"/>
  </r>
  <r>
    <x v="5109"/>
    <d v="1899-12-30T00:01:08"/>
    <x v="1300"/>
    <x v="12"/>
    <s v="potsdam"/>
    <x v="1244"/>
    <n v="1733902"/>
    <x v="11"/>
    <s v="History"/>
    <s v="9780226144672"/>
    <s v=",1,2,3,109,110,111,107,104,92,93,94,90,91,232,233,234,230,231,232"/>
    <n v="18"/>
    <m/>
    <m/>
    <s v="No"/>
    <x v="3"/>
    <m/>
    <m/>
    <s v="137.143.104.94"/>
    <s v="D57"/>
    <n v="930"/>
    <d v="2013-06-28T00:00:00"/>
  </r>
  <r>
    <x v="5110"/>
    <d v="1899-12-30T00:03:44"/>
    <x v="1301"/>
    <x v="7"/>
    <s v="oneonta"/>
    <x v="1245"/>
    <n v="1895267"/>
    <x v="0"/>
    <s v="Social Science; Education"/>
    <s v="9781119026471"/>
    <s v=",6,1,7,8,4,5,2"/>
    <n v="7"/>
    <m/>
    <m/>
    <s v="Yes"/>
    <x v="0"/>
    <d v="2015-10-25T20:09:52"/>
    <n v="7"/>
    <s v="137.141.13.2"/>
    <s v="HV6773 -- .B38 2011eb"/>
    <s v="371.5/8"/>
    <d v="2014-12-17T00:00:00"/>
  </r>
  <r>
    <x v="5111"/>
    <d v="1899-12-30T00:01:58"/>
    <x v="13"/>
    <x v="0"/>
    <s v="Buffalo"/>
    <x v="1246"/>
    <n v="1698820"/>
    <x v="3"/>
    <s v="Social Science"/>
    <s v="9780520957350"/>
    <s v=",4,5,6,7,8"/>
    <n v="5"/>
    <m/>
    <m/>
    <s v="Yes"/>
    <x v="2"/>
    <d v="2015-10-25T20:12:51"/>
    <n v="1"/>
    <s v="128.205.114.91"/>
    <s v="H61 -- .R216 2014eb"/>
    <s v="300/.72"/>
    <d v="2014-07-18T00:00:00"/>
  </r>
  <r>
    <x v="5111"/>
    <d v="1899-12-30T00:00:00"/>
    <x v="13"/>
    <x v="0"/>
    <s v="Buffalo"/>
    <x v="1246"/>
    <n v="1698820"/>
    <x v="3"/>
    <s v="Social Science"/>
    <s v="9780520957350"/>
    <m/>
    <n v="0"/>
    <m/>
    <m/>
    <s v="No"/>
    <x v="2"/>
    <d v="2015-10-25T20:12:51"/>
    <n v="1"/>
    <s v="128.205.114.91"/>
    <s v="H61 -- .R216 2014eb"/>
    <s v="300/.72"/>
    <d v="2014-07-18T00:00:00"/>
  </r>
  <r>
    <x v="5112"/>
    <d v="1899-12-30T00:00:11"/>
    <x v="13"/>
    <x v="0"/>
    <s v="Buffalo"/>
    <x v="1246"/>
    <n v="1698820"/>
    <x v="3"/>
    <s v="Social Science"/>
    <s v="9780520957350"/>
    <s v=",1,2,3"/>
    <n v="3"/>
    <m/>
    <m/>
    <s v="No"/>
    <x v="3"/>
    <m/>
    <m/>
    <s v="128.205.114.91"/>
    <s v="H61 -- .R216 2014eb"/>
    <s v="300/.72"/>
    <d v="2014-07-18T00:00:00"/>
  </r>
  <r>
    <x v="5113"/>
    <d v="1899-12-30T00:11:57"/>
    <x v="1301"/>
    <x v="7"/>
    <s v="oneonta"/>
    <x v="1245"/>
    <n v="1895267"/>
    <x v="0"/>
    <s v="Social Science; Education"/>
    <s v="9781119026471"/>
    <s v=",7,1,3,19,62,63,64,60,61,1,3,7,8,9,5,6"/>
    <n v="13"/>
    <s v=",1"/>
    <m/>
    <s v="Yes"/>
    <x v="0"/>
    <d v="2015-10-25T20:09:52"/>
    <n v="7"/>
    <s v="137.141.13.2"/>
    <s v="HV6773 -- .B38 2011eb"/>
    <s v="371.5/8"/>
    <d v="2014-12-17T00:00:00"/>
  </r>
  <r>
    <x v="5113"/>
    <d v="1899-12-30T00:00:00"/>
    <x v="1301"/>
    <x v="7"/>
    <s v="oneonta"/>
    <x v="1245"/>
    <n v="1895267"/>
    <x v="0"/>
    <s v="Social Science; Education"/>
    <s v="9781119026471"/>
    <m/>
    <n v="0"/>
    <m/>
    <m/>
    <s v="No"/>
    <x v="0"/>
    <d v="2015-10-25T20:09:52"/>
    <n v="7"/>
    <s v="137.141.13.2"/>
    <s v="HV6773 -- .B38 2011eb"/>
    <s v="371.5/8"/>
    <d v="2014-12-17T00:00:00"/>
  </r>
  <r>
    <x v="5114"/>
    <d v="1899-12-30T00:02:31"/>
    <x v="1301"/>
    <x v="7"/>
    <s v="oneonta"/>
    <x v="1245"/>
    <n v="1895267"/>
    <x v="0"/>
    <s v="Social Science; Education"/>
    <s v="9781119026471"/>
    <s v=",1,2,3,7,8,9,5,6,10,127,134,135,136,132,133,137,138,139,157,158,154,155,153,151,152"/>
    <n v="25"/>
    <m/>
    <m/>
    <s v="No"/>
    <x v="3"/>
    <m/>
    <m/>
    <s v="137.141.13.2"/>
    <s v="HV6773 -- .B38 2011eb"/>
    <s v="371.5/8"/>
    <d v="2014-12-17T00:00:00"/>
  </r>
  <r>
    <x v="5115"/>
    <d v="1899-12-30T00:04:09"/>
    <x v="1298"/>
    <x v="0"/>
    <s v="Buffalo"/>
    <x v="901"/>
    <n v="864784"/>
    <x v="10"/>
    <s v="Education"/>
    <s v="9781400841578"/>
    <s v=",1,2,3,119,120,121,117,118,142,143,144,140,141,122,123,124,125,126,127"/>
    <n v="19"/>
    <m/>
    <m/>
    <s v="No"/>
    <x v="1"/>
    <m/>
    <m/>
    <s v="128.205.114.91"/>
    <s v="LA227.4 .D455 2012"/>
    <n v="378.73"/>
    <d v="2014-05-27T00:00:00"/>
  </r>
  <r>
    <x v="5116"/>
    <d v="1899-12-30T00:02:53"/>
    <x v="1302"/>
    <x v="12"/>
    <s v="potsdam"/>
    <x v="919"/>
    <n v="2008060"/>
    <x v="0"/>
    <s v="History"/>
    <s v="9781118949016"/>
    <s v=",1,2,3,15,16,17,13,14,18,19,9,10,11,7,8,63,64,65,61,62,66,67,68,69,70,72,73"/>
    <n v="27"/>
    <m/>
    <m/>
    <s v="No"/>
    <x v="3"/>
    <m/>
    <m/>
    <s v="137.143.104.94"/>
    <s v="DS558 .H47 2015"/>
    <s v="959.704/3"/>
    <d v="2015-03-25T00:00:00"/>
  </r>
  <r>
    <x v="5117"/>
    <d v="1899-12-30T00:00:22"/>
    <x v="1303"/>
    <x v="13"/>
    <s v="buffalostate"/>
    <x v="553"/>
    <n v="1655861"/>
    <x v="12"/>
    <s v="History; Political Science"/>
    <s v="9781469615578"/>
    <s v=",1,6,8,7,4,5,9,10,11,2"/>
    <n v="10"/>
    <m/>
    <m/>
    <s v="No"/>
    <x v="3"/>
    <m/>
    <m/>
    <s v="136.183.11.43"/>
    <s v="E185.615 -- .R522 2014eb"/>
    <s v="323.1196/07300904"/>
    <d v="2014-03-17T00:00:00"/>
  </r>
  <r>
    <x v="5118"/>
    <d v="1899-12-30T00:06:39"/>
    <x v="1304"/>
    <x v="0"/>
    <s v="Buffalo"/>
    <x v="1247"/>
    <n v="875850"/>
    <x v="0"/>
    <s v="Fine Arts; Sport &amp; Recreation"/>
    <s v="9781118333464"/>
    <s v=",1,2,3,3,2,1,2,2,4,4,5,5,6,7,6,7,8,8,9,9,10,10,11,11,12,12,13,13,14,14,15,15,11"/>
    <n v="15"/>
    <m/>
    <m/>
    <s v="No"/>
    <x v="1"/>
    <m/>
    <m/>
    <s v="128.205.114.91"/>
    <s v="GV1853.F62 U56 2012"/>
    <n v="791.06875923999996"/>
    <d v="2012-08-31T00:00:00"/>
  </r>
  <r>
    <x v="5119"/>
    <d v="1899-12-30T00:04:26"/>
    <x v="1212"/>
    <x v="6"/>
    <s v="sjfc"/>
    <x v="1137"/>
    <n v="1896037"/>
    <x v="0"/>
    <s v="Science; Medicine; Science: Biology/Natural History"/>
    <s v="9781119066262"/>
    <s v=",1,2,3,53,54,55,51,52,56,57,58,59,60,61,62,7,8,9,5,6,10"/>
    <n v="21"/>
    <m/>
    <m/>
    <s v="No"/>
    <x v="0"/>
    <d v="2015-10-25T13:02:04"/>
    <n v="7"/>
    <s v="149.69.254.57"/>
    <s v="QR201.E16 -- C43 2015eb"/>
    <s v="616.9; 616.925"/>
    <d v="2014-12-17T00:00:00"/>
  </r>
  <r>
    <x v="5120"/>
    <d v="1899-12-30T00:00:24"/>
    <x v="1305"/>
    <x v="1"/>
    <s v="brockport"/>
    <x v="1248"/>
    <n v="1882166"/>
    <x v="0"/>
    <s v="Philosophy; Psychology"/>
    <s v="9781119026365"/>
    <s v=",1,2,3,4,42,43,44,40,41"/>
    <n v="9"/>
    <m/>
    <m/>
    <s v="No"/>
    <x v="3"/>
    <m/>
    <m/>
    <s v="137.21.7.121"/>
    <s v="BF636.6 -- .H47 2015eb"/>
    <s v="174/.91583"/>
    <d v="2014-12-01T00:00:00"/>
  </r>
  <r>
    <x v="5121"/>
    <d v="1899-12-30T00:11:03"/>
    <x v="1212"/>
    <x v="6"/>
    <s v="sjfc"/>
    <x v="1137"/>
    <n v="1896037"/>
    <x v="0"/>
    <s v="Science; Medicine; Science: Biology/Natural History"/>
    <s v="9781119066262"/>
    <s v=",59,60,61,62,74,75,72,73,77"/>
    <n v="9"/>
    <m/>
    <m/>
    <s v="No"/>
    <x v="0"/>
    <d v="2015-10-25T13:02:04"/>
    <n v="7"/>
    <s v="149.69.254.57"/>
    <s v="QR201.E16 -- C43 2015eb"/>
    <s v="616.9; 616.925"/>
    <d v="2014-12-17T00:00:00"/>
  </r>
  <r>
    <x v="5122"/>
    <d v="1899-12-30T00:14:34"/>
    <x v="1212"/>
    <x v="6"/>
    <s v="sjfc"/>
    <x v="1137"/>
    <n v="1896037"/>
    <x v="0"/>
    <s v="Science; Medicine; Science: Biology/Natural History"/>
    <s v="9781119066262"/>
    <s v=",1,2,3,7,8,9,5,6,10,51,52,53,49,50,54,55,56,58,57"/>
    <n v="19"/>
    <m/>
    <m/>
    <s v="No"/>
    <x v="3"/>
    <m/>
    <m/>
    <s v="149.69.254.57"/>
    <s v="QR201.E16 -- C43 2015eb"/>
    <s v="616.9; 616.925"/>
    <d v="2014-12-17T00:00:00"/>
  </r>
  <r>
    <x v="5123"/>
    <d v="1899-12-30T00:10:15"/>
    <x v="807"/>
    <x v="0"/>
    <s v="Buffalo"/>
    <x v="73"/>
    <n v="1119505"/>
    <x v="0"/>
    <s v="Science: Chemistry; Science"/>
    <s v="9781118355015"/>
    <s v=",1,2,3,184,185,186,182,183,187,206,208,207,204,205,203,201,199,198,197,196,194,195,193,192,191,190,188,189"/>
    <n v="28"/>
    <m/>
    <m/>
    <s v="No"/>
    <x v="0"/>
    <d v="2015-10-21T00:00:44"/>
    <n v="7"/>
    <s v="128.205.114.91"/>
    <s v="QD251.3 -- .S38 2013eb"/>
    <s v="547/.128"/>
    <d v="2013-01-28T00:00:00"/>
  </r>
  <r>
    <x v="5124"/>
    <d v="1899-12-30T00:03:14"/>
    <x v="1220"/>
    <x v="12"/>
    <s v="potsdam"/>
    <x v="1188"/>
    <n v="1763122"/>
    <x v="1"/>
    <s v="Literature"/>
    <s v="9781472446848"/>
    <s v=",1,2,3,4,5,6,7,8,9,10,11,12,13,14,12,12,13,14,10,11,12,13,14,10,11,15,16,17,9"/>
    <n v="17"/>
    <m/>
    <m/>
    <s v="No"/>
    <x v="3"/>
    <m/>
    <m/>
    <s v="137.143.104.94"/>
    <s v="PS169.A88 -- .C736 2014eb"/>
    <s v="810.9/357"/>
    <d v="2014-10-28T00:00:00"/>
  </r>
  <r>
    <x v="5125"/>
    <d v="1899-12-30T00:00:23"/>
    <x v="1306"/>
    <x v="1"/>
    <s v="brockport"/>
    <x v="1249"/>
    <n v="1718749"/>
    <x v="0"/>
    <s v="Science: Chemistry; Science"/>
    <s v="9781118829608"/>
    <s v=",1,2,3,473,471,472"/>
    <n v="6"/>
    <m/>
    <m/>
    <s v="No"/>
    <x v="3"/>
    <m/>
    <m/>
    <s v="137.21.7.121"/>
    <s v="QD251.3 -- .A46 2014eb"/>
    <n v="547"/>
    <d v="2014-06-20T00:00:00"/>
  </r>
  <r>
    <x v="5126"/>
    <d v="1899-12-30T00:02:30"/>
    <x v="591"/>
    <x v="12"/>
    <s v="potsdam"/>
    <x v="624"/>
    <n v="1132027"/>
    <x v="3"/>
    <s v="History"/>
    <s v="9780520954694"/>
    <s v=",1,3,2,4,5,6,7,52,53,54,50,51,463,464,465,461,462"/>
    <n v="17"/>
    <m/>
    <m/>
    <s v="No"/>
    <x v="1"/>
    <m/>
    <m/>
    <s v="137.143.104.94"/>
    <s v="DF234 -- .G74 2013eb"/>
    <n v="938.07"/>
    <d v="2013-01-08T00:00:00"/>
  </r>
  <r>
    <x v="5127"/>
    <d v="1899-12-30T00:06:13"/>
    <x v="1307"/>
    <x v="11"/>
    <s v="cobleskill"/>
    <x v="11"/>
    <n v="693176"/>
    <x v="0"/>
    <s v="Engineering: Manufacturing; General Works/Reference; Engineering"/>
    <s v="9781118017746"/>
    <s v=",1,2,3,2,3,1,2,2,1,2,3,4,2,3,4,1,2,2,342,343,342,340,344,343,341,344,341,345,346,345,347,347,346,348,348,349,349"/>
    <n v="14"/>
    <m/>
    <m/>
    <s v="No"/>
    <x v="1"/>
    <m/>
    <m/>
    <s v="137.36.32.34"/>
    <s v="Z246 -- .M43 2012eb"/>
    <s v="686.2/209"/>
    <d v="2011-10-19T00:00:00"/>
  </r>
  <r>
    <x v="5128"/>
    <d v="1899-12-30T01:54:38"/>
    <x v="1290"/>
    <x v="0"/>
    <s v="Buffalo"/>
    <x v="1111"/>
    <n v="2051171"/>
    <x v="3"/>
    <s v="Social Science"/>
    <s v="9780520964037"/>
    <s v=",15,16,138,139,140,141,142,143,142,143,144,145,146,147,148,149,150,151,152,153,154,155,156,157,158,159,160,161,162,163,164,165,166,167,168,169,170,166,163,6,211,142,33,41,40,41,56,184,206,209,146,145,146,172,250"/>
    <n v="46"/>
    <m/>
    <m/>
    <s v="No"/>
    <x v="2"/>
    <d v="2015-10-24T22:02:27"/>
    <n v="1"/>
    <s v="128.205.114.91"/>
    <s v="HV6433"/>
    <n v="363.32499999999999"/>
    <d v="2015-09-08T00:00:00"/>
  </r>
  <r>
    <x v="5129"/>
    <d v="1899-12-30T00:05:05"/>
    <x v="1290"/>
    <x v="0"/>
    <s v="Buffalo"/>
    <x v="1111"/>
    <n v="2051171"/>
    <x v="3"/>
    <s v="Social Science"/>
    <s v="9780520964037"/>
    <s v=",1,2,3,4,2,8,10,10,10,11,10,11,12,13,14"/>
    <n v="10"/>
    <m/>
    <m/>
    <s v="No"/>
    <x v="3"/>
    <m/>
    <m/>
    <s v="128.205.114.91"/>
    <s v="HV6433"/>
    <n v="363.32499999999999"/>
    <d v="2015-09-08T00:00:00"/>
  </r>
  <r>
    <x v="5130"/>
    <d v="1899-12-30T00:02:26"/>
    <x v="1308"/>
    <x v="14"/>
    <s v="houghton"/>
    <x v="1216"/>
    <n v="943949"/>
    <x v="14"/>
    <s v="Science; Science: General"/>
    <s v="9780786490868"/>
    <s v=",16,17,18"/>
    <n v="3"/>
    <m/>
    <m/>
    <s v="No"/>
    <x v="0"/>
    <d v="2015-10-24T21:47:51"/>
    <n v="7"/>
    <s v="96.43.64.169"/>
    <s v="Q125 -- .D334 2012eb"/>
    <n v="509"/>
    <d v="2012-05-31T00:00:00"/>
  </r>
  <r>
    <x v="5131"/>
    <d v="1899-12-30T00:13:33"/>
    <x v="1308"/>
    <x v="14"/>
    <s v="houghton"/>
    <x v="1216"/>
    <n v="943949"/>
    <x v="14"/>
    <s v="Science; Science: General"/>
    <s v="9780786490868"/>
    <s v=",1,2,3,12,13,14,10,11,15"/>
    <n v="9"/>
    <m/>
    <m/>
    <s v="No"/>
    <x v="1"/>
    <m/>
    <m/>
    <s v="96.43.64.169"/>
    <s v="Q125 -- .D334 2012eb"/>
    <n v="509"/>
    <d v="2012-05-31T00:00:00"/>
  </r>
  <r>
    <x v="5132"/>
    <d v="1899-12-30T00:06:31"/>
    <x v="13"/>
    <x v="0"/>
    <s v="Buffalo"/>
    <x v="975"/>
    <n v="817871"/>
    <x v="0"/>
    <s v="Computer Science/IT"/>
    <s v="9781118206911"/>
    <s v=",1,2,3,104,105,106,102,103,107,108,109,110,111,112,113"/>
    <n v="15"/>
    <m/>
    <m/>
    <s v="No"/>
    <x v="0"/>
    <d v="2015-10-22T19:18:19"/>
    <n v="7"/>
    <s v="128.205.114.91"/>
    <s v="QA76.76.H94"/>
    <n v="6.74"/>
    <d v="2011-12-20T00:00:00"/>
  </r>
  <r>
    <x v="5133"/>
    <d v="1899-12-30T00:01:29"/>
    <x v="1220"/>
    <x v="12"/>
    <s v="potsdam"/>
    <x v="1188"/>
    <n v="1763122"/>
    <x v="1"/>
    <s v="Literature"/>
    <s v="9781472446848"/>
    <s v=",1,2,3,4,7,11,14,15,12,13,10,15,18,19,20,21,17,22,23,24,25,28,31,52,53,54,50,51,55,56,57,58,1,3"/>
    <n v="31"/>
    <m/>
    <m/>
    <s v="No"/>
    <x v="3"/>
    <m/>
    <m/>
    <s v="137.143.104.94"/>
    <s v="PS169.A88 -- .C736 2014eb"/>
    <s v="810.9/357"/>
    <d v="2014-10-28T00:00:00"/>
  </r>
  <r>
    <x v="5134"/>
    <d v="1899-12-30T00:04:27"/>
    <x v="1182"/>
    <x v="1"/>
    <s v="brockport"/>
    <x v="1200"/>
    <n v="871516"/>
    <x v="0"/>
    <s v="Science: Biology/Natural History; Science"/>
    <s v="9781444347210"/>
    <s v=",1,2,3,4,5,6,7,8,9,10,11,12,13,14,15,16,17,1,3"/>
    <n v="17"/>
    <m/>
    <m/>
    <s v="No"/>
    <x v="1"/>
    <m/>
    <m/>
    <s v="137.21.7.121"/>
    <s v="QH84.2 -- .A582 2012eb"/>
    <s v="577.0998/9"/>
    <d v="2012-02-28T00:00:00"/>
  </r>
  <r>
    <x v="5135"/>
    <d v="1899-12-30T00:21:54"/>
    <x v="1188"/>
    <x v="0"/>
    <s v="Buffalo"/>
    <x v="161"/>
    <n v="821663"/>
    <x v="0"/>
    <s v="Architecture"/>
    <s v="9781118168479"/>
    <s v=",1,2,3,243,245,244,241,246,242,247,248,249,250,251,252,253,254,255,256"/>
    <n v="19"/>
    <m/>
    <m/>
    <s v="No"/>
    <x v="0"/>
    <d v="2015-10-21T17:59:28"/>
    <n v="7"/>
    <s v="128.205.114.91"/>
    <s v="NA2547 -- .S74 2012eb"/>
    <n v="729"/>
    <d v="2012-03-05T00:00:00"/>
  </r>
  <r>
    <x v="5136"/>
    <d v="1899-12-30T00:16:56"/>
    <x v="1188"/>
    <x v="0"/>
    <s v="Buffalo"/>
    <x v="161"/>
    <n v="821663"/>
    <x v="0"/>
    <s v="Architecture"/>
    <s v="9781118168479"/>
    <s v=",1,2,3,243,244,245,241,242,265,266,267,263,264,244,245,241,242,246,247,242,241,246,247,248,249"/>
    <n v="17"/>
    <m/>
    <m/>
    <s v="No"/>
    <x v="0"/>
    <d v="2015-10-21T17:59:28"/>
    <n v="7"/>
    <s v="128.205.114.91"/>
    <s v="NA2547 -- .S74 2012eb"/>
    <n v="729"/>
    <d v="2012-03-05T00:00:00"/>
  </r>
  <r>
    <x v="5137"/>
    <d v="1899-12-30T00:10:42"/>
    <x v="1309"/>
    <x v="0"/>
    <s v="Buffalo"/>
    <x v="379"/>
    <n v="1110728"/>
    <x v="0"/>
    <s v="Business/Management; Economics"/>
    <s v="9781118461204"/>
    <s v=",1,2,3,31,32,33,29,30,34,35,36"/>
    <n v="11"/>
    <m/>
    <m/>
    <s v="No"/>
    <x v="0"/>
    <d v="2015-10-18T15:49:16"/>
    <n v="7"/>
    <s v="128.205.114.91"/>
    <s v="HG4910 -- .M53 2013eb"/>
    <s v="332.63/22"/>
    <d v="2013-01-09T00:00:00"/>
  </r>
  <r>
    <x v="5138"/>
    <d v="1899-12-30T00:04:01"/>
    <x v="1310"/>
    <x v="5"/>
    <s v="erie"/>
    <x v="935"/>
    <n v="1718748"/>
    <x v="0"/>
    <s v="Mathematics"/>
    <s v="9781118791080"/>
    <s v=",4,5,6,2,3"/>
    <n v="5"/>
    <m/>
    <m/>
    <s v="Yes"/>
    <x v="0"/>
    <d v="2015-10-24T10:44:36"/>
    <n v="7"/>
    <s v="199.29.6.54"/>
    <s v="QA303 -- .R936 2014eb"/>
    <n v="515"/>
    <d v="2014-06-23T00:00:00"/>
  </r>
  <r>
    <x v="5139"/>
    <d v="1899-12-30T00:00:00"/>
    <x v="1310"/>
    <x v="5"/>
    <s v="erie"/>
    <x v="935"/>
    <n v="1718748"/>
    <x v="0"/>
    <s v="Mathematics"/>
    <s v="9781118791080"/>
    <m/>
    <n v="0"/>
    <m/>
    <m/>
    <s v="Yes"/>
    <x v="0"/>
    <d v="2015-10-24T10:44:36"/>
    <n v="7"/>
    <s v="199.29.6.54"/>
    <s v="QA303 -- .R936 2014eb"/>
    <n v="515"/>
    <d v="2014-06-23T00:00:00"/>
  </r>
  <r>
    <x v="5140"/>
    <d v="1899-12-30T00:03:49"/>
    <x v="1310"/>
    <x v="5"/>
    <s v="erie"/>
    <x v="935"/>
    <n v="1718748"/>
    <x v="0"/>
    <s v="Mathematics"/>
    <s v="9781118791080"/>
    <s v=",28,29,30,38,39,40,41,42,43,44,45,46,47,48,49,50,51"/>
    <n v="17"/>
    <m/>
    <s v=",21,22,23,24,25,26,21,22,23,24,25,26,27,28,29,30,31,32,33,34"/>
    <s v="Yes"/>
    <x v="0"/>
    <d v="2015-10-24T10:44:36"/>
    <n v="7"/>
    <s v="199.29.6.54"/>
    <s v="QA303 -- .R936 2014eb"/>
    <n v="515"/>
    <d v="2014-06-23T00:00:00"/>
  </r>
  <r>
    <x v="5141"/>
    <d v="1899-12-30T00:00:51"/>
    <x v="1310"/>
    <x v="5"/>
    <s v="erie"/>
    <x v="935"/>
    <n v="1718748"/>
    <x v="0"/>
    <s v="Mathematics"/>
    <s v="9781118791080"/>
    <s v=",27"/>
    <n v="1"/>
    <m/>
    <m/>
    <s v="Yes"/>
    <x v="0"/>
    <d v="2015-10-24T10:44:36"/>
    <n v="7"/>
    <s v="199.29.6.54"/>
    <s v="QA303 -- .R936 2014eb"/>
    <n v="515"/>
    <d v="2014-06-23T00:00:00"/>
  </r>
  <r>
    <x v="5142"/>
    <d v="1899-12-30T00:05:09"/>
    <x v="1310"/>
    <x v="5"/>
    <s v="erie"/>
    <x v="935"/>
    <n v="1718748"/>
    <x v="0"/>
    <s v="Mathematics"/>
    <s v="9781118791080"/>
    <s v=",1,2,3,1,2,3,4,5,6,7,8,9,10,11,12,14,15,16,13,17,18,19,20,21,22,23,24,25,26,27,28,29,30,31,32,33,34,35,36,37"/>
    <n v="37"/>
    <m/>
    <m/>
    <s v="No"/>
    <x v="0"/>
    <d v="2015-10-24T10:44:36"/>
    <n v="7"/>
    <s v="199.29.6.54"/>
    <s v="QA303 -- .R936 2014eb"/>
    <n v="515"/>
    <d v="2014-06-23T00:00:00"/>
  </r>
  <r>
    <x v="5143"/>
    <d v="1899-12-30T00:35:02"/>
    <x v="1310"/>
    <x v="5"/>
    <s v="erie"/>
    <x v="935"/>
    <n v="1718748"/>
    <x v="0"/>
    <s v="Mathematics"/>
    <s v="9781118791080"/>
    <s v=",22,23,27,26,28,25,24,29,30,31,32,34,35,36,33,37,38,39,40,41,42,43,44,45,46,47,48,49,50,51,52,53,54,55,56,57,58,59,60,61,43"/>
    <n v="40"/>
    <m/>
    <s v=",43,44,45,46,47,48,49,50,51,52,53,54,55,56,57"/>
    <s v="Yes"/>
    <x v="0"/>
    <d v="2015-10-24T10:44:36"/>
    <n v="7"/>
    <s v="199.29.6.54"/>
    <s v="QA303 -- .R936 2014eb"/>
    <n v="515"/>
    <d v="2014-06-23T00:00:00"/>
  </r>
  <r>
    <x v="5144"/>
    <d v="1899-12-30T00:00:09"/>
    <x v="1310"/>
    <x v="5"/>
    <s v="erie"/>
    <x v="935"/>
    <n v="1718748"/>
    <x v="0"/>
    <s v="Mathematics"/>
    <s v="9781118791080"/>
    <s v=",18,19"/>
    <n v="2"/>
    <s v=",18"/>
    <m/>
    <s v="No"/>
    <x v="0"/>
    <d v="2015-10-24T10:44:36"/>
    <n v="7"/>
    <s v="199.29.6.54"/>
    <s v="QA303 -- .R936 2014eb"/>
    <n v="515"/>
    <d v="2014-06-23T00:00:00"/>
  </r>
  <r>
    <x v="5145"/>
    <d v="1899-12-30T00:01:40"/>
    <x v="1310"/>
    <x v="5"/>
    <s v="erie"/>
    <x v="935"/>
    <n v="1718748"/>
    <x v="0"/>
    <s v="Mathematics"/>
    <s v="9781118791080"/>
    <s v=",2,3,1,5,6,7,4,18,19,20,16,17,21,19,20,21,17"/>
    <n v="13"/>
    <m/>
    <m/>
    <s v="No"/>
    <x v="1"/>
    <m/>
    <m/>
    <s v="199.29.6.54"/>
    <s v="QA303 -- .R936 2014eb"/>
    <n v="515"/>
    <d v="2014-06-23T00:00:00"/>
  </r>
  <r>
    <x v="5146"/>
    <d v="1899-12-30T00:00:04"/>
    <x v="986"/>
    <x v="0"/>
    <s v="Buffalo"/>
    <x v="73"/>
    <n v="1119505"/>
    <x v="0"/>
    <s v="Science: Chemistry; Science"/>
    <s v="9781118355015"/>
    <s v=",1,3,4,5,2"/>
    <n v="5"/>
    <m/>
    <m/>
    <s v="No"/>
    <x v="0"/>
    <d v="2015-10-24T02:32:14"/>
    <n v="7"/>
    <s v="128.205.114.91"/>
    <s v="QD251.3 -- .S38 2013eb"/>
    <s v="547/.128"/>
    <d v="2013-01-28T00:00:00"/>
  </r>
  <r>
    <x v="5147"/>
    <d v="1899-12-30T00:21:52"/>
    <x v="986"/>
    <x v="0"/>
    <s v="Buffalo"/>
    <x v="73"/>
    <n v="1119505"/>
    <x v="0"/>
    <s v="Science: Chemistry; Science"/>
    <s v="9781118355015"/>
    <s v=",1,3"/>
    <n v="2"/>
    <m/>
    <m/>
    <s v="No"/>
    <x v="1"/>
    <m/>
    <m/>
    <s v="128.205.114.91"/>
    <s v="QD251.3 -- .S38 2013eb"/>
    <s v="547/.128"/>
    <d v="2013-01-28T00:00:00"/>
  </r>
  <r>
    <x v="5148"/>
    <d v="1899-12-30T00:12:03"/>
    <x v="1311"/>
    <x v="9"/>
    <s v="trocaire"/>
    <x v="1250"/>
    <n v="1943363"/>
    <x v="0"/>
    <s v="Medicine"/>
    <s v="9781118746196"/>
    <s v=",1,2,3,3,2,1,2,2,159,160,159,161,157,161,158,158,160,162,162,156,161,162,163,157,163,156,155,160,161,162,157,156"/>
    <n v="12"/>
    <m/>
    <m/>
    <s v="No"/>
    <x v="0"/>
    <d v="2015-10-20T18:30:57"/>
    <n v="7"/>
    <s v="173.225.62.67"/>
    <s v="RB113 -- .N35 2015eb"/>
    <s v="616/.047"/>
    <d v="2015-02-05T00:00:00"/>
  </r>
  <r>
    <x v="5149"/>
    <d v="1899-12-30T00:03:39"/>
    <x v="1311"/>
    <x v="9"/>
    <s v="trocaire"/>
    <x v="1250"/>
    <n v="1943363"/>
    <x v="0"/>
    <s v="Medicine"/>
    <s v="9781118746196"/>
    <s v=",1,2,2,3,3,1,4,4,2,2,4,5,6,6,5,7,7,8,8,3,8,9,9,10,10,11,11,6,4,5,3,2,1"/>
    <n v="11"/>
    <m/>
    <m/>
    <s v="No"/>
    <x v="0"/>
    <d v="2015-10-20T18:30:57"/>
    <n v="7"/>
    <s v="173.225.62.67"/>
    <s v="RB113 -- .N35 2015eb"/>
    <s v="616/.047"/>
    <d v="2015-02-05T00:00:00"/>
  </r>
  <r>
    <x v="5150"/>
    <d v="1899-12-30T00:05:55"/>
    <x v="1312"/>
    <x v="12"/>
    <s v="potsdam"/>
    <x v="1251"/>
    <n v="1323948"/>
    <x v="0"/>
    <s v="History"/>
    <s v="9781118473443"/>
    <s v=",1,2,2,3,1,3,4,4,5,5,6,6,7,8,7,8,9,9,2,10,10,11,11,12,12,13,14,13,15,14,15,16,16,17,17,18,18,19,19,20,20,21,21,22,22,23,23,26,26,28,28,32,32,33,30,33,30,31,28,31,29,29,27,32,27,32,33,34,30,34,35,35,36,36,37,37,38,38,39,39"/>
    <n v="37"/>
    <m/>
    <m/>
    <s v="No"/>
    <x v="1"/>
    <m/>
    <m/>
    <s v="137.143.104.94"/>
    <s v="DS735 -- .R68 2014eb"/>
    <n v="951"/>
    <d v="2013-07-23T00:00:00"/>
  </r>
  <r>
    <x v="5151"/>
    <d v="1899-12-30T00:01:17"/>
    <x v="1313"/>
    <x v="7"/>
    <s v="oneonta"/>
    <x v="926"/>
    <n v="1584076"/>
    <x v="0"/>
    <s v="History"/>
    <s v="9780745679679"/>
    <s v=",1,2,2,3,3,2,2,1,4,4,5,6,5,6,251,252,253,252,249,250,251,250,253,254,254,255,255,250,249"/>
    <n v="13"/>
    <m/>
    <m/>
    <s v="No"/>
    <x v="3"/>
    <m/>
    <m/>
    <s v="137.141.13.2"/>
    <s v="DG445 .B384 2013"/>
    <n v="945.05"/>
    <d v="2013-12-18T00:00:00"/>
  </r>
  <r>
    <x v="5152"/>
    <d v="1899-12-30T00:31:08"/>
    <x v="13"/>
    <x v="0"/>
    <s v="Buffalo"/>
    <x v="975"/>
    <n v="817871"/>
    <x v="0"/>
    <s v="Computer Science/IT"/>
    <s v="9781118206911"/>
    <s v=",1,2,3,483,484,485,482,481,418,419,420,416,417,421,422,108,109,110,106,107,111,112"/>
    <n v="22"/>
    <m/>
    <m/>
    <s v="No"/>
    <x v="0"/>
    <d v="2015-10-22T19:18:19"/>
    <n v="7"/>
    <s v="128.205.114.91"/>
    <s v="QA76.76.H94"/>
    <n v="6.74"/>
    <d v="2011-12-20T00:00:00"/>
  </r>
  <r>
    <x v="5153"/>
    <d v="1899-12-30T00:00:02"/>
    <x v="1314"/>
    <x v="5"/>
    <s v="erie"/>
    <x v="702"/>
    <n v="1187185"/>
    <x v="0"/>
    <s v="Engineering; Engineering: Mining; Engineering: Environmental"/>
    <s v="9781118748183"/>
    <s v=",1"/>
    <n v="1"/>
    <m/>
    <m/>
    <s v="No"/>
    <x v="0"/>
    <d v="2015-10-23T18:27:06"/>
    <n v="7"/>
    <s v="199.29.6.54"/>
    <s v="TD195.G3 -- H65 2013eb"/>
    <n v="622.33799999999997"/>
    <d v="2013-05-06T00:00:00"/>
  </r>
  <r>
    <x v="5154"/>
    <d v="1899-12-30T00:19:45"/>
    <x v="1314"/>
    <x v="5"/>
    <s v="erie"/>
    <x v="702"/>
    <n v="1187185"/>
    <x v="0"/>
    <s v="Engineering; Engineering: Mining; Engineering: Environmental"/>
    <s v="9781118748183"/>
    <s v=",4,5,6,7,8,9,10,11,12,13,14,15,16,17,18,19,20,21,22,23,24,21,22,23,19,20"/>
    <n v="21"/>
    <m/>
    <s v=",19,20,36"/>
    <s v="Yes"/>
    <x v="0"/>
    <d v="2015-10-23T18:27:06"/>
    <n v="7"/>
    <s v="199.29.6.54"/>
    <s v="TD195.G3 -- H65 2013eb"/>
    <n v="622.33799999999997"/>
    <d v="2013-05-06T00:00:00"/>
  </r>
  <r>
    <x v="5154"/>
    <d v="1899-12-30T00:00:00"/>
    <x v="1314"/>
    <x v="5"/>
    <s v="erie"/>
    <x v="702"/>
    <n v="1187185"/>
    <x v="0"/>
    <s v="Engineering; Engineering: Mining; Engineering: Environmental"/>
    <s v="9781118748183"/>
    <m/>
    <n v="0"/>
    <m/>
    <m/>
    <s v="No"/>
    <x v="0"/>
    <d v="2015-10-23T18:27:06"/>
    <n v="7"/>
    <s v="199.29.6.54"/>
    <s v="TD195.G3 -- H65 2013eb"/>
    <n v="622.33799999999997"/>
    <d v="2013-05-06T00:00:00"/>
  </r>
  <r>
    <x v="5155"/>
    <d v="1899-12-30T00:06:56"/>
    <x v="1314"/>
    <x v="5"/>
    <s v="erie"/>
    <x v="702"/>
    <n v="1187185"/>
    <x v="0"/>
    <s v="Engineering; Engineering: Mining; Engineering: Environmental"/>
    <s v="9781118748183"/>
    <s v=",1,2,3,4,5,6,7,8,1"/>
    <n v="8"/>
    <m/>
    <m/>
    <s v="No"/>
    <x v="1"/>
    <m/>
    <m/>
    <s v="199.29.6.54"/>
    <s v="TD195.G3 -- H65 2013eb"/>
    <n v="622.33799999999997"/>
    <d v="2013-05-06T00:00:00"/>
  </r>
  <r>
    <x v="5156"/>
    <d v="1899-12-30T00:00:00"/>
    <x v="534"/>
    <x v="5"/>
    <s v="erie"/>
    <x v="1225"/>
    <n v="1378784"/>
    <x v="0"/>
    <s v="Medicine"/>
    <s v="9781118739655"/>
    <m/>
    <n v="0"/>
    <m/>
    <m/>
    <s v="No"/>
    <x v="2"/>
    <d v="2015-10-23T15:44:58"/>
    <n v="1"/>
    <s v="199.29.6.54"/>
    <s v="RC480"/>
    <s v="616.89/14; 616.8914"/>
    <d v="2013-09-04T00:00:00"/>
  </r>
  <r>
    <x v="5157"/>
    <d v="1899-12-30T00:00:20"/>
    <x v="534"/>
    <x v="5"/>
    <s v="erie"/>
    <x v="1225"/>
    <n v="1378784"/>
    <x v="0"/>
    <s v="Medicine"/>
    <s v="9781118739655"/>
    <s v=",1,2,3,4"/>
    <n v="4"/>
    <m/>
    <m/>
    <s v="No"/>
    <x v="3"/>
    <m/>
    <m/>
    <s v="199.29.6.54"/>
    <s v="RC480"/>
    <s v="616.89/14; 616.8914"/>
    <d v="2013-09-04T00:00:00"/>
  </r>
  <r>
    <x v="5158"/>
    <d v="1899-12-30T00:09:06"/>
    <x v="1315"/>
    <x v="1"/>
    <s v="brockport"/>
    <x v="1252"/>
    <n v="1882086"/>
    <x v="3"/>
    <s v="Social Science"/>
    <s v="9780520961135"/>
    <s v=",43,44,45,46,47,48,49,182,183,184,180,181,212,213,214,210,211,74,75,76,72,73,213,215,212,121,122,123,119,120,5,6,7,3,4,2,211,212,213,209,55,56,57,53,54,58,51,52,49,50,48,37,36,35,34,33,32,31,4,2,3,5,7,10,12,13,14,15,11,16,17,21,22,20,18,23,24,25,26,27,28,29,30,42,43"/>
    <n v="72"/>
    <m/>
    <m/>
    <s v="No"/>
    <x v="2"/>
    <d v="2015-10-23T15:29:59"/>
    <n v="1"/>
    <s v="137.21.7.121"/>
    <s v="HV6535.B73 -- .D469 2015eb"/>
    <s v="364.1520981/61"/>
    <d v="2015-03-21T00:00:00"/>
  </r>
  <r>
    <x v="5159"/>
    <d v="1899-12-30T00:05:09"/>
    <x v="1315"/>
    <x v="1"/>
    <s v="brockport"/>
    <x v="1252"/>
    <n v="1882086"/>
    <x v="3"/>
    <s v="Social Science"/>
    <s v="9780520961135"/>
    <s v=",1,3,2,4,5,6,7,8,9,10,11,12,13,14,15,16,17,18,20,19,21,22,23,24,25,26,27,28,29,30,31,32,33,34,35,36,37,38,40,43,41,42,39"/>
    <n v="43"/>
    <m/>
    <m/>
    <s v="No"/>
    <x v="3"/>
    <m/>
    <m/>
    <s v="137.21.7.121"/>
    <s v="HV6535.B73 -- .D469 2015eb"/>
    <s v="364.1520981/61"/>
    <d v="2015-03-21T00:00:00"/>
  </r>
  <r>
    <x v="5160"/>
    <d v="1899-12-30T00:00:03"/>
    <x v="1224"/>
    <x v="5"/>
    <s v="erie"/>
    <x v="1225"/>
    <n v="1378784"/>
    <x v="0"/>
    <s v="Medicine"/>
    <s v="9781118739655"/>
    <s v=",1,2,3"/>
    <n v="3"/>
    <m/>
    <m/>
    <s v="No"/>
    <x v="3"/>
    <m/>
    <m/>
    <s v="199.29.6.54"/>
    <s v="RC480"/>
    <s v="616.89/14; 616.8914"/>
    <d v="2013-09-04T00:00:00"/>
  </r>
  <r>
    <x v="5161"/>
    <d v="1899-12-30T00:00:31"/>
    <x v="1316"/>
    <x v="13"/>
    <s v="buffalostate"/>
    <x v="232"/>
    <n v="822111"/>
    <x v="0"/>
    <s v="Social Science"/>
    <s v="9781444356922"/>
    <s v=",1,2,3,7,8,9,5,32,33,34,30,31"/>
    <n v="12"/>
    <m/>
    <m/>
    <s v="No"/>
    <x v="1"/>
    <m/>
    <m/>
    <s v="136.183.11.43"/>
    <s v="HV6773 -- .K69 2012eb"/>
    <s v="302.34/3"/>
    <d v="2012-02-16T00:00:00"/>
  </r>
  <r>
    <x v="5162"/>
    <d v="1899-12-30T00:09:59"/>
    <x v="1043"/>
    <x v="0"/>
    <s v="Buffalo"/>
    <x v="73"/>
    <n v="1119505"/>
    <x v="0"/>
    <s v="Science: Chemistry; Science"/>
    <s v="9781118355015"/>
    <s v=",1,2,2,3,3,1,178,179,180,180,179,181,178,181,177,182,183,183,182,184,184,2,185,185,180,185,191,192,191,192,193,193,194,195,194,195,196,196,197,197,192,197,198,198"/>
    <n v="20"/>
    <m/>
    <m/>
    <s v="No"/>
    <x v="0"/>
    <d v="2015-10-22T14:01:06"/>
    <n v="7"/>
    <s v="128.205.114.91"/>
    <s v="QD251.3 -- .S38 2013eb"/>
    <s v="547/.128"/>
    <d v="2013-01-28T00:00:00"/>
  </r>
  <r>
    <x v="5163"/>
    <d v="1899-12-30T00:00:00"/>
    <x v="382"/>
    <x v="0"/>
    <s v="Buffalo"/>
    <x v="406"/>
    <n v="1762797"/>
    <x v="0"/>
    <s v="Social Science"/>
    <s v="9781118921296"/>
    <m/>
    <n v="0"/>
    <m/>
    <m/>
    <s v="Yes"/>
    <x v="0"/>
    <d v="2015-10-23T12:57:08"/>
    <n v="7"/>
    <s v="128.205.114.91"/>
    <s v="HM538 -- .D55 2014eb"/>
    <s v="300.72/3"/>
    <d v="2014-08-06T00:00:00"/>
  </r>
  <r>
    <x v="5163"/>
    <d v="1899-12-30T00:00:00"/>
    <x v="382"/>
    <x v="0"/>
    <s v="Buffalo"/>
    <x v="406"/>
    <n v="1762797"/>
    <x v="0"/>
    <s v="Social Science"/>
    <s v="9781118921296"/>
    <m/>
    <n v="0"/>
    <m/>
    <m/>
    <s v="No"/>
    <x v="0"/>
    <d v="2015-10-23T12:57:08"/>
    <n v="7"/>
    <s v="128.205.114.91"/>
    <s v="HM538 -- .D55 2014eb"/>
    <s v="300.72/3"/>
    <d v="2014-08-06T00:00:00"/>
  </r>
  <r>
    <x v="5164"/>
    <d v="1899-12-30T00:00:19"/>
    <x v="382"/>
    <x v="0"/>
    <s v="Buffalo"/>
    <x v="406"/>
    <n v="1762797"/>
    <x v="0"/>
    <s v="Social Science"/>
    <s v="9781118921296"/>
    <s v=",1,2,3,14,17,18,19,15,16"/>
    <n v="9"/>
    <m/>
    <m/>
    <s v="No"/>
    <x v="1"/>
    <m/>
    <m/>
    <s v="128.205.114.91"/>
    <s v="HM538 -- .D55 2014eb"/>
    <s v="300.72/3"/>
    <d v="2014-08-06T00:00:00"/>
  </r>
  <r>
    <x v="5165"/>
    <d v="1899-12-30T00:13:02"/>
    <x v="1317"/>
    <x v="0"/>
    <s v="Buffalo"/>
    <x v="1253"/>
    <n v="817864"/>
    <x v="0"/>
    <s v="Home Economics; Business/Management"/>
    <s v="9781118206485"/>
    <s v=",1,2,3,74,75,76,72,73"/>
    <n v="8"/>
    <m/>
    <m/>
    <s v="No"/>
    <x v="0"/>
    <d v="2015-10-22T19:00:38"/>
    <n v="7"/>
    <s v="128.205.114.91"/>
    <s v="HD1379 -- .T97 2012eb"/>
    <s v="643.12; 643/.12/02855369"/>
    <d v="2012-02-02T00:00:00"/>
  </r>
  <r>
    <x v="5166"/>
    <d v="1899-12-30T00:00:47"/>
    <x v="1318"/>
    <x v="0"/>
    <s v="Buffalo"/>
    <x v="344"/>
    <n v="1691133"/>
    <x v="4"/>
    <s v="Medicine"/>
    <s v="9781462516278"/>
    <s v=",1,2,3"/>
    <n v="3"/>
    <m/>
    <m/>
    <s v="No"/>
    <x v="1"/>
    <m/>
    <m/>
    <s v="128.205.114.91"/>
    <s v="RC552.P67 -- .H353 2014eb"/>
    <s v="616.85/21"/>
    <d v="2014-05-15T00:00:00"/>
  </r>
  <r>
    <x v="5167"/>
    <d v="1899-12-30T00:51:33"/>
    <x v="853"/>
    <x v="0"/>
    <s v="Buffalo"/>
    <x v="477"/>
    <n v="1120279"/>
    <x v="0"/>
    <s v="Science: Biology/Natural History; Science"/>
    <s v="9781118537671"/>
    <s v=",1,2,3,32,33,34,30,31,35,36,37,38,39,40,41,42,43,44,45,82,83,84,80,81,79,78,77,75,76,85,86,87,50,51,52,48,49,53,54,55,56,57,58,59,60,61,62,63,64,65,66,88,89,90,91,92,93,94,95,96,97,98,99,67,68,15,16,17,13,14,18,19,20,21,22,23,24,25,26,27,28,29"/>
    <n v="82"/>
    <m/>
    <m/>
    <s v="No"/>
    <x v="0"/>
    <d v="2015-10-22T20:26:34"/>
    <n v="7"/>
    <s v="128.205.114.91"/>
    <s v="QH371 .K384 2012"/>
    <n v="599.93499999999995"/>
    <d v="2012-11-19T00:00:00"/>
  </r>
  <r>
    <x v="5168"/>
    <d v="1899-12-30T00:13:26"/>
    <x v="1319"/>
    <x v="12"/>
    <s v="potsdam"/>
    <x v="1090"/>
    <n v="1823060"/>
    <x v="0"/>
    <s v="Computer Science/IT"/>
    <s v="9781119019152"/>
    <s v=",29,30,31,32,33,34,35"/>
    <n v="7"/>
    <m/>
    <m/>
    <s v="No"/>
    <x v="0"/>
    <d v="2015-10-23T06:37:25"/>
    <n v="7"/>
    <s v="137.143.104.94"/>
    <s v="TK5105.59 -- .F73 2015eb"/>
    <n v="5.8"/>
    <d v="2014-10-20T00:00:00"/>
  </r>
  <r>
    <x v="5169"/>
    <d v="1899-12-30T00:00:01"/>
    <x v="1320"/>
    <x v="13"/>
    <s v="buffalostate"/>
    <x v="127"/>
    <n v="1166311"/>
    <x v="0"/>
    <s v="Military Science"/>
    <s v="9781118525616"/>
    <s v=",82"/>
    <n v="1"/>
    <m/>
    <m/>
    <s v="No"/>
    <x v="0"/>
    <d v="2015-10-23T06:32:17"/>
    <n v="7"/>
    <s v="136.183.11.43"/>
    <s v="U408.5 .P384 2013"/>
    <n v="355.00700000000001"/>
    <d v="2013-04-02T00:00:00"/>
  </r>
  <r>
    <x v="5170"/>
    <d v="1899-12-30T00:17:51"/>
    <x v="1319"/>
    <x v="12"/>
    <s v="potsdam"/>
    <x v="1090"/>
    <n v="1823060"/>
    <x v="0"/>
    <s v="Computer Science/IT"/>
    <s v="9781119019152"/>
    <s v=",1,2,3,4,5,6,7,8,9,10,11,12,13,14,15,16,17,18,19,20,21,22,23,24,25,26,27,28,25,26,27,291,291"/>
    <n v="29"/>
    <m/>
    <m/>
    <s v="No"/>
    <x v="1"/>
    <m/>
    <m/>
    <s v="137.143.104.94"/>
    <s v="TK5105.59 -- .F73 2015eb"/>
    <n v="5.8"/>
    <d v="2014-10-20T00:00:00"/>
  </r>
  <r>
    <x v="5171"/>
    <d v="1899-12-30T00:31:19"/>
    <x v="1320"/>
    <x v="13"/>
    <s v="buffalostate"/>
    <x v="127"/>
    <n v="1166311"/>
    <x v="0"/>
    <s v="Military Science"/>
    <s v="9781118525616"/>
    <s v=",1,2,3,6,4,5,7,8,9,10,11,12,13,16,17,18,14,15,19,77,78,79,75,76,80,81"/>
    <n v="26"/>
    <m/>
    <m/>
    <s v="No"/>
    <x v="1"/>
    <m/>
    <m/>
    <s v="136.183.11.43"/>
    <s v="U408.5 .P384 2013"/>
    <n v="355.00700000000001"/>
    <d v="2013-04-02T00:00:00"/>
  </r>
  <r>
    <x v="5172"/>
    <d v="1899-12-30T02:56:55"/>
    <x v="1321"/>
    <x v="8"/>
    <s v="niagaracc"/>
    <x v="1254"/>
    <n v="1531052"/>
    <x v="0"/>
    <s v="Law"/>
    <s v="9781118807224"/>
    <s v=",24,25,26,27,28,29,30,31,32,33,34,35,36,37,38,39,40,41,42,43,44,45,46,47,48,49,50,51,52,53,54,55,56,57,58,59,60,61,62,63,64,65,66,67,68,69,70,71,73,89,90,91,87,88,92,93,94,95,96,97,117,118,119,116,115,120,121,122,127,128,129,130,126,131,132,133,134,135,136,137,138,139,140,141,142,143,144,145,146,147,148,149,150,151,152,153,154,155,156,157,158,159,160,161,162,163,164,165,166,167,168,169,170,171,172,173,174,175,176,177,178,179,180,189,190,191,187,188,192,193,194,195,196,197,198,199,200,201,202,203,238,239,240,236,237,241,242,243,244,245,257,258,259,256,255,260,261,262,263,264,265"/>
    <n v="161"/>
    <m/>
    <m/>
    <s v="No"/>
    <x v="2"/>
    <d v="2015-10-23T03:17:23"/>
    <n v="1"/>
    <s v="132.174.254.37"/>
    <s v="K4460 .T384 2013"/>
    <n v="341.01"/>
    <d v="2013-01-11T00:00:00"/>
  </r>
  <r>
    <x v="5173"/>
    <d v="1899-12-30T00:05:20"/>
    <x v="1321"/>
    <x v="8"/>
    <s v="niagaracc"/>
    <x v="1254"/>
    <n v="1531052"/>
    <x v="0"/>
    <s v="Law"/>
    <s v="9781118807224"/>
    <s v=",1,2,3,4,5,6,7,8,9,10,11,12,14,13,15,16,20,22,21,18,19,23"/>
    <n v="22"/>
    <m/>
    <m/>
    <s v="No"/>
    <x v="3"/>
    <m/>
    <m/>
    <s v="132.174.254.37"/>
    <s v="K4460 .T384 2013"/>
    <n v="341.01"/>
    <d v="2013-01-11T00:00:00"/>
  </r>
  <r>
    <x v="5174"/>
    <d v="1899-12-30T00:00:54"/>
    <x v="699"/>
    <x v="0"/>
    <s v="Buffalo"/>
    <x v="780"/>
    <n v="1681156"/>
    <x v="7"/>
    <s v="Social Science; Health"/>
    <s v="9781845939205"/>
    <s v=",49"/>
    <n v="1"/>
    <m/>
    <m/>
    <s v="No"/>
    <x v="2"/>
    <d v="2015-10-23T02:42:40"/>
    <n v="1"/>
    <s v="128.205.114.91"/>
    <s v="RA566.27 -- .E947 2014eb"/>
    <s v="362.1969/8"/>
    <d v="2014-04-22T00:00:00"/>
  </r>
  <r>
    <x v="5175"/>
    <d v="1899-12-30T00:01:01"/>
    <x v="699"/>
    <x v="0"/>
    <s v="Buffalo"/>
    <x v="780"/>
    <n v="1681156"/>
    <x v="7"/>
    <s v="Social Science; Health"/>
    <s v="9781845939205"/>
    <s v=",1,2,3,4,5,6,7,8,9,10,11,70,71,72,68,69,73,74,75,76,77,78,79,80,78"/>
    <n v="24"/>
    <m/>
    <m/>
    <s v="No"/>
    <x v="3"/>
    <m/>
    <m/>
    <s v="128.205.114.91"/>
    <s v="RA566.27 -- .E947 2014eb"/>
    <s v="362.1969/8"/>
    <d v="2014-04-22T00:00:00"/>
  </r>
  <r>
    <x v="5176"/>
    <d v="1899-12-30T01:01:56"/>
    <x v="13"/>
    <x v="0"/>
    <s v="Buffalo"/>
    <x v="477"/>
    <n v="1120279"/>
    <x v="0"/>
    <s v="Science: Biology/Natural History; Science"/>
    <s v="9781118537671"/>
    <s v=",1,2,3,32,33,34,30,31,35,36,37,38,39,40,41,38,39,40,36,37,41,42,43,41,40,44,45,50,51,52,48,49,53,54,55,56,57,58,59,60,61,62,63,64,65,66,67,68,69,70,71,72,73,74,75,76,77,78"/>
    <n v="50"/>
    <m/>
    <m/>
    <s v="No"/>
    <x v="0"/>
    <d v="2015-10-21T04:13:20"/>
    <n v="7"/>
    <s v="128.205.114.91"/>
    <s v="QH371 .K384 2012"/>
    <n v="599.93499999999995"/>
    <d v="2012-11-19T00:00:00"/>
  </r>
  <r>
    <x v="5177"/>
    <d v="1899-12-30T00:44:42"/>
    <x v="1322"/>
    <x v="13"/>
    <s v="buffalostate"/>
    <x v="1255"/>
    <n v="1318207"/>
    <x v="0"/>
    <s v="Education"/>
    <s v="9781118422083"/>
    <s v=",144,145,146,147,148,149,150,151,152,153,154,155,156,157,158,159,160,161,162"/>
    <n v="19"/>
    <m/>
    <m/>
    <s v="Yes"/>
    <x v="0"/>
    <d v="2015-10-23T01:37:46"/>
    <n v="7"/>
    <s v="136.183.11.43"/>
    <s v="LC192.2 -- .D38 2013eb"/>
    <s v="370.11/5"/>
    <d v="2013-07-15T00:00:00"/>
  </r>
  <r>
    <x v="5178"/>
    <d v="1899-12-30T00:00:01"/>
    <x v="1322"/>
    <x v="13"/>
    <s v="buffalostate"/>
    <x v="1255"/>
    <n v="1318207"/>
    <x v="0"/>
    <s v="Education"/>
    <s v="9781118422083"/>
    <s v=",143"/>
    <n v="1"/>
    <m/>
    <m/>
    <s v="No"/>
    <x v="0"/>
    <d v="2015-10-23T01:37:46"/>
    <n v="7"/>
    <s v="136.183.11.43"/>
    <s v="LC192.2 -- .D38 2013eb"/>
    <s v="370.11/5"/>
    <d v="2013-07-15T00:00:00"/>
  </r>
  <r>
    <x v="5179"/>
    <d v="1899-12-30T00:10:08"/>
    <x v="1322"/>
    <x v="13"/>
    <s v="buffalostate"/>
    <x v="1255"/>
    <n v="1318207"/>
    <x v="0"/>
    <s v="Education"/>
    <s v="9781118422083"/>
    <s v=",1,2,3,9,10,11,7,8,12,17,45,55,62,72,72,73,102,103,104,124,128,129,130,131,132,133,134,135,136,137,138,139,140,141,142"/>
    <n v="34"/>
    <m/>
    <m/>
    <s v="No"/>
    <x v="1"/>
    <m/>
    <m/>
    <s v="136.183.11.43"/>
    <s v="LC192.2 -- .D38 2013eb"/>
    <s v="370.11/5"/>
    <d v="2013-07-15T00:00:00"/>
  </r>
  <r>
    <x v="5180"/>
    <d v="1899-12-30T00:00:38"/>
    <x v="13"/>
    <x v="0"/>
    <s v="Buffalo"/>
    <x v="8"/>
    <n v="1683360"/>
    <x v="4"/>
    <s v="General Works/Reference; Social Science"/>
    <s v="9781462516032"/>
    <s v=",1,2,3,4,5,6,7"/>
    <n v="7"/>
    <m/>
    <m/>
    <s v="No"/>
    <x v="1"/>
    <m/>
    <m/>
    <s v="128.205.114.91"/>
    <s v="H62 -- .S454 2014eb"/>
    <n v="1.42"/>
    <d v="2014-07-03T00:00:00"/>
  </r>
  <r>
    <x v="5181"/>
    <d v="1899-12-30T00:01:08"/>
    <x v="1323"/>
    <x v="1"/>
    <s v="brockport"/>
    <x v="901"/>
    <n v="864784"/>
    <x v="10"/>
    <s v="Education"/>
    <s v="9781400841578"/>
    <s v=",1,2,3,4,10,11,12,8,9,167,168,169,165,166,170,164"/>
    <n v="16"/>
    <m/>
    <m/>
    <s v="No"/>
    <x v="1"/>
    <m/>
    <m/>
    <s v="137.21.7.121"/>
    <s v="LA227.4 .D455 2012"/>
    <n v="378.73"/>
    <d v="2014-05-27T00:00:00"/>
  </r>
  <r>
    <x v="5182"/>
    <d v="1899-12-30T00:07:55"/>
    <x v="26"/>
    <x v="6"/>
    <s v="sjfc"/>
    <x v="713"/>
    <n v="565082"/>
    <x v="0"/>
    <s v="Education"/>
    <s v="9781118041567"/>
    <s v=",1,2,3,60,61,62,58,59,63,64,65"/>
    <n v="11"/>
    <m/>
    <m/>
    <s v="No"/>
    <x v="1"/>
    <m/>
    <m/>
    <s v="149.69.254.57"/>
    <s v="LB1775 .P25 2010"/>
    <s v="371.1; 371.102"/>
    <d v="2010-06-08T00:00:00"/>
  </r>
  <r>
    <x v="5183"/>
    <d v="1899-12-30T00:01:06"/>
    <x v="1324"/>
    <x v="13"/>
    <s v="buffalostate"/>
    <x v="631"/>
    <n v="1798778"/>
    <x v="0"/>
    <s v="Medicine"/>
    <s v="9781118760741"/>
    <s v=",4,5,6,7,8,9,10,11,12,13,14,9,10,11,12,13,14"/>
    <n v="11"/>
    <m/>
    <m/>
    <s v="Yes"/>
    <x v="0"/>
    <d v="2015-10-22T21:33:41"/>
    <n v="7"/>
    <s v="136.183.11.43"/>
    <s v="RC71.5 -- .D954 2015eb"/>
    <n v="616.07500000000005"/>
    <d v="2014-09-24T00:00:00"/>
  </r>
  <r>
    <x v="5184"/>
    <d v="1899-12-30T00:00:00"/>
    <x v="1324"/>
    <x v="13"/>
    <s v="buffalostate"/>
    <x v="631"/>
    <n v="1798778"/>
    <x v="0"/>
    <s v="Medicine"/>
    <s v="9781118760741"/>
    <m/>
    <n v="0"/>
    <m/>
    <m/>
    <s v="Yes"/>
    <x v="0"/>
    <d v="2015-10-22T21:33:41"/>
    <n v="7"/>
    <s v="136.183.11.43"/>
    <s v="RC71.5 -- .D954 2015eb"/>
    <n v="616.07500000000005"/>
    <d v="2014-09-24T00:00:00"/>
  </r>
  <r>
    <x v="5185"/>
    <d v="1899-12-30T00:00:00"/>
    <x v="1324"/>
    <x v="13"/>
    <s v="buffalostate"/>
    <x v="631"/>
    <n v="1798778"/>
    <x v="0"/>
    <s v="Medicine"/>
    <s v="9781118760741"/>
    <m/>
    <n v="0"/>
    <m/>
    <m/>
    <s v="Yes"/>
    <x v="0"/>
    <d v="2015-10-22T21:33:41"/>
    <n v="7"/>
    <s v="136.183.11.43"/>
    <s v="RC71.5 -- .D954 2015eb"/>
    <n v="616.07500000000005"/>
    <d v="2014-09-24T00:00:00"/>
  </r>
  <r>
    <x v="5186"/>
    <d v="1899-12-30T00:00:00"/>
    <x v="1324"/>
    <x v="13"/>
    <s v="buffalostate"/>
    <x v="631"/>
    <n v="1798778"/>
    <x v="0"/>
    <s v="Medicine"/>
    <s v="9781118760741"/>
    <m/>
    <n v="0"/>
    <m/>
    <m/>
    <s v="Yes"/>
    <x v="0"/>
    <d v="2015-10-22T21:33:41"/>
    <n v="7"/>
    <s v="136.183.11.43"/>
    <s v="RC71.5 -- .D954 2015eb"/>
    <n v="616.07500000000005"/>
    <d v="2014-09-24T00:00:00"/>
  </r>
  <r>
    <x v="5187"/>
    <d v="1899-12-30T00:01:59"/>
    <x v="1324"/>
    <x v="13"/>
    <s v="buffalostate"/>
    <x v="631"/>
    <n v="1798778"/>
    <x v="0"/>
    <s v="Medicine"/>
    <s v="9781118760741"/>
    <s v=",3,1"/>
    <n v="2"/>
    <m/>
    <m/>
    <s v="Yes"/>
    <x v="0"/>
    <d v="2015-10-22T21:33:41"/>
    <n v="7"/>
    <s v="136.183.11.43"/>
    <s v="RC71.5 -- .D954 2015eb"/>
    <n v="616.07500000000005"/>
    <d v="2014-09-24T00:00:00"/>
  </r>
  <r>
    <x v="5188"/>
    <d v="1899-12-30T02:18:46"/>
    <x v="807"/>
    <x v="0"/>
    <s v="Buffalo"/>
    <x v="73"/>
    <n v="1119505"/>
    <x v="0"/>
    <s v="Science: Chemistry; Science"/>
    <s v="9781118355015"/>
    <s v=",1,2,3,158,159,160,151,152,153,149,150,148,154,155,156,157,158,159,160,161,162,163,164,165,166,167,168,169,170,171,172,173,174,175,176,177,178,179,180,181,182,183,184,144,143,145,146,147,148,149,171,172,173,174,175,176,177,178,179,180,181,182,183,184"/>
    <n v="45"/>
    <m/>
    <m/>
    <s v="No"/>
    <x v="0"/>
    <d v="2015-10-21T00:00:44"/>
    <n v="7"/>
    <s v="128.205.114.91"/>
    <s v="QD251.3 -- .S38 2013eb"/>
    <s v="547/.128"/>
    <d v="2013-01-28T00:00:00"/>
  </r>
  <r>
    <x v="5189"/>
    <d v="1899-12-30T00:15:13"/>
    <x v="1324"/>
    <x v="13"/>
    <s v="buffalostate"/>
    <x v="631"/>
    <n v="1798778"/>
    <x v="0"/>
    <s v="Medicine"/>
    <s v="9781118760741"/>
    <s v=",350,277,190,52,1,6,8,15,49,98,121,122,123,115,116,117,118,119,120,121,122,124,125,126,127,128,129,130,131,132,133,134,135,136,137,138,139,140,141,142,143,144,145,146,147,148,149,150,96,14,1,3,4,5,6,7,8,9,10,11,12,13,14,15,16,17,18,19,20,21,22,23,24,25,26,27,28,29,30,31,32,33,34,35,36,37,38,39,40,41,42,43,44,45,46,47,48,49,50,51,52,53,54,55,56,57,58,59,60,61,62,63,64,65,66,67,68,69,70,71,72,73,74,75,76,71,76,77,70,76,71,71,75,71,72,69,16,1,35,49,34,36,64,65,63,47,44,9,1,3,4,5,6,7,8"/>
    <n v="117"/>
    <m/>
    <m/>
    <s v="No"/>
    <x v="0"/>
    <d v="2015-10-22T21:33:41"/>
    <n v="7"/>
    <s v="136.183.11.43"/>
    <s v="RC71.5 -- .D954 2015eb"/>
    <n v="616.07500000000005"/>
    <d v="2014-09-24T00:00:00"/>
  </r>
  <r>
    <x v="5190"/>
    <d v="1899-12-30T00:10:16"/>
    <x v="1324"/>
    <x v="13"/>
    <s v="buffalostate"/>
    <x v="631"/>
    <n v="1798778"/>
    <x v="0"/>
    <s v="Medicine"/>
    <s v="9781118760741"/>
    <s v=",1,2,3,9,10,11,7,8,12,13,14,15,16,3,4,1,4,5,6,7,8,9,10,11,12,10,20,1,3,4,5,6,7,8,9,10,11,12,5,6,7,11,12,13,14,341,342,343,339,340,325,326,327,323,324,328,329,330,331,332,333,334,335,336,337,338,339,340,341,342,343,344,345,346,347,348,349,344,350,351,352,347,346,345"/>
    <n v="47"/>
    <m/>
    <m/>
    <s v="No"/>
    <x v="1"/>
    <m/>
    <m/>
    <s v="136.183.11.43"/>
    <s v="RC71.5 -- .D954 2015eb"/>
    <n v="616.07500000000005"/>
    <d v="2014-09-24T00:00:00"/>
  </r>
  <r>
    <x v="5191"/>
    <d v="1899-12-30T00:54:11"/>
    <x v="853"/>
    <x v="0"/>
    <s v="Buffalo"/>
    <x v="477"/>
    <n v="1120279"/>
    <x v="0"/>
    <s v="Science: Biology/Natural History; Science"/>
    <s v="9781118537671"/>
    <s v=",36,37,38,39,40,41,42,43,44,45,46,47,48,49,50,51,35,35"/>
    <n v="17"/>
    <m/>
    <m/>
    <s v="No"/>
    <x v="0"/>
    <d v="2015-10-22T20:26:34"/>
    <n v="7"/>
    <s v="128.205.114.91"/>
    <s v="QH371 .K384 2012"/>
    <n v="599.93499999999995"/>
    <d v="2012-11-19T00:00:00"/>
  </r>
  <r>
    <x v="5192"/>
    <d v="1899-12-30T04:29:07"/>
    <x v="452"/>
    <x v="0"/>
    <s v="Buffalo"/>
    <x v="477"/>
    <n v="1120279"/>
    <x v="0"/>
    <s v="Science: Biology/Natural History; Science"/>
    <s v="9781118537671"/>
    <s v=",22,23,24,25,8,8,9,10,12,13,15,19,16,20,21,22,23,24,25,26,27,28,29,30,29,28,27,28,29,30,31,30,31,33,32,34,35,36,37,38,39,38,37,36,35,34,33,34,35,36,37,38,39,37,36,35,36,37,38,39,40,41,42,43,44,45,46,47,48,49,50,51,52,53,54,55,56,57,58,59,60,61,62,63,64,65,64,63,64,65,66,67,70,71,72,73,75,77,79,80,81,82,83,84,85,86,87,88,89,90,281,281,1,279,277,49,74,91,92,93,94"/>
    <n v="83"/>
    <m/>
    <m/>
    <s v="Yes"/>
    <x v="0"/>
    <d v="2015-10-22T20:16:13"/>
    <n v="7"/>
    <s v="128.205.114.91"/>
    <s v="QH371 .K384 2012"/>
    <n v="599.93499999999995"/>
    <d v="2012-11-19T00:00:00"/>
  </r>
  <r>
    <x v="5193"/>
    <d v="1899-12-30T00:00:00"/>
    <x v="452"/>
    <x v="0"/>
    <s v="Buffalo"/>
    <x v="477"/>
    <n v="1120279"/>
    <x v="0"/>
    <s v="Science: Biology/Natural History; Science"/>
    <s v="9781118537671"/>
    <m/>
    <n v="0"/>
    <m/>
    <m/>
    <s v="No"/>
    <x v="0"/>
    <d v="2015-10-22T20:16:13"/>
    <n v="7"/>
    <s v="128.205.114.91"/>
    <s v="QH371 .K384 2012"/>
    <n v="599.93499999999995"/>
    <d v="2012-11-19T00:00:00"/>
  </r>
  <r>
    <x v="5194"/>
    <d v="1899-12-30T00:00:55"/>
    <x v="452"/>
    <x v="0"/>
    <s v="Buffalo"/>
    <x v="477"/>
    <n v="1120279"/>
    <x v="0"/>
    <s v="Science: Biology/Natural History; Science"/>
    <s v="9781118537671"/>
    <s v=",1,2,3,16,17,18,14,15,19,20,21,22,23,2,24"/>
    <n v="14"/>
    <m/>
    <m/>
    <s v="No"/>
    <x v="1"/>
    <m/>
    <m/>
    <s v="128.205.114.91"/>
    <s v="QH371 .K384 2012"/>
    <n v="599.93499999999995"/>
    <d v="2012-11-19T00:00:00"/>
  </r>
  <r>
    <x v="5195"/>
    <d v="1899-12-30T00:54:09"/>
    <x v="906"/>
    <x v="1"/>
    <s v="brockport"/>
    <x v="151"/>
    <n v="968030"/>
    <x v="0"/>
    <s v="Psychology"/>
    <s v="9781118285138"/>
    <s v=",1,3,2,491,492,493,494,495,496,497,498,499,500"/>
    <n v="13"/>
    <m/>
    <m/>
    <s v="No"/>
    <x v="0"/>
    <d v="2015-10-22T04:36:25"/>
    <n v="7"/>
    <s v="137.21.7.121"/>
    <s v="BF637.C6 -- S85 2013eb"/>
    <n v="158.30000000000001"/>
    <d v="2012-07-10T00:00:00"/>
  </r>
  <r>
    <x v="5196"/>
    <d v="1899-12-30T00:19:48"/>
    <x v="853"/>
    <x v="0"/>
    <s v="Buffalo"/>
    <x v="477"/>
    <n v="1120279"/>
    <x v="0"/>
    <s v="Science: Biology/Natural History; Science"/>
    <s v="9781118537671"/>
    <s v=",1,2,3,32,33,34,31,30,35,30,32,33,34,30,31,35,33,35,34,31,32"/>
    <n v="9"/>
    <m/>
    <m/>
    <s v="No"/>
    <x v="1"/>
    <m/>
    <m/>
    <s v="128.205.114.91"/>
    <s v="QH371 .K384 2012"/>
    <n v="599.93499999999995"/>
    <d v="2012-11-19T00:00:00"/>
  </r>
  <r>
    <x v="5197"/>
    <d v="1899-12-30T00:09:20"/>
    <x v="846"/>
    <x v="1"/>
    <s v="brockport"/>
    <x v="519"/>
    <n v="822662"/>
    <x v="0"/>
    <s v="History"/>
    <s v="9781444355130"/>
    <s v=",1,2,3,203,204,205,201,202,206,207,209,212,214,215,217,218,219,220,221,222,223,224,225,226,227,228,229"/>
    <n v="27"/>
    <m/>
    <m/>
    <s v="No"/>
    <x v="1"/>
    <m/>
    <m/>
    <s v="137.21.7.121"/>
    <s v="DT20 -- .R45 2012eb"/>
    <n v="960.3"/>
    <d v="2011-11-11T00:00:00"/>
  </r>
  <r>
    <x v="5198"/>
    <d v="1899-12-30T00:06:31"/>
    <x v="1274"/>
    <x v="0"/>
    <s v="Buffalo"/>
    <x v="31"/>
    <n v="1682559"/>
    <x v="4"/>
    <s v="Medicine"/>
    <s v="9781462515431"/>
    <s v=",1,2,3,185,186,187,183,184,659,660,661,657,658,2,662,663,664,665,666,183,184,188,189,231,232,233,229,230,234,274,557,558,559,555,556,613,614,615,612,610,611,609,608,607,606,183,184,188,182"/>
    <n v="43"/>
    <m/>
    <m/>
    <s v="No"/>
    <x v="1"/>
    <m/>
    <m/>
    <s v="128.205.114.91"/>
    <s v="RC469 -- .M677 2014eb"/>
    <n v="616.89"/>
    <d v="2014-05-10T00:00:00"/>
  </r>
  <r>
    <x v="5199"/>
    <d v="1899-12-30T01:14:15"/>
    <x v="13"/>
    <x v="0"/>
    <s v="Buffalo"/>
    <x v="73"/>
    <n v="1119505"/>
    <x v="0"/>
    <s v="Science: Chemistry; Science"/>
    <s v="9781118355015"/>
    <s v=",1,2,3,151,152,153,149,150,148,147,146,145,144,143,142,141,139,140,1,140,141,142,138,139,164,165,166,162,163,167,161,160,159,158,156,151,152,2,153,149,150,148,147,154"/>
    <n v="31"/>
    <m/>
    <m/>
    <s v="No"/>
    <x v="0"/>
    <d v="2015-10-22T17:25:01"/>
    <n v="7"/>
    <s v="128.205.114.91"/>
    <s v="QD251.3 -- .S38 2013eb"/>
    <s v="547/.128"/>
    <d v="2013-01-28T00:00:00"/>
  </r>
  <r>
    <x v="5200"/>
    <d v="1899-12-30T01:10:46"/>
    <x v="13"/>
    <x v="0"/>
    <s v="Buffalo"/>
    <x v="975"/>
    <n v="817871"/>
    <x v="0"/>
    <s v="Computer Science/IT"/>
    <s v="9781118206911"/>
    <s v=",328,329,330,327,326,324,325,320,321,322,318,319,347,348,349,345,346,344,368,369,370,366,367,371,372,373,374,375,376,377,378,379,380,381,382,383,384,385,386,422,423,424,420,421,425,426,427,428,108,109,110,106,107,111,112,105,104,113,114,115,116,117,118,418,420,419,416,417,421"/>
    <n v="67"/>
    <m/>
    <m/>
    <s v="No"/>
    <x v="0"/>
    <d v="2015-10-22T19:18:19"/>
    <n v="7"/>
    <s v="128.205.114.91"/>
    <s v="QA76.76.H94"/>
    <n v="6.74"/>
    <d v="2011-12-20T00:00:00"/>
  </r>
  <r>
    <x v="5201"/>
    <d v="1899-12-30T00:00:26"/>
    <x v="13"/>
    <x v="0"/>
    <s v="Buffalo"/>
    <x v="1256"/>
    <n v="1120310"/>
    <x v="0"/>
    <s v="Computer Science/IT"/>
    <s v="9781118432693"/>
    <s v=",1,2,3,133,134,135,131,132,136,137,138,139,140"/>
    <n v="13"/>
    <m/>
    <m/>
    <s v="No"/>
    <x v="1"/>
    <m/>
    <m/>
    <s v="128.205.114.91"/>
    <s v="QA76.76.H94 .H371 2012"/>
    <n v="6.74"/>
    <d v="2012-11-19T00:00:00"/>
  </r>
  <r>
    <x v="5202"/>
    <d v="1899-12-30T00:00:49"/>
    <x v="13"/>
    <x v="0"/>
    <s v="Buffalo"/>
    <x v="1256"/>
    <n v="1120310"/>
    <x v="0"/>
    <s v="Computer Science/IT"/>
    <s v="9781118432693"/>
    <s v=",1,2,3,71,72,73,69,70,74,75,91,92,93,89,90,94"/>
    <n v="16"/>
    <m/>
    <m/>
    <s v="No"/>
    <x v="1"/>
    <m/>
    <m/>
    <s v="128.205.114.91"/>
    <s v="QA76.76.H94 .H371 2012"/>
    <n v="6.74"/>
    <d v="2012-11-19T00:00:00"/>
  </r>
  <r>
    <x v="5203"/>
    <d v="1899-12-30T01:10:17"/>
    <x v="925"/>
    <x v="1"/>
    <s v="brockport"/>
    <x v="151"/>
    <n v="968030"/>
    <x v="0"/>
    <s v="Psychology"/>
    <s v="9781118285138"/>
    <s v=",1,2,3,387,388,389,386,385,383,384,395,396,397,393,394,392,391,389,390,388,387,385,384,383,388,389,390,391,392,393,385,384,383,385,390,391,392,393,394,395,396,397"/>
    <n v="18"/>
    <m/>
    <m/>
    <s v="No"/>
    <x v="0"/>
    <d v="2015-10-22T01:37:05"/>
    <n v="7"/>
    <s v="137.21.7.121"/>
    <s v="BF637.C6 -- S85 2013eb"/>
    <n v="158.30000000000001"/>
    <d v="2012-07-10T00:00:00"/>
  </r>
  <r>
    <x v="5204"/>
    <d v="1899-12-30T00:13:00"/>
    <x v="1317"/>
    <x v="0"/>
    <s v="Buffalo"/>
    <x v="1253"/>
    <n v="817864"/>
    <x v="0"/>
    <s v="Home Economics; Business/Management"/>
    <s v="9781118206485"/>
    <s v=",72,73,74,75,69,75,76,75,1,2,3,65,66,67,63,68,64,69,70,76"/>
    <n v="16"/>
    <s v=",74,72,73"/>
    <m/>
    <s v="No"/>
    <x v="0"/>
    <d v="2015-10-22T19:00:38"/>
    <n v="7"/>
    <s v="128.205.114.91"/>
    <s v="HD1379 -- .T97 2012eb"/>
    <s v="643.12; 643/.12/02855369"/>
    <d v="2012-02-02T00:00:00"/>
  </r>
  <r>
    <x v="5205"/>
    <d v="1899-12-30T00:40:27"/>
    <x v="13"/>
    <x v="0"/>
    <s v="Buffalo"/>
    <x v="975"/>
    <n v="817871"/>
    <x v="0"/>
    <s v="Computer Science/IT"/>
    <s v="9781118206911"/>
    <s v=",1,2,3,242,243,244,240,245,241,248,249,250,246,247,312,313,314,310,311,315,316,317,318,319,311,320"/>
    <n v="25"/>
    <m/>
    <m/>
    <s v="No"/>
    <x v="1"/>
    <m/>
    <m/>
    <s v="128.205.114.91"/>
    <s v="QA76.76.H94"/>
    <n v="6.74"/>
    <d v="2011-12-20T00:00:00"/>
  </r>
  <r>
    <x v="5206"/>
    <d v="1899-12-30T00:25:35"/>
    <x v="1317"/>
    <x v="0"/>
    <s v="Buffalo"/>
    <x v="1253"/>
    <n v="817864"/>
    <x v="0"/>
    <s v="Home Economics; Business/Management"/>
    <s v="9781118206485"/>
    <s v=",1,2,3,67,68,69,65,66,70,71"/>
    <n v="10"/>
    <m/>
    <m/>
    <s v="No"/>
    <x v="1"/>
    <m/>
    <m/>
    <s v="128.205.114.91"/>
    <s v="HD1379 -- .T97 2012eb"/>
    <s v="643.12; 643/.12/02855369"/>
    <d v="2012-02-02T00:00:00"/>
  </r>
  <r>
    <x v="5207"/>
    <d v="1899-12-30T00:31:35"/>
    <x v="1325"/>
    <x v="1"/>
    <s v="brockport"/>
    <x v="739"/>
    <n v="2110627"/>
    <x v="1"/>
    <s v="History; Social Science"/>
    <s v="9781472436481"/>
    <s v=",1,2,2,3,3,1,80,80,82,81,78,82,79,79,81,2,83,83,84,84,85,85,86,86,87,87,88,88,89,89,90,90,91,91,92,92,93,93,144,144,145,146,145,142,146,143,143,147,147"/>
    <n v="25"/>
    <m/>
    <m/>
    <s v="No"/>
    <x v="2"/>
    <d v="2015-10-22T14:13:12"/>
    <n v="1"/>
    <s v="137.21.7.121"/>
    <s v="DT655 .P38 2015"/>
    <s v="361.7/309675109041; 361.7''309675109041"/>
    <d v="2015-09-28T00:00:00"/>
  </r>
  <r>
    <x v="5208"/>
    <d v="1899-12-30T00:47:02"/>
    <x v="1286"/>
    <x v="1"/>
    <s v="brockport"/>
    <x v="151"/>
    <n v="968030"/>
    <x v="0"/>
    <s v="Psychology"/>
    <s v="9781118285138"/>
    <s v=",470,471,475,476,477,478,469,468,467,466,465,481,482,479,485,486,487,483,484,491,495,496,497,498,499,500,501,506,511,461,445,443,442,444,440,441,439,438,432,392,421,424,491,500,501,502,503,504,501,502,503,504,505,506,507,508,556,557,558,554,578,580,576,577,614,615,611,612"/>
    <n v="60"/>
    <m/>
    <m/>
    <s v="No"/>
    <x v="0"/>
    <d v="2015-10-22T17:38:31"/>
    <n v="7"/>
    <s v="137.21.7.121"/>
    <s v="BF637.C6 -- S85 2013eb"/>
    <n v="158.30000000000001"/>
    <d v="2012-07-10T00:00:00"/>
  </r>
  <r>
    <x v="5209"/>
    <d v="1899-12-30T00:17:19"/>
    <x v="504"/>
    <x v="1"/>
    <s v="brockport"/>
    <x v="739"/>
    <n v="2110627"/>
    <x v="1"/>
    <s v="History; Social Science"/>
    <s v="9781472436481"/>
    <s v=",175,176,177"/>
    <n v="3"/>
    <m/>
    <m/>
    <s v="No"/>
    <x v="0"/>
    <d v="2015-10-22T17:36:59"/>
    <n v="7"/>
    <s v="137.21.7.121"/>
    <s v="DT655 .P38 2015"/>
    <s v="361.7/309675109041; 361.7''309675109041"/>
    <d v="2015-09-28T00:00:00"/>
  </r>
  <r>
    <x v="5210"/>
    <d v="1899-12-30T00:00:30"/>
    <x v="1326"/>
    <x v="1"/>
    <s v="brockport"/>
    <x v="739"/>
    <n v="2110627"/>
    <x v="1"/>
    <s v="History; Social Science"/>
    <s v="9781472436481"/>
    <s v=",1,2,3,144,145,146,143"/>
    <n v="7"/>
    <m/>
    <m/>
    <s v="No"/>
    <x v="1"/>
    <m/>
    <m/>
    <s v="137.21.7.121"/>
    <s v="DT655 .P38 2015"/>
    <s v="361.7/309675109041; 361.7''309675109041"/>
    <d v="2015-09-28T00:00:00"/>
  </r>
  <r>
    <x v="5211"/>
    <d v="1899-12-30T00:10:01"/>
    <x v="1286"/>
    <x v="1"/>
    <s v="brockport"/>
    <x v="151"/>
    <n v="968030"/>
    <x v="0"/>
    <s v="Psychology"/>
    <s v="9781118285138"/>
    <s v=",1,2,3,1,2,3,491,492,493,489,490,488,493,488,493,494,495,496,491,487,485,486,4,5,6,7,8,9,651,649,650,648,647,646,645,643,639,636,634,631,628,626,624,621,619,620,617,618,615,616,472,473,474"/>
    <n v="46"/>
    <m/>
    <m/>
    <s v="No"/>
    <x v="1"/>
    <m/>
    <m/>
    <s v="137.21.7.121"/>
    <s v="BF637.C6 -- S85 2013eb"/>
    <n v="158.30000000000001"/>
    <d v="2012-07-10T00:00:00"/>
  </r>
  <r>
    <x v="5212"/>
    <d v="1899-12-30T00:37:57"/>
    <x v="13"/>
    <x v="0"/>
    <s v="Buffalo"/>
    <x v="73"/>
    <n v="1119505"/>
    <x v="0"/>
    <s v="Science: Chemistry; Science"/>
    <s v="9781118355015"/>
    <s v=",145,146,147,148,149,150,151,152,153,154,155,156,157,158,159,160,161,163,164,165,166,167,162"/>
    <n v="23"/>
    <m/>
    <m/>
    <s v="No"/>
    <x v="0"/>
    <d v="2015-10-22T17:25:01"/>
    <n v="7"/>
    <s v="128.205.114.91"/>
    <s v="QD251.3 -- .S38 2013eb"/>
    <s v="547/.128"/>
    <d v="2013-01-28T00:00:00"/>
  </r>
  <r>
    <x v="5213"/>
    <d v="1899-12-30T00:00:30"/>
    <x v="1030"/>
    <x v="4"/>
    <s v="monroe2boces"/>
    <x v="1125"/>
    <n v="818250"/>
    <x v="0"/>
    <s v="Health; Social Science"/>
    <s v="9781118244982"/>
    <s v=",241,1,242,243,239,240,256,257,171,172,173,2,170,168,169,167"/>
    <n v="16"/>
    <m/>
    <m/>
    <s v="No"/>
    <x v="1"/>
    <m/>
    <m/>
    <s v="216.226.127.160"/>
    <s v="TX369 -- .B53 2012eb"/>
    <s v="363.19/29"/>
    <d v="2011-11-08T00:00:00"/>
  </r>
  <r>
    <x v="5214"/>
    <d v="1899-12-30T00:21:02"/>
    <x v="13"/>
    <x v="0"/>
    <s v="Buffalo"/>
    <x v="73"/>
    <n v="1119505"/>
    <x v="0"/>
    <s v="Science: Chemistry; Science"/>
    <s v="9781118355015"/>
    <s v=",1,2,3,128,129,130,126,127,131,142,143,144,141,139,140,144"/>
    <n v="15"/>
    <m/>
    <m/>
    <s v="No"/>
    <x v="1"/>
    <m/>
    <m/>
    <s v="128.205.114.91"/>
    <s v="QD251.3 -- .S38 2013eb"/>
    <s v="547/.128"/>
    <d v="2013-01-28T00:00:00"/>
  </r>
  <r>
    <x v="5214"/>
    <d v="1899-12-30T00:32:59"/>
    <x v="504"/>
    <x v="1"/>
    <s v="brockport"/>
    <x v="739"/>
    <n v="2110627"/>
    <x v="1"/>
    <s v="History; Social Science"/>
    <s v="9781472436481"/>
    <s v=",1,2,3,170,171,172,168,169,173,174"/>
    <n v="10"/>
    <m/>
    <m/>
    <s v="No"/>
    <x v="1"/>
    <m/>
    <m/>
    <s v="137.21.7.121"/>
    <s v="DT655 .P38 2015"/>
    <s v="361.7/309675109041; 361.7''309675109041"/>
    <d v="2015-09-28T00:00:00"/>
  </r>
  <r>
    <x v="5215"/>
    <d v="1899-12-30T00:02:04"/>
    <x v="1203"/>
    <x v="5"/>
    <s v="erie"/>
    <x v="829"/>
    <n v="818121"/>
    <x v="0"/>
    <s v="Fine Arts; Business/Management"/>
    <s v="9781118226339"/>
    <s v=",1,2,3,4,5,6,7,8,9,10,11,19,20,21,17,18"/>
    <n v="16"/>
    <m/>
    <m/>
    <s v="No"/>
    <x v="1"/>
    <m/>
    <m/>
    <s v="199.29.6.54"/>
    <s v="PN1992.55 -- .P76 2012eb"/>
    <s v="658.872; 659.02854678"/>
    <d v="2012-01-26T00:00:00"/>
  </r>
  <r>
    <x v="5216"/>
    <d v="1899-12-30T00:16:16"/>
    <x v="1327"/>
    <x v="1"/>
    <s v="brockport"/>
    <x v="739"/>
    <n v="2110627"/>
    <x v="1"/>
    <s v="History; Social Science"/>
    <s v="9781472436481"/>
    <s v=",87,88,89,90,91,92,93,94,95,96,97,98,99,100,116,117,114,118,115,83,85,87,88,89,90,91,92,93,94,95,101,102,103,104,105,106,107,108,109,110,111,112,113,114,115,116,117,118"/>
    <n v="34"/>
    <m/>
    <m/>
    <s v="No"/>
    <x v="0"/>
    <d v="2015-10-22T16:46:03"/>
    <n v="7"/>
    <s v="137.21.7.121"/>
    <s v="DT655 .P38 2015"/>
    <s v="361.7/309675109041; 361.7''309675109041"/>
    <d v="2015-09-28T00:00:00"/>
  </r>
  <r>
    <x v="5217"/>
    <d v="1899-12-30T00:16:19"/>
    <x v="1327"/>
    <x v="1"/>
    <s v="brockport"/>
    <x v="739"/>
    <n v="2110627"/>
    <x v="1"/>
    <s v="History; Social Science"/>
    <s v="9781472436481"/>
    <s v=",1,2,3,80,82,78,81,79,83,84,85,86,87,88,89,90,91,116,117,115,113,114,112,110,98,92,86,85,83,84,82,81,78,79,77"/>
    <n v="27"/>
    <m/>
    <m/>
    <s v="No"/>
    <x v="3"/>
    <m/>
    <m/>
    <s v="137.21.7.121"/>
    <s v="DT655 .P38 2015"/>
    <s v="361.7/309675109041; 361.7''309675109041"/>
    <d v="2015-09-28T00:00:00"/>
  </r>
  <r>
    <x v="5218"/>
    <d v="1899-12-30T00:02:43"/>
    <x v="935"/>
    <x v="15"/>
    <s v="morrisville"/>
    <x v="1020"/>
    <n v="1695066"/>
    <x v="0"/>
    <s v="Business/Management"/>
    <s v="9780730312918"/>
    <s v=",1,27,28,29,26,25,30,31,32,2,285,286,287,283,284"/>
    <n v="15"/>
    <m/>
    <m/>
    <s v="No"/>
    <x v="2"/>
    <d v="2015-10-22T13:23:32"/>
    <n v="1"/>
    <s v="136.204.32.68"/>
    <s v="HD30.3 -- .K375 2014eb"/>
    <n v="658.45"/>
    <d v="2014-05-23T00:00:00"/>
  </r>
  <r>
    <x v="5219"/>
    <d v="1899-12-30T00:46:34"/>
    <x v="1328"/>
    <x v="5"/>
    <s v="erie"/>
    <x v="611"/>
    <n v="917254"/>
    <x v="4"/>
    <s v="Medicine"/>
    <s v="9781462505067"/>
    <s v=",82,83,84,85,86,87,88,89,90,91,92,93,95,96,97,98,99,100,101,96,95,94,93,92,91,97,4,5,6,3,7,271,272,273,269,270,274,281,282,283,347,273,274,275,271,272,276,335,336,337,333,334,338,339,340,341,342,343,344,338,337,336,341,342,343,344,345,346,347,348,343,342,341,340,339,338,337,336,341,336,341,342,343,344,345,340,339,338,343,337"/>
    <n v="52"/>
    <m/>
    <s v=",327,328,329,330,331,332,333,327,328,329,330,331,332,333"/>
    <s v="No"/>
    <x v="0"/>
    <d v="2015-10-22T15:26:55"/>
    <n v="7"/>
    <s v="199.29.6.54"/>
    <s v="RJ506.A9 -- R64 2012eb"/>
    <n v="618.92858820000004"/>
    <d v="2014-05-14T00:00:00"/>
  </r>
  <r>
    <x v="5220"/>
    <d v="1899-12-30T00:01:29"/>
    <x v="973"/>
    <x v="0"/>
    <s v="Buffalo"/>
    <x v="161"/>
    <n v="821663"/>
    <x v="0"/>
    <s v="Architecture"/>
    <s v="9781118168479"/>
    <s v=",1,2,3,201,202,203,200,199,204,205,206,207"/>
    <n v="12"/>
    <m/>
    <m/>
    <s v="No"/>
    <x v="0"/>
    <d v="2015-10-18T19:08:00"/>
    <n v="7"/>
    <s v="128.205.114.91"/>
    <s v="NA2547 -- .S74 2012eb"/>
    <n v="729"/>
    <d v="2012-03-05T00:00:00"/>
  </r>
  <r>
    <x v="5221"/>
    <d v="1899-12-30T00:03:53"/>
    <x v="13"/>
    <x v="0"/>
    <s v="Buffalo"/>
    <x v="73"/>
    <n v="1119505"/>
    <x v="0"/>
    <s v="Science: Chemistry; Science"/>
    <s v="9781118355015"/>
    <s v=",1,2,3,169,170,171,167,168,172,173,174,175,176,178,179,180,177,181,174,21"/>
    <n v="19"/>
    <m/>
    <m/>
    <s v="No"/>
    <x v="1"/>
    <m/>
    <m/>
    <s v="128.205.114.91"/>
    <s v="QD251.3 -- .S38 2013eb"/>
    <s v="547/.128"/>
    <d v="2013-01-28T00:00:00"/>
  </r>
  <r>
    <x v="5222"/>
    <d v="1899-12-30T00:01:35"/>
    <x v="1317"/>
    <x v="0"/>
    <s v="Buffalo"/>
    <x v="1253"/>
    <n v="817864"/>
    <x v="0"/>
    <s v="Home Economics; Business/Management"/>
    <s v="9781118206485"/>
    <s v=",1,49,50,51,47,48,52,53,54,2,55,56,57,58,59,60,61,62,63,64,65,66,67,68"/>
    <n v="24"/>
    <m/>
    <m/>
    <s v="No"/>
    <x v="1"/>
    <m/>
    <m/>
    <s v="128.205.114.91"/>
    <s v="HD1379 -- .T97 2012eb"/>
    <s v="643.12; 643/.12/02855369"/>
    <d v="2012-02-02T00:00:00"/>
  </r>
  <r>
    <x v="5223"/>
    <d v="1899-12-30T00:11:25"/>
    <x v="1328"/>
    <x v="5"/>
    <s v="erie"/>
    <x v="611"/>
    <n v="917254"/>
    <x v="4"/>
    <s v="Medicine"/>
    <s v="9781462505067"/>
    <s v=",1,2,3,4,5,6,72,73,74,70,71,75,76,77,78,79,80,80,81"/>
    <n v="18"/>
    <m/>
    <m/>
    <s v="No"/>
    <x v="1"/>
    <m/>
    <m/>
    <s v="199.29.6.54"/>
    <s v="RJ506.A9 -- R64 2012eb"/>
    <n v="618.92858820000004"/>
    <d v="2014-05-14T00:00:00"/>
  </r>
  <r>
    <x v="5224"/>
    <d v="1899-12-30T00:00:02"/>
    <x v="1317"/>
    <x v="0"/>
    <s v="Buffalo"/>
    <x v="1253"/>
    <n v="817864"/>
    <x v="0"/>
    <s v="Home Economics; Business/Management"/>
    <s v="9781118206485"/>
    <s v=",1,2,3"/>
    <n v="3"/>
    <m/>
    <m/>
    <s v="No"/>
    <x v="1"/>
    <m/>
    <m/>
    <s v="128.205.114.91"/>
    <s v="HD1379 -- .T97 2012eb"/>
    <s v="643.12; 643/.12/02855369"/>
    <d v="2012-02-02T00:00:00"/>
  </r>
  <r>
    <x v="5225"/>
    <d v="1899-12-30T00:01:14"/>
    <x v="986"/>
    <x v="0"/>
    <s v="Buffalo"/>
    <x v="73"/>
    <n v="1119505"/>
    <x v="0"/>
    <s v="Science: Chemistry; Science"/>
    <s v="9781118355015"/>
    <s v=",2,1,3,178,179,180,177,176,181"/>
    <n v="9"/>
    <m/>
    <m/>
    <s v="No"/>
    <x v="1"/>
    <m/>
    <m/>
    <s v="128.205.114.91"/>
    <s v="QD251.3 -- .S38 2013eb"/>
    <s v="547/.128"/>
    <d v="2013-01-28T00:00:00"/>
  </r>
  <r>
    <x v="5226"/>
    <d v="1899-12-30T00:00:00"/>
    <x v="13"/>
    <x v="0"/>
    <s v="Buffalo"/>
    <x v="844"/>
    <n v="1332527"/>
    <x v="0"/>
    <s v="Business/Management"/>
    <s v="9781118720882"/>
    <s v=",4,5"/>
    <n v="2"/>
    <m/>
    <m/>
    <s v="No"/>
    <x v="0"/>
    <d v="2015-10-22T14:33:03"/>
    <n v="7"/>
    <s v="128.205.114.91"/>
    <s v="HB615 -- .A95 2013eb"/>
    <n v="658.11"/>
    <d v="2013-07-31T00:00:00"/>
  </r>
  <r>
    <x v="5227"/>
    <d v="1899-12-30T00:06:39"/>
    <x v="1329"/>
    <x v="1"/>
    <s v="brockport"/>
    <x v="151"/>
    <n v="968030"/>
    <x v="0"/>
    <s v="Psychology"/>
    <s v="9781118285138"/>
    <s v=",1,3,2,310,311,312,308,309,313,389,390,391,387,388"/>
    <n v="14"/>
    <m/>
    <m/>
    <s v="No"/>
    <x v="0"/>
    <d v="2015-10-21T18:15:43"/>
    <n v="7"/>
    <s v="137.21.7.121"/>
    <s v="BF637.C6 -- S85 2013eb"/>
    <n v="158.30000000000001"/>
    <d v="2012-07-10T00:00:00"/>
  </r>
  <r>
    <x v="5228"/>
    <d v="1899-12-30T00:06:20"/>
    <x v="1330"/>
    <x v="1"/>
    <s v="brockport"/>
    <x v="739"/>
    <n v="2110627"/>
    <x v="1"/>
    <s v="History; Social Science"/>
    <s v="9781472436481"/>
    <s v=",148,148,149,149,150,150,151,151,146,151,151,152,152,153,153,154,154"/>
    <n v="8"/>
    <m/>
    <m/>
    <s v="No"/>
    <x v="2"/>
    <d v="2015-10-22T14:24:07"/>
    <n v="1"/>
    <s v="137.21.7.121"/>
    <s v="DT655 .P38 2015"/>
    <s v="361.7/309675109041; 361.7''309675109041"/>
    <d v="2015-09-28T00:00:00"/>
  </r>
  <r>
    <x v="5229"/>
    <d v="1899-12-30T00:05:55"/>
    <x v="1330"/>
    <x v="1"/>
    <s v="brockport"/>
    <x v="739"/>
    <n v="2110627"/>
    <x v="1"/>
    <s v="History; Social Science"/>
    <s v="9781472436481"/>
    <s v=",1,2,2,3,3,1,144,144,145,145,146,146,142,143,143,2,147,147,142,147,142,147"/>
    <n v="9"/>
    <m/>
    <m/>
    <s v="No"/>
    <x v="3"/>
    <m/>
    <m/>
    <s v="137.21.7.121"/>
    <s v="DT655 .P38 2015"/>
    <s v="361.7/309675109041; 361.7''309675109041"/>
    <d v="2015-09-28T00:00:00"/>
  </r>
  <r>
    <x v="5230"/>
    <d v="1899-12-30T00:17:42"/>
    <x v="13"/>
    <x v="0"/>
    <s v="Buffalo"/>
    <x v="844"/>
    <n v="1332527"/>
    <x v="0"/>
    <s v="Business/Management"/>
    <s v="9781118720882"/>
    <s v=",1,1,2,2,3,3,4,4,5,5,2,2"/>
    <n v="5"/>
    <m/>
    <m/>
    <s v="No"/>
    <x v="1"/>
    <m/>
    <m/>
    <s v="128.205.114.91"/>
    <s v="HB615 -- .A95 2013eb"/>
    <n v="658.11"/>
    <d v="2013-07-31T00:00:00"/>
  </r>
  <r>
    <x v="5231"/>
    <d v="1899-12-30T03:00:15"/>
    <x v="1325"/>
    <x v="1"/>
    <s v="brockport"/>
    <x v="739"/>
    <n v="2110627"/>
    <x v="1"/>
    <s v="History; Social Science"/>
    <s v="9781472436481"/>
    <s v=",86,86,87,87,82,87,88,88,83,88,89,89,116,116,80,81,82,83,84,86,87,88,89,90,90,91,91,92,92,93,93,94,94,95,95,96,96,97,97,98,98,99,99,100,100,101,101,102,102,103,103,104,104,105,105,101,107,107,108,108,109,109,110,110,111,111,112,112,113,113,114,114,115,115,116,117"/>
    <n v="36"/>
    <m/>
    <m/>
    <s v="No"/>
    <x v="2"/>
    <d v="2015-10-22T14:13:12"/>
    <n v="1"/>
    <s v="137.21.7.121"/>
    <s v="DT655 .P38 2015"/>
    <s v="361.7/309675109041; 361.7''309675109041"/>
    <d v="2015-09-28T00:00:00"/>
  </r>
  <r>
    <x v="5232"/>
    <d v="1899-12-30T00:01:00"/>
    <x v="504"/>
    <x v="1"/>
    <s v="brockport"/>
    <x v="739"/>
    <n v="2110627"/>
    <x v="1"/>
    <s v="History; Social Science"/>
    <s v="9781472436481"/>
    <s v=",1,2,3,170,171,172,168,169,166,167,164,165"/>
    <n v="12"/>
    <m/>
    <m/>
    <s v="No"/>
    <x v="3"/>
    <m/>
    <m/>
    <s v="137.21.7.121"/>
    <s v="DT655 .P38 2015"/>
    <s v="361.7/309675109041; 361.7''309675109041"/>
    <d v="2015-09-28T00:00:00"/>
  </r>
  <r>
    <x v="5233"/>
    <d v="1899-12-30T00:06:30"/>
    <x v="1325"/>
    <x v="1"/>
    <s v="brockport"/>
    <x v="739"/>
    <n v="2110627"/>
    <x v="1"/>
    <s v="History; Social Science"/>
    <s v="9781472436481"/>
    <s v=",1,2,3,3,1,2,4,4,5,5,7,7,8,2,8,9,9,10,10,42,42,43,43,44,44,40,41,41,45,45,80,80,81,81,82,82,78,79,79,83,83,84,84"/>
    <n v="22"/>
    <m/>
    <m/>
    <s v="No"/>
    <x v="3"/>
    <m/>
    <m/>
    <s v="137.21.7.121"/>
    <s v="DT655 .P38 2015"/>
    <s v="361.7/309675109041; 361.7''309675109041"/>
    <d v="2015-09-28T00:00:00"/>
  </r>
  <r>
    <x v="5234"/>
    <d v="1899-12-30T00:42:22"/>
    <x v="1043"/>
    <x v="0"/>
    <s v="Buffalo"/>
    <x v="73"/>
    <n v="1119505"/>
    <x v="0"/>
    <s v="Science: Chemistry; Science"/>
    <s v="9781118355015"/>
    <s v=",169,170,169,170,169,171,171,167,168,168,172,172,173,173,174,174,175,175,177,177,178,179,178,180,181,182,183,184,173,174,175,171,172,176,176,177,178,179,180,181,182,183,178,177,176,175,173,174,172,178,179,180,181,182,183,184,185,197,197,198,198,199,199,195,196,196,193,194,192,190,191,191,188,189,187,192,193,194,195,196,197,192,191,196,190,191,189,186,187,186,187,188,184,185,189,191,192,193,190,194,195,196,197,192,197,192,197,192,197,192,197,192,191,190,184,185,186,187,183,188,189,190,191,192,193,194,195,196,197,192,191,190,195,196,197,198,193,192,197,198"/>
    <n v="33"/>
    <m/>
    <m/>
    <s v="No"/>
    <x v="0"/>
    <d v="2015-10-22T14:01:06"/>
    <n v="7"/>
    <s v="128.205.114.91"/>
    <s v="QD251.3 -- .S38 2013eb"/>
    <s v="547/.128"/>
    <d v="2013-01-28T00:00:00"/>
  </r>
  <r>
    <x v="5235"/>
    <d v="1899-12-30T00:20:19"/>
    <x v="1043"/>
    <x v="0"/>
    <s v="Buffalo"/>
    <x v="73"/>
    <n v="1119505"/>
    <x v="0"/>
    <s v="Science: Chemistry; Science"/>
    <s v="9781118355015"/>
    <s v=",1,2,2,3,3,1,2,2,184,184,185,185,182,183,183,181,181,182,183,179,180,184"/>
    <n v="10"/>
    <m/>
    <m/>
    <s v="No"/>
    <x v="1"/>
    <m/>
    <m/>
    <s v="128.205.114.91"/>
    <s v="QD251.3 -- .S38 2013eb"/>
    <s v="547/.128"/>
    <d v="2013-01-28T00:00:00"/>
  </r>
  <r>
    <x v="5236"/>
    <d v="1899-12-30T00:00:05"/>
    <x v="736"/>
    <x v="1"/>
    <s v="brockport"/>
    <x v="739"/>
    <n v="2110627"/>
    <x v="1"/>
    <s v="History; Social Science"/>
    <s v="9781472436481"/>
    <s v=",1,2,3"/>
    <n v="3"/>
    <m/>
    <m/>
    <s v="No"/>
    <x v="2"/>
    <d v="2015-10-22T13:18:42"/>
    <n v="1"/>
    <s v="137.21.7.121"/>
    <s v="DT655 .P38 2015"/>
    <s v="361.7/309675109041; 361.7''309675109041"/>
    <d v="2015-09-28T00:00:00"/>
  </r>
  <r>
    <x v="5237"/>
    <d v="1899-12-30T00:16:25"/>
    <x v="1331"/>
    <x v="0"/>
    <s v="Buffalo"/>
    <x v="901"/>
    <n v="864784"/>
    <x v="10"/>
    <s v="Education"/>
    <s v="9781400841578"/>
    <s v=",1,2,3,4,5,6,7,8,9,10,11,12,13,14,15,16,17,18,19,20,21,22,23,24,25,26,12,13,14,10,11,15,16"/>
    <n v="26"/>
    <m/>
    <m/>
    <s v="No"/>
    <x v="1"/>
    <m/>
    <m/>
    <s v="128.205.114.91"/>
    <s v="LA227.4 .D455 2012"/>
    <n v="378.73"/>
    <d v="2014-05-27T00:00:00"/>
  </r>
  <r>
    <x v="5238"/>
    <d v="1899-12-30T00:00:58"/>
    <x v="935"/>
    <x v="15"/>
    <s v="morrisville"/>
    <x v="1020"/>
    <n v="1695066"/>
    <x v="0"/>
    <s v="Business/Management"/>
    <s v="9780730312918"/>
    <s v=",287,288,289"/>
    <n v="3"/>
    <s v=",285"/>
    <m/>
    <s v="No"/>
    <x v="2"/>
    <d v="2015-10-22T13:23:32"/>
    <n v="1"/>
    <s v="136.204.32.68"/>
    <s v="HD30.3 -- .K375 2014eb"/>
    <n v="658.45"/>
    <d v="2014-05-23T00:00:00"/>
  </r>
  <r>
    <x v="5239"/>
    <d v="1899-12-30T00:01:19"/>
    <x v="935"/>
    <x v="15"/>
    <s v="morrisville"/>
    <x v="1020"/>
    <n v="1695066"/>
    <x v="0"/>
    <s v="Business/Management"/>
    <s v="9780730312918"/>
    <s v=",1,28,29,25,26,30,2,31,32,285,286"/>
    <n v="11"/>
    <m/>
    <m/>
    <s v="No"/>
    <x v="3"/>
    <m/>
    <m/>
    <s v="136.204.32.68"/>
    <s v="HD30.3 -- .K375 2014eb"/>
    <n v="658.45"/>
    <d v="2014-05-23T00:00:00"/>
  </r>
  <r>
    <x v="5240"/>
    <d v="1899-12-30T00:15:15"/>
    <x v="736"/>
    <x v="1"/>
    <s v="brockport"/>
    <x v="739"/>
    <n v="2110627"/>
    <x v="1"/>
    <s v="History; Social Science"/>
    <s v="9781472436481"/>
    <s v=",246,247,248,250,251,1,251,252,253,249,250,248,2,255,256,257,254,14,15,16,12,13,42,43,44,40,41,39,38"/>
    <n v="26"/>
    <m/>
    <m/>
    <s v="No"/>
    <x v="2"/>
    <d v="2015-10-22T13:18:42"/>
    <n v="1"/>
    <s v="137.21.7.121"/>
    <s v="DT655 .P38 2015"/>
    <s v="361.7/309675109041; 361.7''309675109041"/>
    <d v="2015-09-28T00:00:00"/>
  </r>
  <r>
    <x v="5241"/>
    <d v="1899-12-30T00:05:24"/>
    <x v="736"/>
    <x v="1"/>
    <s v="brockport"/>
    <x v="739"/>
    <n v="2110627"/>
    <x v="1"/>
    <s v="History; Social Science"/>
    <s v="9781472436481"/>
    <s v=",1,2,3,14,15,16,12,17,13,18,19,21,26,27,28,29,30,31,32,33,34,35,36,37,38,39,40,41,42,43"/>
    <n v="30"/>
    <m/>
    <m/>
    <s v="No"/>
    <x v="3"/>
    <m/>
    <m/>
    <s v="137.21.7.121"/>
    <s v="DT655 .P38 2015"/>
    <s v="361.7/309675109041; 361.7''309675109041"/>
    <d v="2015-09-28T00:00:00"/>
  </r>
  <r>
    <x v="5242"/>
    <d v="1899-12-30T00:14:20"/>
    <x v="13"/>
    <x v="0"/>
    <s v="Buffalo"/>
    <x v="1257"/>
    <n v="2025606"/>
    <x v="3"/>
    <s v="Business/Management; Economics"/>
    <s v="9780520960374"/>
    <s v=",166,142,124,116,107,99,91,84,77,75,76,73,74,72,70,71"/>
    <n v="16"/>
    <m/>
    <m/>
    <s v="No"/>
    <x v="2"/>
    <d v="2015-10-22T09:55:53"/>
    <n v="1"/>
    <s v="128.205.114.91"/>
    <s v="HD8039 .C2582 U62 2016"/>
    <s v="331.6; 331.620978"/>
    <d v="2015-10-30T00:00:00"/>
  </r>
  <r>
    <x v="5243"/>
    <d v="1899-12-30T00:00:04"/>
    <x v="13"/>
    <x v="0"/>
    <s v="Buffalo"/>
    <x v="1257"/>
    <n v="2025606"/>
    <x v="3"/>
    <s v="Business/Management; Economics"/>
    <s v="9780520960374"/>
    <s v=",1,2,3,4"/>
    <n v="4"/>
    <m/>
    <m/>
    <s v="No"/>
    <x v="3"/>
    <m/>
    <m/>
    <s v="128.205.114.91"/>
    <s v="HD8039 .C2582 U62 2016"/>
    <s v="331.6; 331.620978"/>
    <d v="2015-10-30T00:00:00"/>
  </r>
  <r>
    <x v="5244"/>
    <d v="1899-12-30T00:15:26"/>
    <x v="13"/>
    <x v="0"/>
    <s v="Buffalo"/>
    <x v="1257"/>
    <n v="2025606"/>
    <x v="3"/>
    <s v="Business/Management; Economics"/>
    <s v="9780520960374"/>
    <s v=",1,2,3,4,5,6,7,8,10,11,12,172,173,174,170,171,175"/>
    <n v="17"/>
    <m/>
    <m/>
    <s v="No"/>
    <x v="3"/>
    <m/>
    <m/>
    <s v="128.205.114.91"/>
    <s v="HD8039 .C2582 U62 2016"/>
    <s v="331.6; 331.620978"/>
    <d v="2015-10-30T00:00:00"/>
  </r>
  <r>
    <x v="5245"/>
    <d v="1899-12-30T01:53:45"/>
    <x v="1332"/>
    <x v="13"/>
    <s v="buffalostate"/>
    <x v="1258"/>
    <n v="1120525"/>
    <x v="12"/>
    <s v="History; Social Science"/>
    <s v="9781469608013"/>
    <s v=",1,2,3,63,64,65,61,62,66,67,68,69,70,71,94,95,96,92,93,97,98,100,101,102,103,104,105,106,107,109,110,111,112,113,114,108,115,116,117,118,119,120"/>
    <n v="42"/>
    <m/>
    <m/>
    <s v="No"/>
    <x v="2"/>
    <d v="2015-10-21T23:04:17"/>
    <n v="1"/>
    <s v="136.183.11.43"/>
    <s v="E98.R28 -- K73 2013eb"/>
    <n v="305.800973"/>
    <d v="2013-06-17T00:00:00"/>
  </r>
  <r>
    <x v="5246"/>
    <d v="1899-12-30T00:06:58"/>
    <x v="906"/>
    <x v="1"/>
    <s v="brockport"/>
    <x v="151"/>
    <n v="968030"/>
    <x v="0"/>
    <s v="Psychology"/>
    <s v="9781118285138"/>
    <s v=",498,499,500,501,502,503,504,505,506,507,508"/>
    <n v="11"/>
    <m/>
    <m/>
    <s v="No"/>
    <x v="0"/>
    <d v="2015-10-22T04:36:25"/>
    <n v="7"/>
    <s v="137.21.7.121"/>
    <s v="BF637.C6 -- S85 2013eb"/>
    <n v="158.30000000000001"/>
    <d v="2012-07-10T00:00:00"/>
  </r>
  <r>
    <x v="5247"/>
    <d v="1899-12-30T00:01:48"/>
    <x v="1332"/>
    <x v="13"/>
    <s v="buffalostate"/>
    <x v="1258"/>
    <n v="1120525"/>
    <x v="12"/>
    <s v="History; Social Science"/>
    <s v="9781469608013"/>
    <s v=",1,2,3,4,5,6,7,8,9,10,63,64,65,61,62,66,34,35,36,32,33,94,95,96,92,93,97"/>
    <n v="27"/>
    <m/>
    <m/>
    <s v="No"/>
    <x v="2"/>
    <d v="2015-10-21T23:04:17"/>
    <n v="1"/>
    <s v="136.183.11.43"/>
    <s v="E98.R28 -- K73 2013eb"/>
    <n v="305.800973"/>
    <d v="2013-06-17T00:00:00"/>
  </r>
  <r>
    <x v="5248"/>
    <d v="1899-12-30T00:15:56"/>
    <x v="906"/>
    <x v="1"/>
    <s v="brockport"/>
    <x v="151"/>
    <n v="968030"/>
    <x v="0"/>
    <s v="Psychology"/>
    <s v="9781118285138"/>
    <s v=",2,1,3,493,494,495,491,492,496,497"/>
    <n v="10"/>
    <m/>
    <m/>
    <s v="No"/>
    <x v="1"/>
    <m/>
    <m/>
    <s v="137.21.7.121"/>
    <s v="BF637.C6 -- S85 2013eb"/>
    <n v="158.30000000000001"/>
    <d v="2012-07-10T00:00:00"/>
  </r>
  <r>
    <x v="5249"/>
    <d v="1899-12-30T00:00:20"/>
    <x v="1333"/>
    <x v="1"/>
    <s v="brockport"/>
    <x v="1259"/>
    <n v="817347"/>
    <x v="0"/>
    <s v="Education"/>
    <s v="9781118132241"/>
    <s v=",1,2,3,266,267,268,264,265"/>
    <n v="8"/>
    <m/>
    <m/>
    <s v="No"/>
    <x v="1"/>
    <m/>
    <m/>
    <s v="137.21.7.121"/>
    <s v="LB2806 -- .L3854 2012eb"/>
    <n v="371.20097299999998"/>
    <d v="2011-10-21T00:00:00"/>
  </r>
  <r>
    <x v="5250"/>
    <d v="1899-12-30T00:00:35"/>
    <x v="13"/>
    <x v="0"/>
    <s v="Buffalo"/>
    <x v="510"/>
    <n v="1109590"/>
    <x v="14"/>
    <s v="Fine Arts"/>
    <s v="9781476600093"/>
    <s v=",128,129,130,131,132,133,134,135,136,137,138,139,140,141"/>
    <n v="14"/>
    <m/>
    <m/>
    <s v="No"/>
    <x v="0"/>
    <d v="2015-10-22T04:08:20"/>
    <n v="7"/>
    <s v="128.205.114.91"/>
    <s v="PN1999.W27 -- D58 2013eb"/>
    <s v="791.43/6552; 791.436552"/>
    <d v="2013-01-20T00:00:00"/>
  </r>
  <r>
    <x v="5251"/>
    <d v="1899-12-30T00:10:54"/>
    <x v="13"/>
    <x v="0"/>
    <s v="Buffalo"/>
    <x v="510"/>
    <n v="1109590"/>
    <x v="14"/>
    <s v="Fine Arts"/>
    <s v="9781476600093"/>
    <s v=",1,2,3,8,9,10,6,7,11,12,108,110,106,107,109,111,112,113,114,115,116,117,118,119,120,121,122,123,124,125,126,127"/>
    <n v="32"/>
    <m/>
    <m/>
    <s v="No"/>
    <x v="1"/>
    <m/>
    <m/>
    <s v="128.205.114.91"/>
    <s v="PN1999.W27 -- D58 2013eb"/>
    <s v="791.43/6552; 791.436552"/>
    <d v="2013-01-20T00:00:00"/>
  </r>
  <r>
    <x v="5252"/>
    <d v="1899-12-30T00:07:31"/>
    <x v="1333"/>
    <x v="1"/>
    <s v="brockport"/>
    <x v="1259"/>
    <n v="817347"/>
    <x v="0"/>
    <s v="Education"/>
    <s v="9781118132241"/>
    <s v=",1,2,3,259,260,261,257,258,262,263,266,267,268,264,265,269,283"/>
    <n v="17"/>
    <m/>
    <m/>
    <s v="No"/>
    <x v="1"/>
    <m/>
    <m/>
    <s v="137.21.7.121"/>
    <s v="LB2806 -- .L3854 2012eb"/>
    <n v="371.20097299999998"/>
    <d v="2011-10-21T00:00:00"/>
  </r>
  <r>
    <x v="5253"/>
    <d v="1899-12-30T00:02:07"/>
    <x v="920"/>
    <x v="0"/>
    <s v="Buffalo"/>
    <x v="111"/>
    <n v="1166322"/>
    <x v="0"/>
    <s v="Architecture"/>
    <s v="9781118418512"/>
    <s v=",168,169,156,157,158,159"/>
    <n v="6"/>
    <m/>
    <m/>
    <s v="No"/>
    <x v="0"/>
    <d v="2015-10-22T03:28:23"/>
    <n v="7"/>
    <s v="128.205.114.91"/>
    <s v="NA2000 -- .G76 2013eb"/>
    <n v="720.072"/>
    <d v="2013-04-03T00:00:00"/>
  </r>
  <r>
    <x v="5254"/>
    <d v="1899-12-30T00:10:04"/>
    <x v="920"/>
    <x v="0"/>
    <s v="Buffalo"/>
    <x v="111"/>
    <n v="1166322"/>
    <x v="0"/>
    <s v="Architecture"/>
    <s v="9781118418512"/>
    <s v=",1,2,3,4,5,6,153,154,155,151,152,162,163,164,161,160,165,166,167"/>
    <n v="19"/>
    <m/>
    <m/>
    <s v="No"/>
    <x v="1"/>
    <m/>
    <m/>
    <s v="128.205.114.91"/>
    <s v="NA2000 -- .G76 2013eb"/>
    <n v="720.072"/>
    <d v="2013-04-03T00:00:00"/>
  </r>
  <r>
    <x v="5255"/>
    <d v="1899-12-30T00:29:01"/>
    <x v="13"/>
    <x v="0"/>
    <s v="Buffalo"/>
    <x v="625"/>
    <n v="836167"/>
    <x v="6"/>
    <s v="Science: Physics; Environmental Studies; Science"/>
    <s v="9781438139487"/>
    <s v=",1,2,3,4,5,6,7,74,75,76,72,73,77,78,79,80,81,82,83,84,85,86,87,88"/>
    <n v="24"/>
    <m/>
    <m/>
    <s v="No"/>
    <x v="0"/>
    <d v="2015-10-18T21:07:56"/>
    <n v="7"/>
    <s v="128.205.114.91"/>
    <s v="QC981.8.G56 -- T66 2012eb"/>
    <s v="363.738/74"/>
    <d v="2011-11-01T00:00:00"/>
  </r>
  <r>
    <x v="5256"/>
    <d v="1899-12-30T00:00:54"/>
    <x v="13"/>
    <x v="0"/>
    <s v="Buffalo"/>
    <x v="630"/>
    <n v="771049"/>
    <x v="18"/>
    <s v="Science: Physics; Science; Environmental Studies"/>
    <s v="9781608706648"/>
    <s v=",1,2,3,57,58,59,55,56,60,54,53,51,52,50,49,48"/>
    <n v="16"/>
    <m/>
    <m/>
    <s v="No"/>
    <x v="0"/>
    <d v="2015-10-18T20:14:00"/>
    <n v="7"/>
    <s v="128.205.114.91"/>
    <s v="QC981.8"/>
    <n v="363.73874000000001"/>
    <d v="2012-01-01T00:00:00"/>
  </r>
  <r>
    <x v="5257"/>
    <d v="1899-12-30T00:00:03"/>
    <x v="481"/>
    <x v="1"/>
    <s v="brockport"/>
    <x v="830"/>
    <n v="1874136"/>
    <x v="0"/>
    <s v="Social Science"/>
    <s v="9781118859711"/>
    <s v=",15,16,13,14"/>
    <n v="4"/>
    <m/>
    <m/>
    <s v="No"/>
    <x v="0"/>
    <d v="2015-10-22T01:42:24"/>
    <n v="7"/>
    <s v="137.21.7.121"/>
    <s v="HV40 -- .L284 2015eb"/>
    <s v="361.3/2"/>
    <d v="2014-11-25T00:00:00"/>
  </r>
  <r>
    <x v="5258"/>
    <d v="1899-12-30T00:01:47"/>
    <x v="925"/>
    <x v="1"/>
    <s v="brockport"/>
    <x v="151"/>
    <n v="968030"/>
    <x v="0"/>
    <s v="Psychology"/>
    <s v="9781118285138"/>
    <s v=",390,391,392,393,394,395,396"/>
    <n v="7"/>
    <m/>
    <m/>
    <s v="No"/>
    <x v="0"/>
    <d v="2015-10-22T01:37:05"/>
    <n v="7"/>
    <s v="137.21.7.121"/>
    <s v="BF637.C6 -- S85 2013eb"/>
    <n v="158.30000000000001"/>
    <d v="2012-07-10T00:00:00"/>
  </r>
  <r>
    <x v="5259"/>
    <d v="1899-12-30T00:00:03"/>
    <x v="853"/>
    <x v="0"/>
    <s v="Buffalo"/>
    <x v="477"/>
    <n v="1120279"/>
    <x v="0"/>
    <s v="Science: Biology/Natural History; Science"/>
    <s v="9781118537671"/>
    <s v=",1,2"/>
    <n v="2"/>
    <m/>
    <m/>
    <s v="No"/>
    <x v="1"/>
    <m/>
    <m/>
    <s v="128.205.114.91"/>
    <s v="QH371 .K384 2012"/>
    <n v="599.93499999999995"/>
    <d v="2012-11-19T00:00:00"/>
  </r>
  <r>
    <x v="5260"/>
    <d v="1899-12-30T00:10:01"/>
    <x v="481"/>
    <x v="1"/>
    <s v="brockport"/>
    <x v="830"/>
    <n v="1874136"/>
    <x v="0"/>
    <s v="Social Science"/>
    <s v="9781118859711"/>
    <s v=",1,2,3,21,22,23,19,20,24,25,26,27,28,29,30,31,32,33,34,35,18,17"/>
    <n v="22"/>
    <m/>
    <m/>
    <s v="No"/>
    <x v="1"/>
    <m/>
    <m/>
    <s v="137.21.7.121"/>
    <s v="HV40 -- .L284 2015eb"/>
    <s v="361.3/2"/>
    <d v="2014-11-25T00:00:00"/>
  </r>
  <r>
    <x v="5261"/>
    <d v="1899-12-30T00:30:50"/>
    <x v="560"/>
    <x v="1"/>
    <s v="brockport"/>
    <x v="151"/>
    <n v="968030"/>
    <x v="0"/>
    <s v="Psychology"/>
    <s v="9781118285138"/>
    <s v=",385,386,387,384,383,388,389,390,391,392,393,394,395,396,397,398,399,400,401"/>
    <n v="19"/>
    <m/>
    <m/>
    <s v="No"/>
    <x v="0"/>
    <d v="2015-10-22T01:29:10"/>
    <n v="7"/>
    <s v="137.21.7.121"/>
    <s v="BF637.C6 -- S85 2013eb"/>
    <n v="158.30000000000001"/>
    <d v="2012-07-10T00:00:00"/>
  </r>
  <r>
    <x v="5262"/>
    <d v="1899-12-30T00:53:04"/>
    <x v="1298"/>
    <x v="0"/>
    <s v="Buffalo"/>
    <x v="901"/>
    <n v="864784"/>
    <x v="10"/>
    <s v="Education"/>
    <s v="9781400841578"/>
    <s v=",1,3,2,4,84,85,86,82,83,84,85,86,82,83,2,87,88,89,90,91,92,93,94,95,96,97,98,99,100,101,102,103,104,105,106,119,120,121,117,118,122,123,124,125,126,127,128,129,130,131,132,133,134,135,136,137,138,139,140,141,142,143,144,167,168,169,165,166,196,197,198,194,195,170,171,172,173,174,175,176,177,178,179,180,181"/>
    <n v="79"/>
    <m/>
    <m/>
    <s v="No"/>
    <x v="1"/>
    <m/>
    <m/>
    <s v="128.205.114.91"/>
    <s v="LA227.4 .D455 2012"/>
    <n v="378.73"/>
    <d v="2014-05-27T00:00:00"/>
  </r>
  <r>
    <x v="5263"/>
    <d v="1899-12-30T00:03:07"/>
    <x v="1334"/>
    <x v="8"/>
    <s v="niagaracc"/>
    <x v="79"/>
    <n v="1757960"/>
    <x v="0"/>
    <s v="Medicine"/>
    <s v="9781118780770"/>
    <s v=",7,8,9,10"/>
    <n v="4"/>
    <m/>
    <m/>
    <s v="Yes"/>
    <x v="0"/>
    <d v="2015-10-22T00:53:57"/>
    <n v="7"/>
    <s v="132.174.254.37"/>
    <s v="RC537 -- .A236 2014eb"/>
    <s v="616.85/27"/>
    <d v="2014-07-30T00:00:00"/>
  </r>
  <r>
    <x v="5264"/>
    <d v="1899-12-30T00:02:00"/>
    <x v="1334"/>
    <x v="8"/>
    <s v="niagaracc"/>
    <x v="79"/>
    <n v="1757960"/>
    <x v="0"/>
    <s v="Medicine"/>
    <s v="9781118780770"/>
    <s v=",4,5,6"/>
    <n v="3"/>
    <m/>
    <m/>
    <s v="No"/>
    <x v="0"/>
    <d v="2015-10-22T00:53:57"/>
    <n v="7"/>
    <s v="132.174.254.37"/>
    <s v="RC537 -- .A236 2014eb"/>
    <s v="616.85/27"/>
    <d v="2014-07-30T00:00:00"/>
  </r>
  <r>
    <x v="5265"/>
    <d v="1899-12-30T00:00:11"/>
    <x v="1334"/>
    <x v="8"/>
    <s v="niagaracc"/>
    <x v="79"/>
    <n v="1757960"/>
    <x v="0"/>
    <s v="Medicine"/>
    <s v="9781118780770"/>
    <s v=",1,2,3"/>
    <n v="3"/>
    <m/>
    <m/>
    <s v="No"/>
    <x v="1"/>
    <m/>
    <m/>
    <s v="132.174.254.37"/>
    <s v="RC537 -- .A236 2014eb"/>
    <s v="616.85/27"/>
    <d v="2014-07-30T00:00:00"/>
  </r>
  <r>
    <x v="5266"/>
    <d v="1899-12-30T00:59:55"/>
    <x v="925"/>
    <x v="1"/>
    <s v="brockport"/>
    <x v="151"/>
    <n v="968030"/>
    <x v="0"/>
    <s v="Psychology"/>
    <s v="9781118285138"/>
    <s v=",1,2,3,4,1,3,2,4,5,1,3,2,387,389,388,385,386,384,382,383,387"/>
    <n v="13"/>
    <m/>
    <m/>
    <s v="No"/>
    <x v="1"/>
    <m/>
    <m/>
    <s v="137.21.7.121"/>
    <s v="BF637.C6 -- S85 2013eb"/>
    <n v="158.30000000000001"/>
    <d v="2012-07-10T00:00:00"/>
  </r>
  <r>
    <x v="5267"/>
    <d v="1899-12-30T00:00:22"/>
    <x v="525"/>
    <x v="0"/>
    <s v="Buffalo"/>
    <x v="477"/>
    <n v="1120279"/>
    <x v="0"/>
    <s v="Science: Biology/Natural History; Science"/>
    <s v="9781118537671"/>
    <s v=",1,2,3,52,53,54,50,55,51,56,57"/>
    <n v="11"/>
    <m/>
    <m/>
    <s v="No"/>
    <x v="0"/>
    <d v="2015-10-17T23:53:19"/>
    <n v="7"/>
    <s v="128.205.114.91"/>
    <s v="QH371 .K384 2012"/>
    <n v="599.93499999999995"/>
    <d v="2012-11-19T00:00:00"/>
  </r>
  <r>
    <x v="5268"/>
    <d v="1899-12-30T01:20:37"/>
    <x v="560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5269"/>
    <d v="1899-12-30T00:01:21"/>
    <x v="26"/>
    <x v="6"/>
    <s v="sjfc"/>
    <x v="1137"/>
    <n v="1896037"/>
    <x v="0"/>
    <s v="Science; Medicine; Science: Biology/Natural History"/>
    <s v="9781119066262"/>
    <s v=",1,2,3,4,5,1,5,6,7,1,2,3"/>
    <n v="7"/>
    <m/>
    <m/>
    <s v="No"/>
    <x v="3"/>
    <m/>
    <m/>
    <s v="149.69.254.57"/>
    <s v="QR201.E16 -- C43 2015eb"/>
    <s v="616.9; 616.925"/>
    <d v="2014-12-17T00:00:00"/>
  </r>
  <r>
    <x v="5270"/>
    <d v="1899-12-30T00:00:16"/>
    <x v="26"/>
    <x v="6"/>
    <s v="sjfc"/>
    <x v="1137"/>
    <n v="1896037"/>
    <x v="0"/>
    <s v="Science; Medicine; Science: Biology/Natural History"/>
    <s v="9781119066262"/>
    <s v=",1,2,3,4,8,11,13,6,7,5"/>
    <n v="10"/>
    <m/>
    <m/>
    <s v="No"/>
    <x v="3"/>
    <m/>
    <m/>
    <s v="149.69.254.57"/>
    <s v="QR201.E16 -- C43 2015eb"/>
    <s v="616.9; 616.925"/>
    <d v="2014-12-17T00:00:00"/>
  </r>
  <r>
    <x v="5271"/>
    <d v="1899-12-30T00:00:23"/>
    <x v="1103"/>
    <x v="9"/>
    <s v="trocaire"/>
    <x v="232"/>
    <n v="822111"/>
    <x v="0"/>
    <s v="Social Science"/>
    <s v="9781444356922"/>
    <s v=",1,2,3,32,33,34,30,31"/>
    <n v="8"/>
    <m/>
    <m/>
    <s v="No"/>
    <x v="1"/>
    <m/>
    <m/>
    <s v="173.225.62.67"/>
    <s v="HV6773 -- .K69 2012eb"/>
    <s v="302.34/3"/>
    <d v="2012-02-16T00:00:00"/>
  </r>
  <r>
    <x v="5272"/>
    <d v="1899-12-30T00:01:53"/>
    <x v="941"/>
    <x v="13"/>
    <s v="buffalostate"/>
    <x v="916"/>
    <n v="1925073"/>
    <x v="4"/>
    <s v="Education"/>
    <s v="9781462521128"/>
    <s v=",1,2,3,4,5,6,4,7,8,9,10,11,12,13,14,15,16,17,18,177,178,179,175,176,1,176,177,178,175,174,2"/>
    <n v="24"/>
    <m/>
    <m/>
    <s v="No"/>
    <x v="0"/>
    <d v="2015-10-21T04:29:15"/>
    <n v="7"/>
    <s v="136.183.11.43"/>
    <s v="LB1050.46 .M35 2015"/>
    <n v="372.48"/>
    <d v="2015-06-23T00:00:00"/>
  </r>
  <r>
    <x v="5273"/>
    <d v="1899-12-30T04:53:25"/>
    <x v="1332"/>
    <x v="13"/>
    <s v="buffalostate"/>
    <x v="1258"/>
    <n v="1120525"/>
    <x v="12"/>
    <s v="History; Social Science"/>
    <s v="9781469608013"/>
    <s v=",12,13,14,18,19,20,16,17,8,9,10,170,171,172,168,169,21,63,34,35,36,32,33,22,24,26,27,28,37,38,39,40,65,61,62,41,42,43,44,46,47,49,50,51,52,53,55,56,58,59,60,61,62,65,66,67,94,92,93,118,119,120,116,117,95,96,97"/>
    <n v="64"/>
    <m/>
    <m/>
    <s v="No"/>
    <x v="2"/>
    <d v="2015-10-21T23:04:17"/>
    <n v="1"/>
    <s v="136.183.11.43"/>
    <s v="E98.R28 -- K73 2013eb"/>
    <n v="305.800973"/>
    <d v="2013-06-17T00:00:00"/>
  </r>
  <r>
    <x v="5274"/>
    <d v="1899-12-30T00:08:22"/>
    <x v="609"/>
    <x v="0"/>
    <s v="Buffalo"/>
    <x v="477"/>
    <n v="1120279"/>
    <x v="0"/>
    <s v="Science: Biology/Natural History; Science"/>
    <s v="9781118537671"/>
    <s v=",1,2,3,62,63,64,60,61,65,59,58,57,56,66,69,70,71,67,72,68"/>
    <n v="20"/>
    <m/>
    <m/>
    <s v="No"/>
    <x v="1"/>
    <m/>
    <m/>
    <s v="128.205.114.91"/>
    <s v="QH371 .K384 2012"/>
    <n v="599.93499999999995"/>
    <d v="2012-11-19T00:00:00"/>
  </r>
  <r>
    <x v="5275"/>
    <d v="1899-12-30T00:00:13"/>
    <x v="1203"/>
    <x v="5"/>
    <s v="erie"/>
    <x v="829"/>
    <n v="818121"/>
    <x v="0"/>
    <s v="Fine Arts; Business/Management"/>
    <s v="9781118226339"/>
    <s v=",1,2,3,22,23,20,19,21,58,67"/>
    <n v="10"/>
    <m/>
    <m/>
    <s v="No"/>
    <x v="1"/>
    <m/>
    <m/>
    <s v="199.29.6.54"/>
    <s v="PN1992.55 -- .P76 2012eb"/>
    <s v="658.872; 659.02854678"/>
    <d v="2012-01-26T00:00:00"/>
  </r>
  <r>
    <x v="5276"/>
    <d v="1899-12-30T00:15:06"/>
    <x v="714"/>
    <x v="12"/>
    <s v="potsdam"/>
    <x v="713"/>
    <n v="565082"/>
    <x v="0"/>
    <s v="Education"/>
    <s v="9781118041567"/>
    <s v=",165,166,167,168,169,170,171"/>
    <n v="7"/>
    <m/>
    <m/>
    <s v="No"/>
    <x v="0"/>
    <d v="2015-10-21T22:58:45"/>
    <n v="7"/>
    <s v="137.143.104.94"/>
    <s v="LB1775 .P25 2010"/>
    <s v="371.1; 371.102"/>
    <d v="2010-06-08T00:00:00"/>
  </r>
  <r>
    <x v="5277"/>
    <d v="1899-12-30T00:16:12"/>
    <x v="714"/>
    <x v="12"/>
    <s v="potsdam"/>
    <x v="713"/>
    <n v="565082"/>
    <x v="0"/>
    <s v="Education"/>
    <s v="9781118041567"/>
    <s v=",1,2,3,154,155,156,152,153,157,158,159,160,161,162,163,164"/>
    <n v="16"/>
    <m/>
    <m/>
    <s v="No"/>
    <x v="1"/>
    <m/>
    <m/>
    <s v="137.143.104.94"/>
    <s v="LB1775 .P25 2010"/>
    <s v="371.1; 371.102"/>
    <d v="2010-06-08T00:00:00"/>
  </r>
  <r>
    <x v="5278"/>
    <d v="1899-12-30T00:00:03"/>
    <x v="199"/>
    <x v="5"/>
    <s v="erie"/>
    <x v="829"/>
    <n v="818121"/>
    <x v="0"/>
    <s v="Fine Arts; Business/Management"/>
    <s v="9781118226339"/>
    <s v=",1,2,3"/>
    <n v="3"/>
    <m/>
    <m/>
    <s v="No"/>
    <x v="1"/>
    <m/>
    <m/>
    <s v="199.29.6.54"/>
    <s v="PN1992.55 -- .P76 2012eb"/>
    <s v="658.872; 659.02854678"/>
    <d v="2012-01-26T00:00:00"/>
  </r>
  <r>
    <x v="5279"/>
    <d v="1899-12-30T00:11:01"/>
    <x v="924"/>
    <x v="8"/>
    <s v="niagaracc"/>
    <x v="588"/>
    <n v="284109"/>
    <x v="0"/>
    <s v="Health; Social Science; Medicine"/>
    <s v="9781405173469"/>
    <s v=",1,270,271,272,268,269,2,273,274,275,276,277,278,279,280,281,282,283,284,285,286,287,288,283,1,2,3,270,271,272,268,269"/>
    <n v="24"/>
    <m/>
    <m/>
    <s v="No"/>
    <x v="2"/>
    <d v="2015-10-21T18:22:30"/>
    <n v="1"/>
    <s v="132.174.254.37"/>
    <s v="RC564 .W47 2006eb"/>
    <s v="362.29; 616.86/001"/>
    <d v="2013-05-15T00:00:00"/>
  </r>
  <r>
    <x v="5280"/>
    <d v="1899-12-30T00:01:17"/>
    <x v="586"/>
    <x v="7"/>
    <s v="oneonta"/>
    <x v="613"/>
    <n v="1935791"/>
    <x v="0"/>
    <s v="Business/Management; Economics"/>
    <s v="9781118909935"/>
    <s v=",1,2,3,4,5,6,7,8,9,10,44,133,170,212,213,214,215,216,211,129,80,79,76,75,73,74,71,72,70,69,68,66,67,64,65,63,62"/>
    <n v="37"/>
    <m/>
    <m/>
    <s v="No"/>
    <x v="3"/>
    <m/>
    <m/>
    <s v="137.141.13.2"/>
    <s v="HC427.92 -- .C4782 2015eb"/>
    <n v="338.95100000000002"/>
    <d v="2014-12-22T00:00:00"/>
  </r>
  <r>
    <x v="5281"/>
    <d v="1899-12-30T01:20:48"/>
    <x v="1332"/>
    <x v="13"/>
    <s v="buffalostate"/>
    <x v="1258"/>
    <n v="1120525"/>
    <x v="12"/>
    <s v="History; Social Science"/>
    <s v="9781469608013"/>
    <s v=",1,2,3,4"/>
    <n v="4"/>
    <m/>
    <m/>
    <s v="No"/>
    <x v="3"/>
    <m/>
    <m/>
    <s v="136.183.11.43"/>
    <s v="E98.R28 -- K73 2013eb"/>
    <n v="305.800973"/>
    <d v="2013-06-17T00:00:00"/>
  </r>
  <r>
    <x v="5282"/>
    <d v="1899-12-30T00:01:32"/>
    <x v="1335"/>
    <x v="13"/>
    <s v="buffalostate"/>
    <x v="1199"/>
    <n v="1190428"/>
    <x v="3"/>
    <s v="Health; Social Science"/>
    <s v="9780520955066"/>
    <s v=",1,2,3,438,439,440,436,437,441,442,443,444,445,446,447"/>
    <n v="15"/>
    <m/>
    <m/>
    <s v="No"/>
    <x v="1"/>
    <m/>
    <m/>
    <s v="136.183.11.43"/>
    <s v="TX360.U6 -- N47 2013eb"/>
    <s v="363.8/5/0973"/>
    <d v="2013-05-14T00:00:00"/>
  </r>
  <r>
    <x v="5283"/>
    <d v="1899-12-30T00:09:34"/>
    <x v="1198"/>
    <x v="7"/>
    <s v="oneonta"/>
    <x v="1156"/>
    <n v="2039095"/>
    <x v="1"/>
    <s v="Law"/>
    <s v="9781472443007"/>
    <s v=",165,166,167,168,169,170,171,172,173,174,175,176,177,178,179,180,181,182,183,184,185,186,188,187,72,33,4"/>
    <n v="27"/>
    <m/>
    <m/>
    <s v="No"/>
    <x v="2"/>
    <d v="2015-10-21T21:22:18"/>
    <n v="1"/>
    <s v="137.141.13.2"/>
    <s v="KZ3881.S46 C43 2015"/>
    <s v="341.4''2"/>
    <d v="2015-06-28T00:00:00"/>
  </r>
  <r>
    <x v="5284"/>
    <d v="1899-12-30T00:05:21"/>
    <x v="1198"/>
    <x v="7"/>
    <s v="oneonta"/>
    <x v="1156"/>
    <n v="2039095"/>
    <x v="1"/>
    <s v="Law"/>
    <s v="9781472443007"/>
    <s v=",1,2,3,4,5,6,7,8,9,10,11,12,13,14,15,16,17,18,19,71,133,134,135,131,132,155,164,162,129,67,163,160,161"/>
    <n v="33"/>
    <m/>
    <m/>
    <s v="No"/>
    <x v="3"/>
    <m/>
    <m/>
    <s v="137.141.13.2"/>
    <s v="KZ3881.S46 C43 2015"/>
    <s v="341.4''2"/>
    <d v="2015-06-28T00:00:00"/>
  </r>
  <r>
    <x v="5285"/>
    <d v="1899-12-30T00:01:35"/>
    <x v="913"/>
    <x v="1"/>
    <s v="brockport"/>
    <x v="151"/>
    <n v="968030"/>
    <x v="0"/>
    <s v="Psychology"/>
    <s v="9781118285138"/>
    <s v=",1,2,3,429,430,431,427,428,445,446,447,443,444,429,430,431,427,428,429,430,431,427,428,445,446,447,443,444"/>
    <n v="13"/>
    <m/>
    <s v=",429,430,431,432,433,434,435,436,437,438,439,440,441,442,443,444"/>
    <s v="No"/>
    <x v="0"/>
    <d v="2015-10-15T01:13:35"/>
    <n v="7"/>
    <s v="137.21.7.121"/>
    <s v="BF637.C6 -- S85 2013eb"/>
    <n v="158.30000000000001"/>
    <d v="2012-07-10T00:00:00"/>
  </r>
  <r>
    <x v="5286"/>
    <d v="1899-12-30T00:00:42"/>
    <x v="1336"/>
    <x v="7"/>
    <s v="oneonta"/>
    <x v="760"/>
    <n v="943645"/>
    <x v="15"/>
    <s v="History"/>
    <s v="9781441104755"/>
    <s v=",1,2,3,2,3,2,2,4,4,4,1"/>
    <n v="4"/>
    <m/>
    <m/>
    <s v="No"/>
    <x v="1"/>
    <m/>
    <m/>
    <s v="137.141.13.2"/>
    <s v="CB5 .M384 2012"/>
    <n v="948.02200000000005"/>
    <d v="2012-05-31T00:00:00"/>
  </r>
  <r>
    <x v="5287"/>
    <d v="1899-12-30T01:42:14"/>
    <x v="1337"/>
    <x v="16"/>
    <s v="monroecc"/>
    <x v="1260"/>
    <n v="1956448"/>
    <x v="0"/>
    <s v="Political Science"/>
    <s v="9780745695136"/>
    <s v=",4,5,6,33,34,35,31,32,36,37,37,1,38,39,35,36,33,34,31,32,2"/>
    <n v="14"/>
    <m/>
    <m/>
    <s v="No"/>
    <x v="0"/>
    <d v="2015-10-21T20:22:25"/>
    <n v="7"/>
    <s v="150.160.200.114"/>
    <s v="JZ1242 .L384 2015"/>
    <n v="327.101"/>
    <d v="2015-02-12T00:00:00"/>
  </r>
  <r>
    <x v="5288"/>
    <d v="1899-12-30T00:07:47"/>
    <x v="1337"/>
    <x v="16"/>
    <s v="monroecc"/>
    <x v="1260"/>
    <n v="1956448"/>
    <x v="0"/>
    <s v="Political Science"/>
    <s v="9780745695136"/>
    <s v=",1,2,3"/>
    <n v="3"/>
    <m/>
    <m/>
    <s v="No"/>
    <x v="3"/>
    <m/>
    <m/>
    <s v="150.160.200.114"/>
    <s v="JZ1242 .L384 2015"/>
    <n v="327.101"/>
    <d v="2015-02-12T00:00:00"/>
  </r>
  <r>
    <x v="5289"/>
    <d v="1899-12-30T00:00:04"/>
    <x v="231"/>
    <x v="0"/>
    <s v="Buffalo"/>
    <x v="103"/>
    <n v="865191"/>
    <x v="0"/>
    <s v="Social Science"/>
    <s v="9781118101681"/>
    <s v=",1,2,3"/>
    <n v="3"/>
    <m/>
    <m/>
    <s v="No"/>
    <x v="1"/>
    <m/>
    <m/>
    <s v="128.205.114.91"/>
    <s v="HT166 -- .Y565 2012eb"/>
    <s v="307.1/216; 307.1216; 307.1416"/>
    <d v="2012-02-21T00:00:00"/>
  </r>
  <r>
    <x v="5290"/>
    <d v="1899-12-30T00:00:21"/>
    <x v="26"/>
    <x v="6"/>
    <s v="sjfc"/>
    <x v="437"/>
    <n v="1767915"/>
    <x v="0"/>
    <s v="Social Science"/>
    <s v="9780730315148"/>
    <s v=",1,9,10,11,7,8,2"/>
    <n v="7"/>
    <m/>
    <m/>
    <s v="No"/>
    <x v="1"/>
    <m/>
    <m/>
    <s v="149.69.254.57"/>
    <s v="HM742 -- .C654 2015eb"/>
    <n v="302.23099999999999"/>
    <d v="2014-08-15T00:00:00"/>
  </r>
  <r>
    <x v="5291"/>
    <d v="1899-12-30T00:08:31"/>
    <x v="1221"/>
    <x v="0"/>
    <s v="Buffalo"/>
    <x v="500"/>
    <n v="699744"/>
    <x v="0"/>
    <s v="Engineering; Engineering: Electrical; Engineering: Civil"/>
    <s v="9781118585818"/>
    <s v=",1,2,3,1166,1161,1162,1163,1159,1160,48,49,50,46,47,41,42,43,39,40,38"/>
    <n v="20"/>
    <m/>
    <m/>
    <s v="No"/>
    <x v="0"/>
    <d v="2015-10-19T19:23:53"/>
    <n v="7"/>
    <s v="128.205.114.91"/>
    <s v="TA1520 -- .S24 2007eb"/>
    <n v="621.36"/>
    <d v="2013-02-05T00:00:00"/>
  </r>
  <r>
    <x v="5292"/>
    <d v="1899-12-30T00:04:00"/>
    <x v="924"/>
    <x v="8"/>
    <s v="niagaracc"/>
    <x v="588"/>
    <n v="284109"/>
    <x v="0"/>
    <s v="Health; Social Science; Medicine"/>
    <s v="9781405173469"/>
    <s v=",51,163,164,165,161,162,163,164,165,161,162,166,167"/>
    <n v="8"/>
    <m/>
    <m/>
    <s v="No"/>
    <x v="2"/>
    <d v="2015-10-21T18:22:30"/>
    <n v="1"/>
    <s v="132.174.254.37"/>
    <s v="RC564 .W47 2006eb"/>
    <s v="362.29; 616.86/001"/>
    <d v="2013-05-15T00:00:00"/>
  </r>
  <r>
    <x v="5293"/>
    <d v="1899-12-30T00:00:05"/>
    <x v="760"/>
    <x v="0"/>
    <s v="Buffalo"/>
    <x v="1261"/>
    <n v="2049503"/>
    <x v="1"/>
    <s v="Business/Management; Economics"/>
    <s v="9781472429216"/>
    <s v=",1,2,2,3,3,1"/>
    <n v="3"/>
    <m/>
    <m/>
    <s v="No"/>
    <x v="3"/>
    <m/>
    <m/>
    <s v="128.205.114.91"/>
    <s v="HG178.33.E8 G45 2015"/>
    <n v="332"/>
    <d v="2015-07-28T00:00:00"/>
  </r>
  <r>
    <x v="5294"/>
    <d v="1899-12-30T00:05:43"/>
    <x v="924"/>
    <x v="8"/>
    <s v="niagaracc"/>
    <x v="588"/>
    <n v="284109"/>
    <x v="0"/>
    <s v="Health; Social Science; Medicine"/>
    <s v="9781405173469"/>
    <s v=",1,2,3,4,122,123,124,120,121,125,126,127,128,129,130,131,132,48,49,50,46,47"/>
    <n v="22"/>
    <m/>
    <m/>
    <s v="No"/>
    <x v="3"/>
    <m/>
    <m/>
    <s v="132.174.254.37"/>
    <s v="RC564 .W47 2006eb"/>
    <s v="362.29; 616.86/001"/>
    <d v="2013-05-15T00:00:00"/>
  </r>
  <r>
    <x v="5295"/>
    <d v="1899-12-30T00:35:03"/>
    <x v="1329"/>
    <x v="1"/>
    <s v="brockport"/>
    <x v="151"/>
    <n v="968030"/>
    <x v="0"/>
    <s v="Psychology"/>
    <s v="9781118285138"/>
    <s v=",7,8,9,5,6,19,14,10,11,12,383,384,385,381,382,364,365,366,362,363,367,368,369,394,395,396,392,393,391,390,389,388,387,386,385,384,383,395,396,397,398,399,400,401,392,391,390,389,388,386"/>
    <n v="39"/>
    <m/>
    <m/>
    <s v="Yes"/>
    <x v="0"/>
    <d v="2015-10-21T18:15:43"/>
    <n v="7"/>
    <s v="137.21.7.121"/>
    <s v="BF637.C6 -- S85 2013eb"/>
    <n v="158.30000000000001"/>
    <d v="2012-07-10T00:00:00"/>
  </r>
  <r>
    <x v="5295"/>
    <d v="1899-12-30T00:00:00"/>
    <x v="1329"/>
    <x v="1"/>
    <s v="brockport"/>
    <x v="151"/>
    <n v="968030"/>
    <x v="0"/>
    <s v="Psychology"/>
    <s v="9781118285138"/>
    <m/>
    <n v="0"/>
    <m/>
    <m/>
    <s v="No"/>
    <x v="0"/>
    <d v="2015-10-21T18:15:43"/>
    <n v="7"/>
    <s v="137.21.7.121"/>
    <s v="BF637.C6 -- S85 2013eb"/>
    <n v="158.30000000000001"/>
    <d v="2012-07-10T00:00:00"/>
  </r>
  <r>
    <x v="5296"/>
    <d v="1899-12-30T00:00:39"/>
    <x v="1329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5297"/>
    <d v="1899-12-30T00:00:58"/>
    <x v="1338"/>
    <x v="1"/>
    <s v="brockport"/>
    <x v="1262"/>
    <n v="1752698"/>
    <x v="0"/>
    <s v="Mathematics"/>
    <s v="9781118496701"/>
    <s v=",7,7,7,7,6,7,4,6,7,8,4,5,9,10,11"/>
    <n v="8"/>
    <m/>
    <m/>
    <s v="Yes"/>
    <x v="0"/>
    <d v="2015-10-21T18:04:38"/>
    <n v="7"/>
    <s v="137.21.7.121"/>
    <s v="QA303.2 -- .P387 2014eb"/>
    <n v="515.07600000000002"/>
    <d v="2014-07-22T00:00:00"/>
  </r>
  <r>
    <x v="5298"/>
    <d v="1899-12-30T00:01:01"/>
    <x v="1338"/>
    <x v="1"/>
    <s v="brockport"/>
    <x v="1262"/>
    <n v="1752698"/>
    <x v="0"/>
    <s v="Mathematics"/>
    <s v="9781118496701"/>
    <s v=",7,8,9,7,7"/>
    <n v="3"/>
    <s v=",1,2,7"/>
    <m/>
    <s v="No"/>
    <x v="0"/>
    <d v="2015-10-21T18:04:38"/>
    <n v="7"/>
    <s v="137.21.7.121"/>
    <s v="QA303.2 -- .P387 2014eb"/>
    <n v="515.07600000000002"/>
    <d v="2014-07-22T00:00:00"/>
  </r>
  <r>
    <x v="5299"/>
    <d v="1899-12-30T00:00:10"/>
    <x v="1338"/>
    <x v="1"/>
    <s v="brockport"/>
    <x v="1262"/>
    <n v="1752698"/>
    <x v="0"/>
    <s v="Mathematics"/>
    <s v="9781118496701"/>
    <s v=",1,2,3,4,5,6"/>
    <n v="6"/>
    <m/>
    <m/>
    <s v="No"/>
    <x v="1"/>
    <m/>
    <m/>
    <s v="137.21.7.121"/>
    <s v="QA303.2 -- .P387 2014eb"/>
    <n v="515.07600000000002"/>
    <d v="2014-07-22T00:00:00"/>
  </r>
  <r>
    <x v="5300"/>
    <d v="1899-12-30T00:10:19"/>
    <x v="968"/>
    <x v="12"/>
    <s v="potsdam"/>
    <x v="1263"/>
    <n v="1566391"/>
    <x v="0"/>
    <s v="Fine Arts"/>
    <s v="9781118598771"/>
    <s v=",178,180,180,181,181,182,182"/>
    <n v="4"/>
    <m/>
    <m/>
    <s v="No"/>
    <x v="2"/>
    <d v="2015-10-21T18:02:23"/>
    <n v="1"/>
    <s v="137.143.104.94"/>
    <s v="N5300 -- .W663 2014eb"/>
    <n v="709"/>
    <d v="2013-11-18T00:00:00"/>
  </r>
  <r>
    <x v="5301"/>
    <d v="1899-12-30T00:49:25"/>
    <x v="1188"/>
    <x v="0"/>
    <s v="Buffalo"/>
    <x v="161"/>
    <n v="821663"/>
    <x v="0"/>
    <s v="Architecture"/>
    <s v="9781118168479"/>
    <s v=",251,252,253,254,255,256,257,258,259,261,262,260,263,264,265,266,267,268,269,270,271,272,273,274,275,276,277,278,279"/>
    <n v="29"/>
    <m/>
    <m/>
    <s v="No"/>
    <x v="0"/>
    <d v="2015-10-21T17:59:28"/>
    <n v="7"/>
    <s v="128.205.114.91"/>
    <s v="NA2547 -- .S74 2012eb"/>
    <n v="729"/>
    <d v="2012-03-05T00:00:00"/>
  </r>
  <r>
    <x v="5302"/>
    <d v="1899-12-30T03:42:00"/>
    <x v="756"/>
    <x v="1"/>
    <s v="brockport"/>
    <x v="151"/>
    <n v="968030"/>
    <x v="0"/>
    <s v="Psychology"/>
    <s v="9781118285138"/>
    <s v=",390,390,391,391,392,392,393,393,394,394,395,395,396,396,397,397,398,398,399,399,400,400,395,400,395,394,386,387,388,385,384,389,390,385,390,391,392,393,394,395,396,397,398,399,394,393,392,397,398,393,398,399"/>
    <n v="17"/>
    <m/>
    <m/>
    <s v="No"/>
    <x v="0"/>
    <d v="2015-10-21T17:50:40"/>
    <n v="7"/>
    <s v="137.21.7.121"/>
    <s v="BF637.C6 -- S85 2013eb"/>
    <n v="158.30000000000001"/>
    <d v="2012-07-10T00:00:00"/>
  </r>
  <r>
    <x v="5303"/>
    <d v="1899-12-30T00:10:19"/>
    <x v="1188"/>
    <x v="0"/>
    <s v="Buffalo"/>
    <x v="161"/>
    <n v="821663"/>
    <x v="0"/>
    <s v="Architecture"/>
    <s v="9781118168479"/>
    <s v=",1,2,3,243,244,245,242,246,247,248,249,250,242"/>
    <n v="12"/>
    <m/>
    <m/>
    <s v="No"/>
    <x v="1"/>
    <m/>
    <m/>
    <s v="128.205.114.91"/>
    <s v="NA2547 -- .S74 2012eb"/>
    <n v="729"/>
    <d v="2012-03-05T00:00:00"/>
  </r>
  <r>
    <x v="5304"/>
    <d v="1899-12-30T00:06:45"/>
    <x v="1188"/>
    <x v="0"/>
    <s v="Buffalo"/>
    <x v="161"/>
    <n v="821663"/>
    <x v="0"/>
    <s v="Architecture"/>
    <s v="9781118168479"/>
    <s v=",1,2,3,243,244,245,242,241,246,247,248,249"/>
    <n v="12"/>
    <m/>
    <m/>
    <s v="No"/>
    <x v="1"/>
    <m/>
    <m/>
    <s v="128.205.114.91"/>
    <s v="NA2547 -- .S74 2012eb"/>
    <n v="729"/>
    <d v="2012-03-05T00:00:00"/>
  </r>
  <r>
    <x v="5305"/>
    <d v="1899-12-30T00:31:58"/>
    <x v="968"/>
    <x v="12"/>
    <s v="potsdam"/>
    <x v="1263"/>
    <n v="1566391"/>
    <x v="0"/>
    <s v="Fine Arts"/>
    <s v="9781118598771"/>
    <s v=",1,2,2,3,1,3,177,178,178,177,175,2,179,176,176,179,177"/>
    <n v="8"/>
    <m/>
    <m/>
    <s v="No"/>
    <x v="3"/>
    <m/>
    <m/>
    <s v="137.143.104.94"/>
    <s v="N5300 -- .W663 2014eb"/>
    <n v="709"/>
    <d v="2013-11-18T00:00:00"/>
  </r>
  <r>
    <x v="5306"/>
    <d v="1899-12-30T00:00:28"/>
    <x v="322"/>
    <x v="1"/>
    <s v="brockport"/>
    <x v="1264"/>
    <n v="1882157"/>
    <x v="0"/>
    <s v="Economics; Business/Management; Sport &amp; Recreation"/>
    <s v="9781118940761"/>
    <s v=",1,2,3,4,5,6,7,2,1"/>
    <n v="7"/>
    <m/>
    <m/>
    <s v="No"/>
    <x v="3"/>
    <m/>
    <m/>
    <s v="137.21.7.121"/>
    <s v="GV546 -- .C43 2015eb"/>
    <n v="338.91090000000003"/>
    <d v="2014-12-01T00:00:00"/>
  </r>
  <r>
    <x v="5307"/>
    <d v="1899-12-30T00:28:44"/>
    <x v="756"/>
    <x v="1"/>
    <s v="brockport"/>
    <x v="151"/>
    <n v="968030"/>
    <x v="0"/>
    <s v="Psychology"/>
    <s v="9781118285138"/>
    <s v=",1,1,3,2,2,3,2,2,385,386,386,387,385,387,384,384,383,388,388,389,389"/>
    <n v="10"/>
    <m/>
    <m/>
    <s v="No"/>
    <x v="1"/>
    <m/>
    <m/>
    <s v="137.21.7.121"/>
    <s v="BF637.C6 -- S85 2013eb"/>
    <n v="158.30000000000001"/>
    <d v="2012-07-10T00:00:00"/>
  </r>
  <r>
    <x v="5308"/>
    <d v="1899-12-30T00:02:37"/>
    <x v="941"/>
    <x v="13"/>
    <s v="buffalostate"/>
    <x v="916"/>
    <n v="1925073"/>
    <x v="4"/>
    <s v="Education"/>
    <s v="9781462521128"/>
    <s v=",1,2,3,336,335,337,334,333,43,44,45,42,41,46,47,48,49,50,51,52,53,54,168,264,320,321,322,335,331,328,316,312,313,315,314,311,310,309,308,307,306,305,304,303,302,300,301,299,298,297,296,295,294,293,292"/>
    <n v="54"/>
    <m/>
    <m/>
    <s v="No"/>
    <x v="0"/>
    <d v="2015-10-21T04:29:15"/>
    <n v="7"/>
    <s v="136.183.11.43"/>
    <s v="LB1050.46 .M35 2015"/>
    <n v="372.48"/>
    <d v="2015-06-23T00:00:00"/>
  </r>
  <r>
    <x v="5309"/>
    <d v="1899-12-30T00:01:55"/>
    <x v="1339"/>
    <x v="12"/>
    <s v="potsdam"/>
    <x v="470"/>
    <n v="1126720"/>
    <x v="5"/>
    <s v="Social Science; History"/>
    <s v="9780814724460"/>
    <s v=",1,190,191,188,192,189,193,194,2,212,213,214,211,210,215"/>
    <n v="15"/>
    <m/>
    <m/>
    <s v="No"/>
    <x v="3"/>
    <m/>
    <m/>
    <s v="137.143.104.94"/>
    <s v="E185.61 -- .H58 2013eb"/>
    <s v="305.896/073"/>
    <d v="2013-03-18T00:00:00"/>
  </r>
  <r>
    <x v="5310"/>
    <d v="1899-12-30T00:00:25"/>
    <x v="1340"/>
    <x v="1"/>
    <s v="brockport"/>
    <x v="1265"/>
    <n v="1969440"/>
    <x v="1"/>
    <s v="Political Science"/>
    <s v="9781472414298"/>
    <s v=",1,2,3,6,7,8,4,5,9"/>
    <n v="9"/>
    <m/>
    <m/>
    <s v="No"/>
    <x v="3"/>
    <m/>
    <m/>
    <s v="137.21.7.121"/>
    <s v="DA45 -- .T679 2015eb"/>
    <n v="327.41000000000003"/>
    <d v="2015-03-28T00:00:00"/>
  </r>
  <r>
    <x v="5311"/>
    <d v="1899-12-30T00:02:13"/>
    <x v="1341"/>
    <x v="7"/>
    <s v="oneonta"/>
    <x v="1266"/>
    <n v="1815569"/>
    <x v="1"/>
    <s v="Social Science; Political Science"/>
    <s v="9781472413536"/>
    <s v=",49,49,48,49,46,44,45,49,44,48,44"/>
    <n v="5"/>
    <m/>
    <m/>
    <s v="No"/>
    <x v="2"/>
    <d v="2015-10-21T14:58:48"/>
    <n v="1"/>
    <s v="137.141.13.2"/>
    <s v="H97 -- .D47 2014eb"/>
    <n v="320.60000000000002"/>
    <d v="2014-12-28T00:00:00"/>
  </r>
  <r>
    <x v="5312"/>
    <d v="1899-12-30T00:05:54"/>
    <x v="1341"/>
    <x v="7"/>
    <s v="oneonta"/>
    <x v="1266"/>
    <n v="1815569"/>
    <x v="1"/>
    <s v="Social Science; Political Science"/>
    <s v="9781472413536"/>
    <s v=",1,2,2,3,3,1,2,2,12,13,13,12,14,10,14,11,11,15,15,16,16,28,29,28,29,30,30,26,27,27,40,40,41,41,42,38,39,42,39,44,44,43,43,45,45,40,45,46,46,47,47,48,48"/>
    <n v="26"/>
    <m/>
    <m/>
    <s v="No"/>
    <x v="3"/>
    <m/>
    <m/>
    <s v="137.141.13.2"/>
    <s v="H97 -- .D47 2014eb"/>
    <n v="320.60000000000002"/>
    <d v="2014-12-28T00:00:00"/>
  </r>
  <r>
    <x v="5313"/>
    <d v="1899-12-30T00:01:12"/>
    <x v="13"/>
    <x v="0"/>
    <s v="Buffalo"/>
    <x v="1267"/>
    <n v="1825718"/>
    <x v="1"/>
    <s v="Environmental Studies; History"/>
    <s v="9781409424086"/>
    <s v=",1,2,3,23,24,25,26,22,21,29,33,16,11,12,31,27,28,30,36,37,34,35,32,33"/>
    <n v="23"/>
    <m/>
    <m/>
    <s v="No"/>
    <x v="3"/>
    <m/>
    <m/>
    <s v="128.205.114.91"/>
    <s v="DS56 -- .K445 2014eb"/>
    <s v="363.6/90956"/>
    <d v="2014-12-28T00:00:00"/>
  </r>
  <r>
    <x v="5314"/>
    <d v="1899-12-30T00:01:31"/>
    <x v="13"/>
    <x v="0"/>
    <s v="Buffalo"/>
    <x v="1268"/>
    <n v="1173654"/>
    <x v="7"/>
    <s v="Economics; Business/Management; Tourism/Hospitality"/>
    <s v="9781780642307"/>
    <s v=",1,2,3,27,31,39,41,131,132,129,130,141,142,143,139,139,140,144,145,147,148,149,146"/>
    <n v="22"/>
    <m/>
    <m/>
    <s v="No"/>
    <x v="3"/>
    <m/>
    <m/>
    <s v="128.205.114.91"/>
    <s v="G155.A1 -- T73 2013eb"/>
    <s v="338.4/791"/>
    <d v="2013-01-01T00:00:00"/>
  </r>
  <r>
    <x v="5315"/>
    <d v="1899-12-30T00:00:00"/>
    <x v="170"/>
    <x v="9"/>
    <s v="trocaire"/>
    <x v="170"/>
    <n v="1636080"/>
    <x v="13"/>
    <s v="Computer Science/IT"/>
    <s v="9781118600702"/>
    <m/>
    <n v="0"/>
    <m/>
    <m/>
    <s v="Yes"/>
    <x v="0"/>
    <d v="2015-10-21T13:26:51"/>
    <n v="7"/>
    <s v="173.225.62.67"/>
    <s v="TK5105.8885.W66 -- H43 2014eb"/>
    <n v="6.7519999999999998"/>
    <d v="2014-03-03T00:00:00"/>
  </r>
  <r>
    <x v="5316"/>
    <d v="1899-12-30T00:00:05"/>
    <x v="170"/>
    <x v="9"/>
    <s v="trocaire"/>
    <x v="170"/>
    <n v="1636080"/>
    <x v="13"/>
    <s v="Computer Science/IT"/>
    <s v="9781118600702"/>
    <s v=",1,2,1,3,2,3,1"/>
    <n v="3"/>
    <m/>
    <m/>
    <s v="No"/>
    <x v="0"/>
    <d v="2015-10-21T13:26:51"/>
    <n v="7"/>
    <s v="173.225.62.67"/>
    <s v="TK5105.8885.W66 -- H43 2014eb"/>
    <n v="6.7519999999999998"/>
    <d v="2014-03-03T00:00:00"/>
  </r>
  <r>
    <x v="5317"/>
    <d v="1899-12-30T00:00:00"/>
    <x v="170"/>
    <x v="9"/>
    <s v="trocaire"/>
    <x v="170"/>
    <n v="1636080"/>
    <x v="13"/>
    <s v="Computer Science/IT"/>
    <s v="9781118600702"/>
    <m/>
    <n v="0"/>
    <m/>
    <m/>
    <s v="No"/>
    <x v="0"/>
    <d v="2015-10-21T13:26:51"/>
    <n v="7"/>
    <s v="173.225.62.67"/>
    <s v="TK5105.8885.W66 -- H43 2014eb"/>
    <n v="6.7519999999999998"/>
    <d v="2014-03-03T00:00:00"/>
  </r>
  <r>
    <x v="5318"/>
    <d v="1899-12-30T00:00:00"/>
    <x v="170"/>
    <x v="9"/>
    <s v="trocaire"/>
    <x v="170"/>
    <n v="1636080"/>
    <x v="13"/>
    <s v="Computer Science/IT"/>
    <s v="9781118600702"/>
    <m/>
    <n v="0"/>
    <m/>
    <m/>
    <s v="No"/>
    <x v="0"/>
    <d v="2015-10-21T13:26:51"/>
    <n v="7"/>
    <s v="173.225.62.67"/>
    <s v="TK5105.8885.W66 -- H43 2014eb"/>
    <n v="6.7519999999999998"/>
    <d v="2014-03-03T00:00:00"/>
  </r>
  <r>
    <x v="5319"/>
    <d v="1899-12-30T00:00:44"/>
    <x v="170"/>
    <x v="9"/>
    <s v="trocaire"/>
    <x v="1269"/>
    <n v="1895305"/>
    <x v="0"/>
    <s v="Computer Science/IT"/>
    <s v="9781119047650"/>
    <s v=",2,1"/>
    <n v="2"/>
    <m/>
    <m/>
    <s v="Yes"/>
    <x v="0"/>
    <d v="2015-10-17T04:24:14"/>
    <n v="7"/>
    <s v="173.225.62.67"/>
    <s v="TK5105.888"/>
    <n v="6.7519999999999998"/>
    <d v="2015-05-27T00:00:00"/>
  </r>
  <r>
    <x v="5320"/>
    <d v="1899-12-30T00:00:04"/>
    <x v="170"/>
    <x v="9"/>
    <s v="trocaire"/>
    <x v="1269"/>
    <n v="1895305"/>
    <x v="0"/>
    <s v="Computer Science/IT"/>
    <s v="9781119047650"/>
    <s v=",1,1,2,3,2,3"/>
    <n v="3"/>
    <m/>
    <m/>
    <s v="No"/>
    <x v="0"/>
    <d v="2015-10-17T04:24:14"/>
    <n v="7"/>
    <s v="173.225.62.67"/>
    <s v="TK5105.888"/>
    <n v="6.7519999999999998"/>
    <d v="2015-05-27T00:00:00"/>
  </r>
  <r>
    <x v="5321"/>
    <d v="1899-12-30T00:00:00"/>
    <x v="170"/>
    <x v="9"/>
    <s v="trocaire"/>
    <x v="170"/>
    <n v="1636080"/>
    <x v="13"/>
    <s v="Computer Science/IT"/>
    <s v="9781118600702"/>
    <m/>
    <n v="0"/>
    <m/>
    <m/>
    <s v="Yes"/>
    <x v="0"/>
    <d v="2015-10-21T13:26:51"/>
    <n v="7"/>
    <s v="173.225.62.67"/>
    <s v="TK5105.8885.W66 -- H43 2014eb"/>
    <n v="6.7519999999999998"/>
    <d v="2014-03-03T00:00:00"/>
  </r>
  <r>
    <x v="5321"/>
    <d v="1899-12-30T00:00:00"/>
    <x v="170"/>
    <x v="9"/>
    <s v="trocaire"/>
    <x v="170"/>
    <n v="1636080"/>
    <x v="13"/>
    <s v="Computer Science/IT"/>
    <s v="9781118600702"/>
    <m/>
    <n v="0"/>
    <m/>
    <m/>
    <s v="No"/>
    <x v="0"/>
    <d v="2015-10-21T13:26:51"/>
    <n v="7"/>
    <s v="173.225.62.67"/>
    <s v="TK5105.8885.W66 -- H43 2014eb"/>
    <n v="6.7519999999999998"/>
    <d v="2014-03-03T00:00:00"/>
  </r>
  <r>
    <x v="5322"/>
    <d v="1899-12-30T00:00:14"/>
    <x v="170"/>
    <x v="9"/>
    <s v="trocaire"/>
    <x v="170"/>
    <n v="1636080"/>
    <x v="13"/>
    <s v="Computer Science/IT"/>
    <s v="9781118600702"/>
    <s v=",1,2,3"/>
    <n v="3"/>
    <m/>
    <m/>
    <s v="No"/>
    <x v="1"/>
    <m/>
    <m/>
    <s v="173.225.62.67"/>
    <s v="TK5105.8885.W66 -- H43 2014eb"/>
    <n v="6.7519999999999998"/>
    <d v="2014-03-03T00:00:00"/>
  </r>
  <r>
    <x v="5323"/>
    <d v="1899-12-30T00:01:56"/>
    <x v="1334"/>
    <x v="8"/>
    <s v="niagaracc"/>
    <x v="79"/>
    <n v="1757960"/>
    <x v="0"/>
    <s v="Medicine"/>
    <s v="9781118780770"/>
    <s v=",1,2,3,4,5,6,7,8,9,10,11,12,13,14,15,16,17,18,19"/>
    <n v="19"/>
    <m/>
    <m/>
    <s v="No"/>
    <x v="1"/>
    <m/>
    <m/>
    <s v="132.174.254.37"/>
    <s v="RC537 -- .A236 2014eb"/>
    <s v="616.85/27"/>
    <d v="2014-07-30T00:00:00"/>
  </r>
  <r>
    <x v="5324"/>
    <d v="1899-12-30T00:00:11"/>
    <x v="1342"/>
    <x v="8"/>
    <s v="niagaracc"/>
    <x v="1270"/>
    <n v="1747361"/>
    <x v="5"/>
    <s v="Social Science; History"/>
    <s v="9780814789254"/>
    <s v=",1,2,3,4,5,6,7,8,9,104"/>
    <n v="10"/>
    <m/>
    <m/>
    <s v="No"/>
    <x v="1"/>
    <m/>
    <m/>
    <s v="132.174.254.37"/>
    <s v="E184.A24 -- .H35 2014eb"/>
    <s v="305.896/6073"/>
    <d v="2014-08-29T00:00:00"/>
  </r>
  <r>
    <x v="5325"/>
    <d v="1899-12-30T00:14:02"/>
    <x v="1176"/>
    <x v="1"/>
    <s v="brockport"/>
    <x v="1141"/>
    <n v="1171793"/>
    <x v="0"/>
    <s v="Social Science"/>
    <s v="9780745676654"/>
    <s v=",144,145,146,147,148,140,138,139,137,136,134,133,132,131,129,130,128,127,126,125,124,123,121,122"/>
    <n v="24"/>
    <m/>
    <m/>
    <s v="No"/>
    <x v="0"/>
    <d v="2015-10-21T12:19:48"/>
    <n v="7"/>
    <s v="137.21.7.121"/>
    <s v="HM756 -- .G58 2013eb"/>
    <n v="307.76"/>
    <d v="2013-08-20T00:00:00"/>
  </r>
  <r>
    <x v="5326"/>
    <d v="1899-12-30T00:09:11"/>
    <x v="1176"/>
    <x v="1"/>
    <s v="brockport"/>
    <x v="1141"/>
    <n v="1171793"/>
    <x v="0"/>
    <s v="Social Science"/>
    <s v="9780745676654"/>
    <s v=",1,2,3,4,5,6,7,8,9,119,120,121,117,118,137,134,135,136,132,133,137,144,145,146,142,143,139,140,141,138"/>
    <n v="29"/>
    <m/>
    <m/>
    <s v="No"/>
    <x v="3"/>
    <m/>
    <m/>
    <s v="137.21.7.121"/>
    <s v="HM756 -- .G58 2013eb"/>
    <n v="307.76"/>
    <d v="2013-08-20T00:00:00"/>
  </r>
  <r>
    <x v="5327"/>
    <d v="1899-12-30T00:00:19"/>
    <x v="941"/>
    <x v="13"/>
    <s v="buffalostate"/>
    <x v="916"/>
    <n v="1925073"/>
    <x v="4"/>
    <s v="Education"/>
    <s v="9781462521128"/>
    <s v=",179,169,168,167,166"/>
    <n v="5"/>
    <m/>
    <m/>
    <s v="No"/>
    <x v="0"/>
    <d v="2015-10-21T04:29:15"/>
    <n v="7"/>
    <s v="136.183.11.43"/>
    <s v="LB1050.46 .M35 2015"/>
    <n v="372.48"/>
    <d v="2015-06-23T00:00:00"/>
  </r>
  <r>
    <x v="5328"/>
    <d v="1899-12-30T00:01:09"/>
    <x v="1343"/>
    <x v="1"/>
    <s v="brockport"/>
    <x v="517"/>
    <n v="1645679"/>
    <x v="1"/>
    <s v="Social Science; Medicine"/>
    <s v="9781472413079"/>
    <s v=",1,2,3,4,5,6,7,8,9,10,11,12,13,14,15,16,17"/>
    <n v="17"/>
    <m/>
    <m/>
    <s v="No"/>
    <x v="1"/>
    <m/>
    <m/>
    <s v="137.21.7.121"/>
    <s v="RC569.5.B65 -- K97 2014eb"/>
    <s v="306.4/613"/>
    <d v="2014-03-28T00:00:00"/>
  </r>
  <r>
    <x v="5329"/>
    <d v="1899-12-30T00:01:11"/>
    <x v="1269"/>
    <x v="13"/>
    <s v="buffalostate"/>
    <x v="546"/>
    <n v="1809344"/>
    <x v="16"/>
    <s v="Social Science"/>
    <s v="9781137356192"/>
    <s v=",1,2,3,204,205,206,202,203,207"/>
    <n v="9"/>
    <m/>
    <m/>
    <s v="No"/>
    <x v="1"/>
    <m/>
    <m/>
    <s v="136.183.11.43"/>
    <s v="HV6556 -- .P748 2014eb"/>
    <n v="364.4"/>
    <d v="2014-10-03T00:00:00"/>
  </r>
  <r>
    <x v="5330"/>
    <d v="1899-12-30T00:08:41"/>
    <x v="941"/>
    <x v="13"/>
    <s v="buffalostate"/>
    <x v="916"/>
    <n v="1925073"/>
    <x v="4"/>
    <s v="Education"/>
    <s v="9781462521128"/>
    <s v=",1,2,3,4,288,290,289,287,286,291,292,293,308,309,310,306,307,311,312,175,176,177,173,174,178,172,171,170,175"/>
    <n v="28"/>
    <m/>
    <m/>
    <s v="No"/>
    <x v="3"/>
    <m/>
    <m/>
    <s v="136.183.11.43"/>
    <s v="LB1050.46 .M35 2015"/>
    <n v="372.48"/>
    <d v="2015-06-23T00:00:00"/>
  </r>
  <r>
    <x v="5331"/>
    <d v="1899-12-30T02:32:02"/>
    <x v="13"/>
    <x v="0"/>
    <s v="Buffalo"/>
    <x v="477"/>
    <n v="1120279"/>
    <x v="0"/>
    <s v="Science: Biology/Natural History; Science"/>
    <s v="9781118537671"/>
    <s v=",19,20,21,22,23,24,25,26,27,22,28,29,30,31,32,33,34,35,1,2,3,32,33,34,30,31,21,22,23,19,20,24,25,26,27,28,29"/>
    <n v="20"/>
    <m/>
    <m/>
    <s v="No"/>
    <x v="0"/>
    <d v="2015-10-21T04:13:20"/>
    <n v="7"/>
    <s v="128.205.114.91"/>
    <s v="QH371 .K384 2012"/>
    <n v="599.93499999999995"/>
    <d v="2012-11-19T00:00:00"/>
  </r>
  <r>
    <x v="5332"/>
    <d v="1899-12-30T00:10:02"/>
    <x v="13"/>
    <x v="0"/>
    <s v="Buffalo"/>
    <x v="477"/>
    <n v="1120279"/>
    <x v="0"/>
    <s v="Science: Biology/Natural History; Science"/>
    <s v="9781118537671"/>
    <s v=",1,2,3,15,16,17,13,14,18"/>
    <n v="9"/>
    <m/>
    <m/>
    <s v="No"/>
    <x v="1"/>
    <m/>
    <m/>
    <s v="128.205.114.91"/>
    <s v="QH371 .K384 2012"/>
    <n v="599.93499999999995"/>
    <d v="2012-11-19T00:00:00"/>
  </r>
  <r>
    <x v="5333"/>
    <d v="1899-12-30T00:00:53"/>
    <x v="1344"/>
    <x v="1"/>
    <s v="brockport"/>
    <x v="814"/>
    <n v="1657766"/>
    <x v="5"/>
    <s v="Social Science"/>
    <s v="9781479863402"/>
    <s v=",16,17,18,14,15,198,199,200,196,197,201,202"/>
    <n v="12"/>
    <m/>
    <m/>
    <s v="No"/>
    <x v="0"/>
    <d v="2015-10-21T03:58:41"/>
    <n v="7"/>
    <s v="137.21.7.121"/>
    <s v="HV9104 -- .C466 2014eb"/>
    <n v="364.360973"/>
    <d v="2014-05-02T00:00:00"/>
  </r>
  <r>
    <x v="5334"/>
    <d v="1899-12-30T00:11:07"/>
    <x v="1344"/>
    <x v="1"/>
    <s v="brockport"/>
    <x v="814"/>
    <n v="1657766"/>
    <x v="5"/>
    <s v="Social Science"/>
    <s v="9781479863402"/>
    <s v=",1,2,3"/>
    <n v="3"/>
    <m/>
    <m/>
    <s v="No"/>
    <x v="3"/>
    <m/>
    <m/>
    <s v="137.21.7.121"/>
    <s v="HV9104 -- .C466 2014eb"/>
    <n v="364.360973"/>
    <d v="2014-05-02T00:00:00"/>
  </r>
  <r>
    <x v="5335"/>
    <d v="1899-12-30T00:04:58"/>
    <x v="1345"/>
    <x v="12"/>
    <s v="potsdam"/>
    <x v="1271"/>
    <n v="1727283"/>
    <x v="11"/>
    <s v="Economics; Business/Management"/>
    <s v="9780226138169"/>
    <s v=",1,2,3,8,9,10,6,7,14,15,16,12,13,11,496,497,498,494,495,499,500,501"/>
    <n v="22"/>
    <m/>
    <m/>
    <s v="No"/>
    <x v="3"/>
    <m/>
    <m/>
    <s v="137.143.104.94"/>
    <s v="HD3616"/>
    <n v="338.09730000000002"/>
    <d v="2014-08-29T00:00:00"/>
  </r>
  <r>
    <x v="5336"/>
    <d v="1899-12-30T02:41:20"/>
    <x v="1298"/>
    <x v="0"/>
    <s v="Buffalo"/>
    <x v="901"/>
    <n v="864784"/>
    <x v="10"/>
    <s v="Education"/>
    <s v="9781400841578"/>
    <s v=",1,2,3,142,143,144,140,119,120,121,117,118,122,123,124,125,126,127,128,129,130,131,132,133,134,135,136,137,138,141,145,146,147,232,233,234,230,231,167,168,169,165,166,170,171,172,26,27,28,24,25,29,30,31,32,34,33,35,36,37,38,39,40,42,41,43,44,45,46,47,48,49,50,51,52,53,54,55,56,57,58,59,60,61,62,63,64,65,66,67,68,69,70,71,72,73,74,75,84,85,83,82,86,87,88,89,90,91,92,93,94,95,96,97,98,99,101,100,102,103,104,105,106,118,117,120,116,121,115,114,113,112,111,53,54,55,51,52,56,59,60,61,62,63,64,65,66,67,68,69,70,71,72,143,144,140,141,169,165,166,167,168,170"/>
    <n v="129"/>
    <m/>
    <m/>
    <s v="No"/>
    <x v="1"/>
    <m/>
    <m/>
    <s v="128.205.114.91"/>
    <s v="LA227.4 .D455 2012"/>
    <n v="378.73"/>
    <d v="2014-05-27T00:00:00"/>
  </r>
  <r>
    <x v="5337"/>
    <d v="1899-12-30T00:00:18"/>
    <x v="26"/>
    <x v="6"/>
    <s v="sjfc"/>
    <x v="1272"/>
    <n v="2166476"/>
    <x v="0"/>
    <s v="Language/Linguistics"/>
    <s v="9781119063483"/>
    <s v=",1,3,2,4,5,6,7"/>
    <n v="7"/>
    <m/>
    <m/>
    <s v="No"/>
    <x v="3"/>
    <m/>
    <m/>
    <s v="149.69.254.57"/>
    <s v="PE1460"/>
    <n v="428.3"/>
    <d v="2015-08-14T00:00:00"/>
  </r>
  <r>
    <x v="5338"/>
    <d v="1899-12-30T01:13:12"/>
    <x v="807"/>
    <x v="0"/>
    <s v="Buffalo"/>
    <x v="73"/>
    <n v="1119505"/>
    <x v="0"/>
    <s v="Science: Chemistry; Science"/>
    <s v="9781118355015"/>
    <s v=",111,112,113,114,115,116,117,118,119,120,121,122,123,124,125,126,127,128,129,130,131,132,133,134,135,136,137,138,139,140,141,142,143,144"/>
    <n v="34"/>
    <m/>
    <m/>
    <s v="No"/>
    <x v="0"/>
    <d v="2015-10-21T00:00:44"/>
    <n v="7"/>
    <s v="128.205.114.91"/>
    <s v="QD251.3 -- .S38 2013eb"/>
    <s v="547/.128"/>
    <d v="2013-01-28T00:00:00"/>
  </r>
  <r>
    <x v="5339"/>
    <d v="1899-12-30T00:03:15"/>
    <x v="171"/>
    <x v="0"/>
    <s v="Buffalo"/>
    <x v="785"/>
    <n v="1570482"/>
    <x v="1"/>
    <s v="Social Science"/>
    <s v="9781409440529"/>
    <s v=",3,4,1,5,2,62,63,64,60,61,65,66,67,68,69,70,71,72,73,74,75,76,77,78,79,80,81"/>
    <n v="27"/>
    <m/>
    <m/>
    <s v="No"/>
    <x v="0"/>
    <d v="2015-10-20T23:58:08"/>
    <n v="7"/>
    <s v="128.205.114.91"/>
    <s v="P96.I34 -- .R633 2014eb"/>
    <s v="302.2301/9"/>
    <d v="2014-02-28T00:00:00"/>
  </r>
  <r>
    <x v="5340"/>
    <d v="1899-12-30T00:32:56"/>
    <x v="807"/>
    <x v="0"/>
    <s v="Buffalo"/>
    <x v="73"/>
    <n v="1119505"/>
    <x v="0"/>
    <s v="Science: Chemistry; Science"/>
    <s v="9781118355015"/>
    <s v=",1,2,3,106,107,108,104,105,109,110"/>
    <n v="10"/>
    <m/>
    <m/>
    <s v="No"/>
    <x v="1"/>
    <m/>
    <m/>
    <s v="128.205.114.91"/>
    <s v="QD251.3 -- .S38 2013eb"/>
    <s v="547/.128"/>
    <d v="2013-01-28T00:00:00"/>
  </r>
  <r>
    <x v="5341"/>
    <d v="1899-12-30T00:37:24"/>
    <x v="171"/>
    <x v="0"/>
    <s v="Buffalo"/>
    <x v="785"/>
    <n v="1570482"/>
    <x v="1"/>
    <s v="Social Science"/>
    <s v="9781409440529"/>
    <s v=",1,2,3"/>
    <n v="3"/>
    <m/>
    <m/>
    <s v="No"/>
    <x v="1"/>
    <m/>
    <m/>
    <s v="128.205.114.91"/>
    <s v="P96.I34 -- .R633 2014eb"/>
    <s v="302.2301/9"/>
    <d v="2014-02-28T00:00:00"/>
  </r>
  <r>
    <x v="5342"/>
    <d v="1899-12-30T00:00:47"/>
    <x v="785"/>
    <x v="9"/>
    <s v="trocaire"/>
    <x v="1273"/>
    <n v="1732138"/>
    <x v="3"/>
    <s v="Social Science"/>
    <s v="9780520958746"/>
    <s v=",1,2,3,6,7,8,9,2,3,4,5,6,7,8,2,9,10,11,12,13,14,15,16"/>
    <n v="16"/>
    <m/>
    <m/>
    <s v="No"/>
    <x v="3"/>
    <m/>
    <m/>
    <s v="173.225.62.67"/>
    <s v="HV6529 -- .G373 2015eb"/>
    <n v="364.15230000000003"/>
    <d v="2015-03-12T00:00:00"/>
  </r>
  <r>
    <x v="5343"/>
    <d v="1899-12-30T00:01:06"/>
    <x v="13"/>
    <x v="0"/>
    <s v="Buffalo"/>
    <x v="161"/>
    <n v="821663"/>
    <x v="0"/>
    <s v="Architecture"/>
    <s v="9781118168479"/>
    <s v=",1,2,2,3,3,1,2,2,243,243,244,245,244,245,241,242,242,246,246,247,247,248,248,249,250,249,251,251,250,252,252,253,254,253,254,255,255,250"/>
    <n v="18"/>
    <m/>
    <m/>
    <s v="No"/>
    <x v="0"/>
    <d v="2015-10-20T00:13:52"/>
    <n v="7"/>
    <s v="128.205.114.91"/>
    <s v="NA2547 -- .S74 2012eb"/>
    <n v="729"/>
    <d v="2012-03-05T00:00:00"/>
  </r>
  <r>
    <x v="5344"/>
    <d v="1899-12-30T00:00:00"/>
    <x v="935"/>
    <x v="15"/>
    <s v="morrisville"/>
    <x v="1274"/>
    <n v="2025603"/>
    <x v="3"/>
    <s v="Social Science"/>
    <s v="9780520960602"/>
    <m/>
    <n v="0"/>
    <m/>
    <m/>
    <s v="No"/>
    <x v="2"/>
    <d v="2015-10-20T22:24:00"/>
    <n v="1"/>
    <s v="136.204.32.68"/>
    <s v="GT2853.U5 .V384 2015"/>
    <n v="394.12097299999999"/>
    <d v="2015-10-02T00:00:00"/>
  </r>
  <r>
    <x v="5345"/>
    <d v="1899-12-30T00:00:50"/>
    <x v="935"/>
    <x v="15"/>
    <s v="morrisville"/>
    <x v="1274"/>
    <n v="2025603"/>
    <x v="3"/>
    <s v="Social Science"/>
    <s v="9780520960602"/>
    <s v=",1,73,74,75,71,72,76,2,77,78,198,199,200,196,197"/>
    <n v="15"/>
    <m/>
    <m/>
    <s v="No"/>
    <x v="3"/>
    <m/>
    <m/>
    <s v="136.204.32.68"/>
    <s v="GT2853.U5 .V384 2015"/>
    <n v="394.12097299999999"/>
    <d v="2015-10-02T00:00:00"/>
  </r>
  <r>
    <x v="5346"/>
    <d v="1899-12-30T00:00:35"/>
    <x v="26"/>
    <x v="6"/>
    <s v="sjfc"/>
    <x v="1275"/>
    <n v="888149"/>
    <x v="0"/>
    <s v="Psychology"/>
    <s v="9781119943204"/>
    <s v=",1,2,3,89,90,91,87,88"/>
    <n v="8"/>
    <m/>
    <s v=",89,56,57,58,59,60,61,62,63,64,65,56,57,58,59,60,61,62,63,64,65,89,89,90,91,92,93,94,95,96,97,98"/>
    <s v="No"/>
    <x v="0"/>
    <d v="2015-10-20T20:14:13"/>
    <n v="7"/>
    <s v="149.69.254.57"/>
    <s v="BF353.5.N37 -- E585 2013eb"/>
    <n v="155.9"/>
    <d v="2012-04-04T00:00:00"/>
  </r>
  <r>
    <x v="5347"/>
    <d v="1899-12-30T00:00:12"/>
    <x v="1346"/>
    <x v="5"/>
    <s v="erie"/>
    <x v="270"/>
    <n v="1637652"/>
    <x v="3"/>
    <s v="Education"/>
    <s v="9780520958449"/>
    <s v=",1,2,3,12,13,26,27,28,116,117,118,114,143,144,145,141,142"/>
    <n v="17"/>
    <m/>
    <m/>
    <s v="No"/>
    <x v="1"/>
    <m/>
    <m/>
    <s v="199.29.6.54"/>
    <s v="LB2340.2 -- .B478 2014eb"/>
    <s v="378.3/62"/>
    <d v="2014-05-02T00:00:00"/>
  </r>
  <r>
    <x v="5348"/>
    <d v="1899-12-30T00:00:28"/>
    <x v="1347"/>
    <x v="12"/>
    <s v="potsdam"/>
    <x v="1276"/>
    <n v="1986938"/>
    <x v="0"/>
    <s v="Medicine"/>
    <s v="9781118777503"/>
    <s v=",1,2,3,5,6,7,4,8"/>
    <n v="8"/>
    <m/>
    <m/>
    <s v="No"/>
    <x v="3"/>
    <m/>
    <m/>
    <s v="137.143.104.94"/>
    <s v="RC1210 .W384 2015"/>
    <n v="617.10270000000003"/>
    <d v="2015-07-27T00:00:00"/>
  </r>
  <r>
    <x v="5349"/>
    <d v="1899-12-30T00:00:04"/>
    <x v="26"/>
    <x v="6"/>
    <s v="sjfc"/>
    <x v="1275"/>
    <n v="888149"/>
    <x v="0"/>
    <s v="Psychology"/>
    <s v="9781119943204"/>
    <s v=",1,89,90,91"/>
    <n v="4"/>
    <m/>
    <m/>
    <s v="No"/>
    <x v="0"/>
    <d v="2015-10-20T20:14:13"/>
    <n v="7"/>
    <s v="149.69.254.57"/>
    <s v="BF353.5.N37 -- E585 2013eb"/>
    <n v="155.9"/>
    <d v="2012-04-04T00:00:00"/>
  </r>
  <r>
    <x v="5350"/>
    <d v="1899-12-30T00:00:31"/>
    <x v="26"/>
    <x v="6"/>
    <s v="sjfc"/>
    <x v="1275"/>
    <n v="888149"/>
    <x v="0"/>
    <s v="Psychology"/>
    <s v="9781119943204"/>
    <s v=",90"/>
    <n v="1"/>
    <m/>
    <m/>
    <s v="Yes"/>
    <x v="0"/>
    <d v="2015-10-20T20:14:13"/>
    <n v="7"/>
    <s v="149.69.254.57"/>
    <s v="BF353.5.N37 -- E585 2013eb"/>
    <n v="155.9"/>
    <d v="2012-04-04T00:00:00"/>
  </r>
  <r>
    <x v="5351"/>
    <d v="1899-12-30T00:00:36"/>
    <x v="1348"/>
    <x v="12"/>
    <s v="potsdam"/>
    <x v="878"/>
    <n v="1813815"/>
    <x v="0"/>
    <s v="Psychology"/>
    <s v="9781118314739"/>
    <s v=",1,2,3,4,5,6,7,8"/>
    <n v="8"/>
    <m/>
    <m/>
    <s v="No"/>
    <x v="3"/>
    <m/>
    <m/>
    <s v="137.143.104.94"/>
    <s v="BF575.A3 -- .G38 2015eb"/>
    <s v="155.3/338232"/>
    <d v="2014-10-08T00:00:00"/>
  </r>
  <r>
    <x v="5352"/>
    <d v="1899-12-30T00:48:18"/>
    <x v="26"/>
    <x v="6"/>
    <s v="sjfc"/>
    <x v="1275"/>
    <n v="888149"/>
    <x v="0"/>
    <s v="Psychology"/>
    <s v="9781119943204"/>
    <s v=",38,89,89,89,89,89,89,89"/>
    <n v="2"/>
    <s v=",89"/>
    <m/>
    <s v="No"/>
    <x v="0"/>
    <d v="2015-10-20T20:14:13"/>
    <n v="7"/>
    <s v="149.69.254.57"/>
    <s v="BF353.5.N37 -- E585 2013eb"/>
    <n v="155.9"/>
    <d v="2012-04-04T00:00:00"/>
  </r>
  <r>
    <x v="5353"/>
    <d v="1899-12-30T00:13:41"/>
    <x v="26"/>
    <x v="6"/>
    <s v="sjfc"/>
    <x v="1275"/>
    <n v="888149"/>
    <x v="0"/>
    <s v="Psychology"/>
    <s v="9781119943204"/>
    <s v=",1,2,3,56,57,58,54,55,59,60,36,37,38,34,39,40"/>
    <n v="16"/>
    <m/>
    <m/>
    <s v="No"/>
    <x v="1"/>
    <m/>
    <m/>
    <s v="149.69.254.57"/>
    <s v="BF353.5.N37 -- E585 2013eb"/>
    <n v="155.9"/>
    <d v="2012-04-04T00:00:00"/>
  </r>
  <r>
    <x v="5354"/>
    <d v="1899-12-30T00:00:58"/>
    <x v="1348"/>
    <x v="12"/>
    <s v="potsdam"/>
    <x v="878"/>
    <n v="1813815"/>
    <x v="0"/>
    <s v="Psychology"/>
    <s v="9781118314739"/>
    <s v=",1,2,3,4,6,5,7,8,9,10,12"/>
    <n v="11"/>
    <m/>
    <m/>
    <s v="No"/>
    <x v="3"/>
    <m/>
    <m/>
    <s v="137.143.104.94"/>
    <s v="BF575.A3 -- .G38 2015eb"/>
    <s v="155.3/338232"/>
    <d v="2014-10-08T00:00:00"/>
  </r>
  <r>
    <x v="5355"/>
    <d v="1899-12-30T00:01:13"/>
    <x v="1349"/>
    <x v="5"/>
    <s v="erie"/>
    <x v="630"/>
    <n v="771049"/>
    <x v="18"/>
    <s v="Science: Physics; Science; Environmental Studies"/>
    <s v="9781608706648"/>
    <s v=",1,2,3,8,9,10,6,7,11,12,13,14,15"/>
    <n v="13"/>
    <m/>
    <m/>
    <s v="No"/>
    <x v="1"/>
    <m/>
    <m/>
    <s v="199.29.6.54"/>
    <s v="QC981.8"/>
    <n v="363.73874000000001"/>
    <d v="2012-01-01T00:00:00"/>
  </r>
  <r>
    <x v="5356"/>
    <d v="1899-12-30T00:00:01"/>
    <x v="1275"/>
    <x v="13"/>
    <s v="buffalostate"/>
    <x v="625"/>
    <n v="836167"/>
    <x v="6"/>
    <s v="Science: Physics; Environmental Studies; Science"/>
    <s v="9781438139487"/>
    <s v=",1,2,3"/>
    <n v="3"/>
    <m/>
    <m/>
    <s v="No"/>
    <x v="0"/>
    <d v="2015-10-20T18:44:41"/>
    <n v="7"/>
    <s v="136.183.11.43"/>
    <s v="QC981.8.G56 -- T66 2012eb"/>
    <s v="363.738/74"/>
    <d v="2011-11-01T00:00:00"/>
  </r>
  <r>
    <x v="5357"/>
    <d v="1899-12-30T00:00:00"/>
    <x v="1311"/>
    <x v="9"/>
    <s v="trocaire"/>
    <x v="1250"/>
    <n v="1943363"/>
    <x v="0"/>
    <s v="Medicine"/>
    <s v="9781118746196"/>
    <m/>
    <n v="0"/>
    <s v=",159,159"/>
    <m/>
    <s v="No"/>
    <x v="0"/>
    <d v="2015-10-20T18:30:57"/>
    <n v="7"/>
    <s v="173.225.62.67"/>
    <s v="RB113 -- .N35 2015eb"/>
    <s v="616/.047"/>
    <d v="2015-02-05T00:00:00"/>
  </r>
  <r>
    <x v="5358"/>
    <d v="1899-12-30T00:16:10"/>
    <x v="1275"/>
    <x v="13"/>
    <s v="buffalostate"/>
    <x v="625"/>
    <n v="836167"/>
    <x v="6"/>
    <s v="Science: Physics; Environmental Studies; Science"/>
    <s v="9781438139487"/>
    <s v=",2,1,3,50,51,47,48,48,1,49,50,46,47,2,51,52,53"/>
    <n v="11"/>
    <m/>
    <m/>
    <s v="No"/>
    <x v="1"/>
    <m/>
    <m/>
    <s v="136.183.11.43"/>
    <s v="QC981.8.G56 -- T66 2012eb"/>
    <s v="363.738/74"/>
    <d v="2011-11-01T00:00:00"/>
  </r>
  <r>
    <x v="5359"/>
    <d v="1899-12-30T00:03:29"/>
    <x v="1311"/>
    <x v="9"/>
    <s v="trocaire"/>
    <x v="1250"/>
    <n v="1943363"/>
    <x v="0"/>
    <s v="Medicine"/>
    <s v="9781118746196"/>
    <s v=",1,159,160,159,161,157,161,158,158,1,160,162,162,163,163,164,164,165,2,165,2,160,158,159,156,157,155,154,159,160,161,162,163,157,156,6,7,6,8,7,8,4,5,10,11,9,10,12,9,5,12,11,6,7,3,4,8,9,10,11,12,42,44,40,43,42,41,43,41,44,158,159,160,157,156,161"/>
    <n v="29"/>
    <m/>
    <m/>
    <s v="No"/>
    <x v="3"/>
    <m/>
    <m/>
    <s v="173.225.62.67"/>
    <s v="RB113 -- .N35 2015eb"/>
    <s v="616/.047"/>
    <d v="2015-02-05T00:00:00"/>
  </r>
  <r>
    <x v="5360"/>
    <d v="1899-12-30T00:00:06"/>
    <x v="1311"/>
    <x v="9"/>
    <s v="trocaire"/>
    <x v="1250"/>
    <n v="1943363"/>
    <x v="0"/>
    <s v="Medicine"/>
    <s v="9781118746196"/>
    <s v=",1,11,13,9,10,11,13,10,12"/>
    <n v="6"/>
    <m/>
    <m/>
    <s v="No"/>
    <x v="3"/>
    <m/>
    <m/>
    <s v="173.225.62.67"/>
    <s v="RB113 -- .N35 2015eb"/>
    <s v="616/.047"/>
    <d v="2015-02-05T00:00:00"/>
  </r>
  <r>
    <x v="5361"/>
    <d v="1899-12-30T00:03:53"/>
    <x v="819"/>
    <x v="7"/>
    <s v="oneonta"/>
    <x v="258"/>
    <n v="821827"/>
    <x v="0"/>
    <s v="Social Science"/>
    <s v="9781118225349"/>
    <s v=",1,113,115,111,114,112,2,116,117,106,118,119,120"/>
    <n v="13"/>
    <m/>
    <m/>
    <s v="No"/>
    <x v="1"/>
    <m/>
    <m/>
    <s v="137.141.13.2"/>
    <s v="HM1166 -- .N448 2012eb"/>
    <n v="302"/>
    <d v="2012-04-30T00:00:00"/>
  </r>
  <r>
    <x v="5362"/>
    <d v="1899-12-30T01:24:46"/>
    <x v="1350"/>
    <x v="0"/>
    <s v="Buffalo"/>
    <x v="975"/>
    <n v="817871"/>
    <x v="0"/>
    <s v="Computer Science/IT"/>
    <s v="9781118206911"/>
    <s v=",1,2,3,106,108,107,105,104,109,110,111,112,113,1,113,114,115,112,111,54,55,56,52,53,57,2,104,105,106,102,107,108,103,109,110,111,112,113,114,115,116,416,417,418,420,419,421,422,423,257,258,259,256,255,283,284,285,281,282,279,280,290,291,292,288,289,293,373,374,375,372,371,376,371,377,378,379,380,381,394,396,395,392,393,397,398,399,400,416,415"/>
    <n v="71"/>
    <m/>
    <m/>
    <s v="No"/>
    <x v="0"/>
    <d v="2015-10-20T03:15:04"/>
    <n v="7"/>
    <s v="128.205.114.91"/>
    <s v="QA76.76.H94"/>
    <n v="6.74"/>
    <d v="2011-12-20T00:00:00"/>
  </r>
  <r>
    <x v="5363"/>
    <d v="1899-12-30T00:00:22"/>
    <x v="1351"/>
    <x v="1"/>
    <s v="brockport"/>
    <x v="814"/>
    <n v="1657766"/>
    <x v="5"/>
    <s v="Social Science"/>
    <s v="9781479863402"/>
    <s v=",1,15,16,12,13,2"/>
    <n v="6"/>
    <m/>
    <m/>
    <s v="No"/>
    <x v="3"/>
    <m/>
    <m/>
    <s v="137.21.7.121"/>
    <s v="HV9104 -- .C466 2014eb"/>
    <n v="364.360973"/>
    <d v="2014-05-02T00:00:00"/>
  </r>
  <r>
    <x v="5364"/>
    <d v="1899-12-30T00:00:10"/>
    <x v="1279"/>
    <x v="13"/>
    <s v="buffalostate"/>
    <x v="1199"/>
    <n v="1190428"/>
    <x v="3"/>
    <s v="Health; Social Science"/>
    <s v="9780520955066"/>
    <s v=",1,2,3,120,121,122,118,119"/>
    <n v="8"/>
    <m/>
    <m/>
    <s v="No"/>
    <x v="1"/>
    <m/>
    <m/>
    <s v="136.183.11.43"/>
    <s v="TX360.U6 -- N47 2013eb"/>
    <s v="363.8/5/0973"/>
    <d v="2013-05-14T00:00:00"/>
  </r>
  <r>
    <x v="5365"/>
    <d v="1899-12-30T00:01:09"/>
    <x v="1279"/>
    <x v="13"/>
    <s v="buffalostate"/>
    <x v="1199"/>
    <n v="1190428"/>
    <x v="3"/>
    <s v="Health; Social Science"/>
    <s v="9780520955066"/>
    <s v=",1,2,3,54,55,56,52,53,2,57,58,59"/>
    <n v="11"/>
    <m/>
    <m/>
    <s v="No"/>
    <x v="1"/>
    <m/>
    <m/>
    <s v="136.183.11.43"/>
    <s v="TX360.U6 -- N47 2013eb"/>
    <s v="363.8/5/0973"/>
    <d v="2013-05-14T00:00:00"/>
  </r>
  <r>
    <x v="5366"/>
    <d v="1899-12-30T03:08:18"/>
    <x v="1352"/>
    <x v="1"/>
    <s v="brockport"/>
    <x v="1277"/>
    <n v="1780032"/>
    <x v="0"/>
    <s v="Health; Science; Social Science; Science: Anatomy/Physiology"/>
    <s v="9781118521502"/>
    <s v=",37,38,27,28,29,25,26,60,62,61,58,59,63,64,65,66,145,146,147,143,144,23,24,25,21,22,26,27,28,29,30,31,32,33,34,35,36,37,38,39,40,41,42,52,53,54,50,51,55,56,39,40,41,37,38,42,43,44,45,37,113,114,115,111,112,116,117,118,119,120,121,122,142,143,144,140,141,145,146,125,126,127,123,124,128,129,104,106,105,101,102,103,100,70,71,72,68,69,51,52,53,49,50,54,55"/>
    <n v="81"/>
    <m/>
    <m/>
    <s v="No"/>
    <x v="2"/>
    <d v="2015-10-20T16:23:57"/>
    <n v="1"/>
    <s v="137.21.7.121"/>
    <s v="RA777.6 -- .E734 2015eb"/>
    <n v="612.66999999999996"/>
    <d v="2014-09-02T00:00:00"/>
  </r>
  <r>
    <x v="5367"/>
    <d v="1899-12-30T00:08:41"/>
    <x v="1352"/>
    <x v="1"/>
    <s v="brockport"/>
    <x v="1277"/>
    <n v="1780032"/>
    <x v="0"/>
    <s v="Health; Science; Social Science; Science: Anatomy/Physiology"/>
    <s v="9781118521502"/>
    <s v=",1,2,3,34,36,35,33,32"/>
    <n v="8"/>
    <m/>
    <m/>
    <s v="No"/>
    <x v="3"/>
    <m/>
    <m/>
    <s v="137.21.7.121"/>
    <s v="RA777.6 -- .E734 2015eb"/>
    <n v="612.66999999999996"/>
    <d v="2014-09-02T00:00:00"/>
  </r>
  <r>
    <x v="5368"/>
    <d v="1899-12-30T00:39:47"/>
    <x v="1353"/>
    <x v="8"/>
    <s v="niagaracc"/>
    <x v="1140"/>
    <n v="1641469"/>
    <x v="4"/>
    <s v="Medicine"/>
    <s v="9781462513444"/>
    <s v=",1,3,520,518,522,519,521,517,522,523,524"/>
    <n v="10"/>
    <m/>
    <m/>
    <s v="No"/>
    <x v="0"/>
    <d v="2015-10-20T16:13:13"/>
    <n v="7"/>
    <s v="132.174.254.37"/>
    <s v="RC489.B4 -- C584 2014eb"/>
    <n v="616.89142000000004"/>
    <d v="2014-02-27T00:00:00"/>
  </r>
  <r>
    <x v="5369"/>
    <d v="1899-12-30T00:00:00"/>
    <x v="13"/>
    <x v="0"/>
    <s v="Buffalo"/>
    <x v="7"/>
    <n v="1711065"/>
    <x v="3"/>
    <s v="Political Science; Social Science"/>
    <s v="9780520959156"/>
    <m/>
    <n v="0"/>
    <m/>
    <s v=",257,258,259,260,261,262,263,264,265,266,267,268,269,270,271,272,273,274,275,276,277,278,279,280,281,282,283,284,285,286,287,288,289,290,291,292,293,294,295,296,297,298,299,300"/>
    <s v="No"/>
    <x v="0"/>
    <d v="2015-10-20T16:11:10"/>
    <n v="7"/>
    <s v="128.205.114.91"/>
    <s v="JV6450 -- .P67 2014eb"/>
    <s v="304.8/73"/>
    <d v="2014-08-30T00:00:00"/>
  </r>
  <r>
    <x v="5370"/>
    <d v="1899-12-30T00:04:24"/>
    <x v="1354"/>
    <x v="12"/>
    <s v="potsdam"/>
    <x v="1278"/>
    <n v="1575273"/>
    <x v="11"/>
    <s v="Political Science; Social Science"/>
    <s v="9780226923154"/>
    <s v=",180,178,175,178,179,180,176,177,181,182,183,184,185,186,187,188,189,191,192,193,190"/>
    <n v="19"/>
    <m/>
    <m/>
    <s v="No"/>
    <x v="2"/>
    <d v="2015-10-20T16:10:11"/>
    <n v="1"/>
    <s v="137.143.104.94"/>
    <s v="JV1035"/>
    <s v="303.48/241"/>
    <d v="2014-01-10T00:00:00"/>
  </r>
  <r>
    <x v="5371"/>
    <d v="1899-12-30T00:05:16"/>
    <x v="13"/>
    <x v="0"/>
    <s v="Buffalo"/>
    <x v="7"/>
    <n v="1711065"/>
    <x v="3"/>
    <s v="Political Science; Social Science"/>
    <s v="9780520959156"/>
    <s v=",1,1,2,2,3,3,44,44,46,42,45,43,43,45,46,47,47,48,48,2,518,519,520,518,516,520,517,519,517,521,521,521,522,522,523,523,524,524,519,268,269,270,269,266,268,267,267,270,265,270,279,300,279,300,326,326,337,337,338,339,338,339,336,336,335,334,332,332,330,334,330,329,329,331,331,327,328,328,332,326,322,310,308,310,308,322,307,309,307,309,305,306,306,310,311,311,312,312,313,313,315,315,314,314,316,316,317,317,318,319,319,318,320,320,321,321,518,519,520,523,524,525,525,526,522,520,521,526,519,256,257,256,257,255,254,258,255,258,259,265,266,259,267,268,264,279,280,281,280,281,282,282,278,283,283,284,284,285,285,286,286,281,286,287,287,288,288,257,258,259,255,256,257"/>
    <n v="77"/>
    <m/>
    <m/>
    <s v="No"/>
    <x v="1"/>
    <m/>
    <m/>
    <s v="128.205.114.91"/>
    <s v="JV6450 -- .P67 2014eb"/>
    <s v="304.8/73"/>
    <d v="2014-08-30T00:00:00"/>
  </r>
  <r>
    <x v="5372"/>
    <d v="1899-12-30T00:06:25"/>
    <x v="1354"/>
    <x v="12"/>
    <s v="potsdam"/>
    <x v="1278"/>
    <n v="1575273"/>
    <x v="11"/>
    <s v="Political Science; Social Science"/>
    <s v="9780226923154"/>
    <s v=",1,3,2,4,5,6,7,8,9,10,15,30,38,43,49,50,51,52,48,150,198,206,199,188,189,184,176,177,178,174,175,179"/>
    <n v="32"/>
    <m/>
    <m/>
    <s v="No"/>
    <x v="3"/>
    <m/>
    <m/>
    <s v="137.143.104.94"/>
    <s v="JV1035"/>
    <s v="303.48/241"/>
    <d v="2014-01-10T00:00:00"/>
  </r>
  <r>
    <x v="5373"/>
    <d v="1899-12-30T00:12:51"/>
    <x v="1353"/>
    <x v="8"/>
    <s v="niagaracc"/>
    <x v="1140"/>
    <n v="1641469"/>
    <x v="4"/>
    <s v="Medicine"/>
    <s v="9781462513444"/>
    <s v=",1,2,3,8,9,10,6,7,5,3,4,520,521,522,518,519"/>
    <n v="15"/>
    <m/>
    <m/>
    <s v="No"/>
    <x v="1"/>
    <m/>
    <m/>
    <s v="132.174.254.37"/>
    <s v="RC489.B4 -- C584 2014eb"/>
    <n v="616.89142000000004"/>
    <d v="2014-02-27T00:00:00"/>
  </r>
  <r>
    <x v="5374"/>
    <d v="1899-12-30T00:00:04"/>
    <x v="33"/>
    <x v="7"/>
    <s v="oneonta"/>
    <x v="458"/>
    <n v="1895384"/>
    <x v="0"/>
    <s v="Computer Science/IT; Fine Arts; Engineering: General; Engineering"/>
    <s v="9781119085836"/>
    <s v=",1,2,3"/>
    <n v="3"/>
    <m/>
    <m/>
    <s v="No"/>
    <x v="3"/>
    <m/>
    <m/>
    <s v="137.141.13.2"/>
    <s v="T385 .C351 2015"/>
    <n v="741.6"/>
    <d v="2015-06-02T00:00:00"/>
  </r>
  <r>
    <x v="5375"/>
    <d v="1899-12-30T00:00:57"/>
    <x v="1355"/>
    <x v="13"/>
    <s v="buffalostate"/>
    <x v="976"/>
    <n v="967750"/>
    <x v="15"/>
    <s v="History"/>
    <s v="9781441116635"/>
    <s v=",1,2,3,280,281,278"/>
    <n v="6"/>
    <m/>
    <m/>
    <s v="No"/>
    <x v="1"/>
    <m/>
    <m/>
    <s v="136.183.11.43"/>
    <s v="DE86"/>
    <n v="937"/>
    <d v="2012-06-21T00:00:00"/>
  </r>
  <r>
    <x v="5376"/>
    <d v="1899-12-30T00:06:36"/>
    <x v="1356"/>
    <x v="0"/>
    <s v="Buffalo"/>
    <x v="793"/>
    <n v="2025589"/>
    <x v="3"/>
    <s v="Social Science; Medicine; Health"/>
    <s v="9780520962224"/>
    <s v=",300,301,302,298,299,303,304,307,325,326,328,331,332,333,334,336,1,2,3,42,43,44,40,41,38,268,269,270,266,267,271,272"/>
    <n v="32"/>
    <s v=",42"/>
    <s v=",2,3,20,21,22,23,24,25,26,27,28,29,30,31,32,33,34,35,36,37,38,39,42,43,44,45,46,47,48,49,50,51,52,53,54,55,56,57,58,59,60,61,62,63,64,65,66,67,68,69,70,71,72,73,74,75,76,77,78,79,80,81,82,83,84,85,86,87,88,89,42,43,44,45,46,47,48,49,50,51,52,53,54,55,56,57,58,59,60,61,62,63,64,65,66,67,68,69,70,71,72,73,74,75,76,77,78,79,80,81,82,83,84,85,86,87,88,89,268,269,270,271,272,273,274,275,276,277,278,279,280,281,282,283"/>
    <s v="No"/>
    <x v="2"/>
    <d v="2015-10-20T14:52:14"/>
    <n v="1"/>
    <s v="128.205.114.91"/>
    <s v="RC455.4.E8 J46 2015"/>
    <n v="362.19689008900002"/>
    <d v="2015-09-15T00:00:00"/>
  </r>
  <r>
    <x v="5377"/>
    <d v="1899-12-30T00:03:22"/>
    <x v="1356"/>
    <x v="0"/>
    <s v="Buffalo"/>
    <x v="793"/>
    <n v="2025589"/>
    <x v="3"/>
    <s v="Social Science; Medicine; Health"/>
    <s v="9780520962224"/>
    <s v=",1,12,13,14,10,11,15,16,2,17,18,19,20,21,22,23,24"/>
    <n v="17"/>
    <m/>
    <m/>
    <s v="No"/>
    <x v="3"/>
    <m/>
    <m/>
    <s v="128.205.114.91"/>
    <s v="RC455.4.E8 J46 2015"/>
    <n v="362.19689008900002"/>
    <d v="2015-09-15T00:00:00"/>
  </r>
  <r>
    <x v="5378"/>
    <d v="1899-12-30T00:02:21"/>
    <x v="1357"/>
    <x v="0"/>
    <s v="Buffalo"/>
    <x v="1259"/>
    <n v="817347"/>
    <x v="0"/>
    <s v="Education"/>
    <s v="9781118132241"/>
    <s v=",1,2,3,4,5,6,7,8,9,10,11,12,13,14,15,16,17,18,19,20,21,22,23,24,25,26,27,28,29,30,31,32,33,34,35,36,37,38,39,40,41,42,43,44,45,46,47,48,49,50,51,52,53,54,55,56,57,58,59,60,61,62,63"/>
    <n v="63"/>
    <m/>
    <m/>
    <s v="No"/>
    <x v="1"/>
    <m/>
    <m/>
    <s v="128.205.114.91"/>
    <s v="LB2806 -- .L3854 2012eb"/>
    <n v="371.20097299999998"/>
    <d v="2011-10-21T00:00:00"/>
  </r>
  <r>
    <x v="5379"/>
    <d v="1899-12-30T00:13:43"/>
    <x v="1221"/>
    <x v="0"/>
    <s v="Buffalo"/>
    <x v="500"/>
    <n v="699744"/>
    <x v="0"/>
    <s v="Engineering; Engineering: Electrical; Engineering: Civil"/>
    <s v="9781118585818"/>
    <s v=",1,2,3,1,2,3,671,672,673,669,670,674,675,676,677,678,679,680,681,682,683,684,685"/>
    <n v="20"/>
    <m/>
    <m/>
    <s v="No"/>
    <x v="0"/>
    <d v="2015-10-19T19:23:53"/>
    <n v="7"/>
    <s v="128.205.114.91"/>
    <s v="TA1520 -- .S24 2007eb"/>
    <n v="621.36"/>
    <d v="2013-02-05T00:00:00"/>
  </r>
  <r>
    <x v="5380"/>
    <d v="1899-12-30T00:00:03"/>
    <x v="974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5381"/>
    <d v="1899-12-30T01:13:00"/>
    <x v="705"/>
    <x v="13"/>
    <s v="buffalostate"/>
    <x v="516"/>
    <n v="1840835"/>
    <x v="0"/>
    <s v="Business/Management; Economics"/>
    <s v="9781118950166"/>
    <s v=",1,2,3,41,42,43,39,40,107,108,109,105,106,110,104,103,131,132,133,129,130,134,135,136,137,138,139,140,141,142,143,144,155,156,157,153,154,145,146,147,148,149,150,151,158,159,160,161,162,163,163,164,164,165,165,166,166"/>
    <n v="53"/>
    <m/>
    <m/>
    <s v="No"/>
    <x v="0"/>
    <d v="2015-10-19T18:52:02"/>
    <n v="7"/>
    <s v="136.183.11.43"/>
    <s v="HD9969.S6 .R384 2014"/>
    <n v="338.10923789999998"/>
    <d v="2014-11-10T00:00:00"/>
  </r>
  <r>
    <x v="5382"/>
    <d v="1899-12-30T01:40:58"/>
    <x v="711"/>
    <x v="13"/>
    <s v="buffalostate"/>
    <x v="516"/>
    <n v="1840835"/>
    <x v="0"/>
    <s v="Business/Management; Economics"/>
    <s v="9781118950166"/>
    <s v=",109,136,137,139,142,145,146,147,148,149,150,151,152,153,154,155,156,157,55,56,52,53,138,140,141,143,144,158,159,160,161,162,163,164,165,166"/>
    <n v="36"/>
    <m/>
    <m/>
    <s v="No"/>
    <x v="0"/>
    <d v="2015-10-20T10:55:27"/>
    <n v="7"/>
    <s v="136.183.11.43"/>
    <s v="HD9969.S6 .R384 2014"/>
    <n v="338.10923789999998"/>
    <d v="2014-11-10T00:00:00"/>
  </r>
  <r>
    <x v="5383"/>
    <d v="1899-12-30T00:00:00"/>
    <x v="711"/>
    <x v="13"/>
    <s v="buffalostate"/>
    <x v="516"/>
    <n v="1840835"/>
    <x v="0"/>
    <s v="Business/Management; Economics"/>
    <s v="9781118950166"/>
    <m/>
    <n v="0"/>
    <m/>
    <m/>
    <s v="No"/>
    <x v="0"/>
    <d v="2015-10-20T10:55:24"/>
    <n v="7"/>
    <s v="136.183.11.43"/>
    <s v="HD9969.S6 .R384 2014"/>
    <n v="338.10923789999998"/>
    <d v="2014-11-10T00:00:00"/>
  </r>
  <r>
    <x v="5384"/>
    <d v="1899-12-30T00:00:00"/>
    <x v="711"/>
    <x v="13"/>
    <s v="buffalostate"/>
    <x v="516"/>
    <n v="1840835"/>
    <x v="0"/>
    <s v="Business/Management; Economics"/>
    <s v="9781118950166"/>
    <m/>
    <n v="0"/>
    <m/>
    <m/>
    <s v="No"/>
    <x v="0"/>
    <d v="2015-10-20T10:55:13"/>
    <n v="7"/>
    <s v="136.183.11.43"/>
    <s v="HD9969.S6 .R384 2014"/>
    <n v="338.10923789999998"/>
    <d v="2014-11-10T00:00:00"/>
  </r>
  <r>
    <x v="5385"/>
    <d v="1899-12-30T00:10:32"/>
    <x v="711"/>
    <x v="13"/>
    <s v="buffalostate"/>
    <x v="516"/>
    <n v="1840835"/>
    <x v="0"/>
    <s v="Business/Management; Economics"/>
    <s v="9781118950166"/>
    <s v=",1,2,3,97,98,99,95,96,100,101,110,111,108,107,94,102,103,104,105,106,112,113,114,115,116,117,118,119,120,121,122,123,124,125,126,127,128,129,130,131,132,133,134,135"/>
    <n v="44"/>
    <m/>
    <m/>
    <s v="No"/>
    <x v="1"/>
    <m/>
    <m/>
    <s v="136.183.11.43"/>
    <s v="HD9969.S6 .R384 2014"/>
    <n v="338.10923789999998"/>
    <d v="2014-11-10T00:00:00"/>
  </r>
  <r>
    <x v="5386"/>
    <d v="1899-12-30T00:01:06"/>
    <x v="1358"/>
    <x v="0"/>
    <s v="Buffalo"/>
    <x v="500"/>
    <n v="699744"/>
    <x v="0"/>
    <s v="Engineering; Engineering: Electrical; Engineering: Civil"/>
    <s v="9781118585818"/>
    <s v=",1,2,3,27,28,29,25,26,30,31,32,33,34,35,36,37,38,39,40,41,42,43,44,45,46,47,48,49,50,51,52,53,54,55,56,57"/>
    <n v="36"/>
    <m/>
    <m/>
    <s v="No"/>
    <x v="1"/>
    <m/>
    <m/>
    <s v="128.205.114.91"/>
    <s v="TA1520 -- .S24 2007eb"/>
    <n v="621.36"/>
    <d v="2013-02-05T00:00:00"/>
  </r>
  <r>
    <x v="5387"/>
    <d v="1899-12-30T00:13:37"/>
    <x v="13"/>
    <x v="0"/>
    <s v="Buffalo"/>
    <x v="120"/>
    <n v="947579"/>
    <x v="0"/>
    <s v="Business/Management"/>
    <s v="9781118419632"/>
    <s v=",1,104,105,106,102,103,107,59,2,60,61,62,63,64,65,89,90,91,87,88,92,93,94,95,120,116,117,108,115,114,113,112,119,1,120,121,117,118,116,2,122,123,124,125,128,129,1,129,130,131,128,126,127,2,132,133,134,135,124,123,125,121,122,120,119,118,117,116,114,115"/>
    <n v="49"/>
    <m/>
    <m/>
    <s v="No"/>
    <x v="0"/>
    <d v="2015-10-20T06:40:09"/>
    <n v="7"/>
    <s v="128.205.114.91"/>
    <s v="HF5667 .C67 2012"/>
    <n v="657.45"/>
    <d v="2012-11-28T00:00:00"/>
  </r>
  <r>
    <x v="5388"/>
    <d v="1899-12-30T00:18:49"/>
    <x v="13"/>
    <x v="0"/>
    <s v="Buffalo"/>
    <x v="120"/>
    <n v="947579"/>
    <x v="0"/>
    <s v="Business/Management"/>
    <s v="9781118419632"/>
    <s v=",1,2,3,61,62,59,87,103"/>
    <n v="8"/>
    <m/>
    <m/>
    <s v="No"/>
    <x v="1"/>
    <m/>
    <m/>
    <s v="128.205.114.91"/>
    <s v="HF5667 .C67 2012"/>
    <n v="657.45"/>
    <d v="2012-11-28T00:00:00"/>
  </r>
  <r>
    <x v="5389"/>
    <d v="1899-12-30T00:09:25"/>
    <x v="613"/>
    <x v="0"/>
    <s v="Buffalo"/>
    <x v="500"/>
    <n v="699744"/>
    <x v="0"/>
    <s v="Engineering; Engineering: Electrical; Engineering: Civil"/>
    <s v="9781118585818"/>
    <s v=",1,2,3,704,705,706,702,703,707,708,709,710,711,712,710,704,705,706,707,708,709,711,712,713,714,715,716,717,718,719,720"/>
    <n v="22"/>
    <m/>
    <m/>
    <s v="No"/>
    <x v="1"/>
    <m/>
    <m/>
    <s v="128.205.114.91"/>
    <s v="TA1520 -- .S24 2007eb"/>
    <n v="621.36"/>
    <d v="2013-02-05T00:00:00"/>
  </r>
  <r>
    <x v="5390"/>
    <d v="1899-12-30T00:24:27"/>
    <x v="1350"/>
    <x v="0"/>
    <s v="Buffalo"/>
    <x v="975"/>
    <n v="817871"/>
    <x v="0"/>
    <s v="Computer Science/IT"/>
    <s v="9781118206911"/>
    <s v=",416,417,418,420,421,422,419,423,424,425,426,427,428,429,430,431,432,433,434,435,257,258,259,255,256,126,294,295,296,292,293,297,290,291,254"/>
    <n v="35"/>
    <m/>
    <m/>
    <s v="No"/>
    <x v="0"/>
    <d v="2015-10-20T03:15:04"/>
    <n v="7"/>
    <s v="128.205.114.91"/>
    <s v="QA76.76.H94"/>
    <n v="6.74"/>
    <d v="2011-12-20T00:00:00"/>
  </r>
  <r>
    <x v="5391"/>
    <d v="1899-12-30T00:10:09"/>
    <x v="1350"/>
    <x v="0"/>
    <s v="Buffalo"/>
    <x v="975"/>
    <n v="817871"/>
    <x v="0"/>
    <s v="Computer Science/IT"/>
    <s v="9781118206911"/>
    <s v=",1,2,3,50,51,52,48,49,53,54,55,56,57,58,59,60,61,62,104,105,106,102,103,107,108,109,110,111,112,113,114,115,116,117,118,119,120,121,122,123,124,125,127,128,129,130,131,132,133,134,135,136,137,138,139,140,141"/>
    <n v="57"/>
    <m/>
    <m/>
    <s v="No"/>
    <x v="1"/>
    <m/>
    <m/>
    <s v="128.205.114.91"/>
    <s v="QA76.76.H94"/>
    <n v="6.74"/>
    <d v="2011-12-20T00:00:00"/>
  </r>
  <r>
    <x v="5392"/>
    <d v="1899-12-30T00:16:38"/>
    <x v="717"/>
    <x v="13"/>
    <s v="buffalostate"/>
    <x v="516"/>
    <n v="1840835"/>
    <x v="0"/>
    <s v="Business/Management; Economics"/>
    <s v="9781118950166"/>
    <s v=",1,2,3,4,5,69,186,185,187,184,182,181,180,178,176,175,177,122,123,124,125,121,147,139,135,136,137,138,134,164,173,172,174,170,171,169,168,167,165,163,161,162,157,158,159,155,156,160"/>
    <n v="48"/>
    <m/>
    <m/>
    <s v="No"/>
    <x v="0"/>
    <d v="2015-10-16T02:03:51"/>
    <n v="7"/>
    <s v="136.183.11.43"/>
    <s v="HD9969.S6 .R384 2014"/>
    <n v="338.10923789999998"/>
    <d v="2014-11-10T00:00:00"/>
  </r>
  <r>
    <x v="5393"/>
    <d v="1899-12-30T00:00:00"/>
    <x v="1359"/>
    <x v="15"/>
    <s v="morrisville"/>
    <x v="1279"/>
    <n v="1869097"/>
    <x v="0"/>
    <s v="Engineering; Architecture; Engineering: Mechanical"/>
    <s v="9781118663295"/>
    <m/>
    <n v="0"/>
    <m/>
    <m/>
    <s v="Yes"/>
    <x v="0"/>
    <d v="2015-10-20T02:10:20"/>
    <n v="7"/>
    <s v="136.204.32.67"/>
    <s v="NA1 A665; TL797"/>
    <n v="725"/>
    <d v="2014-11-21T00:00:00"/>
  </r>
  <r>
    <x v="5394"/>
    <d v="1899-12-30T00:00:00"/>
    <x v="1359"/>
    <x v="15"/>
    <s v="morrisville"/>
    <x v="1279"/>
    <n v="1869097"/>
    <x v="0"/>
    <s v="Engineering; Architecture; Engineering: Mechanical"/>
    <s v="9781118663295"/>
    <m/>
    <n v="0"/>
    <m/>
    <m/>
    <s v="No"/>
    <x v="0"/>
    <d v="2015-10-20T02:10:20"/>
    <n v="7"/>
    <s v="136.204.32.67"/>
    <s v="NA1 A665; TL797"/>
    <n v="725"/>
    <d v="2014-11-21T00:00:00"/>
  </r>
  <r>
    <x v="5395"/>
    <d v="1899-12-30T00:02:46"/>
    <x v="1359"/>
    <x v="15"/>
    <s v="morrisville"/>
    <x v="1279"/>
    <n v="1869097"/>
    <x v="0"/>
    <s v="Engineering; Architecture; Engineering: Mechanical"/>
    <s v="9781118663295"/>
    <s v=",1,2,3,23,24,20,50,46,48,4,5,6,7,65,66"/>
    <n v="15"/>
    <m/>
    <m/>
    <s v="No"/>
    <x v="3"/>
    <m/>
    <m/>
    <s v="136.204.32.67"/>
    <s v="NA1 A665; TL797"/>
    <n v="725"/>
    <d v="2014-11-21T00:00:00"/>
  </r>
  <r>
    <x v="5396"/>
    <d v="1899-12-30T00:07:42"/>
    <x v="1309"/>
    <x v="0"/>
    <s v="Buffalo"/>
    <x v="379"/>
    <n v="1110728"/>
    <x v="0"/>
    <s v="Business/Management; Economics"/>
    <s v="9781118461204"/>
    <s v=",26,27,28,29,30,31,32,33,34,35,36,37,38"/>
    <n v="13"/>
    <m/>
    <m/>
    <s v="Yes"/>
    <x v="0"/>
    <d v="2015-10-18T15:49:16"/>
    <n v="7"/>
    <s v="128.205.114.91"/>
    <s v="HG4910 -- .M53 2013eb"/>
    <s v="332.63/22"/>
    <d v="2013-01-09T00:00:00"/>
  </r>
  <r>
    <x v="5397"/>
    <d v="1899-12-30T00:03:07"/>
    <x v="1309"/>
    <x v="0"/>
    <s v="Buffalo"/>
    <x v="379"/>
    <n v="1110728"/>
    <x v="0"/>
    <s v="Business/Management; Economics"/>
    <s v="9781118461204"/>
    <s v=",1,2,3,1,5,5,6,7,4,8,9,10,11,12,13,14,15,16,17,18,19,20,21,22,23,24,25"/>
    <n v="25"/>
    <m/>
    <m/>
    <s v="No"/>
    <x v="0"/>
    <d v="2015-10-18T15:49:16"/>
    <n v="7"/>
    <s v="128.205.114.91"/>
    <s v="HG4910 -- .M53 2013eb"/>
    <s v="332.63/22"/>
    <d v="2013-01-09T00:00:00"/>
  </r>
  <r>
    <x v="5398"/>
    <d v="1899-12-30T02:01:36"/>
    <x v="363"/>
    <x v="1"/>
    <s v="brockport"/>
    <x v="45"/>
    <n v="1691426"/>
    <x v="0"/>
    <s v="Social Science; Health"/>
    <s v="9781118839492"/>
    <s v=",11,103,15,16,17,18,19,20,21,22,23,24,25,26,27,28,29,30,31,32,33,34,35,36,37,38,39,40,41,42,43,44,45,46,47,48,49,50,51,53,52,54,55,56,57,58,59,60,61,62,63,64,65,66,67,68,69,70,71,72,73,74,75,76,77,78,79,80,81,82,83,84,85,86,87,88,89,90,91,92,93,94,95,96,97,98,99,100,101,102,104,105,106,107,108,109,110,111,112,113,114,115,116,117,118,119,120,121,122,123,124,125,126,127,128,129,130,131,132,133,134,135,136,137,138,140,141,142,143,144,145,146,147,148,149,150,151,152,153,154,155,156,157,158,159,161,162,163,164,165,166,167,168,169,170,171,172,173,174,175,176,177,178,179,180,181,182,183,184,185,186,187,188,189,190,191,192,194,195,196,197,198,199,200,201,202,203,204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,296,297,298,299,300,301,302,303,305,306,307,308,309,310,311,312,313,314,315,316,317,318,320,321,322,323,324,325,326,327,330,331,332,333,334,335,336,337,338,339,340,341,342,343,345,344,346,347,348,349,350,351,352,353,354,355,356,357,358,359,360,361,362,363,364,365,366,367,368,369,370,371,372,373,374,375,376,377,378,380,381,382,383,384,385,386,387,389,390,391,392,394,393,395,396,397,398,399,7,8,9,5,6,10,11,12,13,14,15,16,17,18,1,3"/>
    <n v="387"/>
    <m/>
    <m/>
    <s v="No"/>
    <x v="2"/>
    <d v="2015-10-20T01:17:50"/>
    <n v="1"/>
    <s v="137.21.7.121"/>
    <s v="RA781.7 -- .P396 2014eb"/>
    <n v="613.70460000000003"/>
    <d v="2014-05-13T00:00:00"/>
  </r>
  <r>
    <x v="5399"/>
    <d v="1899-12-30T00:06:43"/>
    <x v="363"/>
    <x v="1"/>
    <s v="brockport"/>
    <x v="45"/>
    <n v="1691426"/>
    <x v="0"/>
    <s v="Social Science; Health"/>
    <s v="9781118839492"/>
    <s v=",1,2,3,6,14,4,5,7,12,13,8,9,10"/>
    <n v="13"/>
    <m/>
    <m/>
    <s v="No"/>
    <x v="3"/>
    <m/>
    <m/>
    <s v="137.21.7.121"/>
    <s v="RA781.7 -- .P396 2014eb"/>
    <n v="613.70460000000003"/>
    <d v="2014-05-13T00:00:00"/>
  </r>
  <r>
    <x v="5400"/>
    <d v="1899-12-30T00:00:04"/>
    <x v="853"/>
    <x v="0"/>
    <s v="Buffalo"/>
    <x v="477"/>
    <n v="1120279"/>
    <x v="0"/>
    <s v="Science: Biology/Natural History; Science"/>
    <s v="9781118537671"/>
    <s v=",1,2,3"/>
    <n v="3"/>
    <m/>
    <m/>
    <s v="No"/>
    <x v="1"/>
    <m/>
    <m/>
    <s v="128.205.114.91"/>
    <s v="QH371 .K384 2012"/>
    <n v="599.93499999999995"/>
    <d v="2012-11-19T00:00:00"/>
  </r>
  <r>
    <x v="5401"/>
    <d v="1899-12-30T00:25:43"/>
    <x v="13"/>
    <x v="0"/>
    <s v="Buffalo"/>
    <x v="161"/>
    <n v="821663"/>
    <x v="0"/>
    <s v="Architecture"/>
    <s v="9781118168479"/>
    <s v=",259,261,262,262,1,264,263,260,261,259,258,257,2,265"/>
    <n v="11"/>
    <m/>
    <m/>
    <s v="No"/>
    <x v="0"/>
    <d v="2015-10-20T00:13:52"/>
    <n v="7"/>
    <s v="128.205.114.91"/>
    <s v="NA2547 -- .S74 2012eb"/>
    <n v="729"/>
    <d v="2012-03-05T00:00:00"/>
  </r>
  <r>
    <x v="5402"/>
    <d v="1899-12-30T00:00:00"/>
    <x v="1360"/>
    <x v="0"/>
    <s v="Buffalo"/>
    <x v="500"/>
    <n v="699744"/>
    <x v="0"/>
    <s v="Engineering; Engineering: Electrical; Engineering: Civil"/>
    <s v="9781118585818"/>
    <m/>
    <n v="0"/>
    <s v=",1"/>
    <m/>
    <s v="No"/>
    <x v="0"/>
    <d v="2015-10-20T00:04:07"/>
    <n v="7"/>
    <s v="128.205.114.91"/>
    <s v="TA1520 -- .S24 2007eb"/>
    <n v="621.36"/>
    <d v="2013-02-05T00:00:00"/>
  </r>
  <r>
    <x v="5403"/>
    <d v="1899-12-30T00:00:29"/>
    <x v="1360"/>
    <x v="0"/>
    <s v="Buffalo"/>
    <x v="500"/>
    <n v="699744"/>
    <x v="0"/>
    <s v="Engineering; Engineering: Electrical; Engineering: Civil"/>
    <s v="9781118585818"/>
    <s v=",1,2,3,1,1"/>
    <n v="3"/>
    <m/>
    <m/>
    <s v="No"/>
    <x v="1"/>
    <m/>
    <m/>
    <s v="128.205.114.91"/>
    <s v="TA1520 -- .S24 2007eb"/>
    <n v="621.36"/>
    <d v="2013-02-05T00:00:00"/>
  </r>
  <r>
    <x v="5404"/>
    <d v="1899-12-30T00:00:51"/>
    <x v="13"/>
    <x v="0"/>
    <s v="Buffalo"/>
    <x v="1280"/>
    <n v="2039139"/>
    <x v="1"/>
    <s v="Military Science"/>
    <s v="9781472441072"/>
    <s v=",1,2,3,4,5,6"/>
    <n v="6"/>
    <m/>
    <m/>
    <s v="No"/>
    <x v="3"/>
    <m/>
    <m/>
    <s v="128.205.114.91"/>
    <s v="UB417 .M35 2015"/>
    <s v="331.5''8"/>
    <d v="2015-06-28T00:00:00"/>
  </r>
  <r>
    <x v="5405"/>
    <d v="1899-12-30T00:05:26"/>
    <x v="955"/>
    <x v="1"/>
    <s v="brockport"/>
    <x v="151"/>
    <n v="968030"/>
    <x v="0"/>
    <s v="Psychology"/>
    <s v="9781118285138"/>
    <s v=",418,429,430,431,427,428,426,425,424,423,421,420,419"/>
    <n v="13"/>
    <m/>
    <m/>
    <s v="No"/>
    <x v="0"/>
    <d v="2015-10-19T23:54:50"/>
    <n v="7"/>
    <s v="137.21.7.121"/>
    <s v="BF637.C6 -- S85 2013eb"/>
    <n v="158.30000000000001"/>
    <d v="2012-07-10T00:00:00"/>
  </r>
  <r>
    <x v="5406"/>
    <d v="1899-12-30T00:30:54"/>
    <x v="13"/>
    <x v="0"/>
    <s v="Buffalo"/>
    <x v="161"/>
    <n v="821663"/>
    <x v="0"/>
    <s v="Architecture"/>
    <s v="9781118168479"/>
    <s v=",1,2,3,4,21,22,23,19,24,20,25,26,27,28,108,109,110,106,107,105,104,103,405,402,401,401,1,402,403,400,399,60,61,62,58,59,2,63,64,115,116,117,113,114,110,111,112,108,109,92,93,94,90,91,256,257,258,254,255,253,252,251,249,250,248,247,246,245,244,243"/>
    <n v="63"/>
    <m/>
    <m/>
    <s v="No"/>
    <x v="1"/>
    <m/>
    <m/>
    <s v="128.205.114.91"/>
    <s v="NA2547 -- .S74 2012eb"/>
    <n v="729"/>
    <d v="2012-03-05T00:00:00"/>
  </r>
  <r>
    <x v="5407"/>
    <d v="1899-12-30T00:22:24"/>
    <x v="955"/>
    <x v="1"/>
    <s v="brockport"/>
    <x v="151"/>
    <n v="968030"/>
    <x v="0"/>
    <s v="Psychology"/>
    <s v="9781118285138"/>
    <s v=",1,2,3,414,415,413,416,411,412,422,417,410"/>
    <n v="12"/>
    <m/>
    <m/>
    <s v="No"/>
    <x v="1"/>
    <m/>
    <m/>
    <s v="137.21.7.121"/>
    <s v="BF637.C6 -- S85 2013eb"/>
    <n v="158.30000000000001"/>
    <d v="2012-07-10T00:00:00"/>
  </r>
  <r>
    <x v="5408"/>
    <d v="1899-12-30T00:01:30"/>
    <x v="924"/>
    <x v="8"/>
    <s v="niagaracc"/>
    <x v="588"/>
    <n v="284109"/>
    <x v="0"/>
    <s v="Health; Social Science; Medicine"/>
    <s v="9781405173469"/>
    <s v=",1,2,3,4,5,6,7,8,9,10,11,12,13,14,15,16,17,18,19,20,21,22,23,24"/>
    <n v="24"/>
    <m/>
    <m/>
    <s v="No"/>
    <x v="2"/>
    <d v="2015-10-19T14:38:31"/>
    <n v="1"/>
    <s v="132.174.254.37"/>
    <s v="RC564 .W47 2006eb"/>
    <s v="362.29; 616.86/001"/>
    <d v="2013-05-15T00:00:00"/>
  </r>
  <r>
    <x v="5409"/>
    <d v="1899-12-30T00:00:31"/>
    <x v="1361"/>
    <x v="15"/>
    <s v="morrisville"/>
    <x v="527"/>
    <n v="1895554"/>
    <x v="0"/>
    <s v="Science: Physics; Science: Geology; Science"/>
    <s v="9781118708507"/>
    <s v=",1,2,3,4,5,6,7,8,9,10"/>
    <n v="10"/>
    <m/>
    <m/>
    <s v="No"/>
    <x v="3"/>
    <m/>
    <m/>
    <s v="136.204.32.67"/>
    <s v="QC902.9 -- .M455 2015eb"/>
    <n v="551.6"/>
    <d v="2015-02-04T00:00:00"/>
  </r>
  <r>
    <x v="5410"/>
    <d v="1899-12-30T00:01:45"/>
    <x v="1210"/>
    <x v="1"/>
    <s v="brockport"/>
    <x v="151"/>
    <n v="968030"/>
    <x v="0"/>
    <s v="Psychology"/>
    <s v="9781118285138"/>
    <s v=",1,2,3,500,501,502,498,499,503,504,502"/>
    <n v="10"/>
    <s v=",502"/>
    <m/>
    <s v="No"/>
    <x v="0"/>
    <d v="2015-10-13T18:35:25"/>
    <n v="7"/>
    <s v="137.21.7.121"/>
    <s v="BF637.C6 -- S85 2013eb"/>
    <n v="158.30000000000001"/>
    <d v="2012-07-10T00:00:00"/>
  </r>
  <r>
    <x v="5411"/>
    <d v="1899-12-30T00:00:13"/>
    <x v="1362"/>
    <x v="0"/>
    <s v="Buffalo"/>
    <x v="1281"/>
    <n v="1574372"/>
    <x v="0"/>
    <s v="Business/Management; Economics"/>
    <s v="9781118844670"/>
    <s v=",1,2,3,1,26,27"/>
    <n v="5"/>
    <m/>
    <m/>
    <s v="No"/>
    <x v="3"/>
    <m/>
    <m/>
    <s v="128.205.114.91"/>
    <s v="HG4529 -- .S438 2014eb"/>
    <n v="332.63220760000002"/>
    <d v="2013-11-26T00:00:00"/>
  </r>
  <r>
    <x v="5412"/>
    <d v="1899-12-30T00:01:04"/>
    <x v="1362"/>
    <x v="0"/>
    <s v="Buffalo"/>
    <x v="70"/>
    <n v="1222131"/>
    <x v="0"/>
    <s v="Business/Management"/>
    <s v="9781118760048"/>
    <s v=",1,2,3,4,5,25,26,27,23,28,29,30,716,717,718,715,714,1525,1525"/>
    <n v="18"/>
    <m/>
    <m/>
    <s v="No"/>
    <x v="1"/>
    <m/>
    <m/>
    <s v="128.205.114.91"/>
    <s v="HF5659 .W384 2013"/>
    <n v="657"/>
    <d v="2013-06-21T00:00:00"/>
  </r>
  <r>
    <x v="5413"/>
    <d v="1899-12-30T02:21:51"/>
    <x v="709"/>
    <x v="13"/>
    <s v="buffalostate"/>
    <x v="516"/>
    <n v="1840835"/>
    <x v="0"/>
    <s v="Business/Management; Economics"/>
    <s v="9781118950166"/>
    <s v=",1,2,3,2,3,2,2,1,1,1,132,133,132,2,2,133,130,131,131,134,134,130,160,160,161,161,158,158,321,321,318,319,322,319,322,144,144,1,142,143,141,142,1,141,143,139,140,140,2,2,145,145,146,146,369,369,1,367,368,367,369,368,1,369,365,366,366,2,2,144,145,142,141,144,142,145,146,146,1,146,147,146,147,148,148,144,1,145,145,2,2,244,243,244,240,243,241,241,68,69,65,66,153,154,151,155,150,1,67,1,69,68,69,67,65,66,68,66,2,153,154,150,151,151,1,152,151,153,152,150,149,1,150,153,2,3,154,155,146,147"/>
    <n v="46"/>
    <m/>
    <m/>
    <s v="No"/>
    <x v="0"/>
    <d v="2015-10-19T20:51:24"/>
    <n v="7"/>
    <s v="136.183.11.43"/>
    <s v="HD9969.S6 .R384 2014"/>
    <n v="338.10923789999998"/>
    <d v="2014-11-10T00:00:00"/>
  </r>
  <r>
    <x v="5414"/>
    <d v="1899-12-30T04:15:34"/>
    <x v="1298"/>
    <x v="0"/>
    <s v="Buffalo"/>
    <x v="901"/>
    <n v="864784"/>
    <x v="10"/>
    <s v="Education"/>
    <s v="9781400841578"/>
    <s v=",1,2,3,4,53,54,85,84,86,82,83,84,85,86,82,83,87,88,89,90,91,92,93,1,2,3,1,3,4,18,19,20,16,17,2,2,1,4,3,18,19,20,16,17,21,22,23,24,25,26,27,28"/>
    <n v="31"/>
    <m/>
    <m/>
    <s v="No"/>
    <x v="1"/>
    <m/>
    <m/>
    <s v="128.205.114.91"/>
    <s v="LA227.4 .D455 2012"/>
    <n v="378.73"/>
    <d v="2014-05-27T00:00:00"/>
  </r>
  <r>
    <x v="5415"/>
    <d v="1899-12-30T00:05:39"/>
    <x v="26"/>
    <x v="6"/>
    <s v="sjfc"/>
    <x v="714"/>
    <n v="1652090"/>
    <x v="0"/>
    <s v="Language/Linguistics"/>
    <s v="9781118744819"/>
    <s v=",192,193,194,195,196,197,198,199,200,201,202,203,204,301,302,303,299,300,304,227,228,229,225,226,230,223,224,228,229,177,178,179,175,176,66,67,68,64,65,77,78,79,75,76,48,49,50,46,47,51,46,41,42,43,39,40,38,25,26,27,23,24,28,116,117,118,114,115,112,113,119,120,121,122,123,124,125,126,127,128,129,130,125"/>
    <n v="79"/>
    <m/>
    <s v=",39,43,44,45,46,97,98,119,120,121,122,123,124,125"/>
    <s v="No"/>
    <x v="0"/>
    <d v="2015-10-19T21:52:48"/>
    <n v="7"/>
    <s v="149.69.254.57"/>
    <s v="P120.A24  -- .Z85 2014eb"/>
    <n v="407.1"/>
    <d v="2014-03-13T00:00:00"/>
  </r>
  <r>
    <x v="5416"/>
    <d v="1899-12-30T00:10:15"/>
    <x v="26"/>
    <x v="6"/>
    <s v="sjfc"/>
    <x v="714"/>
    <n v="1652090"/>
    <x v="0"/>
    <s v="Language/Linguistics"/>
    <s v="9781118744819"/>
    <s v=",1,2,3,4,5,6,7,8,9,10,11,2,12,13,14,15,21,22,23,19,20,24,25,26,27,31,32,33,29,30,28,34,35,36,37,38,39,40,41,42,43,44,45,46,47,48,49,50,51,52,53,54,65,66,67,63,64,119,120,121,117,118,122,123,124,125,126,127,128,129,130,131,132,133,134,135,136,137,138,128,127,126,125,124,123,122,121,120,119,118,117,116,115,114,113,112,111,119,120,121,117,118,122,123,124,125,126,127,128,129,187,188,189,185,186,190,191"/>
    <n v="91"/>
    <m/>
    <m/>
    <s v="No"/>
    <x v="1"/>
    <m/>
    <m/>
    <s v="149.69.254.57"/>
    <s v="P120.A24  -- .Z85 2014eb"/>
    <n v="407.1"/>
    <d v="2014-03-13T00:00:00"/>
  </r>
  <r>
    <x v="5417"/>
    <d v="1899-12-30T00:00:32"/>
    <x v="461"/>
    <x v="0"/>
    <s v="Buffalo"/>
    <x v="500"/>
    <n v="699744"/>
    <x v="0"/>
    <s v="Engineering; Engineering: Electrical; Engineering: Civil"/>
    <s v="9781118585818"/>
    <s v=",1"/>
    <n v="1"/>
    <m/>
    <m/>
    <s v="Yes"/>
    <x v="0"/>
    <d v="2015-10-19T21:34:06"/>
    <n v="7"/>
    <s v="128.205.114.91"/>
    <s v="TA1520 -- .S24 2007eb"/>
    <n v="621.36"/>
    <d v="2013-02-05T00:00:00"/>
  </r>
  <r>
    <x v="5417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No"/>
    <x v="0"/>
    <d v="2015-10-19T21:34:06"/>
    <n v="7"/>
    <s v="128.205.114.91"/>
    <s v="TA1520 -- .S24 2007eb"/>
    <n v="621.36"/>
    <d v="2013-02-05T00:00:00"/>
  </r>
  <r>
    <x v="5418"/>
    <d v="1899-12-30T00:00:15"/>
    <x v="461"/>
    <x v="0"/>
    <s v="Buffalo"/>
    <x v="500"/>
    <n v="699744"/>
    <x v="0"/>
    <s v="Engineering; Engineering: Electrical; Engineering: Civil"/>
    <s v="9781118585818"/>
    <s v=",2,1,3"/>
    <n v="3"/>
    <m/>
    <m/>
    <s v="No"/>
    <x v="1"/>
    <m/>
    <m/>
    <s v="128.205.114.91"/>
    <s v="TA1520 -- .S24 2007eb"/>
    <n v="621.36"/>
    <d v="2013-02-05T00:00:00"/>
  </r>
  <r>
    <x v="5419"/>
    <d v="1899-12-30T00:19:35"/>
    <x v="705"/>
    <x v="13"/>
    <s v="buffalostate"/>
    <x v="516"/>
    <n v="1840835"/>
    <x v="0"/>
    <s v="Business/Management; Economics"/>
    <s v="9781118950166"/>
    <s v=",1,2,2,3,1,3,2,2,107,108,107,104,105,108,105,109,109,104,103,108,109,104,39,40,39,41,38,37,40,41,38,108,109,107,105,106,106,104,103,108,109,110,110,111,111,112,112,113,113,114,114,115,115,104,105,106,103,102,107,108,109"/>
    <n v="22"/>
    <m/>
    <m/>
    <s v="No"/>
    <x v="0"/>
    <d v="2015-10-19T18:52:02"/>
    <n v="7"/>
    <s v="136.183.11.43"/>
    <s v="HD9969.S6 .R384 2014"/>
    <n v="338.10923789999998"/>
    <d v="2014-11-10T00:00:00"/>
  </r>
  <r>
    <x v="5420"/>
    <d v="1899-12-30T01:14:17"/>
    <x v="709"/>
    <x v="13"/>
    <s v="buffalostate"/>
    <x v="516"/>
    <n v="1840835"/>
    <x v="0"/>
    <s v="Business/Management; Economics"/>
    <s v="9781118950166"/>
    <s v=",110,110,105,109,110,105,102,103,1,103,104,105,101,105,102,104,102,103,1,2,2,107,107,135,135,113,110,113,110,111,112,113,108,112,109,111,126,184,126,201,184,201,202,203,200,199,203,202,200,170,170,171,172,171,168,172,169,169,146,146,147,148,147,144,148,129,129,126,120,109,106,106,107,108,104,105,103,101,106,107,108,109,113,114,111,114,116,115,112,115,116,117,118,117,118,119,123,119,123,124,125,124,122,121,125,122,126,127,128,129,127,128,130,130,105,106,103,102,1,102,103,104,100,103,101,102,101,104,2,2,2,2,3,1,3,4,4,1,2,2,105,106,105,106,102,103,103,103,1,103,104,105,101,104,1,105,102,102,101,106,106,107,107,108,108,122,123,122,123,119,120,120,120,121,1,121,118,122,119,120,119,122,1,2,2,124,120,124,129,130,129,126,130,127,127,142,142,143,139,143,140,140,1,140,141,142,141,1,142,138,140,139,139,2,2,138,143,143,144,144,112,113,113,109,112,110,110,142,143,139,140,1,1,350,350,351,352,351,352,2,2,112,113,112,113,110,109,110,142,143,142,143,1,140,141,142,141,1,142,139,140,138,139,112,113,112,113,109,141,142,143,139,143,140,140,1,141,140,142,142,138,141,139,139,1,133,134,133,134,130,131,131,2,2,2,2,3,1,3,4,4,1,133,134,133,134,130,131,2,131"/>
    <n v="63"/>
    <m/>
    <m/>
    <s v="No"/>
    <x v="0"/>
    <d v="2015-10-19T20:51:24"/>
    <n v="7"/>
    <s v="136.183.11.43"/>
    <s v="HD9969.S6 .R384 2014"/>
    <n v="338.10923789999998"/>
    <d v="2014-11-10T00:00:00"/>
  </r>
  <r>
    <x v="5421"/>
    <d v="1899-12-30T00:10:36"/>
    <x v="709"/>
    <x v="13"/>
    <s v="buffalostate"/>
    <x v="516"/>
    <n v="1840835"/>
    <x v="0"/>
    <s v="Business/Management; Economics"/>
    <s v="9781118950166"/>
    <s v=",1,2,2,3,1,3,1,2,2,107,108,107,108,104,105,105,106,106,108,104,105,112,119,112,119,104,96,96,92,92,107,108,104,105,105,1,105,107,103,107,104,1,104,106,106,2,2,109,109"/>
    <n v="14"/>
    <m/>
    <m/>
    <s v="No"/>
    <x v="1"/>
    <m/>
    <m/>
    <s v="136.183.11.43"/>
    <s v="HD9969.S6 .R384 2014"/>
    <n v="338.10923789999998"/>
    <d v="2014-11-10T00:00:00"/>
  </r>
  <r>
    <x v="5422"/>
    <d v="1899-12-30T00:04:14"/>
    <x v="882"/>
    <x v="15"/>
    <s v="morrisville"/>
    <x v="1041"/>
    <n v="1895734"/>
    <x v="0"/>
    <s v="Medicine; Pharmacy"/>
    <s v="9781118907221"/>
    <s v=",1,2,3,9,10,11,7,8,6,4,5,17,18,19,15,16,13,14,20,21"/>
    <n v="20"/>
    <m/>
    <m/>
    <s v="No"/>
    <x v="3"/>
    <m/>
    <m/>
    <s v="136.204.32.67"/>
    <s v="RM301.25 -- .N475 2015eb"/>
    <n v="615.19000000000005"/>
    <d v="2015-04-13T00:00:00"/>
  </r>
  <r>
    <x v="5423"/>
    <d v="1899-12-30T00:08:45"/>
    <x v="1221"/>
    <x v="0"/>
    <s v="Buffalo"/>
    <x v="500"/>
    <n v="699744"/>
    <x v="0"/>
    <s v="Engineering; Engineering: Electrical; Engineering: Civil"/>
    <s v="9781118585818"/>
    <s v=",589,590,591,587,588,592,593,594,595,592,596,597,648,649,650,646,647,651,772,773,774,770,828,829,830,831,832,852,853,854,856,857,858,899,900,901,897,898,902,903,904,905,906,912,909,910"/>
    <n v="45"/>
    <m/>
    <s v=",564,565,564,565,589,590,589,590"/>
    <s v="Yes"/>
    <x v="0"/>
    <d v="2015-10-19T19:23:53"/>
    <n v="7"/>
    <s v="128.205.114.91"/>
    <s v="TA1520 -- .S24 2007eb"/>
    <n v="621.36"/>
    <d v="2013-02-05T00:00:00"/>
  </r>
  <r>
    <x v="5424"/>
    <d v="1899-12-30T00:00:00"/>
    <x v="1221"/>
    <x v="0"/>
    <s v="Buffalo"/>
    <x v="500"/>
    <n v="699744"/>
    <x v="0"/>
    <s v="Engineering; Engineering: Electrical; Engineering: Civil"/>
    <s v="9781118585818"/>
    <m/>
    <n v="0"/>
    <m/>
    <m/>
    <s v="Yes"/>
    <x v="0"/>
    <d v="2015-10-19T19:23:53"/>
    <n v="7"/>
    <s v="128.205.114.91"/>
    <s v="TA1520 -- .S24 2007eb"/>
    <n v="621.36"/>
    <d v="2013-02-05T00:00:00"/>
  </r>
  <r>
    <x v="5425"/>
    <d v="1899-12-30T00:00:00"/>
    <x v="1221"/>
    <x v="0"/>
    <s v="Buffalo"/>
    <x v="500"/>
    <n v="699744"/>
    <x v="0"/>
    <s v="Engineering; Engineering: Electrical; Engineering: Civil"/>
    <s v="9781118585818"/>
    <m/>
    <n v="0"/>
    <s v=",556"/>
    <m/>
    <s v="No"/>
    <x v="0"/>
    <d v="2015-10-19T19:23:53"/>
    <n v="7"/>
    <s v="128.205.114.91"/>
    <s v="TA1520 -- .S24 2007eb"/>
    <n v="621.36"/>
    <d v="2013-02-05T00:00:00"/>
  </r>
  <r>
    <x v="5426"/>
    <d v="1899-12-30T00:02:49"/>
    <x v="1221"/>
    <x v="0"/>
    <s v="Buffalo"/>
    <x v="500"/>
    <n v="699744"/>
    <x v="0"/>
    <s v="Engineering; Engineering: Electrical; Engineering: Civil"/>
    <s v="9781118585818"/>
    <s v=",1,2,3,4,5,6,7,8,124,125,126,122,123,121,127,312,313,314,310,311,315,347,348,349,345,346,350,424,425,426,422,427,428,423,389,390,391,387,388,267,270,271,272,268,269,273,274,275,276,277,278,279,280,281,282,283,284,285,559,560,561,557,558,562,563,564,556,557,558,554,555,565,566,567,568,569,570,554,555"/>
    <n v="75"/>
    <m/>
    <m/>
    <s v="No"/>
    <x v="1"/>
    <m/>
    <m/>
    <s v="128.205.114.91"/>
    <s v="TA1520 -- .S24 2007eb"/>
    <n v="621.36"/>
    <d v="2013-02-05T00:00:00"/>
  </r>
  <r>
    <x v="5427"/>
    <d v="1899-12-30T02:24:47"/>
    <x v="798"/>
    <x v="0"/>
    <s v="Buffalo"/>
    <x v="161"/>
    <n v="821663"/>
    <x v="0"/>
    <s v="Architecture"/>
    <s v="9781118168479"/>
    <s v=",240,243,244,245,241,242,246,247,248,249,250,251,252,253,1,2,253,254,255,252,251"/>
    <n v="18"/>
    <m/>
    <m/>
    <s v="No"/>
    <x v="0"/>
    <d v="2015-10-19T18:56:49"/>
    <n v="7"/>
    <s v="128.205.114.91"/>
    <s v="NA2547 -- .S74 2012eb"/>
    <n v="729"/>
    <d v="2012-03-05T00:00:00"/>
  </r>
  <r>
    <x v="5428"/>
    <d v="1899-12-30T00:23:54"/>
    <x v="705"/>
    <x v="13"/>
    <s v="buffalostate"/>
    <x v="516"/>
    <n v="1840835"/>
    <x v="0"/>
    <s v="Business/Management; Economics"/>
    <s v="9781118950166"/>
    <s v=",109,109,110,110,111,111,112,112,113,113,114,114,115,115,116,116,99,100,101,97,98,114,115,116,112,113,144,145,144,145,143,146,142,143,146,159,160,159,161,160,157,161,158,158,162,162,163,163,164,165,164,165,160,159,127,128,127,128,129,126,129,126,125,114,115,116,112,113,117,117,118,118,119,119,120,120"/>
    <n v="36"/>
    <m/>
    <m/>
    <s v="No"/>
    <x v="0"/>
    <d v="2015-10-19T18:52:02"/>
    <n v="7"/>
    <s v="136.183.11.43"/>
    <s v="HD9969.S6 .R384 2014"/>
    <n v="338.10923789999998"/>
    <d v="2014-11-10T00:00:00"/>
  </r>
  <r>
    <x v="5429"/>
    <d v="1899-12-30T00:12:00"/>
    <x v="705"/>
    <x v="13"/>
    <s v="buffalostate"/>
    <x v="516"/>
    <n v="1840835"/>
    <x v="0"/>
    <s v="Business/Management; Economics"/>
    <s v="9781118950166"/>
    <s v=",1,2,2,3,1,3,2,23,2,24,24,23,22,25,22,25,21,44,45,44,46,46,42,45,43,43,99,100,99,100,97,101,98,101,98,102,102,103,103,104,104,105,105,106,106,107,107,108,108"/>
    <n v="25"/>
    <m/>
    <m/>
    <s v="No"/>
    <x v="1"/>
    <m/>
    <m/>
    <s v="136.183.11.43"/>
    <s v="HD9969.S6 .R384 2014"/>
    <n v="338.10923789999998"/>
    <d v="2014-11-10T00:00:00"/>
  </r>
  <r>
    <x v="5430"/>
    <d v="1899-12-30T00:18:16"/>
    <x v="798"/>
    <x v="0"/>
    <s v="Buffalo"/>
    <x v="161"/>
    <n v="821663"/>
    <x v="0"/>
    <s v="Architecture"/>
    <s v="9781118168479"/>
    <s v=",1,2,3,243,244,245,241,242,243,244,245,241,242,243,244,245,241"/>
    <n v="8"/>
    <m/>
    <m/>
    <s v="No"/>
    <x v="1"/>
    <m/>
    <m/>
    <s v="128.205.114.91"/>
    <s v="NA2547 -- .S74 2012eb"/>
    <n v="729"/>
    <d v="2012-03-05T00:00:00"/>
  </r>
  <r>
    <x v="5431"/>
    <d v="1899-12-30T00:00:00"/>
    <x v="1363"/>
    <x v="0"/>
    <s v="Buffalo"/>
    <x v="611"/>
    <n v="917254"/>
    <x v="4"/>
    <s v="Medicine"/>
    <s v="9781462505067"/>
    <m/>
    <n v="0"/>
    <m/>
    <m/>
    <s v="Yes"/>
    <x v="0"/>
    <d v="2015-10-19T16:27:30"/>
    <n v="7"/>
    <s v="128.205.114.91"/>
    <s v="RJ506.A9 -- R64 2012eb"/>
    <n v="618.92858820000004"/>
    <d v="2014-05-14T00:00:00"/>
  </r>
  <r>
    <x v="5431"/>
    <d v="1899-12-30T00:00:00"/>
    <x v="1363"/>
    <x v="0"/>
    <s v="Buffalo"/>
    <x v="611"/>
    <n v="917254"/>
    <x v="4"/>
    <s v="Medicine"/>
    <s v="9781462505067"/>
    <m/>
    <n v="0"/>
    <m/>
    <m/>
    <s v="No"/>
    <x v="0"/>
    <d v="2015-10-19T16:27:30"/>
    <n v="7"/>
    <s v="128.205.114.91"/>
    <s v="RJ506.A9 -- R64 2012eb"/>
    <n v="618.92858820000004"/>
    <d v="2014-05-14T00:00:00"/>
  </r>
  <r>
    <x v="5432"/>
    <d v="1899-12-30T00:09:11"/>
    <x v="1364"/>
    <x v="0"/>
    <s v="Buffalo"/>
    <x v="545"/>
    <n v="1873238"/>
    <x v="3"/>
    <s v="Language/Linguistics"/>
    <s v="9780520961647"/>
    <s v=",86,87,88,83,82,81,96,93,94,98,2,3,4,5,5,6,7,80,81,77,78,76,75,82,83,84,85,86,87,88,88,82,89,90,87,88,95,96,92,93"/>
    <n v="27"/>
    <m/>
    <s v=",5,83,84,85,5,83,84,85,95,86,96"/>
    <s v="No"/>
    <x v="0"/>
    <d v="2015-10-19T16:27:23"/>
    <n v="7"/>
    <s v="128.205.114.91"/>
    <s v="PM2296 -- .W35 2015eb"/>
    <n v="497.9"/>
    <d v="2015-01-01T00:00:00"/>
  </r>
  <r>
    <x v="5433"/>
    <d v="1899-12-30T00:00:16"/>
    <x v="1363"/>
    <x v="0"/>
    <s v="Buffalo"/>
    <x v="611"/>
    <n v="917254"/>
    <x v="4"/>
    <s v="Medicine"/>
    <s v="9781462505067"/>
    <s v=",1,2,3"/>
    <n v="3"/>
    <m/>
    <m/>
    <s v="No"/>
    <x v="1"/>
    <m/>
    <m/>
    <s v="128.205.114.91"/>
    <s v="RJ506.A9 -- R64 2012eb"/>
    <n v="618.92858820000004"/>
    <d v="2014-05-14T00:00:00"/>
  </r>
  <r>
    <x v="5434"/>
    <d v="1899-12-30T00:00:15"/>
    <x v="1363"/>
    <x v="0"/>
    <s v="Buffalo"/>
    <x v="611"/>
    <n v="917254"/>
    <x v="4"/>
    <s v="Medicine"/>
    <s v="9781462505067"/>
    <s v=",1,2,3,15"/>
    <n v="4"/>
    <m/>
    <m/>
    <s v="No"/>
    <x v="1"/>
    <m/>
    <m/>
    <s v="128.205.114.91"/>
    <s v="RJ506.A9 -- R64 2012eb"/>
    <n v="618.92858820000004"/>
    <d v="2014-05-14T00:00:00"/>
  </r>
  <r>
    <x v="5435"/>
    <d v="1899-12-30T00:03:29"/>
    <x v="1364"/>
    <x v="0"/>
    <s v="Buffalo"/>
    <x v="545"/>
    <n v="1873238"/>
    <x v="3"/>
    <s v="Language/Linguistics"/>
    <s v="9780520961647"/>
    <s v=",1,2,3,123,124,241,242,2,240,238,237,236,235,224,225,226,39,40,24,11,12,10,9,7,6,4,2,3,5,7,8,9,10,11,12,13,16,75,76,80,81,77,78,82,83,84,85,86,87,88,89,90,82,81,80"/>
    <n v="44"/>
    <m/>
    <m/>
    <s v="No"/>
    <x v="1"/>
    <m/>
    <m/>
    <s v="128.205.114.91"/>
    <s v="PM2296 -- .W35 2015eb"/>
    <n v="497.9"/>
    <d v="2015-01-01T00:00:00"/>
  </r>
  <r>
    <x v="5436"/>
    <d v="1899-12-30T00:01:47"/>
    <x v="1364"/>
    <x v="0"/>
    <s v="Buffalo"/>
    <x v="545"/>
    <n v="1873238"/>
    <x v="3"/>
    <s v="Language/Linguistics"/>
    <s v="9780520961647"/>
    <s v=",1,2,3,85,86,82,83,11,12,8,9"/>
    <n v="11"/>
    <m/>
    <m/>
    <s v="No"/>
    <x v="1"/>
    <m/>
    <m/>
    <s v="128.205.114.91"/>
    <s v="PM2296 -- .W35 2015eb"/>
    <n v="497.9"/>
    <d v="2015-01-01T00:00:00"/>
  </r>
  <r>
    <x v="5437"/>
    <d v="1899-12-30T00:00:54"/>
    <x v="1365"/>
    <x v="12"/>
    <s v="potsdam"/>
    <x v="1282"/>
    <n v="2095093"/>
    <x v="1"/>
    <s v="Law"/>
    <s v="9781472446763"/>
    <s v=",1,2,3,4,5,76,77,78,74,75,96,97,98,94,95,99"/>
    <n v="16"/>
    <m/>
    <m/>
    <s v="No"/>
    <x v="3"/>
    <m/>
    <m/>
    <s v="137.143.104.94"/>
    <s v="K3293 .E17 2015"/>
    <s v="342.075; 342''.075; 342/.075"/>
    <d v="2015-09-28T00:00:00"/>
  </r>
  <r>
    <x v="5438"/>
    <d v="1899-12-30T00:03:58"/>
    <x v="924"/>
    <x v="8"/>
    <s v="niagaracc"/>
    <x v="588"/>
    <n v="284109"/>
    <x v="0"/>
    <s v="Health; Social Science; Medicine"/>
    <s v="9781405173469"/>
    <s v=",1,2,3,2,3,1,2,2,4,4,5,5,6,7,7,6,8,8,9,10,9,11,11,10,9,9,12,12,7,12,13,13"/>
    <n v="13"/>
    <m/>
    <m/>
    <s v="No"/>
    <x v="2"/>
    <d v="2015-10-19T14:38:31"/>
    <n v="1"/>
    <s v="132.174.254.37"/>
    <s v="RC564 .W47 2006eb"/>
    <s v="362.29; 616.86/001"/>
    <d v="2013-05-15T00:00:00"/>
  </r>
  <r>
    <x v="5439"/>
    <d v="1899-12-30T00:00:11"/>
    <x v="591"/>
    <x v="12"/>
    <s v="potsdam"/>
    <x v="624"/>
    <n v="1132027"/>
    <x v="3"/>
    <s v="History"/>
    <s v="9780520954694"/>
    <s v=",1,2,3,4"/>
    <n v="4"/>
    <m/>
    <m/>
    <s v="No"/>
    <x v="1"/>
    <m/>
    <m/>
    <s v="137.143.104.94"/>
    <s v="DF234 -- .G74 2013eb"/>
    <n v="938.07"/>
    <d v="2013-01-08T00:00:00"/>
  </r>
  <r>
    <x v="5440"/>
    <d v="1899-12-30T00:00:40"/>
    <x v="705"/>
    <x v="13"/>
    <s v="buffalostate"/>
    <x v="516"/>
    <n v="1840835"/>
    <x v="0"/>
    <s v="Business/Management; Economics"/>
    <s v="9781118950166"/>
    <s v=",1,2,2,3,1,3,23,24,25,24,25,23,21,22,22,2,97,98,97,99,95,99,96,98,96,100,100,101,101"/>
    <n v="15"/>
    <m/>
    <m/>
    <s v="No"/>
    <x v="1"/>
    <m/>
    <m/>
    <s v="136.183.11.43"/>
    <s v="HD9969.S6 .R384 2014"/>
    <n v="338.10923789999998"/>
    <d v="2014-11-10T00:00:00"/>
  </r>
  <r>
    <x v="5441"/>
    <d v="1899-12-30T00:00:04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5442"/>
    <d v="1899-12-30T02:18:57"/>
    <x v="924"/>
    <x v="8"/>
    <s v="niagaracc"/>
    <x v="588"/>
    <n v="284109"/>
    <x v="0"/>
    <s v="Health; Social Science; Medicine"/>
    <s v="9781405173469"/>
    <s v=",4,5,6,7,8,9,10,11,12,13,14,15,16,17,18,19,20,21,22,23,24,25,26,27,28,29,30,31,32,33,34,35,36,37,38,39,40,41,42,43,44,45,46,47,48,49,50,51,52,53,54,55,164,165,162,161,160,166,167,168,163,166,167,168,169,170,171,172,173,174,175,176,177,178,179,180,181,182,183,184,185,186,187,188,189,190,191,192,193,194,195,196"/>
    <n v="89"/>
    <m/>
    <m/>
    <s v="No"/>
    <x v="2"/>
    <d v="2015-10-19T14:38:31"/>
    <n v="1"/>
    <s v="132.174.254.37"/>
    <s v="RC564 .W47 2006eb"/>
    <s v="362.29; 616.86/001"/>
    <d v="2013-05-15T00:00:00"/>
  </r>
  <r>
    <x v="5443"/>
    <d v="1899-12-30T00:00:08"/>
    <x v="924"/>
    <x v="8"/>
    <s v="niagaracc"/>
    <x v="588"/>
    <n v="284109"/>
    <x v="0"/>
    <s v="Health; Social Science; Medicine"/>
    <s v="9781405173469"/>
    <s v=",1,2,3"/>
    <n v="3"/>
    <m/>
    <m/>
    <s v="No"/>
    <x v="3"/>
    <m/>
    <m/>
    <s v="132.174.254.37"/>
    <s v="RC564 .W47 2006eb"/>
    <s v="362.29; 616.86/001"/>
    <d v="2013-05-15T00:00:00"/>
  </r>
  <r>
    <x v="5444"/>
    <d v="1899-12-30T00:04:54"/>
    <x v="924"/>
    <x v="8"/>
    <s v="niagaracc"/>
    <x v="588"/>
    <n v="284109"/>
    <x v="0"/>
    <s v="Health; Social Science; Medicine"/>
    <s v="9781405173469"/>
    <s v=",1,2,3,4,287,290,288,291,292,294,293,289,287,176,1,3,7,9,10,11,8,13,14,15,17,18,19,20,16,1,3"/>
    <n v="26"/>
    <m/>
    <m/>
    <s v="No"/>
    <x v="3"/>
    <m/>
    <m/>
    <s v="132.174.254.37"/>
    <s v="RC564 .W47 2006eb"/>
    <s v="362.29; 616.86/001"/>
    <d v="2013-05-15T00:00:00"/>
  </r>
  <r>
    <x v="5445"/>
    <d v="1899-12-30T00:00:00"/>
    <x v="170"/>
    <x v="9"/>
    <s v="trocaire"/>
    <x v="1269"/>
    <n v="1895305"/>
    <x v="0"/>
    <s v="Computer Science/IT"/>
    <s v="9781119047650"/>
    <m/>
    <n v="0"/>
    <m/>
    <m/>
    <s v="Yes"/>
    <x v="0"/>
    <d v="2015-10-17T04:24:14"/>
    <n v="7"/>
    <s v="173.225.62.67"/>
    <s v="TK5105.888"/>
    <n v="6.7519999999999998"/>
    <d v="2015-05-27T00:00:00"/>
  </r>
  <r>
    <x v="5446"/>
    <d v="1899-12-30T00:00:07"/>
    <x v="170"/>
    <x v="9"/>
    <s v="trocaire"/>
    <x v="1269"/>
    <n v="1895305"/>
    <x v="0"/>
    <s v="Computer Science/IT"/>
    <s v="9781119047650"/>
    <s v=",1,1,2,2,3,3"/>
    <n v="3"/>
    <m/>
    <m/>
    <s v="No"/>
    <x v="0"/>
    <d v="2015-10-17T04:24:14"/>
    <n v="7"/>
    <s v="173.225.62.67"/>
    <s v="TK5105.888"/>
    <n v="6.7519999999999998"/>
    <d v="2015-05-27T00:00:00"/>
  </r>
  <r>
    <x v="5447"/>
    <d v="1899-12-30T00:03:22"/>
    <x v="924"/>
    <x v="8"/>
    <s v="niagaracc"/>
    <x v="1283"/>
    <n v="1220625"/>
    <x v="12"/>
    <s v="Social Science; Health"/>
    <s v="9781469612751"/>
    <s v=",1,2,3,4,5,6,7,8,9,10,11,12,13,14,15,7,6,5,4,3,1,10,11,12,13,14,15,16,17,18,19,20,21,28,29,30,27,26,312,313,310,314,311,315,316"/>
    <n v="33"/>
    <m/>
    <m/>
    <s v="No"/>
    <x v="3"/>
    <m/>
    <m/>
    <s v="132.174.254.37"/>
    <s v="GT2855 -- .V45 2013eb"/>
    <n v="362.1"/>
    <d v="2013-08-01T00:00:00"/>
  </r>
  <r>
    <x v="5448"/>
    <d v="1899-12-30T00:00:24"/>
    <x v="557"/>
    <x v="9"/>
    <s v="trocaire"/>
    <x v="1284"/>
    <n v="1829441"/>
    <x v="0"/>
    <s v="Business/Management"/>
    <s v="9781118756218"/>
    <s v=",1,343,344,345,341,342,346,347,348,349,350,2,352,351"/>
    <n v="14"/>
    <m/>
    <m/>
    <s v="No"/>
    <x v="3"/>
    <m/>
    <m/>
    <s v="173.225.62.67"/>
    <s v="HF5415.5 -- .B37 2015eb"/>
    <s v="658.8; 658.812"/>
    <d v="2014-10-29T00:00:00"/>
  </r>
  <r>
    <x v="5449"/>
    <d v="1899-12-30T00:03:11"/>
    <x v="824"/>
    <x v="0"/>
    <s v="Buffalo"/>
    <x v="161"/>
    <n v="821663"/>
    <x v="0"/>
    <s v="Architecture"/>
    <s v="9781118168479"/>
    <s v=",1,256,257,258,254,2,255,243,244,245,241,242"/>
    <n v="12"/>
    <m/>
    <m/>
    <s v="No"/>
    <x v="0"/>
    <d v="2015-10-19T06:06:39"/>
    <n v="7"/>
    <s v="128.205.114.91"/>
    <s v="NA2547 -- .S74 2012eb"/>
    <n v="729"/>
    <d v="2012-03-05T00:00:00"/>
  </r>
  <r>
    <x v="5450"/>
    <d v="1899-12-30T00:59:51"/>
    <x v="824"/>
    <x v="0"/>
    <s v="Buffalo"/>
    <x v="161"/>
    <n v="821663"/>
    <x v="0"/>
    <s v="Architecture"/>
    <s v="9781118168479"/>
    <s v=",1,2,3,243,244,241,245,242,246,259,241,257,258"/>
    <n v="12"/>
    <m/>
    <m/>
    <s v="No"/>
    <x v="1"/>
    <m/>
    <m/>
    <s v="128.205.114.91"/>
    <s v="NA2547 -- .S74 2012eb"/>
    <n v="729"/>
    <d v="2012-03-05T00:00:00"/>
  </r>
  <r>
    <x v="5451"/>
    <d v="1899-12-30T00:00:15"/>
    <x v="1366"/>
    <x v="13"/>
    <s v="buffalostate"/>
    <x v="1285"/>
    <n v="1686847"/>
    <x v="3"/>
    <s v="Business/Management"/>
    <s v="9780520957909"/>
    <s v=",1,2,3,244,245,246,242,243"/>
    <n v="8"/>
    <m/>
    <m/>
    <s v="No"/>
    <x v="1"/>
    <m/>
    <m/>
    <s v="136.183.11.43"/>
    <s v="HE1021 -- .S3413 2014eb"/>
    <s v="385/.09/034"/>
    <d v="2014-05-06T00:00:00"/>
  </r>
  <r>
    <x v="5452"/>
    <d v="1899-12-30T00:57:35"/>
    <x v="717"/>
    <x v="13"/>
    <s v="buffalostate"/>
    <x v="516"/>
    <n v="1840835"/>
    <x v="0"/>
    <s v="Business/Management; Economics"/>
    <s v="9781118950166"/>
    <s v=",1,2,3,142,143,144,140,141,145,146,147,148,149,150,151,152,153,154,155,156,157,158,159,160,161,162,163,164,165"/>
    <n v="29"/>
    <m/>
    <m/>
    <s v="No"/>
    <x v="0"/>
    <d v="2015-10-16T02:03:51"/>
    <n v="7"/>
    <s v="136.183.11.43"/>
    <s v="HD9969.S6 .R384 2014"/>
    <n v="338.10923789999998"/>
    <d v="2014-11-10T00:00:00"/>
  </r>
  <r>
    <x v="5453"/>
    <d v="1899-12-30T00:03:33"/>
    <x v="1367"/>
    <x v="0"/>
    <s v="Buffalo"/>
    <x v="31"/>
    <n v="1682559"/>
    <x v="4"/>
    <s v="Medicine"/>
    <s v="9781462515431"/>
    <s v=",1,2,3,386,387,388,384,385,389,390,391,392,393,394,395,396,397,398"/>
    <n v="18"/>
    <m/>
    <m/>
    <s v="No"/>
    <x v="0"/>
    <d v="2015-10-19T00:14:18"/>
    <n v="7"/>
    <s v="128.205.114.91"/>
    <s v="RC469 -- .M677 2014eb"/>
    <n v="616.89"/>
    <d v="2014-05-10T00:00:00"/>
  </r>
  <r>
    <x v="5454"/>
    <d v="1899-12-30T00:48:12"/>
    <x v="13"/>
    <x v="0"/>
    <s v="Buffalo"/>
    <x v="625"/>
    <n v="836167"/>
    <x v="6"/>
    <s v="Science: Physics; Environmental Studies; Science"/>
    <s v="9781438139487"/>
    <s v=",1,2,3,74,75,76,72,73,77,78,79,80,81,82,83,84,85,86"/>
    <n v="18"/>
    <m/>
    <m/>
    <s v="No"/>
    <x v="0"/>
    <d v="2015-10-18T21:07:56"/>
    <n v="7"/>
    <s v="128.205.114.91"/>
    <s v="QC981.8.G56 -- T66 2012eb"/>
    <s v="363.738/74"/>
    <d v="2011-11-01T00:00:00"/>
  </r>
  <r>
    <x v="5455"/>
    <d v="1899-12-30T00:23:14"/>
    <x v="13"/>
    <x v="0"/>
    <s v="Buffalo"/>
    <x v="630"/>
    <n v="771049"/>
    <x v="18"/>
    <s v="Science: Physics; Science; Environmental Studies"/>
    <s v="9781608706648"/>
    <s v=",1,2,3,36,37,38,34,35,39,40,41,42,43,44,45,46,47,48"/>
    <n v="18"/>
    <m/>
    <m/>
    <s v="No"/>
    <x v="0"/>
    <d v="2015-10-18T20:14:00"/>
    <n v="7"/>
    <s v="128.205.114.91"/>
    <s v="QC981.8"/>
    <n v="363.73874000000001"/>
    <d v="2012-01-01T00:00:00"/>
  </r>
  <r>
    <x v="5456"/>
    <d v="1899-12-30T01:42:35"/>
    <x v="1368"/>
    <x v="0"/>
    <s v="Buffalo"/>
    <x v="732"/>
    <n v="1909817"/>
    <x v="4"/>
    <s v="Medicine"/>
    <s v="9781462520602"/>
    <s v=",1,2,3,23,24,25,21,22,26,65,66,67,63,64,68,69,70,71,72,73,74,75,76,119,120,121,117,118,122,123,124,125,126,127,128,129,130,131,132,133,134,135,136,137,138,139,140,141,142,143,144,139,138,137,136,135,134,133,132,131"/>
    <n v="51"/>
    <m/>
    <m/>
    <s v="No"/>
    <x v="2"/>
    <d v="2015-10-19T00:55:16"/>
    <n v="1"/>
    <s v="128.205.114.91"/>
    <s v="RC556 -- .W563 2015eb"/>
    <n v="616"/>
    <d v="2015-06-10T00:00:00"/>
  </r>
  <r>
    <x v="5457"/>
    <d v="1899-12-30T00:00:06"/>
    <x v="1368"/>
    <x v="0"/>
    <s v="Buffalo"/>
    <x v="732"/>
    <n v="1909817"/>
    <x v="4"/>
    <s v="Medicine"/>
    <s v="9781462520602"/>
    <s v=",65,66,67,63,64"/>
    <n v="5"/>
    <m/>
    <m/>
    <s v="No"/>
    <x v="2"/>
    <d v="2015-10-19T00:55:16"/>
    <n v="1"/>
    <s v="128.205.114.91"/>
    <s v="RC556 -- .W563 2015eb"/>
    <n v="616"/>
    <d v="2015-06-10T00:00:00"/>
  </r>
  <r>
    <x v="5458"/>
    <d v="1899-12-30T00:45:22"/>
    <x v="717"/>
    <x v="13"/>
    <s v="buffalostate"/>
    <x v="516"/>
    <n v="1840835"/>
    <x v="0"/>
    <s v="Business/Management; Economics"/>
    <s v="9781118950166"/>
    <s v=",1,2,3,104,105,127,128,129,125,126,130,131,132,133,134,135,136,137,138,139,140,141,142,143,144"/>
    <n v="25"/>
    <m/>
    <m/>
    <s v="No"/>
    <x v="0"/>
    <d v="2015-10-16T02:03:51"/>
    <n v="7"/>
    <s v="136.183.11.43"/>
    <s v="HD9969.S6 .R384 2014"/>
    <n v="338.10923789999998"/>
    <d v="2014-11-10T00:00:00"/>
  </r>
  <r>
    <x v="5459"/>
    <d v="1899-12-30T00:57:49"/>
    <x v="1210"/>
    <x v="1"/>
    <s v="brockport"/>
    <x v="151"/>
    <n v="968030"/>
    <x v="0"/>
    <s v="Psychology"/>
    <s v="9781118285138"/>
    <s v=",1,2,3,59,88,138,161,162,163,159,160,493,494,495,491,492,496,497,495,504,505,506,502,503,498,496,499,497,500,498,501,499,500,501"/>
    <n v="27"/>
    <s v=",495,496,497,498,499,500,501"/>
    <m/>
    <s v="No"/>
    <x v="0"/>
    <d v="2015-10-13T18:35:25"/>
    <n v="7"/>
    <s v="137.21.7.121"/>
    <s v="BF637.C6 -- S85 2013eb"/>
    <n v="158.30000000000001"/>
    <d v="2012-07-10T00:00:00"/>
  </r>
  <r>
    <x v="5460"/>
    <d v="1899-12-30T00:03:18"/>
    <x v="1367"/>
    <x v="0"/>
    <s v="Buffalo"/>
    <x v="31"/>
    <n v="1682559"/>
    <x v="4"/>
    <s v="Medicine"/>
    <s v="9781462515431"/>
    <s v=",379,380,381,382,383"/>
    <n v="5"/>
    <m/>
    <m/>
    <s v="No"/>
    <x v="0"/>
    <d v="2015-10-19T00:14:18"/>
    <n v="7"/>
    <s v="128.205.114.91"/>
    <s v="RC469 -- .M677 2014eb"/>
    <n v="616.89"/>
    <d v="2014-05-10T00:00:00"/>
  </r>
  <r>
    <x v="5461"/>
    <d v="1899-12-30T00:10:41"/>
    <x v="1367"/>
    <x v="0"/>
    <s v="Buffalo"/>
    <x v="31"/>
    <n v="1682559"/>
    <x v="4"/>
    <s v="Medicine"/>
    <s v="9781462515431"/>
    <s v=",1,2,3,364,365,366,362,363,367,368,369,370,371,372,373,374,375,376,377,378"/>
    <n v="20"/>
    <m/>
    <m/>
    <s v="No"/>
    <x v="1"/>
    <m/>
    <m/>
    <s v="128.205.114.91"/>
    <s v="RC469 -- .M677 2014eb"/>
    <n v="616.89"/>
    <d v="2014-05-10T00:00:00"/>
  </r>
  <r>
    <x v="5462"/>
    <d v="1899-12-30T00:47:42"/>
    <x v="1369"/>
    <x v="1"/>
    <s v="brockport"/>
    <x v="828"/>
    <n v="821834"/>
    <x v="0"/>
    <s v="Business/Management"/>
    <s v="9781118225868"/>
    <s v=",157,158,159,152,1,6,7,8,4,5"/>
    <n v="10"/>
    <m/>
    <m/>
    <s v="No"/>
    <x v="0"/>
    <d v="2015-10-18T23:30:51"/>
    <n v="7"/>
    <s v="137.21.7.121"/>
    <s v="HF5415.1265 -- .T74 2012eb"/>
    <s v="658.8/72"/>
    <d v="2012-04-10T00:00:00"/>
  </r>
  <r>
    <x v="5463"/>
    <d v="1899-12-30T01:04:32"/>
    <x v="1369"/>
    <x v="1"/>
    <s v="brockport"/>
    <x v="1286"/>
    <n v="1192861"/>
    <x v="0"/>
    <s v="Business/Management"/>
    <s v="9781118530269"/>
    <s v=",43,44,45,1,3,4,5,6"/>
    <n v="8"/>
    <m/>
    <m/>
    <s v="No"/>
    <x v="2"/>
    <d v="2015-10-18T23:08:16"/>
    <n v="1"/>
    <s v="137.21.7.121"/>
    <s v="HF5415.1265 -- .S384 2013eb"/>
    <n v="658.87202856754004"/>
    <d v="2013-05-17T00:00:00"/>
  </r>
  <r>
    <x v="5464"/>
    <d v="1899-12-30T01:53:10"/>
    <x v="1368"/>
    <x v="0"/>
    <s v="Buffalo"/>
    <x v="732"/>
    <n v="1909817"/>
    <x v="4"/>
    <s v="Medicine"/>
    <s v="9781462520602"/>
    <s v=",1,2,3"/>
    <n v="3"/>
    <m/>
    <m/>
    <s v="No"/>
    <x v="3"/>
    <m/>
    <m/>
    <s v="128.205.114.91"/>
    <s v="RC556 -- .W563 2015eb"/>
    <n v="616"/>
    <d v="2015-06-10T00:00:00"/>
  </r>
  <r>
    <x v="5465"/>
    <d v="1899-12-30T00:06:22"/>
    <x v="1370"/>
    <x v="15"/>
    <s v="morrisville"/>
    <x v="1287"/>
    <n v="1708798"/>
    <x v="0"/>
    <s v="Science; Science: Anatomy/Physiology; Medicine"/>
    <s v="9781118828014"/>
    <s v=",33,30,31,32,28,29,33,4,1,2,3,4,9,10,11,12,8,30,31,32,28,29,33,34,159,160,157,161,158"/>
    <n v="21"/>
    <s v=",30,31"/>
    <m/>
    <s v="No"/>
    <x v="2"/>
    <d v="2015-10-18T22:37:31"/>
    <n v="1"/>
    <s v="136.204.32.67"/>
    <s v="R857.T55 -- .B575 2014eb"/>
    <n v="612.02800000000002"/>
    <d v="2014-06-05T00:00:00"/>
  </r>
  <r>
    <x v="5466"/>
    <d v="1899-12-30T00:03:21"/>
    <x v="1370"/>
    <x v="15"/>
    <s v="morrisville"/>
    <x v="1287"/>
    <n v="1708798"/>
    <x v="0"/>
    <s v="Science; Science: Anatomy/Physiology; Medicine"/>
    <s v="9781118828014"/>
    <s v=",1,2,3,357,358,355,2,356,331,332,333,329,330,30,31,32,28,29"/>
    <n v="17"/>
    <m/>
    <m/>
    <s v="No"/>
    <x v="3"/>
    <m/>
    <m/>
    <s v="136.204.32.67"/>
    <s v="R857.T55 -- .B575 2014eb"/>
    <n v="612.02800000000002"/>
    <d v="2014-06-05T00:00:00"/>
  </r>
  <r>
    <x v="5467"/>
    <d v="1899-12-30T02:05:02"/>
    <x v="1369"/>
    <x v="1"/>
    <s v="brockport"/>
    <x v="622"/>
    <n v="1887759"/>
    <x v="0"/>
    <s v="Social Science; Business/Management"/>
    <s v="9781118951347"/>
    <s v=",131,132,133,127,126,125,124,123,14,13,12,10,8,7,5,4,6,3"/>
    <n v="18"/>
    <m/>
    <m/>
    <s v="No"/>
    <x v="0"/>
    <d v="2015-10-18T22:15:36"/>
    <n v="7"/>
    <s v="137.21.7.121"/>
    <s v="HM743.F33 -- .H39 2015eb"/>
    <n v="658.87199999999996"/>
    <d v="2014-12-08T00:00:00"/>
  </r>
  <r>
    <x v="5468"/>
    <d v="1899-12-30T01:29:44"/>
    <x v="1369"/>
    <x v="1"/>
    <s v="brockport"/>
    <x v="1286"/>
    <n v="1192861"/>
    <x v="0"/>
    <s v="Business/Management"/>
    <s v="9781118530269"/>
    <s v=",1,2,3,39,40,41,37,38,42,43,44,45"/>
    <n v="12"/>
    <m/>
    <m/>
    <s v="No"/>
    <x v="3"/>
    <m/>
    <m/>
    <s v="137.21.7.121"/>
    <s v="HF5415.1265 -- .S384 2013eb"/>
    <n v="658.87202856754004"/>
    <d v="2013-05-17T00:00:00"/>
  </r>
  <r>
    <x v="5469"/>
    <d v="1899-12-30T01:58:09"/>
    <x v="1369"/>
    <x v="1"/>
    <s v="brockport"/>
    <x v="828"/>
    <n v="821834"/>
    <x v="0"/>
    <s v="Business/Management"/>
    <s v="9781118225868"/>
    <s v=",1,2,3,154,155,156,152,153"/>
    <n v="8"/>
    <m/>
    <m/>
    <s v="No"/>
    <x v="1"/>
    <m/>
    <m/>
    <s v="137.21.7.121"/>
    <s v="HF5415.1265 -- .T74 2012eb"/>
    <s v="658.8/72"/>
    <d v="2012-04-10T00:00:00"/>
  </r>
  <r>
    <x v="5470"/>
    <d v="1899-12-30T00:44:12"/>
    <x v="1369"/>
    <x v="1"/>
    <s v="brockport"/>
    <x v="622"/>
    <n v="1887759"/>
    <x v="0"/>
    <s v="Social Science; Business/Management"/>
    <s v="9781118951347"/>
    <s v=",1,2,3,128,129,130,126,127"/>
    <n v="8"/>
    <m/>
    <m/>
    <s v="No"/>
    <x v="3"/>
    <m/>
    <m/>
    <s v="137.21.7.121"/>
    <s v="HM743.F33 -- .H39 2015eb"/>
    <n v="658.87199999999996"/>
    <d v="2014-12-08T00:00:00"/>
  </r>
  <r>
    <x v="5471"/>
    <d v="1899-12-30T00:01:24"/>
    <x v="1369"/>
    <x v="1"/>
    <s v="brockport"/>
    <x v="622"/>
    <n v="1887759"/>
    <x v="0"/>
    <s v="Social Science; Business/Management"/>
    <s v="9781118951347"/>
    <s v=",1,2,3,128,129,130,126,127"/>
    <n v="8"/>
    <m/>
    <m/>
    <s v="No"/>
    <x v="3"/>
    <m/>
    <m/>
    <s v="137.21.7.121"/>
    <s v="HM743.F33 -- .H39 2015eb"/>
    <n v="658.87199999999996"/>
    <d v="2014-12-08T00:00:00"/>
  </r>
  <r>
    <x v="5472"/>
    <d v="1899-12-30T01:05:17"/>
    <x v="13"/>
    <x v="0"/>
    <s v="Buffalo"/>
    <x v="625"/>
    <n v="836167"/>
    <x v="6"/>
    <s v="Science: Physics; Environmental Studies; Science"/>
    <s v="9781438139487"/>
    <s v=",11,12,13,14,15,16,17,18,19,20,21,22,23,24,25,26,27,28,29,31,32,33,36,37,38,34,35,39,40,41,42,43,44,45,46,47,48,49,50,51,52,53,54,55,56,57,58,59,60,61,62,63,64,65,66,67,68,69,70,71,72,73,74,75,76,77,78"/>
    <n v="67"/>
    <m/>
    <m/>
    <s v="No"/>
    <x v="0"/>
    <d v="2015-10-18T21:07:56"/>
    <n v="7"/>
    <s v="128.205.114.91"/>
    <s v="QC981.8.G56 -- T66 2012eb"/>
    <s v="363.738/74"/>
    <d v="2011-11-01T00:00:00"/>
  </r>
  <r>
    <x v="5473"/>
    <d v="1899-12-30T00:02:38"/>
    <x v="1369"/>
    <x v="1"/>
    <s v="brockport"/>
    <x v="828"/>
    <n v="821834"/>
    <x v="0"/>
    <s v="Business/Management"/>
    <s v="9781118225868"/>
    <s v=",1,2,3,70,71,72,68,69,154,155,156,152,153,157,158"/>
    <n v="15"/>
    <m/>
    <m/>
    <s v="No"/>
    <x v="1"/>
    <m/>
    <m/>
    <s v="137.21.7.121"/>
    <s v="HF5415.1265 -- .T74 2012eb"/>
    <s v="658.8/72"/>
    <d v="2012-04-10T00:00:00"/>
  </r>
  <r>
    <x v="5474"/>
    <d v="1899-12-30T00:01:20"/>
    <x v="525"/>
    <x v="0"/>
    <s v="Buffalo"/>
    <x v="477"/>
    <n v="1120279"/>
    <x v="0"/>
    <s v="Science: Biology/Natural History; Science"/>
    <s v="9781118537671"/>
    <s v=",1,2,3,93,94,95,91,92,96,97"/>
    <n v="10"/>
    <m/>
    <m/>
    <s v="No"/>
    <x v="0"/>
    <d v="2015-10-17T23:53:19"/>
    <n v="7"/>
    <s v="128.205.114.91"/>
    <s v="QH371 .K384 2012"/>
    <n v="599.93499999999995"/>
    <d v="2012-11-19T00:00:00"/>
  </r>
  <r>
    <x v="5475"/>
    <d v="1899-12-30T00:23:18"/>
    <x v="13"/>
    <x v="0"/>
    <s v="Buffalo"/>
    <x v="625"/>
    <n v="836167"/>
    <x v="6"/>
    <s v="Science: Physics; Environmental Studies; Science"/>
    <s v="9781438139487"/>
    <s v=",1,2,3,4,5,6,7,8,9,2,10"/>
    <n v="10"/>
    <m/>
    <m/>
    <s v="No"/>
    <x v="1"/>
    <m/>
    <m/>
    <s v="128.205.114.91"/>
    <s v="QC981.8.G56 -- T66 2012eb"/>
    <s v="363.738/74"/>
    <d v="2011-11-01T00:00:00"/>
  </r>
  <r>
    <x v="5476"/>
    <d v="1899-12-30T02:04:14"/>
    <x v="13"/>
    <x v="0"/>
    <s v="Buffalo"/>
    <x v="630"/>
    <n v="771049"/>
    <x v="18"/>
    <s v="Science: Physics; Science; Environmental Studies"/>
    <s v="9781608706648"/>
    <s v=",12,13,14,15,16,17,18,19,20,21,22,23,24,25,26,27,28,29,30,36,37,38,34,35,39,40"/>
    <n v="26"/>
    <m/>
    <m/>
    <s v="No"/>
    <x v="0"/>
    <d v="2015-10-18T20:14:00"/>
    <n v="7"/>
    <s v="128.205.114.91"/>
    <s v="QC981.8"/>
    <n v="363.73874000000001"/>
    <d v="2012-01-01T00:00:00"/>
  </r>
  <r>
    <x v="5477"/>
    <d v="1899-12-30T00:23:09"/>
    <x v="13"/>
    <x v="0"/>
    <s v="Buffalo"/>
    <x v="500"/>
    <n v="699744"/>
    <x v="0"/>
    <s v="Engineering; Engineering: Electrical; Engineering: Civil"/>
    <s v="9781118585818"/>
    <s v=",1,2,3,1,651,652,653,652,653,654,655,656,657,658,659,660,661,662,663,664,665,666,667,668,669,670,671,672,673,674,675,676,677,678,679,680,681,682,683,684,685,686,687,688,689,690,691,692,693,694,695,696,697,698,699,698"/>
    <n v="52"/>
    <m/>
    <m/>
    <s v="No"/>
    <x v="0"/>
    <d v="2015-10-13T17:47:46"/>
    <n v="7"/>
    <s v="128.205.114.91"/>
    <s v="TA1520 -- .S24 2007eb"/>
    <n v="621.36"/>
    <d v="2013-02-05T00:00:00"/>
  </r>
  <r>
    <x v="5478"/>
    <d v="1899-12-30T00:09:04"/>
    <x v="714"/>
    <x v="12"/>
    <s v="potsdam"/>
    <x v="713"/>
    <n v="565082"/>
    <x v="0"/>
    <s v="Education"/>
    <s v="9781118041567"/>
    <s v=",1,2,3,150,151,152,153,154,155,156,157,158,159,160,161,162,163,164,165,166,167,168,169,164,163,154,152,153,150,151"/>
    <n v="23"/>
    <m/>
    <m/>
    <s v="No"/>
    <x v="0"/>
    <d v="2015-10-12T21:55:34"/>
    <n v="7"/>
    <s v="137.143.104.94"/>
    <s v="LB1775 .P25 2010"/>
    <s v="371.1; 371.102"/>
    <d v="2010-06-08T00:00:00"/>
  </r>
  <r>
    <x v="5479"/>
    <d v="1899-12-30T00:36:10"/>
    <x v="13"/>
    <x v="0"/>
    <s v="Buffalo"/>
    <x v="630"/>
    <n v="771049"/>
    <x v="18"/>
    <s v="Science: Physics; Science; Environmental Studies"/>
    <s v="9781608706648"/>
    <s v=",1,2,3,4,5,6,7,8,9,10,11"/>
    <n v="11"/>
    <m/>
    <m/>
    <s v="No"/>
    <x v="1"/>
    <m/>
    <m/>
    <s v="128.205.114.91"/>
    <s v="QC981.8"/>
    <n v="363.73874000000001"/>
    <d v="2012-01-01T00:00:00"/>
  </r>
  <r>
    <x v="5480"/>
    <d v="1899-12-30T01:01:43"/>
    <x v="973"/>
    <x v="0"/>
    <s v="Buffalo"/>
    <x v="161"/>
    <n v="821663"/>
    <x v="0"/>
    <s v="Architecture"/>
    <s v="9781118168479"/>
    <s v=",182,183,184,177,185,186,187,188,208,209,210,206,207,211,212,213,214,215,216,189"/>
    <n v="20"/>
    <m/>
    <m/>
    <s v="No"/>
    <x v="0"/>
    <d v="2015-10-18T19:08:00"/>
    <n v="7"/>
    <s v="128.205.114.91"/>
    <s v="NA2547 -- .S74 2012eb"/>
    <n v="729"/>
    <d v="2012-03-05T00:00:00"/>
  </r>
  <r>
    <x v="5481"/>
    <d v="1899-12-30T00:23:15"/>
    <x v="973"/>
    <x v="0"/>
    <s v="Buffalo"/>
    <x v="161"/>
    <n v="821663"/>
    <x v="0"/>
    <s v="Architecture"/>
    <s v="9781118168479"/>
    <s v=",1,2,3,157,159,158,155,156,160,179,180,181,177,178"/>
    <n v="14"/>
    <m/>
    <m/>
    <s v="No"/>
    <x v="1"/>
    <m/>
    <m/>
    <s v="128.205.114.91"/>
    <s v="NA2547 -- .S74 2012eb"/>
    <n v="729"/>
    <d v="2012-03-05T00:00:00"/>
  </r>
  <r>
    <x v="5482"/>
    <d v="1899-12-30T00:01:34"/>
    <x v="791"/>
    <x v="6"/>
    <s v="sjfc"/>
    <x v="822"/>
    <n v="1034770"/>
    <x v="4"/>
    <s v="Medicine"/>
    <s v="9781462507566"/>
    <s v=",1,2,3,4,5,3,17"/>
    <n v="6"/>
    <m/>
    <m/>
    <s v="No"/>
    <x v="1"/>
    <m/>
    <m/>
    <s v="149.69.254.57"/>
    <s v="RC533 -- .M56 2012eb"/>
    <n v="616.85839999999996"/>
    <d v="2013-10-20T00:00:00"/>
  </r>
  <r>
    <x v="5483"/>
    <d v="1899-12-30T00:01:35"/>
    <x v="1371"/>
    <x v="13"/>
    <s v="buffalostate"/>
    <x v="1288"/>
    <n v="827043"/>
    <x v="0"/>
    <s v="Computer Science/IT"/>
    <s v="9781118228746"/>
    <s v=",1,2,3,404,405,406,402,403,501,502,503,619,620,621,622,623,624,625,626,627,628,629,624,623,630,631"/>
    <n v="24"/>
    <m/>
    <m/>
    <s v="No"/>
    <x v="1"/>
    <m/>
    <m/>
    <s v="136.183.11.43"/>
    <s v="QA76.73.P224 -- .S844 2013eb"/>
    <n v="5.2762000000000002"/>
    <d v="2013-03-08T00:00:00"/>
  </r>
  <r>
    <x v="5484"/>
    <d v="1899-12-30T00:02:35"/>
    <x v="1247"/>
    <x v="1"/>
    <s v="brockport"/>
    <x v="753"/>
    <n v="2038643"/>
    <x v="1"/>
    <s v="Social Science"/>
    <s v="9781472427625"/>
    <s v=",72,73,74,75,77,76"/>
    <n v="6"/>
    <m/>
    <m/>
    <s v="No"/>
    <x v="2"/>
    <d v="2015-10-18T17:37:24"/>
    <n v="1"/>
    <s v="137.21.7.121"/>
    <n v="2013049432"/>
    <n v="306.46100000000001"/>
    <d v="2015-05-28T00:00:00"/>
  </r>
  <r>
    <x v="5485"/>
    <d v="1899-12-30T00:06:07"/>
    <x v="1247"/>
    <x v="1"/>
    <s v="brockport"/>
    <x v="753"/>
    <n v="2038643"/>
    <x v="1"/>
    <s v="Social Science"/>
    <s v="9781472427625"/>
    <s v=",1,2,3,1,16,68,68,69,70,66,67,71"/>
    <n v="10"/>
    <m/>
    <m/>
    <s v="No"/>
    <x v="3"/>
    <m/>
    <m/>
    <s v="137.21.7.121"/>
    <n v="2013049432"/>
    <n v="306.46100000000001"/>
    <d v="2015-05-28T00:00:00"/>
  </r>
  <r>
    <x v="5486"/>
    <d v="1899-12-30T00:06:58"/>
    <x v="547"/>
    <x v="1"/>
    <s v="brockport"/>
    <x v="1"/>
    <n v="1684620"/>
    <x v="0"/>
    <s v="Health; Social Science"/>
    <s v="9781118418925"/>
    <s v=",1,2,3,4,5,6,7,8,9,10,12,11,13,14,15,16,17,18,19,20,21,22,23,24,1,3,2,25,26,27,23,24,28,29,33,34,35,31,32,30,36,37,38,39,40,13,14,15,11,12,16,17,18,19,20,21,22"/>
    <n v="40"/>
    <m/>
    <m/>
    <s v="No"/>
    <x v="1"/>
    <m/>
    <m/>
    <s v="137.21.7.121"/>
    <s v="RA971 -- .S56 2014eb"/>
    <n v="362.10680000000002"/>
    <d v="2014-04-30T00:00:00"/>
  </r>
  <r>
    <x v="5487"/>
    <d v="1899-12-30T00:01:44"/>
    <x v="1309"/>
    <x v="0"/>
    <s v="Buffalo"/>
    <x v="379"/>
    <n v="1110728"/>
    <x v="0"/>
    <s v="Business/Management; Economics"/>
    <s v="9781118461204"/>
    <s v=",4,5,6,7,8,9,10,11,12,13,14,15,16,17,18,19,20,21,22,23,24,25,26"/>
    <n v="23"/>
    <m/>
    <m/>
    <s v="Yes"/>
    <x v="0"/>
    <d v="2015-10-18T15:49:16"/>
    <n v="7"/>
    <s v="128.205.114.91"/>
    <s v="HG4910 -- .M53 2013eb"/>
    <s v="332.63/22"/>
    <d v="2013-01-09T00:00:00"/>
  </r>
  <r>
    <x v="5487"/>
    <d v="1899-12-30T00:00:00"/>
    <x v="1309"/>
    <x v="0"/>
    <s v="Buffalo"/>
    <x v="379"/>
    <n v="1110728"/>
    <x v="0"/>
    <s v="Business/Management; Economics"/>
    <s v="9781118461204"/>
    <m/>
    <n v="0"/>
    <m/>
    <m/>
    <s v="No"/>
    <x v="0"/>
    <d v="2015-10-18T15:49:16"/>
    <n v="7"/>
    <s v="128.205.114.91"/>
    <s v="HG4910 -- .M53 2013eb"/>
    <s v="332.63/22"/>
    <d v="2013-01-09T00:00:00"/>
  </r>
  <r>
    <x v="5488"/>
    <d v="1899-12-30T00:00:16"/>
    <x v="1309"/>
    <x v="0"/>
    <s v="Buffalo"/>
    <x v="379"/>
    <n v="1110728"/>
    <x v="0"/>
    <s v="Business/Management; Economics"/>
    <s v="9781118461204"/>
    <s v=",1,2,3"/>
    <n v="3"/>
    <m/>
    <m/>
    <s v="No"/>
    <x v="1"/>
    <m/>
    <m/>
    <s v="128.205.114.91"/>
    <s v="HG4910 -- .M53 2013eb"/>
    <s v="332.63/22"/>
    <d v="2013-01-09T00:00:00"/>
  </r>
  <r>
    <x v="5489"/>
    <d v="1899-12-30T00:05:24"/>
    <x v="1358"/>
    <x v="0"/>
    <s v="Buffalo"/>
    <x v="500"/>
    <n v="699744"/>
    <x v="0"/>
    <s v="Engineering; Engineering: Electrical; Engineering: Civil"/>
    <s v="9781118585818"/>
    <s v=",1,2,2,1,3,3,4,4,25,26,25,27,26,23,27,24,24,28,29,28,29,30,30,31,31,2,32,32,33,33,34,34,35,35,36,36,37,37,38,38,39,39,40,40,41,41,42,42,43,43,44,44,45,45,46,46,47,47,48,48,49,50,49,50,51,51,52,53,52,53,54,54,62,63,62,64,63,64,60,61,61,65,65,66,66,67,67,67,68,68"/>
    <n v="45"/>
    <m/>
    <m/>
    <s v="No"/>
    <x v="1"/>
    <m/>
    <m/>
    <s v="128.205.114.91"/>
    <s v="TA1520 -- .S24 2007eb"/>
    <n v="621.36"/>
    <d v="2013-02-05T00:00:00"/>
  </r>
  <r>
    <x v="5490"/>
    <d v="1899-12-30T00:00:15"/>
    <x v="1372"/>
    <x v="1"/>
    <s v="brockport"/>
    <x v="1289"/>
    <n v="1791963"/>
    <x v="0"/>
    <s v="Engineering: Chemical; Engineering"/>
    <s v="9781118899496"/>
    <s v=",1,2,3"/>
    <n v="3"/>
    <m/>
    <m/>
    <s v="No"/>
    <x v="3"/>
    <m/>
    <m/>
    <s v="137.21.7.121"/>
    <s v="TP1180.B55 -- .G7435 2014eb"/>
    <n v="668.4"/>
    <d v="2014-09-19T00:00:00"/>
  </r>
  <r>
    <x v="5491"/>
    <d v="1899-12-30T00:24:01"/>
    <x v="714"/>
    <x v="12"/>
    <s v="potsdam"/>
    <x v="713"/>
    <n v="565082"/>
    <x v="0"/>
    <s v="Education"/>
    <s v="9781118041567"/>
    <s v=",1,2,3,141,142,139,140,143,144,145,146,147,148,149,150,151,152"/>
    <n v="17"/>
    <m/>
    <m/>
    <s v="No"/>
    <x v="0"/>
    <d v="2015-10-12T21:55:34"/>
    <n v="7"/>
    <s v="137.143.104.94"/>
    <s v="LB1775 .P25 2010"/>
    <s v="371.1; 371.102"/>
    <d v="2010-06-08T00:00:00"/>
  </r>
  <r>
    <x v="5492"/>
    <d v="1899-12-30T00:09:43"/>
    <x v="634"/>
    <x v="11"/>
    <s v="cobleskill"/>
    <x v="11"/>
    <n v="693176"/>
    <x v="0"/>
    <s v="Engineering: Manufacturing; General Works/Reference; Engineering"/>
    <s v="9781118017746"/>
    <s v=",1,2,3,366,367,368,364,365,369,366,367,368,364,365,369,370,371,372,373,374,375,376,377,378,379,380,381,382"/>
    <n v="22"/>
    <m/>
    <m/>
    <s v="No"/>
    <x v="1"/>
    <m/>
    <m/>
    <s v="137.36.32.34"/>
    <s v="Z246 -- .M43 2012eb"/>
    <s v="686.2/209"/>
    <d v="2011-10-19T00:00:00"/>
  </r>
  <r>
    <x v="5493"/>
    <d v="1899-12-30T00:16:59"/>
    <x v="717"/>
    <x v="13"/>
    <s v="buffalostate"/>
    <x v="516"/>
    <n v="1840835"/>
    <x v="0"/>
    <s v="Business/Management; Economics"/>
    <s v="9781118950166"/>
    <s v=",1,2,3,4,5,6,8,9,11,13,14,15,16,17,117,118,119,116,120,121,115,122,123,124,125,126,127,128,129"/>
    <n v="29"/>
    <m/>
    <m/>
    <s v="No"/>
    <x v="0"/>
    <d v="2015-10-16T02:03:51"/>
    <n v="7"/>
    <s v="136.183.11.43"/>
    <s v="HD9969.S6 .R384 2014"/>
    <n v="338.10923789999998"/>
    <d v="2014-11-10T00:00:00"/>
  </r>
  <r>
    <x v="5494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Yes"/>
    <x v="0"/>
    <d v="2015-10-18T00:30:25"/>
    <n v="7"/>
    <s v="128.205.114.91"/>
    <s v="TA345.5.M38 M34 2014"/>
    <s v="510.285/53; 510.28553"/>
    <d v="2014-03-26T00:00:00"/>
  </r>
  <r>
    <x v="5494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No"/>
    <x v="0"/>
    <d v="2015-10-18T00:30:25"/>
    <n v="7"/>
    <s v="128.205.114.91"/>
    <s v="TA345.5.M38 M34 2014"/>
    <s v="510.285/53; 510.28553"/>
    <d v="2014-03-26T00:00:00"/>
  </r>
  <r>
    <x v="5495"/>
    <d v="1899-12-30T00:00:12"/>
    <x v="1373"/>
    <x v="0"/>
    <s v="Buffalo"/>
    <x v="572"/>
    <n v="1662670"/>
    <x v="0"/>
    <s v="Mathematics; Engineering; Engineering: Civil"/>
    <s v="9781118821251"/>
    <s v=",1,2,3"/>
    <n v="3"/>
    <m/>
    <m/>
    <s v="No"/>
    <x v="1"/>
    <m/>
    <m/>
    <s v="128.205.114.91"/>
    <s v="TA345.5.M38 M34 2014"/>
    <s v="510.285/53; 510.28553"/>
    <d v="2014-03-26T00:00:00"/>
  </r>
  <r>
    <x v="5496"/>
    <d v="1899-12-30T01:40:21"/>
    <x v="525"/>
    <x v="0"/>
    <s v="Buffalo"/>
    <x v="477"/>
    <n v="1120279"/>
    <x v="0"/>
    <s v="Science: Biology/Natural History; Science"/>
    <s v="9781118537671"/>
    <s v=",85,86,87,88,89,90,91,92,93,94,95,96,97"/>
    <n v="13"/>
    <m/>
    <m/>
    <s v="No"/>
    <x v="0"/>
    <d v="2015-10-17T23:53:19"/>
    <n v="7"/>
    <s v="128.205.114.91"/>
    <s v="QH371 .K384 2012"/>
    <n v="599.93499999999995"/>
    <d v="2012-11-19T00:00:00"/>
  </r>
  <r>
    <x v="5497"/>
    <d v="1899-12-30T01:19:07"/>
    <x v="1374"/>
    <x v="8"/>
    <s v="niagaracc"/>
    <x v="406"/>
    <n v="1762797"/>
    <x v="0"/>
    <s v="Social Science"/>
    <s v="9781118921296"/>
    <s v=",70,71,72,68,69,96,95,118,119,120,116,117,121,122,30,31,32,28,29,33,34,35,36,37,38,61,62,59,63,60,65,66,67,64,81,82,148,149,147,150,146,248,246,249,247,250,251,263,264,265,261,262,266,269,270,316,317,318,314,315,321,322,323,319,320,324,325,326,327,328,329,330,368,370,367,369,366,371,372,373,374,365,5,4,6,7,8,9,10,11,12,13"/>
    <n v="92"/>
    <m/>
    <m/>
    <s v="No"/>
    <x v="0"/>
    <d v="2015-10-17T23:49:22"/>
    <n v="7"/>
    <s v="132.174.254.37"/>
    <s v="HM538 -- .D55 2014eb"/>
    <s v="300.72/3"/>
    <d v="2014-08-06T00:00:00"/>
  </r>
  <r>
    <x v="5498"/>
    <d v="1899-12-30T00:10:50"/>
    <x v="1374"/>
    <x v="8"/>
    <s v="niagaracc"/>
    <x v="406"/>
    <n v="1762797"/>
    <x v="0"/>
    <s v="Social Science"/>
    <s v="9781118921296"/>
    <s v=",1,1,2,3,517,518,519,515,516,521,520,522,523,524,525,526,423,349,350,351,347,348,345,346,361,362,363,360,359,379,380,382,381,378,383,397,398,399,396,395,422,424,421,420,419,418,416,417,392,304,303,302,306,305,301,287,284,282,283,280,281,279,276,273,274,275,271,272,277,278,99,100,101,98,97,78,75,76,77,73,74,79,80,41,42,43,40,39,44,45"/>
    <n v="89"/>
    <m/>
    <m/>
    <s v="No"/>
    <x v="1"/>
    <m/>
    <m/>
    <s v="132.174.254.37"/>
    <s v="HM538 -- .D55 2014eb"/>
    <s v="300.72/3"/>
    <d v="2014-08-06T00:00:00"/>
  </r>
  <r>
    <x v="5499"/>
    <d v="1899-12-30T00:32:49"/>
    <x v="525"/>
    <x v="0"/>
    <s v="Buffalo"/>
    <x v="477"/>
    <n v="1120279"/>
    <x v="0"/>
    <s v="Science: Biology/Natural History; Science"/>
    <s v="9781118537671"/>
    <s v=",1,2,3,77,78,79,76,75,80,81,82,83,84"/>
    <n v="13"/>
    <m/>
    <m/>
    <s v="No"/>
    <x v="1"/>
    <m/>
    <m/>
    <s v="128.205.114.91"/>
    <s v="QH371 .K384 2012"/>
    <n v="599.93499999999995"/>
    <d v="2012-11-19T00:00:00"/>
  </r>
  <r>
    <x v="5500"/>
    <d v="1899-12-30T00:00:09"/>
    <x v="1298"/>
    <x v="0"/>
    <s v="Buffalo"/>
    <x v="901"/>
    <n v="864784"/>
    <x v="10"/>
    <s v="Education"/>
    <s v="9781400841578"/>
    <s v=",1,2,3,53,54,55,52,51"/>
    <n v="8"/>
    <m/>
    <m/>
    <s v="No"/>
    <x v="1"/>
    <m/>
    <m/>
    <s v="128.205.114.91"/>
    <s v="LA227.4 .D455 2012"/>
    <n v="378.73"/>
    <d v="2014-05-27T00:00:00"/>
  </r>
  <r>
    <x v="5501"/>
    <d v="1899-12-30T00:00:04"/>
    <x v="1375"/>
    <x v="0"/>
    <s v="Buffalo"/>
    <x v="344"/>
    <n v="1691133"/>
    <x v="4"/>
    <s v="Medicine"/>
    <s v="9781462516278"/>
    <s v=",1,2,3"/>
    <n v="3"/>
    <m/>
    <m/>
    <s v="No"/>
    <x v="1"/>
    <m/>
    <m/>
    <s v="128.205.114.91"/>
    <s v="RC552.P67 -- .H353 2014eb"/>
    <s v="616.85/21"/>
    <d v="2014-05-15T00:00:00"/>
  </r>
  <r>
    <x v="5502"/>
    <d v="1899-12-30T00:01:37"/>
    <x v="26"/>
    <x v="6"/>
    <s v="sjfc"/>
    <x v="1290"/>
    <n v="1372261"/>
    <x v="0"/>
    <s v="Business/Management; Language/Linguistics"/>
    <s v="9781118505106"/>
    <s v=",2,1,3,23,24,25,21,22,26,27,28,29,30,32,33,34,35"/>
    <n v="17"/>
    <m/>
    <m/>
    <s v="No"/>
    <x v="3"/>
    <m/>
    <m/>
    <s v="149.69.254.57"/>
    <s v="P221 -- .K38 2013eb"/>
    <n v="387"/>
    <d v="2013-09-09T00:00:00"/>
  </r>
  <r>
    <x v="5503"/>
    <d v="1899-12-30T00:00:24"/>
    <x v="1376"/>
    <x v="1"/>
    <s v="brockport"/>
    <x v="1020"/>
    <n v="1695066"/>
    <x v="0"/>
    <s v="Business/Management"/>
    <s v="9780730312918"/>
    <s v=",1,57,58,59,55,56,2"/>
    <n v="7"/>
    <m/>
    <m/>
    <s v="No"/>
    <x v="3"/>
    <m/>
    <m/>
    <s v="137.21.7.121"/>
    <s v="HD30.3 -- .K375 2014eb"/>
    <n v="658.45"/>
    <d v="2014-05-23T00:00:00"/>
  </r>
  <r>
    <x v="5504"/>
    <d v="1899-12-30T06:44:45"/>
    <x v="13"/>
    <x v="0"/>
    <s v="Buffalo"/>
    <x v="901"/>
    <n v="864784"/>
    <x v="10"/>
    <s v="Education"/>
    <s v="9781400841578"/>
    <s v=",1,2,3,53,54,55,51,52,50,84,86,82,85,83,87,88,232,233,234,230,231,200,201,202,198,199,245,246,243,244,85,86,87,83,88,89,90,91,86,92,93,94,119,120,121,117,118,122,117,123,124,125,142,143,144,140,141,10,11,12,13,14,18,19,20,16,17,21,22,23,24,25,26,27,28,196,197,198,194,195,167,168,169,165,166,170,171,26,27,28,24,25,29,30,31,32,33,34,35,36,37,38,38,39,40,41,42,43,44,45,46,47,48,49,50,51,52,53,54,55,47,46,53,54,55"/>
    <n v="100"/>
    <m/>
    <m/>
    <s v="No"/>
    <x v="1"/>
    <m/>
    <m/>
    <s v="128.205.114.91"/>
    <s v="LA227.4 .D455 2012"/>
    <n v="378.73"/>
    <d v="2014-05-27T00:00:00"/>
  </r>
  <r>
    <x v="5505"/>
    <d v="1899-12-30T00:01:37"/>
    <x v="1377"/>
    <x v="5"/>
    <s v="erie"/>
    <x v="1291"/>
    <n v="1274383"/>
    <x v="5"/>
    <s v="Social Science"/>
    <s v="9780814760239"/>
    <s v=",1,2,3,159,160,161,157,158,162,163,164,165,166,167,168,169,170,171,172,173,174,175"/>
    <n v="22"/>
    <m/>
    <m/>
    <s v="No"/>
    <x v="1"/>
    <m/>
    <m/>
    <s v="199.29.6.54"/>
    <s v="HQ799.2.V56 -- E26 2013eb"/>
    <n v="303.60834999999997"/>
    <d v="2013-08-19T00:00:00"/>
  </r>
  <r>
    <x v="5506"/>
    <d v="1899-12-30T00:21:45"/>
    <x v="1149"/>
    <x v="9"/>
    <s v="trocaire"/>
    <x v="1292"/>
    <n v="1582383"/>
    <x v="0"/>
    <s v="Education"/>
    <s v="9781118791394"/>
    <s v=",2,2"/>
    <n v="1"/>
    <m/>
    <m/>
    <s v="Yes"/>
    <x v="2"/>
    <d v="2015-10-17T14:07:59"/>
    <n v="1"/>
    <s v="173.225.62.67"/>
    <s v="LB1044.87 -- .S73 2014eb"/>
    <s v="371.33/44678"/>
    <d v="2013-12-16T00:00:00"/>
  </r>
  <r>
    <x v="5507"/>
    <d v="1899-12-30T00:00:04"/>
    <x v="1149"/>
    <x v="9"/>
    <s v="trocaire"/>
    <x v="1292"/>
    <n v="1582383"/>
    <x v="0"/>
    <s v="Education"/>
    <s v="9781118791394"/>
    <s v=",1,1,2,2,3,3"/>
    <n v="3"/>
    <m/>
    <m/>
    <s v="No"/>
    <x v="2"/>
    <d v="2015-10-17T14:07:59"/>
    <n v="1"/>
    <s v="173.225.62.67"/>
    <s v="LB1044.87 -- .S73 2014eb"/>
    <s v="371.33/44678"/>
    <d v="2013-12-16T00:00:00"/>
  </r>
  <r>
    <x v="5508"/>
    <d v="1899-12-30T00:00:15"/>
    <x v="1149"/>
    <x v="9"/>
    <s v="trocaire"/>
    <x v="1292"/>
    <n v="1582383"/>
    <x v="0"/>
    <s v="Education"/>
    <s v="9781118791394"/>
    <s v=",2,2"/>
    <n v="1"/>
    <m/>
    <m/>
    <s v="Yes"/>
    <x v="2"/>
    <d v="2015-10-17T14:07:59"/>
    <n v="1"/>
    <s v="173.225.62.67"/>
    <s v="LB1044.87 -- .S73 2014eb"/>
    <s v="371.33/44678"/>
    <d v="2013-12-16T00:00:00"/>
  </r>
  <r>
    <x v="5509"/>
    <d v="1899-12-30T00:00:04"/>
    <x v="1149"/>
    <x v="9"/>
    <s v="trocaire"/>
    <x v="1292"/>
    <n v="1582383"/>
    <x v="0"/>
    <s v="Education"/>
    <s v="9781118791394"/>
    <s v=",1,1,2,2,3,3"/>
    <n v="3"/>
    <m/>
    <m/>
    <s v="No"/>
    <x v="2"/>
    <d v="2015-10-17T14:07:59"/>
    <n v="1"/>
    <s v="173.225.62.67"/>
    <s v="LB1044.87 -- .S73 2014eb"/>
    <s v="371.33/44678"/>
    <d v="2013-12-16T00:00:00"/>
  </r>
  <r>
    <x v="5510"/>
    <d v="1899-12-30T00:00:03"/>
    <x v="1149"/>
    <x v="9"/>
    <s v="trocaire"/>
    <x v="1292"/>
    <n v="1582383"/>
    <x v="0"/>
    <s v="Education"/>
    <s v="9781118791394"/>
    <s v=",1,2,3"/>
    <n v="3"/>
    <m/>
    <m/>
    <s v="No"/>
    <x v="2"/>
    <d v="2015-10-17T14:07:59"/>
    <n v="1"/>
    <s v="173.225.62.67"/>
    <s v="LB1044.87 -- .S73 2014eb"/>
    <s v="371.33/44678"/>
    <d v="2013-12-16T00:00:00"/>
  </r>
  <r>
    <x v="5511"/>
    <d v="1899-12-30T00:01:21"/>
    <x v="1378"/>
    <x v="5"/>
    <s v="erie"/>
    <x v="1293"/>
    <n v="821656"/>
    <x v="0"/>
    <s v="Medicine"/>
    <s v="9780470963272"/>
    <s v=",1,2,3,4,5,6,7,2,8,9,589,590"/>
    <n v="11"/>
    <m/>
    <m/>
    <s v="No"/>
    <x v="1"/>
    <m/>
    <m/>
    <s v="199.29.6.54"/>
    <s v="RJ502.3 -- .C45 2012eb"/>
    <n v="618.91999999999996"/>
    <d v="2012-01-11T00:00:00"/>
  </r>
  <r>
    <x v="5512"/>
    <d v="1899-12-30T00:00:29"/>
    <x v="67"/>
    <x v="5"/>
    <s v="erie"/>
    <x v="1080"/>
    <n v="1185074"/>
    <x v="4"/>
    <s v="Language/Linguistics; Education"/>
    <s v="9781462510122"/>
    <s v=",1,3,2,133,134,135,131,132"/>
    <n v="8"/>
    <m/>
    <m/>
    <s v="No"/>
    <x v="1"/>
    <m/>
    <m/>
    <s v="199.29.6.54"/>
    <s v="LB1576 -- .B487 2013eb"/>
    <n v="428.00709999999998"/>
    <d v="2014-05-14T00:00:00"/>
  </r>
  <r>
    <x v="5513"/>
    <d v="1899-12-30T00:07:10"/>
    <x v="1149"/>
    <x v="9"/>
    <s v="trocaire"/>
    <x v="1292"/>
    <n v="1582383"/>
    <x v="0"/>
    <s v="Education"/>
    <s v="9781118791394"/>
    <s v=",2,2"/>
    <n v="1"/>
    <m/>
    <m/>
    <s v="Yes"/>
    <x v="2"/>
    <d v="2015-10-17T14:07:59"/>
    <n v="1"/>
    <s v="173.225.62.67"/>
    <s v="LB1044.87 -- .S73 2014eb"/>
    <s v="371.33/44678"/>
    <d v="2013-12-16T00:00:00"/>
  </r>
  <r>
    <x v="5513"/>
    <d v="1899-12-30T00:00:00"/>
    <x v="1149"/>
    <x v="9"/>
    <s v="trocaire"/>
    <x v="1292"/>
    <n v="1582383"/>
    <x v="0"/>
    <s v="Education"/>
    <s v="9781118791394"/>
    <m/>
    <n v="0"/>
    <m/>
    <m/>
    <s v="No"/>
    <x v="2"/>
    <d v="2015-10-17T14:07:59"/>
    <n v="1"/>
    <s v="173.225.62.67"/>
    <s v="LB1044.87 -- .S73 2014eb"/>
    <s v="371.33/44678"/>
    <d v="2013-12-16T00:00:00"/>
  </r>
  <r>
    <x v="5514"/>
    <d v="1899-12-30T00:00:08"/>
    <x v="1149"/>
    <x v="9"/>
    <s v="trocaire"/>
    <x v="1292"/>
    <n v="1582383"/>
    <x v="0"/>
    <s v="Education"/>
    <s v="9781118791394"/>
    <s v=",1,1,2,3,2,3"/>
    <n v="3"/>
    <m/>
    <m/>
    <s v="No"/>
    <x v="3"/>
    <m/>
    <m/>
    <s v="173.225.62.67"/>
    <s v="LB1044.87 -- .S73 2014eb"/>
    <s v="371.33/44678"/>
    <d v="2013-12-16T00:00:00"/>
  </r>
  <r>
    <x v="5515"/>
    <d v="1899-12-30T00:00:00"/>
    <x v="1149"/>
    <x v="9"/>
    <s v="trocaire"/>
    <x v="1294"/>
    <n v="1895845"/>
    <x v="0"/>
    <s v="Education"/>
    <s v="9781118974148"/>
    <m/>
    <n v="0"/>
    <m/>
    <m/>
    <s v="Yes"/>
    <x v="0"/>
    <d v="2015-10-17T13:54:15"/>
    <n v="7"/>
    <s v="173.225.62.67"/>
    <s v="LB1028.38 -- .P575 2015eb"/>
    <n v="371.33"/>
    <d v="2015-01-06T00:00:00"/>
  </r>
  <r>
    <x v="5515"/>
    <d v="1899-12-30T00:00:00"/>
    <x v="1149"/>
    <x v="9"/>
    <s v="trocaire"/>
    <x v="1294"/>
    <n v="1895845"/>
    <x v="0"/>
    <s v="Education"/>
    <s v="9781118974148"/>
    <m/>
    <n v="0"/>
    <m/>
    <m/>
    <s v="No"/>
    <x v="0"/>
    <d v="2015-10-17T13:54:15"/>
    <n v="7"/>
    <s v="173.225.62.67"/>
    <s v="LB1028.38 -- .P575 2015eb"/>
    <n v="371.33"/>
    <d v="2015-01-06T00:00:00"/>
  </r>
  <r>
    <x v="5516"/>
    <d v="1899-12-30T00:01:33"/>
    <x v="1149"/>
    <x v="9"/>
    <s v="trocaire"/>
    <x v="1294"/>
    <n v="1895845"/>
    <x v="0"/>
    <s v="Education"/>
    <s v="9781118974148"/>
    <s v=",1,2,1,2,3,3,2,2"/>
    <n v="3"/>
    <m/>
    <m/>
    <s v="No"/>
    <x v="3"/>
    <m/>
    <m/>
    <s v="173.225.62.67"/>
    <s v="LB1028.38 -- .P575 2015eb"/>
    <n v="371.33"/>
    <d v="2015-01-06T00:00:00"/>
  </r>
  <r>
    <x v="5517"/>
    <d v="1899-12-30T00:00:13"/>
    <x v="1040"/>
    <x v="16"/>
    <s v="monroecc"/>
    <x v="1295"/>
    <n v="3058695"/>
    <x v="9"/>
    <s v="Fine Arts"/>
    <s v="9781118430040"/>
    <s v=",4,5,4,5,8,8,9,6,9,6"/>
    <n v="5"/>
    <m/>
    <m/>
    <s v="No"/>
    <x v="2"/>
    <d v="2015-10-17T12:20:15"/>
    <n v="1"/>
    <s v="150.160.200.114"/>
    <s v="NK2115.R3543 2010eb"/>
    <n v="747"/>
    <d v="2045-01-01T00:00:00"/>
  </r>
  <r>
    <x v="5518"/>
    <d v="1899-12-30T00:00:05"/>
    <x v="1040"/>
    <x v="16"/>
    <s v="monroecc"/>
    <x v="1296"/>
    <n v="3058693"/>
    <x v="9"/>
    <s v="Architecture"/>
    <s v="9781118182307"/>
    <s v=",93"/>
    <n v="1"/>
    <m/>
    <m/>
    <s v="No"/>
    <x v="2"/>
    <d v="2015-10-17T12:20:07"/>
    <n v="1"/>
    <s v="150.160.200.114"/>
    <s v="NA7110.S68 2012eb"/>
    <m/>
    <d v="2045-01-01T00:00:00"/>
  </r>
  <r>
    <x v="5519"/>
    <d v="1899-12-30T00:00:58"/>
    <x v="1040"/>
    <x v="16"/>
    <s v="monroecc"/>
    <x v="1297"/>
    <n v="3058325"/>
    <x v="9"/>
    <s v="Fine Arts"/>
    <s v="9780470881309"/>
    <s v=",18,20,17,18,17,20,21,21"/>
    <n v="4"/>
    <m/>
    <m/>
    <s v="No"/>
    <x v="2"/>
    <d v="2015-10-17T12:18:37"/>
    <n v="1"/>
    <s v="150.160.200.114"/>
    <s v="NK2115.S25 2010eb"/>
    <n v="747"/>
    <d v="2093-01-01T00:00:00"/>
  </r>
  <r>
    <x v="5520"/>
    <d v="1899-12-30T00:00:00"/>
    <x v="1040"/>
    <x v="16"/>
    <s v="monroecc"/>
    <x v="1060"/>
    <n v="1895713"/>
    <x v="0"/>
    <s v="Education"/>
    <s v="9781118938959"/>
    <m/>
    <n v="0"/>
    <m/>
    <m/>
    <s v="Yes"/>
    <x v="0"/>
    <d v="2015-10-17T12:17:31"/>
    <n v="7"/>
    <s v="150.160.200.114"/>
    <s v="LB1044.84 -- .M48 2015eb"/>
    <n v="371.33"/>
    <d v="2015-03-04T00:00:00"/>
  </r>
  <r>
    <x v="5520"/>
    <d v="1899-12-30T00:00:00"/>
    <x v="1040"/>
    <x v="16"/>
    <s v="monroecc"/>
    <x v="1060"/>
    <n v="1895713"/>
    <x v="0"/>
    <s v="Education"/>
    <s v="9781118938959"/>
    <m/>
    <n v="0"/>
    <m/>
    <m/>
    <s v="No"/>
    <x v="0"/>
    <d v="2015-10-17T12:17:31"/>
    <n v="7"/>
    <s v="150.160.200.114"/>
    <s v="LB1044.84 -- .M48 2015eb"/>
    <n v="371.33"/>
    <d v="2015-03-04T00:00:00"/>
  </r>
  <r>
    <x v="5521"/>
    <d v="1899-12-30T00:00:00"/>
    <x v="1040"/>
    <x v="16"/>
    <s v="monroecc"/>
    <x v="1298"/>
    <n v="3057142"/>
    <x v="0"/>
    <s v="Fine Arts"/>
    <s v="9780470406410"/>
    <m/>
    <n v="0"/>
    <m/>
    <m/>
    <s v="Yes"/>
    <x v="2"/>
    <d v="2015-10-17T12:16:37"/>
    <n v="1"/>
    <s v="150.160.200.114"/>
    <s v="TT699.S45 2009eb"/>
    <n v="746"/>
    <d v="2025-01-01T00:00:00"/>
  </r>
  <r>
    <x v="5521"/>
    <d v="1899-12-30T00:00:00"/>
    <x v="1040"/>
    <x v="16"/>
    <s v="monroecc"/>
    <x v="1298"/>
    <n v="3057142"/>
    <x v="0"/>
    <s v="Fine Arts"/>
    <s v="9780470406410"/>
    <m/>
    <n v="0"/>
    <m/>
    <m/>
    <s v="No"/>
    <x v="2"/>
    <d v="2015-10-17T12:16:37"/>
    <n v="1"/>
    <s v="150.160.200.114"/>
    <s v="TT699.S45 2009eb"/>
    <n v="746"/>
    <d v="2025-01-01T00:00:00"/>
  </r>
  <r>
    <x v="5522"/>
    <d v="1899-12-30T00:02:24"/>
    <x v="1040"/>
    <x v="16"/>
    <s v="monroecc"/>
    <x v="1298"/>
    <n v="3057142"/>
    <x v="0"/>
    <s v="Fine Arts"/>
    <s v="9780470406410"/>
    <s v=",1,2,2,3,3,1,2,2"/>
    <n v="3"/>
    <m/>
    <m/>
    <s v="No"/>
    <x v="3"/>
    <m/>
    <m/>
    <s v="150.160.200.114"/>
    <s v="TT699.S45 2009eb"/>
    <n v="746"/>
    <d v="2025-01-01T00:00:00"/>
  </r>
  <r>
    <x v="5523"/>
    <d v="1899-12-30T00:03:23"/>
    <x v="1040"/>
    <x v="16"/>
    <s v="monroecc"/>
    <x v="1060"/>
    <n v="1895713"/>
    <x v="0"/>
    <s v="Education"/>
    <s v="9781118938959"/>
    <s v=",1,2,2,3,3,1,2,2"/>
    <n v="3"/>
    <m/>
    <m/>
    <s v="No"/>
    <x v="3"/>
    <m/>
    <m/>
    <s v="150.160.200.114"/>
    <s v="LB1044.84 -- .M48 2015eb"/>
    <n v="371.33"/>
    <d v="2015-03-04T00:00:00"/>
  </r>
  <r>
    <x v="5524"/>
    <d v="1899-12-30T00:04:07"/>
    <x v="1040"/>
    <x v="16"/>
    <s v="monroecc"/>
    <x v="1299"/>
    <n v="3058423"/>
    <x v="0"/>
    <s v="Fine Arts"/>
    <s v="9781118088777"/>
    <s v=",1,2,2,3,3,1,2,2"/>
    <n v="3"/>
    <m/>
    <m/>
    <s v="No"/>
    <x v="3"/>
    <m/>
    <m/>
    <s v="150.160.200.114"/>
    <s v="TT155.N65 2011eb"/>
    <n v="745.5"/>
    <d v="2052-01-01T00:00:00"/>
  </r>
  <r>
    <x v="5525"/>
    <d v="1899-12-30T00:04:18"/>
    <x v="1040"/>
    <x v="16"/>
    <s v="monroecc"/>
    <x v="1300"/>
    <n v="3058492"/>
    <x v="9"/>
    <s v="Business/Management; Fine Arts"/>
    <s v="9781118159927"/>
    <s v=",1,2,2,3,3,1,2,2"/>
    <n v="3"/>
    <m/>
    <m/>
    <s v="No"/>
    <x v="3"/>
    <m/>
    <m/>
    <s v="150.160.200.114"/>
    <s v="TT157 -- .L43 2012eb"/>
    <n v="650.10820000000001"/>
    <d v="2011-11-09T00:00:00"/>
  </r>
  <r>
    <x v="5526"/>
    <d v="1899-12-30T00:00:27"/>
    <x v="1040"/>
    <x v="16"/>
    <s v="monroecc"/>
    <x v="1301"/>
    <n v="3058588"/>
    <x v="9"/>
    <s v="Fine Arts"/>
    <s v="9781118087589"/>
    <s v=",1,2,3,2,3,1,2,2"/>
    <n v="3"/>
    <m/>
    <m/>
    <s v="No"/>
    <x v="3"/>
    <m/>
    <m/>
    <s v="150.160.200.114"/>
    <s v="TR690.2 -- .M36 2011eb"/>
    <n v="775.06799999999998"/>
    <d v="2044-01-01T00:00:00"/>
  </r>
  <r>
    <x v="5527"/>
    <d v="1899-12-30T00:00:24"/>
    <x v="1040"/>
    <x v="16"/>
    <s v="monroecc"/>
    <x v="1302"/>
    <n v="3057997"/>
    <x v="9"/>
    <s v="Health; Social Science"/>
    <s v="9780470161081"/>
    <s v=",1,1,2,2,3,3,2,2"/>
    <n v="3"/>
    <m/>
    <m/>
    <s v="No"/>
    <x v="3"/>
    <m/>
    <m/>
    <s v="150.160.200.114"/>
    <s v="RA776.95 -- .M87 2009eb"/>
    <m/>
    <d v="2009-02-13T00:00:00"/>
  </r>
  <r>
    <x v="5528"/>
    <d v="1899-12-30T00:00:24"/>
    <x v="1040"/>
    <x v="16"/>
    <s v="monroecc"/>
    <x v="1303"/>
    <n v="3057477"/>
    <x v="0"/>
    <s v="Medicine"/>
    <s v="9780470431573"/>
    <s v=",1,2,2,3,3,1,2,2"/>
    <n v="3"/>
    <m/>
    <m/>
    <s v="No"/>
    <x v="3"/>
    <m/>
    <m/>
    <s v="150.160.200.114"/>
    <s v="RG525.S647 2009eb"/>
    <n v="618.4"/>
    <d v="2034-01-01T00:00:00"/>
  </r>
  <r>
    <x v="5529"/>
    <d v="1899-12-30T00:05:12"/>
    <x v="1040"/>
    <x v="16"/>
    <s v="monroecc"/>
    <x v="1297"/>
    <n v="3058325"/>
    <x v="9"/>
    <s v="Fine Arts"/>
    <s v="9780470881309"/>
    <s v=",1,2,2,3,3,1,2,2"/>
    <n v="3"/>
    <m/>
    <m/>
    <s v="No"/>
    <x v="3"/>
    <m/>
    <m/>
    <s v="150.160.200.114"/>
    <s v="NK2115.S25 2010eb"/>
    <n v="747"/>
    <d v="2093-01-01T00:00:00"/>
  </r>
  <r>
    <x v="5530"/>
    <d v="1899-12-30T00:06:46"/>
    <x v="1040"/>
    <x v="16"/>
    <s v="monroecc"/>
    <x v="1296"/>
    <n v="3058693"/>
    <x v="9"/>
    <s v="Architecture"/>
    <s v="9781118182307"/>
    <s v=",1,2,2,3,3,1,2,2"/>
    <n v="3"/>
    <m/>
    <m/>
    <s v="No"/>
    <x v="3"/>
    <m/>
    <m/>
    <s v="150.160.200.114"/>
    <s v="NA7110.S68 2012eb"/>
    <m/>
    <d v="2045-01-01T00:00:00"/>
  </r>
  <r>
    <x v="5531"/>
    <d v="1899-12-30T00:07:04"/>
    <x v="1040"/>
    <x v="16"/>
    <s v="monroecc"/>
    <x v="1295"/>
    <n v="3058695"/>
    <x v="9"/>
    <s v="Fine Arts"/>
    <s v="9781118430040"/>
    <s v=",1,2,3,2,1,3,2,2"/>
    <n v="3"/>
    <m/>
    <m/>
    <s v="No"/>
    <x v="3"/>
    <m/>
    <m/>
    <s v="150.160.200.114"/>
    <s v="NK2115.R3543 2010eb"/>
    <n v="747"/>
    <d v="2045-01-01T00:00:00"/>
  </r>
  <r>
    <x v="5532"/>
    <d v="1899-12-30T00:00:54"/>
    <x v="1040"/>
    <x v="16"/>
    <s v="monroecc"/>
    <x v="1304"/>
    <n v="3058229"/>
    <x v="9"/>
    <s v="Social Science; Home Economics"/>
    <s v="9780470681435"/>
    <s v=",1,2,2,3,1,3,2,2,5,5,7,7,8,8,9,9"/>
    <n v="7"/>
    <m/>
    <m/>
    <s v="No"/>
    <x v="3"/>
    <m/>
    <m/>
    <s v="150.160.200.114"/>
    <s v="HQ774.W4557 2010eb"/>
    <s v="649/.122"/>
    <d v="2068-01-01T00:00:00"/>
  </r>
  <r>
    <x v="5533"/>
    <d v="1899-12-30T00:08:21"/>
    <x v="170"/>
    <x v="9"/>
    <s v="trocaire"/>
    <x v="1269"/>
    <n v="1895305"/>
    <x v="0"/>
    <s v="Computer Science/IT"/>
    <s v="9781119047650"/>
    <s v=",1,2,3"/>
    <n v="3"/>
    <m/>
    <m/>
    <s v="Yes"/>
    <x v="0"/>
    <d v="2015-10-17T04:24:14"/>
    <n v="7"/>
    <s v="173.225.62.67"/>
    <s v="TK5105.888"/>
    <n v="6.7519999999999998"/>
    <d v="2015-05-27T00:00:00"/>
  </r>
  <r>
    <x v="5533"/>
    <d v="1899-12-30T00:00:00"/>
    <x v="170"/>
    <x v="9"/>
    <s v="trocaire"/>
    <x v="1269"/>
    <n v="1895305"/>
    <x v="0"/>
    <s v="Computer Science/IT"/>
    <s v="9781119047650"/>
    <m/>
    <n v="0"/>
    <m/>
    <m/>
    <s v="No"/>
    <x v="0"/>
    <d v="2015-10-17T04:24:14"/>
    <n v="7"/>
    <s v="173.225.62.67"/>
    <s v="TK5105.888"/>
    <n v="6.7519999999999998"/>
    <d v="2015-05-27T00:00:00"/>
  </r>
  <r>
    <x v="5534"/>
    <d v="1899-12-30T00:00:52"/>
    <x v="170"/>
    <x v="9"/>
    <s v="trocaire"/>
    <x v="1269"/>
    <n v="1895305"/>
    <x v="0"/>
    <s v="Computer Science/IT"/>
    <s v="9781119047650"/>
    <s v=",1,2,3"/>
    <n v="3"/>
    <m/>
    <m/>
    <s v="No"/>
    <x v="3"/>
    <m/>
    <m/>
    <s v="173.225.62.67"/>
    <s v="TK5105.888"/>
    <n v="6.7519999999999998"/>
    <d v="2015-05-27T00:00:00"/>
  </r>
  <r>
    <x v="5535"/>
    <d v="1899-12-30T00:02:31"/>
    <x v="634"/>
    <x v="11"/>
    <s v="cobleskill"/>
    <x v="11"/>
    <n v="693176"/>
    <x v="0"/>
    <s v="Engineering: Manufacturing; General Works/Reference; Engineering"/>
    <s v="9781118017746"/>
    <s v=",1,2,3,366,367,368,365,364,369,370,371,372,373,374,375,376,377"/>
    <n v="17"/>
    <m/>
    <m/>
    <s v="No"/>
    <x v="1"/>
    <m/>
    <m/>
    <s v="137.36.32.34"/>
    <s v="Z246 -- .M43 2012eb"/>
    <s v="686.2/209"/>
    <d v="2011-10-19T00:00:00"/>
  </r>
  <r>
    <x v="5536"/>
    <d v="1899-12-30T00:00:09"/>
    <x v="1247"/>
    <x v="1"/>
    <s v="brockport"/>
    <x v="753"/>
    <n v="2038643"/>
    <x v="1"/>
    <s v="Social Science"/>
    <s v="9781472427625"/>
    <s v=",1,2,3"/>
    <n v="3"/>
    <m/>
    <m/>
    <s v="No"/>
    <x v="2"/>
    <d v="2015-10-16T06:06:19"/>
    <n v="1"/>
    <s v="137.21.7.121"/>
    <n v="2013049432"/>
    <n v="306.46100000000001"/>
    <d v="2015-05-28T00:00:00"/>
  </r>
  <r>
    <x v="5537"/>
    <d v="1899-12-30T00:02:15"/>
    <x v="1040"/>
    <x v="16"/>
    <s v="monroecc"/>
    <x v="1305"/>
    <n v="3058154"/>
    <x v="9"/>
    <s v="Home Economics; Fine Arts"/>
    <s v="9780470638712"/>
    <s v=",1,2,2,3,3,1,2,2,27,27,28,28,29,29,31,31"/>
    <n v="7"/>
    <m/>
    <m/>
    <s v="No"/>
    <x v="3"/>
    <m/>
    <m/>
    <s v="150.160.200.114"/>
    <s v="TT705.H46 2010eb"/>
    <n v="646.20000000000005"/>
    <d v="2035-01-01T00:00:00"/>
  </r>
  <r>
    <x v="5538"/>
    <d v="1899-12-30T00:00:40"/>
    <x v="1040"/>
    <x v="16"/>
    <s v="monroecc"/>
    <x v="1306"/>
    <n v="3058458"/>
    <x v="9"/>
    <s v="Home Economics; Fine Arts"/>
    <s v="9781118088814"/>
    <s v=",1,2,2,3,3,1,2,2"/>
    <n v="3"/>
    <m/>
    <m/>
    <s v="No"/>
    <x v="3"/>
    <m/>
    <m/>
    <s v="150.160.200.114"/>
    <s v="TT715 -- .M33 2011eb"/>
    <n v="646.20000000000005"/>
    <d v="2069-01-01T00:00:00"/>
  </r>
  <r>
    <x v="5539"/>
    <d v="1899-12-30T00:00:23"/>
    <x v="1040"/>
    <x v="16"/>
    <s v="monroecc"/>
    <x v="1307"/>
    <n v="3058059"/>
    <x v="9"/>
    <s v="Tourism/Hospitality; Home Economics"/>
    <s v="9780470623879"/>
    <s v=",1,2,2,3,3,1,2,2"/>
    <n v="3"/>
    <m/>
    <m/>
    <s v="No"/>
    <x v="3"/>
    <m/>
    <m/>
    <s v="150.160.200.114"/>
    <s v="TX951.G476 2009eb"/>
    <s v="641.8/74"/>
    <d v="2109-01-01T00:00:00"/>
  </r>
  <r>
    <x v="5540"/>
    <d v="1899-12-30T00:00:00"/>
    <x v="1040"/>
    <x v="16"/>
    <s v="monroecc"/>
    <x v="1308"/>
    <n v="3058831"/>
    <x v="9"/>
    <s v="Home Economics"/>
    <s v="9780471714132"/>
    <m/>
    <n v="0"/>
    <m/>
    <m/>
    <s v="Yes"/>
    <x v="2"/>
    <d v="2015-10-16T22:22:58"/>
    <n v="1"/>
    <s v="150.160.200.114"/>
    <s v="TX147 -- .E47 2005eb"/>
    <n v="640"/>
    <d v="2038-01-01T00:00:00"/>
  </r>
  <r>
    <x v="5540"/>
    <d v="1899-12-30T00:00:00"/>
    <x v="1040"/>
    <x v="16"/>
    <s v="monroecc"/>
    <x v="1308"/>
    <n v="3058831"/>
    <x v="9"/>
    <s v="Home Economics"/>
    <s v="9780471714132"/>
    <m/>
    <n v="0"/>
    <m/>
    <m/>
    <s v="No"/>
    <x v="2"/>
    <d v="2015-10-16T22:22:58"/>
    <n v="1"/>
    <s v="150.160.200.114"/>
    <s v="TX147 -- .E47 2005eb"/>
    <n v="640"/>
    <d v="2038-01-01T00:00:00"/>
  </r>
  <r>
    <x v="5541"/>
    <d v="1899-12-30T00:01:25"/>
    <x v="1040"/>
    <x v="16"/>
    <s v="monroecc"/>
    <x v="1308"/>
    <n v="3058831"/>
    <x v="9"/>
    <s v="Home Economics"/>
    <s v="9780471714132"/>
    <s v=",1,2,1,3,2,3,2,2"/>
    <n v="3"/>
    <m/>
    <m/>
    <s v="No"/>
    <x v="3"/>
    <m/>
    <m/>
    <s v="150.160.200.114"/>
    <s v="TX147 -- .E47 2005eb"/>
    <n v="640"/>
    <d v="2038-01-01T00:00:00"/>
  </r>
  <r>
    <x v="5542"/>
    <d v="1899-12-30T00:00:06"/>
    <x v="1040"/>
    <x v="16"/>
    <s v="monroecc"/>
    <x v="1309"/>
    <n v="3058691"/>
    <x v="9"/>
    <s v="Home Economics"/>
    <s v="9781118430088"/>
    <s v=",2,2"/>
    <n v="1"/>
    <m/>
    <m/>
    <s v="Yes"/>
    <x v="2"/>
    <d v="2015-10-16T22:21:19"/>
    <n v="1"/>
    <s v="150.160.200.114"/>
    <s v="TX309.S77 2010eb"/>
    <n v="648.79999999999995"/>
    <d v="2045-01-01T00:00:00"/>
  </r>
  <r>
    <x v="5542"/>
    <d v="1899-12-30T00:00:00"/>
    <x v="1040"/>
    <x v="16"/>
    <s v="monroecc"/>
    <x v="1309"/>
    <n v="3058691"/>
    <x v="9"/>
    <s v="Home Economics"/>
    <s v="9781118430088"/>
    <m/>
    <n v="0"/>
    <m/>
    <m/>
    <s v="No"/>
    <x v="2"/>
    <d v="2015-10-16T22:21:19"/>
    <n v="1"/>
    <s v="150.160.200.114"/>
    <s v="TX309.S77 2010eb"/>
    <n v="648.79999999999995"/>
    <d v="2045-01-01T00:00:00"/>
  </r>
  <r>
    <x v="5543"/>
    <d v="1899-12-30T00:00:21"/>
    <x v="1040"/>
    <x v="16"/>
    <s v="monroecc"/>
    <x v="1309"/>
    <n v="3058691"/>
    <x v="9"/>
    <s v="Home Economics"/>
    <s v="9781118430088"/>
    <s v=",1,2,3,2,1,3"/>
    <n v="3"/>
    <m/>
    <m/>
    <s v="No"/>
    <x v="3"/>
    <m/>
    <m/>
    <s v="150.160.200.114"/>
    <s v="TX309.S77 2010eb"/>
    <n v="648.79999999999995"/>
    <d v="2045-01-01T00:00:00"/>
  </r>
  <r>
    <x v="5544"/>
    <d v="1899-12-30T00:00:00"/>
    <x v="1040"/>
    <x v="16"/>
    <s v="monroecc"/>
    <x v="1310"/>
    <n v="3058643"/>
    <x v="9"/>
    <s v="Home Economics; Environmental Studies"/>
    <s v="9781118182314"/>
    <m/>
    <n v="0"/>
    <m/>
    <m/>
    <s v="Yes"/>
    <x v="2"/>
    <d v="2015-10-16T22:20:38"/>
    <n v="1"/>
    <s v="150.160.200.114"/>
    <s v="GF78.T85 2012eb"/>
    <n v="640.97299999999996"/>
    <d v="2028-01-01T00:00:00"/>
  </r>
  <r>
    <x v="5544"/>
    <d v="1899-12-30T00:00:00"/>
    <x v="1040"/>
    <x v="16"/>
    <s v="monroecc"/>
    <x v="1310"/>
    <n v="3058643"/>
    <x v="9"/>
    <s v="Home Economics; Environmental Studies"/>
    <s v="9781118182314"/>
    <m/>
    <n v="0"/>
    <m/>
    <m/>
    <s v="No"/>
    <x v="2"/>
    <d v="2015-10-16T22:20:38"/>
    <n v="1"/>
    <s v="150.160.200.114"/>
    <s v="GF78.T85 2012eb"/>
    <n v="640.97299999999996"/>
    <d v="2028-01-01T00:00:00"/>
  </r>
  <r>
    <x v="5545"/>
    <d v="1899-12-30T00:02:29"/>
    <x v="1040"/>
    <x v="16"/>
    <s v="monroecc"/>
    <x v="1310"/>
    <n v="3058643"/>
    <x v="9"/>
    <s v="Home Economics; Environmental Studies"/>
    <s v="9781118182314"/>
    <s v=",1,2,2,3,3,1,2,2"/>
    <n v="3"/>
    <m/>
    <m/>
    <s v="No"/>
    <x v="3"/>
    <m/>
    <m/>
    <s v="150.160.200.114"/>
    <s v="GF78.T85 2012eb"/>
    <n v="640.97299999999996"/>
    <d v="2028-01-01T00:00:00"/>
  </r>
  <r>
    <x v="5546"/>
    <d v="1899-12-30T00:00:06"/>
    <x v="1040"/>
    <x v="16"/>
    <s v="monroecc"/>
    <x v="1047"/>
    <n v="487698"/>
    <x v="0"/>
    <s v="Home Economics"/>
    <s v="9780470606490"/>
    <s v=",2,2"/>
    <n v="1"/>
    <m/>
    <m/>
    <s v="Yes"/>
    <x v="2"/>
    <d v="2015-10-16T22:17:13"/>
    <n v="1"/>
    <s v="150.160.200.114"/>
    <s v="TX309 -- .N687 2010eb"/>
    <n v="648.79999999999995"/>
    <d v="2014-05-14T00:00:00"/>
  </r>
  <r>
    <x v="5546"/>
    <d v="1899-12-30T00:00:00"/>
    <x v="1040"/>
    <x v="16"/>
    <s v="monroecc"/>
    <x v="1047"/>
    <n v="487698"/>
    <x v="0"/>
    <s v="Home Economics"/>
    <s v="9780470606490"/>
    <m/>
    <n v="0"/>
    <m/>
    <m/>
    <s v="No"/>
    <x v="2"/>
    <d v="2015-10-16T22:17:13"/>
    <n v="1"/>
    <s v="150.160.200.114"/>
    <s v="TX309 -- .N687 2010eb"/>
    <n v="648.79999999999995"/>
    <d v="2014-05-14T00:00:00"/>
  </r>
  <r>
    <x v="5547"/>
    <d v="1899-12-30T00:00:16"/>
    <x v="1040"/>
    <x v="16"/>
    <s v="monroecc"/>
    <x v="1047"/>
    <n v="487698"/>
    <x v="0"/>
    <s v="Home Economics"/>
    <s v="9780470606490"/>
    <s v=",1,2,3,2,3,1"/>
    <n v="3"/>
    <m/>
    <m/>
    <s v="No"/>
    <x v="3"/>
    <m/>
    <m/>
    <s v="150.160.200.114"/>
    <s v="TX309 -- .N687 2010eb"/>
    <n v="648.79999999999995"/>
    <d v="2014-05-14T00:00:00"/>
  </r>
  <r>
    <x v="5548"/>
    <d v="1899-12-30T00:00:14"/>
    <x v="1040"/>
    <x v="16"/>
    <s v="monroecc"/>
    <x v="1311"/>
    <n v="1882484"/>
    <x v="0"/>
    <s v="Education; Mathematics"/>
    <s v="9780730319658"/>
    <s v=",2,2"/>
    <n v="1"/>
    <m/>
    <m/>
    <s v="Yes"/>
    <x v="0"/>
    <d v="2015-10-16T21:38:22"/>
    <n v="7"/>
    <s v="150.160.200.114"/>
    <s v="QA135 -- .H363 2015eb"/>
    <n v="372.35"/>
    <d v="2014-12-01T00:00:00"/>
  </r>
  <r>
    <x v="5548"/>
    <d v="1899-12-30T00:00:00"/>
    <x v="1040"/>
    <x v="16"/>
    <s v="monroecc"/>
    <x v="1311"/>
    <n v="1882484"/>
    <x v="0"/>
    <s v="Education; Mathematics"/>
    <s v="9780730319658"/>
    <m/>
    <n v="0"/>
    <m/>
    <m/>
    <s v="No"/>
    <x v="0"/>
    <d v="2015-10-16T21:38:22"/>
    <n v="7"/>
    <s v="150.160.200.114"/>
    <s v="QA135 -- .H363 2015eb"/>
    <n v="372.35"/>
    <d v="2014-12-01T00:00:00"/>
  </r>
  <r>
    <x v="5549"/>
    <d v="1899-12-30T00:00:08"/>
    <x v="1040"/>
    <x v="16"/>
    <s v="monroecc"/>
    <x v="1311"/>
    <n v="1882484"/>
    <x v="0"/>
    <s v="Education; Mathematics"/>
    <s v="9780730319658"/>
    <s v=",1,2,2,1,3,3"/>
    <n v="3"/>
    <m/>
    <m/>
    <s v="No"/>
    <x v="3"/>
    <m/>
    <m/>
    <s v="150.160.200.114"/>
    <s v="QA135 -- .H363 2015eb"/>
    <n v="372.35"/>
    <d v="2014-12-01T00:00:00"/>
  </r>
  <r>
    <x v="5550"/>
    <d v="1899-12-30T00:00:00"/>
    <x v="1040"/>
    <x v="16"/>
    <s v="monroecc"/>
    <x v="1312"/>
    <n v="1895134"/>
    <x v="0"/>
    <s v="Computer Science/IT"/>
    <s v="9781118903742"/>
    <m/>
    <n v="0"/>
    <m/>
    <m/>
    <s v="Yes"/>
    <x v="0"/>
    <d v="2015-10-16T21:35:51"/>
    <n v="7"/>
    <s v="150.160.200.114"/>
    <s v="QA76.73 .J39"/>
    <n v="6.74"/>
    <d v="2015-02-18T00:00:00"/>
  </r>
  <r>
    <x v="5550"/>
    <d v="1899-12-30T00:00:00"/>
    <x v="1040"/>
    <x v="16"/>
    <s v="monroecc"/>
    <x v="1312"/>
    <n v="1895134"/>
    <x v="0"/>
    <s v="Computer Science/IT"/>
    <s v="9781118903742"/>
    <m/>
    <n v="0"/>
    <m/>
    <m/>
    <s v="No"/>
    <x v="0"/>
    <d v="2015-10-16T21:35:51"/>
    <n v="7"/>
    <s v="150.160.200.114"/>
    <s v="QA76.73 .J39"/>
    <n v="6.74"/>
    <d v="2015-02-18T00:00:00"/>
  </r>
  <r>
    <x v="5551"/>
    <d v="1899-12-30T00:00:21"/>
    <x v="1040"/>
    <x v="16"/>
    <s v="monroecc"/>
    <x v="1312"/>
    <n v="1895134"/>
    <x v="0"/>
    <s v="Computer Science/IT"/>
    <s v="9781118903742"/>
    <s v=",1,2,2,3,3,1"/>
    <n v="3"/>
    <m/>
    <m/>
    <s v="No"/>
    <x v="3"/>
    <m/>
    <m/>
    <s v="150.160.200.114"/>
    <s v="QA76.73 .J39"/>
    <n v="6.74"/>
    <d v="2015-02-18T00:00:00"/>
  </r>
  <r>
    <x v="5552"/>
    <d v="1899-12-30T01:19:22"/>
    <x v="717"/>
    <x v="13"/>
    <s v="buffalostate"/>
    <x v="516"/>
    <n v="1840835"/>
    <x v="0"/>
    <s v="Business/Management; Economics"/>
    <s v="9781118950166"/>
    <s v=",1,2,3,114,115,116,112,113,117,117,118,119,120,121,116"/>
    <n v="13"/>
    <m/>
    <m/>
    <s v="No"/>
    <x v="0"/>
    <d v="2015-10-16T02:03:51"/>
    <n v="7"/>
    <s v="136.183.11.43"/>
    <s v="HD9969.S6 .R384 2014"/>
    <n v="338.10923789999998"/>
    <d v="2014-11-10T00:00:00"/>
  </r>
  <r>
    <x v="5553"/>
    <d v="1899-12-30T00:00:12"/>
    <x v="1040"/>
    <x v="16"/>
    <s v="monroecc"/>
    <x v="1313"/>
    <n v="1760715"/>
    <x v="4"/>
    <s v="Geography/Travel"/>
    <s v="9781462517381"/>
    <s v=",2,2"/>
    <n v="1"/>
    <m/>
    <m/>
    <s v="Yes"/>
    <x v="2"/>
    <d v="2015-10-16T21:30:36"/>
    <n v="1"/>
    <s v="150.160.200.114"/>
    <s v="GA151 -- .T964 2015eb"/>
    <n v="912"/>
    <d v="2014-11-07T00:00:00"/>
  </r>
  <r>
    <x v="5553"/>
    <d v="1899-12-30T00:00:00"/>
    <x v="1040"/>
    <x v="16"/>
    <s v="monroecc"/>
    <x v="1313"/>
    <n v="1760715"/>
    <x v="4"/>
    <s v="Geography/Travel"/>
    <s v="9781462517381"/>
    <m/>
    <n v="0"/>
    <m/>
    <m/>
    <s v="No"/>
    <x v="2"/>
    <d v="2015-10-16T21:30:36"/>
    <n v="1"/>
    <s v="150.160.200.114"/>
    <s v="GA151 -- .T964 2015eb"/>
    <n v="912"/>
    <d v="2014-11-07T00:00:00"/>
  </r>
  <r>
    <x v="5554"/>
    <d v="1899-12-30T00:00:11"/>
    <x v="1040"/>
    <x v="16"/>
    <s v="monroecc"/>
    <x v="1313"/>
    <n v="1760715"/>
    <x v="4"/>
    <s v="Geography/Travel"/>
    <s v="9781462517381"/>
    <s v=",1,2,1,3,3,2"/>
    <n v="3"/>
    <m/>
    <m/>
    <s v="No"/>
    <x v="3"/>
    <m/>
    <m/>
    <s v="150.160.200.114"/>
    <s v="GA151 -- .T964 2015eb"/>
    <n v="912"/>
    <d v="2014-11-07T00:00:00"/>
  </r>
  <r>
    <x v="5555"/>
    <d v="1899-12-30T00:00:11"/>
    <x v="1040"/>
    <x v="16"/>
    <s v="monroecc"/>
    <x v="1314"/>
    <n v="1780724"/>
    <x v="0"/>
    <s v="Education; Mathematics"/>
    <s v="9781118710166"/>
    <s v=",2,2"/>
    <n v="1"/>
    <m/>
    <m/>
    <s v="Yes"/>
    <x v="0"/>
    <d v="2015-10-16T21:29:43"/>
    <n v="7"/>
    <s v="150.160.200.114"/>
    <s v="QA135.6 -- .M874 2014eb"/>
    <s v="372.7/049"/>
    <d v="2014-09-05T00:00:00"/>
  </r>
  <r>
    <x v="5555"/>
    <d v="1899-12-30T00:00:00"/>
    <x v="1040"/>
    <x v="16"/>
    <s v="monroecc"/>
    <x v="1314"/>
    <n v="1780724"/>
    <x v="0"/>
    <s v="Education; Mathematics"/>
    <s v="9781118710166"/>
    <m/>
    <n v="0"/>
    <m/>
    <m/>
    <s v="No"/>
    <x v="0"/>
    <d v="2015-10-16T21:29:43"/>
    <n v="7"/>
    <s v="150.160.200.114"/>
    <s v="QA135.6 -- .M874 2014eb"/>
    <s v="372.7/049"/>
    <d v="2014-09-05T00:00:00"/>
  </r>
  <r>
    <x v="5556"/>
    <d v="1899-12-30T00:00:13"/>
    <x v="1040"/>
    <x v="16"/>
    <s v="monroecc"/>
    <x v="1314"/>
    <n v="1780724"/>
    <x v="0"/>
    <s v="Education; Mathematics"/>
    <s v="9781118710166"/>
    <s v=",1,2,3,2,3,1"/>
    <n v="3"/>
    <m/>
    <m/>
    <s v="No"/>
    <x v="3"/>
    <m/>
    <m/>
    <s v="150.160.200.114"/>
    <s v="QA135.6 -- .M874 2014eb"/>
    <s v="372.7/049"/>
    <d v="2014-09-05T00:00:00"/>
  </r>
  <r>
    <x v="5557"/>
    <d v="1899-12-30T00:05:25"/>
    <x v="1379"/>
    <x v="0"/>
    <s v="Buffalo"/>
    <x v="31"/>
    <n v="1682559"/>
    <x v="4"/>
    <s v="Medicine"/>
    <s v="9781462515431"/>
    <s v=",1,2,3,364,365,366,363,362,367,368,369,370,371,372,373,374,375,376,377,378,379,380,381,382,383,384,385,386,387,388,389,390,391,392,393,394"/>
    <n v="36"/>
    <m/>
    <m/>
    <s v="No"/>
    <x v="1"/>
    <m/>
    <m/>
    <s v="128.205.114.91"/>
    <s v="RC469 -- .M677 2014eb"/>
    <n v="616.89"/>
    <d v="2014-05-10T00:00:00"/>
  </r>
  <r>
    <x v="5558"/>
    <d v="1899-12-30T00:01:07"/>
    <x v="18"/>
    <x v="4"/>
    <s v="monroe2boces"/>
    <x v="949"/>
    <n v="871519"/>
    <x v="0"/>
    <s v="Science: Astronomy; Science"/>
    <s v="9781444398359"/>
    <s v=",33,1,35,34,31,32,2,1,3,4,2,46,52,49,11,22,1,33,2,35,34"/>
    <n v="14"/>
    <m/>
    <m/>
    <s v="No"/>
    <x v="1"/>
    <m/>
    <m/>
    <s v="216.226.127.140"/>
    <s v="QB501 -- .B68 2012eb"/>
    <n v="523.20000000000005"/>
    <d v="2012-02-29T00:00:00"/>
  </r>
  <r>
    <x v="5559"/>
    <d v="1899-12-30T00:00:03"/>
    <x v="1244"/>
    <x v="7"/>
    <s v="oneonta"/>
    <x v="926"/>
    <n v="1584076"/>
    <x v="0"/>
    <s v="History"/>
    <s v="9780745679679"/>
    <s v=",42,43,44,40,41"/>
    <n v="5"/>
    <m/>
    <m/>
    <s v="No"/>
    <x v="2"/>
    <d v="2015-10-16T16:18:28"/>
    <n v="1"/>
    <s v="137.141.13.2"/>
    <s v="DG445 .B384 2013"/>
    <n v="945.05"/>
    <d v="2013-12-18T00:00:00"/>
  </r>
  <r>
    <x v="5560"/>
    <d v="1899-12-30T00:15:08"/>
    <x v="1244"/>
    <x v="7"/>
    <s v="oneonta"/>
    <x v="926"/>
    <n v="1584076"/>
    <x v="0"/>
    <s v="History"/>
    <s v="9780745679679"/>
    <s v=",1,2,3"/>
    <n v="3"/>
    <m/>
    <m/>
    <s v="No"/>
    <x v="3"/>
    <m/>
    <m/>
    <s v="137.141.13.2"/>
    <s v="DG445 .B384 2013"/>
    <n v="945.05"/>
    <d v="2013-12-18T00:00:00"/>
  </r>
  <r>
    <x v="5561"/>
    <d v="1899-12-30T00:00:42"/>
    <x v="1380"/>
    <x v="7"/>
    <s v="oneonta"/>
    <x v="932"/>
    <n v="1663554"/>
    <x v="12"/>
    <s v="History"/>
    <s v="9781469615585"/>
    <s v=",1,2,3,6,7,8,4,5,9,10,11,12,13,14"/>
    <n v="14"/>
    <m/>
    <m/>
    <s v="No"/>
    <x v="3"/>
    <m/>
    <m/>
    <s v="137.141.13.2"/>
    <m/>
    <n v="974.71"/>
    <d v="2014-09-18T00:00:00"/>
  </r>
  <r>
    <x v="5562"/>
    <d v="1899-12-30T00:00:28"/>
    <x v="1381"/>
    <x v="1"/>
    <s v="brockport"/>
    <x v="1077"/>
    <n v="1847931"/>
    <x v="0"/>
    <s v="Medicine"/>
    <s v="9781118850978"/>
    <s v=",1,2,3,4,5,6,7,8,9"/>
    <n v="9"/>
    <m/>
    <m/>
    <s v="No"/>
    <x v="3"/>
    <m/>
    <m/>
    <s v="137.21.7.121"/>
    <s v="RL71 -- .W45 2015eb"/>
    <n v="616.5"/>
    <d v="2014-11-11T00:00:00"/>
  </r>
  <r>
    <x v="5563"/>
    <d v="1899-12-30T00:01:01"/>
    <x v="1244"/>
    <x v="7"/>
    <s v="oneonta"/>
    <x v="926"/>
    <n v="1584076"/>
    <x v="0"/>
    <s v="History"/>
    <s v="9780745679679"/>
    <s v=",1,2,3,42,43,44,40,41,45,46,47,48,49,50,51,52,53,54,55,56,57"/>
    <n v="21"/>
    <m/>
    <m/>
    <s v="No"/>
    <x v="3"/>
    <m/>
    <m/>
    <s v="137.141.13.2"/>
    <s v="DG445 .B384 2013"/>
    <n v="945.05"/>
    <d v="2013-12-18T00:00:00"/>
  </r>
  <r>
    <x v="5564"/>
    <d v="1899-12-30T00:01:48"/>
    <x v="1382"/>
    <x v="1"/>
    <s v="brockport"/>
    <x v="167"/>
    <n v="1746990"/>
    <x v="1"/>
    <s v="Business/Management"/>
    <s v="9781472432100"/>
    <s v=",31,32,33,28,27,34,35,38,42"/>
    <n v="9"/>
    <m/>
    <m/>
    <s v="No"/>
    <x v="2"/>
    <d v="2015-10-16T13:16:55"/>
    <n v="1"/>
    <s v="137.21.7.121"/>
    <s v="HF5548.37 -- .T74 2014eb"/>
    <s v="658.4/78"/>
    <d v="2014-09-28T00:00:00"/>
  </r>
  <r>
    <x v="5565"/>
    <d v="1899-12-30T00:01:08"/>
    <x v="1382"/>
    <x v="1"/>
    <s v="brockport"/>
    <x v="167"/>
    <n v="1746990"/>
    <x v="1"/>
    <s v="Business/Management"/>
    <s v="9781472432100"/>
    <s v=",1,2,3,4,5,6,7,8,9,21,22,23,19,20,24,25,26,27,28,29,30"/>
    <n v="21"/>
    <m/>
    <m/>
    <s v="No"/>
    <x v="3"/>
    <m/>
    <m/>
    <s v="137.21.7.121"/>
    <s v="HF5548.37 -- .T74 2014eb"/>
    <s v="658.4/78"/>
    <d v="2014-09-28T00:00:00"/>
  </r>
  <r>
    <x v="5566"/>
    <d v="1899-12-30T00:00:38"/>
    <x v="624"/>
    <x v="0"/>
    <s v="Buffalo"/>
    <x v="708"/>
    <n v="1778696"/>
    <x v="3"/>
    <s v="History"/>
    <s v="9780520959576"/>
    <s v=",1,1,1,2,3,2,3,4,4,6,7,6,8,7,5,8,5,2,9,9"/>
    <n v="9"/>
    <m/>
    <m/>
    <s v="No"/>
    <x v="3"/>
    <m/>
    <m/>
    <s v="128.205.114.91"/>
    <s v="E668 -- .C57 2015eb"/>
    <n v="973.7"/>
    <d v="2015-03-07T00:00:00"/>
  </r>
  <r>
    <x v="5567"/>
    <d v="1899-12-30T00:05:37"/>
    <x v="634"/>
    <x v="11"/>
    <s v="cobleskill"/>
    <x v="11"/>
    <n v="693176"/>
    <x v="0"/>
    <s v="Engineering: Manufacturing; General Works/Reference; Engineering"/>
    <s v="9781118017746"/>
    <s v=",1,2,3,546,547,548,544,590,592,591,588,589,545,549,550,551,552,553,554,555,480,482,481,478,479"/>
    <n v="25"/>
    <m/>
    <m/>
    <s v="No"/>
    <x v="1"/>
    <m/>
    <m/>
    <s v="137.36.32.34"/>
    <s v="Z246 -- .M43 2012eb"/>
    <s v="686.2/209"/>
    <d v="2011-10-19T00:00:00"/>
  </r>
  <r>
    <x v="5568"/>
    <d v="1899-12-30T00:00:10"/>
    <x v="1247"/>
    <x v="1"/>
    <s v="brockport"/>
    <x v="753"/>
    <n v="2038643"/>
    <x v="1"/>
    <s v="Social Science"/>
    <s v="9781472427625"/>
    <s v=",4,14,16,15,12,13,17,18"/>
    <n v="8"/>
    <m/>
    <m/>
    <s v="No"/>
    <x v="2"/>
    <d v="2015-10-16T06:06:19"/>
    <n v="1"/>
    <s v="137.21.7.121"/>
    <n v="2013049432"/>
    <n v="306.46100000000001"/>
    <d v="2015-05-28T00:00:00"/>
  </r>
  <r>
    <x v="5569"/>
    <d v="1899-12-30T00:17:14"/>
    <x v="1247"/>
    <x v="1"/>
    <s v="brockport"/>
    <x v="753"/>
    <n v="2038643"/>
    <x v="1"/>
    <s v="Social Science"/>
    <s v="9781472427625"/>
    <s v=",1,2,3"/>
    <n v="3"/>
    <m/>
    <m/>
    <s v="No"/>
    <x v="3"/>
    <m/>
    <m/>
    <s v="137.21.7.121"/>
    <n v="2013049432"/>
    <n v="306.46100000000001"/>
    <d v="2015-05-28T00:00:00"/>
  </r>
  <r>
    <x v="5570"/>
    <d v="1899-12-30T01:31:28"/>
    <x v="717"/>
    <x v="13"/>
    <s v="buffalostate"/>
    <x v="516"/>
    <n v="1840835"/>
    <x v="0"/>
    <s v="Business/Management; Economics"/>
    <s v="9781118950166"/>
    <s v=",12,13,14,15,16,17,18,19,20,21,22,23,24,25,26,27,28,29,30,31,99,100,97,98,95,96,101,102,103,104,105,106,107,108,109,110,111,112,113,114,115,116"/>
    <n v="42"/>
    <m/>
    <m/>
    <s v="No"/>
    <x v="0"/>
    <d v="2015-10-16T02:03:51"/>
    <n v="7"/>
    <s v="136.183.11.43"/>
    <s v="HD9969.S6 .R384 2014"/>
    <n v="338.10923789999998"/>
    <d v="2014-11-10T00:00:00"/>
  </r>
  <r>
    <x v="5571"/>
    <d v="1899-12-30T00:00:00"/>
    <x v="1040"/>
    <x v="16"/>
    <s v="monroecc"/>
    <x v="621"/>
    <n v="3057792"/>
    <x v="0"/>
    <s v="Tourism/Hospitality; Home Economics"/>
    <s v="9780470466223"/>
    <m/>
    <n v="0"/>
    <m/>
    <m/>
    <s v="Yes"/>
    <x v="0"/>
    <d v="2015-10-16T02:03:35"/>
    <n v="7"/>
    <s v="150.160.200.114"/>
    <s v="TX951 -- .M7 2008eb"/>
    <s v="641.8/74"/>
    <d v="2008-11-10T00:00:00"/>
  </r>
  <r>
    <x v="5571"/>
    <d v="1899-12-30T00:00:00"/>
    <x v="1040"/>
    <x v="16"/>
    <s v="monroecc"/>
    <x v="621"/>
    <n v="3057792"/>
    <x v="0"/>
    <s v="Tourism/Hospitality; Home Economics"/>
    <s v="9780470466223"/>
    <m/>
    <n v="0"/>
    <m/>
    <m/>
    <s v="No"/>
    <x v="0"/>
    <d v="2015-10-16T02:03:35"/>
    <n v="7"/>
    <s v="150.160.200.114"/>
    <s v="TX951 -- .M7 2008eb"/>
    <s v="641.8/74"/>
    <d v="2008-11-10T00:00:00"/>
  </r>
  <r>
    <x v="5572"/>
    <d v="1899-12-30T00:00:00"/>
    <x v="1040"/>
    <x v="16"/>
    <s v="monroecc"/>
    <x v="1315"/>
    <n v="1895721"/>
    <x v="0"/>
    <s v="Mathematics"/>
    <s v="9781118898833"/>
    <m/>
    <n v="0"/>
    <m/>
    <m/>
    <s v="Yes"/>
    <x v="0"/>
    <d v="2015-10-16T02:01:10"/>
    <n v="7"/>
    <s v="150.160.200.114"/>
    <s v="QA273 -- .O46 2015eb"/>
    <n v="519.20000000000005"/>
    <d v="2014-12-29T00:00:00"/>
  </r>
  <r>
    <x v="5572"/>
    <d v="1899-12-30T00:00:00"/>
    <x v="1040"/>
    <x v="16"/>
    <s v="monroecc"/>
    <x v="1315"/>
    <n v="1895721"/>
    <x v="0"/>
    <s v="Mathematics"/>
    <s v="9781118898833"/>
    <m/>
    <n v="0"/>
    <m/>
    <m/>
    <s v="No"/>
    <x v="0"/>
    <d v="2015-10-16T02:01:10"/>
    <n v="7"/>
    <s v="150.160.200.114"/>
    <s v="QA273 -- .O46 2015eb"/>
    <n v="519.20000000000005"/>
    <d v="2014-12-29T00:00:00"/>
  </r>
  <r>
    <x v="5573"/>
    <d v="1899-12-30T00:00:12"/>
    <x v="1040"/>
    <x v="16"/>
    <s v="monroecc"/>
    <x v="1315"/>
    <n v="1895721"/>
    <x v="0"/>
    <s v="Mathematics"/>
    <s v="9781118898833"/>
    <s v=",1,2,3"/>
    <n v="3"/>
    <m/>
    <m/>
    <s v="No"/>
    <x v="3"/>
    <m/>
    <m/>
    <s v="150.160.200.114"/>
    <s v="QA273 -- .O46 2015eb"/>
    <n v="519.20000000000005"/>
    <d v="2014-12-29T00:00:00"/>
  </r>
  <r>
    <x v="5574"/>
    <d v="1899-12-30T00:00:00"/>
    <x v="1040"/>
    <x v="16"/>
    <s v="monroecc"/>
    <x v="1026"/>
    <n v="2050967"/>
    <x v="0"/>
    <s v="Language/Linguistics"/>
    <s v="9781119099215"/>
    <m/>
    <n v="0"/>
    <m/>
    <m/>
    <s v="Yes"/>
    <x v="0"/>
    <d v="2015-10-16T01:59:28"/>
    <n v="7"/>
    <s v="150.160.200.114"/>
    <s v="P291 .B726 2015"/>
    <n v="415"/>
    <d v="2015-06-23T00:00:00"/>
  </r>
  <r>
    <x v="5574"/>
    <d v="1899-12-30T00:00:00"/>
    <x v="1040"/>
    <x v="16"/>
    <s v="monroecc"/>
    <x v="1026"/>
    <n v="2050967"/>
    <x v="0"/>
    <s v="Language/Linguistics"/>
    <s v="9781119099215"/>
    <m/>
    <n v="0"/>
    <m/>
    <m/>
    <s v="No"/>
    <x v="0"/>
    <d v="2015-10-16T01:59:28"/>
    <n v="7"/>
    <s v="150.160.200.114"/>
    <s v="P291 .B726 2015"/>
    <n v="415"/>
    <d v="2015-06-23T00:00:00"/>
  </r>
  <r>
    <x v="5575"/>
    <d v="1899-12-30T00:00:13"/>
    <x v="1040"/>
    <x v="16"/>
    <s v="monroecc"/>
    <x v="1026"/>
    <n v="2050967"/>
    <x v="0"/>
    <s v="Language/Linguistics"/>
    <s v="9781119099215"/>
    <s v=",1,2,3"/>
    <n v="3"/>
    <m/>
    <m/>
    <s v="No"/>
    <x v="3"/>
    <m/>
    <m/>
    <s v="150.160.200.114"/>
    <s v="P291 .B726 2015"/>
    <n v="415"/>
    <d v="2015-06-23T00:00:00"/>
  </r>
  <r>
    <x v="5576"/>
    <d v="1899-12-30T00:04:32"/>
    <x v="1040"/>
    <x v="16"/>
    <s v="monroecc"/>
    <x v="621"/>
    <n v="3057792"/>
    <x v="0"/>
    <s v="Tourism/Hospitality; Home Economics"/>
    <s v="9780470466223"/>
    <s v=",1,2,3"/>
    <n v="3"/>
    <m/>
    <m/>
    <s v="No"/>
    <x v="3"/>
    <m/>
    <m/>
    <s v="150.160.200.114"/>
    <s v="TX951 -- .M7 2008eb"/>
    <s v="641.8/74"/>
    <d v="2008-11-10T00:00:00"/>
  </r>
  <r>
    <x v="5577"/>
    <d v="1899-12-30T00:00:00"/>
    <x v="1040"/>
    <x v="16"/>
    <s v="monroecc"/>
    <x v="1316"/>
    <n v="1680799"/>
    <x v="0"/>
    <s v="Economics; Business/Management"/>
    <s v="9781118790380"/>
    <m/>
    <n v="0"/>
    <m/>
    <m/>
    <s v="Yes"/>
    <x v="2"/>
    <d v="2015-10-16T01:58:46"/>
    <n v="1"/>
    <s v="150.160.200.114"/>
    <s v="HG106 -- .H83 2014eb"/>
    <n v="332.6327"/>
    <d v="2014-04-30T00:00:00"/>
  </r>
  <r>
    <x v="5577"/>
    <d v="1899-12-30T00:00:00"/>
    <x v="1040"/>
    <x v="16"/>
    <s v="monroecc"/>
    <x v="1316"/>
    <n v="1680799"/>
    <x v="0"/>
    <s v="Economics; Business/Management"/>
    <s v="9781118790380"/>
    <m/>
    <n v="0"/>
    <m/>
    <m/>
    <s v="No"/>
    <x v="2"/>
    <d v="2015-10-16T01:58:46"/>
    <n v="1"/>
    <s v="150.160.200.114"/>
    <s v="HG106 -- .H83 2014eb"/>
    <n v="332.6327"/>
    <d v="2014-04-30T00:00:00"/>
  </r>
  <r>
    <x v="5578"/>
    <d v="1899-12-30T00:00:16"/>
    <x v="1040"/>
    <x v="16"/>
    <s v="monroecc"/>
    <x v="1316"/>
    <n v="1680799"/>
    <x v="0"/>
    <s v="Economics; Business/Management"/>
    <s v="9781118790380"/>
    <s v=",1,2,3"/>
    <n v="3"/>
    <m/>
    <m/>
    <s v="No"/>
    <x v="3"/>
    <m/>
    <m/>
    <s v="150.160.200.114"/>
    <s v="HG106 -- .H83 2014eb"/>
    <n v="332.6327"/>
    <d v="2014-04-30T00:00:00"/>
  </r>
  <r>
    <x v="5579"/>
    <d v="1899-12-30T00:00:00"/>
    <x v="1040"/>
    <x v="16"/>
    <s v="monroecc"/>
    <x v="1317"/>
    <n v="3057369"/>
    <x v="9"/>
    <s v="Language/Linguistics"/>
    <s v="9780471677758"/>
    <m/>
    <n v="0"/>
    <m/>
    <m/>
    <s v="Yes"/>
    <x v="2"/>
    <d v="2015-10-16T01:46:28"/>
    <n v="1"/>
    <s v="150.160.200.114"/>
    <s v="PG2129.E5 -- S98 2005eb"/>
    <s v="491.782/421"/>
    <d v="2055-01-01T00:00:00"/>
  </r>
  <r>
    <x v="5579"/>
    <d v="1899-12-30T00:00:00"/>
    <x v="1040"/>
    <x v="16"/>
    <s v="monroecc"/>
    <x v="1317"/>
    <n v="3057369"/>
    <x v="9"/>
    <s v="Language/Linguistics"/>
    <s v="9780471677758"/>
    <m/>
    <n v="0"/>
    <m/>
    <m/>
    <s v="No"/>
    <x v="2"/>
    <d v="2015-10-16T01:46:28"/>
    <n v="1"/>
    <s v="150.160.200.114"/>
    <s v="PG2129.E5 -- S98 2005eb"/>
    <s v="491.782/421"/>
    <d v="2055-01-01T00:00:00"/>
  </r>
  <r>
    <x v="5580"/>
    <d v="1899-12-30T00:00:08"/>
    <x v="1040"/>
    <x v="16"/>
    <s v="monroecc"/>
    <x v="1317"/>
    <n v="3057369"/>
    <x v="9"/>
    <s v="Language/Linguistics"/>
    <s v="9780471677758"/>
    <s v=",1,2,3"/>
    <n v="3"/>
    <m/>
    <m/>
    <s v="No"/>
    <x v="3"/>
    <m/>
    <m/>
    <s v="150.160.200.114"/>
    <s v="PG2129.E5 -- S98 2005eb"/>
    <s v="491.782/421"/>
    <d v="2055-01-01T00:00:00"/>
  </r>
  <r>
    <x v="5581"/>
    <d v="1899-12-30T00:20:20"/>
    <x v="525"/>
    <x v="0"/>
    <s v="Buffalo"/>
    <x v="477"/>
    <n v="1120279"/>
    <x v="0"/>
    <s v="Science: Biology/Natural History; Science"/>
    <s v="9781118537671"/>
    <s v=",1,2,3,33,34,31,35,32,36,37,38,39,30"/>
    <n v="13"/>
    <m/>
    <m/>
    <s v="No"/>
    <x v="0"/>
    <d v="2015-10-10T04:18:54"/>
    <n v="7"/>
    <s v="128.205.114.91"/>
    <s v="QH371 .K384 2012"/>
    <n v="599.93499999999995"/>
    <d v="2012-11-19T00:00:00"/>
  </r>
  <r>
    <x v="5582"/>
    <d v="1899-12-30T00:01:11"/>
    <x v="1383"/>
    <x v="6"/>
    <s v="sjfc"/>
    <x v="1318"/>
    <n v="1824109"/>
    <x v="11"/>
    <s v="Education"/>
    <s v="9780226200712"/>
    <s v=",13,14,15,16,17,18,19,20,21,22,23"/>
    <n v="11"/>
    <m/>
    <m/>
    <s v="Yes"/>
    <x v="2"/>
    <d v="2015-10-16T01:25:17"/>
    <n v="7"/>
    <s v="149.69.254.57"/>
    <s v="LC89"/>
    <n v="379.73"/>
    <d v="2014-11-28T00:00:00"/>
  </r>
  <r>
    <x v="5582"/>
    <d v="1899-12-30T00:00:00"/>
    <x v="1383"/>
    <x v="6"/>
    <s v="sjfc"/>
    <x v="1318"/>
    <n v="1824109"/>
    <x v="11"/>
    <s v="Education"/>
    <s v="9780226200712"/>
    <m/>
    <n v="0"/>
    <m/>
    <m/>
    <s v="No"/>
    <x v="2"/>
    <d v="2015-10-16T01:25:17"/>
    <n v="7"/>
    <s v="149.69.254.57"/>
    <s v="LC89"/>
    <n v="379.73"/>
    <d v="2014-11-28T00:00:00"/>
  </r>
  <r>
    <x v="5583"/>
    <d v="1899-12-30T00:01:21"/>
    <x v="1383"/>
    <x v="6"/>
    <s v="sjfc"/>
    <x v="1318"/>
    <n v="1824109"/>
    <x v="11"/>
    <s v="Education"/>
    <s v="9780226200712"/>
    <s v=",1,2,3,1,6,7,4,5,8,9,10,11,12"/>
    <n v="12"/>
    <m/>
    <m/>
    <s v="No"/>
    <x v="3"/>
    <m/>
    <m/>
    <s v="149.69.254.57"/>
    <s v="LC89"/>
    <n v="379.73"/>
    <d v="2014-11-28T00:00:00"/>
  </r>
  <r>
    <x v="5584"/>
    <d v="1899-12-30T01:16:07"/>
    <x v="1384"/>
    <x v="1"/>
    <s v="brockport"/>
    <x v="1319"/>
    <n v="1663517"/>
    <x v="12"/>
    <s v="History; Social Science"/>
    <s v="9781469612546"/>
    <s v=",21,114,247,248,244,245,249,251,266,264,265,263,262,269,270,272,115,16,17,18,14,15,19,20,21,55,56,57,53,54,82,83,84,80,81,114"/>
    <n v="34"/>
    <m/>
    <s v=",16,17,18,19,20,21,22,23,24,25,26,27,28,55,56,57,58,59,60,61,62,63,64,65,66,67,68,69,70,71,72,73,74,75,76,77,78,79,80,81,82,83,84,85,86,87,88,89,90,91,92,93,94,95,96,97,98,99,100,101,102,103,104,105,106,107,108,109,110,111,112,113,114,115,116"/>
    <s v="No"/>
    <x v="2"/>
    <d v="2015-10-16T01:17:32"/>
    <n v="1"/>
    <s v="137.21.7.121"/>
    <s v="E185.625 -- .H64 2013eb"/>
    <s v="305.896/073"/>
    <d v="2013-10-15T00:00:00"/>
  </r>
  <r>
    <x v="5585"/>
    <d v="1899-12-30T00:05:55"/>
    <x v="1384"/>
    <x v="1"/>
    <s v="brockport"/>
    <x v="1319"/>
    <n v="1663517"/>
    <x v="12"/>
    <s v="History; Social Science"/>
    <s v="9781469612546"/>
    <s v=",1,2,3,8,9,10,6,7,11,12,13,15,16,17,18,19,20,29,30,31,27,28,32,33,34,35,36,37,38,39,55,56,57,53,54,82,83,84,80,81,117,118,119,115,116,120,121,122"/>
    <n v="48"/>
    <m/>
    <m/>
    <s v="No"/>
    <x v="3"/>
    <m/>
    <m/>
    <s v="137.21.7.121"/>
    <s v="E185.625 -- .H64 2013eb"/>
    <s v="305.896/073"/>
    <d v="2013-10-15T00:00:00"/>
  </r>
  <r>
    <x v="5586"/>
    <d v="1899-12-30T00:04:10"/>
    <x v="1385"/>
    <x v="0"/>
    <s v="Buffalo"/>
    <x v="546"/>
    <n v="1809344"/>
    <x v="16"/>
    <s v="Social Science"/>
    <s v="9781137356192"/>
    <s v=",1,2,3,56,57,37,38,39,36,35,40,41,42,43,44,45,212,213,209,46,58,59,60,61,62,63,64,65,66,67,68,69,70,71,72,73,74,75,76,77"/>
    <n v="40"/>
    <s v=",38,39,40"/>
    <m/>
    <s v="No"/>
    <x v="0"/>
    <d v="2015-10-14T16:36:26"/>
    <n v="7"/>
    <s v="128.205.114.91"/>
    <s v="HV6556 -- .P748 2014eb"/>
    <n v="364.4"/>
    <d v="2014-10-03T00:00:00"/>
  </r>
  <r>
    <x v="5587"/>
    <d v="1899-12-30T00:00:00"/>
    <x v="1385"/>
    <x v="0"/>
    <s v="Buffalo"/>
    <x v="546"/>
    <n v="1809344"/>
    <x v="16"/>
    <s v="Social Science"/>
    <s v="9781137356192"/>
    <m/>
    <n v="0"/>
    <m/>
    <s v=",59,60,61"/>
    <s v="Yes"/>
    <x v="0"/>
    <d v="2015-10-14T16:36:26"/>
    <n v="7"/>
    <s v="128.205.114.91"/>
    <s v="HV6556 -- .P748 2014eb"/>
    <n v="364.4"/>
    <d v="2014-10-03T00:00:00"/>
  </r>
  <r>
    <x v="5588"/>
    <d v="1899-12-30T00:00:00"/>
    <x v="1385"/>
    <x v="0"/>
    <s v="Buffalo"/>
    <x v="546"/>
    <n v="1809344"/>
    <x v="16"/>
    <s v="Social Science"/>
    <s v="9781137356192"/>
    <m/>
    <n v="0"/>
    <m/>
    <m/>
    <s v="Yes"/>
    <x v="0"/>
    <d v="2015-10-14T16:36:26"/>
    <n v="7"/>
    <s v="128.205.114.91"/>
    <s v="HV6556 -- .P748 2014eb"/>
    <n v="364.4"/>
    <d v="2014-10-03T00:00:00"/>
  </r>
  <r>
    <x v="5589"/>
    <d v="1899-12-30T00:03:56"/>
    <x v="1385"/>
    <x v="0"/>
    <s v="Buffalo"/>
    <x v="546"/>
    <n v="1809344"/>
    <x v="16"/>
    <s v="Social Science"/>
    <s v="9781137356192"/>
    <s v=",1,2,3,37,38,39,35,36,6,7,8,4,5,9,10,40,41,56,57,58,54,55,59,60,61,62,63,64,65,66,67,68,69,70,71,72,73,74,75"/>
    <n v="39"/>
    <m/>
    <s v=",43,44,45,46,47,48,49,50,51,52,53,54,55,56"/>
    <s v="No"/>
    <x v="0"/>
    <d v="2015-10-14T16:36:26"/>
    <n v="7"/>
    <s v="128.205.114.91"/>
    <s v="HV6556 -- .P748 2014eb"/>
    <n v="364.4"/>
    <d v="2014-10-03T00:00:00"/>
  </r>
  <r>
    <x v="5590"/>
    <d v="1899-12-30T00:00:21"/>
    <x v="1385"/>
    <x v="0"/>
    <s v="Buffalo"/>
    <x v="546"/>
    <n v="1809344"/>
    <x v="16"/>
    <s v="Social Science"/>
    <s v="9781137356192"/>
    <s v=",1,2,3,212,213,209,210"/>
    <n v="7"/>
    <m/>
    <m/>
    <s v="No"/>
    <x v="0"/>
    <d v="2015-10-14T16:36:26"/>
    <n v="7"/>
    <s v="128.205.114.91"/>
    <s v="HV6556 -- .P748 2014eb"/>
    <n v="364.4"/>
    <d v="2014-10-03T00:00:00"/>
  </r>
  <r>
    <x v="5591"/>
    <d v="1899-12-30T01:07:49"/>
    <x v="525"/>
    <x v="0"/>
    <s v="Buffalo"/>
    <x v="477"/>
    <n v="1120279"/>
    <x v="0"/>
    <s v="Science: Biology/Natural History; Science"/>
    <s v="9781118537671"/>
    <s v=",1,2,3,65,66,67,63,64,68,69,70,71,52,53,54,50,51,55,56,57,58,59,60,61,62,33,34,37,38,39,35,36,40,42,43,44,41,28,29,30,26,27,31,72,73,74,75,77,78,76,79,80,81,82,83,84,85,86,87"/>
    <n v="59"/>
    <m/>
    <m/>
    <s v="No"/>
    <x v="0"/>
    <d v="2015-10-10T04:18:54"/>
    <n v="7"/>
    <s v="128.205.114.91"/>
    <s v="QH371 .K384 2012"/>
    <n v="599.93499999999995"/>
    <d v="2012-11-19T00:00:00"/>
  </r>
  <r>
    <x v="5592"/>
    <d v="1899-12-30T02:07:56"/>
    <x v="717"/>
    <x v="13"/>
    <s v="buffalostate"/>
    <x v="516"/>
    <n v="1840835"/>
    <x v="0"/>
    <s v="Business/Management; Economics"/>
    <s v="9781118950166"/>
    <s v=",1,3,2,4,5,6,7,8,9,10,11"/>
    <n v="11"/>
    <m/>
    <m/>
    <s v="No"/>
    <x v="1"/>
    <m/>
    <m/>
    <s v="136.183.11.43"/>
    <s v="HD9969.S6 .R384 2014"/>
    <n v="338.10923789999998"/>
    <d v="2014-11-10T00:00:00"/>
  </r>
  <r>
    <x v="5593"/>
    <d v="1899-12-30T00:04:29"/>
    <x v="1386"/>
    <x v="1"/>
    <s v="brockport"/>
    <x v="975"/>
    <n v="817871"/>
    <x v="0"/>
    <s v="Computer Science/IT"/>
    <s v="9781118206911"/>
    <s v=",1,2,3,4,5,6,7,8,9,10,11,12,13,14,15,16,17,18,19,20,21,22,23,24,25,26,27,28,29,30,31,32,33,34,35,36,37,38,39"/>
    <n v="39"/>
    <m/>
    <m/>
    <s v="No"/>
    <x v="0"/>
    <d v="2015-10-15T22:54:45"/>
    <n v="7"/>
    <s v="137.21.7.121"/>
    <s v="QA76.76.H94"/>
    <n v="6.74"/>
    <d v="2011-12-20T00:00:00"/>
  </r>
  <r>
    <x v="5594"/>
    <d v="1899-12-30T00:29:47"/>
    <x v="1386"/>
    <x v="1"/>
    <s v="brockport"/>
    <x v="975"/>
    <n v="817871"/>
    <x v="0"/>
    <s v="Computer Science/IT"/>
    <s v="9781118206911"/>
    <s v=",72,51,73,80,102,103,104,105,100,101,99,106,107,108,109,110,111,112,113,114,115,116,117,118,119,120,121,122,123,124,125,126,127,128,129,134,140,151,161,160,162,158,159,130,95,72,51,83,105,106,104,102,103,101,100,99,87,85,44,43,11,12,13,14,10,39,40,42,45,46,47,48,49,50,51,70,71,72,73,74,75,76,77,78,79,80,81,82,83,84,86,88,89,90,91,92,93,94,95,96,97,98,99,100,101,102,103,104,105,106,128,129,130,131,132,133,134,135,136,137,138,139,140,141,142,143,144,145,146,147,148,149,150,151,152,153,154,155,156,157,158,159,160,161,162,163,164,165,166,167,168,169,170,171,172,173,174,175,176,177,178,179,180,181,182,183,184,185,186"/>
    <n v="134"/>
    <m/>
    <m/>
    <s v="No"/>
    <x v="0"/>
    <d v="2015-10-15T22:54:45"/>
    <n v="7"/>
    <s v="137.21.7.121"/>
    <s v="QA76.76.H94"/>
    <n v="6.74"/>
    <d v="2011-12-20T00:00:00"/>
  </r>
  <r>
    <x v="5595"/>
    <d v="1899-12-30T00:02:13"/>
    <x v="1387"/>
    <x v="1"/>
    <s v="brockport"/>
    <x v="1320"/>
    <n v="1211620"/>
    <x v="0"/>
    <s v="Architecture"/>
    <s v="9781118332900"/>
    <s v=",1,36,37,38,34,35,39,40,2,41,155,156,157,154,153,158,159,160,154,153"/>
    <n v="18"/>
    <m/>
    <m/>
    <s v="No"/>
    <x v="3"/>
    <m/>
    <m/>
    <s v="137.21.7.121"/>
    <s v="NA7195.A4 -- .B85 2013eb"/>
    <s v="725/.560973"/>
    <d v="2013-06-04T00:00:00"/>
  </r>
  <r>
    <x v="5596"/>
    <d v="1899-12-30T00:00:03"/>
    <x v="1387"/>
    <x v="1"/>
    <s v="brockport"/>
    <x v="797"/>
    <n v="2038622"/>
    <x v="1"/>
    <s v="Architecture"/>
    <s v="9781472437808"/>
    <s v=",141,140"/>
    <n v="2"/>
    <m/>
    <m/>
    <s v="No"/>
    <x v="2"/>
    <d v="2015-10-15T22:43:01"/>
    <n v="1"/>
    <s v="137.21.7.121"/>
    <n v="2014042391"/>
    <n v="728.10940000000005"/>
    <d v="2015-05-29T00:00:00"/>
  </r>
  <r>
    <x v="5597"/>
    <d v="1899-12-30T00:12:33"/>
    <x v="1386"/>
    <x v="1"/>
    <s v="brockport"/>
    <x v="975"/>
    <n v="817871"/>
    <x v="0"/>
    <s v="Computer Science/IT"/>
    <s v="9781118206911"/>
    <s v=",1,2,3,4,5,6,7,8,29,33,39,43,52,58,64,69,68,67,65,66,63,70,71,62,61,60,59,58,57,56,55,54,53,52,51,50,41,42,40,38,39,37,36,35,34,33,32,31,30,29,28,27,26,25,24,23,22,17,16,18,15,13,14,19,20,21,23"/>
    <n v="61"/>
    <m/>
    <m/>
    <s v="No"/>
    <x v="1"/>
    <m/>
    <m/>
    <s v="137.21.7.121"/>
    <s v="QA76.76.H94"/>
    <n v="6.74"/>
    <d v="2011-12-20T00:00:00"/>
  </r>
  <r>
    <x v="5598"/>
    <d v="1899-12-30T00:00:11"/>
    <x v="1386"/>
    <x v="1"/>
    <s v="brockport"/>
    <x v="975"/>
    <n v="817871"/>
    <x v="0"/>
    <s v="Computer Science/IT"/>
    <s v="9781118206911"/>
    <s v=",1,2,3,4,5,6,7,8,9"/>
    <n v="9"/>
    <m/>
    <m/>
    <s v="No"/>
    <x v="1"/>
    <m/>
    <m/>
    <s v="137.21.7.121"/>
    <s v="QA76.76.H94"/>
    <n v="6.74"/>
    <d v="2011-12-20T00:00:00"/>
  </r>
  <r>
    <x v="5599"/>
    <d v="1899-12-30T00:56:53"/>
    <x v="1387"/>
    <x v="1"/>
    <s v="brockport"/>
    <x v="797"/>
    <n v="2038622"/>
    <x v="1"/>
    <s v="Architecture"/>
    <s v="9781472437808"/>
    <s v=",1,143,144,145,141,142,146,147,2"/>
    <n v="9"/>
    <m/>
    <m/>
    <s v="No"/>
    <x v="3"/>
    <m/>
    <m/>
    <s v="137.21.7.121"/>
    <n v="2014042391"/>
    <n v="728.10940000000005"/>
    <d v="2015-05-29T00:00:00"/>
  </r>
  <r>
    <x v="5600"/>
    <d v="1899-12-30T00:00:16"/>
    <x v="1388"/>
    <x v="0"/>
    <s v="Buffalo"/>
    <x v="1321"/>
    <n v="1663561"/>
    <x v="12"/>
    <s v="Social Science"/>
    <s v="9781469617626"/>
    <s v=",1,2,3,4,5,6,7,8"/>
    <n v="8"/>
    <m/>
    <m/>
    <s v="No"/>
    <x v="1"/>
    <m/>
    <m/>
    <s v="128.205.114.91"/>
    <s v="GT2884 -- .P455 2014eb"/>
    <s v="394.1/3"/>
    <d v="2014-10-13T00:00:00"/>
  </r>
  <r>
    <x v="5601"/>
    <d v="1899-12-30T00:00:28"/>
    <x v="1389"/>
    <x v="6"/>
    <s v="sjfc"/>
    <x v="713"/>
    <n v="565082"/>
    <x v="0"/>
    <s v="Education"/>
    <s v="9781118041567"/>
    <s v=",1,2,3,60,61,62,58,59"/>
    <n v="8"/>
    <m/>
    <s v=",59,59,58,59,60,60"/>
    <s v="No"/>
    <x v="0"/>
    <d v="2015-10-13T16:47:38"/>
    <n v="7"/>
    <s v="149.69.254.57"/>
    <s v="LB1775 .P25 2010"/>
    <s v="371.1; 371.102"/>
    <d v="2010-06-08T00:00:00"/>
  </r>
  <r>
    <x v="5602"/>
    <d v="1899-12-30T00:42:33"/>
    <x v="26"/>
    <x v="6"/>
    <s v="sjfc"/>
    <x v="713"/>
    <n v="565082"/>
    <x v="0"/>
    <s v="Education"/>
    <s v="9781118041567"/>
    <s v=",1,2,3,60,61,62,58,59,76,80,79,78,77,75,74,73,72,82,83,84,81,63,64,65,66,67,68,69,70,71,72,73,74,75,76,77,78,79,80,81,82,83,84,85,86,87,88"/>
    <n v="34"/>
    <m/>
    <m/>
    <s v="No"/>
    <x v="0"/>
    <d v="2015-10-15T19:55:34"/>
    <n v="7"/>
    <s v="149.69.254.57"/>
    <s v="LB1775 .P25 2010"/>
    <s v="371.1; 371.102"/>
    <d v="2010-06-08T00:00:00"/>
  </r>
  <r>
    <x v="5603"/>
    <d v="1899-12-30T00:36:01"/>
    <x v="1390"/>
    <x v="6"/>
    <s v="sjfc"/>
    <x v="713"/>
    <n v="565082"/>
    <x v="0"/>
    <s v="Education"/>
    <s v="9781118041567"/>
    <s v=",1,2,3,2,3,1,2,2,60,61,60,62,61,62,58,59,59,63,63,64,64,65,65,66,66,61,66,67,68,67,69,68,69,70,70,71,71,72,72,73,73,74,74,75,75,76,76,77,77,78,78,79,79,80,80,81,81,82,82,83,83,84,84,85,85,86,86,87,87,88,89,88,89"/>
    <n v="35"/>
    <m/>
    <m/>
    <s v="No"/>
    <x v="0"/>
    <d v="2015-10-15T01:25:35"/>
    <n v="7"/>
    <s v="149.69.254.57"/>
    <s v="LB1775 .P25 2010"/>
    <s v="371.1; 371.102"/>
    <d v="2010-06-08T00:00:00"/>
  </r>
  <r>
    <x v="5604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05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06"/>
    <d v="1899-12-30T00:00:00"/>
    <x v="26"/>
    <x v="6"/>
    <s v="sjfc"/>
    <x v="713"/>
    <n v="565082"/>
    <x v="0"/>
    <s v="Education"/>
    <s v="9781118041567"/>
    <m/>
    <n v="0"/>
    <m/>
    <s v=",60,61,62,63,64,65,66,67,68,69,70,71,72,73,74,75,76,77,78,79,80,81,82,83,84,85,60,61,62,63,64,65,66,67,68,69,70,71,72,73,74,75,76,77,78,79,80,81,82,83,84,85,86"/>
    <s v="No"/>
    <x v="0"/>
    <d v="2015-10-15T19:55:34"/>
    <n v="7"/>
    <s v="149.69.254.57"/>
    <s v="LB1775 .P25 2010"/>
    <s v="371.1; 371.102"/>
    <d v="2010-06-08T00:00:00"/>
  </r>
  <r>
    <x v="5607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08"/>
    <d v="1899-12-30T00:00:12"/>
    <x v="1391"/>
    <x v="6"/>
    <s v="sjfc"/>
    <x v="713"/>
    <n v="565082"/>
    <x v="0"/>
    <s v="Education"/>
    <s v="9781118041567"/>
    <s v=",1,2,3,60,61,62"/>
    <n v="6"/>
    <m/>
    <s v=",11,12,60,61,62,63,64,65,66,67,68,69,70,71,72,73,74,75,76,77,78,79,80,81,82,83,84,85,86"/>
    <s v="No"/>
    <x v="0"/>
    <d v="2015-10-15T13:01:18"/>
    <n v="7"/>
    <s v="149.69.254.57"/>
    <s v="LB1775 .P25 2010"/>
    <s v="371.1; 371.102"/>
    <d v="2010-06-08T00:00:00"/>
  </r>
  <r>
    <x v="5609"/>
    <d v="1899-12-30T00:00:02"/>
    <x v="1391"/>
    <x v="6"/>
    <s v="sjfc"/>
    <x v="713"/>
    <n v="565082"/>
    <x v="0"/>
    <s v="Education"/>
    <s v="9781118041567"/>
    <s v=",1,2"/>
    <n v="2"/>
    <m/>
    <m/>
    <s v="No"/>
    <x v="0"/>
    <d v="2015-10-15T13:01:18"/>
    <n v="7"/>
    <s v="149.69.254.57"/>
    <s v="LB1775 .P25 2010"/>
    <s v="371.1; 371.102"/>
    <d v="2010-06-08T00:00:00"/>
  </r>
  <r>
    <x v="5610"/>
    <d v="1899-12-30T00:01:44"/>
    <x v="26"/>
    <x v="6"/>
    <s v="sjfc"/>
    <x v="713"/>
    <n v="565082"/>
    <x v="0"/>
    <s v="Education"/>
    <s v="9781118041567"/>
    <s v=",1,2,3,10,20,42,38,4,5,11,12,13,9,14,15,16,17,18,34,35,36,32,33,60,61,62,58,59,63,64,65,66,67,68,69,70,71,72,73,74,75,82,83,84,80,81,85,86,87,88"/>
    <n v="50"/>
    <m/>
    <m/>
    <s v="No"/>
    <x v="1"/>
    <m/>
    <m/>
    <s v="149.69.254.57"/>
    <s v="LB1775 .P25 2010"/>
    <s v="371.1; 371.102"/>
    <d v="2010-06-08T00:00:00"/>
  </r>
  <r>
    <x v="5611"/>
    <d v="1899-12-30T00:00:11"/>
    <x v="1392"/>
    <x v="0"/>
    <s v="Buffalo"/>
    <x v="406"/>
    <n v="1762797"/>
    <x v="0"/>
    <s v="Social Science"/>
    <s v="9781118921296"/>
    <s v=",1,2,3"/>
    <n v="3"/>
    <m/>
    <m/>
    <s v="No"/>
    <x v="1"/>
    <m/>
    <m/>
    <s v="128.205.114.91"/>
    <s v="HM538 -- .D55 2014eb"/>
    <s v="300.72/3"/>
    <d v="2014-08-06T00:00:00"/>
  </r>
  <r>
    <x v="5612"/>
    <d v="1899-12-30T00:02:26"/>
    <x v="1393"/>
    <x v="6"/>
    <s v="sjfc"/>
    <x v="1322"/>
    <n v="1132869"/>
    <x v="0"/>
    <s v="Business/Management"/>
    <s v="9781118502631"/>
    <s v=",40,40,41,41,42,42,43,43,44,44,45,45,46,46,47,47,48,48,49,49,50,50,51,52,51,52,53,53"/>
    <n v="14"/>
    <m/>
    <m/>
    <s v="No"/>
    <x v="0"/>
    <d v="2015-10-15T19:49:37"/>
    <n v="7"/>
    <s v="149.69.254.57"/>
    <s v="HF5636 -- .T73 2013eb"/>
    <n v="657"/>
    <d v="2013-02-22T00:00:00"/>
  </r>
  <r>
    <x v="5613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14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15"/>
    <d v="1899-12-30T00:00:32"/>
    <x v="13"/>
    <x v="0"/>
    <s v="Buffalo"/>
    <x v="406"/>
    <n v="1762797"/>
    <x v="0"/>
    <s v="Social Science"/>
    <s v="9781118921296"/>
    <s v=",1,2,3"/>
    <n v="3"/>
    <m/>
    <m/>
    <s v="Yes"/>
    <x v="0"/>
    <d v="2015-10-15T19:37:53"/>
    <n v="7"/>
    <s v="128.205.114.91"/>
    <s v="HM538 -- .D55 2014eb"/>
    <s v="300.72/3"/>
    <d v="2014-08-06T00:00:00"/>
  </r>
  <r>
    <x v="5616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17"/>
    <d v="1899-12-30T00:00:00"/>
    <x v="13"/>
    <x v="0"/>
    <s v="Buffalo"/>
    <x v="406"/>
    <n v="1762797"/>
    <x v="0"/>
    <s v="Social Science"/>
    <s v="9781118921296"/>
    <m/>
    <n v="0"/>
    <m/>
    <m/>
    <s v="Yes"/>
    <x v="0"/>
    <d v="2015-10-15T19:37:53"/>
    <n v="7"/>
    <s v="128.205.114.91"/>
    <s v="HM538 -- .D55 2014eb"/>
    <s v="300.72/3"/>
    <d v="2014-08-06T00:00:00"/>
  </r>
  <r>
    <x v="5618"/>
    <d v="1899-12-30T00:11:07"/>
    <x v="1393"/>
    <x v="6"/>
    <s v="sjfc"/>
    <x v="1322"/>
    <n v="1132869"/>
    <x v="0"/>
    <s v="Business/Management"/>
    <s v="9781118502631"/>
    <s v=",1,2,3,3,2,1,4,4,2,2,25,26,25,27,26,23,27,24,24,28,29,28,29,31,31,30,30,32,33,32,33,34,34,35,35,36,36,37,37,38,38,36,37,38,34,35,39,39"/>
    <n v="21"/>
    <m/>
    <m/>
    <s v="No"/>
    <x v="1"/>
    <m/>
    <m/>
    <s v="149.69.254.57"/>
    <s v="HF5636 -- .T73 2013eb"/>
    <n v="657"/>
    <d v="2013-02-22T00:00:00"/>
  </r>
  <r>
    <x v="5619"/>
    <d v="1899-12-30T00:00:33"/>
    <x v="13"/>
    <x v="0"/>
    <s v="Buffalo"/>
    <x v="406"/>
    <n v="1762797"/>
    <x v="0"/>
    <s v="Social Science"/>
    <s v="9781118921296"/>
    <s v=",7,8,6"/>
    <n v="3"/>
    <s v=",11"/>
    <m/>
    <s v="No"/>
    <x v="0"/>
    <d v="2015-10-15T19:37:53"/>
    <n v="7"/>
    <s v="128.205.114.91"/>
    <s v="HM538 -- .D55 2014eb"/>
    <s v="300.72/3"/>
    <d v="2014-08-06T00:00:00"/>
  </r>
  <r>
    <x v="5620"/>
    <d v="1899-12-30T00:03:15"/>
    <x v="13"/>
    <x v="0"/>
    <s v="Buffalo"/>
    <x v="406"/>
    <n v="1762797"/>
    <x v="0"/>
    <s v="Social Science"/>
    <s v="9781118921296"/>
    <s v=",1,2,3,4,5,6,7,8,9,10,11,12,13"/>
    <n v="13"/>
    <m/>
    <m/>
    <s v="No"/>
    <x v="1"/>
    <m/>
    <m/>
    <s v="128.205.114.91"/>
    <s v="HM538 -- .D55 2014eb"/>
    <s v="300.72/3"/>
    <d v="2014-08-06T00:00:00"/>
  </r>
  <r>
    <x v="5621"/>
    <d v="1899-12-30T00:04:07"/>
    <x v="673"/>
    <x v="0"/>
    <s v="Buffalo"/>
    <x v="1323"/>
    <n v="1124085"/>
    <x v="0"/>
    <s v="Social Science"/>
    <s v="9781118420621"/>
    <s v=",179,178,177,1,2,3,1,2,3,4"/>
    <n v="7"/>
    <s v=",181"/>
    <m/>
    <s v="Yes"/>
    <x v="0"/>
    <d v="2015-10-15T18:32:19"/>
    <n v="7"/>
    <s v="128.205.114.91"/>
    <s v="H61.4 -- .S54 2013eb"/>
    <n v="303.49"/>
    <d v="2013-02-05T00:00:00"/>
  </r>
  <r>
    <x v="5622"/>
    <d v="1899-12-30T00:00:50"/>
    <x v="673"/>
    <x v="0"/>
    <s v="Buffalo"/>
    <x v="1323"/>
    <n v="1124085"/>
    <x v="0"/>
    <s v="Social Science"/>
    <s v="9781118420621"/>
    <s v=",1,2,3,4,6,5,326,327,328,2,324,325,316,230,188,189,190,186,187,185,184,183,182,181,180"/>
    <n v="24"/>
    <m/>
    <m/>
    <s v="No"/>
    <x v="0"/>
    <d v="2015-10-15T18:32:19"/>
    <n v="7"/>
    <s v="128.205.114.91"/>
    <s v="H61.4 -- .S54 2013eb"/>
    <n v="303.49"/>
    <d v="2013-02-05T00:00:00"/>
  </r>
  <r>
    <x v="5623"/>
    <d v="1899-12-30T00:02:20"/>
    <x v="1394"/>
    <x v="3"/>
    <s v="canton"/>
    <x v="822"/>
    <n v="1034770"/>
    <x v="4"/>
    <s v="Medicine"/>
    <s v="9781462507566"/>
    <s v=",1,2,3,4,5,6,7,8,9,10,2,11,6,8,9,10,6,7,11"/>
    <n v="11"/>
    <m/>
    <m/>
    <s v="No"/>
    <x v="1"/>
    <m/>
    <m/>
    <s v="137.37.33.33"/>
    <s v="RC533 -- .M56 2012eb"/>
    <n v="616.85839999999996"/>
    <d v="2013-10-20T00:00:00"/>
  </r>
  <r>
    <x v="5624"/>
    <d v="1899-12-30T00:00:00"/>
    <x v="673"/>
    <x v="0"/>
    <s v="Buffalo"/>
    <x v="1323"/>
    <n v="1124085"/>
    <x v="0"/>
    <s v="Social Science"/>
    <s v="9781118420621"/>
    <m/>
    <n v="0"/>
    <m/>
    <m/>
    <s v="Yes"/>
    <x v="0"/>
    <d v="2015-10-15T18:32:19"/>
    <n v="7"/>
    <s v="128.205.114.91"/>
    <s v="H61.4 -- .S54 2013eb"/>
    <n v="303.49"/>
    <d v="2013-02-05T00:00:00"/>
  </r>
  <r>
    <x v="5625"/>
    <d v="1899-12-30T00:01:23"/>
    <x v="828"/>
    <x v="9"/>
    <s v="trocaire"/>
    <x v="244"/>
    <n v="848510"/>
    <x v="0"/>
    <s v="Medicine"/>
    <s v="9781118220481"/>
    <s v=",1,2,3,46,47,48,44,45,40,41,42,38,39,43,37,36"/>
    <n v="16"/>
    <m/>
    <m/>
    <s v="No"/>
    <x v="1"/>
    <m/>
    <m/>
    <s v="173.225.62.67"/>
    <s v="RC489.C63 -- C64 2012eb"/>
    <s v="616.89/1425"/>
    <d v="2012-06-06T00:00:00"/>
  </r>
  <r>
    <x v="5626"/>
    <d v="1899-12-30T00:00:00"/>
    <x v="673"/>
    <x v="0"/>
    <s v="Buffalo"/>
    <x v="1323"/>
    <n v="1124085"/>
    <x v="0"/>
    <s v="Social Science"/>
    <s v="9781118420621"/>
    <m/>
    <n v="0"/>
    <s v=",9"/>
    <m/>
    <s v="No"/>
    <x v="0"/>
    <d v="2015-10-15T18:32:19"/>
    <n v="7"/>
    <s v="128.205.114.91"/>
    <s v="H61.4 -- .S54 2013eb"/>
    <n v="303.49"/>
    <d v="2013-02-05T00:00:00"/>
  </r>
  <r>
    <x v="5627"/>
    <d v="1899-12-30T00:00:44"/>
    <x v="673"/>
    <x v="0"/>
    <s v="Buffalo"/>
    <x v="1323"/>
    <n v="1124085"/>
    <x v="0"/>
    <s v="Social Science"/>
    <s v="9781118420621"/>
    <s v=",1,2,3,4,5,6,7,8,9,10,11"/>
    <n v="11"/>
    <m/>
    <m/>
    <s v="No"/>
    <x v="1"/>
    <m/>
    <m/>
    <s v="128.205.114.91"/>
    <s v="H61.4 -- .S54 2013eb"/>
    <n v="303.49"/>
    <d v="2013-02-05T00:00:00"/>
  </r>
  <r>
    <x v="5628"/>
    <d v="1899-12-30T00:00:21"/>
    <x v="1395"/>
    <x v="12"/>
    <s v="potsdam"/>
    <x v="1324"/>
    <n v="1895593"/>
    <x v="0"/>
    <s v="Engineering: Civil; Engineering: General; Engineering"/>
    <s v="9781118770634"/>
    <s v=",1,2,2,1,3,3,2,2"/>
    <n v="3"/>
    <m/>
    <m/>
    <s v="No"/>
    <x v="3"/>
    <m/>
    <m/>
    <s v="137.143.104.94"/>
    <s v="TA353 -- .K669 2015eb"/>
    <s v="620.1/05"/>
    <d v="2015-04-24T00:00:00"/>
  </r>
  <r>
    <x v="5629"/>
    <d v="1899-12-30T00:01:36"/>
    <x v="1395"/>
    <x v="12"/>
    <s v="potsdam"/>
    <x v="1325"/>
    <n v="1776319"/>
    <x v="0"/>
    <s v="Mathematics"/>
    <s v="9781118789384"/>
    <s v=",1,1,2,2,3,3,2,2,129,129,130,130,131,131,132,133,133,132,134,134,129,128,133,134,135,135,136,136,137,137,138,138"/>
    <n v="14"/>
    <m/>
    <m/>
    <s v="No"/>
    <x v="3"/>
    <m/>
    <m/>
    <s v="137.143.104.94"/>
    <s v="QA297 -- .E674 2013eb"/>
    <n v="518"/>
    <d v="2014-08-28T00:00:00"/>
  </r>
  <r>
    <x v="5630"/>
    <d v="1899-12-30T00:02:54"/>
    <x v="1395"/>
    <x v="12"/>
    <s v="potsdam"/>
    <x v="1326"/>
    <n v="1443883"/>
    <x v="0"/>
    <s v="Mathematics"/>
    <s v="9781118552032"/>
    <s v=",1,2,2,1,3,3,2,2,292,292,293,293,294,294,290,291,291,295,295,296,296,297,297,298,298,299,299,300,300,301,301,302,302,303,303,304,304,305,305,306,306,307,307,308,308,309,309,310,310,311,311,312,312,313,313"/>
    <n v="27"/>
    <m/>
    <m/>
    <s v="No"/>
    <x v="1"/>
    <m/>
    <m/>
    <s v="137.143.104.94"/>
    <s v="QA162"/>
    <n v="512"/>
    <d v="2013-09-30T00:00:00"/>
  </r>
  <r>
    <x v="5631"/>
    <d v="1899-12-30T00:00:22"/>
    <x v="1395"/>
    <x v="12"/>
    <s v="potsdam"/>
    <x v="1327"/>
    <n v="1895918"/>
    <x v="0"/>
    <s v="Mathematics"/>
    <s v="9781119015314"/>
    <s v=",1,2,2,3,3,1,2,2"/>
    <n v="3"/>
    <m/>
    <m/>
    <s v="No"/>
    <x v="1"/>
    <m/>
    <m/>
    <s v="137.143.104.94"/>
    <s v="QA303.2 .M384 2015"/>
    <n v="515"/>
    <d v="2015-07-28T00:00:00"/>
  </r>
  <r>
    <x v="5632"/>
    <d v="1899-12-30T00:05:40"/>
    <x v="1396"/>
    <x v="1"/>
    <s v="brockport"/>
    <x v="1328"/>
    <n v="1875898"/>
    <x v="0"/>
    <s v="Computer Science/IT"/>
    <s v="9781118908891"/>
    <s v=",5,5,11,13,15,17,19,19,42"/>
    <n v="7"/>
    <s v=",38"/>
    <m/>
    <s v="No"/>
    <x v="0"/>
    <d v="2015-10-15T18:05:51"/>
    <n v="7"/>
    <s v="137.21.7.121"/>
    <s v="QA76.73.P98 -- C37 2014eb"/>
    <n v="5.133"/>
    <d v="2014-11-24T00:00:00"/>
  </r>
  <r>
    <x v="5633"/>
    <d v="1899-12-30T00:02:33"/>
    <x v="1396"/>
    <x v="1"/>
    <s v="brockport"/>
    <x v="1328"/>
    <n v="1875898"/>
    <x v="0"/>
    <s v="Computer Science/IT"/>
    <s v="9781118908891"/>
    <s v=",1,2,3,27,29,19,15,13,16,17,23,31,32,34,35,36,33,37,38,39,40,38"/>
    <n v="21"/>
    <m/>
    <m/>
    <s v="No"/>
    <x v="1"/>
    <m/>
    <m/>
    <s v="137.21.7.121"/>
    <s v="QA76.73.P98 -- C37 2014eb"/>
    <n v="5.133"/>
    <d v="2014-11-24T00:00:00"/>
  </r>
  <r>
    <x v="5634"/>
    <d v="1899-12-30T00:00:03"/>
    <x v="1397"/>
    <x v="5"/>
    <s v="erie"/>
    <x v="630"/>
    <n v="771049"/>
    <x v="18"/>
    <s v="Science: Physics; Science; Environmental Studies"/>
    <s v="9781608706648"/>
    <s v=",1"/>
    <n v="1"/>
    <m/>
    <m/>
    <s v="No"/>
    <x v="1"/>
    <m/>
    <m/>
    <s v="199.29.6.54"/>
    <s v="QC981.8"/>
    <n v="363.73874000000001"/>
    <d v="2012-01-01T00:00:00"/>
  </r>
  <r>
    <x v="5635"/>
    <d v="1899-12-30T00:08:09"/>
    <x v="1395"/>
    <x v="12"/>
    <s v="potsdam"/>
    <x v="1329"/>
    <n v="1896027"/>
    <x v="0"/>
    <s v="Mathematics"/>
    <s v="9781119062790"/>
    <s v=",1,2,2,3,3,1,2,2,135,136,137,135,136,137,133,134,134,190,191,192,190,191,188,192,189,189,193,193,194,194,195,195,196,196,191,190"/>
    <n v="17"/>
    <m/>
    <m/>
    <s v="No"/>
    <x v="2"/>
    <d v="2015-10-14T20:52:33"/>
    <n v="1"/>
    <s v="137.143.104.94"/>
    <s v="QA241 .L384 2015"/>
    <n v="512.70000000000005"/>
    <d v="2015-05-06T00:00:00"/>
  </r>
  <r>
    <x v="5636"/>
    <d v="1899-12-30T00:07:00"/>
    <x v="1398"/>
    <x v="6"/>
    <s v="sjfc"/>
    <x v="713"/>
    <n v="565082"/>
    <x v="0"/>
    <s v="Education"/>
    <s v="9781118041567"/>
    <s v=",63,64,65,66,67,68,69,70,71,72,73,74,75,76,77,78,79,80,81,82,83,84,85,86,87"/>
    <n v="25"/>
    <m/>
    <m/>
    <s v="Yes"/>
    <x v="0"/>
    <d v="2015-10-15T17:59:13"/>
    <n v="7"/>
    <s v="149.69.254.57"/>
    <s v="LB1775 .P25 2010"/>
    <s v="371.1; 371.102"/>
    <d v="2010-06-08T00:00:00"/>
  </r>
  <r>
    <x v="5636"/>
    <d v="1899-12-30T00:00:00"/>
    <x v="1398"/>
    <x v="6"/>
    <s v="sjfc"/>
    <x v="713"/>
    <n v="565082"/>
    <x v="0"/>
    <s v="Education"/>
    <s v="9781118041567"/>
    <m/>
    <n v="0"/>
    <m/>
    <m/>
    <s v="No"/>
    <x v="0"/>
    <d v="2015-10-15T17:59:13"/>
    <n v="7"/>
    <s v="149.69.254.57"/>
    <s v="LB1775 .P25 2010"/>
    <s v="371.1; 371.102"/>
    <d v="2010-06-08T00:00:00"/>
  </r>
  <r>
    <x v="5637"/>
    <d v="1899-12-30T00:00:00"/>
    <x v="454"/>
    <x v="5"/>
    <s v="erie"/>
    <x v="380"/>
    <n v="1165085"/>
    <x v="0"/>
    <s v="Social Science; Environmental Studies"/>
    <s v="9781118578254"/>
    <m/>
    <n v="0"/>
    <m/>
    <s v=",51"/>
    <s v="No"/>
    <x v="2"/>
    <d v="2015-10-15T17:52:39"/>
    <n v="1"/>
    <s v="199.29.6.54"/>
    <s v="GF75 -- .G68 2013eb"/>
    <n v="304.2"/>
    <d v="2013-04-02T00:00:00"/>
  </r>
  <r>
    <x v="5638"/>
    <d v="1899-12-30T00:01:11"/>
    <x v="454"/>
    <x v="5"/>
    <s v="erie"/>
    <x v="380"/>
    <n v="1165085"/>
    <x v="0"/>
    <s v="Social Science; Environmental Studies"/>
    <s v="9781118578254"/>
    <s v=",1,2,3,51,52,53,49,50"/>
    <n v="8"/>
    <m/>
    <m/>
    <s v="No"/>
    <x v="3"/>
    <m/>
    <m/>
    <s v="199.29.6.54"/>
    <s v="GF75 -- .G68 2013eb"/>
    <n v="304.2"/>
    <d v="2013-04-02T00:00:00"/>
  </r>
  <r>
    <x v="5639"/>
    <d v="1899-12-30T00:12:15"/>
    <x v="1398"/>
    <x v="6"/>
    <s v="sjfc"/>
    <x v="713"/>
    <n v="565082"/>
    <x v="0"/>
    <s v="Education"/>
    <s v="9781118041567"/>
    <s v=",1,2,3,1,2,60,61,62"/>
    <n v="6"/>
    <m/>
    <m/>
    <s v="No"/>
    <x v="1"/>
    <m/>
    <m/>
    <s v="149.69.254.57"/>
    <s v="LB1775 .P25 2010"/>
    <s v="371.1; 371.102"/>
    <d v="2010-06-08T00:00:00"/>
  </r>
  <r>
    <x v="5640"/>
    <d v="1899-12-30T00:08:46"/>
    <x v="1399"/>
    <x v="13"/>
    <s v="buffalostate"/>
    <x v="1262"/>
    <n v="1752698"/>
    <x v="0"/>
    <s v="Mathematics"/>
    <s v="9781118496701"/>
    <s v=",1,3,2,21,22,23,19,20,24,22,24,20,21,23,25,26,27,28,29,30,31,32,33,34,35,36,37,38,39,40,41,42,43,44,45,46,47,48,49,50,51,52,53,54,55,56,57,58,59"/>
    <n v="44"/>
    <m/>
    <m/>
    <s v="No"/>
    <x v="1"/>
    <m/>
    <m/>
    <s v="136.183.11.43"/>
    <s v="QA303.2 -- .P387 2014eb"/>
    <n v="515.07600000000002"/>
    <d v="2014-07-22T00:00:00"/>
  </r>
  <r>
    <x v="5641"/>
    <d v="1899-12-30T00:00:00"/>
    <x v="170"/>
    <x v="9"/>
    <s v="trocaire"/>
    <x v="605"/>
    <n v="832297"/>
    <x v="0"/>
    <s v="History"/>
    <s v="9781118300947"/>
    <m/>
    <n v="0"/>
    <m/>
    <m/>
    <s v="Yes"/>
    <x v="0"/>
    <d v="2015-10-15T16:58:05"/>
    <n v="7"/>
    <s v="173.225.62.67"/>
    <s v="DF12 -- .R65 2011eb"/>
    <n v="938"/>
    <d v="2011-12-19T00:00:00"/>
  </r>
  <r>
    <x v="5641"/>
    <d v="1899-12-30T00:00:00"/>
    <x v="170"/>
    <x v="9"/>
    <s v="trocaire"/>
    <x v="605"/>
    <n v="832297"/>
    <x v="0"/>
    <s v="History"/>
    <s v="9781118300947"/>
    <m/>
    <n v="0"/>
    <m/>
    <m/>
    <s v="No"/>
    <x v="0"/>
    <d v="2015-10-15T16:58:05"/>
    <n v="7"/>
    <s v="173.225.62.67"/>
    <s v="DF12 -- .R65 2011eb"/>
    <n v="938"/>
    <d v="2011-12-19T00:00:00"/>
  </r>
  <r>
    <x v="5642"/>
    <d v="1899-12-30T00:00:26"/>
    <x v="170"/>
    <x v="9"/>
    <s v="trocaire"/>
    <x v="605"/>
    <n v="832297"/>
    <x v="0"/>
    <s v="History"/>
    <s v="9781118300947"/>
    <s v=",1,2,1,2,3,3,2,2"/>
    <n v="3"/>
    <m/>
    <m/>
    <s v="No"/>
    <x v="1"/>
    <m/>
    <m/>
    <s v="173.225.62.67"/>
    <s v="DF12 -- .R65 2011eb"/>
    <n v="938"/>
    <d v="2011-12-19T00:00:00"/>
  </r>
  <r>
    <x v="5643"/>
    <d v="1899-12-30T00:23:28"/>
    <x v="1400"/>
    <x v="13"/>
    <s v="buffalostate"/>
    <x v="516"/>
    <n v="1840835"/>
    <x v="0"/>
    <s v="Business/Management; Economics"/>
    <s v="9781118950166"/>
    <s v=",110,111,112,113,108,108,108,108,111,110,111,107,108,112,109,110,111,110,109,108,107,106,107,108,109,110,111,112,113,114,115,115,115,115,115,115,98,98,99,100,96,97,101,102,103,94,95,93,91,92,89,90,87,88,102,103,104,105,106"/>
    <n v="29"/>
    <s v=",108,108"/>
    <m/>
    <s v="Yes"/>
    <x v="0"/>
    <d v="2015-10-15T16:50:14"/>
    <n v="7"/>
    <s v="136.183.11.43"/>
    <s v="HD9969.S6 .R384 2014"/>
    <n v="338.10923789999998"/>
    <d v="2014-11-10T00:00:00"/>
  </r>
  <r>
    <x v="5644"/>
    <d v="1899-12-30T00:00:31"/>
    <x v="170"/>
    <x v="9"/>
    <s v="trocaire"/>
    <x v="666"/>
    <n v="817932"/>
    <x v="0"/>
    <s v="Computer Science/IT"/>
    <s v="9781118220146"/>
    <s v=",1,1,2,3,2,3,1,2,2"/>
    <n v="3"/>
    <m/>
    <m/>
    <s v="No"/>
    <x v="1"/>
    <m/>
    <m/>
    <s v="173.225.62.67"/>
    <s v="QA76.73.J38 -- B87 2012eb"/>
    <n v="5.133"/>
    <d v="2012-03-13T00:00:00"/>
  </r>
  <r>
    <x v="5645"/>
    <d v="1899-12-30T00:00:00"/>
    <x v="170"/>
    <x v="9"/>
    <s v="trocaire"/>
    <x v="1330"/>
    <n v="832577"/>
    <x v="0"/>
    <s v="Fine Arts; Literature"/>
    <s v="9781118226360"/>
    <m/>
    <n v="0"/>
    <m/>
    <m/>
    <s v="Yes"/>
    <x v="0"/>
    <d v="2015-10-15T11:10:40"/>
    <n v="7"/>
    <s v="173.225.62.67"/>
    <s v="PN6728.B36 -- L36 2012eb"/>
    <s v="741.5/973"/>
    <d v="2012-05-22T00:00:00"/>
  </r>
  <r>
    <x v="5646"/>
    <d v="1899-12-30T00:00:03"/>
    <x v="170"/>
    <x v="9"/>
    <s v="trocaire"/>
    <x v="1330"/>
    <n v="832577"/>
    <x v="0"/>
    <s v="Fine Arts; Literature"/>
    <s v="9781118226360"/>
    <s v=",1,2,3"/>
    <n v="3"/>
    <m/>
    <m/>
    <s v="No"/>
    <x v="0"/>
    <d v="2015-10-15T11:10:40"/>
    <n v="7"/>
    <s v="173.225.62.67"/>
    <s v="PN6728.B36 -- L36 2012eb"/>
    <s v="741.5/973"/>
    <d v="2012-05-22T00:00:00"/>
  </r>
  <r>
    <x v="5647"/>
    <d v="1899-12-30T00:03:47"/>
    <x v="1400"/>
    <x v="13"/>
    <s v="buffalostate"/>
    <x v="516"/>
    <n v="1840835"/>
    <x v="0"/>
    <s v="Business/Management; Economics"/>
    <s v="9781118950166"/>
    <s v=",104,105,106,102,103,107,108,109,110,102,103,110,111,118,168,170,169,171,167,164,165,163,162,161,160,158,159,31,32,33,29,30,34,103,102"/>
    <n v="30"/>
    <m/>
    <m/>
    <s v="No"/>
    <x v="0"/>
    <d v="2015-10-15T16:50:14"/>
    <n v="7"/>
    <s v="136.183.11.43"/>
    <s v="HD9969.S6 .R384 2014"/>
    <n v="338.10923789999998"/>
    <d v="2014-11-10T00:00:00"/>
  </r>
  <r>
    <x v="5648"/>
    <d v="1899-12-30T00:03:35"/>
    <x v="1401"/>
    <x v="1"/>
    <s v="brockport"/>
    <x v="285"/>
    <n v="1815426"/>
    <x v="4"/>
    <s v="Education"/>
    <s v="9781462519781"/>
    <s v=",1,2,3,4,5,6,7,8,3,1"/>
    <n v="8"/>
    <m/>
    <m/>
    <s v="No"/>
    <x v="3"/>
    <m/>
    <m/>
    <s v="137.21.7.121"/>
    <s v="LB1573.7 -- .S734 2015eb"/>
    <n v="372.47"/>
    <d v="2015-02-04T00:00:00"/>
  </r>
  <r>
    <x v="5649"/>
    <d v="1899-12-30T00:00:00"/>
    <x v="703"/>
    <x v="0"/>
    <s v="Buffalo"/>
    <x v="111"/>
    <n v="1166322"/>
    <x v="0"/>
    <s v="Architecture"/>
    <s v="9781118418512"/>
    <m/>
    <n v="0"/>
    <m/>
    <s v=",113,114,115,116,117,118,119,120,121,122,123,124,125,126,127,128,129,130,131,132,133,134,135,136,137,138,139,140,141,142,143,144,145,146,147,148,149,150,151,152,153,113,114,115,116,117,118,119,120,121,122,123,124,125,126,127,128,129,130,131,132,133,134,135,136,137,138,139,140,141,142,143,144,145,146,147,148,149,150,151,152,153,113,114,115,116,117,118,119,120,121,122,123,124,125,126,127,128,129,130,131,132,133,134,135,136,137,138,139,140,141,142,143,144,145,146,147,148,149,150,151,152,153"/>
    <s v="No"/>
    <x v="0"/>
    <d v="2015-10-15T16:36:24"/>
    <n v="7"/>
    <s v="128.205.114.91"/>
    <s v="NA2000 -- .G76 2013eb"/>
    <n v="720.072"/>
    <d v="2013-04-03T00:00:00"/>
  </r>
  <r>
    <x v="5650"/>
    <d v="1899-12-30T00:00:56"/>
    <x v="703"/>
    <x v="0"/>
    <s v="Buffalo"/>
    <x v="111"/>
    <n v="1166322"/>
    <x v="0"/>
    <s v="Architecture"/>
    <s v="9781118418512"/>
    <s v=",1,2,3,113,114,115,111,112,153,154,155,151,152,153"/>
    <n v="13"/>
    <m/>
    <m/>
    <s v="No"/>
    <x v="1"/>
    <m/>
    <m/>
    <s v="128.205.114.91"/>
    <s v="NA2000 -- .G76 2013eb"/>
    <n v="720.072"/>
    <d v="2013-04-03T00:00:00"/>
  </r>
  <r>
    <x v="5651"/>
    <d v="1899-12-30T00:00:28"/>
    <x v="421"/>
    <x v="2"/>
    <s v="hilbert"/>
    <x v="1331"/>
    <n v="2038594"/>
    <x v="0"/>
    <m/>
    <s v="9781119157861"/>
    <s v=",1,2,3,4,5,6,17,18,19,15,16"/>
    <n v="11"/>
    <m/>
    <m/>
    <s v="No"/>
    <x v="3"/>
    <m/>
    <m/>
    <s v="72.45.217.43"/>
    <m/>
    <m/>
    <d v="2015-08-31T00:00:00"/>
  </r>
  <r>
    <x v="5652"/>
    <d v="1899-12-30T00:06:04"/>
    <x v="1280"/>
    <x v="5"/>
    <s v="erie"/>
    <x v="1231"/>
    <n v="2078737"/>
    <x v="0"/>
    <s v="Engineering: Electrical; Engineering"/>
    <s v="9781118974346"/>
    <s v=",1,3,2,4,5,6,7,8,9,10,11,12,13,14,23,24,25,21,22,26,27,28,29,30,31,32,33,34,35,33,36,37,38,39,203,204,205,201,202,206,199,200,198,197,196,195,194,193,192,191,90,91,92,93,89,88,94,95,96,97,98,99,100,101,102,103,104,105,106,107,108,109,110,111,112"/>
    <n v="74"/>
    <m/>
    <m/>
    <s v="No"/>
    <x v="1"/>
    <m/>
    <m/>
    <s v="199.29.6.54"/>
    <s v="TK7868 .I58 D46 2015"/>
    <s v="621.39; 621.3981"/>
    <d v="2015-06-26T00:00:00"/>
  </r>
  <r>
    <x v="5653"/>
    <d v="1899-12-30T00:41:09"/>
    <x v="1400"/>
    <x v="13"/>
    <s v="buffalostate"/>
    <x v="516"/>
    <n v="1840835"/>
    <x v="0"/>
    <s v="Business/Management; Economics"/>
    <s v="9781118950166"/>
    <s v=",1,2,3,4,23,24,25,21,22,26,27,97,98,99,95,96,100,101"/>
    <n v="18"/>
    <m/>
    <m/>
    <s v="No"/>
    <x v="1"/>
    <m/>
    <m/>
    <s v="136.183.11.43"/>
    <s v="HD9969.S6 .R384 2014"/>
    <n v="338.10923789999998"/>
    <d v="2014-11-10T00:00:00"/>
  </r>
  <r>
    <x v="5654"/>
    <d v="1899-12-30T00:00:10"/>
    <x v="26"/>
    <x v="6"/>
    <s v="sjfc"/>
    <x v="1332"/>
    <n v="1895420"/>
    <x v="0"/>
    <s v="Business/Management"/>
    <s v="9780857086075"/>
    <s v=",2,1,3,13,14,15,11,12"/>
    <n v="8"/>
    <m/>
    <m/>
    <s v="No"/>
    <x v="3"/>
    <m/>
    <m/>
    <s v="149.69.254.57"/>
    <s v="HF5718 -- .B686 2015eb"/>
    <s v="658.4/5"/>
    <d v="2015-01-29T00:00:00"/>
  </r>
  <r>
    <x v="5655"/>
    <d v="1899-12-30T00:00:29"/>
    <x v="26"/>
    <x v="6"/>
    <s v="sjfc"/>
    <x v="1332"/>
    <n v="1895420"/>
    <x v="0"/>
    <s v="Business/Management"/>
    <s v="9780857086075"/>
    <s v=",1,2,3,27,28"/>
    <n v="5"/>
    <m/>
    <m/>
    <s v="No"/>
    <x v="3"/>
    <m/>
    <m/>
    <s v="149.69.254.57"/>
    <s v="HF5718 -- .B686 2015eb"/>
    <s v="658.4/5"/>
    <d v="2015-01-29T00:00:00"/>
  </r>
  <r>
    <x v="5656"/>
    <d v="1899-12-30T00:02:32"/>
    <x v="26"/>
    <x v="6"/>
    <s v="sjfc"/>
    <x v="1332"/>
    <n v="1895420"/>
    <x v="0"/>
    <s v="Business/Management"/>
    <s v="9780857086075"/>
    <s v=",1,2,3,4,5,6,7,8,9,10,11,12,13,14,15,16,17,18,19,20,21,22,23,24,41,42,43,44,45,46,47"/>
    <n v="31"/>
    <m/>
    <m/>
    <s v="No"/>
    <x v="3"/>
    <m/>
    <m/>
    <s v="149.69.254.57"/>
    <s v="HF5718 -- .B686 2015eb"/>
    <s v="658.4/5"/>
    <d v="2015-01-29T00:00:00"/>
  </r>
  <r>
    <x v="5657"/>
    <d v="1899-12-30T00:01:08"/>
    <x v="1402"/>
    <x v="0"/>
    <s v="Buffalo"/>
    <x v="1177"/>
    <n v="836860"/>
    <x v="4"/>
    <s v="Psychology"/>
    <s v="9781462503117"/>
    <s v=",2,2,1,2,3,1,1,1,1,2"/>
    <n v="3"/>
    <m/>
    <m/>
    <s v="Yes"/>
    <x v="0"/>
    <d v="2015-10-15T14:46:04"/>
    <n v="7"/>
    <s v="128.205.114.91"/>
    <s v="BF697 -- .H345 2012eb"/>
    <n v="155.19999999999999"/>
    <d v="2014-05-14T00:00:00"/>
  </r>
  <r>
    <x v="5657"/>
    <d v="1899-12-30T00:00:00"/>
    <x v="1402"/>
    <x v="0"/>
    <s v="Buffalo"/>
    <x v="1177"/>
    <n v="836860"/>
    <x v="4"/>
    <s v="Psychology"/>
    <s v="9781462503117"/>
    <m/>
    <n v="0"/>
    <m/>
    <m/>
    <s v="No"/>
    <x v="0"/>
    <d v="2015-10-15T14:46:04"/>
    <n v="7"/>
    <s v="128.205.114.91"/>
    <s v="BF697 -- .H345 2012eb"/>
    <n v="155.19999999999999"/>
    <d v="2014-05-14T00:00:00"/>
  </r>
  <r>
    <x v="5658"/>
    <d v="1899-12-30T00:00:13"/>
    <x v="1402"/>
    <x v="0"/>
    <s v="Buffalo"/>
    <x v="1177"/>
    <n v="836860"/>
    <x v="4"/>
    <s v="Psychology"/>
    <s v="9781462503117"/>
    <s v=",1,2,1,2,3,3"/>
    <n v="3"/>
    <m/>
    <m/>
    <s v="No"/>
    <x v="1"/>
    <m/>
    <m/>
    <s v="128.205.114.91"/>
    <s v="BF697 -- .H345 2012eb"/>
    <n v="155.19999999999999"/>
    <d v="2014-05-14T00:00:00"/>
  </r>
  <r>
    <x v="5659"/>
    <d v="1899-12-30T00:00:02"/>
    <x v="13"/>
    <x v="0"/>
    <s v="Buffalo"/>
    <x v="1333"/>
    <n v="1120515"/>
    <x v="12"/>
    <s v="Social Science; History; Geography/Travel"/>
    <s v="9781469608242"/>
    <s v=",1"/>
    <n v="1"/>
    <m/>
    <m/>
    <s v="No"/>
    <x v="3"/>
    <m/>
    <m/>
    <s v="128.205.114.91"/>
    <s v="F869.L89 -- M5156 2013eb"/>
    <s v="305.8968/72073079494"/>
    <d v="2013-03-21T00:00:00"/>
  </r>
  <r>
    <x v="5660"/>
    <d v="1899-12-30T00:00:08"/>
    <x v="13"/>
    <x v="0"/>
    <s v="Buffalo"/>
    <x v="1333"/>
    <n v="1120515"/>
    <x v="12"/>
    <s v="Social Science; History; Geography/Travel"/>
    <s v="9781469608242"/>
    <s v=",1,2,1,2,3,3,4,7,7,4"/>
    <n v="5"/>
    <m/>
    <m/>
    <s v="No"/>
    <x v="3"/>
    <m/>
    <m/>
    <s v="128.205.114.91"/>
    <s v="F869.L89 -- M5156 2013eb"/>
    <s v="305.8968/72073079494"/>
    <d v="2013-03-21T00:00:00"/>
  </r>
  <r>
    <x v="5661"/>
    <d v="1899-12-30T00:00:28"/>
    <x v="1403"/>
    <x v="0"/>
    <s v="Buffalo"/>
    <x v="944"/>
    <n v="2009965"/>
    <x v="3"/>
    <m/>
    <s v="9780520961869"/>
    <s v=",1,2,3,51,52,53,49,50"/>
    <n v="8"/>
    <m/>
    <m/>
    <s v="No"/>
    <x v="3"/>
    <m/>
    <m/>
    <s v="128.205.114.91"/>
    <m/>
    <m/>
    <d v="2015-10-15T00:00:00"/>
  </r>
  <r>
    <x v="5662"/>
    <d v="1899-12-30T00:00:01"/>
    <x v="699"/>
    <x v="0"/>
    <s v="Buffalo"/>
    <x v="111"/>
    <n v="1166322"/>
    <x v="0"/>
    <s v="Architecture"/>
    <s v="9781118418512"/>
    <s v=",2"/>
    <n v="1"/>
    <m/>
    <m/>
    <s v="No"/>
    <x v="0"/>
    <d v="2015-10-15T13:59:07"/>
    <n v="7"/>
    <s v="128.205.114.91"/>
    <s v="NA2000 -- .G76 2013eb"/>
    <n v="720.072"/>
    <d v="2013-04-03T00:00:00"/>
  </r>
  <r>
    <x v="5663"/>
    <d v="1899-12-30T00:00:21"/>
    <x v="699"/>
    <x v="0"/>
    <s v="Buffalo"/>
    <x v="111"/>
    <n v="1166322"/>
    <x v="0"/>
    <s v="Architecture"/>
    <s v="9781118418512"/>
    <s v=",1,3,2,153,154,155,152,151"/>
    <n v="8"/>
    <m/>
    <m/>
    <s v="No"/>
    <x v="1"/>
    <m/>
    <m/>
    <s v="128.205.114.91"/>
    <s v="NA2000 -- .G76 2013eb"/>
    <n v="720.072"/>
    <d v="2013-04-03T00:00:00"/>
  </r>
  <r>
    <x v="5664"/>
    <d v="1899-12-30T00:00:26"/>
    <x v="1404"/>
    <x v="3"/>
    <s v="canton"/>
    <x v="1334"/>
    <n v="2031464"/>
    <x v="3"/>
    <s v="Social Science"/>
    <s v="9780520958081"/>
    <s v=",213,214,116,117,118,114,115"/>
    <n v="7"/>
    <m/>
    <m/>
    <s v="No"/>
    <x v="2"/>
    <d v="2015-10-15T13:54:41"/>
    <n v="1"/>
    <s v="137.37.33.33"/>
    <s v="HV7936.P8 B69 2015"/>
    <s v="363.2/30896073077865"/>
    <d v="2015-08-01T00:00:00"/>
  </r>
  <r>
    <x v="5665"/>
    <d v="1899-12-30T00:05:01"/>
    <x v="1404"/>
    <x v="3"/>
    <s v="canton"/>
    <x v="1334"/>
    <n v="2031464"/>
    <x v="3"/>
    <s v="Social Science"/>
    <s v="9780520958081"/>
    <s v=",1,2,3,72,73,74,70,71,75,77,78,79,210,212,208,209"/>
    <n v="16"/>
    <m/>
    <m/>
    <s v="No"/>
    <x v="3"/>
    <m/>
    <m/>
    <s v="137.37.33.33"/>
    <s v="HV7936.P8 B69 2015"/>
    <s v="363.2/30896073077865"/>
    <d v="2015-08-01T00:00:00"/>
  </r>
  <r>
    <x v="5666"/>
    <d v="1899-12-30T00:01:43"/>
    <x v="609"/>
    <x v="0"/>
    <s v="Buffalo"/>
    <x v="477"/>
    <n v="1120279"/>
    <x v="0"/>
    <s v="Science: Biology/Natural History; Science"/>
    <s v="9781118537671"/>
    <s v=",1,2,3,21,22,23,19,20,24,25,26"/>
    <n v="11"/>
    <m/>
    <m/>
    <s v="No"/>
    <x v="1"/>
    <m/>
    <m/>
    <s v="128.205.114.91"/>
    <s v="QH371 .K384 2012"/>
    <n v="599.93499999999995"/>
    <d v="2012-11-19T00:00:00"/>
  </r>
  <r>
    <x v="5667"/>
    <d v="1899-12-30T00:00:48"/>
    <x v="26"/>
    <x v="6"/>
    <s v="sjfc"/>
    <x v="1335"/>
    <n v="1753760"/>
    <x v="0"/>
    <s v="Business/Management"/>
    <s v="9781118898505"/>
    <s v=",1,2,3,25,26,27,23,24,22,21"/>
    <n v="10"/>
    <m/>
    <m/>
    <s v="No"/>
    <x v="3"/>
    <m/>
    <m/>
    <s v="149.69.254.57"/>
    <s v="HF5549 -- .M6675 2014eb"/>
    <s v="658.3/01"/>
    <d v="2014-07-25T00:00:00"/>
  </r>
  <r>
    <x v="5668"/>
    <d v="1899-12-30T00:00:00"/>
    <x v="1391"/>
    <x v="6"/>
    <s v="sjfc"/>
    <x v="713"/>
    <n v="565082"/>
    <x v="0"/>
    <s v="Education"/>
    <s v="9781118041567"/>
    <s v=",65"/>
    <n v="1"/>
    <m/>
    <m/>
    <s v="No"/>
    <x v="0"/>
    <d v="2015-10-15T13:01:18"/>
    <n v="7"/>
    <s v="149.69.254.57"/>
    <s v="LB1775 .P25 2010"/>
    <s v="371.1; 371.102"/>
    <d v="2010-06-08T00:00:00"/>
  </r>
  <r>
    <x v="5669"/>
    <d v="1899-12-30T00:17:47"/>
    <x v="1391"/>
    <x v="6"/>
    <s v="sjfc"/>
    <x v="713"/>
    <n v="565082"/>
    <x v="0"/>
    <s v="Education"/>
    <s v="9781118041567"/>
    <s v=",1,2,3,60,61,62,58,59,2,63,64"/>
    <n v="10"/>
    <m/>
    <m/>
    <s v="No"/>
    <x v="1"/>
    <m/>
    <m/>
    <s v="149.69.254.57"/>
    <s v="LB1775 .P25 2010"/>
    <s v="371.1; 371.102"/>
    <d v="2010-06-08T00:00:00"/>
  </r>
  <r>
    <x v="5670"/>
    <d v="1899-12-30T00:00:00"/>
    <x v="170"/>
    <x v="9"/>
    <s v="trocaire"/>
    <x v="1330"/>
    <n v="832577"/>
    <x v="0"/>
    <s v="Fine Arts; Literature"/>
    <s v="9781118226360"/>
    <m/>
    <n v="0"/>
    <m/>
    <m/>
    <s v="Yes"/>
    <x v="0"/>
    <d v="2015-10-15T11:10:40"/>
    <n v="7"/>
    <s v="173.225.62.67"/>
    <s v="PN6728.B36 -- L36 2012eb"/>
    <s v="741.5/973"/>
    <d v="2012-05-22T00:00:00"/>
  </r>
  <r>
    <x v="5670"/>
    <d v="1899-12-30T00:00:00"/>
    <x v="170"/>
    <x v="9"/>
    <s v="trocaire"/>
    <x v="1330"/>
    <n v="832577"/>
    <x v="0"/>
    <s v="Fine Arts; Literature"/>
    <s v="9781118226360"/>
    <m/>
    <n v="0"/>
    <m/>
    <m/>
    <s v="No"/>
    <x v="0"/>
    <d v="2015-10-15T11:10:40"/>
    <n v="7"/>
    <s v="173.225.62.67"/>
    <s v="PN6728.B36 -- L36 2012eb"/>
    <s v="741.5/973"/>
    <d v="2012-05-22T00:00:00"/>
  </r>
  <r>
    <x v="5671"/>
    <d v="1899-12-30T00:00:09"/>
    <x v="170"/>
    <x v="9"/>
    <s v="trocaire"/>
    <x v="1330"/>
    <n v="832577"/>
    <x v="0"/>
    <s v="Fine Arts; Literature"/>
    <s v="9781118226360"/>
    <s v=",1,2,3"/>
    <n v="3"/>
    <m/>
    <m/>
    <s v="No"/>
    <x v="1"/>
    <m/>
    <m/>
    <s v="173.225.62.67"/>
    <s v="PN6728.B36 -- L36 2012eb"/>
    <s v="741.5/973"/>
    <d v="2012-05-22T00:00:00"/>
  </r>
  <r>
    <x v="5672"/>
    <d v="1899-12-30T00:00:48"/>
    <x v="13"/>
    <x v="0"/>
    <s v="Buffalo"/>
    <x v="381"/>
    <n v="1138225"/>
    <x v="0"/>
    <s v="Mathematics"/>
    <s v="9781118548356"/>
    <s v=",1,2,3,53,54,55,51,52,57,56,59,58,60,61,62,63,64"/>
    <n v="17"/>
    <m/>
    <m/>
    <s v="No"/>
    <x v="1"/>
    <m/>
    <m/>
    <s v="128.205.114.91"/>
    <s v="QA278.2 .H67 2013"/>
    <n v="519.53599999999994"/>
    <d v="2013-02-26T00:00:00"/>
  </r>
  <r>
    <x v="5673"/>
    <d v="1899-12-30T00:00:00"/>
    <x v="170"/>
    <x v="9"/>
    <s v="trocaire"/>
    <x v="1336"/>
    <n v="3058555"/>
    <x v="9"/>
    <s v="Computer Science/IT"/>
    <s v="9781119998808"/>
    <m/>
    <n v="0"/>
    <m/>
    <m/>
    <s v="Yes"/>
    <x v="2"/>
    <d v="2015-10-15T01:36:00"/>
    <n v="1"/>
    <s v="173.225.62.67"/>
    <s v="TK5105.8885.W66.H43 2011eb"/>
    <s v="006.7/8"/>
    <d v="2036-01-01T00:00:00"/>
  </r>
  <r>
    <x v="5674"/>
    <d v="1899-12-30T00:00:04"/>
    <x v="170"/>
    <x v="9"/>
    <s v="trocaire"/>
    <x v="1336"/>
    <n v="3058555"/>
    <x v="9"/>
    <s v="Computer Science/IT"/>
    <s v="9781119998808"/>
    <s v=",1,2,3"/>
    <n v="3"/>
    <m/>
    <m/>
    <s v="No"/>
    <x v="2"/>
    <d v="2015-10-15T01:36:00"/>
    <n v="1"/>
    <s v="173.225.62.67"/>
    <s v="TK5105.8885.W66.H43 2011eb"/>
    <s v="006.7/8"/>
    <d v="2036-01-01T00:00:00"/>
  </r>
  <r>
    <x v="5675"/>
    <d v="1899-12-30T00:00:04"/>
    <x v="170"/>
    <x v="9"/>
    <s v="trocaire"/>
    <x v="1336"/>
    <n v="3058555"/>
    <x v="9"/>
    <s v="Computer Science/IT"/>
    <s v="9781119998808"/>
    <s v=",1,2,3"/>
    <n v="3"/>
    <m/>
    <m/>
    <s v="No"/>
    <x v="2"/>
    <d v="2015-10-15T01:36:00"/>
    <n v="1"/>
    <s v="173.225.62.67"/>
    <s v="TK5105.8885.W66.H43 2011eb"/>
    <s v="006.7/8"/>
    <d v="2036-01-01T00:00:00"/>
  </r>
  <r>
    <x v="5676"/>
    <d v="1899-12-30T00:00:00"/>
    <x v="838"/>
    <x v="0"/>
    <s v="Buffalo"/>
    <x v="344"/>
    <n v="1691133"/>
    <x v="4"/>
    <s v="Medicine"/>
    <s v="9781462516278"/>
    <m/>
    <n v="0"/>
    <s v=",1"/>
    <m/>
    <s v="No"/>
    <x v="0"/>
    <d v="2015-10-15T02:45:53"/>
    <n v="7"/>
    <s v="128.205.114.91"/>
    <s v="RC552.P67 -- .H353 2014eb"/>
    <s v="616.85/21"/>
    <d v="2014-05-15T00:00:00"/>
  </r>
  <r>
    <x v="5677"/>
    <d v="1899-12-30T00:00:47"/>
    <x v="838"/>
    <x v="0"/>
    <s v="Buffalo"/>
    <x v="344"/>
    <n v="1691133"/>
    <x v="4"/>
    <s v="Medicine"/>
    <s v="9781462516278"/>
    <s v=",1,2,3,4,5,6,7,8,9,10"/>
    <n v="10"/>
    <m/>
    <m/>
    <s v="No"/>
    <x v="1"/>
    <m/>
    <m/>
    <s v="128.205.114.91"/>
    <s v="RC552.P67 -- .H353 2014eb"/>
    <s v="616.85/21"/>
    <d v="2014-05-15T00:00:00"/>
  </r>
  <r>
    <x v="5678"/>
    <d v="1899-12-30T00:40:49"/>
    <x v="1405"/>
    <x v="6"/>
    <s v="sjfc"/>
    <x v="713"/>
    <n v="565082"/>
    <x v="0"/>
    <s v="Education"/>
    <s v="9781118041567"/>
    <s v=",60,61,62,58,59,65,60,60,60,60,63,64,65,66,67,68,69,70,71,72,73,74,75,76,77,78,79,81,80,82,83,84,85,87,86,88"/>
    <n v="31"/>
    <m/>
    <m/>
    <s v="Yes"/>
    <x v="0"/>
    <d v="2015-10-13T16:55:02"/>
    <n v="7"/>
    <s v="149.69.254.57"/>
    <s v="LB1775 .P25 2010"/>
    <s v="371.1; 371.102"/>
    <d v="2010-06-08T00:00:00"/>
  </r>
  <r>
    <x v="5679"/>
    <d v="1899-12-30T00:00:00"/>
    <x v="1405"/>
    <x v="6"/>
    <s v="sjfc"/>
    <x v="713"/>
    <n v="565082"/>
    <x v="0"/>
    <s v="Education"/>
    <s v="9781118041567"/>
    <m/>
    <n v="0"/>
    <m/>
    <m/>
    <s v="Yes"/>
    <x v="0"/>
    <d v="2015-10-13T16:55:02"/>
    <n v="7"/>
    <s v="149.69.254.57"/>
    <s v="LB1775 .P25 2010"/>
    <s v="371.1; 371.102"/>
    <d v="2010-06-08T00:00:00"/>
  </r>
  <r>
    <x v="5680"/>
    <d v="1899-12-30T00:02:56"/>
    <x v="1406"/>
    <x v="1"/>
    <s v="brockport"/>
    <x v="1337"/>
    <n v="1129662"/>
    <x v="0"/>
    <s v="Business/Management"/>
    <s v="9781118333792"/>
    <s v=",1,2,3,20,21,22,18,19,41,54,55,56,53,52,65,66,67,63,64,68,69,70,36,37,38,34,35,40,42,39,43,44"/>
    <n v="32"/>
    <m/>
    <m/>
    <s v="No"/>
    <x v="3"/>
    <m/>
    <m/>
    <s v="137.21.7.121"/>
    <s v="HD62.6 -- .K37 2013eb"/>
    <s v="659.2/8802854678"/>
    <d v="2013-01-10T00:00:00"/>
  </r>
  <r>
    <x v="5681"/>
    <d v="1899-12-30T01:48:45"/>
    <x v="13"/>
    <x v="0"/>
    <s v="Buffalo"/>
    <x v="500"/>
    <n v="699744"/>
    <x v="0"/>
    <s v="Engineering; Engineering: Electrical; Engineering: Civil"/>
    <s v="9781118585818"/>
    <s v=",1185,1187,1184,1183,1186,1166,1167,1168,1164,1169,1161,1162,1163,1159,1160,1158,701,702,703,700,704,705,706,682,684,651,651,652,653,649,650,654,655,656,657,658,659,660,661,662,663,664,665,666,667,668,669,670,671,672,673,674,675,676,677,678,679,680,681,682,683,684,685,686,687,688,689,690,691,692,693,694,695,696,697,698,700,701,702,703,704,705"/>
    <n v="73"/>
    <m/>
    <m/>
    <s v="Yes"/>
    <x v="0"/>
    <d v="2015-10-13T17:47:46"/>
    <n v="7"/>
    <s v="128.205.114.91"/>
    <s v="TA1520 -- .S24 2007eb"/>
    <n v="621.36"/>
    <d v="2013-02-05T00:00:00"/>
  </r>
  <r>
    <x v="5682"/>
    <d v="1899-12-30T00:51:06"/>
    <x v="170"/>
    <x v="9"/>
    <s v="trocaire"/>
    <x v="1336"/>
    <n v="3058555"/>
    <x v="9"/>
    <s v="Computer Science/IT"/>
    <s v="9781119998808"/>
    <s v=",21,22,23,19,20,24,25,26,27,28"/>
    <n v="10"/>
    <m/>
    <m/>
    <s v="Yes"/>
    <x v="2"/>
    <d v="2015-10-15T01:36:00"/>
    <n v="1"/>
    <s v="173.225.62.67"/>
    <s v="TK5105.8885.W66.H43 2011eb"/>
    <s v="006.7/8"/>
    <d v="2036-01-01T00:00:00"/>
  </r>
  <r>
    <x v="5683"/>
    <d v="1899-12-30T00:00:51"/>
    <x v="170"/>
    <x v="9"/>
    <s v="trocaire"/>
    <x v="1336"/>
    <n v="3058555"/>
    <x v="9"/>
    <s v="Computer Science/IT"/>
    <s v="9781119998808"/>
    <s v=",1,2,3"/>
    <n v="3"/>
    <m/>
    <m/>
    <s v="Yes"/>
    <x v="2"/>
    <d v="2015-10-15T01:36:00"/>
    <n v="1"/>
    <s v="173.225.62.67"/>
    <s v="TK5105.8885.W66.H43 2011eb"/>
    <s v="006.7/8"/>
    <d v="2036-01-01T00:00:00"/>
  </r>
  <r>
    <x v="5684"/>
    <d v="1899-12-30T00:32:55"/>
    <x v="1405"/>
    <x v="6"/>
    <s v="sjfc"/>
    <x v="713"/>
    <n v="565082"/>
    <x v="0"/>
    <s v="Education"/>
    <s v="9781118041567"/>
    <s v=",1,60,62,61,58,59,2,60,60,57,56,1,57,58,56,54,55,53,52,51,60,61,62,59,2,63,1,64,65,63,61,62,60,58,59,2,1,2,3,4"/>
    <n v="19"/>
    <m/>
    <s v=",60,61,62,63,64,65,66,67,68,69,70,71,72,73,74,75,76,77,78,79,80,81,82,83,84,85,86,60,61,62,63,64,65,66,67,68,69,70,71,72,73,74,75,76,77,78,79,80,81,82,83,84,85,86"/>
    <s v="No"/>
    <x v="0"/>
    <d v="2015-10-13T16:55:02"/>
    <n v="7"/>
    <s v="149.69.254.57"/>
    <s v="LB1775 .P25 2010"/>
    <s v="371.1; 371.102"/>
    <d v="2010-06-08T00:00:00"/>
  </r>
  <r>
    <x v="5685"/>
    <d v="1899-12-30T00:27:08"/>
    <x v="13"/>
    <x v="0"/>
    <s v="Buffalo"/>
    <x v="500"/>
    <n v="699744"/>
    <x v="0"/>
    <s v="Engineering; Engineering: Electrical; Engineering: Civil"/>
    <s v="9781118585818"/>
    <s v=",1,2,3,482,483,484,480,481,485,486,487,488,489,492,493,494,490,491,541,542,543,544,540,545,684,685,686,682,683,687,688,689,690,691,692,693,694,695,696,697,698,699"/>
    <n v="42"/>
    <m/>
    <m/>
    <s v="No"/>
    <x v="0"/>
    <d v="2015-10-13T17:47:46"/>
    <n v="7"/>
    <s v="128.205.114.91"/>
    <s v="TA1520 -- .S24 2007eb"/>
    <n v="621.36"/>
    <d v="2013-02-05T00:00:00"/>
  </r>
  <r>
    <x v="5686"/>
    <d v="1899-12-30T00:19:06"/>
    <x v="170"/>
    <x v="9"/>
    <s v="trocaire"/>
    <x v="1336"/>
    <n v="3058555"/>
    <x v="9"/>
    <s v="Computer Science/IT"/>
    <s v="9781119998808"/>
    <s v=",4"/>
    <n v="1"/>
    <m/>
    <m/>
    <s v="Yes"/>
    <x v="2"/>
    <d v="2015-10-15T01:36:00"/>
    <n v="1"/>
    <s v="173.225.62.67"/>
    <s v="TK5105.8885.W66.H43 2011eb"/>
    <s v="006.7/8"/>
    <d v="2036-01-01T00:00:00"/>
  </r>
  <r>
    <x v="5686"/>
    <d v="1899-12-30T00:00:00"/>
    <x v="170"/>
    <x v="9"/>
    <s v="trocaire"/>
    <x v="1336"/>
    <n v="3058555"/>
    <x v="9"/>
    <s v="Computer Science/IT"/>
    <s v="9781119998808"/>
    <m/>
    <n v="0"/>
    <m/>
    <m/>
    <s v="No"/>
    <x v="2"/>
    <d v="2015-10-15T01:36:00"/>
    <n v="1"/>
    <s v="173.225.62.67"/>
    <s v="TK5105.8885.W66.H43 2011eb"/>
    <s v="006.7/8"/>
    <d v="2036-01-01T00:00:00"/>
  </r>
  <r>
    <x v="5687"/>
    <d v="1899-12-30T00:00:55"/>
    <x v="170"/>
    <x v="9"/>
    <s v="trocaire"/>
    <x v="1336"/>
    <n v="3058555"/>
    <x v="9"/>
    <s v="Computer Science/IT"/>
    <s v="9781119998808"/>
    <s v=",1,2,3"/>
    <n v="3"/>
    <m/>
    <m/>
    <s v="No"/>
    <x v="3"/>
    <m/>
    <m/>
    <s v="173.225.62.67"/>
    <s v="TK5105.8885.W66.H43 2011eb"/>
    <s v="006.7/8"/>
    <d v="2036-01-01T00:00:00"/>
  </r>
  <r>
    <x v="5688"/>
    <d v="1899-12-30T00:35:38"/>
    <x v="1390"/>
    <x v="6"/>
    <s v="sjfc"/>
    <x v="713"/>
    <n v="565082"/>
    <x v="0"/>
    <s v="Education"/>
    <s v="9781118041567"/>
    <s v=",67,68,69,70,71,72,73,74,75,76,77,78,79,80,81,82,83,84,85,86,87,88"/>
    <n v="22"/>
    <m/>
    <m/>
    <s v="No"/>
    <x v="0"/>
    <d v="2015-10-15T01:25:35"/>
    <n v="7"/>
    <s v="149.69.254.57"/>
    <s v="LB1775 .P25 2010"/>
    <s v="371.1; 371.102"/>
    <d v="2010-06-08T00:00:00"/>
  </r>
  <r>
    <x v="5689"/>
    <d v="1899-12-30T00:11:03"/>
    <x v="1390"/>
    <x v="6"/>
    <s v="sjfc"/>
    <x v="713"/>
    <n v="565082"/>
    <x v="0"/>
    <s v="Education"/>
    <s v="9781118041567"/>
    <s v=",1,2,3,60,62,61,58,59,63,64,65,66"/>
    <n v="12"/>
    <m/>
    <m/>
    <s v="No"/>
    <x v="1"/>
    <m/>
    <m/>
    <s v="149.69.254.57"/>
    <s v="LB1775 .P25 2010"/>
    <s v="371.1; 371.102"/>
    <d v="2010-06-08T00:00:00"/>
  </r>
  <r>
    <x v="5690"/>
    <d v="1899-12-30T00:00:02"/>
    <x v="913"/>
    <x v="1"/>
    <s v="brockport"/>
    <x v="151"/>
    <n v="968030"/>
    <x v="0"/>
    <s v="Psychology"/>
    <s v="9781118285138"/>
    <s v=",7,1,8,9,5,6"/>
    <n v="6"/>
    <m/>
    <m/>
    <s v="No"/>
    <x v="0"/>
    <d v="2015-10-15T01:13:35"/>
    <n v="7"/>
    <s v="137.21.7.121"/>
    <s v="BF637.C6 -- S85 2013eb"/>
    <n v="158.30000000000001"/>
    <d v="2012-07-10T00:00:00"/>
  </r>
  <r>
    <x v="5691"/>
    <d v="1899-12-30T00:16:14"/>
    <x v="913"/>
    <x v="1"/>
    <s v="brockport"/>
    <x v="151"/>
    <n v="968030"/>
    <x v="0"/>
    <s v="Psychology"/>
    <s v="9781118285138"/>
    <s v=",1,2,3,9,10,6,7"/>
    <n v="7"/>
    <m/>
    <m/>
    <s v="No"/>
    <x v="1"/>
    <m/>
    <m/>
    <s v="137.21.7.121"/>
    <s v="BF637.C6 -- S85 2013eb"/>
    <n v="158.30000000000001"/>
    <d v="2012-07-10T00:00:00"/>
  </r>
  <r>
    <x v="5692"/>
    <d v="1899-12-30T00:01:48"/>
    <x v="913"/>
    <x v="1"/>
    <s v="brockport"/>
    <x v="151"/>
    <n v="968030"/>
    <x v="0"/>
    <s v="Psychology"/>
    <s v="9781118285138"/>
    <s v=",1,2,3,3,4,1,2,5,9,10,6,7,63,64,60,61"/>
    <n v="13"/>
    <m/>
    <m/>
    <s v="No"/>
    <x v="1"/>
    <m/>
    <m/>
    <s v="137.21.7.121"/>
    <s v="BF637.C6 -- S85 2013eb"/>
    <n v="158.30000000000001"/>
    <d v="2012-07-10T00:00:00"/>
  </r>
  <r>
    <x v="5693"/>
    <d v="1899-12-30T00:01:37"/>
    <x v="1407"/>
    <x v="1"/>
    <s v="brockport"/>
    <x v="1338"/>
    <n v="1762074"/>
    <x v="0"/>
    <s v="Education"/>
    <s v="9781118885901"/>
    <s v=",1,2,3,344,345,346,342,341,340,338,339,347,348,350"/>
    <n v="14"/>
    <m/>
    <m/>
    <s v="No"/>
    <x v="3"/>
    <m/>
    <m/>
    <s v="137.21.7.121"/>
    <s v="LC3731 -- .W355 2014eb"/>
    <n v="372.6"/>
    <d v="2014-08-01T00:00:00"/>
  </r>
  <r>
    <x v="5694"/>
    <d v="1899-12-30T00:19:30"/>
    <x v="920"/>
    <x v="0"/>
    <s v="Buffalo"/>
    <x v="111"/>
    <n v="1166322"/>
    <x v="0"/>
    <s v="Architecture"/>
    <s v="9781118418512"/>
    <s v=",1,2,3,113,114,115,111,112"/>
    <n v="8"/>
    <m/>
    <m/>
    <s v="No"/>
    <x v="0"/>
    <d v="2015-10-14T22:34:14"/>
    <n v="7"/>
    <s v="128.205.114.91"/>
    <s v="NA2000 -- .G76 2013eb"/>
    <n v="720.072"/>
    <d v="2013-04-03T00:00:00"/>
  </r>
  <r>
    <x v="5695"/>
    <d v="1899-12-30T00:20:27"/>
    <x v="920"/>
    <x v="0"/>
    <s v="Buffalo"/>
    <x v="111"/>
    <n v="1166322"/>
    <x v="0"/>
    <s v="Architecture"/>
    <s v="9781118418512"/>
    <s v=",1,2,3,113,114,115,111,112,116,153,154,155,151,152,150,148,149,117,118,119"/>
    <n v="20"/>
    <m/>
    <m/>
    <s v="No"/>
    <x v="1"/>
    <m/>
    <m/>
    <s v="128.205.114.91"/>
    <s v="NA2000 -- .G76 2013eb"/>
    <n v="720.072"/>
    <d v="2013-04-03T00:00:00"/>
  </r>
  <r>
    <x v="5696"/>
    <d v="1899-12-30T00:00:00"/>
    <x v="26"/>
    <x v="6"/>
    <s v="sjfc"/>
    <x v="1339"/>
    <n v="1770687"/>
    <x v="0"/>
    <s v="Health"/>
    <s v="9781118877692"/>
    <s v=",22"/>
    <n v="1"/>
    <m/>
    <m/>
    <s v="No"/>
    <x v="0"/>
    <d v="2015-10-14T22:08:12"/>
    <n v="7"/>
    <s v="149.69.254.57"/>
    <s v="TX357 -- .D396 2014eb"/>
    <n v="613.20190000000002"/>
    <d v="2014-08-19T00:00:00"/>
  </r>
  <r>
    <x v="5697"/>
    <d v="1899-12-30T00:19:58"/>
    <x v="26"/>
    <x v="6"/>
    <s v="sjfc"/>
    <x v="1339"/>
    <n v="1770687"/>
    <x v="0"/>
    <s v="Health"/>
    <s v="9781118877692"/>
    <s v=",1,2,3,16,17,18,14,15,19,20,21,22,23,24,25,26,27"/>
    <n v="17"/>
    <m/>
    <m/>
    <s v="No"/>
    <x v="3"/>
    <m/>
    <m/>
    <s v="149.69.254.57"/>
    <s v="TX357 -- .D396 2014eb"/>
    <n v="613.20190000000002"/>
    <d v="2014-08-19T00:00:00"/>
  </r>
  <r>
    <x v="5698"/>
    <d v="1899-12-30T00:00:03"/>
    <x v="1335"/>
    <x v="13"/>
    <s v="buffalostate"/>
    <x v="1340"/>
    <n v="1574614"/>
    <x v="3"/>
    <s v="Social Science"/>
    <s v="9780520957619"/>
    <s v=",110,109,107,108"/>
    <n v="4"/>
    <m/>
    <m/>
    <s v="No"/>
    <x v="2"/>
    <d v="2015-10-14T21:27:05"/>
    <n v="1"/>
    <s v="136.183.11.43"/>
    <s v="GT2853.U5 -- T87 2014eb"/>
    <n v="394.12"/>
    <d v="2014-01-10T00:00:00"/>
  </r>
  <r>
    <x v="5699"/>
    <d v="1899-12-30T00:00:03"/>
    <x v="170"/>
    <x v="9"/>
    <s v="trocaire"/>
    <x v="174"/>
    <n v="1895867"/>
    <x v="0"/>
    <s v="Computer Science/IT"/>
    <s v="9781118987186"/>
    <s v=",1,2,3"/>
    <n v="3"/>
    <m/>
    <m/>
    <s v="No"/>
    <x v="3"/>
    <m/>
    <m/>
    <s v="173.225.62.67"/>
    <s v="TK5105.8885.W66 -- W55 2015eb"/>
    <n v="6.7519999999999998"/>
    <d v="2014-12-17T00:00:00"/>
  </r>
  <r>
    <x v="5700"/>
    <d v="1899-12-30T00:01:39"/>
    <x v="170"/>
    <x v="9"/>
    <s v="trocaire"/>
    <x v="1269"/>
    <n v="1895305"/>
    <x v="0"/>
    <s v="Computer Science/IT"/>
    <s v="9781119047650"/>
    <s v=",1,2,3,34,35,33,4,5,6,7,8,9,10,11,12"/>
    <n v="15"/>
    <m/>
    <m/>
    <s v="No"/>
    <x v="3"/>
    <m/>
    <m/>
    <s v="173.225.62.67"/>
    <s v="TK5105.888"/>
    <n v="6.7519999999999998"/>
    <d v="2015-05-27T00:00:00"/>
  </r>
  <r>
    <x v="5701"/>
    <d v="1899-12-30T00:00:03"/>
    <x v="170"/>
    <x v="9"/>
    <s v="trocaire"/>
    <x v="170"/>
    <n v="1636080"/>
    <x v="13"/>
    <s v="Computer Science/IT"/>
    <s v="9781118600702"/>
    <s v=",1,2,3"/>
    <n v="3"/>
    <m/>
    <m/>
    <s v="No"/>
    <x v="1"/>
    <m/>
    <m/>
    <s v="173.225.62.67"/>
    <s v="TK5105.8885.W66 -- H43 2014eb"/>
    <n v="6.7519999999999998"/>
    <d v="2014-03-03T00:00:00"/>
  </r>
  <r>
    <x v="5702"/>
    <d v="1899-12-30T00:09:03"/>
    <x v="1335"/>
    <x v="13"/>
    <s v="buffalostate"/>
    <x v="1340"/>
    <n v="1574614"/>
    <x v="3"/>
    <s v="Social Science"/>
    <s v="9780520957619"/>
    <s v=",1,2,3,4,5,6,7,8,9,10,11,12,13,14,15,16,17,18,19,20,156,211,113,114,111,112"/>
    <n v="26"/>
    <m/>
    <m/>
    <s v="No"/>
    <x v="3"/>
    <m/>
    <m/>
    <s v="136.183.11.43"/>
    <s v="GT2853.U5 -- T87 2014eb"/>
    <n v="394.12"/>
    <d v="2014-01-10T00:00:00"/>
  </r>
  <r>
    <x v="5703"/>
    <d v="1899-12-30T00:03:05"/>
    <x v="1335"/>
    <x v="13"/>
    <s v="buffalostate"/>
    <x v="1199"/>
    <n v="1190428"/>
    <x v="3"/>
    <s v="Health; Social Science"/>
    <s v="9780520955066"/>
    <s v=",1,2,3,4,5,512,148,6,7,8,9,10,11"/>
    <n v="13"/>
    <m/>
    <m/>
    <s v="No"/>
    <x v="1"/>
    <m/>
    <m/>
    <s v="136.183.11.43"/>
    <s v="TX360.U6 -- N47 2013eb"/>
    <s v="363.8/5/0973"/>
    <d v="2013-05-14T00:00:00"/>
  </r>
  <r>
    <x v="5704"/>
    <d v="1899-12-30T00:05:18"/>
    <x v="1408"/>
    <x v="7"/>
    <s v="oneonta"/>
    <x v="1341"/>
    <n v="818552"/>
    <x v="0"/>
    <s v="Science; Science: Geology"/>
    <s v="9781119951896"/>
    <s v=",1,3,2,1,1,1,9"/>
    <n v="4"/>
    <m/>
    <m/>
    <s v="No"/>
    <x v="1"/>
    <m/>
    <m/>
    <s v="137.141.13.2"/>
    <s v="GB2803.2 -- .S58 2012eb"/>
    <n v="551.57000000000005"/>
    <d v="2012-02-17T00:00:00"/>
  </r>
  <r>
    <x v="5705"/>
    <d v="1899-12-30T00:15:24"/>
    <x v="1368"/>
    <x v="0"/>
    <s v="Buffalo"/>
    <x v="732"/>
    <n v="1909817"/>
    <x v="4"/>
    <s v="Medicine"/>
    <s v="9781462520602"/>
    <s v=",25,26,27,28,29,30,58,59,56,57,60,107,108,109,105,106,110,111,112,113,114,112,113,114,115,116,117,118"/>
    <n v="25"/>
    <m/>
    <m/>
    <s v="No"/>
    <x v="2"/>
    <d v="2015-10-14T21:01:41"/>
    <n v="1"/>
    <s v="128.205.114.91"/>
    <s v="RC556 -- .W563 2015eb"/>
    <n v="616"/>
    <d v="2015-06-10T00:00:00"/>
  </r>
  <r>
    <x v="5706"/>
    <d v="1899-12-30T00:04:05"/>
    <x v="1395"/>
    <x v="12"/>
    <s v="potsdam"/>
    <x v="1329"/>
    <n v="1896027"/>
    <x v="0"/>
    <s v="Mathematics"/>
    <s v="9781119062790"/>
    <s v=",194,194,195,195,196,196,191,196,191,196,191,193,193,194,195,193,194,195,191,192"/>
    <n v="6"/>
    <m/>
    <m/>
    <s v="No"/>
    <x v="2"/>
    <d v="2015-10-14T20:52:33"/>
    <n v="1"/>
    <s v="137.143.104.94"/>
    <s v="QA241 .L384 2015"/>
    <n v="512.70000000000005"/>
    <d v="2015-05-06T00:00:00"/>
  </r>
  <r>
    <x v="5707"/>
    <d v="1899-12-30T00:05:36"/>
    <x v="1395"/>
    <x v="12"/>
    <s v="potsdam"/>
    <x v="1329"/>
    <n v="1896027"/>
    <x v="0"/>
    <s v="Mathematics"/>
    <s v="9781119062790"/>
    <s v=",1,2,1,3,2,3,4,4,5,5,6,7,7,6,8,8,9,2,9,10,10,11,7,11,12,12,13,13,14,14,176,176,168,168,169,169,170,170,166,167,167,171,166,171,171,172,172,173,173,174,174,175,175,176,177,177,178,180,178,180,179,179,181,181,182,182,183,183,184,184,185,185,187,183,187,186,188,186,188,189,189,190,190,191,191,192,192,193,193"/>
    <n v="42"/>
    <m/>
    <m/>
    <s v="No"/>
    <x v="3"/>
    <m/>
    <m/>
    <s v="137.143.104.94"/>
    <s v="QA241 .L384 2015"/>
    <n v="512.70000000000005"/>
    <d v="2015-05-06T00:00:00"/>
  </r>
  <r>
    <x v="5708"/>
    <d v="1899-12-30T00:00:49"/>
    <x v="1409"/>
    <x v="0"/>
    <s v="Buffalo"/>
    <x v="1133"/>
    <n v="2025594"/>
    <x v="3"/>
    <s v="Agriculture"/>
    <s v="9780520961838"/>
    <s v=",1,2,3,4,5,6,7,8,9,10,11,12,13,14,15"/>
    <n v="15"/>
    <m/>
    <m/>
    <s v="No"/>
    <x v="3"/>
    <m/>
    <m/>
    <s v="128.205.114.91"/>
    <s v="SH167.S17"/>
    <s v="639.3; 639.3/755"/>
    <d v="2015-06-30T00:00:00"/>
  </r>
  <r>
    <x v="5709"/>
    <d v="1899-12-30T00:30:13"/>
    <x v="1368"/>
    <x v="0"/>
    <s v="Buffalo"/>
    <x v="732"/>
    <n v="1909817"/>
    <x v="4"/>
    <s v="Medicine"/>
    <s v="9781462520602"/>
    <s v=",1,2,3,23,24,25,21,22,20"/>
    <n v="9"/>
    <m/>
    <m/>
    <s v="No"/>
    <x v="3"/>
    <m/>
    <m/>
    <s v="128.205.114.91"/>
    <s v="RC556 -- .W563 2015eb"/>
    <n v="616"/>
    <d v="2015-06-10T00:00:00"/>
  </r>
  <r>
    <x v="5710"/>
    <d v="1899-12-30T00:01:34"/>
    <x v="165"/>
    <x v="1"/>
    <s v="brockport"/>
    <x v="1342"/>
    <n v="1866583"/>
    <x v="0"/>
    <s v="Business/Management; Economics"/>
    <s v="9781119966074"/>
    <s v=",379,380,381,382,383,384,73,74,75,76,77"/>
    <n v="11"/>
    <m/>
    <m/>
    <s v="No"/>
    <x v="0"/>
    <d v="2015-10-14T19:59:57"/>
    <n v="7"/>
    <s v="137.21.7.121"/>
    <s v="HG106 -- .C495 2014eb"/>
    <s v="332.01/51922"/>
    <d v="2014-11-20T00:00:00"/>
  </r>
  <r>
    <x v="5711"/>
    <d v="1899-12-30T00:00:28"/>
    <x v="1286"/>
    <x v="1"/>
    <s v="brockport"/>
    <x v="151"/>
    <n v="968030"/>
    <x v="0"/>
    <s v="Psychology"/>
    <s v="9781118285138"/>
    <s v=",1,3,2,4,5"/>
    <n v="5"/>
    <m/>
    <m/>
    <s v="No"/>
    <x v="1"/>
    <m/>
    <m/>
    <s v="137.21.7.121"/>
    <s v="BF637.C6 -- S85 2013eb"/>
    <n v="158.30000000000001"/>
    <d v="2012-07-10T00:00:00"/>
  </r>
  <r>
    <x v="5712"/>
    <d v="1899-12-30T00:05:02"/>
    <x v="165"/>
    <x v="1"/>
    <s v="brockport"/>
    <x v="1342"/>
    <n v="1866583"/>
    <x v="0"/>
    <s v="Business/Management; Economics"/>
    <s v="9781119966074"/>
    <s v=",1,2,3,69,70,71,67,68,72,73,74,107,108,109,105,106,110,111,349,350,351,348,347,352,353,354,355,356,357,358,359,360,361,363,364,365,366,367,368,369,370,371,372,375,376,377,373,374,378"/>
    <n v="49"/>
    <m/>
    <m/>
    <s v="No"/>
    <x v="3"/>
    <m/>
    <m/>
    <s v="137.21.7.121"/>
    <s v="HG106 -- .C495 2014eb"/>
    <s v="332.01/51922"/>
    <d v="2014-11-20T00:00:00"/>
  </r>
  <r>
    <x v="5713"/>
    <d v="1899-12-30T00:00:00"/>
    <x v="1410"/>
    <x v="0"/>
    <s v="Buffalo"/>
    <x v="422"/>
    <n v="818049"/>
    <x v="0"/>
    <s v="Business/Management; Economics"/>
    <s v="9781118224274"/>
    <m/>
    <n v="0"/>
    <m/>
    <m/>
    <s v="Yes"/>
    <x v="0"/>
    <d v="2015-10-14T19:12:56"/>
    <n v="7"/>
    <s v="128.205.114.91"/>
    <s v="HG4529 -- .G75 2012eb"/>
    <s v="332.63/2042"/>
    <d v="2012-05-06T00:00:00"/>
  </r>
  <r>
    <x v="5714"/>
    <d v="1899-12-30T00:00:00"/>
    <x v="199"/>
    <x v="5"/>
    <s v="erie"/>
    <x v="1343"/>
    <n v="523734"/>
    <x v="20"/>
    <s v="Literature"/>
    <s v="9781597345910"/>
    <m/>
    <n v="0"/>
    <m/>
    <m/>
    <s v="No"/>
    <x v="3"/>
    <m/>
    <m/>
    <s v="199.29.6.54"/>
    <s v="PR4611"/>
    <n v="823.8"/>
    <s v="1865-01-01"/>
  </r>
  <r>
    <x v="5715"/>
    <d v="1899-12-30T00:00:00"/>
    <x v="1410"/>
    <x v="0"/>
    <s v="Buffalo"/>
    <x v="422"/>
    <n v="818049"/>
    <x v="0"/>
    <s v="Business/Management; Economics"/>
    <s v="9781118224274"/>
    <m/>
    <n v="0"/>
    <m/>
    <m/>
    <s v="Yes"/>
    <x v="0"/>
    <d v="2015-10-14T19:12:56"/>
    <n v="7"/>
    <s v="128.205.114.91"/>
    <s v="HG4529 -- .G75 2012eb"/>
    <s v="332.63/2042"/>
    <d v="2012-05-06T00:00:00"/>
  </r>
  <r>
    <x v="5716"/>
    <d v="1899-12-30T00:00:08"/>
    <x v="1411"/>
    <x v="8"/>
    <s v="niagaracc"/>
    <x v="1057"/>
    <n v="332602"/>
    <x v="0"/>
    <s v="Education"/>
    <s v="9780631227885"/>
    <s v=",1,2,3,4"/>
    <n v="4"/>
    <m/>
    <m/>
    <s v="No"/>
    <x v="1"/>
    <m/>
    <m/>
    <s v="132.174.254.37"/>
    <s v="LB1124 -- .O48 1993eb"/>
    <s v="371.5/8"/>
    <d v="2013-05-30T00:00:00"/>
  </r>
  <r>
    <x v="5717"/>
    <d v="1899-12-30T00:00:00"/>
    <x v="1410"/>
    <x v="0"/>
    <s v="Buffalo"/>
    <x v="422"/>
    <n v="818049"/>
    <x v="0"/>
    <s v="Business/Management; Economics"/>
    <s v="9781118224274"/>
    <m/>
    <n v="0"/>
    <m/>
    <m/>
    <s v="Yes"/>
    <x v="0"/>
    <d v="2015-10-14T19:12:56"/>
    <n v="7"/>
    <s v="128.205.114.91"/>
    <s v="HG4529 -- .G75 2012eb"/>
    <s v="332.63/2042"/>
    <d v="2012-05-06T00:00:00"/>
  </r>
  <r>
    <x v="5717"/>
    <d v="1899-12-30T00:00:00"/>
    <x v="1410"/>
    <x v="0"/>
    <s v="Buffalo"/>
    <x v="422"/>
    <n v="818049"/>
    <x v="0"/>
    <s v="Business/Management; Economics"/>
    <s v="9781118224274"/>
    <m/>
    <n v="0"/>
    <m/>
    <m/>
    <s v="No"/>
    <x v="0"/>
    <d v="2015-10-14T19:12:56"/>
    <n v="7"/>
    <s v="128.205.114.91"/>
    <s v="HG4529 -- .G75 2012eb"/>
    <s v="332.63/2042"/>
    <d v="2012-05-06T00:00:00"/>
  </r>
  <r>
    <x v="5718"/>
    <d v="1899-12-30T00:09:18"/>
    <x v="1410"/>
    <x v="0"/>
    <s v="Buffalo"/>
    <x v="422"/>
    <n v="818049"/>
    <x v="0"/>
    <s v="Business/Management; Economics"/>
    <s v="9781118224274"/>
    <s v=",1,2,3,1,1,1,192"/>
    <n v="4"/>
    <m/>
    <m/>
    <s v="No"/>
    <x v="1"/>
    <m/>
    <m/>
    <s v="128.205.114.91"/>
    <s v="HG4529 -- .G75 2012eb"/>
    <s v="332.63/2042"/>
    <d v="2012-05-06T00:00:00"/>
  </r>
  <r>
    <x v="5719"/>
    <d v="1899-12-30T00:00:16"/>
    <x v="1412"/>
    <x v="8"/>
    <s v="niagaracc"/>
    <x v="487"/>
    <n v="1022416"/>
    <x v="0"/>
    <s v="Engineering; Engineering: Chemical"/>
    <s v="9781118373811"/>
    <s v=",1,50,51,52,48,49,53,54,55"/>
    <n v="9"/>
    <m/>
    <m/>
    <s v="No"/>
    <x v="1"/>
    <m/>
    <m/>
    <s v="132.174.254.37"/>
    <s v="TP248.65.F66 -- G4573 2012eb"/>
    <n v="664"/>
    <d v="2012-09-05T00:00:00"/>
  </r>
  <r>
    <x v="5720"/>
    <d v="1899-12-30T01:40:36"/>
    <x v="525"/>
    <x v="0"/>
    <s v="Buffalo"/>
    <x v="477"/>
    <n v="1120279"/>
    <x v="0"/>
    <s v="Science: Biology/Natural History; Science"/>
    <s v="9781118537671"/>
    <s v=",1,2,3,65,66,67,63,64,62,68,57,58,59,55,56,60,54,61,61,1,63,62,59,60,66,67,69,70,71,68,2,72,65,64,73,74,75,76,1,76,77,78,74,75,2,73,72,70,71,69,68,67"/>
    <n v="28"/>
    <m/>
    <m/>
    <s v="No"/>
    <x v="0"/>
    <d v="2015-10-10T04:18:54"/>
    <n v="7"/>
    <s v="128.205.114.91"/>
    <s v="QH371 .K384 2012"/>
    <n v="599.93499999999995"/>
    <d v="2012-11-19T00:00:00"/>
  </r>
  <r>
    <x v="5721"/>
    <d v="1899-12-30T00:00:00"/>
    <x v="653"/>
    <x v="0"/>
    <s v="Buffalo"/>
    <x v="111"/>
    <n v="1166322"/>
    <x v="0"/>
    <s v="Architecture"/>
    <s v="9781118418512"/>
    <m/>
    <n v="0"/>
    <m/>
    <m/>
    <s v="Yes"/>
    <x v="0"/>
    <d v="2015-10-13T17:25:31"/>
    <n v="7"/>
    <s v="128.205.114.91"/>
    <s v="NA2000 -- .G76 2013eb"/>
    <n v="720.072"/>
    <d v="2013-04-03T00:00:00"/>
  </r>
  <r>
    <x v="5722"/>
    <d v="1899-12-30T00:00:04"/>
    <x v="653"/>
    <x v="0"/>
    <s v="Buffalo"/>
    <x v="111"/>
    <n v="1166322"/>
    <x v="0"/>
    <s v="Architecture"/>
    <s v="9781118418512"/>
    <s v=",1,2,3"/>
    <n v="3"/>
    <m/>
    <m/>
    <s v="No"/>
    <x v="0"/>
    <d v="2015-10-13T17:25:31"/>
    <n v="7"/>
    <s v="128.205.114.91"/>
    <s v="NA2000 -- .G76 2013eb"/>
    <n v="720.072"/>
    <d v="2013-04-03T00:00:00"/>
  </r>
  <r>
    <x v="5723"/>
    <d v="1899-12-30T00:01:10"/>
    <x v="733"/>
    <x v="12"/>
    <s v="potsdam"/>
    <x v="1344"/>
    <n v="2028566"/>
    <x v="0"/>
    <s v="Social Science"/>
    <s v="9780745690711"/>
    <s v=",1,2,2,3,3,1,2,2,5,5,7,7,8,8,6,9,6,9,10,10,11,11,12,13,12,13"/>
    <n v="12"/>
    <m/>
    <m/>
    <s v="No"/>
    <x v="3"/>
    <m/>
    <m/>
    <s v="137.143.104.94"/>
    <s v="HM621 -- .H393 2015eb"/>
    <s v="303.48/2"/>
    <d v="2015-04-14T00:00:00"/>
  </r>
  <r>
    <x v="5724"/>
    <d v="1899-12-30T00:02:48"/>
    <x v="1385"/>
    <x v="0"/>
    <s v="Buffalo"/>
    <x v="546"/>
    <n v="1809344"/>
    <x v="16"/>
    <s v="Social Science"/>
    <s v="9781137356192"/>
    <s v=",1,3,2,212,213,209,210,45,56,57,58,54,55,37,38,39,35,40,36,41,42,43,44,46"/>
    <n v="24"/>
    <s v=",44"/>
    <m/>
    <s v="No"/>
    <x v="0"/>
    <d v="2015-10-14T16:36:26"/>
    <n v="7"/>
    <s v="128.205.114.91"/>
    <s v="HV6556 -- .P748 2014eb"/>
    <n v="364.4"/>
    <d v="2014-10-03T00:00:00"/>
  </r>
  <r>
    <x v="5725"/>
    <d v="1899-12-30T00:03:15"/>
    <x v="1385"/>
    <x v="0"/>
    <s v="Buffalo"/>
    <x v="546"/>
    <n v="1809344"/>
    <x v="16"/>
    <s v="Social Science"/>
    <s v="9781137356192"/>
    <s v=",16,17,18,14,15,19,20,22,21,23,24,25,26,27,28,29,30,31,32,33,34,13,19,20,21,22,25,26,27,28,24,29,30,31,32,33,34,23"/>
    <n v="22"/>
    <s v=",16"/>
    <s v=",16,17,18,19,20,21,22,23,24,25,26,27,28,29,30,31"/>
    <s v="No"/>
    <x v="0"/>
    <d v="2015-10-14T16:36:26"/>
    <n v="7"/>
    <s v="128.205.114.91"/>
    <s v="HV6556 -- .P748 2014eb"/>
    <n v="364.4"/>
    <d v="2014-10-03T00:00:00"/>
  </r>
  <r>
    <x v="5726"/>
    <d v="1899-12-30T00:12:08"/>
    <x v="1385"/>
    <x v="0"/>
    <s v="Buffalo"/>
    <x v="546"/>
    <n v="1809344"/>
    <x v="16"/>
    <s v="Social Science"/>
    <s v="9781137356192"/>
    <s v=",1,2,3"/>
    <n v="3"/>
    <m/>
    <m/>
    <s v="No"/>
    <x v="1"/>
    <m/>
    <m/>
    <s v="128.205.114.91"/>
    <s v="HV6556 -- .P748 2014eb"/>
    <n v="364.4"/>
    <d v="2014-10-03T00:00:00"/>
  </r>
  <r>
    <x v="5727"/>
    <d v="1899-12-30T00:28:51"/>
    <x v="1413"/>
    <x v="13"/>
    <s v="buffalostate"/>
    <x v="552"/>
    <n v="1294909"/>
    <x v="3"/>
    <s v="Economics; Business/Management"/>
    <s v="9780520956797"/>
    <s v=",8,9,10,11,12,46,81,97,155,156,229,228,227,226,225,224,226,223,222,221,220,219,218,217,216,215,213,214,202,182,117,151,55,44,48,32,24,25,26,23,21,22,20,18,6,7,8,4,9,10,11,12,13,14,15,16,17,16,19,17,20,18"/>
    <n v="52"/>
    <m/>
    <m/>
    <s v="Yes"/>
    <x v="0"/>
    <d v="2015-10-14T15:54:37"/>
    <n v="7"/>
    <s v="136.183.11.43"/>
    <s v="HC110.P6 -- I25 2013eb"/>
    <s v="339.4/60973"/>
    <d v="2013-08-01T00:00:00"/>
  </r>
  <r>
    <x v="5728"/>
    <d v="1899-12-30T00:21:24"/>
    <x v="1413"/>
    <x v="13"/>
    <s v="buffalostate"/>
    <x v="552"/>
    <n v="1294909"/>
    <x v="3"/>
    <s v="Economics; Business/Management"/>
    <s v="9780520956797"/>
    <s v=",4,5,6,7,8,9,10,11,12,13,14,15,16,17,18,19,9,8,7,6,5,4"/>
    <n v="16"/>
    <s v=",5"/>
    <m/>
    <s v="No"/>
    <x v="0"/>
    <d v="2015-10-14T15:54:37"/>
    <n v="7"/>
    <s v="136.183.11.43"/>
    <s v="HC110.P6 -- I25 2013eb"/>
    <s v="339.4/60973"/>
    <d v="2013-08-01T00:00:00"/>
  </r>
  <r>
    <x v="5729"/>
    <d v="1899-12-30T00:04:55"/>
    <x v="1413"/>
    <x v="13"/>
    <s v="buffalostate"/>
    <x v="552"/>
    <n v="1294909"/>
    <x v="3"/>
    <s v="Economics; Business/Management"/>
    <s v="9780520956797"/>
    <s v=",1,2,3"/>
    <n v="3"/>
    <m/>
    <m/>
    <s v="No"/>
    <x v="1"/>
    <m/>
    <m/>
    <s v="136.183.11.43"/>
    <s v="HC110.P6 -- I25 2013eb"/>
    <s v="339.4/60973"/>
    <d v="2013-08-01T00:00:00"/>
  </r>
  <r>
    <x v="5730"/>
    <d v="1899-12-30T00:00:03"/>
    <x v="1414"/>
    <x v="12"/>
    <s v="potsdam"/>
    <x v="244"/>
    <n v="848510"/>
    <x v="0"/>
    <s v="Medicine"/>
    <s v="9781118220481"/>
    <s v=",1,2,3"/>
    <n v="3"/>
    <m/>
    <m/>
    <s v="No"/>
    <x v="1"/>
    <m/>
    <m/>
    <s v="137.143.104.94"/>
    <s v="RC489.C63 -- C64 2012eb"/>
    <s v="616.89/1425"/>
    <d v="2012-06-06T00:00:00"/>
  </r>
  <r>
    <x v="5731"/>
    <d v="1899-12-30T00:30:23"/>
    <x v="1415"/>
    <x v="0"/>
    <s v="Buffalo"/>
    <x v="957"/>
    <n v="1168529"/>
    <x v="0"/>
    <s v="Mathematics"/>
    <s v="9781118710944"/>
    <s v=",1,2,3,269,270,271,267,268,311,312,313,309,310,314,315,316,317,318,319,320,321,322,323,324,325,326,327,328,329,330,331,332,333,334,335,336,337,338,339,340,341,342,343,344,345,346,347,348,349,350,351,352,353,354,355,356,357,358,353,352,351,350,349,348,347,346,345,344,343,342,311,312,313,309,310,347,348,349,345,346,350,351,352,353"/>
    <n v="58"/>
    <m/>
    <s v=",311,312,313,314,315,316,317,318,319,320,321,322,323,324,325,326,327,328,329,330,331,332,333,334,335,336,337,338,339,340,341,342,343,344"/>
    <s v="No"/>
    <x v="0"/>
    <d v="2015-10-09T15:00:26"/>
    <n v="7"/>
    <s v="128.205.114.91"/>
    <s v="QA278 .A353 2013"/>
    <s v="519.5; 519.535"/>
    <d v="2013-04-08T00:00:00"/>
  </r>
  <r>
    <x v="5732"/>
    <d v="1899-12-30T00:04:14"/>
    <x v="535"/>
    <x v="0"/>
    <s v="Buffalo"/>
    <x v="559"/>
    <n v="1217954"/>
    <x v="1"/>
    <s v="Engineering; Engineering: General"/>
    <s v="9781409457558"/>
    <s v=",475,476,477,473,478,474,478,479"/>
    <n v="7"/>
    <m/>
    <m/>
    <s v="No"/>
    <x v="0"/>
    <d v="2015-10-14T14:53:54"/>
    <n v="7"/>
    <s v="128.205.114.91"/>
    <s v="T59.7 -- .S73 2013eb"/>
    <s v="620.8/2"/>
    <d v="2013-10-28T00:00:00"/>
  </r>
  <r>
    <x v="5733"/>
    <d v="1899-12-30T00:13:46"/>
    <x v="535"/>
    <x v="0"/>
    <s v="Buffalo"/>
    <x v="559"/>
    <n v="1217954"/>
    <x v="1"/>
    <s v="Engineering; Engineering: General"/>
    <s v="9781409457558"/>
    <s v=",1,2,3"/>
    <n v="3"/>
    <m/>
    <m/>
    <s v="No"/>
    <x v="1"/>
    <m/>
    <m/>
    <s v="128.205.114.91"/>
    <s v="T59.7 -- .S73 2013eb"/>
    <s v="620.8/2"/>
    <d v="2013-10-28T00:00:00"/>
  </r>
  <r>
    <x v="5734"/>
    <d v="1899-12-30T00:00:23"/>
    <x v="1416"/>
    <x v="7"/>
    <s v="oneonta"/>
    <x v="626"/>
    <n v="877713"/>
    <x v="6"/>
    <s v="History"/>
    <s v="9781438138596"/>
    <s v=",1,2,3,12,13,14,10,11"/>
    <n v="8"/>
    <m/>
    <m/>
    <s v="No"/>
    <x v="1"/>
    <m/>
    <m/>
    <s v="137.141.13.2"/>
    <s v="DT58 -- .B96 2012eb"/>
    <n v="932.00300000000004"/>
    <d v="2012-01-01T00:00:00"/>
  </r>
  <r>
    <x v="5735"/>
    <d v="1899-12-30T00:07:23"/>
    <x v="1385"/>
    <x v="0"/>
    <s v="Buffalo"/>
    <x v="546"/>
    <n v="1809344"/>
    <x v="16"/>
    <s v="Social Science"/>
    <s v="9781137356192"/>
    <s v=",1,2,3,8,9,10,6,7,11,12,16,17,18,14,15,37,38,39,35,36,56,57,58,54,55,59,204,206,205,202,203,6,4,5,79,80,81,77,78,82,83,99,100,101,185,186,187,183,184,188,189,142,143,144,165,166,167,163,164,168,97,120,121,122,118,102,98,103,104,223,224,225,221,222,226,227,228,229,219,9,10,11,7,12,13,14,15,16,17,18,19,20,21,23,24,25,26,27,28,29,30,31,32,33,34,35"/>
    <n v="94"/>
    <m/>
    <m/>
    <s v="No"/>
    <x v="1"/>
    <m/>
    <m/>
    <s v="128.205.114.91"/>
    <s v="HV6556 -- .P748 2014eb"/>
    <n v="364.4"/>
    <d v="2014-10-03T00:00:00"/>
  </r>
  <r>
    <x v="5736"/>
    <d v="1899-12-30T00:01:19"/>
    <x v="1247"/>
    <x v="1"/>
    <s v="brockport"/>
    <x v="753"/>
    <n v="2038643"/>
    <x v="1"/>
    <s v="Social Science"/>
    <s v="9781472427625"/>
    <s v=",1,2,3,68,69,70,66,67,71"/>
    <n v="9"/>
    <m/>
    <m/>
    <s v="No"/>
    <x v="2"/>
    <d v="2015-10-13T15:59:57"/>
    <n v="1"/>
    <s v="137.21.7.121"/>
    <n v="2013049432"/>
    <n v="306.46100000000001"/>
    <d v="2015-05-28T00:00:00"/>
  </r>
  <r>
    <x v="5737"/>
    <d v="1899-12-30T00:03:06"/>
    <x v="535"/>
    <x v="0"/>
    <s v="Buffalo"/>
    <x v="559"/>
    <n v="1217954"/>
    <x v="1"/>
    <s v="Engineering; Engineering: General"/>
    <s v="9781409457558"/>
    <s v=",1,2,3,471,472,473,469,470,474,475,476,477"/>
    <n v="12"/>
    <m/>
    <m/>
    <s v="No"/>
    <x v="1"/>
    <m/>
    <m/>
    <s v="128.205.114.91"/>
    <s v="T59.7 -- .S73 2013eb"/>
    <s v="620.8/2"/>
    <d v="2013-10-28T00:00:00"/>
  </r>
  <r>
    <x v="5738"/>
    <d v="1899-12-30T00:05:36"/>
    <x v="1413"/>
    <x v="13"/>
    <s v="buffalostate"/>
    <x v="552"/>
    <n v="1294909"/>
    <x v="3"/>
    <s v="Economics; Business/Management"/>
    <s v="9780520956797"/>
    <s v=",1,2,3,4,5,6,7,8,9,10,11,12,13,14,15"/>
    <n v="15"/>
    <m/>
    <m/>
    <s v="No"/>
    <x v="1"/>
    <m/>
    <m/>
    <s v="136.183.11.43"/>
    <s v="HC110.P6 -- I25 2013eb"/>
    <s v="339.4/60973"/>
    <d v="2013-08-01T00:00:00"/>
  </r>
  <r>
    <x v="5739"/>
    <d v="1899-12-30T00:15:24"/>
    <x v="363"/>
    <x v="1"/>
    <s v="brockport"/>
    <x v="45"/>
    <n v="1691426"/>
    <x v="0"/>
    <s v="Social Science; Health"/>
    <s v="9781118839492"/>
    <s v=",1,2,3,30,31,32,28,29,33,34,35,36,37,38,39,40,41,42,43,44,45,46,47,48,49,50,51,52,53,54,55,56,57,58,59,60,61,62,63,64,65,66,67,68,69,70,71,70,72,73,74,75,76,77,78,79,80,81,82,83,84,85,86,87,88,89,90,91,92,93,94,95,96,97,98,99,100,101,102,103,104,105,106,107,108,109"/>
    <n v="85"/>
    <m/>
    <m/>
    <s v="No"/>
    <x v="2"/>
    <d v="2015-10-14T02:37:09"/>
    <n v="1"/>
    <s v="137.21.7.121"/>
    <s v="RA781.7 -- .P396 2014eb"/>
    <n v="613.70460000000003"/>
    <d v="2014-05-13T00:00:00"/>
  </r>
  <r>
    <x v="5740"/>
    <d v="1899-12-30T00:00:08"/>
    <x v="363"/>
    <x v="1"/>
    <s v="brockport"/>
    <x v="45"/>
    <n v="1691426"/>
    <x v="0"/>
    <s v="Social Science; Health"/>
    <s v="9781118839492"/>
    <s v=",30,31"/>
    <n v="2"/>
    <m/>
    <m/>
    <s v="No"/>
    <x v="2"/>
    <d v="2015-10-14T02:37:09"/>
    <n v="1"/>
    <s v="137.21.7.121"/>
    <s v="RA781.7 -- .P396 2014eb"/>
    <n v="613.70460000000003"/>
    <d v="2014-05-13T00:00:00"/>
  </r>
  <r>
    <x v="5741"/>
    <d v="1899-12-30T00:04:50"/>
    <x v="363"/>
    <x v="1"/>
    <s v="brockport"/>
    <x v="45"/>
    <n v="1691426"/>
    <x v="0"/>
    <s v="Social Science; Health"/>
    <s v="9781118839492"/>
    <s v=",1,2,3,34,35,36,32,33,5,6,7,4,8,51,52,53,49,50,125,126,127,123,124,25,26,27,23,24,28,29"/>
    <n v="30"/>
    <m/>
    <m/>
    <s v="No"/>
    <x v="3"/>
    <m/>
    <m/>
    <s v="137.21.7.121"/>
    <s v="RA781.7 -- .P396 2014eb"/>
    <n v="613.70460000000003"/>
    <d v="2014-05-13T00:00:00"/>
  </r>
  <r>
    <x v="5742"/>
    <d v="1899-12-30T00:00:12"/>
    <x v="363"/>
    <x v="1"/>
    <s v="brockport"/>
    <x v="262"/>
    <n v="1895936"/>
    <x v="0"/>
    <s v="Social Science; Health"/>
    <s v="9781119022763"/>
    <s v=",1,2,3,4"/>
    <n v="4"/>
    <m/>
    <m/>
    <s v="No"/>
    <x v="3"/>
    <m/>
    <m/>
    <s v="137.21.7.121"/>
    <s v="RA781.7 -- .Y643 2015eb"/>
    <n v="613.70460000000003"/>
    <d v="2015-02-18T00:00:00"/>
  </r>
  <r>
    <x v="5743"/>
    <d v="1899-12-30T00:00:35"/>
    <x v="363"/>
    <x v="1"/>
    <s v="brockport"/>
    <x v="262"/>
    <n v="1895936"/>
    <x v="0"/>
    <s v="Social Science; Health"/>
    <s v="9781119022763"/>
    <s v=",1,2,3,48,49,50,47,46"/>
    <n v="8"/>
    <m/>
    <m/>
    <s v="No"/>
    <x v="3"/>
    <m/>
    <m/>
    <s v="137.21.7.121"/>
    <s v="RA781.7 -- .Y643 2015eb"/>
    <n v="613.70460000000003"/>
    <d v="2015-02-18T00:00:00"/>
  </r>
  <r>
    <x v="5744"/>
    <d v="1899-12-30T00:07:08"/>
    <x v="1417"/>
    <x v="0"/>
    <s v="Buffalo"/>
    <x v="545"/>
    <n v="1873238"/>
    <x v="3"/>
    <s v="Language/Linguistics"/>
    <s v="9780520961647"/>
    <s v=",1,8,9,10,6,7,2,11,4,3"/>
    <n v="10"/>
    <m/>
    <m/>
    <s v="No"/>
    <x v="1"/>
    <m/>
    <m/>
    <s v="128.205.114.91"/>
    <s v="PM2296 -- .W35 2015eb"/>
    <n v="497.9"/>
    <d v="2015-01-01T00:00:00"/>
  </r>
  <r>
    <x v="5745"/>
    <d v="1899-12-30T01:04:22"/>
    <x v="1418"/>
    <x v="7"/>
    <s v="oneonta"/>
    <x v="27"/>
    <n v="1895140"/>
    <x v="0"/>
    <s v="Education"/>
    <s v="9781118911488"/>
    <s v=",91,92,93,94,95,96,97,98,99,100,101,102,103,104,105,106,107,108,109,110,111,112,113,114,115,116,117,118,119,120,121,122,123,124,125,126,127,128,129,130,131,132,133,134,135,136,137,138,139,140,141,142,143,144,145,146,147,148,149,150,151,152,181,182,183,184,185,186,187,188,189,190,191,192,193,194,228,229,230,227,226,231,232,233,234,235,236,237,238,239,240,241,242,243,244,245,246,247,248,249,250,251,252,253,254,255,256,257"/>
    <n v="108"/>
    <m/>
    <m/>
    <s v="No"/>
    <x v="2"/>
    <d v="2015-10-14T00:58:15"/>
    <n v="1"/>
    <s v="137.141.13.2"/>
    <s v="LB2367.4 .G743 2015"/>
    <n v="378.1662"/>
    <d v="2015-03-23T00:00:00"/>
  </r>
  <r>
    <x v="5746"/>
    <d v="1899-12-30T00:00:16"/>
    <x v="1419"/>
    <x v="1"/>
    <s v="brockport"/>
    <x v="1345"/>
    <n v="1895938"/>
    <x v="0"/>
    <s v="Education"/>
    <s v="9781119023999"/>
    <s v=",1,2,3"/>
    <n v="3"/>
    <m/>
    <m/>
    <s v="No"/>
    <x v="0"/>
    <d v="2015-10-14T00:32:34"/>
    <n v="7"/>
    <s v="137.21.7.121"/>
    <s v="LB2343 -- .S773 2014eb"/>
    <n v="378.19425000000001"/>
    <d v="2014-12-22T00:00:00"/>
  </r>
  <r>
    <x v="5747"/>
    <d v="1899-12-30T00:05:13"/>
    <x v="1418"/>
    <x v="7"/>
    <s v="oneonta"/>
    <x v="27"/>
    <n v="1895140"/>
    <x v="0"/>
    <s v="Education"/>
    <s v="9781118911488"/>
    <s v=",1,2,3,19,20,21,165,166,167,176,177,178,179,180,175,174,173,172,171,170,169,168,49,50,51,47,48,52,53,54,55,56,57,58,59,60,61,62,63,64,65,66,67,68,69,70,71,72,73,74,75,76,77,78,79,80,81,82,83,84,85,86,87,88,89,90"/>
    <n v="66"/>
    <m/>
    <m/>
    <s v="No"/>
    <x v="3"/>
    <m/>
    <m/>
    <s v="137.141.13.2"/>
    <s v="LB2367.4 .G743 2015"/>
    <n v="378.1662"/>
    <d v="2015-03-23T00:00:00"/>
  </r>
  <r>
    <x v="5748"/>
    <d v="1899-12-30T03:27:57"/>
    <x v="1419"/>
    <x v="1"/>
    <s v="brockport"/>
    <x v="1345"/>
    <n v="1895938"/>
    <x v="0"/>
    <s v="Education"/>
    <s v="9781119023999"/>
    <s v=",1,114,112,113,4,5,6,7,8,6,7,8,4,5,9,10,8,9,10,6,7,11,12,13,14,15,16,17,14,15,15,16,15,16,17,13,14,15,16,17,13,14,11,12,18,19,20,21,22,23,24,25,26,27,28,29,30,31,32,33,34,35,36,37,38,39,40,41,42,43,44,45,46,47,48,49,50,51,52,53,54,55,56,57,58,59,60,61,62,63,64,65,66,67,68,69,70,71,72,73,74,75,76,77,78,79,80,81,82,83,84,85,86,87,88,89,90,91,92,93,94,95,96,97,98,99,100,101,102,103,104,106,105,107,108,109,110,111,112,113,73,68,69,70,66,67,65,61,62,23,17,1,3,2,4,5,6,7,8,9,10,11,13,14,15,16,4,58,59,55,56,54,57"/>
    <n v="114"/>
    <s v=",15,14,14,14,15,15,15,15,15,16,57"/>
    <m/>
    <s v="Yes"/>
    <x v="0"/>
    <d v="2015-10-14T00:32:34"/>
    <n v="7"/>
    <s v="137.21.7.121"/>
    <s v="LB2343 -- .S773 2014eb"/>
    <n v="378.19425000000001"/>
    <d v="2014-12-22T00:00:00"/>
  </r>
  <r>
    <x v="5748"/>
    <d v="1899-12-30T00:00:00"/>
    <x v="1419"/>
    <x v="1"/>
    <s v="brockport"/>
    <x v="1345"/>
    <n v="1895938"/>
    <x v="0"/>
    <s v="Education"/>
    <s v="9781119023999"/>
    <m/>
    <n v="0"/>
    <m/>
    <m/>
    <s v="No"/>
    <x v="0"/>
    <d v="2015-10-14T00:32:34"/>
    <n v="7"/>
    <s v="137.21.7.121"/>
    <s v="LB2343 -- .S773 2014eb"/>
    <n v="378.19425000000001"/>
    <d v="2014-12-22T00:00:00"/>
  </r>
  <r>
    <x v="5749"/>
    <d v="1899-12-30T00:00:27"/>
    <x v="1419"/>
    <x v="1"/>
    <s v="brockport"/>
    <x v="1345"/>
    <n v="1895938"/>
    <x v="0"/>
    <s v="Education"/>
    <s v="9781119023999"/>
    <s v=",1,2,3"/>
    <n v="3"/>
    <m/>
    <m/>
    <s v="No"/>
    <x v="3"/>
    <m/>
    <m/>
    <s v="137.21.7.121"/>
    <s v="LB2343 -- .S773 2014eb"/>
    <n v="378.19425000000001"/>
    <d v="2014-12-22T00:00:00"/>
  </r>
  <r>
    <x v="5750"/>
    <d v="1899-12-30T00:32:31"/>
    <x v="525"/>
    <x v="0"/>
    <s v="Buffalo"/>
    <x v="477"/>
    <n v="1120279"/>
    <x v="0"/>
    <s v="Science: Biology/Natural History; Science"/>
    <s v="9781118537671"/>
    <s v=",1,2,3,50,51,52,48,49,53,54,55,56,57,58,59,60,61,62,63,64,65,66,67,68,69,70,71,72"/>
    <n v="28"/>
    <m/>
    <m/>
    <s v="No"/>
    <x v="0"/>
    <d v="2015-10-10T04:18:54"/>
    <n v="7"/>
    <s v="128.205.114.91"/>
    <s v="QH371 .K384 2012"/>
    <n v="599.93499999999995"/>
    <d v="2012-11-19T00:00:00"/>
  </r>
  <r>
    <x v="5751"/>
    <d v="1899-12-30T00:02:53"/>
    <x v="1420"/>
    <x v="5"/>
    <s v="erie"/>
    <x v="949"/>
    <n v="871519"/>
    <x v="0"/>
    <s v="Science: Astronomy; Science"/>
    <s v="9781444398359"/>
    <s v=",1,2,3,4,96,97,98,94,95,99,96,97,98,94,95,99,100"/>
    <n v="11"/>
    <m/>
    <m/>
    <s v="No"/>
    <x v="1"/>
    <m/>
    <m/>
    <s v="199.29.6.54"/>
    <s v="QB501 -- .B68 2012eb"/>
    <n v="523.20000000000005"/>
    <d v="2012-02-29T00:00:00"/>
  </r>
  <r>
    <x v="5752"/>
    <d v="1899-12-30T00:02:15"/>
    <x v="1421"/>
    <x v="1"/>
    <s v="brockport"/>
    <x v="1346"/>
    <n v="1781839"/>
    <x v="0"/>
    <s v="Social Science; Medicine; Health"/>
    <s v="9781118721452"/>
    <s v=",43,44"/>
    <n v="2"/>
    <m/>
    <m/>
    <s v="Yes"/>
    <x v="2"/>
    <d v="2015-10-13T22:20:09"/>
    <n v="7"/>
    <s v="137.21.7.121"/>
    <s v="RC564 -- .M536 2015eb"/>
    <s v="362.29/186"/>
    <d v="2014-09-08T00:00:00"/>
  </r>
  <r>
    <x v="5752"/>
    <d v="1899-12-30T00:00:00"/>
    <x v="1421"/>
    <x v="1"/>
    <s v="brockport"/>
    <x v="1346"/>
    <n v="1781839"/>
    <x v="0"/>
    <s v="Social Science; Medicine; Health"/>
    <s v="9781118721452"/>
    <m/>
    <n v="0"/>
    <m/>
    <m/>
    <s v="No"/>
    <x v="2"/>
    <d v="2015-10-13T22:20:09"/>
    <n v="7"/>
    <s v="137.21.7.121"/>
    <s v="RC564 -- .M536 2015eb"/>
    <s v="362.29/186"/>
    <d v="2014-09-08T00:00:00"/>
  </r>
  <r>
    <x v="5753"/>
    <d v="1899-12-30T00:02:42"/>
    <x v="1421"/>
    <x v="1"/>
    <s v="brockport"/>
    <x v="1346"/>
    <n v="1781839"/>
    <x v="0"/>
    <s v="Social Science; Medicine; Health"/>
    <s v="9781118721452"/>
    <s v=",1,2,3,31,32,33,29,30,34,35,36,37,38,39,40,41,42"/>
    <n v="17"/>
    <m/>
    <m/>
    <s v="No"/>
    <x v="3"/>
    <m/>
    <m/>
    <s v="137.21.7.121"/>
    <s v="RC564 -- .M536 2015eb"/>
    <s v="362.29/186"/>
    <d v="2014-09-08T00:00:00"/>
  </r>
  <r>
    <x v="5754"/>
    <d v="1899-12-30T00:23:54"/>
    <x v="756"/>
    <x v="1"/>
    <s v="brockport"/>
    <x v="151"/>
    <n v="968030"/>
    <x v="0"/>
    <s v="Psychology"/>
    <s v="9781118285138"/>
    <s v=",641,642,643,639,640,644,645,646,647,648,649,650,651,628,629,625,626,630,641,642,643,639,640,647,648,649,645,646,644,624,625,605,548,549,550,547,546,532,533,534,530,531,482,479,480,481,477,478,476,446,447,444,448,445,449"/>
    <n v="43"/>
    <m/>
    <m/>
    <s v="No"/>
    <x v="0"/>
    <d v="2015-10-13T21:53:49"/>
    <n v="7"/>
    <s v="137.21.7.121"/>
    <s v="BF637.C6 -- S85 2013eb"/>
    <n v="158.30000000000001"/>
    <d v="2012-07-10T00:00:00"/>
  </r>
  <r>
    <x v="5755"/>
    <d v="1899-12-30T00:00:11"/>
    <x v="475"/>
    <x v="1"/>
    <s v="brockport"/>
    <x v="519"/>
    <n v="822662"/>
    <x v="0"/>
    <s v="History"/>
    <s v="9781444355130"/>
    <s v=",2,1,3,4"/>
    <n v="4"/>
    <m/>
    <m/>
    <s v="No"/>
    <x v="1"/>
    <m/>
    <m/>
    <s v="137.21.7.121"/>
    <s v="DT20 -- .R45 2012eb"/>
    <n v="960.3"/>
    <d v="2011-11-11T00:00:00"/>
  </r>
  <r>
    <x v="5756"/>
    <d v="1899-12-30T00:00:40"/>
    <x v="111"/>
    <x v="0"/>
    <s v="Buffalo"/>
    <x v="1347"/>
    <n v="817838"/>
    <x v="0"/>
    <s v="Mathematics"/>
    <s v="9781118204245"/>
    <s v=",1,2,3,4,5,6,7,8,9,10,11,12,13,14,15,16,17,18,19,2,20,21,22,23,24,25,26,27,28,29,30,31,32,33,34,35,36,37"/>
    <n v="37"/>
    <m/>
    <m/>
    <s v="No"/>
    <x v="1"/>
    <m/>
    <m/>
    <s v="128.205.114.91"/>
    <s v="QA303.2 -- .Z44 2012eb"/>
    <n v="515"/>
    <d v="2011-12-15T00:00:00"/>
  </r>
  <r>
    <x v="5757"/>
    <d v="1899-12-30T00:01:39"/>
    <x v="1422"/>
    <x v="15"/>
    <s v="morrisville"/>
    <x v="1348"/>
    <n v="1998813"/>
    <x v="0"/>
    <s v="Science; Science: Chemistry"/>
    <s v="9783527693511"/>
    <s v=",1,2,3,6,3,4,5,7,8,9,10,11,12,13,18,19,20,21,22,23,24,25,27,28,29,26"/>
    <n v="25"/>
    <m/>
    <m/>
    <s v="No"/>
    <x v="0"/>
    <d v="2015-10-12T09:12:56"/>
    <n v="7"/>
    <s v="136.204.32.67"/>
    <s v="QD516 -- .K836 2015eb"/>
    <n v="541.36099999999999"/>
    <d v="2015-04-23T00:00:00"/>
  </r>
  <r>
    <x v="5758"/>
    <d v="1899-12-30T00:23:49"/>
    <x v="756"/>
    <x v="1"/>
    <s v="brockport"/>
    <x v="151"/>
    <n v="968030"/>
    <x v="0"/>
    <s v="Psychology"/>
    <s v="9781118285138"/>
    <s v=",1,2,3,340,341,337,338,7,8,9,5,6,135,136,137,133,134,138,139,140,141,142,143,144,145,563,564,565,561,631,632,633,629,641,642,643,639,640,644,150,151,152,148,149,157,164,167,147,153,154,165,170,171,172,168,169,173"/>
    <n v="57"/>
    <m/>
    <m/>
    <s v="No"/>
    <x v="1"/>
    <m/>
    <m/>
    <s v="137.21.7.121"/>
    <s v="BF637.C6 -- S85 2013eb"/>
    <n v="158.30000000000001"/>
    <d v="2012-07-10T00:00:00"/>
  </r>
  <r>
    <x v="5759"/>
    <d v="1899-12-30T00:00:05"/>
    <x v="756"/>
    <x v="1"/>
    <s v="brockport"/>
    <x v="151"/>
    <n v="968030"/>
    <x v="0"/>
    <s v="Psychology"/>
    <s v="9781118285138"/>
    <s v=",1,3,2"/>
    <n v="3"/>
    <m/>
    <m/>
    <s v="No"/>
    <x v="1"/>
    <m/>
    <m/>
    <s v="137.21.7.121"/>
    <s v="BF637.C6 -- S85 2013eb"/>
    <n v="158.30000000000001"/>
    <d v="2012-07-10T00:00:00"/>
  </r>
  <r>
    <x v="5760"/>
    <d v="1899-12-30T00:08:37"/>
    <x v="13"/>
    <x v="0"/>
    <s v="Buffalo"/>
    <x v="150"/>
    <n v="1882108"/>
    <x v="3"/>
    <s v="Literature"/>
    <s v="9780520961326"/>
    <s v=",1,2,3,4,5,6,7,8,9,10"/>
    <n v="10"/>
    <m/>
    <m/>
    <s v="No"/>
    <x v="1"/>
    <m/>
    <m/>
    <s v="128.205.114.91"/>
    <s v="PA4025.A2 -- .H664 2015eb"/>
    <n v="883"/>
    <d v="2015-05-14T00:00:00"/>
  </r>
  <r>
    <x v="5761"/>
    <d v="1899-12-30T01:42:30"/>
    <x v="653"/>
    <x v="0"/>
    <s v="Buffalo"/>
    <x v="111"/>
    <n v="1166322"/>
    <x v="0"/>
    <s v="Architecture"/>
    <s v="9781118418512"/>
    <s v=",1,2,3,153,154,155,151,152,156,157,158,159,160,161,162,163,164,165,1,165,166,167,163,164,2,168,169,170,171,172,174,175,176,173,177,178,179,180,181"/>
    <n v="34"/>
    <m/>
    <m/>
    <s v="No"/>
    <x v="0"/>
    <d v="2015-10-13T17:25:31"/>
    <n v="7"/>
    <s v="128.205.114.91"/>
    <s v="NA2000 -- .G76 2013eb"/>
    <n v="720.072"/>
    <d v="2013-04-03T00:00:00"/>
  </r>
  <r>
    <x v="5762"/>
    <d v="1899-12-30T00:00:00"/>
    <x v="653"/>
    <x v="0"/>
    <s v="Buffalo"/>
    <x v="111"/>
    <n v="1166322"/>
    <x v="0"/>
    <s v="Architecture"/>
    <s v="9781118418512"/>
    <m/>
    <n v="0"/>
    <m/>
    <m/>
    <s v="Yes"/>
    <x v="0"/>
    <d v="2015-10-13T17:25:31"/>
    <n v="7"/>
    <s v="128.205.114.91"/>
    <s v="NA2000 -- .G76 2013eb"/>
    <n v="720.072"/>
    <d v="2013-04-03T00:00:00"/>
  </r>
  <r>
    <x v="5763"/>
    <d v="1899-12-30T00:10:25"/>
    <x v="1210"/>
    <x v="1"/>
    <s v="brockport"/>
    <x v="151"/>
    <n v="968030"/>
    <x v="0"/>
    <s v="Psychology"/>
    <s v="9781118285138"/>
    <s v=",494,491,494,497"/>
    <n v="3"/>
    <s v=",494,494"/>
    <m/>
    <s v="No"/>
    <x v="0"/>
    <d v="2015-10-13T18:35:25"/>
    <n v="7"/>
    <s v="137.21.7.121"/>
    <s v="BF637.C6 -- S85 2013eb"/>
    <n v="158.30000000000001"/>
    <d v="2012-07-10T00:00:00"/>
  </r>
  <r>
    <x v="5764"/>
    <d v="1899-12-30T00:00:15"/>
    <x v="363"/>
    <x v="1"/>
    <s v="brockport"/>
    <x v="45"/>
    <n v="1691426"/>
    <x v="0"/>
    <s v="Social Science; Health"/>
    <s v="9781118839492"/>
    <s v=",1,3,2,8,28,39"/>
    <n v="6"/>
    <m/>
    <m/>
    <s v="No"/>
    <x v="3"/>
    <m/>
    <m/>
    <s v="137.21.7.121"/>
    <s v="RA781.7 -- .P396 2014eb"/>
    <n v="613.70460000000003"/>
    <d v="2014-05-13T00:00:00"/>
  </r>
  <r>
    <x v="5765"/>
    <d v="1899-12-30T00:03:28"/>
    <x v="13"/>
    <x v="0"/>
    <s v="Buffalo"/>
    <x v="1349"/>
    <n v="1894288"/>
    <x v="4"/>
    <s v="Medicine"/>
    <s v="9781462520480"/>
    <s v=",1,2,3,100,102,101,98,99,103,104,105,106,107"/>
    <n v="13"/>
    <m/>
    <m/>
    <s v="No"/>
    <x v="3"/>
    <m/>
    <m/>
    <s v="128.205.114.91"/>
    <s v="RJ505.P6 -- .P539 2015eb"/>
    <n v="618.9289"/>
    <d v="2015-01-01T00:00:00"/>
  </r>
  <r>
    <x v="5766"/>
    <d v="1899-12-30T00:27:14"/>
    <x v="1210"/>
    <x v="1"/>
    <s v="brockport"/>
    <x v="151"/>
    <n v="968030"/>
    <x v="0"/>
    <s v="Psychology"/>
    <s v="9781118285138"/>
    <s v=",1,2,3,493,494,495,491,492,496,497,498"/>
    <n v="11"/>
    <m/>
    <m/>
    <s v="No"/>
    <x v="1"/>
    <m/>
    <m/>
    <s v="137.21.7.121"/>
    <s v="BF637.C6 -- S85 2013eb"/>
    <n v="158.30000000000001"/>
    <d v="2012-07-10T00:00:00"/>
  </r>
  <r>
    <x v="5767"/>
    <d v="1899-12-30T00:00:10"/>
    <x v="1423"/>
    <x v="5"/>
    <s v="erie"/>
    <x v="248"/>
    <n v="817836"/>
    <x v="0"/>
    <s v="Computer Science/IT"/>
    <s v="9781118203835"/>
    <s v=",1,2,3,5,6,7,8,4"/>
    <n v="8"/>
    <m/>
    <m/>
    <s v="No"/>
    <x v="1"/>
    <m/>
    <m/>
    <s v="199.29.6.54"/>
    <s v="TK5105.5 -- .M36 2012eb"/>
    <n v="4.6500000000000004"/>
    <d v="2011-10-18T00:00:00"/>
  </r>
  <r>
    <x v="5768"/>
    <d v="1899-12-30T00:00:00"/>
    <x v="13"/>
    <x v="0"/>
    <s v="Buffalo"/>
    <x v="500"/>
    <n v="699744"/>
    <x v="0"/>
    <s v="Engineering; Engineering: Electrical; Engineering: Civil"/>
    <s v="9781118585818"/>
    <m/>
    <n v="0"/>
    <m/>
    <m/>
    <s v="Yes"/>
    <x v="0"/>
    <d v="2015-10-13T17:47:46"/>
    <n v="7"/>
    <s v="128.205.114.91"/>
    <s v="TA1520 -- .S24 2007eb"/>
    <n v="621.36"/>
    <d v="2013-02-05T00:00:00"/>
  </r>
  <r>
    <x v="5769"/>
    <d v="1899-12-30T00:00:00"/>
    <x v="13"/>
    <x v="0"/>
    <s v="Buffalo"/>
    <x v="500"/>
    <n v="699744"/>
    <x v="0"/>
    <s v="Engineering; Engineering: Electrical; Engineering: Civil"/>
    <s v="9781118585818"/>
    <m/>
    <n v="0"/>
    <m/>
    <m/>
    <s v="Yes"/>
    <x v="0"/>
    <d v="2015-10-13T17:47:46"/>
    <n v="7"/>
    <s v="128.205.114.91"/>
    <s v="TA1520 -- .S24 2007eb"/>
    <n v="621.36"/>
    <d v="2013-02-05T00:00:00"/>
  </r>
  <r>
    <x v="5769"/>
    <d v="1899-12-30T00:00:00"/>
    <x v="13"/>
    <x v="0"/>
    <s v="Buffalo"/>
    <x v="500"/>
    <n v="699744"/>
    <x v="0"/>
    <s v="Engineering; Engineering: Electrical; Engineering: Civil"/>
    <s v="9781118585818"/>
    <m/>
    <n v="0"/>
    <m/>
    <m/>
    <s v="No"/>
    <x v="0"/>
    <d v="2015-10-13T17:47:46"/>
    <n v="7"/>
    <s v="128.205.114.91"/>
    <s v="TA1520 -- .S24 2007eb"/>
    <n v="621.36"/>
    <d v="2013-02-05T00:00:00"/>
  </r>
  <r>
    <x v="5770"/>
    <d v="1899-12-30T00:00:50"/>
    <x v="13"/>
    <x v="0"/>
    <s v="Buffalo"/>
    <x v="500"/>
    <n v="699744"/>
    <x v="0"/>
    <s v="Engineering; Engineering: Electrical; Engineering: Civil"/>
    <s v="9781118585818"/>
    <s v=",1,2,3,1"/>
    <n v="3"/>
    <m/>
    <m/>
    <s v="No"/>
    <x v="1"/>
    <m/>
    <m/>
    <s v="128.205.114.91"/>
    <s v="TA1520 -- .S24 2007eb"/>
    <n v="621.36"/>
    <d v="2013-02-05T00:00:00"/>
  </r>
  <r>
    <x v="5771"/>
    <d v="1899-12-30T00:01:35"/>
    <x v="653"/>
    <x v="0"/>
    <s v="Buffalo"/>
    <x v="111"/>
    <n v="1166322"/>
    <x v="0"/>
    <s v="Architecture"/>
    <s v="9781118418512"/>
    <s v=",153,154,155,151,152,156"/>
    <n v="6"/>
    <m/>
    <m/>
    <s v="Yes"/>
    <x v="0"/>
    <d v="2015-10-13T17:25:31"/>
    <n v="7"/>
    <s v="128.205.114.91"/>
    <s v="NA2000 -- .G76 2013eb"/>
    <n v="720.072"/>
    <d v="2013-04-03T00:00:00"/>
  </r>
  <r>
    <x v="5772"/>
    <d v="1899-12-30T00:00:04"/>
    <x v="653"/>
    <x v="0"/>
    <s v="Buffalo"/>
    <x v="111"/>
    <n v="1166322"/>
    <x v="0"/>
    <s v="Architecture"/>
    <s v="9781118418512"/>
    <s v=",1,2,3"/>
    <n v="3"/>
    <m/>
    <m/>
    <s v="No"/>
    <x v="0"/>
    <d v="2015-10-13T17:25:31"/>
    <n v="7"/>
    <s v="128.205.114.91"/>
    <s v="NA2000 -- .G76 2013eb"/>
    <n v="720.072"/>
    <d v="2013-04-03T00:00:00"/>
  </r>
  <r>
    <x v="5773"/>
    <d v="1899-12-30T00:00:00"/>
    <x v="653"/>
    <x v="0"/>
    <s v="Buffalo"/>
    <x v="111"/>
    <n v="1166322"/>
    <x v="0"/>
    <s v="Architecture"/>
    <s v="9781118418512"/>
    <m/>
    <n v="0"/>
    <m/>
    <m/>
    <s v="Yes"/>
    <x v="0"/>
    <d v="2015-10-13T17:25:31"/>
    <n v="7"/>
    <s v="128.205.114.91"/>
    <s v="NA2000 -- .G76 2013eb"/>
    <n v="720.072"/>
    <d v="2013-04-03T00:00:00"/>
  </r>
  <r>
    <x v="5774"/>
    <d v="1899-12-30T00:00:00"/>
    <x v="653"/>
    <x v="0"/>
    <s v="Buffalo"/>
    <x v="111"/>
    <n v="1166322"/>
    <x v="0"/>
    <s v="Architecture"/>
    <s v="9781118418512"/>
    <m/>
    <n v="0"/>
    <m/>
    <m/>
    <s v="Yes"/>
    <x v="0"/>
    <d v="2015-10-13T17:25:31"/>
    <n v="7"/>
    <s v="128.205.114.91"/>
    <s v="NA2000 -- .G76 2013eb"/>
    <n v="720.072"/>
    <d v="2013-04-03T00:00:00"/>
  </r>
  <r>
    <x v="5774"/>
    <d v="1899-12-30T00:00:00"/>
    <x v="653"/>
    <x v="0"/>
    <s v="Buffalo"/>
    <x v="111"/>
    <n v="1166322"/>
    <x v="0"/>
    <s v="Architecture"/>
    <s v="9781118418512"/>
    <m/>
    <n v="0"/>
    <m/>
    <m/>
    <s v="No"/>
    <x v="0"/>
    <d v="2015-10-13T17:25:31"/>
    <n v="7"/>
    <s v="128.205.114.91"/>
    <s v="NA2000 -- .G76 2013eb"/>
    <n v="720.072"/>
    <d v="2013-04-03T00:00:00"/>
  </r>
  <r>
    <x v="5775"/>
    <d v="1899-12-30T00:02:35"/>
    <x v="653"/>
    <x v="0"/>
    <s v="Buffalo"/>
    <x v="111"/>
    <n v="1166322"/>
    <x v="0"/>
    <s v="Architecture"/>
    <s v="9781118418512"/>
    <s v=",1,2,3,153,154,155,151,152,156,157,150"/>
    <n v="11"/>
    <m/>
    <m/>
    <s v="No"/>
    <x v="1"/>
    <m/>
    <m/>
    <s v="128.205.114.91"/>
    <s v="NA2000 -- .G76 2013eb"/>
    <n v="720.072"/>
    <d v="2013-04-03T00:00:00"/>
  </r>
  <r>
    <x v="5776"/>
    <d v="1899-12-30T00:00:00"/>
    <x v="1405"/>
    <x v="6"/>
    <s v="sjfc"/>
    <x v="713"/>
    <n v="565082"/>
    <x v="0"/>
    <s v="Education"/>
    <s v="9781118041567"/>
    <m/>
    <n v="0"/>
    <m/>
    <s v=",60,61,62,63,64,65,66,67,68,69,70,71,72,73,74,75,76,77,78,79,80,81,82,83,84,85,86"/>
    <s v="No"/>
    <x v="0"/>
    <d v="2015-10-13T16:55:02"/>
    <n v="7"/>
    <s v="149.69.254.57"/>
    <s v="LB1775 .P25 2010"/>
    <s v="371.1; 371.102"/>
    <d v="2010-06-08T00:00:00"/>
  </r>
  <r>
    <x v="5777"/>
    <d v="1899-12-30T00:02:33"/>
    <x v="164"/>
    <x v="0"/>
    <s v="Buffalo"/>
    <x v="161"/>
    <n v="821663"/>
    <x v="0"/>
    <s v="Architecture"/>
    <s v="9781118168479"/>
    <s v=",1,2,3,21,22,23,19,20,24,25"/>
    <n v="10"/>
    <m/>
    <m/>
    <s v="No"/>
    <x v="1"/>
    <m/>
    <m/>
    <s v="128.205.114.91"/>
    <s v="NA2547 -- .S74 2012eb"/>
    <n v="729"/>
    <d v="2012-03-05T00:00:00"/>
  </r>
  <r>
    <x v="5778"/>
    <d v="1899-12-30T00:04:51"/>
    <x v="1389"/>
    <x v="6"/>
    <s v="sjfc"/>
    <x v="713"/>
    <n v="565082"/>
    <x v="0"/>
    <s v="Education"/>
    <s v="9781118041567"/>
    <s v=",60,61,62,58,59,64,66,82,83,84,80,81,95,92,90,91,88,89,87,85,86,81,80,88,89,90,87,91,93,92,60,61,62,58,59,60,61,62,58,63,59,66,63,64,65,58,59,87,88,89,85,86,84"/>
    <n v="24"/>
    <m/>
    <s v=",62,63,64,65,66,67,68,69,70,71,72,73,74,75,76,77,78,79,80,81,82,83,84,85,86,87,88,59,60,61,62,59,60,61,62,59,60,61,62,63,64,65,66,67,68,69,70,71,72,73,74,75,76,77,78,79,80,81,82,83,84,85"/>
    <s v="No"/>
    <x v="0"/>
    <d v="2015-10-13T16:47:38"/>
    <n v="7"/>
    <s v="149.69.254.57"/>
    <s v="LB1775 .P25 2010"/>
    <s v="371.1; 371.102"/>
    <d v="2010-06-08T00:00:00"/>
  </r>
  <r>
    <x v="5779"/>
    <d v="1899-12-30T00:00:58"/>
    <x v="1389"/>
    <x v="6"/>
    <s v="sjfc"/>
    <x v="713"/>
    <n v="565082"/>
    <x v="0"/>
    <s v="Education"/>
    <s v="9781118041567"/>
    <s v=",1,2,3,5,7,4,6,8,60,61,62,58,59,63,60,64,87,88,89,85"/>
    <n v="19"/>
    <m/>
    <m/>
    <s v="No"/>
    <x v="1"/>
    <m/>
    <m/>
    <s v="149.69.254.57"/>
    <s v="LB1775 .P25 2010"/>
    <s v="371.1; 371.102"/>
    <d v="2010-06-08T00:00:00"/>
  </r>
  <r>
    <x v="5780"/>
    <d v="1899-12-30T00:00:04"/>
    <x v="1424"/>
    <x v="4"/>
    <s v="monroe2boces"/>
    <x v="1330"/>
    <n v="832577"/>
    <x v="0"/>
    <s v="Fine Arts; Literature"/>
    <s v="9781118226360"/>
    <s v=",39,39,40,1,40,1,41"/>
    <n v="4"/>
    <m/>
    <m/>
    <s v="No"/>
    <x v="0"/>
    <d v="2015-10-13T16:45:45"/>
    <n v="7"/>
    <s v="10.36.81.54"/>
    <s v="PN6728.B36 -- L36 2012eb"/>
    <s v="741.5/973"/>
    <d v="2012-05-22T00:00:00"/>
  </r>
  <r>
    <x v="5781"/>
    <d v="1899-12-30T00:10:46"/>
    <x v="1405"/>
    <x v="6"/>
    <s v="sjfc"/>
    <x v="713"/>
    <n v="565082"/>
    <x v="0"/>
    <s v="Education"/>
    <s v="9781118041567"/>
    <s v=",1,3,2,4,5,6,7,8,60,61,62,58,59"/>
    <n v="13"/>
    <m/>
    <m/>
    <s v="No"/>
    <x v="1"/>
    <m/>
    <m/>
    <s v="149.69.254.57"/>
    <s v="LB1775 .P25 2010"/>
    <s v="371.1; 371.102"/>
    <d v="2010-06-08T00:00:00"/>
  </r>
  <r>
    <x v="5782"/>
    <d v="1899-12-30T00:11:50"/>
    <x v="1424"/>
    <x v="4"/>
    <s v="monroe2boces"/>
    <x v="1330"/>
    <n v="832577"/>
    <x v="0"/>
    <s v="Fine Arts; Literature"/>
    <s v="9781118226360"/>
    <s v=",1,2,2,3,3,1,2,2,36,36,37,37,38,38,34,35,35,39,39"/>
    <n v="9"/>
    <m/>
    <m/>
    <s v="No"/>
    <x v="1"/>
    <m/>
    <m/>
    <s v="10.36.81.54"/>
    <s v="PN6728.B36 -- L36 2012eb"/>
    <s v="741.5/973"/>
    <d v="2012-05-22T00:00:00"/>
  </r>
  <r>
    <x v="5783"/>
    <d v="1899-12-30T00:00:08"/>
    <x v="164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5784"/>
    <d v="1899-12-30T00:24:26"/>
    <x v="714"/>
    <x v="12"/>
    <s v="potsdam"/>
    <x v="713"/>
    <n v="565082"/>
    <x v="0"/>
    <s v="Education"/>
    <s v="9781118041567"/>
    <s v=",1,2,3,125,126,127,124,123,128,126,127,124,125,129,130,131,132,133,128,134,135,136,138,139,141,133,134,137,140,142,143"/>
    <n v="24"/>
    <m/>
    <m/>
    <s v="No"/>
    <x v="0"/>
    <d v="2015-10-12T21:55:34"/>
    <n v="7"/>
    <s v="137.143.104.94"/>
    <s v="LB1775 .P25 2010"/>
    <s v="371.1; 371.102"/>
    <d v="2010-06-08T00:00:00"/>
  </r>
  <r>
    <x v="5785"/>
    <d v="1899-12-30T00:00:03"/>
    <x v="26"/>
    <x v="6"/>
    <s v="sjfc"/>
    <x v="628"/>
    <n v="1610008"/>
    <x v="1"/>
    <s v="Social Science; Law"/>
    <s v="9781409457206"/>
    <s v=",4,46,119,142"/>
    <n v="4"/>
    <m/>
    <m/>
    <s v="No"/>
    <x v="0"/>
    <d v="2015-10-13T16:06:06"/>
    <n v="7"/>
    <s v="149.69.254.57"/>
    <s v="K5104 -- .C375 2014eb"/>
    <n v="364.66"/>
    <d v="2014-03-28T00:00:00"/>
  </r>
  <r>
    <x v="5786"/>
    <d v="1899-12-30T00:06:33"/>
    <x v="1247"/>
    <x v="1"/>
    <s v="brockport"/>
    <x v="753"/>
    <n v="2038643"/>
    <x v="1"/>
    <s v="Social Science"/>
    <s v="9781472427625"/>
    <s v=",13,14,15,16,17,18,19,19"/>
    <n v="7"/>
    <m/>
    <m/>
    <s v="No"/>
    <x v="2"/>
    <d v="2015-10-13T15:59:57"/>
    <n v="1"/>
    <s v="137.21.7.121"/>
    <n v="2013049432"/>
    <n v="306.46100000000001"/>
    <d v="2015-05-28T00:00:00"/>
  </r>
  <r>
    <x v="5787"/>
    <d v="1899-12-30T00:06:58"/>
    <x v="1247"/>
    <x v="1"/>
    <s v="brockport"/>
    <x v="753"/>
    <n v="2038643"/>
    <x v="1"/>
    <s v="Social Science"/>
    <s v="9781472427625"/>
    <s v=",1,3,2,4,5,16,17,18,6,7,8,1,6,7,8,9,10,11,12"/>
    <n v="15"/>
    <m/>
    <m/>
    <s v="No"/>
    <x v="3"/>
    <m/>
    <m/>
    <s v="137.21.7.121"/>
    <n v="2013049432"/>
    <n v="306.46100000000001"/>
    <d v="2015-05-28T00:00:00"/>
  </r>
  <r>
    <x v="5788"/>
    <d v="1899-12-30T00:00:19"/>
    <x v="26"/>
    <x v="6"/>
    <s v="sjfc"/>
    <x v="628"/>
    <n v="1610008"/>
    <x v="1"/>
    <s v="Social Science; Law"/>
    <s v="9781409457206"/>
    <s v=",1,2,3,6,7,8,5,4"/>
    <n v="8"/>
    <m/>
    <m/>
    <s v="No"/>
    <x v="1"/>
    <m/>
    <m/>
    <s v="149.69.254.57"/>
    <s v="K5104 -- .C375 2014eb"/>
    <n v="364.66"/>
    <d v="2014-03-28T00:00:00"/>
  </r>
  <r>
    <x v="5789"/>
    <d v="1899-12-30T00:00:56"/>
    <x v="26"/>
    <x v="6"/>
    <s v="sjfc"/>
    <x v="1350"/>
    <n v="3038507"/>
    <x v="11"/>
    <s v="Social Science"/>
    <s v="9780226090689"/>
    <s v=",1,2,3,4,5,6,8,9,10,7,4,3,1,9"/>
    <n v="10"/>
    <m/>
    <m/>
    <s v="No"/>
    <x v="3"/>
    <m/>
    <m/>
    <s v="149.69.254.57"/>
    <s v="HV8698 -- .D4713 2014eb"/>
    <n v="364.6601"/>
    <d v="2013-12-01T00:00:00"/>
  </r>
  <r>
    <x v="5790"/>
    <d v="1899-12-30T00:00:16"/>
    <x v="26"/>
    <x v="6"/>
    <s v="sjfc"/>
    <x v="1350"/>
    <n v="3038507"/>
    <x v="11"/>
    <s v="Social Science"/>
    <s v="9780226090689"/>
    <s v=",1,3,2,7,8,5,4,6"/>
    <n v="8"/>
    <m/>
    <m/>
    <s v="No"/>
    <x v="3"/>
    <m/>
    <m/>
    <s v="149.69.254.57"/>
    <s v="HV8698 -- .D4713 2014eb"/>
    <n v="364.6601"/>
    <d v="2013-12-01T00:00:00"/>
  </r>
  <r>
    <x v="5791"/>
    <d v="1899-12-30T00:00:49"/>
    <x v="26"/>
    <x v="6"/>
    <s v="sjfc"/>
    <x v="1350"/>
    <n v="3038507"/>
    <x v="11"/>
    <s v="Social Science"/>
    <s v="9780226090689"/>
    <s v=",1,3,2,4,5,6,7,8,9,10,11,12,13,15,16,17,14,18,19,20,21,22"/>
    <n v="22"/>
    <m/>
    <m/>
    <s v="No"/>
    <x v="3"/>
    <m/>
    <m/>
    <s v="149.69.254.57"/>
    <s v="HV8698 -- .D4713 2014eb"/>
    <n v="364.6601"/>
    <d v="2013-12-01T00:00:00"/>
  </r>
  <r>
    <x v="5792"/>
    <d v="1899-12-30T00:33:25"/>
    <x v="26"/>
    <x v="6"/>
    <s v="sjfc"/>
    <x v="628"/>
    <n v="1610008"/>
    <x v="1"/>
    <s v="Social Science; Law"/>
    <s v="9781409457206"/>
    <s v=",1,2,3,4,5,6,7,12,14,44,45,46,42,43,27,5"/>
    <n v="15"/>
    <m/>
    <m/>
    <s v="No"/>
    <x v="1"/>
    <m/>
    <m/>
    <s v="149.69.254.57"/>
    <s v="K5104 -- .C375 2014eb"/>
    <n v="364.66"/>
    <d v="2014-03-28T00:00:00"/>
  </r>
  <r>
    <x v="5793"/>
    <d v="1899-12-30T00:00:29"/>
    <x v="26"/>
    <x v="6"/>
    <s v="sjfc"/>
    <x v="1350"/>
    <n v="3038507"/>
    <x v="11"/>
    <s v="Social Science"/>
    <s v="9780226090689"/>
    <s v=",8,1,9,10,6,7,4,5,2,20,21,22,18,19"/>
    <n v="14"/>
    <m/>
    <m/>
    <s v="No"/>
    <x v="3"/>
    <m/>
    <m/>
    <s v="149.69.254.57"/>
    <s v="HV8698 -- .D4713 2014eb"/>
    <n v="364.6601"/>
    <d v="2013-12-01T00:00:00"/>
  </r>
  <r>
    <x v="5794"/>
    <d v="1899-12-30T00:00:43"/>
    <x v="26"/>
    <x v="6"/>
    <s v="sjfc"/>
    <x v="628"/>
    <n v="1610008"/>
    <x v="1"/>
    <s v="Social Science; Law"/>
    <s v="9781409457206"/>
    <s v=",1,42,43,44,40,41,2,1,3,45,46"/>
    <n v="10"/>
    <m/>
    <m/>
    <s v="No"/>
    <x v="1"/>
    <m/>
    <m/>
    <s v="149.69.254.57"/>
    <s v="K5104 -- .C375 2014eb"/>
    <n v="364.66"/>
    <d v="2014-03-28T00:00:00"/>
  </r>
  <r>
    <x v="5795"/>
    <d v="1899-12-30T00:00:03"/>
    <x v="26"/>
    <x v="6"/>
    <s v="sjfc"/>
    <x v="628"/>
    <n v="1610008"/>
    <x v="1"/>
    <s v="Social Science; Law"/>
    <s v="9781409457206"/>
    <s v=",1"/>
    <n v="1"/>
    <m/>
    <m/>
    <s v="No"/>
    <x v="1"/>
    <m/>
    <m/>
    <s v="149.69.254.57"/>
    <s v="K5104 -- .C375 2014eb"/>
    <n v="364.66"/>
    <d v="2014-03-28T00:00:00"/>
  </r>
  <r>
    <x v="5796"/>
    <d v="1899-12-30T00:02:18"/>
    <x v="1425"/>
    <x v="0"/>
    <s v="Buffalo"/>
    <x v="1351"/>
    <n v="2040251"/>
    <x v="4"/>
    <s v="Medicine"/>
    <s v="9781462522255"/>
    <s v=",1,3,2,4,5,7,6,8,9,10,11,12,13,15,14,16,10,16,17"/>
    <n v="17"/>
    <m/>
    <m/>
    <s v="No"/>
    <x v="3"/>
    <m/>
    <m/>
    <s v="128.205.114.91"/>
    <s v="RJ505.P6 P56 2015"/>
    <s v="618.92/891653"/>
    <d v="2015-08-20T00:00:00"/>
  </r>
  <r>
    <x v="5797"/>
    <d v="1899-12-30T00:01:20"/>
    <x v="910"/>
    <x v="0"/>
    <s v="Buffalo"/>
    <x v="161"/>
    <n v="821663"/>
    <x v="0"/>
    <s v="Architecture"/>
    <s v="9781118168479"/>
    <s v=",228,229,230,231,232,233,234,235,236,237,238,239,240,241,242"/>
    <n v="15"/>
    <m/>
    <m/>
    <s v="No"/>
    <x v="0"/>
    <d v="2015-10-13T12:50:20"/>
    <n v="7"/>
    <s v="128.205.114.91"/>
    <s v="NA2547 -- .S74 2012eb"/>
    <n v="729"/>
    <d v="2012-03-05T00:00:00"/>
  </r>
  <r>
    <x v="5798"/>
    <d v="1899-12-30T00:10:24"/>
    <x v="910"/>
    <x v="0"/>
    <s v="Buffalo"/>
    <x v="161"/>
    <n v="821663"/>
    <x v="0"/>
    <s v="Architecture"/>
    <s v="9781118168479"/>
    <s v=",1,2,3,47,48,49,45,46,207,208,209,205,206,210,211,212,213,214,215,216,217,218,219,220,221,222,223,224,225,226,227"/>
    <n v="31"/>
    <m/>
    <m/>
    <s v="No"/>
    <x v="1"/>
    <m/>
    <m/>
    <s v="128.205.114.91"/>
    <s v="NA2547 -- .S74 2012eb"/>
    <n v="729"/>
    <d v="2012-03-05T00:00:00"/>
  </r>
  <r>
    <x v="5799"/>
    <d v="1899-12-30T00:02:10"/>
    <x v="824"/>
    <x v="0"/>
    <s v="Buffalo"/>
    <x v="161"/>
    <n v="821663"/>
    <x v="0"/>
    <s v="Architecture"/>
    <s v="9781118168479"/>
    <s v=",1,2,3,208,209,210,206,207,211,205,212,213,214,215,216,217,218,219,214"/>
    <n v="18"/>
    <s v=",211,212"/>
    <m/>
    <s v="No"/>
    <x v="0"/>
    <d v="2015-10-09T22:44:27"/>
    <n v="7"/>
    <s v="128.205.114.91"/>
    <s v="NA2547 -- .S74 2012eb"/>
    <n v="729"/>
    <d v="2012-03-05T00:00:00"/>
  </r>
  <r>
    <x v="5800"/>
    <d v="1899-12-30T00:35:09"/>
    <x v="1426"/>
    <x v="0"/>
    <s v="Buffalo"/>
    <x v="73"/>
    <n v="1119505"/>
    <x v="0"/>
    <s v="Science: Chemistry; Science"/>
    <s v="9781118355015"/>
    <s v=",1,2,3,128,129,130,126,127,107,108,109,105,106,158,159,160,156,157,162,163,164,161,165,166,167,155,154,153,152,150,151,149,148,147,146,145,144,143,142,141,140,139,138,136,107,108,109,105,106,110,111,112,113,114,115,116,117,118,119,120,121,128,129,130,126,127,131,126,125,124,123,122,120,107,108,109,105,106,110,162,163,164,160,161,165,166,167,142,143,144,140,141,145,146,147,142,106,107,108,109,105"/>
    <n v="61"/>
    <m/>
    <m/>
    <s v="No"/>
    <x v="0"/>
    <d v="2015-10-12T22:15:46"/>
    <n v="7"/>
    <s v="128.205.114.91"/>
    <s v="QD251.3 -- .S38 2013eb"/>
    <s v="547/.128"/>
    <d v="2013-01-28T00:00:00"/>
  </r>
  <r>
    <x v="5801"/>
    <d v="1899-12-30T01:51:18"/>
    <x v="1427"/>
    <x v="6"/>
    <s v="sjfc"/>
    <x v="713"/>
    <n v="565082"/>
    <x v="0"/>
    <s v="Education"/>
    <s v="9781118041567"/>
    <s v=",64,65,66,67,68,69,59,60,70,71,57,58,56,54,55,61,62,87,88,89,85,86,87,60,61,60"/>
    <n v="22"/>
    <m/>
    <s v=",60,61,62,63,64,65,66,67,68,69,70,71,72,73,74,75,76,77,78,79,80,81,82,83,84,85,86"/>
    <s v="No"/>
    <x v="0"/>
    <d v="2015-10-13T12:07:49"/>
    <n v="7"/>
    <s v="149.69.254.57"/>
    <s v="LB1775 .P25 2010"/>
    <s v="371.1; 371.102"/>
    <d v="2010-06-08T00:00:00"/>
  </r>
  <r>
    <x v="5802"/>
    <d v="1899-12-30T00:13:07"/>
    <x v="824"/>
    <x v="0"/>
    <s v="Buffalo"/>
    <x v="161"/>
    <n v="821663"/>
    <x v="0"/>
    <s v="Architecture"/>
    <s v="9781118168479"/>
    <s v=",1,2,3,207,208,209,205,210,211,212,213,214,215,216,217,217,1,218,219,215,216,2,214,213,220,221,222,223,224,225,226,227,228,229,230,231,232,233,234,235,236,237,238,239,240,241,242,243"/>
    <n v="41"/>
    <m/>
    <m/>
    <s v="No"/>
    <x v="0"/>
    <d v="2015-10-09T22:44:27"/>
    <n v="7"/>
    <s v="128.205.114.91"/>
    <s v="NA2547 -- .S74 2012eb"/>
    <n v="729"/>
    <d v="2012-03-05T00:00:00"/>
  </r>
  <r>
    <x v="5803"/>
    <d v="1899-12-30T00:05:45"/>
    <x v="824"/>
    <x v="0"/>
    <s v="Buffalo"/>
    <x v="161"/>
    <n v="821663"/>
    <x v="0"/>
    <s v="Architecture"/>
    <s v="9781118168479"/>
    <s v=",1,2,3,4,362,363,364,365,366,367,368,369,370,371,372,373,374,375,376,377,378,379,207,208,209,205,206,210,211,212,213,214,215"/>
    <n v="33"/>
    <m/>
    <m/>
    <s v="No"/>
    <x v="0"/>
    <d v="2015-10-09T22:44:27"/>
    <n v="7"/>
    <s v="128.205.114.91"/>
    <s v="NA2547 -- .S74 2012eb"/>
    <n v="729"/>
    <d v="2012-03-05T00:00:00"/>
  </r>
  <r>
    <x v="5804"/>
    <d v="1899-12-30T00:13:59"/>
    <x v="1427"/>
    <x v="6"/>
    <s v="sjfc"/>
    <x v="713"/>
    <n v="565082"/>
    <x v="0"/>
    <s v="Education"/>
    <s v="9781118041567"/>
    <s v=",1,2,3,5,9,10,11,7,8,60,61,62,58,59,68,72,73,74,70,71,75,76,77,78,79,63"/>
    <n v="26"/>
    <m/>
    <m/>
    <s v="No"/>
    <x v="1"/>
    <m/>
    <m/>
    <s v="149.69.254.57"/>
    <s v="LB1775 .P25 2010"/>
    <s v="371.1; 371.102"/>
    <d v="2010-06-08T00:00:00"/>
  </r>
  <r>
    <x v="5805"/>
    <d v="1899-12-30T01:06:20"/>
    <x v="975"/>
    <x v="0"/>
    <s v="Buffalo"/>
    <x v="73"/>
    <n v="1119505"/>
    <x v="0"/>
    <s v="Science: Chemistry; Science"/>
    <s v="9781118355015"/>
    <s v=",1,2,3,75,76,77,73,78,74,79,80,107,108,109,105,106,110,111,112,113,114,115,116,117,118,119,120,121,122,123,124,125,126,127,128,129,130,131,132,133,134,135,136,137,138,139,140,141,142,143"/>
    <n v="50"/>
    <m/>
    <m/>
    <s v="No"/>
    <x v="0"/>
    <d v="2015-10-10T18:24:49"/>
    <n v="7"/>
    <s v="128.205.114.91"/>
    <s v="QD251.3 -- .S38 2013eb"/>
    <s v="547/.128"/>
    <d v="2013-01-28T00:00:00"/>
  </r>
  <r>
    <x v="5806"/>
    <d v="1899-12-30T00:13:06"/>
    <x v="1151"/>
    <x v="1"/>
    <s v="brockport"/>
    <x v="519"/>
    <n v="822662"/>
    <x v="0"/>
    <s v="History"/>
    <s v="9781444355130"/>
    <s v=",1,3,2,164,165,166,162,163,161,167,168,218,221,220,231,223,222,219,217,216,215,214,212,208,207,175,174,176,177,178,179,180,181,182,183,184,185,186,187,133,134,135,131,132,133,130"/>
    <n v="45"/>
    <s v=",133"/>
    <m/>
    <s v="No"/>
    <x v="0"/>
    <d v="2015-10-12T16:02:14"/>
    <n v="7"/>
    <s v="137.21.7.121"/>
    <s v="DT20 -- .R45 2012eb"/>
    <n v="960.3"/>
    <d v="2011-11-11T00:00:00"/>
  </r>
  <r>
    <x v="5807"/>
    <d v="1899-12-30T00:02:49"/>
    <x v="526"/>
    <x v="0"/>
    <s v="Buffalo"/>
    <x v="559"/>
    <n v="1217954"/>
    <x v="1"/>
    <s v="Engineering; Engineering: General"/>
    <s v="9781409457558"/>
    <s v=",1,2,3,306,307,308,304,305,309,323,324,325,321,322,326,327,328,329,330,332,333,334,331,335,336,337"/>
    <n v="26"/>
    <m/>
    <m/>
    <s v="No"/>
    <x v="1"/>
    <m/>
    <m/>
    <s v="128.205.114.91"/>
    <s v="T59.7 -- .S73 2013eb"/>
    <s v="620.8/2"/>
    <d v="2013-10-28T00:00:00"/>
  </r>
  <r>
    <x v="5808"/>
    <d v="1899-12-30T00:01:22"/>
    <x v="1428"/>
    <x v="12"/>
    <s v="potsdam"/>
    <x v="1058"/>
    <n v="2073211"/>
    <x v="5"/>
    <s v="Social Science"/>
    <s v="9780814785997"/>
    <s v=",1,2,3,98,99,100,97,96,101,102,107,108,109,106,110"/>
    <n v="15"/>
    <m/>
    <m/>
    <s v="No"/>
    <x v="3"/>
    <m/>
    <m/>
    <s v="137.143.104.94"/>
    <s v="HQ1206 .T4676 2015"/>
    <s v="306.4/613"/>
    <d v="2015-07-24T00:00:00"/>
  </r>
  <r>
    <x v="5809"/>
    <d v="1899-12-30T00:08:44"/>
    <x v="807"/>
    <x v="0"/>
    <s v="Buffalo"/>
    <x v="73"/>
    <n v="1119505"/>
    <x v="0"/>
    <s v="Science: Chemistry; Science"/>
    <s v="9781118355015"/>
    <s v=",1,2,3,122,123,124,120,121,119,118,117,116,115,114,113,112,111,110,109,108,107,106,105,145,156,157,158,155,154,153,152,151,150,149,148,147,146,144,143,142,141,140,139,138,136,137,135,133,134,132,130,131,127,126,101,103,104,102,100,99,98,97,96,95,94,92,93,75,76,77,74,73,78,48,49,50,46,47"/>
    <n v="78"/>
    <m/>
    <m/>
    <s v="No"/>
    <x v="1"/>
    <m/>
    <m/>
    <s v="128.205.114.91"/>
    <s v="QD251.3 -- .S38 2013eb"/>
    <s v="547/.128"/>
    <d v="2013-01-28T00:00:00"/>
  </r>
  <r>
    <x v="5810"/>
    <d v="1899-12-30T02:43:50"/>
    <x v="13"/>
    <x v="0"/>
    <s v="Buffalo"/>
    <x v="161"/>
    <n v="821663"/>
    <x v="0"/>
    <s v="Architecture"/>
    <s v="9781118168479"/>
    <s v=",1,2,3,207,208,209,205,206,207,208,209,205,206,2,210,210,1,212,211,208,209,217,218,219,216,215,2,220,221,222,223,224,222,223,224,220,221,219,1,219,221,220,217,218,215,216,233,234,235,232,231,233,234,2,235,231,232,236"/>
    <n v="27"/>
    <m/>
    <m/>
    <s v="No"/>
    <x v="0"/>
    <d v="2015-10-10T18:52:22"/>
    <n v="7"/>
    <s v="128.205.114.91"/>
    <s v="NA2547 -- .S74 2012eb"/>
    <n v="729"/>
    <d v="2012-03-05T00:00:00"/>
  </r>
  <r>
    <x v="5811"/>
    <d v="1899-12-30T00:00:23"/>
    <x v="1429"/>
    <x v="1"/>
    <s v="brockport"/>
    <x v="1352"/>
    <n v="1843634"/>
    <x v="0"/>
    <s v="Religion"/>
    <s v="9781118963999"/>
    <s v=",1,2,3,4,5,6,7,8,9,10,11,12,13,14,15,16"/>
    <n v="16"/>
    <m/>
    <m/>
    <s v="No"/>
    <x v="3"/>
    <m/>
    <m/>
    <s v="137.21.7.121"/>
    <s v="BT1103 -- .M347 2015eb"/>
    <s v="261.5/5"/>
    <d v="2014-11-11T00:00:00"/>
  </r>
  <r>
    <x v="5812"/>
    <d v="1899-12-30T00:00:24"/>
    <x v="807"/>
    <x v="0"/>
    <s v="Buffalo"/>
    <x v="73"/>
    <n v="1119505"/>
    <x v="0"/>
    <s v="Science: Chemistry; Science"/>
    <s v="9781118355015"/>
    <s v=",1,2,3,164,165,166,162,163,167"/>
    <n v="9"/>
    <m/>
    <m/>
    <s v="No"/>
    <x v="1"/>
    <m/>
    <m/>
    <s v="128.205.114.91"/>
    <s v="QD251.3 -- .S38 2013eb"/>
    <s v="547/.128"/>
    <d v="2013-01-28T00:00:00"/>
  </r>
  <r>
    <x v="5813"/>
    <d v="1899-12-30T00:07:44"/>
    <x v="593"/>
    <x v="14"/>
    <s v="houghton"/>
    <x v="1353"/>
    <n v="982925"/>
    <x v="10"/>
    <s v="Social Science"/>
    <s v="9781400845057"/>
    <s v=",1,2,3,246,247,248,244,245,249"/>
    <n v="9"/>
    <m/>
    <m/>
    <s v="No"/>
    <x v="1"/>
    <m/>
    <m/>
    <s v="96.43.64.169"/>
    <s v="HQ1726.5 -- .K43 2007eb"/>
    <n v="305.40956"/>
    <d v="2012-08-09T00:00:00"/>
  </r>
  <r>
    <x v="5814"/>
    <d v="1899-12-30T02:19:23"/>
    <x v="13"/>
    <x v="0"/>
    <s v="Buffalo"/>
    <x v="161"/>
    <n v="821663"/>
    <x v="0"/>
    <s v="Architecture"/>
    <s v="9781118168479"/>
    <s v=",1,2,3,1,2,3,207,208,209,205,206,210,211,212,213,214,215,216,217,218,219,220,221,222,223,224,225,226,227,228,229,230,231,232,233,234,235,236,237,238,239,240,241,242,243,228,229,207,208,209,205,210,211,212,213,214,215,216,217,218,219,220,221,222,16,18,206"/>
    <n v="44"/>
    <s v=",223,225,229,214,218"/>
    <m/>
    <s v="No"/>
    <x v="0"/>
    <d v="2015-10-10T18:52:22"/>
    <n v="7"/>
    <s v="128.205.114.91"/>
    <s v="NA2547 -- .S74 2012eb"/>
    <n v="729"/>
    <d v="2012-03-05T00:00:00"/>
  </r>
  <r>
    <x v="5815"/>
    <d v="1899-12-30T01:40:32"/>
    <x v="13"/>
    <x v="0"/>
    <s v="Buffalo"/>
    <x v="73"/>
    <n v="1119505"/>
    <x v="0"/>
    <s v="Science: Chemistry; Science"/>
    <s v="9781118355015"/>
    <s v=",1,2,3,79,80,81,77,82,78,83,84,85,86,87,88,89,90,91,92,93,94,95,96,97,98,99,100,101,102,103,104,105,106,107,387,388,389,385,386,390,391,100,101,102,103,99,104,97,95,84,85,86,82,83,81,80,79,87,88,89,90"/>
    <n v="41"/>
    <m/>
    <m/>
    <s v="No"/>
    <x v="0"/>
    <d v="2015-10-10T04:34:43"/>
    <n v="7"/>
    <s v="128.205.114.91"/>
    <s v="QD251.3 -- .S38 2013eb"/>
    <s v="547/.128"/>
    <d v="2013-01-28T00:00:00"/>
  </r>
  <r>
    <x v="5816"/>
    <d v="1899-12-30T02:21:13"/>
    <x v="975"/>
    <x v="0"/>
    <s v="Buffalo"/>
    <x v="73"/>
    <n v="1119505"/>
    <x v="0"/>
    <s v="Science: Chemistry; Science"/>
    <s v="9781118355015"/>
    <s v=",1,2,3,53,54,55,51,52,56,57,58,59,60,61,59,60,61,57,58,62,63,64,65,66,67,68,69,70,71,72,73,74,75,76,77,78,79,80,81,82,83,84,85,86,87,88,89,90,91,92,93,94,95,1,95,96,97,93,94,101,102,103,99,100,104,2,105"/>
    <n v="57"/>
    <m/>
    <m/>
    <s v="No"/>
    <x v="0"/>
    <d v="2015-10-10T18:24:49"/>
    <n v="7"/>
    <s v="128.205.114.91"/>
    <s v="QD251.3 -- .S38 2013eb"/>
    <s v="547/.128"/>
    <d v="2013-01-28T00:00:00"/>
  </r>
  <r>
    <x v="5817"/>
    <d v="1899-12-30T00:00:04"/>
    <x v="1430"/>
    <x v="0"/>
    <s v="Buffalo"/>
    <x v="481"/>
    <n v="1650828"/>
    <x v="0"/>
    <s v="Business/Management"/>
    <s v="9781118729205"/>
    <s v=",1,2,3"/>
    <n v="3"/>
    <m/>
    <m/>
    <s v="No"/>
    <x v="0"/>
    <d v="2015-10-11T18:13:01"/>
    <n v="7"/>
    <s v="128.205.114.91"/>
    <s v="HF5548.2 -- .B375 2014eb"/>
    <n v="658.05631200000005"/>
    <d v="2014-03-06T00:00:00"/>
  </r>
  <r>
    <x v="5818"/>
    <d v="1899-12-30T00:03:05"/>
    <x v="1430"/>
    <x v="0"/>
    <s v="Buffalo"/>
    <x v="481"/>
    <n v="1650828"/>
    <x v="0"/>
    <s v="Business/Management"/>
    <s v="9781118729205"/>
    <s v=",1,2,3,4,7,8,10,13,11,9,6,5,12,14,15,16,17,18,20,23,24,25,26,28,29,30,27,31,32,33,31,34,22,21,19"/>
    <n v="34"/>
    <m/>
    <m/>
    <s v="No"/>
    <x v="0"/>
    <d v="2015-10-11T18:13:01"/>
    <n v="7"/>
    <s v="128.205.114.91"/>
    <s v="HF5548.2 -- .B375 2014eb"/>
    <n v="658.05631200000005"/>
    <d v="2014-03-06T00:00:00"/>
  </r>
  <r>
    <x v="5819"/>
    <d v="1899-12-30T02:34:31"/>
    <x v="1430"/>
    <x v="0"/>
    <s v="Buffalo"/>
    <x v="481"/>
    <n v="1650828"/>
    <x v="0"/>
    <s v="Business/Management"/>
    <s v="9781118729205"/>
    <s v=",1,2,3,4,5,6,7,8,10,12,13,14,11,11,1,12,13,9,10,15,16,17,18,2,19,20,21,22,23,24,25,26,30,32,33,34,31,29,28,27,35,36,37,38,39,40,41,42,43,44,45,46,47,48,49,50,51,52,53,54,55,56,57,58,59,60,61,62,63,64,65,66,67,68,69,70,71,72,73,74,75,76,77,78,79,80,81,82,83,84,85,86,87,88,89,90,91,92,93,94,95,96,97,98,99,100,101,102,103,104,105,106,107,108,109,110,111,112,113,115,116,117,118,119,120,121,123,124,125,122,129,131,128,127,132,133,134,135,136,137,138,139,140,141,142,143,145,146,147,148,149,150,151,152,153,154,155,156,157,158,159,160,161,162,163,164"/>
    <n v="160"/>
    <m/>
    <m/>
    <s v="No"/>
    <x v="0"/>
    <d v="2015-10-11T18:13:01"/>
    <n v="7"/>
    <s v="128.205.114.91"/>
    <s v="HF5548.2 -- .B375 2014eb"/>
    <n v="658.05631200000005"/>
    <d v="2014-03-06T00:00:00"/>
  </r>
  <r>
    <x v="5820"/>
    <d v="1899-12-30T03:30:08"/>
    <x v="1426"/>
    <x v="0"/>
    <s v="Buffalo"/>
    <x v="73"/>
    <n v="1119505"/>
    <x v="0"/>
    <s v="Science: Chemistry; Science"/>
    <s v="9781118355015"/>
    <s v=",116,117,118,119,120,121,122,123,124,125,111,1,111,112,113,109,110,2,114,115,116,117,118,119,120,121,122,123,124,125,126,127,128,129,130,131,132,133,134,135,136,137,138,139,140,141,142,143,144,145,146,147,148,149,150,151,152,153,154,155,156,157,158,159,387,388,389,385,386,390,384,162,163,164,160,161,165,166,167,7,8,9,5,13,14,15,11,12,16,17,18,19,20,21,22,161,168,159,160,158,157,156,155,154,153,152,151,150,387,388,389,385,386,390,391,80,81,82,83,79,84,85,86,88,89,90,87,91,92,93,94,95,96,97,98,99,100,101,102,103,104,105,106,107,108,402,403,398,399,400,396,401,397,164,165,166,162,163,167,169,170,392,393"/>
    <n v="128"/>
    <m/>
    <m/>
    <s v="No"/>
    <x v="0"/>
    <d v="2015-10-12T22:15:46"/>
    <n v="7"/>
    <s v="128.205.114.91"/>
    <s v="QD251.3 -- .S38 2013eb"/>
    <s v="547/.128"/>
    <d v="2013-01-28T00:00:00"/>
  </r>
  <r>
    <x v="5821"/>
    <d v="1899-12-30T00:11:11"/>
    <x v="1426"/>
    <x v="0"/>
    <s v="Buffalo"/>
    <x v="73"/>
    <n v="1119505"/>
    <x v="0"/>
    <s v="Science: Chemistry; Science"/>
    <s v="9781118355015"/>
    <s v=",1,2,3,5,15,16,17,13,14,18,19,107,108,109,105,106,110,108,109,110,106,107,111,112,113,114,115"/>
    <n v="22"/>
    <m/>
    <m/>
    <s v="No"/>
    <x v="1"/>
    <m/>
    <m/>
    <s v="128.205.114.91"/>
    <s v="QD251.3 -- .S38 2013eb"/>
    <s v="547/.128"/>
    <d v="2013-01-28T00:00:00"/>
  </r>
  <r>
    <x v="5822"/>
    <d v="1899-12-30T00:15:03"/>
    <x v="714"/>
    <x v="12"/>
    <s v="potsdam"/>
    <x v="713"/>
    <n v="565082"/>
    <x v="0"/>
    <s v="Education"/>
    <s v="9781118041567"/>
    <s v=",122,123,124,125,126,127,130,128,131,134,135,138,140,141,142,129"/>
    <n v="16"/>
    <m/>
    <m/>
    <s v="No"/>
    <x v="0"/>
    <d v="2015-10-12T21:55:34"/>
    <n v="7"/>
    <s v="137.143.104.94"/>
    <s v="LB1775 .P25 2010"/>
    <s v="371.1; 371.102"/>
    <d v="2010-06-08T00:00:00"/>
  </r>
  <r>
    <x v="5823"/>
    <d v="1899-12-30T00:11:19"/>
    <x v="714"/>
    <x v="12"/>
    <s v="potsdam"/>
    <x v="713"/>
    <n v="565082"/>
    <x v="0"/>
    <s v="Education"/>
    <s v="9781118041567"/>
    <s v=",1,2,3,115,116,117,113,114,115,116,117,114,113,118,119,120,121"/>
    <n v="12"/>
    <m/>
    <m/>
    <s v="No"/>
    <x v="1"/>
    <m/>
    <m/>
    <s v="137.143.104.94"/>
    <s v="LB1775 .P25 2010"/>
    <s v="371.1; 371.102"/>
    <d v="2010-06-08T00:00:00"/>
  </r>
  <r>
    <x v="5824"/>
    <d v="1899-12-30T00:00:03"/>
    <x v="26"/>
    <x v="6"/>
    <s v="sjfc"/>
    <x v="1160"/>
    <n v="1527427"/>
    <x v="0"/>
    <s v="Social Science; Sport &amp; Recreation"/>
    <s v="9780745671901"/>
    <s v=",1,2,3"/>
    <n v="3"/>
    <m/>
    <m/>
    <s v="No"/>
    <x v="3"/>
    <m/>
    <m/>
    <s v="149.69.254.57"/>
    <s v="GV1469.17.S63 -- K57 2013eb"/>
    <n v="306.48700000000002"/>
    <d v="2013-10-30T00:00:00"/>
  </r>
  <r>
    <x v="5825"/>
    <d v="1899-12-30T00:00:06"/>
    <x v="1431"/>
    <x v="1"/>
    <s v="brockport"/>
    <x v="351"/>
    <n v="981495"/>
    <x v="4"/>
    <s v="Education"/>
    <s v="9781462506361"/>
    <s v=",1,3,2"/>
    <n v="3"/>
    <m/>
    <m/>
    <s v="No"/>
    <x v="0"/>
    <d v="2015-10-12T19:03:18"/>
    <n v="7"/>
    <s v="137.21.7.121"/>
    <s v="LB1031 -- .U52 2012eb"/>
    <n v="371.39429999999999"/>
    <d v="2015-04-13T00:00:00"/>
  </r>
  <r>
    <x v="5826"/>
    <d v="1899-12-30T00:18:08"/>
    <x v="1431"/>
    <x v="1"/>
    <s v="brockport"/>
    <x v="351"/>
    <n v="981495"/>
    <x v="4"/>
    <s v="Education"/>
    <s v="9781462506361"/>
    <s v=",23,24,25,21,22,26,27,28,29,30,31,32,33,34,36,26,19,20,21,17,18,1,4,6,7,8,9,5,12,13,23,24,25,21,22,26,27,28,23,22,21,20,26,6,5,1,8,7,16,20,18,19,27,11,1,6,7,3,4,8,9,124,173,175,174,177,171,176,178,172,170"/>
    <n v="41"/>
    <m/>
    <m/>
    <s v="No"/>
    <x v="0"/>
    <d v="2015-10-12T19:03:18"/>
    <n v="7"/>
    <s v="137.21.7.121"/>
    <s v="LB1031 -- .U52 2012eb"/>
    <n v="371.39429999999999"/>
    <d v="2015-04-13T00:00:00"/>
  </r>
  <r>
    <x v="5827"/>
    <d v="1899-12-30T00:00:00"/>
    <x v="1432"/>
    <x v="6"/>
    <s v="sjfc"/>
    <x v="713"/>
    <n v="565082"/>
    <x v="0"/>
    <s v="Education"/>
    <s v="9781118041567"/>
    <m/>
    <n v="0"/>
    <m/>
    <s v=",59,60,61,62,63,64,65,66,67,68,69,70,71,72,73,74,75,76,77,78,79,80,81,82,83,84,85"/>
    <s v="No"/>
    <x v="0"/>
    <d v="2015-10-12T18:35:41"/>
    <n v="7"/>
    <s v="149.69.254.57"/>
    <s v="LB1775 .P25 2010"/>
    <s v="371.1; 371.102"/>
    <d v="2010-06-08T00:00:00"/>
  </r>
  <r>
    <x v="5828"/>
    <d v="1899-12-30T00:02:57"/>
    <x v="1432"/>
    <x v="6"/>
    <s v="sjfc"/>
    <x v="713"/>
    <n v="565082"/>
    <x v="0"/>
    <s v="Education"/>
    <s v="9781118041567"/>
    <s v=",1,2,3,4,5,6,7,8,10,9,11,12,13,14,15,16,17,18,19,20,21,22,23,24,25,13,1,2,3,4,5,6,7,8,9,10,11,12,14,15,16,17,18,19,20,21,22,23,24,25,26,27,28,29,30,31,32,33,34,35,36,37,38,39,40,41,42,43,44,45,46,47,48,49,50,51,52,53,54,55,56,57,58,59,60,61,62,63,64,65,66,67,68,69,70,71,72,73,74,75,76,77,78,79,80,81,82,83,84,86,85,87,88"/>
    <n v="88"/>
    <m/>
    <m/>
    <s v="No"/>
    <x v="1"/>
    <m/>
    <m/>
    <s v="149.69.254.57"/>
    <s v="LB1775 .P25 2010"/>
    <s v="371.1; 371.102"/>
    <d v="2010-06-08T00:00:00"/>
  </r>
  <r>
    <x v="5829"/>
    <d v="1899-12-30T00:47:08"/>
    <x v="1431"/>
    <x v="1"/>
    <s v="brockport"/>
    <x v="351"/>
    <n v="981495"/>
    <x v="4"/>
    <s v="Education"/>
    <s v="9781462506361"/>
    <s v=",1,3,2,1,2,3,4"/>
    <n v="4"/>
    <m/>
    <m/>
    <s v="No"/>
    <x v="1"/>
    <m/>
    <m/>
    <s v="137.21.7.121"/>
    <s v="LB1031 -- .U52 2012eb"/>
    <n v="371.39429999999999"/>
    <d v="2015-04-13T00:00:00"/>
  </r>
  <r>
    <x v="5830"/>
    <d v="1899-12-30T00:07:17"/>
    <x v="1433"/>
    <x v="5"/>
    <s v="erie"/>
    <x v="595"/>
    <n v="894289"/>
    <x v="0"/>
    <s v="Medicine"/>
    <s v="9781118404430"/>
    <s v=",1,2,3,441,439,438,433,431,436,437,435,434,432,430,440,443,442,444,445,446,447,448,449,450,451,452,454,455,456,459,460,461,437,430,431,430,429,680,681,677,678,679,672,1,1,1,14,411,411,411"/>
    <n v="41"/>
    <m/>
    <m/>
    <s v="No"/>
    <x v="1"/>
    <m/>
    <m/>
    <s v="199.29.6.54"/>
    <s v="RC467 -- .C55 2013eb"/>
    <n v="616.89"/>
    <d v="2012-10-10T00:00:00"/>
  </r>
  <r>
    <x v="5831"/>
    <d v="1899-12-30T00:00:05"/>
    <x v="824"/>
    <x v="0"/>
    <s v="Buffalo"/>
    <x v="161"/>
    <n v="821663"/>
    <x v="0"/>
    <s v="Architecture"/>
    <s v="9781118168479"/>
    <s v=",1,2,3"/>
    <n v="3"/>
    <m/>
    <m/>
    <s v="No"/>
    <x v="0"/>
    <d v="2015-10-09T22:44:27"/>
    <n v="7"/>
    <s v="128.205.114.91"/>
    <s v="NA2547 -- .S74 2012eb"/>
    <n v="729"/>
    <d v="2012-03-05T00:00:00"/>
  </r>
  <r>
    <x v="5832"/>
    <d v="1899-12-30T00:00:04"/>
    <x v="1434"/>
    <x v="3"/>
    <s v="canton"/>
    <x v="1273"/>
    <n v="1732138"/>
    <x v="3"/>
    <s v="Social Science"/>
    <s v="9780520958746"/>
    <s v=",1,2,3"/>
    <n v="3"/>
    <m/>
    <m/>
    <s v="No"/>
    <x v="2"/>
    <d v="2015-10-12T16:56:43"/>
    <n v="1"/>
    <s v="137.37.33.33"/>
    <s v="HV6529 -- .G373 2015eb"/>
    <n v="364.15230000000003"/>
    <d v="2015-03-12T00:00:00"/>
  </r>
  <r>
    <x v="5833"/>
    <d v="1899-12-30T00:00:04"/>
    <x v="1434"/>
    <x v="3"/>
    <s v="canton"/>
    <x v="1273"/>
    <n v="1732138"/>
    <x v="3"/>
    <s v="Social Science"/>
    <s v="9780520958746"/>
    <s v=",1,3,2"/>
    <n v="3"/>
    <m/>
    <m/>
    <s v="No"/>
    <x v="2"/>
    <d v="2015-10-12T16:56:43"/>
    <n v="1"/>
    <s v="137.37.33.33"/>
    <s v="HV6529 -- .G373 2015eb"/>
    <n v="364.15230000000003"/>
    <d v="2015-03-12T00:00:00"/>
  </r>
  <r>
    <x v="5834"/>
    <d v="1899-12-30T00:00:07"/>
    <x v="1434"/>
    <x v="3"/>
    <s v="canton"/>
    <x v="1273"/>
    <n v="1732138"/>
    <x v="3"/>
    <s v="Social Science"/>
    <s v="9780520958746"/>
    <s v=",1,2,3,1"/>
    <n v="3"/>
    <m/>
    <m/>
    <s v="No"/>
    <x v="2"/>
    <d v="2015-10-12T16:56:43"/>
    <n v="1"/>
    <s v="137.37.33.33"/>
    <s v="HV6529 -- .G373 2015eb"/>
    <n v="364.15230000000003"/>
    <d v="2015-03-12T00:00:00"/>
  </r>
  <r>
    <x v="5835"/>
    <d v="1899-12-30T00:00:00"/>
    <x v="1434"/>
    <x v="3"/>
    <s v="canton"/>
    <x v="1273"/>
    <n v="1732138"/>
    <x v="3"/>
    <s v="Social Science"/>
    <s v="9780520958746"/>
    <m/>
    <n v="0"/>
    <m/>
    <m/>
    <s v="No"/>
    <x v="2"/>
    <d v="2015-10-12T16:56:43"/>
    <n v="1"/>
    <s v="137.37.33.33"/>
    <s v="HV6529 -- .G373 2015eb"/>
    <n v="364.15230000000003"/>
    <d v="2015-03-12T00:00:00"/>
  </r>
  <r>
    <x v="5836"/>
    <d v="1899-12-30T00:00:04"/>
    <x v="1434"/>
    <x v="3"/>
    <s v="canton"/>
    <x v="1273"/>
    <n v="1732138"/>
    <x v="3"/>
    <s v="Social Science"/>
    <s v="9780520958746"/>
    <s v=",1,2,3,1"/>
    <n v="3"/>
    <m/>
    <m/>
    <s v="No"/>
    <x v="2"/>
    <d v="2015-10-12T16:56:43"/>
    <n v="1"/>
    <s v="137.37.33.33"/>
    <s v="HV6529 -- .G373 2015eb"/>
    <n v="364.15230000000003"/>
    <d v="2015-03-12T00:00:00"/>
  </r>
  <r>
    <x v="5837"/>
    <d v="1899-12-30T00:00:04"/>
    <x v="1434"/>
    <x v="3"/>
    <s v="canton"/>
    <x v="1273"/>
    <n v="1732138"/>
    <x v="3"/>
    <s v="Social Science"/>
    <s v="9780520958746"/>
    <s v=",1,2,3"/>
    <n v="3"/>
    <m/>
    <m/>
    <s v="No"/>
    <x v="2"/>
    <d v="2015-10-12T16:56:43"/>
    <n v="1"/>
    <s v="137.37.33.33"/>
    <s v="HV6529 -- .G373 2015eb"/>
    <n v="364.15230000000003"/>
    <d v="2015-03-12T00:00:00"/>
  </r>
  <r>
    <x v="5838"/>
    <d v="1899-12-30T00:00:10"/>
    <x v="1435"/>
    <x v="3"/>
    <s v="canton"/>
    <x v="1354"/>
    <n v="1711064"/>
    <x v="3"/>
    <s v="Social Science"/>
    <s v="9780520960329"/>
    <s v=",1,2,3"/>
    <n v="3"/>
    <m/>
    <m/>
    <s v="No"/>
    <x v="3"/>
    <m/>
    <m/>
    <s v="137.37.33.33"/>
    <s v="HV9471 -- .A957 2015eb"/>
    <n v="364.6"/>
    <d v="2015-02-06T00:00:00"/>
  </r>
  <r>
    <x v="5839"/>
    <d v="1899-12-30T00:00:00"/>
    <x v="1436"/>
    <x v="6"/>
    <s v="sjfc"/>
    <x v="713"/>
    <n v="565082"/>
    <x v="0"/>
    <s v="Education"/>
    <s v="9781118041567"/>
    <m/>
    <n v="0"/>
    <m/>
    <s v=",60,61,62,63,64,65,66,67,68,69,70,71,72,73,74,75,76,77,78,79,80,81,82,83,84,85,86"/>
    <s v="No"/>
    <x v="0"/>
    <d v="2015-10-12T17:02:01"/>
    <n v="7"/>
    <s v="149.69.254.57"/>
    <s v="LB1775 .P25 2010"/>
    <s v="371.1; 371.102"/>
    <d v="2010-06-08T00:00:00"/>
  </r>
  <r>
    <x v="5840"/>
    <d v="1899-12-30T00:00:39"/>
    <x v="1436"/>
    <x v="6"/>
    <s v="sjfc"/>
    <x v="713"/>
    <n v="565082"/>
    <x v="0"/>
    <s v="Education"/>
    <s v="9781118041567"/>
    <s v=",1,2,3,60,61,62,63,59,77,103,109,123,129,130,131,132,2,133,134,135,136,137,87,88,89,85,86,60,61,62,58,59"/>
    <n v="27"/>
    <m/>
    <m/>
    <s v="No"/>
    <x v="1"/>
    <m/>
    <m/>
    <s v="149.69.254.57"/>
    <s v="LB1775 .P25 2010"/>
    <s v="371.1; 371.102"/>
    <d v="2010-06-08T00:00:00"/>
  </r>
  <r>
    <x v="5841"/>
    <d v="1899-12-30T00:00:00"/>
    <x v="1434"/>
    <x v="3"/>
    <s v="canton"/>
    <x v="1273"/>
    <n v="1732138"/>
    <x v="3"/>
    <s v="Social Science"/>
    <s v="9780520958746"/>
    <m/>
    <n v="0"/>
    <m/>
    <s v=",1,2,3,4,5,6,7,8,9,10,11,12,13,14,15,16,17,18,19,20,21,22,23,24,25,26,27,28,29,56,57,58,59,60,61,62,63,64,65,66,67,68,69,70,71,72,73,74,75,76,77,78,79,80,81,82,83,84,85,86,87,88,89,90,91,92,93,94,95,96,97,98,99,100,101,102,103,104,105,106,107,108,109,110,111,112,113,114,115,274,275,276,277,278,279,280,281,282,283,284,285,286,287,288,289,290,291,292,293,294,295,296,297,298,299,300,301,302,303,304,305,306,307"/>
    <s v="No"/>
    <x v="2"/>
    <d v="2015-10-12T16:56:43"/>
    <n v="1"/>
    <s v="137.37.33.33"/>
    <s v="HV6529 -- .G373 2015eb"/>
    <n v="364.15230000000003"/>
    <d v="2015-03-12T00:00:00"/>
  </r>
  <r>
    <x v="5842"/>
    <d v="1899-12-30T00:00:37"/>
    <x v="1434"/>
    <x v="3"/>
    <s v="canton"/>
    <x v="1273"/>
    <n v="1732138"/>
    <x v="3"/>
    <s v="Social Science"/>
    <s v="9780520958746"/>
    <s v=",1,2,3"/>
    <n v="3"/>
    <m/>
    <m/>
    <s v="No"/>
    <x v="3"/>
    <m/>
    <m/>
    <s v="137.37.33.33"/>
    <s v="HV6529 -- .G373 2015eb"/>
    <n v="364.15230000000003"/>
    <d v="2015-03-12T00:00:00"/>
  </r>
  <r>
    <x v="5843"/>
    <d v="1899-12-30T00:00:03"/>
    <x v="1434"/>
    <x v="3"/>
    <s v="canton"/>
    <x v="1273"/>
    <n v="1732138"/>
    <x v="3"/>
    <s v="Social Science"/>
    <s v="9780520958746"/>
    <s v=",1,2,3"/>
    <n v="3"/>
    <m/>
    <m/>
    <s v="No"/>
    <x v="3"/>
    <m/>
    <m/>
    <s v="137.37.33.33"/>
    <s v="HV6529 -- .G373 2015eb"/>
    <n v="364.15230000000003"/>
    <d v="2015-03-12T00:00:00"/>
  </r>
  <r>
    <x v="5844"/>
    <d v="1899-12-30T00:00:21"/>
    <x v="1434"/>
    <x v="3"/>
    <s v="canton"/>
    <x v="1273"/>
    <n v="1732138"/>
    <x v="3"/>
    <s v="Social Science"/>
    <s v="9780520958746"/>
    <s v=",1,2,3,4,5,6,7,8,9,10,11,12,13,14,15"/>
    <n v="15"/>
    <m/>
    <m/>
    <s v="No"/>
    <x v="3"/>
    <m/>
    <m/>
    <s v="137.37.33.33"/>
    <s v="HV6529 -- .G373 2015eb"/>
    <n v="364.15230000000003"/>
    <d v="2015-03-12T00:00:00"/>
  </r>
  <r>
    <x v="5845"/>
    <d v="1899-12-30T00:15:31"/>
    <x v="1151"/>
    <x v="1"/>
    <s v="brockport"/>
    <x v="519"/>
    <n v="822662"/>
    <x v="0"/>
    <s v="History"/>
    <s v="9781444355130"/>
    <s v=",199,199,200,200,201,201,202,202,203,203,204,204,205,205,206,206,207,208,209,210,211,212,213,214,213,215,215,214,216,217,216,217,218,218,219,220,219,220,221,221,222,223,224,225,226,221"/>
    <n v="28"/>
    <m/>
    <m/>
    <s v="No"/>
    <x v="0"/>
    <d v="2015-10-12T16:02:14"/>
    <n v="7"/>
    <s v="137.21.7.121"/>
    <s v="DT20 -- .R45 2012eb"/>
    <n v="960.3"/>
    <d v="2011-11-11T00:00:00"/>
  </r>
  <r>
    <x v="5846"/>
    <d v="1899-12-30T00:01:02"/>
    <x v="989"/>
    <x v="1"/>
    <s v="brockport"/>
    <x v="519"/>
    <n v="822662"/>
    <x v="0"/>
    <s v="History"/>
    <s v="9781444355130"/>
    <s v=",1,2,3,174,175,176,172,173,177,194,195,196,192,193,197,198,199,200,201,202,203"/>
    <n v="21"/>
    <m/>
    <m/>
    <s v="No"/>
    <x v="1"/>
    <m/>
    <m/>
    <s v="137.21.7.121"/>
    <s v="DT20 -- .R45 2012eb"/>
    <n v="960.3"/>
    <d v="2011-11-11T00:00:00"/>
  </r>
  <r>
    <x v="5847"/>
    <d v="1899-12-30T00:00:26"/>
    <x v="13"/>
    <x v="0"/>
    <s v="Buffalo"/>
    <x v="120"/>
    <n v="947579"/>
    <x v="0"/>
    <s v="Business/Management"/>
    <s v="9781118419632"/>
    <s v=",2,15,59,61,89"/>
    <n v="5"/>
    <s v=",1"/>
    <m/>
    <s v="No"/>
    <x v="0"/>
    <d v="2015-10-12T15:43:53"/>
    <n v="7"/>
    <s v="128.205.114.91"/>
    <s v="HF5667 .C67 2012"/>
    <n v="657.45"/>
    <d v="2012-11-28T00:00:00"/>
  </r>
  <r>
    <x v="5848"/>
    <d v="1899-12-30T00:00:31"/>
    <x v="13"/>
    <x v="0"/>
    <s v="Buffalo"/>
    <x v="120"/>
    <n v="947579"/>
    <x v="0"/>
    <s v="Business/Management"/>
    <s v="9781118419632"/>
    <s v=",1,2,3,4,9,10,7,1"/>
    <n v="7"/>
    <m/>
    <m/>
    <s v="No"/>
    <x v="1"/>
    <m/>
    <m/>
    <s v="128.205.114.91"/>
    <s v="HF5667 .C67 2012"/>
    <n v="657.45"/>
    <d v="2012-11-28T00:00:00"/>
  </r>
  <r>
    <x v="5849"/>
    <d v="1899-12-30T00:45:48"/>
    <x v="13"/>
    <x v="0"/>
    <s v="Buffalo"/>
    <x v="73"/>
    <n v="1119505"/>
    <x v="0"/>
    <s v="Science: Chemistry; Science"/>
    <s v="9781118355015"/>
    <s v=",1,2,3,164,165,166,167,163,168,169,170"/>
    <n v="11"/>
    <m/>
    <m/>
    <s v="No"/>
    <x v="0"/>
    <d v="2015-10-10T04:34:43"/>
    <n v="7"/>
    <s v="128.205.114.91"/>
    <s v="QD251.3 -- .S38 2013eb"/>
    <s v="547/.128"/>
    <d v="2013-01-28T00:00:00"/>
  </r>
  <r>
    <x v="5850"/>
    <d v="1899-12-30T00:35:44"/>
    <x v="1151"/>
    <x v="1"/>
    <s v="brockport"/>
    <x v="519"/>
    <n v="822662"/>
    <x v="0"/>
    <s v="History"/>
    <s v="9781444355130"/>
    <s v=",1,2,2,3,3,1,4,4,5,5,133,134,135,134,133,135,132,132,2,131,159,160,161,159,160,157,161,158,158,170,171,172,170,168,172,171,169,169,256,257,258,257,256,254,258,255,255,241,242,243,241,239,242,240,243,240,224,225,224,226,225,226,222,223,223,210,211,210,212,211,212,208,209,209,207,195,196,195,196,193,197,194,197,194,198,198"/>
    <n v="47"/>
    <m/>
    <m/>
    <s v="No"/>
    <x v="1"/>
    <m/>
    <m/>
    <s v="137.21.7.121"/>
    <s v="DT20 -- .R45 2012eb"/>
    <n v="960.3"/>
    <d v="2011-11-11T00:00:00"/>
  </r>
  <r>
    <x v="5851"/>
    <d v="1899-12-30T00:00:50"/>
    <x v="1430"/>
    <x v="0"/>
    <s v="Buffalo"/>
    <x v="481"/>
    <n v="1650828"/>
    <x v="0"/>
    <s v="Business/Management"/>
    <s v="9781118729205"/>
    <s v=",1,2,3,4,5,6,7,8,9,10,11,12,13,14,15,16,17"/>
    <n v="17"/>
    <m/>
    <m/>
    <s v="No"/>
    <x v="0"/>
    <d v="2015-10-11T18:13:01"/>
    <n v="7"/>
    <s v="128.205.114.91"/>
    <s v="HF5548.2 -- .B375 2014eb"/>
    <n v="658.05631200000005"/>
    <d v="2014-03-06T00:00:00"/>
  </r>
  <r>
    <x v="5852"/>
    <d v="1899-12-30T00:00:34"/>
    <x v="26"/>
    <x v="6"/>
    <s v="sjfc"/>
    <x v="901"/>
    <n v="864784"/>
    <x v="10"/>
    <s v="Education"/>
    <s v="9781400841578"/>
    <s v=",1,2,3,4,119,120,121,117,118,122,123,124,26,27,196,167,168,142,143,144,140,141"/>
    <n v="22"/>
    <m/>
    <m/>
    <s v="No"/>
    <x v="1"/>
    <m/>
    <m/>
    <s v="149.69.254.57"/>
    <s v="LA227.4 .D455 2012"/>
    <n v="378.73"/>
    <d v="2014-05-27T00:00:00"/>
  </r>
  <r>
    <x v="5853"/>
    <d v="1899-12-30T01:01:30"/>
    <x v="1437"/>
    <x v="16"/>
    <s v="monroecc"/>
    <x v="1355"/>
    <n v="1630976"/>
    <x v="0"/>
    <s v="Fine Arts; Architecture"/>
    <s v="9781118418666"/>
    <s v=",1,3,2,4,5,6,657,656,655,1,3,4,5,6,7,8,9,10,11,12,13,14,15,16,17,18,20,19,21,22,23,24,25,26,27,28,29,30,31,32,33,34,35,36,37,38,39,41,42,40,43,44,45,46,47,49,48,50,51,52,53,54,55,56,57,58,59,60,61,62,63,64,65,66,67,69,68,70,71,72,73,74,75,76,77,78,79,80,81,82,83,84,85,80,79,84,85,86,87,88,89,90,91,92,93,94,95,90,95,96,97,98,99,100,100,101,102,103,104,105,99,104,105,106,107,108,109,110,111,112,114,113,115,116,117,118,113,112,111,110,109,108,107,106,105,104,103,102,101,100,99,98,97,96,95,94,93,92,91,90,89,95,96,97,98,99,100,101,102,103,104,105,106,107,108,109,110,111,112,113,114,115,116,117,118,119,120,121,122,123,124,125,126,127,128,123,129,130,131,132,133,134,128,127,126,125,124,123,122,121,120"/>
    <n v="137"/>
    <m/>
    <m/>
    <s v="No"/>
    <x v="0"/>
    <d v="2015-10-07T16:39:53"/>
    <n v="7"/>
    <s v="150.160.200.114"/>
    <s v="NK2110"/>
    <n v="729"/>
    <d v="2014-02-07T00:00:00"/>
  </r>
  <r>
    <x v="5854"/>
    <d v="1899-12-30T00:17:49"/>
    <x v="1418"/>
    <x v="7"/>
    <s v="oneonta"/>
    <x v="27"/>
    <n v="1895140"/>
    <x v="0"/>
    <s v="Education"/>
    <s v="9781118911488"/>
    <s v=",58,59,60,61,62,63,64,65,66,67,68,69,70,71,72,73,74,75,76,77,78,79,80,81,82,83,84,85,86,87,88"/>
    <n v="31"/>
    <m/>
    <m/>
    <s v="No"/>
    <x v="2"/>
    <d v="2015-10-12T13:21:26"/>
    <n v="1"/>
    <s v="137.141.13.2"/>
    <s v="LB2367.4 .G743 2015"/>
    <n v="378.1662"/>
    <d v="2015-03-23T00:00:00"/>
  </r>
  <r>
    <x v="5855"/>
    <d v="1899-12-30T00:06:33"/>
    <x v="1418"/>
    <x v="7"/>
    <s v="oneonta"/>
    <x v="27"/>
    <n v="1895140"/>
    <x v="0"/>
    <s v="Education"/>
    <s v="9781118911488"/>
    <s v=",1,2,3,4,5,6,7,8,9,10,11,12,13,14,15,16,17,18,19,20,21,41,42,43,44,40,39,54,55,56,57,53,52,51,50,49,48,47"/>
    <n v="38"/>
    <m/>
    <m/>
    <s v="No"/>
    <x v="3"/>
    <m/>
    <m/>
    <s v="137.141.13.2"/>
    <s v="LB2367.4 .G743 2015"/>
    <n v="378.1662"/>
    <d v="2015-03-23T00:00:00"/>
  </r>
  <r>
    <x v="5856"/>
    <d v="1899-12-30T00:00:04"/>
    <x v="13"/>
    <x v="0"/>
    <s v="Buffalo"/>
    <x v="335"/>
    <n v="821801"/>
    <x v="0"/>
    <s v="Education; Business/Management"/>
    <s v="9781118224144"/>
    <s v=",1,2,3"/>
    <n v="3"/>
    <m/>
    <m/>
    <s v="No"/>
    <x v="1"/>
    <m/>
    <m/>
    <s v="128.205.114.91"/>
    <s v="HF1118 .O33; LB2367.3 .O34"/>
    <n v="658.00760000000002"/>
    <d v="2012-03-06T00:00:00"/>
  </r>
  <r>
    <x v="5857"/>
    <d v="1899-12-30T01:23:29"/>
    <x v="13"/>
    <x v="0"/>
    <s v="Buffalo"/>
    <x v="161"/>
    <n v="821663"/>
    <x v="0"/>
    <s v="Architecture"/>
    <s v="9781118168479"/>
    <s v=",1,2,3,207,208,209,205,206,207,208,209,205,210,2,211,211,1,209,210,212,213,2,214,215,216,217,218,219,220,221,233,234,235,231,232"/>
    <n v="25"/>
    <m/>
    <m/>
    <s v="No"/>
    <x v="0"/>
    <d v="2015-10-10T18:52:22"/>
    <n v="7"/>
    <s v="128.205.114.91"/>
    <s v="NA2547 -- .S74 2012eb"/>
    <n v="729"/>
    <d v="2012-03-05T00:00:00"/>
  </r>
  <r>
    <x v="5858"/>
    <d v="1899-12-30T00:00:00"/>
    <x v="1040"/>
    <x v="16"/>
    <s v="monroecc"/>
    <x v="619"/>
    <n v="1823054"/>
    <x v="0"/>
    <s v="Medicine; Nursing"/>
    <s v="9781118690314"/>
    <m/>
    <n v="0"/>
    <m/>
    <m/>
    <s v="Yes"/>
    <x v="0"/>
    <d v="2015-10-12T11:04:25"/>
    <n v="7"/>
    <s v="150.160.200.114"/>
    <s v="RC954 -- .C374 2015eb"/>
    <n v="610.73649999999998"/>
    <d v="2014-10-20T00:00:00"/>
  </r>
  <r>
    <x v="5858"/>
    <d v="1899-12-30T00:00:00"/>
    <x v="1040"/>
    <x v="16"/>
    <s v="monroecc"/>
    <x v="619"/>
    <n v="1823054"/>
    <x v="0"/>
    <s v="Medicine; Nursing"/>
    <s v="9781118690314"/>
    <m/>
    <n v="0"/>
    <m/>
    <m/>
    <s v="No"/>
    <x v="0"/>
    <d v="2015-10-12T11:04:25"/>
    <n v="7"/>
    <s v="150.160.200.114"/>
    <s v="RC954 -- .C374 2015eb"/>
    <n v="610.73649999999998"/>
    <d v="2014-10-20T00:00:00"/>
  </r>
  <r>
    <x v="5859"/>
    <d v="1899-12-30T00:00:14"/>
    <x v="1040"/>
    <x v="16"/>
    <s v="monroecc"/>
    <x v="619"/>
    <n v="1823054"/>
    <x v="0"/>
    <s v="Medicine; Nursing"/>
    <s v="9781118690314"/>
    <s v=",1,2,3"/>
    <n v="3"/>
    <m/>
    <m/>
    <s v="No"/>
    <x v="3"/>
    <m/>
    <m/>
    <s v="150.160.200.114"/>
    <s v="RC954 -- .C374 2015eb"/>
    <n v="610.73649999999998"/>
    <d v="2014-10-20T00:00:00"/>
  </r>
  <r>
    <x v="5860"/>
    <d v="1899-12-30T00:00:00"/>
    <x v="1040"/>
    <x v="16"/>
    <s v="monroecc"/>
    <x v="1356"/>
    <n v="3057415"/>
    <x v="0"/>
    <s v="Health; Social Science"/>
    <s v="9780471217626"/>
    <m/>
    <n v="0"/>
    <m/>
    <m/>
    <s v="Yes"/>
    <x v="2"/>
    <d v="2015-10-12T10:58:52"/>
    <n v="1"/>
    <s v="150.160.200.114"/>
    <s v="RA645.3.A4595 2001eb"/>
    <s v="362.1/4"/>
    <d v="2035-01-01T00:00:00"/>
  </r>
  <r>
    <x v="5860"/>
    <d v="1899-12-30T00:00:00"/>
    <x v="1040"/>
    <x v="16"/>
    <s v="monroecc"/>
    <x v="1356"/>
    <n v="3057415"/>
    <x v="0"/>
    <s v="Health; Social Science"/>
    <s v="9780471217626"/>
    <m/>
    <n v="0"/>
    <m/>
    <m/>
    <s v="No"/>
    <x v="2"/>
    <d v="2015-10-12T10:58:52"/>
    <n v="1"/>
    <s v="150.160.200.114"/>
    <s v="RA645.3.A4595 2001eb"/>
    <s v="362.1/4"/>
    <d v="2035-01-01T00:00:00"/>
  </r>
  <r>
    <x v="5861"/>
    <d v="1899-12-30T00:00:13"/>
    <x v="1040"/>
    <x v="16"/>
    <s v="monroecc"/>
    <x v="1356"/>
    <n v="3057415"/>
    <x v="0"/>
    <s v="Health; Social Science"/>
    <s v="9780471217626"/>
    <s v=",1,2,3"/>
    <n v="3"/>
    <m/>
    <m/>
    <s v="No"/>
    <x v="3"/>
    <m/>
    <m/>
    <s v="150.160.200.114"/>
    <s v="RA645.3.A4595 2001eb"/>
    <s v="362.1/4"/>
    <d v="2035-01-01T00:00:00"/>
  </r>
  <r>
    <x v="5862"/>
    <d v="1899-12-30T00:01:01"/>
    <x v="1422"/>
    <x v="15"/>
    <s v="morrisville"/>
    <x v="1348"/>
    <n v="1998813"/>
    <x v="0"/>
    <s v="Science; Science: Chemistry"/>
    <s v="9783527693511"/>
    <s v=",5,6,7,4,21,22,20,18,19,28,29,25"/>
    <n v="12"/>
    <m/>
    <m/>
    <s v="No"/>
    <x v="0"/>
    <d v="2015-10-12T09:12:56"/>
    <n v="7"/>
    <s v="136.204.32.67"/>
    <s v="QD516 -- .K836 2015eb"/>
    <n v="541.36099999999999"/>
    <d v="2015-04-23T00:00:00"/>
  </r>
  <r>
    <x v="5863"/>
    <d v="1899-12-30T00:14:15"/>
    <x v="1422"/>
    <x v="15"/>
    <s v="morrisville"/>
    <x v="1348"/>
    <n v="1998813"/>
    <x v="0"/>
    <s v="Science; Science: Chemistry"/>
    <s v="9783527693511"/>
    <s v=",1,3,2"/>
    <n v="3"/>
    <m/>
    <m/>
    <s v="No"/>
    <x v="3"/>
    <m/>
    <m/>
    <s v="136.204.32.67"/>
    <s v="QD516 -- .K836 2015eb"/>
    <n v="541.36099999999999"/>
    <d v="2015-04-23T00:00:00"/>
  </r>
  <r>
    <x v="5864"/>
    <d v="1899-12-30T00:07:53"/>
    <x v="1438"/>
    <x v="16"/>
    <s v="monroecc"/>
    <x v="1357"/>
    <n v="1638160"/>
    <x v="0"/>
    <s v="Social Science"/>
    <s v="9781118898956"/>
    <s v=",1,3,2,79,80,81,77,78,82,83,84,85"/>
    <n v="12"/>
    <m/>
    <m/>
    <s v="No"/>
    <x v="2"/>
    <d v="2015-10-12T00:49:09"/>
    <n v="1"/>
    <s v="150.160.200.114"/>
    <s v="HV6773 -- .B476 2014eb"/>
    <n v="364.16800000000001"/>
    <d v="2014-02-19T00:00:00"/>
  </r>
  <r>
    <x v="5865"/>
    <d v="1899-12-30T00:00:00"/>
    <x v="1040"/>
    <x v="16"/>
    <s v="monroecc"/>
    <x v="1358"/>
    <n v="1120740"/>
    <x v="0"/>
    <s v="Philosophy; Medicine"/>
    <s v="9781118596890"/>
    <m/>
    <n v="0"/>
    <m/>
    <m/>
    <s v="Yes"/>
    <x v="2"/>
    <d v="2015-10-12T06:47:51"/>
    <n v="1"/>
    <s v="150.160.200.114"/>
    <s v="R724"/>
    <n v="174.2"/>
    <d v="2013-01-07T00:00:00"/>
  </r>
  <r>
    <x v="5865"/>
    <d v="1899-12-30T00:00:00"/>
    <x v="1040"/>
    <x v="16"/>
    <s v="monroecc"/>
    <x v="1358"/>
    <n v="1120740"/>
    <x v="0"/>
    <s v="Philosophy; Medicine"/>
    <s v="9781118596890"/>
    <m/>
    <n v="0"/>
    <m/>
    <m/>
    <s v="No"/>
    <x v="2"/>
    <d v="2015-10-12T06:47:51"/>
    <n v="1"/>
    <s v="150.160.200.114"/>
    <s v="R724"/>
    <n v="174.2"/>
    <d v="2013-01-07T00:00:00"/>
  </r>
  <r>
    <x v="5866"/>
    <d v="1899-12-30T00:00:16"/>
    <x v="1040"/>
    <x v="16"/>
    <s v="monroecc"/>
    <x v="1358"/>
    <n v="1120740"/>
    <x v="0"/>
    <s v="Philosophy; Medicine"/>
    <s v="9781118596890"/>
    <s v=",1,2,3"/>
    <n v="3"/>
    <m/>
    <m/>
    <s v="No"/>
    <x v="3"/>
    <m/>
    <m/>
    <s v="150.160.200.114"/>
    <s v="R724"/>
    <n v="174.2"/>
    <d v="2013-01-07T00:00:00"/>
  </r>
  <r>
    <x v="5867"/>
    <d v="1899-12-30T00:00:00"/>
    <x v="1040"/>
    <x v="16"/>
    <s v="monroecc"/>
    <x v="1359"/>
    <n v="1895635"/>
    <x v="0"/>
    <s v="Medicine"/>
    <s v="9781118828625"/>
    <m/>
    <n v="0"/>
    <m/>
    <m/>
    <s v="Yes"/>
    <x v="0"/>
    <d v="2015-10-12T06:47:31"/>
    <n v="7"/>
    <s v="150.160.200.114"/>
    <s v="RK510 -- .A547 2015eb"/>
    <s v="617.9/676"/>
    <d v="2015-06-08T00:00:00"/>
  </r>
  <r>
    <x v="5867"/>
    <d v="1899-12-30T00:00:00"/>
    <x v="1040"/>
    <x v="16"/>
    <s v="monroecc"/>
    <x v="1359"/>
    <n v="1895635"/>
    <x v="0"/>
    <s v="Medicine"/>
    <s v="9781118828625"/>
    <m/>
    <n v="0"/>
    <m/>
    <m/>
    <s v="No"/>
    <x v="0"/>
    <d v="2015-10-12T06:47:31"/>
    <n v="7"/>
    <s v="150.160.200.114"/>
    <s v="RK510 -- .A547 2015eb"/>
    <s v="617.9/676"/>
    <d v="2015-06-08T00:00:00"/>
  </r>
  <r>
    <x v="5868"/>
    <d v="1899-12-30T00:01:13"/>
    <x v="1040"/>
    <x v="16"/>
    <s v="monroecc"/>
    <x v="1359"/>
    <n v="1895635"/>
    <x v="0"/>
    <s v="Medicine"/>
    <s v="9781118828625"/>
    <s v=",1,2,3"/>
    <n v="3"/>
    <m/>
    <m/>
    <s v="No"/>
    <x v="3"/>
    <m/>
    <m/>
    <s v="150.160.200.114"/>
    <s v="RK510 -- .A547 2015eb"/>
    <s v="617.9/676"/>
    <d v="2015-06-08T00:00:00"/>
  </r>
  <r>
    <x v="5869"/>
    <d v="1899-12-30T00:00:00"/>
    <x v="1040"/>
    <x v="16"/>
    <s v="monroecc"/>
    <x v="618"/>
    <n v="1890993"/>
    <x v="0"/>
    <s v="Medicine"/>
    <s v="9781118939161"/>
    <m/>
    <n v="0"/>
    <m/>
    <m/>
    <s v="Yes"/>
    <x v="0"/>
    <d v="2015-10-12T06:41:52"/>
    <n v="7"/>
    <s v="150.160.200.114"/>
    <s v="RC86.8 .B384 2014"/>
    <n v="616.02800000000002"/>
    <d v="2014-12-11T00:00:00"/>
  </r>
  <r>
    <x v="5869"/>
    <d v="1899-12-30T00:00:00"/>
    <x v="1040"/>
    <x v="16"/>
    <s v="monroecc"/>
    <x v="618"/>
    <n v="1890993"/>
    <x v="0"/>
    <s v="Medicine"/>
    <s v="9781118939161"/>
    <m/>
    <n v="0"/>
    <m/>
    <m/>
    <s v="No"/>
    <x v="0"/>
    <d v="2015-10-12T06:41:52"/>
    <n v="7"/>
    <s v="150.160.200.114"/>
    <s v="RC86.8 .B384 2014"/>
    <n v="616.02800000000002"/>
    <d v="2014-12-11T00:00:00"/>
  </r>
  <r>
    <x v="5870"/>
    <d v="1899-12-30T00:00:00"/>
    <x v="1040"/>
    <x v="16"/>
    <s v="monroecc"/>
    <x v="1360"/>
    <n v="1880169"/>
    <x v="0"/>
    <s v="Medicine"/>
    <s v="9781118772591"/>
    <m/>
    <n v="0"/>
    <m/>
    <m/>
    <s v="Yes"/>
    <x v="0"/>
    <d v="2015-10-12T06:40:56"/>
    <n v="7"/>
    <s v="150.160.200.114"/>
    <s v="R726.8 -- .H67 2015eb"/>
    <s v="616.02/9"/>
    <d v="2014-12-01T00:00:00"/>
  </r>
  <r>
    <x v="5870"/>
    <d v="1899-12-30T00:00:00"/>
    <x v="1040"/>
    <x v="16"/>
    <s v="monroecc"/>
    <x v="1360"/>
    <n v="1880169"/>
    <x v="0"/>
    <s v="Medicine"/>
    <s v="9781118772591"/>
    <m/>
    <n v="0"/>
    <m/>
    <m/>
    <s v="No"/>
    <x v="0"/>
    <d v="2015-10-12T06:40:56"/>
    <n v="7"/>
    <s v="150.160.200.114"/>
    <s v="R726.8 -- .H67 2015eb"/>
    <s v="616.02/9"/>
    <d v="2014-12-01T00:00:00"/>
  </r>
  <r>
    <x v="5871"/>
    <d v="1899-12-30T00:00:05"/>
    <x v="1040"/>
    <x v="16"/>
    <s v="monroecc"/>
    <x v="1250"/>
    <n v="1943363"/>
    <x v="0"/>
    <s v="Medicine"/>
    <s v="9781118746196"/>
    <s v=",1,2,3"/>
    <n v="3"/>
    <m/>
    <m/>
    <s v="No"/>
    <x v="3"/>
    <m/>
    <m/>
    <s v="150.160.200.114"/>
    <s v="RB113 -- .N35 2015eb"/>
    <s v="616/.047"/>
    <d v="2015-02-05T00:00:00"/>
  </r>
  <r>
    <x v="5872"/>
    <d v="1899-12-30T00:03:28"/>
    <x v="1040"/>
    <x v="16"/>
    <s v="monroecc"/>
    <x v="1360"/>
    <n v="1880169"/>
    <x v="0"/>
    <s v="Medicine"/>
    <s v="9781118772591"/>
    <s v=",1,2,3"/>
    <n v="3"/>
    <m/>
    <m/>
    <s v="No"/>
    <x v="3"/>
    <m/>
    <m/>
    <s v="150.160.200.114"/>
    <s v="R726.8 -- .H67 2015eb"/>
    <s v="616.02/9"/>
    <d v="2014-12-01T00:00:00"/>
  </r>
  <r>
    <x v="5873"/>
    <d v="1899-12-30T00:04:32"/>
    <x v="1040"/>
    <x v="16"/>
    <s v="monroecc"/>
    <x v="618"/>
    <n v="1890993"/>
    <x v="0"/>
    <s v="Medicine"/>
    <s v="9781118939161"/>
    <s v=",1,2,3"/>
    <n v="3"/>
    <m/>
    <m/>
    <s v="No"/>
    <x v="3"/>
    <m/>
    <m/>
    <s v="150.160.200.114"/>
    <s v="RC86.8 .B384 2014"/>
    <n v="616.02800000000002"/>
    <d v="2014-12-11T00:00:00"/>
  </r>
  <r>
    <x v="5874"/>
    <d v="1899-12-30T00:00:00"/>
    <x v="1040"/>
    <x v="16"/>
    <s v="monroecc"/>
    <x v="1361"/>
    <n v="1895517"/>
    <x v="0"/>
    <s v="Medicine"/>
    <s v="9781118632833"/>
    <m/>
    <n v="0"/>
    <m/>
    <m/>
    <s v="Yes"/>
    <x v="0"/>
    <d v="2015-10-12T06:36:56"/>
    <n v="7"/>
    <s v="150.160.200.114"/>
    <s v="RC48 -- .P733 2015eb"/>
    <n v="616"/>
    <d v="2015-02-24T00:00:00"/>
  </r>
  <r>
    <x v="5874"/>
    <d v="1899-12-30T00:00:00"/>
    <x v="1040"/>
    <x v="16"/>
    <s v="monroecc"/>
    <x v="1361"/>
    <n v="1895517"/>
    <x v="0"/>
    <s v="Medicine"/>
    <s v="9781118632833"/>
    <m/>
    <n v="0"/>
    <m/>
    <m/>
    <s v="No"/>
    <x v="0"/>
    <d v="2015-10-12T06:36:56"/>
    <n v="7"/>
    <s v="150.160.200.114"/>
    <s v="RC48 -- .P733 2015eb"/>
    <n v="616"/>
    <d v="2015-02-24T00:00:00"/>
  </r>
  <r>
    <x v="5875"/>
    <d v="1899-12-30T00:00:52"/>
    <x v="1040"/>
    <x v="16"/>
    <s v="monroecc"/>
    <x v="1361"/>
    <n v="1895517"/>
    <x v="0"/>
    <s v="Medicine"/>
    <s v="9781118632833"/>
    <s v=",1,2,3"/>
    <n v="3"/>
    <m/>
    <m/>
    <s v="No"/>
    <x v="3"/>
    <m/>
    <m/>
    <s v="150.160.200.114"/>
    <s v="RC48 -- .P733 2015eb"/>
    <n v="616"/>
    <d v="2015-02-24T00:00:00"/>
  </r>
  <r>
    <x v="5876"/>
    <d v="1899-12-30T00:00:00"/>
    <x v="1040"/>
    <x v="16"/>
    <s v="monroecc"/>
    <x v="489"/>
    <n v="1767439"/>
    <x v="0"/>
    <s v="Medicine"/>
    <s v="9781118437780"/>
    <m/>
    <n v="0"/>
    <m/>
    <m/>
    <s v="Yes"/>
    <x v="2"/>
    <d v="2015-10-12T06:34:08"/>
    <n v="1"/>
    <s v="150.160.200.114"/>
    <s v="R726.8 -- .R677 2014eb"/>
    <n v="616.029"/>
    <d v="2014-08-13T00:00:00"/>
  </r>
  <r>
    <x v="5876"/>
    <d v="1899-12-30T00:00:00"/>
    <x v="1040"/>
    <x v="16"/>
    <s v="monroecc"/>
    <x v="489"/>
    <n v="1767439"/>
    <x v="0"/>
    <s v="Medicine"/>
    <s v="9781118437780"/>
    <m/>
    <n v="0"/>
    <m/>
    <m/>
    <s v="No"/>
    <x v="2"/>
    <d v="2015-10-12T06:34:08"/>
    <n v="1"/>
    <s v="150.160.200.114"/>
    <s v="R726.8 -- .R677 2014eb"/>
    <n v="616.029"/>
    <d v="2014-08-13T00:00:00"/>
  </r>
  <r>
    <x v="5877"/>
    <d v="1899-12-30T00:00:16"/>
    <x v="1040"/>
    <x v="16"/>
    <s v="monroecc"/>
    <x v="489"/>
    <n v="1767439"/>
    <x v="0"/>
    <s v="Medicine"/>
    <s v="9781118437780"/>
    <s v=",1,2,3"/>
    <n v="3"/>
    <m/>
    <m/>
    <s v="No"/>
    <x v="3"/>
    <m/>
    <m/>
    <s v="150.160.200.114"/>
    <s v="R726.8 -- .R677 2014eb"/>
    <n v="616.029"/>
    <d v="2014-08-13T00:00:00"/>
  </r>
  <r>
    <x v="5878"/>
    <d v="1899-12-30T00:03:14"/>
    <x v="1439"/>
    <x v="12"/>
    <s v="potsdam"/>
    <x v="630"/>
    <n v="771049"/>
    <x v="18"/>
    <s v="Science: Physics; Science; Environmental Studies"/>
    <s v="9781608706648"/>
    <s v=",1,2,3,8,9,10,6,7,11,12,13,14,15,16,17,18,19,20,21,22,23,24,25"/>
    <n v="23"/>
    <m/>
    <m/>
    <s v="No"/>
    <x v="1"/>
    <m/>
    <m/>
    <s v="137.143.104.94"/>
    <s v="QC981.8"/>
    <n v="363.73874000000001"/>
    <d v="2012-01-01T00:00:00"/>
  </r>
  <r>
    <x v="5879"/>
    <d v="1899-12-30T00:00:00"/>
    <x v="904"/>
    <x v="0"/>
    <s v="Buffalo"/>
    <x v="481"/>
    <n v="1650828"/>
    <x v="0"/>
    <s v="Business/Management"/>
    <s v="9781118729205"/>
    <m/>
    <n v="0"/>
    <m/>
    <m/>
    <s v="Yes"/>
    <x v="0"/>
    <d v="2015-10-12T04:12:19"/>
    <n v="7"/>
    <s v="128.205.114.91"/>
    <s v="HF5548.2 -- .B375 2014eb"/>
    <n v="658.05631200000005"/>
    <d v="2014-03-06T00:00:00"/>
  </r>
  <r>
    <x v="5879"/>
    <d v="1899-12-30T00:00:00"/>
    <x v="904"/>
    <x v="0"/>
    <s v="Buffalo"/>
    <x v="481"/>
    <n v="1650828"/>
    <x v="0"/>
    <s v="Business/Management"/>
    <s v="9781118729205"/>
    <m/>
    <n v="0"/>
    <m/>
    <m/>
    <s v="No"/>
    <x v="0"/>
    <d v="2015-10-12T04:12:19"/>
    <n v="7"/>
    <s v="128.205.114.91"/>
    <s v="HF5548.2 -- .B375 2014eb"/>
    <n v="658.05631200000005"/>
    <d v="2014-03-06T00:00:00"/>
  </r>
  <r>
    <x v="5880"/>
    <d v="1899-12-30T00:01:57"/>
    <x v="904"/>
    <x v="0"/>
    <s v="Buffalo"/>
    <x v="481"/>
    <n v="1650828"/>
    <x v="0"/>
    <s v="Business/Management"/>
    <s v="9781118729205"/>
    <s v=",1,2,3,1"/>
    <n v="3"/>
    <m/>
    <m/>
    <s v="No"/>
    <x v="1"/>
    <m/>
    <m/>
    <s v="128.205.114.91"/>
    <s v="HF5548.2 -- .B375 2014eb"/>
    <n v="658.05631200000005"/>
    <d v="2014-03-06T00:00:00"/>
  </r>
  <r>
    <x v="5881"/>
    <d v="1899-12-30T00:00:35"/>
    <x v="13"/>
    <x v="0"/>
    <s v="Buffalo"/>
    <x v="73"/>
    <n v="1119505"/>
    <x v="0"/>
    <s v="Science: Chemistry; Science"/>
    <s v="9781118355015"/>
    <s v=",1,2,3,107,108,109,105,106,110,111,112,113,114,115,116"/>
    <n v="15"/>
    <m/>
    <m/>
    <s v="No"/>
    <x v="0"/>
    <d v="2015-10-10T04:34:43"/>
    <n v="7"/>
    <s v="128.205.114.91"/>
    <s v="QD251.3 -- .S38 2013eb"/>
    <s v="547/.128"/>
    <d v="2013-01-28T00:00:00"/>
  </r>
  <r>
    <x v="5882"/>
    <d v="1899-12-30T00:00:08"/>
    <x v="1440"/>
    <x v="0"/>
    <s v="Buffalo"/>
    <x v="73"/>
    <n v="1119505"/>
    <x v="0"/>
    <s v="Science: Chemistry; Science"/>
    <s v="9781118355015"/>
    <s v=",1,2,3"/>
    <n v="3"/>
    <m/>
    <m/>
    <s v="No"/>
    <x v="1"/>
    <m/>
    <m/>
    <s v="128.205.114.91"/>
    <s v="QD251.3 -- .S38 2013eb"/>
    <s v="547/.128"/>
    <d v="2013-01-28T00:00:00"/>
  </r>
  <r>
    <x v="5883"/>
    <d v="1899-12-30T00:00:00"/>
    <x v="727"/>
    <x v="0"/>
    <s v="Buffalo"/>
    <x v="1362"/>
    <n v="1680598"/>
    <x v="0"/>
    <s v="Business/Management; Economics"/>
    <s v="9781118843048"/>
    <m/>
    <n v="0"/>
    <m/>
    <m/>
    <s v="Yes"/>
    <x v="0"/>
    <d v="2015-10-12T01:16:10"/>
    <n v="7"/>
    <s v="128.205.114.91"/>
    <s v="HG4529 -- .S36 2014eb"/>
    <n v="332.6"/>
    <d v="2014-04-23T00:00:00"/>
  </r>
  <r>
    <x v="5883"/>
    <d v="1899-12-30T00:00:00"/>
    <x v="727"/>
    <x v="0"/>
    <s v="Buffalo"/>
    <x v="1362"/>
    <n v="1680598"/>
    <x v="0"/>
    <s v="Business/Management; Economics"/>
    <s v="9781118843048"/>
    <m/>
    <n v="0"/>
    <m/>
    <m/>
    <s v="No"/>
    <x v="0"/>
    <d v="2015-10-12T01:16:10"/>
    <n v="7"/>
    <s v="128.205.114.91"/>
    <s v="HG4529 -- .S36 2014eb"/>
    <n v="332.6"/>
    <d v="2014-04-23T00:00:00"/>
  </r>
  <r>
    <x v="5884"/>
    <d v="1899-12-30T00:31:57"/>
    <x v="1438"/>
    <x v="16"/>
    <s v="monroecc"/>
    <x v="1357"/>
    <n v="1638160"/>
    <x v="0"/>
    <s v="Social Science"/>
    <s v="9781118898956"/>
    <s v=",1,2,3,72,73,74,71,70,82,83,84,80,81,76,77,78,75,79,69,67,68,94,95,96,92,93"/>
    <n v="26"/>
    <m/>
    <s v=",69,70,71,72,73,74,75,76,77,78,79,80,81,82,83,84,85,86,87,88,89,90,91,92,93,94,95,96,97,98,99,100,101,102,103,104,105,106,107,108,109,110,111,112,113,114,115,116,117,118,119,120,121,122,123,124,125,126,127,128,129,130,131,132,133,134,151,152,69,70,71,72,73,74,75,76,77,78,79,80,81,82,83,84,85,86,87,88,89,90,91,92,93,94,95,96,97,98,99,100,101,102,103,104,105,106,107,108,109,110,111,112,113,114,115,116,117,118,119,120,121,122,123,124,125,126,127,128,129,130,131,132,133,134,151,152"/>
    <s v="No"/>
    <x v="2"/>
    <d v="2015-10-12T00:49:09"/>
    <n v="1"/>
    <s v="150.160.200.114"/>
    <s v="HV6773 -- .B476 2014eb"/>
    <n v="364.16800000000001"/>
    <d v="2014-02-19T00:00:00"/>
  </r>
  <r>
    <x v="5885"/>
    <d v="1899-12-30T00:09:24"/>
    <x v="727"/>
    <x v="0"/>
    <s v="Buffalo"/>
    <x v="1362"/>
    <n v="1680598"/>
    <x v="0"/>
    <s v="Business/Management; Economics"/>
    <s v="9781118843048"/>
    <s v=",1,459,460,461,457,458,2,462,463,464,465,466,467,468,469,470,471,472,473,474,475,476"/>
    <n v="22"/>
    <m/>
    <m/>
    <s v="No"/>
    <x v="1"/>
    <m/>
    <m/>
    <s v="128.205.114.91"/>
    <s v="HG4529 -- .S36 2014eb"/>
    <n v="332.6"/>
    <d v="2014-04-23T00:00:00"/>
  </r>
  <r>
    <x v="5886"/>
    <d v="1899-12-30T00:10:45"/>
    <x v="1438"/>
    <x v="16"/>
    <s v="monroecc"/>
    <x v="1357"/>
    <n v="1638160"/>
    <x v="0"/>
    <s v="Social Science"/>
    <s v="9781118898956"/>
    <s v=",72,73,74,76,77,78,75"/>
    <n v="7"/>
    <m/>
    <m/>
    <s v="No"/>
    <x v="2"/>
    <d v="2015-10-12T00:49:09"/>
    <n v="1"/>
    <s v="150.160.200.114"/>
    <s v="HV6773 -- .B476 2014eb"/>
    <n v="364.16800000000001"/>
    <d v="2014-02-19T00:00:00"/>
  </r>
  <r>
    <x v="5887"/>
    <d v="1899-12-30T00:13:35"/>
    <x v="1438"/>
    <x v="16"/>
    <s v="monroecc"/>
    <x v="1357"/>
    <n v="1638160"/>
    <x v="0"/>
    <s v="Social Science"/>
    <s v="9781118898956"/>
    <s v=",1,2,3,69,70,71,67,68,120,121,122,118,119"/>
    <n v="13"/>
    <m/>
    <m/>
    <s v="No"/>
    <x v="3"/>
    <m/>
    <m/>
    <s v="150.160.200.114"/>
    <s v="HV6773 -- .B476 2014eb"/>
    <n v="364.16800000000001"/>
    <d v="2014-02-19T00:00:00"/>
  </r>
  <r>
    <x v="5888"/>
    <d v="1899-12-30T00:04:14"/>
    <x v="847"/>
    <x v="0"/>
    <s v="Buffalo"/>
    <x v="559"/>
    <n v="1217954"/>
    <x v="1"/>
    <s v="Engineering; Engineering: General"/>
    <s v="9781409457558"/>
    <s v=",1,3,2,4,11,324,323,325,321,322,326,327,328,329"/>
    <n v="14"/>
    <m/>
    <m/>
    <s v="No"/>
    <x v="1"/>
    <m/>
    <m/>
    <s v="128.205.114.91"/>
    <s v="T59.7 -- .S73 2013eb"/>
    <s v="620.8/2"/>
    <d v="2013-10-28T00:00:00"/>
  </r>
  <r>
    <x v="5889"/>
    <d v="1899-12-30T00:25:22"/>
    <x v="13"/>
    <x v="0"/>
    <s v="Buffalo"/>
    <x v="719"/>
    <n v="771074"/>
    <x v="18"/>
    <s v="Medicine; Pharmacy; Social Science; Health"/>
    <s v="9780761499732"/>
    <s v=",38,39,33,34,38,39,40,41"/>
    <n v="6"/>
    <m/>
    <m/>
    <s v="No"/>
    <x v="0"/>
    <d v="2015-10-11T22:11:34"/>
    <n v="7"/>
    <s v="128.205.114.91"/>
    <s v="RM301.17 .K567 2012"/>
    <s v="362.29; 615.1"/>
    <d v="2012-01-01T00:00:00"/>
  </r>
  <r>
    <x v="5890"/>
    <d v="1899-12-30T00:16:22"/>
    <x v="13"/>
    <x v="0"/>
    <s v="Buffalo"/>
    <x v="719"/>
    <n v="771074"/>
    <x v="18"/>
    <s v="Medicine; Pharmacy; Social Science; Health"/>
    <s v="9780761499732"/>
    <s v=",1,2,3,316,317,318,319,320,321,313,314,315,312,316,317,318,319,320,321,303,304,305,321,3,4,1,5,6,9,10,11,7,8,12,13,14,15,16,17,18,19,20,24,25,26,27,23,28,29,30,35,36,37"/>
    <n v="44"/>
    <m/>
    <m/>
    <s v="No"/>
    <x v="1"/>
    <m/>
    <m/>
    <s v="128.205.114.91"/>
    <s v="RM301.17 .K567 2012"/>
    <s v="362.29; 615.1"/>
    <d v="2012-01-01T00:00:00"/>
  </r>
  <r>
    <x v="5891"/>
    <d v="1899-12-30T00:02:33"/>
    <x v="13"/>
    <x v="0"/>
    <s v="Buffalo"/>
    <x v="73"/>
    <n v="1119505"/>
    <x v="0"/>
    <s v="Science: Chemistry; Science"/>
    <s v="9781118355015"/>
    <s v=",1,2,3,89,90,91,87,88,92,93,94,95,96"/>
    <n v="13"/>
    <m/>
    <m/>
    <s v="No"/>
    <x v="0"/>
    <d v="2015-10-10T04:34:43"/>
    <n v="7"/>
    <s v="128.205.114.91"/>
    <s v="QD251.3 -- .S38 2013eb"/>
    <s v="547/.128"/>
    <d v="2013-01-28T00:00:00"/>
  </r>
  <r>
    <x v="5892"/>
    <d v="1899-12-30T00:03:10"/>
    <x v="1329"/>
    <x v="1"/>
    <s v="brockport"/>
    <x v="151"/>
    <n v="968030"/>
    <x v="0"/>
    <s v="Psychology"/>
    <s v="9781118285138"/>
    <s v=",1,2,3,4,5,6,8,9,10,11,7,12,13,14,15,16,17,20,21,22,23,19,24,25,26,27,28,29,30,30,1,31,32,28,29,60,61,62,58,59,63,2,57,56,55,54,66,67,68,64,65,69,30,31,1,32,28,29,2"/>
    <n v="47"/>
    <m/>
    <m/>
    <s v="No"/>
    <x v="1"/>
    <m/>
    <m/>
    <s v="137.21.7.121"/>
    <s v="BF637.C6 -- S85 2013eb"/>
    <n v="158.30000000000001"/>
    <d v="2012-07-10T00:00:00"/>
  </r>
  <r>
    <x v="5893"/>
    <d v="1899-12-30T01:48:37"/>
    <x v="787"/>
    <x v="1"/>
    <s v="brockport"/>
    <x v="151"/>
    <n v="968030"/>
    <x v="0"/>
    <s v="Psychology"/>
    <s v="9781118285138"/>
    <s v=",416,417,418,419,420,421,422,423,424,425,426,427,428,429,430,413,416,417,418,419,420,421,422,423,424,425,426,427,428,429"/>
    <n v="16"/>
    <s v=",413"/>
    <m/>
    <s v="No"/>
    <x v="0"/>
    <d v="2015-10-11T20:03:44"/>
    <n v="7"/>
    <s v="137.21.7.121"/>
    <s v="BF637.C6 -- S85 2013eb"/>
    <n v="158.30000000000001"/>
    <d v="2012-07-10T00:00:00"/>
  </r>
  <r>
    <x v="5894"/>
    <d v="1899-12-30T00:26:06"/>
    <x v="787"/>
    <x v="1"/>
    <s v="brockport"/>
    <x v="151"/>
    <n v="968030"/>
    <x v="0"/>
    <s v="Psychology"/>
    <s v="9781118285138"/>
    <s v=",1,2,3,313,315,314,311,312,310,316,317,197,198,199,196,195,413,414,415,411,412"/>
    <n v="21"/>
    <m/>
    <m/>
    <s v="No"/>
    <x v="1"/>
    <m/>
    <m/>
    <s v="137.21.7.121"/>
    <s v="BF637.C6 -- S85 2013eb"/>
    <n v="158.30000000000001"/>
    <d v="2012-07-10T00:00:00"/>
  </r>
  <r>
    <x v="5895"/>
    <d v="1899-12-30T00:00:00"/>
    <x v="45"/>
    <x v="0"/>
    <s v="Buffalo"/>
    <x v="1363"/>
    <n v="2110625"/>
    <x v="1"/>
    <s v="Architecture"/>
    <s v="9781472414441"/>
    <m/>
    <n v="0"/>
    <m/>
    <m/>
    <s v="Yes"/>
    <x v="2"/>
    <d v="2015-10-11T19:03:46"/>
    <n v="1"/>
    <s v="128.205.114.91"/>
    <s v="NA2599.5 .W55 2015"/>
    <n v="720.1"/>
    <d v="2015-09-28T00:00:00"/>
  </r>
  <r>
    <x v="5895"/>
    <d v="1899-12-30T00:00:00"/>
    <x v="45"/>
    <x v="0"/>
    <s v="Buffalo"/>
    <x v="1363"/>
    <n v="2110625"/>
    <x v="1"/>
    <s v="Architecture"/>
    <s v="9781472414441"/>
    <m/>
    <n v="0"/>
    <m/>
    <m/>
    <s v="No"/>
    <x v="2"/>
    <d v="2015-10-11T19:03:46"/>
    <n v="1"/>
    <s v="128.205.114.91"/>
    <s v="NA2599.5 .W55 2015"/>
    <n v="720.1"/>
    <d v="2015-09-28T00:00:00"/>
  </r>
  <r>
    <x v="5896"/>
    <d v="1899-12-30T00:00:15"/>
    <x v="45"/>
    <x v="0"/>
    <s v="Buffalo"/>
    <x v="1363"/>
    <n v="2110625"/>
    <x v="1"/>
    <s v="Architecture"/>
    <s v="9781472414441"/>
    <s v=",1,2,3"/>
    <n v="3"/>
    <m/>
    <m/>
    <s v="No"/>
    <x v="3"/>
    <m/>
    <m/>
    <s v="128.205.114.91"/>
    <s v="NA2599.5 .W55 2015"/>
    <n v="720.1"/>
    <d v="2015-09-28T00:00:00"/>
  </r>
  <r>
    <x v="5897"/>
    <d v="1899-12-30T00:00:00"/>
    <x v="45"/>
    <x v="0"/>
    <s v="Buffalo"/>
    <x v="1364"/>
    <n v="2110623"/>
    <x v="1"/>
    <s v="Architecture"/>
    <s v="9781472459923"/>
    <m/>
    <n v="0"/>
    <m/>
    <m/>
    <s v="Yes"/>
    <x v="2"/>
    <d v="2015-10-11T19:02:07"/>
    <n v="1"/>
    <s v="128.205.114.91"/>
    <s v="NA680 .B33 2015"/>
    <s v="724''.16; 724/.16"/>
    <d v="2015-09-28T00:00:00"/>
  </r>
  <r>
    <x v="5897"/>
    <d v="1899-12-30T00:00:00"/>
    <x v="45"/>
    <x v="0"/>
    <s v="Buffalo"/>
    <x v="1364"/>
    <n v="2110623"/>
    <x v="1"/>
    <s v="Architecture"/>
    <s v="9781472459923"/>
    <m/>
    <n v="0"/>
    <m/>
    <m/>
    <s v="No"/>
    <x v="2"/>
    <d v="2015-10-11T19:02:07"/>
    <n v="1"/>
    <s v="128.205.114.91"/>
    <s v="NA680 .B33 2015"/>
    <s v="724''.16; 724/.16"/>
    <d v="2015-09-28T00:00:00"/>
  </r>
  <r>
    <x v="5898"/>
    <d v="1899-12-30T00:00:40"/>
    <x v="45"/>
    <x v="0"/>
    <s v="Buffalo"/>
    <x v="1364"/>
    <n v="2110623"/>
    <x v="1"/>
    <s v="Architecture"/>
    <s v="9781472459923"/>
    <s v=",1,2,3"/>
    <n v="3"/>
    <m/>
    <m/>
    <s v="No"/>
    <x v="3"/>
    <m/>
    <m/>
    <s v="128.205.114.91"/>
    <s v="NA680 .B33 2015"/>
    <s v="724''.16; 724/.16"/>
    <d v="2015-09-28T00:00:00"/>
  </r>
  <r>
    <x v="5899"/>
    <d v="1899-12-30T00:00:00"/>
    <x v="45"/>
    <x v="0"/>
    <s v="Buffalo"/>
    <x v="1365"/>
    <n v="2095097"/>
    <x v="1"/>
    <s v="Architecture"/>
    <s v="9781472463425"/>
    <m/>
    <n v="0"/>
    <m/>
    <m/>
    <s v="Yes"/>
    <x v="2"/>
    <d v="2015-10-11T19:00:18"/>
    <n v="1"/>
    <s v="128.205.114.91"/>
    <s v="NA682.R44 B68 2015"/>
    <s v="724''.6"/>
    <d v="2015-09-28T00:00:00"/>
  </r>
  <r>
    <x v="5899"/>
    <d v="1899-12-30T00:00:00"/>
    <x v="45"/>
    <x v="0"/>
    <s v="Buffalo"/>
    <x v="1365"/>
    <n v="2095097"/>
    <x v="1"/>
    <s v="Architecture"/>
    <s v="9781472463425"/>
    <m/>
    <n v="0"/>
    <m/>
    <m/>
    <s v="No"/>
    <x v="2"/>
    <d v="2015-10-11T19:00:18"/>
    <n v="1"/>
    <s v="128.205.114.91"/>
    <s v="NA682.R44 B68 2015"/>
    <s v="724''.6"/>
    <d v="2015-09-28T00:00:00"/>
  </r>
  <r>
    <x v="5900"/>
    <d v="1899-12-30T00:00:27"/>
    <x v="45"/>
    <x v="0"/>
    <s v="Buffalo"/>
    <x v="1365"/>
    <n v="2095097"/>
    <x v="1"/>
    <s v="Architecture"/>
    <s v="9781472463425"/>
    <s v=",1,2,3"/>
    <n v="3"/>
    <m/>
    <m/>
    <s v="No"/>
    <x v="3"/>
    <m/>
    <m/>
    <s v="128.205.114.91"/>
    <s v="NA682.R44 B68 2015"/>
    <s v="724''.6"/>
    <d v="2015-09-28T00:00:00"/>
  </r>
  <r>
    <x v="5901"/>
    <d v="1899-12-30T00:01:50"/>
    <x v="1430"/>
    <x v="0"/>
    <s v="Buffalo"/>
    <x v="481"/>
    <n v="1650828"/>
    <x v="0"/>
    <s v="Business/Management"/>
    <s v="9781118729205"/>
    <s v=",1,159,160,161,157,158,162,163,2,164,165,166,167,168,169,170,171,172,173,174,175,176,177,178,179,180"/>
    <n v="26"/>
    <m/>
    <m/>
    <s v="No"/>
    <x v="0"/>
    <d v="2015-10-11T18:13:01"/>
    <n v="7"/>
    <s v="128.205.114.91"/>
    <s v="HF5548.2 -- .B375 2014eb"/>
    <n v="658.05631200000005"/>
    <d v="2014-03-06T00:00:00"/>
  </r>
  <r>
    <x v="5902"/>
    <d v="1899-12-30T00:02:07"/>
    <x v="1430"/>
    <x v="0"/>
    <s v="Buffalo"/>
    <x v="481"/>
    <n v="1650828"/>
    <x v="0"/>
    <s v="Business/Management"/>
    <s v="9781118729205"/>
    <s v=",151,1,152,148,149,2,153,154,155,156,157,158,159,160,161"/>
    <n v="15"/>
    <m/>
    <m/>
    <s v="No"/>
    <x v="0"/>
    <d v="2015-10-11T18:13:01"/>
    <n v="7"/>
    <s v="128.205.114.91"/>
    <s v="HF5548.2 -- .B375 2014eb"/>
    <n v="658.05631200000005"/>
    <d v="2014-03-06T00:00:00"/>
  </r>
  <r>
    <x v="5903"/>
    <d v="1899-12-30T00:00:22"/>
    <x v="13"/>
    <x v="0"/>
    <s v="Buffalo"/>
    <x v="1366"/>
    <n v="836172"/>
    <x v="6"/>
    <s v="History"/>
    <s v="9781438139609"/>
    <s v=",1,2,3,2,3,1,4,4,5,6,5,6,7,7,2,1,2"/>
    <n v="7"/>
    <m/>
    <m/>
    <s v="No"/>
    <x v="1"/>
    <m/>
    <m/>
    <s v="128.205.114.91"/>
    <s v="DP17 -- .P38 2012eb"/>
    <n v="946"/>
    <d v="2012-01-01T00:00:00"/>
  </r>
  <r>
    <x v="5904"/>
    <d v="1899-12-30T00:04:38"/>
    <x v="1430"/>
    <x v="0"/>
    <s v="Buffalo"/>
    <x v="481"/>
    <n v="1650828"/>
    <x v="0"/>
    <s v="Business/Management"/>
    <s v="9781118729205"/>
    <s v=",50,1,52,51,48,49,53,2,54,55,56,57,58,59,60,61,62,63,64,65,66,67,68"/>
    <n v="23"/>
    <m/>
    <m/>
    <s v="No"/>
    <x v="0"/>
    <d v="2015-10-11T18:13:01"/>
    <n v="7"/>
    <s v="128.205.114.91"/>
    <s v="HF5548.2 -- .B375 2014eb"/>
    <n v="658.05631200000005"/>
    <d v="2014-03-06T00:00:00"/>
  </r>
  <r>
    <x v="5905"/>
    <d v="1899-12-30T00:00:48"/>
    <x v="1430"/>
    <x v="0"/>
    <s v="Buffalo"/>
    <x v="481"/>
    <n v="1650828"/>
    <x v="0"/>
    <s v="Business/Management"/>
    <s v="9781118729205"/>
    <s v=",1,35,37,36,33,34,38,39,40,2,41,42,43,44,45,46,47"/>
    <n v="17"/>
    <m/>
    <m/>
    <s v="No"/>
    <x v="0"/>
    <d v="2015-10-11T18:13:01"/>
    <n v="7"/>
    <s v="128.205.114.91"/>
    <s v="HF5548.2 -- .B375 2014eb"/>
    <n v="658.05631200000005"/>
    <d v="2014-03-06T00:00:00"/>
  </r>
  <r>
    <x v="5906"/>
    <d v="1899-12-30T00:00:00"/>
    <x v="1430"/>
    <x v="0"/>
    <s v="Buffalo"/>
    <x v="481"/>
    <n v="1650828"/>
    <x v="0"/>
    <s v="Business/Management"/>
    <s v="9781118729205"/>
    <m/>
    <n v="0"/>
    <m/>
    <m/>
    <s v="Yes"/>
    <x v="0"/>
    <d v="2015-10-11T18:13:01"/>
    <n v="7"/>
    <s v="128.205.114.91"/>
    <s v="HF5548.2 -- .B375 2014eb"/>
    <n v="658.05631200000005"/>
    <d v="2014-03-06T00:00:00"/>
  </r>
  <r>
    <x v="5907"/>
    <d v="1899-12-30T00:00:00"/>
    <x v="1430"/>
    <x v="0"/>
    <s v="Buffalo"/>
    <x v="481"/>
    <n v="1650828"/>
    <x v="0"/>
    <s v="Business/Management"/>
    <s v="9781118729205"/>
    <m/>
    <n v="0"/>
    <m/>
    <m/>
    <s v="Yes"/>
    <x v="0"/>
    <d v="2015-10-11T18:13:01"/>
    <n v="7"/>
    <s v="128.205.114.91"/>
    <s v="HF5548.2 -- .B375 2014eb"/>
    <n v="658.05631200000005"/>
    <d v="2014-03-06T00:00:00"/>
  </r>
  <r>
    <x v="5908"/>
    <d v="1899-12-30T00:00:02"/>
    <x v="1430"/>
    <x v="0"/>
    <s v="Buffalo"/>
    <x v="481"/>
    <n v="1650828"/>
    <x v="0"/>
    <s v="Business/Management"/>
    <s v="9781118729205"/>
    <s v=",1,2,3"/>
    <n v="3"/>
    <m/>
    <m/>
    <s v="No"/>
    <x v="0"/>
    <d v="2015-10-11T18:13:01"/>
    <n v="7"/>
    <s v="128.205.114.91"/>
    <s v="HF5548.2 -- .B375 2014eb"/>
    <n v="658.05631200000005"/>
    <d v="2014-03-06T00:00:00"/>
  </r>
  <r>
    <x v="5909"/>
    <d v="1899-12-30T00:01:01"/>
    <x v="1430"/>
    <x v="0"/>
    <s v="Buffalo"/>
    <x v="481"/>
    <n v="1650828"/>
    <x v="0"/>
    <s v="Business/Management"/>
    <s v="9781118729205"/>
    <s v=",4"/>
    <n v="1"/>
    <m/>
    <m/>
    <s v="Yes"/>
    <x v="0"/>
    <d v="2015-10-11T18:13:01"/>
    <n v="7"/>
    <s v="128.205.114.91"/>
    <s v="HF5548.2 -- .B375 2014eb"/>
    <n v="658.05631200000005"/>
    <d v="2014-03-06T00:00:00"/>
  </r>
  <r>
    <x v="5909"/>
    <d v="1899-12-30T00:00:00"/>
    <x v="1430"/>
    <x v="0"/>
    <s v="Buffalo"/>
    <x v="481"/>
    <n v="1650828"/>
    <x v="0"/>
    <s v="Business/Management"/>
    <s v="9781118729205"/>
    <m/>
    <n v="0"/>
    <m/>
    <m/>
    <s v="No"/>
    <x v="0"/>
    <d v="2015-10-11T18:13:01"/>
    <n v="7"/>
    <s v="128.205.114.91"/>
    <s v="HF5548.2 -- .B375 2014eb"/>
    <n v="658.05631200000005"/>
    <d v="2014-03-06T00:00:00"/>
  </r>
  <r>
    <x v="5910"/>
    <d v="1899-12-30T00:01:40"/>
    <x v="1430"/>
    <x v="0"/>
    <s v="Buffalo"/>
    <x v="481"/>
    <n v="1650828"/>
    <x v="0"/>
    <s v="Business/Management"/>
    <s v="9781118729205"/>
    <s v=",1,2,3,4,1,2,3,1,2,3"/>
    <n v="4"/>
    <m/>
    <m/>
    <s v="No"/>
    <x v="1"/>
    <m/>
    <m/>
    <s v="128.205.114.91"/>
    <s v="HF5548.2 -- .B375 2014eb"/>
    <n v="658.05631200000005"/>
    <d v="2014-03-06T00:00:00"/>
  </r>
  <r>
    <x v="5911"/>
    <d v="1899-12-30T00:03:45"/>
    <x v="13"/>
    <x v="0"/>
    <s v="Buffalo"/>
    <x v="1366"/>
    <n v="836172"/>
    <x v="6"/>
    <s v="History"/>
    <s v="9781438139609"/>
    <s v=",1,2,3,2,3,1,4,4,5,5,6,6,7,7,8,2,8,9,9,10,6,10,5,4,7,8,9,100,100,101,101,103,103,73,74,73,75,75,74,71,72,72,76,77,76,77,78,78,79,79,80,80,81,81,82,82,83,83,84,84,85,86,85,86,87,87,88,88,89,89,84,83,82,87,82,87"/>
    <n v="32"/>
    <m/>
    <m/>
    <s v="No"/>
    <x v="1"/>
    <m/>
    <m/>
    <s v="128.205.114.91"/>
    <s v="DP17 -- .P38 2012eb"/>
    <n v="946"/>
    <d v="2012-01-01T00:00:00"/>
  </r>
  <r>
    <x v="5912"/>
    <d v="1899-12-30T03:10:34"/>
    <x v="13"/>
    <x v="0"/>
    <s v="Buffalo"/>
    <x v="73"/>
    <n v="1119505"/>
    <x v="0"/>
    <s v="Science: Chemistry; Science"/>
    <s v="9781118355015"/>
    <s v=",1,2,3,164,165,166,162,163,167,168,168,1,170,169,166,167,107,108,109,105,106,2,142,143,144,140,141,139,138,137,144,145,164,165,162,163,108,109,105,106,110,111,165,162,163,105,106,110,111,112,113,114,115,116,162,163,105,106,114,115,116,162,163,105,106,115,116,117,118,119,117,118,119,120,121,162,163,80,81,82,78,79,83,84,85,86,87,88,89,90,91,92,93,94,95,96,97,98,90,91,92,93,94"/>
    <n v="59"/>
    <m/>
    <m/>
    <s v="No"/>
    <x v="0"/>
    <d v="2015-10-10T04:34:43"/>
    <n v="7"/>
    <s v="128.205.114.91"/>
    <s v="QD251.3 -- .S38 2013eb"/>
    <s v="547/.128"/>
    <d v="2013-01-28T00:00:00"/>
  </r>
  <r>
    <x v="5913"/>
    <d v="1899-12-30T00:00:05"/>
    <x v="1441"/>
    <x v="1"/>
    <s v="brockport"/>
    <x v="981"/>
    <n v="3058244"/>
    <x v="0"/>
    <s v="Medicine"/>
    <s v="9780470643136"/>
    <s v=",1,2"/>
    <n v="2"/>
    <m/>
    <m/>
    <s v="No"/>
    <x v="3"/>
    <m/>
    <m/>
    <s v="137.21.7.121"/>
    <s v="RC455.2.C4 -- D95 2010eb"/>
    <s v="616.89001/2"/>
    <d v="2010-08-20T00:00:00"/>
  </r>
  <r>
    <x v="5914"/>
    <d v="1899-12-30T00:00:06"/>
    <x v="26"/>
    <x v="6"/>
    <s v="sjfc"/>
    <x v="1367"/>
    <n v="2065776"/>
    <x v="0"/>
    <s v="History"/>
    <s v="9781118718179"/>
    <s v=",1,2,3"/>
    <n v="3"/>
    <m/>
    <m/>
    <s v="No"/>
    <x v="3"/>
    <m/>
    <m/>
    <s v="149.69.254.57"/>
    <s v="DS62.2 .V34 2015"/>
    <s v="939/.4"/>
    <d v="2015-06-25T00:00:00"/>
  </r>
  <r>
    <x v="5915"/>
    <d v="1899-12-30T00:23:07"/>
    <x v="1196"/>
    <x v="0"/>
    <s v="Buffalo"/>
    <x v="1154"/>
    <n v="1318682"/>
    <x v="0"/>
    <s v="Engineering: General; Engineering; Engineering: Mechanical"/>
    <s v="9781118549483"/>
    <s v=",12,13,14,15,16,17,18,19,20,21,22,23,24,25,26,27,28,29,30,31,32,33,34,35,36,37,38,39,40,41,42,43"/>
    <n v="32"/>
    <m/>
    <m/>
    <s v="No"/>
    <x v="0"/>
    <d v="2015-10-11T16:37:01"/>
    <n v="7"/>
    <s v="128.205.114.91"/>
    <s v="TJ223.P76 -- B58 2013eb"/>
    <n v="629.89"/>
    <d v="2013-07-16T00:00:00"/>
  </r>
  <r>
    <x v="5916"/>
    <d v="1899-12-30T00:35:13"/>
    <x v="613"/>
    <x v="0"/>
    <s v="Buffalo"/>
    <x v="500"/>
    <n v="699744"/>
    <x v="0"/>
    <s v="Engineering; Engineering: Electrical; Engineering: Civil"/>
    <s v="9781118585818"/>
    <s v=",41,41,42,42,42,43,174,43,208,209,209,680,679,678,677,678,679,680,681,682,683,684,685,686,687,687,687,679,679,678"/>
    <n v="17"/>
    <m/>
    <m/>
    <s v="Yes"/>
    <x v="0"/>
    <d v="2015-10-11T16:33:34"/>
    <n v="7"/>
    <s v="128.205.114.91"/>
    <s v="TA1520 -- .S24 2007eb"/>
    <n v="621.36"/>
    <d v="2013-02-05T00:00:00"/>
  </r>
  <r>
    <x v="5916"/>
    <d v="1899-12-30T00:00:00"/>
    <x v="613"/>
    <x v="0"/>
    <s v="Buffalo"/>
    <x v="500"/>
    <n v="699744"/>
    <x v="0"/>
    <s v="Engineering; Engineering: Electrical; Engineering: Civil"/>
    <s v="9781118585818"/>
    <m/>
    <n v="0"/>
    <m/>
    <m/>
    <s v="No"/>
    <x v="0"/>
    <d v="2015-10-11T16:33:34"/>
    <n v="7"/>
    <s v="128.205.114.91"/>
    <s v="TA1520 -- .S24 2007eb"/>
    <n v="621.36"/>
    <d v="2013-02-05T00:00:00"/>
  </r>
  <r>
    <x v="5917"/>
    <d v="1899-12-30T00:03:11"/>
    <x v="164"/>
    <x v="0"/>
    <s v="Buffalo"/>
    <x v="161"/>
    <n v="821663"/>
    <x v="0"/>
    <s v="Architecture"/>
    <s v="9781118168479"/>
    <s v=",1,2,3,15,16,17,13,14,18"/>
    <n v="9"/>
    <m/>
    <m/>
    <s v="No"/>
    <x v="1"/>
    <m/>
    <m/>
    <s v="128.205.114.91"/>
    <s v="NA2547 -- .S74 2012eb"/>
    <n v="729"/>
    <d v="2012-03-05T00:00:00"/>
  </r>
  <r>
    <x v="5918"/>
    <d v="1899-12-30T00:02:07"/>
    <x v="613"/>
    <x v="0"/>
    <s v="Buffalo"/>
    <x v="500"/>
    <n v="699744"/>
    <x v="0"/>
    <s v="Engineering; Engineering: Electrical; Engineering: Civil"/>
    <s v="9781118585818"/>
    <s v=",1,2,3,4,2,5,17,27,30,41,30,30"/>
    <n v="9"/>
    <m/>
    <m/>
    <s v="No"/>
    <x v="1"/>
    <m/>
    <m/>
    <s v="128.205.114.91"/>
    <s v="TA1520 -- .S24 2007eb"/>
    <n v="621.36"/>
    <d v="2013-02-05T00:00:00"/>
  </r>
  <r>
    <x v="5919"/>
    <d v="1899-12-30T00:20:58"/>
    <x v="1196"/>
    <x v="0"/>
    <s v="Buffalo"/>
    <x v="1154"/>
    <n v="1318682"/>
    <x v="0"/>
    <s v="Engineering: General; Engineering; Engineering: Mechanical"/>
    <s v="9781118549483"/>
    <s v=",1,2,3,4,5,6,7,8,9,10,11"/>
    <n v="11"/>
    <m/>
    <m/>
    <s v="No"/>
    <x v="1"/>
    <m/>
    <m/>
    <s v="128.205.114.91"/>
    <s v="TJ223.P76 -- B58 2013eb"/>
    <n v="629.89"/>
    <d v="2013-07-16T00:00:00"/>
  </r>
  <r>
    <x v="5920"/>
    <d v="1899-12-30T04:20:26"/>
    <x v="525"/>
    <x v="0"/>
    <s v="Buffalo"/>
    <x v="477"/>
    <n v="1120279"/>
    <x v="0"/>
    <s v="Science: Biology/Natural History; Science"/>
    <s v="9781118537671"/>
    <s v=",1,2,3,15,16,17,14,13,18,19,20,21,22,23,24,25,26,27,28,29,30,31,32,1,32,33,34,30,31,2,35,36,37,38,39,40,41,42,43,44,45,46,1,46,47,48,45,44,2,43,42,49,50,41,40,38,39"/>
    <n v="41"/>
    <m/>
    <m/>
    <s v="No"/>
    <x v="0"/>
    <d v="2015-10-10T04:18:54"/>
    <n v="7"/>
    <s v="128.205.114.91"/>
    <s v="QH371 .K384 2012"/>
    <n v="599.93499999999995"/>
    <d v="2012-11-19T00:00:00"/>
  </r>
  <r>
    <x v="5921"/>
    <d v="1899-12-30T00:02:12"/>
    <x v="1442"/>
    <x v="3"/>
    <s v="canton"/>
    <x v="119"/>
    <n v="1543734"/>
    <x v="11"/>
    <s v="Fine Arts"/>
    <s v="9780226002422"/>
    <s v=",1,2,3,37,36,34,38,35,76,78,74,77,75,79"/>
    <n v="14"/>
    <m/>
    <m/>
    <s v="No"/>
    <x v="3"/>
    <m/>
    <m/>
    <s v="137.37.33.33"/>
    <s v="ND550"/>
    <s v="759.4/36109041"/>
    <d v="2013-11-08T00:00:00"/>
  </r>
  <r>
    <x v="5922"/>
    <d v="1899-12-30T00:54:37"/>
    <x v="975"/>
    <x v="0"/>
    <s v="Buffalo"/>
    <x v="73"/>
    <n v="1119505"/>
    <x v="0"/>
    <s v="Science: Chemistry; Science"/>
    <s v="9781118355015"/>
    <s v=",1,2,3,80,81,82,78,79,2,83,84,85,86,87,88,89,90,91,92,93,94,95,96,97,98,99,100,101,102,103,104"/>
    <n v="30"/>
    <m/>
    <m/>
    <s v="No"/>
    <x v="0"/>
    <d v="2015-10-10T18:24:49"/>
    <n v="7"/>
    <s v="128.205.114.91"/>
    <s v="QD251.3 -- .S38 2013eb"/>
    <s v="547/.128"/>
    <d v="2013-01-28T00:00:00"/>
  </r>
  <r>
    <x v="5923"/>
    <d v="1899-12-30T00:01:40"/>
    <x v="535"/>
    <x v="0"/>
    <s v="Buffalo"/>
    <x v="559"/>
    <n v="1217954"/>
    <x v="1"/>
    <s v="Engineering; Engineering: General"/>
    <s v="9781409457558"/>
    <s v=",1,2,3,475,476,477,473,474,478,479,480,481,482"/>
    <n v="13"/>
    <m/>
    <m/>
    <s v="No"/>
    <x v="1"/>
    <m/>
    <m/>
    <s v="128.205.114.91"/>
    <s v="T59.7 -- .S73 2013eb"/>
    <s v="620.8/2"/>
    <d v="2013-10-28T00:00:00"/>
  </r>
  <r>
    <x v="5924"/>
    <d v="1899-12-30T00:00:43"/>
    <x v="535"/>
    <x v="0"/>
    <s v="Buffalo"/>
    <x v="559"/>
    <n v="1217954"/>
    <x v="1"/>
    <s v="Engineering; Engineering: General"/>
    <s v="9781409457558"/>
    <s v=",1,2,3,475,476,477,474,473"/>
    <n v="8"/>
    <m/>
    <m/>
    <s v="No"/>
    <x v="1"/>
    <m/>
    <m/>
    <s v="128.205.114.91"/>
    <s v="T59.7 -- .S73 2013eb"/>
    <s v="620.8/2"/>
    <d v="2013-10-28T00:00:00"/>
  </r>
  <r>
    <x v="5925"/>
    <d v="1899-12-30T03:53:41"/>
    <x v="13"/>
    <x v="0"/>
    <s v="Buffalo"/>
    <x v="73"/>
    <n v="1119505"/>
    <x v="0"/>
    <s v="Science: Chemistry; Science"/>
    <s v="9781118355015"/>
    <s v=",1,2,3,1,4,5,2,3,128,129,130,126,127,107,108,109,105,106,110,111,112,113,114,115,116,117,118,119,120,121,122,123,124,125,131,132,133,134,135,136,137,138,139,140,141,142,143,144,145,164,165,166,162,163,167,161,107,108,109,105,106,110,111,112,113,114,115,116,117,118,119,120,162,168,142,143,144,140,141,145,146,147,148,149,150,151,152,153,158,159,160,156,157,161,169,170"/>
    <n v="69"/>
    <m/>
    <m/>
    <s v="No"/>
    <x v="0"/>
    <d v="2015-10-10T04:34:43"/>
    <n v="7"/>
    <s v="128.205.114.91"/>
    <s v="QD251.3 -- .S38 2013eb"/>
    <s v="547/.128"/>
    <d v="2013-01-28T00:00:00"/>
  </r>
  <r>
    <x v="5926"/>
    <d v="1899-12-30T00:02:23"/>
    <x v="1443"/>
    <x v="15"/>
    <s v="morrisville"/>
    <x v="125"/>
    <n v="1221573"/>
    <x v="0"/>
    <s v="Business/Management; Philosophy"/>
    <s v="9781118658116"/>
    <s v=",180,181,179,177,178,160,161,159,158,162,113,114,115,111,112,116,75,76,73,77,74,24,25,26,22,23"/>
    <n v="26"/>
    <m/>
    <m/>
    <s v="No"/>
    <x v="0"/>
    <d v="2015-10-10T22:52:27"/>
    <n v="7"/>
    <s v="136.204.32.67"/>
    <s v="HF5387 .B86626 2013"/>
    <n v="174.4"/>
    <d v="2013-06-19T00:00:00"/>
  </r>
  <r>
    <x v="5927"/>
    <d v="1899-12-30T02:10:31"/>
    <x v="13"/>
    <x v="0"/>
    <s v="Buffalo"/>
    <x v="73"/>
    <n v="1119505"/>
    <x v="0"/>
    <s v="Science: Chemistry; Science"/>
    <s v="9781118355015"/>
    <s v=",1,2,3,107,108,109,105,106,110,111,112,113,114,115,116,117,118,119,120,120,1,122,121,118,119,123,2,124"/>
    <n v="23"/>
    <m/>
    <m/>
    <s v="No"/>
    <x v="0"/>
    <d v="2015-10-10T04:34:43"/>
    <n v="7"/>
    <s v="128.205.114.91"/>
    <s v="QD251.3 -- .S38 2013eb"/>
    <s v="547/.128"/>
    <d v="2013-01-28T00:00:00"/>
  </r>
  <r>
    <x v="5928"/>
    <d v="1899-12-30T00:06:59"/>
    <x v="1443"/>
    <x v="15"/>
    <s v="morrisville"/>
    <x v="125"/>
    <n v="1221573"/>
    <x v="0"/>
    <s v="Business/Management; Philosophy"/>
    <s v="9781118658116"/>
    <s v=",1,2,3,184,186,185,182,183,190,199,170,169,187"/>
    <n v="13"/>
    <m/>
    <m/>
    <s v="No"/>
    <x v="3"/>
    <m/>
    <m/>
    <s v="136.204.32.67"/>
    <s v="HF5387 .B86626 2013"/>
    <n v="174.4"/>
    <d v="2013-06-19T00:00:00"/>
  </r>
  <r>
    <x v="5929"/>
    <d v="1899-12-30T00:00:57"/>
    <x v="13"/>
    <x v="0"/>
    <s v="Buffalo"/>
    <x v="781"/>
    <n v="818101"/>
    <x v="0"/>
    <s v="Computer Science/IT; Business/Management"/>
    <s v="9781118225844"/>
    <s v=",1,2,3,1,9"/>
    <n v="4"/>
    <m/>
    <m/>
    <s v="No"/>
    <x v="1"/>
    <m/>
    <m/>
    <s v="128.205.114.91"/>
    <s v="QA76.9.A93 -- C37 2012eb"/>
    <s v="658/.0558"/>
    <d v="2012-02-08T00:00:00"/>
  </r>
  <r>
    <x v="5930"/>
    <d v="1899-12-30T03:15:20"/>
    <x v="13"/>
    <x v="0"/>
    <s v="Buffalo"/>
    <x v="73"/>
    <n v="1119505"/>
    <x v="0"/>
    <s v="Science: Chemistry; Science"/>
    <s v="9781118355015"/>
    <s v=",1,2,3,107,108,109,105,106,104,110,111,112,113,114,115,116,117,118,119,120,121,122,123,124,126,127,127,1,128,129,125,126,2,124,123,122,121,120,119,118,117,116,115,114,113,112,111,110,109,108,107,106,105,104,142,143,144,140,141,130,131,132,133,134,135,136,137,138,139,107,108,109,106,105,110,111,112,113,114,115,116,117,118,119,120,121,122,123,124,125,126,127,128,129,130,144,138,137,136,135,134,133,132,131,145,146,147,148,149,150,151,152,153,154,155,156,157,158,159,160,382,383,384,385,387,388,389,386,390,390,1,391,392,388,389,2,393,394,397,398,387,385,386,161,162,163,164,165,166,167,398,399,400,396,397,401,402,403,404,120,119,118,107,108,109,105,106,142,143,144,140,141,145,146,147,148"/>
    <n v="89"/>
    <m/>
    <m/>
    <s v="No"/>
    <x v="0"/>
    <d v="2015-10-10T04:34:43"/>
    <n v="7"/>
    <s v="128.205.114.91"/>
    <s v="QD251.3 -- .S38 2013eb"/>
    <s v="547/.128"/>
    <d v="2013-01-28T00:00:00"/>
  </r>
  <r>
    <x v="5931"/>
    <d v="1899-12-30T00:03:01"/>
    <x v="1444"/>
    <x v="5"/>
    <s v="erie"/>
    <x v="129"/>
    <n v="817848"/>
    <x v="0"/>
    <s v="Engineering; Engineering: Civil"/>
    <s v="9781118205624"/>
    <s v=",1,2,3,4,5,6,7,8,9,10,11,12,13,14,15,16,17,18,19,20,21,22,23,24,25,26,27,28,29,30,31,32,33,34,35,36,37,38,39,40,41,42,43,44,45,46,47,48,49,50,51,52,53,54,55,56"/>
    <n v="56"/>
    <m/>
    <m/>
    <s v="No"/>
    <x v="1"/>
    <m/>
    <m/>
    <s v="199.29.6.54"/>
    <s v="TA683.2 -- .H365 2012eb"/>
    <s v="624.1/8341"/>
    <d v="2012-04-20T00:00:00"/>
  </r>
  <r>
    <x v="5932"/>
    <d v="1899-12-30T00:00:00"/>
    <x v="986"/>
    <x v="0"/>
    <s v="Buffalo"/>
    <x v="73"/>
    <n v="1119505"/>
    <x v="0"/>
    <s v="Science: Chemistry; Science"/>
    <s v="9781118355015"/>
    <m/>
    <n v="0"/>
    <m/>
    <s v=",146,147,148,149,165,166,167,168"/>
    <s v="No"/>
    <x v="0"/>
    <d v="2015-10-10T19:31:11"/>
    <n v="7"/>
    <s v="128.205.114.91"/>
    <s v="QD251.3 -- .S38 2013eb"/>
    <s v="547/.128"/>
    <d v="2013-01-28T00:00:00"/>
  </r>
  <r>
    <x v="5933"/>
    <d v="1899-12-30T00:01:07"/>
    <x v="986"/>
    <x v="0"/>
    <s v="Buffalo"/>
    <x v="73"/>
    <n v="1119505"/>
    <x v="0"/>
    <s v="Science: Chemistry; Science"/>
    <s v="9781118355015"/>
    <s v=",1,2,3,164,165,166,162,163,167,168,169,170"/>
    <n v="12"/>
    <m/>
    <m/>
    <s v="No"/>
    <x v="1"/>
    <m/>
    <m/>
    <s v="128.205.114.91"/>
    <s v="QD251.3 -- .S38 2013eb"/>
    <s v="547/.128"/>
    <d v="2013-01-28T00:00:00"/>
  </r>
  <r>
    <x v="5934"/>
    <d v="1899-12-30T00:03:00"/>
    <x v="505"/>
    <x v="1"/>
    <s v="brockport"/>
    <x v="1368"/>
    <n v="2008614"/>
    <x v="4"/>
    <s v="Medicine"/>
    <s v="9781462523429"/>
    <s v=",316,316,317,317,318,318,319,319,314,313,312,311,310,312,312,312,313,1,312,1,2,3,4,5,6,5,7,6,7,8,8,9,9,7,10,10,11,11,12,13,13,12,14,14,15,15,16,16,17,17,18,18,19,19,14,7,13,18,19,20,20,21,21,22,22,23,24,23,24,25,25"/>
    <n v="34"/>
    <m/>
    <m/>
    <s v="Yes"/>
    <x v="2"/>
    <d v="2015-10-10T19:27:42"/>
    <n v="7"/>
    <s v="137.21.7.121"/>
    <s v="RC533 -- .A273 2009eb"/>
    <n v="616.85226999999998"/>
    <d v="2015-01-01T00:00:00"/>
  </r>
  <r>
    <x v="5934"/>
    <d v="1899-12-30T00:00:00"/>
    <x v="505"/>
    <x v="1"/>
    <s v="brockport"/>
    <x v="1368"/>
    <n v="2008614"/>
    <x v="4"/>
    <s v="Medicine"/>
    <s v="9781462523429"/>
    <m/>
    <n v="0"/>
    <m/>
    <m/>
    <s v="No"/>
    <x v="2"/>
    <d v="2015-10-10T19:27:42"/>
    <n v="7"/>
    <s v="137.21.7.121"/>
    <s v="RC533 -- .A273 2009eb"/>
    <n v="616.85226999999998"/>
    <d v="2015-01-01T00:00:00"/>
  </r>
  <r>
    <x v="5935"/>
    <d v="1899-12-30T00:00:35"/>
    <x v="505"/>
    <x v="1"/>
    <s v="brockport"/>
    <x v="1368"/>
    <n v="2008614"/>
    <x v="4"/>
    <s v="Medicine"/>
    <s v="9781462523429"/>
    <s v=",1,1,2,1,2,3,3,4,4,313,314,314,313,315,315,2,311,312,312"/>
    <n v="9"/>
    <m/>
    <m/>
    <s v="No"/>
    <x v="3"/>
    <m/>
    <m/>
    <s v="137.21.7.121"/>
    <s v="RC533 -- .A273 2009eb"/>
    <n v="616.85226999999998"/>
    <d v="2015-01-01T00:00:00"/>
  </r>
  <r>
    <x v="5936"/>
    <d v="1899-12-30T00:50:18"/>
    <x v="13"/>
    <x v="0"/>
    <s v="Buffalo"/>
    <x v="161"/>
    <n v="821663"/>
    <x v="0"/>
    <s v="Architecture"/>
    <s v="9781118168479"/>
    <s v=",1,2,3,207,208,209,205,206,210,217,218,219,216,215,217,214,215,213,212,211,210,207,208,209,205,206,218,219,216,220,221,222,223,224,225,220,219,218,217,216,215,214,220,221,222,213,212,211,210,209,207,208,205,206,223,224"/>
    <n v="24"/>
    <m/>
    <m/>
    <s v="No"/>
    <x v="0"/>
    <d v="2015-10-10T18:52:22"/>
    <n v="7"/>
    <s v="128.205.114.91"/>
    <s v="NA2547 -- .S74 2012eb"/>
    <n v="729"/>
    <d v="2012-03-05T00:00:00"/>
  </r>
  <r>
    <x v="5937"/>
    <d v="1899-12-30T02:09:50"/>
    <x v="13"/>
    <x v="0"/>
    <s v="Buffalo"/>
    <x v="161"/>
    <n v="821663"/>
    <x v="0"/>
    <s v="Architecture"/>
    <s v="9781118168479"/>
    <s v=",216,215,214,213,212,211,210,209,208,207,206,205,221,222,206,205,206,221,222,223,224,225,226,227,228,229,230,231,232,233,234,235,236,237,238,239,240,233,234,235,226,225,224,223,222,221,220,219,218,217,216,215,214,213,220,221,222,223"/>
    <n v="36"/>
    <s v=",225,229,230,217,218,220,219"/>
    <m/>
    <s v="No"/>
    <x v="0"/>
    <d v="2015-10-10T18:52:22"/>
    <n v="7"/>
    <s v="128.205.114.91"/>
    <s v="NA2547 -- .S74 2012eb"/>
    <n v="729"/>
    <d v="2012-03-05T00:00:00"/>
  </r>
  <r>
    <x v="5938"/>
    <d v="1899-12-30T00:02:41"/>
    <x v="505"/>
    <x v="1"/>
    <s v="brockport"/>
    <x v="1368"/>
    <n v="2008614"/>
    <x v="4"/>
    <s v="Medicine"/>
    <s v="9781462523429"/>
    <s v=",1,1,3,1,2,3,2,4,5,4,6,5,6,2,2,15,16,15,17,16,17,13,14,14,15,18,18,19,19,17"/>
    <n v="13"/>
    <m/>
    <m/>
    <s v="No"/>
    <x v="3"/>
    <m/>
    <m/>
    <s v="137.21.7.121"/>
    <s v="RC533 -- .A273 2009eb"/>
    <n v="616.85226999999998"/>
    <d v="2015-01-01T00:00:00"/>
  </r>
  <r>
    <x v="5939"/>
    <d v="1899-12-30T04:12:43"/>
    <x v="975"/>
    <x v="0"/>
    <s v="Buffalo"/>
    <x v="73"/>
    <n v="1119505"/>
    <x v="0"/>
    <s v="Science: Chemistry; Science"/>
    <s v="9781118355015"/>
    <s v=",158,160,159,156,157,160,156,157,168,169,170,107,108,109,105,106,110,111,112,113,114,115,116,117,118,119,118,119,169,170,19,20,21,17,18,128,129,130,126,127,131,132,133,134,135,137,138,139,140,141,142,143,144,145,146,147,148,149,150,151,152,153,154,155,162,161,1,161,162,163,160,159,2,53,54,55,51,52,56,57,58,59,60,61,62,63,64,65,66,67,68,69,70,1,70,71,72,68,69,73,74,2,75,76,77,78,79,80,81,82"/>
    <n v="94"/>
    <m/>
    <m/>
    <s v="No"/>
    <x v="0"/>
    <d v="2015-10-10T18:24:49"/>
    <n v="7"/>
    <s v="128.205.114.91"/>
    <s v="QD251.3 -- .S38 2013eb"/>
    <s v="547/.128"/>
    <d v="2013-01-28T00:00:00"/>
  </r>
  <r>
    <x v="5940"/>
    <d v="1899-12-30T00:08:16"/>
    <x v="975"/>
    <x v="0"/>
    <s v="Buffalo"/>
    <x v="73"/>
    <n v="1119505"/>
    <x v="0"/>
    <s v="Science: Chemistry; Science"/>
    <s v="9781118355015"/>
    <s v=",1,2,3,164,165,166,162,163,167"/>
    <n v="9"/>
    <m/>
    <m/>
    <s v="No"/>
    <x v="1"/>
    <m/>
    <m/>
    <s v="128.205.114.91"/>
    <s v="QD251.3 -- .S38 2013eb"/>
    <s v="547/.128"/>
    <d v="2013-01-28T00:00:00"/>
  </r>
  <r>
    <x v="5941"/>
    <d v="1899-12-30T01:19:03"/>
    <x v="13"/>
    <x v="0"/>
    <s v="Buffalo"/>
    <x v="161"/>
    <n v="821663"/>
    <x v="0"/>
    <s v="Architecture"/>
    <s v="9781118168479"/>
    <s v=",1,2,3,208,209,210,207,206,211,212,213,214,215,216,217,218,219,220,221,222,223,224,225,226,227,228,229,230,231,232,233,234,235,236,237,238,239,240,241,242"/>
    <n v="40"/>
    <m/>
    <m/>
    <s v="No"/>
    <x v="1"/>
    <m/>
    <m/>
    <s v="128.205.114.91"/>
    <s v="NA2547 -- .S74 2012eb"/>
    <n v="729"/>
    <d v="2012-03-05T00:00:00"/>
  </r>
  <r>
    <x v="5942"/>
    <d v="1899-12-30T00:11:42"/>
    <x v="1445"/>
    <x v="0"/>
    <s v="Buffalo"/>
    <x v="1134"/>
    <n v="759923"/>
    <x v="4"/>
    <s v="Medicine"/>
    <s v="9781609186418"/>
    <s v=",179,180,181,182,183,184,185,186,187,188"/>
    <n v="10"/>
    <m/>
    <m/>
    <s v="No"/>
    <x v="0"/>
    <d v="2015-10-10T17:17:46"/>
    <n v="7"/>
    <s v="128.205.114.91"/>
    <s v="RJ505.C63 -- C45 2012eb"/>
    <n v="618.9289"/>
    <d v="2014-07-04T00:00:00"/>
  </r>
  <r>
    <x v="5943"/>
    <d v="1899-12-30T00:10:51"/>
    <x v="1445"/>
    <x v="0"/>
    <s v="Buffalo"/>
    <x v="1134"/>
    <n v="759923"/>
    <x v="4"/>
    <s v="Medicine"/>
    <s v="9781609186418"/>
    <s v=",1,2,3,161,162,163,159,160,164,165,166,167,168,169,170,171,172,173,174,175,176,177,176,177,178"/>
    <n v="23"/>
    <m/>
    <m/>
    <s v="No"/>
    <x v="1"/>
    <m/>
    <m/>
    <s v="128.205.114.91"/>
    <s v="RJ505.C63 -- C45 2012eb"/>
    <n v="618.9289"/>
    <d v="2014-07-04T00:00:00"/>
  </r>
  <r>
    <x v="5944"/>
    <d v="1899-12-30T00:01:21"/>
    <x v="1196"/>
    <x v="0"/>
    <s v="Buffalo"/>
    <x v="1154"/>
    <n v="1318682"/>
    <x v="0"/>
    <s v="Engineering: General; Engineering; Engineering: Mechanical"/>
    <s v="9781118549483"/>
    <s v=",1,2,3,4,5,13,14,15,11,12,16,17,18,19,20,21,22,12,10,8,7,5"/>
    <n v="20"/>
    <m/>
    <m/>
    <s v="No"/>
    <x v="1"/>
    <m/>
    <m/>
    <s v="128.205.114.91"/>
    <s v="TJ223.P76 -- B58 2013eb"/>
    <n v="629.89"/>
    <d v="2013-07-16T00:00:00"/>
  </r>
  <r>
    <x v="5945"/>
    <d v="1899-12-30T00:52:50"/>
    <x v="13"/>
    <x v="0"/>
    <s v="Buffalo"/>
    <x v="73"/>
    <n v="1119505"/>
    <x v="0"/>
    <s v="Science: Chemistry; Science"/>
    <s v="9781118355015"/>
    <s v=",1,2,3,107,108,109,105,106,110,111,112,113,114,109,107,108,105,106,115"/>
    <n v="14"/>
    <m/>
    <m/>
    <s v="No"/>
    <x v="0"/>
    <d v="2015-10-10T04:34:43"/>
    <n v="7"/>
    <s v="128.205.114.91"/>
    <s v="QD251.3 -- .S38 2013eb"/>
    <s v="547/.128"/>
    <d v="2013-01-28T00:00:00"/>
  </r>
  <r>
    <x v="5946"/>
    <d v="1899-12-30T00:50:43"/>
    <x v="1446"/>
    <x v="6"/>
    <s v="sjfc"/>
    <x v="713"/>
    <n v="565082"/>
    <x v="0"/>
    <s v="Education"/>
    <s v="9781118041567"/>
    <s v=",57,56,56,55,54,53,51,53,51,50,52,50,49,52,48,49,46,47,47,45,41,43,42,42,43"/>
    <n v="16"/>
    <m/>
    <m/>
    <s v="No"/>
    <x v="0"/>
    <d v="2015-10-10T14:39:13"/>
    <n v="7"/>
    <s v="149.69.254.57"/>
    <s v="LB1775 .P25 2010"/>
    <s v="371.1; 371.102"/>
    <d v="2010-06-08T00:00:00"/>
  </r>
  <r>
    <x v="5947"/>
    <d v="1899-12-30T00:10:03"/>
    <x v="1446"/>
    <x v="6"/>
    <s v="sjfc"/>
    <x v="713"/>
    <n v="565082"/>
    <x v="0"/>
    <s v="Education"/>
    <s v="9781118041567"/>
    <s v=",1,2,3,2,3,1,2,2,4,4,5,5,6,6,1,60,61,62,58,60,59,62,61,59,63,63,64,64,65,65,60,59,63,65,66,67,66,67,68,69,68,69,70,71,72,70,71,72,67,72,73,73,74,74,75,76,77,75,72,76,77,77,78,78,79,79,80,80,81,82,81,82,83,83,84,84,78,79,74,75,76,87,88,89,87,85,88,89,86,86,84,89,83,82,81,80,79,78,77,76,75,74,73,72,71,70,69,68,67,66,65,64,63,67,62,61,59,60,58,57,62"/>
    <n v="39"/>
    <m/>
    <m/>
    <s v="No"/>
    <x v="1"/>
    <m/>
    <m/>
    <s v="149.69.254.57"/>
    <s v="LB1775 .P25 2010"/>
    <s v="371.1; 371.102"/>
    <d v="2010-06-08T00:00:00"/>
  </r>
  <r>
    <x v="5948"/>
    <d v="1899-12-30T00:00:00"/>
    <x v="1447"/>
    <x v="9"/>
    <s v="trocaire"/>
    <x v="741"/>
    <n v="1926644"/>
    <x v="0"/>
    <s v="Social Science"/>
    <s v="9781118611203"/>
    <m/>
    <n v="0"/>
    <m/>
    <m/>
    <s v="Yes"/>
    <x v="0"/>
    <d v="2015-10-10T14:02:15"/>
    <n v="7"/>
    <s v="173.225.62.67"/>
    <s v="HQ21 -- .S327 2015eb"/>
    <n v="306.7"/>
    <d v="2015-01-20T00:00:00"/>
  </r>
  <r>
    <x v="5949"/>
    <d v="1899-12-30T00:00:00"/>
    <x v="1447"/>
    <x v="9"/>
    <s v="trocaire"/>
    <x v="741"/>
    <n v="1926644"/>
    <x v="0"/>
    <s v="Social Science"/>
    <s v="9781118611203"/>
    <m/>
    <n v="0"/>
    <m/>
    <m/>
    <s v="Yes"/>
    <x v="0"/>
    <d v="2015-10-10T14:02:15"/>
    <n v="7"/>
    <s v="173.225.62.67"/>
    <s v="HQ21 -- .S327 2015eb"/>
    <n v="306.7"/>
    <d v="2015-01-20T00:00:00"/>
  </r>
  <r>
    <x v="5950"/>
    <d v="1899-12-30T00:00:00"/>
    <x v="1447"/>
    <x v="9"/>
    <s v="trocaire"/>
    <x v="741"/>
    <n v="1926644"/>
    <x v="0"/>
    <s v="Social Science"/>
    <s v="9781118611203"/>
    <m/>
    <n v="0"/>
    <m/>
    <m/>
    <s v="Yes"/>
    <x v="0"/>
    <d v="2015-10-10T14:02:15"/>
    <n v="7"/>
    <s v="173.225.62.67"/>
    <s v="HQ21 -- .S327 2015eb"/>
    <n v="306.7"/>
    <d v="2015-01-20T00:00:00"/>
  </r>
  <r>
    <x v="5950"/>
    <d v="1899-12-30T00:00:00"/>
    <x v="1447"/>
    <x v="9"/>
    <s v="trocaire"/>
    <x v="741"/>
    <n v="1926644"/>
    <x v="0"/>
    <s v="Social Science"/>
    <s v="9781118611203"/>
    <m/>
    <n v="0"/>
    <m/>
    <m/>
    <s v="No"/>
    <x v="0"/>
    <d v="2015-10-10T14:02:15"/>
    <n v="7"/>
    <s v="173.225.62.67"/>
    <s v="HQ21 -- .S327 2015eb"/>
    <n v="306.7"/>
    <d v="2015-01-20T00:00:00"/>
  </r>
  <r>
    <x v="5951"/>
    <d v="1899-12-30T00:00:35"/>
    <x v="1447"/>
    <x v="9"/>
    <s v="trocaire"/>
    <x v="741"/>
    <n v="1926644"/>
    <x v="0"/>
    <s v="Social Science"/>
    <s v="9781118611203"/>
    <s v=",1,2,3,4,5,6,7,8,9"/>
    <n v="9"/>
    <m/>
    <m/>
    <s v="No"/>
    <x v="3"/>
    <m/>
    <m/>
    <s v="173.225.62.67"/>
    <s v="HQ21 -- .S327 2015eb"/>
    <n v="306.7"/>
    <d v="2015-01-20T00:00:00"/>
  </r>
  <r>
    <x v="5952"/>
    <d v="1899-12-30T00:00:00"/>
    <x v="1447"/>
    <x v="9"/>
    <s v="trocaire"/>
    <x v="1369"/>
    <n v="3058286"/>
    <x v="9"/>
    <s v="Medicine"/>
    <s v="9780470675939"/>
    <m/>
    <n v="0"/>
    <m/>
    <m/>
    <s v="Yes"/>
    <x v="2"/>
    <d v="2015-10-10T13:34:57"/>
    <n v="1"/>
    <s v="173.225.62.67"/>
    <s v="RC889.S485 2010eb"/>
    <s v="618.1/78"/>
    <d v="2060-01-01T00:00:00"/>
  </r>
  <r>
    <x v="5953"/>
    <d v="1899-12-30T00:00:00"/>
    <x v="1447"/>
    <x v="9"/>
    <s v="trocaire"/>
    <x v="1369"/>
    <n v="3058286"/>
    <x v="9"/>
    <s v="Medicine"/>
    <s v="9780470675939"/>
    <m/>
    <n v="0"/>
    <m/>
    <m/>
    <s v="Yes"/>
    <x v="2"/>
    <d v="2015-10-10T13:34:57"/>
    <n v="1"/>
    <s v="173.225.62.67"/>
    <s v="RC889.S485 2010eb"/>
    <s v="618.1/78"/>
    <d v="2060-01-01T00:00:00"/>
  </r>
  <r>
    <x v="5954"/>
    <d v="1899-12-30T00:00:00"/>
    <x v="1447"/>
    <x v="9"/>
    <s v="trocaire"/>
    <x v="1369"/>
    <n v="3058286"/>
    <x v="9"/>
    <s v="Medicine"/>
    <s v="9780470675939"/>
    <m/>
    <n v="0"/>
    <m/>
    <m/>
    <s v="Yes"/>
    <x v="2"/>
    <d v="2015-10-10T13:34:57"/>
    <n v="1"/>
    <s v="173.225.62.67"/>
    <s v="RC889.S485 2010eb"/>
    <s v="618.1/78"/>
    <d v="2060-01-01T00:00:00"/>
  </r>
  <r>
    <x v="5955"/>
    <d v="1899-12-30T00:00:00"/>
    <x v="1447"/>
    <x v="9"/>
    <s v="trocaire"/>
    <x v="1370"/>
    <n v="3058738"/>
    <x v="9"/>
    <s v="Medicine"/>
    <s v="9781118285626"/>
    <m/>
    <n v="0"/>
    <m/>
    <m/>
    <s v="Yes"/>
    <x v="2"/>
    <d v="2015-10-10T13:47:50"/>
    <n v="1"/>
    <s v="173.225.62.67"/>
    <s v="RG525.D667 2002eb"/>
    <n v="618.20000000000005"/>
    <d v="2053-01-01T00:00:00"/>
  </r>
  <r>
    <x v="5956"/>
    <d v="1899-12-30T00:00:00"/>
    <x v="1447"/>
    <x v="9"/>
    <s v="trocaire"/>
    <x v="1370"/>
    <n v="3058738"/>
    <x v="9"/>
    <s v="Medicine"/>
    <s v="9781118285626"/>
    <m/>
    <n v="0"/>
    <m/>
    <m/>
    <s v="Yes"/>
    <x v="2"/>
    <d v="2015-10-10T13:47:50"/>
    <n v="1"/>
    <s v="173.225.62.67"/>
    <s v="RG525.D667 2002eb"/>
    <n v="618.20000000000005"/>
    <d v="2053-01-01T00:00:00"/>
  </r>
  <r>
    <x v="5957"/>
    <d v="1899-12-30T00:00:00"/>
    <x v="1447"/>
    <x v="9"/>
    <s v="trocaire"/>
    <x v="1371"/>
    <n v="2004761"/>
    <x v="1"/>
    <s v="Science; Science: Biology/Natural History; Science: Anatomy/Physiology"/>
    <s v="9781472453808"/>
    <m/>
    <n v="0"/>
    <m/>
    <m/>
    <s v="Yes"/>
    <x v="2"/>
    <d v="2015-10-10T13:36:33"/>
    <n v="1"/>
    <s v="173.225.62.67"/>
    <s v="QP263 -- .M335 2015eb"/>
    <s v="612.6/620944"/>
    <d v="2015-04-28T00:00:00"/>
  </r>
  <r>
    <x v="5958"/>
    <d v="1899-12-30T00:00:00"/>
    <x v="1447"/>
    <x v="9"/>
    <s v="trocaire"/>
    <x v="1370"/>
    <n v="3058738"/>
    <x v="9"/>
    <s v="Medicine"/>
    <s v="9781118285626"/>
    <m/>
    <n v="0"/>
    <m/>
    <m/>
    <s v="Yes"/>
    <x v="2"/>
    <d v="2015-10-10T13:47:50"/>
    <n v="1"/>
    <s v="173.225.62.67"/>
    <s v="RG525.D667 2002eb"/>
    <n v="618.20000000000005"/>
    <d v="2053-01-01T00:00:00"/>
  </r>
  <r>
    <x v="5959"/>
    <d v="1899-12-30T00:03:59"/>
    <x v="1447"/>
    <x v="9"/>
    <s v="trocaire"/>
    <x v="1371"/>
    <n v="2004761"/>
    <x v="1"/>
    <s v="Science; Science: Biology/Natural History; Science: Anatomy/Physiology"/>
    <s v="9781472453808"/>
    <s v=",277,278,279,275,276,280,281,274,273,272,271,270,108,109,110,107,106,103,104,105,101,102,100,99,98,54,55,56,52,53,49,50,51,47,48,44,45,46,42,43,41,40,13,14,15,11,12,9,10,7,8,5,6,4,3,1"/>
    <n v="56"/>
    <m/>
    <m/>
    <s v="Yes"/>
    <x v="2"/>
    <d v="2015-10-10T13:36:33"/>
    <n v="1"/>
    <s v="173.225.62.67"/>
    <s v="QP263 -- .M335 2015eb"/>
    <s v="612.6/620944"/>
    <d v="2015-04-28T00:00:00"/>
  </r>
  <r>
    <x v="5960"/>
    <d v="1899-12-30T00:00:00"/>
    <x v="1447"/>
    <x v="9"/>
    <s v="trocaire"/>
    <x v="1371"/>
    <n v="2004761"/>
    <x v="1"/>
    <s v="Science; Science: Biology/Natural History; Science: Anatomy/Physiology"/>
    <s v="9781472453808"/>
    <m/>
    <n v="0"/>
    <m/>
    <m/>
    <s v="Yes"/>
    <x v="2"/>
    <d v="2015-10-10T13:36:33"/>
    <n v="1"/>
    <s v="173.225.62.67"/>
    <s v="QP263 -- .M335 2015eb"/>
    <s v="612.6/620944"/>
    <d v="2015-04-28T00:00:00"/>
  </r>
  <r>
    <x v="5961"/>
    <d v="1899-12-30T00:00:00"/>
    <x v="1447"/>
    <x v="9"/>
    <s v="trocaire"/>
    <x v="1371"/>
    <n v="2004761"/>
    <x v="1"/>
    <s v="Science; Science: Biology/Natural History; Science: Anatomy/Physiology"/>
    <s v="9781472453808"/>
    <m/>
    <n v="0"/>
    <m/>
    <m/>
    <s v="Yes"/>
    <x v="2"/>
    <d v="2015-10-10T13:36:33"/>
    <n v="1"/>
    <s v="173.225.62.67"/>
    <s v="QP263 -- .M335 2015eb"/>
    <s v="612.6/620944"/>
    <d v="2015-04-28T00:00:00"/>
  </r>
  <r>
    <x v="5962"/>
    <d v="1899-12-30T00:06:04"/>
    <x v="1447"/>
    <x v="9"/>
    <s v="trocaire"/>
    <x v="1370"/>
    <n v="3058738"/>
    <x v="9"/>
    <s v="Medicine"/>
    <s v="9781118285626"/>
    <s v=",4,5,6,7,559,560,561,557,558,593,594,591,592,152,153,154,149,150,151,147,148,56,57,58,54,55,52,53,50,51,48,49,46,43,44,45,42,40,39,41,37,38,36,35,34,33,31,32,29,28,30,27,25,26,24,23,9,10,11,7,8,6"/>
    <n v="60"/>
    <m/>
    <m/>
    <s v="Yes"/>
    <x v="2"/>
    <d v="2015-10-10T13:47:50"/>
    <n v="1"/>
    <s v="173.225.62.67"/>
    <s v="RG525.D667 2002eb"/>
    <n v="618.20000000000005"/>
    <d v="2053-01-01T00:00:00"/>
  </r>
  <r>
    <x v="5963"/>
    <d v="1899-12-30T00:00:00"/>
    <x v="1447"/>
    <x v="9"/>
    <s v="trocaire"/>
    <x v="1370"/>
    <n v="3058738"/>
    <x v="9"/>
    <s v="Medicine"/>
    <s v="9781118285626"/>
    <m/>
    <n v="0"/>
    <m/>
    <m/>
    <s v="Yes"/>
    <x v="2"/>
    <d v="2015-10-10T13:47:50"/>
    <n v="1"/>
    <s v="173.225.62.67"/>
    <s v="RG525.D667 2002eb"/>
    <n v="618.20000000000005"/>
    <d v="2053-01-01T00:00:00"/>
  </r>
  <r>
    <x v="5963"/>
    <d v="1899-12-30T00:00:00"/>
    <x v="1447"/>
    <x v="9"/>
    <s v="trocaire"/>
    <x v="1370"/>
    <n v="3058738"/>
    <x v="9"/>
    <s v="Medicine"/>
    <s v="9781118285626"/>
    <m/>
    <n v="0"/>
    <m/>
    <m/>
    <s v="No"/>
    <x v="2"/>
    <d v="2015-10-10T13:47:50"/>
    <n v="1"/>
    <s v="173.225.62.67"/>
    <s v="RG525.D667 2002eb"/>
    <n v="618.20000000000005"/>
    <d v="2053-01-01T00:00:00"/>
  </r>
  <r>
    <x v="5964"/>
    <d v="1899-12-30T00:00:00"/>
    <x v="1447"/>
    <x v="9"/>
    <s v="trocaire"/>
    <x v="1372"/>
    <n v="1781370"/>
    <x v="12"/>
    <s v="Social Science"/>
    <s v="9781469618098"/>
    <m/>
    <n v="0"/>
    <m/>
    <m/>
    <s v="Yes"/>
    <x v="2"/>
    <d v="2015-10-10T13:38:08"/>
    <n v="1"/>
    <s v="173.225.62.67"/>
    <s v="HQ766.5.P4 -- .N43 2014eb"/>
    <s v="363.9/609850904"/>
    <d v="2014-10-15T00:00:00"/>
  </r>
  <r>
    <x v="5965"/>
    <d v="1899-12-30T00:00:00"/>
    <x v="1447"/>
    <x v="9"/>
    <s v="trocaire"/>
    <x v="1372"/>
    <n v="1781370"/>
    <x v="12"/>
    <s v="Social Science"/>
    <s v="9781469618098"/>
    <m/>
    <n v="0"/>
    <m/>
    <m/>
    <s v="Yes"/>
    <x v="2"/>
    <d v="2015-10-10T13:38:08"/>
    <n v="1"/>
    <s v="173.225.62.67"/>
    <s v="HQ766.5.P4 -- .N43 2014eb"/>
    <s v="363.9/609850904"/>
    <d v="2014-10-15T00:00:00"/>
  </r>
  <r>
    <x v="5966"/>
    <d v="1899-12-30T00:02:58"/>
    <x v="1447"/>
    <x v="9"/>
    <s v="trocaire"/>
    <x v="1371"/>
    <n v="2004761"/>
    <x v="1"/>
    <s v="Science; Science: Biology/Natural History; Science: Anatomy/Physiology"/>
    <s v="9781472453808"/>
    <s v=",1,2,3,4,5,6,7,8,9,10,11,12,13,14,15,16"/>
    <n v="16"/>
    <m/>
    <m/>
    <s v="No"/>
    <x v="2"/>
    <d v="2015-10-10T13:36:33"/>
    <n v="1"/>
    <s v="173.225.62.67"/>
    <s v="QP263 -- .M335 2015eb"/>
    <s v="612.6/620944"/>
    <d v="2015-04-28T00:00:00"/>
  </r>
  <r>
    <x v="5967"/>
    <d v="1899-12-30T00:03:26"/>
    <x v="1447"/>
    <x v="9"/>
    <s v="trocaire"/>
    <x v="1372"/>
    <n v="1781370"/>
    <x v="12"/>
    <s v="Social Science"/>
    <s v="9781469618098"/>
    <s v=",1,2,3,4,5,6,7,8,9,10,11,12,13,14,14,15,16,12,17,18,13,11,10,8,7,6,5,134,136,137,138,139,140,141,142,143,144,483,484,485,481,482,480,321,318,322,319,320,183,104,1,1"/>
    <n v="41"/>
    <s v=",1,1,1,1"/>
    <m/>
    <s v="Yes"/>
    <x v="2"/>
    <d v="2015-10-10T13:38:08"/>
    <n v="1"/>
    <s v="173.225.62.67"/>
    <s v="HQ766.5.P4 -- .N43 2014eb"/>
    <s v="363.9/609850904"/>
    <d v="2014-10-15T00:00:00"/>
  </r>
  <r>
    <x v="5968"/>
    <d v="1899-12-30T00:00:05"/>
    <x v="1447"/>
    <x v="9"/>
    <s v="trocaire"/>
    <x v="1372"/>
    <n v="1781370"/>
    <x v="12"/>
    <s v="Social Science"/>
    <s v="9781469618098"/>
    <s v=",1,2,3"/>
    <n v="3"/>
    <m/>
    <m/>
    <s v="No"/>
    <x v="2"/>
    <d v="2015-10-10T13:38:08"/>
    <n v="1"/>
    <s v="173.225.62.67"/>
    <s v="HQ766.5.P4 -- .N43 2014eb"/>
    <s v="363.9/609850904"/>
    <d v="2014-10-15T00:00:00"/>
  </r>
  <r>
    <x v="5969"/>
    <d v="1899-12-30T00:08:31"/>
    <x v="1447"/>
    <x v="9"/>
    <s v="trocaire"/>
    <x v="1370"/>
    <n v="3058738"/>
    <x v="9"/>
    <s v="Medicine"/>
    <s v="9781118285626"/>
    <s v=",1,2,3"/>
    <n v="3"/>
    <m/>
    <m/>
    <s v="No"/>
    <x v="3"/>
    <m/>
    <m/>
    <s v="173.225.62.67"/>
    <s v="RG525.D667 2002eb"/>
    <n v="618.20000000000005"/>
    <d v="2053-01-01T00:00:00"/>
  </r>
  <r>
    <x v="5970"/>
    <d v="1899-12-30T00:15:17"/>
    <x v="1447"/>
    <x v="9"/>
    <s v="trocaire"/>
    <x v="1369"/>
    <n v="3058286"/>
    <x v="9"/>
    <s v="Medicine"/>
    <s v="9780470675939"/>
    <s v=",1,2,3,4,5,250,251,252,248,249,274,275,273,272,270,271,267,268,269,265,266,263,264,261,262,259,260,256,254,255,252,253,251,249,250,248,57,58,59,55,56"/>
    <n v="36"/>
    <m/>
    <m/>
    <s v="No"/>
    <x v="2"/>
    <d v="2015-10-10T13:34:57"/>
    <n v="1"/>
    <s v="173.225.62.67"/>
    <s v="RC889.S485 2010eb"/>
    <s v="618.1/78"/>
    <d v="2060-01-01T00:00:00"/>
  </r>
  <r>
    <x v="5971"/>
    <d v="1899-12-30T00:00:00"/>
    <x v="1447"/>
    <x v="9"/>
    <s v="trocaire"/>
    <x v="1372"/>
    <n v="1781370"/>
    <x v="12"/>
    <s v="Social Science"/>
    <s v="9781469618098"/>
    <m/>
    <n v="0"/>
    <m/>
    <m/>
    <s v="Yes"/>
    <x v="2"/>
    <d v="2015-10-10T13:38:08"/>
    <n v="1"/>
    <s v="173.225.62.67"/>
    <s v="HQ766.5.P4 -- .N43 2014eb"/>
    <s v="363.9/609850904"/>
    <d v="2014-10-15T00:00:00"/>
  </r>
  <r>
    <x v="5972"/>
    <d v="1899-12-30T00:00:00"/>
    <x v="1447"/>
    <x v="9"/>
    <s v="trocaire"/>
    <x v="1372"/>
    <n v="1781370"/>
    <x v="12"/>
    <s v="Social Science"/>
    <s v="9781469618098"/>
    <m/>
    <n v="0"/>
    <m/>
    <m/>
    <s v="No"/>
    <x v="2"/>
    <d v="2015-10-10T13:38:08"/>
    <n v="1"/>
    <s v="173.225.62.67"/>
    <s v="HQ766.5.P4 -- .N43 2014eb"/>
    <s v="363.9/609850904"/>
    <d v="2014-10-15T00:00:00"/>
  </r>
  <r>
    <x v="5973"/>
    <d v="1899-12-30T00:00:16"/>
    <x v="1447"/>
    <x v="9"/>
    <s v="trocaire"/>
    <x v="1372"/>
    <n v="1781370"/>
    <x v="12"/>
    <s v="Social Science"/>
    <s v="9781469618098"/>
    <s v=",1,2,3"/>
    <n v="3"/>
    <m/>
    <m/>
    <s v="No"/>
    <x v="3"/>
    <m/>
    <m/>
    <s v="173.225.62.67"/>
    <s v="HQ766.5.P4 -- .N43 2014eb"/>
    <s v="363.9/609850904"/>
    <d v="2014-10-15T00:00:00"/>
  </r>
  <r>
    <x v="5974"/>
    <d v="1899-12-30T00:00:06"/>
    <x v="1447"/>
    <x v="9"/>
    <s v="trocaire"/>
    <x v="1371"/>
    <n v="2004761"/>
    <x v="1"/>
    <s v="Science; Science: Biology/Natural History; Science: Anatomy/Physiology"/>
    <s v="9781472453808"/>
    <s v=",1,2,3"/>
    <n v="3"/>
    <m/>
    <m/>
    <s v="No"/>
    <x v="2"/>
    <d v="2015-10-10T13:36:33"/>
    <n v="1"/>
    <s v="173.225.62.67"/>
    <s v="QP263 -- .M335 2015eb"/>
    <s v="612.6/620944"/>
    <d v="2015-04-28T00:00:00"/>
  </r>
  <r>
    <x v="5975"/>
    <d v="1899-12-30T00:00:00"/>
    <x v="1447"/>
    <x v="9"/>
    <s v="trocaire"/>
    <x v="1371"/>
    <n v="2004761"/>
    <x v="1"/>
    <s v="Science; Science: Biology/Natural History; Science: Anatomy/Physiology"/>
    <s v="9781472453808"/>
    <m/>
    <n v="0"/>
    <m/>
    <m/>
    <s v="Yes"/>
    <x v="2"/>
    <d v="2015-10-10T13:36:33"/>
    <n v="1"/>
    <s v="173.225.62.67"/>
    <s v="QP263 -- .M335 2015eb"/>
    <s v="612.6/620944"/>
    <d v="2015-04-28T00:00:00"/>
  </r>
  <r>
    <x v="5975"/>
    <d v="1899-12-30T00:00:00"/>
    <x v="1447"/>
    <x v="9"/>
    <s v="trocaire"/>
    <x v="1371"/>
    <n v="2004761"/>
    <x v="1"/>
    <s v="Science; Science: Biology/Natural History; Science: Anatomy/Physiology"/>
    <s v="9781472453808"/>
    <m/>
    <n v="0"/>
    <m/>
    <m/>
    <s v="No"/>
    <x v="2"/>
    <d v="2015-10-10T13:36:33"/>
    <n v="1"/>
    <s v="173.225.62.67"/>
    <s v="QP263 -- .M335 2015eb"/>
    <s v="612.6/620944"/>
    <d v="2015-04-28T00:00:00"/>
  </r>
  <r>
    <x v="5976"/>
    <d v="1899-12-30T00:00:19"/>
    <x v="1447"/>
    <x v="9"/>
    <s v="trocaire"/>
    <x v="1371"/>
    <n v="2004761"/>
    <x v="1"/>
    <s v="Science; Science: Biology/Natural History; Science: Anatomy/Physiology"/>
    <s v="9781472453808"/>
    <s v=",1,2,3"/>
    <n v="3"/>
    <m/>
    <m/>
    <s v="No"/>
    <x v="3"/>
    <m/>
    <m/>
    <s v="173.225.62.67"/>
    <s v="QP263 -- .M335 2015eb"/>
    <s v="612.6/620944"/>
    <d v="2015-04-28T00:00:00"/>
  </r>
  <r>
    <x v="5977"/>
    <d v="1899-12-30T00:00:00"/>
    <x v="1447"/>
    <x v="9"/>
    <s v="trocaire"/>
    <x v="1369"/>
    <n v="3058286"/>
    <x v="9"/>
    <s v="Medicine"/>
    <s v="9780470675939"/>
    <m/>
    <n v="0"/>
    <m/>
    <m/>
    <s v="Yes"/>
    <x v="2"/>
    <d v="2015-10-10T13:34:57"/>
    <n v="1"/>
    <s v="173.225.62.67"/>
    <s v="RC889.S485 2010eb"/>
    <s v="618.1/78"/>
    <d v="2060-01-01T00:00:00"/>
  </r>
  <r>
    <x v="5977"/>
    <d v="1899-12-30T00:00:00"/>
    <x v="1447"/>
    <x v="9"/>
    <s v="trocaire"/>
    <x v="1369"/>
    <n v="3058286"/>
    <x v="9"/>
    <s v="Medicine"/>
    <s v="9780470675939"/>
    <m/>
    <n v="0"/>
    <m/>
    <m/>
    <s v="No"/>
    <x v="2"/>
    <d v="2015-10-10T13:34:57"/>
    <n v="1"/>
    <s v="173.225.62.67"/>
    <s v="RC889.S485 2010eb"/>
    <s v="618.1/78"/>
    <d v="2060-01-01T00:00:00"/>
  </r>
  <r>
    <x v="5978"/>
    <d v="1899-12-30T00:00:44"/>
    <x v="1447"/>
    <x v="9"/>
    <s v="trocaire"/>
    <x v="1370"/>
    <n v="3058738"/>
    <x v="9"/>
    <s v="Medicine"/>
    <s v="9781118285626"/>
    <s v=",1,2,3"/>
    <n v="3"/>
    <m/>
    <m/>
    <s v="No"/>
    <x v="3"/>
    <m/>
    <m/>
    <s v="173.225.62.67"/>
    <s v="RG525.D667 2002eb"/>
    <n v="618.20000000000005"/>
    <d v="2053-01-01T00:00:00"/>
  </r>
  <r>
    <x v="5979"/>
    <d v="1899-12-30T00:00:32"/>
    <x v="1447"/>
    <x v="9"/>
    <s v="trocaire"/>
    <x v="1369"/>
    <n v="3058286"/>
    <x v="9"/>
    <s v="Medicine"/>
    <s v="9780470675939"/>
    <s v=",1,2,3"/>
    <n v="3"/>
    <m/>
    <m/>
    <s v="No"/>
    <x v="3"/>
    <m/>
    <m/>
    <s v="173.225.62.67"/>
    <s v="RC889.S485 2010eb"/>
    <s v="618.1/78"/>
    <d v="2060-01-01T00:00:00"/>
  </r>
  <r>
    <x v="5980"/>
    <d v="1899-12-30T00:27:53"/>
    <x v="13"/>
    <x v="0"/>
    <s v="Buffalo"/>
    <x v="73"/>
    <n v="1119505"/>
    <x v="0"/>
    <s v="Science: Chemistry; Science"/>
    <s v="9781118355015"/>
    <s v=",111,112,113,114,115,116,117,118,119,120,121,122"/>
    <n v="12"/>
    <m/>
    <m/>
    <s v="No"/>
    <x v="0"/>
    <d v="2015-10-10T04:34:43"/>
    <n v="7"/>
    <s v="128.205.114.91"/>
    <s v="QD251.3 -- .S38 2013eb"/>
    <s v="547/.128"/>
    <d v="2013-01-28T00:00:00"/>
  </r>
  <r>
    <x v="5981"/>
    <d v="1899-12-30T00:39:00"/>
    <x v="525"/>
    <x v="0"/>
    <s v="Buffalo"/>
    <x v="477"/>
    <n v="1120279"/>
    <x v="0"/>
    <s v="Science: Biology/Natural History; Science"/>
    <s v="9781118537671"/>
    <s v=",61,62,63,64,65,66,67,68,69,70,71,72,73,74,75"/>
    <n v="15"/>
    <m/>
    <m/>
    <s v="No"/>
    <x v="0"/>
    <d v="2015-10-10T04:18:54"/>
    <n v="7"/>
    <s v="128.205.114.91"/>
    <s v="QH371 .K384 2012"/>
    <n v="599.93499999999995"/>
    <d v="2012-11-19T00:00:00"/>
  </r>
  <r>
    <x v="5982"/>
    <d v="1899-12-30T00:13:49"/>
    <x v="525"/>
    <x v="0"/>
    <s v="Buffalo"/>
    <x v="477"/>
    <n v="1120279"/>
    <x v="0"/>
    <s v="Science: Biology/Natural History; Science"/>
    <s v="9781118537671"/>
    <s v=",1,2,3,50,51,52,48,49,53,54,55,56,57,58,59,60"/>
    <n v="16"/>
    <m/>
    <m/>
    <s v="No"/>
    <x v="1"/>
    <m/>
    <m/>
    <s v="128.205.114.91"/>
    <s v="QH371 .K384 2012"/>
    <n v="599.93499999999995"/>
    <d v="2012-11-19T00:00:00"/>
  </r>
  <r>
    <x v="5983"/>
    <d v="1899-12-30T00:00:28"/>
    <x v="1448"/>
    <x v="0"/>
    <s v="Buffalo"/>
    <x v="4"/>
    <n v="699526"/>
    <x v="0"/>
    <s v="Science; Computer Science/IT"/>
    <s v="9781118586006"/>
    <s v=",1,2,3,25,26,27,28,29,30,31,32,33,34,35,36,37,38,39,40,41,42,43,44,45,46"/>
    <n v="25"/>
    <m/>
    <m/>
    <s v="No"/>
    <x v="1"/>
    <m/>
    <m/>
    <s v="128.205.114.91"/>
    <s v="Q327 -- .D83 2001eb"/>
    <n v="6.4"/>
    <d v="2012-11-09T00:00:00"/>
  </r>
  <r>
    <x v="5984"/>
    <d v="1899-12-30T00:45:18"/>
    <x v="13"/>
    <x v="0"/>
    <s v="Buffalo"/>
    <x v="73"/>
    <n v="1119505"/>
    <x v="0"/>
    <s v="Science: Chemistry; Science"/>
    <s v="9781118355015"/>
    <s v=",1,2,3,106,107,108,104,105,109,110,111,112,164,165,166,162,163,167,168,169,170,4,158,159,160,156,151,152,153,149,150,155,142,143,144,140,141,139,137,138,145,146,147,148"/>
    <n v="44"/>
    <m/>
    <m/>
    <s v="No"/>
    <x v="1"/>
    <m/>
    <m/>
    <s v="128.205.114.91"/>
    <s v="QD251.3 -- .S38 2013eb"/>
    <s v="547/.128"/>
    <d v="2013-01-28T00:00:00"/>
  </r>
  <r>
    <x v="5985"/>
    <d v="1899-12-30T00:36:04"/>
    <x v="1449"/>
    <x v="13"/>
    <s v="buffalostate"/>
    <x v="381"/>
    <n v="1138225"/>
    <x v="0"/>
    <s v="Mathematics"/>
    <s v="9781118548356"/>
    <s v=",1,3,2,266,267,268,264,265,270,282,284,285,286,287,283,281,280,279,278,277,276,274,272,273,271,269,263,262,261,259,260,230,231,232,228,229,204,205,206,202,203,207,208,209,210,211,212,213,214,215"/>
    <n v="50"/>
    <m/>
    <s v=",1,1"/>
    <s v="No"/>
    <x v="0"/>
    <d v="2015-10-10T03:05:05"/>
    <n v="7"/>
    <s v="136.183.11.43"/>
    <s v="QA278.2 .H67 2013"/>
    <n v="519.53599999999994"/>
    <d v="2013-02-26T00:00:00"/>
  </r>
  <r>
    <x v="5986"/>
    <d v="1899-12-30T00:00:14"/>
    <x v="1449"/>
    <x v="13"/>
    <s v="buffalostate"/>
    <x v="381"/>
    <n v="1138225"/>
    <x v="0"/>
    <s v="Mathematics"/>
    <s v="9781118548356"/>
    <s v=",1,2,3"/>
    <n v="3"/>
    <m/>
    <m/>
    <s v="No"/>
    <x v="1"/>
    <m/>
    <m/>
    <s v="136.183.11.43"/>
    <s v="QA278.2 .H67 2013"/>
    <n v="519.53599999999994"/>
    <d v="2013-02-26T00:00:00"/>
  </r>
  <r>
    <x v="5987"/>
    <d v="1899-12-30T00:03:27"/>
    <x v="1450"/>
    <x v="3"/>
    <s v="canton"/>
    <x v="1373"/>
    <n v="817893"/>
    <x v="0"/>
    <s v="Engineering; Engineering: Construction"/>
    <s v="9781118216408"/>
    <s v=",1,2,3,22,23,24,25,21,26,27,28,29,286,287,283,282,280,279,133,98,64,159,37"/>
    <n v="23"/>
    <m/>
    <m/>
    <s v="No"/>
    <x v="1"/>
    <m/>
    <m/>
    <s v="137.37.33.33"/>
    <s v="TH2301 -- .S483 2012eb"/>
    <n v="694.2"/>
    <d v="2011-12-19T00:00:00"/>
  </r>
  <r>
    <x v="5988"/>
    <d v="1899-12-30T00:00:43"/>
    <x v="1451"/>
    <x v="0"/>
    <s v="Buffalo"/>
    <x v="666"/>
    <n v="817932"/>
    <x v="0"/>
    <s v="Computer Science/IT"/>
    <s v="9781118220146"/>
    <s v=",1,2,3,4,5,6,7,8,9,10,11,12,13,14"/>
    <n v="14"/>
    <m/>
    <m/>
    <s v="No"/>
    <x v="1"/>
    <m/>
    <m/>
    <s v="128.205.114.91"/>
    <s v="QA76.73.J38 -- B87 2012eb"/>
    <n v="5.133"/>
    <d v="2012-03-13T00:00:00"/>
  </r>
  <r>
    <x v="5989"/>
    <d v="1899-12-30T00:02:27"/>
    <x v="1452"/>
    <x v="0"/>
    <s v="Buffalo"/>
    <x v="167"/>
    <n v="1746990"/>
    <x v="1"/>
    <s v="Business/Management"/>
    <s v="9781472432100"/>
    <s v=",1,2,3,32,33,34,30,31,40,41,42,38,39,44,45,46,43,47,48,49,29,10,6,7,8,4,5,1,2,3,4,5,6,7,8,2,1,3"/>
    <n v="27"/>
    <m/>
    <m/>
    <s v="No"/>
    <x v="2"/>
    <d v="2015-10-09T23:52:08"/>
    <n v="1"/>
    <s v="128.205.114.91"/>
    <s v="HF5548.37 -- .T74 2014eb"/>
    <s v="658.4/78"/>
    <d v="2014-09-28T00:00:00"/>
  </r>
  <r>
    <x v="5990"/>
    <d v="1899-12-30T00:02:33"/>
    <x v="975"/>
    <x v="0"/>
    <s v="Buffalo"/>
    <x v="73"/>
    <n v="1119505"/>
    <x v="0"/>
    <s v="Science: Chemistry; Science"/>
    <s v="9781118355015"/>
    <s v=",1,2,3,107,108,109,105,106,110,111,112,113,114,115,116,117,118,119,120,121,122,123,124"/>
    <n v="23"/>
    <m/>
    <m/>
    <s v="No"/>
    <x v="1"/>
    <m/>
    <m/>
    <s v="128.205.114.91"/>
    <s v="QD251.3 -- .S38 2013eb"/>
    <s v="547/.128"/>
    <d v="2013-01-28T00:00:00"/>
  </r>
  <r>
    <x v="5991"/>
    <d v="1899-12-30T00:21:18"/>
    <x v="1452"/>
    <x v="0"/>
    <s v="Buffalo"/>
    <x v="167"/>
    <n v="1746990"/>
    <x v="1"/>
    <s v="Business/Management"/>
    <s v="9781472432100"/>
    <s v=",29,30,31,27,28,32,33,34,3,49"/>
    <n v="10"/>
    <m/>
    <m/>
    <s v="No"/>
    <x v="2"/>
    <d v="2015-10-09T23:52:08"/>
    <n v="1"/>
    <s v="128.205.114.91"/>
    <s v="HF5548.37 -- .T74 2014eb"/>
    <s v="658.4/78"/>
    <d v="2014-09-28T00:00:00"/>
  </r>
  <r>
    <x v="5992"/>
    <d v="1899-12-30T00:06:53"/>
    <x v="1452"/>
    <x v="0"/>
    <s v="Buffalo"/>
    <x v="167"/>
    <n v="1746990"/>
    <x v="1"/>
    <s v="Business/Management"/>
    <s v="9781472432100"/>
    <s v=",43,1,45,44,41,42,2,46,47,48"/>
    <n v="10"/>
    <m/>
    <m/>
    <s v="No"/>
    <x v="3"/>
    <m/>
    <m/>
    <s v="128.205.114.91"/>
    <s v="HF5548.37 -- .T74 2014eb"/>
    <s v="658.4/78"/>
    <d v="2014-09-28T00:00:00"/>
  </r>
  <r>
    <x v="5993"/>
    <d v="1899-12-30T00:08:25"/>
    <x v="824"/>
    <x v="0"/>
    <s v="Buffalo"/>
    <x v="161"/>
    <n v="821663"/>
    <x v="0"/>
    <s v="Architecture"/>
    <s v="9781118168479"/>
    <s v=",210,1,2,3,207,208,209,205,206,210,211"/>
    <n v="10"/>
    <m/>
    <m/>
    <s v="No"/>
    <x v="0"/>
    <d v="2015-10-09T22:44:27"/>
    <n v="7"/>
    <s v="128.205.114.91"/>
    <s v="NA2547 -- .S74 2012eb"/>
    <n v="729"/>
    <d v="2012-03-05T00:00:00"/>
  </r>
  <r>
    <x v="5994"/>
    <d v="1899-12-30T00:05:07"/>
    <x v="824"/>
    <x v="0"/>
    <s v="Buffalo"/>
    <x v="161"/>
    <n v="821663"/>
    <x v="0"/>
    <s v="Architecture"/>
    <s v="9781118168479"/>
    <s v=",1,2,3,207,208,209,205,206"/>
    <n v="8"/>
    <m/>
    <m/>
    <s v="No"/>
    <x v="1"/>
    <m/>
    <m/>
    <s v="128.205.114.91"/>
    <s v="NA2547 -- .S74 2012eb"/>
    <n v="729"/>
    <d v="2012-03-05T00:00:00"/>
  </r>
  <r>
    <x v="5995"/>
    <d v="1899-12-30T00:00:11"/>
    <x v="13"/>
    <x v="0"/>
    <s v="Buffalo"/>
    <x v="6"/>
    <n v="1635363"/>
    <x v="0"/>
    <s v="Law"/>
    <s v="9781118678206"/>
    <s v=",1,2,3,4,5,6"/>
    <n v="6"/>
    <m/>
    <m/>
    <s v="No"/>
    <x v="1"/>
    <m/>
    <m/>
    <s v="128.205.114.91"/>
    <s v="KF285.Z9 -- H38 2014eb"/>
    <n v="340.07600000000002"/>
    <d v="2014-02-14T00:00:00"/>
  </r>
  <r>
    <x v="5996"/>
    <d v="1899-12-30T00:00:00"/>
    <x v="1453"/>
    <x v="0"/>
    <s v="Buffalo"/>
    <x v="1374"/>
    <n v="822013"/>
    <x v="0"/>
    <s v="Business/Management"/>
    <s v="9781118287231"/>
    <m/>
    <n v="0"/>
    <m/>
    <s v=",5,6,7,8,9,10,11,12,13,14,15,16,17,18,19,20,21,22,23,24,25,26,27,28,29,30,31,32,33,34,35,36,37,38,39,40,41,42,43,44,45,46,47,48,49,50,51,52,53,54,55,56,57,58,59,60,61,62,63,64,65,66,67,68,69,70,71,72,73,74,75,76,77,78,79,80"/>
    <s v="No"/>
    <x v="0"/>
    <d v="2015-10-09T21:36:57"/>
    <n v="7"/>
    <s v="128.205.114.91"/>
    <s v="HF5415.1265 -- .S24 2012eb"/>
    <s v="658.8/72"/>
    <d v="2012-04-10T00:00:00"/>
  </r>
  <r>
    <x v="5997"/>
    <d v="1899-12-30T00:01:11"/>
    <x v="1453"/>
    <x v="0"/>
    <s v="Buffalo"/>
    <x v="1374"/>
    <n v="822013"/>
    <x v="0"/>
    <s v="Business/Management"/>
    <s v="9781118287231"/>
    <s v=",1,2,2,3,3,1,2,2,4,4,5,6,6,5,7,8,7,21,8,21,22,22,23,25,23,28,25,28,59,60,59,60,62,61,73,62,78,61,79,78,73,80,79,80,82,82,92,93,92,93,90,94,91,91,94"/>
    <n v="27"/>
    <m/>
    <m/>
    <s v="No"/>
    <x v="1"/>
    <m/>
    <m/>
    <s v="128.205.114.91"/>
    <s v="HF5415.1265 -- .S24 2012eb"/>
    <s v="658.8/72"/>
    <d v="2012-04-10T00:00:00"/>
  </r>
  <r>
    <x v="5998"/>
    <d v="1899-12-30T00:06:08"/>
    <x v="1103"/>
    <x v="9"/>
    <s v="trocaire"/>
    <x v="684"/>
    <n v="1120621"/>
    <x v="0"/>
    <s v="Education"/>
    <s v="9781118362679"/>
    <s v=",1,2,3,4,5,6,7,8,9,10,11,12,13,14,15,16,17,18,19,20,21,22,23,24,25"/>
    <n v="25"/>
    <m/>
    <m/>
    <s v="No"/>
    <x v="1"/>
    <m/>
    <m/>
    <s v="173.225.62.67"/>
    <s v="LB3013.3 .R59 2012"/>
    <s v="371.5/8; 371.58"/>
    <d v="2012-08-15T00:00:00"/>
  </r>
  <r>
    <x v="5999"/>
    <d v="1899-12-30T00:08:03"/>
    <x v="1454"/>
    <x v="1"/>
    <s v="brockport"/>
    <x v="1375"/>
    <n v="875807"/>
    <x v="0"/>
    <s v="Business/Management"/>
    <s v="9781118222690"/>
    <s v=",1,2,3,65,64,47,36,37,35,33,34,31,32,30,29,27,28,26,38,39,35,19,15,16,17,18,14,20,21,22,23,24,25,26,27"/>
    <n v="32"/>
    <m/>
    <m/>
    <s v="No"/>
    <x v="0"/>
    <d v="2015-10-07T19:13:55"/>
    <n v="7"/>
    <s v="137.21.7.121"/>
    <s v="HF1118 -- .B77 2013eb"/>
    <n v="658.00760000000002"/>
    <d v="2013-01-22T00:00:00"/>
  </r>
  <r>
    <x v="6000"/>
    <d v="1899-12-30T00:00:19"/>
    <x v="13"/>
    <x v="0"/>
    <s v="Buffalo"/>
    <x v="1268"/>
    <n v="1173654"/>
    <x v="7"/>
    <s v="Economics; Business/Management; Tourism/Hospitality"/>
    <s v="9781780642307"/>
    <s v=",1,2,3,4,5,6,7,8,9"/>
    <n v="9"/>
    <m/>
    <m/>
    <s v="No"/>
    <x v="3"/>
    <m/>
    <m/>
    <s v="128.205.114.91"/>
    <s v="G155.A1 -- T73 2013eb"/>
    <s v="338.4/791"/>
    <d v="2013-01-01T00:00:00"/>
  </r>
  <r>
    <x v="6001"/>
    <d v="1899-12-30T00:01:32"/>
    <x v="1455"/>
    <x v="5"/>
    <s v="erie"/>
    <x v="915"/>
    <n v="836174"/>
    <x v="6"/>
    <s v="History"/>
    <s v="9781438139685"/>
    <s v=",48,49,50,51,52,53,54,55,56,57"/>
    <n v="10"/>
    <m/>
    <m/>
    <s v="No"/>
    <x v="0"/>
    <d v="2015-10-09T18:25:38"/>
    <n v="7"/>
    <s v="199.29.6.54"/>
    <s v="DA950.7 .S67 2011"/>
    <n v="941.50810000000001"/>
    <d v="2011-11-01T00:00:00"/>
  </r>
  <r>
    <x v="6002"/>
    <d v="1899-12-30T00:10:45"/>
    <x v="1455"/>
    <x v="5"/>
    <s v="erie"/>
    <x v="915"/>
    <n v="836174"/>
    <x v="6"/>
    <s v="History"/>
    <s v="9781438139685"/>
    <s v=",1,2,3,28,29,30,26,27,31,32,33,34,35,36,37,38,39,40,41,42,43,44,45,46,47"/>
    <n v="25"/>
    <m/>
    <m/>
    <s v="No"/>
    <x v="1"/>
    <m/>
    <m/>
    <s v="199.29.6.54"/>
    <s v="DA950.7 .S67 2011"/>
    <n v="941.50810000000001"/>
    <d v="2011-11-01T00:00:00"/>
  </r>
  <r>
    <x v="6003"/>
    <d v="1899-12-30T00:00:10"/>
    <x v="1456"/>
    <x v="0"/>
    <s v="Buffalo"/>
    <x v="1376"/>
    <n v="1869298"/>
    <x v="1"/>
    <s v="Social Science"/>
    <s v="9781472423009"/>
    <s v=",1,2,3"/>
    <n v="3"/>
    <m/>
    <m/>
    <s v="No"/>
    <x v="3"/>
    <m/>
    <m/>
    <s v="128.205.114.91"/>
    <s v="HM1271 -- .V55 2015eb"/>
    <n v="305.8"/>
    <d v="2015-01-28T00:00:00"/>
  </r>
  <r>
    <x v="6004"/>
    <d v="1899-12-30T09:25:34"/>
    <x v="798"/>
    <x v="0"/>
    <s v="Buffalo"/>
    <x v="161"/>
    <n v="821663"/>
    <x v="0"/>
    <s v="Architecture"/>
    <s v="9781118168479"/>
    <s v=",207,208,205,206,207,208,209,205,206,210,208,209,210,206,207,208,209,210,206,207,208,209,210,206,207,208,209,210,206,207,211,212,206,213,213,214,1,215,212,211,2,216,217,1,214,215,216,212,213,2,217,218,219,220,221,222,223,224,225,226,227,227,228,1,229,225,226,2,230,231,1,231,232,229,230,2,234,1,235,236,233,234,2,232,231,230,1,231,228,232,229,2,233,234,235,236,237,238,239,240,241,242,243"/>
    <n v="41"/>
    <s v=",208,209,214,217"/>
    <m/>
    <s v="No"/>
    <x v="0"/>
    <d v="2015-10-09T17:26:48"/>
    <n v="1"/>
    <s v="128.205.114.91"/>
    <s v="NA2547 -- .S74 2012eb"/>
    <n v="729"/>
    <d v="2012-03-05T00:00:00"/>
  </r>
  <r>
    <x v="6005"/>
    <d v="1899-12-30T00:11:37"/>
    <x v="798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6006"/>
    <d v="1899-12-30T00:00:04"/>
    <x v="1371"/>
    <x v="13"/>
    <s v="buffalostate"/>
    <x v="381"/>
    <n v="1138225"/>
    <x v="0"/>
    <s v="Mathematics"/>
    <s v="9781118548356"/>
    <s v=",390,392,391,388,389"/>
    <n v="5"/>
    <m/>
    <m/>
    <s v="No"/>
    <x v="0"/>
    <d v="2015-10-09T17:11:13"/>
    <n v="7"/>
    <s v="136.183.11.43"/>
    <s v="QA278.2 .H67 2013"/>
    <n v="519.53599999999994"/>
    <d v="2013-02-26T00:00:00"/>
  </r>
  <r>
    <x v="6007"/>
    <d v="1899-12-30T00:00:36"/>
    <x v="1457"/>
    <x v="0"/>
    <s v="Buffalo"/>
    <x v="68"/>
    <n v="1822529"/>
    <x v="0"/>
    <s v="Mathematics"/>
    <s v="9781118824344"/>
    <s v=",1,2,3,23,21,22,19,24,25,5,9,7,8,6,10"/>
    <n v="15"/>
    <m/>
    <m/>
    <s v="No"/>
    <x v="1"/>
    <m/>
    <m/>
    <s v="128.205.114.91"/>
    <s v="QA297 -- .S59 2015eb"/>
    <n v="519.4"/>
    <d v="2014-10-20T00:00:00"/>
  </r>
  <r>
    <x v="6008"/>
    <d v="1899-12-30T00:38:14"/>
    <x v="1371"/>
    <x v="13"/>
    <s v="buffalostate"/>
    <x v="381"/>
    <n v="1138225"/>
    <x v="0"/>
    <s v="Mathematics"/>
    <s v="9781118548356"/>
    <s v=",1,2,3,207,208,209,205,206,210,211,212"/>
    <n v="11"/>
    <m/>
    <m/>
    <s v="No"/>
    <x v="1"/>
    <m/>
    <m/>
    <s v="136.183.11.43"/>
    <s v="QA278.2 .H67 2013"/>
    <n v="519.53599999999994"/>
    <d v="2013-02-26T00:00:00"/>
  </r>
  <r>
    <x v="6009"/>
    <d v="1899-12-30T00:03:02"/>
    <x v="1371"/>
    <x v="13"/>
    <s v="buffalostate"/>
    <x v="381"/>
    <n v="1138225"/>
    <x v="0"/>
    <s v="Mathematics"/>
    <s v="9781118548356"/>
    <s v=",1,2,3,163,164,165,161,162,166,167,168,175,176,177,173,174,178,179,180,181,182,183,184,185,186,187,188,189,190,191,192,193,194,195,196,197,198,199,200,201,202,204,205,206,203,207,208,209,210,211,212,213,214,215,216,217,218,219,220,221,222,223,1,2,3"/>
    <n v="62"/>
    <m/>
    <m/>
    <s v="No"/>
    <x v="1"/>
    <m/>
    <m/>
    <s v="136.183.11.43"/>
    <s v="QA278.2 .H67 2013"/>
    <n v="519.53599999999994"/>
    <d v="2013-02-26T00:00:00"/>
  </r>
  <r>
    <x v="6010"/>
    <d v="1899-12-30T00:00:09"/>
    <x v="1458"/>
    <x v="0"/>
    <s v="Buffalo"/>
    <x v="148"/>
    <n v="818462"/>
    <x v="0"/>
    <s v="Medicine; Pharmacy"/>
    <s v="9781118140383"/>
    <s v=",1,2,3,1"/>
    <n v="3"/>
    <m/>
    <m/>
    <s v="No"/>
    <x v="1"/>
    <m/>
    <m/>
    <s v="128.205.114.91"/>
    <s v="RM301.5 -- .P48 2011eb"/>
    <s v="615/.7"/>
    <d v="2012-02-29T00:00:00"/>
  </r>
  <r>
    <x v="6011"/>
    <d v="1899-12-30T00:36:51"/>
    <x v="1415"/>
    <x v="0"/>
    <s v="Buffalo"/>
    <x v="957"/>
    <n v="1168529"/>
    <x v="0"/>
    <s v="Mathematics"/>
    <s v="9781118710944"/>
    <s v=",322,323,324,325,326,327,328,329,330,325,324,323,322,321,320,319,318,326,327,328,329"/>
    <n v="13"/>
    <m/>
    <m/>
    <s v="No"/>
    <x v="0"/>
    <d v="2015-10-09T15:00:26"/>
    <n v="7"/>
    <s v="128.205.114.91"/>
    <s v="QA278 .A353 2013"/>
    <s v="519.5; 519.535"/>
    <d v="2013-04-08T00:00:00"/>
  </r>
  <r>
    <x v="6012"/>
    <d v="1899-12-30T00:01:07"/>
    <x v="1459"/>
    <x v="15"/>
    <s v="morrisville"/>
    <x v="1377"/>
    <n v="1598001"/>
    <x v="0"/>
    <s v="Literature"/>
    <s v="9781118610794"/>
    <s v=",277,278,279,280,281,282,283,284"/>
    <n v="8"/>
    <m/>
    <m/>
    <s v="No"/>
    <x v="2"/>
    <d v="2015-10-09T14:48:29"/>
    <n v="1"/>
    <s v="136.204.32.67"/>
    <s v="PR593 -- .V57 2014eb"/>
    <s v="821/.809"/>
    <d v="2014-01-09T00:00:00"/>
  </r>
  <r>
    <x v="6013"/>
    <d v="1899-12-30T00:05:11"/>
    <x v="1459"/>
    <x v="15"/>
    <s v="morrisville"/>
    <x v="1377"/>
    <n v="1598001"/>
    <x v="0"/>
    <s v="Literature"/>
    <s v="9781118610794"/>
    <s v=",1,2,3,4,5,6,7,8,9,10,11,18,89,193,246,248,249,265,266,267,268,269,270,271,272,273,274,275,276"/>
    <n v="29"/>
    <m/>
    <m/>
    <s v="No"/>
    <x v="3"/>
    <m/>
    <m/>
    <s v="136.204.32.67"/>
    <s v="PR593 -- .V57 2014eb"/>
    <s v="821/.809"/>
    <d v="2014-01-09T00:00:00"/>
  </r>
  <r>
    <x v="6014"/>
    <d v="1899-12-30T00:23:03"/>
    <x v="1415"/>
    <x v="0"/>
    <s v="Buffalo"/>
    <x v="957"/>
    <n v="1168529"/>
    <x v="0"/>
    <s v="Mathematics"/>
    <s v="9781118710944"/>
    <s v=",1,2,3,139,140,141,137,138,142,311,312,313,309,310,314,315,316,317,318,319,320,321"/>
    <n v="22"/>
    <m/>
    <m/>
    <s v="No"/>
    <x v="1"/>
    <m/>
    <m/>
    <s v="128.205.114.91"/>
    <s v="QA278 .A353 2013"/>
    <s v="519.5; 519.535"/>
    <d v="2013-04-08T00:00:00"/>
  </r>
  <r>
    <x v="6015"/>
    <d v="1899-12-30T00:00:39"/>
    <x v="409"/>
    <x v="0"/>
    <s v="Buffalo"/>
    <x v="161"/>
    <n v="821663"/>
    <x v="0"/>
    <s v="Architecture"/>
    <s v="9781118168479"/>
    <s v=",1,3,2,48,49,50,46,47,51"/>
    <n v="9"/>
    <m/>
    <m/>
    <s v="No"/>
    <x v="1"/>
    <m/>
    <m/>
    <s v="128.205.114.91"/>
    <s v="NA2547 -- .S74 2012eb"/>
    <n v="729"/>
    <d v="2012-03-05T00:00:00"/>
  </r>
  <r>
    <x v="6016"/>
    <d v="1899-12-30T00:28:30"/>
    <x v="1460"/>
    <x v="0"/>
    <s v="Buffalo"/>
    <x v="552"/>
    <n v="1294909"/>
    <x v="3"/>
    <s v="Economics; Business/Management"/>
    <s v="9780520956797"/>
    <s v=",1,2,3,4,5,6,7,8,9,10,11,12,13,14,15,16,17,18,19,20,21,22,23,24,25,26,24,25,26,27,28,29,30,31,32,33,34"/>
    <n v="34"/>
    <s v=",1"/>
    <m/>
    <s v="No"/>
    <x v="0"/>
    <d v="2015-10-09T14:20:39"/>
    <n v="7"/>
    <s v="128.205.114.91"/>
    <s v="HC110.P6 -- I25 2013eb"/>
    <s v="339.4/60973"/>
    <d v="2013-08-01T00:00:00"/>
  </r>
  <r>
    <x v="6017"/>
    <d v="1899-12-30T00:00:18"/>
    <x v="1460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6018"/>
    <d v="1899-12-30T00:05:29"/>
    <x v="824"/>
    <x v="0"/>
    <s v="Buffalo"/>
    <x v="161"/>
    <n v="821663"/>
    <x v="0"/>
    <s v="Architecture"/>
    <s v="9781118168479"/>
    <s v=",1,3,2,4,207,208,209,205,206,210"/>
    <n v="10"/>
    <m/>
    <m/>
    <s v="No"/>
    <x v="1"/>
    <m/>
    <m/>
    <s v="128.205.114.91"/>
    <s v="NA2547 -- .S74 2012eb"/>
    <n v="729"/>
    <d v="2012-03-05T00:00:00"/>
  </r>
  <r>
    <x v="6019"/>
    <d v="1899-12-30T00:00:00"/>
    <x v="1191"/>
    <x v="12"/>
    <s v="potsdam"/>
    <x v="29"/>
    <n v="1935742"/>
    <x v="8"/>
    <s v="Science; Science: Geology"/>
    <s v="9781118473252"/>
    <m/>
    <n v="0"/>
    <m/>
    <m/>
    <s v="Yes"/>
    <x v="2"/>
    <d v="2015-10-09T05:51:07"/>
    <n v="1"/>
    <s v="137.143.104.94"/>
    <s v="GB54.5"/>
    <n v="550"/>
    <d v="2013-03-27T00:00:00"/>
  </r>
  <r>
    <x v="6019"/>
    <d v="1899-12-30T00:00:00"/>
    <x v="1191"/>
    <x v="12"/>
    <s v="potsdam"/>
    <x v="29"/>
    <n v="1935742"/>
    <x v="8"/>
    <s v="Science; Science: Geology"/>
    <s v="9781118473252"/>
    <m/>
    <n v="0"/>
    <m/>
    <m/>
    <s v="No"/>
    <x v="2"/>
    <d v="2015-10-09T05:51:07"/>
    <n v="1"/>
    <s v="137.143.104.94"/>
    <s v="GB54.5"/>
    <n v="550"/>
    <d v="2013-03-27T00:00:00"/>
  </r>
  <r>
    <x v="6020"/>
    <d v="1899-12-30T00:01:09"/>
    <x v="1191"/>
    <x v="12"/>
    <s v="potsdam"/>
    <x v="29"/>
    <n v="1935742"/>
    <x v="8"/>
    <s v="Science; Science: Geology"/>
    <s v="9781118473252"/>
    <s v=",1,2,3"/>
    <n v="3"/>
    <m/>
    <m/>
    <s v="No"/>
    <x v="3"/>
    <m/>
    <m/>
    <s v="137.143.104.94"/>
    <s v="GB54.5"/>
    <n v="550"/>
    <d v="2013-03-27T00:00:00"/>
  </r>
  <r>
    <x v="6021"/>
    <d v="1899-12-30T00:01:21"/>
    <x v="1074"/>
    <x v="13"/>
    <s v="buffalostate"/>
    <x v="654"/>
    <n v="1724876"/>
    <x v="0"/>
    <s v="Business/Management; Economics"/>
    <s v="9781118914113"/>
    <s v=",1,2,3,4,5,6,7,8,9,10,11,12,13,14,15,16,17,18,19,20,21,22,23,24,25,26,27,28,29,30,31,32,33,34,35,36,37,38,39,40,41,42,43,44,45,46"/>
    <n v="46"/>
    <m/>
    <m/>
    <s v="No"/>
    <x v="1"/>
    <m/>
    <m/>
    <s v="136.183.11.43"/>
    <s v="HG173 -- .G733 2014eb"/>
    <n v="332"/>
    <d v="2014-06-26T00:00:00"/>
  </r>
  <r>
    <x v="6022"/>
    <d v="1899-12-30T00:00:05"/>
    <x v="1280"/>
    <x v="5"/>
    <s v="erie"/>
    <x v="1231"/>
    <n v="2078737"/>
    <x v="0"/>
    <s v="Engineering: Electrical; Engineering"/>
    <s v="9781118974346"/>
    <s v=",1,23,24,25"/>
    <n v="4"/>
    <m/>
    <m/>
    <s v="No"/>
    <x v="1"/>
    <m/>
    <m/>
    <s v="199.29.6.54"/>
    <s v="TK7868 .I58 D46 2015"/>
    <s v="621.39; 621.3981"/>
    <d v="2015-06-26T00:00:00"/>
  </r>
  <r>
    <x v="6023"/>
    <d v="1899-12-30T00:26:02"/>
    <x v="1206"/>
    <x v="11"/>
    <s v="cobleskill"/>
    <x v="1042"/>
    <n v="1249494"/>
    <x v="3"/>
    <s v="Agriculture; Social Science; Health"/>
    <s v="9780520954571"/>
    <s v=",146,150,144,32,33,34,31,30,35,36,37,38,39,41,44"/>
    <n v="15"/>
    <m/>
    <m/>
    <s v="No"/>
    <x v="0"/>
    <d v="2015-10-09T03:32:00"/>
    <n v="7"/>
    <s v="137.36.32.34"/>
    <s v="SB295.C35 -- C54 2013eb"/>
    <n v="362.29300000000001"/>
    <d v="2013-09-01T00:00:00"/>
  </r>
  <r>
    <x v="6024"/>
    <d v="1899-12-30T00:08:08"/>
    <x v="1280"/>
    <x v="5"/>
    <s v="erie"/>
    <x v="1231"/>
    <n v="2078737"/>
    <x v="0"/>
    <s v="Engineering: Electrical; Engineering"/>
    <s v="9781118974346"/>
    <s v=",1,2,3,4,5,6,7,8,9,10,11,12,13,14,15,1,15,16,17,13,14,2,18,12,11,10,19,20,21,22,23,1,23,24,25,21,22,2,26,27,28,29,30,31,32"/>
    <n v="32"/>
    <m/>
    <m/>
    <s v="No"/>
    <x v="1"/>
    <m/>
    <m/>
    <s v="199.29.6.54"/>
    <s v="TK7868 .I58 D46 2015"/>
    <s v="621.39; 621.3981"/>
    <d v="2015-06-26T00:00:00"/>
  </r>
  <r>
    <x v="6025"/>
    <d v="1899-12-30T00:06:14"/>
    <x v="1206"/>
    <x v="11"/>
    <s v="cobleskill"/>
    <x v="1042"/>
    <n v="1249494"/>
    <x v="3"/>
    <s v="Agriculture; Social Science; Health"/>
    <s v="9780520954571"/>
    <s v=",1,2,3,4,5,6,7,8,9,10,11,12,13,14,15,16,17,18,19,20,21,22,23,24,25,26,27,28,29"/>
    <n v="29"/>
    <m/>
    <m/>
    <s v="No"/>
    <x v="1"/>
    <m/>
    <m/>
    <s v="137.36.32.34"/>
    <s v="SB295.C35 -- C54 2013eb"/>
    <n v="362.29300000000001"/>
    <d v="2013-09-01T00:00:00"/>
  </r>
  <r>
    <x v="6026"/>
    <d v="1899-12-30T00:01:09"/>
    <x v="1206"/>
    <x v="11"/>
    <s v="cobleskill"/>
    <x v="1042"/>
    <n v="1249494"/>
    <x v="3"/>
    <s v="Agriculture; Social Science; Health"/>
    <s v="9780520954571"/>
    <s v=",1,2,3,4,5,6,7,8,9,10,11,12,13,14,15,16,17,18,19,20,21,22,23,25,24,26,28,29,30,27,31,32,33,34"/>
    <n v="34"/>
    <m/>
    <m/>
    <s v="No"/>
    <x v="1"/>
    <m/>
    <m/>
    <s v="137.36.32.34"/>
    <s v="SB295.C35 -- C54 2013eb"/>
    <n v="362.29300000000001"/>
    <d v="2013-09-01T00:00:00"/>
  </r>
  <r>
    <x v="6027"/>
    <d v="1899-12-30T00:04:01"/>
    <x v="1206"/>
    <x v="11"/>
    <s v="cobleskill"/>
    <x v="1042"/>
    <n v="1249494"/>
    <x v="3"/>
    <s v="Agriculture; Social Science; Health"/>
    <s v="9780520954571"/>
    <s v=",1,3,2,4,5,6,7,8,9,10,11,12,13,14,15,16,17,18,19,20,21,22,23,24,25,26,27,28,29,30,31,32,33,34,35,36"/>
    <n v="36"/>
    <m/>
    <m/>
    <s v="No"/>
    <x v="1"/>
    <m/>
    <m/>
    <s v="137.36.32.34"/>
    <s v="SB295.C35 -- C54 2013eb"/>
    <n v="362.29300000000001"/>
    <d v="2013-09-01T00:00:00"/>
  </r>
  <r>
    <x v="6028"/>
    <d v="1899-12-30T00:01:40"/>
    <x v="268"/>
    <x v="0"/>
    <s v="Buffalo"/>
    <x v="590"/>
    <n v="837573"/>
    <x v="0"/>
    <s v="Social Science"/>
    <s v="9781444354805"/>
    <s v=",1,2,3,239,240,241,238,237,242,243,244,245,246,247,248,24,25,26,7,8,9,5,6,10"/>
    <n v="24"/>
    <m/>
    <m/>
    <s v="No"/>
    <x v="1"/>
    <m/>
    <m/>
    <s v="128.205.114.91"/>
    <s v="HQ1127 -- .C637 2012eb"/>
    <n v="305.40929999999997"/>
    <d v="2012-01-09T00:00:00"/>
  </r>
  <r>
    <x v="6029"/>
    <d v="1899-12-30T00:05:35"/>
    <x v="1221"/>
    <x v="0"/>
    <s v="Buffalo"/>
    <x v="500"/>
    <n v="699744"/>
    <x v="0"/>
    <s v="Engineering; Engineering: Electrical; Engineering: Civil"/>
    <s v="9781118585818"/>
    <s v=",1,2,3,593,594,595,591,592,596,597,598,596,596,13,140,141,140,139,142,138"/>
    <n v="17"/>
    <m/>
    <m/>
    <s v="No"/>
    <x v="1"/>
    <m/>
    <m/>
    <s v="128.205.114.91"/>
    <s v="TA1520 -- .S24 2007eb"/>
    <n v="621.36"/>
    <d v="2013-02-05T00:00:00"/>
  </r>
  <r>
    <x v="6030"/>
    <d v="1899-12-30T01:04:26"/>
    <x v="634"/>
    <x v="11"/>
    <s v="cobleskill"/>
    <x v="11"/>
    <n v="693176"/>
    <x v="0"/>
    <s v="Engineering: Manufacturing; General Works/Reference; Engineering"/>
    <s v="9781118017746"/>
    <s v=",1,2,3,314,315,316,312,313,317,318,319,320,321,322,323,324,325,326,327,328,329,330,331,332,333,334"/>
    <n v="26"/>
    <m/>
    <m/>
    <s v="No"/>
    <x v="0"/>
    <d v="2015-10-07T20:12:27"/>
    <n v="7"/>
    <s v="137.36.32.34"/>
    <s v="Z246 -- .M43 2012eb"/>
    <s v="686.2/209"/>
    <d v="2011-10-19T00:00:00"/>
  </r>
  <r>
    <x v="6031"/>
    <d v="1899-12-30T00:36:29"/>
    <x v="634"/>
    <x v="11"/>
    <s v="cobleskill"/>
    <x v="11"/>
    <n v="693176"/>
    <x v="0"/>
    <s v="Engineering: Manufacturing; General Works/Reference; Engineering"/>
    <s v="9781118017746"/>
    <s v=",1,2,3,4,266,267,268,264,265,269,263,262,261,259,260,258,257,256,255,254,266,270,271,272,273,274,275,276,277,278,279,280,281,282,283,284,285,286,287,288,289,290,291,292,293,291,293,292,289,290,291,293,292,289,290,294,295,290,292,293,294,290,291,295,290,292,293,294,290,291,295,296,294,295,296,292,293,297,298,299,300,301,299,300,301,297,298,302,303,301,302,303,299,300,298,304,305,303,304,305,301,302,306,307,308,306,307,308,309,309,310,311,310,311,312,313,314,315,316,317,318,316,317,318,314,315,319"/>
    <n v="70"/>
    <m/>
    <m/>
    <s v="No"/>
    <x v="0"/>
    <d v="2015-10-07T20:12:27"/>
    <n v="7"/>
    <s v="137.36.32.34"/>
    <s v="Z246 -- .M43 2012eb"/>
    <s v="686.2/209"/>
    <d v="2011-10-19T00:00:00"/>
  </r>
  <r>
    <x v="6032"/>
    <d v="1899-12-30T00:11:46"/>
    <x v="1461"/>
    <x v="5"/>
    <s v="erie"/>
    <x v="630"/>
    <n v="771049"/>
    <x v="18"/>
    <s v="Science: Physics; Science; Environmental Studies"/>
    <s v="9781608706648"/>
    <s v=",8,9,10,7,6,11"/>
    <n v="6"/>
    <m/>
    <m/>
    <s v="No"/>
    <x v="0"/>
    <d v="2015-10-08T22:19:43"/>
    <n v="7"/>
    <s v="199.29.6.54"/>
    <s v="QC981.8"/>
    <n v="363.73874000000001"/>
    <d v="2012-01-01T00:00:00"/>
  </r>
  <r>
    <x v="6033"/>
    <d v="1899-12-30T00:16:50"/>
    <x v="1461"/>
    <x v="5"/>
    <s v="erie"/>
    <x v="630"/>
    <n v="771049"/>
    <x v="18"/>
    <s v="Science: Physics; Science; Environmental Studies"/>
    <s v="9781608706648"/>
    <s v=",1,2,3"/>
    <n v="3"/>
    <m/>
    <m/>
    <s v="No"/>
    <x v="1"/>
    <m/>
    <m/>
    <s v="199.29.6.54"/>
    <s v="QC981.8"/>
    <n v="363.73874000000001"/>
    <d v="2012-01-01T00:00:00"/>
  </r>
  <r>
    <x v="6034"/>
    <d v="1899-12-30T00:00:10"/>
    <x v="1462"/>
    <x v="1"/>
    <s v="brockport"/>
    <x v="1226"/>
    <n v="1132737"/>
    <x v="11"/>
    <s v="Political Science"/>
    <s v="9780226016177"/>
    <s v=",1,2,3,4,5,6"/>
    <n v="6"/>
    <m/>
    <m/>
    <s v="No"/>
    <x v="3"/>
    <m/>
    <m/>
    <s v="137.21.7.121"/>
    <s v="JC71"/>
    <s v="320.01/1"/>
    <d v="2013-04-01T00:00:00"/>
  </r>
  <r>
    <x v="6035"/>
    <d v="1899-12-30T00:05:06"/>
    <x v="1463"/>
    <x v="14"/>
    <s v="houghton"/>
    <x v="1163"/>
    <n v="836633"/>
    <x v="0"/>
    <s v="Psychology"/>
    <s v="9781119953784"/>
    <s v=",267,268,269,270,271,272,273"/>
    <n v="7"/>
    <m/>
    <m/>
    <s v="No"/>
    <x v="0"/>
    <d v="2015-10-08T20:15:33"/>
    <n v="7"/>
    <s v="96.43.64.169"/>
    <s v="BF637.N66 K84"/>
    <n v="153.69"/>
    <d v="2012-01-03T00:00:00"/>
  </r>
  <r>
    <x v="6036"/>
    <d v="1899-12-30T00:00:17"/>
    <x v="1464"/>
    <x v="0"/>
    <s v="Buffalo"/>
    <x v="1378"/>
    <n v="1332618"/>
    <x v="11"/>
    <s v="Science; General Works/Reference"/>
    <s v="9780226051826"/>
    <s v=",1,3,2,330,331,332,328,333,329"/>
    <n v="9"/>
    <m/>
    <m/>
    <s v="No"/>
    <x v="3"/>
    <m/>
    <m/>
    <s v="128.205.114.91"/>
    <s v="Q172"/>
    <n v="1.9"/>
    <d v="2013-08-16T00:00:00"/>
  </r>
  <r>
    <x v="6037"/>
    <d v="1899-12-30T00:11:26"/>
    <x v="1463"/>
    <x v="14"/>
    <s v="houghton"/>
    <x v="1163"/>
    <n v="836633"/>
    <x v="0"/>
    <s v="Psychology"/>
    <s v="9781119953784"/>
    <s v=",1,2,3,264,260,261,259,262,262,262,263,264,265,266,265,266"/>
    <n v="11"/>
    <m/>
    <m/>
    <s v="No"/>
    <x v="1"/>
    <m/>
    <m/>
    <s v="96.43.64.169"/>
    <s v="BF637.N66 K84"/>
    <n v="153.69"/>
    <d v="2012-01-03T00:00:00"/>
  </r>
  <r>
    <x v="6038"/>
    <d v="1899-12-30T00:02:06"/>
    <x v="1465"/>
    <x v="1"/>
    <s v="brockport"/>
    <x v="232"/>
    <n v="822111"/>
    <x v="0"/>
    <s v="Social Science"/>
    <s v="9781444356922"/>
    <s v=",1,2,2,3,1,3,5,5,6,6,7,7,8,8,9,10,10,9,2,32,32,34,34,33,30,33,31,31,35,35,36,36,37,37,38,38,39,39,40,40,41,41,42,42,43,43,44,44,44,45,45,46,46,47,47,48,48,49,49,50,50,51,51"/>
    <n v="31"/>
    <m/>
    <m/>
    <s v="No"/>
    <x v="1"/>
    <m/>
    <m/>
    <s v="137.21.7.121"/>
    <s v="HV6773 -- .K69 2012eb"/>
    <s v="302.34/3"/>
    <d v="2012-02-16T00:00:00"/>
  </r>
  <r>
    <x v="6039"/>
    <d v="1899-12-30T00:00:00"/>
    <x v="935"/>
    <x v="15"/>
    <s v="morrisville"/>
    <x v="1379"/>
    <n v="1318732"/>
    <x v="0"/>
    <s v="Agriculture; Engineering; Engineering: Environmental"/>
    <s v="9781118676769"/>
    <m/>
    <n v="0"/>
    <m/>
    <m/>
    <s v="No"/>
    <x v="2"/>
    <d v="2015-10-08T19:50:41"/>
    <n v="1"/>
    <s v="136.204.32.67"/>
    <s v="S655 -- .A55 2013eb"/>
    <s v="628/.7466"/>
    <d v="2013-07-15T00:00:00"/>
  </r>
  <r>
    <x v="6040"/>
    <d v="1899-12-30T00:00:41"/>
    <x v="935"/>
    <x v="15"/>
    <s v="morrisville"/>
    <x v="1379"/>
    <n v="1318732"/>
    <x v="0"/>
    <s v="Agriculture; Engineering; Engineering: Environmental"/>
    <s v="9781118676769"/>
    <s v=",39,40,1,37,41,38,42,43,44,2,252,253,254,250,251"/>
    <n v="15"/>
    <m/>
    <m/>
    <s v="No"/>
    <x v="3"/>
    <m/>
    <m/>
    <s v="136.204.32.67"/>
    <s v="S655 -- .A55 2013eb"/>
    <s v="628/.7466"/>
    <d v="2013-07-15T00:00:00"/>
  </r>
  <r>
    <x v="6041"/>
    <d v="1899-12-30T00:03:54"/>
    <x v="26"/>
    <x v="6"/>
    <s v="sjfc"/>
    <x v="1380"/>
    <n v="1775730"/>
    <x v="11"/>
    <s v="Business/Management; Economics"/>
    <s v="9780226121475"/>
    <s v=",1,2,3,4,30,31,32,28,29,33,36,37,38,34,35,39,40,41,42,43,34,35,440,441,442,443,439"/>
    <n v="25"/>
    <m/>
    <m/>
    <s v="No"/>
    <x v="3"/>
    <m/>
    <m/>
    <s v="149.69.254.57"/>
    <s v="HB135"/>
    <s v="338.9/27"/>
    <d v="2014-10-17T00:00:00"/>
  </r>
  <r>
    <x v="6042"/>
    <d v="1899-12-30T00:00:00"/>
    <x v="1191"/>
    <x v="12"/>
    <s v="potsdam"/>
    <x v="1381"/>
    <n v="1120423"/>
    <x v="0"/>
    <s v="Science: Physics; Science; Engineering; Environmental Studies; Engineering: Environmental"/>
    <s v="9781118591970"/>
    <m/>
    <n v="0"/>
    <m/>
    <m/>
    <s v="Yes"/>
    <x v="0"/>
    <d v="2015-10-08T18:31:32"/>
    <n v="7"/>
    <s v="137.143.104.94"/>
    <s v="QC882.42 .H56"/>
    <s v="363.7392; 628.5/3; 628.53"/>
    <d v="2012-12-06T00:00:00"/>
  </r>
  <r>
    <x v="6042"/>
    <d v="1899-12-30T00:00:00"/>
    <x v="1191"/>
    <x v="12"/>
    <s v="potsdam"/>
    <x v="1381"/>
    <n v="1120423"/>
    <x v="0"/>
    <s v="Science: Physics; Science; Engineering; Environmental Studies; Engineering: Environmental"/>
    <s v="9781118591970"/>
    <m/>
    <n v="0"/>
    <m/>
    <m/>
    <s v="No"/>
    <x v="0"/>
    <d v="2015-10-08T18:31:32"/>
    <n v="7"/>
    <s v="137.143.104.94"/>
    <s v="QC882.42 .H56"/>
    <s v="363.7392; 628.5/3; 628.53"/>
    <d v="2012-12-06T00:00:00"/>
  </r>
  <r>
    <x v="6043"/>
    <d v="1899-12-30T00:00:48"/>
    <x v="1191"/>
    <x v="12"/>
    <s v="potsdam"/>
    <x v="1381"/>
    <n v="1120423"/>
    <x v="0"/>
    <s v="Science: Physics; Science; Engineering; Environmental Studies; Engineering: Environmental"/>
    <s v="9781118591970"/>
    <s v=",1,2,2,3,3,1,2,2,4,4,5,6,7,5,2,6,1,7"/>
    <n v="7"/>
    <m/>
    <m/>
    <s v="No"/>
    <x v="1"/>
    <m/>
    <m/>
    <s v="137.143.104.94"/>
    <s v="QC882.42 .H56"/>
    <s v="363.7392; 628.5/3; 628.53"/>
    <d v="2012-12-06T00:00:00"/>
  </r>
  <r>
    <x v="6044"/>
    <d v="1899-12-30T00:00:32"/>
    <x v="1466"/>
    <x v="5"/>
    <s v="erie"/>
    <x v="630"/>
    <n v="771049"/>
    <x v="18"/>
    <s v="Science: Physics; Science; Environmental Studies"/>
    <s v="9781608706648"/>
    <s v=",1,2,3,4,5,6"/>
    <n v="6"/>
    <m/>
    <m/>
    <s v="No"/>
    <x v="1"/>
    <m/>
    <m/>
    <s v="199.29.6.54"/>
    <s v="QC981.8"/>
    <n v="363.73874000000001"/>
    <d v="2012-01-01T00:00:00"/>
  </r>
  <r>
    <x v="6045"/>
    <d v="1899-12-30T00:00:03"/>
    <x v="1286"/>
    <x v="1"/>
    <s v="brockport"/>
    <x v="151"/>
    <n v="968030"/>
    <x v="0"/>
    <s v="Psychology"/>
    <s v="9781118285138"/>
    <s v=",1,2,3"/>
    <n v="3"/>
    <m/>
    <m/>
    <s v="No"/>
    <x v="0"/>
    <d v="2015-10-01T18:31:10"/>
    <n v="7"/>
    <s v="137.21.7.121"/>
    <s v="BF637.C6 -- S85 2013eb"/>
    <n v="158.30000000000001"/>
    <d v="2012-07-10T00:00:00"/>
  </r>
  <r>
    <x v="6046"/>
    <d v="1899-12-30T00:00:04"/>
    <x v="964"/>
    <x v="12"/>
    <s v="potsdam"/>
    <x v="280"/>
    <n v="1887116"/>
    <x v="0"/>
    <s v="Fine Arts"/>
    <s v="9781118885413"/>
    <s v=",1,2,3"/>
    <n v="3"/>
    <m/>
    <m/>
    <s v="No"/>
    <x v="3"/>
    <m/>
    <m/>
    <s v="137.143.104.94"/>
    <s v="N5740 -- .T83 2015eb"/>
    <n v="709.37"/>
    <d v="2014-12-04T00:00:00"/>
  </r>
  <r>
    <x v="6047"/>
    <d v="1899-12-30T01:38:43"/>
    <x v="634"/>
    <x v="11"/>
    <s v="cobleskill"/>
    <x v="11"/>
    <n v="693176"/>
    <x v="0"/>
    <s v="Engineering: Manufacturing; General Works/Reference; Engineering"/>
    <s v="9781118017746"/>
    <s v=",1,2,3,250,251,252,248,249,253,247,250,252,249,251,248,247,253,254,255,269,270,271,267,268,275,276,277,273,274,278,279,272,278,280,281,282,280,281,282,278,279,277,282,283,284,285,286,287,282"/>
    <n v="33"/>
    <m/>
    <m/>
    <s v="No"/>
    <x v="0"/>
    <d v="2015-10-07T20:12:27"/>
    <n v="7"/>
    <s v="137.36.32.34"/>
    <s v="Z246 -- .M43 2012eb"/>
    <s v="686.2/209"/>
    <d v="2011-10-19T00:00:00"/>
  </r>
  <r>
    <x v="6048"/>
    <d v="1899-12-30T00:00:04"/>
    <x v="1467"/>
    <x v="8"/>
    <s v="niagaracc"/>
    <x v="1382"/>
    <n v="1501633"/>
    <x v="0"/>
    <s v="Language/Linguistics"/>
    <s v="9781118610701"/>
    <s v=",1,3,2"/>
    <n v="3"/>
    <m/>
    <m/>
    <s v="No"/>
    <x v="1"/>
    <m/>
    <m/>
    <s v="132.174.254.37"/>
    <s v="PA227 -- .C658 2014eb"/>
    <n v="480.09"/>
    <d v="2013-10-23T00:00:00"/>
  </r>
  <r>
    <x v="6049"/>
    <d v="1899-12-30T00:00:53"/>
    <x v="1468"/>
    <x v="1"/>
    <s v="brockport"/>
    <x v="1226"/>
    <n v="1132737"/>
    <x v="11"/>
    <s v="Political Science"/>
    <s v="9780226016177"/>
    <s v=",1,2,3,5,6,7,4,9,10,11,8,12"/>
    <n v="12"/>
    <m/>
    <m/>
    <s v="No"/>
    <x v="3"/>
    <m/>
    <m/>
    <s v="137.21.7.121"/>
    <s v="JC71"/>
    <s v="320.01/1"/>
    <d v="2013-04-01T00:00:00"/>
  </r>
  <r>
    <x v="6050"/>
    <d v="1899-12-30T00:01:21"/>
    <x v="609"/>
    <x v="0"/>
    <s v="Buffalo"/>
    <x v="477"/>
    <n v="1120279"/>
    <x v="0"/>
    <s v="Science: Biology/Natural History; Science"/>
    <s v="9781118537671"/>
    <s v=",1,2,3,113,114,115,116,112,117,118,119"/>
    <n v="11"/>
    <m/>
    <m/>
    <s v="No"/>
    <x v="1"/>
    <m/>
    <m/>
    <s v="128.205.114.91"/>
    <s v="QH371 .K384 2012"/>
    <n v="599.93499999999995"/>
    <d v="2012-11-19T00:00:00"/>
  </r>
  <r>
    <x v="6051"/>
    <d v="1899-12-30T00:05:09"/>
    <x v="1404"/>
    <x v="3"/>
    <s v="canton"/>
    <x v="1334"/>
    <n v="2031464"/>
    <x v="3"/>
    <s v="Social Science"/>
    <s v="9780520958081"/>
    <s v=",1,2,3,24,25,26,22,23,21,20,27,28"/>
    <n v="12"/>
    <m/>
    <m/>
    <s v="No"/>
    <x v="2"/>
    <d v="2015-10-08T14:10:45"/>
    <n v="1"/>
    <s v="137.37.33.33"/>
    <s v="HV7936.P8 B69 2015"/>
    <s v="363.2/30896073077865"/>
    <d v="2015-08-01T00:00:00"/>
  </r>
  <r>
    <x v="6052"/>
    <d v="1899-12-30T00:00:31"/>
    <x v="1404"/>
    <x v="3"/>
    <s v="canton"/>
    <x v="1334"/>
    <n v="2031464"/>
    <x v="3"/>
    <s v="Social Science"/>
    <s v="9780520958081"/>
    <s v=",22,26,27,28,32,36,38,40,43,44,46,48,50,52,263,264,265,266,262,260,261,258,259"/>
    <n v="23"/>
    <m/>
    <m/>
    <s v="No"/>
    <x v="2"/>
    <d v="2015-10-08T14:10:45"/>
    <n v="1"/>
    <s v="137.37.33.33"/>
    <s v="HV7936.P8 B69 2015"/>
    <s v="363.2/30896073077865"/>
    <d v="2015-08-01T00:00:00"/>
  </r>
  <r>
    <x v="6053"/>
    <d v="1899-12-30T00:11:25"/>
    <x v="1404"/>
    <x v="3"/>
    <s v="canton"/>
    <x v="1334"/>
    <n v="2031464"/>
    <x v="3"/>
    <s v="Social Science"/>
    <s v="9780520958081"/>
    <s v=",1,2,3,4,5,6,7,8,9,10,11,12,13,14,15,16,17,18,19,20,21"/>
    <n v="21"/>
    <m/>
    <m/>
    <s v="No"/>
    <x v="3"/>
    <m/>
    <m/>
    <s v="137.37.33.33"/>
    <s v="HV7936.P8 B69 2015"/>
    <s v="363.2/30896073077865"/>
    <d v="2015-08-01T00:00:00"/>
  </r>
  <r>
    <x v="6054"/>
    <d v="1899-12-30T00:00:06"/>
    <x v="1469"/>
    <x v="0"/>
    <s v="Buffalo"/>
    <x v="1383"/>
    <n v="1062012"/>
    <x v="11"/>
    <s v="Literature"/>
    <s v="9780226924182"/>
    <s v=",2"/>
    <n v="1"/>
    <m/>
    <s v=",148,149,150,151,152,153"/>
    <s v="No"/>
    <x v="2"/>
    <d v="2015-10-08T12:48:01"/>
    <n v="1"/>
    <s v="128.205.114.91"/>
    <s v="PR3044"/>
    <s v="822.3/3"/>
    <d v="2013-01-02T00:00:00"/>
  </r>
  <r>
    <x v="6055"/>
    <d v="1899-12-30T00:00:15"/>
    <x v="1469"/>
    <x v="0"/>
    <s v="Buffalo"/>
    <x v="1383"/>
    <n v="1062012"/>
    <x v="11"/>
    <s v="Literature"/>
    <s v="9780226924182"/>
    <s v=",1,2,3,148,149,150,146,147"/>
    <n v="8"/>
    <m/>
    <m/>
    <s v="No"/>
    <x v="3"/>
    <m/>
    <m/>
    <s v="128.205.114.91"/>
    <s v="PR3044"/>
    <s v="822.3/3"/>
    <d v="2013-01-02T00:00:00"/>
  </r>
  <r>
    <x v="6056"/>
    <d v="1899-12-30T00:00:51"/>
    <x v="1470"/>
    <x v="1"/>
    <s v="brockport"/>
    <x v="1384"/>
    <n v="1315640"/>
    <x v="0"/>
    <s v="Social Science"/>
    <s v="9780745671444"/>
    <s v=",1,2,3,87,88,89,85,86,90"/>
    <n v="9"/>
    <m/>
    <m/>
    <s v="No"/>
    <x v="0"/>
    <d v="2015-10-08T08:10:37"/>
    <n v="7"/>
    <s v="137.21.7.121"/>
    <s v="P94.6 -- .D38 2013eb"/>
    <n v="302.2"/>
    <d v="2013-07-11T00:00:00"/>
  </r>
  <r>
    <x v="6057"/>
    <d v="1899-12-30T00:04:30"/>
    <x v="1470"/>
    <x v="1"/>
    <s v="brockport"/>
    <x v="1384"/>
    <n v="1315640"/>
    <x v="0"/>
    <s v="Social Science"/>
    <s v="9780745671444"/>
    <s v=",21,22,23,20,24,25,26,27,28,29,30,31,32,33,34,35,36,37,38,39,40,41,42,43,44,45,46,47,48,49"/>
    <n v="30"/>
    <m/>
    <m/>
    <s v="No"/>
    <x v="0"/>
    <d v="2015-10-08T08:10:37"/>
    <n v="7"/>
    <s v="137.21.7.121"/>
    <s v="P94.6 -- .D38 2013eb"/>
    <n v="302.2"/>
    <d v="2013-07-11T00:00:00"/>
  </r>
  <r>
    <x v="6058"/>
    <d v="1899-12-30T00:07:38"/>
    <x v="1470"/>
    <x v="1"/>
    <s v="brockport"/>
    <x v="1384"/>
    <n v="1315640"/>
    <x v="0"/>
    <s v="Social Science"/>
    <s v="9780745671444"/>
    <s v=",1,2,3,4,5,6,7,8,9,10,11,12,13,14,15,16,17,18,19"/>
    <n v="19"/>
    <m/>
    <m/>
    <s v="No"/>
    <x v="3"/>
    <m/>
    <m/>
    <s v="137.21.7.121"/>
    <s v="P94.6 -- .D38 2013eb"/>
    <n v="302.2"/>
    <d v="2013-07-11T00:00:00"/>
  </r>
  <r>
    <x v="6059"/>
    <d v="1899-12-30T00:02:02"/>
    <x v="1470"/>
    <x v="1"/>
    <s v="brockport"/>
    <x v="1385"/>
    <n v="1895818"/>
    <x v="0"/>
    <s v="Business/Management"/>
    <s v="9781118961650"/>
    <s v=",15,16,53,54,43,42,44,41,39,40,45,46"/>
    <n v="12"/>
    <m/>
    <m/>
    <s v="No"/>
    <x v="0"/>
    <d v="2015-10-08T06:42:38"/>
    <n v="7"/>
    <s v="137.21.7.121"/>
    <s v="HF5415.13"/>
    <s v="658.8/342"/>
    <d v="2015-02-24T00:00:00"/>
  </r>
  <r>
    <x v="6060"/>
    <d v="1899-12-30T00:05:02"/>
    <x v="1470"/>
    <x v="1"/>
    <s v="brockport"/>
    <x v="1385"/>
    <n v="1895818"/>
    <x v="0"/>
    <s v="Business/Management"/>
    <s v="9781118961650"/>
    <s v=",1,2,3,4,5,6,7,8,9,10,14"/>
    <n v="11"/>
    <m/>
    <m/>
    <s v="No"/>
    <x v="3"/>
    <m/>
    <m/>
    <s v="137.21.7.121"/>
    <s v="HF5415.13"/>
    <s v="658.8/342"/>
    <d v="2015-02-24T00:00:00"/>
  </r>
  <r>
    <x v="6061"/>
    <d v="1899-12-30T00:00:02"/>
    <x v="1471"/>
    <x v="5"/>
    <s v="erie"/>
    <x v="630"/>
    <n v="771049"/>
    <x v="18"/>
    <s v="Science: Physics; Science; Environmental Studies"/>
    <s v="9781608706648"/>
    <s v=",1"/>
    <n v="1"/>
    <m/>
    <m/>
    <s v="No"/>
    <x v="1"/>
    <m/>
    <m/>
    <s v="199.29.6.54"/>
    <s v="QC981.8"/>
    <n v="363.73874000000001"/>
    <d v="2012-01-01T00:00:00"/>
  </r>
  <r>
    <x v="6062"/>
    <d v="1899-12-30T00:00:05"/>
    <x v="1471"/>
    <x v="5"/>
    <s v="erie"/>
    <x v="630"/>
    <n v="771049"/>
    <x v="18"/>
    <s v="Science: Physics; Science; Environmental Studies"/>
    <s v="9781608706648"/>
    <s v=",1,2,3"/>
    <n v="3"/>
    <m/>
    <m/>
    <s v="No"/>
    <x v="1"/>
    <m/>
    <m/>
    <s v="199.29.6.54"/>
    <s v="QC981.8"/>
    <n v="363.73874000000001"/>
    <d v="2012-01-01T00:00:00"/>
  </r>
  <r>
    <x v="6063"/>
    <d v="1899-12-30T00:00:22"/>
    <x v="1472"/>
    <x v="0"/>
    <s v="Buffalo"/>
    <x v="1383"/>
    <n v="1062012"/>
    <x v="11"/>
    <s v="Literature"/>
    <s v="9780226924182"/>
    <s v=",1,2,3,148,149,150,186,187,188,184,191,192,194,193,190,195,196,197"/>
    <n v="18"/>
    <m/>
    <m/>
    <s v="No"/>
    <x v="2"/>
    <d v="2015-10-08T02:59:15"/>
    <n v="1"/>
    <s v="128.205.114.91"/>
    <s v="PR3044"/>
    <s v="822.3/3"/>
    <d v="2013-01-02T00:00:00"/>
  </r>
  <r>
    <x v="6064"/>
    <d v="1899-12-30T02:31:29"/>
    <x v="13"/>
    <x v="0"/>
    <s v="Buffalo"/>
    <x v="758"/>
    <n v="1388962"/>
    <x v="7"/>
    <s v="Medicine"/>
    <s v="9781780643403"/>
    <s v=",1,2,3,4,5,6,7,8,9,10,11,12,13,14,15,16,17,18,19,20,21,22,23,24,25,26,27,28,29,30,31,17,18,19,15,16,20,21,22,23,61,62,63,59,60,64,65,66,67,68,69,70,71,72,73,74,75,76"/>
    <n v="49"/>
    <m/>
    <m/>
    <s v="No"/>
    <x v="2"/>
    <d v="2015-10-07T06:45:05"/>
    <n v="1"/>
    <s v="128.205.114.91"/>
    <s v="RC376 -- .M465 2013eb"/>
    <s v="616.8/2"/>
    <d v="2013-01-01T00:00:00"/>
  </r>
  <r>
    <x v="6065"/>
    <d v="1899-12-30T00:04:36"/>
    <x v="1473"/>
    <x v="0"/>
    <s v="Buffalo"/>
    <x v="127"/>
    <n v="1166311"/>
    <x v="0"/>
    <s v="Military Science"/>
    <s v="9781118525616"/>
    <s v=",1,2,3,4,48,49,50,47,46,51,112,113,125,126,123,115,116,114,117,118,119,120,121,122,128,129"/>
    <n v="26"/>
    <m/>
    <m/>
    <s v="No"/>
    <x v="1"/>
    <m/>
    <m/>
    <s v="128.205.114.91"/>
    <s v="U408.5 .P384 2013"/>
    <n v="355.00700000000001"/>
    <d v="2013-04-02T00:00:00"/>
  </r>
  <r>
    <x v="6066"/>
    <d v="1899-12-30T00:00:27"/>
    <x v="609"/>
    <x v="0"/>
    <s v="Buffalo"/>
    <x v="477"/>
    <n v="1120279"/>
    <x v="0"/>
    <s v="Science: Biology/Natural History; Science"/>
    <s v="9781118537671"/>
    <s v=",1,2,3,89,90,91,92,88,93,94,95"/>
    <n v="11"/>
    <m/>
    <m/>
    <s v="No"/>
    <x v="1"/>
    <m/>
    <m/>
    <s v="128.205.114.91"/>
    <s v="QH371 .K384 2012"/>
    <n v="599.93499999999995"/>
    <d v="2012-11-19T00:00:00"/>
  </r>
  <r>
    <x v="6067"/>
    <d v="1899-12-30T00:49:24"/>
    <x v="1472"/>
    <x v="0"/>
    <s v="Buffalo"/>
    <x v="1383"/>
    <n v="1062012"/>
    <x v="11"/>
    <s v="Literature"/>
    <s v="9780226924182"/>
    <s v=",149,150,148,147,146,1,147,148,146,149,145,2,150,151,152,153,154,155,156,157,158,159,160,161,162,163,164,165,166,167,168,170,169,171,172,173,174,175,176,178,177,179,180,181,182,183,184,185,186,187,188,189,190,191,192,193,195,194,196"/>
    <n v="54"/>
    <m/>
    <m/>
    <s v="No"/>
    <x v="2"/>
    <d v="2015-10-08T02:59:15"/>
    <n v="1"/>
    <s v="128.205.114.91"/>
    <s v="PR3044"/>
    <s v="822.3/3"/>
    <d v="2013-01-02T00:00:00"/>
  </r>
  <r>
    <x v="6068"/>
    <d v="1899-12-30T00:01:36"/>
    <x v="1472"/>
    <x v="0"/>
    <s v="Buffalo"/>
    <x v="1383"/>
    <n v="1062012"/>
    <x v="11"/>
    <s v="Literature"/>
    <s v="9780226924182"/>
    <s v=",1,2,3"/>
    <n v="3"/>
    <m/>
    <m/>
    <s v="No"/>
    <x v="3"/>
    <m/>
    <m/>
    <s v="128.205.114.91"/>
    <s v="PR3044"/>
    <s v="822.3/3"/>
    <d v="2013-01-02T00:00:00"/>
  </r>
  <r>
    <x v="6069"/>
    <d v="1899-12-30T00:01:11"/>
    <x v="1472"/>
    <x v="0"/>
    <s v="Buffalo"/>
    <x v="1383"/>
    <n v="1062012"/>
    <x v="11"/>
    <s v="Literature"/>
    <s v="9780226924182"/>
    <s v=",1,3,2,148,150,149,146,147"/>
    <n v="8"/>
    <m/>
    <m/>
    <s v="No"/>
    <x v="3"/>
    <m/>
    <m/>
    <s v="128.205.114.91"/>
    <s v="PR3044"/>
    <s v="822.3/3"/>
    <d v="2013-01-02T00:00:00"/>
  </r>
  <r>
    <x v="6070"/>
    <d v="1899-12-30T00:23:34"/>
    <x v="88"/>
    <x v="0"/>
    <s v="Buffalo"/>
    <x v="1383"/>
    <n v="1062012"/>
    <x v="11"/>
    <s v="Literature"/>
    <s v="9780226924182"/>
    <s v=",312,311,1,195,149,150,151,152,153,154,155,156,157"/>
    <n v="13"/>
    <m/>
    <m/>
    <s v="No"/>
    <x v="2"/>
    <d v="2015-10-08T02:51:48"/>
    <n v="1"/>
    <s v="128.205.114.91"/>
    <s v="PR3044"/>
    <s v="822.3/3"/>
    <d v="2013-01-02T00:00:00"/>
  </r>
  <r>
    <x v="6071"/>
    <d v="1899-12-30T00:05:45"/>
    <x v="88"/>
    <x v="0"/>
    <s v="Buffalo"/>
    <x v="1383"/>
    <n v="1062012"/>
    <x v="11"/>
    <s v="Literature"/>
    <s v="9780226924182"/>
    <s v=",1,2,3,148,149,147,150,146,157,145,148,122,122,122,154,148"/>
    <n v="12"/>
    <m/>
    <m/>
    <s v="No"/>
    <x v="3"/>
    <m/>
    <m/>
    <s v="128.205.114.91"/>
    <s v="PR3044"/>
    <s v="822.3/3"/>
    <d v="2013-01-02T00:00:00"/>
  </r>
  <r>
    <x v="6072"/>
    <d v="1899-12-30T00:00:21"/>
    <x v="1472"/>
    <x v="0"/>
    <s v="Buffalo"/>
    <x v="1383"/>
    <n v="1062012"/>
    <x v="11"/>
    <s v="Literature"/>
    <s v="9780226924182"/>
    <s v=",1,2,3,148,149,150,146,147,8,9,10,6,7"/>
    <n v="13"/>
    <m/>
    <m/>
    <s v="No"/>
    <x v="3"/>
    <m/>
    <m/>
    <s v="128.205.114.91"/>
    <s v="PR3044"/>
    <s v="822.3/3"/>
    <d v="2013-01-02T00:00:00"/>
  </r>
  <r>
    <x v="6073"/>
    <d v="1899-12-30T00:02:51"/>
    <x v="1474"/>
    <x v="15"/>
    <s v="morrisville"/>
    <x v="1386"/>
    <n v="2049501"/>
    <x v="1"/>
    <s v="Law"/>
    <s v="9781472414816"/>
    <s v=",1,2,3,9,11,10,12,8,13,14,15,16,17,6,7,18,19,21,20,22,23,24,25,26,108,109,110,106,107"/>
    <n v="29"/>
    <m/>
    <m/>
    <s v="No"/>
    <x v="2"/>
    <d v="2015-10-07T23:42:36"/>
    <n v="1"/>
    <s v="136.204.32.67"/>
    <s v="K3165 .K576 2015"/>
    <n v="342.00099999999998"/>
    <d v="2015-07-28T00:00:00"/>
  </r>
  <r>
    <x v="6074"/>
    <d v="1899-12-30T00:00:31"/>
    <x v="1475"/>
    <x v="12"/>
    <s v="potsdam"/>
    <x v="1387"/>
    <n v="3057990"/>
    <x v="9"/>
    <s v="Social Science"/>
    <s v="9780470156322"/>
    <s v=",1,2,188,189,186,191"/>
    <n v="6"/>
    <m/>
    <m/>
    <s v="No"/>
    <x v="3"/>
    <m/>
    <m/>
    <s v="137.143.104.94"/>
    <s v="HQ745.B865 2008eb"/>
    <s v="395.2/2"/>
    <d v="2024-01-01T00:00:00"/>
  </r>
  <r>
    <x v="6075"/>
    <d v="1899-12-30T00:15:37"/>
    <x v="1474"/>
    <x v="15"/>
    <s v="morrisville"/>
    <x v="1386"/>
    <n v="2049501"/>
    <x v="1"/>
    <s v="Law"/>
    <s v="9781472414816"/>
    <s v=",108,109,110,106,107,111,112,113,114,115,116,117,118,119,120,121,122,123,124,125,126,127,128,129,130,131,132,24,25,26,27,28"/>
    <n v="32"/>
    <m/>
    <m/>
    <s v="No"/>
    <x v="2"/>
    <d v="2015-10-07T23:42:36"/>
    <n v="1"/>
    <s v="136.204.32.67"/>
    <s v="K3165 .K576 2015"/>
    <n v="342.00099999999998"/>
    <d v="2015-07-28T00:00:00"/>
  </r>
  <r>
    <x v="6076"/>
    <d v="1899-12-30T00:10:47"/>
    <x v="1474"/>
    <x v="15"/>
    <s v="morrisville"/>
    <x v="1386"/>
    <n v="2049501"/>
    <x v="1"/>
    <s v="Law"/>
    <s v="9781472414816"/>
    <s v=",1,2,3,4,5,6,7,8,9,10,11,12,13,14,15,16,17,18,22,23,20"/>
    <n v="21"/>
    <m/>
    <m/>
    <s v="No"/>
    <x v="3"/>
    <m/>
    <m/>
    <s v="136.204.32.67"/>
    <s v="K3165 .K576 2015"/>
    <n v="342.00099999999998"/>
    <d v="2015-07-28T00:00:00"/>
  </r>
  <r>
    <x v="6077"/>
    <d v="1899-12-30T00:02:01"/>
    <x v="1470"/>
    <x v="1"/>
    <s v="brockport"/>
    <x v="1388"/>
    <n v="1822528"/>
    <x v="0"/>
    <s v="Business/Management"/>
    <s v="9781118758762"/>
    <s v=",1,2,3,4,5,6,7,9,8,10,11,1,2,3,4,5,7,8,9,6"/>
    <n v="11"/>
    <m/>
    <m/>
    <s v="No"/>
    <x v="3"/>
    <m/>
    <m/>
    <s v="137.21.7.121"/>
    <s v="HF5415.13 -- .S875 2014eb"/>
    <s v="658.8/02"/>
    <d v="2014-10-15T00:00:00"/>
  </r>
  <r>
    <x v="6078"/>
    <d v="1899-12-30T00:00:04"/>
    <x v="199"/>
    <x v="5"/>
    <s v="erie"/>
    <x v="1389"/>
    <n v="1245458"/>
    <x v="0"/>
    <s v="Medicine; Philosophy"/>
    <s v="9781118328484"/>
    <s v=",1,2,3"/>
    <n v="3"/>
    <m/>
    <m/>
    <s v="No"/>
    <x v="1"/>
    <m/>
    <m/>
    <s v="199.29.6.54"/>
    <s v="R724 -- .C66 2014eb"/>
    <n v="174.2"/>
    <d v="2013-06-26T00:00:00"/>
  </r>
  <r>
    <x v="6079"/>
    <d v="1899-12-30T00:00:02"/>
    <x v="1476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080"/>
    <d v="1899-12-30T00:00:31"/>
    <x v="1477"/>
    <x v="13"/>
    <s v="buffalostate"/>
    <x v="684"/>
    <n v="1120621"/>
    <x v="0"/>
    <s v="Education"/>
    <s v="9781118362679"/>
    <s v=",1,2,3,4,6"/>
    <n v="5"/>
    <m/>
    <m/>
    <s v="No"/>
    <x v="1"/>
    <m/>
    <m/>
    <s v="136.183.11.43"/>
    <s v="LB3013.3 .R59 2012"/>
    <s v="371.5/8; 371.58"/>
    <d v="2012-08-15T00:00:00"/>
  </r>
  <r>
    <x v="6081"/>
    <d v="1899-12-30T00:00:18"/>
    <x v="1478"/>
    <x v="13"/>
    <s v="buffalostate"/>
    <x v="684"/>
    <n v="1120621"/>
    <x v="0"/>
    <s v="Education"/>
    <s v="9781118362679"/>
    <s v=",1,2,3,4,5,6,7,8"/>
    <n v="8"/>
    <m/>
    <m/>
    <s v="No"/>
    <x v="1"/>
    <m/>
    <m/>
    <s v="136.183.11.43"/>
    <s v="LB3013.3 .R59 2012"/>
    <s v="371.5/8; 371.58"/>
    <d v="2012-08-15T00:00:00"/>
  </r>
  <r>
    <x v="6082"/>
    <d v="1899-12-30T00:02:22"/>
    <x v="845"/>
    <x v="13"/>
    <s v="buffalostate"/>
    <x v="684"/>
    <n v="1120621"/>
    <x v="0"/>
    <s v="Education"/>
    <s v="9781118362679"/>
    <s v=",1,3,2,45,46,47,43,44,48,42,41,40,39,38,37,36,35,1,2,3"/>
    <n v="17"/>
    <m/>
    <m/>
    <s v="No"/>
    <x v="1"/>
    <m/>
    <m/>
    <s v="136.183.11.43"/>
    <s v="LB3013.3 .R59 2012"/>
    <s v="371.5/8; 371.58"/>
    <d v="2012-08-15T00:00:00"/>
  </r>
  <r>
    <x v="6083"/>
    <d v="1899-12-30T00:00:37"/>
    <x v="1479"/>
    <x v="13"/>
    <s v="buffalostate"/>
    <x v="684"/>
    <n v="1120621"/>
    <x v="0"/>
    <s v="Education"/>
    <s v="9781118362679"/>
    <s v=",1,2,3,4,5,6,7,184,34,35,36,37,38,39,40,41,52,53,54,50,51"/>
    <n v="21"/>
    <m/>
    <m/>
    <s v="No"/>
    <x v="1"/>
    <m/>
    <m/>
    <s v="136.183.11.43"/>
    <s v="LB3013.3 .R59 2012"/>
    <s v="371.5/8; 371.58"/>
    <d v="2012-08-15T00:00:00"/>
  </r>
  <r>
    <x v="6084"/>
    <d v="1899-12-30T00:01:11"/>
    <x v="935"/>
    <x v="15"/>
    <s v="morrisville"/>
    <x v="738"/>
    <n v="1864027"/>
    <x v="0"/>
    <s v="Health; Social Science"/>
    <s v="9781118650004"/>
    <s v=",27"/>
    <n v="1"/>
    <m/>
    <m/>
    <s v="No"/>
    <x v="0"/>
    <d v="2015-10-07T21:25:15"/>
    <n v="7"/>
    <s v="136.204.32.68"/>
    <s v="RA602.M4 -- G73 2015eb"/>
    <s v="363.19/29"/>
    <d v="2014-11-17T00:00:00"/>
  </r>
  <r>
    <x v="6085"/>
    <d v="1899-12-30T00:00:38"/>
    <x v="935"/>
    <x v="15"/>
    <s v="morrisville"/>
    <x v="738"/>
    <n v="1864027"/>
    <x v="0"/>
    <s v="Health; Social Science"/>
    <s v="9781118650004"/>
    <s v=",1,33,34,35,31,32,27,2,28,29,25,26,30"/>
    <n v="13"/>
    <m/>
    <m/>
    <s v="No"/>
    <x v="3"/>
    <m/>
    <m/>
    <s v="136.204.32.68"/>
    <s v="RA602.M4 -- G73 2015eb"/>
    <s v="363.19/29"/>
    <d v="2014-11-17T00:00:00"/>
  </r>
  <r>
    <x v="6086"/>
    <d v="1899-12-30T00:36:05"/>
    <x v="1437"/>
    <x v="16"/>
    <s v="monroecc"/>
    <x v="1355"/>
    <n v="1630976"/>
    <x v="0"/>
    <s v="Fine Arts; Architecture"/>
    <s v="9781118418666"/>
    <s v=",1,2,3,4,5,6,19,31,32,36,37,63,72,73,74,75,76,77,78,79,81,80,82,83,84,85,86,87,88,89,90,91,92,93,94,89,95,96,97,98,99,100,101,102,106,107,108,109,105,107,108,109,110,105,110,111,112,113,114,115,116,117,118,119,120,121,122,117,116,115,114,113,112,111,116,117,118,119,120,121,122,123,124,125"/>
    <n v="64"/>
    <m/>
    <m/>
    <s v="No"/>
    <x v="0"/>
    <d v="2015-10-07T16:39:53"/>
    <n v="7"/>
    <s v="150.160.200.114"/>
    <s v="NK2110"/>
    <n v="729"/>
    <d v="2014-02-07T00:00:00"/>
  </r>
  <r>
    <x v="6087"/>
    <d v="1899-12-30T03:06:13"/>
    <x v="634"/>
    <x v="11"/>
    <s v="cobleskill"/>
    <x v="11"/>
    <n v="693176"/>
    <x v="0"/>
    <s v="Engineering: Manufacturing; General Works/Reference; Engineering"/>
    <s v="9781118017746"/>
    <s v=",297,298,299,300,301,314,315,316,312,313,490,491,492,488,489,316,317,318,314,319,333,334,335,331,332,336,330,329,328,327,326,325,324,323,346,347,348,344,345,349,343,350,351,352,353,621,621,622,623,619,620,356,357,358,354,355,393,394,395,391,392,390,384,385,386,382,383,388,389,390,387,267,269,268,265,266,270"/>
    <n v="73"/>
    <m/>
    <m/>
    <s v="No"/>
    <x v="0"/>
    <d v="2015-10-07T20:12:27"/>
    <n v="7"/>
    <s v="137.36.32.34"/>
    <s v="Z246 -- .M43 2012eb"/>
    <s v="686.2/209"/>
    <d v="2011-10-19T00:00:00"/>
  </r>
  <r>
    <x v="6088"/>
    <d v="1899-12-30T00:02:19"/>
    <x v="1480"/>
    <x v="12"/>
    <s v="potsdam"/>
    <x v="1390"/>
    <n v="2063959"/>
    <x v="0"/>
    <s v="Architecture"/>
    <s v="9781118914847"/>
    <s v=",1,2,3,4,5,6,8,10,11,9,12,13,61,60,62,63,59,60"/>
    <n v="17"/>
    <m/>
    <m/>
    <s v="No"/>
    <x v="3"/>
    <m/>
    <m/>
    <s v="137.143.104.94"/>
    <s v="NA2728 .L384 2015"/>
    <n v="720.47"/>
    <d v="2015-08-28T00:00:00"/>
  </r>
  <r>
    <x v="6089"/>
    <d v="1899-12-30T00:08:48"/>
    <x v="634"/>
    <x v="11"/>
    <s v="cobleskill"/>
    <x v="11"/>
    <n v="693176"/>
    <x v="0"/>
    <s v="Engineering: Manufacturing; General Works/Reference; Engineering"/>
    <s v="9781118017746"/>
    <s v=",1,2,3,293,294,295,291,292,290,296,297,293,295,294,291,292,296"/>
    <n v="11"/>
    <m/>
    <m/>
    <s v="No"/>
    <x v="1"/>
    <m/>
    <m/>
    <s v="137.36.32.34"/>
    <s v="Z246 -- .M43 2012eb"/>
    <s v="686.2/209"/>
    <d v="2011-10-19T00:00:00"/>
  </r>
  <r>
    <x v="6090"/>
    <d v="1899-12-30T00:00:03"/>
    <x v="1452"/>
    <x v="0"/>
    <s v="Buffalo"/>
    <x v="167"/>
    <n v="1746990"/>
    <x v="1"/>
    <s v="Business/Management"/>
    <s v="9781472432100"/>
    <s v=",1,3,2"/>
    <n v="3"/>
    <m/>
    <m/>
    <s v="No"/>
    <x v="3"/>
    <m/>
    <m/>
    <s v="128.205.114.91"/>
    <s v="HF5548.37 -- .T74 2014eb"/>
    <s v="658.4/78"/>
    <d v="2014-09-28T00:00:00"/>
  </r>
  <r>
    <x v="6091"/>
    <d v="1899-12-30T00:00:00"/>
    <x v="935"/>
    <x v="15"/>
    <s v="morrisville"/>
    <x v="1379"/>
    <n v="1318732"/>
    <x v="0"/>
    <s v="Agriculture; Engineering; Engineering: Environmental"/>
    <s v="9781118676769"/>
    <m/>
    <n v="0"/>
    <m/>
    <m/>
    <s v="No"/>
    <x v="2"/>
    <d v="2015-10-07T19:47:12"/>
    <n v="1"/>
    <s v="136.204.32.68"/>
    <s v="S655 -- .A55 2013eb"/>
    <s v="628/.7466"/>
    <d v="2013-07-15T00:00:00"/>
  </r>
  <r>
    <x v="6092"/>
    <d v="1899-12-30T00:00:34"/>
    <x v="935"/>
    <x v="15"/>
    <s v="morrisville"/>
    <x v="1379"/>
    <n v="1318732"/>
    <x v="0"/>
    <s v="Agriculture; Engineering; Engineering: Environmental"/>
    <s v="9781118676769"/>
    <s v=",1,39,40,41,37,38,2,252,253,254,250,251"/>
    <n v="12"/>
    <m/>
    <m/>
    <s v="No"/>
    <x v="3"/>
    <m/>
    <m/>
    <s v="136.204.32.68"/>
    <s v="S655 -- .A55 2013eb"/>
    <s v="628/.7466"/>
    <d v="2013-07-15T00:00:00"/>
  </r>
  <r>
    <x v="6093"/>
    <d v="1899-12-30T00:08:31"/>
    <x v="756"/>
    <x v="1"/>
    <s v="brockport"/>
    <x v="151"/>
    <n v="968030"/>
    <x v="0"/>
    <s v="Psychology"/>
    <s v="9781118285138"/>
    <s v=",1,2,3,168,169,170,167,166,171,172,173,174,175,176,177,178,179,180,181"/>
    <n v="19"/>
    <m/>
    <m/>
    <s v="No"/>
    <x v="0"/>
    <d v="2015-09-30T20:08:58"/>
    <n v="7"/>
    <s v="137.21.7.121"/>
    <s v="BF637.C6 -- S85 2013eb"/>
    <n v="158.30000000000001"/>
    <d v="2012-07-10T00:00:00"/>
  </r>
  <r>
    <x v="6094"/>
    <d v="1899-12-30T00:07:38"/>
    <x v="1454"/>
    <x v="1"/>
    <s v="brockport"/>
    <x v="1375"/>
    <n v="875807"/>
    <x v="0"/>
    <s v="Business/Management"/>
    <s v="9781118222690"/>
    <s v=",18,19,20,21,22,23,24,25,26,27,28,29"/>
    <n v="12"/>
    <m/>
    <m/>
    <s v="No"/>
    <x v="0"/>
    <d v="2015-10-07T19:13:55"/>
    <n v="7"/>
    <s v="137.21.7.121"/>
    <s v="HF1118 -- .B77 2013eb"/>
    <n v="658.00760000000002"/>
    <d v="2013-01-22T00:00:00"/>
  </r>
  <r>
    <x v="6095"/>
    <d v="1899-12-30T00:10:33"/>
    <x v="1454"/>
    <x v="1"/>
    <s v="brockport"/>
    <x v="1375"/>
    <n v="875807"/>
    <x v="0"/>
    <s v="Business/Management"/>
    <s v="9781118222690"/>
    <s v=",1,2,3,4,5,15,17,16,13,14"/>
    <n v="10"/>
    <m/>
    <m/>
    <s v="No"/>
    <x v="3"/>
    <m/>
    <m/>
    <s v="137.21.7.121"/>
    <s v="HF1118 -- .B77 2013eb"/>
    <n v="658.00760000000002"/>
    <d v="2013-01-22T00:00:00"/>
  </r>
  <r>
    <x v="6096"/>
    <d v="1899-12-30T00:02:28"/>
    <x v="1481"/>
    <x v="1"/>
    <s v="brockport"/>
    <x v="1391"/>
    <n v="1843631"/>
    <x v="0"/>
    <s v="Psychology; Religion"/>
    <s v="9781118868201"/>
    <s v=",1,2,3,23,24,25,21,22,26,27,32,33,34,30,31"/>
    <n v="15"/>
    <m/>
    <m/>
    <s v="No"/>
    <x v="3"/>
    <m/>
    <m/>
    <s v="137.21.7.121"/>
    <s v="BF637.S4 -- .A453 2015eb"/>
    <n v="294.34435000000002"/>
    <d v="2014-11-11T00:00:00"/>
  </r>
  <r>
    <x v="6097"/>
    <d v="1899-12-30T00:00:31"/>
    <x v="1481"/>
    <x v="1"/>
    <s v="brockport"/>
    <x v="1392"/>
    <n v="1273514"/>
    <x v="0"/>
    <s v="Psychology"/>
    <s v="9780857084415"/>
    <s v=",1,2,3,203,204,205,201,202,206,162,163,164,161,165,49,1"/>
    <n v="15"/>
    <m/>
    <m/>
    <s v="No"/>
    <x v="3"/>
    <m/>
    <m/>
    <s v="137.21.7.121"/>
    <s v="BF311 -- .H377 2013eb"/>
    <n v="158"/>
    <d v="2013-07-03T00:00:00"/>
  </r>
  <r>
    <x v="6098"/>
    <d v="1899-12-30T00:10:44"/>
    <x v="1482"/>
    <x v="13"/>
    <s v="buffalostate"/>
    <x v="1291"/>
    <n v="1274383"/>
    <x v="5"/>
    <s v="Social Science"/>
    <s v="9780814760239"/>
    <s v=",311,315"/>
    <n v="2"/>
    <m/>
    <m/>
    <s v="No"/>
    <x v="0"/>
    <d v="2015-10-07T18:49:57"/>
    <n v="7"/>
    <s v="136.183.11.43"/>
    <s v="HQ799.2.V56 -- E26 2013eb"/>
    <n v="303.60834999999997"/>
    <d v="2013-08-19T00:00:00"/>
  </r>
  <r>
    <x v="6099"/>
    <d v="1899-12-30T00:00:24"/>
    <x v="1103"/>
    <x v="9"/>
    <s v="trocaire"/>
    <x v="144"/>
    <n v="1760717"/>
    <x v="4"/>
    <s v="Medicine"/>
    <s v="9781462517640"/>
    <s v=",1,2,3"/>
    <n v="3"/>
    <m/>
    <m/>
    <s v="No"/>
    <x v="1"/>
    <m/>
    <m/>
    <s v="173.225.62.67"/>
    <s v="RJ505.P6 -- .P539 2015eb"/>
    <n v="618.9289"/>
    <d v="2014-11-17T00:00:00"/>
  </r>
  <r>
    <x v="6100"/>
    <d v="1899-12-30T00:12:24"/>
    <x v="1482"/>
    <x v="13"/>
    <s v="buffalostate"/>
    <x v="1291"/>
    <n v="1274383"/>
    <x v="5"/>
    <s v="Social Science"/>
    <s v="9780814760239"/>
    <s v=",1,2,3,8,9,10,6,7,11,28,29,30,26,27,31,32,33,312,313,314,310,26,27,10,6,7"/>
    <n v="21"/>
    <m/>
    <m/>
    <s v="No"/>
    <x v="1"/>
    <m/>
    <m/>
    <s v="136.183.11.43"/>
    <s v="HQ799.2.V56 -- E26 2013eb"/>
    <n v="303.60834999999997"/>
    <d v="2013-08-19T00:00:00"/>
  </r>
  <r>
    <x v="6101"/>
    <d v="1899-12-30T00:09:33"/>
    <x v="1103"/>
    <x v="9"/>
    <s v="trocaire"/>
    <x v="684"/>
    <n v="1120621"/>
    <x v="0"/>
    <s v="Education"/>
    <s v="9781118362679"/>
    <s v=",1,2,3,34,35,33,32,36,37,38,39,40,41,42,43,44,25"/>
    <n v="17"/>
    <m/>
    <m/>
    <s v="No"/>
    <x v="1"/>
    <m/>
    <m/>
    <s v="173.225.62.67"/>
    <s v="LB3013.3 .R59 2012"/>
    <s v="371.5/8; 371.58"/>
    <d v="2012-08-15T00:00:00"/>
  </r>
  <r>
    <x v="6102"/>
    <d v="1899-12-30T00:05:12"/>
    <x v="26"/>
    <x v="6"/>
    <s v="sjfc"/>
    <x v="1393"/>
    <n v="894258"/>
    <x v="0"/>
    <s v="Geography/Travel"/>
    <s v="9781118333709"/>
    <s v=",1,2,3,80,81,82,78,79,77,20,21,22,18,19,17,241,242,243,239,240"/>
    <n v="20"/>
    <m/>
    <m/>
    <s v="No"/>
    <x v="0"/>
    <d v="2015-10-02T18:51:18"/>
    <n v="7"/>
    <s v="149.69.254.57"/>
    <s v="DC708 .P38"/>
    <n v="914.436104"/>
    <d v="2012-07-05T00:00:00"/>
  </r>
  <r>
    <x v="6103"/>
    <d v="1899-12-30T00:00:00"/>
    <x v="1103"/>
    <x v="9"/>
    <s v="trocaire"/>
    <x v="1057"/>
    <n v="332602"/>
    <x v="0"/>
    <s v="Education"/>
    <s v="9780631227885"/>
    <m/>
    <n v="0"/>
    <m/>
    <m/>
    <s v="Yes"/>
    <x v="0"/>
    <d v="2015-10-07T16:35:16"/>
    <n v="7"/>
    <s v="173.225.62.67"/>
    <s v="LB1124 -- .O48 1993eb"/>
    <s v="371.5/8"/>
    <d v="2013-05-30T00:00:00"/>
  </r>
  <r>
    <x v="6104"/>
    <d v="1899-12-30T00:02:24"/>
    <x v="1472"/>
    <x v="0"/>
    <s v="Buffalo"/>
    <x v="1383"/>
    <n v="1062012"/>
    <x v="11"/>
    <s v="Literature"/>
    <s v="9780226924182"/>
    <s v=",1,2,3,148,149,150,146,147,151,152,153,154,155,156,157,158,159,160,161,162,181,186,187,188,184,185,189,190,191,192,193,194,195,196,197,148,149,150,146,147,151"/>
    <n v="35"/>
    <m/>
    <m/>
    <s v="No"/>
    <x v="3"/>
    <m/>
    <m/>
    <s v="128.205.114.91"/>
    <s v="PR3044"/>
    <s v="822.3/3"/>
    <d v="2013-01-02T00:00:00"/>
  </r>
  <r>
    <x v="6105"/>
    <d v="1899-12-30T00:00:03"/>
    <x v="1103"/>
    <x v="9"/>
    <s v="trocaire"/>
    <x v="1057"/>
    <n v="332602"/>
    <x v="0"/>
    <s v="Education"/>
    <s v="9780631227885"/>
    <s v=",1,2,2,3,1,4,3,4"/>
    <n v="4"/>
    <m/>
    <m/>
    <s v="No"/>
    <x v="0"/>
    <d v="2015-10-07T16:43:46"/>
    <n v="7"/>
    <s v="173.225.62.67"/>
    <s v="LB1124 -- .O48 1993eb"/>
    <s v="371.5/8"/>
    <d v="2013-05-30T00:00:00"/>
  </r>
  <r>
    <x v="6106"/>
    <d v="1899-12-30T00:43:04"/>
    <x v="1437"/>
    <x v="16"/>
    <s v="monroecc"/>
    <x v="1355"/>
    <n v="1630976"/>
    <x v="0"/>
    <s v="Fine Arts; Architecture"/>
    <s v="9781118418666"/>
    <s v=",657,655,656,654,651,652,653,650,649,648,647,642,641,640,638,637,630,631,626,625,627,624,622,623,620,619,621,618,613,611,612,608,609,606,607,605,604,602,601,600,599,597,598,595,596,594,591,592,587,588,585,586,583,584,582,589,590,591,592,593,586,585,584,582,583,579,581,580,577,574,573,566,568,563,559,555,553,554,550,551,548,547,549,540,534,535,531,530,528,526,527,524,522,525,518,517,516,514,512,510,507,509,504,503,499,495,492,491,488,486,475,476,470,467,465,460,454,456,452,447,446,445,437,434,431,427,418,425,416,405,404,398,393,391,385,375,369,366,361,339,340,101,1,3,12,16,37,48,52,61,122,133,121,135,134,132,131,136,137,131,130,129,128,127,126,125,124,123,122,121,120,119,118,117,116,115,114,113,112,111,110,109,108,107,106,105,104,103,102,101,106,101,100,99,98,97,96,95,94,93,92,91,90,89,88,96,97,98,99,100,101,102,103,98,97,96,95,94,93,92,91,90,89,95,96,97,89,95,96,91,90,89,95,96"/>
    <n v="192"/>
    <s v=",2"/>
    <m/>
    <s v="No"/>
    <x v="0"/>
    <d v="2015-10-07T16:39:53"/>
    <n v="7"/>
    <s v="150.160.200.114"/>
    <s v="NK2110"/>
    <n v="729"/>
    <d v="2014-02-07T00:00:00"/>
  </r>
  <r>
    <x v="6107"/>
    <d v="1899-12-30T00:02:34"/>
    <x v="1437"/>
    <x v="16"/>
    <s v="monroecc"/>
    <x v="1355"/>
    <n v="1630976"/>
    <x v="0"/>
    <s v="Fine Arts; Architecture"/>
    <s v="9781118418666"/>
    <s v=",1,3,2,4"/>
    <n v="4"/>
    <m/>
    <m/>
    <s v="No"/>
    <x v="1"/>
    <m/>
    <m/>
    <s v="150.160.200.114"/>
    <s v="NK2110"/>
    <n v="729"/>
    <d v="2014-02-07T00:00:00"/>
  </r>
  <r>
    <x v="6108"/>
    <d v="1899-12-30T01:35:17"/>
    <x v="1103"/>
    <x v="9"/>
    <s v="trocaire"/>
    <x v="1057"/>
    <n v="332602"/>
    <x v="0"/>
    <s v="Education"/>
    <s v="9780631227885"/>
    <s v=",40,40,64,64,131,131,1,1"/>
    <n v="4"/>
    <m/>
    <m/>
    <s v="No"/>
    <x v="0"/>
    <d v="2015-10-07T16:35:16"/>
    <n v="7"/>
    <s v="173.225.62.67"/>
    <s v="LB1124 -- .O48 1993eb"/>
    <s v="371.5/8"/>
    <d v="2013-05-30T00:00:00"/>
  </r>
  <r>
    <x v="6109"/>
    <d v="1899-12-30T00:05:34"/>
    <x v="634"/>
    <x v="11"/>
    <s v="cobleskill"/>
    <x v="11"/>
    <n v="693176"/>
    <x v="0"/>
    <s v="Engineering: Manufacturing; General Works/Reference; Engineering"/>
    <s v="9781118017746"/>
    <s v=",1,2,3,357,358,359,355,356,364,365,366,362,363,367,368"/>
    <n v="15"/>
    <m/>
    <m/>
    <s v="No"/>
    <x v="1"/>
    <m/>
    <m/>
    <s v="137.36.32.34"/>
    <s v="Z246 -- .M43 2012eb"/>
    <s v="686.2/209"/>
    <d v="2011-10-19T00:00:00"/>
  </r>
  <r>
    <x v="6110"/>
    <d v="1899-12-30T00:25:10"/>
    <x v="1103"/>
    <x v="9"/>
    <s v="trocaire"/>
    <x v="1057"/>
    <n v="332602"/>
    <x v="0"/>
    <s v="Education"/>
    <s v="9780631227885"/>
    <s v=",1,2,3,11,12,13,9,10,15,14,19,18,16,7,8,116,117,118,114,115,119,121,120,40,41,39,38,42,40"/>
    <n v="28"/>
    <m/>
    <m/>
    <s v="No"/>
    <x v="1"/>
    <m/>
    <m/>
    <s v="173.225.62.67"/>
    <s v="LB1124 -- .O48 1993eb"/>
    <s v="371.5/8"/>
    <d v="2013-05-30T00:00:00"/>
  </r>
  <r>
    <x v="6111"/>
    <d v="1899-12-30T00:41:52"/>
    <x v="1103"/>
    <x v="9"/>
    <s v="trocaire"/>
    <x v="1057"/>
    <n v="332602"/>
    <x v="0"/>
    <s v="Education"/>
    <s v="9780631227885"/>
    <s v=",1,2,3,2,3,1,4,4,2,2"/>
    <n v="4"/>
    <m/>
    <m/>
    <s v="No"/>
    <x v="1"/>
    <m/>
    <m/>
    <s v="173.225.62.67"/>
    <s v="LB1124 -- .O48 1993eb"/>
    <s v="371.5/8"/>
    <d v="2013-05-30T00:00:00"/>
  </r>
  <r>
    <x v="6112"/>
    <d v="1899-12-30T00:00:21"/>
    <x v="1483"/>
    <x v="9"/>
    <s v="trocaire"/>
    <x v="1394"/>
    <n v="1829439"/>
    <x v="0"/>
    <s v="Medicine"/>
    <s v="9781118465837"/>
    <s v=",22,1,23,20,21,24,25,26,27,2"/>
    <n v="10"/>
    <m/>
    <m/>
    <s v="No"/>
    <x v="3"/>
    <m/>
    <m/>
    <s v="173.225.62.67"/>
    <s v="RC440 -- .S65 2015eb"/>
    <s v="616.89/0231"/>
    <d v="2014-10-28T00:00:00"/>
  </r>
  <r>
    <x v="6113"/>
    <d v="1899-12-30T00:15:02"/>
    <x v="13"/>
    <x v="0"/>
    <s v="Buffalo"/>
    <x v="1368"/>
    <n v="2008614"/>
    <x v="4"/>
    <s v="Medicine"/>
    <s v="9781462523429"/>
    <s v=",32,32,33,33,34,34,35,35,35,36,36,37,37,38,38,38,33,32,31,30,29,34,34,32,33,34,30,31,35,36,37,38,39,39,40,35,40,41,41,42,42,43,43,44,44,45,45,46,46,47,47,48,48,49,49,50,50,51,51,52,52,53,53"/>
    <n v="25"/>
    <m/>
    <m/>
    <s v="No"/>
    <x v="2"/>
    <d v="2015-10-07T13:23:32"/>
    <n v="1"/>
    <s v="128.205.114.91"/>
    <s v="RC533 -- .A273 2009eb"/>
    <n v="616.85226999999998"/>
    <d v="2015-01-01T00:00:00"/>
  </r>
  <r>
    <x v="6114"/>
    <d v="1899-12-30T00:06:09"/>
    <x v="13"/>
    <x v="0"/>
    <s v="Buffalo"/>
    <x v="1368"/>
    <n v="2008614"/>
    <x v="4"/>
    <s v="Medicine"/>
    <s v="9781462523429"/>
    <s v=",1,2,2,3,3,1,23,2,2,23,25,21,25,22,24,22,24,26,26,21,26,27,27,28,28,29,29,30,30,31,31"/>
    <n v="14"/>
    <m/>
    <m/>
    <s v="No"/>
    <x v="3"/>
    <m/>
    <m/>
    <s v="128.205.114.91"/>
    <s v="RC533 -- .A273 2009eb"/>
    <n v="616.85226999999998"/>
    <d v="2015-01-01T00:00:00"/>
  </r>
  <r>
    <x v="6115"/>
    <d v="1899-12-30T00:00:11"/>
    <x v="13"/>
    <x v="0"/>
    <s v="Buffalo"/>
    <x v="758"/>
    <n v="1388962"/>
    <x v="7"/>
    <s v="Medicine"/>
    <s v="9781780643403"/>
    <s v=",7,8"/>
    <n v="2"/>
    <m/>
    <m/>
    <s v="No"/>
    <x v="2"/>
    <d v="2015-10-07T06:45:05"/>
    <n v="1"/>
    <s v="128.205.114.91"/>
    <s v="RC376 -- .M465 2013eb"/>
    <s v="616.8/2"/>
    <d v="2013-01-01T00:00:00"/>
  </r>
  <r>
    <x v="6116"/>
    <d v="1899-12-30T00:02:44"/>
    <x v="1350"/>
    <x v="0"/>
    <s v="Buffalo"/>
    <x v="975"/>
    <n v="817871"/>
    <x v="0"/>
    <s v="Computer Science/IT"/>
    <s v="9781118206911"/>
    <s v=",54,104,105,106,102,107,108,109,110,111,112,113,114,115"/>
    <n v="14"/>
    <m/>
    <m/>
    <s v="No"/>
    <x v="0"/>
    <d v="2015-10-07T06:43:40"/>
    <n v="7"/>
    <s v="128.205.114.91"/>
    <s v="QA76.76.H94"/>
    <n v="6.74"/>
    <d v="2011-12-20T00:00:00"/>
  </r>
  <r>
    <x v="6117"/>
    <d v="1899-12-30T00:10:39"/>
    <x v="13"/>
    <x v="0"/>
    <s v="Buffalo"/>
    <x v="758"/>
    <n v="1388962"/>
    <x v="7"/>
    <s v="Medicine"/>
    <s v="9781780643403"/>
    <s v=",1,2,3,4,5,6"/>
    <n v="6"/>
    <m/>
    <m/>
    <s v="No"/>
    <x v="3"/>
    <m/>
    <m/>
    <s v="128.205.114.91"/>
    <s v="RC376 -- .M465 2013eb"/>
    <s v="616.8/2"/>
    <d v="2013-01-01T00:00:00"/>
  </r>
  <r>
    <x v="6118"/>
    <d v="1899-12-30T00:29:26"/>
    <x v="1350"/>
    <x v="0"/>
    <s v="Buffalo"/>
    <x v="975"/>
    <n v="817871"/>
    <x v="0"/>
    <s v="Computer Science/IT"/>
    <s v="9781118206911"/>
    <s v=",1,2,3,4,27,28,29,25,26,50,51,52,48,49,53"/>
    <n v="15"/>
    <m/>
    <m/>
    <s v="No"/>
    <x v="1"/>
    <m/>
    <m/>
    <s v="128.205.114.91"/>
    <s v="QA76.76.H94"/>
    <n v="6.74"/>
    <d v="2011-12-20T00:00:00"/>
  </r>
  <r>
    <x v="6119"/>
    <d v="1899-12-30T00:00:00"/>
    <x v="1373"/>
    <x v="0"/>
    <s v="Buffalo"/>
    <x v="935"/>
    <n v="1718748"/>
    <x v="0"/>
    <s v="Mathematics"/>
    <s v="9781118791080"/>
    <m/>
    <n v="0"/>
    <m/>
    <m/>
    <s v="Yes"/>
    <x v="0"/>
    <d v="2015-10-07T03:17:52"/>
    <n v="7"/>
    <s v="128.205.114.91"/>
    <s v="QA303 -- .R936 2014eb"/>
    <n v="515"/>
    <d v="2014-06-23T00:00:00"/>
  </r>
  <r>
    <x v="6120"/>
    <d v="1899-12-30T00:00:00"/>
    <x v="1373"/>
    <x v="0"/>
    <s v="Buffalo"/>
    <x v="935"/>
    <n v="1718748"/>
    <x v="0"/>
    <s v="Mathematics"/>
    <s v="9781118791080"/>
    <m/>
    <n v="0"/>
    <m/>
    <m/>
    <s v="No"/>
    <x v="0"/>
    <d v="2015-10-07T03:17:52"/>
    <n v="7"/>
    <s v="128.205.114.91"/>
    <s v="QA303 -- .R936 2014eb"/>
    <n v="515"/>
    <d v="2014-06-23T00:00:00"/>
  </r>
  <r>
    <x v="6121"/>
    <d v="1899-12-30T00:00:18"/>
    <x v="1373"/>
    <x v="0"/>
    <s v="Buffalo"/>
    <x v="935"/>
    <n v="1718748"/>
    <x v="0"/>
    <s v="Mathematics"/>
    <s v="9781118791080"/>
    <s v=",1,3,2"/>
    <n v="3"/>
    <m/>
    <m/>
    <s v="No"/>
    <x v="1"/>
    <m/>
    <m/>
    <s v="128.205.114.91"/>
    <s v="QA303 -- .R936 2014eb"/>
    <n v="515"/>
    <d v="2014-06-23T00:00:00"/>
  </r>
  <r>
    <x v="6122"/>
    <d v="1899-12-30T00:00:00"/>
    <x v="1373"/>
    <x v="0"/>
    <s v="Buffalo"/>
    <x v="1327"/>
    <n v="1895918"/>
    <x v="0"/>
    <s v="Mathematics"/>
    <s v="9781119015314"/>
    <m/>
    <n v="0"/>
    <m/>
    <m/>
    <s v="Yes"/>
    <x v="0"/>
    <d v="2015-10-07T03:17:15"/>
    <n v="7"/>
    <s v="128.205.114.91"/>
    <s v="QA303.2 .M384 2015"/>
    <n v="515"/>
    <d v="2015-07-28T00:00:00"/>
  </r>
  <r>
    <x v="6122"/>
    <d v="1899-12-30T00:00:00"/>
    <x v="1373"/>
    <x v="0"/>
    <s v="Buffalo"/>
    <x v="1327"/>
    <n v="1895918"/>
    <x v="0"/>
    <s v="Mathematics"/>
    <s v="9781119015314"/>
    <m/>
    <n v="0"/>
    <m/>
    <m/>
    <s v="No"/>
    <x v="0"/>
    <d v="2015-10-07T03:17:15"/>
    <n v="7"/>
    <s v="128.205.114.91"/>
    <s v="QA303.2 .M384 2015"/>
    <n v="515"/>
    <d v="2015-07-28T00:00:00"/>
  </r>
  <r>
    <x v="6123"/>
    <d v="1899-12-30T00:00:23"/>
    <x v="1373"/>
    <x v="0"/>
    <s v="Buffalo"/>
    <x v="1327"/>
    <n v="1895918"/>
    <x v="0"/>
    <s v="Mathematics"/>
    <s v="9781119015314"/>
    <s v=",1,2,3"/>
    <n v="3"/>
    <m/>
    <m/>
    <s v="No"/>
    <x v="1"/>
    <m/>
    <m/>
    <s v="128.205.114.91"/>
    <s v="QA303.2 .M384 2015"/>
    <n v="515"/>
    <d v="2015-07-28T00:00:00"/>
  </r>
  <r>
    <x v="6124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Yes"/>
    <x v="0"/>
    <d v="2015-10-07T03:14:23"/>
    <n v="7"/>
    <s v="128.205.114.91"/>
    <s v="TA345.5.M38 M34 2014"/>
    <s v="510.285/53; 510.28553"/>
    <d v="2014-03-26T00:00:00"/>
  </r>
  <r>
    <x v="6124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No"/>
    <x v="0"/>
    <d v="2015-10-07T03:14:23"/>
    <n v="7"/>
    <s v="128.205.114.91"/>
    <s v="TA345.5.M38 M34 2014"/>
    <s v="510.285/53; 510.28553"/>
    <d v="2014-03-26T00:00:00"/>
  </r>
  <r>
    <x v="6125"/>
    <d v="1899-12-30T00:00:26"/>
    <x v="1373"/>
    <x v="0"/>
    <s v="Buffalo"/>
    <x v="572"/>
    <n v="1662670"/>
    <x v="0"/>
    <s v="Mathematics; Engineering; Engineering: Civil"/>
    <s v="9781118821251"/>
    <s v=",1,2,3,4"/>
    <n v="4"/>
    <m/>
    <m/>
    <s v="No"/>
    <x v="1"/>
    <m/>
    <m/>
    <s v="128.205.114.91"/>
    <s v="TA345.5.M38 M34 2014"/>
    <s v="510.285/53; 510.28553"/>
    <d v="2014-03-26T00:00:00"/>
  </r>
  <r>
    <x v="6126"/>
    <d v="1899-12-30T00:09:03"/>
    <x v="1484"/>
    <x v="0"/>
    <s v="Buffalo"/>
    <x v="552"/>
    <n v="1294909"/>
    <x v="3"/>
    <s v="Economics; Business/Management"/>
    <s v="9780520956797"/>
    <s v=",1,2,3,37,38,39,36,35,40,41,42,43,44,46,45,54,56,55,52,53,57,58,59,70,71,72,68,69"/>
    <n v="28"/>
    <m/>
    <m/>
    <s v="No"/>
    <x v="0"/>
    <d v="2015-10-04T23:18:00"/>
    <n v="7"/>
    <s v="128.205.114.91"/>
    <s v="HC110.P6 -- I25 2013eb"/>
    <s v="339.4/60973"/>
    <d v="2013-08-01T00:00:00"/>
  </r>
  <r>
    <x v="6127"/>
    <d v="1899-12-30T00:56:45"/>
    <x v="1485"/>
    <x v="1"/>
    <s v="brockport"/>
    <x v="901"/>
    <n v="864784"/>
    <x v="10"/>
    <s v="Education"/>
    <s v="9781400841578"/>
    <s v=",1,2,3,4,5,26,28,24,25,27,29,30,31,32,33,34,232,234,231,230,233,53,54,55,51,18,19,20,17,16,21,22,23,84,85,82,83,86,87,88,89,90,91,92,221,222,223,219,220,224"/>
    <n v="50"/>
    <m/>
    <m/>
    <s v="No"/>
    <x v="1"/>
    <m/>
    <m/>
    <s v="137.21.7.121"/>
    <s v="LA227.4 .D455 2012"/>
    <n v="378.73"/>
    <d v="2014-05-27T00:00:00"/>
  </r>
  <r>
    <x v="6128"/>
    <d v="1899-12-30T00:00:15"/>
    <x v="1485"/>
    <x v="1"/>
    <s v="brockport"/>
    <x v="901"/>
    <n v="864784"/>
    <x v="10"/>
    <s v="Education"/>
    <s v="9781400841578"/>
    <s v=",1,2,3,4"/>
    <n v="4"/>
    <m/>
    <m/>
    <s v="No"/>
    <x v="1"/>
    <m/>
    <m/>
    <s v="137.21.7.121"/>
    <s v="LA227.4 .D455 2012"/>
    <n v="378.73"/>
    <d v="2014-05-27T00:00:00"/>
  </r>
  <r>
    <x v="6129"/>
    <d v="1899-12-30T00:18:04"/>
    <x v="1484"/>
    <x v="0"/>
    <s v="Buffalo"/>
    <x v="552"/>
    <n v="1294909"/>
    <x v="3"/>
    <s v="Economics; Business/Management"/>
    <s v="9780520956797"/>
    <s v=",1,3,2,16,17,15,14,18,13,65,67,66,64,63,123,124,125,122,121,120,119,59,60,57,61,58,56,62,62,65,68,70,71,69,72,73,74,75"/>
    <n v="36"/>
    <m/>
    <m/>
    <s v="No"/>
    <x v="0"/>
    <d v="2015-10-04T23:18:00"/>
    <n v="7"/>
    <s v="128.205.114.91"/>
    <s v="HC110.P6 -- I25 2013eb"/>
    <s v="339.4/60973"/>
    <d v="2013-08-01T00:00:00"/>
  </r>
  <r>
    <x v="6130"/>
    <d v="1899-12-30T00:06:29"/>
    <x v="1486"/>
    <x v="0"/>
    <s v="Buffalo"/>
    <x v="1395"/>
    <n v="1938147"/>
    <x v="4"/>
    <s v="Medicine"/>
    <s v="9781462520695"/>
    <s v=",1,2,3,330,331,332,329,328,333,334,335,336,337,338"/>
    <n v="14"/>
    <m/>
    <m/>
    <s v="No"/>
    <x v="2"/>
    <d v="2015-10-02T14:31:57"/>
    <n v="7"/>
    <s v="128.205.114.91"/>
    <s v="RC552.E18 -- .C374 2015eb"/>
    <n v="616.85260600000004"/>
    <d v="2015-01-01T00:00:00"/>
  </r>
  <r>
    <x v="6131"/>
    <d v="1899-12-30T00:00:41"/>
    <x v="811"/>
    <x v="0"/>
    <s v="Buffalo"/>
    <x v="1368"/>
    <n v="2008614"/>
    <x v="4"/>
    <s v="Medicine"/>
    <s v="9781462523429"/>
    <s v=",40,41,42,43"/>
    <n v="4"/>
    <m/>
    <m/>
    <s v="No"/>
    <x v="2"/>
    <d v="2015-10-07T00:53:46"/>
    <n v="1"/>
    <s v="128.205.114.91"/>
    <s v="RC533 -- .A273 2009eb"/>
    <n v="616.85226999999998"/>
    <d v="2015-01-01T00:00:00"/>
  </r>
  <r>
    <x v="6132"/>
    <d v="1899-12-30T00:05:01"/>
    <x v="811"/>
    <x v="0"/>
    <s v="Buffalo"/>
    <x v="1368"/>
    <n v="2008614"/>
    <x v="4"/>
    <s v="Medicine"/>
    <s v="9781462523429"/>
    <s v=",1,2,3,15,23,24,25,22,21,23,24,25,22,21,2,26,27,28,29,30,31,32,33,34,35,36,37,38,39"/>
    <n v="23"/>
    <m/>
    <m/>
    <s v="No"/>
    <x v="3"/>
    <m/>
    <m/>
    <s v="128.205.114.91"/>
    <s v="RC533 -- .A273 2009eb"/>
    <n v="616.85226999999998"/>
    <d v="2015-01-01T00:00:00"/>
  </r>
  <r>
    <x v="6133"/>
    <d v="1899-12-30T00:03:59"/>
    <x v="1487"/>
    <x v="0"/>
    <s v="Buffalo"/>
    <x v="477"/>
    <n v="1120279"/>
    <x v="0"/>
    <s v="Science: Biology/Natural History; Science"/>
    <s v="9781118537671"/>
    <s v=",1,2,3,4,5,6,7,11,10,12,8,9,1,7,16,32,33,37,37,38,39,35,40,36,41,42,44,45,46,47,49,48,50,51,43,42"/>
    <n v="32"/>
    <m/>
    <m/>
    <s v="No"/>
    <x v="0"/>
    <d v="2015-10-07T00:28:17"/>
    <n v="7"/>
    <s v="128.205.114.91"/>
    <s v="QH371 .K384 2012"/>
    <n v="599.93499999999995"/>
    <d v="2012-11-19T00:00:00"/>
  </r>
  <r>
    <x v="6134"/>
    <d v="1899-12-30T00:00:00"/>
    <x v="1487"/>
    <x v="0"/>
    <s v="Buffalo"/>
    <x v="477"/>
    <n v="1120279"/>
    <x v="0"/>
    <s v="Science: Biology/Natural History; Science"/>
    <s v="9781118537671"/>
    <m/>
    <n v="0"/>
    <m/>
    <m/>
    <s v="Yes"/>
    <x v="0"/>
    <d v="2015-10-07T00:28:17"/>
    <n v="7"/>
    <s v="128.205.114.91"/>
    <s v="QH371 .K384 2012"/>
    <n v="599.93499999999995"/>
    <d v="2012-11-19T00:00:00"/>
  </r>
  <r>
    <x v="6135"/>
    <d v="1899-12-30T00:00:00"/>
    <x v="1488"/>
    <x v="3"/>
    <s v="canton"/>
    <x v="150"/>
    <n v="1882108"/>
    <x v="3"/>
    <s v="Literature"/>
    <s v="9780520961326"/>
    <m/>
    <n v="0"/>
    <s v=",1,1"/>
    <m/>
    <s v="No"/>
    <x v="0"/>
    <d v="2015-10-07T00:32:57"/>
    <n v="7"/>
    <s v="137.37.33.33"/>
    <s v="PA4025.A2 -- .H664 2015eb"/>
    <n v="883"/>
    <d v="2015-05-14T00:00:00"/>
  </r>
  <r>
    <x v="6136"/>
    <d v="1899-12-30T00:00:30"/>
    <x v="1488"/>
    <x v="3"/>
    <s v="canton"/>
    <x v="150"/>
    <n v="1882108"/>
    <x v="3"/>
    <s v="Literature"/>
    <s v="9780520961326"/>
    <s v=",1,2,3"/>
    <n v="3"/>
    <m/>
    <m/>
    <s v="No"/>
    <x v="3"/>
    <m/>
    <m/>
    <s v="137.37.33.33"/>
    <s v="PA4025.A2 -- .H664 2015eb"/>
    <n v="883"/>
    <d v="2015-05-14T00:00:00"/>
  </r>
  <r>
    <x v="6137"/>
    <d v="1899-12-30T00:57:14"/>
    <x v="1489"/>
    <x v="1"/>
    <s v="brockport"/>
    <x v="1314"/>
    <n v="1780724"/>
    <x v="0"/>
    <s v="Education; Mathematics"/>
    <s v="9781118710166"/>
    <s v=",104,104,1,105,102,103,2,3,4,5,6,7,8,9,97,105,106,107,112,113,117,128,119,126,127,132,133,134,131,115,116,18,19,20,16,17,136,137,138,135,139,124,118,273,10"/>
    <n v="43"/>
    <m/>
    <m/>
    <s v="No"/>
    <x v="2"/>
    <d v="2015-10-07T00:31:55"/>
    <n v="1"/>
    <s v="137.21.7.121"/>
    <s v="QA135.6 -- .M874 2014eb"/>
    <s v="372.7/049"/>
    <d v="2014-09-05T00:00:00"/>
  </r>
  <r>
    <x v="6138"/>
    <d v="1899-12-30T00:00:00"/>
    <x v="1487"/>
    <x v="0"/>
    <s v="Buffalo"/>
    <x v="477"/>
    <n v="1120279"/>
    <x v="0"/>
    <s v="Science: Biology/Natural History; Science"/>
    <s v="9781118537671"/>
    <m/>
    <n v="0"/>
    <m/>
    <m/>
    <s v="Yes"/>
    <x v="0"/>
    <d v="2015-10-07T00:28:17"/>
    <n v="7"/>
    <s v="128.205.114.91"/>
    <s v="QH371 .K384 2012"/>
    <n v="599.93499999999995"/>
    <d v="2012-11-19T00:00:00"/>
  </r>
  <r>
    <x v="6139"/>
    <d v="1899-12-30T00:01:12"/>
    <x v="1487"/>
    <x v="0"/>
    <s v="Buffalo"/>
    <x v="477"/>
    <n v="1120279"/>
    <x v="0"/>
    <s v="Science: Biology/Natural History; Science"/>
    <s v="9781118537671"/>
    <s v=",32,33,10,9"/>
    <n v="4"/>
    <m/>
    <m/>
    <s v="Yes"/>
    <x v="0"/>
    <d v="2015-10-07T00:28:17"/>
    <n v="7"/>
    <s v="128.205.114.91"/>
    <s v="QH371 .K384 2012"/>
    <n v="599.93499999999995"/>
    <d v="2012-11-19T00:00:00"/>
  </r>
  <r>
    <x v="6139"/>
    <d v="1899-12-30T00:00:00"/>
    <x v="1487"/>
    <x v="0"/>
    <s v="Buffalo"/>
    <x v="477"/>
    <n v="1120279"/>
    <x v="0"/>
    <s v="Science: Biology/Natural History; Science"/>
    <s v="9781118537671"/>
    <m/>
    <n v="0"/>
    <m/>
    <m/>
    <s v="No"/>
    <x v="0"/>
    <d v="2015-10-07T00:28:17"/>
    <n v="7"/>
    <s v="128.205.114.91"/>
    <s v="QH371 .K384 2012"/>
    <n v="599.93499999999995"/>
    <d v="2012-11-19T00:00:00"/>
  </r>
  <r>
    <x v="6140"/>
    <d v="1899-12-30T00:01:20"/>
    <x v="1487"/>
    <x v="0"/>
    <s v="Buffalo"/>
    <x v="477"/>
    <n v="1120279"/>
    <x v="0"/>
    <s v="Science: Biology/Natural History; Science"/>
    <s v="9781118537671"/>
    <s v=",1,2,3,1,13,15"/>
    <n v="5"/>
    <m/>
    <m/>
    <s v="No"/>
    <x v="1"/>
    <m/>
    <m/>
    <s v="128.205.114.91"/>
    <s v="QH371 .K384 2012"/>
    <n v="599.93499999999995"/>
    <d v="2012-11-19T00:00:00"/>
  </r>
  <r>
    <x v="6141"/>
    <d v="1899-12-30T00:37:30"/>
    <x v="1489"/>
    <x v="1"/>
    <s v="brockport"/>
    <x v="1314"/>
    <n v="1780724"/>
    <x v="0"/>
    <s v="Education; Mathematics"/>
    <s v="9781118710166"/>
    <s v=",1,102,103,99,2"/>
    <n v="5"/>
    <m/>
    <m/>
    <s v="No"/>
    <x v="3"/>
    <m/>
    <m/>
    <s v="137.21.7.121"/>
    <s v="QA135.6 -- .M874 2014eb"/>
    <s v="372.7/049"/>
    <d v="2014-09-05T00:00:00"/>
  </r>
  <r>
    <x v="6142"/>
    <d v="1899-12-30T00:04:19"/>
    <x v="828"/>
    <x v="9"/>
    <s v="trocaire"/>
    <x v="1134"/>
    <n v="759923"/>
    <x v="4"/>
    <s v="Medicine"/>
    <s v="9781609186418"/>
    <s v=",1,2,3,25,26,27,23,24,9,10,11,7,8,2,17,16,15,14,13,12,18,19,20,21,22,23,24,26,27,28,29,30"/>
    <n v="27"/>
    <m/>
    <m/>
    <s v="No"/>
    <x v="1"/>
    <m/>
    <m/>
    <s v="173.225.62.67"/>
    <s v="RJ505.C63 -- C45 2012eb"/>
    <n v="618.9289"/>
    <d v="2014-07-04T00:00:00"/>
  </r>
  <r>
    <x v="6143"/>
    <d v="1899-12-30T00:00:44"/>
    <x v="828"/>
    <x v="9"/>
    <s v="trocaire"/>
    <x v="669"/>
    <n v="1742841"/>
    <x v="4"/>
    <s v="Medicine"/>
    <s v="9781462516445"/>
    <s v=",1,3,2,20,27,28,29,25,26,2,9,10,11,7,8,6,4,5,3"/>
    <n v="17"/>
    <m/>
    <m/>
    <s v="No"/>
    <x v="1"/>
    <m/>
    <m/>
    <s v="173.225.62.67"/>
    <s v="RC537 -- .H3376 2014eb"/>
    <n v="616.85270000000003"/>
    <d v="2014-10-22T00:00:00"/>
  </r>
  <r>
    <x v="6144"/>
    <d v="1899-12-30T00:06:13"/>
    <x v="828"/>
    <x v="9"/>
    <s v="trocaire"/>
    <x v="595"/>
    <n v="894289"/>
    <x v="0"/>
    <s v="Medicine"/>
    <s v="9781118404430"/>
    <s v=",1,2,3,150,151,152,148,153,154,155"/>
    <n v="10"/>
    <m/>
    <m/>
    <s v="No"/>
    <x v="1"/>
    <m/>
    <m/>
    <s v="173.225.62.67"/>
    <s v="RC467 -- .C55 2013eb"/>
    <n v="616.89"/>
    <d v="2012-10-10T00:00:00"/>
  </r>
  <r>
    <x v="6145"/>
    <d v="1899-12-30T00:00:04"/>
    <x v="1490"/>
    <x v="12"/>
    <s v="potsdam"/>
    <x v="817"/>
    <n v="1589017"/>
    <x v="3"/>
    <s v="Literature"/>
    <s v="9780520957879"/>
    <s v=",1,2,3"/>
    <n v="3"/>
    <m/>
    <m/>
    <s v="No"/>
    <x v="3"/>
    <m/>
    <m/>
    <s v="137.143.104.94"/>
    <s v="PL2690.S3 -- .E5325 2014eb"/>
    <s v="895.1/346"/>
    <d v="2014-02-08T00:00:00"/>
  </r>
  <r>
    <x v="6146"/>
    <d v="1899-12-30T00:03:37"/>
    <x v="828"/>
    <x v="9"/>
    <s v="trocaire"/>
    <x v="244"/>
    <n v="848510"/>
    <x v="0"/>
    <s v="Medicine"/>
    <s v="9781118220481"/>
    <s v=",1,2,3,40,41,42,38,39,47,44,29,19,9,7,8,6,4,5,43,28,25,22,36,35,37,33,34,32,31,29,30,28,41,42,38"/>
    <n v="30"/>
    <m/>
    <m/>
    <s v="No"/>
    <x v="1"/>
    <m/>
    <m/>
    <s v="173.225.62.67"/>
    <s v="RC489.C63 -- C64 2012eb"/>
    <s v="616.89/1425"/>
    <d v="2012-06-06T00:00:00"/>
  </r>
  <r>
    <x v="6147"/>
    <d v="1899-12-30T00:01:15"/>
    <x v="1491"/>
    <x v="13"/>
    <s v="buffalostate"/>
    <x v="1396"/>
    <n v="902783"/>
    <x v="0"/>
    <s v="Engineering: Electrical; Engineering"/>
    <s v="9781119941835"/>
    <s v=",1,2,3,9,10,11,7,8,12,13,14,15,73,74,75,71,72,197,198,199,195,196,200,201,202,203,204"/>
    <n v="27"/>
    <m/>
    <m/>
    <s v="No"/>
    <x v="1"/>
    <m/>
    <m/>
    <s v="136.183.11.43"/>
    <s v="TK1541 -- .W558 2012eb"/>
    <s v="621.31/2136"/>
    <d v="2012-04-13T00:00:00"/>
  </r>
  <r>
    <x v="6148"/>
    <d v="1899-12-30T00:01:19"/>
    <x v="1443"/>
    <x v="15"/>
    <s v="morrisville"/>
    <x v="125"/>
    <n v="1221573"/>
    <x v="0"/>
    <s v="Business/Management; Philosophy"/>
    <s v="9781118658116"/>
    <s v=",1,2,3,409,410,406,351,352,353,349,350,354"/>
    <n v="12"/>
    <m/>
    <m/>
    <s v="No"/>
    <x v="3"/>
    <m/>
    <m/>
    <s v="136.204.32.68"/>
    <s v="HF5387 .B86626 2013"/>
    <n v="174.4"/>
    <d v="2013-06-19T00:00:00"/>
  </r>
  <r>
    <x v="6149"/>
    <d v="1899-12-30T00:00:25"/>
    <x v="1443"/>
    <x v="15"/>
    <s v="morrisville"/>
    <x v="1397"/>
    <n v="1580900"/>
    <x v="1"/>
    <s v="Law; Philosophy"/>
    <s v="9781472428042"/>
    <s v=",1,2,3,14,15,16,12,13,138,139,140"/>
    <n v="11"/>
    <m/>
    <m/>
    <s v="No"/>
    <x v="3"/>
    <m/>
    <m/>
    <s v="136.204.32.68"/>
    <s v="K4360 -- .I584 2014eb"/>
    <s v="174/.3"/>
    <d v="2014-02-28T00:00:00"/>
  </r>
  <r>
    <x v="6150"/>
    <d v="1899-12-30T00:25:05"/>
    <x v="1443"/>
    <x v="15"/>
    <s v="morrisville"/>
    <x v="1398"/>
    <n v="2039135"/>
    <x v="1"/>
    <s v="Business/Management"/>
    <s v="9781472412577"/>
    <s v=",229,230,231,232,233,234,235,236,237,238,239,240,241,242,168,169,170,166,167,14,15,16,12,13,18,19,20,21,22,226,227,228,204,205,206,202,203,207,208,209,210,211,212,148,149,150,146,147,46,47,48,44,45,49,43,50,51,52,53,55,48,47"/>
    <n v="60"/>
    <m/>
    <m/>
    <s v="No"/>
    <x v="2"/>
    <d v="2015-10-06T19:58:06"/>
    <n v="1"/>
    <s v="136.204.32.68"/>
    <s v="HB72 .B53 2015"/>
    <s v="174''.4"/>
    <d v="2015-06-28T00:00:00"/>
  </r>
  <r>
    <x v="6151"/>
    <d v="1899-12-30T00:00:05"/>
    <x v="828"/>
    <x v="9"/>
    <s v="trocaire"/>
    <x v="1134"/>
    <n v="759923"/>
    <x v="4"/>
    <s v="Medicine"/>
    <s v="9781609186418"/>
    <s v=",1,2,3"/>
    <n v="3"/>
    <m/>
    <m/>
    <s v="No"/>
    <x v="1"/>
    <m/>
    <m/>
    <s v="173.225.62.67"/>
    <s v="RJ505.C63 -- C45 2012eb"/>
    <n v="618.9289"/>
    <d v="2014-07-04T00:00:00"/>
  </r>
  <r>
    <x v="6152"/>
    <d v="1899-12-30T00:00:53"/>
    <x v="828"/>
    <x v="9"/>
    <s v="trocaire"/>
    <x v="79"/>
    <n v="1757960"/>
    <x v="0"/>
    <s v="Medicine"/>
    <s v="9781118780770"/>
    <s v=",1,2,3,4,5,6,7"/>
    <n v="7"/>
    <m/>
    <m/>
    <s v="No"/>
    <x v="0"/>
    <d v="2015-10-06T17:21:59"/>
    <n v="7"/>
    <s v="173.225.62.67"/>
    <s v="RC537 -- .A236 2014eb"/>
    <s v="616.85/27"/>
    <d v="2014-07-30T00:00:00"/>
  </r>
  <r>
    <x v="6153"/>
    <d v="1899-12-30T00:05:25"/>
    <x v="1443"/>
    <x v="15"/>
    <s v="morrisville"/>
    <x v="1398"/>
    <n v="2039135"/>
    <x v="1"/>
    <s v="Business/Management"/>
    <s v="9781472412577"/>
    <s v=",1,2,3,4,20,21,22,18,19,23,24,25,46,47,48,44,45,49,50,51,204,205,206,202,203,207,208,209,226,227,228,224,225"/>
    <n v="33"/>
    <m/>
    <m/>
    <s v="No"/>
    <x v="3"/>
    <m/>
    <m/>
    <s v="136.204.32.68"/>
    <s v="HB72 .B53 2015"/>
    <s v="174''.4"/>
    <d v="2015-06-28T00:00:00"/>
  </r>
  <r>
    <x v="6154"/>
    <d v="1899-12-30T00:01:00"/>
    <x v="1492"/>
    <x v="12"/>
    <s v="potsdam"/>
    <x v="79"/>
    <n v="1757960"/>
    <x v="0"/>
    <s v="Medicine"/>
    <s v="9781118780770"/>
    <s v=",1,2,3,4,5,7,6,8,6,13"/>
    <n v="9"/>
    <m/>
    <m/>
    <s v="No"/>
    <x v="1"/>
    <m/>
    <m/>
    <s v="137.143.104.94"/>
    <s v="RC537 -- .A236 2014eb"/>
    <s v="616.85/27"/>
    <d v="2014-07-30T00:00:00"/>
  </r>
  <r>
    <x v="6155"/>
    <d v="1899-12-30T00:01:07"/>
    <x v="1493"/>
    <x v="0"/>
    <s v="Buffalo"/>
    <x v="1399"/>
    <n v="1655942"/>
    <x v="4"/>
    <s v="Medicine"/>
    <s v="9781462513888"/>
    <s v=",84,82,83,84,85,86,87,88,89,90,91,92,93,94,95,96,97"/>
    <n v="16"/>
    <m/>
    <m/>
    <s v="No"/>
    <x v="0"/>
    <d v="2015-10-06T19:25:12"/>
    <n v="7"/>
    <s v="128.205.114.91"/>
    <s v="RC557 -- .P756 2014eb"/>
    <n v="616.85830599999997"/>
    <d v="2014-05-14T00:00:00"/>
  </r>
  <r>
    <x v="6156"/>
    <d v="1899-12-30T00:15:12"/>
    <x v="1493"/>
    <x v="0"/>
    <s v="Buffalo"/>
    <x v="1399"/>
    <n v="1655942"/>
    <x v="4"/>
    <s v="Medicine"/>
    <s v="9781462513888"/>
    <s v=",1,2,3,79,80,81,77,78"/>
    <n v="8"/>
    <m/>
    <m/>
    <s v="No"/>
    <x v="1"/>
    <m/>
    <m/>
    <s v="128.205.114.91"/>
    <s v="RC557 -- .P756 2014eb"/>
    <n v="616.85830599999997"/>
    <d v="2014-05-14T00:00:00"/>
  </r>
  <r>
    <x v="6157"/>
    <d v="1899-12-30T00:01:08"/>
    <x v="13"/>
    <x v="0"/>
    <s v="Buffalo"/>
    <x v="61"/>
    <n v="1092851"/>
    <x v="0"/>
    <s v="Military Science; Social Science"/>
    <s v="9781118333051"/>
    <s v=",1,2,3,238,240,239,236,237"/>
    <n v="8"/>
    <m/>
    <m/>
    <s v="No"/>
    <x v="1"/>
    <m/>
    <m/>
    <s v="128.205.114.91"/>
    <s v="UH755 -- .H36 2013eb"/>
    <s v="355.345; 362.8"/>
    <d v="2012-11-27T00:00:00"/>
  </r>
  <r>
    <x v="6158"/>
    <d v="1899-12-30T00:00:31"/>
    <x v="1479"/>
    <x v="13"/>
    <s v="buffalostate"/>
    <x v="684"/>
    <n v="1120621"/>
    <x v="0"/>
    <s v="Education"/>
    <s v="9781118362679"/>
    <s v=",1,3,2,25,26,27,23,24,22"/>
    <n v="9"/>
    <m/>
    <m/>
    <s v="No"/>
    <x v="1"/>
    <m/>
    <m/>
    <s v="136.183.11.43"/>
    <s v="LB3013.3 .R59 2012"/>
    <s v="371.5/8; 371.58"/>
    <d v="2012-08-15T00:00:00"/>
  </r>
  <r>
    <x v="6159"/>
    <d v="1899-12-30T00:00:10"/>
    <x v="1494"/>
    <x v="13"/>
    <s v="buffalostate"/>
    <x v="684"/>
    <n v="1120621"/>
    <x v="0"/>
    <s v="Education"/>
    <s v="9781118362679"/>
    <s v=",1,2,3,4"/>
    <n v="4"/>
    <m/>
    <m/>
    <s v="No"/>
    <x v="1"/>
    <m/>
    <m/>
    <s v="136.183.11.43"/>
    <s v="LB3013.3 .R59 2012"/>
    <s v="371.5/8; 371.58"/>
    <d v="2012-08-15T00:00:00"/>
  </r>
  <r>
    <x v="6160"/>
    <d v="1899-12-30T00:00:03"/>
    <x v="1495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161"/>
    <d v="1899-12-30T00:00:04"/>
    <x v="1496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162"/>
    <d v="1899-12-30T00:02:26"/>
    <x v="1497"/>
    <x v="13"/>
    <s v="buffalostate"/>
    <x v="684"/>
    <n v="1120621"/>
    <x v="0"/>
    <s v="Education"/>
    <s v="9781118362679"/>
    <s v=",1,2,3,36,37,38,34,35,13"/>
    <n v="9"/>
    <m/>
    <m/>
    <s v="No"/>
    <x v="1"/>
    <m/>
    <m/>
    <s v="136.183.11.43"/>
    <s v="LB3013.3 .R59 2012"/>
    <s v="371.5/8; 371.58"/>
    <d v="2012-08-15T00:00:00"/>
  </r>
  <r>
    <x v="6163"/>
    <d v="1899-12-30T00:00:27"/>
    <x v="1498"/>
    <x v="13"/>
    <s v="buffalostate"/>
    <x v="684"/>
    <n v="1120621"/>
    <x v="0"/>
    <s v="Education"/>
    <s v="9781118362679"/>
    <s v=",1,2,3,4,5,6,7,8,9,10,11,12,13,14,15"/>
    <n v="15"/>
    <m/>
    <m/>
    <s v="No"/>
    <x v="1"/>
    <m/>
    <m/>
    <s v="136.183.11.43"/>
    <s v="LB3013.3 .R59 2012"/>
    <s v="371.5/8; 371.58"/>
    <d v="2012-08-15T00:00:00"/>
  </r>
  <r>
    <x v="6164"/>
    <d v="1899-12-30T00:00:31"/>
    <x v="1499"/>
    <x v="13"/>
    <s v="buffalostate"/>
    <x v="684"/>
    <n v="1120621"/>
    <x v="0"/>
    <s v="Education"/>
    <s v="9781118362679"/>
    <s v=",1,2,3,4,5"/>
    <n v="5"/>
    <m/>
    <m/>
    <s v="No"/>
    <x v="1"/>
    <m/>
    <m/>
    <s v="136.183.11.43"/>
    <s v="LB3013.3 .R59 2012"/>
    <s v="371.5/8; 371.58"/>
    <d v="2012-08-15T00:00:00"/>
  </r>
  <r>
    <x v="6164"/>
    <d v="1899-12-30T00:00:03"/>
    <x v="1500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165"/>
    <d v="1899-12-30T00:00:04"/>
    <x v="1501"/>
    <x v="13"/>
    <s v="buffalostate"/>
    <x v="684"/>
    <n v="1120621"/>
    <x v="0"/>
    <s v="Education"/>
    <s v="9781118362679"/>
    <s v=",2,1,3"/>
    <n v="3"/>
    <m/>
    <m/>
    <s v="No"/>
    <x v="1"/>
    <m/>
    <m/>
    <s v="136.183.11.43"/>
    <s v="LB3013.3 .R59 2012"/>
    <s v="371.5/8; 371.58"/>
    <d v="2012-08-15T00:00:00"/>
  </r>
  <r>
    <x v="6166"/>
    <d v="1899-12-30T00:01:56"/>
    <x v="1502"/>
    <x v="13"/>
    <s v="buffalostate"/>
    <x v="684"/>
    <n v="1120621"/>
    <x v="0"/>
    <s v="Education"/>
    <s v="9781118362679"/>
    <s v=",1,2,3,4,5,6,7,8,9,10,11,12,25,26,27,23,24,36,37,38,34,35,132,133,134,130,131"/>
    <n v="27"/>
    <m/>
    <m/>
    <s v="No"/>
    <x v="1"/>
    <m/>
    <m/>
    <s v="136.183.11.43"/>
    <s v="LB3013.3 .R59 2012"/>
    <s v="371.5/8; 371.58"/>
    <d v="2012-08-15T00:00:00"/>
  </r>
  <r>
    <x v="6167"/>
    <d v="1899-12-30T00:00:28"/>
    <x v="1503"/>
    <x v="13"/>
    <s v="buffalostate"/>
    <x v="684"/>
    <n v="1120621"/>
    <x v="0"/>
    <s v="Education"/>
    <s v="9781118362679"/>
    <s v=",1,2,3,4,9,5,6,7,8,10,11,12"/>
    <n v="12"/>
    <m/>
    <m/>
    <s v="No"/>
    <x v="1"/>
    <m/>
    <m/>
    <s v="136.183.11.43"/>
    <s v="LB3013.3 .R59 2012"/>
    <s v="371.5/8; 371.58"/>
    <d v="2012-08-15T00:00:00"/>
  </r>
  <r>
    <x v="6168"/>
    <d v="1899-12-30T00:01:50"/>
    <x v="1479"/>
    <x v="13"/>
    <s v="buffalostate"/>
    <x v="684"/>
    <n v="1120621"/>
    <x v="0"/>
    <s v="Education"/>
    <s v="9781118362679"/>
    <s v=",1,2,3,4,5,7,6,184,36,37,38,34,35,132,133,134,130,131"/>
    <n v="18"/>
    <m/>
    <m/>
    <s v="No"/>
    <x v="1"/>
    <m/>
    <m/>
    <s v="136.183.11.43"/>
    <s v="LB3013.3 .R59 2012"/>
    <s v="371.5/8; 371.58"/>
    <d v="2012-08-15T00:00:00"/>
  </r>
  <r>
    <x v="6169"/>
    <d v="1899-12-30T00:05:21"/>
    <x v="1423"/>
    <x v="5"/>
    <s v="erie"/>
    <x v="494"/>
    <n v="947565"/>
    <x v="0"/>
    <s v="Engineering; Engineering: Electrical; Computer Science/IT"/>
    <s v="9781118416945"/>
    <s v=",1,2,3,261,262,263,259,260,264"/>
    <n v="9"/>
    <m/>
    <m/>
    <s v="No"/>
    <x v="1"/>
    <m/>
    <m/>
    <s v="199.29.6.54"/>
    <s v="TK7887.7 .L384 2012"/>
    <n v="6.6859999999999999"/>
    <d v="2013-01-22T00:00:00"/>
  </r>
  <r>
    <x v="6170"/>
    <d v="1899-12-30T00:02:25"/>
    <x v="828"/>
    <x v="9"/>
    <s v="trocaire"/>
    <x v="1140"/>
    <n v="1641469"/>
    <x v="4"/>
    <s v="Medicine"/>
    <s v="9781462513444"/>
    <s v=",1,2,3,293,294,295,291,292,315,321,285,264,236,229,230,231,227,228,226,125,58,56,59,41,8,3,4,5,635,636,637,633,634"/>
    <n v="32"/>
    <m/>
    <m/>
    <s v="No"/>
    <x v="1"/>
    <m/>
    <m/>
    <s v="173.225.62.67"/>
    <s v="RC489.B4 -- C584 2014eb"/>
    <n v="616.89142000000004"/>
    <d v="2014-02-27T00:00:00"/>
  </r>
  <r>
    <x v="6171"/>
    <d v="1899-12-30T00:00:05"/>
    <x v="828"/>
    <x v="9"/>
    <s v="trocaire"/>
    <x v="667"/>
    <n v="800610"/>
    <x v="4"/>
    <s v="Medicine"/>
    <s v="9781609186951"/>
    <s v=",1,2,3"/>
    <n v="3"/>
    <m/>
    <m/>
    <s v="No"/>
    <x v="1"/>
    <m/>
    <m/>
    <s v="173.225.62.67"/>
    <s v="RC537 -- .L43 2012eb"/>
    <n v="616.89499999999998"/>
    <d v="2011-11-09T00:00:00"/>
  </r>
  <r>
    <x v="6172"/>
    <d v="1899-12-30T00:00:35"/>
    <x v="828"/>
    <x v="9"/>
    <s v="trocaire"/>
    <x v="1134"/>
    <n v="759923"/>
    <x v="4"/>
    <s v="Medicine"/>
    <s v="9781609186418"/>
    <s v=",1,2,3,5,6,4,7,15,16,17,13,14"/>
    <n v="12"/>
    <m/>
    <m/>
    <s v="No"/>
    <x v="1"/>
    <m/>
    <m/>
    <s v="173.225.62.67"/>
    <s v="RJ505.C63 -- C45 2012eb"/>
    <n v="618.9289"/>
    <d v="2014-07-04T00:00:00"/>
  </r>
  <r>
    <x v="6173"/>
    <d v="1899-12-30T00:01:55"/>
    <x v="828"/>
    <x v="9"/>
    <s v="trocaire"/>
    <x v="79"/>
    <n v="1757960"/>
    <x v="0"/>
    <s v="Medicine"/>
    <s v="9781118780770"/>
    <s v=",14,14,15,15,15,16,16,18,18,18,18,18"/>
    <n v="4"/>
    <m/>
    <m/>
    <s v="No"/>
    <x v="0"/>
    <d v="2015-10-06T17:21:59"/>
    <n v="7"/>
    <s v="173.225.62.67"/>
    <s v="RC537 -- .A236 2014eb"/>
    <s v="616.85/27"/>
    <d v="2014-07-30T00:00:00"/>
  </r>
  <r>
    <x v="6174"/>
    <d v="1899-12-30T00:00:29"/>
    <x v="1504"/>
    <x v="0"/>
    <s v="Buffalo"/>
    <x v="1400"/>
    <n v="2058064"/>
    <x v="1"/>
    <s v="Business/Management"/>
    <s v="9781472455185"/>
    <s v=",1,2,3,4"/>
    <n v="4"/>
    <m/>
    <m/>
    <s v="No"/>
    <x v="3"/>
    <m/>
    <m/>
    <s v="128.205.114.91"/>
    <s v="HF5549.5.E43 Q54 2015"/>
    <s v="658.3/82; 658.3''82"/>
    <d v="2015-07-28T00:00:00"/>
  </r>
  <r>
    <x v="6175"/>
    <d v="1899-12-30T00:00:03"/>
    <x v="1482"/>
    <x v="13"/>
    <s v="buffalostate"/>
    <x v="1291"/>
    <n v="1274383"/>
    <x v="5"/>
    <s v="Social Science"/>
    <s v="9780814760239"/>
    <s v=",1,2,3"/>
    <n v="3"/>
    <m/>
    <m/>
    <s v="No"/>
    <x v="1"/>
    <m/>
    <m/>
    <s v="136.183.11.43"/>
    <s v="HQ799.2.V56 -- E26 2013eb"/>
    <n v="303.60834999999997"/>
    <d v="2013-08-19T00:00:00"/>
  </r>
  <r>
    <x v="6176"/>
    <d v="1899-12-30T00:13:45"/>
    <x v="164"/>
    <x v="0"/>
    <s v="Buffalo"/>
    <x v="161"/>
    <n v="821663"/>
    <x v="0"/>
    <s v="Architecture"/>
    <s v="9781118168479"/>
    <s v=",1,3,2,7,15,16,17,13,14,12,17,18"/>
    <n v="11"/>
    <m/>
    <m/>
    <s v="No"/>
    <x v="0"/>
    <d v="2015-10-04T14:44:49"/>
    <n v="7"/>
    <s v="128.205.114.91"/>
    <s v="NA2547 -- .S74 2012eb"/>
    <n v="729"/>
    <d v="2012-03-05T00:00:00"/>
  </r>
  <r>
    <x v="6177"/>
    <d v="1899-12-30T00:41:34"/>
    <x v="1505"/>
    <x v="5"/>
    <s v="erie"/>
    <x v="1401"/>
    <n v="894367"/>
    <x v="0"/>
    <s v="Business/Management; Computer Science/IT"/>
    <s v="9781118431368"/>
    <s v=",31,29,30,33,32,28,26,27,18,19,20,16,17"/>
    <n v="13"/>
    <m/>
    <m/>
    <s v="No"/>
    <x v="0"/>
    <d v="2015-10-06T16:27:29"/>
    <n v="7"/>
    <s v="199.29.6.54"/>
    <s v="QA76.2.J63 -- E47 2012eb"/>
    <s v="658.4; 658.4/01"/>
    <d v="2012-08-23T00:00:00"/>
  </r>
  <r>
    <x v="6178"/>
    <d v="1899-12-30T00:12:24"/>
    <x v="1505"/>
    <x v="5"/>
    <s v="erie"/>
    <x v="1401"/>
    <n v="894367"/>
    <x v="0"/>
    <s v="Business/Management; Computer Science/IT"/>
    <s v="9781118431368"/>
    <s v=",1,47,48,49,45,46,2"/>
    <n v="7"/>
    <m/>
    <m/>
    <s v="No"/>
    <x v="1"/>
    <m/>
    <m/>
    <s v="199.29.6.54"/>
    <s v="QA76.2.J63 -- E47 2012eb"/>
    <s v="658.4; 658.4/01"/>
    <d v="2012-08-23T00:00:00"/>
  </r>
  <r>
    <x v="6179"/>
    <d v="1899-12-30T01:11:06"/>
    <x v="828"/>
    <x v="9"/>
    <s v="trocaire"/>
    <x v="79"/>
    <n v="1757960"/>
    <x v="0"/>
    <s v="Medicine"/>
    <s v="9781118780770"/>
    <s v=",1,2,3,6,7,14,15,16,12,13"/>
    <n v="10"/>
    <m/>
    <m/>
    <s v="No"/>
    <x v="1"/>
    <m/>
    <m/>
    <s v="173.225.62.67"/>
    <s v="RC537 -- .A236 2014eb"/>
    <s v="616.85/27"/>
    <d v="2014-07-30T00:00:00"/>
  </r>
  <r>
    <x v="6180"/>
    <d v="1899-12-30T00:01:28"/>
    <x v="824"/>
    <x v="0"/>
    <s v="Buffalo"/>
    <x v="161"/>
    <n v="821663"/>
    <x v="0"/>
    <s v="Architecture"/>
    <s v="9781118168479"/>
    <s v=",1,2,3,207,208,209,211,212,214,215,216,217,218,220,221,240,241,242,234,235,232,233,230,231,205,206"/>
    <n v="26"/>
    <m/>
    <m/>
    <s v="No"/>
    <x v="1"/>
    <m/>
    <m/>
    <s v="128.205.114.91"/>
    <s v="NA2547 -- .S74 2012eb"/>
    <n v="729"/>
    <d v="2012-03-05T00:00:00"/>
  </r>
  <r>
    <x v="6181"/>
    <d v="1899-12-30T00:00:00"/>
    <x v="331"/>
    <x v="4"/>
    <s v="monroe2boces"/>
    <x v="123"/>
    <n v="817860"/>
    <x v="0"/>
    <s v="Agriculture"/>
    <s v="9781118206362"/>
    <m/>
    <n v="0"/>
    <m/>
    <m/>
    <s v="No"/>
    <x v="0"/>
    <d v="2015-10-06T15:06:42"/>
    <n v="7"/>
    <s v="216.226.109.96"/>
    <s v="SF427 -- .H754 2012eb"/>
    <s v="636.7/07; 636.707"/>
    <d v="2012-01-31T00:00:00"/>
  </r>
  <r>
    <x v="6182"/>
    <d v="1899-12-30T00:00:29"/>
    <x v="331"/>
    <x v="4"/>
    <s v="monroe2boces"/>
    <x v="123"/>
    <n v="817860"/>
    <x v="0"/>
    <s v="Agriculture"/>
    <s v="9781118206362"/>
    <s v=",2,1,3,4,5,6,7,8"/>
    <n v="8"/>
    <m/>
    <m/>
    <s v="No"/>
    <x v="1"/>
    <m/>
    <m/>
    <s v="216.226.109.96"/>
    <s v="SF427 -- .H754 2012eb"/>
    <s v="636.7/07; 636.707"/>
    <d v="2012-01-31T00:00:00"/>
  </r>
  <r>
    <x v="6183"/>
    <d v="1899-12-30T01:51:32"/>
    <x v="1506"/>
    <x v="1"/>
    <s v="brockport"/>
    <x v="830"/>
    <n v="1874136"/>
    <x v="0"/>
    <s v="Social Science"/>
    <s v="9781118859711"/>
    <s v=",57,57,58,58,59,59,60,60,61,61,62,62,63,63,64,64,65,65,167,167,168,168,169,169,165,166,166,170,170,1,170,171,170,171,1,172,168,169,172,169,2,2,173,173,168,1,168,169,170,168,169,167,166,170,167,1,2,2,1,2,4,2,1,4,3,3,2,2"/>
    <n v="22"/>
    <m/>
    <m/>
    <s v="No"/>
    <x v="0"/>
    <d v="2015-10-06T14:18:20"/>
    <n v="7"/>
    <s v="137.21.7.121"/>
    <s v="HV40 -- .L284 2015eb"/>
    <s v="361.3/2"/>
    <d v="2014-11-25T00:00:00"/>
  </r>
  <r>
    <x v="6184"/>
    <d v="1899-12-30T00:13:03"/>
    <x v="1506"/>
    <x v="1"/>
    <s v="brockport"/>
    <x v="830"/>
    <n v="1874136"/>
    <x v="0"/>
    <s v="Social Science"/>
    <s v="9781118859711"/>
    <s v=",1,1,2,2,3,3,2,2,4,4,54,55,54,56,55,56,52,53,53"/>
    <n v="9"/>
    <m/>
    <m/>
    <s v="No"/>
    <x v="3"/>
    <m/>
    <m/>
    <s v="137.21.7.121"/>
    <s v="HV40 -- .L284 2015eb"/>
    <s v="361.3/2"/>
    <d v="2014-11-25T00:00:00"/>
  </r>
  <r>
    <x v="6185"/>
    <d v="1899-12-30T00:00:43"/>
    <x v="1399"/>
    <x v="13"/>
    <s v="buffalostate"/>
    <x v="1262"/>
    <n v="1752698"/>
    <x v="0"/>
    <s v="Mathematics"/>
    <s v="9781118496701"/>
    <s v=",1,2,3,1,3,5,2,4"/>
    <n v="5"/>
    <m/>
    <m/>
    <s v="No"/>
    <x v="1"/>
    <m/>
    <m/>
    <s v="136.183.11.43"/>
    <s v="QA303.2 -- .P387 2014eb"/>
    <n v="515.07600000000002"/>
    <d v="2014-07-22T00:00:00"/>
  </r>
  <r>
    <x v="6186"/>
    <d v="1899-12-30T00:08:16"/>
    <x v="13"/>
    <x v="0"/>
    <s v="Buffalo"/>
    <x v="1402"/>
    <n v="1969392"/>
    <x v="1"/>
    <s v="Architecture"/>
    <s v="9781409445388"/>
    <s v=",6,7,8,5,9,10,16,17,18,19,15,20,342,343,344,345,346,341,340,294,295,276,277,278,274,366,367,365,364,347,348,350,351,352,353,354,355,275,14,11,12,13,21,236,237,238,234,235,296,292,293"/>
    <n v="51"/>
    <m/>
    <m/>
    <s v="No"/>
    <x v="2"/>
    <d v="2015-10-06T08:24:57"/>
    <n v="1"/>
    <s v="128.205.114.91"/>
    <s v="NA2543.S6 -- .A234 2015eb"/>
    <s v="728.0962/16"/>
    <d v="2015-03-28T00:00:00"/>
  </r>
  <r>
    <x v="6187"/>
    <d v="1899-12-30T00:31:05"/>
    <x v="13"/>
    <x v="0"/>
    <s v="Buffalo"/>
    <x v="1402"/>
    <n v="1969392"/>
    <x v="1"/>
    <s v="Architecture"/>
    <s v="9781409445388"/>
    <s v=",1,2,3,4,38,39,40,36,37,260,261,262,259,263,264,258,332,333,334,330,331"/>
    <n v="21"/>
    <m/>
    <m/>
    <s v="No"/>
    <x v="3"/>
    <m/>
    <m/>
    <s v="128.205.114.91"/>
    <s v="NA2543.S6 -- .A234 2015eb"/>
    <s v="728.0962/16"/>
    <d v="2015-03-28T00:00:00"/>
  </r>
  <r>
    <x v="6188"/>
    <d v="1899-12-30T00:36:28"/>
    <x v="1138"/>
    <x v="0"/>
    <s v="Buffalo"/>
    <x v="161"/>
    <n v="821663"/>
    <x v="0"/>
    <s v="Architecture"/>
    <s v="9781118168479"/>
    <s v=",182,179,183,184,185,186,187,188,189,190,191,192,193,194,195,196,197,199,200,201,202,203,410,408,197,198,199,200"/>
    <n v="25"/>
    <m/>
    <m/>
    <s v="No"/>
    <x v="0"/>
    <d v="2015-10-06T05:50:05"/>
    <n v="1"/>
    <s v="128.205.114.91"/>
    <s v="NA2547 -- .S74 2012eb"/>
    <n v="729"/>
    <d v="2012-03-05T00:00:00"/>
  </r>
  <r>
    <x v="6189"/>
    <d v="1899-12-30T00:05:56"/>
    <x v="1138"/>
    <x v="0"/>
    <s v="Buffalo"/>
    <x v="161"/>
    <n v="821663"/>
    <x v="0"/>
    <s v="Architecture"/>
    <s v="9781118168479"/>
    <s v=",1,2,3,1,4,21,22,23,19,20,47,48,65,66,115,116,117,113,114,118,119,179,180,181,177,178,179"/>
    <n v="25"/>
    <m/>
    <m/>
    <s v="No"/>
    <x v="1"/>
    <m/>
    <m/>
    <s v="128.205.114.91"/>
    <s v="NA2547 -- .S74 2012eb"/>
    <n v="729"/>
    <d v="2012-03-05T00:00:00"/>
  </r>
  <r>
    <x v="6190"/>
    <d v="1899-12-30T00:04:27"/>
    <x v="1138"/>
    <x v="0"/>
    <s v="Buffalo"/>
    <x v="161"/>
    <n v="821663"/>
    <x v="0"/>
    <s v="Architecture"/>
    <s v="9781118168479"/>
    <s v=",1,2,3,179,180,181,177,178"/>
    <n v="8"/>
    <m/>
    <m/>
    <s v="No"/>
    <x v="1"/>
    <m/>
    <m/>
    <s v="128.205.114.91"/>
    <s v="NA2547 -- .S74 2012eb"/>
    <n v="729"/>
    <d v="2012-03-05T00:00:00"/>
  </r>
  <r>
    <x v="6191"/>
    <d v="1899-12-30T00:02:40"/>
    <x v="13"/>
    <x v="0"/>
    <s v="Buffalo"/>
    <x v="161"/>
    <n v="821663"/>
    <x v="0"/>
    <s v="Architecture"/>
    <s v="9781118168479"/>
    <s v=",1,2,3,179,180,181,178,177,183,182"/>
    <n v="10"/>
    <m/>
    <m/>
    <s v="No"/>
    <x v="0"/>
    <d v="2015-10-05T06:11:39"/>
    <n v="1"/>
    <s v="128.205.114.91"/>
    <s v="NA2547 -- .S74 2012eb"/>
    <n v="729"/>
    <d v="2012-03-05T00:00:00"/>
  </r>
  <r>
    <x v="6192"/>
    <d v="1899-12-30T00:00:25"/>
    <x v="1507"/>
    <x v="16"/>
    <s v="monroecc"/>
    <x v="1403"/>
    <n v="1843663"/>
    <x v="1"/>
    <s v="History"/>
    <s v="9781472438263"/>
    <s v=",19,20,21,22,23,24,25,26"/>
    <n v="8"/>
    <m/>
    <m/>
    <s v="No"/>
    <x v="2"/>
    <d v="2015-10-06T03:06:16"/>
    <n v="1"/>
    <s v="150.160.200.114"/>
    <s v="D546 -- .H64 2015eb"/>
    <n v="940.40940999999998"/>
    <d v="2015-01-28T00:00:00"/>
  </r>
  <r>
    <x v="6193"/>
    <d v="1899-12-30T00:06:46"/>
    <x v="1507"/>
    <x v="16"/>
    <s v="monroecc"/>
    <x v="1403"/>
    <n v="1843663"/>
    <x v="1"/>
    <s v="History"/>
    <s v="9781472438263"/>
    <s v=",1,2,3,4,5,6,7,8,9,10,11,12,13,14,15,16,17,18"/>
    <n v="18"/>
    <m/>
    <m/>
    <s v="No"/>
    <x v="3"/>
    <m/>
    <m/>
    <s v="150.160.200.114"/>
    <s v="D546 -- .H64 2015eb"/>
    <n v="940.40940999999998"/>
    <d v="2015-01-28T00:00:00"/>
  </r>
  <r>
    <x v="6194"/>
    <d v="1899-12-30T00:17:17"/>
    <x v="1508"/>
    <x v="1"/>
    <s v="brockport"/>
    <x v="722"/>
    <n v="2130115"/>
    <x v="11"/>
    <s v="Social Science; Business/Management"/>
    <s v="9780226222905"/>
    <s v=",1,2,3,24,25,26,22,23,50,51,52,48,49,38,39,40,36,37,41,42,44,80,81,82,78,79"/>
    <n v="26"/>
    <m/>
    <m/>
    <s v="No"/>
    <x v="2"/>
    <d v="2015-10-05T23:02:47"/>
    <n v="1"/>
    <s v="137.21.7.121"/>
    <s v="HE5620"/>
    <s v="363.1/251"/>
    <d v="2013-04-12T00:00:00"/>
  </r>
  <r>
    <x v="6195"/>
    <d v="1899-12-30T00:03:08"/>
    <x v="1063"/>
    <x v="0"/>
    <s v="Buffalo"/>
    <x v="1006"/>
    <n v="1655862"/>
    <x v="12"/>
    <s v="Social Science; Religion"/>
    <s v="9781469615493"/>
    <s v=",1,2,3,4,5,6,144,145,146,142,143,16,17,15,14,18"/>
    <n v="16"/>
    <m/>
    <m/>
    <s v="No"/>
    <x v="3"/>
    <m/>
    <m/>
    <s v="128.205.114.91"/>
    <s v="BX1406.3 -- .D89 2014eb"/>
    <s v="391.0088/28273"/>
    <d v="2014-04-15T00:00:00"/>
  </r>
  <r>
    <x v="6196"/>
    <d v="1899-12-30T00:00:05"/>
    <x v="1509"/>
    <x v="1"/>
    <s v="brockport"/>
    <x v="292"/>
    <n v="1635364"/>
    <x v="0"/>
    <s v="Mathematics"/>
    <s v="9781118710449"/>
    <s v=",1,2,3"/>
    <n v="3"/>
    <m/>
    <m/>
    <s v="No"/>
    <x v="1"/>
    <m/>
    <m/>
    <s v="137.21.7.121"/>
    <s v="QA135.6 -- .M87 2014eb"/>
    <n v="510.71273000000002"/>
    <d v="2014-02-14T00:00:00"/>
  </r>
  <r>
    <x v="6197"/>
    <d v="1899-12-30T00:02:19"/>
    <x v="1399"/>
    <x v="13"/>
    <s v="buffalostate"/>
    <x v="1262"/>
    <n v="1752698"/>
    <x v="0"/>
    <s v="Mathematics"/>
    <s v="9781118496701"/>
    <s v=",1,2,3,47,48,49,45,46,50,51,52,53,54,55,56,58,60,59,57,61,62,63,64,139,140,141,142,143,144,145,146,147"/>
    <n v="32"/>
    <m/>
    <m/>
    <s v="No"/>
    <x v="1"/>
    <m/>
    <m/>
    <s v="136.183.11.43"/>
    <s v="QA303.2 -- .P387 2014eb"/>
    <n v="515.07600000000002"/>
    <d v="2014-07-22T00:00:00"/>
  </r>
  <r>
    <x v="6198"/>
    <d v="1899-12-30T00:03:21"/>
    <x v="1510"/>
    <x v="6"/>
    <s v="sjfc"/>
    <x v="1404"/>
    <n v="2082957"/>
    <x v="0"/>
    <s v="Health; Medicine; Social Science"/>
    <s v="9781118629055"/>
    <s v=",1,2,3,103,104,105,101,102,106,107,108,109,110,111,112,113,114,115,116,117,118,119,120,121,122,123,124,125,126,180,181,182,178,179,183,184,185,186,187,188,189,190,191,192,193,194,195,196,197,198,199,200"/>
    <n v="52"/>
    <m/>
    <m/>
    <s v="No"/>
    <x v="3"/>
    <m/>
    <m/>
    <s v="149.69.254.57"/>
    <s v="RA776.9 .H434 2015"/>
    <n v="614"/>
    <d v="2014-08-22T00:00:00"/>
  </r>
  <r>
    <x v="6199"/>
    <d v="1899-12-30T00:00:24"/>
    <x v="13"/>
    <x v="0"/>
    <s v="Buffalo"/>
    <x v="1328"/>
    <n v="1875898"/>
    <x v="0"/>
    <s v="Computer Science/IT"/>
    <s v="9781118908891"/>
    <s v=",216"/>
    <n v="1"/>
    <m/>
    <m/>
    <s v="No"/>
    <x v="1"/>
    <m/>
    <m/>
    <s v="128.205.114.91"/>
    <s v="QA76.73.P98 -- C37 2014eb"/>
    <n v="5.133"/>
    <d v="2014-11-24T00:00:00"/>
  </r>
  <r>
    <x v="6200"/>
    <d v="1899-12-30T00:00:01"/>
    <x v="13"/>
    <x v="0"/>
    <s v="Buffalo"/>
    <x v="1328"/>
    <n v="1875898"/>
    <x v="0"/>
    <s v="Computer Science/IT"/>
    <s v="9781118908891"/>
    <m/>
    <n v="0"/>
    <m/>
    <m/>
    <s v="No"/>
    <x v="1"/>
    <m/>
    <m/>
    <s v="128.205.114.91"/>
    <s v="QA76.73.P98 -- C37 2014eb"/>
    <n v="5.133"/>
    <d v="2014-11-24T00:00:00"/>
  </r>
  <r>
    <x v="6201"/>
    <d v="1899-12-30T00:00:05"/>
    <x v="13"/>
    <x v="0"/>
    <s v="Buffalo"/>
    <x v="1328"/>
    <n v="1875898"/>
    <x v="0"/>
    <s v="Computer Science/IT"/>
    <s v="9781118908891"/>
    <s v=",1"/>
    <n v="1"/>
    <m/>
    <m/>
    <s v="No"/>
    <x v="1"/>
    <m/>
    <m/>
    <s v="128.205.114.91"/>
    <s v="QA76.73.P98 -- C37 2014eb"/>
    <n v="5.133"/>
    <d v="2014-11-24T00:00:00"/>
  </r>
  <r>
    <x v="6202"/>
    <d v="1899-12-30T00:00:05"/>
    <x v="13"/>
    <x v="0"/>
    <s v="Buffalo"/>
    <x v="1328"/>
    <n v="1875898"/>
    <x v="0"/>
    <s v="Computer Science/IT"/>
    <s v="9781118908891"/>
    <s v=",1,2,3"/>
    <n v="3"/>
    <m/>
    <m/>
    <s v="No"/>
    <x v="1"/>
    <m/>
    <m/>
    <s v="128.205.114.91"/>
    <s v="QA76.73.P98 -- C37 2014eb"/>
    <n v="5.133"/>
    <d v="2014-11-24T00:00:00"/>
  </r>
  <r>
    <x v="6203"/>
    <d v="1899-12-30T00:00:24"/>
    <x v="13"/>
    <x v="0"/>
    <s v="Buffalo"/>
    <x v="23"/>
    <n v="1120063"/>
    <x v="0"/>
    <s v="Architecture"/>
    <s v="9781118418932"/>
    <s v=",1,2,3,57,58,59,55,56"/>
    <n v="8"/>
    <m/>
    <m/>
    <s v="No"/>
    <x v="1"/>
    <m/>
    <m/>
    <s v="128.205.114.91"/>
    <s v="NA2540.5 -- .L34 2013eb"/>
    <n v="720.28"/>
    <d v="2013-01-29T00:00:00"/>
  </r>
  <r>
    <x v="6204"/>
    <d v="1899-12-30T00:18:03"/>
    <x v="1508"/>
    <x v="1"/>
    <s v="brockport"/>
    <x v="722"/>
    <n v="2130115"/>
    <x v="11"/>
    <s v="Social Science; Business/Management"/>
    <s v="9780226222905"/>
    <s v=",56,57,38,39,40,36,37,41"/>
    <n v="8"/>
    <m/>
    <m/>
    <s v="No"/>
    <x v="2"/>
    <d v="2015-10-05T23:02:47"/>
    <n v="1"/>
    <s v="137.21.7.121"/>
    <s v="HE5620"/>
    <s v="363.1/251"/>
    <d v="2013-04-12T00:00:00"/>
  </r>
  <r>
    <x v="6205"/>
    <d v="1899-12-30T00:03:22"/>
    <x v="1081"/>
    <x v="7"/>
    <s v="oneonta"/>
    <x v="414"/>
    <n v="1143522"/>
    <x v="0"/>
    <s v="History"/>
    <s v="9781118257197"/>
    <s v=",1,2,3,9,10,11,7,8,12,13,17,18,19,15,16,20,21,22"/>
    <n v="18"/>
    <m/>
    <m/>
    <s v="No"/>
    <x v="0"/>
    <d v="2015-10-05T22:04:20"/>
    <n v="7"/>
    <s v="137.141.13.2"/>
    <s v="F1219.73 .S58 2013"/>
    <n v="972"/>
    <d v="2013-03-01T00:00:00"/>
  </r>
  <r>
    <x v="6206"/>
    <d v="1899-12-30T03:55:35"/>
    <x v="13"/>
    <x v="0"/>
    <s v="Buffalo"/>
    <x v="161"/>
    <n v="821663"/>
    <x v="0"/>
    <s v="Architecture"/>
    <s v="9781118168479"/>
    <s v=",1,2,3,187,188,192,193,194,190,191,189,195,196,199,1,199,200,201,197,198,2,196,195,194,202,203,200,1,200,201,198,202,199,197,196,2,203,204,205,206,207,21,23,20,19,22,24,25,26,27,28,29,30,31,33,32,34,35,37,38,41,42,39,43,40,65,66,67,64,63,68,69,70,71,73,72,74,75,76,77,78,79,80,81,82,83,84,85,86,87,88,89,90,91,92,93,94,95,96,97,98,99,100,101,102,103,104,105,106,107,109,108,110,111,112,113,114"/>
    <n v="100"/>
    <m/>
    <m/>
    <s v="No"/>
    <x v="0"/>
    <d v="2015-10-05T06:11:39"/>
    <n v="1"/>
    <s v="128.205.114.91"/>
    <s v="NA2547 -- .S74 2012eb"/>
    <n v="729"/>
    <d v="2012-03-05T00:00:00"/>
  </r>
  <r>
    <x v="6207"/>
    <d v="1899-12-30T00:20:41"/>
    <x v="1508"/>
    <x v="1"/>
    <s v="brockport"/>
    <x v="722"/>
    <n v="2130115"/>
    <x v="11"/>
    <s v="Social Science; Business/Management"/>
    <s v="9780226222905"/>
    <s v=",1,2,3,65,66,63,67,64,68,2,62,61"/>
    <n v="11"/>
    <m/>
    <m/>
    <s v="No"/>
    <x v="3"/>
    <m/>
    <m/>
    <s v="137.21.7.121"/>
    <s v="HE5620"/>
    <s v="363.1/251"/>
    <d v="2013-04-12T00:00:00"/>
  </r>
  <r>
    <x v="6208"/>
    <d v="1899-12-30T00:00:53"/>
    <x v="26"/>
    <x v="6"/>
    <s v="sjfc"/>
    <x v="1290"/>
    <n v="1372261"/>
    <x v="0"/>
    <s v="Business/Management; Language/Linguistics"/>
    <s v="9781118505106"/>
    <s v=",1,2,3,20,21,22,23,26,27"/>
    <n v="9"/>
    <m/>
    <m/>
    <s v="No"/>
    <x v="3"/>
    <m/>
    <m/>
    <s v="149.69.254.57"/>
    <s v="P221 -- .K38 2013eb"/>
    <n v="387"/>
    <d v="2013-09-09T00:00:00"/>
  </r>
  <r>
    <x v="6209"/>
    <d v="1899-12-30T00:00:08"/>
    <x v="1081"/>
    <x v="7"/>
    <s v="oneonta"/>
    <x v="414"/>
    <n v="1143522"/>
    <x v="0"/>
    <s v="History"/>
    <s v="9781118257197"/>
    <s v=",1,2,3,1,9,10,11"/>
    <n v="6"/>
    <m/>
    <m/>
    <s v="No"/>
    <x v="0"/>
    <d v="2015-10-05T22:04:20"/>
    <n v="7"/>
    <s v="137.141.13.2"/>
    <s v="F1219.73 .S58 2013"/>
    <n v="972"/>
    <d v="2013-03-01T00:00:00"/>
  </r>
  <r>
    <x v="6210"/>
    <d v="1899-12-30T00:01:05"/>
    <x v="1511"/>
    <x v="7"/>
    <s v="oneonta"/>
    <x v="664"/>
    <n v="1760726"/>
    <x v="4"/>
    <s v="Education"/>
    <s v="9781462518081"/>
    <s v=",1,2,3,4,5,6,7,8,9,10,29,30,31,27,28,32"/>
    <n v="16"/>
    <m/>
    <m/>
    <s v="No"/>
    <x v="3"/>
    <m/>
    <m/>
    <s v="137.141.13.2"/>
    <s v="LB2840.2 -- .H37 2015eb"/>
    <s v="371.1001/9"/>
    <d v="2014-11-10T00:00:00"/>
  </r>
  <r>
    <x v="6211"/>
    <d v="1899-12-30T00:04:37"/>
    <x v="1512"/>
    <x v="12"/>
    <s v="potsdam"/>
    <x v="1405"/>
    <n v="1832723"/>
    <x v="0"/>
    <s v="Science: Geology; Science"/>
    <s v="9781118902110"/>
    <s v=",1,351,350,352,348,349,2,353,354,355,356,357,358,359,360"/>
    <n v="15"/>
    <m/>
    <m/>
    <s v="No"/>
    <x v="3"/>
    <m/>
    <m/>
    <s v="137.143.104.94"/>
    <s v="QE501.4.N9 -- W55 2015eb"/>
    <n v="551.9"/>
    <d v="2014-11-03T00:00:00"/>
  </r>
  <r>
    <x v="6212"/>
    <d v="1899-12-30T00:03:26"/>
    <x v="1513"/>
    <x v="6"/>
    <s v="sjfc"/>
    <x v="1406"/>
    <n v="1521045"/>
    <x v="2"/>
    <s v="Education"/>
    <s v="9781317920755"/>
    <s v=",1,3,2,4,5,6,7,8,9,10,11,12,13,14,15,16,17,18,19,20,21,22,23,24"/>
    <n v="24"/>
    <m/>
    <m/>
    <s v="No"/>
    <x v="2"/>
    <d v="2015-10-04T12:56:36"/>
    <n v="7"/>
    <s v="149.69.254.57"/>
    <s v="LB1027.5 -- .W67 2013eb"/>
    <n v="371.4"/>
    <d v="2013-10-31T00:00:00"/>
  </r>
  <r>
    <x v="6213"/>
    <d v="1899-12-30T00:32:34"/>
    <x v="1081"/>
    <x v="7"/>
    <s v="oneonta"/>
    <x v="414"/>
    <n v="1143522"/>
    <x v="0"/>
    <s v="History"/>
    <s v="9781118257197"/>
    <s v=",1,9,10,11,7,8,2,6,12,13,14,221,222,223,219,220,224,225"/>
    <n v="18"/>
    <m/>
    <m/>
    <s v="No"/>
    <x v="1"/>
    <m/>
    <m/>
    <s v="137.141.13.2"/>
    <s v="F1219.73 .S58 2013"/>
    <n v="972"/>
    <d v="2013-03-01T00:00:00"/>
  </r>
  <r>
    <x v="6214"/>
    <d v="1899-12-30T00:00:05"/>
    <x v="1081"/>
    <x v="7"/>
    <s v="oneonta"/>
    <x v="414"/>
    <n v="1143522"/>
    <x v="0"/>
    <s v="History"/>
    <s v="9781118257197"/>
    <s v=",9,1,10,11,7,8"/>
    <n v="6"/>
    <m/>
    <m/>
    <s v="No"/>
    <x v="1"/>
    <m/>
    <m/>
    <s v="137.141.13.2"/>
    <s v="F1219.73 .S58 2013"/>
    <n v="972"/>
    <d v="2013-03-01T00:00:00"/>
  </r>
  <r>
    <x v="6215"/>
    <d v="1899-12-30T00:07:49"/>
    <x v="1437"/>
    <x v="16"/>
    <s v="monroecc"/>
    <x v="1355"/>
    <n v="1630976"/>
    <x v="0"/>
    <s v="Fine Arts; Architecture"/>
    <s v="9781118418666"/>
    <s v=",1,2,3,4,5,6,7,8,9,10,11,12,13,14,15,16,17,18,19,20,21,22,23,25,26,27,28,29,30,31,33,34,35,37,38,39,40,41,42,43,47,48,49,50,51,53,55,56,57,58,60,61,62,64,65,66,68,69,70,71,72,74,75,76,77,78,79,80,81,85,86,88,89,90,91,94,96,99,100,101,102,104,105,106,103,107,111,112,125,126,128,129,131,130,127,132,133,134,135,128,127,126,125,123,124,122,121,120,119,118,117,116,115,114,113,112,111,110,109,108,107,106,105"/>
    <n v="114"/>
    <m/>
    <m/>
    <s v="No"/>
    <x v="1"/>
    <m/>
    <m/>
    <s v="150.160.200.114"/>
    <s v="NK2110"/>
    <n v="729"/>
    <d v="2014-02-07T00:00:00"/>
  </r>
  <r>
    <x v="6216"/>
    <d v="1899-12-30T00:00:45"/>
    <x v="1514"/>
    <x v="0"/>
    <s v="Buffalo"/>
    <x v="691"/>
    <n v="1220628"/>
    <x v="12"/>
    <s v="Education"/>
    <s v="9781469612553"/>
    <s v=",1,164,165,166,162,163,2,167,168,169,170"/>
    <n v="11"/>
    <m/>
    <m/>
    <s v="No"/>
    <x v="3"/>
    <m/>
    <m/>
    <s v="128.205.114.91"/>
    <s v="LC214.23.L68 -- K64 2013eb"/>
    <s v="379.2/630976944"/>
    <d v="2013-08-05T00:00:00"/>
  </r>
  <r>
    <x v="6217"/>
    <d v="1899-12-30T00:00:04"/>
    <x v="1437"/>
    <x v="16"/>
    <s v="monroecc"/>
    <x v="1355"/>
    <n v="1630976"/>
    <x v="0"/>
    <s v="Fine Arts; Architecture"/>
    <s v="9781118418666"/>
    <s v=",1,2,3"/>
    <n v="3"/>
    <m/>
    <m/>
    <s v="No"/>
    <x v="1"/>
    <m/>
    <m/>
    <s v="150.160.200.114"/>
    <s v="NK2110"/>
    <n v="729"/>
    <d v="2014-02-07T00:00:00"/>
  </r>
  <r>
    <x v="6218"/>
    <d v="1899-12-30T00:05:00"/>
    <x v="1515"/>
    <x v="15"/>
    <s v="morrisville"/>
    <x v="1386"/>
    <n v="2049501"/>
    <x v="1"/>
    <s v="Law"/>
    <s v="9781472414816"/>
    <s v=",1,2,3,45,46,47,44,43,48,84,85,86,82,83,87"/>
    <n v="15"/>
    <m/>
    <m/>
    <s v="No"/>
    <x v="3"/>
    <m/>
    <m/>
    <s v="136.204.32.68"/>
    <s v="K3165 .K576 2015"/>
    <n v="342.00099999999998"/>
    <d v="2015-07-28T00:00:00"/>
  </r>
  <r>
    <x v="6219"/>
    <d v="1899-12-30T00:00:55"/>
    <x v="1437"/>
    <x v="16"/>
    <s v="monroecc"/>
    <x v="1355"/>
    <n v="1630976"/>
    <x v="0"/>
    <s v="Fine Arts; Architecture"/>
    <s v="9781118418666"/>
    <s v=",1,2,3,4,5,6,7,8,9,10,11,12,13,14,9,8,7"/>
    <n v="14"/>
    <m/>
    <m/>
    <s v="No"/>
    <x v="1"/>
    <m/>
    <m/>
    <s v="150.160.200.114"/>
    <s v="NK2110"/>
    <n v="729"/>
    <d v="2014-02-07T00:00:00"/>
  </r>
  <r>
    <x v="6220"/>
    <d v="1899-12-30T02:13:53"/>
    <x v="13"/>
    <x v="0"/>
    <s v="Buffalo"/>
    <x v="161"/>
    <n v="821663"/>
    <x v="0"/>
    <s v="Architecture"/>
    <s v="9781118168479"/>
    <s v=",1,3,2,179,180,177,178,181,173,174,175,171,182,183,176,182,183,184,185,173,174,175,171,172,184,185,186,187,201,202,203,199,200,188,189,188,189,188,189,190,191,192,193,194,195,196,190,189,188,87,88,89,85,86,90,91,92,93,94"/>
    <n v="44"/>
    <m/>
    <m/>
    <s v="No"/>
    <x v="0"/>
    <d v="2015-10-05T06:11:39"/>
    <n v="1"/>
    <s v="128.205.114.91"/>
    <s v="NA2547 -- .S74 2012eb"/>
    <n v="729"/>
    <d v="2012-03-05T00:00:00"/>
  </r>
  <r>
    <x v="6221"/>
    <d v="1899-12-30T00:00:29"/>
    <x v="1516"/>
    <x v="16"/>
    <s v="monroecc"/>
    <x v="1355"/>
    <n v="1630976"/>
    <x v="0"/>
    <s v="Fine Arts; Architecture"/>
    <s v="9781118418666"/>
    <s v=",1,2,3,11,33,172,15,14,16,12,13"/>
    <n v="11"/>
    <m/>
    <m/>
    <s v="No"/>
    <x v="1"/>
    <m/>
    <m/>
    <s v="150.160.200.114"/>
    <s v="NK2110"/>
    <n v="729"/>
    <d v="2014-02-07T00:00:00"/>
  </r>
  <r>
    <x v="6222"/>
    <d v="1899-12-30T00:00:03"/>
    <x v="1517"/>
    <x v="13"/>
    <s v="buffalostate"/>
    <x v="28"/>
    <n v="817313"/>
    <x v="0"/>
    <s v="Education"/>
    <s v="9781118136829"/>
    <s v=",1,2,3"/>
    <n v="3"/>
    <m/>
    <m/>
    <s v="No"/>
    <x v="1"/>
    <m/>
    <m/>
    <s v="136.183.11.43"/>
    <s v="LB2367.4 -- .W65 2012eb"/>
    <n v="378.16640000000001"/>
    <d v="2012-01-10T00:00:00"/>
  </r>
  <r>
    <x v="6223"/>
    <d v="1899-12-30T00:57:24"/>
    <x v="990"/>
    <x v="0"/>
    <s v="Buffalo"/>
    <x v="1407"/>
    <n v="1790819"/>
    <x v="11"/>
    <s v="Religion"/>
    <s v="9780226169095"/>
    <s v=",40,41,45,46,47,48,49,50,51,52,53,54,55,56,57,58,59,60,61,62,63,96,97,98,94,95,99,100,101,102,103,104,105,106,101,100,99,98,124,125,126,122,123,127,128,129,130,131,150,151,149,148,152,153,154,155,156,157,158,159,160,161,162,163,164,165,166,166"/>
    <n v="63"/>
    <m/>
    <m/>
    <s v="No"/>
    <x v="0"/>
    <d v="2015-10-05T17:13:55"/>
    <n v="7"/>
    <s v="128.205.114.91"/>
    <s v="BL410"/>
    <s v="201/.50902"/>
    <d v="2014-10-20T00:00:00"/>
  </r>
  <r>
    <x v="6224"/>
    <d v="1899-12-30T00:00:33"/>
    <x v="1103"/>
    <x v="9"/>
    <s v="trocaire"/>
    <x v="1057"/>
    <n v="332602"/>
    <x v="0"/>
    <s v="Education"/>
    <s v="9780631227885"/>
    <s v=",1,2,3,4,5,6,7,8,9,10,11,12"/>
    <n v="12"/>
    <m/>
    <m/>
    <s v="No"/>
    <x v="1"/>
    <m/>
    <m/>
    <s v="173.225.62.67"/>
    <s v="LB1124 -- .O48 1993eb"/>
    <s v="371.5/8"/>
    <d v="2013-05-30T00:00:00"/>
  </r>
  <r>
    <x v="6225"/>
    <d v="1899-12-30T00:01:13"/>
    <x v="1518"/>
    <x v="0"/>
    <s v="Buffalo"/>
    <x v="1408"/>
    <n v="1815561"/>
    <x v="1"/>
    <s v="Law"/>
    <s v="9781409454427"/>
    <s v=",56,57,68,64,65,63,69,67,68"/>
    <n v="8"/>
    <m/>
    <m/>
    <s v="No"/>
    <x v="2"/>
    <d v="2015-10-05T17:05:27"/>
    <n v="1"/>
    <s v="128.205.114.91"/>
    <s v="K213 -- .L443 2014eb"/>
    <s v="340/.14"/>
    <d v="2014-12-28T00:00:00"/>
  </r>
  <r>
    <x v="6226"/>
    <d v="1899-12-30T00:11:17"/>
    <x v="990"/>
    <x v="0"/>
    <s v="Buffalo"/>
    <x v="1407"/>
    <n v="1790819"/>
    <x v="11"/>
    <s v="Religion"/>
    <s v="9780226169095"/>
    <s v=",1,2,3,42,43,44,41,40,45,46,47,6,7,8,4,5,3"/>
    <n v="16"/>
    <m/>
    <m/>
    <s v="No"/>
    <x v="1"/>
    <m/>
    <m/>
    <s v="128.205.114.91"/>
    <s v="BL410"/>
    <s v="201/.50902"/>
    <d v="2014-10-20T00:00:00"/>
  </r>
  <r>
    <x v="6227"/>
    <d v="1899-12-30T00:16:25"/>
    <x v="1518"/>
    <x v="0"/>
    <s v="Buffalo"/>
    <x v="1408"/>
    <n v="1815561"/>
    <x v="1"/>
    <s v="Law"/>
    <s v="9781409454427"/>
    <s v=",1,286,287,288,284,285,289,2,290,291,292,293,12,13,14,10,11,15,16,17,18,19,52,53,50,51,55"/>
    <n v="27"/>
    <m/>
    <m/>
    <s v="No"/>
    <x v="3"/>
    <m/>
    <m/>
    <s v="128.205.114.91"/>
    <s v="K213 -- .L443 2014eb"/>
    <s v="340/.14"/>
    <d v="2014-12-28T00:00:00"/>
  </r>
  <r>
    <x v="6228"/>
    <d v="1899-12-30T00:08:49"/>
    <x v="1426"/>
    <x v="0"/>
    <s v="Buffalo"/>
    <x v="73"/>
    <n v="1119505"/>
    <x v="0"/>
    <s v="Science: Chemistry; Science"/>
    <s v="9781118355015"/>
    <s v=",165,164,163,168,162,159,160,169,163,169,170,171,166,165,164,163,162,161,160,159,146,147,148,145,143,144,142,141,139"/>
    <n v="21"/>
    <s v=",166"/>
    <m/>
    <s v="Yes"/>
    <x v="0"/>
    <d v="2015-10-05T15:56:35"/>
    <n v="7"/>
    <s v="128.205.114.91"/>
    <s v="QD251.3 -- .S38 2013eb"/>
    <s v="547/.128"/>
    <d v="2013-01-28T00:00:00"/>
  </r>
  <r>
    <x v="6229"/>
    <d v="1899-12-30T00:00:17"/>
    <x v="1426"/>
    <x v="0"/>
    <s v="Buffalo"/>
    <x v="73"/>
    <n v="1119505"/>
    <x v="0"/>
    <s v="Science: Chemistry; Science"/>
    <s v="9781118355015"/>
    <s v=",163"/>
    <n v="1"/>
    <m/>
    <s v=",165,166,167,168"/>
    <s v="No"/>
    <x v="0"/>
    <d v="2015-10-05T15:56:35"/>
    <n v="7"/>
    <s v="128.205.114.91"/>
    <s v="QD251.3 -- .S38 2013eb"/>
    <s v="547/.128"/>
    <d v="2013-01-28T00:00:00"/>
  </r>
  <r>
    <x v="6230"/>
    <d v="1899-12-30T00:00:41"/>
    <x v="1426"/>
    <x v="0"/>
    <s v="Buffalo"/>
    <x v="73"/>
    <n v="1119505"/>
    <x v="0"/>
    <s v="Science: Chemistry; Science"/>
    <s v="9781118355015"/>
    <s v=",1,2,3,164,165,166,167,168,169,170"/>
    <n v="10"/>
    <m/>
    <m/>
    <s v="No"/>
    <x v="1"/>
    <m/>
    <m/>
    <s v="128.205.114.91"/>
    <s v="QD251.3 -- .S38 2013eb"/>
    <s v="547/.128"/>
    <d v="2013-01-28T00:00:00"/>
  </r>
  <r>
    <x v="6231"/>
    <d v="1899-12-30T00:00:04"/>
    <x v="18"/>
    <x v="4"/>
    <s v="monroe2boces"/>
    <x v="1409"/>
    <n v="836175"/>
    <x v="6"/>
    <s v="History"/>
    <s v="9781438139692"/>
    <s v=",1,2,3"/>
    <n v="3"/>
    <m/>
    <m/>
    <s v="No"/>
    <x v="1"/>
    <m/>
    <m/>
    <s v="216.226.127.140"/>
    <s v="DC148 .D38 2011"/>
    <s v="944; 944.04"/>
    <d v="2011-11-01T00:00:00"/>
  </r>
  <r>
    <x v="6232"/>
    <d v="1899-12-30T00:00:06"/>
    <x v="824"/>
    <x v="0"/>
    <s v="Buffalo"/>
    <x v="161"/>
    <n v="821663"/>
    <x v="0"/>
    <s v="Architecture"/>
    <s v="9781118168479"/>
    <s v=",1,2,3"/>
    <n v="3"/>
    <m/>
    <m/>
    <s v="No"/>
    <x v="0"/>
    <d v="2015-09-29T13:17:30"/>
    <n v="7"/>
    <s v="128.205.114.91"/>
    <s v="NA2547 -- .S74 2012eb"/>
    <n v="729"/>
    <d v="2012-03-05T00:00:00"/>
  </r>
  <r>
    <x v="6233"/>
    <d v="1899-12-30T00:00:33"/>
    <x v="1519"/>
    <x v="0"/>
    <s v="Buffalo"/>
    <x v="335"/>
    <n v="821801"/>
    <x v="0"/>
    <s v="Education; Business/Management"/>
    <s v="9781118224144"/>
    <s v=",4,5,6,5,4,3,6,1,2,2,2"/>
    <n v="6"/>
    <m/>
    <m/>
    <s v="Yes"/>
    <x v="0"/>
    <d v="2015-10-05T09:16:17"/>
    <n v="7"/>
    <s v="128.205.114.91"/>
    <s v="HF1118 .O33; LB2367.3 .O34"/>
    <n v="658.00760000000002"/>
    <d v="2012-03-06T00:00:00"/>
  </r>
  <r>
    <x v="6234"/>
    <d v="1899-12-30T00:00:16"/>
    <x v="1519"/>
    <x v="0"/>
    <s v="Buffalo"/>
    <x v="335"/>
    <n v="821801"/>
    <x v="0"/>
    <s v="Education; Business/Management"/>
    <s v="9781118224144"/>
    <s v=",1,2,3,2,3,1"/>
    <n v="3"/>
    <m/>
    <m/>
    <s v="No"/>
    <x v="0"/>
    <d v="2015-10-05T09:16:17"/>
    <n v="7"/>
    <s v="128.205.114.91"/>
    <s v="HF1118 .O33; LB2367.3 .O34"/>
    <n v="658.00760000000002"/>
    <d v="2012-03-06T00:00:00"/>
  </r>
  <r>
    <x v="6235"/>
    <d v="1899-12-30T00:00:36"/>
    <x v="347"/>
    <x v="0"/>
    <s v="Buffalo"/>
    <x v="1395"/>
    <n v="1938147"/>
    <x v="4"/>
    <s v="Medicine"/>
    <s v="9781462520695"/>
    <s v=",1,2,3,4"/>
    <n v="4"/>
    <m/>
    <m/>
    <s v="No"/>
    <x v="3"/>
    <m/>
    <m/>
    <s v="128.205.114.91"/>
    <s v="RC552.E18 -- .C374 2015eb"/>
    <n v="616.85260600000004"/>
    <d v="2015-01-01T00:00:00"/>
  </r>
  <r>
    <x v="6236"/>
    <d v="1899-12-30T00:00:27"/>
    <x v="557"/>
    <x v="9"/>
    <s v="trocaire"/>
    <x v="669"/>
    <n v="1742841"/>
    <x v="4"/>
    <s v="Medicine"/>
    <s v="9781462516445"/>
    <s v=",1,464,465,466,462,463,2,467"/>
    <n v="8"/>
    <m/>
    <m/>
    <s v="No"/>
    <x v="1"/>
    <m/>
    <m/>
    <s v="173.225.62.67"/>
    <s v="RC537 -- .H3376 2014eb"/>
    <n v="616.85270000000003"/>
    <d v="2014-10-22T00:00:00"/>
  </r>
  <r>
    <x v="6237"/>
    <d v="1899-12-30T00:02:37"/>
    <x v="1520"/>
    <x v="12"/>
    <s v="potsdam"/>
    <x v="1410"/>
    <n v="1474572"/>
    <x v="2"/>
    <s v="Fine Arts"/>
    <s v="9781135683344"/>
    <s v=",1,1,2,2,3,3,4,4,5,5,2,2,45,45,46,46,47,47,165,165,166,166,167,167,168,168,164,11,11,12,12,13,13,9,10,10,1,2,3"/>
    <n v="18"/>
    <m/>
    <m/>
    <s v="No"/>
    <x v="3"/>
    <m/>
    <m/>
    <s v="137.143.104.94"/>
    <s v="ML171 -- .L27 2001eb"/>
    <n v="781.28399999999999"/>
    <d v="2001-10-18T00:00:00"/>
  </r>
  <r>
    <x v="6238"/>
    <d v="1899-12-30T00:04:52"/>
    <x v="1521"/>
    <x v="0"/>
    <s v="Buffalo"/>
    <x v="3"/>
    <n v="822040"/>
    <x v="0"/>
    <s v="Literature; Psychology"/>
    <s v="9781118289099"/>
    <s v=",1,1,2,1,2,3,3,1,4,4,5,5,6,6,2,2,15,16,17,15,14,16,13,14,17,31,32,31,32,33,33,30,30,74,74,75,76,75,76,73,72,73,77,77,78,78"/>
    <n v="22"/>
    <m/>
    <m/>
    <s v="No"/>
    <x v="1"/>
    <m/>
    <m/>
    <s v="128.205.114.91"/>
    <s v="BF76.7 -- .B447 2012eb"/>
    <s v="808.06/615"/>
    <d v="2012-03-22T00:00:00"/>
  </r>
  <r>
    <x v="6239"/>
    <d v="1899-12-30T00:00:00"/>
    <x v="1519"/>
    <x v="0"/>
    <s v="Buffalo"/>
    <x v="654"/>
    <n v="1724876"/>
    <x v="0"/>
    <s v="Business/Management; Economics"/>
    <s v="9781118914113"/>
    <m/>
    <n v="0"/>
    <m/>
    <m/>
    <s v="Yes"/>
    <x v="0"/>
    <d v="2015-10-05T09:19:42"/>
    <n v="7"/>
    <s v="128.205.114.91"/>
    <s v="HG173 -- .G733 2014eb"/>
    <n v="332"/>
    <d v="2014-06-26T00:00:00"/>
  </r>
  <r>
    <x v="6239"/>
    <d v="1899-12-30T00:00:00"/>
    <x v="1519"/>
    <x v="0"/>
    <s v="Buffalo"/>
    <x v="654"/>
    <n v="1724876"/>
    <x v="0"/>
    <s v="Business/Management; Economics"/>
    <s v="9781118914113"/>
    <m/>
    <n v="0"/>
    <m/>
    <m/>
    <s v="No"/>
    <x v="0"/>
    <d v="2015-10-05T09:19:42"/>
    <n v="7"/>
    <s v="128.205.114.91"/>
    <s v="HG173 -- .G733 2014eb"/>
    <n v="332"/>
    <d v="2014-06-26T00:00:00"/>
  </r>
  <r>
    <x v="6240"/>
    <d v="1899-12-30T00:01:36"/>
    <x v="1519"/>
    <x v="0"/>
    <s v="Buffalo"/>
    <x v="654"/>
    <n v="1724876"/>
    <x v="0"/>
    <s v="Business/Management; Economics"/>
    <s v="9781118914113"/>
    <s v=",1,3,2,4"/>
    <n v="4"/>
    <m/>
    <m/>
    <s v="No"/>
    <x v="1"/>
    <m/>
    <m/>
    <s v="128.205.114.91"/>
    <s v="HG173 -- .G733 2014eb"/>
    <n v="332"/>
    <d v="2014-06-26T00:00:00"/>
  </r>
  <r>
    <x v="6241"/>
    <d v="1899-12-30T00:00:00"/>
    <x v="1519"/>
    <x v="0"/>
    <s v="Buffalo"/>
    <x v="335"/>
    <n v="821801"/>
    <x v="0"/>
    <s v="Education; Business/Management"/>
    <s v="9781118224144"/>
    <m/>
    <n v="0"/>
    <m/>
    <m/>
    <s v="No"/>
    <x v="0"/>
    <d v="2015-10-05T09:16:17"/>
    <n v="7"/>
    <s v="128.205.114.91"/>
    <s v="HF1118 .O33; LB2367.3 .O34"/>
    <n v="658.00760000000002"/>
    <d v="2012-03-06T00:00:00"/>
  </r>
  <r>
    <x v="6242"/>
    <d v="1899-12-30T00:02:47"/>
    <x v="1519"/>
    <x v="0"/>
    <s v="Buffalo"/>
    <x v="335"/>
    <n v="821801"/>
    <x v="0"/>
    <s v="Education; Business/Management"/>
    <s v="9781118224144"/>
    <s v=",1,2,3,1,9,9,9"/>
    <n v="4"/>
    <m/>
    <m/>
    <s v="No"/>
    <x v="1"/>
    <m/>
    <m/>
    <s v="128.205.114.91"/>
    <s v="HF1118 .O33; LB2367.3 .O34"/>
    <n v="658.00760000000002"/>
    <d v="2012-03-06T00:00:00"/>
  </r>
  <r>
    <x v="6243"/>
    <d v="1899-12-30T00:05:16"/>
    <x v="1269"/>
    <x v="13"/>
    <s v="buffalostate"/>
    <x v="546"/>
    <n v="1809344"/>
    <x v="16"/>
    <s v="Social Science"/>
    <s v="9781137356192"/>
    <s v=",1,2,3,204,205,206,202,203,207,208,211,212,213,214,210,215,216,217,222,223,225,224,226,221,220,219,218,200,197,162,177,178,194,195,196,198,199,201,209"/>
    <n v="39"/>
    <m/>
    <m/>
    <s v="No"/>
    <x v="1"/>
    <m/>
    <m/>
    <s v="136.183.11.43"/>
    <s v="HV6556 -- .P748 2014eb"/>
    <n v="364.4"/>
    <d v="2014-10-03T00:00:00"/>
  </r>
  <r>
    <x v="6244"/>
    <d v="1899-12-30T00:00:33"/>
    <x v="13"/>
    <x v="0"/>
    <s v="Buffalo"/>
    <x v="161"/>
    <n v="821663"/>
    <x v="0"/>
    <s v="Architecture"/>
    <s v="9781118168479"/>
    <s v=",182,1,183,184,180,181,2,179,177,178"/>
    <n v="10"/>
    <m/>
    <m/>
    <s v="No"/>
    <x v="0"/>
    <d v="2015-10-05T06:11:39"/>
    <n v="1"/>
    <s v="128.205.114.91"/>
    <s v="NA2547 -- .S74 2012eb"/>
    <n v="729"/>
    <d v="2012-03-05T00:00:00"/>
  </r>
  <r>
    <x v="6245"/>
    <d v="1899-12-30T00:33:32"/>
    <x v="13"/>
    <x v="0"/>
    <s v="Buffalo"/>
    <x v="161"/>
    <n v="821663"/>
    <x v="0"/>
    <s v="Architecture"/>
    <s v="9781118168479"/>
    <s v=",1,3,2,179,181,177,178"/>
    <n v="7"/>
    <m/>
    <m/>
    <s v="No"/>
    <x v="1"/>
    <m/>
    <m/>
    <s v="128.205.114.91"/>
    <s v="NA2547 -- .S74 2012eb"/>
    <n v="729"/>
    <d v="2012-03-05T00:00:00"/>
  </r>
  <r>
    <x v="6246"/>
    <d v="1899-12-30T02:31:33"/>
    <x v="1522"/>
    <x v="0"/>
    <s v="Buffalo"/>
    <x v="552"/>
    <n v="1294909"/>
    <x v="3"/>
    <s v="Economics; Business/Management"/>
    <s v="9780520956797"/>
    <s v=",1,2,3,54,55,56,54,52,53,2,57,58,59,56,55,60,61,62,63,64,65,66,67,68,69,70,71,72,73,74,75,76,94,95,96,93,92,97,98,99,100,101,102,103,104,105,106,107,108,109,110,111,112,113,114,115,116,117,118,119,120,121,122,123,124,125,126,127,128,129,130"/>
    <n v="67"/>
    <m/>
    <m/>
    <s v="No"/>
    <x v="0"/>
    <d v="2015-10-05T04:38:30"/>
    <n v="7"/>
    <s v="128.205.114.91"/>
    <s v="HC110.P6 -- I25 2013eb"/>
    <s v="339.4/60973"/>
    <d v="2013-08-01T00:00:00"/>
  </r>
  <r>
    <x v="6247"/>
    <d v="1899-12-30T00:44:17"/>
    <x v="1522"/>
    <x v="0"/>
    <s v="Buffalo"/>
    <x v="552"/>
    <n v="1294909"/>
    <x v="3"/>
    <s v="Economics; Business/Management"/>
    <s v="9780520956797"/>
    <s v=",29,23,21,22,30,31,32,33,34,35,36,37,38,39,54,55,56,52,53,57,58,59,60,61,62,63,64,65,68,66,69,70,67,71,72,73,74,75,76,77"/>
    <n v="40"/>
    <m/>
    <m/>
    <s v="No"/>
    <x v="0"/>
    <d v="2015-10-05T04:38:30"/>
    <n v="7"/>
    <s v="128.205.114.91"/>
    <s v="HC110.P6 -- I25 2013eb"/>
    <s v="339.4/60973"/>
    <d v="2013-08-01T00:00:00"/>
  </r>
  <r>
    <x v="6248"/>
    <d v="1899-12-30T00:18:29"/>
    <x v="1522"/>
    <x v="0"/>
    <s v="Buffalo"/>
    <x v="552"/>
    <n v="1294909"/>
    <x v="3"/>
    <s v="Economics; Business/Management"/>
    <s v="9780520956797"/>
    <s v=",1,2,3,26,27,24,28,25,30,31,29,32,33,35,34,23,22,21,19,18,20,17,11,7,4,5,6,8,9,10,12,13,14,12,13,14,10,11,15,16,17,18,19,20,26,27,24,25,28"/>
    <n v="35"/>
    <m/>
    <m/>
    <s v="No"/>
    <x v="1"/>
    <m/>
    <m/>
    <s v="128.205.114.91"/>
    <s v="HC110.P6 -- I25 2013eb"/>
    <s v="339.4/60973"/>
    <d v="2013-08-01T00:00:00"/>
  </r>
  <r>
    <x v="6249"/>
    <d v="1899-12-30T00:22:47"/>
    <x v="1523"/>
    <x v="1"/>
    <s v="brockport"/>
    <x v="674"/>
    <n v="980956"/>
    <x v="0"/>
    <s v="Psychology; Social Science"/>
    <s v="9781118227251"/>
    <s v=",109,119,120,121,118,117,122,123,124,125,126,127,128,129,130,99,131,133,9,10,11,112,113,114,110,115,111,116"/>
    <n v="28"/>
    <m/>
    <m/>
    <s v="No"/>
    <x v="0"/>
    <d v="2015-10-05T03:46:35"/>
    <n v="7"/>
    <s v="137.21.7.121"/>
    <s v="HV40 -- .T51377 2012eb"/>
    <s v="150.1023/36132"/>
    <d v="2012-07-23T00:00:00"/>
  </r>
  <r>
    <x v="6250"/>
    <d v="1899-12-30T00:10:03"/>
    <x v="1523"/>
    <x v="1"/>
    <s v="brockport"/>
    <x v="674"/>
    <n v="980956"/>
    <x v="0"/>
    <s v="Psychology; Social Science"/>
    <s v="9781118227251"/>
    <s v=",1,2,3,4,5,6,7,8,51,52,53,50,49,54,55,56,57,58,59,60,61,62,63,64,65,66,67,68,69,70,71,72,73,74,75,76,77,78,79,80,106,107,108,104,105"/>
    <n v="45"/>
    <m/>
    <m/>
    <s v="No"/>
    <x v="1"/>
    <m/>
    <m/>
    <s v="137.21.7.121"/>
    <s v="HV40 -- .T51377 2012eb"/>
    <s v="150.1023/36132"/>
    <d v="2012-07-23T00:00:00"/>
  </r>
  <r>
    <x v="6251"/>
    <d v="1899-12-30T00:11:13"/>
    <x v="1524"/>
    <x v="0"/>
    <s v="Buffalo"/>
    <x v="61"/>
    <n v="1092851"/>
    <x v="0"/>
    <s v="Military Science; Social Science"/>
    <s v="9781118333051"/>
    <s v=",99,100,101"/>
    <n v="3"/>
    <m/>
    <m/>
    <s v="No"/>
    <x v="0"/>
    <d v="2015-10-05T02:55:03"/>
    <n v="7"/>
    <s v="128.205.114.91"/>
    <s v="UH755 -- .H36 2013eb"/>
    <s v="355.345; 362.8"/>
    <d v="2012-11-27T00:00:00"/>
  </r>
  <r>
    <x v="6252"/>
    <d v="1899-12-30T00:00:00"/>
    <x v="1525"/>
    <x v="12"/>
    <s v="potsdam"/>
    <x v="1411"/>
    <n v="1356320"/>
    <x v="2"/>
    <s v="Social Science"/>
    <s v="9781317869818"/>
    <s v=",48,49"/>
    <n v="2"/>
    <m/>
    <m/>
    <s v="No"/>
    <x v="2"/>
    <d v="2015-10-05T02:32:13"/>
    <n v="1"/>
    <s v="137.143.104.94"/>
    <s v="HQ1154 -- .H25 2007eb"/>
    <n v="305.42090000000002"/>
    <d v="2013-08-21T00:00:00"/>
  </r>
  <r>
    <x v="6253"/>
    <d v="1899-12-30T00:25:07"/>
    <x v="1524"/>
    <x v="0"/>
    <s v="Buffalo"/>
    <x v="61"/>
    <n v="1092851"/>
    <x v="0"/>
    <s v="Military Science; Social Science"/>
    <s v="9781118333051"/>
    <s v=",1,3,2,4,11,12,9,13,10,14,15,16,18,19,23,24,25,50,51,52,48,49,53,55,56,57,88,89,90,87,96,97,98,95,94,93"/>
    <n v="36"/>
    <m/>
    <m/>
    <s v="No"/>
    <x v="1"/>
    <m/>
    <m/>
    <s v="128.205.114.91"/>
    <s v="UH755 -- .H36 2013eb"/>
    <s v="355.345; 362.8"/>
    <d v="2012-11-27T00:00:00"/>
  </r>
  <r>
    <x v="6254"/>
    <d v="1899-12-30T00:06:02"/>
    <x v="1525"/>
    <x v="12"/>
    <s v="potsdam"/>
    <x v="1411"/>
    <n v="1356320"/>
    <x v="2"/>
    <s v="Social Science"/>
    <s v="9781317869818"/>
    <s v=",1,2,3,4,5,6,19,20,21,17,18,22,23,24,25,26,27,28,44,45,46,42,43,47"/>
    <n v="24"/>
    <m/>
    <m/>
    <s v="No"/>
    <x v="3"/>
    <m/>
    <m/>
    <s v="137.143.104.94"/>
    <s v="HQ1154 -- .H25 2007eb"/>
    <n v="305.42090000000002"/>
    <d v="2013-08-21T00:00:00"/>
  </r>
  <r>
    <x v="6255"/>
    <d v="1899-12-30T00:00:04"/>
    <x v="1525"/>
    <x v="12"/>
    <s v="potsdam"/>
    <x v="1411"/>
    <n v="1356320"/>
    <x v="2"/>
    <s v="Social Science"/>
    <s v="9781317869818"/>
    <s v=",1,2,3"/>
    <n v="3"/>
    <m/>
    <m/>
    <s v="No"/>
    <x v="3"/>
    <m/>
    <m/>
    <s v="137.143.104.94"/>
    <s v="HQ1154 -- .H25 2007eb"/>
    <n v="305.42090000000002"/>
    <d v="2013-08-21T00:00:00"/>
  </r>
  <r>
    <x v="6256"/>
    <d v="1899-12-30T00:33:17"/>
    <x v="1367"/>
    <x v="0"/>
    <s v="Buffalo"/>
    <x v="31"/>
    <n v="1682559"/>
    <x v="4"/>
    <s v="Medicine"/>
    <s v="9781462515431"/>
    <s v=",1,3,2,69,71,70,67,68,72,73,74,76,77,75,78,79,80,82,81,83,84,85,86,87,89,88,90,91,92,93,94,95,96,97,98,99,100,101,102,103,104,105,106,107,108,109,110,111,112,113,114,115,116,117,118,119,120,121,123,122,124"/>
    <n v="61"/>
    <m/>
    <m/>
    <s v="No"/>
    <x v="0"/>
    <d v="2015-10-02T19:51:25"/>
    <n v="7"/>
    <s v="128.205.114.91"/>
    <s v="RC469 -- .M677 2014eb"/>
    <n v="616.89"/>
    <d v="2014-05-10T00:00:00"/>
  </r>
  <r>
    <x v="6257"/>
    <d v="1899-12-30T00:02:30"/>
    <x v="1526"/>
    <x v="15"/>
    <s v="morrisville"/>
    <x v="1382"/>
    <n v="1501633"/>
    <x v="0"/>
    <s v="Language/Linguistics"/>
    <s v="9781118610701"/>
    <s v=",1,2,3,35,36,37,33,34,3,4,5,6,7,8,9,10,11,12,13,14"/>
    <n v="19"/>
    <m/>
    <m/>
    <s v="No"/>
    <x v="0"/>
    <d v="2015-09-28T02:05:05"/>
    <n v="7"/>
    <s v="136.204.32.67"/>
    <s v="PA227 -- .C658 2014eb"/>
    <n v="480.09"/>
    <d v="2013-10-23T00:00:00"/>
  </r>
  <r>
    <x v="6258"/>
    <d v="1899-12-30T00:01:19"/>
    <x v="1004"/>
    <x v="0"/>
    <s v="Buffalo"/>
    <x v="963"/>
    <n v="1969426"/>
    <x v="1"/>
    <s v="Environmental Studies; History"/>
    <s v="9781472440372"/>
    <s v=",1,2,3,25,26,27,24,23,28,29,30,31,32"/>
    <n v="13"/>
    <m/>
    <m/>
    <s v="No"/>
    <x v="3"/>
    <m/>
    <m/>
    <s v="128.205.114.91"/>
    <s v="CC135 -- .M363 2015eb"/>
    <s v="363.6/9"/>
    <d v="2015-03-28T00:00:00"/>
  </r>
  <r>
    <x v="6259"/>
    <d v="1899-12-30T00:05:10"/>
    <x v="1484"/>
    <x v="0"/>
    <s v="Buffalo"/>
    <x v="552"/>
    <n v="1294909"/>
    <x v="3"/>
    <s v="Economics; Business/Management"/>
    <s v="9780520956797"/>
    <s v=",70,71,72,73,74,75,76,77,78,79,80,81,82,83,84,85,86,87,88,89,90,91,92,93,94,95,96"/>
    <n v="27"/>
    <m/>
    <m/>
    <s v="No"/>
    <x v="0"/>
    <d v="2015-10-04T23:18:00"/>
    <n v="7"/>
    <s v="128.205.114.91"/>
    <s v="HC110.P6 -- I25 2013eb"/>
    <s v="339.4/60973"/>
    <d v="2013-08-01T00:00:00"/>
  </r>
  <r>
    <x v="6260"/>
    <d v="1899-12-30T00:01:13"/>
    <x v="1484"/>
    <x v="0"/>
    <s v="Buffalo"/>
    <x v="552"/>
    <n v="1294909"/>
    <x v="3"/>
    <s v="Economics; Business/Management"/>
    <s v="9780520956797"/>
    <s v=",1,3,2,54,55,56,52,53,51,50,57,62,63,65,64,61,60,59,66,67,68,69"/>
    <n v="22"/>
    <m/>
    <m/>
    <s v="No"/>
    <x v="1"/>
    <m/>
    <m/>
    <s v="128.205.114.91"/>
    <s v="HC110.P6 -- I25 2013eb"/>
    <s v="339.4/60973"/>
    <d v="2013-08-01T00:00:00"/>
  </r>
  <r>
    <x v="6261"/>
    <d v="1899-12-30T00:02:04"/>
    <x v="1484"/>
    <x v="0"/>
    <s v="Buffalo"/>
    <x v="552"/>
    <n v="1294909"/>
    <x v="3"/>
    <s v="Economics; Business/Management"/>
    <s v="9780520956797"/>
    <s v=",1,2,3,37,38,39,35,36,40,41,42,43,46,45,48,47,44,49,50,51,52,53,54,55,56,57,58,59,60,61,62,63,64,65,66,67,68,69,70"/>
    <n v="39"/>
    <m/>
    <m/>
    <s v="No"/>
    <x v="1"/>
    <m/>
    <m/>
    <s v="128.205.114.91"/>
    <s v="HC110.P6 -- I25 2013eb"/>
    <s v="339.4/60973"/>
    <d v="2013-08-01T00:00:00"/>
  </r>
  <r>
    <x v="6262"/>
    <d v="1899-12-30T00:06:50"/>
    <x v="1484"/>
    <x v="0"/>
    <s v="Buffalo"/>
    <x v="552"/>
    <n v="1294909"/>
    <x v="3"/>
    <s v="Economics; Business/Management"/>
    <s v="9780520956797"/>
    <s v=",1,2,3,38,37,39,36,35,40,41,42,43,44,45,46,47,48,49,51,50,52,53,54,55"/>
    <n v="24"/>
    <m/>
    <m/>
    <s v="No"/>
    <x v="1"/>
    <m/>
    <m/>
    <s v="128.205.114.91"/>
    <s v="HC110.P6 -- I25 2013eb"/>
    <s v="339.4/60973"/>
    <d v="2013-08-01T00:00:00"/>
  </r>
  <r>
    <x v="6263"/>
    <d v="1899-12-30T00:00:00"/>
    <x v="13"/>
    <x v="0"/>
    <s v="Buffalo"/>
    <x v="1412"/>
    <n v="836575"/>
    <x v="0"/>
    <s v="Mathematics"/>
    <s v="9781118226162"/>
    <s v=",35,34"/>
    <n v="2"/>
    <m/>
    <m/>
    <s v="No"/>
    <x v="0"/>
    <d v="2015-10-04T22:45:48"/>
    <n v="7"/>
    <s v="128.205.114.91"/>
    <s v="QA276.45.R3 -- G37 2012eb"/>
    <n v="519.50285536000001"/>
    <d v="2012-05-22T00:00:00"/>
  </r>
  <r>
    <x v="6264"/>
    <d v="1899-12-30T00:00:03"/>
    <x v="930"/>
    <x v="1"/>
    <s v="brockport"/>
    <x v="372"/>
    <n v="877782"/>
    <x v="0"/>
    <s v="Social Science; Science: Biology/Natural History; Science"/>
    <s v="9781118255407"/>
    <s v=",1,2,3"/>
    <n v="3"/>
    <m/>
    <m/>
    <s v="No"/>
    <x v="1"/>
    <m/>
    <m/>
    <s v="137.21.7.121"/>
    <s v="GN69.8 -- .C659 2012eb"/>
    <n v="599.9"/>
    <d v="2012-03-26T00:00:00"/>
  </r>
  <r>
    <x v="6265"/>
    <d v="1899-12-30T01:01:36"/>
    <x v="13"/>
    <x v="0"/>
    <s v="Buffalo"/>
    <x v="1412"/>
    <n v="836575"/>
    <x v="0"/>
    <s v="Mathematics"/>
    <s v="9781118226162"/>
    <s v=",1,3,2,4,27,28,25,29,26,30,31,32,33,34,35,36,37,38,39,40"/>
    <n v="20"/>
    <m/>
    <m/>
    <s v="No"/>
    <x v="1"/>
    <m/>
    <m/>
    <s v="128.205.114.91"/>
    <s v="QA276.45.R3 -- G37 2012eb"/>
    <n v="519.50285536000001"/>
    <d v="2012-05-22T00:00:00"/>
  </r>
  <r>
    <x v="6266"/>
    <d v="1899-12-30T00:49:42"/>
    <x v="1367"/>
    <x v="0"/>
    <s v="Buffalo"/>
    <x v="31"/>
    <n v="1682559"/>
    <x v="4"/>
    <s v="Medicine"/>
    <s v="9781462515431"/>
    <s v=",1,2,3,69,70,71,67,68,72,73,74,75,76,77,78,79,80,81,82,83,84,85,86,87,88,89,90,91,92,93,94,95,96"/>
    <n v="33"/>
    <m/>
    <m/>
    <s v="No"/>
    <x v="0"/>
    <d v="2015-10-02T19:51:25"/>
    <n v="7"/>
    <s v="128.205.114.91"/>
    <s v="RC469 -- .M677 2014eb"/>
    <n v="616.89"/>
    <d v="2014-05-10T00:00:00"/>
  </r>
  <r>
    <x v="6267"/>
    <d v="1899-12-30T00:37:25"/>
    <x v="1140"/>
    <x v="0"/>
    <s v="Buffalo"/>
    <x v="73"/>
    <n v="1119505"/>
    <x v="0"/>
    <s v="Science: Chemistry; Science"/>
    <s v="9781118355015"/>
    <s v=",1,2,2,3,3,1,2,2,387,388,389,387,385,386,388,389,386,390,390,391,391,386,391,386,385,390,391,386,391,386,385,390,391,392,386,392,385"/>
    <n v="11"/>
    <m/>
    <m/>
    <s v="No"/>
    <x v="0"/>
    <d v="2015-09-27T22:27:45"/>
    <n v="7"/>
    <s v="128.205.114.91"/>
    <s v="QD251.3 -- .S38 2013eb"/>
    <s v="547/.128"/>
    <d v="2013-01-28T00:00:00"/>
  </r>
  <r>
    <x v="6268"/>
    <d v="1899-12-30T00:00:27"/>
    <x v="1442"/>
    <x v="3"/>
    <s v="canton"/>
    <x v="1413"/>
    <n v="1841092"/>
    <x v="11"/>
    <s v="Science: Physics; Science"/>
    <s v="9780226174938"/>
    <s v=",1,2,3,14,15,12,13,16,17"/>
    <n v="9"/>
    <m/>
    <m/>
    <s v="No"/>
    <x v="3"/>
    <m/>
    <m/>
    <s v="137.37.33.33"/>
    <s v="QC352"/>
    <s v="535/.209"/>
    <d v="2014-12-26T00:00:00"/>
  </r>
  <r>
    <x v="6269"/>
    <d v="1899-12-30T00:00:00"/>
    <x v="1527"/>
    <x v="13"/>
    <s v="buffalostate"/>
    <x v="1414"/>
    <n v="849019"/>
    <x v="0"/>
    <s v="Science: Biology/Natural History; Agriculture; Science"/>
    <s v="9781119949862"/>
    <m/>
    <n v="0"/>
    <m/>
    <s v=",29,30,31,32"/>
    <s v="No"/>
    <x v="0"/>
    <d v="2015-10-04T20:23:23"/>
    <n v="7"/>
    <s v="136.183.11.43"/>
    <s v="QP801.C24 -- C636 2012eb"/>
    <n v="633.73"/>
    <d v="2012-01-24T00:00:00"/>
  </r>
  <r>
    <x v="6270"/>
    <d v="1899-12-30T00:03:57"/>
    <x v="1527"/>
    <x v="13"/>
    <s v="buffalostate"/>
    <x v="1414"/>
    <n v="849019"/>
    <x v="0"/>
    <s v="Science: Biology/Natural History; Agriculture; Science"/>
    <s v="9781119949862"/>
    <s v=",1,3,2,3,2,1,4,4,2,29,2,30,29,31,30,28,28,31,33,33,29,30,31,29,35,1,29,30,31,27,30,31,1,2,2,32,32,33,33,34,34,35,35,29,27,32"/>
    <n v="13"/>
    <m/>
    <m/>
    <s v="No"/>
    <x v="1"/>
    <m/>
    <m/>
    <s v="136.183.11.43"/>
    <s v="QP801.C24 -- C636 2012eb"/>
    <n v="633.73"/>
    <d v="2012-01-24T00:00:00"/>
  </r>
  <r>
    <x v="6271"/>
    <d v="1899-12-30T00:05:11"/>
    <x v="1528"/>
    <x v="0"/>
    <s v="Buffalo"/>
    <x v="537"/>
    <n v="1710992"/>
    <x v="3"/>
    <s v="Social Science"/>
    <s v="9780520959125"/>
    <s v=",4,5,6,7,8,9,10,11,63,65,64,61,62,66,67"/>
    <n v="15"/>
    <m/>
    <m/>
    <s v="No"/>
    <x v="0"/>
    <d v="2015-10-04T20:18:21"/>
    <n v="7"/>
    <s v="128.205.114.91"/>
    <s v="GR340 -- .F66 2015eb"/>
    <n v="398.209"/>
    <d v="2015-01-14T00:00:00"/>
  </r>
  <r>
    <x v="6272"/>
    <d v="1899-12-30T00:06:20"/>
    <x v="1528"/>
    <x v="0"/>
    <s v="Buffalo"/>
    <x v="537"/>
    <n v="1710992"/>
    <x v="3"/>
    <s v="Social Science"/>
    <s v="9780520959125"/>
    <s v=",1,2,3"/>
    <n v="3"/>
    <m/>
    <m/>
    <s v="No"/>
    <x v="3"/>
    <m/>
    <m/>
    <s v="128.205.114.91"/>
    <s v="GR340 -- .F66 2015eb"/>
    <n v="398.209"/>
    <d v="2015-01-14T00:00:00"/>
  </r>
  <r>
    <x v="6273"/>
    <d v="1899-12-30T00:06:34"/>
    <x v="1529"/>
    <x v="0"/>
    <s v="Buffalo"/>
    <x v="144"/>
    <n v="1760717"/>
    <x v="4"/>
    <s v="Medicine"/>
    <s v="9781462517640"/>
    <s v=",1,2,3,4,5,6,435,437,436,433,434,438,439,440,441,442,443,444,446,445,447,448,103,104,105,101,102,106,108,107,109,110,111,112,114,113,115,116,117,118"/>
    <n v="40"/>
    <m/>
    <m/>
    <s v="No"/>
    <x v="1"/>
    <m/>
    <m/>
    <s v="128.205.114.91"/>
    <s v="RJ505.P6 -- .P539 2015eb"/>
    <n v="618.9289"/>
    <d v="2014-11-17T00:00:00"/>
  </r>
  <r>
    <x v="6274"/>
    <d v="1899-12-30T00:00:17"/>
    <x v="1530"/>
    <x v="1"/>
    <s v="brockport"/>
    <x v="407"/>
    <n v="822491"/>
    <x v="0"/>
    <s v="Science; Science: Biology/Natural History; Science: Anatomy/Physiology"/>
    <s v="9781118276273"/>
    <s v=",1,2,3,290,291,292,288,289,297"/>
    <n v="9"/>
    <m/>
    <m/>
    <s v="No"/>
    <x v="1"/>
    <m/>
    <m/>
    <s v="137.21.7.121"/>
    <s v="QP34.5 .F862 2011"/>
    <n v="612"/>
    <d v="2011-11-21T00:00:00"/>
  </r>
  <r>
    <x v="6275"/>
    <d v="1899-12-30T00:00:39"/>
    <x v="1531"/>
    <x v="1"/>
    <s v="brockport"/>
    <x v="1226"/>
    <n v="1132737"/>
    <x v="11"/>
    <s v="Political Science"/>
    <s v="9780226016177"/>
    <s v=",1,1,3,3,2,2,4,4,5,5,6,6,9,9,10,11,7,10,8,8,11,12,12,13,2,13,14,14,15,15,16,16"/>
    <n v="16"/>
    <m/>
    <m/>
    <s v="No"/>
    <x v="3"/>
    <m/>
    <m/>
    <s v="137.21.7.121"/>
    <s v="JC71"/>
    <s v="320.01/1"/>
    <d v="2013-04-01T00:00:00"/>
  </r>
  <r>
    <x v="6276"/>
    <d v="1899-12-30T00:01:02"/>
    <x v="591"/>
    <x v="12"/>
    <s v="potsdam"/>
    <x v="624"/>
    <n v="1132027"/>
    <x v="3"/>
    <s v="History"/>
    <s v="9780520954694"/>
    <s v=",1,2,3,4,5,6,7,8,9,12,13,14,10,11"/>
    <n v="14"/>
    <m/>
    <m/>
    <s v="No"/>
    <x v="1"/>
    <m/>
    <m/>
    <s v="137.143.104.94"/>
    <s v="DF234 -- .G74 2013eb"/>
    <n v="938.07"/>
    <d v="2013-01-08T00:00:00"/>
  </r>
  <r>
    <x v="6277"/>
    <d v="1899-12-30T01:01:46"/>
    <x v="1532"/>
    <x v="12"/>
    <s v="potsdam"/>
    <x v="1415"/>
    <n v="1546789"/>
    <x v="2"/>
    <s v="History"/>
    <s v="9781317976431"/>
    <s v=",1,2,3,2,3,1,154,155,156,155,154,156,152,153,153,173,173,174,174,175,175,2,172,172,171,176,176,154,155,156,152,153,157,157,158,158,159,159,160,160,161,162,161,162,163,163,164,164,165,165,166,166,167,167,168,168,169,169,170,170,171,166,171,172,172,1,172,174,1,173,174,170,173,171,171,175,175,176,176,177,177,178,179,178,179,2,2,180,180,181,181,182,183,183,182,184,184,185,185,187,186,187,186,188,188,189,189,190,191,190,191,192,192,193,193,194,194,196,196,195,197,195,197,198,198,199,199,194,193,192,190,191,189,188,187,192,193,188,193,194,195,190,189,187,188,186,185,190,1,190,1,191,190,191,192,188,192,189,189,193,193,194,195,194,195,196,196,197,197,198,198,199,200,199,200,195,2,2,194,193,198,199,194,193"/>
    <n v="52"/>
    <m/>
    <m/>
    <s v="No"/>
    <x v="2"/>
    <d v="2015-10-03T20:47:01"/>
    <n v="1"/>
    <s v="137.143.104.94"/>
    <s v="DG276 -- .A44 2014eb"/>
    <n v="937.07"/>
    <d v="2013-11-07T00:00:00"/>
  </r>
  <r>
    <x v="6278"/>
    <d v="1899-12-30T00:05:25"/>
    <x v="1140"/>
    <x v="0"/>
    <s v="Buffalo"/>
    <x v="73"/>
    <n v="1119505"/>
    <x v="0"/>
    <s v="Science: Chemistry; Science"/>
    <s v="9781118355015"/>
    <s v=",1,2,3,2,3,1,387,388,387,389,386,2,388,385,386,389,390,390,391,391,386,391,386,385,390,391,389,390,388,391,386,387,386,385"/>
    <n v="10"/>
    <m/>
    <m/>
    <s v="No"/>
    <x v="0"/>
    <d v="2015-09-27T22:27:45"/>
    <n v="7"/>
    <s v="128.205.114.91"/>
    <s v="QD251.3 -- .S38 2013eb"/>
    <s v="547/.128"/>
    <d v="2013-01-28T00:00:00"/>
  </r>
  <r>
    <x v="6279"/>
    <d v="1899-12-30T00:00:28"/>
    <x v="461"/>
    <x v="0"/>
    <s v="Buffalo"/>
    <x v="500"/>
    <n v="699744"/>
    <x v="0"/>
    <s v="Engineering; Engineering: Electrical; Engineering: Civil"/>
    <s v="9781118585818"/>
    <s v=",1,2,3,17,18,19,15,20,16,14"/>
    <n v="10"/>
    <m/>
    <m/>
    <s v="No"/>
    <x v="0"/>
    <d v="2015-10-04T16:54:08"/>
    <n v="7"/>
    <s v="128.205.114.91"/>
    <s v="TA1520 -- .S24 2007eb"/>
    <n v="621.36"/>
    <d v="2013-02-05T00:00:00"/>
  </r>
  <r>
    <x v="6280"/>
    <d v="1899-12-30T00:14:27"/>
    <x v="461"/>
    <x v="0"/>
    <s v="Buffalo"/>
    <x v="500"/>
    <n v="699744"/>
    <x v="0"/>
    <s v="Engineering; Engineering: Electrical; Engineering: Civil"/>
    <s v="9781118585818"/>
    <s v=",685"/>
    <n v="1"/>
    <m/>
    <m/>
    <s v="Yes"/>
    <x v="0"/>
    <d v="2015-10-04T16:54:08"/>
    <n v="7"/>
    <s v="128.205.114.91"/>
    <s v="TA1520 -- .S24 2007eb"/>
    <n v="621.36"/>
    <d v="2013-02-05T00:00:00"/>
  </r>
  <r>
    <x v="6280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No"/>
    <x v="0"/>
    <d v="2015-10-04T16:54:08"/>
    <n v="7"/>
    <s v="128.205.114.91"/>
    <s v="TA1520 -- .S24 2007eb"/>
    <n v="621.36"/>
    <d v="2013-02-05T00:00:00"/>
  </r>
  <r>
    <x v="6281"/>
    <d v="1899-12-30T00:03:56"/>
    <x v="1533"/>
    <x v="0"/>
    <s v="Buffalo"/>
    <x v="1322"/>
    <n v="1132869"/>
    <x v="0"/>
    <s v="Business/Management"/>
    <s v="9781118502631"/>
    <s v=",1,2,3,3,1,2,2,2,393,394,393,394,395,395,391,392,392,396,397,396,397,398,398,399,394,393,399,391,392,252,253,252,254,253,251,254,255,251,255"/>
    <n v="17"/>
    <m/>
    <m/>
    <s v="No"/>
    <x v="1"/>
    <m/>
    <m/>
    <s v="128.205.114.91"/>
    <s v="HF5636 -- .T73 2013eb"/>
    <n v="657"/>
    <d v="2013-02-22T00:00:00"/>
  </r>
  <r>
    <x v="6282"/>
    <d v="1899-12-30T00:08:40"/>
    <x v="461"/>
    <x v="0"/>
    <s v="Buffalo"/>
    <x v="500"/>
    <n v="699744"/>
    <x v="0"/>
    <s v="Engineering; Engineering: Electrical; Engineering: Civil"/>
    <s v="9781118585818"/>
    <s v=",1,2,3,17,18,19,15,16,20,21,22,23,26,27,28,24,727,726,728,725,729,730,731,732,733,734,735,737,738,651,653,652,650,649,654,684,685,686,682,683,687"/>
    <n v="41"/>
    <m/>
    <m/>
    <s v="No"/>
    <x v="1"/>
    <m/>
    <m/>
    <s v="128.205.114.91"/>
    <s v="TA1520 -- .S24 2007eb"/>
    <n v="621.36"/>
    <d v="2013-02-05T00:00:00"/>
  </r>
  <r>
    <x v="6283"/>
    <d v="1899-12-30T00:01:16"/>
    <x v="13"/>
    <x v="0"/>
    <s v="Buffalo"/>
    <x v="1416"/>
    <n v="1589590"/>
    <x v="1"/>
    <s v="Social Science; Business/Management"/>
    <s v="9781409420064"/>
    <s v=",1,2,3,4,5,6,7,8,28,115,136,125,124,117,82,83,84,80,81,16,17,18,14,15,19,10,68,93,109,110,111,107,108,95"/>
    <n v="34"/>
    <m/>
    <m/>
    <s v="No"/>
    <x v="3"/>
    <m/>
    <m/>
    <s v="128.205.114.91"/>
    <s v="HD7334.L6 -- B47 2014eb"/>
    <s v="363.5/987964809421"/>
    <d v="2014-02-28T00:00:00"/>
  </r>
  <r>
    <x v="6284"/>
    <d v="1899-12-30T01:56:57"/>
    <x v="164"/>
    <x v="0"/>
    <s v="Buffalo"/>
    <x v="161"/>
    <n v="821663"/>
    <x v="0"/>
    <s v="Architecture"/>
    <s v="9781118168479"/>
    <s v=",4,5,6,7,8,9,10,11,12,13,14,15,16,17,1,17,18,19,15,16,2,14,19,20,21,22,23,13,47,48,49,45,46,50"/>
    <n v="28"/>
    <m/>
    <m/>
    <s v="No"/>
    <x v="0"/>
    <d v="2015-10-04T14:44:49"/>
    <n v="7"/>
    <s v="128.205.114.91"/>
    <s v="NA2547 -- .S74 2012eb"/>
    <n v="729"/>
    <d v="2012-03-05T00:00:00"/>
  </r>
  <r>
    <x v="6285"/>
    <d v="1899-12-30T00:18:06"/>
    <x v="164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6286"/>
    <d v="1899-12-30T00:01:54"/>
    <x v="1191"/>
    <x v="12"/>
    <s v="potsdam"/>
    <x v="29"/>
    <n v="1935742"/>
    <x v="8"/>
    <s v="Science; Science: Geology"/>
    <s v="9781118473252"/>
    <s v=",4,34,35,36,32,33,34,38"/>
    <n v="7"/>
    <m/>
    <m/>
    <s v="Yes"/>
    <x v="2"/>
    <d v="2015-10-04T14:03:16"/>
    <n v="1"/>
    <s v="137.143.104.94"/>
    <s v="GB54.5"/>
    <n v="550"/>
    <d v="2013-03-27T00:00:00"/>
  </r>
  <r>
    <x v="6287"/>
    <d v="1899-12-30T00:00:00"/>
    <x v="1191"/>
    <x v="12"/>
    <s v="potsdam"/>
    <x v="29"/>
    <n v="1935742"/>
    <x v="8"/>
    <s v="Science; Science: Geology"/>
    <s v="9781118473252"/>
    <m/>
    <n v="0"/>
    <m/>
    <m/>
    <s v="No"/>
    <x v="2"/>
    <d v="2015-10-04T14:03:16"/>
    <n v="1"/>
    <s v="137.143.104.94"/>
    <s v="GB54.5"/>
    <n v="550"/>
    <d v="2013-03-27T00:00:00"/>
  </r>
  <r>
    <x v="6288"/>
    <d v="1899-12-30T00:00:52"/>
    <x v="1191"/>
    <x v="12"/>
    <s v="potsdam"/>
    <x v="29"/>
    <n v="1935742"/>
    <x v="8"/>
    <s v="Science; Science: Geology"/>
    <s v="9781118473252"/>
    <s v=",1,2,3"/>
    <n v="3"/>
    <m/>
    <m/>
    <s v="No"/>
    <x v="3"/>
    <m/>
    <m/>
    <s v="137.143.104.94"/>
    <s v="GB54.5"/>
    <n v="550"/>
    <d v="2013-03-27T00:00:00"/>
  </r>
  <r>
    <x v="6289"/>
    <d v="1899-12-30T00:17:48"/>
    <x v="1513"/>
    <x v="6"/>
    <s v="sjfc"/>
    <x v="1406"/>
    <n v="1521045"/>
    <x v="2"/>
    <s v="Education"/>
    <s v="9781317920755"/>
    <s v=",29,30,31,32,33,34,35,36,37,38,39,40,41,42,43,44,45,46,47,48,49,50,51,52,53"/>
    <n v="25"/>
    <m/>
    <m/>
    <s v="Yes"/>
    <x v="2"/>
    <d v="2015-10-04T12:56:36"/>
    <n v="7"/>
    <s v="149.69.254.57"/>
    <s v="LB1027.5 -- .W67 2013eb"/>
    <n v="371.4"/>
    <d v="2013-10-31T00:00:00"/>
  </r>
  <r>
    <x v="6289"/>
    <d v="1899-12-30T00:00:00"/>
    <x v="1513"/>
    <x v="6"/>
    <s v="sjfc"/>
    <x v="1406"/>
    <n v="1521045"/>
    <x v="2"/>
    <s v="Education"/>
    <s v="9781317920755"/>
    <m/>
    <n v="0"/>
    <m/>
    <m/>
    <s v="No"/>
    <x v="2"/>
    <d v="2015-10-04T12:56:36"/>
    <n v="7"/>
    <s v="149.69.254.57"/>
    <s v="LB1027.5 -- .W67 2013eb"/>
    <n v="371.4"/>
    <d v="2013-10-31T00:00:00"/>
  </r>
  <r>
    <x v="6290"/>
    <d v="1899-12-30T00:05:51"/>
    <x v="1513"/>
    <x v="6"/>
    <s v="sjfc"/>
    <x v="1406"/>
    <n v="1521045"/>
    <x v="2"/>
    <s v="Education"/>
    <s v="9781317920755"/>
    <s v=",1,2,3,4,5,6,7,8,9,10,11,13,12,14,15,16,17,18,19,20,21,22,23,24,25,26,27,28,29,30"/>
    <n v="30"/>
    <m/>
    <m/>
    <s v="No"/>
    <x v="3"/>
    <m/>
    <m/>
    <s v="149.69.254.57"/>
    <s v="LB1027.5 -- .W67 2013eb"/>
    <n v="371.4"/>
    <d v="2013-10-31T00:00:00"/>
  </r>
  <r>
    <x v="6291"/>
    <d v="1899-12-30T02:38:48"/>
    <x v="1298"/>
    <x v="0"/>
    <s v="Buffalo"/>
    <x v="901"/>
    <n v="864784"/>
    <x v="10"/>
    <s v="Education"/>
    <s v="9781400841578"/>
    <s v=",1,3,2,53,54,55,52,51,50,84,85,86,83,82,56,57,58,59,60,61,62,63,64,65,66,67,68,69,70,71,72,73,74,75,76,77,78,79,80,81,82,83,84,85,86"/>
    <n v="40"/>
    <m/>
    <m/>
    <s v="No"/>
    <x v="1"/>
    <m/>
    <m/>
    <s v="128.205.114.91"/>
    <s v="LA227.4 .D455 2012"/>
    <n v="378.73"/>
    <d v="2014-05-27T00:00:00"/>
  </r>
  <r>
    <x v="6292"/>
    <d v="1899-12-30T00:00:46"/>
    <x v="1532"/>
    <x v="12"/>
    <s v="potsdam"/>
    <x v="1415"/>
    <n v="1546789"/>
    <x v="2"/>
    <s v="History"/>
    <s v="9781317976431"/>
    <s v=",1,2,3,154,155,156,152,153,157,158,159,160,161,162,163,164,165,166"/>
    <n v="18"/>
    <m/>
    <m/>
    <s v="No"/>
    <x v="2"/>
    <d v="2015-10-03T20:47:01"/>
    <n v="1"/>
    <s v="137.143.104.94"/>
    <s v="DG276 -- .A44 2014eb"/>
    <n v="937.07"/>
    <d v="2013-11-07T00:00:00"/>
  </r>
  <r>
    <x v="6293"/>
    <d v="1899-12-30T00:08:46"/>
    <x v="1532"/>
    <x v="12"/>
    <s v="potsdam"/>
    <x v="1415"/>
    <n v="1546789"/>
    <x v="2"/>
    <s v="History"/>
    <s v="9781317976431"/>
    <s v=",1,2,3,154,155,156,152,157,153,158,159,160,161,162,163,164,165"/>
    <n v="17"/>
    <m/>
    <m/>
    <s v="No"/>
    <x v="2"/>
    <d v="2015-10-03T20:47:01"/>
    <n v="1"/>
    <s v="137.143.104.94"/>
    <s v="DG276 -- .A44 2014eb"/>
    <n v="937.07"/>
    <d v="2013-11-07T00:00:00"/>
  </r>
  <r>
    <x v="6294"/>
    <d v="1899-12-30T00:00:10"/>
    <x v="1532"/>
    <x v="12"/>
    <s v="potsdam"/>
    <x v="1415"/>
    <n v="1546789"/>
    <x v="2"/>
    <s v="History"/>
    <s v="9781317976431"/>
    <s v=",1,2,3,154,155,156,152,153"/>
    <n v="8"/>
    <m/>
    <m/>
    <s v="No"/>
    <x v="2"/>
    <d v="2015-10-03T20:47:01"/>
    <n v="1"/>
    <s v="137.143.104.94"/>
    <s v="DG276 -- .A44 2014eb"/>
    <n v="937.07"/>
    <d v="2013-11-07T00:00:00"/>
  </r>
  <r>
    <x v="6295"/>
    <d v="1899-12-30T00:08:18"/>
    <x v="1140"/>
    <x v="0"/>
    <s v="Buffalo"/>
    <x v="73"/>
    <n v="1119505"/>
    <x v="0"/>
    <s v="Science: Chemistry; Science"/>
    <s v="9781118355015"/>
    <s v=",1,2,3,106,107,108,104,105,109,110,111,112,113"/>
    <n v="13"/>
    <m/>
    <s v=",106,107,108,109,110,111,112,113,114,115,116,117,118,119,120,121,122,123,124,125,126,127,128,129,130,131,132,133,134,135,136,137,138,139,140,141,142,143,144,145,146,147,148,149,150,151,152,153,154,155,156,157,158,159,160,161,162,163,164,165,166,167,168"/>
    <s v="No"/>
    <x v="0"/>
    <d v="2015-09-27T22:27:45"/>
    <n v="7"/>
    <s v="128.205.114.91"/>
    <s v="QD251.3 -- .S38 2013eb"/>
    <s v="547/.128"/>
    <d v="2013-01-28T00:00:00"/>
  </r>
  <r>
    <x v="6296"/>
    <d v="1899-12-30T00:01:36"/>
    <x v="1532"/>
    <x v="12"/>
    <s v="potsdam"/>
    <x v="1415"/>
    <n v="1546789"/>
    <x v="2"/>
    <s v="History"/>
    <s v="9781317976431"/>
    <s v=",1,2,3,60,61,62,58,59,154,155,156,152,153,157,154,155,156,152,153,157"/>
    <n v="14"/>
    <m/>
    <m/>
    <s v="No"/>
    <x v="2"/>
    <d v="2015-10-03T20:47:01"/>
    <n v="1"/>
    <s v="137.143.104.94"/>
    <s v="DG276 -- .A44 2014eb"/>
    <n v="937.07"/>
    <d v="2013-11-07T00:00:00"/>
  </r>
  <r>
    <x v="6297"/>
    <d v="1899-12-30T00:00:00"/>
    <x v="1534"/>
    <x v="0"/>
    <s v="Buffalo"/>
    <x v="674"/>
    <n v="980956"/>
    <x v="0"/>
    <s v="Psychology; Social Science"/>
    <s v="9781118227251"/>
    <m/>
    <n v="0"/>
    <m/>
    <s v=",405,406,407,408,409,410,411,412,413,414,415,416,417,418,419,420,421,422,423,424,425,426,427,428,429,430,431,432,433,434,435,436,437,438,439,440,441,442,443,444,445,446"/>
    <s v="No"/>
    <x v="0"/>
    <d v="2015-10-04T00:32:27"/>
    <n v="7"/>
    <s v="128.205.114.91"/>
    <s v="HV40 -- .T51377 2012eb"/>
    <s v="150.1023/36132"/>
    <d v="2012-07-23T00:00:00"/>
  </r>
  <r>
    <x v="6298"/>
    <d v="1899-12-30T00:02:31"/>
    <x v="1534"/>
    <x v="0"/>
    <s v="Buffalo"/>
    <x v="674"/>
    <n v="980956"/>
    <x v="0"/>
    <s v="Psychology; Social Science"/>
    <s v="9781118227251"/>
    <s v=",1,406,405,407,403,404,2,408,409,410,411,412,413,414,415,416,417,418,419,420,421,422,423,424,425,426,427,428,429,430,431,432,433,434,435,436,437,438,440"/>
    <n v="39"/>
    <m/>
    <m/>
    <s v="No"/>
    <x v="1"/>
    <m/>
    <m/>
    <s v="128.205.114.91"/>
    <s v="HV40 -- .T51377 2012eb"/>
    <s v="150.1023/36132"/>
    <d v="2012-07-23T00:00:00"/>
  </r>
  <r>
    <x v="6299"/>
    <d v="1899-12-30T00:00:19"/>
    <x v="1535"/>
    <x v="12"/>
    <s v="potsdam"/>
    <x v="1417"/>
    <n v="1569676"/>
    <x v="2"/>
    <s v="Social Science"/>
    <s v="9781136688652"/>
    <s v=",15,16"/>
    <n v="2"/>
    <m/>
    <m/>
    <s v="No"/>
    <x v="2"/>
    <d v="2015-10-03T22:56:10"/>
    <n v="1"/>
    <s v="137.143.104.94"/>
    <s v="HQ778.7.S6"/>
    <n v="305.23096800000002"/>
    <d v="2013-11-26T00:00:00"/>
  </r>
  <r>
    <x v="6300"/>
    <d v="1899-12-30T00:00:15"/>
    <x v="13"/>
    <x v="0"/>
    <s v="Buffalo"/>
    <x v="73"/>
    <n v="1119505"/>
    <x v="0"/>
    <s v="Science: Chemistry; Science"/>
    <s v="9781118355015"/>
    <s v=",1,2,3,106,107,108,104,106,105"/>
    <n v="8"/>
    <m/>
    <m/>
    <s v="No"/>
    <x v="0"/>
    <d v="2015-09-30T00:47:57"/>
    <n v="7"/>
    <s v="128.205.114.91"/>
    <s v="QD251.3 -- .S38 2013eb"/>
    <s v="547/.128"/>
    <d v="2013-01-28T00:00:00"/>
  </r>
  <r>
    <x v="6301"/>
    <d v="1899-12-30T00:00:11"/>
    <x v="1536"/>
    <x v="12"/>
    <s v="potsdam"/>
    <x v="1418"/>
    <n v="1356373"/>
    <x v="2"/>
    <s v="History"/>
    <s v="9781317861652"/>
    <s v=",2,1,3,4,5"/>
    <n v="5"/>
    <m/>
    <m/>
    <s v="No"/>
    <x v="3"/>
    <m/>
    <m/>
    <s v="137.143.104.94"/>
    <s v="DT1757 -- .C52 2011eb"/>
    <n v="968.05"/>
    <d v="2013-08-21T00:00:00"/>
  </r>
  <r>
    <x v="6302"/>
    <d v="1899-12-30T00:41:46"/>
    <x v="1535"/>
    <x v="12"/>
    <s v="potsdam"/>
    <x v="1417"/>
    <n v="1569676"/>
    <x v="2"/>
    <s v="Social Science"/>
    <s v="9781136688652"/>
    <s v=",1,2,3,4,5,6,7,8,9,10,12,13,14,11"/>
    <n v="14"/>
    <m/>
    <m/>
    <s v="No"/>
    <x v="3"/>
    <m/>
    <m/>
    <s v="137.143.104.94"/>
    <s v="HQ778.7.S6"/>
    <n v="305.23096800000002"/>
    <d v="2013-11-26T00:00:00"/>
  </r>
  <r>
    <x v="6303"/>
    <d v="1899-12-30T00:52:17"/>
    <x v="1532"/>
    <x v="12"/>
    <s v="potsdam"/>
    <x v="1415"/>
    <n v="1546789"/>
    <x v="2"/>
    <s v="History"/>
    <s v="9781317976431"/>
    <s v=",158,158,159,159,160,160,161,161,162,162,157,162,163,163,164,164,165,165,166,166,161,160,159,158,157,156,155,154,152,153,157,158,162,163,164,160,161,165,166,161,166,1,166,167,166,1,165,168,165,168,167,164,169,169,2,2,164,163,162,161,165,160,165,166,167,168,169,170,170,171,171,172,172,173,173,174,169,174,168,166,167,154,155,154,156,155,156,152,153,157,153,157,158,158,159,159,160,161,162,157,162"/>
    <n v="25"/>
    <m/>
    <m/>
    <s v="No"/>
    <x v="2"/>
    <d v="2015-10-03T20:47:01"/>
    <n v="1"/>
    <s v="137.143.104.94"/>
    <s v="DG276 -- .A44 2014eb"/>
    <n v="937.07"/>
    <d v="2013-11-07T00:00:00"/>
  </r>
  <r>
    <x v="6304"/>
    <d v="1899-12-30T00:08:34"/>
    <x v="1008"/>
    <x v="0"/>
    <s v="Buffalo"/>
    <x v="73"/>
    <n v="1119505"/>
    <x v="0"/>
    <s v="Science: Chemistry; Science"/>
    <s v="9781118355015"/>
    <s v=",1,2,3,106,107,108,105,104"/>
    <n v="8"/>
    <m/>
    <s v=",106,107,108,109,110,111,112,113,114,115,116,117,118,119,120,121,122,123,124,125,126,127,128,129,130,131,132,133,134,135,136,137,138,139,140,141,142,143,144,145,146,147,148,149,150,151,152,153,154,155,156,157,158,159,160,161,162,163,164,165,166,167,168"/>
    <s v="No"/>
    <x v="0"/>
    <d v="2015-09-28T19:23:07"/>
    <n v="7"/>
    <s v="128.205.114.91"/>
    <s v="QD251.3 -- .S38 2013eb"/>
    <s v="547/.128"/>
    <d v="2013-01-28T00:00:00"/>
  </r>
  <r>
    <x v="6305"/>
    <d v="1899-12-30T00:09:47"/>
    <x v="1532"/>
    <x v="12"/>
    <s v="potsdam"/>
    <x v="1415"/>
    <n v="1546789"/>
    <x v="2"/>
    <s v="History"/>
    <s v="9781317976431"/>
    <s v=",1,2,3,2,1,3,2,2,154,155,156,155,154,156,153,152,153,157,157"/>
    <n v="9"/>
    <m/>
    <m/>
    <s v="No"/>
    <x v="3"/>
    <m/>
    <m/>
    <s v="137.143.104.94"/>
    <s v="DG276 -- .A44 2014eb"/>
    <n v="937.07"/>
    <d v="2013-11-07T00:00:00"/>
  </r>
  <r>
    <x v="6306"/>
    <d v="1899-12-30T00:01:02"/>
    <x v="1537"/>
    <x v="0"/>
    <s v="Buffalo"/>
    <x v="161"/>
    <n v="821663"/>
    <x v="0"/>
    <s v="Architecture"/>
    <s v="9781118168479"/>
    <s v=",191,193,192,190,189,191,193,192,190,191,192,189,190,193,191,191,191"/>
    <n v="5"/>
    <s v=",191"/>
    <m/>
    <s v="No"/>
    <x v="0"/>
    <d v="2015-10-03T18:56:57"/>
    <n v="7"/>
    <s v="128.205.114.91"/>
    <s v="NA2547 -- .S74 2012eb"/>
    <n v="729"/>
    <d v="2012-03-05T00:00:00"/>
  </r>
  <r>
    <x v="6307"/>
    <d v="1899-12-30T00:01:05"/>
    <x v="1537"/>
    <x v="0"/>
    <s v="Buffalo"/>
    <x v="161"/>
    <n v="821663"/>
    <x v="0"/>
    <s v="Architecture"/>
    <s v="9781118168479"/>
    <s v=",1,2,2,3,3,1,2,2,187,187,185,189,189,190,190,185,190,191,191,193,192,193,189,192,191,193,192,191,193,190"/>
    <n v="10"/>
    <m/>
    <m/>
    <s v="No"/>
    <x v="1"/>
    <m/>
    <m/>
    <s v="128.205.114.91"/>
    <s v="NA2547 -- .S74 2012eb"/>
    <n v="729"/>
    <d v="2012-03-05T00:00:00"/>
  </r>
  <r>
    <x v="6308"/>
    <d v="1899-12-30T00:03:08"/>
    <x v="1538"/>
    <x v="13"/>
    <s v="buffalostate"/>
    <x v="1419"/>
    <n v="2004798"/>
    <x v="1"/>
    <s v="Business/Management; Political Science"/>
    <s v="9781472436702"/>
    <s v=",284,286,285,282,283,1,19,20,21,18,17,15,16,22,293,306,308,307,304,305,303,302,300,297,296,294,287,289,288,280,281,279,277,278"/>
    <n v="34"/>
    <m/>
    <m/>
    <s v="No"/>
    <x v="2"/>
    <d v="2015-10-03T18:44:21"/>
    <n v="1"/>
    <s v="136.183.11.43"/>
    <s v="HC800 -- .A375 2015eb"/>
    <n v="327.1096"/>
    <d v="2015-04-28T00:00:00"/>
  </r>
  <r>
    <x v="6309"/>
    <d v="1899-12-30T00:30:21"/>
    <x v="1538"/>
    <x v="13"/>
    <s v="buffalostate"/>
    <x v="1419"/>
    <n v="2004798"/>
    <x v="1"/>
    <s v="Business/Management; Political Science"/>
    <s v="9781472436702"/>
    <s v=",1,2,3,36,37,38,35,34,33,32,31,30"/>
    <n v="12"/>
    <m/>
    <m/>
    <s v="No"/>
    <x v="3"/>
    <m/>
    <m/>
    <s v="136.183.11.43"/>
    <s v="HC800 -- .A375 2015eb"/>
    <n v="327.1096"/>
    <d v="2015-04-28T00:00:00"/>
  </r>
  <r>
    <x v="6310"/>
    <d v="1899-12-30T00:00:05"/>
    <x v="1539"/>
    <x v="12"/>
    <s v="potsdam"/>
    <x v="175"/>
    <n v="875809"/>
    <x v="0"/>
    <s v="Language/Linguistics"/>
    <s v="9781118223598"/>
    <s v=",1,43,44,45,41,42"/>
    <n v="6"/>
    <m/>
    <m/>
    <s v="No"/>
    <x v="0"/>
    <d v="2015-10-03T16:18:48"/>
    <n v="7"/>
    <s v="137.143.104.94"/>
    <s v="PE1128.A2 -- F455 2012eb"/>
    <n v="428.00709999999998"/>
    <d v="2012-08-07T00:00:00"/>
  </r>
  <r>
    <x v="6311"/>
    <d v="1899-12-30T00:06:23"/>
    <x v="807"/>
    <x v="0"/>
    <s v="Buffalo"/>
    <x v="73"/>
    <n v="1119505"/>
    <x v="0"/>
    <s v="Science: Chemistry; Science"/>
    <s v="9781118355015"/>
    <s v=",111,112,147,148,164,165,166,167,168,169,171,170,414,415,416,413,412,165,164,166,162,163,167,168"/>
    <n v="19"/>
    <m/>
    <m/>
    <s v="No"/>
    <x v="0"/>
    <d v="2015-10-03T16:10:53"/>
    <n v="7"/>
    <s v="128.205.114.91"/>
    <s v="QD251.3 -- .S38 2013eb"/>
    <s v="547/.128"/>
    <d v="2013-01-28T00:00:00"/>
  </r>
  <r>
    <x v="6312"/>
    <d v="1899-12-30T00:12:06"/>
    <x v="807"/>
    <x v="0"/>
    <s v="Buffalo"/>
    <x v="73"/>
    <n v="1119505"/>
    <x v="0"/>
    <s v="Science: Chemistry; Science"/>
    <s v="9781118355015"/>
    <s v=",1,2,3,106,107,108,104,105,109,110"/>
    <n v="10"/>
    <m/>
    <m/>
    <s v="No"/>
    <x v="1"/>
    <m/>
    <m/>
    <s v="128.205.114.91"/>
    <s v="QD251.3 -- .S38 2013eb"/>
    <s v="547/.128"/>
    <d v="2013-01-28T00:00:00"/>
  </r>
  <r>
    <x v="6313"/>
    <d v="1899-12-30T00:00:25"/>
    <x v="1040"/>
    <x v="16"/>
    <s v="monroecc"/>
    <x v="1420"/>
    <n v="1157717"/>
    <x v="0"/>
    <s v="Architecture"/>
    <s v="9781118421314"/>
    <s v=",1,2,2,3,3,1,2,2"/>
    <n v="3"/>
    <m/>
    <m/>
    <s v="No"/>
    <x v="3"/>
    <m/>
    <m/>
    <s v="150.160.200.114"/>
    <s v="NA2728 .B75 2013"/>
    <s v="720; 720.28/40285668; 720.2840285668"/>
    <d v="2013-03-19T00:00:00"/>
  </r>
  <r>
    <x v="6314"/>
    <d v="1899-12-30T00:00:11"/>
    <x v="1040"/>
    <x v="16"/>
    <s v="monroecc"/>
    <x v="1421"/>
    <n v="2004782"/>
    <x v="1"/>
    <s v="Engineering; Business/Management; Engineering: Civil"/>
    <s v="9781472419651"/>
    <s v=",1,2,2,3,3,1"/>
    <n v="3"/>
    <m/>
    <m/>
    <s v="No"/>
    <x v="3"/>
    <m/>
    <m/>
    <s v="150.160.200.114"/>
    <s v="HD9715.A2 -- .P765 2015eb"/>
    <s v="624.068/4"/>
    <d v="2015-04-28T00:00:00"/>
  </r>
  <r>
    <x v="6315"/>
    <d v="1899-12-30T00:00:12"/>
    <x v="1040"/>
    <x v="16"/>
    <s v="monroecc"/>
    <x v="1422"/>
    <n v="1865616"/>
    <x v="0"/>
    <s v="Law"/>
    <s v="9781118858097"/>
    <s v=",1,2,2,3,3,1,6,7,8,7,6,8,5,4,5"/>
    <n v="8"/>
    <m/>
    <m/>
    <s v="No"/>
    <x v="3"/>
    <m/>
    <m/>
    <s v="150.160.200.114"/>
    <s v="KF902 -- .S63 2015eb"/>
    <s v="343.7307/8624"/>
    <d v="2014-11-19T00:00:00"/>
  </r>
  <r>
    <x v="6316"/>
    <d v="1899-12-30T00:00:00"/>
    <x v="1040"/>
    <x v="16"/>
    <s v="monroecc"/>
    <x v="1423"/>
    <n v="1609396"/>
    <x v="0"/>
    <s v="Engineering; Engineering: Construction; Architecture"/>
    <s v="9781118866498"/>
    <m/>
    <n v="0"/>
    <m/>
    <m/>
    <s v="Yes"/>
    <x v="2"/>
    <d v="2015-10-03T15:52:18"/>
    <n v="7"/>
    <s v="150.160.200.114"/>
    <s v="TH880 -- .C48 2014eb"/>
    <s v="720/.47"/>
    <d v="2014-01-30T00:00:00"/>
  </r>
  <r>
    <x v="6316"/>
    <d v="1899-12-30T00:00:00"/>
    <x v="1040"/>
    <x v="16"/>
    <s v="monroecc"/>
    <x v="1423"/>
    <n v="1609396"/>
    <x v="0"/>
    <s v="Engineering; Engineering: Construction; Architecture"/>
    <s v="9781118866498"/>
    <m/>
    <n v="0"/>
    <m/>
    <m/>
    <s v="No"/>
    <x v="2"/>
    <d v="2015-10-03T15:52:18"/>
    <n v="7"/>
    <s v="150.160.200.114"/>
    <s v="TH880 -- .C48 2014eb"/>
    <s v="720/.47"/>
    <d v="2014-01-30T00:00:00"/>
  </r>
  <r>
    <x v="6317"/>
    <d v="1899-12-30T00:00:00"/>
    <x v="1040"/>
    <x v="16"/>
    <s v="monroecc"/>
    <x v="1194"/>
    <n v="1120820"/>
    <x v="0"/>
    <s v="Engineering; Fine Arts; Engineering: Construction"/>
    <s v="9781118404508"/>
    <m/>
    <n v="0"/>
    <m/>
    <m/>
    <s v="Yes"/>
    <x v="2"/>
    <d v="2015-10-03T15:37:58"/>
    <n v="1"/>
    <s v="150.160.200.114"/>
    <s v="TH6485 .P37 2013"/>
    <s v="690.42; 690/.42; 747.78"/>
    <d v="2013-01-17T00:00:00"/>
  </r>
  <r>
    <x v="6318"/>
    <d v="1899-12-30T00:00:00"/>
    <x v="1040"/>
    <x v="16"/>
    <s v="monroecc"/>
    <x v="1192"/>
    <n v="1120973"/>
    <x v="0"/>
    <s v="Engineering; Fine Arts; Engineering: Construction"/>
    <s v="9781118404621"/>
    <m/>
    <n v="0"/>
    <m/>
    <m/>
    <s v="Yes"/>
    <x v="0"/>
    <d v="2015-10-03T15:51:57"/>
    <n v="7"/>
    <s v="150.160.200.114"/>
    <s v="TH4816.3.K58 B43 2013"/>
    <s v="690.44; 690/.44; 747.797"/>
    <d v="2013-01-30T00:00:00"/>
  </r>
  <r>
    <x v="6318"/>
    <d v="1899-12-30T00:00:00"/>
    <x v="1040"/>
    <x v="16"/>
    <s v="monroecc"/>
    <x v="1192"/>
    <n v="1120973"/>
    <x v="0"/>
    <s v="Engineering; Fine Arts; Engineering: Construction"/>
    <s v="9781118404621"/>
    <m/>
    <n v="0"/>
    <m/>
    <m/>
    <s v="No"/>
    <x v="0"/>
    <d v="2015-10-03T15:51:57"/>
    <n v="7"/>
    <s v="150.160.200.114"/>
    <s v="TH4816.3.K58 B43 2013"/>
    <s v="690.44; 690/.44; 747.797"/>
    <d v="2013-01-30T00:00:00"/>
  </r>
  <r>
    <x v="6319"/>
    <d v="1899-12-30T00:00:00"/>
    <x v="1040"/>
    <x v="16"/>
    <s v="monroecc"/>
    <x v="1424"/>
    <n v="1584087"/>
    <x v="0"/>
    <s v="Engineering: General; Engineering: Mechanical; Engineering"/>
    <s v="9783527673605"/>
    <m/>
    <n v="0"/>
    <m/>
    <m/>
    <s v="Yes"/>
    <x v="2"/>
    <d v="2015-10-03T15:51:42"/>
    <n v="7"/>
    <s v="150.160.200.114"/>
    <s v="TJ163.9 .F384 2013"/>
    <n v="621.04205000000002"/>
    <d v="2013-12-19T00:00:00"/>
  </r>
  <r>
    <x v="6319"/>
    <d v="1899-12-30T00:00:00"/>
    <x v="1040"/>
    <x v="16"/>
    <s v="monroecc"/>
    <x v="1424"/>
    <n v="1584087"/>
    <x v="0"/>
    <s v="Engineering: General; Engineering: Mechanical; Engineering"/>
    <s v="9783527673605"/>
    <m/>
    <n v="0"/>
    <m/>
    <m/>
    <s v="No"/>
    <x v="2"/>
    <d v="2015-10-03T15:51:42"/>
    <n v="7"/>
    <s v="150.160.200.114"/>
    <s v="TJ163.9 .F384 2013"/>
    <n v="621.04205000000002"/>
    <d v="2013-12-19T00:00:00"/>
  </r>
  <r>
    <x v="6320"/>
    <d v="1899-12-30T00:00:04"/>
    <x v="1040"/>
    <x v="16"/>
    <s v="monroecc"/>
    <x v="1425"/>
    <n v="1911913"/>
    <x v="0"/>
    <s v="Social Science; Health"/>
    <s v="9781118990803"/>
    <s v=",6,8,7,6,5,4,8,7,5"/>
    <n v="5"/>
    <m/>
    <m/>
    <s v="No"/>
    <x v="0"/>
    <d v="2015-10-03T15:51:03"/>
    <n v="7"/>
    <s v="150.160.200.114"/>
    <s v="RA645.5 -- .E44 2015eb"/>
    <n v="362.18"/>
    <d v="2014-12-30T00:00:00"/>
  </r>
  <r>
    <x v="6321"/>
    <d v="1899-12-30T00:00:00"/>
    <x v="1040"/>
    <x v="16"/>
    <s v="monroecc"/>
    <x v="1426"/>
    <n v="1956432"/>
    <x v="0"/>
    <s v="Science: Biology/Natural History; Science; Science: Anatomy/Physiology"/>
    <s v="9781118746271"/>
    <m/>
    <n v="0"/>
    <m/>
    <m/>
    <s v="Yes"/>
    <x v="0"/>
    <d v="2015-10-03T15:50:21"/>
    <n v="7"/>
    <s v="150.160.200.114"/>
    <s v="QP38 -- .P438 2015eb"/>
    <n v="612"/>
    <d v="2015-02-02T00:00:00"/>
  </r>
  <r>
    <x v="6322"/>
    <d v="1899-12-30T00:00:22"/>
    <x v="1040"/>
    <x v="16"/>
    <s v="monroecc"/>
    <x v="1426"/>
    <n v="1956432"/>
    <x v="0"/>
    <s v="Science: Biology/Natural History; Science; Science: Anatomy/Physiology"/>
    <s v="9781118746271"/>
    <s v=",6,7,8,8,7,4,6,5,5,9,9"/>
    <n v="6"/>
    <m/>
    <m/>
    <s v="No"/>
    <x v="0"/>
    <d v="2015-10-03T15:50:21"/>
    <n v="7"/>
    <s v="150.160.200.114"/>
    <s v="QP38 -- .P438 2015eb"/>
    <n v="612"/>
    <d v="2015-02-02T00:00:00"/>
  </r>
  <r>
    <x v="6323"/>
    <d v="1899-12-30T00:00:00"/>
    <x v="1040"/>
    <x v="16"/>
    <s v="monroecc"/>
    <x v="1427"/>
    <n v="1912454"/>
    <x v="0"/>
    <s v="Medicine"/>
    <s v="9781118655672"/>
    <m/>
    <n v="0"/>
    <m/>
    <m/>
    <s v="Yes"/>
    <x v="0"/>
    <d v="2015-10-03T15:50:05"/>
    <n v="7"/>
    <s v="150.160.200.114"/>
    <s v="RC86.7 -- .M87 2015eb"/>
    <s v="616.02/5"/>
    <d v="2014-12-24T00:00:00"/>
  </r>
  <r>
    <x v="6323"/>
    <d v="1899-12-30T00:00:00"/>
    <x v="1040"/>
    <x v="16"/>
    <s v="monroecc"/>
    <x v="1427"/>
    <n v="1912454"/>
    <x v="0"/>
    <s v="Medicine"/>
    <s v="9781118655672"/>
    <m/>
    <n v="0"/>
    <m/>
    <m/>
    <s v="No"/>
    <x v="0"/>
    <d v="2015-10-03T15:50:05"/>
    <n v="7"/>
    <s v="150.160.200.114"/>
    <s v="RC86.7 -- .M87 2015eb"/>
    <s v="616.02/5"/>
    <d v="2014-12-24T00:00:00"/>
  </r>
  <r>
    <x v="6324"/>
    <d v="1899-12-30T00:00:04"/>
    <x v="1040"/>
    <x v="16"/>
    <s v="monroecc"/>
    <x v="1428"/>
    <n v="1866577"/>
    <x v="0"/>
    <s v="Health; Nursing; Social Science"/>
    <s v="9781118490853"/>
    <s v=",8,10,9,10,8,9,7,6,7"/>
    <n v="5"/>
    <m/>
    <m/>
    <s v="No"/>
    <x v="0"/>
    <d v="2015-10-03T15:49:28"/>
    <n v="7"/>
    <s v="150.160.200.114"/>
    <s v="RA975.5.E5"/>
    <s v="362.18; 610.737069"/>
    <d v="2014-11-20T00:00:00"/>
  </r>
  <r>
    <x v="6325"/>
    <d v="1899-12-30T00:00:03"/>
    <x v="1040"/>
    <x v="16"/>
    <s v="monroecc"/>
    <x v="1070"/>
    <n v="1851934"/>
    <x v="0"/>
    <s v="Medicine"/>
    <s v="9781118638415"/>
    <s v=",7,8,8,5,9,6,7,6,9,4"/>
    <n v="6"/>
    <m/>
    <m/>
    <s v="No"/>
    <x v="0"/>
    <d v="2015-10-03T15:49:19"/>
    <n v="7"/>
    <s v="150.160.200.114"/>
    <s v="RC46 -- .E87 2015eb"/>
    <n v="616"/>
    <d v="2014-11-13T00:00:00"/>
  </r>
  <r>
    <x v="6326"/>
    <d v="1899-12-30T00:00:03"/>
    <x v="1040"/>
    <x v="16"/>
    <s v="monroecc"/>
    <x v="1076"/>
    <n v="1762077"/>
    <x v="0"/>
    <s v="Medicine"/>
    <s v="9781118914908"/>
    <s v=",6,6,7,4,8,7,5,8,5"/>
    <n v="5"/>
    <m/>
    <m/>
    <s v="No"/>
    <x v="0"/>
    <d v="2015-10-03T15:48:53"/>
    <n v="7"/>
    <s v="150.160.200.114"/>
    <s v="RC71.5 -- .N877 2014eb"/>
    <n v="616.07500000000005"/>
    <d v="2014-08-05T00:00:00"/>
  </r>
  <r>
    <x v="6327"/>
    <d v="1899-12-30T00:00:00"/>
    <x v="1040"/>
    <x v="16"/>
    <s v="monroecc"/>
    <x v="1429"/>
    <n v="1698579"/>
    <x v="17"/>
    <s v="Language/Linguistics"/>
    <s v="9780748675869"/>
    <m/>
    <n v="0"/>
    <m/>
    <m/>
    <s v="Yes"/>
    <x v="2"/>
    <d v="2015-10-03T15:48:47"/>
    <n v="7"/>
    <s v="150.160.200.114"/>
    <s v="PE1369 -- .H55 2014eb"/>
    <n v="425.01799999999997"/>
    <d v="2014-03-17T00:00:00"/>
  </r>
  <r>
    <x v="6327"/>
    <d v="1899-12-30T00:00:00"/>
    <x v="1040"/>
    <x v="16"/>
    <s v="monroecc"/>
    <x v="1429"/>
    <n v="1698579"/>
    <x v="17"/>
    <s v="Language/Linguistics"/>
    <s v="9780748675869"/>
    <m/>
    <n v="0"/>
    <m/>
    <m/>
    <s v="No"/>
    <x v="2"/>
    <d v="2015-10-03T15:48:47"/>
    <n v="7"/>
    <s v="150.160.200.114"/>
    <s v="PE1369 -- .H55 2014eb"/>
    <n v="425.01799999999997"/>
    <d v="2014-03-17T00:00:00"/>
  </r>
  <r>
    <x v="6328"/>
    <d v="1899-12-30T00:06:00"/>
    <x v="1040"/>
    <x v="16"/>
    <s v="monroecc"/>
    <x v="1429"/>
    <n v="1698579"/>
    <x v="17"/>
    <s v="Language/Linguistics"/>
    <s v="9780748675869"/>
    <s v=",1,2,2,1,3,3,2,2"/>
    <n v="3"/>
    <m/>
    <m/>
    <s v="No"/>
    <x v="3"/>
    <m/>
    <m/>
    <s v="150.160.200.114"/>
    <s v="PE1369 -- .H55 2014eb"/>
    <n v="425.01799999999997"/>
    <d v="2014-03-17T00:00:00"/>
  </r>
  <r>
    <x v="6329"/>
    <d v="1899-12-30T00:00:03"/>
    <x v="1040"/>
    <x v="16"/>
    <s v="monroecc"/>
    <x v="1430"/>
    <n v="1985697"/>
    <x v="0"/>
    <s v="Nursing"/>
    <s v="9781118745908"/>
    <s v=",1"/>
    <n v="1"/>
    <m/>
    <m/>
    <s v="No"/>
    <x v="3"/>
    <m/>
    <m/>
    <s v="150.160.200.114"/>
    <s v="RT51 -- .R693 2015eb"/>
    <n v="610.73"/>
    <d v="2015-03-05T00:00:00"/>
  </r>
  <r>
    <x v="6330"/>
    <d v="1899-12-30T00:06:19"/>
    <x v="1040"/>
    <x v="16"/>
    <s v="monroecc"/>
    <x v="1076"/>
    <n v="1762077"/>
    <x v="0"/>
    <s v="Medicine"/>
    <s v="9781118914908"/>
    <s v=",1,2,1,2,3,3,2,2"/>
    <n v="3"/>
    <m/>
    <m/>
    <s v="No"/>
    <x v="3"/>
    <m/>
    <m/>
    <s v="150.160.200.114"/>
    <s v="RC71.5 -- .N877 2014eb"/>
    <n v="616.07500000000005"/>
    <d v="2014-08-05T00:00:00"/>
  </r>
  <r>
    <x v="6331"/>
    <d v="1899-12-30T00:06:53"/>
    <x v="1040"/>
    <x v="16"/>
    <s v="monroecc"/>
    <x v="1070"/>
    <n v="1851934"/>
    <x v="0"/>
    <s v="Medicine"/>
    <s v="9781118638415"/>
    <s v=",1,2,2,3,3,1,2,2"/>
    <n v="3"/>
    <m/>
    <m/>
    <s v="No"/>
    <x v="3"/>
    <m/>
    <m/>
    <s v="150.160.200.114"/>
    <s v="RC46 -- .E87 2015eb"/>
    <n v="616"/>
    <d v="2014-11-13T00:00:00"/>
  </r>
  <r>
    <x v="6332"/>
    <d v="1899-12-30T00:07:05"/>
    <x v="1040"/>
    <x v="16"/>
    <s v="monroecc"/>
    <x v="1428"/>
    <n v="1866577"/>
    <x v="0"/>
    <s v="Health; Nursing; Social Science"/>
    <s v="9781118490853"/>
    <s v=",1,2,2,3,1,3,2,2"/>
    <n v="3"/>
    <m/>
    <m/>
    <s v="No"/>
    <x v="3"/>
    <m/>
    <m/>
    <s v="150.160.200.114"/>
    <s v="RA975.5.E5"/>
    <s v="362.18; 610.737069"/>
    <d v="2014-11-20T00:00:00"/>
  </r>
  <r>
    <x v="6333"/>
    <d v="1899-12-30T00:09:08"/>
    <x v="1040"/>
    <x v="16"/>
    <s v="monroecc"/>
    <x v="1427"/>
    <n v="1912454"/>
    <x v="0"/>
    <s v="Medicine"/>
    <s v="9781118655672"/>
    <s v=",1,2,3,3,2,1,2,2,7,8,7,5,8,9,6,4,5,6,9,9"/>
    <n v="9"/>
    <m/>
    <m/>
    <s v="No"/>
    <x v="3"/>
    <m/>
    <m/>
    <s v="150.160.200.114"/>
    <s v="RC86.7 -- .M87 2015eb"/>
    <s v="616.02/5"/>
    <d v="2014-12-24T00:00:00"/>
  </r>
  <r>
    <x v="6334"/>
    <d v="1899-12-30T00:09:35"/>
    <x v="1040"/>
    <x v="16"/>
    <s v="monroecc"/>
    <x v="1426"/>
    <n v="1956432"/>
    <x v="0"/>
    <s v="Science: Biology/Natural History; Science; Science: Anatomy/Physiology"/>
    <s v="9781118746271"/>
    <s v=",1,2,2,3,3,1,2,2"/>
    <n v="3"/>
    <m/>
    <m/>
    <s v="No"/>
    <x v="3"/>
    <m/>
    <m/>
    <s v="150.160.200.114"/>
    <s v="QP38 -- .P438 2015eb"/>
    <n v="612"/>
    <d v="2015-02-02T00:00:00"/>
  </r>
  <r>
    <x v="6335"/>
    <d v="1899-12-30T00:10:30"/>
    <x v="1040"/>
    <x v="16"/>
    <s v="monroecc"/>
    <x v="1425"/>
    <n v="1911913"/>
    <x v="0"/>
    <s v="Social Science; Health"/>
    <s v="9781118990803"/>
    <s v=",1,2,3,3,2,1,2,2"/>
    <n v="3"/>
    <m/>
    <m/>
    <s v="No"/>
    <x v="3"/>
    <m/>
    <m/>
    <s v="150.160.200.114"/>
    <s v="RA645.5 -- .E44 2015eb"/>
    <n v="362.18"/>
    <d v="2014-12-30T00:00:00"/>
  </r>
  <r>
    <x v="6336"/>
    <d v="1899-12-30T00:11:17"/>
    <x v="1040"/>
    <x v="16"/>
    <s v="monroecc"/>
    <x v="1424"/>
    <n v="1584087"/>
    <x v="0"/>
    <s v="Engineering: General; Engineering: Mechanical; Engineering"/>
    <s v="9783527673605"/>
    <s v=",1,2,2,3,3,1,2,2"/>
    <n v="3"/>
    <m/>
    <m/>
    <s v="No"/>
    <x v="3"/>
    <m/>
    <m/>
    <s v="150.160.200.114"/>
    <s v="TJ163.9 .F384 2013"/>
    <n v="621.04205000000002"/>
    <d v="2013-12-19T00:00:00"/>
  </r>
  <r>
    <x v="6337"/>
    <d v="1899-12-30T00:01:00"/>
    <x v="1040"/>
    <x v="16"/>
    <s v="monroecc"/>
    <x v="1431"/>
    <n v="2075620"/>
    <x v="0"/>
    <s v="Psychology; Social Science"/>
    <s v="9781118936559"/>
    <s v=",1,2,2,3,3,1,2,2,20,21,22,21,22,18,20,19,19,23,23,24,24"/>
    <n v="10"/>
    <m/>
    <m/>
    <s v="No"/>
    <x v="3"/>
    <m/>
    <m/>
    <s v="150.160.200.114"/>
    <s v="HQ1061"/>
    <n v="158.1"/>
    <d v="2014-09-16T00:00:00"/>
  </r>
  <r>
    <x v="6338"/>
    <d v="1899-12-30T00:13:57"/>
    <x v="1040"/>
    <x v="16"/>
    <s v="monroecc"/>
    <x v="1192"/>
    <n v="1120973"/>
    <x v="0"/>
    <s v="Engineering; Fine Arts; Engineering: Construction"/>
    <s v="9781118404621"/>
    <s v=",1,2,2,3,3,1,2,2"/>
    <n v="3"/>
    <m/>
    <m/>
    <s v="No"/>
    <x v="3"/>
    <m/>
    <m/>
    <s v="150.160.200.114"/>
    <s v="TH4816.3.K58 B43 2013"/>
    <s v="690.44; 690/.44; 747.797"/>
    <d v="2013-01-30T00:00:00"/>
  </r>
  <r>
    <x v="6339"/>
    <d v="1899-12-30T00:00:30"/>
    <x v="1040"/>
    <x v="16"/>
    <s v="monroecc"/>
    <x v="1194"/>
    <n v="1120820"/>
    <x v="0"/>
    <s v="Engineering; Fine Arts; Engineering: Construction"/>
    <s v="9781118404508"/>
    <s v=",1,2,2,1,3,3,2,2"/>
    <n v="3"/>
    <m/>
    <m/>
    <s v="No"/>
    <x v="2"/>
    <d v="2015-10-03T15:37:58"/>
    <n v="1"/>
    <s v="150.160.200.114"/>
    <s v="TH6485 .P37 2013"/>
    <s v="690.42; 690/.42; 747.78"/>
    <d v="2013-01-17T00:00:00"/>
  </r>
  <r>
    <x v="6340"/>
    <d v="1899-12-30T00:00:01"/>
    <x v="1040"/>
    <x v="16"/>
    <s v="monroecc"/>
    <x v="1194"/>
    <n v="1120820"/>
    <x v="0"/>
    <s v="Engineering; Fine Arts; Engineering: Construction"/>
    <s v="9781118404508"/>
    <m/>
    <n v="0"/>
    <m/>
    <m/>
    <s v="No"/>
    <x v="3"/>
    <m/>
    <m/>
    <s v="150.160.200.114"/>
    <s v="TH6485 .P37 2013"/>
    <s v="690.42; 690/.42; 747.78"/>
    <d v="2013-01-17T00:00:00"/>
  </r>
  <r>
    <x v="6341"/>
    <d v="1899-12-30T00:14:44"/>
    <x v="1040"/>
    <x v="16"/>
    <s v="monroecc"/>
    <x v="1423"/>
    <n v="1609396"/>
    <x v="0"/>
    <s v="Engineering; Engineering: Construction; Architecture"/>
    <s v="9781118866498"/>
    <s v=",1,1,2,2,3,3,2,2"/>
    <n v="3"/>
    <m/>
    <m/>
    <s v="No"/>
    <x v="3"/>
    <m/>
    <m/>
    <s v="150.160.200.114"/>
    <s v="TH880 -- .C48 2014eb"/>
    <s v="720/.47"/>
    <d v="2014-01-30T00:00:00"/>
  </r>
  <r>
    <x v="6342"/>
    <d v="1899-12-30T00:00:09"/>
    <x v="1040"/>
    <x v="16"/>
    <s v="monroecc"/>
    <x v="1432"/>
    <n v="837611"/>
    <x v="0"/>
    <s v="Architecture"/>
    <s v="9781118332887"/>
    <s v=",2,2"/>
    <n v="1"/>
    <m/>
    <m/>
    <s v="Yes"/>
    <x v="2"/>
    <d v="2015-10-03T15:37:24"/>
    <n v="7"/>
    <s v="150.160.200.114"/>
    <s v="NA2542.3 -- .D45 2014eb"/>
    <n v="720.47199999999998"/>
    <d v="2013-12-16T00:00:00"/>
  </r>
  <r>
    <x v="6342"/>
    <d v="1899-12-30T00:00:00"/>
    <x v="1040"/>
    <x v="16"/>
    <s v="monroecc"/>
    <x v="1432"/>
    <n v="837611"/>
    <x v="0"/>
    <s v="Architecture"/>
    <s v="9781118332887"/>
    <m/>
    <n v="0"/>
    <m/>
    <m/>
    <s v="No"/>
    <x v="2"/>
    <d v="2015-10-03T15:37:24"/>
    <n v="7"/>
    <s v="150.160.200.114"/>
    <s v="NA2542.3 -- .D45 2014eb"/>
    <n v="720.47199999999998"/>
    <d v="2013-12-16T00:00:00"/>
  </r>
  <r>
    <x v="6343"/>
    <d v="1899-12-30T00:00:18"/>
    <x v="1040"/>
    <x v="16"/>
    <s v="monroecc"/>
    <x v="1432"/>
    <n v="837611"/>
    <x v="0"/>
    <s v="Architecture"/>
    <s v="9781118332887"/>
    <s v=",1,2,3,2,3,1"/>
    <n v="3"/>
    <m/>
    <m/>
    <s v="No"/>
    <x v="3"/>
    <m/>
    <m/>
    <s v="150.160.200.114"/>
    <s v="NA2542.3 -- .D45 2014eb"/>
    <n v="720.47199999999998"/>
    <d v="2013-12-16T00:00:00"/>
  </r>
  <r>
    <x v="6344"/>
    <d v="1899-12-30T00:42:26"/>
    <x v="1539"/>
    <x v="12"/>
    <s v="potsdam"/>
    <x v="175"/>
    <n v="875809"/>
    <x v="0"/>
    <s v="Language/Linguistics"/>
    <s v="9781118223598"/>
    <s v=",1,2,3,4,26,27,28,25,24,29,30,31,32,33,34,35,36,37,38,39,40,41,42,43"/>
    <n v="24"/>
    <m/>
    <m/>
    <s v="No"/>
    <x v="1"/>
    <m/>
    <m/>
    <s v="137.143.104.94"/>
    <s v="PE1128.A2 -- F455 2012eb"/>
    <n v="428.00709999999998"/>
    <d v="2012-08-07T00:00:00"/>
  </r>
  <r>
    <x v="6345"/>
    <d v="1899-12-30T00:00:00"/>
    <x v="1040"/>
    <x v="16"/>
    <s v="monroecc"/>
    <x v="1433"/>
    <n v="1895930"/>
    <x v="0"/>
    <s v="Engineering; Engineering: Construction"/>
    <s v="9781119019978"/>
    <m/>
    <n v="0"/>
    <m/>
    <m/>
    <s v="Yes"/>
    <x v="0"/>
    <d v="2015-10-03T15:36:18"/>
    <n v="7"/>
    <s v="150.160.200.114"/>
    <s v="TH425 -- .C667 2015eb"/>
    <s v="692/.8"/>
    <d v="2015-03-04T00:00:00"/>
  </r>
  <r>
    <x v="6345"/>
    <d v="1899-12-30T00:00:00"/>
    <x v="1040"/>
    <x v="16"/>
    <s v="monroecc"/>
    <x v="1433"/>
    <n v="1895930"/>
    <x v="0"/>
    <s v="Engineering; Engineering: Construction"/>
    <s v="9781119019978"/>
    <m/>
    <n v="0"/>
    <m/>
    <m/>
    <s v="No"/>
    <x v="0"/>
    <d v="2015-10-03T15:36:18"/>
    <n v="7"/>
    <s v="150.160.200.114"/>
    <s v="TH425 -- .C667 2015eb"/>
    <s v="692/.8"/>
    <d v="2015-03-04T00:00:00"/>
  </r>
  <r>
    <x v="6346"/>
    <d v="1899-12-30T00:01:57"/>
    <x v="1040"/>
    <x v="16"/>
    <s v="monroecc"/>
    <x v="1433"/>
    <n v="1895930"/>
    <x v="0"/>
    <s v="Engineering; Engineering: Construction"/>
    <s v="9781119019978"/>
    <s v=",1,2,3,2,3,1,2,2,4,5,6,7,6,4,7,5,2"/>
    <n v="7"/>
    <m/>
    <m/>
    <s v="No"/>
    <x v="3"/>
    <m/>
    <m/>
    <s v="150.160.200.114"/>
    <s v="TH425 -- .C667 2015eb"/>
    <s v="692/.8"/>
    <d v="2015-03-04T00:00:00"/>
  </r>
  <r>
    <x v="6347"/>
    <d v="1899-12-30T00:00:04"/>
    <x v="1040"/>
    <x v="16"/>
    <s v="monroecc"/>
    <x v="1434"/>
    <n v="1781836"/>
    <x v="0"/>
    <s v="Business/Management; Law; Economics"/>
    <s v="9780730315162"/>
    <s v=",1,2,2,3"/>
    <n v="3"/>
    <m/>
    <m/>
    <s v="No"/>
    <x v="3"/>
    <m/>
    <m/>
    <s v="150.160.200.114"/>
    <s v="HJ4802; KU2790"/>
    <n v="336.20499999999998"/>
    <d v="2014-09-08T00:00:00"/>
  </r>
  <r>
    <x v="6348"/>
    <d v="1899-12-30T00:01:47"/>
    <x v="1040"/>
    <x v="16"/>
    <s v="monroecc"/>
    <x v="1435"/>
    <n v="1222574"/>
    <x v="0"/>
    <s v="Medicine"/>
    <s v="9781118352304"/>
    <s v=",1,2,2,3,3,1,2,2,32,33,33,32,30,31,34,31,34,35,35,36,36,37,37,38,38,39,39"/>
    <n v="13"/>
    <m/>
    <m/>
    <s v="No"/>
    <x v="3"/>
    <m/>
    <m/>
    <s v="150.160.200.114"/>
    <s v="RC521 -- .C53 2013eb"/>
    <s v="616.8/3"/>
    <d v="2013-06-21T00:00:00"/>
  </r>
  <r>
    <x v="6349"/>
    <d v="1899-12-30T00:00:41"/>
    <x v="1040"/>
    <x v="16"/>
    <s v="monroecc"/>
    <x v="1436"/>
    <n v="1397579"/>
    <x v="2"/>
    <s v="Social Science"/>
    <s v="9781317981350"/>
    <s v=",2,3,2,3,1,1,2,2,16,16,18,18,14,15,15"/>
    <n v="7"/>
    <m/>
    <m/>
    <s v="No"/>
    <x v="3"/>
    <m/>
    <m/>
    <s v="150.160.200.114"/>
    <m/>
    <n v="305.26"/>
    <d v="2013-09-13T00:00:00"/>
  </r>
  <r>
    <x v="6350"/>
    <d v="1899-12-30T00:00:29"/>
    <x v="1040"/>
    <x v="16"/>
    <s v="monroecc"/>
    <x v="1437"/>
    <n v="1662690"/>
    <x v="0"/>
    <s v="Engineering: Construction; Engineering"/>
    <s v="9781118870716"/>
    <s v=",1,2,2,3,3,1,13,14,13,15,12,11,12,14,15,2,16,17,16,17,18,18"/>
    <n v="11"/>
    <m/>
    <m/>
    <s v="No"/>
    <x v="3"/>
    <m/>
    <m/>
    <s v="150.160.200.114"/>
    <s v="TH146 .E467 2014"/>
    <n v="690"/>
    <d v="2014-03-26T00:00:00"/>
  </r>
  <r>
    <x v="6351"/>
    <d v="1899-12-30T00:00:00"/>
    <x v="1040"/>
    <x v="16"/>
    <s v="monroecc"/>
    <x v="1438"/>
    <n v="1816323"/>
    <x v="0"/>
    <s v="Home Economics; Engineering; Engineering: Construction"/>
    <s v="9781118775295"/>
    <m/>
    <n v="0"/>
    <m/>
    <m/>
    <s v="Yes"/>
    <x v="0"/>
    <d v="2015-10-02T19:08:30"/>
    <n v="7"/>
    <s v="150.160.200.114"/>
    <s v="TH4816.3.K58 -- .C444 2015eb"/>
    <s v="643/.3"/>
    <d v="2014-10-13T00:00:00"/>
  </r>
  <r>
    <x v="6352"/>
    <d v="1899-12-30T00:00:26"/>
    <x v="1040"/>
    <x v="16"/>
    <s v="monroecc"/>
    <x v="1438"/>
    <n v="1816323"/>
    <x v="0"/>
    <s v="Home Economics; Engineering; Engineering: Construction"/>
    <s v="9781118775295"/>
    <s v=",1,2,2,3,3,1,2,2"/>
    <n v="3"/>
    <m/>
    <m/>
    <s v="No"/>
    <x v="0"/>
    <d v="2015-10-02T19:08:30"/>
    <n v="7"/>
    <s v="150.160.200.114"/>
    <s v="TH4816.3.K58 -- .C444 2015eb"/>
    <s v="643/.3"/>
    <d v="2014-10-13T00:00:00"/>
  </r>
  <r>
    <x v="6353"/>
    <d v="1899-12-30T00:00:12"/>
    <x v="1040"/>
    <x v="16"/>
    <s v="monroecc"/>
    <x v="1439"/>
    <n v="1629167"/>
    <x v="0"/>
    <s v="Engineering; Engineering: Construction"/>
    <s v="9781118740071"/>
    <s v=",2,2"/>
    <n v="1"/>
    <m/>
    <m/>
    <s v="Yes"/>
    <x v="0"/>
    <d v="2015-10-03T15:32:22"/>
    <n v="7"/>
    <s v="150.160.200.114"/>
    <s v="TH146 -- .C45 2014eb"/>
    <n v="690"/>
    <d v="2014-02-03T00:00:00"/>
  </r>
  <r>
    <x v="6353"/>
    <d v="1899-12-30T00:00:00"/>
    <x v="1040"/>
    <x v="16"/>
    <s v="monroecc"/>
    <x v="1439"/>
    <n v="1629167"/>
    <x v="0"/>
    <s v="Engineering; Engineering: Construction"/>
    <s v="9781118740071"/>
    <m/>
    <n v="0"/>
    <m/>
    <m/>
    <s v="No"/>
    <x v="0"/>
    <d v="2015-10-03T15:32:22"/>
    <n v="7"/>
    <s v="150.160.200.114"/>
    <s v="TH146 -- .C45 2014eb"/>
    <n v="690"/>
    <d v="2014-02-03T00:00:00"/>
  </r>
  <r>
    <x v="6354"/>
    <d v="1899-12-30T00:00:10"/>
    <x v="1040"/>
    <x v="16"/>
    <s v="monroecc"/>
    <x v="1439"/>
    <n v="1629167"/>
    <x v="0"/>
    <s v="Engineering; Engineering: Construction"/>
    <s v="9781118740071"/>
    <s v=",1,2,1,2,3,3"/>
    <n v="3"/>
    <m/>
    <m/>
    <s v="No"/>
    <x v="3"/>
    <m/>
    <m/>
    <s v="150.160.200.114"/>
    <s v="TH146 -- .C45 2014eb"/>
    <n v="690"/>
    <d v="2014-02-03T00:00:00"/>
  </r>
  <r>
    <x v="6355"/>
    <d v="1899-12-30T00:00:02"/>
    <x v="1540"/>
    <x v="9"/>
    <s v="trocaire"/>
    <x v="665"/>
    <n v="2006091"/>
    <x v="0"/>
    <s v="Literature"/>
    <s v="9781118780961"/>
    <s v=",1"/>
    <n v="1"/>
    <m/>
    <m/>
    <s v="No"/>
    <x v="1"/>
    <m/>
    <m/>
    <s v="173.225.62.67"/>
    <s v="PN56.P555 P674 2015"/>
    <s v="809/.93358"/>
    <d v="2014-10-24T00:00:00"/>
  </r>
  <r>
    <x v="6356"/>
    <d v="1899-12-30T00:07:02"/>
    <x v="1191"/>
    <x v="12"/>
    <s v="potsdam"/>
    <x v="29"/>
    <n v="1935742"/>
    <x v="8"/>
    <s v="Science; Science: Geology"/>
    <s v="9781118473252"/>
    <s v=",1,3,2,105,106,107,104,108,109,110,442,443,444,440,441,445,446,447,448,449,450,454,455,456,452,453,457,458"/>
    <n v="28"/>
    <m/>
    <m/>
    <s v="No"/>
    <x v="2"/>
    <d v="2015-10-03T13:53:17"/>
    <n v="1"/>
    <s v="137.143.104.94"/>
    <s v="GB54.5"/>
    <n v="550"/>
    <d v="2013-03-27T00:00:00"/>
  </r>
  <r>
    <x v="6357"/>
    <d v="1899-12-30T00:00:00"/>
    <x v="1191"/>
    <x v="12"/>
    <s v="potsdam"/>
    <x v="29"/>
    <n v="1935742"/>
    <x v="8"/>
    <s v="Science; Science: Geology"/>
    <s v="9781118473252"/>
    <m/>
    <n v="0"/>
    <m/>
    <m/>
    <s v="Yes"/>
    <x v="2"/>
    <d v="2015-10-03T13:53:17"/>
    <n v="1"/>
    <s v="137.143.104.94"/>
    <s v="GB54.5"/>
    <n v="550"/>
    <d v="2013-03-27T00:00:00"/>
  </r>
  <r>
    <x v="6358"/>
    <d v="1899-12-30T00:00:08"/>
    <x v="1191"/>
    <x v="12"/>
    <s v="potsdam"/>
    <x v="29"/>
    <n v="1935742"/>
    <x v="8"/>
    <s v="Science; Science: Geology"/>
    <s v="9781118473252"/>
    <s v=",1,2,3"/>
    <n v="3"/>
    <m/>
    <m/>
    <s v="No"/>
    <x v="2"/>
    <d v="2015-10-03T13:53:17"/>
    <n v="1"/>
    <s v="137.143.104.94"/>
    <s v="GB54.5"/>
    <n v="550"/>
    <d v="2013-03-27T00:00:00"/>
  </r>
  <r>
    <x v="6359"/>
    <d v="1899-12-30T00:00:00"/>
    <x v="1191"/>
    <x v="12"/>
    <s v="potsdam"/>
    <x v="1440"/>
    <n v="1673290"/>
    <x v="0"/>
    <s v="Science; Science: Geology"/>
    <s v="9781118738474"/>
    <m/>
    <n v="0"/>
    <m/>
    <m/>
    <s v="Yes"/>
    <x v="2"/>
    <d v="2015-10-03T13:56:15"/>
    <n v="1"/>
    <s v="137.143.104.94"/>
    <s v="GB1003.2 -- .H57 2014eb"/>
    <n v="551.49"/>
    <d v="2014-04-07T00:00:00"/>
  </r>
  <r>
    <x v="6359"/>
    <d v="1899-12-30T00:00:00"/>
    <x v="1191"/>
    <x v="12"/>
    <s v="potsdam"/>
    <x v="1440"/>
    <n v="1673290"/>
    <x v="0"/>
    <s v="Science; Science: Geology"/>
    <s v="9781118738474"/>
    <m/>
    <n v="0"/>
    <m/>
    <m/>
    <s v="No"/>
    <x v="2"/>
    <d v="2015-10-03T13:56:15"/>
    <n v="1"/>
    <s v="137.143.104.94"/>
    <s v="GB1003.2 -- .H57 2014eb"/>
    <n v="551.49"/>
    <d v="2014-04-07T00:00:00"/>
  </r>
  <r>
    <x v="6360"/>
    <d v="1899-12-30T00:00:40"/>
    <x v="1191"/>
    <x v="12"/>
    <s v="potsdam"/>
    <x v="1440"/>
    <n v="1673290"/>
    <x v="0"/>
    <s v="Science; Science: Geology"/>
    <s v="9781118738474"/>
    <s v=",1,2"/>
    <n v="2"/>
    <m/>
    <m/>
    <s v="No"/>
    <x v="3"/>
    <m/>
    <m/>
    <s v="137.143.104.94"/>
    <s v="GB1003.2 -- .H57 2014eb"/>
    <n v="551.49"/>
    <d v="2014-04-07T00:00:00"/>
  </r>
  <r>
    <x v="6361"/>
    <d v="1899-12-30T00:00:22"/>
    <x v="1540"/>
    <x v="9"/>
    <s v="trocaire"/>
    <x v="1441"/>
    <n v="1985762"/>
    <x v="0"/>
    <s v="Social Science; Philosophy; Economics"/>
    <s v="9780745688374"/>
    <s v=",6,7,1,8,4,5,2"/>
    <n v="7"/>
    <m/>
    <m/>
    <s v="No"/>
    <x v="1"/>
    <m/>
    <m/>
    <s v="173.225.62.67"/>
    <s v="B2430 .B274 A5 2015"/>
    <n v="335.40100000000001"/>
    <d v="2015-05-11T00:00:00"/>
  </r>
  <r>
    <x v="6362"/>
    <d v="1899-12-30T00:00:00"/>
    <x v="1191"/>
    <x v="12"/>
    <s v="potsdam"/>
    <x v="29"/>
    <n v="1935742"/>
    <x v="8"/>
    <s v="Science; Science: Geology"/>
    <s v="9781118473252"/>
    <m/>
    <n v="0"/>
    <m/>
    <m/>
    <s v="Yes"/>
    <x v="2"/>
    <d v="2015-10-03T13:53:17"/>
    <n v="1"/>
    <s v="137.143.104.94"/>
    <s v="GB54.5"/>
    <n v="550"/>
    <d v="2013-03-27T00:00:00"/>
  </r>
  <r>
    <x v="6362"/>
    <d v="1899-12-30T00:00:00"/>
    <x v="1191"/>
    <x v="12"/>
    <s v="potsdam"/>
    <x v="29"/>
    <n v="1935742"/>
    <x v="8"/>
    <s v="Science; Science: Geology"/>
    <s v="9781118473252"/>
    <m/>
    <n v="0"/>
    <m/>
    <m/>
    <s v="No"/>
    <x v="2"/>
    <d v="2015-10-03T13:53:17"/>
    <n v="1"/>
    <s v="137.143.104.94"/>
    <s v="GB54.5"/>
    <n v="550"/>
    <d v="2013-03-27T00:00:00"/>
  </r>
  <r>
    <x v="6363"/>
    <d v="1899-12-30T00:00:54"/>
    <x v="1191"/>
    <x v="12"/>
    <s v="potsdam"/>
    <x v="29"/>
    <n v="1935742"/>
    <x v="8"/>
    <s v="Science; Science: Geology"/>
    <s v="9781118473252"/>
    <s v=",1,2,3"/>
    <n v="3"/>
    <m/>
    <m/>
    <s v="No"/>
    <x v="3"/>
    <m/>
    <m/>
    <s v="137.143.104.94"/>
    <s v="GB54.5"/>
    <n v="550"/>
    <d v="2013-03-27T00:00:00"/>
  </r>
  <r>
    <x v="6364"/>
    <d v="1899-12-30T00:00:29"/>
    <x v="1519"/>
    <x v="0"/>
    <s v="Buffalo"/>
    <x v="335"/>
    <n v="821801"/>
    <x v="0"/>
    <s v="Education; Business/Management"/>
    <s v="9781118224144"/>
    <s v=",1,2,3,4,5"/>
    <n v="5"/>
    <m/>
    <m/>
    <s v="No"/>
    <x v="1"/>
    <m/>
    <m/>
    <s v="128.205.114.91"/>
    <s v="HF1118 .O33; LB2367.3 .O34"/>
    <n v="658.00760000000002"/>
    <d v="2012-03-06T00:00:00"/>
  </r>
  <r>
    <x v="6365"/>
    <d v="1899-12-30T00:00:09"/>
    <x v="1541"/>
    <x v="0"/>
    <s v="Buffalo"/>
    <x v="546"/>
    <n v="1809344"/>
    <x v="16"/>
    <s v="Social Science"/>
    <s v="9781137356192"/>
    <s v=",1,2,3"/>
    <n v="3"/>
    <m/>
    <m/>
    <s v="No"/>
    <x v="1"/>
    <m/>
    <m/>
    <s v="128.205.114.91"/>
    <s v="HV6556 -- .P748 2014eb"/>
    <n v="364.4"/>
    <d v="2014-10-03T00:00:00"/>
  </r>
  <r>
    <x v="6366"/>
    <d v="1899-12-30T00:00:00"/>
    <x v="1191"/>
    <x v="12"/>
    <s v="potsdam"/>
    <x v="1442"/>
    <n v="1977578"/>
    <x v="0"/>
    <s v="Science: Biology/Natural History; Science"/>
    <s v="9781118581698"/>
    <m/>
    <n v="0"/>
    <m/>
    <m/>
    <s v="Yes"/>
    <x v="0"/>
    <d v="2015-10-03T07:06:24"/>
    <n v="7"/>
    <s v="137.143.104.94"/>
    <s v="QH441.2 .P48 2015"/>
    <s v="572.8/6"/>
    <d v="2015-08-17T00:00:00"/>
  </r>
  <r>
    <x v="6366"/>
    <d v="1899-12-30T00:00:00"/>
    <x v="1191"/>
    <x v="12"/>
    <s v="potsdam"/>
    <x v="1442"/>
    <n v="1977578"/>
    <x v="0"/>
    <s v="Science: Biology/Natural History; Science"/>
    <s v="9781118581698"/>
    <m/>
    <n v="0"/>
    <m/>
    <m/>
    <s v="No"/>
    <x v="0"/>
    <d v="2015-10-03T07:06:24"/>
    <n v="7"/>
    <s v="137.143.104.94"/>
    <s v="QH441.2 .P48 2015"/>
    <s v="572.8/6"/>
    <d v="2015-08-17T00:00:00"/>
  </r>
  <r>
    <x v="6367"/>
    <d v="1899-12-30T00:00:00"/>
    <x v="1191"/>
    <x v="12"/>
    <s v="potsdam"/>
    <x v="1443"/>
    <n v="1461062"/>
    <x v="2"/>
    <s v="Science: Zoology; Science; Education"/>
    <s v="9781134153183"/>
    <m/>
    <n v="0"/>
    <m/>
    <m/>
    <s v="Yes"/>
    <x v="2"/>
    <d v="2015-10-03T07:06:09"/>
    <n v="1"/>
    <s v="137.143.104.94"/>
    <s v="QL468.5 -- .R48 2002eb"/>
    <n v="372.35704399999997"/>
    <d v="2002-10-11T00:00:00"/>
  </r>
  <r>
    <x v="6367"/>
    <d v="1899-12-30T00:00:00"/>
    <x v="1191"/>
    <x v="12"/>
    <s v="potsdam"/>
    <x v="1443"/>
    <n v="1461062"/>
    <x v="2"/>
    <s v="Science: Zoology; Science; Education"/>
    <s v="9781134153183"/>
    <m/>
    <n v="0"/>
    <m/>
    <m/>
    <s v="No"/>
    <x v="2"/>
    <d v="2015-10-03T07:06:09"/>
    <n v="1"/>
    <s v="137.143.104.94"/>
    <s v="QL468.5 -- .R48 2002eb"/>
    <n v="372.35704399999997"/>
    <d v="2002-10-11T00:00:00"/>
  </r>
  <r>
    <x v="6368"/>
    <d v="1899-12-30T00:00:00"/>
    <x v="1191"/>
    <x v="12"/>
    <s v="potsdam"/>
    <x v="1444"/>
    <n v="2009818"/>
    <x v="0"/>
    <s v="Science; Science: Biology/Natural History"/>
    <s v="9781118525241"/>
    <m/>
    <n v="0"/>
    <m/>
    <m/>
    <s v="Yes"/>
    <x v="0"/>
    <d v="2015-10-03T07:05:44"/>
    <n v="7"/>
    <s v="137.143.104.94"/>
    <s v="QH456"/>
    <s v="576.5/8"/>
    <d v="2015-08-26T00:00:00"/>
  </r>
  <r>
    <x v="6368"/>
    <d v="1899-12-30T00:00:00"/>
    <x v="1191"/>
    <x v="12"/>
    <s v="potsdam"/>
    <x v="1444"/>
    <n v="2009818"/>
    <x v="0"/>
    <s v="Science; Science: Biology/Natural History"/>
    <s v="9781118525241"/>
    <m/>
    <n v="0"/>
    <m/>
    <m/>
    <s v="No"/>
    <x v="0"/>
    <d v="2015-10-03T07:05:44"/>
    <n v="7"/>
    <s v="137.143.104.94"/>
    <s v="QH456"/>
    <s v="576.5/8"/>
    <d v="2015-08-26T00:00:00"/>
  </r>
  <r>
    <x v="6369"/>
    <d v="1899-12-30T00:00:39"/>
    <x v="1191"/>
    <x v="12"/>
    <s v="potsdam"/>
    <x v="1443"/>
    <n v="1461062"/>
    <x v="2"/>
    <s v="Science: Zoology; Science; Education"/>
    <s v="9781134153183"/>
    <s v=",1,2,3,4,5,6"/>
    <n v="6"/>
    <m/>
    <m/>
    <s v="No"/>
    <x v="3"/>
    <m/>
    <m/>
    <s v="137.143.104.94"/>
    <s v="QL468.5 -- .R48 2002eb"/>
    <n v="372.35704399999997"/>
    <d v="2002-10-11T00:00:00"/>
  </r>
  <r>
    <x v="6370"/>
    <d v="1899-12-30T00:00:54"/>
    <x v="1191"/>
    <x v="12"/>
    <s v="potsdam"/>
    <x v="1444"/>
    <n v="2009818"/>
    <x v="0"/>
    <s v="Science; Science: Biology/Natural History"/>
    <s v="9781118525241"/>
    <s v=",1,2,3,4"/>
    <n v="4"/>
    <m/>
    <m/>
    <s v="No"/>
    <x v="3"/>
    <m/>
    <m/>
    <s v="137.143.104.94"/>
    <s v="QH456"/>
    <s v="576.5/8"/>
    <d v="2015-08-26T00:00:00"/>
  </r>
  <r>
    <x v="6371"/>
    <d v="1899-12-30T00:01:34"/>
    <x v="1191"/>
    <x v="12"/>
    <s v="potsdam"/>
    <x v="1442"/>
    <n v="1977578"/>
    <x v="0"/>
    <s v="Science: Biology/Natural History; Science"/>
    <s v="9781118581698"/>
    <s v=",1,2,3,4"/>
    <n v="4"/>
    <m/>
    <m/>
    <s v="No"/>
    <x v="3"/>
    <m/>
    <m/>
    <s v="137.143.104.94"/>
    <s v="QH441.2 .P48 2015"/>
    <s v="572.8/6"/>
    <d v="2015-08-17T00:00:00"/>
  </r>
  <r>
    <x v="6372"/>
    <d v="1899-12-30T00:00:00"/>
    <x v="1191"/>
    <x v="12"/>
    <s v="potsdam"/>
    <x v="1445"/>
    <n v="2006720"/>
    <x v="3"/>
    <s v="Science; Science: Zoology"/>
    <s v="9780520962644"/>
    <m/>
    <n v="0"/>
    <m/>
    <m/>
    <s v="Yes"/>
    <x v="2"/>
    <d v="2015-10-03T07:01:47"/>
    <n v="1"/>
    <s v="137.143.104.94"/>
    <s v="QL696.P7 T64 2015"/>
    <s v="598.7/1"/>
    <d v="2015-11-16T00:00:00"/>
  </r>
  <r>
    <x v="6372"/>
    <d v="1899-12-30T00:00:00"/>
    <x v="1191"/>
    <x v="12"/>
    <s v="potsdam"/>
    <x v="1445"/>
    <n v="2006720"/>
    <x v="3"/>
    <s v="Science; Science: Zoology"/>
    <s v="9780520962644"/>
    <m/>
    <n v="0"/>
    <m/>
    <m/>
    <s v="No"/>
    <x v="2"/>
    <d v="2015-10-03T07:01:47"/>
    <n v="1"/>
    <s v="137.143.104.94"/>
    <s v="QL696.P7 T64 2015"/>
    <s v="598.7/1"/>
    <d v="2015-11-16T00:00:00"/>
  </r>
  <r>
    <x v="6373"/>
    <d v="1899-12-30T00:04:02"/>
    <x v="1191"/>
    <x v="12"/>
    <s v="potsdam"/>
    <x v="1446"/>
    <n v="1693647"/>
    <x v="3"/>
    <s v="Science: Zoology; Science"/>
    <s v="9780520958388"/>
    <s v=",1,2,3,4,5,6,7,8,53,54,55,52,51,56,57,58,59,60,61,62,63,64,65,67,68,69,66,70,205,206,207,204,208,209,290,292,291,288,289,293,294,295"/>
    <n v="42"/>
    <m/>
    <m/>
    <s v="No"/>
    <x v="3"/>
    <m/>
    <m/>
    <s v="137.143.104.94"/>
    <s v="QL684.C2 -- .S763 2014eb"/>
    <n v="598.09699999999998"/>
    <d v="2014-08-06T00:00:00"/>
  </r>
  <r>
    <x v="6374"/>
    <d v="1899-12-30T00:02:58"/>
    <x v="1191"/>
    <x v="12"/>
    <s v="potsdam"/>
    <x v="1447"/>
    <n v="1895786"/>
    <x v="0"/>
    <s v="Science; Science: Biology/Natural History"/>
    <s v="9781118947562"/>
    <s v=",1,2,3,4,5,6"/>
    <n v="6"/>
    <m/>
    <m/>
    <s v="No"/>
    <x v="3"/>
    <m/>
    <m/>
    <s v="137.143.104.94"/>
    <s v="QH352 -- .R63 2015eb"/>
    <s v="577.8/8"/>
    <d v="2015-03-23T00:00:00"/>
  </r>
  <r>
    <x v="6375"/>
    <d v="1899-12-30T00:00:48"/>
    <x v="1191"/>
    <x v="12"/>
    <s v="potsdam"/>
    <x v="1445"/>
    <n v="2006720"/>
    <x v="3"/>
    <s v="Science; Science: Zoology"/>
    <s v="9780520962644"/>
    <s v=",1,2,3"/>
    <n v="3"/>
    <m/>
    <m/>
    <s v="No"/>
    <x v="3"/>
    <m/>
    <m/>
    <s v="137.143.104.94"/>
    <s v="QL696.P7 T64 2015"/>
    <s v="598.7/1"/>
    <d v="2015-11-16T00:00:00"/>
  </r>
  <r>
    <x v="6376"/>
    <d v="1899-12-30T00:13:34"/>
    <x v="1542"/>
    <x v="13"/>
    <s v="buffalostate"/>
    <x v="1448"/>
    <n v="1580892"/>
    <x v="1"/>
    <s v="Geography/Travel; History"/>
    <s v="9781409467250"/>
    <s v=",106,105,107,108,109,110,111,112,113,114,115"/>
    <n v="11"/>
    <m/>
    <m/>
    <s v="No"/>
    <x v="2"/>
    <d v="2015-10-03T03:17:55"/>
    <n v="1"/>
    <s v="136.183.11.43"/>
    <s v="D2.5 -- .C435 2014eb"/>
    <n v="907.5"/>
    <d v="2014-02-28T00:00:00"/>
  </r>
  <r>
    <x v="6377"/>
    <d v="1899-12-30T00:39:32"/>
    <x v="1542"/>
    <x v="13"/>
    <s v="buffalostate"/>
    <x v="1448"/>
    <n v="1580892"/>
    <x v="1"/>
    <s v="Geography/Travel; History"/>
    <s v="9781409467250"/>
    <s v=",1,2,3,102,103,104,101,100"/>
    <n v="8"/>
    <m/>
    <m/>
    <s v="No"/>
    <x v="3"/>
    <m/>
    <m/>
    <s v="136.183.11.43"/>
    <s v="D2.5 -- .C435 2014eb"/>
    <n v="907.5"/>
    <d v="2014-02-28T00:00:00"/>
  </r>
  <r>
    <x v="6378"/>
    <d v="1899-12-30T00:00:24"/>
    <x v="1522"/>
    <x v="0"/>
    <s v="Buffalo"/>
    <x v="552"/>
    <n v="1294909"/>
    <x v="3"/>
    <s v="Economics; Business/Management"/>
    <s v="9780520956797"/>
    <s v=",1,2,3,37,38,39,35,36,34,40"/>
    <n v="10"/>
    <m/>
    <m/>
    <s v="No"/>
    <x v="1"/>
    <m/>
    <m/>
    <s v="128.205.114.91"/>
    <s v="HC110.P6 -- I25 2013eb"/>
    <s v="339.4/60973"/>
    <d v="2013-08-01T00:00:00"/>
  </r>
  <r>
    <x v="6379"/>
    <d v="1899-12-30T00:01:42"/>
    <x v="1367"/>
    <x v="0"/>
    <s v="Buffalo"/>
    <x v="31"/>
    <n v="1682559"/>
    <x v="4"/>
    <s v="Medicine"/>
    <s v="9781462515431"/>
    <s v=",77,78,79,80,81,82"/>
    <n v="6"/>
    <s v=",80"/>
    <m/>
    <s v="No"/>
    <x v="0"/>
    <d v="2015-10-02T19:51:25"/>
    <n v="7"/>
    <s v="128.205.114.91"/>
    <s v="RC469 -- .M677 2014eb"/>
    <n v="616.89"/>
    <d v="2014-05-10T00:00:00"/>
  </r>
  <r>
    <x v="6380"/>
    <d v="1899-12-30T00:10:24"/>
    <x v="1367"/>
    <x v="0"/>
    <s v="Buffalo"/>
    <x v="31"/>
    <n v="1682559"/>
    <x v="4"/>
    <s v="Medicine"/>
    <s v="9781462515431"/>
    <s v=",1,2,3,4,5,6,7,8,9,10,11,69,70,71,68,67,72,73,72,73,74,75,76"/>
    <n v="21"/>
    <m/>
    <m/>
    <s v="No"/>
    <x v="1"/>
    <m/>
    <m/>
    <s v="128.205.114.91"/>
    <s v="RC469 -- .M677 2014eb"/>
    <n v="616.89"/>
    <d v="2014-05-10T00:00:00"/>
  </r>
  <r>
    <x v="6381"/>
    <d v="1899-12-30T00:00:00"/>
    <x v="1040"/>
    <x v="16"/>
    <s v="monroecc"/>
    <x v="1449"/>
    <n v="1542665"/>
    <x v="2"/>
    <s v="Environmental Studies; Economics; Business/Management"/>
    <s v="9781134072262"/>
    <m/>
    <n v="0"/>
    <m/>
    <m/>
    <s v="Yes"/>
    <x v="2"/>
    <d v="2015-10-02T19:11:22"/>
    <n v="1"/>
    <s v="150.160.200.114"/>
    <s v="HD9502.5.B542 -- S56 2009eb"/>
    <n v="333.95389999999998"/>
    <d v="2002-02-01T00:00:00"/>
  </r>
  <r>
    <x v="6381"/>
    <d v="1899-12-30T00:00:00"/>
    <x v="1040"/>
    <x v="16"/>
    <s v="monroecc"/>
    <x v="1449"/>
    <n v="1542665"/>
    <x v="2"/>
    <s v="Environmental Studies; Economics; Business/Management"/>
    <s v="9781134072262"/>
    <m/>
    <n v="0"/>
    <m/>
    <m/>
    <s v="No"/>
    <x v="2"/>
    <d v="2015-10-02T19:11:22"/>
    <n v="1"/>
    <s v="150.160.200.114"/>
    <s v="HD9502.5.B542 -- S56 2009eb"/>
    <n v="333.95389999999998"/>
    <d v="2002-02-01T00:00:00"/>
  </r>
  <r>
    <x v="6382"/>
    <d v="1899-12-30T00:00:00"/>
    <x v="1040"/>
    <x v="16"/>
    <s v="monroecc"/>
    <x v="1450"/>
    <n v="1605590"/>
    <x v="0"/>
    <s v="Engineering: Construction; Engineering"/>
    <s v="9781118749883"/>
    <m/>
    <n v="0"/>
    <m/>
    <m/>
    <s v="Yes"/>
    <x v="2"/>
    <d v="2015-10-02T19:10:15"/>
    <n v="1"/>
    <s v="150.160.200.114"/>
    <s v="TH8137.G8 -- .G977 2014eb"/>
    <s v="691/.9"/>
    <d v="2014-01-28T00:00:00"/>
  </r>
  <r>
    <x v="6383"/>
    <d v="1899-12-30T00:00:40"/>
    <x v="1040"/>
    <x v="16"/>
    <s v="monroecc"/>
    <x v="1450"/>
    <n v="1605590"/>
    <x v="0"/>
    <s v="Engineering: Construction; Engineering"/>
    <s v="9781118749883"/>
    <s v=",14,14,16,15,16,12,15,13,13,11,10,9,7,6,6,8,5,3,8,4,5,4,8"/>
    <n v="14"/>
    <m/>
    <m/>
    <s v="No"/>
    <x v="2"/>
    <d v="2015-10-02T19:10:15"/>
    <n v="1"/>
    <s v="150.160.200.114"/>
    <s v="TH8137.G8 -- .G977 2014eb"/>
    <s v="691/.9"/>
    <d v="2014-01-28T00:00:00"/>
  </r>
  <r>
    <x v="6384"/>
    <d v="1899-12-30T00:00:00"/>
    <x v="1040"/>
    <x v="16"/>
    <s v="monroecc"/>
    <x v="1451"/>
    <n v="1896058"/>
    <x v="0"/>
    <s v="Engineering; Engineering: Chemical"/>
    <s v="9783527654857"/>
    <m/>
    <n v="0"/>
    <m/>
    <m/>
    <s v="Yes"/>
    <x v="0"/>
    <d v="2015-10-02T19:10:03"/>
    <n v="7"/>
    <s v="150.160.200.114"/>
    <s v="TP155.2.E58 -- H47 2015eb"/>
    <s v="660.6; 660.63"/>
    <d v="2014-12-18T00:00:00"/>
  </r>
  <r>
    <x v="6384"/>
    <d v="1899-12-30T00:00:00"/>
    <x v="1040"/>
    <x v="16"/>
    <s v="monroecc"/>
    <x v="1451"/>
    <n v="1896058"/>
    <x v="0"/>
    <s v="Engineering; Engineering: Chemical"/>
    <s v="9783527654857"/>
    <m/>
    <n v="0"/>
    <m/>
    <m/>
    <s v="No"/>
    <x v="0"/>
    <d v="2015-10-02T19:10:03"/>
    <n v="7"/>
    <s v="150.160.200.114"/>
    <s v="TP155.2.E58 -- H47 2015eb"/>
    <s v="660.6; 660.63"/>
    <d v="2014-12-18T00:00:00"/>
  </r>
  <r>
    <x v="6385"/>
    <d v="1899-12-30T00:00:00"/>
    <x v="1040"/>
    <x v="16"/>
    <s v="monroecc"/>
    <x v="1452"/>
    <n v="1780726"/>
    <x v="0"/>
    <s v="Law"/>
    <s v="9781118809877"/>
    <m/>
    <n v="0"/>
    <m/>
    <m/>
    <s v="Yes"/>
    <x v="2"/>
    <d v="2015-10-02T19:09:25"/>
    <n v="1"/>
    <s v="150.160.200.114"/>
    <s v="KF5701 .H37 2014"/>
    <n v="343.73078623999999"/>
    <d v="2014-09-05T00:00:00"/>
  </r>
  <r>
    <x v="6386"/>
    <d v="1899-12-30T00:00:14"/>
    <x v="1040"/>
    <x v="16"/>
    <s v="monroecc"/>
    <x v="1452"/>
    <n v="1780726"/>
    <x v="0"/>
    <s v="Law"/>
    <s v="9781118809877"/>
    <s v=",7,8,9,5,6,7,8,9,6,6,7,8,5,4,3"/>
    <n v="7"/>
    <m/>
    <m/>
    <s v="No"/>
    <x v="2"/>
    <d v="2015-10-02T19:09:25"/>
    <n v="1"/>
    <s v="150.160.200.114"/>
    <s v="KF5701 .H37 2014"/>
    <n v="343.73078623999999"/>
    <d v="2014-09-05T00:00:00"/>
  </r>
  <r>
    <x v="6387"/>
    <d v="1899-12-30T00:00:00"/>
    <x v="1040"/>
    <x v="16"/>
    <s v="monroecc"/>
    <x v="1453"/>
    <n v="1662769"/>
    <x v="0"/>
    <s v="Engineering; Engineering: Construction"/>
    <s v="9781118856680"/>
    <m/>
    <n v="0"/>
    <m/>
    <m/>
    <s v="Yes"/>
    <x v="2"/>
    <d v="2015-10-02T19:08:56"/>
    <n v="1"/>
    <s v="150.160.200.114"/>
    <s v="TH146 -- .E47 2014 eb"/>
    <n v="690"/>
    <d v="2014-03-26T00:00:00"/>
  </r>
  <r>
    <x v="6387"/>
    <d v="1899-12-30T00:00:00"/>
    <x v="1040"/>
    <x v="16"/>
    <s v="monroecc"/>
    <x v="1453"/>
    <n v="1662769"/>
    <x v="0"/>
    <s v="Engineering; Engineering: Construction"/>
    <s v="9781118856680"/>
    <m/>
    <n v="0"/>
    <m/>
    <m/>
    <s v="No"/>
    <x v="2"/>
    <d v="2015-10-02T19:08:56"/>
    <n v="1"/>
    <s v="150.160.200.114"/>
    <s v="TH146 -- .E47 2014 eb"/>
    <n v="690"/>
    <d v="2014-03-26T00:00:00"/>
  </r>
  <r>
    <x v="6388"/>
    <d v="1899-12-30T00:00:00"/>
    <x v="1040"/>
    <x v="16"/>
    <s v="monroecc"/>
    <x v="1454"/>
    <n v="1780041"/>
    <x v="0"/>
    <s v="Architecture; Engineering; Engineering: Construction"/>
    <s v="9781118889749"/>
    <m/>
    <n v="0"/>
    <m/>
    <m/>
    <s v="Yes"/>
    <x v="2"/>
    <d v="2015-10-02T19:08:44"/>
    <n v="7"/>
    <s v="150.160.200.114"/>
    <s v="TH4860 -- .F67 2014eb"/>
    <s v="729.028/6"/>
    <d v="2014-09-03T00:00:00"/>
  </r>
  <r>
    <x v="6388"/>
    <d v="1899-12-30T00:00:00"/>
    <x v="1040"/>
    <x v="16"/>
    <s v="monroecc"/>
    <x v="1454"/>
    <n v="1780041"/>
    <x v="0"/>
    <s v="Architecture; Engineering; Engineering: Construction"/>
    <s v="9781118889749"/>
    <m/>
    <n v="0"/>
    <m/>
    <m/>
    <s v="No"/>
    <x v="2"/>
    <d v="2015-10-02T19:08:44"/>
    <n v="7"/>
    <s v="150.160.200.114"/>
    <s v="TH4860 -- .F67 2014eb"/>
    <s v="729.028/6"/>
    <d v="2014-09-03T00:00:00"/>
  </r>
  <r>
    <x v="6389"/>
    <d v="1899-12-30T00:00:00"/>
    <x v="1040"/>
    <x v="16"/>
    <s v="monroecc"/>
    <x v="1438"/>
    <n v="1816323"/>
    <x v="0"/>
    <s v="Home Economics; Engineering; Engineering: Construction"/>
    <s v="9781118775295"/>
    <m/>
    <n v="0"/>
    <m/>
    <m/>
    <s v="Yes"/>
    <x v="0"/>
    <d v="2015-10-02T19:08:30"/>
    <n v="7"/>
    <s v="150.160.200.114"/>
    <s v="TH4816.3.K58 -- .C444 2015eb"/>
    <s v="643/.3"/>
    <d v="2014-10-13T00:00:00"/>
  </r>
  <r>
    <x v="6389"/>
    <d v="1899-12-30T00:00:00"/>
    <x v="1040"/>
    <x v="16"/>
    <s v="monroecc"/>
    <x v="1438"/>
    <n v="1816323"/>
    <x v="0"/>
    <s v="Home Economics; Engineering; Engineering: Construction"/>
    <s v="9781118775295"/>
    <m/>
    <n v="0"/>
    <m/>
    <m/>
    <s v="No"/>
    <x v="0"/>
    <d v="2015-10-02T19:08:30"/>
    <n v="7"/>
    <s v="150.160.200.114"/>
    <s v="TH4816.3.K58 -- .C444 2015eb"/>
    <s v="643/.3"/>
    <d v="2014-10-13T00:00:00"/>
  </r>
  <r>
    <x v="6390"/>
    <d v="1899-12-30T00:00:00"/>
    <x v="1040"/>
    <x v="16"/>
    <s v="monroecc"/>
    <x v="1455"/>
    <n v="1998795"/>
    <x v="0"/>
    <s v="Engineering: Construction; Engineering: Electrical; Engineering"/>
    <s v="9781119124559"/>
    <m/>
    <n v="0"/>
    <m/>
    <m/>
    <s v="Yes"/>
    <x v="0"/>
    <d v="2015-10-02T19:08:17"/>
    <n v="7"/>
    <s v="150.160.200.114"/>
    <s v="TH7975.D8 -- B55 2015eb"/>
    <s v="621.32/2"/>
    <d v="2015-03-16T00:00:00"/>
  </r>
  <r>
    <x v="6390"/>
    <d v="1899-12-30T00:00:00"/>
    <x v="1040"/>
    <x v="16"/>
    <s v="monroecc"/>
    <x v="1455"/>
    <n v="1998795"/>
    <x v="0"/>
    <s v="Engineering: Construction; Engineering: Electrical; Engineering"/>
    <s v="9781119124559"/>
    <m/>
    <n v="0"/>
    <m/>
    <m/>
    <s v="No"/>
    <x v="0"/>
    <d v="2015-10-02T19:08:17"/>
    <n v="7"/>
    <s v="150.160.200.114"/>
    <s v="TH7975.D8 -- B55 2015eb"/>
    <s v="621.32/2"/>
    <d v="2015-03-16T00:00:00"/>
  </r>
  <r>
    <x v="6391"/>
    <d v="1899-12-30T00:00:00"/>
    <x v="1040"/>
    <x v="16"/>
    <s v="monroecc"/>
    <x v="1456"/>
    <n v="1295019"/>
    <x v="0"/>
    <s v="Engineering; Agriculture; Engineering: Electrical"/>
    <s v="9781118418758"/>
    <m/>
    <n v="0"/>
    <m/>
    <m/>
    <s v="Yes"/>
    <x v="2"/>
    <d v="2015-10-02T19:07:58"/>
    <n v="1"/>
    <s v="150.160.200.114"/>
    <s v="SB473.4 -- .M694 2013eb"/>
    <s v="621.32/29"/>
    <d v="2013-07-08T00:00:00"/>
  </r>
  <r>
    <x v="6391"/>
    <d v="1899-12-30T00:00:00"/>
    <x v="1040"/>
    <x v="16"/>
    <s v="monroecc"/>
    <x v="1456"/>
    <n v="1295019"/>
    <x v="0"/>
    <s v="Engineering; Agriculture; Engineering: Electrical"/>
    <s v="9781118418758"/>
    <m/>
    <n v="0"/>
    <m/>
    <m/>
    <s v="No"/>
    <x v="2"/>
    <d v="2015-10-02T19:07:58"/>
    <n v="1"/>
    <s v="150.160.200.114"/>
    <s v="SB473.4 -- .M694 2013eb"/>
    <s v="621.32/29"/>
    <d v="2013-07-08T00:00:00"/>
  </r>
  <r>
    <x v="6392"/>
    <d v="1899-12-30T00:00:00"/>
    <x v="1040"/>
    <x v="16"/>
    <s v="monroecc"/>
    <x v="1457"/>
    <n v="1890978"/>
    <x v="0"/>
    <s v="Medicine"/>
    <s v="9781119064107"/>
    <m/>
    <n v="0"/>
    <m/>
    <m/>
    <s v="Yes"/>
    <x v="0"/>
    <d v="2015-10-02T19:07:14"/>
    <n v="7"/>
    <s v="150.160.200.114"/>
    <s v="RC451.4.A5 -- .F739 2015eb"/>
    <s v="618.97/689"/>
    <d v="2014-12-09T00:00:00"/>
  </r>
  <r>
    <x v="6393"/>
    <d v="1899-12-30T00:00:00"/>
    <x v="1040"/>
    <x v="16"/>
    <s v="monroecc"/>
    <x v="1457"/>
    <n v="1890978"/>
    <x v="0"/>
    <s v="Medicine"/>
    <s v="9781119064107"/>
    <m/>
    <n v="0"/>
    <m/>
    <m/>
    <s v="No"/>
    <x v="0"/>
    <d v="2015-10-02T19:07:14"/>
    <n v="7"/>
    <s v="150.160.200.114"/>
    <s v="RC451.4.A5 -- .F739 2015eb"/>
    <s v="618.97/689"/>
    <d v="2014-12-09T00:00:00"/>
  </r>
  <r>
    <x v="6394"/>
    <d v="1899-12-30T00:00:22"/>
    <x v="1040"/>
    <x v="16"/>
    <s v="monroecc"/>
    <x v="1433"/>
    <n v="1895930"/>
    <x v="0"/>
    <s v="Engineering; Engineering: Construction"/>
    <s v="9781119019978"/>
    <s v=",1,2,2,3,3,1,2,2"/>
    <n v="3"/>
    <m/>
    <m/>
    <s v="No"/>
    <x v="3"/>
    <m/>
    <m/>
    <s v="150.160.200.114"/>
    <s v="TH425 -- .C667 2015eb"/>
    <s v="692/.8"/>
    <d v="2015-03-04T00:00:00"/>
  </r>
  <r>
    <x v="6395"/>
    <d v="1899-12-30T00:00:56"/>
    <x v="1040"/>
    <x v="16"/>
    <s v="monroecc"/>
    <x v="1458"/>
    <n v="1832722"/>
    <x v="0"/>
    <s v="Law"/>
    <s v="9781118866832"/>
    <s v=",1,2,2,3,3,1,2,2,6,7,6,7,8,8,3,5,4,5,8,9,9,10,10,11,12,11,12"/>
    <n v="12"/>
    <m/>
    <m/>
    <s v="No"/>
    <x v="3"/>
    <m/>
    <m/>
    <s v="150.160.200.114"/>
    <s v="KF6369.85 -- .E98 2015eb"/>
    <s v="343.7305; 343.73052"/>
    <d v="2014-11-03T00:00:00"/>
  </r>
  <r>
    <x v="6396"/>
    <d v="1899-12-30T00:01:31"/>
    <x v="1040"/>
    <x v="16"/>
    <s v="monroecc"/>
    <x v="44"/>
    <n v="1794558"/>
    <x v="0"/>
    <s v="Engineering: Construction; Engineering"/>
    <s v="9781118821725"/>
    <s v=",1,2,2,3,3,1,2,2"/>
    <n v="3"/>
    <m/>
    <m/>
    <s v="No"/>
    <x v="3"/>
    <m/>
    <m/>
    <s v="150.160.200.114"/>
    <s v="TH7222 -- .L33 2015eb"/>
    <n v="697"/>
    <d v="2014-09-23T00:00:00"/>
  </r>
  <r>
    <x v="6397"/>
    <d v="1899-12-30T00:00:23"/>
    <x v="1040"/>
    <x v="16"/>
    <s v="monroecc"/>
    <x v="1459"/>
    <n v="1800873"/>
    <x v="0"/>
    <s v="Engineering; Engineering: Construction"/>
    <s v="9781118555149"/>
    <s v=",1,2,2,3,3,1,2,2"/>
    <n v="3"/>
    <m/>
    <m/>
    <s v="No"/>
    <x v="3"/>
    <m/>
    <m/>
    <s v="150.160.200.114"/>
    <s v="TH438 -- .C6456 2015eb"/>
    <n v="690.06799999999998"/>
    <d v="2014-09-24T00:00:00"/>
  </r>
  <r>
    <x v="6398"/>
    <d v="1899-12-30T00:00:24"/>
    <x v="1040"/>
    <x v="16"/>
    <s v="monroecc"/>
    <x v="1460"/>
    <n v="1412070"/>
    <x v="0"/>
    <s v="Fine Arts"/>
    <s v="9781118419069"/>
    <s v=",1,2,2,3,3,2,2,1"/>
    <n v="3"/>
    <m/>
    <m/>
    <s v="No"/>
    <x v="3"/>
    <m/>
    <m/>
    <s v="150.160.200.114"/>
    <s v="NK2116.2 -- .P57 2014eb"/>
    <n v="747.06799999999998"/>
    <d v="2013-07-31T00:00:00"/>
  </r>
  <r>
    <x v="6399"/>
    <d v="1899-12-30T00:13:11"/>
    <x v="1040"/>
    <x v="16"/>
    <s v="monroecc"/>
    <x v="1457"/>
    <n v="1890978"/>
    <x v="0"/>
    <s v="Medicine"/>
    <s v="9781119064107"/>
    <s v=",1,2,2,3,3,1,2,2"/>
    <n v="3"/>
    <m/>
    <m/>
    <s v="No"/>
    <x v="3"/>
    <m/>
    <m/>
    <s v="150.160.200.114"/>
    <s v="RC451.4.A5 -- .F739 2015eb"/>
    <s v="618.97/689"/>
    <d v="2014-12-09T00:00:00"/>
  </r>
  <r>
    <x v="6400"/>
    <d v="1899-12-30T00:00:22"/>
    <x v="1040"/>
    <x v="16"/>
    <s v="monroecc"/>
    <x v="1461"/>
    <n v="1998746"/>
    <x v="0"/>
    <s v="Engineering: Electrical; Engineering"/>
    <s v="9781118653777"/>
    <s v=",1,2,3,3,1,2,2,2"/>
    <n v="3"/>
    <m/>
    <m/>
    <s v="No"/>
    <x v="3"/>
    <m/>
    <m/>
    <s v="150.160.200.114"/>
    <s v="TK3105 -- .S25 2015eb"/>
    <s v="621.3102/18"/>
    <d v="2015-02-02T00:00:00"/>
  </r>
  <r>
    <x v="6401"/>
    <d v="1899-12-30T00:14:41"/>
    <x v="1040"/>
    <x v="16"/>
    <s v="monroecc"/>
    <x v="1456"/>
    <n v="1295019"/>
    <x v="0"/>
    <s v="Engineering; Agriculture; Engineering: Electrical"/>
    <s v="9781118418758"/>
    <s v=",1,2,2,3,3,1,2,2"/>
    <n v="3"/>
    <m/>
    <m/>
    <s v="No"/>
    <x v="3"/>
    <m/>
    <m/>
    <s v="150.160.200.114"/>
    <s v="SB473.4 -- .M694 2013eb"/>
    <s v="621.32/29"/>
    <d v="2013-07-08T00:00:00"/>
  </r>
  <r>
    <x v="6402"/>
    <d v="1899-12-30T00:00:04"/>
    <x v="1040"/>
    <x v="16"/>
    <s v="monroecc"/>
    <x v="1437"/>
    <n v="1662690"/>
    <x v="0"/>
    <s v="Engineering: Construction; Engineering"/>
    <s v="9781118870716"/>
    <s v=",1,2,3,2,3"/>
    <n v="3"/>
    <m/>
    <m/>
    <s v="No"/>
    <x v="3"/>
    <m/>
    <m/>
    <s v="150.160.200.114"/>
    <s v="TH146 .E467 2014"/>
    <n v="690"/>
    <d v="2014-03-26T00:00:00"/>
  </r>
  <r>
    <x v="6403"/>
    <d v="1899-12-30T00:15:11"/>
    <x v="1040"/>
    <x v="16"/>
    <s v="monroecc"/>
    <x v="1455"/>
    <n v="1998795"/>
    <x v="0"/>
    <s v="Engineering: Construction; Engineering: Electrical; Engineering"/>
    <s v="9781119124559"/>
    <s v=",1,2,2,3,3,1,2,2"/>
    <n v="3"/>
    <m/>
    <m/>
    <s v="No"/>
    <x v="3"/>
    <m/>
    <m/>
    <s v="150.160.200.114"/>
    <s v="TH7975.D8 -- B55 2015eb"/>
    <s v="621.32/2"/>
    <d v="2015-03-16T00:00:00"/>
  </r>
  <r>
    <x v="6404"/>
    <d v="1899-12-30T00:15:35"/>
    <x v="1040"/>
    <x v="16"/>
    <s v="monroecc"/>
    <x v="1438"/>
    <n v="1816323"/>
    <x v="0"/>
    <s v="Home Economics; Engineering; Engineering: Construction"/>
    <s v="9781118775295"/>
    <s v=",1,2,2,3,3,1,2,2"/>
    <n v="3"/>
    <m/>
    <m/>
    <s v="No"/>
    <x v="3"/>
    <m/>
    <m/>
    <s v="150.160.200.114"/>
    <s v="TH4816.3.K58 -- .C444 2015eb"/>
    <s v="643/.3"/>
    <d v="2014-10-13T00:00:00"/>
  </r>
  <r>
    <x v="6405"/>
    <d v="1899-12-30T00:15:56"/>
    <x v="1040"/>
    <x v="16"/>
    <s v="monroecc"/>
    <x v="1454"/>
    <n v="1780041"/>
    <x v="0"/>
    <s v="Architecture; Engineering; Engineering: Construction"/>
    <s v="9781118889749"/>
    <s v=",1,2,2,3,3,1,2,2"/>
    <n v="3"/>
    <m/>
    <m/>
    <s v="No"/>
    <x v="3"/>
    <m/>
    <m/>
    <s v="150.160.200.114"/>
    <s v="TH4860 -- .F67 2014eb"/>
    <s v="729.028/6"/>
    <d v="2014-09-03T00:00:00"/>
  </r>
  <r>
    <x v="6406"/>
    <d v="1899-12-30T00:16:14"/>
    <x v="1040"/>
    <x v="16"/>
    <s v="monroecc"/>
    <x v="1453"/>
    <n v="1662769"/>
    <x v="0"/>
    <s v="Engineering; Engineering: Construction"/>
    <s v="9781118856680"/>
    <s v=",1,2,2,3,3,1,2,2"/>
    <n v="3"/>
    <m/>
    <m/>
    <s v="No"/>
    <x v="3"/>
    <m/>
    <m/>
    <s v="150.160.200.114"/>
    <s v="TH146 -- .E47 2014 eb"/>
    <n v="690"/>
    <d v="2014-03-26T00:00:00"/>
  </r>
  <r>
    <x v="6407"/>
    <d v="1899-12-30T00:00:24"/>
    <x v="1040"/>
    <x v="16"/>
    <s v="monroecc"/>
    <x v="1462"/>
    <n v="2045939"/>
    <x v="0"/>
    <s v="Engineering: General; Engineering: Civil; Engineering"/>
    <s v="9781119093237"/>
    <s v=",1,2,2,3,3,1,2,2"/>
    <n v="3"/>
    <m/>
    <m/>
    <s v="No"/>
    <x v="3"/>
    <m/>
    <m/>
    <s v="150.160.200.114"/>
    <s v="TA480.R3 -- .R374 2015eb"/>
    <n v="620.18929100000003"/>
    <d v="2015-03-23T00:00:00"/>
  </r>
  <r>
    <x v="6408"/>
    <d v="1899-12-30T00:17:02"/>
    <x v="1040"/>
    <x v="16"/>
    <s v="monroecc"/>
    <x v="1452"/>
    <n v="1780726"/>
    <x v="0"/>
    <s v="Law"/>
    <s v="9781118809877"/>
    <s v=",1,2,2,3,3,1,2,2"/>
    <n v="3"/>
    <m/>
    <m/>
    <s v="No"/>
    <x v="3"/>
    <m/>
    <m/>
    <s v="150.160.200.114"/>
    <s v="KF5701 .H37 2014"/>
    <n v="343.73078623999999"/>
    <d v="2014-09-05T00:00:00"/>
  </r>
  <r>
    <x v="6409"/>
    <d v="1899-12-30T00:17:43"/>
    <x v="1040"/>
    <x v="16"/>
    <s v="monroecc"/>
    <x v="1451"/>
    <n v="1896058"/>
    <x v="0"/>
    <s v="Engineering; Engineering: Chemical"/>
    <s v="9783527654857"/>
    <s v=",1,2,2,3,3,1,2,2"/>
    <n v="3"/>
    <m/>
    <m/>
    <s v="No"/>
    <x v="3"/>
    <m/>
    <m/>
    <s v="150.160.200.114"/>
    <s v="TP155.2.E58 -- H47 2015eb"/>
    <s v="660.6; 660.63"/>
    <d v="2014-12-18T00:00:00"/>
  </r>
  <r>
    <x v="6410"/>
    <d v="1899-12-30T00:18:00"/>
    <x v="1040"/>
    <x v="16"/>
    <s v="monroecc"/>
    <x v="1450"/>
    <n v="1605590"/>
    <x v="0"/>
    <s v="Engineering: Construction; Engineering"/>
    <s v="9781118749883"/>
    <s v=",1,2,2,3,3,1,2,2"/>
    <n v="3"/>
    <m/>
    <m/>
    <s v="No"/>
    <x v="3"/>
    <m/>
    <m/>
    <s v="150.160.200.114"/>
    <s v="TH8137.G8 -- .G977 2014eb"/>
    <s v="691/.9"/>
    <d v="2014-01-28T00:00:00"/>
  </r>
  <r>
    <x v="6411"/>
    <d v="1899-12-30T00:19:15"/>
    <x v="1040"/>
    <x v="16"/>
    <s v="monroecc"/>
    <x v="1449"/>
    <n v="1542665"/>
    <x v="2"/>
    <s v="Environmental Studies; Economics; Business/Management"/>
    <s v="9781134072262"/>
    <s v=",1,2,2,3,3,1,2,2"/>
    <n v="3"/>
    <m/>
    <m/>
    <s v="No"/>
    <x v="3"/>
    <m/>
    <m/>
    <s v="150.160.200.114"/>
    <s v="HD9502.5.B542 -- S56 2009eb"/>
    <n v="333.95389999999998"/>
    <d v="2002-02-01T00:00:00"/>
  </r>
  <r>
    <x v="6412"/>
    <d v="1899-12-30T00:19:32"/>
    <x v="1040"/>
    <x v="16"/>
    <s v="monroecc"/>
    <x v="1194"/>
    <n v="1120820"/>
    <x v="0"/>
    <s v="Engineering; Fine Arts; Engineering: Construction"/>
    <s v="9781118404508"/>
    <s v=",1,2,2,3,3,1,2,2"/>
    <n v="3"/>
    <m/>
    <m/>
    <s v="No"/>
    <x v="3"/>
    <m/>
    <m/>
    <s v="150.160.200.114"/>
    <s v="TH6485 .P37 2013"/>
    <s v="690.42; 690/.42; 747.78"/>
    <d v="2013-01-17T00:00:00"/>
  </r>
  <r>
    <x v="6413"/>
    <d v="1899-12-30T00:00:23"/>
    <x v="1040"/>
    <x v="16"/>
    <s v="monroecc"/>
    <x v="1463"/>
    <n v="2089476"/>
    <x v="0"/>
    <s v="Engineering: Chemical; Engineering"/>
    <s v="9781119012856"/>
    <s v=",1,2,2,3,1,3,2,2"/>
    <n v="3"/>
    <m/>
    <m/>
    <s v="No"/>
    <x v="3"/>
    <m/>
    <m/>
    <s v="150.160.200.114"/>
    <s v="TP350 .S476 2015"/>
    <n v="665.7"/>
    <d v="2015-07-06T00:00:00"/>
  </r>
  <r>
    <x v="6414"/>
    <d v="1899-12-30T00:20:35"/>
    <x v="1040"/>
    <x v="16"/>
    <s v="monroecc"/>
    <x v="1464"/>
    <n v="1520750"/>
    <x v="0"/>
    <s v="Engineering; Engineering: Construction"/>
    <s v="9781118693025"/>
    <s v=",1,2,2,3,3,1,2,2"/>
    <n v="3"/>
    <m/>
    <m/>
    <s v="No"/>
    <x v="3"/>
    <m/>
    <m/>
    <s v="150.160.200.114"/>
    <s v="TH4813 -- .G476 2014eb"/>
    <s v="690/.42"/>
    <d v="2013-11-18T00:00:00"/>
  </r>
  <r>
    <x v="6415"/>
    <d v="1899-12-30T00:00:23"/>
    <x v="1040"/>
    <x v="16"/>
    <s v="monroecc"/>
    <x v="1432"/>
    <n v="837611"/>
    <x v="0"/>
    <s v="Architecture"/>
    <s v="9781118332887"/>
    <s v=",1,2,2,3,3,1,2,2"/>
    <n v="3"/>
    <m/>
    <m/>
    <s v="No"/>
    <x v="3"/>
    <m/>
    <m/>
    <s v="150.160.200.114"/>
    <s v="NA2542.3 -- .D45 2014eb"/>
    <n v="720.47199999999998"/>
    <d v="2013-12-16T00:00:00"/>
  </r>
  <r>
    <x v="6416"/>
    <d v="1899-12-30T00:19:22"/>
    <x v="26"/>
    <x v="6"/>
    <s v="sjfc"/>
    <x v="1393"/>
    <n v="894258"/>
    <x v="0"/>
    <s v="Geography/Travel"/>
    <s v="9781118333709"/>
    <s v=",26,27,79,81,77,78,82,83,84,1,85,82,83,2,81,80,78,79,83,84,85,86,87,89,90,91,92,93,69,70,66,67,72,73,74,75,76,77,78,79,80,81,82,17,18,19,16,15,20,21,22,23,24,25,26,189,190,188,186,183,184,89,90,91,87,88,162,163,160,165,161,166,293,294,289,290,288,287,286,285,284,283,282,281,63,64,65,61,62,292,293,294,291,295,296,297,286,287,288,284,285,283,15,16,17,13,14,18,19,60,61,62,63,59,240,241,242,238,239,243,244,245,246,247,248,249"/>
    <n v="91"/>
    <m/>
    <m/>
    <s v="No"/>
    <x v="0"/>
    <d v="2015-10-02T18:51:18"/>
    <n v="7"/>
    <s v="149.69.254.57"/>
    <s v="DC708 .P38"/>
    <n v="914.436104"/>
    <d v="2012-07-05T00:00:00"/>
  </r>
  <r>
    <x v="6417"/>
    <d v="1899-12-30T00:00:00"/>
    <x v="1040"/>
    <x v="16"/>
    <s v="monroecc"/>
    <x v="134"/>
    <n v="1791341"/>
    <x v="0"/>
    <s v="Engineering; Engineering: Construction"/>
    <s v="9781118862285"/>
    <m/>
    <n v="0"/>
    <m/>
    <m/>
    <s v="Yes"/>
    <x v="0"/>
    <d v="2015-10-02T18:51:12"/>
    <n v="7"/>
    <s v="150.160.200.114"/>
    <s v="TH6010 -- .G766 2015eb"/>
    <n v="696"/>
    <d v="2014-09-17T00:00:00"/>
  </r>
  <r>
    <x v="6417"/>
    <d v="1899-12-30T00:00:00"/>
    <x v="1040"/>
    <x v="16"/>
    <s v="monroecc"/>
    <x v="134"/>
    <n v="1791341"/>
    <x v="0"/>
    <s v="Engineering; Engineering: Construction"/>
    <s v="9781118862285"/>
    <m/>
    <n v="0"/>
    <m/>
    <m/>
    <s v="No"/>
    <x v="0"/>
    <d v="2015-10-02T18:51:12"/>
    <n v="7"/>
    <s v="150.160.200.114"/>
    <s v="TH6010 -- .G766 2015eb"/>
    <n v="696"/>
    <d v="2014-09-17T00:00:00"/>
  </r>
  <r>
    <x v="6418"/>
    <d v="1899-12-30T00:00:23"/>
    <x v="1040"/>
    <x v="16"/>
    <s v="monroecc"/>
    <x v="1465"/>
    <n v="1575981"/>
    <x v="2"/>
    <s v="Engineering: Mechanical; Engineering; Engineering: Construction"/>
    <s v="9781135069148"/>
    <s v=",1,2,2,3,3,1,2,2"/>
    <n v="3"/>
    <m/>
    <m/>
    <s v="No"/>
    <x v="3"/>
    <m/>
    <m/>
    <s v="150.160.200.114"/>
    <s v="TJ810 -- .T57 2011eb"/>
    <n v="696"/>
    <d v="2013-12-04T00:00:00"/>
  </r>
  <r>
    <x v="6419"/>
    <d v="1899-12-30T00:00:22"/>
    <x v="1040"/>
    <x v="16"/>
    <s v="monroecc"/>
    <x v="1466"/>
    <n v="2081174"/>
    <x v="0"/>
    <s v="Engineering; Engineering: Construction"/>
    <s v="9783433604847"/>
    <s v=",1,2,2,3,3,1,2,2"/>
    <n v="3"/>
    <m/>
    <m/>
    <s v="No"/>
    <x v="3"/>
    <m/>
    <m/>
    <s v="150.160.200.114"/>
    <s v="TH7511 .H384 2015"/>
    <n v="697.4"/>
    <d v="2015-06-29T00:00:00"/>
  </r>
  <r>
    <x v="6420"/>
    <d v="1899-12-30T00:00:35"/>
    <x v="1040"/>
    <x v="16"/>
    <s v="monroecc"/>
    <x v="134"/>
    <n v="1791341"/>
    <x v="0"/>
    <s v="Engineering; Engineering: Construction"/>
    <s v="9781118862285"/>
    <s v=",1,2,2,3,3,1,2,2"/>
    <n v="3"/>
    <m/>
    <m/>
    <s v="No"/>
    <x v="1"/>
    <m/>
    <m/>
    <s v="150.160.200.114"/>
    <s v="TH6010 -- .G766 2015eb"/>
    <n v="696"/>
    <d v="2014-09-17T00:00:00"/>
  </r>
  <r>
    <x v="6421"/>
    <d v="1899-12-30T00:00:11"/>
    <x v="1040"/>
    <x v="16"/>
    <s v="monroecc"/>
    <x v="1467"/>
    <n v="1161321"/>
    <x v="0"/>
    <s v="Law"/>
    <s v="9781118416082"/>
    <s v=",2,2"/>
    <n v="1"/>
    <m/>
    <m/>
    <s v="Yes"/>
    <x v="2"/>
    <d v="2015-10-02T18:48:10"/>
    <n v="7"/>
    <s v="150.160.200.114"/>
    <s v="KF6369.85 .W58 2013"/>
    <n v="343.73052044000002"/>
    <d v="2013-03-26T00:00:00"/>
  </r>
  <r>
    <x v="6421"/>
    <d v="1899-12-30T00:00:00"/>
    <x v="1040"/>
    <x v="16"/>
    <s v="monroecc"/>
    <x v="1467"/>
    <n v="1161321"/>
    <x v="0"/>
    <s v="Law"/>
    <s v="9781118416082"/>
    <m/>
    <n v="0"/>
    <m/>
    <m/>
    <s v="No"/>
    <x v="2"/>
    <d v="2015-10-02T18:48:10"/>
    <n v="7"/>
    <s v="150.160.200.114"/>
    <s v="KF6369.85 .W58 2013"/>
    <n v="343.73052044000002"/>
    <d v="2013-03-26T00:00:00"/>
  </r>
  <r>
    <x v="6422"/>
    <d v="1899-12-30T00:00:13"/>
    <x v="1040"/>
    <x v="16"/>
    <s v="monroecc"/>
    <x v="1467"/>
    <n v="1161321"/>
    <x v="0"/>
    <s v="Law"/>
    <s v="9781118416082"/>
    <s v=",1,2,3,2,3,1"/>
    <n v="3"/>
    <m/>
    <m/>
    <s v="No"/>
    <x v="3"/>
    <m/>
    <m/>
    <s v="150.160.200.114"/>
    <s v="KF6369.85 .W58 2013"/>
    <n v="343.73052044000002"/>
    <d v="2013-03-26T00:00:00"/>
  </r>
  <r>
    <x v="6423"/>
    <d v="1899-12-30T00:05:55"/>
    <x v="1543"/>
    <x v="14"/>
    <s v="houghton"/>
    <x v="244"/>
    <n v="848510"/>
    <x v="0"/>
    <s v="Medicine"/>
    <s v="9781118220481"/>
    <s v=",1,2,3,145,146,147,143,144,148,149,150,151,152,153,154,155,156,157,158,159,160,161,162,163"/>
    <n v="24"/>
    <m/>
    <m/>
    <s v="No"/>
    <x v="0"/>
    <d v="2015-10-02T02:33:08"/>
    <n v="7"/>
    <s v="96.43.64.169"/>
    <s v="RC489.C63 -- C64 2012eb"/>
    <s v="616.89/1425"/>
    <d v="2012-06-06T00:00:00"/>
  </r>
  <r>
    <x v="6424"/>
    <d v="1899-12-30T00:15:35"/>
    <x v="26"/>
    <x v="6"/>
    <s v="sjfc"/>
    <x v="1393"/>
    <n v="894258"/>
    <x v="0"/>
    <s v="Geography/Travel"/>
    <s v="9781118333709"/>
    <s v=",1,2,3,4,15,16,17,13,14,18,19,20,21,19,20,21,22,23,24,25"/>
    <n v="17"/>
    <m/>
    <m/>
    <s v="No"/>
    <x v="1"/>
    <m/>
    <m/>
    <s v="149.69.254.57"/>
    <s v="DC708 .P38"/>
    <n v="914.436104"/>
    <d v="2012-07-05T00:00:00"/>
  </r>
  <r>
    <x v="6425"/>
    <d v="1899-12-30T00:00:00"/>
    <x v="1040"/>
    <x v="16"/>
    <s v="monroecc"/>
    <x v="1468"/>
    <n v="1964127"/>
    <x v="0"/>
    <s v="Business/Management"/>
    <s v="9781119111160"/>
    <m/>
    <n v="0"/>
    <m/>
    <m/>
    <s v="Yes"/>
    <x v="0"/>
    <d v="2015-10-02T18:33:03"/>
    <n v="7"/>
    <s v="150.160.200.114"/>
    <s v="HF5415"/>
    <s v="658.8/02"/>
    <d v="2015-08-05T00:00:00"/>
  </r>
  <r>
    <x v="6426"/>
    <d v="1899-12-30T00:00:00"/>
    <x v="1040"/>
    <x v="16"/>
    <s v="monroecc"/>
    <x v="1468"/>
    <n v="1964127"/>
    <x v="0"/>
    <s v="Business/Management"/>
    <s v="9781119111160"/>
    <m/>
    <n v="0"/>
    <m/>
    <m/>
    <s v="No"/>
    <x v="0"/>
    <d v="2015-10-02T18:33:03"/>
    <n v="7"/>
    <s v="150.160.200.114"/>
    <s v="HF5415"/>
    <s v="658.8/02"/>
    <d v="2015-08-05T00:00:00"/>
  </r>
  <r>
    <x v="6427"/>
    <d v="1899-12-30T00:00:00"/>
    <x v="1040"/>
    <x v="16"/>
    <s v="monroecc"/>
    <x v="1469"/>
    <n v="1672806"/>
    <x v="0"/>
    <s v="Business/Management; Computer Science/IT"/>
    <s v="9781118658192"/>
    <m/>
    <n v="0"/>
    <m/>
    <m/>
    <s v="Yes"/>
    <x v="2"/>
    <d v="2015-10-02T18:32:43"/>
    <n v="7"/>
    <s v="150.160.200.114"/>
    <s v="HF5657.4 -- .B59 2014eb"/>
    <s v="005.54024/6581511"/>
    <d v="2014-04-07T00:00:00"/>
  </r>
  <r>
    <x v="6427"/>
    <d v="1899-12-30T00:00:00"/>
    <x v="1040"/>
    <x v="16"/>
    <s v="monroecc"/>
    <x v="1469"/>
    <n v="1672806"/>
    <x v="0"/>
    <s v="Business/Management; Computer Science/IT"/>
    <s v="9781118658192"/>
    <m/>
    <n v="0"/>
    <m/>
    <m/>
    <s v="No"/>
    <x v="2"/>
    <d v="2015-10-02T18:32:43"/>
    <n v="7"/>
    <s v="150.160.200.114"/>
    <s v="HF5657.4 -- .B59 2014eb"/>
    <s v="005.54024/6581511"/>
    <d v="2014-04-07T00:00:00"/>
  </r>
  <r>
    <x v="6428"/>
    <d v="1899-12-30T00:00:00"/>
    <x v="1040"/>
    <x v="16"/>
    <s v="monroecc"/>
    <x v="1470"/>
    <n v="1895882"/>
    <x v="0"/>
    <s v="Business/Management; Economics"/>
    <s v="9781118994191"/>
    <m/>
    <n v="0"/>
    <m/>
    <m/>
    <s v="Yes"/>
    <x v="0"/>
    <d v="2015-10-02T18:32:10"/>
    <n v="7"/>
    <s v="150.160.200.114"/>
    <s v="HG179 -- .T734 2015eb"/>
    <s v="332.024/014"/>
    <d v="2015-02-09T00:00:00"/>
  </r>
  <r>
    <x v="6428"/>
    <d v="1899-12-30T00:00:00"/>
    <x v="1040"/>
    <x v="16"/>
    <s v="monroecc"/>
    <x v="1470"/>
    <n v="1895882"/>
    <x v="0"/>
    <s v="Business/Management; Economics"/>
    <s v="9781118994191"/>
    <m/>
    <n v="0"/>
    <m/>
    <m/>
    <s v="No"/>
    <x v="0"/>
    <d v="2015-10-02T18:32:10"/>
    <n v="7"/>
    <s v="150.160.200.114"/>
    <s v="HG179 -- .T734 2015eb"/>
    <s v="332.024/014"/>
    <d v="2015-02-09T00:00:00"/>
  </r>
  <r>
    <x v="6429"/>
    <d v="1899-12-30T00:00:00"/>
    <x v="1040"/>
    <x v="16"/>
    <s v="monroecc"/>
    <x v="1471"/>
    <n v="1895116"/>
    <x v="0"/>
    <s v="Business/Management"/>
    <s v="9781118853290"/>
    <m/>
    <n v="0"/>
    <m/>
    <m/>
    <s v="Yes"/>
    <x v="0"/>
    <d v="2015-10-02T18:31:56"/>
    <n v="7"/>
    <s v="150.160.200.114"/>
    <s v="HF5661 -- .M666 2015eb"/>
    <n v="657.07600000000002"/>
    <d v="2015-03-27T00:00:00"/>
  </r>
  <r>
    <x v="6429"/>
    <d v="1899-12-30T00:00:00"/>
    <x v="1040"/>
    <x v="16"/>
    <s v="monroecc"/>
    <x v="1471"/>
    <n v="1895116"/>
    <x v="0"/>
    <s v="Business/Management"/>
    <s v="9781118853290"/>
    <m/>
    <n v="0"/>
    <m/>
    <m/>
    <s v="No"/>
    <x v="0"/>
    <d v="2015-10-02T18:31:56"/>
    <n v="7"/>
    <s v="150.160.200.114"/>
    <s v="HF5661 -- .M666 2015eb"/>
    <n v="657.07600000000002"/>
    <d v="2015-03-27T00:00:00"/>
  </r>
  <r>
    <x v="6430"/>
    <d v="1899-12-30T00:00:29"/>
    <x v="1040"/>
    <x v="16"/>
    <s v="monroecc"/>
    <x v="1470"/>
    <n v="1895882"/>
    <x v="0"/>
    <s v="Business/Management; Economics"/>
    <s v="9781118994191"/>
    <s v=",1,2,2,3,3,1,2,2"/>
    <n v="3"/>
    <m/>
    <m/>
    <s v="No"/>
    <x v="3"/>
    <m/>
    <m/>
    <s v="150.160.200.114"/>
    <s v="HG179 -- .T734 2015eb"/>
    <s v="332.024/014"/>
    <d v="2015-02-09T00:00:00"/>
  </r>
  <r>
    <x v="6431"/>
    <d v="1899-12-30T00:00:19"/>
    <x v="1040"/>
    <x v="16"/>
    <s v="monroecc"/>
    <x v="1472"/>
    <n v="1833667"/>
    <x v="11"/>
    <s v="Social Science; Business/Management"/>
    <s v="9780226127293"/>
    <s v=",100,100,102,98,101,99,101,99,102,103,104,103,104,105,105,320,320,321,321,318"/>
    <n v="11"/>
    <m/>
    <m/>
    <s v="No"/>
    <x v="0"/>
    <d v="2015-10-02T18:31:16"/>
    <n v="7"/>
    <s v="150.160.200.114"/>
    <s v="HD58"/>
    <s v="302.3/5"/>
    <d v="2015-01-02T00:00:00"/>
  </r>
  <r>
    <x v="6432"/>
    <d v="1899-12-30T00:00:06"/>
    <x v="1040"/>
    <x v="16"/>
    <s v="monroecc"/>
    <x v="1473"/>
    <n v="1895708"/>
    <x v="0"/>
    <s v="Business/Management"/>
    <s v="9781118889541"/>
    <s v=",2,2"/>
    <n v="1"/>
    <m/>
    <m/>
    <s v="Yes"/>
    <x v="0"/>
    <d v="2015-10-02T18:27:07"/>
    <n v="7"/>
    <s v="150.160.200.114"/>
    <s v="HF5636 -- .C43 2015eb"/>
    <n v="657.30218000000002"/>
    <d v="2015-01-16T00:00:00"/>
  </r>
  <r>
    <x v="6432"/>
    <d v="1899-12-30T00:00:00"/>
    <x v="1040"/>
    <x v="16"/>
    <s v="monroecc"/>
    <x v="1473"/>
    <n v="1895708"/>
    <x v="0"/>
    <s v="Business/Management"/>
    <s v="9781118889541"/>
    <m/>
    <n v="0"/>
    <m/>
    <m/>
    <s v="No"/>
    <x v="0"/>
    <d v="2015-10-02T18:27:07"/>
    <n v="7"/>
    <s v="150.160.200.114"/>
    <s v="HF5636 -- .C43 2015eb"/>
    <n v="657.30218000000002"/>
    <d v="2015-01-16T00:00:00"/>
  </r>
  <r>
    <x v="6433"/>
    <d v="1899-12-30T00:00:20"/>
    <x v="1040"/>
    <x v="16"/>
    <s v="monroecc"/>
    <x v="1473"/>
    <n v="1895708"/>
    <x v="0"/>
    <s v="Business/Management"/>
    <s v="9781118889541"/>
    <s v=",1,2,2,3,1,3"/>
    <n v="3"/>
    <m/>
    <m/>
    <s v="No"/>
    <x v="3"/>
    <m/>
    <m/>
    <s v="150.160.200.114"/>
    <s v="HF5636 -- .C43 2015eb"/>
    <n v="657.30218000000002"/>
    <d v="2015-01-16T00:00:00"/>
  </r>
  <r>
    <x v="6434"/>
    <d v="1899-12-30T00:00:00"/>
    <x v="1040"/>
    <x v="16"/>
    <s v="monroecc"/>
    <x v="1474"/>
    <n v="1985829"/>
    <x v="0"/>
    <s v="Business/Management"/>
    <s v="9781119128212"/>
    <m/>
    <n v="0"/>
    <m/>
    <m/>
    <s v="Yes"/>
    <x v="0"/>
    <d v="2015-10-02T18:15:33"/>
    <n v="7"/>
    <s v="150.160.200.114"/>
    <s v="HF5661"/>
    <n v="657.07600000000002"/>
    <d v="2015-05-19T00:00:00"/>
  </r>
  <r>
    <x v="6435"/>
    <d v="1899-12-30T00:00:07"/>
    <x v="1040"/>
    <x v="16"/>
    <s v="monroecc"/>
    <x v="1474"/>
    <n v="1985829"/>
    <x v="0"/>
    <s v="Business/Management"/>
    <s v="9781119128212"/>
    <s v=",1,2,2,1,3,3"/>
    <n v="3"/>
    <m/>
    <m/>
    <s v="No"/>
    <x v="0"/>
    <d v="2015-10-02T18:15:33"/>
    <n v="7"/>
    <s v="150.160.200.114"/>
    <s v="HF5661"/>
    <n v="657.07600000000002"/>
    <d v="2015-05-19T00:00:00"/>
  </r>
  <r>
    <x v="6436"/>
    <d v="1899-12-30T00:00:11"/>
    <x v="1040"/>
    <x v="16"/>
    <s v="monroecc"/>
    <x v="1475"/>
    <n v="1985830"/>
    <x v="0"/>
    <s v="Business/Management"/>
    <s v="9781119128229"/>
    <s v=",2,2"/>
    <n v="1"/>
    <m/>
    <m/>
    <s v="Yes"/>
    <x v="0"/>
    <d v="2015-10-02T16:39:46"/>
    <n v="7"/>
    <s v="150.160.200.114"/>
    <s v="HF5661"/>
    <n v="657.3"/>
    <d v="2015-05-19T00:00:00"/>
  </r>
  <r>
    <x v="6437"/>
    <d v="1899-12-30T00:00:06"/>
    <x v="1040"/>
    <x v="16"/>
    <s v="monroecc"/>
    <x v="1475"/>
    <n v="1985830"/>
    <x v="0"/>
    <s v="Business/Management"/>
    <s v="9781119128229"/>
    <s v=",1,2,3,2,3,1"/>
    <n v="3"/>
    <m/>
    <m/>
    <s v="No"/>
    <x v="0"/>
    <d v="2015-10-02T16:39:46"/>
    <n v="7"/>
    <s v="150.160.200.114"/>
    <s v="HF5661"/>
    <n v="657.3"/>
    <d v="2015-05-19T00:00:00"/>
  </r>
  <r>
    <x v="6438"/>
    <d v="1899-12-30T00:00:05"/>
    <x v="1040"/>
    <x v="16"/>
    <s v="monroecc"/>
    <x v="1476"/>
    <n v="1926544"/>
    <x v="0"/>
    <s v="Business/Management"/>
    <s v="9781119097648"/>
    <s v=",1,2,2,3,3,1"/>
    <n v="3"/>
    <m/>
    <m/>
    <s v="No"/>
    <x v="3"/>
    <m/>
    <m/>
    <s v="150.160.200.114"/>
    <s v="HF5668.25 -- .V355 2015eb"/>
    <n v="657.45799999999997"/>
    <d v="2015-01-20T00:00:00"/>
  </r>
  <r>
    <x v="6439"/>
    <d v="1899-12-30T00:00:14"/>
    <x v="1040"/>
    <x v="16"/>
    <s v="monroecc"/>
    <x v="1474"/>
    <n v="1985829"/>
    <x v="0"/>
    <s v="Business/Management"/>
    <s v="9781119128212"/>
    <s v=",2,2"/>
    <n v="1"/>
    <m/>
    <m/>
    <s v="Yes"/>
    <x v="0"/>
    <d v="2015-10-02T18:15:33"/>
    <n v="7"/>
    <s v="150.160.200.114"/>
    <s v="HF5661"/>
    <n v="657.07600000000002"/>
    <d v="2015-05-19T00:00:00"/>
  </r>
  <r>
    <x v="6439"/>
    <d v="1899-12-30T00:00:00"/>
    <x v="1040"/>
    <x v="16"/>
    <s v="monroecc"/>
    <x v="1474"/>
    <n v="1985829"/>
    <x v="0"/>
    <s v="Business/Management"/>
    <s v="9781119128212"/>
    <m/>
    <n v="0"/>
    <m/>
    <m/>
    <s v="No"/>
    <x v="0"/>
    <d v="2015-10-02T18:15:33"/>
    <n v="7"/>
    <s v="150.160.200.114"/>
    <s v="HF5661"/>
    <n v="657.07600000000002"/>
    <d v="2015-05-19T00:00:00"/>
  </r>
  <r>
    <x v="6440"/>
    <d v="1899-12-30T00:00:09"/>
    <x v="1040"/>
    <x v="16"/>
    <s v="monroecc"/>
    <x v="1474"/>
    <n v="1985829"/>
    <x v="0"/>
    <s v="Business/Management"/>
    <s v="9781119128212"/>
    <s v=",1,2,2,1,3,3"/>
    <n v="3"/>
    <m/>
    <m/>
    <s v="No"/>
    <x v="3"/>
    <m/>
    <m/>
    <s v="150.160.200.114"/>
    <s v="HF5661"/>
    <n v="657.07600000000002"/>
    <d v="2015-05-19T00:00:00"/>
  </r>
  <r>
    <x v="6441"/>
    <d v="1899-12-30T00:00:00"/>
    <x v="1040"/>
    <x v="16"/>
    <s v="monroecc"/>
    <x v="1477"/>
    <n v="1834788"/>
    <x v="0"/>
    <s v="Business/Management"/>
    <s v="9781119051749"/>
    <m/>
    <n v="0"/>
    <m/>
    <m/>
    <s v="Yes"/>
    <x v="0"/>
    <d v="2015-10-02T18:14:48"/>
    <n v="7"/>
    <s v="150.160.200.114"/>
    <s v="HF5661 -- .W554 2015eb"/>
    <n v="657.07600000000002"/>
    <d v="2014-11-03T00:00:00"/>
  </r>
  <r>
    <x v="6441"/>
    <d v="1899-12-30T00:00:00"/>
    <x v="1040"/>
    <x v="16"/>
    <s v="monroecc"/>
    <x v="1477"/>
    <n v="1834788"/>
    <x v="0"/>
    <s v="Business/Management"/>
    <s v="9781119051749"/>
    <m/>
    <n v="0"/>
    <m/>
    <m/>
    <s v="No"/>
    <x v="0"/>
    <d v="2015-10-02T18:14:48"/>
    <n v="7"/>
    <s v="150.160.200.114"/>
    <s v="HF5661 -- .W554 2015eb"/>
    <n v="657.07600000000002"/>
    <d v="2014-11-03T00:00:00"/>
  </r>
  <r>
    <x v="6442"/>
    <d v="1899-12-30T00:00:22"/>
    <x v="1040"/>
    <x v="16"/>
    <s v="monroecc"/>
    <x v="1477"/>
    <n v="1834788"/>
    <x v="0"/>
    <s v="Business/Management"/>
    <s v="9781119051749"/>
    <s v=",1,2,2,3,3,1,2,2"/>
    <n v="3"/>
    <m/>
    <m/>
    <s v="No"/>
    <x v="3"/>
    <m/>
    <m/>
    <s v="150.160.200.114"/>
    <s v="HF5661 -- .W554 2015eb"/>
    <n v="657.07600000000002"/>
    <d v="2014-11-03T00:00:00"/>
  </r>
  <r>
    <x v="6443"/>
    <d v="1899-12-30T00:00:00"/>
    <x v="1040"/>
    <x v="16"/>
    <s v="monroecc"/>
    <x v="1478"/>
    <n v="1816955"/>
    <x v="0"/>
    <s v="Business/Management"/>
    <s v="9781118945155"/>
    <m/>
    <n v="0"/>
    <m/>
    <m/>
    <s v="Yes"/>
    <x v="0"/>
    <d v="2015-10-02T18:12:02"/>
    <n v="7"/>
    <s v="150.160.200.114"/>
    <s v="HF5616.U5 -- .F566 2015eb"/>
    <n v="657.02187300000003"/>
    <d v="2014-10-14T00:00:00"/>
  </r>
  <r>
    <x v="6443"/>
    <d v="1899-12-30T00:00:00"/>
    <x v="1040"/>
    <x v="16"/>
    <s v="monroecc"/>
    <x v="1478"/>
    <n v="1816955"/>
    <x v="0"/>
    <s v="Business/Management"/>
    <s v="9781118945155"/>
    <m/>
    <n v="0"/>
    <m/>
    <m/>
    <s v="No"/>
    <x v="0"/>
    <d v="2015-10-02T18:12:02"/>
    <n v="7"/>
    <s v="150.160.200.114"/>
    <s v="HF5616.U5 -- .F566 2015eb"/>
    <n v="657.02187300000003"/>
    <d v="2014-10-14T00:00:00"/>
  </r>
  <r>
    <x v="6444"/>
    <d v="1899-12-30T00:00:14"/>
    <x v="1040"/>
    <x v="16"/>
    <s v="monroecc"/>
    <x v="1478"/>
    <n v="1816955"/>
    <x v="0"/>
    <s v="Business/Management"/>
    <s v="9781118945155"/>
    <s v=",1,3,2,2,3,1"/>
    <n v="3"/>
    <m/>
    <m/>
    <s v="No"/>
    <x v="3"/>
    <m/>
    <m/>
    <s v="150.160.200.114"/>
    <s v="HF5616.U5 -- .F566 2015eb"/>
    <n v="657.02187300000003"/>
    <d v="2014-10-14T00:00:00"/>
  </r>
  <r>
    <x v="6445"/>
    <d v="1899-12-30T00:00:03"/>
    <x v="1492"/>
    <x v="12"/>
    <s v="potsdam"/>
    <x v="79"/>
    <n v="1757960"/>
    <x v="0"/>
    <s v="Medicine"/>
    <s v="9781118780770"/>
    <s v=",1,2,3"/>
    <n v="3"/>
    <m/>
    <m/>
    <s v="No"/>
    <x v="1"/>
    <m/>
    <m/>
    <s v="137.143.104.94"/>
    <s v="RC537 -- .A236 2014eb"/>
    <s v="616.85/27"/>
    <d v="2014-07-30T00:00:00"/>
  </r>
  <r>
    <x v="6446"/>
    <d v="1899-12-30T00:32:35"/>
    <x v="1543"/>
    <x v="14"/>
    <s v="houghton"/>
    <x v="244"/>
    <n v="848510"/>
    <x v="0"/>
    <s v="Medicine"/>
    <s v="9781118220481"/>
    <s v=",1,2,3,61,62,63,59,60,64,65,88,89,90,86,87,91,92,138,139,140,136,137"/>
    <n v="22"/>
    <m/>
    <m/>
    <s v="No"/>
    <x v="0"/>
    <d v="2015-10-02T02:33:08"/>
    <n v="7"/>
    <s v="96.43.64.169"/>
    <s v="RC489.C63 -- C64 2012eb"/>
    <s v="616.89/1425"/>
    <d v="2012-06-06T00:00:00"/>
  </r>
  <r>
    <x v="6447"/>
    <d v="1899-12-30T00:00:07"/>
    <x v="1040"/>
    <x v="16"/>
    <s v="monroecc"/>
    <x v="1479"/>
    <n v="1210960"/>
    <x v="0"/>
    <s v="Business/Management; Computer Science/IT"/>
    <s v="9781118651063"/>
    <s v=",2,2"/>
    <n v="1"/>
    <m/>
    <m/>
    <s v="Yes"/>
    <x v="2"/>
    <d v="2015-10-02T17:42:20"/>
    <n v="7"/>
    <s v="150.160.200.114"/>
    <s v="HF5548.4.M523 -- .W355 2013eb"/>
    <n v="5.54"/>
    <d v="2013-06-03T00:00:00"/>
  </r>
  <r>
    <x v="6447"/>
    <d v="1899-12-30T00:00:00"/>
    <x v="1040"/>
    <x v="16"/>
    <s v="monroecc"/>
    <x v="1479"/>
    <n v="1210960"/>
    <x v="0"/>
    <s v="Business/Management; Computer Science/IT"/>
    <s v="9781118651063"/>
    <m/>
    <n v="0"/>
    <m/>
    <m/>
    <s v="No"/>
    <x v="2"/>
    <d v="2015-10-02T17:42:20"/>
    <n v="7"/>
    <s v="150.160.200.114"/>
    <s v="HF5548.4.M523 -- .W355 2013eb"/>
    <n v="5.54"/>
    <d v="2013-06-03T00:00:00"/>
  </r>
  <r>
    <x v="6448"/>
    <d v="1899-12-30T00:00:16"/>
    <x v="1040"/>
    <x v="16"/>
    <s v="monroecc"/>
    <x v="1479"/>
    <n v="1210960"/>
    <x v="0"/>
    <s v="Business/Management; Computer Science/IT"/>
    <s v="9781118651063"/>
    <s v=",1,2,2,1,3,3"/>
    <n v="3"/>
    <m/>
    <m/>
    <s v="No"/>
    <x v="3"/>
    <m/>
    <m/>
    <s v="150.160.200.114"/>
    <s v="HF5548.4.M523 -- .W355 2013eb"/>
    <n v="5.54"/>
    <d v="2013-06-03T00:00:00"/>
  </r>
  <r>
    <x v="6449"/>
    <d v="1899-12-30T00:50:45"/>
    <x v="1040"/>
    <x v="16"/>
    <s v="monroecc"/>
    <x v="1469"/>
    <n v="1672806"/>
    <x v="0"/>
    <s v="Business/Management; Computer Science/IT"/>
    <s v="9781118658192"/>
    <s v=",1,2,3,2,3,1,2,2"/>
    <n v="3"/>
    <m/>
    <m/>
    <s v="No"/>
    <x v="3"/>
    <m/>
    <m/>
    <s v="150.160.200.114"/>
    <s v="HF5657.4 -- .B59 2014eb"/>
    <s v="005.54024/6581511"/>
    <d v="2014-04-07T00:00:00"/>
  </r>
  <r>
    <x v="6450"/>
    <d v="1899-12-30T00:00:00"/>
    <x v="1040"/>
    <x v="16"/>
    <s v="monroecc"/>
    <x v="289"/>
    <n v="1742830"/>
    <x v="0"/>
    <s v="Science: Chemistry; Science"/>
    <s v="9781118902899"/>
    <m/>
    <n v="0"/>
    <m/>
    <m/>
    <s v="Yes"/>
    <x v="0"/>
    <d v="2015-10-02T17:41:39"/>
    <n v="7"/>
    <s v="150.160.200.114"/>
    <s v="QD39.3.S67 -- .A449 2014eb"/>
    <n v="542.855369"/>
    <d v="2014-07-14T00:00:00"/>
  </r>
  <r>
    <x v="6451"/>
    <d v="1899-12-30T00:00:00"/>
    <x v="1040"/>
    <x v="16"/>
    <s v="monroecc"/>
    <x v="289"/>
    <n v="1742830"/>
    <x v="0"/>
    <s v="Science: Chemistry; Science"/>
    <s v="9781118902899"/>
    <m/>
    <n v="0"/>
    <m/>
    <m/>
    <s v="No"/>
    <x v="0"/>
    <d v="2015-10-02T17:41:39"/>
    <n v="7"/>
    <s v="150.160.200.114"/>
    <s v="QD39.3.S67 -- .A449 2014eb"/>
    <n v="542.855369"/>
    <d v="2014-07-14T00:00:00"/>
  </r>
  <r>
    <x v="6452"/>
    <d v="1899-12-30T00:00:24"/>
    <x v="1040"/>
    <x v="16"/>
    <s v="monroecc"/>
    <x v="289"/>
    <n v="1742830"/>
    <x v="0"/>
    <s v="Science: Chemistry; Science"/>
    <s v="9781118902899"/>
    <s v=",1,2,3,2,3,1,2,2"/>
    <n v="3"/>
    <m/>
    <m/>
    <s v="No"/>
    <x v="3"/>
    <m/>
    <m/>
    <s v="150.160.200.114"/>
    <s v="QD39.3.S67 -- .A449 2014eb"/>
    <n v="542.855369"/>
    <d v="2014-07-14T00:00:00"/>
  </r>
  <r>
    <x v="6453"/>
    <d v="1899-12-30T00:00:11"/>
    <x v="1040"/>
    <x v="16"/>
    <s v="monroecc"/>
    <x v="1480"/>
    <n v="1144767"/>
    <x v="0"/>
    <s v="Business/Management"/>
    <s v="9781118491805"/>
    <s v=",2,2"/>
    <n v="1"/>
    <m/>
    <m/>
    <s v="Yes"/>
    <x v="0"/>
    <d v="2015-10-02T17:41:05"/>
    <n v="7"/>
    <s v="150.160.200.114"/>
    <s v="HF5548.2 -- .W355 2013eb"/>
    <n v="650.02855365000005"/>
    <d v="2013-03-05T00:00:00"/>
  </r>
  <r>
    <x v="6453"/>
    <d v="1899-12-30T00:00:00"/>
    <x v="1040"/>
    <x v="16"/>
    <s v="monroecc"/>
    <x v="1480"/>
    <n v="1144767"/>
    <x v="0"/>
    <s v="Business/Management"/>
    <s v="9781118491805"/>
    <m/>
    <n v="0"/>
    <m/>
    <m/>
    <s v="No"/>
    <x v="0"/>
    <d v="2015-10-02T17:41:05"/>
    <n v="7"/>
    <s v="150.160.200.114"/>
    <s v="HF5548.2 -- .W355 2013eb"/>
    <n v="650.02855365000005"/>
    <d v="2013-03-05T00:00:00"/>
  </r>
  <r>
    <x v="6454"/>
    <d v="1899-12-30T00:00:13"/>
    <x v="1040"/>
    <x v="16"/>
    <s v="monroecc"/>
    <x v="1480"/>
    <n v="1144767"/>
    <x v="0"/>
    <s v="Business/Management"/>
    <s v="9781118491805"/>
    <s v=",1,2,3,2,3,1"/>
    <n v="3"/>
    <m/>
    <m/>
    <s v="No"/>
    <x v="3"/>
    <m/>
    <m/>
    <s v="150.160.200.114"/>
    <s v="HF5548.2 -- .W355 2013eb"/>
    <n v="650.02855365000005"/>
    <d v="2013-03-05T00:00:00"/>
  </r>
  <r>
    <x v="6455"/>
    <d v="1899-12-30T00:00:07"/>
    <x v="1040"/>
    <x v="16"/>
    <s v="monroecc"/>
    <x v="1481"/>
    <n v="1154892"/>
    <x v="0"/>
    <s v="Computer Science/IT; Business/Management"/>
    <s v="9781118490457"/>
    <s v=",2,2"/>
    <n v="1"/>
    <m/>
    <m/>
    <s v="Yes"/>
    <x v="0"/>
    <d v="2015-10-02T17:40:42"/>
    <n v="7"/>
    <s v="150.160.200.114"/>
    <s v="HF5548.4.M523"/>
    <n v="5.54"/>
    <d v="2013-03-13T00:00:00"/>
  </r>
  <r>
    <x v="6455"/>
    <d v="1899-12-30T00:00:00"/>
    <x v="1040"/>
    <x v="16"/>
    <s v="monroecc"/>
    <x v="1481"/>
    <n v="1154892"/>
    <x v="0"/>
    <s v="Computer Science/IT; Business/Management"/>
    <s v="9781118490457"/>
    <m/>
    <n v="0"/>
    <m/>
    <m/>
    <s v="No"/>
    <x v="0"/>
    <d v="2015-10-02T17:40:42"/>
    <n v="7"/>
    <s v="150.160.200.114"/>
    <s v="HF5548.4.M523"/>
    <n v="5.54"/>
    <d v="2013-03-13T00:00:00"/>
  </r>
  <r>
    <x v="6456"/>
    <d v="1899-12-30T00:00:21"/>
    <x v="1040"/>
    <x v="16"/>
    <s v="monroecc"/>
    <x v="1481"/>
    <n v="1154892"/>
    <x v="0"/>
    <s v="Computer Science/IT; Business/Management"/>
    <s v="9781118490457"/>
    <s v=",1,3,2,3,2,1"/>
    <n v="3"/>
    <m/>
    <m/>
    <s v="No"/>
    <x v="3"/>
    <m/>
    <m/>
    <s v="150.160.200.114"/>
    <s v="HF5548.4.M523"/>
    <n v="5.54"/>
    <d v="2013-03-13T00:00:00"/>
  </r>
  <r>
    <x v="6457"/>
    <d v="1899-12-30T00:00:06"/>
    <x v="1040"/>
    <x v="16"/>
    <s v="monroecc"/>
    <x v="1482"/>
    <n v="1187160"/>
    <x v="0"/>
    <s v="Business/Management"/>
    <s v="9781118491416"/>
    <s v=",2,2"/>
    <n v="1"/>
    <m/>
    <m/>
    <s v="Yes"/>
    <x v="2"/>
    <d v="2015-10-02T17:40:04"/>
    <n v="7"/>
    <s v="150.160.200.114"/>
    <s v="HF5548.4.M523 -- A44 2013eb"/>
    <n v="658.40380285553999"/>
    <d v="2013-05-06T00:00:00"/>
  </r>
  <r>
    <x v="6457"/>
    <d v="1899-12-30T00:00:00"/>
    <x v="1040"/>
    <x v="16"/>
    <s v="monroecc"/>
    <x v="1482"/>
    <n v="1187160"/>
    <x v="0"/>
    <s v="Business/Management"/>
    <s v="9781118491416"/>
    <m/>
    <n v="0"/>
    <m/>
    <m/>
    <s v="No"/>
    <x v="2"/>
    <d v="2015-10-02T17:40:04"/>
    <n v="7"/>
    <s v="150.160.200.114"/>
    <s v="HF5548.4.M523 -- A44 2013eb"/>
    <n v="658.40380285553999"/>
    <d v="2013-05-06T00:00:00"/>
  </r>
  <r>
    <x v="6458"/>
    <d v="1899-12-30T00:00:19"/>
    <x v="1040"/>
    <x v="16"/>
    <s v="monroecc"/>
    <x v="1482"/>
    <n v="1187160"/>
    <x v="0"/>
    <s v="Business/Management"/>
    <s v="9781118491416"/>
    <s v=",1,2,3,3,2,1"/>
    <n v="3"/>
    <m/>
    <m/>
    <s v="No"/>
    <x v="3"/>
    <m/>
    <m/>
    <s v="150.160.200.114"/>
    <s v="HF5548.4.M523 -- A44 2013eb"/>
    <n v="658.40380285553999"/>
    <d v="2013-05-06T00:00:00"/>
  </r>
  <r>
    <x v="6459"/>
    <d v="1899-12-30T00:51:39"/>
    <x v="1040"/>
    <x v="16"/>
    <s v="monroecc"/>
    <x v="1472"/>
    <n v="1833667"/>
    <x v="11"/>
    <s v="Social Science; Business/Management"/>
    <s v="9780226127293"/>
    <s v=",1,2,2,3,3,1,2,2"/>
    <n v="3"/>
    <m/>
    <m/>
    <s v="No"/>
    <x v="1"/>
    <m/>
    <m/>
    <s v="150.160.200.114"/>
    <s v="HD58"/>
    <s v="302.3/5"/>
    <d v="2015-01-02T00:00:00"/>
  </r>
  <r>
    <x v="6460"/>
    <d v="1899-12-30T00:00:09"/>
    <x v="1040"/>
    <x v="16"/>
    <s v="monroecc"/>
    <x v="867"/>
    <n v="1887751"/>
    <x v="0"/>
    <s v="Business/Management; Social Science"/>
    <s v="9781118779903"/>
    <s v=",2,2"/>
    <n v="1"/>
    <m/>
    <m/>
    <s v="Yes"/>
    <x v="0"/>
    <d v="2015-10-02T17:39:09"/>
    <n v="7"/>
    <s v="150.160.200.114"/>
    <s v="HD58.7 -- .C4853 2015eb"/>
    <s v="302.3/5"/>
    <d v="2015-02-06T00:00:00"/>
  </r>
  <r>
    <x v="6460"/>
    <d v="1899-12-30T00:00:00"/>
    <x v="1040"/>
    <x v="16"/>
    <s v="monroecc"/>
    <x v="867"/>
    <n v="1887751"/>
    <x v="0"/>
    <s v="Business/Management; Social Science"/>
    <s v="9781118779903"/>
    <m/>
    <n v="0"/>
    <m/>
    <m/>
    <s v="No"/>
    <x v="0"/>
    <d v="2015-10-02T17:39:09"/>
    <n v="7"/>
    <s v="150.160.200.114"/>
    <s v="HD58.7 -- .C4853 2015eb"/>
    <s v="302.3/5"/>
    <d v="2015-02-06T00:00:00"/>
  </r>
  <r>
    <x v="6461"/>
    <d v="1899-12-30T00:00:14"/>
    <x v="1040"/>
    <x v="16"/>
    <s v="monroecc"/>
    <x v="867"/>
    <n v="1887751"/>
    <x v="0"/>
    <s v="Business/Management; Social Science"/>
    <s v="9781118779903"/>
    <s v=",1,2,2,3,3,1"/>
    <n v="3"/>
    <m/>
    <m/>
    <s v="No"/>
    <x v="3"/>
    <m/>
    <m/>
    <s v="150.160.200.114"/>
    <s v="HD58.7 -- .C4853 2015eb"/>
    <s v="302.3/5"/>
    <d v="2015-02-06T00:00:00"/>
  </r>
  <r>
    <x v="6462"/>
    <d v="1899-12-30T01:24:50"/>
    <x v="1040"/>
    <x v="16"/>
    <s v="monroecc"/>
    <x v="1471"/>
    <n v="1895116"/>
    <x v="0"/>
    <s v="Business/Management"/>
    <s v="9781118853290"/>
    <s v=",1,2,2,3,3,1,2,2"/>
    <n v="3"/>
    <m/>
    <m/>
    <s v="No"/>
    <x v="3"/>
    <m/>
    <m/>
    <s v="150.160.200.114"/>
    <s v="HF5661 -- .M666 2015eb"/>
    <n v="657.07600000000002"/>
    <d v="2015-03-27T00:00:00"/>
  </r>
  <r>
    <x v="6463"/>
    <d v="1899-12-30T00:00:06"/>
    <x v="1040"/>
    <x v="16"/>
    <s v="monroecc"/>
    <x v="1483"/>
    <n v="1895193"/>
    <x v="0"/>
    <s v="Business/Management; Computer Science/IT"/>
    <s v="9781118991404"/>
    <s v=",2,2"/>
    <n v="1"/>
    <m/>
    <m/>
    <s v="Yes"/>
    <x v="0"/>
    <d v="2015-10-02T17:06:25"/>
    <n v="7"/>
    <s v="150.160.200.114"/>
    <s v="HF5548.4.M523 -- .U785 2015eb"/>
    <n v="5.54"/>
    <d v="2015-03-09T00:00:00"/>
  </r>
  <r>
    <x v="6463"/>
    <d v="1899-12-30T00:00:00"/>
    <x v="1040"/>
    <x v="16"/>
    <s v="monroecc"/>
    <x v="1483"/>
    <n v="1895193"/>
    <x v="0"/>
    <s v="Business/Management; Computer Science/IT"/>
    <s v="9781118991404"/>
    <m/>
    <n v="0"/>
    <m/>
    <m/>
    <s v="No"/>
    <x v="0"/>
    <d v="2015-10-02T17:06:25"/>
    <n v="7"/>
    <s v="150.160.200.114"/>
    <s v="HF5548.4.M523 -- .U785 2015eb"/>
    <n v="5.54"/>
    <d v="2015-03-09T00:00:00"/>
  </r>
  <r>
    <x v="6464"/>
    <d v="1899-12-30T00:00:16"/>
    <x v="1040"/>
    <x v="16"/>
    <s v="monroecc"/>
    <x v="1483"/>
    <n v="1895193"/>
    <x v="0"/>
    <s v="Business/Management; Computer Science/IT"/>
    <s v="9781118991404"/>
    <s v=",1,2,3,2,3,1"/>
    <n v="3"/>
    <m/>
    <m/>
    <s v="No"/>
    <x v="3"/>
    <m/>
    <m/>
    <s v="150.160.200.114"/>
    <s v="HF5548.4.M523 -- .U785 2015eb"/>
    <n v="5.54"/>
    <d v="2015-03-09T00:00:00"/>
  </r>
  <r>
    <x v="6465"/>
    <d v="1899-12-30T00:00:00"/>
    <x v="1040"/>
    <x v="16"/>
    <s v="monroecc"/>
    <x v="471"/>
    <n v="1953321"/>
    <x v="0"/>
    <s v="Business/Management"/>
    <s v="9781119062448"/>
    <m/>
    <n v="0"/>
    <m/>
    <m/>
    <s v="Yes"/>
    <x v="0"/>
    <d v="2015-10-02T17:05:02"/>
    <n v="7"/>
    <s v="150.160.200.114"/>
    <s v="HF5548.4.M523 -- F35 2015eb"/>
    <n v="658.15028555399999"/>
    <d v="2015-03-16T00:00:00"/>
  </r>
  <r>
    <x v="6465"/>
    <d v="1899-12-30T00:00:00"/>
    <x v="1040"/>
    <x v="16"/>
    <s v="monroecc"/>
    <x v="471"/>
    <n v="1953321"/>
    <x v="0"/>
    <s v="Business/Management"/>
    <s v="9781119062448"/>
    <m/>
    <n v="0"/>
    <m/>
    <m/>
    <s v="No"/>
    <x v="0"/>
    <d v="2015-10-02T17:05:02"/>
    <n v="7"/>
    <s v="150.160.200.114"/>
    <s v="HF5548.4.M523 -- F35 2015eb"/>
    <n v="658.15028555399999"/>
    <d v="2015-03-16T00:00:00"/>
  </r>
  <r>
    <x v="6466"/>
    <d v="1899-12-30T00:16:10"/>
    <x v="1040"/>
    <x v="16"/>
    <s v="monroecc"/>
    <x v="471"/>
    <n v="1953321"/>
    <x v="0"/>
    <s v="Business/Management"/>
    <s v="9781119062448"/>
    <s v=",1,2,3,2,3,1,2,2"/>
    <n v="3"/>
    <m/>
    <m/>
    <s v="No"/>
    <x v="3"/>
    <m/>
    <m/>
    <s v="150.160.200.114"/>
    <s v="HF5548.4.M523 -- F35 2015eb"/>
    <n v="658.15028555399999"/>
    <d v="2015-03-16T00:00:00"/>
  </r>
  <r>
    <x v="6467"/>
    <d v="1899-12-30T00:00:00"/>
    <x v="1040"/>
    <x v="16"/>
    <s v="monroecc"/>
    <x v="75"/>
    <n v="1986951"/>
    <x v="0"/>
    <s v="Business/Management"/>
    <s v="9781119130468"/>
    <m/>
    <n v="0"/>
    <m/>
    <m/>
    <s v="Yes"/>
    <x v="0"/>
    <d v="2015-10-02T16:45:54"/>
    <n v="7"/>
    <s v="150.160.200.114"/>
    <s v="HF5661"/>
    <n v="657.07600000000002"/>
    <d v="2015-05-19T00:00:00"/>
  </r>
  <r>
    <x v="6467"/>
    <d v="1899-12-30T00:00:00"/>
    <x v="1040"/>
    <x v="16"/>
    <s v="monroecc"/>
    <x v="75"/>
    <n v="1986951"/>
    <x v="0"/>
    <s v="Business/Management"/>
    <s v="9781119130468"/>
    <m/>
    <n v="0"/>
    <m/>
    <m/>
    <s v="No"/>
    <x v="0"/>
    <d v="2015-10-02T16:45:54"/>
    <n v="7"/>
    <s v="150.160.200.114"/>
    <s v="HF5661"/>
    <n v="657.07600000000002"/>
    <d v="2015-05-19T00:00:00"/>
  </r>
  <r>
    <x v="6468"/>
    <d v="1899-12-30T00:05:25"/>
    <x v="1040"/>
    <x v="16"/>
    <s v="monroecc"/>
    <x v="75"/>
    <n v="1986951"/>
    <x v="0"/>
    <s v="Business/Management"/>
    <s v="9781119130468"/>
    <s v=",1,2,3,2,3,1,2,2"/>
    <n v="3"/>
    <m/>
    <m/>
    <s v="No"/>
    <x v="3"/>
    <m/>
    <m/>
    <s v="150.160.200.114"/>
    <s v="HF5661"/>
    <n v="657.07600000000002"/>
    <d v="2015-05-19T00:00:00"/>
  </r>
  <r>
    <x v="6469"/>
    <d v="1899-12-30T00:00:04"/>
    <x v="1040"/>
    <x v="16"/>
    <s v="monroecc"/>
    <x v="1475"/>
    <n v="1985830"/>
    <x v="0"/>
    <s v="Business/Management"/>
    <s v="9781119128229"/>
    <s v=",2,2"/>
    <n v="1"/>
    <m/>
    <m/>
    <s v="Yes"/>
    <x v="0"/>
    <d v="2015-10-02T16:39:46"/>
    <n v="7"/>
    <s v="150.160.200.114"/>
    <s v="HF5661"/>
    <n v="657.3"/>
    <d v="2015-05-19T00:00:00"/>
  </r>
  <r>
    <x v="6469"/>
    <d v="1899-12-30T00:00:00"/>
    <x v="1040"/>
    <x v="16"/>
    <s v="monroecc"/>
    <x v="1475"/>
    <n v="1985830"/>
    <x v="0"/>
    <s v="Business/Management"/>
    <s v="9781119128229"/>
    <m/>
    <n v="0"/>
    <m/>
    <m/>
    <s v="No"/>
    <x v="0"/>
    <d v="2015-10-02T16:39:46"/>
    <n v="7"/>
    <s v="150.160.200.114"/>
    <s v="HF5661"/>
    <n v="657.3"/>
    <d v="2015-05-19T00:00:00"/>
  </r>
  <r>
    <x v="6470"/>
    <d v="1899-12-30T00:00:15"/>
    <x v="1040"/>
    <x v="16"/>
    <s v="monroecc"/>
    <x v="1475"/>
    <n v="1985830"/>
    <x v="0"/>
    <s v="Business/Management"/>
    <s v="9781119128229"/>
    <s v=",1,2,2,3,3,1"/>
    <n v="3"/>
    <m/>
    <m/>
    <s v="No"/>
    <x v="3"/>
    <m/>
    <m/>
    <s v="150.160.200.114"/>
    <s v="HF5661"/>
    <n v="657.3"/>
    <d v="2015-05-19T00:00:00"/>
  </r>
  <r>
    <x v="6471"/>
    <d v="1899-12-30T01:53:43"/>
    <x v="1040"/>
    <x v="16"/>
    <s v="monroecc"/>
    <x v="1468"/>
    <n v="1964127"/>
    <x v="0"/>
    <s v="Business/Management"/>
    <s v="9781119111160"/>
    <s v=",1,2,2,3,3,1,2,2"/>
    <n v="3"/>
    <m/>
    <m/>
    <s v="No"/>
    <x v="3"/>
    <m/>
    <m/>
    <s v="150.160.200.114"/>
    <s v="HF5415"/>
    <s v="658.8/02"/>
    <d v="2015-08-05T00:00:00"/>
  </r>
  <r>
    <x v="6472"/>
    <d v="1899-12-30T00:00:00"/>
    <x v="1040"/>
    <x v="16"/>
    <s v="monroecc"/>
    <x v="589"/>
    <n v="1938274"/>
    <x v="0"/>
    <s v="Health; Social Science; Medicine"/>
    <s v="9781119098201"/>
    <m/>
    <n v="0"/>
    <m/>
    <m/>
    <s v="Yes"/>
    <x v="0"/>
    <d v="2015-10-02T16:25:14"/>
    <n v="7"/>
    <s v="150.160.200.114"/>
    <s v="RC564 -- .B74 2015eb"/>
    <s v="362.29/186"/>
    <d v="2015-01-29T00:00:00"/>
  </r>
  <r>
    <x v="6472"/>
    <d v="1899-12-30T00:00:00"/>
    <x v="1040"/>
    <x v="16"/>
    <s v="monroecc"/>
    <x v="589"/>
    <n v="1938274"/>
    <x v="0"/>
    <s v="Health; Social Science; Medicine"/>
    <s v="9781119098201"/>
    <m/>
    <n v="0"/>
    <m/>
    <m/>
    <s v="No"/>
    <x v="0"/>
    <d v="2015-10-02T16:25:14"/>
    <n v="7"/>
    <s v="150.160.200.114"/>
    <s v="RC564 -- .B74 2015eb"/>
    <s v="362.29/186"/>
    <d v="2015-01-29T00:00:00"/>
  </r>
  <r>
    <x v="6473"/>
    <d v="1899-12-30T00:00:03"/>
    <x v="1544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474"/>
    <d v="1899-12-30T00:00:51"/>
    <x v="1545"/>
    <x v="13"/>
    <s v="buffalostate"/>
    <x v="684"/>
    <n v="1120621"/>
    <x v="0"/>
    <s v="Education"/>
    <s v="9781118362679"/>
    <s v=",1,2,3,24,35,36,37,33,34,26,27,28,24,25,2,21,1,2,3,1,3,2"/>
    <n v="14"/>
    <m/>
    <m/>
    <s v="No"/>
    <x v="1"/>
    <m/>
    <m/>
    <s v="136.183.11.43"/>
    <s v="LB3013.3 .R59 2012"/>
    <s v="371.5/8; 371.58"/>
    <d v="2012-08-15T00:00:00"/>
  </r>
  <r>
    <x v="6475"/>
    <d v="1899-12-30T00:01:06"/>
    <x v="1040"/>
    <x v="16"/>
    <s v="monroecc"/>
    <x v="589"/>
    <n v="1938274"/>
    <x v="0"/>
    <s v="Health; Social Science; Medicine"/>
    <s v="9781119098201"/>
    <s v=",1,2,2,1,3,3,2,2,18,19,20,18,16,20,17,19,1,2,17,3,4,4,5,5,6,6,7,7,7,8,9,8,10,9,10,11,11"/>
    <n v="16"/>
    <m/>
    <m/>
    <s v="No"/>
    <x v="3"/>
    <m/>
    <m/>
    <s v="150.160.200.114"/>
    <s v="RC564 -- .B74 2015eb"/>
    <s v="362.29/186"/>
    <d v="2015-01-29T00:00:00"/>
  </r>
  <r>
    <x v="6476"/>
    <d v="1899-12-30T00:00:03"/>
    <x v="1546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477"/>
    <d v="1899-12-30T00:00:52"/>
    <x v="1547"/>
    <x v="13"/>
    <s v="buffalostate"/>
    <x v="684"/>
    <n v="1120621"/>
    <x v="0"/>
    <s v="Education"/>
    <s v="9781118362679"/>
    <s v=",1,2,3,4,5,152,153,154,150,151,149,132,133,134,130,131"/>
    <n v="16"/>
    <m/>
    <m/>
    <s v="No"/>
    <x v="1"/>
    <m/>
    <m/>
    <s v="136.183.11.43"/>
    <s v="LB3013.3 .R59 2012"/>
    <s v="371.5/8; 371.58"/>
    <d v="2012-08-15T00:00:00"/>
  </r>
  <r>
    <x v="6478"/>
    <d v="1899-12-30T00:01:42"/>
    <x v="1479"/>
    <x v="13"/>
    <s v="buffalostate"/>
    <x v="684"/>
    <n v="1120621"/>
    <x v="0"/>
    <s v="Education"/>
    <s v="9781118362679"/>
    <s v=",1,2,3,63,64,60,61,65,59,58,56,62,1,3"/>
    <n v="12"/>
    <m/>
    <m/>
    <s v="No"/>
    <x v="1"/>
    <m/>
    <m/>
    <s v="136.183.11.43"/>
    <s v="LB3013.3 .R59 2012"/>
    <s v="371.5/8; 371.58"/>
    <d v="2012-08-15T00:00:00"/>
  </r>
  <r>
    <x v="6479"/>
    <d v="1899-12-30T00:00:00"/>
    <x v="1040"/>
    <x v="16"/>
    <s v="monroecc"/>
    <x v="641"/>
    <n v="1895586"/>
    <x v="0"/>
    <s v="Medicine"/>
    <s v="9781118766651"/>
    <m/>
    <n v="0"/>
    <m/>
    <m/>
    <s v="Yes"/>
    <x v="0"/>
    <d v="2015-10-02T16:22:43"/>
    <n v="7"/>
    <s v="150.160.200.114"/>
    <s v="RK301 -- .F545 2016eb"/>
    <s v="617.6/3"/>
    <d v="2015-03-31T00:00:00"/>
  </r>
  <r>
    <x v="6479"/>
    <d v="1899-12-30T00:00:00"/>
    <x v="1040"/>
    <x v="16"/>
    <s v="monroecc"/>
    <x v="641"/>
    <n v="1895586"/>
    <x v="0"/>
    <s v="Medicine"/>
    <s v="9781118766651"/>
    <m/>
    <n v="0"/>
    <m/>
    <m/>
    <s v="No"/>
    <x v="0"/>
    <d v="2015-10-02T16:22:43"/>
    <n v="7"/>
    <s v="150.160.200.114"/>
    <s v="RK301 -- .F545 2016eb"/>
    <s v="617.6/3"/>
    <d v="2015-03-31T00:00:00"/>
  </r>
  <r>
    <x v="6480"/>
    <d v="1899-12-30T00:04:12"/>
    <x v="1040"/>
    <x v="16"/>
    <s v="monroecc"/>
    <x v="641"/>
    <n v="1895586"/>
    <x v="0"/>
    <s v="Medicine"/>
    <s v="9781118766651"/>
    <s v=",1,2,3,2,3,1,2,2,7,8,9,8,7,6,9,5,6,10,12,10,11,11,13,13,14,9,14,8,12,13,14,15,15,16,16,3,4,5,1,4,2,4,4"/>
    <n v="16"/>
    <m/>
    <m/>
    <s v="No"/>
    <x v="3"/>
    <m/>
    <m/>
    <s v="150.160.200.114"/>
    <s v="RK301 -- .F545 2016eb"/>
    <s v="617.6/3"/>
    <d v="2015-03-31T00:00:00"/>
  </r>
  <r>
    <x v="6481"/>
    <d v="1899-12-30T00:00:03"/>
    <x v="1548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482"/>
    <d v="1899-12-30T00:00:03"/>
    <x v="1549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6483"/>
    <d v="1899-12-30T00:01:10"/>
    <x v="1479"/>
    <x v="13"/>
    <s v="buffalostate"/>
    <x v="684"/>
    <n v="1120621"/>
    <x v="0"/>
    <s v="Education"/>
    <s v="9781118362679"/>
    <s v=",1,2,3,31,32,33,29,30,28"/>
    <n v="9"/>
    <m/>
    <m/>
    <s v="No"/>
    <x v="1"/>
    <m/>
    <m/>
    <s v="136.183.11.43"/>
    <s v="LB3013.3 .R59 2012"/>
    <s v="371.5/8; 371.58"/>
    <d v="2012-08-15T00:00:00"/>
  </r>
  <r>
    <x v="6484"/>
    <d v="1899-12-30T00:00:00"/>
    <x v="1040"/>
    <x v="16"/>
    <s v="monroecc"/>
    <x v="1484"/>
    <n v="1753380"/>
    <x v="0"/>
    <s v="Architecture; Fine Arts"/>
    <s v="9781118896945"/>
    <m/>
    <n v="0"/>
    <m/>
    <m/>
    <s v="Yes"/>
    <x v="2"/>
    <d v="2015-10-02T15:13:04"/>
    <n v="1"/>
    <s v="150.160.200.114"/>
    <s v="NK2116 -- .H37 2014eb"/>
    <n v="729"/>
    <d v="2014-07-23T00:00:00"/>
  </r>
  <r>
    <x v="6484"/>
    <d v="1899-12-30T00:00:00"/>
    <x v="1040"/>
    <x v="16"/>
    <s v="monroecc"/>
    <x v="1484"/>
    <n v="1753380"/>
    <x v="0"/>
    <s v="Architecture; Fine Arts"/>
    <s v="9781118896945"/>
    <m/>
    <n v="0"/>
    <m/>
    <m/>
    <s v="No"/>
    <x v="2"/>
    <d v="2015-10-02T15:13:04"/>
    <n v="1"/>
    <s v="150.160.200.114"/>
    <s v="NK2116 -- .H37 2014eb"/>
    <n v="729"/>
    <d v="2014-07-23T00:00:00"/>
  </r>
  <r>
    <x v="6485"/>
    <d v="1899-12-30T00:00:00"/>
    <x v="1040"/>
    <x v="16"/>
    <s v="monroecc"/>
    <x v="1485"/>
    <n v="1895861"/>
    <x v="0"/>
    <s v="Medicine"/>
    <s v="9781118983034"/>
    <m/>
    <n v="0"/>
    <m/>
    <m/>
    <s v="Yes"/>
    <x v="0"/>
    <d v="2015-10-02T15:11:46"/>
    <n v="7"/>
    <s v="150.160.200.114"/>
    <s v="RK309 -- .C55 2015eb"/>
    <s v="617.6/07572"/>
    <d v="2015-04-27T00:00:00"/>
  </r>
  <r>
    <x v="6485"/>
    <d v="1899-12-30T00:00:00"/>
    <x v="1040"/>
    <x v="16"/>
    <s v="monroecc"/>
    <x v="1485"/>
    <n v="1895861"/>
    <x v="0"/>
    <s v="Medicine"/>
    <s v="9781118983034"/>
    <m/>
    <n v="0"/>
    <m/>
    <m/>
    <s v="No"/>
    <x v="0"/>
    <d v="2015-10-02T15:11:46"/>
    <n v="7"/>
    <s v="150.160.200.114"/>
    <s v="RK309 -- .C55 2015eb"/>
    <s v="617.6/07572"/>
    <d v="2015-04-27T00:00:00"/>
  </r>
  <r>
    <x v="6486"/>
    <d v="1899-12-30T00:00:54"/>
    <x v="1040"/>
    <x v="16"/>
    <s v="monroecc"/>
    <x v="1485"/>
    <n v="1895861"/>
    <x v="0"/>
    <s v="Medicine"/>
    <s v="9781118983034"/>
    <s v=",1,2,3,2,3,1,2,2,9,9,10,11,10,11,7,8,8,6,5,4"/>
    <n v="11"/>
    <m/>
    <m/>
    <s v="No"/>
    <x v="3"/>
    <m/>
    <m/>
    <s v="150.160.200.114"/>
    <s v="RK309 -- .C55 2015eb"/>
    <s v="617.6/07572"/>
    <d v="2015-04-27T00:00:00"/>
  </r>
  <r>
    <x v="6487"/>
    <d v="1899-12-30T00:00:11"/>
    <x v="1040"/>
    <x v="16"/>
    <s v="monroecc"/>
    <x v="1486"/>
    <n v="1895194"/>
    <x v="0"/>
    <s v="Business/Management; Economics"/>
    <s v="9781118992265"/>
    <s v=",2,2"/>
    <n v="1"/>
    <m/>
    <m/>
    <s v="Yes"/>
    <x v="0"/>
    <d v="2015-10-02T15:10:25"/>
    <n v="7"/>
    <s v="150.160.200.114"/>
    <s v="HG4521 -- .S7184 2015eb"/>
    <n v="332.024"/>
    <d v="2015-04-29T00:00:00"/>
  </r>
  <r>
    <x v="6487"/>
    <d v="1899-12-30T00:00:00"/>
    <x v="1040"/>
    <x v="16"/>
    <s v="monroecc"/>
    <x v="1486"/>
    <n v="1895194"/>
    <x v="0"/>
    <s v="Business/Management; Economics"/>
    <s v="9781118992265"/>
    <m/>
    <n v="0"/>
    <m/>
    <m/>
    <s v="No"/>
    <x v="0"/>
    <d v="2015-10-02T15:10:25"/>
    <n v="7"/>
    <s v="150.160.200.114"/>
    <s v="HG4521 -- .S7184 2015eb"/>
    <n v="332.024"/>
    <d v="2015-04-29T00:00:00"/>
  </r>
  <r>
    <x v="6488"/>
    <d v="1899-12-30T00:00:15"/>
    <x v="1040"/>
    <x v="16"/>
    <s v="monroecc"/>
    <x v="1486"/>
    <n v="1895194"/>
    <x v="0"/>
    <s v="Business/Management; Economics"/>
    <s v="9781118992265"/>
    <s v=",1,2,2,3,3,1"/>
    <n v="3"/>
    <m/>
    <m/>
    <s v="No"/>
    <x v="3"/>
    <m/>
    <m/>
    <s v="150.160.200.114"/>
    <s v="HG4521 -- .S7184 2015eb"/>
    <n v="332.024"/>
    <d v="2015-04-29T00:00:00"/>
  </r>
  <r>
    <x v="6489"/>
    <d v="1899-12-30T00:06:06"/>
    <x v="1040"/>
    <x v="16"/>
    <s v="monroecc"/>
    <x v="1484"/>
    <n v="1753380"/>
    <x v="0"/>
    <s v="Architecture; Fine Arts"/>
    <s v="9781118896945"/>
    <s v=",1,2,2,3,3,1,2,2"/>
    <n v="3"/>
    <m/>
    <m/>
    <s v="No"/>
    <x v="3"/>
    <m/>
    <m/>
    <s v="150.160.200.114"/>
    <s v="NK2116 -- .H37 2014eb"/>
    <n v="729"/>
    <d v="2014-07-23T00:00:00"/>
  </r>
  <r>
    <x v="6490"/>
    <d v="1899-12-30T00:00:00"/>
    <x v="1040"/>
    <x v="16"/>
    <s v="monroecc"/>
    <x v="802"/>
    <n v="1895759"/>
    <x v="0"/>
    <s v="Medicine"/>
    <s v="9781118925287"/>
    <m/>
    <n v="0"/>
    <m/>
    <m/>
    <s v="Yes"/>
    <x v="0"/>
    <d v="2015-10-02T11:08:50"/>
    <n v="7"/>
    <s v="150.160.200.114"/>
    <s v="RK701 .O384 2015"/>
    <n v="617.60609999999997"/>
    <d v="2015-05-05T00:00:00"/>
  </r>
  <r>
    <x v="6491"/>
    <d v="1899-12-30T00:00:26"/>
    <x v="1040"/>
    <x v="16"/>
    <s v="monroecc"/>
    <x v="802"/>
    <n v="1895759"/>
    <x v="0"/>
    <s v="Medicine"/>
    <s v="9781118925287"/>
    <s v=",1,2,3,2,3,1,2,2"/>
    <n v="3"/>
    <m/>
    <m/>
    <s v="No"/>
    <x v="0"/>
    <d v="2015-10-02T11:08:50"/>
    <n v="7"/>
    <s v="150.160.200.114"/>
    <s v="RK701 .O384 2015"/>
    <n v="617.60609999999997"/>
    <d v="2015-05-05T00:00:00"/>
  </r>
  <r>
    <x v="6492"/>
    <d v="1899-12-30T00:02:27"/>
    <x v="1486"/>
    <x v="0"/>
    <s v="Buffalo"/>
    <x v="1395"/>
    <n v="1938147"/>
    <x v="4"/>
    <s v="Medicine"/>
    <s v="9781462520695"/>
    <s v=",339,340,341,342,343,344,345,346,347,348,349,350,351,352,353,354,355,356,357,358,346,328,329"/>
    <n v="22"/>
    <m/>
    <m/>
    <s v="Yes"/>
    <x v="2"/>
    <d v="2015-10-02T14:31:57"/>
    <n v="7"/>
    <s v="128.205.114.91"/>
    <s v="RC552.E18 -- .C374 2015eb"/>
    <n v="616.85260600000004"/>
    <d v="2015-01-01T00:00:00"/>
  </r>
  <r>
    <x v="6492"/>
    <d v="1899-12-30T00:00:00"/>
    <x v="1486"/>
    <x v="0"/>
    <s v="Buffalo"/>
    <x v="1395"/>
    <n v="1938147"/>
    <x v="4"/>
    <s v="Medicine"/>
    <s v="9781462520695"/>
    <m/>
    <n v="0"/>
    <m/>
    <m/>
    <s v="No"/>
    <x v="2"/>
    <d v="2015-10-02T14:31:57"/>
    <n v="7"/>
    <s v="128.205.114.91"/>
    <s v="RC552.E18 -- .C374 2015eb"/>
    <n v="616.85260600000004"/>
    <d v="2015-01-01T00:00:00"/>
  </r>
  <r>
    <x v="6493"/>
    <d v="1899-12-30T00:01:16"/>
    <x v="1486"/>
    <x v="0"/>
    <s v="Buffalo"/>
    <x v="1395"/>
    <n v="1938147"/>
    <x v="4"/>
    <s v="Medicine"/>
    <s v="9781462520695"/>
    <s v=",1,2,3,4,330,331,332,333,329,334,335,336,337,338,339,340,329,330,328,329"/>
    <n v="17"/>
    <m/>
    <m/>
    <s v="No"/>
    <x v="3"/>
    <m/>
    <m/>
    <s v="128.205.114.91"/>
    <s v="RC552.E18 -- .C374 2015eb"/>
    <n v="616.85260600000004"/>
    <d v="2015-01-01T00:00:00"/>
  </r>
  <r>
    <x v="6494"/>
    <d v="1899-12-30T00:02:36"/>
    <x v="518"/>
    <x v="0"/>
    <s v="Buffalo"/>
    <x v="509"/>
    <n v="1115640"/>
    <x v="0"/>
    <s v="Engineering: Civil; Engineering: Construction; Engineering"/>
    <s v="9781118419090"/>
    <s v=",1,2,3,59,60,61,57,58,62,63,64,65,66,67"/>
    <n v="14"/>
    <m/>
    <m/>
    <s v="No"/>
    <x v="1"/>
    <m/>
    <m/>
    <s v="128.205.114.91"/>
    <s v="TH375 -- .S77 2013eb"/>
    <n v="624"/>
    <d v="2013-01-22T00:00:00"/>
  </r>
  <r>
    <x v="6495"/>
    <d v="1899-12-30T01:39:11"/>
    <x v="1424"/>
    <x v="4"/>
    <s v="monroe2boces"/>
    <x v="1330"/>
    <n v="832577"/>
    <x v="0"/>
    <s v="Fine Arts; Literature"/>
    <s v="9781118226360"/>
    <s v=",13,21,21,21,21,21,22,23,26,3,7,9,13"/>
    <n v="8"/>
    <m/>
    <m/>
    <s v="No"/>
    <x v="0"/>
    <d v="2015-10-02T14:22:10"/>
    <n v="7"/>
    <s v="10.36.92.237"/>
    <s v="PN6728.B36 -- L36 2012eb"/>
    <s v="741.5/973"/>
    <d v="2012-05-22T00:00:00"/>
  </r>
  <r>
    <x v="6496"/>
    <d v="1899-12-30T00:30:17"/>
    <x v="1424"/>
    <x v="4"/>
    <s v="monroe2boces"/>
    <x v="1330"/>
    <n v="832577"/>
    <x v="0"/>
    <s v="Fine Arts; Literature"/>
    <s v="9781118226360"/>
    <s v=",1,2,2,3,3,1,1,2,2,4,4,5,5,1,7,9"/>
    <n v="7"/>
    <m/>
    <m/>
    <s v="No"/>
    <x v="1"/>
    <m/>
    <m/>
    <s v="10.36.92.237"/>
    <s v="PN6728.B36 -- L36 2012eb"/>
    <s v="741.5/973"/>
    <d v="2012-05-22T00:00:00"/>
  </r>
  <r>
    <x v="6497"/>
    <d v="1899-12-30T00:00:25"/>
    <x v="1550"/>
    <x v="0"/>
    <s v="Buffalo"/>
    <x v="1395"/>
    <n v="1938147"/>
    <x v="4"/>
    <s v="Medicine"/>
    <s v="9781462520695"/>
    <s v=",1,2,3,4,296,330,331,332,328,329"/>
    <n v="10"/>
    <m/>
    <m/>
    <s v="No"/>
    <x v="3"/>
    <m/>
    <m/>
    <s v="128.205.114.91"/>
    <s v="RC552.E18 -- .C374 2015eb"/>
    <n v="616.85260600000004"/>
    <d v="2015-01-01T00:00:00"/>
  </r>
  <r>
    <x v="6498"/>
    <d v="1899-12-30T00:00:00"/>
    <x v="1040"/>
    <x v="16"/>
    <s v="monroecc"/>
    <x v="1487"/>
    <n v="2006114"/>
    <x v="0"/>
    <s v="Medicine"/>
    <s v="9781119001249"/>
    <m/>
    <n v="0"/>
    <m/>
    <m/>
    <s v="Yes"/>
    <x v="2"/>
    <d v="2015-10-02T12:09:56"/>
    <n v="7"/>
    <s v="150.160.200.114"/>
    <s v="RG571 .Q384 2015"/>
    <n v="618.29999999999995"/>
    <d v="2015-03-23T00:00:00"/>
  </r>
  <r>
    <x v="6498"/>
    <d v="1899-12-30T00:00:00"/>
    <x v="1040"/>
    <x v="16"/>
    <s v="monroecc"/>
    <x v="1487"/>
    <n v="2006114"/>
    <x v="0"/>
    <s v="Medicine"/>
    <s v="9781119001249"/>
    <m/>
    <n v="0"/>
    <m/>
    <m/>
    <s v="No"/>
    <x v="2"/>
    <d v="2015-10-02T12:09:56"/>
    <n v="7"/>
    <s v="150.160.200.114"/>
    <s v="RG571 .Q384 2015"/>
    <n v="618.29999999999995"/>
    <d v="2015-03-23T00:00:00"/>
  </r>
  <r>
    <x v="6499"/>
    <d v="1899-12-30T00:00:22"/>
    <x v="1040"/>
    <x v="16"/>
    <s v="monroecc"/>
    <x v="458"/>
    <n v="1895384"/>
    <x v="0"/>
    <s v="Computer Science/IT; Fine Arts; Engineering: General; Engineering"/>
    <s v="9781119085836"/>
    <s v=",2"/>
    <n v="1"/>
    <m/>
    <m/>
    <s v="Yes"/>
    <x v="2"/>
    <d v="2015-10-02T11:46:54"/>
    <n v="1"/>
    <s v="150.160.200.114"/>
    <s v="T385 .C351 2015"/>
    <n v="741.6"/>
    <d v="2015-06-02T00:00:00"/>
  </r>
  <r>
    <x v="6500"/>
    <d v="1899-12-30T00:00:37"/>
    <x v="1040"/>
    <x v="16"/>
    <s v="monroecc"/>
    <x v="458"/>
    <n v="1895384"/>
    <x v="0"/>
    <s v="Computer Science/IT; Fine Arts; Engineering: General; Engineering"/>
    <s v="9781119085836"/>
    <s v=",22,23,24,27,29,28,26,25,35,36,37,33,34,38,39,40,1,40,40,42,41,38,42,1,41,39,39"/>
    <n v="19"/>
    <m/>
    <m/>
    <s v="No"/>
    <x v="2"/>
    <d v="2015-10-02T11:46:54"/>
    <n v="1"/>
    <s v="150.160.200.114"/>
    <s v="T385 .C351 2015"/>
    <n v="741.6"/>
    <d v="2015-06-02T00:00:00"/>
  </r>
  <r>
    <x v="6501"/>
    <d v="1899-12-30T00:00:00"/>
    <x v="1040"/>
    <x v="16"/>
    <s v="monroecc"/>
    <x v="415"/>
    <n v="2052356"/>
    <x v="0"/>
    <s v="Medicine"/>
    <s v="9781118938485"/>
    <m/>
    <n v="0"/>
    <m/>
    <m/>
    <s v="Yes"/>
    <x v="0"/>
    <d v="2015-10-02T11:46:34"/>
    <n v="7"/>
    <s v="150.160.200.114"/>
    <s v="RK529"/>
    <n v="617.52200000000005"/>
    <d v="2015-05-15T00:00:00"/>
  </r>
  <r>
    <x v="6502"/>
    <d v="1899-12-30T00:00:02"/>
    <x v="1040"/>
    <x v="16"/>
    <s v="monroecc"/>
    <x v="415"/>
    <n v="2052356"/>
    <x v="0"/>
    <s v="Medicine"/>
    <s v="9781118938485"/>
    <s v=",9,10,11,7,8"/>
    <n v="5"/>
    <m/>
    <m/>
    <s v="No"/>
    <x v="0"/>
    <d v="2015-10-02T11:46:34"/>
    <n v="7"/>
    <s v="150.160.200.114"/>
    <s v="RK529"/>
    <n v="617.52200000000005"/>
    <d v="2015-05-15T00:00:00"/>
  </r>
  <r>
    <x v="6503"/>
    <d v="1899-12-30T00:00:00"/>
    <x v="1040"/>
    <x v="16"/>
    <s v="monroecc"/>
    <x v="1488"/>
    <n v="1977564"/>
    <x v="0"/>
    <s v="Economics; Business/Management; Law"/>
    <s v="9780730320784"/>
    <m/>
    <n v="0"/>
    <m/>
    <m/>
    <s v="Yes"/>
    <x v="0"/>
    <d v="2015-10-02T11:46:10"/>
    <n v="7"/>
    <s v="150.160.200.114"/>
    <s v="K4464"/>
    <n v="336.20600000000002"/>
    <d v="2015-05-21T00:00:00"/>
  </r>
  <r>
    <x v="6503"/>
    <d v="1899-12-30T00:00:00"/>
    <x v="1040"/>
    <x v="16"/>
    <s v="monroecc"/>
    <x v="1488"/>
    <n v="1977564"/>
    <x v="0"/>
    <s v="Economics; Business/Management; Law"/>
    <s v="9780730320784"/>
    <m/>
    <n v="0"/>
    <m/>
    <m/>
    <s v="No"/>
    <x v="0"/>
    <d v="2015-10-02T11:46:10"/>
    <n v="7"/>
    <s v="150.160.200.114"/>
    <s v="K4464"/>
    <n v="336.20600000000002"/>
    <d v="2015-05-21T00:00:00"/>
  </r>
  <r>
    <x v="6504"/>
    <d v="1899-12-30T00:00:05"/>
    <x v="1040"/>
    <x v="16"/>
    <s v="monroecc"/>
    <x v="1489"/>
    <n v="2039113"/>
    <x v="1"/>
    <s v="Philosophy"/>
    <s v="9781472447975"/>
    <s v=",1,2,3"/>
    <n v="3"/>
    <m/>
    <m/>
    <s v="No"/>
    <x v="3"/>
    <m/>
    <m/>
    <s v="150.160.200.114"/>
    <n v="2014042996"/>
    <n v="174.2"/>
    <d v="2015-06-01T00:00:00"/>
  </r>
  <r>
    <x v="6505"/>
    <d v="1899-12-30T00:00:00"/>
    <x v="1040"/>
    <x v="16"/>
    <s v="monroecc"/>
    <x v="1490"/>
    <n v="1895460"/>
    <x v="0"/>
    <s v="Science: Anatomy/Physiology; Science; Science: Biology/Natural History"/>
    <s v="9781118467800"/>
    <m/>
    <n v="0"/>
    <m/>
    <m/>
    <s v="Yes"/>
    <x v="0"/>
    <d v="2015-10-02T11:09:05"/>
    <n v="7"/>
    <s v="150.160.200.114"/>
    <s v="QP84.6"/>
    <s v="612/.022"/>
    <d v="2015-05-05T00:00:00"/>
  </r>
  <r>
    <x v="6505"/>
    <d v="1899-12-30T00:00:00"/>
    <x v="1040"/>
    <x v="16"/>
    <s v="monroecc"/>
    <x v="1490"/>
    <n v="1895460"/>
    <x v="0"/>
    <s v="Science: Anatomy/Physiology; Science; Science: Biology/Natural History"/>
    <s v="9781118467800"/>
    <m/>
    <n v="0"/>
    <m/>
    <m/>
    <s v="No"/>
    <x v="0"/>
    <d v="2015-10-02T11:09:05"/>
    <n v="7"/>
    <s v="150.160.200.114"/>
    <s v="QP84.6"/>
    <s v="612/.022"/>
    <d v="2015-05-05T00:00:00"/>
  </r>
  <r>
    <x v="6506"/>
    <d v="1899-12-30T00:00:10"/>
    <x v="1040"/>
    <x v="16"/>
    <s v="monroecc"/>
    <x v="1490"/>
    <n v="1895460"/>
    <x v="0"/>
    <s v="Science: Anatomy/Physiology; Science; Science: Biology/Natural History"/>
    <s v="9781118467800"/>
    <s v=",1,2,3"/>
    <n v="3"/>
    <m/>
    <m/>
    <s v="No"/>
    <x v="3"/>
    <m/>
    <m/>
    <s v="150.160.200.114"/>
    <s v="QP84.6"/>
    <s v="612/.022"/>
    <d v="2015-05-05T00:00:00"/>
  </r>
  <r>
    <x v="6507"/>
    <d v="1899-12-30T00:00:00"/>
    <x v="1040"/>
    <x v="16"/>
    <s v="monroecc"/>
    <x v="802"/>
    <n v="1895759"/>
    <x v="0"/>
    <s v="Medicine"/>
    <s v="9781118925287"/>
    <m/>
    <n v="0"/>
    <m/>
    <m/>
    <s v="Yes"/>
    <x v="0"/>
    <d v="2015-10-02T11:08:50"/>
    <n v="7"/>
    <s v="150.160.200.114"/>
    <s v="RK701 .O384 2015"/>
    <n v="617.60609999999997"/>
    <d v="2015-05-05T00:00:00"/>
  </r>
  <r>
    <x v="6507"/>
    <d v="1899-12-30T00:00:00"/>
    <x v="1040"/>
    <x v="16"/>
    <s v="monroecc"/>
    <x v="802"/>
    <n v="1895759"/>
    <x v="0"/>
    <s v="Medicine"/>
    <s v="9781118925287"/>
    <m/>
    <n v="0"/>
    <m/>
    <m/>
    <s v="No"/>
    <x v="0"/>
    <d v="2015-10-02T11:08:50"/>
    <n v="7"/>
    <s v="150.160.200.114"/>
    <s v="RK701 .O384 2015"/>
    <n v="617.60609999999997"/>
    <d v="2015-05-05T00:00:00"/>
  </r>
  <r>
    <x v="6508"/>
    <d v="1899-12-30T00:00:10"/>
    <x v="1040"/>
    <x v="16"/>
    <s v="monroecc"/>
    <x v="802"/>
    <n v="1895759"/>
    <x v="0"/>
    <s v="Medicine"/>
    <s v="9781118925287"/>
    <s v=",1,2,3"/>
    <n v="3"/>
    <m/>
    <m/>
    <s v="No"/>
    <x v="3"/>
    <m/>
    <m/>
    <s v="150.160.200.114"/>
    <s v="RK701 .O384 2015"/>
    <n v="617.60609999999997"/>
    <d v="2015-05-05T00:00:00"/>
  </r>
  <r>
    <x v="6509"/>
    <d v="1899-12-30T01:01:20"/>
    <x v="1040"/>
    <x v="16"/>
    <s v="monroecc"/>
    <x v="1487"/>
    <n v="2006114"/>
    <x v="0"/>
    <s v="Medicine"/>
    <s v="9781119001249"/>
    <s v=",1,2,3"/>
    <n v="3"/>
    <m/>
    <m/>
    <s v="No"/>
    <x v="3"/>
    <m/>
    <m/>
    <s v="150.160.200.114"/>
    <s v="RG571 .Q384 2015"/>
    <n v="618.29999999999995"/>
    <d v="2015-03-23T00:00:00"/>
  </r>
  <r>
    <x v="6510"/>
    <d v="1899-12-30T00:38:24"/>
    <x v="1040"/>
    <x v="16"/>
    <s v="monroecc"/>
    <x v="458"/>
    <n v="1895384"/>
    <x v="0"/>
    <s v="Computer Science/IT; Fine Arts; Engineering: General; Engineering"/>
    <s v="9781119085836"/>
    <s v=",1,2,3"/>
    <n v="3"/>
    <m/>
    <m/>
    <s v="No"/>
    <x v="3"/>
    <m/>
    <m/>
    <s v="150.160.200.114"/>
    <s v="T385 .C351 2015"/>
    <n v="741.6"/>
    <d v="2015-06-02T00:00:00"/>
  </r>
  <r>
    <x v="6511"/>
    <d v="1899-12-30T00:38:11"/>
    <x v="1040"/>
    <x v="16"/>
    <s v="monroecc"/>
    <x v="415"/>
    <n v="2052356"/>
    <x v="0"/>
    <s v="Medicine"/>
    <s v="9781118938485"/>
    <s v=",1,2,3"/>
    <n v="3"/>
    <m/>
    <m/>
    <s v="No"/>
    <x v="3"/>
    <m/>
    <m/>
    <s v="150.160.200.114"/>
    <s v="RK529"/>
    <n v="617.52200000000005"/>
    <d v="2015-05-15T00:00:00"/>
  </r>
  <r>
    <x v="6512"/>
    <d v="1899-12-30T00:37:54"/>
    <x v="1040"/>
    <x v="16"/>
    <s v="monroecc"/>
    <x v="1488"/>
    <n v="1977564"/>
    <x v="0"/>
    <s v="Economics; Business/Management; Law"/>
    <s v="9780730320784"/>
    <s v=",1,2,3"/>
    <n v="3"/>
    <m/>
    <m/>
    <s v="No"/>
    <x v="3"/>
    <m/>
    <m/>
    <s v="150.160.200.114"/>
    <s v="K4464"/>
    <n v="336.20600000000002"/>
    <d v="2015-05-21T00:00:00"/>
  </r>
  <r>
    <x v="6513"/>
    <d v="1899-12-30T00:37:59"/>
    <x v="1040"/>
    <x v="16"/>
    <s v="monroecc"/>
    <x v="1491"/>
    <n v="2057201"/>
    <x v="0"/>
    <s v="Education"/>
    <s v="9781118937778"/>
    <s v=",1,2,3"/>
    <n v="3"/>
    <m/>
    <m/>
    <s v="No"/>
    <x v="3"/>
    <m/>
    <m/>
    <s v="150.160.200.114"/>
    <s v="LC4713.4 .R53 2015"/>
    <n v="371.94"/>
    <d v="2015-05-21T00:00:00"/>
  </r>
  <r>
    <x v="6514"/>
    <d v="1899-12-30T00:00:00"/>
    <x v="1040"/>
    <x v="16"/>
    <s v="monroecc"/>
    <x v="1492"/>
    <n v="1869096"/>
    <x v="0"/>
    <s v="Science; Science: Biology/Natural History; Science: Anatomy/Physiology"/>
    <s v="9781118625040"/>
    <m/>
    <n v="0"/>
    <m/>
    <m/>
    <s v="Yes"/>
    <x v="0"/>
    <d v="2015-10-02T10:53:36"/>
    <n v="7"/>
    <s v="150.160.200.114"/>
    <s v="QP34.5"/>
    <n v="612.00829999999996"/>
    <d v="2015-01-30T00:00:00"/>
  </r>
  <r>
    <x v="6514"/>
    <d v="1899-12-30T00:00:00"/>
    <x v="1040"/>
    <x v="16"/>
    <s v="monroecc"/>
    <x v="1492"/>
    <n v="1869096"/>
    <x v="0"/>
    <s v="Science; Science: Biology/Natural History; Science: Anatomy/Physiology"/>
    <s v="9781118625040"/>
    <m/>
    <n v="0"/>
    <m/>
    <m/>
    <s v="No"/>
    <x v="0"/>
    <d v="2015-10-02T10:53:36"/>
    <n v="7"/>
    <s v="150.160.200.114"/>
    <s v="QP34.5"/>
    <n v="612.00829999999996"/>
    <d v="2015-01-30T00:00:00"/>
  </r>
  <r>
    <x v="6515"/>
    <d v="1899-12-30T00:00:12"/>
    <x v="1040"/>
    <x v="16"/>
    <s v="monroecc"/>
    <x v="1492"/>
    <n v="1869096"/>
    <x v="0"/>
    <s v="Science; Science: Biology/Natural History; Science: Anatomy/Physiology"/>
    <s v="9781118625040"/>
    <s v=",1,2,3"/>
    <n v="3"/>
    <m/>
    <m/>
    <s v="No"/>
    <x v="3"/>
    <m/>
    <m/>
    <s v="150.160.200.114"/>
    <s v="QP34.5"/>
    <n v="612.00829999999996"/>
    <d v="2015-01-30T00:00:00"/>
  </r>
  <r>
    <x v="6516"/>
    <d v="1899-12-30T00:00:00"/>
    <x v="1040"/>
    <x v="16"/>
    <s v="monroecc"/>
    <x v="1493"/>
    <n v="2058090"/>
    <x v="1"/>
    <s v="Law"/>
    <s v="9781472461995"/>
    <m/>
    <n v="0"/>
    <m/>
    <m/>
    <s v="Yes"/>
    <x v="2"/>
    <d v="2015-10-02T10:49:35"/>
    <n v="1"/>
    <s v="150.160.200.114"/>
    <s v="K3611.I5 E36 2015"/>
    <s v="344.4104/12; 344.410412; 344.4104''12"/>
    <d v="2015-07-28T00:00:00"/>
  </r>
  <r>
    <x v="6516"/>
    <d v="1899-12-30T00:00:00"/>
    <x v="1040"/>
    <x v="16"/>
    <s v="monroecc"/>
    <x v="1493"/>
    <n v="2058090"/>
    <x v="1"/>
    <s v="Law"/>
    <s v="9781472461995"/>
    <m/>
    <n v="0"/>
    <m/>
    <m/>
    <s v="No"/>
    <x v="2"/>
    <d v="2015-10-02T10:49:35"/>
    <n v="1"/>
    <s v="150.160.200.114"/>
    <s v="K3611.I5 E36 2015"/>
    <s v="344.4104/12; 344.410412; 344.4104''12"/>
    <d v="2015-07-28T00:00:00"/>
  </r>
  <r>
    <x v="6517"/>
    <d v="1899-12-30T00:00:18"/>
    <x v="1551"/>
    <x v="16"/>
    <s v="monroecc"/>
    <x v="705"/>
    <n v="1770683"/>
    <x v="0"/>
    <s v="History"/>
    <s v="9781118631768"/>
    <s v=",78,79,80"/>
    <n v="3"/>
    <m/>
    <m/>
    <s v="No"/>
    <x v="2"/>
    <d v="2015-10-02T10:49:24"/>
    <n v="1"/>
    <s v="150.160.200.114"/>
    <s v="DF757"/>
    <n v="949.5"/>
    <d v="2014-08-19T00:00:00"/>
  </r>
  <r>
    <x v="6518"/>
    <d v="1899-12-30T00:00:38"/>
    <x v="1040"/>
    <x v="16"/>
    <s v="monroecc"/>
    <x v="1493"/>
    <n v="2058090"/>
    <x v="1"/>
    <s v="Law"/>
    <s v="9781472461995"/>
    <s v=",1,2,3,8,9,10,6,7,4,5"/>
    <n v="10"/>
    <m/>
    <m/>
    <s v="No"/>
    <x v="3"/>
    <m/>
    <m/>
    <s v="150.160.200.114"/>
    <s v="K3611.I5 E36 2015"/>
    <s v="344.4104/12; 344.410412; 344.4104''12"/>
    <d v="2015-07-28T00:00:00"/>
  </r>
  <r>
    <x v="6519"/>
    <d v="1899-12-30T00:00:00"/>
    <x v="1040"/>
    <x v="16"/>
    <s v="monroecc"/>
    <x v="1494"/>
    <n v="1964137"/>
    <x v="0"/>
    <s v="Economics; Business/Management"/>
    <s v="9781119118510"/>
    <m/>
    <n v="0"/>
    <m/>
    <m/>
    <s v="Yes"/>
    <x v="0"/>
    <d v="2015-10-02T10:48:05"/>
    <n v="7"/>
    <s v="150.160.200.114"/>
    <s v="HG179"/>
    <n v="332.024"/>
    <d v="2015-06-17T00:00:00"/>
  </r>
  <r>
    <x v="6519"/>
    <d v="1899-12-30T00:00:00"/>
    <x v="1040"/>
    <x v="16"/>
    <s v="monroecc"/>
    <x v="1494"/>
    <n v="1964137"/>
    <x v="0"/>
    <s v="Economics; Business/Management"/>
    <s v="9781119118510"/>
    <m/>
    <n v="0"/>
    <m/>
    <m/>
    <s v="No"/>
    <x v="0"/>
    <d v="2015-10-02T10:48:05"/>
    <n v="7"/>
    <s v="150.160.200.114"/>
    <s v="HG179"/>
    <n v="332.024"/>
    <d v="2015-06-17T00:00:00"/>
  </r>
  <r>
    <x v="6520"/>
    <d v="1899-12-30T00:00:00"/>
    <x v="1040"/>
    <x v="16"/>
    <s v="monroecc"/>
    <x v="1495"/>
    <n v="1895184"/>
    <x v="0"/>
    <s v="Business/Management; Medicine"/>
    <s v="9781118982563"/>
    <m/>
    <n v="0"/>
    <m/>
    <m/>
    <s v="Yes"/>
    <x v="0"/>
    <d v="2015-10-02T10:47:46"/>
    <n v="7"/>
    <s v="150.160.200.114"/>
    <s v="R728.5 .S65 2015"/>
    <n v="651.50426100000004"/>
    <d v="2015-05-28T00:00:00"/>
  </r>
  <r>
    <x v="6520"/>
    <d v="1899-12-30T00:00:00"/>
    <x v="1040"/>
    <x v="16"/>
    <s v="monroecc"/>
    <x v="1495"/>
    <n v="1895184"/>
    <x v="0"/>
    <s v="Business/Management; Medicine"/>
    <s v="9781118982563"/>
    <m/>
    <n v="0"/>
    <m/>
    <m/>
    <s v="No"/>
    <x v="0"/>
    <d v="2015-10-02T10:47:46"/>
    <n v="7"/>
    <s v="150.160.200.114"/>
    <s v="R728.5 .S65 2015"/>
    <n v="651.50426100000004"/>
    <d v="2015-05-28T00:00:00"/>
  </r>
  <r>
    <x v="6521"/>
    <d v="1899-12-30T00:00:13"/>
    <x v="1040"/>
    <x v="16"/>
    <s v="monroecc"/>
    <x v="1496"/>
    <n v="1895122"/>
    <x v="0"/>
    <s v="Medicine"/>
    <s v="9781118860564"/>
    <s v=",1,2,3,25,26,27,23,24,28,29,30"/>
    <n v="11"/>
    <m/>
    <m/>
    <s v="No"/>
    <x v="3"/>
    <m/>
    <m/>
    <s v="150.160.200.114"/>
    <s v="RC55 .B384 2015"/>
    <n v="616.10827733999997"/>
    <d v="2015-05-26T00:00:00"/>
  </r>
  <r>
    <x v="6522"/>
    <d v="1899-12-30T00:00:38"/>
    <x v="1040"/>
    <x v="16"/>
    <s v="monroecc"/>
    <x v="1495"/>
    <n v="1895184"/>
    <x v="0"/>
    <s v="Business/Management; Medicine"/>
    <s v="9781118982563"/>
    <s v=",1,2,3"/>
    <n v="3"/>
    <m/>
    <m/>
    <s v="No"/>
    <x v="3"/>
    <m/>
    <m/>
    <s v="150.160.200.114"/>
    <s v="R728.5 .S65 2015"/>
    <n v="651.50426100000004"/>
    <d v="2015-05-28T00:00:00"/>
  </r>
  <r>
    <x v="6523"/>
    <d v="1899-12-30T00:00:00"/>
    <x v="1040"/>
    <x v="16"/>
    <s v="monroecc"/>
    <x v="264"/>
    <n v="1895602"/>
    <x v="0"/>
    <s v="Science; Science: Biology/Natural History"/>
    <s v="9781118789100"/>
    <m/>
    <n v="0"/>
    <m/>
    <m/>
    <s v="Yes"/>
    <x v="0"/>
    <d v="2015-10-02T10:46:53"/>
    <n v="7"/>
    <s v="150.160.200.114"/>
    <s v="QP34.5"/>
    <n v="599.9"/>
    <d v="2015-06-03T00:00:00"/>
  </r>
  <r>
    <x v="6523"/>
    <d v="1899-12-30T00:00:00"/>
    <x v="1040"/>
    <x v="16"/>
    <s v="monroecc"/>
    <x v="264"/>
    <n v="1895602"/>
    <x v="0"/>
    <s v="Science; Science: Biology/Natural History"/>
    <s v="9781118789100"/>
    <m/>
    <n v="0"/>
    <m/>
    <m/>
    <s v="No"/>
    <x v="0"/>
    <d v="2015-10-02T10:46:53"/>
    <n v="7"/>
    <s v="150.160.200.114"/>
    <s v="QP34.5"/>
    <n v="599.9"/>
    <d v="2015-06-03T00:00:00"/>
  </r>
  <r>
    <x v="6524"/>
    <d v="1899-12-30T00:02:35"/>
    <x v="1040"/>
    <x v="16"/>
    <s v="monroecc"/>
    <x v="264"/>
    <n v="1895602"/>
    <x v="0"/>
    <s v="Science; Science: Biology/Natural History"/>
    <s v="9781118789100"/>
    <s v=",1,2,3,21,22,23,19,20,24,27,29,31,33,34,35,36,32,37,38,39,40,41,42,43,44,45,46,47,107,109,108,110,111,112,114,115,116,113,213,214,215,211,212,216,217,218,219,220"/>
    <n v="48"/>
    <m/>
    <m/>
    <s v="No"/>
    <x v="3"/>
    <m/>
    <m/>
    <s v="150.160.200.114"/>
    <s v="QP34.5"/>
    <n v="599.9"/>
    <d v="2015-06-03T00:00:00"/>
  </r>
  <r>
    <x v="6525"/>
    <d v="1899-12-30T00:05:16"/>
    <x v="1551"/>
    <x v="16"/>
    <s v="monroecc"/>
    <x v="705"/>
    <n v="1770683"/>
    <x v="0"/>
    <s v="History"/>
    <s v="9781118631768"/>
    <s v=",1,2,3,51,52,53,49,50,54,55,56,57,58,59,60,61,62,63,64,65,66,67,68,69,70,71,72,73,74,75,76,77"/>
    <n v="32"/>
    <m/>
    <m/>
    <s v="No"/>
    <x v="3"/>
    <m/>
    <m/>
    <s v="150.160.200.114"/>
    <s v="DF757"/>
    <n v="949.5"/>
    <d v="2014-08-19T00:00:00"/>
  </r>
  <r>
    <x v="6526"/>
    <d v="1899-12-30T00:00:09"/>
    <x v="1040"/>
    <x v="16"/>
    <s v="monroecc"/>
    <x v="1497"/>
    <n v="2068036"/>
    <x v="1"/>
    <s v="Health; Social Science"/>
    <s v="9781472439499"/>
    <s v=",16,18,17,14,15,19,20,21,22"/>
    <n v="9"/>
    <m/>
    <m/>
    <s v="No"/>
    <x v="2"/>
    <d v="2015-10-02T10:43:35"/>
    <n v="1"/>
    <s v="150.160.200.114"/>
    <s v="TX357 .C33 2015"/>
    <s v="306.4/613; 306.4613; 306.4''613"/>
    <d v="2015-08-28T00:00:00"/>
  </r>
  <r>
    <x v="6527"/>
    <d v="1899-12-30T00:00:00"/>
    <x v="1040"/>
    <x v="16"/>
    <s v="monroecc"/>
    <x v="352"/>
    <n v="1998747"/>
    <x v="0"/>
    <s v="Medicine"/>
    <s v="9781118703397"/>
    <m/>
    <n v="0"/>
    <m/>
    <m/>
    <s v="Yes"/>
    <x v="0"/>
    <d v="2015-10-02T10:30:25"/>
    <n v="7"/>
    <s v="150.160.200.114"/>
    <s v="R737"/>
    <s v="610.71/1"/>
    <d v="2015-06-08T00:00:00"/>
  </r>
  <r>
    <x v="6527"/>
    <d v="1899-12-30T00:00:00"/>
    <x v="1040"/>
    <x v="16"/>
    <s v="monroecc"/>
    <x v="352"/>
    <n v="1998747"/>
    <x v="0"/>
    <s v="Medicine"/>
    <s v="9781118703397"/>
    <m/>
    <n v="0"/>
    <m/>
    <m/>
    <s v="No"/>
    <x v="0"/>
    <d v="2015-10-02T10:30:25"/>
    <n v="7"/>
    <s v="150.160.200.114"/>
    <s v="R737"/>
    <s v="610.71/1"/>
    <d v="2015-06-08T00:00:00"/>
  </r>
  <r>
    <x v="6528"/>
    <d v="1899-12-30T00:00:58"/>
    <x v="1040"/>
    <x v="16"/>
    <s v="monroecc"/>
    <x v="352"/>
    <n v="1998747"/>
    <x v="0"/>
    <s v="Medicine"/>
    <s v="9781118703397"/>
    <s v=",1,2,3,9,10,11,7,8,12,13,14,15,16,17"/>
    <n v="14"/>
    <m/>
    <m/>
    <s v="No"/>
    <x v="3"/>
    <m/>
    <m/>
    <s v="150.160.200.114"/>
    <s v="R737"/>
    <s v="610.71/1"/>
    <d v="2015-06-08T00:00:00"/>
  </r>
  <r>
    <x v="6529"/>
    <d v="1899-12-30T00:14:23"/>
    <x v="1040"/>
    <x v="16"/>
    <s v="monroecc"/>
    <x v="1497"/>
    <n v="2068036"/>
    <x v="1"/>
    <s v="Health; Social Science"/>
    <s v="9781472439499"/>
    <s v=",2,3,1"/>
    <n v="3"/>
    <m/>
    <m/>
    <s v="No"/>
    <x v="3"/>
    <m/>
    <m/>
    <s v="150.160.200.114"/>
    <s v="TX357 .C33 2015"/>
    <s v="306.4/613; 306.4613; 306.4''613"/>
    <d v="2015-08-28T00:00:00"/>
  </r>
  <r>
    <x v="6530"/>
    <d v="1899-12-30T00:01:12"/>
    <x v="1040"/>
    <x v="16"/>
    <s v="monroecc"/>
    <x v="1498"/>
    <n v="2068195"/>
    <x v="0"/>
    <s v="Science; Science: Biology/Natural History; Science: General"/>
    <s v="9781119045786"/>
    <s v=",1,2,3,15,16,17,13,14,38,40,39,36,41,37"/>
    <n v="14"/>
    <m/>
    <m/>
    <s v="No"/>
    <x v="3"/>
    <m/>
    <m/>
    <s v="150.160.200.114"/>
    <s v="QH31 .D2 P67 2015"/>
    <n v="508.09199999999998"/>
    <d v="2015-06-01T00:00:00"/>
  </r>
  <r>
    <x v="6531"/>
    <d v="1899-12-30T00:01:20"/>
    <x v="1040"/>
    <x v="16"/>
    <s v="monroecc"/>
    <x v="1499"/>
    <n v="1953319"/>
    <x v="0"/>
    <s v="Computer Science/IT; Business/Management"/>
    <s v="9781118937709"/>
    <s v=",1,2,3,11,12,13,9,10,14,15,16,17,18,19,20,22,21,23,24,25,26,27"/>
    <n v="22"/>
    <m/>
    <m/>
    <s v="No"/>
    <x v="3"/>
    <m/>
    <m/>
    <s v="150.160.200.114"/>
    <s v="HB143.7 .B35 2015"/>
    <n v="5.54"/>
    <d v="2015-06-15T00:00:00"/>
  </r>
  <r>
    <x v="6532"/>
    <d v="1899-12-30T00:23:15"/>
    <x v="1040"/>
    <x v="16"/>
    <s v="monroecc"/>
    <x v="1494"/>
    <n v="1964137"/>
    <x v="0"/>
    <s v="Economics; Business/Management"/>
    <s v="9781119118510"/>
    <s v=",1,2,3,62,63,64,61,65,66,67,68,69,70,237,238,239,240,241"/>
    <n v="18"/>
    <m/>
    <m/>
    <s v="No"/>
    <x v="3"/>
    <m/>
    <m/>
    <s v="150.160.200.114"/>
    <s v="HG179"/>
    <n v="332.024"/>
    <d v="2015-06-17T00:00:00"/>
  </r>
  <r>
    <x v="6533"/>
    <d v="1899-12-30T00:00:00"/>
    <x v="1040"/>
    <x v="16"/>
    <s v="monroecc"/>
    <x v="1500"/>
    <n v="2073210"/>
    <x v="5"/>
    <s v="Political Science"/>
    <s v="9781479896059"/>
    <m/>
    <n v="0"/>
    <m/>
    <m/>
    <s v="Yes"/>
    <x v="0"/>
    <d v="2015-10-02T10:24:31"/>
    <n v="7"/>
    <s v="150.160.200.114"/>
    <s v="JC574.2.G7"/>
    <n v="320.510941"/>
    <d v="2015-07-31T00:00:00"/>
  </r>
  <r>
    <x v="6533"/>
    <d v="1899-12-30T00:00:00"/>
    <x v="1040"/>
    <x v="16"/>
    <s v="monroecc"/>
    <x v="1500"/>
    <n v="2073210"/>
    <x v="5"/>
    <s v="Political Science"/>
    <s v="9781479896059"/>
    <m/>
    <n v="0"/>
    <m/>
    <m/>
    <s v="No"/>
    <x v="0"/>
    <d v="2015-10-02T10:24:31"/>
    <n v="7"/>
    <s v="150.160.200.114"/>
    <s v="JC574.2.G7"/>
    <n v="320.510941"/>
    <d v="2015-07-31T00:00:00"/>
  </r>
  <r>
    <x v="6534"/>
    <d v="1899-12-30T00:00:07"/>
    <x v="1040"/>
    <x v="16"/>
    <s v="monroecc"/>
    <x v="1500"/>
    <n v="2073210"/>
    <x v="5"/>
    <s v="Political Science"/>
    <s v="9781479896059"/>
    <s v=",1,2,3"/>
    <n v="3"/>
    <m/>
    <m/>
    <s v="No"/>
    <x v="3"/>
    <m/>
    <m/>
    <s v="150.160.200.114"/>
    <s v="JC574.2.G7"/>
    <n v="320.510941"/>
    <d v="2015-07-31T00:00:00"/>
  </r>
  <r>
    <x v="6535"/>
    <d v="1899-12-30T00:00:31"/>
    <x v="1040"/>
    <x v="16"/>
    <s v="monroecc"/>
    <x v="1501"/>
    <n v="2074096"/>
    <x v="0"/>
    <s v="Psychology"/>
    <s v="9781118955390"/>
    <s v=",1,2,3,19,20,21,17,18,22,23,24,25,26,27,28,29,30,120,121,117,118"/>
    <n v="21"/>
    <m/>
    <m/>
    <s v="No"/>
    <x v="3"/>
    <m/>
    <m/>
    <s v="150.160.200.114"/>
    <s v="BF441 .D589 2015"/>
    <s v="153.4/2"/>
    <d v="2015-06-19T00:00:00"/>
  </r>
  <r>
    <x v="6536"/>
    <d v="1899-12-30T00:00:44"/>
    <x v="1040"/>
    <x v="16"/>
    <s v="monroecc"/>
    <x v="1502"/>
    <n v="1998755"/>
    <x v="0"/>
    <s v="Medicine"/>
    <s v="9781118838990"/>
    <s v=",1,2,3,6,7,8,4,9,10,11,39,40,41,42,43,44,45"/>
    <n v="17"/>
    <m/>
    <m/>
    <s v="No"/>
    <x v="3"/>
    <m/>
    <m/>
    <s v="150.160.200.114"/>
    <s v="R735"/>
    <n v="610.71"/>
    <d v="2015-06-18T00:00:00"/>
  </r>
  <r>
    <x v="6537"/>
    <d v="1899-12-30T00:00:00"/>
    <x v="1040"/>
    <x v="16"/>
    <s v="monroecc"/>
    <x v="1503"/>
    <n v="1998772"/>
    <x v="0"/>
    <s v="Medicine"/>
    <s v="9781118908358"/>
    <m/>
    <n v="0"/>
    <m/>
    <m/>
    <s v="Yes"/>
    <x v="0"/>
    <d v="2015-10-02T10:21:46"/>
    <n v="7"/>
    <s v="150.160.200.114"/>
    <s v="RK55.A3"/>
    <n v="618.97760000000005"/>
    <d v="2015-06-05T00:00:00"/>
  </r>
  <r>
    <x v="6537"/>
    <d v="1899-12-30T00:00:00"/>
    <x v="1040"/>
    <x v="16"/>
    <s v="monroecc"/>
    <x v="1503"/>
    <n v="1998772"/>
    <x v="0"/>
    <s v="Medicine"/>
    <s v="9781118908358"/>
    <m/>
    <n v="0"/>
    <m/>
    <m/>
    <s v="No"/>
    <x v="0"/>
    <d v="2015-10-02T10:21:46"/>
    <n v="7"/>
    <s v="150.160.200.114"/>
    <s v="RK55.A3"/>
    <n v="618.97760000000005"/>
    <d v="2015-06-05T00:00:00"/>
  </r>
  <r>
    <x v="6538"/>
    <d v="1899-12-30T00:00:36"/>
    <x v="1040"/>
    <x v="16"/>
    <s v="monroecc"/>
    <x v="1503"/>
    <n v="1998772"/>
    <x v="0"/>
    <s v="Medicine"/>
    <s v="9781118908358"/>
    <s v=",1,2,3,6,7,8,4,5,9,10,11,12"/>
    <n v="12"/>
    <m/>
    <m/>
    <s v="No"/>
    <x v="3"/>
    <m/>
    <m/>
    <s v="150.160.200.114"/>
    <s v="RK55.A3"/>
    <n v="618.97760000000005"/>
    <d v="2015-06-05T00:00:00"/>
  </r>
  <r>
    <x v="6539"/>
    <d v="1899-12-30T00:00:03"/>
    <x v="1040"/>
    <x v="16"/>
    <s v="monroecc"/>
    <x v="1504"/>
    <n v="2038566"/>
    <x v="0"/>
    <s v="Medicine"/>
    <s v="9781118913185"/>
    <s v=",1,2,3"/>
    <n v="3"/>
    <m/>
    <m/>
    <s v="No"/>
    <x v="3"/>
    <m/>
    <m/>
    <s v="150.160.200.114"/>
    <s v="RJ255.5"/>
    <s v="618.92/01"/>
    <d v="2015-06-18T00:00:00"/>
  </r>
  <r>
    <x v="6540"/>
    <d v="1899-12-30T00:00:16"/>
    <x v="1040"/>
    <x v="16"/>
    <s v="monroecc"/>
    <x v="1505"/>
    <n v="2075053"/>
    <x v="0"/>
    <s v="Philosophy"/>
    <s v="9780745686608"/>
    <s v=",1,2,3,12,13,14,10,11,15,18,19,20,31,32,33,29,30"/>
    <n v="17"/>
    <m/>
    <m/>
    <s v="No"/>
    <x v="3"/>
    <m/>
    <m/>
    <s v="150.160.200.114"/>
    <s v="B815 .P75 2015"/>
    <n v="128.37"/>
    <d v="2015-06-18T00:00:00"/>
  </r>
  <r>
    <x v="6541"/>
    <d v="1899-12-30T00:01:41"/>
    <x v="1040"/>
    <x v="16"/>
    <s v="monroecc"/>
    <x v="1506"/>
    <n v="2075054"/>
    <x v="0"/>
    <s v="Science; Science: Anatomy/Physiology"/>
    <s v="9781118439968"/>
    <s v=",1,2,3,18,19,20,21"/>
    <n v="7"/>
    <m/>
    <m/>
    <s v="No"/>
    <x v="3"/>
    <m/>
    <m/>
    <s v="150.160.200.114"/>
    <s v="QM451"/>
    <s v="611/.8"/>
    <d v="2015-06-12T00:00:00"/>
  </r>
  <r>
    <x v="6542"/>
    <d v="1899-12-30T00:01:03"/>
    <x v="1040"/>
    <x v="16"/>
    <s v="monroecc"/>
    <x v="1507"/>
    <n v="1985784"/>
    <x v="0"/>
    <s v="Engineering; Engineering: Electrical"/>
    <s v="9781118759455"/>
    <s v=",1,2,3,23,24,25,22,6,7,8,4,5"/>
    <n v="12"/>
    <m/>
    <m/>
    <s v="No"/>
    <x v="3"/>
    <m/>
    <m/>
    <s v="150.160.200.114"/>
    <s v="TK5103.2 .K384 2015"/>
    <n v="621.38400000000001"/>
    <d v="2015-08-03T00:00:00"/>
  </r>
  <r>
    <x v="6543"/>
    <d v="1899-12-30T00:06:25"/>
    <x v="1040"/>
    <x v="16"/>
    <s v="monroecc"/>
    <x v="1069"/>
    <n v="1998742"/>
    <x v="0"/>
    <s v="Medicine; Science; Science: Biology/Natural History"/>
    <s v="9781118451663"/>
    <s v=",10,21,22,23,24,25,26"/>
    <n v="7"/>
    <m/>
    <m/>
    <s v="Yes"/>
    <x v="0"/>
    <d v="2015-10-02T09:41:21"/>
    <n v="7"/>
    <s v="150.160.200.114"/>
    <s v="QR181 .R35 2015"/>
    <n v="616.07899999999995"/>
    <d v="2015-07-07T00:00:00"/>
  </r>
  <r>
    <x v="6544"/>
    <d v="1899-12-30T00:00:00"/>
    <x v="1040"/>
    <x v="16"/>
    <s v="monroecc"/>
    <x v="1508"/>
    <n v="2089485"/>
    <x v="0"/>
    <s v="Medicine; Nursing"/>
    <s v="9783527676040"/>
    <m/>
    <n v="0"/>
    <m/>
    <m/>
    <s v="Yes"/>
    <x v="0"/>
    <d v="2015-10-02T09:42:34"/>
    <n v="7"/>
    <s v="150.160.200.114"/>
    <s v="RT42 .M384 2015"/>
    <n v="610.28"/>
    <d v="2015-07-07T00:00:00"/>
  </r>
  <r>
    <x v="6544"/>
    <d v="1899-12-30T00:00:00"/>
    <x v="1040"/>
    <x v="16"/>
    <s v="monroecc"/>
    <x v="1508"/>
    <n v="2089485"/>
    <x v="0"/>
    <s v="Medicine; Nursing"/>
    <s v="9783527676040"/>
    <m/>
    <n v="0"/>
    <m/>
    <m/>
    <s v="No"/>
    <x v="0"/>
    <d v="2015-10-02T09:42:34"/>
    <n v="7"/>
    <s v="150.160.200.114"/>
    <s v="RT42 .M384 2015"/>
    <n v="610.28"/>
    <d v="2015-07-07T00:00:00"/>
  </r>
  <r>
    <x v="6545"/>
    <d v="1899-12-30T00:00:11"/>
    <x v="1040"/>
    <x v="16"/>
    <s v="monroecc"/>
    <x v="1508"/>
    <n v="2089485"/>
    <x v="0"/>
    <s v="Medicine; Nursing"/>
    <s v="9783527676040"/>
    <s v=",1,2,3"/>
    <n v="3"/>
    <m/>
    <m/>
    <s v="No"/>
    <x v="3"/>
    <m/>
    <m/>
    <s v="150.160.200.114"/>
    <s v="RT42 .M384 2015"/>
    <n v="610.28"/>
    <d v="2015-07-07T00:00:00"/>
  </r>
  <r>
    <x v="6546"/>
    <d v="1899-12-30T00:00:28"/>
    <x v="1040"/>
    <x v="16"/>
    <s v="monroecc"/>
    <x v="1509"/>
    <n v="2082201"/>
    <x v="5"/>
    <s v="Social Science"/>
    <s v="9781479835782"/>
    <s v=",1,2,3,14,15,16,12,13"/>
    <n v="8"/>
    <m/>
    <m/>
    <s v="No"/>
    <x v="3"/>
    <m/>
    <m/>
    <s v="150.160.200.114"/>
    <s v="HQ28 .W37 2015"/>
    <n v="306.70810999999998"/>
    <d v="2015-07-31T00:00:00"/>
  </r>
  <r>
    <x v="6547"/>
    <d v="1899-12-30T00:00:00"/>
    <x v="1040"/>
    <x v="16"/>
    <s v="monroecc"/>
    <x v="1069"/>
    <n v="1998742"/>
    <x v="0"/>
    <s v="Medicine; Science; Science: Biology/Natural History"/>
    <s v="9781118451663"/>
    <m/>
    <n v="0"/>
    <m/>
    <m/>
    <s v="Yes"/>
    <x v="0"/>
    <d v="2015-10-02T09:41:21"/>
    <n v="7"/>
    <s v="150.160.200.114"/>
    <s v="QR181 .R35 2015"/>
    <n v="616.07899999999995"/>
    <d v="2015-07-07T00:00:00"/>
  </r>
  <r>
    <x v="6548"/>
    <d v="1899-12-30T00:00:00"/>
    <x v="1040"/>
    <x v="16"/>
    <s v="monroecc"/>
    <x v="1069"/>
    <n v="1998742"/>
    <x v="0"/>
    <s v="Medicine; Science; Science: Biology/Natural History"/>
    <s v="9781118451663"/>
    <m/>
    <n v="0"/>
    <m/>
    <m/>
    <s v="No"/>
    <x v="0"/>
    <d v="2015-10-02T09:41:21"/>
    <n v="7"/>
    <s v="150.160.200.114"/>
    <s v="QR181 .R35 2015"/>
    <n v="616.07899999999995"/>
    <d v="2015-07-07T00:00:00"/>
  </r>
  <r>
    <x v="6549"/>
    <d v="1899-12-30T00:00:45"/>
    <x v="1040"/>
    <x v="16"/>
    <s v="monroecc"/>
    <x v="1069"/>
    <n v="1998742"/>
    <x v="0"/>
    <s v="Medicine; Science; Science: Biology/Natural History"/>
    <s v="9781118451663"/>
    <s v=",1,2,3,18,19,20,16,17,15,14,13,11,12,6,7,8,4,5"/>
    <n v="18"/>
    <m/>
    <m/>
    <s v="No"/>
    <x v="3"/>
    <m/>
    <m/>
    <s v="150.160.200.114"/>
    <s v="QR181 .R35 2015"/>
    <n v="616.07899999999995"/>
    <d v="2015-07-07T00:00:00"/>
  </r>
  <r>
    <x v="6550"/>
    <d v="1899-12-30T00:23:34"/>
    <x v="393"/>
    <x v="13"/>
    <s v="buffalostate"/>
    <x v="419"/>
    <n v="1641157"/>
    <x v="11"/>
    <s v="Agriculture; Science; Science: Biology/Natural History"/>
    <s v="9780226024134"/>
    <s v=",490,491,492,488,489,493,494,6,7,8,4,5,9,10,491,492,493,494,495,158,157,162,156,161"/>
    <n v="20"/>
    <m/>
    <m/>
    <s v="No"/>
    <x v="2"/>
    <d v="2015-10-02T05:59:42"/>
    <n v="1"/>
    <s v="136.183.11.43"/>
    <s v="SD387"/>
    <n v="577.29999999999995"/>
    <d v="2014-03-04T00:00:00"/>
  </r>
  <r>
    <x v="6551"/>
    <d v="1899-12-30T00:07:32"/>
    <x v="393"/>
    <x v="13"/>
    <s v="buffalostate"/>
    <x v="419"/>
    <n v="1641157"/>
    <x v="11"/>
    <s v="Agriculture; Science; Science: Biology/Natural History"/>
    <s v="9780226024134"/>
    <s v=",1,2,3"/>
    <n v="3"/>
    <m/>
    <m/>
    <s v="No"/>
    <x v="3"/>
    <m/>
    <m/>
    <s v="136.183.11.43"/>
    <s v="SD387"/>
    <n v="577.29999999999995"/>
    <d v="2014-03-04T00:00:00"/>
  </r>
  <r>
    <x v="6552"/>
    <d v="1899-12-30T00:44:04"/>
    <x v="1543"/>
    <x v="14"/>
    <s v="houghton"/>
    <x v="244"/>
    <n v="848510"/>
    <x v="0"/>
    <s v="Medicine"/>
    <s v="9781118220481"/>
    <s v=",7,8,9,5,6,10,11,12,13,14,15,4,65,66,67,68"/>
    <n v="16"/>
    <m/>
    <m/>
    <s v="No"/>
    <x v="0"/>
    <d v="2015-10-02T02:33:08"/>
    <n v="7"/>
    <s v="96.43.64.169"/>
    <s v="RC489.C63 -- C64 2012eb"/>
    <s v="616.89/1425"/>
    <d v="2012-06-06T00:00:00"/>
  </r>
  <r>
    <x v="6553"/>
    <d v="1899-12-30T00:10:58"/>
    <x v="1543"/>
    <x v="14"/>
    <s v="houghton"/>
    <x v="244"/>
    <n v="848510"/>
    <x v="0"/>
    <s v="Medicine"/>
    <s v="9781118220481"/>
    <s v=",1,2,3,62,63,64,60,61,3,2,1,62,63,64,60,61"/>
    <n v="8"/>
    <m/>
    <m/>
    <s v="No"/>
    <x v="1"/>
    <m/>
    <m/>
    <s v="96.43.64.169"/>
    <s v="RC489.C63 -- C64 2012eb"/>
    <s v="616.89/1425"/>
    <d v="2012-06-06T00:00:00"/>
  </r>
  <r>
    <x v="6554"/>
    <d v="1899-12-30T00:08:44"/>
    <x v="1552"/>
    <x v="12"/>
    <s v="potsdam"/>
    <x v="631"/>
    <n v="1798778"/>
    <x v="0"/>
    <s v="Medicine"/>
    <s v="9781118760741"/>
    <s v=",1,2,3,313,314,315,312,311,316"/>
    <n v="9"/>
    <m/>
    <m/>
    <s v="No"/>
    <x v="0"/>
    <d v="2015-10-01T17:22:27"/>
    <n v="7"/>
    <s v="137.143.104.94"/>
    <s v="RC71.5 -- .D954 2015eb"/>
    <n v="616.07500000000005"/>
    <d v="2014-09-24T00:00:00"/>
  </r>
  <r>
    <x v="6555"/>
    <d v="1899-12-30T00:22:21"/>
    <x v="975"/>
    <x v="0"/>
    <s v="Buffalo"/>
    <x v="73"/>
    <n v="1119505"/>
    <x v="0"/>
    <s v="Science: Chemistry; Science"/>
    <s v="9781118355015"/>
    <s v=",1,2,3,81,80,82,78,79,83,84,85,86,87"/>
    <n v="13"/>
    <m/>
    <m/>
    <s v="No"/>
    <x v="0"/>
    <d v="2015-09-30T20:53:39"/>
    <n v="7"/>
    <s v="128.205.114.91"/>
    <s v="QD251.3 -- .S38 2013eb"/>
    <s v="547/.128"/>
    <d v="2013-01-28T00:00:00"/>
  </r>
  <r>
    <x v="6556"/>
    <d v="1899-12-30T00:00:00"/>
    <x v="1553"/>
    <x v="0"/>
    <s v="Buffalo"/>
    <x v="545"/>
    <n v="1873238"/>
    <x v="3"/>
    <s v="Language/Linguistics"/>
    <s v="9780520961647"/>
    <m/>
    <n v="0"/>
    <m/>
    <m/>
    <s v="Yes"/>
    <x v="0"/>
    <d v="2015-10-02T01:31:47"/>
    <n v="7"/>
    <s v="128.205.114.91"/>
    <s v="PM2296 -- .W35 2015eb"/>
    <n v="497.9"/>
    <d v="2015-01-01T00:00:00"/>
  </r>
  <r>
    <x v="6557"/>
    <d v="1899-12-30T00:00:08"/>
    <x v="1553"/>
    <x v="0"/>
    <s v="Buffalo"/>
    <x v="545"/>
    <n v="1873238"/>
    <x v="3"/>
    <s v="Language/Linguistics"/>
    <s v="9780520961647"/>
    <s v=",1,2,3"/>
    <n v="3"/>
    <m/>
    <m/>
    <s v="No"/>
    <x v="0"/>
    <d v="2015-10-02T01:31:47"/>
    <n v="7"/>
    <s v="128.205.114.91"/>
    <s v="PM2296 -- .W35 2015eb"/>
    <n v="497.9"/>
    <d v="2015-01-01T00:00:00"/>
  </r>
  <r>
    <x v="6558"/>
    <d v="1899-12-30T00:00:00"/>
    <x v="1553"/>
    <x v="0"/>
    <s v="Buffalo"/>
    <x v="545"/>
    <n v="1873238"/>
    <x v="3"/>
    <s v="Language/Linguistics"/>
    <s v="9780520961647"/>
    <m/>
    <n v="0"/>
    <m/>
    <m/>
    <s v="Yes"/>
    <x v="0"/>
    <d v="2015-10-02T01:31:47"/>
    <n v="7"/>
    <s v="128.205.114.91"/>
    <s v="PM2296 -- .W35 2015eb"/>
    <n v="497.9"/>
    <d v="2015-01-01T00:00:00"/>
  </r>
  <r>
    <x v="6559"/>
    <d v="1899-12-30T00:00:00"/>
    <x v="1553"/>
    <x v="0"/>
    <s v="Buffalo"/>
    <x v="545"/>
    <n v="1873238"/>
    <x v="3"/>
    <s v="Language/Linguistics"/>
    <s v="9780520961647"/>
    <m/>
    <n v="0"/>
    <m/>
    <m/>
    <s v="Yes"/>
    <x v="0"/>
    <d v="2015-10-02T01:31:47"/>
    <n v="7"/>
    <s v="128.205.114.91"/>
    <s v="PM2296 -- .W35 2015eb"/>
    <n v="497.9"/>
    <d v="2015-01-01T00:00:00"/>
  </r>
  <r>
    <x v="6560"/>
    <d v="1899-12-30T00:00:00"/>
    <x v="1553"/>
    <x v="0"/>
    <s v="Buffalo"/>
    <x v="545"/>
    <n v="1873238"/>
    <x v="3"/>
    <s v="Language/Linguistics"/>
    <s v="9780520961647"/>
    <m/>
    <n v="0"/>
    <m/>
    <m/>
    <s v="Yes"/>
    <x v="0"/>
    <d v="2015-10-02T01:31:47"/>
    <n v="7"/>
    <s v="128.205.114.91"/>
    <s v="PM2296 -- .W35 2015eb"/>
    <n v="497.9"/>
    <d v="2015-01-01T00:00:00"/>
  </r>
  <r>
    <x v="6561"/>
    <d v="1899-12-30T00:00:28"/>
    <x v="1553"/>
    <x v="0"/>
    <s v="Buffalo"/>
    <x v="545"/>
    <n v="1873238"/>
    <x v="3"/>
    <s v="Language/Linguistics"/>
    <s v="9780520961647"/>
    <s v=",24"/>
    <n v="1"/>
    <m/>
    <m/>
    <s v="No"/>
    <x v="0"/>
    <d v="2015-10-02T01:31:47"/>
    <n v="7"/>
    <s v="128.205.114.91"/>
    <s v="PM2296 -- .W35 2015eb"/>
    <n v="497.9"/>
    <d v="2015-01-01T00:00:00"/>
  </r>
  <r>
    <x v="6562"/>
    <d v="1899-12-30T00:00:14"/>
    <x v="1553"/>
    <x v="0"/>
    <s v="Buffalo"/>
    <x v="545"/>
    <n v="1873238"/>
    <x v="3"/>
    <s v="Language/Linguistics"/>
    <s v="9780520961647"/>
    <s v=",1,2,3,1"/>
    <n v="3"/>
    <m/>
    <m/>
    <s v="No"/>
    <x v="1"/>
    <m/>
    <m/>
    <s v="128.205.114.91"/>
    <s v="PM2296 -- .W35 2015eb"/>
    <n v="497.9"/>
    <d v="2015-01-01T00:00:00"/>
  </r>
  <r>
    <x v="6563"/>
    <d v="1899-12-30T00:00:00"/>
    <x v="935"/>
    <x v="15"/>
    <s v="morrisville"/>
    <x v="1510"/>
    <n v="1129584"/>
    <x v="0"/>
    <s v="Psychology"/>
    <s v="9781118526606"/>
    <m/>
    <n v="0"/>
    <m/>
    <m/>
    <s v="No"/>
    <x v="0"/>
    <d v="2015-10-01T22:46:26"/>
    <n v="7"/>
    <s v="136.204.32.68"/>
    <s v="BF575.H27 -- T36 2013eb"/>
    <n v="158.1"/>
    <d v="2013-02-14T00:00:00"/>
  </r>
  <r>
    <x v="6564"/>
    <d v="1899-12-30T00:00:24"/>
    <x v="1554"/>
    <x v="15"/>
    <s v="morrisville"/>
    <x v="1510"/>
    <n v="1129584"/>
    <x v="0"/>
    <s v="Psychology"/>
    <s v="9781118526606"/>
    <s v=",1,82,83,84,80,81,85,86,87,89,79,78,77,2,74,75"/>
    <n v="16"/>
    <m/>
    <m/>
    <s v="No"/>
    <x v="1"/>
    <m/>
    <m/>
    <s v="136.204.32.68"/>
    <s v="BF575.H27 -- T36 2013eb"/>
    <n v="158.1"/>
    <d v="2013-02-14T00:00:00"/>
  </r>
  <r>
    <x v="6565"/>
    <d v="1899-12-30T00:01:03"/>
    <x v="935"/>
    <x v="15"/>
    <s v="morrisville"/>
    <x v="1510"/>
    <n v="1129584"/>
    <x v="0"/>
    <s v="Psychology"/>
    <s v="9781118526606"/>
    <s v=",1,140,141,142,143,144,139,2,144,138"/>
    <n v="9"/>
    <m/>
    <m/>
    <s v="No"/>
    <x v="1"/>
    <m/>
    <m/>
    <s v="136.204.32.68"/>
    <s v="BF575.H27 -- T36 2013eb"/>
    <n v="158.1"/>
    <d v="2013-02-14T00:00:00"/>
  </r>
  <r>
    <x v="6566"/>
    <d v="1899-12-30T00:09:10"/>
    <x v="1555"/>
    <x v="0"/>
    <s v="Buffalo"/>
    <x v="666"/>
    <n v="817932"/>
    <x v="0"/>
    <s v="Computer Science/IT"/>
    <s v="9781118220146"/>
    <s v=",1,2,3,4,5,15,16,17,36,49,65,68,69,70,71,67,72,74,73,75,76,77,78,79,83,85"/>
    <n v="26"/>
    <m/>
    <m/>
    <s v="No"/>
    <x v="1"/>
    <m/>
    <m/>
    <s v="128.205.114.91"/>
    <s v="QA76.73.J38 -- B87 2012eb"/>
    <n v="5.133"/>
    <d v="2012-03-13T00:00:00"/>
  </r>
  <r>
    <x v="6567"/>
    <d v="1899-12-30T00:02:59"/>
    <x v="539"/>
    <x v="9"/>
    <s v="trocaire"/>
    <x v="1511"/>
    <n v="2055783"/>
    <x v="0"/>
    <s v="Philosophy"/>
    <s v="9781118585610"/>
    <s v=",2,1,3,54,56,55,52,53,175,176,177,173,174,178,179,180,181,182,183,110,111,112,108,109,113,107,106,103,104,105,101,102"/>
    <n v="32"/>
    <m/>
    <m/>
    <s v="No"/>
    <x v="3"/>
    <m/>
    <m/>
    <s v="173.225.62.67"/>
    <s v="BD21"/>
    <n v="100"/>
    <d v="2015-08-26T00:00:00"/>
  </r>
  <r>
    <x v="6568"/>
    <d v="1899-12-30T00:29:06"/>
    <x v="1286"/>
    <x v="1"/>
    <s v="brockport"/>
    <x v="151"/>
    <n v="968030"/>
    <x v="0"/>
    <s v="Psychology"/>
    <s v="9781118285138"/>
    <s v=",1,2,3,391,392,393,390,388,389,394,395,396,397,398,399,400,401"/>
    <n v="17"/>
    <m/>
    <m/>
    <s v="No"/>
    <x v="0"/>
    <d v="2015-10-01T18:31:10"/>
    <n v="7"/>
    <s v="137.21.7.121"/>
    <s v="BF637.C6 -- S85 2013eb"/>
    <n v="158.30000000000001"/>
    <d v="2012-07-10T00:00:00"/>
  </r>
  <r>
    <x v="6569"/>
    <d v="1899-12-30T00:00:59"/>
    <x v="1329"/>
    <x v="1"/>
    <s v="brockport"/>
    <x v="151"/>
    <n v="968030"/>
    <x v="0"/>
    <s v="Psychology"/>
    <s v="9781118285138"/>
    <s v=",502,503,504,505,506"/>
    <n v="5"/>
    <m/>
    <m/>
    <s v="No"/>
    <x v="0"/>
    <d v="2015-10-01T20:05:44"/>
    <n v="7"/>
    <s v="137.21.7.121"/>
    <s v="BF637.C6 -- S85 2013eb"/>
    <n v="158.30000000000001"/>
    <d v="2012-07-10T00:00:00"/>
  </r>
  <r>
    <x v="6570"/>
    <d v="1899-12-30T00:14:11"/>
    <x v="1329"/>
    <x v="1"/>
    <s v="brockport"/>
    <x v="151"/>
    <n v="968030"/>
    <x v="0"/>
    <s v="Psychology"/>
    <s v="9781118285138"/>
    <s v=",1,2,3,10,17,12,8,5,4,6,7,9,8,9,10,11,12,472,472,473,474,481,483,484,487,491,492,493,494,494,495,496,497,498,499,500,501"/>
    <n v="31"/>
    <m/>
    <m/>
    <s v="No"/>
    <x v="1"/>
    <m/>
    <m/>
    <s v="137.21.7.121"/>
    <s v="BF637.C6 -- S85 2013eb"/>
    <n v="158.30000000000001"/>
    <d v="2012-07-10T00:00:00"/>
  </r>
  <r>
    <x v="6571"/>
    <d v="1899-12-30T00:03:33"/>
    <x v="1556"/>
    <x v="7"/>
    <s v="oneonta"/>
    <x v="1512"/>
    <n v="1581810"/>
    <x v="2"/>
    <s v="Education"/>
    <s v="9781135453183"/>
    <s v=",1,2,3,13,14,15,11,12,58,59,60,56,57,61,62,41,42,43,40,39,44,45"/>
    <n v="22"/>
    <m/>
    <m/>
    <s v="No"/>
    <x v="3"/>
    <m/>
    <m/>
    <s v="137.141.13.2"/>
    <n v="97006296"/>
    <n v="370.11750000000001"/>
    <d v="1997-09-01T00:00:00"/>
  </r>
  <r>
    <x v="6572"/>
    <d v="1899-12-30T02:24:33"/>
    <x v="1242"/>
    <x v="1"/>
    <s v="brockport"/>
    <x v="151"/>
    <n v="968030"/>
    <x v="0"/>
    <s v="Psychology"/>
    <s v="9781118285138"/>
    <s v=",1,2,3,433,431,435,432,434,436,437,438,439,440,441,442,443,444,445,446,449,450,498,499,500,496,497,501,502,1,502,503,504,500,501,505,2,498,499,497,7,8,9,5,6,10,11,12,13,14,15,16,17,18,19,20,21,14,13,11,10,12,8,9,6,7,4,5,3,9,10,12,13,14,11,15,16,17,18,19,20,21,505,497,509,510,511,507,508,512,497,495,496,1,496,497,498,494,495,2,495,493,492,491,499,498,498,498,498,498,491,492,491,493,489,490,498,499,500,496,497,464,465,466,462,463,386,387,388,384,385,389,390,391,392,393,394,387,387,387,387,388,389,385,386,390"/>
    <n v="78"/>
    <m/>
    <m/>
    <s v="No"/>
    <x v="0"/>
    <d v="2015-09-30T20:18:37"/>
    <n v="7"/>
    <s v="137.21.7.121"/>
    <s v="BF637.C6 -- S85 2013eb"/>
    <n v="158.30000000000001"/>
    <d v="2012-07-10T00:00:00"/>
  </r>
  <r>
    <x v="6573"/>
    <d v="1899-12-30T00:57:33"/>
    <x v="925"/>
    <x v="1"/>
    <s v="brockport"/>
    <x v="151"/>
    <n v="968030"/>
    <x v="0"/>
    <s v="Psychology"/>
    <s v="9781118285138"/>
    <s v=",1,2,3,493,494,495,491,492,496,497,498,499,500,501,502,503,504,505,506,507,508,501,502,499,500,497,498,496,495"/>
    <n v="21"/>
    <s v=",497"/>
    <m/>
    <s v="No"/>
    <x v="0"/>
    <d v="2015-10-01T00:27:29"/>
    <n v="7"/>
    <s v="137.21.7.121"/>
    <s v="BF637.C6 -- S85 2013eb"/>
    <n v="158.30000000000001"/>
    <d v="2012-07-10T00:00:00"/>
  </r>
  <r>
    <x v="6574"/>
    <d v="1899-12-30T00:29:38"/>
    <x v="1286"/>
    <x v="1"/>
    <s v="brockport"/>
    <x v="151"/>
    <n v="968030"/>
    <x v="0"/>
    <s v="Psychology"/>
    <s v="9781118285138"/>
    <s v=",4,5,6,7,13,38,39,40,36,37,41,42,55,61,67,76,86,88,94,97,102,103,104,100,105,106,107,108,109,110,111,112,113,114,115,116,117,118,119,120,121,122,123,124,125,126,127,128,129,130,131,132,133,134,135,136,137,138,139,140,141,391,392,393,389,390,388,387,394"/>
    <n v="69"/>
    <m/>
    <m/>
    <s v="No"/>
    <x v="0"/>
    <d v="2015-10-01T18:31:10"/>
    <n v="7"/>
    <s v="137.21.7.121"/>
    <s v="BF637.C6 -- S85 2013eb"/>
    <n v="158.30000000000001"/>
    <d v="2012-07-10T00:00:00"/>
  </r>
  <r>
    <x v="6575"/>
    <d v="1899-12-30T00:18:07"/>
    <x v="1286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6576"/>
    <d v="1899-12-30T00:05:21"/>
    <x v="955"/>
    <x v="1"/>
    <s v="brockport"/>
    <x v="151"/>
    <n v="968030"/>
    <x v="0"/>
    <s v="Psychology"/>
    <s v="9781118285138"/>
    <s v=",1,2,3,4,385,386,387,383,384,388,389,390,391,392,393,394,395,396,397,398,399,400,392,391,390"/>
    <n v="22"/>
    <m/>
    <m/>
    <s v="No"/>
    <x v="0"/>
    <d v="2015-09-30T16:43:23"/>
    <n v="7"/>
    <s v="137.21.7.121"/>
    <s v="BF637.C6 -- S85 2013eb"/>
    <n v="158.30000000000001"/>
    <d v="2012-07-10T00:00:00"/>
  </r>
  <r>
    <x v="6577"/>
    <d v="1899-12-30T00:07:40"/>
    <x v="1552"/>
    <x v="12"/>
    <s v="potsdam"/>
    <x v="631"/>
    <n v="1798778"/>
    <x v="0"/>
    <s v="Medicine"/>
    <s v="9781118760741"/>
    <s v=",313,314,307,302,301,301,303,299,300,300,520,522,520,518,522,519,521,519,521,517,517,516,515,516,514,513,512,511,510,515,510,509,508,507,505,506,506,505,503,504,504,502,501,502,533,534,533,534,535,535,531,532,532,536,536,537,537,532,531,536,537,538,538,539,539,540,540,541,541,542,542,543,544,543,544,545,545,546,547,546,547,548,548,319,320,321,317,319,318,318,322,323"/>
    <n v="55"/>
    <m/>
    <m/>
    <s v="No"/>
    <x v="0"/>
    <d v="2015-10-01T17:22:27"/>
    <n v="7"/>
    <s v="137.143.104.94"/>
    <s v="RC71.5 -- .D954 2015eb"/>
    <n v="616.07500000000005"/>
    <d v="2014-09-24T00:00:00"/>
  </r>
  <r>
    <x v="6578"/>
    <d v="1899-12-30T00:10:05"/>
    <x v="1552"/>
    <x v="12"/>
    <s v="potsdam"/>
    <x v="631"/>
    <n v="1798778"/>
    <x v="0"/>
    <s v="Medicine"/>
    <s v="9781118760741"/>
    <s v=",2,1,2,3,3,1,2,1,3,1,2,2,306,307,306,307,308,308,305,305,303,304,302,302,306,308,311,311,312,312,309,313,314,310,313,314,315,315,316,316,317,317,320,320,321,321,316,321,322,322,323,323,324,324,325,325,326,328,326,328,329,329,330,330,331,331,332,333,332,333,306,307,308,304,305,303,302,307,308,309,310,311,312"/>
    <n v="32"/>
    <m/>
    <m/>
    <s v="No"/>
    <x v="1"/>
    <m/>
    <m/>
    <s v="137.143.104.94"/>
    <s v="RC71.5 -- .D954 2015eb"/>
    <n v="616.07500000000005"/>
    <d v="2014-09-24T00:00:00"/>
  </r>
  <r>
    <x v="6579"/>
    <d v="1899-12-30T00:35:08"/>
    <x v="925"/>
    <x v="1"/>
    <s v="brockport"/>
    <x v="151"/>
    <n v="968030"/>
    <x v="0"/>
    <s v="Psychology"/>
    <s v="9781118285138"/>
    <s v=",1,2,3,496,497,498,494,495,499,500,501,494,493,491,492,490,496,497,492,497,498,499,500,501"/>
    <n v="15"/>
    <m/>
    <m/>
    <s v="No"/>
    <x v="0"/>
    <d v="2015-10-01T00:27:29"/>
    <n v="7"/>
    <s v="137.21.7.121"/>
    <s v="BF637.C6 -- S85 2013eb"/>
    <n v="158.30000000000001"/>
    <d v="2012-07-10T00:00:00"/>
  </r>
  <r>
    <x v="6580"/>
    <d v="1899-12-30T00:15:41"/>
    <x v="1557"/>
    <x v="12"/>
    <s v="potsdam"/>
    <x v="1513"/>
    <n v="1397484"/>
    <x v="2"/>
    <s v="Language/Linguistics"/>
    <s v="9781317864653"/>
    <s v=",17,18,19,20,21,22,1,2,3,22,23,24,20,21,43,43,44,45,44,41,45,42,42"/>
    <n v="16"/>
    <m/>
    <m/>
    <s v="No"/>
    <x v="2"/>
    <d v="2015-10-01T16:49:14"/>
    <n v="1"/>
    <s v="137.143.104.94"/>
    <s v="P302 -- .F35 2013eb"/>
    <n v="401.41"/>
    <d v="2013-09-13T00:00:00"/>
  </r>
  <r>
    <x v="6581"/>
    <d v="1899-12-30T00:15:46"/>
    <x v="1557"/>
    <x v="12"/>
    <s v="potsdam"/>
    <x v="1513"/>
    <n v="1397484"/>
    <x v="2"/>
    <s v="Language/Linguistics"/>
    <s v="9781317864653"/>
    <s v=",1,3,2,1,2,3,6,7,8,6,8,7,5,5,4,2,9,9,10,10,11,11,11,12,12,13,13,14,14,15,15,16,16,17,17,6,7,8,4,5,9,4,9,13,16,19,21,19,21,22,23,24,23,22,20,24,25,25,20,19,17,18,16,15,14,13,12"/>
    <n v="25"/>
    <m/>
    <m/>
    <s v="No"/>
    <x v="3"/>
    <m/>
    <m/>
    <s v="137.143.104.94"/>
    <s v="P302 -- .F35 2013eb"/>
    <n v="401.41"/>
    <d v="2013-09-13T00:00:00"/>
  </r>
  <r>
    <x v="6582"/>
    <d v="1899-12-30T00:14:05"/>
    <x v="1242"/>
    <x v="1"/>
    <s v="brockport"/>
    <x v="151"/>
    <n v="968030"/>
    <x v="0"/>
    <s v="Psychology"/>
    <s v="9781118285138"/>
    <s v=",1,2,3,7,8,9,5,6,10,385,386,387,383,384,388,503,504,505,501,502,499,500,385,386,387,383,384,388,389,390"/>
    <n v="24"/>
    <m/>
    <m/>
    <s v="No"/>
    <x v="0"/>
    <d v="2015-09-30T20:18:37"/>
    <n v="7"/>
    <s v="137.21.7.121"/>
    <s v="BF637.C6 -- S85 2013eb"/>
    <n v="158.30000000000001"/>
    <d v="2012-07-10T00:00:00"/>
  </r>
  <r>
    <x v="6583"/>
    <d v="1899-12-30T00:00:11"/>
    <x v="1558"/>
    <x v="13"/>
    <s v="buffalostate"/>
    <x v="462"/>
    <n v="1092959"/>
    <x v="3"/>
    <s v="Social Science"/>
    <s v="9780520955097"/>
    <s v=",1,2,3,4,284,285,286"/>
    <n v="7"/>
    <m/>
    <m/>
    <s v="No"/>
    <x v="1"/>
    <m/>
    <m/>
    <s v="136.183.11.43"/>
    <s v="HQ536 -- .F388 2013eb"/>
    <n v="306.85097300000001"/>
    <d v="2013-03-01T00:00:00"/>
  </r>
  <r>
    <x v="6584"/>
    <d v="1899-12-30T00:00:00"/>
    <x v="1040"/>
    <x v="16"/>
    <s v="monroecc"/>
    <x v="1514"/>
    <n v="1985771"/>
    <x v="0"/>
    <s v="Science: Biology/Natural History; Science"/>
    <s v="9781118439586"/>
    <m/>
    <n v="0"/>
    <m/>
    <m/>
    <s v="Yes"/>
    <x v="0"/>
    <d v="2015-10-01T15:00:33"/>
    <n v="7"/>
    <s v="150.160.200.114"/>
    <s v="QR73 .M384 2015"/>
    <n v="579.16999999999996"/>
    <d v="2015-07-06T00:00:00"/>
  </r>
  <r>
    <x v="6584"/>
    <d v="1899-12-30T00:00:00"/>
    <x v="1040"/>
    <x v="16"/>
    <s v="monroecc"/>
    <x v="1514"/>
    <n v="1985771"/>
    <x v="0"/>
    <s v="Science: Biology/Natural History; Science"/>
    <s v="9781118439586"/>
    <m/>
    <n v="0"/>
    <m/>
    <m/>
    <s v="No"/>
    <x v="0"/>
    <d v="2015-10-01T15:00:33"/>
    <n v="7"/>
    <s v="150.160.200.114"/>
    <s v="QR73 .M384 2015"/>
    <n v="579.16999999999996"/>
    <d v="2015-07-06T00:00:00"/>
  </r>
  <r>
    <x v="6585"/>
    <d v="1899-12-30T00:02:21"/>
    <x v="1040"/>
    <x v="16"/>
    <s v="monroecc"/>
    <x v="1514"/>
    <n v="1985771"/>
    <x v="0"/>
    <s v="Science: Biology/Natural History; Science"/>
    <s v="9781118439586"/>
    <s v=",1,3,3,2,2,1,2,2"/>
    <n v="3"/>
    <m/>
    <m/>
    <s v="No"/>
    <x v="3"/>
    <m/>
    <m/>
    <s v="150.160.200.114"/>
    <s v="QR73 .M384 2015"/>
    <n v="579.16999999999996"/>
    <d v="2015-07-06T00:00:00"/>
  </r>
  <r>
    <x v="6586"/>
    <d v="1899-12-30T00:00:00"/>
    <x v="1040"/>
    <x v="16"/>
    <s v="monroecc"/>
    <x v="643"/>
    <n v="2083724"/>
    <x v="0"/>
    <s v="Science: Botany; Science"/>
    <s v="9781118502211"/>
    <m/>
    <n v="0"/>
    <m/>
    <m/>
    <s v="Yes"/>
    <x v="0"/>
    <d v="2015-10-01T14:52:53"/>
    <n v="7"/>
    <s v="150.160.200.114"/>
    <s v="QK861"/>
    <n v="581.79999999999995"/>
    <d v="2015-07-02T00:00:00"/>
  </r>
  <r>
    <x v="6587"/>
    <d v="1899-12-30T00:00:00"/>
    <x v="1040"/>
    <x v="16"/>
    <s v="monroecc"/>
    <x v="643"/>
    <n v="2083724"/>
    <x v="0"/>
    <s v="Science: Botany; Science"/>
    <s v="9781118502211"/>
    <m/>
    <n v="0"/>
    <m/>
    <m/>
    <s v="No"/>
    <x v="0"/>
    <d v="2015-10-01T14:52:53"/>
    <n v="7"/>
    <s v="150.160.200.114"/>
    <s v="QK861"/>
    <n v="581.79999999999995"/>
    <d v="2015-07-02T00:00:00"/>
  </r>
  <r>
    <x v="6588"/>
    <d v="1899-12-30T00:02:12"/>
    <x v="1040"/>
    <x v="16"/>
    <s v="monroecc"/>
    <x v="643"/>
    <n v="2083724"/>
    <x v="0"/>
    <s v="Science: Botany; Science"/>
    <s v="9781118502211"/>
    <s v=",1,2,3,3,2,1,2,2"/>
    <n v="3"/>
    <m/>
    <m/>
    <s v="No"/>
    <x v="3"/>
    <m/>
    <m/>
    <s v="150.160.200.114"/>
    <s v="QK861"/>
    <n v="581.79999999999995"/>
    <d v="2015-07-02T00:00:00"/>
  </r>
  <r>
    <x v="6589"/>
    <d v="1899-12-30T00:01:43"/>
    <x v="705"/>
    <x v="13"/>
    <s v="buffalostate"/>
    <x v="516"/>
    <n v="1840835"/>
    <x v="0"/>
    <s v="Business/Management; Economics"/>
    <s v="9781118950166"/>
    <s v=",1,2,3,51,52,53,50,49,54,48,55"/>
    <n v="11"/>
    <m/>
    <m/>
    <s v="No"/>
    <x v="1"/>
    <m/>
    <m/>
    <s v="136.183.11.43"/>
    <s v="HD9969.S6 .R384 2014"/>
    <n v="338.10923789999998"/>
    <d v="2014-11-10T00:00:00"/>
  </r>
  <r>
    <x v="6590"/>
    <d v="1899-12-30T00:00:03"/>
    <x v="1040"/>
    <x v="16"/>
    <s v="monroecc"/>
    <x v="1515"/>
    <n v="1895179"/>
    <x v="0"/>
    <s v="Library Science"/>
    <s v="9781118974124"/>
    <s v=",2,2"/>
    <n v="1"/>
    <m/>
    <m/>
    <s v="Yes"/>
    <x v="0"/>
    <d v="2015-10-01T14:47:29"/>
    <n v="7"/>
    <s v="150.160.200.114"/>
    <s v="Z678"/>
    <n v="25.1"/>
    <d v="2015-07-02T00:00:00"/>
  </r>
  <r>
    <x v="6590"/>
    <d v="1899-12-30T00:00:00"/>
    <x v="1040"/>
    <x v="16"/>
    <s v="monroecc"/>
    <x v="1515"/>
    <n v="1895179"/>
    <x v="0"/>
    <s v="Library Science"/>
    <s v="9781118974124"/>
    <m/>
    <n v="0"/>
    <m/>
    <m/>
    <s v="No"/>
    <x v="0"/>
    <d v="2015-10-01T14:47:29"/>
    <n v="7"/>
    <s v="150.160.200.114"/>
    <s v="Z678"/>
    <n v="25.1"/>
    <d v="2015-07-02T00:00:00"/>
  </r>
  <r>
    <x v="6591"/>
    <d v="1899-12-30T00:00:25"/>
    <x v="1040"/>
    <x v="16"/>
    <s v="monroecc"/>
    <x v="1515"/>
    <n v="1895179"/>
    <x v="0"/>
    <s v="Library Science"/>
    <s v="9781118974124"/>
    <s v=",1,3,3,2,2,1"/>
    <n v="3"/>
    <m/>
    <m/>
    <s v="No"/>
    <x v="3"/>
    <m/>
    <m/>
    <s v="150.160.200.114"/>
    <s v="Z678"/>
    <n v="25.1"/>
    <d v="2015-07-02T00:00:00"/>
  </r>
  <r>
    <x v="6592"/>
    <d v="1899-12-30T00:11:04"/>
    <x v="1559"/>
    <x v="3"/>
    <s v="canton"/>
    <x v="553"/>
    <n v="1655861"/>
    <x v="12"/>
    <s v="History; Political Science"/>
    <s v="9781469615578"/>
    <s v=",9,9,4,4,5,6,6,7,7,8,8,9,10,10,11,11,16,16,17,18,15,14,18,15,17"/>
    <n v="13"/>
    <m/>
    <m/>
    <s v="No"/>
    <x v="2"/>
    <d v="2015-10-01T14:28:41"/>
    <n v="1"/>
    <s v="137.37.33.33"/>
    <s v="E185.615 -- .R522 2014eb"/>
    <s v="323.1196/07300904"/>
    <d v="2014-03-17T00:00:00"/>
  </r>
  <r>
    <x v="6593"/>
    <d v="1899-12-30T00:10:05"/>
    <x v="1559"/>
    <x v="3"/>
    <s v="canton"/>
    <x v="553"/>
    <n v="1655861"/>
    <x v="12"/>
    <s v="History; Political Science"/>
    <s v="9781469615578"/>
    <s v=",1,2,3,3,2,2,2,1"/>
    <n v="3"/>
    <m/>
    <m/>
    <s v="No"/>
    <x v="3"/>
    <m/>
    <m/>
    <s v="137.37.33.33"/>
    <s v="E185.615 -- .R522 2014eb"/>
    <s v="323.1196/07300904"/>
    <d v="2014-03-17T00:00:00"/>
  </r>
  <r>
    <x v="6594"/>
    <d v="1899-12-30T00:00:06"/>
    <x v="1040"/>
    <x v="16"/>
    <s v="monroecc"/>
    <x v="861"/>
    <n v="2038001"/>
    <x v="3"/>
    <s v="Engineering; Home Economics; Engineering: Chemical"/>
    <s v="9780520961296"/>
    <s v=",2,2"/>
    <n v="1"/>
    <m/>
    <m/>
    <s v="Yes"/>
    <x v="2"/>
    <d v="2015-10-01T14:16:40"/>
    <n v="1"/>
    <s v="150.160.200.114"/>
    <s v="TP548.2 .W384 2015"/>
    <n v="641.87199999999996"/>
    <d v="2015-09-08T00:00:00"/>
  </r>
  <r>
    <x v="6594"/>
    <d v="1899-12-30T00:00:00"/>
    <x v="1040"/>
    <x v="16"/>
    <s v="monroecc"/>
    <x v="861"/>
    <n v="2038001"/>
    <x v="3"/>
    <s v="Engineering; Home Economics; Engineering: Chemical"/>
    <s v="9780520961296"/>
    <m/>
    <n v="0"/>
    <m/>
    <m/>
    <s v="No"/>
    <x v="2"/>
    <d v="2015-10-01T14:16:40"/>
    <n v="1"/>
    <s v="150.160.200.114"/>
    <s v="TP548.2 .W384 2015"/>
    <n v="641.87199999999996"/>
    <d v="2015-09-08T00:00:00"/>
  </r>
  <r>
    <x v="6595"/>
    <d v="1899-12-30T00:00:19"/>
    <x v="1040"/>
    <x v="16"/>
    <s v="monroecc"/>
    <x v="861"/>
    <n v="2038001"/>
    <x v="3"/>
    <s v="Engineering; Home Economics; Engineering: Chemical"/>
    <s v="9780520961296"/>
    <s v=",1,1,2,2,3,3,1"/>
    <n v="3"/>
    <m/>
    <m/>
    <s v="No"/>
    <x v="3"/>
    <m/>
    <m/>
    <s v="150.160.200.114"/>
    <s v="TP548.2 .W384 2015"/>
    <n v="641.87199999999996"/>
    <d v="2015-09-08T00:00:00"/>
  </r>
  <r>
    <x v="6596"/>
    <d v="1899-12-30T00:00:00"/>
    <x v="1040"/>
    <x v="16"/>
    <s v="monroecc"/>
    <x v="1516"/>
    <n v="2075057"/>
    <x v="0"/>
    <s v="Pharmacy; Medicine"/>
    <s v="9781118861875"/>
    <m/>
    <n v="0"/>
    <m/>
    <m/>
    <s v="Yes"/>
    <x v="0"/>
    <d v="2015-10-01T14:15:47"/>
    <n v="7"/>
    <s v="150.160.200.114"/>
    <s v="RM138"/>
    <s v="615/.1"/>
    <d v="2015-06-15T00:00:00"/>
  </r>
  <r>
    <x v="6596"/>
    <d v="1899-12-30T00:00:00"/>
    <x v="1040"/>
    <x v="16"/>
    <s v="monroecc"/>
    <x v="1516"/>
    <n v="2075057"/>
    <x v="0"/>
    <s v="Pharmacy; Medicine"/>
    <s v="9781118861875"/>
    <m/>
    <n v="0"/>
    <m/>
    <m/>
    <s v="No"/>
    <x v="0"/>
    <d v="2015-10-01T14:15:47"/>
    <n v="7"/>
    <s v="150.160.200.114"/>
    <s v="RM138"/>
    <s v="615/.1"/>
    <d v="2015-06-15T00:00:00"/>
  </r>
  <r>
    <x v="6597"/>
    <d v="1899-12-30T00:00:39"/>
    <x v="1040"/>
    <x v="16"/>
    <s v="monroecc"/>
    <x v="1516"/>
    <n v="2075057"/>
    <x v="0"/>
    <s v="Pharmacy; Medicine"/>
    <s v="9781118861875"/>
    <s v=",1,2,3,2,3,1,2,2"/>
    <n v="3"/>
    <m/>
    <m/>
    <s v="No"/>
    <x v="3"/>
    <m/>
    <m/>
    <s v="150.160.200.114"/>
    <s v="RM138"/>
    <s v="615/.1"/>
    <d v="2015-06-15T00:00:00"/>
  </r>
  <r>
    <x v="6598"/>
    <d v="1899-12-30T00:00:04"/>
    <x v="1404"/>
    <x v="3"/>
    <s v="canton"/>
    <x v="1334"/>
    <n v="2031464"/>
    <x v="3"/>
    <s v="Social Science"/>
    <s v="9780520958081"/>
    <s v=",1,2,3"/>
    <n v="3"/>
    <m/>
    <m/>
    <s v="No"/>
    <x v="2"/>
    <d v="2015-10-01T14:13:55"/>
    <n v="1"/>
    <s v="137.37.33.33"/>
    <s v="HV7936.P8 B69 2015"/>
    <s v="363.2/30896073077865"/>
    <d v="2015-08-01T00:00:00"/>
  </r>
  <r>
    <x v="6599"/>
    <d v="1899-12-30T00:00:07"/>
    <x v="1404"/>
    <x v="3"/>
    <s v="canton"/>
    <x v="1334"/>
    <n v="2031464"/>
    <x v="3"/>
    <s v="Social Science"/>
    <s v="9780520958081"/>
    <s v=",1,3,2"/>
    <n v="3"/>
    <m/>
    <m/>
    <s v="No"/>
    <x v="3"/>
    <m/>
    <m/>
    <s v="137.37.33.33"/>
    <s v="HV7936.P8 B69 2015"/>
    <s v="363.2/30896073077865"/>
    <d v="2015-08-01T00:00:00"/>
  </r>
  <r>
    <x v="6600"/>
    <d v="1899-12-30T00:06:17"/>
    <x v="1404"/>
    <x v="3"/>
    <s v="canton"/>
    <x v="1334"/>
    <n v="2031464"/>
    <x v="3"/>
    <s v="Social Science"/>
    <s v="9780520958081"/>
    <s v=",1,2,3,4,5,6,7,8,9,10,12,13,14,15,16,17,18,19,20,22,21"/>
    <n v="21"/>
    <m/>
    <m/>
    <s v="No"/>
    <x v="3"/>
    <m/>
    <m/>
    <s v="137.37.33.33"/>
    <s v="HV7936.P8 B69 2015"/>
    <s v="363.2/30896073077865"/>
    <d v="2015-08-01T00:00:00"/>
  </r>
  <r>
    <x v="6601"/>
    <d v="1899-12-30T00:00:00"/>
    <x v="1560"/>
    <x v="0"/>
    <s v="Buffalo"/>
    <x v="111"/>
    <n v="1166322"/>
    <x v="0"/>
    <s v="Architecture"/>
    <s v="9781118418512"/>
    <m/>
    <n v="0"/>
    <m/>
    <s v=",153,154,155,156,157,158,159,160,161,162,163,164,165,166,167,168,169,170,171,172,173,174,175,176,177,178,179"/>
    <s v="No"/>
    <x v="0"/>
    <d v="2015-10-01T13:54:38"/>
    <n v="7"/>
    <s v="128.205.114.91"/>
    <s v="NA2000 -- .G76 2013eb"/>
    <n v="720.072"/>
    <d v="2013-04-03T00:00:00"/>
  </r>
  <r>
    <x v="6602"/>
    <d v="1899-12-30T00:00:38"/>
    <x v="1560"/>
    <x v="0"/>
    <s v="Buffalo"/>
    <x v="111"/>
    <n v="1166322"/>
    <x v="0"/>
    <s v="Architecture"/>
    <s v="9781118418512"/>
    <s v=",1,3,2,4,153,154,155,151,152"/>
    <n v="9"/>
    <m/>
    <m/>
    <s v="No"/>
    <x v="1"/>
    <m/>
    <m/>
    <s v="128.205.114.91"/>
    <s v="NA2000 -- .G76 2013eb"/>
    <n v="720.072"/>
    <d v="2013-04-03T00:00:00"/>
  </r>
  <r>
    <x v="6603"/>
    <d v="1899-12-30T00:00:00"/>
    <x v="1040"/>
    <x v="16"/>
    <s v="monroecc"/>
    <x v="1517"/>
    <n v="1991766"/>
    <x v="0"/>
    <s v="Business/Management; Science"/>
    <s v="9781118867884"/>
    <m/>
    <n v="0"/>
    <m/>
    <m/>
    <s v="Yes"/>
    <x v="0"/>
    <d v="2015-10-01T13:45:26"/>
    <n v="7"/>
    <s v="150.160.200.114"/>
    <s v="Q180 .A1"/>
    <n v="658.83"/>
    <d v="2015-08-04T00:00:00"/>
  </r>
  <r>
    <x v="6603"/>
    <d v="1899-12-30T00:00:00"/>
    <x v="1040"/>
    <x v="16"/>
    <s v="monroecc"/>
    <x v="1517"/>
    <n v="1991766"/>
    <x v="0"/>
    <s v="Business/Management; Science"/>
    <s v="9781118867884"/>
    <m/>
    <n v="0"/>
    <m/>
    <m/>
    <s v="No"/>
    <x v="0"/>
    <d v="2015-10-01T13:45:26"/>
    <n v="7"/>
    <s v="150.160.200.114"/>
    <s v="Q180 .A1"/>
    <n v="658.83"/>
    <d v="2015-08-04T00:00:00"/>
  </r>
  <r>
    <x v="6604"/>
    <d v="1899-12-30T00:04:11"/>
    <x v="630"/>
    <x v="5"/>
    <s v="erie"/>
    <x v="1231"/>
    <n v="2078737"/>
    <x v="0"/>
    <s v="Engineering: Electrical; Engineering"/>
    <s v="9781118974346"/>
    <s v=",27"/>
    <n v="1"/>
    <m/>
    <s v=",23,24,25,26,27"/>
    <s v="Yes"/>
    <x v="0"/>
    <d v="2015-10-01T13:42:55"/>
    <n v="7"/>
    <s v="199.29.6.54"/>
    <s v="TK7868 .I58 D46 2015"/>
    <s v="621.39; 621.3981"/>
    <d v="2015-06-26T00:00:00"/>
  </r>
  <r>
    <x v="6604"/>
    <d v="1899-12-30T00:00:00"/>
    <x v="630"/>
    <x v="5"/>
    <s v="erie"/>
    <x v="1231"/>
    <n v="2078737"/>
    <x v="0"/>
    <s v="Engineering: Electrical; Engineering"/>
    <s v="9781118974346"/>
    <m/>
    <n v="0"/>
    <m/>
    <m/>
    <s v="No"/>
    <x v="0"/>
    <d v="2015-10-01T13:42:55"/>
    <n v="7"/>
    <s v="199.29.6.54"/>
    <s v="TK7868 .I58 D46 2015"/>
    <s v="621.39; 621.3981"/>
    <d v="2015-06-26T00:00:00"/>
  </r>
  <r>
    <x v="6605"/>
    <d v="1899-12-30T00:00:00"/>
    <x v="1040"/>
    <x v="16"/>
    <s v="monroecc"/>
    <x v="297"/>
    <n v="2122525"/>
    <x v="0"/>
    <s v="Health; Medicine; Social Science"/>
    <s v="9781118369432"/>
    <m/>
    <n v="0"/>
    <m/>
    <m/>
    <s v="Yes"/>
    <x v="0"/>
    <d v="2015-10-01T13:40:43"/>
    <n v="7"/>
    <s v="150.160.200.114"/>
    <s v="RC86.7 .E384 2015"/>
    <n v="362.18"/>
    <d v="2015-05-26T00:00:00"/>
  </r>
  <r>
    <x v="6605"/>
    <d v="1899-12-30T00:00:00"/>
    <x v="1040"/>
    <x v="16"/>
    <s v="monroecc"/>
    <x v="297"/>
    <n v="2122525"/>
    <x v="0"/>
    <s v="Health; Medicine; Social Science"/>
    <s v="9781118369432"/>
    <m/>
    <n v="0"/>
    <m/>
    <m/>
    <s v="No"/>
    <x v="0"/>
    <d v="2015-10-01T13:40:43"/>
    <n v="7"/>
    <s v="150.160.200.114"/>
    <s v="RC86.7 .E384 2015"/>
    <n v="362.18"/>
    <d v="2015-05-26T00:00:00"/>
  </r>
  <r>
    <x v="6606"/>
    <d v="1899-12-30T00:00:23"/>
    <x v="1040"/>
    <x v="16"/>
    <s v="monroecc"/>
    <x v="297"/>
    <n v="2122525"/>
    <x v="0"/>
    <s v="Health; Medicine; Social Science"/>
    <s v="9781118369432"/>
    <s v=",1,2,2,3,3,1,2,2"/>
    <n v="3"/>
    <m/>
    <m/>
    <s v="No"/>
    <x v="3"/>
    <m/>
    <m/>
    <s v="150.160.200.114"/>
    <s v="RC86.7 .E384 2015"/>
    <n v="362.18"/>
    <d v="2015-05-26T00:00:00"/>
  </r>
  <r>
    <x v="6607"/>
    <d v="1899-12-30T00:05:28"/>
    <x v="1040"/>
    <x v="16"/>
    <s v="monroecc"/>
    <x v="1517"/>
    <n v="1991766"/>
    <x v="0"/>
    <s v="Business/Management; Science"/>
    <s v="9781118867884"/>
    <s v=",1,2,2,3,3,1,2,2"/>
    <n v="3"/>
    <m/>
    <m/>
    <s v="No"/>
    <x v="3"/>
    <m/>
    <m/>
    <s v="150.160.200.114"/>
    <s v="Q180 .A1"/>
    <n v="658.83"/>
    <d v="2015-08-04T00:00:00"/>
  </r>
  <r>
    <x v="6608"/>
    <d v="1899-12-30T00:00:00"/>
    <x v="1040"/>
    <x v="16"/>
    <s v="monroecc"/>
    <x v="1518"/>
    <n v="2038580"/>
    <x v="0"/>
    <s v="Medicine"/>
    <s v="9781119012948"/>
    <m/>
    <n v="0"/>
    <m/>
    <m/>
    <s v="Yes"/>
    <x v="0"/>
    <d v="2015-10-01T13:39:53"/>
    <n v="7"/>
    <s v="150.160.200.114"/>
    <s v="RC78.7 .N83"/>
    <s v="616.07; 616.07548"/>
    <d v="2015-08-06T00:00:00"/>
  </r>
  <r>
    <x v="6608"/>
    <d v="1899-12-30T00:00:00"/>
    <x v="1040"/>
    <x v="16"/>
    <s v="monroecc"/>
    <x v="1518"/>
    <n v="2038580"/>
    <x v="0"/>
    <s v="Medicine"/>
    <s v="9781119012948"/>
    <m/>
    <n v="0"/>
    <m/>
    <m/>
    <s v="No"/>
    <x v="0"/>
    <d v="2015-10-01T13:39:53"/>
    <n v="7"/>
    <s v="150.160.200.114"/>
    <s v="RC78.7 .N83"/>
    <s v="616.07; 616.07548"/>
    <d v="2015-08-06T00:00:00"/>
  </r>
  <r>
    <x v="6609"/>
    <d v="1899-12-30T00:03:45"/>
    <x v="630"/>
    <x v="5"/>
    <s v="erie"/>
    <x v="1231"/>
    <n v="2078737"/>
    <x v="0"/>
    <s v="Engineering: Electrical; Engineering"/>
    <s v="9781118974346"/>
    <s v=",1,2,3,1,2,23,24,23,25,26,27"/>
    <n v="8"/>
    <m/>
    <m/>
    <s v="No"/>
    <x v="3"/>
    <m/>
    <m/>
    <s v="199.29.6.54"/>
    <s v="TK7868 .I58 D46 2015"/>
    <s v="621.39; 621.3981"/>
    <d v="2015-06-26T00:00:00"/>
  </r>
  <r>
    <x v="6610"/>
    <d v="1899-12-30T00:01:39"/>
    <x v="1040"/>
    <x v="16"/>
    <s v="monroecc"/>
    <x v="1518"/>
    <n v="2038580"/>
    <x v="0"/>
    <s v="Medicine"/>
    <s v="9781119012948"/>
    <s v=",1,2,2,3,3,1,2,2"/>
    <n v="3"/>
    <m/>
    <m/>
    <s v="No"/>
    <x v="3"/>
    <m/>
    <m/>
    <s v="150.160.200.114"/>
    <s v="RC78.7 .N83"/>
    <s v="616.07; 616.07548"/>
    <d v="2015-08-06T00:00:00"/>
  </r>
  <r>
    <x v="6611"/>
    <d v="1899-12-30T00:00:00"/>
    <x v="1040"/>
    <x v="16"/>
    <s v="monroecc"/>
    <x v="1519"/>
    <n v="2072491"/>
    <x v="0"/>
    <s v="Social Science"/>
    <s v="9780745698175"/>
    <m/>
    <n v="0"/>
    <m/>
    <m/>
    <s v="Yes"/>
    <x v="0"/>
    <d v="2015-10-01T13:37:31"/>
    <n v="7"/>
    <s v="150.160.200.114"/>
    <s v="HN49 .R33 B43 2015"/>
    <s v="303.48; 303.484"/>
    <d v="2015-08-06T00:00:00"/>
  </r>
  <r>
    <x v="6611"/>
    <d v="1899-12-30T00:00:00"/>
    <x v="1040"/>
    <x v="16"/>
    <s v="monroecc"/>
    <x v="1519"/>
    <n v="2072491"/>
    <x v="0"/>
    <s v="Social Science"/>
    <s v="9780745698175"/>
    <m/>
    <n v="0"/>
    <m/>
    <m/>
    <s v="No"/>
    <x v="0"/>
    <d v="2015-10-01T13:37:31"/>
    <n v="7"/>
    <s v="150.160.200.114"/>
    <s v="HN49 .R33 B43 2015"/>
    <s v="303.48; 303.484"/>
    <d v="2015-08-06T00:00:00"/>
  </r>
  <r>
    <x v="6612"/>
    <d v="1899-12-30T00:01:41"/>
    <x v="1561"/>
    <x v="16"/>
    <s v="monroecc"/>
    <x v="1520"/>
    <n v="1474606"/>
    <x v="2"/>
    <s v="Health; Sport &amp; Recreation"/>
    <s v="9781135380663"/>
    <s v=",1,3,2,4,16,17,18,14,15,74,94,96,95,93,92"/>
    <n v="15"/>
    <m/>
    <m/>
    <s v="No"/>
    <x v="3"/>
    <m/>
    <m/>
    <s v="150.160.200.114"/>
    <s v="GV443 -- .B267 2001eb"/>
    <n v="613.70709999999997"/>
    <d v="2001-09-01T00:00:00"/>
  </r>
  <r>
    <x v="6613"/>
    <d v="1899-12-30T00:01:22"/>
    <x v="1040"/>
    <x v="16"/>
    <s v="monroecc"/>
    <x v="1519"/>
    <n v="2072491"/>
    <x v="0"/>
    <s v="Social Science"/>
    <s v="9780745698175"/>
    <s v=",1,2,3,2,3,2,2,1"/>
    <n v="3"/>
    <m/>
    <m/>
    <s v="No"/>
    <x v="1"/>
    <m/>
    <m/>
    <s v="150.160.200.114"/>
    <s v="HN49 .R33 B43 2015"/>
    <s v="303.48; 303.484"/>
    <d v="2015-08-06T00:00:00"/>
  </r>
  <r>
    <x v="6614"/>
    <d v="1899-12-30T00:00:00"/>
    <x v="1040"/>
    <x v="16"/>
    <s v="monroecc"/>
    <x v="1521"/>
    <n v="2131036"/>
    <x v="0"/>
    <s v="Medicine; Pharmacy"/>
    <s v="9781118930731"/>
    <m/>
    <n v="0"/>
    <m/>
    <m/>
    <s v="Yes"/>
    <x v="0"/>
    <d v="2015-10-01T13:32:40"/>
    <n v="7"/>
    <s v="150.160.200.114"/>
    <s v="RS1"/>
    <s v="615/.321"/>
    <d v="2015-07-29T00:00:00"/>
  </r>
  <r>
    <x v="6614"/>
    <d v="1899-12-30T00:00:00"/>
    <x v="1040"/>
    <x v="16"/>
    <s v="monroecc"/>
    <x v="1521"/>
    <n v="2131036"/>
    <x v="0"/>
    <s v="Medicine; Pharmacy"/>
    <s v="9781118930731"/>
    <m/>
    <n v="0"/>
    <m/>
    <m/>
    <s v="No"/>
    <x v="0"/>
    <d v="2015-10-01T13:32:40"/>
    <n v="7"/>
    <s v="150.160.200.114"/>
    <s v="RS1"/>
    <s v="615/.321"/>
    <d v="2015-07-29T00:00:00"/>
  </r>
  <r>
    <x v="6615"/>
    <d v="1899-12-30T00:00:04"/>
    <x v="1088"/>
    <x v="5"/>
    <s v="erie"/>
    <x v="1028"/>
    <n v="1183913"/>
    <x v="0"/>
    <s v="Engineering; Engineering: Electrical"/>
    <s v="9781118446423"/>
    <s v=",1,2,3"/>
    <n v="3"/>
    <m/>
    <m/>
    <s v="No"/>
    <x v="1"/>
    <m/>
    <m/>
    <s v="199.29.6.54"/>
    <s v="TK7895.M5 -- .N877 2013eb"/>
    <n v="621.38099999999997"/>
    <d v="2013-04-29T00:00:00"/>
  </r>
  <r>
    <x v="6616"/>
    <d v="1899-12-30T00:03:42"/>
    <x v="1040"/>
    <x v="16"/>
    <s v="monroecc"/>
    <x v="1521"/>
    <n v="2131036"/>
    <x v="0"/>
    <s v="Medicine; Pharmacy"/>
    <s v="9781118930731"/>
    <s v=",1,2,3,3,2,2,2,1,48,49,49"/>
    <n v="5"/>
    <m/>
    <m/>
    <s v="No"/>
    <x v="3"/>
    <m/>
    <m/>
    <s v="150.160.200.114"/>
    <s v="RS1"/>
    <s v="615/.321"/>
    <d v="2015-07-29T00:00:00"/>
  </r>
  <r>
    <x v="6617"/>
    <d v="1899-12-30T00:02:02"/>
    <x v="699"/>
    <x v="0"/>
    <s v="Buffalo"/>
    <x v="111"/>
    <n v="1166322"/>
    <x v="0"/>
    <s v="Architecture"/>
    <s v="9781118418512"/>
    <s v=",158,159,160,161,162,163,164,165,166,167,168,169,170,171,172,173,174,175,176,177,178,179,180,181,182,183,184,185,117,102,88,76,66,61,54,44,59,30,31,32,33,34,35,33"/>
    <n v="43"/>
    <m/>
    <s v="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,154,155,156,157,158,159,160,161,162,163,164,165,166,167,168,169,170,171,172,173,174,175,176,177,178,179,180,181,182"/>
    <s v="No"/>
    <x v="0"/>
    <d v="2015-10-01T11:27:05"/>
    <n v="7"/>
    <s v="128.205.114.91"/>
    <s v="NA2000 -- .G76 2013eb"/>
    <n v="720.072"/>
    <d v="2013-04-03T00:00:00"/>
  </r>
  <r>
    <x v="6618"/>
    <d v="1899-12-30T00:01:17"/>
    <x v="699"/>
    <x v="0"/>
    <s v="Buffalo"/>
    <x v="111"/>
    <n v="1166322"/>
    <x v="0"/>
    <s v="Architecture"/>
    <s v="9781118418512"/>
    <s v=",1,2,3,153,154,155,151,152,156,157"/>
    <n v="10"/>
    <m/>
    <m/>
    <s v="No"/>
    <x v="1"/>
    <m/>
    <m/>
    <s v="128.205.114.91"/>
    <s v="NA2000 -- .G76 2013eb"/>
    <n v="720.072"/>
    <d v="2013-04-03T00:00:00"/>
  </r>
  <r>
    <x v="6619"/>
    <d v="1899-12-30T00:03:26"/>
    <x v="1562"/>
    <x v="6"/>
    <s v="sjfc"/>
    <x v="1522"/>
    <n v="1138983"/>
    <x v="0"/>
    <s v="Education"/>
    <s v="9781118424315"/>
    <s v=",1,2,3,1,2,3,4,5,6,161,162,163,164,165"/>
    <n v="11"/>
    <m/>
    <m/>
    <s v="No"/>
    <x v="3"/>
    <m/>
    <m/>
    <s v="149.69.254.57"/>
    <s v="LB2353.56 -- .W66 2013eb"/>
    <s v="378.1; 378.166"/>
    <d v="2013-02-28T00:00:00"/>
  </r>
  <r>
    <x v="6620"/>
    <d v="1899-12-30T00:00:28"/>
    <x v="1563"/>
    <x v="0"/>
    <s v="Buffalo"/>
    <x v="111"/>
    <n v="1166322"/>
    <x v="0"/>
    <s v="Architecture"/>
    <s v="9781118418512"/>
    <s v=",208,345,346,347,479,480,477,478,475,476,473,474,143,144,145,142,141,146,147,148,149,150"/>
    <n v="22"/>
    <m/>
    <m/>
    <s v="No"/>
    <x v="0"/>
    <d v="2015-10-01T05:46:44"/>
    <n v="7"/>
    <s v="128.205.114.91"/>
    <s v="NA2000 -- .G76 2013eb"/>
    <n v="720.072"/>
    <d v="2013-04-03T00:00:00"/>
  </r>
  <r>
    <x v="6621"/>
    <d v="1899-12-30T00:26:53"/>
    <x v="1563"/>
    <x v="0"/>
    <s v="Buffalo"/>
    <x v="111"/>
    <n v="1166322"/>
    <x v="0"/>
    <s v="Architecture"/>
    <s v="9781118418512"/>
    <s v=",1,154,155,153,151,152,156,157,158,2,159,160,161,162,163,164,165"/>
    <n v="17"/>
    <m/>
    <m/>
    <s v="No"/>
    <x v="1"/>
    <m/>
    <m/>
    <s v="128.205.114.91"/>
    <s v="NA2000 -- .G76 2013eb"/>
    <n v="720.072"/>
    <d v="2013-04-03T00:00:00"/>
  </r>
  <r>
    <x v="6622"/>
    <d v="1899-12-30T00:00:54"/>
    <x v="913"/>
    <x v="1"/>
    <s v="brockport"/>
    <x v="151"/>
    <n v="968030"/>
    <x v="0"/>
    <s v="Psychology"/>
    <s v="9781118285138"/>
    <s v=",1,3,2,504,505,506,502,503,563,564,565,561,562,566,567,568,569,570,571,572,573,574,575"/>
    <n v="23"/>
    <m/>
    <m/>
    <s v="No"/>
    <x v="0"/>
    <d v="2015-09-30T23:52:42"/>
    <n v="7"/>
    <s v="137.21.7.121"/>
    <s v="BF637.C6 -- S85 2013eb"/>
    <n v="158.30000000000001"/>
    <d v="2012-07-10T00:00:00"/>
  </r>
  <r>
    <x v="6623"/>
    <d v="1899-12-30T00:05:20"/>
    <x v="703"/>
    <x v="0"/>
    <s v="Buffalo"/>
    <x v="111"/>
    <n v="1166322"/>
    <x v="0"/>
    <s v="Architecture"/>
    <s v="9781118418512"/>
    <s v=",185,185,113,154,154,154,160,156,185,1,187,186,183,1,184,185,186,183,184,187,2"/>
    <n v="11"/>
    <m/>
    <s v=",25,140,141,142,143,144,145,146,147,148,149,150,151,152,153,154,155,156,157,158,159,160,161,162,163,164,165,166,167,168,169,170,171,172,140,141,142,143,144,145,146,147,148,149,150,151,152,153,154,155,156,157,158,159,160,161,162,163,164,165,166,167,168,169,170,171,172,150,151,152,153,154,155,156,157,158,159,160,161,162,163,164,165,166,167,168,169,170,171,172,173,174,175,176,177,178,179,180,181,182,183,184"/>
    <s v="No"/>
    <x v="0"/>
    <d v="2015-10-01T02:40:45"/>
    <n v="7"/>
    <s v="128.205.114.91"/>
    <s v="NA2000 -- .G76 2013eb"/>
    <n v="720.072"/>
    <d v="2013-04-03T00:00:00"/>
  </r>
  <r>
    <x v="6624"/>
    <d v="1899-12-30T00:02:39"/>
    <x v="1564"/>
    <x v="12"/>
    <s v="potsdam"/>
    <x v="1523"/>
    <n v="1318188"/>
    <x v="3"/>
    <s v="Economics; Business/Management"/>
    <s v="9780520957015"/>
    <s v=",22,23,24,25,26,27,28,29,30,31,32,33,34,35,36,37,38"/>
    <n v="17"/>
    <m/>
    <m/>
    <s v="No"/>
    <x v="2"/>
    <d v="2015-10-01T02:32:42"/>
    <n v="1"/>
    <s v="137.143.104.94"/>
    <s v="HD9370.5 -- .T546 2013eb"/>
    <s v="338.4/7663200973"/>
    <d v="2013-09-18T00:00:00"/>
  </r>
  <r>
    <x v="6624"/>
    <d v="1899-12-30T00:08:03"/>
    <x v="703"/>
    <x v="0"/>
    <s v="Buffalo"/>
    <x v="111"/>
    <n v="1166322"/>
    <x v="0"/>
    <s v="Architecture"/>
    <s v="9781118418512"/>
    <s v=",1,3,2,153,154,155,151,152,153"/>
    <n v="8"/>
    <m/>
    <m/>
    <s v="No"/>
    <x v="1"/>
    <m/>
    <m/>
    <s v="128.205.114.91"/>
    <s v="NA2000 -- .G76 2013eb"/>
    <n v="720.072"/>
    <d v="2013-04-03T00:00:00"/>
  </r>
  <r>
    <x v="6625"/>
    <d v="1899-12-30T00:05:28"/>
    <x v="1564"/>
    <x v="12"/>
    <s v="potsdam"/>
    <x v="1523"/>
    <n v="1318188"/>
    <x v="3"/>
    <s v="Economics; Business/Management"/>
    <s v="9780520957015"/>
    <s v=",1,100,101,102,98,99,103,104,105,2,106,107,108,109,110,111,112,113,114,115,119,120,121,117,118,116,122,123,124,141,142,143,139,140,144,145,146,147,293,294,295,291,292,296,297,298,225,226,227,223,224,18,19,20,16,17,21"/>
    <n v="57"/>
    <m/>
    <m/>
    <s v="No"/>
    <x v="3"/>
    <m/>
    <m/>
    <s v="137.143.104.94"/>
    <s v="HD9370.5 -- .T546 2013eb"/>
    <s v="338.4/7663200973"/>
    <d v="2013-09-18T00:00:00"/>
  </r>
  <r>
    <x v="6626"/>
    <d v="1899-12-30T01:10:45"/>
    <x v="634"/>
    <x v="11"/>
    <s v="cobleskill"/>
    <x v="11"/>
    <n v="693176"/>
    <x v="0"/>
    <s v="Engineering: Manufacturing; General Works/Reference; Engineering"/>
    <s v="9781118017746"/>
    <s v=",1,2,3,342,343,344,341,340,345,346,347,348,349,350,351,352,353,351,352,353,349,350,354,355,356"/>
    <n v="20"/>
    <m/>
    <m/>
    <s v="No"/>
    <x v="0"/>
    <d v="2015-09-27T20:11:19"/>
    <n v="7"/>
    <s v="137.36.32.34"/>
    <s v="Z246 -- .M43 2012eb"/>
    <s v="686.2/209"/>
    <d v="2011-10-19T00:00:00"/>
  </r>
  <r>
    <x v="6627"/>
    <d v="1899-12-30T00:00:05"/>
    <x v="1565"/>
    <x v="0"/>
    <s v="Buffalo"/>
    <x v="233"/>
    <n v="800719"/>
    <x v="14"/>
    <s v="Religion"/>
    <s v="9780786487035"/>
    <s v=",4,5,6"/>
    <n v="3"/>
    <m/>
    <m/>
    <s v="No"/>
    <x v="0"/>
    <d v="2015-10-01T02:10:50"/>
    <n v="7"/>
    <s v="128.205.114.91"/>
    <s v="BL900 -- .M447 2012eb"/>
    <s v="299/.16"/>
    <d v="2011-10-17T00:00:00"/>
  </r>
  <r>
    <x v="6628"/>
    <d v="1899-12-30T03:25:19"/>
    <x v="13"/>
    <x v="0"/>
    <s v="Buffalo"/>
    <x v="73"/>
    <n v="1119505"/>
    <x v="0"/>
    <s v="Science: Chemistry; Science"/>
    <s v="9781118355015"/>
    <s v=",1,2,3,387,388,389,385,386,387,388,389,386,101,81,82,83,84,85,86,87,88,89,90,91,92,93,94,389,388,387,388,389,388,387,389"/>
    <n v="23"/>
    <m/>
    <m/>
    <s v="No"/>
    <x v="0"/>
    <d v="2015-09-30T00:47:57"/>
    <n v="7"/>
    <s v="128.205.114.91"/>
    <s v="QD251.3 -- .S38 2013eb"/>
    <s v="547/.128"/>
    <d v="2013-01-28T00:00:00"/>
  </r>
  <r>
    <x v="6629"/>
    <d v="1899-12-30T00:07:20"/>
    <x v="709"/>
    <x v="13"/>
    <s v="buffalostate"/>
    <x v="516"/>
    <n v="1840835"/>
    <x v="0"/>
    <s v="Business/Management; Economics"/>
    <s v="9781118950166"/>
    <s v=",1,2,3,94,95,93,92,96,50,51,49,52,48,14,15,16,12,13,29,30,27,28,31"/>
    <n v="23"/>
    <m/>
    <m/>
    <s v="No"/>
    <x v="1"/>
    <m/>
    <m/>
    <s v="136.183.11.43"/>
    <s v="HD9969.S6 .R384 2014"/>
    <n v="338.10923789999998"/>
    <d v="2014-11-10T00:00:00"/>
  </r>
  <r>
    <x v="6630"/>
    <d v="1899-12-30T00:31:09"/>
    <x v="1565"/>
    <x v="0"/>
    <s v="Buffalo"/>
    <x v="233"/>
    <n v="800719"/>
    <x v="14"/>
    <s v="Religion"/>
    <s v="9780786487035"/>
    <s v=",1,2,3,240,241,242,238,239,243,9,10,11,7,8,12,13,14,15,16,17,18,19,20,21,55,57,56,53,54,58,59,125,126,127,123,124,244"/>
    <n v="37"/>
    <m/>
    <m/>
    <s v="No"/>
    <x v="1"/>
    <m/>
    <m/>
    <s v="128.205.114.91"/>
    <s v="BL900 -- .M447 2012eb"/>
    <s v="299/.16"/>
    <d v="2011-10-17T00:00:00"/>
  </r>
  <r>
    <x v="6631"/>
    <d v="1899-12-30T00:00:23"/>
    <x v="1008"/>
    <x v="0"/>
    <s v="Buffalo"/>
    <x v="73"/>
    <n v="1119505"/>
    <x v="0"/>
    <s v="Science: Chemistry; Science"/>
    <s v="9781118355015"/>
    <s v=",1,2,3,387,388,389,385,386,390,391"/>
    <n v="10"/>
    <m/>
    <m/>
    <s v="No"/>
    <x v="0"/>
    <d v="2015-09-28T19:23:07"/>
    <n v="7"/>
    <s v="128.205.114.91"/>
    <s v="QD251.3 -- .S38 2013eb"/>
    <s v="547/.128"/>
    <d v="2013-01-28T00:00:00"/>
  </r>
  <r>
    <x v="6632"/>
    <d v="1899-12-30T01:06:46"/>
    <x v="920"/>
    <x v="0"/>
    <s v="Buffalo"/>
    <x v="111"/>
    <n v="1166322"/>
    <x v="0"/>
    <s v="Architecture"/>
    <s v="9781118418512"/>
    <s v=",175,1,176,177,173,174,2,172,153,154,155,151,152,156,157,158,159,160,161,162,163,164,165,166,167,168,169,170,178,179,181,180,171,175,182,177"/>
    <n v="34"/>
    <m/>
    <m/>
    <s v="No"/>
    <x v="0"/>
    <d v="2015-10-01T00:59:26"/>
    <n v="7"/>
    <s v="128.205.114.91"/>
    <s v="NA2000 -- .G76 2013eb"/>
    <n v="720.072"/>
    <d v="2013-04-03T00:00:00"/>
  </r>
  <r>
    <x v="6633"/>
    <d v="1899-12-30T00:11:21"/>
    <x v="714"/>
    <x v="12"/>
    <s v="potsdam"/>
    <x v="713"/>
    <n v="565082"/>
    <x v="0"/>
    <s v="Education"/>
    <s v="9781118041567"/>
    <s v=",1,2,3,87,88,89,85,86,100,101,102,98,99,97,103,101,102,103,99,100,104,105,97,106,107,108,109,110,111,112,113,115,120,119,118,117,114,116"/>
    <n v="32"/>
    <m/>
    <m/>
    <s v="No"/>
    <x v="0"/>
    <d v="2015-10-01T00:04:02"/>
    <n v="7"/>
    <s v="137.143.104.94"/>
    <s v="LB1775 .P25 2010"/>
    <s v="371.1; 371.102"/>
    <d v="2010-06-08T00:00:00"/>
  </r>
  <r>
    <x v="6634"/>
    <d v="1899-12-30T00:55:04"/>
    <x v="925"/>
    <x v="1"/>
    <s v="brockport"/>
    <x v="151"/>
    <n v="968030"/>
    <x v="0"/>
    <s v="Psychology"/>
    <s v="9781118285138"/>
    <s v=",496,497,498,493,499,500,501,502,503,504,505,506,507,508,509,495"/>
    <n v="16"/>
    <m/>
    <m/>
    <s v="No"/>
    <x v="0"/>
    <d v="2015-10-01T00:27:29"/>
    <n v="7"/>
    <s v="137.21.7.121"/>
    <s v="BF637.C6 -- S85 2013eb"/>
    <n v="158.30000000000001"/>
    <d v="2012-07-10T00:00:00"/>
  </r>
  <r>
    <x v="6635"/>
    <d v="1899-12-30T00:00:07"/>
    <x v="1566"/>
    <x v="1"/>
    <s v="brockport"/>
    <x v="674"/>
    <n v="980956"/>
    <x v="0"/>
    <s v="Psychology; Social Science"/>
    <s v="9781118227251"/>
    <s v=",1,2,3"/>
    <n v="3"/>
    <m/>
    <m/>
    <s v="No"/>
    <x v="1"/>
    <m/>
    <m/>
    <s v="137.21.7.121"/>
    <s v="HV40 -- .T51377 2012eb"/>
    <s v="150.1023/36132"/>
    <d v="2012-07-23T00:00:00"/>
  </r>
  <r>
    <x v="6636"/>
    <d v="1899-12-30T00:17:58"/>
    <x v="925"/>
    <x v="1"/>
    <s v="brockport"/>
    <x v="151"/>
    <n v="968030"/>
    <x v="0"/>
    <s v="Psychology"/>
    <s v="9781118285138"/>
    <s v=",1,2,3,494,495,496,492,493,491,490,474,475,476,472,473,477,478,479,480,481,482,483,484,485,486,487,488,489,493,494"/>
    <n v="28"/>
    <m/>
    <m/>
    <s v="No"/>
    <x v="1"/>
    <m/>
    <m/>
    <s v="137.21.7.121"/>
    <s v="BF637.C6 -- S85 2013eb"/>
    <n v="158.30000000000001"/>
    <d v="2012-07-10T00:00:00"/>
  </r>
  <r>
    <x v="6637"/>
    <d v="1899-12-30T00:12:29"/>
    <x v="714"/>
    <x v="12"/>
    <s v="potsdam"/>
    <x v="713"/>
    <n v="565082"/>
    <x v="0"/>
    <s v="Education"/>
    <s v="9781118041567"/>
    <s v=",92,96,100,97,98,99"/>
    <n v="6"/>
    <m/>
    <m/>
    <s v="No"/>
    <x v="0"/>
    <d v="2015-10-01T00:04:02"/>
    <n v="7"/>
    <s v="137.143.104.94"/>
    <s v="LB1775 .P25 2010"/>
    <s v="371.1; 371.102"/>
    <d v="2010-06-08T00:00:00"/>
  </r>
  <r>
    <x v="6638"/>
    <d v="1899-12-30T00:00:03"/>
    <x v="481"/>
    <x v="1"/>
    <s v="brockport"/>
    <x v="971"/>
    <n v="875791"/>
    <x v="0"/>
    <s v="Education"/>
    <s v="9781118220153"/>
    <s v=",1,2,3"/>
    <n v="3"/>
    <m/>
    <m/>
    <s v="No"/>
    <x v="1"/>
    <m/>
    <m/>
    <s v="137.21.7.121"/>
    <s v="LA229 -- .L48 2012eb"/>
    <s v="378.1/98; 378.198"/>
    <d v="2012-07-20T00:00:00"/>
  </r>
  <r>
    <x v="6639"/>
    <d v="1899-12-30T00:10:53"/>
    <x v="714"/>
    <x v="12"/>
    <s v="potsdam"/>
    <x v="713"/>
    <n v="565082"/>
    <x v="0"/>
    <s v="Education"/>
    <s v="9781118041567"/>
    <s v=",1,2,3,6,7,11,12,87,90,91,88,89,92,90,91,88,89,2,93,94,95"/>
    <n v="16"/>
    <m/>
    <m/>
    <s v="No"/>
    <x v="1"/>
    <m/>
    <m/>
    <s v="137.143.104.94"/>
    <s v="LB1775 .P25 2010"/>
    <s v="371.1; 371.102"/>
    <d v="2010-06-08T00:00:00"/>
  </r>
  <r>
    <x v="6640"/>
    <d v="1899-12-30T00:00:00"/>
    <x v="913"/>
    <x v="1"/>
    <s v="brockport"/>
    <x v="151"/>
    <n v="968030"/>
    <x v="0"/>
    <s v="Psychology"/>
    <s v="9781118285138"/>
    <m/>
    <n v="0"/>
    <m/>
    <s v=",305,306,307,308,309,310,311,312,313,314,315,316,317,318,319,320,321,322,323,324,325,326,327,328,329,330,331,332,385,386,387,388,389,390,391,392,393,394,395,396,397,398,491,492,493,494,495,496,497,498,499,500,501,502,503,504,505,506,547,548,549,550,551,552,553,554,555,556,557,558,559,560,561,562,305,306,307,308,309,310,311,312,313,314,315,316,317,318,319,320,321,322,323,324,325,326,327,328,329,330,331,332,385,386,387,388,389,390,391,392,393,394,395,396,397,398,491,492,493,494,495,496,497,498,499,500,501,502,503,504,505,506,547,548,549,550,551,552,553,554,555,556,557,558,559,560,561,562,305,306,307,308,309,310,311,312,313,314,315,316,317,318,319,320,321,322,323,324,325,326,327,328,329,330,331,332,491,492,493,494,495,496,497,498,499,500,501,502,503,504,505,506,305,306,307,308,309,310,311,312,313,314,315,316,317,318,319,320,321,322,323,324,325,326,327,328,329,330,331,332,491,492,493,494,495,496,497,498,499,500,501,502,503,504,505,506,385,386,387,388,389,390,391,392,393,394,395,396,397,398,547,548,549,550,551,552,553,554,555,556,557,558,559,560,561,562,385,386,387,388,389,390,391,392,393,394,395,396,397,398,547,548,549,550,551,552,553,554,555,556,557,558,559,560,561,562"/>
    <s v="No"/>
    <x v="0"/>
    <d v="2015-09-30T23:52:42"/>
    <n v="7"/>
    <s v="137.21.7.121"/>
    <s v="BF637.C6 -- S85 2013eb"/>
    <n v="158.30000000000001"/>
    <d v="2012-07-10T00:00:00"/>
  </r>
  <r>
    <x v="6641"/>
    <d v="1899-12-30T00:03:11"/>
    <x v="913"/>
    <x v="1"/>
    <s v="brockport"/>
    <x v="151"/>
    <n v="968030"/>
    <x v="0"/>
    <s v="Psychology"/>
    <s v="9781118285138"/>
    <s v=",1,3,2,493,494,495,491,492,496,497,498,499,521,522,523,519,520,518"/>
    <n v="18"/>
    <m/>
    <m/>
    <s v="No"/>
    <x v="1"/>
    <m/>
    <m/>
    <s v="137.21.7.121"/>
    <s v="BF637.C6 -- S85 2013eb"/>
    <n v="158.30000000000001"/>
    <d v="2012-07-10T00:00:00"/>
  </r>
  <r>
    <x v="6642"/>
    <d v="1899-12-30T01:18:38"/>
    <x v="920"/>
    <x v="0"/>
    <s v="Buffalo"/>
    <x v="111"/>
    <n v="1166322"/>
    <x v="0"/>
    <s v="Architecture"/>
    <s v="9781118418512"/>
    <s v=",1,2,3,4,5,6,15,17,16,13,14,18,227,228,229,225,226,319,320,321,317,318,153,154,155,151,152,176,177,178,174,175"/>
    <n v="32"/>
    <m/>
    <m/>
    <s v="No"/>
    <x v="1"/>
    <m/>
    <m/>
    <s v="128.205.114.91"/>
    <s v="NA2000 -- .G76 2013eb"/>
    <n v="720.072"/>
    <d v="2013-04-03T00:00:00"/>
  </r>
  <r>
    <x v="6643"/>
    <d v="1899-12-30T00:00:22"/>
    <x v="1567"/>
    <x v="5"/>
    <s v="erie"/>
    <x v="986"/>
    <n v="1638687"/>
    <x v="0"/>
    <s v="Medicine; Pharmacy; Social Science; Health"/>
    <s v="9781118850152"/>
    <s v=",1,2,3,49,50,51,47,48,52"/>
    <n v="9"/>
    <m/>
    <m/>
    <s v="No"/>
    <x v="0"/>
    <d v="2015-09-26T14:58:27"/>
    <n v="7"/>
    <s v="199.29.6.54"/>
    <s v="RM315 -- .H693 2014eb"/>
    <n v="362.29"/>
    <d v="2014-02-21T00:00:00"/>
  </r>
  <r>
    <x v="6644"/>
    <d v="1899-12-30T00:00:33"/>
    <x v="1568"/>
    <x v="12"/>
    <s v="potsdam"/>
    <x v="1524"/>
    <n v="1562177"/>
    <x v="2"/>
    <s v="Medicine"/>
    <s v="9781317763079"/>
    <s v=",3,4"/>
    <n v="2"/>
    <m/>
    <m/>
    <s v="No"/>
    <x v="2"/>
    <d v="2015-09-30T23:36:53"/>
    <n v="1"/>
    <s v="137.143.104.94"/>
    <s v="RC506 -- .L68 2011eb"/>
    <n v="616.89139999999998"/>
    <d v="2013-11-12T00:00:00"/>
  </r>
  <r>
    <x v="6645"/>
    <d v="1899-12-30T00:00:06"/>
    <x v="13"/>
    <x v="0"/>
    <s v="Buffalo"/>
    <x v="1270"/>
    <n v="1747361"/>
    <x v="5"/>
    <s v="Social Science; History"/>
    <s v="9780814789254"/>
    <s v=",1,2,3,4,5"/>
    <n v="5"/>
    <m/>
    <m/>
    <s v="No"/>
    <x v="1"/>
    <m/>
    <m/>
    <s v="128.205.114.91"/>
    <s v="E184.A24 -- .H35 2014eb"/>
    <s v="305.896/6073"/>
    <d v="2014-08-29T00:00:00"/>
  </r>
  <r>
    <x v="6646"/>
    <d v="1899-12-30T00:07:47"/>
    <x v="1568"/>
    <x v="12"/>
    <s v="potsdam"/>
    <x v="1524"/>
    <n v="1562177"/>
    <x v="2"/>
    <s v="Medicine"/>
    <s v="9781317763079"/>
    <s v=",1,2,3,4,5,6,7,8,9,10,11,12,266,267,265,264,45,48,44,1,47,48,45,46,49,44,2,43,69,70,71,68,67,66,268,269,270,266,267,271,272"/>
    <n v="34"/>
    <m/>
    <m/>
    <s v="No"/>
    <x v="3"/>
    <m/>
    <m/>
    <s v="137.143.104.94"/>
    <s v="RC506 -- .L68 2011eb"/>
    <n v="616.89139999999998"/>
    <d v="2013-11-12T00:00:00"/>
  </r>
  <r>
    <x v="6647"/>
    <d v="1899-12-30T00:00:02"/>
    <x v="1540"/>
    <x v="9"/>
    <s v="trocaire"/>
    <x v="1525"/>
    <n v="1895793"/>
    <x v="0"/>
    <s v="Computer Science/IT"/>
    <s v="9781118949290"/>
    <s v=",1"/>
    <n v="1"/>
    <m/>
    <m/>
    <s v="No"/>
    <x v="1"/>
    <m/>
    <m/>
    <s v="173.225.62.67"/>
    <s v="QA76.8.I863 -- .G786 2015eb"/>
    <n v="4.16"/>
    <d v="2015-02-12T00:00:00"/>
  </r>
  <r>
    <x v="6648"/>
    <d v="1899-12-30T00:00:01"/>
    <x v="1540"/>
    <x v="9"/>
    <s v="trocaire"/>
    <x v="1525"/>
    <n v="1895793"/>
    <x v="0"/>
    <s v="Computer Science/IT"/>
    <s v="9781118949290"/>
    <s v=",1"/>
    <n v="1"/>
    <m/>
    <m/>
    <s v="No"/>
    <x v="1"/>
    <m/>
    <m/>
    <s v="173.225.62.67"/>
    <s v="QA76.8.I863 -- .G786 2015eb"/>
    <n v="4.16"/>
    <d v="2015-02-12T00:00:00"/>
  </r>
  <r>
    <x v="6649"/>
    <d v="1899-12-30T00:00:02"/>
    <x v="1540"/>
    <x v="9"/>
    <s v="trocaire"/>
    <x v="1525"/>
    <n v="1895793"/>
    <x v="0"/>
    <s v="Computer Science/IT"/>
    <s v="9781118949290"/>
    <s v=",1"/>
    <n v="1"/>
    <m/>
    <m/>
    <s v="No"/>
    <x v="1"/>
    <m/>
    <m/>
    <s v="173.225.62.67"/>
    <s v="QA76.8.I863 -- .G786 2015eb"/>
    <n v="4.16"/>
    <d v="2015-02-12T00:00:00"/>
  </r>
  <r>
    <x v="6650"/>
    <d v="1899-12-30T00:00:01"/>
    <x v="1540"/>
    <x v="9"/>
    <s v="trocaire"/>
    <x v="1525"/>
    <n v="1895793"/>
    <x v="0"/>
    <s v="Computer Science/IT"/>
    <s v="9781118949290"/>
    <s v=",1"/>
    <n v="1"/>
    <m/>
    <m/>
    <s v="No"/>
    <x v="1"/>
    <m/>
    <m/>
    <s v="173.225.62.67"/>
    <s v="QA76.8.I863 -- .G786 2015eb"/>
    <n v="4.16"/>
    <d v="2015-02-12T00:00:00"/>
  </r>
  <r>
    <x v="6651"/>
    <d v="1899-12-30T00:00:04"/>
    <x v="1540"/>
    <x v="9"/>
    <s v="trocaire"/>
    <x v="1525"/>
    <n v="1895793"/>
    <x v="0"/>
    <s v="Computer Science/IT"/>
    <s v="9781118949290"/>
    <s v=",1,30,31,32"/>
    <n v="4"/>
    <m/>
    <m/>
    <s v="No"/>
    <x v="1"/>
    <m/>
    <m/>
    <s v="173.225.62.67"/>
    <s v="QA76.8.I863 -- .G786 2015eb"/>
    <n v="4.16"/>
    <d v="2015-02-12T00:00:00"/>
  </r>
  <r>
    <x v="6652"/>
    <d v="1899-12-30T02:39:53"/>
    <x v="13"/>
    <x v="0"/>
    <s v="Buffalo"/>
    <x v="73"/>
    <n v="1119505"/>
    <x v="0"/>
    <s v="Science: Chemistry; Science"/>
    <s v="9781118355015"/>
    <s v=",1,2,3,101,102,103,99,100,104,105,106,95,96,97,93,94,98,99,101,102,103,104,105,387,388,389,385,386,390,104,105,391,106,107,98,95,96,97,93,94,92,393,394,384,1,384,385,386,382,383,387,388,389,390,2,391,392,99,101,100"/>
    <n v="32"/>
    <m/>
    <m/>
    <s v="No"/>
    <x v="0"/>
    <d v="2015-09-30T00:47:57"/>
    <n v="7"/>
    <s v="128.205.114.91"/>
    <s v="QD251.3 -- .S38 2013eb"/>
    <s v="547/.128"/>
    <d v="2013-01-28T00:00:00"/>
  </r>
  <r>
    <x v="6653"/>
    <d v="1899-12-30T00:00:49"/>
    <x v="703"/>
    <x v="0"/>
    <s v="Buffalo"/>
    <x v="111"/>
    <n v="1166322"/>
    <x v="0"/>
    <s v="Architecture"/>
    <s v="9781118418512"/>
    <s v=",1,3,2,15,16,17,13,14,11,153,154,155,151,152,156,157,158,159,185,186,187,183,184"/>
    <n v="23"/>
    <m/>
    <m/>
    <s v="No"/>
    <x v="1"/>
    <m/>
    <m/>
    <s v="128.205.114.91"/>
    <s v="NA2000 -- .G76 2013eb"/>
    <n v="720.072"/>
    <d v="2013-04-03T00:00:00"/>
  </r>
  <r>
    <x v="6654"/>
    <d v="1899-12-30T00:26:54"/>
    <x v="906"/>
    <x v="1"/>
    <s v="brockport"/>
    <x v="151"/>
    <n v="968030"/>
    <x v="0"/>
    <s v="Psychology"/>
    <s v="9781118285138"/>
    <s v=",550,551,552,553,554,555,556,557,558,559,560,561,562,563,564,565,566"/>
    <n v="17"/>
    <m/>
    <m/>
    <s v="No"/>
    <x v="0"/>
    <d v="2015-09-30T21:45:52"/>
    <n v="7"/>
    <s v="137.21.7.121"/>
    <s v="BF637.C6 -- S85 2013eb"/>
    <n v="158.30000000000001"/>
    <d v="2012-07-10T00:00:00"/>
  </r>
  <r>
    <x v="6655"/>
    <d v="1899-12-30T00:00:00"/>
    <x v="1569"/>
    <x v="7"/>
    <s v="oneonta"/>
    <x v="480"/>
    <n v="1732137"/>
    <x v="3"/>
    <s v="Social Science"/>
    <s v="9780520959286"/>
    <m/>
    <n v="0"/>
    <m/>
    <s v=",16,17,18,19,20,21,22,23,24,25,26,27,28,29,30,31,32,33,34,35,36,37,38,39,40,41,42,43,44,45,46,47,48,49,50,51,52,53,54"/>
    <s v="No"/>
    <x v="2"/>
    <d v="2015-09-30T21:40:15"/>
    <n v="1"/>
    <s v="137.141.13.2"/>
    <s v="HQ759.4 -- .E736 2015eb"/>
    <n v="306.87430000000001"/>
    <d v="2015-02-06T00:00:00"/>
  </r>
  <r>
    <x v="6656"/>
    <d v="1899-12-30T00:04:39"/>
    <x v="1569"/>
    <x v="7"/>
    <s v="oneonta"/>
    <x v="480"/>
    <n v="1732137"/>
    <x v="3"/>
    <s v="Social Science"/>
    <s v="9780520959286"/>
    <s v=",1,2,3,4,5,6,7,8,9,10,11,23,24,25,21,22,26,55,56,57,53,54"/>
    <n v="22"/>
    <m/>
    <m/>
    <s v="No"/>
    <x v="3"/>
    <m/>
    <m/>
    <s v="137.141.13.2"/>
    <s v="HQ759.4 -- .E736 2015eb"/>
    <n v="306.87430000000001"/>
    <d v="2015-02-06T00:00:00"/>
  </r>
  <r>
    <x v="6657"/>
    <d v="1899-12-30T00:12:04"/>
    <x v="906"/>
    <x v="1"/>
    <s v="brockport"/>
    <x v="151"/>
    <n v="968030"/>
    <x v="0"/>
    <s v="Psychology"/>
    <s v="9781118285138"/>
    <s v=",2,1,3,547,548,549,545,546,543,544"/>
    <n v="10"/>
    <m/>
    <m/>
    <s v="No"/>
    <x v="1"/>
    <m/>
    <m/>
    <s v="137.21.7.121"/>
    <s v="BF637.C6 -- S85 2013eb"/>
    <n v="158.30000000000001"/>
    <d v="2012-07-10T00:00:00"/>
  </r>
  <r>
    <x v="6658"/>
    <d v="1899-12-30T00:00:00"/>
    <x v="1208"/>
    <x v="7"/>
    <s v="oneonta"/>
    <x v="1526"/>
    <n v="1180372"/>
    <x v="0"/>
    <s v="Philosophy"/>
    <s v="9780745678870"/>
    <s v=",4"/>
    <n v="1"/>
    <m/>
    <m/>
    <s v="No"/>
    <x v="2"/>
    <d v="2015-09-30T21:30:39"/>
    <n v="1"/>
    <s v="137.141.13.2"/>
    <s v="BD436 -- .F4713 2013eb"/>
    <n v="128.46"/>
    <d v="2013-04-22T00:00:00"/>
  </r>
  <r>
    <x v="6659"/>
    <d v="1899-12-30T00:13:19"/>
    <x v="1208"/>
    <x v="7"/>
    <s v="oneonta"/>
    <x v="1526"/>
    <n v="1180372"/>
    <x v="0"/>
    <s v="Philosophy"/>
    <s v="9780745678870"/>
    <s v=",1,2,3"/>
    <n v="3"/>
    <m/>
    <m/>
    <s v="No"/>
    <x v="3"/>
    <m/>
    <m/>
    <s v="137.141.13.2"/>
    <s v="BD436 -- .F4713 2013eb"/>
    <n v="128.46"/>
    <d v="2013-04-22T00:00:00"/>
  </r>
  <r>
    <x v="6660"/>
    <d v="1899-12-30T01:06:54"/>
    <x v="975"/>
    <x v="0"/>
    <s v="Buffalo"/>
    <x v="73"/>
    <n v="1119505"/>
    <x v="0"/>
    <s v="Science: Chemistry; Science"/>
    <s v="9781118355015"/>
    <s v=",391,103,104,390,391,94,93,92,91,90,89,88,87,86,85,84,83,82,103,104,105,385,386,390,104,105,385,386,390,391,385,104,105,83,82,81,80,79,78,77,104,105,390,386,104,105,78,77,385,386,390,391,392"/>
    <n v="26"/>
    <m/>
    <m/>
    <s v="No"/>
    <x v="0"/>
    <d v="2015-09-30T20:53:39"/>
    <n v="7"/>
    <s v="128.205.114.91"/>
    <s v="QD251.3 -- .S38 2013eb"/>
    <s v="547/.128"/>
    <d v="2013-01-28T00:00:00"/>
  </r>
  <r>
    <x v="6661"/>
    <d v="1899-12-30T00:10:03"/>
    <x v="975"/>
    <x v="0"/>
    <s v="Buffalo"/>
    <x v="73"/>
    <n v="1119505"/>
    <x v="0"/>
    <s v="Science: Chemistry; Science"/>
    <s v="9781118355015"/>
    <s v=",1,2,3,101,102,103,99,104,100,98,97,96,95,94,93,387,388,389,385,386,390"/>
    <n v="21"/>
    <m/>
    <m/>
    <s v="No"/>
    <x v="1"/>
    <m/>
    <m/>
    <s v="128.205.114.91"/>
    <s v="QD251.3 -- .S38 2013eb"/>
    <s v="547/.128"/>
    <d v="2013-01-28T00:00:00"/>
  </r>
  <r>
    <x v="6662"/>
    <d v="1899-12-30T00:00:47"/>
    <x v="1570"/>
    <x v="7"/>
    <s v="oneonta"/>
    <x v="496"/>
    <n v="1711046"/>
    <x v="3"/>
    <s v="Fine Arts"/>
    <s v="9780520958944"/>
    <s v=",1,2,3,4,5,6,7,8,9,10,11,12"/>
    <n v="12"/>
    <m/>
    <m/>
    <s v="No"/>
    <x v="3"/>
    <m/>
    <m/>
    <s v="137.141.13.2"/>
    <s v="ML3502.K6 -- .L54 2015eb"/>
    <n v="781.63095195000005"/>
    <d v="2014-11-24T00:00:00"/>
  </r>
  <r>
    <x v="6663"/>
    <d v="1899-12-30T00:03:47"/>
    <x v="1242"/>
    <x v="1"/>
    <s v="brockport"/>
    <x v="151"/>
    <n v="968030"/>
    <x v="0"/>
    <s v="Psychology"/>
    <s v="9781118285138"/>
    <s v=",10,12,11,13,14,15,16,17,18,19,20,21,22,23,25,25,25,25,25,26,27,23,24,28,22,21,19,20"/>
    <n v="19"/>
    <m/>
    <m/>
    <s v="No"/>
    <x v="0"/>
    <d v="2015-09-30T20:18:37"/>
    <n v="7"/>
    <s v="137.21.7.121"/>
    <s v="BF637.C6 -- S85 2013eb"/>
    <n v="158.30000000000001"/>
    <d v="2012-07-10T00:00:00"/>
  </r>
  <r>
    <x v="6664"/>
    <d v="1899-12-30T00:57:37"/>
    <x v="1210"/>
    <x v="1"/>
    <s v="brockport"/>
    <x v="151"/>
    <n v="968030"/>
    <x v="0"/>
    <s v="Psychology"/>
    <s v="9781118285138"/>
    <s v=",1,2,3,413,414,415,411,412,416,417,418,420,421,422,419,429,430,431,427,428,385,386,387,383,384,388,389,390,391,392,393,394,395,396,378,379,380,376,377,381,397,398,399,400,430,431,427,428,432,433,434,435,436,437,438,439,440"/>
    <n v="53"/>
    <m/>
    <m/>
    <s v="No"/>
    <x v="0"/>
    <d v="2015-09-29T01:32:57"/>
    <n v="7"/>
    <s v="137.21.7.121"/>
    <s v="BF637.C6 -- S85 2013eb"/>
    <n v="158.30000000000001"/>
    <d v="2012-07-10T00:00:00"/>
  </r>
  <r>
    <x v="6665"/>
    <d v="1899-12-30T03:07:48"/>
    <x v="756"/>
    <x v="1"/>
    <s v="brockport"/>
    <x v="151"/>
    <n v="968030"/>
    <x v="0"/>
    <s v="Psychology"/>
    <s v="9781118285138"/>
    <s v=",552,552,553,553,554,554,555,555,556,556,557,557,558,558,559,559,560,560,561,561,563,563,562,562,558,557,556,555,554,553,552,551,550,549,548,547,546,545,550,551,552,553,554,555,556,557,552,551,550,549,548,547,546,545,550,551,552,107,107,108,109,106,108,109,106,105,110,110,105,112,114,110,112,114,111,113,111,113,109,108,107,113,114,115,112,115,116,116,111,116,547,548,549,545,546,550,545,550,551,552,553,554,555,556,557,552,550,551,549,554,555,556,557,558,559"/>
    <n v="31"/>
    <m/>
    <m/>
    <s v="No"/>
    <x v="0"/>
    <d v="2015-09-30T20:08:58"/>
    <n v="7"/>
    <s v="137.21.7.121"/>
    <s v="BF637.C6 -- S85 2013eb"/>
    <n v="158.30000000000001"/>
    <d v="2012-07-10T00:00:00"/>
  </r>
  <r>
    <x v="6666"/>
    <d v="1899-12-30T00:11:25"/>
    <x v="756"/>
    <x v="1"/>
    <s v="brockport"/>
    <x v="151"/>
    <n v="968030"/>
    <x v="0"/>
    <s v="Psychology"/>
    <s v="9781118285138"/>
    <s v=",1,2,2,3,1,3,2,2,547,547,548,549,548,545,549,546,546,550,550,551,546,551"/>
    <n v="10"/>
    <m/>
    <m/>
    <s v="No"/>
    <x v="1"/>
    <m/>
    <m/>
    <s v="137.21.7.121"/>
    <s v="BF637.C6 -- S85 2013eb"/>
    <n v="158.30000000000001"/>
    <d v="2012-07-10T00:00:00"/>
  </r>
  <r>
    <x v="6667"/>
    <d v="1899-12-30T00:21:41"/>
    <x v="1242"/>
    <x v="1"/>
    <s v="brockport"/>
    <x v="151"/>
    <n v="968030"/>
    <x v="0"/>
    <s v="Psychology"/>
    <s v="9781118285138"/>
    <s v=",1,2,3,7,8,9,5,6"/>
    <n v="8"/>
    <m/>
    <m/>
    <s v="No"/>
    <x v="1"/>
    <m/>
    <m/>
    <s v="137.21.7.121"/>
    <s v="BF637.C6 -- S85 2013eb"/>
    <n v="158.30000000000001"/>
    <d v="2012-07-10T00:00:00"/>
  </r>
  <r>
    <x v="6668"/>
    <d v="1899-12-30T00:16:18"/>
    <x v="941"/>
    <x v="13"/>
    <s v="buffalostate"/>
    <x v="916"/>
    <n v="1925073"/>
    <x v="4"/>
    <s v="Education"/>
    <s v="9781462521128"/>
    <s v=",25,26,27,28,29,17,10,21,19,330,331,332,328,329,327,337,338,336,335,335,333,226,184,185,186,182,183,187,338,337,28,29,30,31,32,33,34,35,36,37,38,39,40,41,42,43,44,45,46,47,48,49,50"/>
    <n v="48"/>
    <m/>
    <m/>
    <s v="No"/>
    <x v="2"/>
    <d v="2015-09-30T19:18:15"/>
    <n v="1"/>
    <s v="136.183.11.43"/>
    <s v="LB1050.46 .M35 2015"/>
    <n v="372.48"/>
    <d v="2015-06-23T00:00:00"/>
  </r>
  <r>
    <x v="6669"/>
    <d v="1899-12-30T00:08:48"/>
    <x v="941"/>
    <x v="13"/>
    <s v="buffalostate"/>
    <x v="916"/>
    <n v="1925073"/>
    <x v="4"/>
    <s v="Education"/>
    <s v="9781462521128"/>
    <s v=",1,2,3,4,5,6,7,8,9,10,11,12,13,14,15,16,17,18,19,20,21,22,23,24"/>
    <n v="24"/>
    <m/>
    <m/>
    <s v="No"/>
    <x v="3"/>
    <m/>
    <m/>
    <s v="136.183.11.43"/>
    <s v="LB1050.46 .M35 2015"/>
    <n v="372.48"/>
    <d v="2015-06-23T00:00:00"/>
  </r>
  <r>
    <x v="6670"/>
    <d v="1899-12-30T00:01:34"/>
    <x v="26"/>
    <x v="6"/>
    <s v="sjfc"/>
    <x v="1393"/>
    <n v="894258"/>
    <x v="0"/>
    <s v="Geography/Travel"/>
    <s v="9781118333709"/>
    <s v=",1,3,2,3,2,1,19,19,20,17,2,20,18,18,240,240,241,241,242,242,243,243,239"/>
    <n v="12"/>
    <m/>
    <m/>
    <s v="No"/>
    <x v="1"/>
    <m/>
    <m/>
    <s v="149.69.254.57"/>
    <s v="DC708 .P38"/>
    <n v="914.436104"/>
    <d v="2012-07-05T00:00:00"/>
  </r>
  <r>
    <x v="6671"/>
    <d v="1899-12-30T00:01:28"/>
    <x v="595"/>
    <x v="14"/>
    <s v="houghton"/>
    <x v="626"/>
    <n v="877713"/>
    <x v="6"/>
    <s v="History"/>
    <s v="9781438138596"/>
    <s v=",1,2,3,8,10,9,7,6,14,15,16,12,13,2,14,15,16,12,13,17,18,19,20,13,12,10,11"/>
    <n v="18"/>
    <m/>
    <m/>
    <s v="No"/>
    <x v="1"/>
    <m/>
    <m/>
    <s v="96.43.64.169"/>
    <s v="DT58 -- .B96 2012eb"/>
    <n v="932.00300000000004"/>
    <d v="2012-01-01T00:00:00"/>
  </r>
  <r>
    <x v="6672"/>
    <d v="1899-12-30T03:24:16"/>
    <x v="13"/>
    <x v="0"/>
    <s v="Buffalo"/>
    <x v="73"/>
    <n v="1119505"/>
    <x v="0"/>
    <s v="Science: Chemistry; Science"/>
    <s v="9781118355015"/>
    <s v=",1,2,3,80,81,82,78,79,101,102,103,99,100,104,80,81,82,78,79,83,84,85,86,87,101,102,103,99,100,104,65,66,67,63,64,62,61,60,59,58,57,56,55,54,53,52,51,50,60,61,62,63,64,66,67,68,103,99,100,104,88,81,80,79,87,88,89,90,91,92,93,94,95,96,97,98,99,100,101,102,103,104,387,388,389,385,386,390,391,392,386,391,392,386,385,94,95,96,92,93,101,102,99,103,100,104,387,388,389,385,386,390,391,386,385,384,99"/>
    <n v="58"/>
    <m/>
    <m/>
    <s v="No"/>
    <x v="0"/>
    <d v="2015-09-30T00:47:57"/>
    <n v="7"/>
    <s v="128.205.114.91"/>
    <s v="QD251.3 -- .S38 2013eb"/>
    <s v="547/.128"/>
    <d v="2013-01-28T00:00:00"/>
  </r>
  <r>
    <x v="6673"/>
    <d v="1899-12-30T00:01:27"/>
    <x v="955"/>
    <x v="1"/>
    <s v="brockport"/>
    <x v="151"/>
    <n v="968030"/>
    <x v="0"/>
    <s v="Psychology"/>
    <s v="9781118285138"/>
    <s v=",390,391,392,393,394,395,396,397,398,399,400,401"/>
    <n v="12"/>
    <m/>
    <m/>
    <s v="No"/>
    <x v="0"/>
    <d v="2015-09-30T16:43:23"/>
    <n v="7"/>
    <s v="137.21.7.121"/>
    <s v="BF637.C6 -- S85 2013eb"/>
    <n v="158.30000000000001"/>
    <d v="2012-07-10T00:00:00"/>
  </r>
  <r>
    <x v="6674"/>
    <d v="1899-12-30T00:11:28"/>
    <x v="955"/>
    <x v="1"/>
    <s v="brockport"/>
    <x v="151"/>
    <n v="968030"/>
    <x v="0"/>
    <s v="Psychology"/>
    <s v="9781118285138"/>
    <s v=",1,2,3,54,62,63,64,60,61,385,386,387,384,383,388,397,392,391,393,390,389"/>
    <n v="21"/>
    <m/>
    <m/>
    <s v="No"/>
    <x v="1"/>
    <m/>
    <m/>
    <s v="137.21.7.121"/>
    <s v="BF637.C6 -- S85 2013eb"/>
    <n v="158.30000000000001"/>
    <d v="2012-07-10T00:00:00"/>
  </r>
  <r>
    <x v="6675"/>
    <d v="1899-12-30T00:00:00"/>
    <x v="935"/>
    <x v="15"/>
    <s v="morrisville"/>
    <x v="786"/>
    <n v="1524159"/>
    <x v="2"/>
    <s v="Social Science"/>
    <s v="9781135949747"/>
    <m/>
    <n v="0"/>
    <m/>
    <m/>
    <s v="No"/>
    <x v="2"/>
    <d v="2015-09-30T16:22:45"/>
    <n v="1"/>
    <s v="136.204.32.67"/>
    <s v="HM742 -- .S6281963 2014eb"/>
    <s v="302.23/1"/>
    <d v="2013-10-30T00:00:00"/>
  </r>
  <r>
    <x v="6676"/>
    <d v="1899-12-30T00:00:38"/>
    <x v="935"/>
    <x v="15"/>
    <s v="morrisville"/>
    <x v="786"/>
    <n v="1524159"/>
    <x v="2"/>
    <s v="Social Science"/>
    <s v="9781135949747"/>
    <s v=",1,102,103,104,100,101,105,106,2,146,147,148,144,145"/>
    <n v="14"/>
    <m/>
    <m/>
    <s v="No"/>
    <x v="3"/>
    <m/>
    <m/>
    <s v="136.204.32.67"/>
    <s v="HM742 -- .S6281963 2014eb"/>
    <s v="302.23/1"/>
    <d v="2013-10-30T00:00:00"/>
  </r>
  <r>
    <x v="6677"/>
    <d v="1899-12-30T00:56:54"/>
    <x v="13"/>
    <x v="0"/>
    <s v="Buffalo"/>
    <x v="73"/>
    <n v="1119505"/>
    <x v="0"/>
    <s v="Science: Chemistry; Science"/>
    <s v="9781118355015"/>
    <s v=",1,2,3,100,101,102,98,99,103,104,97,96,94,95,89,90,91,87,88,92,387,388,389,385,386,390,391,391,385,95,96,97,94,93,92,91,90,89,88,87,86,85,84,83,82,81,80,79,78,385,391,385,392,386,385,390,391,384"/>
    <n v="39"/>
    <m/>
    <m/>
    <s v="No"/>
    <x v="0"/>
    <d v="2015-09-30T00:47:57"/>
    <n v="7"/>
    <s v="128.205.114.91"/>
    <s v="QD251.3 -- .S38 2013eb"/>
    <s v="547/.128"/>
    <d v="2013-01-28T00:00:00"/>
  </r>
  <r>
    <x v="6678"/>
    <d v="1899-12-30T00:17:25"/>
    <x v="1571"/>
    <x v="12"/>
    <s v="potsdam"/>
    <x v="1527"/>
    <n v="1674834"/>
    <x v="5"/>
    <s v="Law"/>
    <s v="9780814708477"/>
    <s v=",60,61,62,63,64,65,66,67,68,69,70,72,73,78,80,76,77,81,82,83,84,85,86,87,88,89,90,91,92,93,94,95,96,97,98,99,100,101,102,103,122,123,124,120,121,125,126,127,129,130,131,132,133,134,135,136,137"/>
    <n v="57"/>
    <m/>
    <m/>
    <s v="No"/>
    <x v="0"/>
    <d v="2015-09-30T15:59:51"/>
    <n v="7"/>
    <s v="137.143.104.94"/>
    <s v="KF537 -- .S73 2014eb"/>
    <s v="346.7301/663"/>
    <d v="2014-05-16T00:00:00"/>
  </r>
  <r>
    <x v="6679"/>
    <d v="1899-12-30T00:05:14"/>
    <x v="1571"/>
    <x v="12"/>
    <s v="potsdam"/>
    <x v="1527"/>
    <n v="1674834"/>
    <x v="5"/>
    <s v="Law"/>
    <s v="9780814708477"/>
    <s v=",1,2,3,43,44,41,46,42,47,48,49,50,52,53,54,55,51,56,57,58,59"/>
    <n v="21"/>
    <m/>
    <m/>
    <s v="No"/>
    <x v="3"/>
    <m/>
    <m/>
    <s v="137.143.104.94"/>
    <s v="KF537 -- .S73 2014eb"/>
    <s v="346.7301/663"/>
    <d v="2014-05-16T00:00:00"/>
  </r>
  <r>
    <x v="6680"/>
    <d v="1899-12-30T00:00:47"/>
    <x v="1572"/>
    <x v="16"/>
    <s v="monroecc"/>
    <x v="676"/>
    <n v="1745053"/>
    <x v="0"/>
    <s v="Military Science"/>
    <s v="9780745685359"/>
    <s v=",1,2,3,4,5,6,7,8,9,10"/>
    <n v="10"/>
    <m/>
    <m/>
    <s v="No"/>
    <x v="3"/>
    <m/>
    <m/>
    <s v="150.160.200.114"/>
    <s v="UG1242.D7 .K384 2014"/>
    <n v="355.41097300000001"/>
    <d v="2014-07-17T00:00:00"/>
  </r>
  <r>
    <x v="6681"/>
    <d v="1899-12-30T00:46:48"/>
    <x v="13"/>
    <x v="0"/>
    <s v="Buffalo"/>
    <x v="73"/>
    <n v="1119505"/>
    <x v="0"/>
    <s v="Science: Chemistry; Science"/>
    <s v="9781118355015"/>
    <s v=",1,2,3,80,81,82,78,79,83,84,387,388,389,385,386,390,391,392,95,96"/>
    <n v="20"/>
    <m/>
    <m/>
    <s v="No"/>
    <x v="0"/>
    <d v="2015-09-30T00:47:57"/>
    <n v="7"/>
    <s v="128.205.114.91"/>
    <s v="QD251.3 -- .S38 2013eb"/>
    <s v="547/.128"/>
    <d v="2013-01-28T00:00:00"/>
  </r>
  <r>
    <x v="6682"/>
    <d v="1899-12-30T00:13:05"/>
    <x v="560"/>
    <x v="1"/>
    <s v="brockport"/>
    <x v="151"/>
    <n v="968030"/>
    <x v="0"/>
    <s v="Psychology"/>
    <s v="9781118285138"/>
    <s v=",390,391,392,393,394,395,390,396,397,398,399,310,311,312,308,309"/>
    <n v="15"/>
    <m/>
    <m/>
    <s v="No"/>
    <x v="0"/>
    <d v="2015-09-30T15:10:15"/>
    <n v="7"/>
    <s v="137.21.7.121"/>
    <s v="BF637.C6 -- S85 2013eb"/>
    <n v="158.30000000000001"/>
    <d v="2012-07-10T00:00:00"/>
  </r>
  <r>
    <x v="6683"/>
    <d v="1899-12-30T00:11:05"/>
    <x v="560"/>
    <x v="1"/>
    <s v="brockport"/>
    <x v="151"/>
    <n v="968030"/>
    <x v="0"/>
    <s v="Psychology"/>
    <s v="9781118285138"/>
    <s v=",1,2,3,385,386,387,383,384,381,382,379,388,389,390,391,388,389,390,651,650,649,648,388,389"/>
    <n v="19"/>
    <m/>
    <m/>
    <s v="No"/>
    <x v="1"/>
    <m/>
    <m/>
    <s v="137.21.7.121"/>
    <s v="BF637.C6 -- S85 2013eb"/>
    <n v="158.30000000000001"/>
    <d v="2012-07-10T00:00:00"/>
  </r>
  <r>
    <x v="6684"/>
    <d v="1899-12-30T00:00:00"/>
    <x v="1040"/>
    <x v="16"/>
    <s v="monroecc"/>
    <x v="1528"/>
    <n v="1977647"/>
    <x v="0"/>
    <s v="Business/Management; Economics"/>
    <s v="9781119124917"/>
    <m/>
    <n v="0"/>
    <m/>
    <m/>
    <s v="Yes"/>
    <x v="0"/>
    <d v="2015-09-30T14:26:30"/>
    <n v="7"/>
    <s v="150.160.200.114"/>
    <s v="HG4529.5 .G736 2015"/>
    <n v="332.024"/>
    <d v="2015-08-10T00:00:00"/>
  </r>
  <r>
    <x v="6684"/>
    <d v="1899-12-30T00:00:00"/>
    <x v="1040"/>
    <x v="16"/>
    <s v="monroecc"/>
    <x v="1528"/>
    <n v="1977647"/>
    <x v="0"/>
    <s v="Business/Management; Economics"/>
    <s v="9781119124917"/>
    <m/>
    <n v="0"/>
    <m/>
    <m/>
    <s v="No"/>
    <x v="0"/>
    <d v="2015-09-30T14:26:30"/>
    <n v="7"/>
    <s v="150.160.200.114"/>
    <s v="HG4529.5 .G736 2015"/>
    <n v="332.024"/>
    <d v="2015-08-10T00:00:00"/>
  </r>
  <r>
    <x v="6685"/>
    <d v="1899-12-30T00:00:12"/>
    <x v="1040"/>
    <x v="16"/>
    <s v="monroecc"/>
    <x v="1529"/>
    <n v="1896049"/>
    <x v="0"/>
    <s v="Medicine"/>
    <s v="9781119074809"/>
    <s v=",7,8,7,9,8,9,10,10,11,8,9,11,6,10,7"/>
    <n v="6"/>
    <m/>
    <m/>
    <s v="No"/>
    <x v="0"/>
    <d v="2015-09-30T13:58:06"/>
    <n v="7"/>
    <s v="150.160.200.114"/>
    <s v="RC488"/>
    <s v="616.89/152"/>
    <d v="2015-02-24T00:00:00"/>
  </r>
  <r>
    <x v="6686"/>
    <d v="1899-12-30T00:00:00"/>
    <x v="1040"/>
    <x v="16"/>
    <s v="monroecc"/>
    <x v="1327"/>
    <n v="1895918"/>
    <x v="0"/>
    <s v="Mathematics"/>
    <s v="9781119015314"/>
    <m/>
    <n v="0"/>
    <m/>
    <m/>
    <s v="Yes"/>
    <x v="0"/>
    <d v="2015-09-30T13:55:04"/>
    <n v="7"/>
    <s v="150.160.200.114"/>
    <s v="QA303.2 .M384 2015"/>
    <n v="515"/>
    <d v="2015-07-28T00:00:00"/>
  </r>
  <r>
    <x v="6686"/>
    <d v="1899-12-30T00:00:00"/>
    <x v="1040"/>
    <x v="16"/>
    <s v="monroecc"/>
    <x v="1327"/>
    <n v="1895918"/>
    <x v="0"/>
    <s v="Mathematics"/>
    <s v="9781119015314"/>
    <m/>
    <n v="0"/>
    <m/>
    <m/>
    <s v="No"/>
    <x v="0"/>
    <d v="2015-09-30T13:55:04"/>
    <n v="7"/>
    <s v="150.160.200.114"/>
    <s v="QA303.2 .M384 2015"/>
    <n v="515"/>
    <d v="2015-07-28T00:00:00"/>
  </r>
  <r>
    <x v="6687"/>
    <d v="1899-12-30T00:00:05"/>
    <x v="1040"/>
    <x v="16"/>
    <s v="monroecc"/>
    <x v="1530"/>
    <n v="2050950"/>
    <x v="0"/>
    <s v="Medicine"/>
    <s v="9781118913802"/>
    <s v=",1,2,2,3,3"/>
    <n v="3"/>
    <m/>
    <m/>
    <s v="No"/>
    <x v="3"/>
    <m/>
    <m/>
    <s v="150.160.200.114"/>
    <s v="RK34.U6 .B384 2015"/>
    <n v="617.60072000000002"/>
    <d v="2015-07-27T00:00:00"/>
  </r>
  <r>
    <x v="6688"/>
    <d v="1899-12-30T00:01:26"/>
    <x v="1040"/>
    <x v="16"/>
    <s v="monroecc"/>
    <x v="1531"/>
    <n v="2030721"/>
    <x v="0"/>
    <s v="Medicine"/>
    <s v="9781118886243"/>
    <s v=",1,2,2,3,3,1,2,2,6,7,6,8,7,4,8,5,5,14,15,12,13,13,15,16,14,17,16,18,19,18,19,17,20,20"/>
    <n v="17"/>
    <m/>
    <m/>
    <s v="No"/>
    <x v="3"/>
    <m/>
    <m/>
    <s v="150.160.200.114"/>
    <s v="RK658 .J384 2015"/>
    <n v="617.69200000000001"/>
    <d v="2015-07-27T00:00:00"/>
  </r>
  <r>
    <x v="6689"/>
    <d v="1899-12-30T00:01:51"/>
    <x v="1040"/>
    <x v="16"/>
    <s v="monroecc"/>
    <x v="1327"/>
    <n v="1895918"/>
    <x v="0"/>
    <s v="Mathematics"/>
    <s v="9781119015314"/>
    <s v=",1,2,3,2,3,2,2,1"/>
    <n v="3"/>
    <m/>
    <m/>
    <s v="No"/>
    <x v="3"/>
    <m/>
    <m/>
    <s v="150.160.200.114"/>
    <s v="QA303.2 .M384 2015"/>
    <n v="515"/>
    <d v="2015-07-28T00:00:00"/>
  </r>
  <r>
    <x v="6690"/>
    <d v="1899-12-30T00:35:36"/>
    <x v="1040"/>
    <x v="16"/>
    <s v="monroecc"/>
    <x v="1528"/>
    <n v="1977647"/>
    <x v="0"/>
    <s v="Business/Management; Economics"/>
    <s v="9781119124917"/>
    <s v=",1,2,2,3,3,1,2,2"/>
    <n v="3"/>
    <m/>
    <m/>
    <s v="No"/>
    <x v="3"/>
    <m/>
    <m/>
    <s v="150.160.200.114"/>
    <s v="HG4529.5 .G736 2015"/>
    <n v="332.024"/>
    <d v="2015-08-10T00:00:00"/>
  </r>
  <r>
    <x v="6691"/>
    <d v="1899-12-30T00:07:31"/>
    <x v="1040"/>
    <x v="16"/>
    <s v="monroecc"/>
    <x v="1529"/>
    <n v="1896049"/>
    <x v="0"/>
    <s v="Medicine"/>
    <s v="9781119074809"/>
    <s v=",1,2,2,3,3,1,2,2,4,5,5,6,4,6"/>
    <n v="6"/>
    <m/>
    <m/>
    <s v="No"/>
    <x v="3"/>
    <m/>
    <m/>
    <s v="150.160.200.114"/>
    <s v="RC488"/>
    <s v="616.89/152"/>
    <d v="2015-02-24T00:00:00"/>
  </r>
  <r>
    <x v="6692"/>
    <d v="1899-12-30T00:00:00"/>
    <x v="1040"/>
    <x v="16"/>
    <s v="monroecc"/>
    <x v="1532"/>
    <n v="1964140"/>
    <x v="0"/>
    <s v="Computer Science/IT"/>
    <s v="9781119119883"/>
    <m/>
    <n v="0"/>
    <m/>
    <m/>
    <s v="Yes"/>
    <x v="0"/>
    <d v="2015-09-30T13:48:45"/>
    <n v="7"/>
    <s v="150.160.200.114"/>
    <s v="QA76.73.J38 .M384 2015"/>
    <n v="5.133"/>
    <d v="2015-08-05T00:00:00"/>
  </r>
  <r>
    <x v="6692"/>
    <d v="1899-12-30T00:00:00"/>
    <x v="1040"/>
    <x v="16"/>
    <s v="monroecc"/>
    <x v="1532"/>
    <n v="1964140"/>
    <x v="0"/>
    <s v="Computer Science/IT"/>
    <s v="9781119119883"/>
    <m/>
    <n v="0"/>
    <m/>
    <m/>
    <s v="No"/>
    <x v="0"/>
    <d v="2015-09-30T13:48:45"/>
    <n v="7"/>
    <s v="150.160.200.114"/>
    <s v="QA76.73.J38 .M384 2015"/>
    <n v="5.133"/>
    <d v="2015-08-05T00:00:00"/>
  </r>
  <r>
    <x v="6693"/>
    <d v="1899-12-30T00:00:27"/>
    <x v="1040"/>
    <x v="16"/>
    <s v="monroecc"/>
    <x v="1532"/>
    <n v="1964140"/>
    <x v="0"/>
    <s v="Computer Science/IT"/>
    <s v="9781119119883"/>
    <s v=",1,2,2,3,3,1,2,2"/>
    <n v="3"/>
    <m/>
    <m/>
    <s v="No"/>
    <x v="3"/>
    <m/>
    <m/>
    <s v="150.160.200.114"/>
    <s v="QA76.73.J38 .M384 2015"/>
    <n v="5.133"/>
    <d v="2015-08-05T00:00:00"/>
  </r>
  <r>
    <x v="6694"/>
    <d v="1899-12-30T00:00:00"/>
    <x v="1040"/>
    <x v="16"/>
    <s v="monroecc"/>
    <x v="1533"/>
    <n v="1986942"/>
    <x v="0"/>
    <s v="Medicine"/>
    <s v="9781118925188"/>
    <m/>
    <n v="0"/>
    <m/>
    <m/>
    <s v="Yes"/>
    <x v="0"/>
    <d v="2015-09-30T13:21:37"/>
    <n v="7"/>
    <s v="150.160.200.114"/>
    <s v="RK55 .C5"/>
    <s v="617.6; 617.645"/>
    <d v="2015-08-06T00:00:00"/>
  </r>
  <r>
    <x v="6694"/>
    <d v="1899-12-30T00:00:00"/>
    <x v="1040"/>
    <x v="16"/>
    <s v="monroecc"/>
    <x v="1533"/>
    <n v="1986942"/>
    <x v="0"/>
    <s v="Medicine"/>
    <s v="9781118925188"/>
    <m/>
    <n v="0"/>
    <m/>
    <m/>
    <s v="No"/>
    <x v="0"/>
    <d v="2015-09-30T13:21:37"/>
    <n v="7"/>
    <s v="150.160.200.114"/>
    <s v="RK55 .C5"/>
    <s v="617.6; 617.645"/>
    <d v="2015-08-06T00:00:00"/>
  </r>
  <r>
    <x v="6695"/>
    <d v="1899-12-30T00:01:46"/>
    <x v="1040"/>
    <x v="16"/>
    <s v="monroecc"/>
    <x v="1533"/>
    <n v="1986942"/>
    <x v="0"/>
    <s v="Medicine"/>
    <s v="9781118925188"/>
    <s v=",1,2,2,3,3,1,2,2,15,15,16,11,16,11,12,13,9,12,13,10,10,14,14,9,8,8,7,12,7,5,5,6,3,4,4,6,8"/>
    <n v="16"/>
    <m/>
    <m/>
    <s v="No"/>
    <x v="3"/>
    <m/>
    <m/>
    <s v="150.160.200.114"/>
    <s v="RK55 .C5"/>
    <s v="617.6; 617.645"/>
    <d v="2015-08-06T00:00:00"/>
  </r>
  <r>
    <x v="6696"/>
    <d v="1899-12-30T00:00:24"/>
    <x v="26"/>
    <x v="6"/>
    <s v="sjfc"/>
    <x v="1393"/>
    <n v="894258"/>
    <x v="0"/>
    <s v="Geography/Travel"/>
    <s v="9781118333709"/>
    <s v=",1,2,3,1,2,3,4,4,5,5,6,6,7,7,2,8,3,8"/>
    <n v="8"/>
    <m/>
    <m/>
    <s v="No"/>
    <x v="1"/>
    <m/>
    <m/>
    <s v="149.69.254.57"/>
    <s v="DC708 .P38"/>
    <n v="914.436104"/>
    <d v="2012-07-05T00:00:00"/>
  </r>
  <r>
    <x v="6697"/>
    <d v="1899-12-30T00:01:37"/>
    <x v="1040"/>
    <x v="16"/>
    <s v="monroecc"/>
    <x v="1534"/>
    <n v="2191267"/>
    <x v="0"/>
    <s v="Science; Science: Chemistry"/>
    <s v="9781118660249"/>
    <s v=",1,2,2,3,3,1,2,2,385,385,386,386,383,384,384,388,388,392,392,394,394,395,395,396,397,396"/>
    <n v="13"/>
    <m/>
    <m/>
    <s v="No"/>
    <x v="3"/>
    <m/>
    <m/>
    <s v="150.160.200.114"/>
    <s v="QD96.N8"/>
    <s v="543/.66"/>
    <d v="2015-08-20T00:00:00"/>
  </r>
  <r>
    <x v="6698"/>
    <d v="1899-12-30T00:00:07"/>
    <x v="1040"/>
    <x v="16"/>
    <s v="monroecc"/>
    <x v="92"/>
    <n v="2166474"/>
    <x v="0"/>
    <s v="Medicine"/>
    <s v="9781118929285"/>
    <s v=",2,2"/>
    <n v="1"/>
    <m/>
    <m/>
    <s v="Yes"/>
    <x v="0"/>
    <d v="2015-09-30T12:50:49"/>
    <n v="7"/>
    <s v="150.160.200.114"/>
    <s v="RK56"/>
    <n v="617.6"/>
    <d v="2015-06-01T00:00:00"/>
  </r>
  <r>
    <x v="6699"/>
    <d v="1899-12-30T00:00:00"/>
    <x v="1040"/>
    <x v="16"/>
    <s v="monroecc"/>
    <x v="92"/>
    <n v="2166474"/>
    <x v="0"/>
    <s v="Medicine"/>
    <s v="9781118929285"/>
    <m/>
    <n v="0"/>
    <m/>
    <m/>
    <s v="No"/>
    <x v="0"/>
    <d v="2015-09-30T12:50:49"/>
    <n v="7"/>
    <s v="150.160.200.114"/>
    <s v="RK56"/>
    <n v="617.6"/>
    <d v="2015-06-01T00:00:00"/>
  </r>
  <r>
    <x v="6700"/>
    <d v="1899-12-30T00:00:15"/>
    <x v="1040"/>
    <x v="16"/>
    <s v="monroecc"/>
    <x v="92"/>
    <n v="2166474"/>
    <x v="0"/>
    <s v="Medicine"/>
    <s v="9781118929285"/>
    <s v=",1,2,2,3,3,1"/>
    <n v="3"/>
    <m/>
    <m/>
    <s v="No"/>
    <x v="3"/>
    <m/>
    <m/>
    <s v="150.160.200.114"/>
    <s v="RK56"/>
    <n v="617.6"/>
    <d v="2015-06-01T00:00:00"/>
  </r>
  <r>
    <x v="6701"/>
    <d v="1899-12-30T00:00:00"/>
    <x v="1040"/>
    <x v="16"/>
    <s v="monroecc"/>
    <x v="1535"/>
    <n v="2131126"/>
    <x v="0"/>
    <s v="Business/Management"/>
    <s v="9781119094173"/>
    <m/>
    <n v="0"/>
    <m/>
    <m/>
    <s v="Yes"/>
    <x v="0"/>
    <d v="2015-09-30T12:49:47"/>
    <n v="7"/>
    <s v="150.160.200.114"/>
    <s v="HF5616"/>
    <s v="657/.20941"/>
    <d v="2015-08-13T00:00:00"/>
  </r>
  <r>
    <x v="6701"/>
    <d v="1899-12-30T00:00:00"/>
    <x v="1040"/>
    <x v="16"/>
    <s v="monroecc"/>
    <x v="1535"/>
    <n v="2131126"/>
    <x v="0"/>
    <s v="Business/Management"/>
    <s v="9781119094173"/>
    <m/>
    <n v="0"/>
    <m/>
    <m/>
    <s v="No"/>
    <x v="0"/>
    <d v="2015-09-30T12:49:47"/>
    <n v="7"/>
    <s v="150.160.200.114"/>
    <s v="HF5616"/>
    <s v="657/.20941"/>
    <d v="2015-08-13T00:00:00"/>
  </r>
  <r>
    <x v="6702"/>
    <d v="1899-12-30T00:00:40"/>
    <x v="1040"/>
    <x v="16"/>
    <s v="monroecc"/>
    <x v="1535"/>
    <n v="2131126"/>
    <x v="0"/>
    <s v="Business/Management"/>
    <s v="9781119094173"/>
    <s v=",1,2,2,3,3,1,2,2"/>
    <n v="3"/>
    <m/>
    <m/>
    <s v="No"/>
    <x v="3"/>
    <m/>
    <m/>
    <s v="150.160.200.114"/>
    <s v="HF5616"/>
    <s v="657/.20941"/>
    <d v="2015-08-13T00:00:00"/>
  </r>
  <r>
    <x v="6703"/>
    <d v="1899-12-30T00:02:15"/>
    <x v="714"/>
    <x v="12"/>
    <s v="potsdam"/>
    <x v="713"/>
    <n v="565082"/>
    <x v="0"/>
    <s v="Education"/>
    <s v="9781118041567"/>
    <s v=",1,2,3,87,88,89,85,86,92,96,99,104,107,113,114,115,112,87,88,89,85,86,90"/>
    <n v="18"/>
    <m/>
    <m/>
    <s v="No"/>
    <x v="0"/>
    <d v="2015-09-23T20:27:06"/>
    <n v="7"/>
    <s v="137.143.104.94"/>
    <s v="LB1775 .P25 2010"/>
    <s v="371.1; 371.102"/>
    <d v="2010-06-08T00:00:00"/>
  </r>
  <r>
    <x v="6704"/>
    <d v="1899-12-30T00:00:24"/>
    <x v="1040"/>
    <x v="16"/>
    <s v="monroecc"/>
    <x v="1536"/>
    <n v="2194769"/>
    <x v="0"/>
    <s v="Science; Science: Astronomy"/>
    <s v="9781118860199"/>
    <s v=",1,2,3,16,17,18,19,21"/>
    <n v="8"/>
    <m/>
    <m/>
    <s v="No"/>
    <x v="3"/>
    <m/>
    <m/>
    <s v="150.160.200.114"/>
    <s v="QB466.A25"/>
    <s v="523.8/875"/>
    <d v="2015-08-25T00:00:00"/>
  </r>
  <r>
    <x v="6705"/>
    <d v="1899-12-30T00:00:32"/>
    <x v="1040"/>
    <x v="16"/>
    <s v="monroecc"/>
    <x v="1525"/>
    <n v="1895793"/>
    <x v="0"/>
    <s v="Computer Science/IT"/>
    <s v="9781118949290"/>
    <s v=",1,2,3,113,114,115,112"/>
    <n v="7"/>
    <m/>
    <m/>
    <s v="No"/>
    <x v="1"/>
    <m/>
    <m/>
    <s v="150.160.200.114"/>
    <s v="QA76.8.I863 -- .G786 2015eb"/>
    <n v="4.16"/>
    <d v="2015-02-12T00:00:00"/>
  </r>
  <r>
    <x v="6706"/>
    <d v="1899-12-30T00:01:22"/>
    <x v="1573"/>
    <x v="0"/>
    <s v="Buffalo"/>
    <x v="73"/>
    <n v="1119505"/>
    <x v="0"/>
    <s v="Science: Chemistry; Science"/>
    <s v="9781118355015"/>
    <s v=",59,61,57,58,60,62,63,64,65,66,88,89,90,86,87,91,105"/>
    <n v="17"/>
    <m/>
    <m/>
    <s v="No"/>
    <x v="0"/>
    <d v="2015-09-30T05:19:02"/>
    <n v="7"/>
    <s v="128.205.114.91"/>
    <s v="QD251.3 -- .S38 2013eb"/>
    <s v="547/.128"/>
    <d v="2013-01-28T00:00:00"/>
  </r>
  <r>
    <x v="6707"/>
    <d v="1899-12-30T00:05:32"/>
    <x v="1573"/>
    <x v="0"/>
    <s v="Buffalo"/>
    <x v="73"/>
    <n v="1119505"/>
    <x v="0"/>
    <s v="Science: Chemistry; Science"/>
    <s v="9781118355015"/>
    <s v=",391,392"/>
    <n v="2"/>
    <m/>
    <m/>
    <s v="No"/>
    <x v="0"/>
    <d v="2015-09-30T05:03:01"/>
    <n v="7"/>
    <s v="128.205.114.91"/>
    <s v="QD251.3 -- .S38 2013eb"/>
    <s v="547/.128"/>
    <d v="2013-01-28T00:00:00"/>
  </r>
  <r>
    <x v="6708"/>
    <d v="1899-12-30T00:09:43"/>
    <x v="1573"/>
    <x v="0"/>
    <s v="Buffalo"/>
    <x v="73"/>
    <n v="1119505"/>
    <x v="0"/>
    <s v="Science: Chemistry; Science"/>
    <s v="9781118355015"/>
    <s v=",1,2,3,422,425,427,426,428,424,387,388,389,385,386,390"/>
    <n v="15"/>
    <m/>
    <m/>
    <s v="No"/>
    <x v="1"/>
    <m/>
    <m/>
    <s v="128.205.114.91"/>
    <s v="QD251.3 -- .S38 2013eb"/>
    <s v="547/.128"/>
    <d v="2013-01-28T00:00:00"/>
  </r>
  <r>
    <x v="6709"/>
    <d v="1899-12-30T00:25:45"/>
    <x v="1573"/>
    <x v="0"/>
    <s v="Buffalo"/>
    <x v="73"/>
    <n v="1119505"/>
    <x v="0"/>
    <s v="Science: Chemistry; Science"/>
    <s v="9781118355015"/>
    <s v=",1,2,3,101,102,103,99,100,104"/>
    <n v="9"/>
    <m/>
    <m/>
    <s v="No"/>
    <x v="1"/>
    <m/>
    <m/>
    <s v="128.205.114.91"/>
    <s v="QD251.3 -- .S38 2013eb"/>
    <s v="547/.128"/>
    <d v="2013-01-28T00:00:00"/>
  </r>
  <r>
    <x v="6710"/>
    <d v="1899-12-30T00:04:57"/>
    <x v="1431"/>
    <x v="1"/>
    <s v="brockport"/>
    <x v="1080"/>
    <n v="1185074"/>
    <x v="4"/>
    <s v="Language/Linguistics; Education"/>
    <s v="9781462510122"/>
    <s v=",1,2,3,46,47,48,44,45,53,67,73,74,75,71,72,93,94,95,91,92,96,97,98,99,100,101,102,103,104,105,211,212,213,209,210,215,216,207,208,214,217,218,219,220,221,222,223,224,225,226,227,228,229,230,231,232,233"/>
    <n v="57"/>
    <m/>
    <m/>
    <s v="No"/>
    <x v="1"/>
    <m/>
    <m/>
    <s v="137.21.7.121"/>
    <s v="LB1576 -- .B487 2013eb"/>
    <n v="428.00709999999998"/>
    <d v="2014-05-14T00:00:00"/>
  </r>
  <r>
    <x v="6711"/>
    <d v="1899-12-30T00:00:16"/>
    <x v="1574"/>
    <x v="12"/>
    <s v="potsdam"/>
    <x v="71"/>
    <n v="1251060"/>
    <x v="2"/>
    <s v="Fine Arts"/>
    <s v="9781136126222"/>
    <s v=",1,2,3,7,4,5,6"/>
    <n v="7"/>
    <m/>
    <m/>
    <s v="No"/>
    <x v="3"/>
    <m/>
    <m/>
    <s v="137.143.104.94"/>
    <s v="ML3790 -- .F49 2013eb"/>
    <n v="781.49"/>
    <d v="2013-07-04T00:00:00"/>
  </r>
  <r>
    <x v="6712"/>
    <d v="1899-12-30T00:00:00"/>
    <x v="1575"/>
    <x v="0"/>
    <s v="Buffalo"/>
    <x v="3"/>
    <n v="822040"/>
    <x v="0"/>
    <s v="Literature; Psychology"/>
    <s v="9781118289099"/>
    <m/>
    <n v="0"/>
    <s v=",105,105"/>
    <m/>
    <s v="Yes"/>
    <x v="0"/>
    <d v="2015-09-30T03:14:49"/>
    <n v="7"/>
    <s v="128.205.114.91"/>
    <s v="BF76.7 -- .B447 2012eb"/>
    <s v="808.06/615"/>
    <d v="2012-03-22T00:00:00"/>
  </r>
  <r>
    <x v="6713"/>
    <d v="1899-12-30T00:07:39"/>
    <x v="98"/>
    <x v="4"/>
    <s v="monroe2boces"/>
    <x v="770"/>
    <n v="995801"/>
    <x v="14"/>
    <s v="Fine Arts"/>
    <s v="9781476600574"/>
    <s v=",1,2,3,4,5,6,7,8,9,10,11,12,13,14"/>
    <n v="14"/>
    <m/>
    <m/>
    <s v="No"/>
    <x v="1"/>
    <m/>
    <m/>
    <s v="66.67.23.27"/>
    <s v="PN1995.9.S5 -- S54 2012eb"/>
    <s v="791.43/651"/>
    <d v="2012-07-30T00:00:00"/>
  </r>
  <r>
    <x v="6714"/>
    <d v="1899-12-30T00:00:00"/>
    <x v="1575"/>
    <x v="0"/>
    <s v="Buffalo"/>
    <x v="3"/>
    <n v="822040"/>
    <x v="0"/>
    <s v="Literature; Psychology"/>
    <s v="9781118289099"/>
    <m/>
    <n v="0"/>
    <m/>
    <s v=",77,78,88,89,90,91,92,93,94,95,96,97,98,99,100,101,102,82,82,105,106,107,108,109,110,111,112,113,82,105,106,107,108,109,110,111,112,113,193,194,195,196,197,198,199,200,201,73,82,193,194,195,196,197,198,199,200,201,54,55,56,57,57,72,70,71,72"/>
    <s v="Yes"/>
    <x v="0"/>
    <d v="2015-09-30T03:14:49"/>
    <n v="7"/>
    <s v="128.205.114.91"/>
    <s v="BF76.7 -- .B447 2012eb"/>
    <s v="808.06/615"/>
    <d v="2012-03-22T00:00:00"/>
  </r>
  <r>
    <x v="6715"/>
    <d v="1899-12-30T00:01:16"/>
    <x v="1575"/>
    <x v="0"/>
    <s v="Buffalo"/>
    <x v="3"/>
    <n v="822040"/>
    <x v="0"/>
    <s v="Literature; Psychology"/>
    <s v="9781118289099"/>
    <s v=",1,88,89,90,86,87,91,2,92,93,94,95,96,97,98,99,100,101,102,103,104,105,106,107"/>
    <n v="24"/>
    <m/>
    <s v=",88,89,90,91,92,93,94,95,96,97,98,99,100,101,102"/>
    <s v="No"/>
    <x v="0"/>
    <d v="2015-09-30T03:14:49"/>
    <n v="7"/>
    <s v="128.205.114.91"/>
    <s v="BF76.7 -- .B447 2012eb"/>
    <s v="808.06/615"/>
    <d v="2012-03-22T00:00:00"/>
  </r>
  <r>
    <x v="6716"/>
    <d v="1899-12-30T00:00:00"/>
    <x v="1575"/>
    <x v="0"/>
    <s v="Buffalo"/>
    <x v="3"/>
    <n v="822040"/>
    <x v="0"/>
    <s v="Literature; Psychology"/>
    <s v="9781118289099"/>
    <m/>
    <n v="0"/>
    <m/>
    <m/>
    <s v="Yes"/>
    <x v="0"/>
    <d v="2015-09-30T03:14:49"/>
    <n v="7"/>
    <s v="128.205.114.91"/>
    <s v="BF76.7 -- .B447 2012eb"/>
    <s v="808.06/615"/>
    <d v="2012-03-22T00:00:00"/>
  </r>
  <r>
    <x v="6717"/>
    <d v="1899-12-30T00:00:00"/>
    <x v="1575"/>
    <x v="0"/>
    <s v="Buffalo"/>
    <x v="3"/>
    <n v="822040"/>
    <x v="0"/>
    <s v="Literature; Psychology"/>
    <s v="9781118289099"/>
    <m/>
    <n v="0"/>
    <m/>
    <m/>
    <s v="Yes"/>
    <x v="0"/>
    <d v="2015-09-30T03:14:49"/>
    <n v="7"/>
    <s v="128.205.114.91"/>
    <s v="BF76.7 -- .B447 2012eb"/>
    <s v="808.06/615"/>
    <d v="2012-03-22T00:00:00"/>
  </r>
  <r>
    <x v="6718"/>
    <d v="1899-12-30T00:00:00"/>
    <x v="1575"/>
    <x v="0"/>
    <s v="Buffalo"/>
    <x v="3"/>
    <n v="822040"/>
    <x v="0"/>
    <s v="Literature; Psychology"/>
    <s v="9781118289099"/>
    <m/>
    <n v="0"/>
    <m/>
    <m/>
    <s v="Yes"/>
    <x v="0"/>
    <d v="2015-09-30T03:14:49"/>
    <n v="7"/>
    <s v="128.205.114.91"/>
    <s v="BF76.7 -- .B447 2012eb"/>
    <s v="808.06/615"/>
    <d v="2012-03-22T00:00:00"/>
  </r>
  <r>
    <x v="6719"/>
    <d v="1899-12-30T00:00:00"/>
    <x v="1575"/>
    <x v="0"/>
    <s v="Buffalo"/>
    <x v="3"/>
    <n v="822040"/>
    <x v="0"/>
    <s v="Literature; Psychology"/>
    <s v="9781118289099"/>
    <m/>
    <n v="0"/>
    <m/>
    <m/>
    <s v="Yes"/>
    <x v="0"/>
    <d v="2015-09-30T03:14:49"/>
    <n v="7"/>
    <s v="128.205.114.91"/>
    <s v="BF76.7 -- .B447 2012eb"/>
    <s v="808.06/615"/>
    <d v="2012-03-22T00:00:00"/>
  </r>
  <r>
    <x v="6719"/>
    <d v="1899-12-30T00:00:00"/>
    <x v="1575"/>
    <x v="0"/>
    <s v="Buffalo"/>
    <x v="3"/>
    <n v="822040"/>
    <x v="0"/>
    <s v="Literature; Psychology"/>
    <s v="9781118289099"/>
    <m/>
    <n v="0"/>
    <m/>
    <m/>
    <s v="No"/>
    <x v="0"/>
    <d v="2015-09-30T03:14:49"/>
    <n v="7"/>
    <s v="128.205.114.91"/>
    <s v="BF76.7 -- .B447 2012eb"/>
    <s v="808.06/615"/>
    <d v="2012-03-22T00:00:00"/>
  </r>
  <r>
    <x v="6720"/>
    <d v="1899-12-30T00:00:43"/>
    <x v="1575"/>
    <x v="0"/>
    <s v="Buffalo"/>
    <x v="3"/>
    <n v="822040"/>
    <x v="0"/>
    <s v="Literature; Psychology"/>
    <s v="9781118289099"/>
    <s v=",1,2,3"/>
    <n v="3"/>
    <m/>
    <m/>
    <s v="No"/>
    <x v="1"/>
    <m/>
    <m/>
    <s v="128.205.114.91"/>
    <s v="BF76.7 -- .B447 2012eb"/>
    <s v="808.06/615"/>
    <d v="2012-03-22T00:00:00"/>
  </r>
  <r>
    <x v="6721"/>
    <d v="1899-12-30T00:00:04"/>
    <x v="993"/>
    <x v="16"/>
    <s v="monroecc"/>
    <x v="1537"/>
    <n v="1114591"/>
    <x v="5"/>
    <s v="Social Science"/>
    <s v="9780814743515"/>
    <s v=",1,2,3"/>
    <n v="3"/>
    <m/>
    <m/>
    <s v="No"/>
    <x v="3"/>
    <m/>
    <m/>
    <s v="150.160.200.114"/>
    <s v="P94.6 -- .J46 2013eb"/>
    <n v="302.23"/>
    <d v="2013-01-21T00:00:00"/>
  </r>
  <r>
    <x v="6722"/>
    <d v="1899-12-30T00:34:26"/>
    <x v="13"/>
    <x v="0"/>
    <s v="Buffalo"/>
    <x v="552"/>
    <n v="1294909"/>
    <x v="3"/>
    <s v="Economics; Business/Management"/>
    <s v="9780520956797"/>
    <s v=",149,150,151,152,153,154,155,157,156"/>
    <n v="9"/>
    <m/>
    <m/>
    <s v="No"/>
    <x v="0"/>
    <d v="2015-09-30T01:34:25"/>
    <n v="7"/>
    <s v="128.205.114.91"/>
    <s v="HC110.P6 -- I25 2013eb"/>
    <s v="339.4/60973"/>
    <d v="2013-08-01T00:00:00"/>
  </r>
  <r>
    <x v="6723"/>
    <d v="1899-12-30T00:10:10"/>
    <x v="13"/>
    <x v="0"/>
    <s v="Buffalo"/>
    <x v="552"/>
    <n v="1294909"/>
    <x v="3"/>
    <s v="Economics; Business/Management"/>
    <s v="9780520956797"/>
    <s v=",1,2,3,145,147,143,146,144,148"/>
    <n v="9"/>
    <m/>
    <m/>
    <s v="No"/>
    <x v="1"/>
    <m/>
    <m/>
    <s v="128.205.114.91"/>
    <s v="HC110.P6 -- I25 2013eb"/>
    <s v="339.4/60973"/>
    <d v="2013-08-01T00:00:00"/>
  </r>
  <r>
    <x v="6724"/>
    <d v="1899-12-30T00:00:32"/>
    <x v="1576"/>
    <x v="15"/>
    <s v="morrisville"/>
    <x v="1538"/>
    <n v="1652934"/>
    <x v="0"/>
    <s v="Health; Social Science; Medicine"/>
    <s v="9781118432358"/>
    <s v=",1,2,3,12,45,46,47,43,44"/>
    <n v="9"/>
    <m/>
    <m/>
    <s v="No"/>
    <x v="3"/>
    <m/>
    <m/>
    <s v="136.204.32.67"/>
    <s v="RA1228 -- .C65 2014eb"/>
    <s v="614/.13"/>
    <d v="2014-03-14T00:00:00"/>
  </r>
  <r>
    <x v="6725"/>
    <d v="1899-12-30T02:15:11"/>
    <x v="13"/>
    <x v="0"/>
    <s v="Buffalo"/>
    <x v="73"/>
    <n v="1119505"/>
    <x v="0"/>
    <s v="Science: Chemistry; Science"/>
    <s v="9781118355015"/>
    <s v=",1,2,3,100,101,102,98,99,97,96,103,103,1,104,105,101,102,2,387,388,386,385,389,88,89,90,86,87,95,94,93,92,91,390,391,84,85,82,83,81,80,392,99,100,98,97,96,96,97,98,99"/>
    <n v="37"/>
    <m/>
    <m/>
    <s v="No"/>
    <x v="0"/>
    <d v="2015-09-30T00:47:57"/>
    <n v="7"/>
    <s v="128.205.114.91"/>
    <s v="QD251.3 -- .S38 2013eb"/>
    <s v="547/.128"/>
    <d v="2013-01-28T00:00:00"/>
  </r>
  <r>
    <x v="6726"/>
    <d v="1899-12-30T00:00:02"/>
    <x v="13"/>
    <x v="0"/>
    <s v="Buffalo"/>
    <x v="73"/>
    <n v="1119505"/>
    <x v="0"/>
    <s v="Science: Chemistry; Science"/>
    <s v="9781118355015"/>
    <m/>
    <n v="0"/>
    <m/>
    <m/>
    <s v="No"/>
    <x v="1"/>
    <m/>
    <m/>
    <s v="128.205.114.91"/>
    <s v="QD251.3 -- .S38 2013eb"/>
    <s v="547/.128"/>
    <d v="2013-01-28T00:00:00"/>
  </r>
  <r>
    <x v="6727"/>
    <d v="1899-12-30T00:00:26"/>
    <x v="986"/>
    <x v="0"/>
    <s v="Buffalo"/>
    <x v="73"/>
    <n v="1119505"/>
    <x v="0"/>
    <s v="Science: Chemistry; Science"/>
    <s v="9781118355015"/>
    <s v=",1,2,3,101,102,103,99,100,104,105,106,107"/>
    <n v="12"/>
    <m/>
    <s v=",102,103,104,105,102,103,104,105"/>
    <s v="No"/>
    <x v="0"/>
    <d v="2015-09-30T00:25:08"/>
    <n v="7"/>
    <s v="128.205.114.91"/>
    <s v="QD251.3 -- .S38 2013eb"/>
    <s v="547/.128"/>
    <d v="2013-01-28T00:00:00"/>
  </r>
  <r>
    <x v="6728"/>
    <d v="1899-12-30T00:00:01"/>
    <x v="986"/>
    <x v="0"/>
    <s v="Buffalo"/>
    <x v="73"/>
    <n v="1119505"/>
    <x v="0"/>
    <s v="Science: Chemistry; Science"/>
    <s v="9781118355015"/>
    <m/>
    <n v="0"/>
    <m/>
    <m/>
    <s v="No"/>
    <x v="1"/>
    <m/>
    <m/>
    <s v="128.205.114.91"/>
    <s v="QD251.3 -- .S38 2013eb"/>
    <s v="547/.128"/>
    <d v="2013-01-28T00:00:00"/>
  </r>
  <r>
    <x v="6729"/>
    <d v="1899-12-30T00:02:07"/>
    <x v="1210"/>
    <x v="1"/>
    <s v="brockport"/>
    <x v="151"/>
    <n v="968030"/>
    <x v="0"/>
    <s v="Psychology"/>
    <s v="9781118285138"/>
    <s v=",1,2,3,461,459,462,460,463,464,465"/>
    <n v="10"/>
    <m/>
    <m/>
    <s v="No"/>
    <x v="0"/>
    <d v="2015-09-29T01:32:57"/>
    <n v="7"/>
    <s v="137.21.7.121"/>
    <s v="BF637.C6 -- S85 2013eb"/>
    <n v="158.30000000000001"/>
    <d v="2012-07-10T00:00:00"/>
  </r>
  <r>
    <x v="6730"/>
    <d v="1899-12-30T00:01:29"/>
    <x v="1577"/>
    <x v="12"/>
    <s v="potsdam"/>
    <x v="150"/>
    <n v="1882108"/>
    <x v="3"/>
    <s v="Literature"/>
    <s v="9780520961326"/>
    <s v=",1,2,3,8,9,10,6,7,16,17,18,42,43,44,40,2,41,45,46,47,48,49,50,51,52,53,54,55,56,57,58,59,60,61,62,63,64,65,66,67,68,69,70,71,72,73,74,75,76,77,78,79,80,81,82,83,84,85,86,87,88,89,90,91,92,93,94,95,96,97,98"/>
    <n v="70"/>
    <m/>
    <m/>
    <s v="No"/>
    <x v="3"/>
    <m/>
    <m/>
    <s v="137.143.104.94"/>
    <s v="PA4025.A2 -- .H664 2015eb"/>
    <n v="883"/>
    <d v="2015-05-14T00:00:00"/>
  </r>
  <r>
    <x v="6731"/>
    <d v="1899-12-30T00:04:00"/>
    <x v="1578"/>
    <x v="0"/>
    <s v="Buffalo"/>
    <x v="31"/>
    <n v="1682559"/>
    <x v="4"/>
    <s v="Medicine"/>
    <s v="9781462515431"/>
    <s v=",1,2,3,249,250,251,247,248,265,256,263,264,261,262,266,267,268,269,270,271,272,273,274,275,276,277,278,279,280,281,282,283,284"/>
    <n v="33"/>
    <m/>
    <m/>
    <s v="No"/>
    <x v="0"/>
    <d v="2015-09-22T22:52:21"/>
    <n v="7"/>
    <s v="128.205.114.91"/>
    <s v="RC469 -- .M677 2014eb"/>
    <n v="616.89"/>
    <d v="2014-05-10T00:00:00"/>
  </r>
  <r>
    <x v="6732"/>
    <d v="1899-12-30T00:00:12"/>
    <x v="1579"/>
    <x v="15"/>
    <s v="morrisville"/>
    <x v="1510"/>
    <n v="1129584"/>
    <x v="0"/>
    <s v="Psychology"/>
    <s v="9781118526606"/>
    <s v=",28,17,15,9,10,12,13,14,11"/>
    <n v="9"/>
    <m/>
    <m/>
    <s v="No"/>
    <x v="0"/>
    <d v="2015-09-29T21:50:50"/>
    <n v="7"/>
    <s v="136.204.32.67"/>
    <s v="BF575.H27 -- T36 2013eb"/>
    <n v="158.1"/>
    <d v="2013-02-14T00:00:00"/>
  </r>
  <r>
    <x v="6733"/>
    <d v="1899-12-30T00:00:51"/>
    <x v="906"/>
    <x v="1"/>
    <s v="brockport"/>
    <x v="151"/>
    <n v="968030"/>
    <x v="0"/>
    <s v="Psychology"/>
    <s v="9781118285138"/>
    <s v=",1,3,2,553,554,555,551,552,556,557,558,559,560,561"/>
    <n v="14"/>
    <m/>
    <m/>
    <s v="No"/>
    <x v="1"/>
    <m/>
    <m/>
    <s v="137.21.7.121"/>
    <s v="BF637.C6 -- S85 2013eb"/>
    <n v="158.30000000000001"/>
    <d v="2012-07-10T00:00:00"/>
  </r>
  <r>
    <x v="6734"/>
    <d v="1899-12-30T00:06:27"/>
    <x v="1579"/>
    <x v="15"/>
    <s v="morrisville"/>
    <x v="1510"/>
    <n v="1129584"/>
    <x v="0"/>
    <s v="Psychology"/>
    <s v="9781118526606"/>
    <s v=",1,2,3,23,25,24,21,22,26,27"/>
    <n v="10"/>
    <m/>
    <m/>
    <s v="No"/>
    <x v="3"/>
    <m/>
    <m/>
    <s v="136.204.32.67"/>
    <s v="BF575.H27 -- T36 2013eb"/>
    <n v="158.1"/>
    <d v="2013-02-14T00:00:00"/>
  </r>
  <r>
    <x v="6735"/>
    <d v="1899-12-30T00:20:15"/>
    <x v="986"/>
    <x v="0"/>
    <s v="Buffalo"/>
    <x v="73"/>
    <n v="1119505"/>
    <x v="0"/>
    <s v="Science: Chemistry; Science"/>
    <s v="9781118355015"/>
    <s v=",1,2,3,89,90,91,87,88,92,93,94,95,96,97,98"/>
    <n v="15"/>
    <m/>
    <m/>
    <s v="No"/>
    <x v="0"/>
    <d v="2015-09-22T22:41:10"/>
    <n v="7"/>
    <s v="128.205.114.91"/>
    <s v="QD251.3 -- .S38 2013eb"/>
    <s v="547/.128"/>
    <d v="2013-01-28T00:00:00"/>
  </r>
  <r>
    <x v="6736"/>
    <d v="1899-12-30T00:03:08"/>
    <x v="1580"/>
    <x v="6"/>
    <s v="sjfc"/>
    <x v="1539"/>
    <n v="1969433"/>
    <x v="1"/>
    <s v="Religion"/>
    <s v="9781472447036"/>
    <s v=",1,2,3,4,5,6,8,7,9,10,11,12,13,14,24,25,26,22,23"/>
    <n v="19"/>
    <m/>
    <m/>
    <s v="No"/>
    <x v="3"/>
    <m/>
    <m/>
    <s v="149.69.254.57"/>
    <s v="BX7260.E3 -- .M354 2015eb"/>
    <n v="285.80919999999998"/>
    <d v="2015-03-28T00:00:00"/>
  </r>
  <r>
    <x v="6737"/>
    <d v="1899-12-30T01:09:22"/>
    <x v="1578"/>
    <x v="0"/>
    <s v="Buffalo"/>
    <x v="31"/>
    <n v="1682559"/>
    <x v="4"/>
    <s v="Medicine"/>
    <s v="9781462515431"/>
    <s v=",1,2,3,263,264,265,261,262,266,267,268,269,270,271,272,273,274,275,276,290,291,292,263,264,261,262,277,278,279,280,281,282,283,284,285,286,287,288,289,290,291,292"/>
    <n v="35"/>
    <m/>
    <m/>
    <s v="No"/>
    <x v="0"/>
    <d v="2015-09-22T22:52:21"/>
    <n v="7"/>
    <s v="128.205.114.91"/>
    <s v="RC469 -- .M677 2014eb"/>
    <n v="616.89"/>
    <d v="2014-05-10T00:00:00"/>
  </r>
  <r>
    <x v="6738"/>
    <d v="1899-12-30T00:22:19"/>
    <x v="1581"/>
    <x v="7"/>
    <s v="oneonta"/>
    <x v="550"/>
    <n v="1650800"/>
    <x v="3"/>
    <s v="Sport &amp; Recreation"/>
    <s v="9780520958258"/>
    <s v=",32,33,26,31,32,239,194,33,34,70,71,72,68,69,29,27,28,34,35,36,37,38,229,230,182,183,184,180,181,29,30,31,27,28,32,33,34,35,36,37,38,39,40,41,42,43,44,45,46,47,48,49,50,70,71,72,69,68,73,73,229,230,231,227,228,232,233,235,236,237,238,239,240,241,242,243,244,70,71,72,68,69,34,1,3"/>
    <n v="56"/>
    <m/>
    <m/>
    <s v="No"/>
    <x v="2"/>
    <d v="2015-09-29T20:22:41"/>
    <n v="1"/>
    <s v="137.141.13.2"/>
    <s v="GV944.B7 -- .K57 2014eb"/>
    <n v="796.33409810000001"/>
    <d v="2014-06-12T00:00:00"/>
  </r>
  <r>
    <x v="6739"/>
    <d v="1899-12-30T00:05:12"/>
    <x v="1581"/>
    <x v="7"/>
    <s v="oneonta"/>
    <x v="550"/>
    <n v="1650800"/>
    <x v="3"/>
    <s v="Sport &amp; Recreation"/>
    <s v="9780520958258"/>
    <s v=",1,2,3,4,5,6,7,8,9,183,326,338,1,7,2,3,4,5,6,8,9,10,11,12,13,14,15,16,17,18,19,20,21,29,30,31,27,28"/>
    <n v="29"/>
    <m/>
    <m/>
    <s v="No"/>
    <x v="3"/>
    <m/>
    <m/>
    <s v="137.141.13.2"/>
    <s v="GV944.B7 -- .K57 2014eb"/>
    <n v="796.33409810000001"/>
    <d v="2014-06-12T00:00:00"/>
  </r>
  <r>
    <x v="6740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41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42"/>
    <d v="1899-12-30T00:00:23"/>
    <x v="13"/>
    <x v="0"/>
    <s v="Buffalo"/>
    <x v="4"/>
    <n v="699526"/>
    <x v="0"/>
    <s v="Science; Computer Science/IT"/>
    <s v="9781118586006"/>
    <s v=",1,2,2,3,1,3,2,2"/>
    <n v="3"/>
    <m/>
    <m/>
    <s v="No"/>
    <x v="0"/>
    <d v="2015-09-29T14:52:09"/>
    <n v="7"/>
    <s v="128.205.114.91"/>
    <s v="Q327 -- .D83 2001eb"/>
    <n v="6.4"/>
    <d v="2012-11-09T00:00:00"/>
  </r>
  <r>
    <x v="6743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44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45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46"/>
    <d v="1899-12-30T00:00:58"/>
    <x v="1582"/>
    <x v="0"/>
    <s v="Buffalo"/>
    <x v="477"/>
    <n v="1120279"/>
    <x v="0"/>
    <s v="Science: Biology/Natural History; Science"/>
    <s v="9781118537671"/>
    <s v=",1,2,3,4,5,6,7,8,9,10,11,12,13,14,15,16,18,17,19,20,21,22,23,24"/>
    <n v="24"/>
    <m/>
    <m/>
    <s v="No"/>
    <x v="1"/>
    <m/>
    <m/>
    <s v="128.205.114.91"/>
    <s v="QH371 .K384 2012"/>
    <n v="599.93499999999995"/>
    <d v="2012-11-19T00:00:00"/>
  </r>
  <r>
    <x v="6747"/>
    <d v="1899-12-30T00:00:24"/>
    <x v="13"/>
    <x v="0"/>
    <s v="Buffalo"/>
    <x v="4"/>
    <n v="699526"/>
    <x v="0"/>
    <s v="Science; Computer Science/IT"/>
    <s v="9781118586006"/>
    <s v=",1,2,2,3,3,1,4,4,5,5,2,2,6,6"/>
    <n v="6"/>
    <m/>
    <m/>
    <s v="No"/>
    <x v="0"/>
    <d v="2015-09-29T14:52:09"/>
    <n v="7"/>
    <s v="128.205.114.91"/>
    <s v="Q327 -- .D83 2001eb"/>
    <n v="6.4"/>
    <d v="2012-11-09T00:00:00"/>
  </r>
  <r>
    <x v="6748"/>
    <d v="1899-12-30T00:00:17"/>
    <x v="26"/>
    <x v="6"/>
    <s v="sjfc"/>
    <x v="404"/>
    <n v="1732123"/>
    <x v="0"/>
    <s v="Economics; Business/Management"/>
    <s v="9781118884942"/>
    <s v=",1,2,3,4,8,9,10,6,7"/>
    <n v="9"/>
    <m/>
    <m/>
    <s v="No"/>
    <x v="1"/>
    <m/>
    <m/>
    <s v="149.69.254.57"/>
    <s v="HG179 -- .T976 2014eb"/>
    <n v="332.024"/>
    <d v="2014-07-07T00:00:00"/>
  </r>
  <r>
    <x v="6749"/>
    <d v="1899-12-30T00:00:29"/>
    <x v="1583"/>
    <x v="12"/>
    <s v="potsdam"/>
    <x v="1540"/>
    <n v="1767756"/>
    <x v="0"/>
    <s v="Education"/>
    <s v="9781118784808"/>
    <s v=",1,2,3,5,4,6,7,8,9"/>
    <n v="9"/>
    <m/>
    <m/>
    <s v="No"/>
    <x v="3"/>
    <m/>
    <m/>
    <s v="137.143.104.94"/>
    <s v="LB2342.9 -- .D85 2014eb"/>
    <s v="378.1/98"/>
    <d v="2014-08-14T00:00:00"/>
  </r>
  <r>
    <x v="6750"/>
    <d v="1899-12-30T00:00:40"/>
    <x v="1583"/>
    <x v="12"/>
    <s v="potsdam"/>
    <x v="633"/>
    <n v="1638614"/>
    <x v="0"/>
    <s v="Education"/>
    <s v="9781118866979"/>
    <s v=",1,2,3,16,7,15,9,14,19,24,18,17,13,11,12,6,5,8,4,10"/>
    <n v="20"/>
    <m/>
    <m/>
    <s v="No"/>
    <x v="3"/>
    <m/>
    <m/>
    <s v="137.143.104.94"/>
    <s v="LJ141 -- .I545 2014eb"/>
    <n v="378.19684999999998"/>
    <d v="2014-02-20T00:00:00"/>
  </r>
  <r>
    <x v="6751"/>
    <d v="1899-12-30T00:00:27"/>
    <x v="1448"/>
    <x v="0"/>
    <s v="Buffalo"/>
    <x v="4"/>
    <n v="699526"/>
    <x v="0"/>
    <s v="Science; Computer Science/IT"/>
    <s v="9781118586006"/>
    <s v=",1,2,3,4,5,6"/>
    <n v="6"/>
    <m/>
    <m/>
    <s v="No"/>
    <x v="0"/>
    <d v="2015-09-29T00:13:00"/>
    <n v="7"/>
    <s v="128.205.114.91"/>
    <s v="Q327 -- .D83 2001eb"/>
    <n v="6.4"/>
    <d v="2012-11-09T00:00:00"/>
  </r>
  <r>
    <x v="6752"/>
    <d v="1899-12-30T00:05:49"/>
    <x v="925"/>
    <x v="1"/>
    <s v="brockport"/>
    <x v="151"/>
    <n v="968030"/>
    <x v="0"/>
    <s v="Psychology"/>
    <s v="9781118285138"/>
    <s v=",1,2,3,4,5,7,8,9,6,10,5,4,3,2,1,2,3,1,1,3,2"/>
    <n v="10"/>
    <m/>
    <m/>
    <s v="No"/>
    <x v="1"/>
    <m/>
    <m/>
    <s v="137.21.7.121"/>
    <s v="BF637.C6 -- S85 2013eb"/>
    <n v="158.30000000000001"/>
    <d v="2012-07-10T00:00:00"/>
  </r>
  <r>
    <x v="6753"/>
    <d v="1899-12-30T01:24:47"/>
    <x v="986"/>
    <x v="0"/>
    <s v="Buffalo"/>
    <x v="73"/>
    <n v="1119505"/>
    <x v="0"/>
    <s v="Science: Chemistry; Science"/>
    <s v="9781118355015"/>
    <s v=",1,2,3,101,102,103,99,100,104,84,86,1,84,82,85,85,86,82,83,2,387,388,389,385,386,98,97,96,95,94,93,92,91,90,89,88,87,81,82,83,79,80,390,391,392,384,393,383,382,381,1,84,85,86,82,83,2,387,389,388,386,1,385,386,387,384,2,388,389,390,391,102,100,101,386,99,97,96,94,93,95,92,80,81,82,78,79,83,84,85,86,87,88"/>
    <n v="43"/>
    <m/>
    <m/>
    <s v="No"/>
    <x v="0"/>
    <d v="2015-09-22T22:41:10"/>
    <n v="7"/>
    <s v="128.205.114.91"/>
    <s v="QD251.3 -- .S38 2013eb"/>
    <s v="547/.128"/>
    <d v="2013-01-28T00:00:00"/>
  </r>
  <r>
    <x v="6754"/>
    <d v="1899-12-30T00:00:03"/>
    <x v="1584"/>
    <x v="0"/>
    <s v="Buffalo"/>
    <x v="4"/>
    <n v="699526"/>
    <x v="0"/>
    <s v="Science; Computer Science/IT"/>
    <s v="9781118586006"/>
    <s v=",1,2,3"/>
    <n v="3"/>
    <m/>
    <m/>
    <s v="No"/>
    <x v="0"/>
    <d v="2015-09-29T15:11:28"/>
    <n v="7"/>
    <s v="128.205.114.91"/>
    <s v="Q327 -- .D83 2001eb"/>
    <n v="6.4"/>
    <d v="2012-11-09T00:00:00"/>
  </r>
  <r>
    <x v="6755"/>
    <d v="1899-12-30T04:12:21"/>
    <x v="1426"/>
    <x v="0"/>
    <s v="Buffalo"/>
    <x v="73"/>
    <n v="1119505"/>
    <x v="0"/>
    <s v="Science: Chemistry; Science"/>
    <s v="9781118355015"/>
    <s v=",1,2,3,387,388,389,385,386,390,391,392,384,386,391,385,384,392,390,391,392,386,385,384,383,382,381,81,82,83,80,79,84,85,86,87,88,89,90,387,388,389,385,386,390,391,386,88,89,90,86,87,91,92,93,94,88,387,388,389,385,386,390,391,94,95,96,92,93,97,91,89,90,385,386,384,84,85,86,82,83,87,88,89,90,91,92,93,94,95,96,81,82,83,79,80,84,85,86,81,80,79,78,86,87,88,89,90,91,92,93,387,388,389,385,386,390,391,392,386,385,392,386,385,391,385,391,89,90,91,87,88,92,93,94,95,96,97,98,99,100,94,93,92,91,90,89,94,95,96,91,90,89,97,98,387,388,389,385,386,390,391,392,88,89,90,86,87,91,387,388,389,385,386,390,391,386,385,384,385,384,391"/>
    <n v="38"/>
    <m/>
    <m/>
    <s v="No"/>
    <x v="0"/>
    <d v="2015-09-23T00:17:09"/>
    <n v="7"/>
    <s v="128.205.114.91"/>
    <s v="QD251.3 -- .S38 2013eb"/>
    <s v="547/.128"/>
    <d v="2013-01-28T00:00:00"/>
  </r>
  <r>
    <x v="6756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57"/>
    <d v="1899-12-30T00:00:05"/>
    <x v="1584"/>
    <x v="0"/>
    <s v="Buffalo"/>
    <x v="4"/>
    <n v="699526"/>
    <x v="0"/>
    <s v="Science; Computer Science/IT"/>
    <s v="9781118586006"/>
    <s v=",1,2,3"/>
    <n v="3"/>
    <m/>
    <m/>
    <s v="No"/>
    <x v="0"/>
    <d v="2015-09-29T15:11:28"/>
    <n v="7"/>
    <s v="128.205.114.91"/>
    <s v="Q327 -- .D83 2001eb"/>
    <n v="6.4"/>
    <d v="2012-11-09T00:00:00"/>
  </r>
  <r>
    <x v="6758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59"/>
    <d v="1899-12-30T00:00:23"/>
    <x v="1584"/>
    <x v="0"/>
    <s v="Buffalo"/>
    <x v="4"/>
    <n v="699526"/>
    <x v="0"/>
    <s v="Science; Computer Science/IT"/>
    <s v="9781118586006"/>
    <s v=",6,7,8,9"/>
    <n v="4"/>
    <m/>
    <m/>
    <s v="Yes"/>
    <x v="0"/>
    <d v="2015-09-29T15:11:28"/>
    <n v="7"/>
    <s v="128.205.114.91"/>
    <s v="Q327 -- .D83 2001eb"/>
    <n v="6.4"/>
    <d v="2012-11-09T00:00:00"/>
  </r>
  <r>
    <x v="6760"/>
    <d v="1899-12-30T00:01:19"/>
    <x v="1584"/>
    <x v="0"/>
    <s v="Buffalo"/>
    <x v="4"/>
    <n v="699526"/>
    <x v="0"/>
    <s v="Science; Computer Science/IT"/>
    <s v="9781118586006"/>
    <s v=",411,122,52,29,21,9,5,4,6,7,5"/>
    <n v="10"/>
    <m/>
    <m/>
    <s v="Yes"/>
    <x v="0"/>
    <d v="2015-09-29T15:11:28"/>
    <n v="7"/>
    <s v="128.205.114.91"/>
    <s v="Q327 -- .D83 2001eb"/>
    <n v="6.4"/>
    <d v="2012-11-09T00:00:00"/>
  </r>
  <r>
    <x v="6761"/>
    <d v="1899-12-30T00:02:17"/>
    <x v="1585"/>
    <x v="6"/>
    <s v="sjfc"/>
    <x v="1541"/>
    <n v="2146552"/>
    <x v="0"/>
    <s v="Computer Science/IT; Mathematics"/>
    <s v="9781119042174"/>
    <s v=",1,2,3,32,33,34,30,31,35,36"/>
    <n v="10"/>
    <m/>
    <m/>
    <s v="No"/>
    <x v="0"/>
    <d v="2015-09-29T16:07:29"/>
    <n v="7"/>
    <s v="149.69.254.57"/>
    <s v="QA279 .E384 2015"/>
    <n v="4.1020938740000004"/>
    <d v="2015-08-10T00:00:00"/>
  </r>
  <r>
    <x v="6762"/>
    <d v="1899-12-30T00:00:59"/>
    <x v="1584"/>
    <x v="0"/>
    <s v="Buffalo"/>
    <x v="4"/>
    <n v="699526"/>
    <x v="0"/>
    <s v="Science; Computer Science/IT"/>
    <s v="9781118586006"/>
    <s v=",335,369,59,567,256,57,1,2,3"/>
    <n v="9"/>
    <m/>
    <m/>
    <s v="Yes"/>
    <x v="0"/>
    <d v="2015-09-29T15:11:28"/>
    <n v="7"/>
    <s v="128.205.114.91"/>
    <s v="Q327 -- .D83 2001eb"/>
    <n v="6.4"/>
    <d v="2012-11-09T00:00:00"/>
  </r>
  <r>
    <x v="6763"/>
    <d v="1899-12-30T00:00:14"/>
    <x v="1584"/>
    <x v="0"/>
    <s v="Buffalo"/>
    <x v="4"/>
    <n v="699526"/>
    <x v="0"/>
    <s v="Science; Computer Science/IT"/>
    <s v="9781118586006"/>
    <s v=",1,2,3,25,26,27,23,24"/>
    <n v="8"/>
    <m/>
    <m/>
    <s v="No"/>
    <x v="0"/>
    <d v="2015-09-29T15:11:28"/>
    <n v="7"/>
    <s v="128.205.114.91"/>
    <s v="Q327 -- .D83 2001eb"/>
    <n v="6.4"/>
    <d v="2012-11-09T00:00:00"/>
  </r>
  <r>
    <x v="6764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65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66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67"/>
    <d v="1899-12-30T00:00:04"/>
    <x v="1584"/>
    <x v="0"/>
    <s v="Buffalo"/>
    <x v="4"/>
    <n v="699526"/>
    <x v="0"/>
    <s v="Science; Computer Science/IT"/>
    <s v="9781118586006"/>
    <s v=",1,2,3"/>
    <n v="3"/>
    <m/>
    <m/>
    <s v="No"/>
    <x v="0"/>
    <d v="2015-09-29T15:11:28"/>
    <n v="7"/>
    <s v="128.205.114.91"/>
    <s v="Q327 -- .D83 2001eb"/>
    <n v="6.4"/>
    <d v="2012-11-09T00:00:00"/>
  </r>
  <r>
    <x v="6768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69"/>
    <d v="1899-12-30T00:00:03"/>
    <x v="1584"/>
    <x v="0"/>
    <s v="Buffalo"/>
    <x v="4"/>
    <n v="699526"/>
    <x v="0"/>
    <s v="Science; Computer Science/IT"/>
    <s v="9781118586006"/>
    <s v=",1,2,3"/>
    <n v="3"/>
    <m/>
    <m/>
    <s v="No"/>
    <x v="0"/>
    <d v="2015-09-29T15:11:28"/>
    <n v="7"/>
    <s v="128.205.114.91"/>
    <s v="Q327 -- .D83 2001eb"/>
    <n v="6.4"/>
    <d v="2012-11-09T00:00:00"/>
  </r>
  <r>
    <x v="6770"/>
    <d v="1899-12-30T00:06:51"/>
    <x v="1586"/>
    <x v="14"/>
    <s v="houghton"/>
    <x v="1542"/>
    <n v="821901"/>
    <x v="0"/>
    <s v="Business/Management"/>
    <s v="9781118244333"/>
    <s v=",1,2,3,244,245,246,243,242,247,248,249,250"/>
    <n v="12"/>
    <m/>
    <m/>
    <s v="No"/>
    <x v="0"/>
    <d v="2015-09-28T21:55:03"/>
    <n v="7"/>
    <s v="96.43.64.169"/>
    <s v="HE341 -- .H47 2012eb"/>
    <n v="388.1"/>
    <d v="2012-03-16T00:00:00"/>
  </r>
  <r>
    <x v="6771"/>
    <d v="1899-12-30T00:00:03"/>
    <x v="1585"/>
    <x v="6"/>
    <s v="sjfc"/>
    <x v="1541"/>
    <n v="2146552"/>
    <x v="0"/>
    <s v="Computer Science/IT; Mathematics"/>
    <s v="9781119042174"/>
    <s v=",31,32"/>
    <n v="2"/>
    <m/>
    <m/>
    <s v="No"/>
    <x v="0"/>
    <d v="2015-09-29T16:07:29"/>
    <n v="7"/>
    <s v="149.69.254.57"/>
    <s v="QA279 .E384 2015"/>
    <n v="4.1020938740000004"/>
    <d v="2015-08-10T00:00:00"/>
  </r>
  <r>
    <x v="6772"/>
    <d v="1899-12-30T00:56:52"/>
    <x v="1426"/>
    <x v="0"/>
    <s v="Buffalo"/>
    <x v="73"/>
    <n v="1119505"/>
    <x v="0"/>
    <s v="Science: Chemistry; Science"/>
    <s v="9781118355015"/>
    <s v=",1,2,3,1,3,4,5,2"/>
    <n v="5"/>
    <m/>
    <m/>
    <s v="No"/>
    <x v="0"/>
    <d v="2015-09-23T00:17:09"/>
    <n v="7"/>
    <s v="128.205.114.91"/>
    <s v="QD251.3 -- .S38 2013eb"/>
    <s v="547/.128"/>
    <d v="2013-01-28T00:00:00"/>
  </r>
  <r>
    <x v="6773"/>
    <d v="1899-12-30T00:09:51"/>
    <x v="1585"/>
    <x v="6"/>
    <s v="sjfc"/>
    <x v="1541"/>
    <n v="2146552"/>
    <x v="0"/>
    <s v="Computer Science/IT; Mathematics"/>
    <s v="9781119042174"/>
    <s v=",1,2,3,4,5,6,16,17,18,14,15,19,20,21,21,22,23,2,24,25,26,27,28,29,30"/>
    <n v="23"/>
    <m/>
    <m/>
    <s v="No"/>
    <x v="3"/>
    <m/>
    <m/>
    <s v="149.69.254.57"/>
    <s v="QA279 .E384 2015"/>
    <n v="4.1020938740000004"/>
    <d v="2015-08-10T00:00:00"/>
  </r>
  <r>
    <x v="6774"/>
    <d v="1899-12-30T00:00:08"/>
    <x v="1585"/>
    <x v="6"/>
    <s v="sjfc"/>
    <x v="1543"/>
    <n v="1631566"/>
    <x v="0"/>
    <s v="Computer Science/IT"/>
    <s v="9783527680412"/>
    <s v=",1,2,3,4"/>
    <n v="4"/>
    <m/>
    <m/>
    <s v="No"/>
    <x v="3"/>
    <m/>
    <m/>
    <s v="149.69.254.57"/>
    <s v="QA76.9.D35 -- .T395 2014eb"/>
    <n v="5.73"/>
    <d v="2014-02-06T00:00:00"/>
  </r>
  <r>
    <x v="6775"/>
    <d v="1899-12-30T00:00:21"/>
    <x v="1585"/>
    <x v="6"/>
    <s v="sjfc"/>
    <x v="1544"/>
    <n v="1335264"/>
    <x v="0"/>
    <s v="Computer Science/IT"/>
    <s v="9781118657188"/>
    <s v=",1,2,3,4,5,6,7,1"/>
    <n v="7"/>
    <m/>
    <m/>
    <s v="No"/>
    <x v="0"/>
    <d v="2015-09-29T15:52:31"/>
    <n v="7"/>
    <s v="149.69.254.57"/>
    <s v="QA76.73.S67 -- T39 2013eb"/>
    <n v="5.7560000000000002"/>
    <d v="2013-08-02T00:00:00"/>
  </r>
  <r>
    <x v="6776"/>
    <d v="1899-12-30T00:01:17"/>
    <x v="1585"/>
    <x v="6"/>
    <s v="sjfc"/>
    <x v="1544"/>
    <n v="1335264"/>
    <x v="0"/>
    <s v="Computer Science/IT"/>
    <s v="9781118657188"/>
    <s v=",63,68,69,70,71,72,80,81,82,78,79,83,87,88,89,90,91,92,93,94,95,96,97,98,99,100,101,102,103,104,105,155,156,157,153,158,154,159"/>
    <n v="38"/>
    <m/>
    <m/>
    <s v="No"/>
    <x v="0"/>
    <d v="2015-09-29T15:52:31"/>
    <n v="7"/>
    <s v="149.69.254.57"/>
    <s v="QA76.73.S67 -- T39 2013eb"/>
    <n v="5.7560000000000002"/>
    <d v="2013-08-02T00:00:00"/>
  </r>
  <r>
    <x v="6777"/>
    <d v="1899-12-30T00:01:05"/>
    <x v="824"/>
    <x v="0"/>
    <s v="Buffalo"/>
    <x v="161"/>
    <n v="821663"/>
    <x v="0"/>
    <s v="Architecture"/>
    <s v="9781118168479"/>
    <s v=",1,2,3,4,157,158,159,156,160,161,162,163,164,165,166,167,168,169,170"/>
    <n v="19"/>
    <m/>
    <m/>
    <s v="No"/>
    <x v="0"/>
    <d v="2015-09-29T13:17:30"/>
    <n v="7"/>
    <s v="128.205.114.91"/>
    <s v="NA2547 -- .S74 2012eb"/>
    <n v="729"/>
    <d v="2012-03-05T00:00:00"/>
  </r>
  <r>
    <x v="6778"/>
    <d v="1899-12-30T00:23:44"/>
    <x v="1585"/>
    <x v="6"/>
    <s v="sjfc"/>
    <x v="1544"/>
    <n v="1335264"/>
    <x v="0"/>
    <s v="Computer Science/IT"/>
    <s v="9781118657188"/>
    <s v=",1,2,3,22,23,24,25,21,40,41,42,38,39,2,43,44,45,46,47,48,49,50,63,64,65,66,67,68"/>
    <n v="27"/>
    <m/>
    <m/>
    <s v="No"/>
    <x v="1"/>
    <m/>
    <m/>
    <s v="149.69.254.57"/>
    <s v="QA76.73.S67 -- T39 2013eb"/>
    <n v="5.7560000000000002"/>
    <d v="2013-08-02T00:00:00"/>
  </r>
  <r>
    <x v="6779"/>
    <d v="1899-12-30T00:00:03"/>
    <x v="26"/>
    <x v="6"/>
    <s v="sjfc"/>
    <x v="1545"/>
    <n v="2025588"/>
    <x v="3"/>
    <s v="Religion"/>
    <s v="9780520962491"/>
    <s v=",1,2,3"/>
    <n v="3"/>
    <m/>
    <m/>
    <s v="No"/>
    <x v="3"/>
    <m/>
    <m/>
    <s v="149.69.254.57"/>
    <s v="BP182"/>
    <s v="297.7/2"/>
    <d v="2015-09-01T00:00:00"/>
  </r>
  <r>
    <x v="6779"/>
    <d v="1899-12-30T00:00:00"/>
    <x v="26"/>
    <x v="6"/>
    <s v="sjfc"/>
    <x v="1545"/>
    <n v="2025588"/>
    <x v="3"/>
    <s v="Religion"/>
    <s v="9780520962491"/>
    <m/>
    <n v="0"/>
    <m/>
    <m/>
    <s v="No"/>
    <x v="3"/>
    <m/>
    <m/>
    <s v="149.69.254.57"/>
    <s v="BP182"/>
    <s v="297.7/2"/>
    <d v="2015-09-01T00:00:00"/>
  </r>
  <r>
    <x v="6780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81"/>
    <d v="1899-12-30T00:00:03"/>
    <x v="1584"/>
    <x v="0"/>
    <s v="Buffalo"/>
    <x v="4"/>
    <n v="699526"/>
    <x v="0"/>
    <s v="Science; Computer Science/IT"/>
    <s v="9781118586006"/>
    <s v=",1,2,3"/>
    <n v="3"/>
    <m/>
    <m/>
    <s v="No"/>
    <x v="0"/>
    <d v="2015-09-29T15:11:28"/>
    <n v="7"/>
    <s v="128.205.114.91"/>
    <s v="Q327 -- .D83 2001eb"/>
    <n v="6.4"/>
    <d v="2012-11-09T00:00:00"/>
  </r>
  <r>
    <x v="6782"/>
    <d v="1899-12-30T00:00:00"/>
    <x v="1584"/>
    <x v="0"/>
    <s v="Buffalo"/>
    <x v="4"/>
    <n v="699526"/>
    <x v="0"/>
    <s v="Science; Computer Science/IT"/>
    <s v="9781118586006"/>
    <m/>
    <n v="0"/>
    <m/>
    <m/>
    <s v="Yes"/>
    <x v="0"/>
    <d v="2015-09-29T15:11:28"/>
    <n v="7"/>
    <s v="128.205.114.91"/>
    <s v="Q327 -- .D83 2001eb"/>
    <n v="6.4"/>
    <d v="2012-11-09T00:00:00"/>
  </r>
  <r>
    <x v="6782"/>
    <d v="1899-12-30T00:00:00"/>
    <x v="1584"/>
    <x v="0"/>
    <s v="Buffalo"/>
    <x v="4"/>
    <n v="699526"/>
    <x v="0"/>
    <s v="Science; Computer Science/IT"/>
    <s v="9781118586006"/>
    <m/>
    <n v="0"/>
    <m/>
    <m/>
    <s v="No"/>
    <x v="0"/>
    <d v="2015-09-29T15:11:28"/>
    <n v="7"/>
    <s v="128.205.114.91"/>
    <s v="Q327 -- .D83 2001eb"/>
    <n v="6.4"/>
    <d v="2012-11-09T00:00:00"/>
  </r>
  <r>
    <x v="6783"/>
    <d v="1899-12-30T00:00:09"/>
    <x v="1584"/>
    <x v="0"/>
    <s v="Buffalo"/>
    <x v="4"/>
    <n v="699526"/>
    <x v="0"/>
    <s v="Science; Computer Science/IT"/>
    <s v="9781118586006"/>
    <s v=",1,2,3"/>
    <n v="3"/>
    <m/>
    <m/>
    <s v="No"/>
    <x v="1"/>
    <m/>
    <m/>
    <s v="128.205.114.91"/>
    <s v="Q327 -- .D83 2001eb"/>
    <n v="6.4"/>
    <d v="2012-11-09T00:00:00"/>
  </r>
  <r>
    <x v="6784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85"/>
    <d v="1899-12-30T00:00:21"/>
    <x v="13"/>
    <x v="0"/>
    <s v="Buffalo"/>
    <x v="4"/>
    <n v="699526"/>
    <x v="0"/>
    <s v="Science; Computer Science/IT"/>
    <s v="9781118586006"/>
    <s v=",1,2,2,3,3,2,2"/>
    <n v="3"/>
    <m/>
    <m/>
    <s v="No"/>
    <x v="0"/>
    <d v="2015-09-29T14:52:09"/>
    <n v="7"/>
    <s v="128.205.114.91"/>
    <s v="Q327 -- .D83 2001eb"/>
    <n v="6.4"/>
    <d v="2012-11-09T00:00:00"/>
  </r>
  <r>
    <x v="6786"/>
    <d v="1899-12-30T00:00:00"/>
    <x v="13"/>
    <x v="0"/>
    <s v="Buffalo"/>
    <x v="4"/>
    <n v="699526"/>
    <x v="0"/>
    <s v="Science; Computer Science/IT"/>
    <s v="9781118586006"/>
    <m/>
    <n v="0"/>
    <m/>
    <m/>
    <s v="Yes"/>
    <x v="0"/>
    <d v="2015-09-29T14:52:09"/>
    <n v="7"/>
    <s v="128.205.114.91"/>
    <s v="Q327 -- .D83 2001eb"/>
    <n v="6.4"/>
    <d v="2012-11-09T00:00:00"/>
  </r>
  <r>
    <x v="6787"/>
    <d v="1899-12-30T00:00:05"/>
    <x v="13"/>
    <x v="0"/>
    <s v="Buffalo"/>
    <x v="4"/>
    <n v="699526"/>
    <x v="0"/>
    <s v="Science; Computer Science/IT"/>
    <s v="9781118586006"/>
    <s v=",1,3,3,2,1,2"/>
    <n v="3"/>
    <m/>
    <m/>
    <s v="No"/>
    <x v="0"/>
    <d v="2015-09-29T14:52:09"/>
    <n v="7"/>
    <s v="128.205.114.91"/>
    <s v="Q327 -- .D83 2001eb"/>
    <n v="6.4"/>
    <d v="2012-11-09T00:00:00"/>
  </r>
  <r>
    <x v="6788"/>
    <d v="1899-12-30T00:01:05"/>
    <x v="13"/>
    <x v="0"/>
    <s v="Buffalo"/>
    <x v="4"/>
    <n v="699526"/>
    <x v="0"/>
    <s v="Science; Computer Science/IT"/>
    <s v="9781118586006"/>
    <s v=",2,2,4,5,5,6,6,7,7,8,8,9,9,10,10,11,11,6,5"/>
    <n v="9"/>
    <m/>
    <m/>
    <s v="Yes"/>
    <x v="0"/>
    <d v="2015-09-29T14:52:09"/>
    <n v="7"/>
    <s v="128.205.114.91"/>
    <s v="Q327 -- .D83 2001eb"/>
    <n v="6.4"/>
    <d v="2012-11-09T00:00:00"/>
  </r>
  <r>
    <x v="6788"/>
    <d v="1899-12-30T00:00:00"/>
    <x v="13"/>
    <x v="0"/>
    <s v="Buffalo"/>
    <x v="4"/>
    <n v="699526"/>
    <x v="0"/>
    <s v="Science; Computer Science/IT"/>
    <s v="9781118586006"/>
    <m/>
    <n v="0"/>
    <m/>
    <m/>
    <s v="No"/>
    <x v="0"/>
    <d v="2015-09-29T14:52:09"/>
    <n v="7"/>
    <s v="128.205.114.91"/>
    <s v="Q327 -- .D83 2001eb"/>
    <n v="6.4"/>
    <d v="2012-11-09T00:00:00"/>
  </r>
  <r>
    <x v="6789"/>
    <d v="1899-12-30T00:00:21"/>
    <x v="13"/>
    <x v="0"/>
    <s v="Buffalo"/>
    <x v="4"/>
    <n v="699526"/>
    <x v="0"/>
    <s v="Science; Computer Science/IT"/>
    <s v="9781118586006"/>
    <s v=",1,2,2,3,3,1,4,4"/>
    <n v="4"/>
    <m/>
    <m/>
    <s v="No"/>
    <x v="1"/>
    <m/>
    <m/>
    <s v="128.205.114.91"/>
    <s v="Q327 -- .D83 2001eb"/>
    <n v="6.4"/>
    <d v="2012-11-09T00:00:00"/>
  </r>
  <r>
    <x v="6790"/>
    <d v="1899-12-30T00:00:08"/>
    <x v="1587"/>
    <x v="0"/>
    <s v="Buffalo"/>
    <x v="6"/>
    <n v="1635363"/>
    <x v="0"/>
    <s v="Law"/>
    <s v="9781118678206"/>
    <s v=",54,55,56,57,58"/>
    <n v="5"/>
    <m/>
    <m/>
    <s v="No"/>
    <x v="0"/>
    <d v="2015-09-29T14:42:11"/>
    <n v="7"/>
    <s v="128.205.114.91"/>
    <s v="KF285.Z9 -- H38 2014eb"/>
    <n v="340.07600000000002"/>
    <d v="2014-02-14T00:00:00"/>
  </r>
  <r>
    <x v="6791"/>
    <d v="1899-12-30T00:13:14"/>
    <x v="13"/>
    <x v="0"/>
    <s v="Buffalo"/>
    <x v="73"/>
    <n v="1119505"/>
    <x v="0"/>
    <s v="Science: Chemistry; Science"/>
    <s v="9781118355015"/>
    <s v=",1,3,3,2,1,2,387,388,387,2,388,2,385,386,389,386,389,390,390,391,391,386,389,385,390,391,386,385,390,391,386,385,390,391"/>
    <n v="10"/>
    <m/>
    <m/>
    <s v="No"/>
    <x v="0"/>
    <d v="2015-09-22T20:22:23"/>
    <n v="7"/>
    <s v="128.205.114.91"/>
    <s v="QD251.3 -- .S38 2013eb"/>
    <s v="547/.128"/>
    <d v="2013-01-28T00:00:00"/>
  </r>
  <r>
    <x v="6792"/>
    <d v="1899-12-30T00:22:27"/>
    <x v="1587"/>
    <x v="0"/>
    <s v="Buffalo"/>
    <x v="6"/>
    <n v="1635363"/>
    <x v="0"/>
    <s v="Law"/>
    <s v="9781118678206"/>
    <s v=",1,2,3,4,51,52,53,49,50"/>
    <n v="9"/>
    <m/>
    <m/>
    <s v="No"/>
    <x v="1"/>
    <m/>
    <m/>
    <s v="128.205.114.91"/>
    <s v="KF285.Z9 -- H38 2014eb"/>
    <n v="340.07600000000002"/>
    <d v="2014-02-14T00:00:00"/>
  </r>
  <r>
    <x v="6793"/>
    <d v="1899-12-30T00:01:11"/>
    <x v="1588"/>
    <x v="0"/>
    <s v="Buffalo"/>
    <x v="728"/>
    <n v="1872281"/>
    <x v="4"/>
    <s v="Education; Business/Management"/>
    <s v="9781462519606"/>
    <s v=",288,283,288,314,315,316,312,313,317,319,320,321,318,322,323,324,325"/>
    <n v="16"/>
    <s v=",285,285"/>
    <m/>
    <s v="Yes"/>
    <x v="0"/>
    <d v="2015-09-23T13:29:58"/>
    <n v="7"/>
    <s v="128.205.114.91"/>
    <s v="HD75 -- .P448 2015eb"/>
    <n v="378.101"/>
    <d v="2015-05-26T00:00:00"/>
  </r>
  <r>
    <x v="6794"/>
    <d v="1899-12-30T00:00:21"/>
    <x v="1588"/>
    <x v="0"/>
    <s v="Buffalo"/>
    <x v="728"/>
    <n v="1872281"/>
    <x v="4"/>
    <s v="Education; Business/Management"/>
    <s v="9781462519606"/>
    <s v=",1,2,3,285,286,287,283,284"/>
    <n v="8"/>
    <m/>
    <m/>
    <s v="No"/>
    <x v="0"/>
    <d v="2015-09-23T13:29:58"/>
    <n v="7"/>
    <s v="128.205.114.91"/>
    <s v="HD75 -- .P448 2015eb"/>
    <n v="378.101"/>
    <d v="2015-05-26T00:00:00"/>
  </r>
  <r>
    <x v="6795"/>
    <d v="1899-12-30T00:01:50"/>
    <x v="824"/>
    <x v="0"/>
    <s v="Buffalo"/>
    <x v="161"/>
    <n v="821663"/>
    <x v="0"/>
    <s v="Architecture"/>
    <s v="9781118168479"/>
    <s v=",1,2,3,4,172,173,175,174,171,170"/>
    <n v="10"/>
    <m/>
    <m/>
    <s v="No"/>
    <x v="0"/>
    <d v="2015-09-29T13:17:30"/>
    <n v="7"/>
    <s v="128.205.114.91"/>
    <s v="NA2547 -- .S74 2012eb"/>
    <n v="729"/>
    <d v="2012-03-05T00:00:00"/>
  </r>
  <r>
    <x v="6796"/>
    <d v="1899-12-30T00:00:06"/>
    <x v="13"/>
    <x v="0"/>
    <s v="Buffalo"/>
    <x v="796"/>
    <n v="1318206"/>
    <x v="0"/>
    <s v="Computer Science/IT; Social Science"/>
    <s v="9781118363560"/>
    <s v=",2,2"/>
    <n v="1"/>
    <m/>
    <m/>
    <s v="Yes"/>
    <x v="0"/>
    <d v="2015-09-29T13:51:34"/>
    <n v="7"/>
    <s v="128.205.114.91"/>
    <s v="HA32 -- .M4994 2013eb"/>
    <s v="005.5/5"/>
    <d v="2013-07-15T00:00:00"/>
  </r>
  <r>
    <x v="6796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09-29T13:51:34"/>
    <n v="7"/>
    <s v="128.205.114.91"/>
    <s v="HA32 -- .M4994 2013eb"/>
    <s v="005.5/5"/>
    <d v="2013-07-15T00:00:00"/>
  </r>
  <r>
    <x v="6797"/>
    <d v="1899-12-30T00:00:15"/>
    <x v="13"/>
    <x v="0"/>
    <s v="Buffalo"/>
    <x v="796"/>
    <n v="1318206"/>
    <x v="0"/>
    <s v="Computer Science/IT; Social Science"/>
    <s v="9781118363560"/>
    <s v=",1,1,3,3,2,2,4,4"/>
    <n v="4"/>
    <m/>
    <m/>
    <s v="No"/>
    <x v="1"/>
    <m/>
    <m/>
    <s v="128.205.114.91"/>
    <s v="HA32 -- .M4994 2013eb"/>
    <s v="005.5/5"/>
    <d v="2013-07-15T00:00:00"/>
  </r>
  <r>
    <x v="6798"/>
    <d v="1899-12-30T01:13:14"/>
    <x v="1043"/>
    <x v="0"/>
    <s v="Buffalo"/>
    <x v="73"/>
    <n v="1119505"/>
    <x v="0"/>
    <s v="Science: Chemistry; Science"/>
    <s v="9781118355015"/>
    <s v=",1,2,2,3,1,3,387,388,387,389,388,389,385,386,386,2,390,390,385,390,385,389,390,391,391,386,391,386,391,386,391,386,385,390,391,392,392,387,386,385,390,391,386,391,392,387,386,391,386,385,390,391,386,391,392,386,391,386,391,386,385"/>
    <n v="11"/>
    <m/>
    <m/>
    <s v="No"/>
    <x v="0"/>
    <d v="2015-09-24T14:15:08"/>
    <n v="7"/>
    <s v="128.205.114.91"/>
    <s v="QD251.3 -- .S38 2013eb"/>
    <s v="547/.128"/>
    <d v="2013-01-28T00:00:00"/>
  </r>
  <r>
    <x v="6799"/>
    <d v="1899-12-30T00:18:16"/>
    <x v="1008"/>
    <x v="0"/>
    <s v="Buffalo"/>
    <x v="73"/>
    <n v="1119505"/>
    <x v="0"/>
    <s v="Science: Chemistry; Science"/>
    <s v="9781118355015"/>
    <s v=",1,2,3,387,388,389,385,386,390,61,62,63,59,60,64,65,66,387,388,389,385,386,390,391,390,61,62,390,391,59,392,63,388,60,1,389,387,61,62,63,59,60,64,65,66,2,390,391"/>
    <n v="19"/>
    <m/>
    <m/>
    <s v="No"/>
    <x v="0"/>
    <d v="2015-09-28T19:23:07"/>
    <n v="7"/>
    <s v="128.205.114.91"/>
    <s v="QD251.3 -- .S38 2013eb"/>
    <s v="547/.128"/>
    <d v="2013-01-28T00:00:00"/>
  </r>
  <r>
    <x v="6800"/>
    <d v="1899-12-30T01:14:15"/>
    <x v="1043"/>
    <x v="0"/>
    <s v="Buffalo"/>
    <x v="73"/>
    <n v="1119505"/>
    <x v="0"/>
    <s v="Science: Chemistry; Science"/>
    <s v="9781118355015"/>
    <s v=",1,2,2,3,3,1,106,107,106,105,107,104,106,105,104,106,102,103,103,2,101,94,95,94,95,96,94,96,92,93,93,97,97,98,98,99,99,100,100,101,102,103,104,99,98,97,96,95,94,92,90,89,88,89,87,88,87,85,90,84,85,84,86,84,83,86,84,82,83,84,82,80,81,81,101,102,103,99,100,104,105,106,89,90,91,88,87,91,92,101,102,103,99,104,100,105,106,107,94,95,96,92,93,97,98,99,100,101,102,97,102,103,104,105,106,107,102,101,100,105,106,107,101,102,104,100,105,106,107,101,102,100"/>
    <n v="31"/>
    <m/>
    <m/>
    <s v="No"/>
    <x v="0"/>
    <d v="2015-09-24T14:15:08"/>
    <n v="7"/>
    <s v="128.205.114.91"/>
    <s v="QD251.3 -- .S38 2013eb"/>
    <s v="547/.128"/>
    <d v="2013-01-28T00:00:00"/>
  </r>
  <r>
    <x v="6801"/>
    <d v="1899-12-30T00:21:07"/>
    <x v="824"/>
    <x v="0"/>
    <s v="Buffalo"/>
    <x v="161"/>
    <n v="821663"/>
    <x v="0"/>
    <s v="Architecture"/>
    <s v="9781118168479"/>
    <s v=",164,165,166,167,168,1,170,169,171,167,168,166,165,164,163,2,162,161,160,159,158,172,173,174,172,175"/>
    <n v="20"/>
    <m/>
    <m/>
    <s v="No"/>
    <x v="0"/>
    <d v="2015-09-29T13:17:30"/>
    <n v="7"/>
    <s v="128.205.114.91"/>
    <s v="NA2547 -- .S74 2012eb"/>
    <n v="729"/>
    <d v="2012-03-05T00:00:00"/>
  </r>
  <r>
    <x v="6802"/>
    <d v="1899-12-30T00:11:22"/>
    <x v="824"/>
    <x v="0"/>
    <s v="Buffalo"/>
    <x v="161"/>
    <n v="821663"/>
    <x v="0"/>
    <s v="Architecture"/>
    <s v="9781118168479"/>
    <s v=",1,157,158,155,159,156,2,160,161,162,163,163"/>
    <n v="11"/>
    <m/>
    <m/>
    <s v="No"/>
    <x v="1"/>
    <m/>
    <m/>
    <s v="128.205.114.91"/>
    <s v="NA2547 -- .S74 2012eb"/>
    <n v="729"/>
    <d v="2012-03-05T00:00:00"/>
  </r>
  <r>
    <x v="6803"/>
    <d v="1899-12-30T00:00:10"/>
    <x v="98"/>
    <x v="4"/>
    <s v="monroe2boces"/>
    <x v="485"/>
    <n v="843407"/>
    <x v="0"/>
    <s v="Literature"/>
    <s v="9781118256589"/>
    <s v=",1,2,3,4"/>
    <n v="4"/>
    <m/>
    <m/>
    <s v="No"/>
    <x v="1"/>
    <m/>
    <m/>
    <s v="216.226.102.163"/>
    <s v="PR1139 -- .R66 2012eb"/>
    <s v="820.8/0145"/>
    <d v="2012-01-13T00:00:00"/>
  </r>
  <r>
    <x v="6804"/>
    <d v="1899-12-30T00:01:13"/>
    <x v="824"/>
    <x v="0"/>
    <s v="Buffalo"/>
    <x v="161"/>
    <n v="821663"/>
    <x v="0"/>
    <s v="Architecture"/>
    <s v="9781118168479"/>
    <s v=",1,2,3,157,158,159,155,156,173,174,175,171,172,166,167,168,165,164,162,163,161,160"/>
    <n v="22"/>
    <m/>
    <m/>
    <s v="No"/>
    <x v="0"/>
    <d v="2015-09-22T10:55:05"/>
    <n v="7"/>
    <s v="128.205.114.91"/>
    <s v="NA2547 -- .S74 2012eb"/>
    <n v="729"/>
    <d v="2012-03-05T00:00:00"/>
  </r>
  <r>
    <x v="6805"/>
    <d v="1899-12-30T00:01:09"/>
    <x v="760"/>
    <x v="0"/>
    <s v="Buffalo"/>
    <x v="728"/>
    <n v="1872281"/>
    <x v="4"/>
    <s v="Education; Business/Management"/>
    <s v="9781462519606"/>
    <s v=",1,2,3,188,189,190,186,187,191,192,193,191,192,193,189,190"/>
    <n v="11"/>
    <m/>
    <m/>
    <s v="No"/>
    <x v="1"/>
    <m/>
    <m/>
    <s v="128.205.114.91"/>
    <s v="HD75 -- .P448 2015eb"/>
    <n v="378.101"/>
    <d v="2015-05-26T00:00:00"/>
  </r>
  <r>
    <x v="6806"/>
    <d v="1899-12-30T00:01:14"/>
    <x v="1589"/>
    <x v="0"/>
    <s v="Buffalo"/>
    <x v="674"/>
    <n v="980956"/>
    <x v="0"/>
    <s v="Psychology; Social Science"/>
    <s v="9781118227251"/>
    <s v=",1,2,3,4,6,5"/>
    <n v="6"/>
    <m/>
    <m/>
    <s v="No"/>
    <x v="1"/>
    <m/>
    <m/>
    <s v="128.205.114.91"/>
    <s v="HV40 -- .T51377 2012eb"/>
    <s v="150.1023/36132"/>
    <d v="2012-07-23T00:00:00"/>
  </r>
  <r>
    <x v="6807"/>
    <d v="1899-12-30T01:36:36"/>
    <x v="13"/>
    <x v="0"/>
    <s v="Buffalo"/>
    <x v="73"/>
    <n v="1119505"/>
    <x v="0"/>
    <s v="Science: Chemistry; Science"/>
    <s v="9781118355015"/>
    <s v=",1,2,3,387,389,385,388,386,373,374,371,372,375,387,386,388,389,81,82,83,84,85,86,87,88,89,90,91,92,93,94,387,388,389,386"/>
    <n v="27"/>
    <m/>
    <m/>
    <s v="No"/>
    <x v="0"/>
    <d v="2015-09-22T20:22:23"/>
    <n v="7"/>
    <s v="128.205.114.91"/>
    <s v="QD251.3 -- .S38 2013eb"/>
    <s v="547/.128"/>
    <d v="2013-01-28T00:00:00"/>
  </r>
  <r>
    <x v="6808"/>
    <d v="1899-12-30T00:01:11"/>
    <x v="1590"/>
    <x v="12"/>
    <s v="potsdam"/>
    <x v="1546"/>
    <n v="1487070"/>
    <x v="2"/>
    <s v="Fine Arts"/>
    <s v="9781136155628"/>
    <s v=",1,2,3,4,5,6,7,8,9,10,11,12,13,14,15,16,17,18,19,20,21,22,23,24,25,26,27,28,29,30,31,32,33,34,35,36,37,38,39,51,50,44,45,46,43,41,42,40"/>
    <n v="48"/>
    <m/>
    <m/>
    <s v="No"/>
    <x v="3"/>
    <m/>
    <m/>
    <s v="137.143.104.94"/>
    <s v="N7630.B48"/>
    <n v="704.94240000000002"/>
    <d v="2013-10-18T00:00:00"/>
  </r>
  <r>
    <x v="6809"/>
    <d v="1899-12-30T00:00:34"/>
    <x v="634"/>
    <x v="11"/>
    <s v="cobleskill"/>
    <x v="11"/>
    <n v="693176"/>
    <x v="0"/>
    <s v="Engineering: Manufacturing; General Works/Reference; Engineering"/>
    <s v="9781118017746"/>
    <s v=",1,3,2,248,249,250,247,246,248,250,247,246,249,251,2,252,253,254"/>
    <n v="12"/>
    <m/>
    <m/>
    <s v="No"/>
    <x v="0"/>
    <d v="2015-09-27T20:11:19"/>
    <n v="7"/>
    <s v="137.36.32.34"/>
    <s v="Z246 -- .M43 2012eb"/>
    <s v="686.2/209"/>
    <d v="2011-10-19T00:00:00"/>
  </r>
  <r>
    <x v="6810"/>
    <d v="1899-12-30T00:00:08"/>
    <x v="1210"/>
    <x v="1"/>
    <s v="brockport"/>
    <x v="151"/>
    <n v="968030"/>
    <x v="0"/>
    <s v="Psychology"/>
    <s v="9781118285138"/>
    <s v=",65,66,70,87,91,92,93,94,90"/>
    <n v="9"/>
    <m/>
    <m/>
    <s v="No"/>
    <x v="0"/>
    <d v="2015-09-29T01:32:57"/>
    <n v="7"/>
    <s v="137.21.7.121"/>
    <s v="BF637.C6 -- S85 2013eb"/>
    <n v="158.30000000000001"/>
    <d v="2012-07-10T00:00:00"/>
  </r>
  <r>
    <x v="6811"/>
    <d v="1899-12-30T00:10:40"/>
    <x v="1210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6812"/>
    <d v="1899-12-30T00:19:08"/>
    <x v="1507"/>
    <x v="16"/>
    <s v="monroecc"/>
    <x v="1547"/>
    <n v="1182798"/>
    <x v="5"/>
    <s v="History; Social Science"/>
    <s v="9780814770849"/>
    <s v=",285,286,283,284,282,280,281,279,278,277,276,274,275,18,19,20,21,22,23,24,25,26,27,28,29,30"/>
    <n v="26"/>
    <m/>
    <m/>
    <s v="No"/>
    <x v="2"/>
    <d v="2015-09-29T00:59:43"/>
    <n v="1"/>
    <s v="150.160.200.114"/>
    <s v="E184.A75 -- C486 2013eb"/>
    <s v="305.895/07309045"/>
    <d v="2013-05-06T00:00:00"/>
  </r>
  <r>
    <x v="6813"/>
    <d v="1899-12-30T00:07:41"/>
    <x v="1507"/>
    <x v="16"/>
    <s v="monroecc"/>
    <x v="1547"/>
    <n v="1182798"/>
    <x v="5"/>
    <s v="History; Social Science"/>
    <s v="9780814770849"/>
    <s v=",1,2,3,4,5,6,7,8,9,10,11,12,13,14,15,16,17"/>
    <n v="17"/>
    <m/>
    <m/>
    <s v="No"/>
    <x v="3"/>
    <m/>
    <m/>
    <s v="150.160.200.114"/>
    <s v="E184.A75 -- C486 2013eb"/>
    <s v="305.895/07309045"/>
    <d v="2013-05-06T00:00:00"/>
  </r>
  <r>
    <x v="6814"/>
    <d v="1899-12-30T00:00:37"/>
    <x v="13"/>
    <x v="0"/>
    <s v="Buffalo"/>
    <x v="73"/>
    <n v="1119505"/>
    <x v="0"/>
    <s v="Science: Chemistry; Science"/>
    <s v="9781118355015"/>
    <s v=",1,2,3,80,79,81,82,78"/>
    <n v="8"/>
    <m/>
    <m/>
    <s v="No"/>
    <x v="0"/>
    <d v="2015-09-22T20:22:23"/>
    <n v="7"/>
    <s v="128.205.114.91"/>
    <s v="QD251.3 -- .S38 2013eb"/>
    <s v="547/.128"/>
    <d v="2013-01-28T00:00:00"/>
  </r>
  <r>
    <x v="6815"/>
    <d v="1899-12-30T00:00:00"/>
    <x v="1448"/>
    <x v="0"/>
    <s v="Buffalo"/>
    <x v="4"/>
    <n v="699526"/>
    <x v="0"/>
    <s v="Science; Computer Science/IT"/>
    <s v="9781118586006"/>
    <m/>
    <n v="0"/>
    <s v=",1"/>
    <m/>
    <s v="No"/>
    <x v="0"/>
    <d v="2015-09-29T00:13:00"/>
    <n v="7"/>
    <s v="128.205.114.91"/>
    <s v="Q327 -- .D83 2001eb"/>
    <n v="6.4"/>
    <d v="2012-11-09T00:00:00"/>
  </r>
  <r>
    <x v="6816"/>
    <d v="1899-12-30T00:00:36"/>
    <x v="1448"/>
    <x v="0"/>
    <s v="Buffalo"/>
    <x v="4"/>
    <n v="699526"/>
    <x v="0"/>
    <s v="Science; Computer Science/IT"/>
    <s v="9781118586006"/>
    <s v=",1,2,3,1"/>
    <n v="3"/>
    <m/>
    <m/>
    <s v="No"/>
    <x v="1"/>
    <m/>
    <m/>
    <s v="128.205.114.91"/>
    <s v="Q327 -- .D83 2001eb"/>
    <n v="6.4"/>
    <d v="2012-11-09T00:00:00"/>
  </r>
  <r>
    <x v="6817"/>
    <d v="1899-12-30T00:00:56"/>
    <x v="1448"/>
    <x v="0"/>
    <s v="Buffalo"/>
    <x v="4"/>
    <n v="699526"/>
    <x v="0"/>
    <s v="Science; Computer Science/IT"/>
    <s v="9781118586006"/>
    <s v=",1,3,2,306,307,308,304,305,309,310,311,312,314,313,315,316,317,318,319,320,321,322,323,324"/>
    <n v="24"/>
    <m/>
    <m/>
    <s v="No"/>
    <x v="1"/>
    <m/>
    <m/>
    <s v="128.205.114.91"/>
    <s v="Q327 -- .D83 2001eb"/>
    <n v="6.4"/>
    <d v="2012-11-09T00:00:00"/>
  </r>
  <r>
    <x v="6818"/>
    <d v="1899-12-30T03:53:54"/>
    <x v="1578"/>
    <x v="0"/>
    <s v="Buffalo"/>
    <x v="31"/>
    <n v="1682559"/>
    <x v="4"/>
    <s v="Medicine"/>
    <s v="9781462515431"/>
    <s v=",1,2,3,69,70,71,67,68,122,123,124,120,121,72,73,74,75,76,77,78,79,80,81,82,83,84,85,86,87,88,89,90,91,92,93,94,95,96,97,98,99,100,101,102,103,104,105,106,107,108,109,110,111,112,113,114,115,116,117,118,119,120,121,122,123,124,249,250,251,247,248,263,264,265,252,253,254,255,1,256,257,258,255,254,259,260,2,261,262,263,264,265,290"/>
    <n v="81"/>
    <m/>
    <m/>
    <s v="No"/>
    <x v="0"/>
    <d v="2015-09-22T22:52:21"/>
    <n v="7"/>
    <s v="128.205.114.91"/>
    <s v="RC469 -- .M677 2014eb"/>
    <n v="616.89"/>
    <d v="2014-05-10T00:00:00"/>
  </r>
  <r>
    <x v="6819"/>
    <d v="1899-12-30T00:01:55"/>
    <x v="1532"/>
    <x v="12"/>
    <s v="potsdam"/>
    <x v="1415"/>
    <n v="1546789"/>
    <x v="2"/>
    <s v="History"/>
    <s v="9781317976431"/>
    <s v=",1,2,3,154,155,156,173,174,175,171,172,152,153"/>
    <n v="13"/>
    <m/>
    <m/>
    <s v="No"/>
    <x v="2"/>
    <d v="2015-09-28T17:33:52"/>
    <n v="1"/>
    <s v="137.143.104.94"/>
    <s v="DG276 -- .A44 2014eb"/>
    <n v="937.07"/>
    <d v="2013-11-07T00:00:00"/>
  </r>
  <r>
    <x v="6820"/>
    <d v="1899-12-30T00:00:43"/>
    <x v="1591"/>
    <x v="0"/>
    <s v="Buffalo"/>
    <x v="0"/>
    <n v="1120290"/>
    <x v="0"/>
    <s v="Language/Linguistics"/>
    <s v="9781118347478"/>
    <s v=",1,2,3,40,41,45,46,47,43,44,42,38,39"/>
    <n v="13"/>
    <m/>
    <m/>
    <s v="No"/>
    <x v="1"/>
    <m/>
    <m/>
    <s v="128.205.114.91"/>
    <s v="PE1133 .C34 2012"/>
    <n v="421"/>
    <d v="2012-07-11T00:00:00"/>
  </r>
  <r>
    <x v="6821"/>
    <d v="1899-12-30T00:00:03"/>
    <x v="1592"/>
    <x v="0"/>
    <s v="Buffalo"/>
    <x v="1548"/>
    <n v="1710987"/>
    <x v="3"/>
    <s v="Fine Arts"/>
    <s v="9780520958975"/>
    <s v=",1,2,3"/>
    <n v="3"/>
    <m/>
    <m/>
    <s v="No"/>
    <x v="2"/>
    <d v="2015-09-28T22:57:16"/>
    <n v="7"/>
    <s v="128.205.114.91"/>
    <s v="ML1711.8.N3 -- .M384 2014eb"/>
    <s v="792.509747/1"/>
    <d v="2014-09-22T00:00:00"/>
  </r>
  <r>
    <x v="6822"/>
    <d v="1899-12-30T00:00:00"/>
    <x v="1592"/>
    <x v="0"/>
    <s v="Buffalo"/>
    <x v="1548"/>
    <n v="1710987"/>
    <x v="3"/>
    <s v="Fine Arts"/>
    <s v="9780520958975"/>
    <m/>
    <n v="0"/>
    <m/>
    <s v=",131,132,133,134,135,136,137,138,139,140,141,142,143,144,145,146,147,148,149,150,151,152,153,154,155,156,157,158,159,160,161,162,163,164,165,166,167,168,169,170,171,172,173,174"/>
    <s v="Yes"/>
    <x v="2"/>
    <d v="2015-09-28T22:57:16"/>
    <n v="7"/>
    <s v="128.205.114.91"/>
    <s v="ML1711.8.N3 -- .M384 2014eb"/>
    <s v="792.509747/1"/>
    <d v="2014-09-22T00:00:00"/>
  </r>
  <r>
    <x v="6823"/>
    <d v="1899-12-30T00:04:22"/>
    <x v="1592"/>
    <x v="0"/>
    <s v="Buffalo"/>
    <x v="1548"/>
    <n v="1710987"/>
    <x v="3"/>
    <s v="Fine Arts"/>
    <s v="9780520958975"/>
    <s v=",4,20,16"/>
    <n v="3"/>
    <m/>
    <s v="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,131,132,133,134,135,136,137,138,139,140,141,142,143,144,145,146,147,148,149,150,151,152,153,154,155,156,157,158,159,160,161,162,163,164,165,166,167,168,169,170,171,172,173,174,175,176,177,178,179,180,181,182,183,184,185,186,187,188,189,190,191,192,193,194,195,196,197,198,199,200"/>
    <s v="Yes"/>
    <x v="2"/>
    <d v="2015-09-28T22:57:16"/>
    <n v="7"/>
    <s v="128.205.114.91"/>
    <s v="ML1711.8.N3 -- .M384 2014eb"/>
    <s v="792.509747/1"/>
    <d v="2014-09-22T00:00:00"/>
  </r>
  <r>
    <x v="6823"/>
    <d v="1899-12-30T00:00:00"/>
    <x v="1592"/>
    <x v="0"/>
    <s v="Buffalo"/>
    <x v="1548"/>
    <n v="1710987"/>
    <x v="3"/>
    <s v="Fine Arts"/>
    <s v="9780520958975"/>
    <m/>
    <n v="0"/>
    <m/>
    <m/>
    <s v="No"/>
    <x v="2"/>
    <d v="2015-09-28T22:57:16"/>
    <n v="7"/>
    <s v="128.205.114.91"/>
    <s v="ML1711.8.N3 -- .M384 2014eb"/>
    <s v="792.509747/1"/>
    <d v="2014-09-22T00:00:00"/>
  </r>
  <r>
    <x v="6824"/>
    <d v="1899-12-30T00:00:21"/>
    <x v="1592"/>
    <x v="0"/>
    <s v="Buffalo"/>
    <x v="1548"/>
    <n v="1710987"/>
    <x v="3"/>
    <s v="Fine Arts"/>
    <s v="9780520958975"/>
    <s v=",1,3,2"/>
    <n v="3"/>
    <m/>
    <m/>
    <s v="No"/>
    <x v="3"/>
    <m/>
    <m/>
    <s v="128.205.114.91"/>
    <s v="ML1711.8.N3 -- .M384 2014eb"/>
    <s v="792.509747/1"/>
    <d v="2014-09-22T00:00:00"/>
  </r>
  <r>
    <x v="6825"/>
    <d v="1899-12-30T00:00:26"/>
    <x v="1593"/>
    <x v="6"/>
    <s v="sjfc"/>
    <x v="1549"/>
    <n v="1173658"/>
    <x v="7"/>
    <s v="Medicine"/>
    <s v="9781780641317"/>
    <s v=",1,2,3"/>
    <n v="3"/>
    <m/>
    <m/>
    <s v="No"/>
    <x v="3"/>
    <m/>
    <m/>
    <s v="149.69.254.57"/>
    <s v="RC311.1 -- .T83 2013eb"/>
    <s v="616.99/5075"/>
    <d v="2013-01-01T00:00:00"/>
  </r>
  <r>
    <x v="6826"/>
    <d v="1899-12-30T00:08:37"/>
    <x v="1594"/>
    <x v="0"/>
    <s v="Buffalo"/>
    <x v="1550"/>
    <n v="1784632"/>
    <x v="1"/>
    <s v="Social Science; Health"/>
    <s v="9781409448150"/>
    <s v=",36,37,38,39,40,41,42,43,44,45,46,47,48,49,50,51,52,53,54,55,56,57,58,59,60,61,62,63,64,65,66,67,28,29,30,1,3,4,5,6,7"/>
    <n v="41"/>
    <m/>
    <m/>
    <s v="No"/>
    <x v="2"/>
    <d v="2015-09-28T22:07:55"/>
    <n v="1"/>
    <s v="128.205.114.91"/>
    <s v="RA969.9 -- .P385 2014eb"/>
    <s v="362.11028/9"/>
    <d v="2014-11-28T00:00:00"/>
  </r>
  <r>
    <x v="6827"/>
    <d v="1899-12-30T00:06:54"/>
    <x v="1594"/>
    <x v="0"/>
    <s v="Buffalo"/>
    <x v="1550"/>
    <n v="1784632"/>
    <x v="1"/>
    <s v="Social Science; Health"/>
    <s v="9781409448150"/>
    <s v=",2,1,3,236,237,238,235,234,44,46,45,42,43,47,30,31,32,28,29,33,34,35"/>
    <n v="22"/>
    <m/>
    <m/>
    <s v="No"/>
    <x v="3"/>
    <m/>
    <m/>
    <s v="128.205.114.91"/>
    <s v="RA969.9 -- .P385 2014eb"/>
    <s v="362.11028/9"/>
    <d v="2014-11-28T00:00:00"/>
  </r>
  <r>
    <x v="6828"/>
    <d v="1899-12-30T00:02:14"/>
    <x v="1586"/>
    <x v="14"/>
    <s v="houghton"/>
    <x v="1542"/>
    <n v="821901"/>
    <x v="0"/>
    <s v="Business/Management"/>
    <s v="9781118244333"/>
    <s v=",248"/>
    <n v="1"/>
    <s v=",245"/>
    <m/>
    <s v="No"/>
    <x v="0"/>
    <d v="2015-09-28T21:55:03"/>
    <n v="7"/>
    <s v="96.43.64.169"/>
    <s v="HE341 -- .H47 2012eb"/>
    <n v="388.1"/>
    <d v="2012-03-16T00:00:00"/>
  </r>
  <r>
    <x v="6829"/>
    <d v="1899-12-30T00:06:37"/>
    <x v="1586"/>
    <x v="14"/>
    <s v="houghton"/>
    <x v="1542"/>
    <n v="821901"/>
    <x v="0"/>
    <s v="Business/Management"/>
    <s v="9781118244333"/>
    <s v=",1,2,3,244,245,246,243,242,247,248,250,242"/>
    <n v="11"/>
    <m/>
    <m/>
    <s v="No"/>
    <x v="1"/>
    <m/>
    <m/>
    <s v="96.43.64.169"/>
    <s v="HE341 -- .H47 2012eb"/>
    <n v="388.1"/>
    <d v="2012-03-16T00:00:00"/>
  </r>
  <r>
    <x v="6830"/>
    <d v="1899-12-30T02:15:14"/>
    <x v="13"/>
    <x v="0"/>
    <s v="Buffalo"/>
    <x v="73"/>
    <n v="1119505"/>
    <x v="0"/>
    <s v="Science: Chemistry; Science"/>
    <s v="9781118355015"/>
    <s v=",1,2,3,100,101,102,98,99,387,388,389,385,386,390,391,392,385"/>
    <n v="16"/>
    <m/>
    <m/>
    <s v="No"/>
    <x v="0"/>
    <d v="2015-09-22T20:22:23"/>
    <n v="7"/>
    <s v="128.205.114.91"/>
    <s v="QD251.3 -- .S38 2013eb"/>
    <s v="547/.128"/>
    <d v="2013-01-28T00:00:00"/>
  </r>
  <r>
    <x v="6831"/>
    <d v="1899-12-30T00:00:05"/>
    <x v="1578"/>
    <x v="0"/>
    <s v="Buffalo"/>
    <x v="31"/>
    <n v="1682559"/>
    <x v="4"/>
    <s v="Medicine"/>
    <s v="9781462515431"/>
    <s v=",1,2,3"/>
    <n v="3"/>
    <m/>
    <m/>
    <s v="No"/>
    <x v="0"/>
    <d v="2015-09-22T22:52:21"/>
    <n v="7"/>
    <s v="128.205.114.91"/>
    <s v="RC469 -- .M677 2014eb"/>
    <n v="616.89"/>
    <d v="2014-05-10T00:00:00"/>
  </r>
  <r>
    <x v="6832"/>
    <d v="1899-12-30T01:13:25"/>
    <x v="1043"/>
    <x v="0"/>
    <s v="Buffalo"/>
    <x v="73"/>
    <n v="1119505"/>
    <x v="0"/>
    <s v="Science: Chemistry; Science"/>
    <s v="9781118355015"/>
    <s v=",1,3,3,2,1,2,100,101,100,101,102,99,102,98,99,2,103,103,104,104,1,104,105,106,102,105,1,106,104,103,103,387,388,388,389,385,387,389,386,386,2,2,390,391,392,391,390,392,387,386,385,389,81,82,81,83,82,79,83,80,80,84,84,85,86,85,86,83,84,87,87,88,88,89,89,90,90,91,91,92,92,93,93,94,94,95,96,95,96,101,102,103,99,100,104,390,391,386,391,386,391,386,391,386,385,390,391,386,391,386,385,384,389,390,391,386,385,390,391,386,385,390,385,390,391,386,391,386,391,94,95,96,92,93,97,97,92,91,90,89,88,87,86,85,84,83,82,81,80,79,56,57,56,57,58,54,58,55,59,60,61,55,57,60,61,58,59,60,62,63,62,63,64,64,65,65,106,107,106,107,103,105,102,105,104,100,101,56,57,58,54,55,59,60,61,62,63,64,65,101,102,103,99,104,100,105,386,391,386,391,386,391,386,391,386,391,386,89,90,87,91,88,92,101,102,103,99,104,105,106,100,391,386,391,386,391,386,391,386,385,390,391,386,385,390,391,386,391,386,391,105,386"/>
    <n v="53"/>
    <m/>
    <m/>
    <s v="No"/>
    <x v="0"/>
    <d v="2015-09-24T14:15:08"/>
    <n v="7"/>
    <s v="128.205.114.91"/>
    <s v="QD251.3 -- .S38 2013eb"/>
    <s v="547/.128"/>
    <d v="2013-01-28T00:00:00"/>
  </r>
  <r>
    <x v="6833"/>
    <d v="1899-12-30T00:00:54"/>
    <x v="906"/>
    <x v="1"/>
    <s v="brockport"/>
    <x v="151"/>
    <n v="968030"/>
    <x v="0"/>
    <s v="Psychology"/>
    <s v="9781118285138"/>
    <s v=",1,2,3,558,559,560,556,557,555,553,554,552,551,550,549,548"/>
    <n v="16"/>
    <m/>
    <m/>
    <s v="No"/>
    <x v="1"/>
    <m/>
    <m/>
    <s v="137.21.7.121"/>
    <s v="BF637.C6 -- S85 2013eb"/>
    <n v="158.30000000000001"/>
    <d v="2012-07-10T00:00:00"/>
  </r>
  <r>
    <x v="6834"/>
    <d v="1899-12-30T00:00:17"/>
    <x v="1595"/>
    <x v="0"/>
    <s v="Buffalo"/>
    <x v="1551"/>
    <n v="938873"/>
    <x v="0"/>
    <s v="General Works/Reference; Computer Science/IT; Mathematics"/>
    <s v="9781119963127"/>
    <s v=",400"/>
    <n v="1"/>
    <m/>
    <m/>
    <s v="Yes"/>
    <x v="0"/>
    <d v="2015-09-28T19:50:40"/>
    <n v="7"/>
    <s v="128.205.114.91"/>
    <s v="QA276.45.R3 -- V75 2012eb"/>
    <s v="001.642; 005.55"/>
    <d v="2012-06-04T00:00:00"/>
  </r>
  <r>
    <x v="6835"/>
    <d v="1899-12-30T00:00:00"/>
    <x v="1595"/>
    <x v="0"/>
    <s v="Buffalo"/>
    <x v="1551"/>
    <n v="938873"/>
    <x v="0"/>
    <s v="General Works/Reference; Computer Science/IT; Mathematics"/>
    <s v="9781119963127"/>
    <m/>
    <n v="0"/>
    <m/>
    <m/>
    <s v="Yes"/>
    <x v="0"/>
    <d v="2015-09-28T19:50:40"/>
    <n v="7"/>
    <s v="128.205.114.91"/>
    <s v="QA276.45.R3 -- V75 2012eb"/>
    <s v="001.642; 005.55"/>
    <d v="2012-06-04T00:00:00"/>
  </r>
  <r>
    <x v="6836"/>
    <d v="1899-12-30T00:01:53"/>
    <x v="1595"/>
    <x v="0"/>
    <s v="Buffalo"/>
    <x v="1551"/>
    <n v="938873"/>
    <x v="0"/>
    <s v="General Works/Reference; Computer Science/IT; Mathematics"/>
    <s v="9781119963127"/>
    <s v=",42,43,44,159,355,410,411,408,409,407,406,405,404,402,403,401"/>
    <n v="16"/>
    <m/>
    <m/>
    <s v="Yes"/>
    <x v="0"/>
    <d v="2015-09-28T19:50:40"/>
    <n v="7"/>
    <s v="128.205.114.91"/>
    <s v="QA276.45.R3 -- V75 2012eb"/>
    <s v="001.642; 005.55"/>
    <d v="2012-06-04T00:00:00"/>
  </r>
  <r>
    <x v="6837"/>
    <d v="1899-12-30T00:06:55"/>
    <x v="1596"/>
    <x v="0"/>
    <s v="Buffalo"/>
    <x v="957"/>
    <n v="1168529"/>
    <x v="0"/>
    <s v="Mathematics"/>
    <s v="9781118710944"/>
    <s v=",478,479,480,481,491,492,493,489,490,483,494,495,496,497,498,499,655,656,657,653,654,658,659,660,661,641,642,643,639,644,645,640,507,509,508,505,506,510,511,512,513,514,500,501,502,503,504"/>
    <n v="47"/>
    <m/>
    <m/>
    <s v="No"/>
    <x v="0"/>
    <d v="2015-09-28T19:52:09"/>
    <n v="7"/>
    <s v="128.205.114.91"/>
    <s v="QA278 .A353 2013"/>
    <s v="519.5; 519.535"/>
    <d v="2013-04-08T00:00:00"/>
  </r>
  <r>
    <x v="6838"/>
    <d v="1899-12-30T00:01:40"/>
    <x v="1595"/>
    <x v="0"/>
    <s v="Buffalo"/>
    <x v="1551"/>
    <n v="938873"/>
    <x v="0"/>
    <s v="General Works/Reference; Computer Science/IT; Mathematics"/>
    <s v="9781119963127"/>
    <s v=",32,33,34,35,36,37,38,39,40,41"/>
    <n v="10"/>
    <m/>
    <m/>
    <s v="Yes"/>
    <x v="0"/>
    <d v="2015-09-28T19:50:40"/>
    <n v="7"/>
    <s v="128.205.114.91"/>
    <s v="QA276.45.R3 -- V75 2012eb"/>
    <s v="001.642; 005.55"/>
    <d v="2012-06-04T00:00:00"/>
  </r>
  <r>
    <x v="6838"/>
    <d v="1899-12-30T00:00:00"/>
    <x v="1595"/>
    <x v="0"/>
    <s v="Buffalo"/>
    <x v="1551"/>
    <n v="938873"/>
    <x v="0"/>
    <s v="General Works/Reference; Computer Science/IT; Mathematics"/>
    <s v="9781119963127"/>
    <m/>
    <n v="0"/>
    <m/>
    <m/>
    <s v="No"/>
    <x v="0"/>
    <d v="2015-09-28T19:50:40"/>
    <n v="7"/>
    <s v="128.205.114.91"/>
    <s v="QA276.45.R3 -- V75 2012eb"/>
    <s v="001.642; 005.55"/>
    <d v="2012-06-04T00:00:00"/>
  </r>
  <r>
    <x v="6839"/>
    <d v="1899-12-30T00:00:29"/>
    <x v="1595"/>
    <x v="0"/>
    <s v="Buffalo"/>
    <x v="1551"/>
    <n v="938873"/>
    <x v="0"/>
    <s v="General Works/Reference; Computer Science/IT; Mathematics"/>
    <s v="9781119963127"/>
    <s v=",1,23,24,25,21,22,26,27,28,29,30,31,2"/>
    <n v="13"/>
    <m/>
    <m/>
    <s v="No"/>
    <x v="1"/>
    <m/>
    <m/>
    <s v="128.205.114.91"/>
    <s v="QA276.45.R3 -- V75 2012eb"/>
    <s v="001.642; 005.55"/>
    <d v="2012-06-04T00:00:00"/>
  </r>
  <r>
    <x v="6840"/>
    <d v="1899-12-30T00:10:09"/>
    <x v="1596"/>
    <x v="0"/>
    <s v="Buffalo"/>
    <x v="957"/>
    <n v="1168529"/>
    <x v="0"/>
    <s v="Mathematics"/>
    <s v="9781118710944"/>
    <s v=",1,2,3,4,20,21,18,19,22,23,24,25,26,27,28,29,30,31,32,33,74,75,76,72,73,86,87,88,84,85,83,82,89,90,91,86,97,98,99,100,101,55,57,54,53,56,58,59,60,61,62,63,74,70,71,77,140,141,142,138,139,143,144,145,146,147,148,149,150,151,152,181,182,183,179,180,184,185,186,187,188,193,194,195,191,192,196,197,198,199,200,201,202,225,226,227,228,224,229,230,233,234,235,231,232,236,239,240,241,237,238,431,433,432,429,430,434,473,475,474,471,472,476,477"/>
    <n v="122"/>
    <m/>
    <m/>
    <s v="No"/>
    <x v="1"/>
    <m/>
    <m/>
    <s v="128.205.114.91"/>
    <s v="QA278 .A353 2013"/>
    <s v="519.5; 519.535"/>
    <d v="2013-04-08T00:00:00"/>
  </r>
  <r>
    <x v="6841"/>
    <d v="1899-12-30T00:20:57"/>
    <x v="13"/>
    <x v="0"/>
    <s v="Buffalo"/>
    <x v="666"/>
    <n v="817932"/>
    <x v="0"/>
    <s v="Computer Science/IT"/>
    <s v="9781118220146"/>
    <s v=",1,2,3,3,1,2,2,2,25,26,27,23,24,26,24,25,27,168,168,169,169,170,170,167,167,166,165,166,170,171,171,172,172,173,173,174,174,175,175,176,176,171,176,177,177"/>
    <n v="21"/>
    <m/>
    <m/>
    <s v="No"/>
    <x v="0"/>
    <d v="2015-09-27T20:30:05"/>
    <n v="7"/>
    <s v="128.205.114.91"/>
    <s v="QA76.73.J38 -- B87 2012eb"/>
    <n v="5.133"/>
    <d v="2012-03-13T00:00:00"/>
  </r>
  <r>
    <x v="6842"/>
    <d v="1899-12-30T00:01:06"/>
    <x v="13"/>
    <x v="0"/>
    <s v="Buffalo"/>
    <x v="1552"/>
    <n v="1204737"/>
    <x v="0"/>
    <s v="Social Science"/>
    <s v="9780857084088"/>
    <s v=",17,10,1,1"/>
    <n v="3"/>
    <s v=",17"/>
    <m/>
    <s v="No"/>
    <x v="0"/>
    <d v="2015-09-28T19:34:37"/>
    <n v="7"/>
    <s v="128.205.114.91"/>
    <s v="HM1166 -- .R46 2013eb"/>
    <n v="302"/>
    <d v="2013-05-23T00:00:00"/>
  </r>
  <r>
    <x v="6843"/>
    <d v="1899-12-30T01:05:18"/>
    <x v="13"/>
    <x v="0"/>
    <s v="Buffalo"/>
    <x v="73"/>
    <n v="1119505"/>
    <x v="0"/>
    <s v="Science: Chemistry; Science"/>
    <s v="9781118355015"/>
    <s v=",1,2,2,3,3,1,2,2,387,387,388,388,389,389,385,386,386,390,390,391,391,386,385,390,391,386,385,384,389,390,391,392,392,387,386,385,384,389,384,389,390,391,386,385,384,389,384,389,384,389,390,391,392,386,385,390,391,386,385,390,391,386,385,390,391,386,1,387,387,388,384,1,386,385,388,386,385,2,2"/>
    <n v="12"/>
    <m/>
    <m/>
    <s v="No"/>
    <x v="0"/>
    <d v="2015-09-22T20:22:23"/>
    <n v="7"/>
    <s v="128.205.114.91"/>
    <s v="QD251.3 -- .S38 2013eb"/>
    <s v="547/.128"/>
    <d v="2013-01-28T00:00:00"/>
  </r>
  <r>
    <x v="6844"/>
    <d v="1899-12-30T00:03:08"/>
    <x v="13"/>
    <x v="0"/>
    <s v="Buffalo"/>
    <x v="1552"/>
    <n v="1204737"/>
    <x v="0"/>
    <s v="Social Science"/>
    <s v="9780857084088"/>
    <s v=",1,2,2,1,3,3,1,2,2,15,16,17,15,13,16,17,14,14,18,18,19,19"/>
    <n v="10"/>
    <m/>
    <m/>
    <s v="No"/>
    <x v="3"/>
    <m/>
    <m/>
    <s v="128.205.114.91"/>
    <s v="HM1166 -- .R46 2013eb"/>
    <n v="302"/>
    <d v="2013-05-23T00:00:00"/>
  </r>
  <r>
    <x v="6845"/>
    <d v="1899-12-30T00:02:58"/>
    <x v="13"/>
    <x v="0"/>
    <s v="Buffalo"/>
    <x v="1553"/>
    <n v="1474878"/>
    <x v="2"/>
    <s v="Social Science; Psychology"/>
    <s v="9781135206314"/>
    <s v=",1,3,3,2,2,1,2,2,16,17,17,16,15,15,13,14,14,18,18,19,19,20,20,49,50,51,49,48,47,51,50,48,52,52,53,53"/>
    <n v="18"/>
    <m/>
    <m/>
    <s v="No"/>
    <x v="3"/>
    <m/>
    <m/>
    <s v="128.205.114.91"/>
    <s v="BF637.C45 -- T35 2001eb"/>
    <n v="302.346"/>
    <d v="2013-10-14T00:00:00"/>
  </r>
  <r>
    <x v="6846"/>
    <d v="1899-12-30T00:00:00"/>
    <x v="1597"/>
    <x v="0"/>
    <s v="Buffalo"/>
    <x v="1554"/>
    <n v="1698592"/>
    <x v="17"/>
    <s v="Philosophy"/>
    <s v="9780748689330"/>
    <m/>
    <n v="0"/>
    <m/>
    <m/>
    <s v="Yes"/>
    <x v="2"/>
    <d v="2015-09-28T19:26:41"/>
    <n v="1"/>
    <s v="128.205.114.91"/>
    <s v="B2430.D484 -- .C758 2014eb"/>
    <n v="194"/>
    <d v="2014-03-19T00:00:00"/>
  </r>
  <r>
    <x v="6846"/>
    <d v="1899-12-30T00:00:00"/>
    <x v="1597"/>
    <x v="0"/>
    <s v="Buffalo"/>
    <x v="1554"/>
    <n v="1698592"/>
    <x v="17"/>
    <s v="Philosophy"/>
    <s v="9780748689330"/>
    <m/>
    <n v="0"/>
    <m/>
    <m/>
    <s v="No"/>
    <x v="2"/>
    <d v="2015-09-28T19:26:41"/>
    <n v="1"/>
    <s v="128.205.114.91"/>
    <s v="B2430.D484 -- .C758 2014eb"/>
    <n v="194"/>
    <d v="2014-03-19T00:00:00"/>
  </r>
  <r>
    <x v="6847"/>
    <d v="1899-12-30T00:00:11"/>
    <x v="1597"/>
    <x v="0"/>
    <s v="Buffalo"/>
    <x v="1554"/>
    <n v="1698592"/>
    <x v="17"/>
    <s v="Philosophy"/>
    <s v="9780748689330"/>
    <s v=",1,3,2"/>
    <n v="3"/>
    <m/>
    <m/>
    <s v="No"/>
    <x v="3"/>
    <m/>
    <m/>
    <s v="128.205.114.91"/>
    <s v="B2430.D484 -- .C758 2014eb"/>
    <n v="194"/>
    <d v="2014-03-19T00:00:00"/>
  </r>
  <r>
    <x v="6848"/>
    <d v="1899-12-30T00:00:00"/>
    <x v="1008"/>
    <x v="0"/>
    <s v="Buffalo"/>
    <x v="73"/>
    <n v="1119505"/>
    <x v="0"/>
    <s v="Science: Chemistry; Science"/>
    <s v="9781118355015"/>
    <m/>
    <n v="0"/>
    <m/>
    <s v=",101,102,103,104,105"/>
    <s v="No"/>
    <x v="0"/>
    <d v="2015-09-28T19:23:07"/>
    <n v="7"/>
    <s v="128.205.114.91"/>
    <s v="QD251.3 -- .S38 2013eb"/>
    <s v="547/.128"/>
    <d v="2013-01-28T00:00:00"/>
  </r>
  <r>
    <x v="6849"/>
    <d v="1899-12-30T00:00:28"/>
    <x v="1008"/>
    <x v="0"/>
    <s v="Buffalo"/>
    <x v="73"/>
    <n v="1119505"/>
    <x v="0"/>
    <s v="Science: Chemistry; Science"/>
    <s v="9781118355015"/>
    <s v=",1,2,3,101,102,103,99,100,104,105,106,107"/>
    <n v="12"/>
    <m/>
    <m/>
    <s v="No"/>
    <x v="1"/>
    <m/>
    <m/>
    <s v="128.205.114.91"/>
    <s v="QD251.3 -- .S38 2013eb"/>
    <s v="547/.128"/>
    <d v="2013-01-28T00:00:00"/>
  </r>
  <r>
    <x v="6850"/>
    <d v="1899-12-30T00:03:35"/>
    <x v="26"/>
    <x v="6"/>
    <s v="sjfc"/>
    <x v="1393"/>
    <n v="894258"/>
    <x v="0"/>
    <s v="Geography/Travel"/>
    <s v="9781118333709"/>
    <s v=",1,3,2,13,15,14,11,12,16,29,30,27,28,32,33,1,3"/>
    <n v="15"/>
    <m/>
    <m/>
    <s v="No"/>
    <x v="1"/>
    <m/>
    <m/>
    <s v="149.69.254.57"/>
    <s v="DC708 .P38"/>
    <n v="914.436104"/>
    <d v="2012-07-05T00:00:00"/>
  </r>
  <r>
    <x v="6851"/>
    <d v="1899-12-30T00:25:56"/>
    <x v="1598"/>
    <x v="1"/>
    <s v="brockport"/>
    <x v="1"/>
    <n v="1684620"/>
    <x v="0"/>
    <s v="Health; Social Science"/>
    <s v="9781118418925"/>
    <s v=",2,2"/>
    <n v="1"/>
    <m/>
    <m/>
    <s v="Yes"/>
    <x v="0"/>
    <d v="2015-09-28T19:13:35"/>
    <n v="7"/>
    <s v="137.21.7.121"/>
    <s v="RA971 -- .S56 2014eb"/>
    <n v="362.10680000000002"/>
    <d v="2014-04-30T00:00:00"/>
  </r>
  <r>
    <x v="6851"/>
    <d v="1899-12-30T00:00:00"/>
    <x v="1598"/>
    <x v="1"/>
    <s v="brockport"/>
    <x v="1"/>
    <n v="1684620"/>
    <x v="0"/>
    <s v="Health; Social Science"/>
    <s v="9781118418925"/>
    <m/>
    <n v="0"/>
    <m/>
    <m/>
    <s v="No"/>
    <x v="0"/>
    <d v="2015-09-28T19:13:35"/>
    <n v="7"/>
    <s v="137.21.7.121"/>
    <s v="RA971 -- .S56 2014eb"/>
    <n v="362.10680000000002"/>
    <d v="2014-04-30T00:00:00"/>
  </r>
  <r>
    <x v="6852"/>
    <d v="1899-12-30T00:00:13"/>
    <x v="1598"/>
    <x v="1"/>
    <s v="brockport"/>
    <x v="1"/>
    <n v="1684620"/>
    <x v="0"/>
    <s v="Health; Social Science"/>
    <s v="9781118418925"/>
    <s v=",1,2,1,2,3,3"/>
    <n v="3"/>
    <m/>
    <m/>
    <s v="No"/>
    <x v="1"/>
    <m/>
    <m/>
    <s v="137.21.7.121"/>
    <s v="RA971 -- .S56 2014eb"/>
    <n v="362.10680000000002"/>
    <d v="2014-04-30T00:00:00"/>
  </r>
  <r>
    <x v="6853"/>
    <d v="1899-12-30T00:00:06"/>
    <x v="1599"/>
    <x v="9"/>
    <s v="trocaire"/>
    <x v="1555"/>
    <n v="1397603"/>
    <x v="2"/>
    <s v="Psychology"/>
    <s v="9781317988687"/>
    <s v=",1,3,2"/>
    <n v="3"/>
    <m/>
    <m/>
    <s v="No"/>
    <x v="3"/>
    <m/>
    <m/>
    <s v="173.225.62.67"/>
    <m/>
    <n v="155.93700000000001"/>
    <d v="2013-09-13T00:00:00"/>
  </r>
  <r>
    <x v="6854"/>
    <d v="1899-12-30T00:12:01"/>
    <x v="634"/>
    <x v="11"/>
    <s v="cobleskill"/>
    <x v="11"/>
    <n v="693176"/>
    <x v="0"/>
    <s v="Engineering: Manufacturing; General Works/Reference; Engineering"/>
    <s v="9781118017746"/>
    <s v=",1,2,3,248,249,250,247,246,2,251"/>
    <n v="9"/>
    <m/>
    <m/>
    <s v="No"/>
    <x v="0"/>
    <d v="2015-09-27T20:11:19"/>
    <n v="7"/>
    <s v="137.36.32.34"/>
    <s v="Z246 -- .M43 2012eb"/>
    <s v="686.2/209"/>
    <d v="2011-10-19T00:00:00"/>
  </r>
  <r>
    <x v="6855"/>
    <d v="1899-12-30T00:00:00"/>
    <x v="1600"/>
    <x v="0"/>
    <s v="Buffalo"/>
    <x v="73"/>
    <n v="1119505"/>
    <x v="0"/>
    <s v="Science: Chemistry; Science"/>
    <s v="9781118355015"/>
    <m/>
    <n v="0"/>
    <m/>
    <s v=",102,103,104,105"/>
    <s v="No"/>
    <x v="0"/>
    <d v="2015-09-28T19:05:28"/>
    <n v="7"/>
    <s v="128.205.114.91"/>
    <s v="QD251.3 -- .S38 2013eb"/>
    <s v="547/.128"/>
    <d v="2013-01-28T00:00:00"/>
  </r>
  <r>
    <x v="6856"/>
    <d v="1899-12-30T00:00:44"/>
    <x v="1600"/>
    <x v="0"/>
    <s v="Buffalo"/>
    <x v="73"/>
    <n v="1119505"/>
    <x v="0"/>
    <s v="Science: Chemistry; Science"/>
    <s v="9781118355015"/>
    <s v=",1,3,2,101,102,103,99,100,104,105,106,107"/>
    <n v="12"/>
    <m/>
    <m/>
    <s v="No"/>
    <x v="1"/>
    <m/>
    <m/>
    <s v="128.205.114.91"/>
    <s v="QD251.3 -- .S38 2013eb"/>
    <s v="547/.128"/>
    <d v="2013-01-28T00:00:00"/>
  </r>
  <r>
    <x v="6857"/>
    <d v="1899-12-30T00:16:50"/>
    <x v="13"/>
    <x v="0"/>
    <s v="Buffalo"/>
    <x v="73"/>
    <n v="1119505"/>
    <x v="0"/>
    <s v="Science: Chemistry; Science"/>
    <s v="9781118355015"/>
    <s v=",1,3,2,387,388,389,385,386,390,384,383,391,392,385,384"/>
    <n v="13"/>
    <m/>
    <m/>
    <s v="No"/>
    <x v="0"/>
    <d v="2015-09-22T20:22:23"/>
    <n v="7"/>
    <s v="128.205.114.91"/>
    <s v="QD251.3 -- .S38 2013eb"/>
    <s v="547/.128"/>
    <d v="2013-01-28T00:00:00"/>
  </r>
  <r>
    <x v="6858"/>
    <d v="1899-12-30T00:01:09"/>
    <x v="1601"/>
    <x v="5"/>
    <s v="erie"/>
    <x v="1556"/>
    <n v="2011363"/>
    <x v="5"/>
    <s v="Health; Sport &amp; Recreation"/>
    <s v="9780814744659"/>
    <s v=",1,2,3,14,15,16,12,182,183,180,181,185"/>
    <n v="12"/>
    <m/>
    <m/>
    <s v="No"/>
    <x v="3"/>
    <m/>
    <m/>
    <s v="199.29.6.54"/>
    <s v="GV450 .H64 2015"/>
    <s v="613.194; 613/.194"/>
    <d v="2015-05-01T00:00:00"/>
  </r>
  <r>
    <x v="6859"/>
    <d v="1899-12-30T00:02:31"/>
    <x v="1601"/>
    <x v="5"/>
    <s v="erie"/>
    <x v="1557"/>
    <n v="1986948"/>
    <x v="0"/>
    <s v="Health; Medicine; Social Science"/>
    <s v="9781119098362"/>
    <s v=",1,2,3,29,30,31,27,28,32,33,34,35,37,38,39"/>
    <n v="15"/>
    <m/>
    <m/>
    <s v="No"/>
    <x v="3"/>
    <m/>
    <m/>
    <s v="199.29.6.54"/>
    <s v="RC564 -- .T74 2015eb"/>
    <n v="362.29"/>
    <d v="2015-03-05T00:00:00"/>
  </r>
  <r>
    <x v="6860"/>
    <d v="1899-12-30T00:00:00"/>
    <x v="1597"/>
    <x v="0"/>
    <s v="Buffalo"/>
    <x v="1558"/>
    <n v="1113794"/>
    <x v="15"/>
    <s v="Philosophy"/>
    <s v="9781441138194"/>
    <m/>
    <n v="0"/>
    <m/>
    <m/>
    <s v="Yes"/>
    <x v="0"/>
    <d v="2015-09-28T18:06:47"/>
    <n v="7"/>
    <s v="128.205.114.91"/>
    <s v="B3279.H49 -- D23 2013eb"/>
    <n v="193"/>
    <d v="2013-01-17T00:00:00"/>
  </r>
  <r>
    <x v="6860"/>
    <d v="1899-12-30T00:00:00"/>
    <x v="1597"/>
    <x v="0"/>
    <s v="Buffalo"/>
    <x v="1558"/>
    <n v="1113794"/>
    <x v="15"/>
    <s v="Philosophy"/>
    <s v="9781441138194"/>
    <m/>
    <n v="0"/>
    <m/>
    <m/>
    <s v="No"/>
    <x v="0"/>
    <d v="2015-09-28T18:06:47"/>
    <n v="7"/>
    <s v="128.205.114.91"/>
    <s v="B3279.H49 -- D23 2013eb"/>
    <n v="193"/>
    <d v="2013-01-17T00:00:00"/>
  </r>
  <r>
    <x v="6861"/>
    <d v="1899-12-30T00:00:10"/>
    <x v="1597"/>
    <x v="0"/>
    <s v="Buffalo"/>
    <x v="1558"/>
    <n v="1113794"/>
    <x v="15"/>
    <s v="Philosophy"/>
    <s v="9781441138194"/>
    <s v=",1,2,3"/>
    <n v="3"/>
    <m/>
    <m/>
    <s v="No"/>
    <x v="1"/>
    <m/>
    <m/>
    <s v="128.205.114.91"/>
    <s v="B3279.H49 -- D23 2013eb"/>
    <n v="193"/>
    <d v="2013-01-17T00:00:00"/>
  </r>
  <r>
    <x v="6862"/>
    <d v="1899-12-30T00:01:08"/>
    <x v="1602"/>
    <x v="5"/>
    <s v="erie"/>
    <x v="1163"/>
    <n v="836633"/>
    <x v="0"/>
    <s v="Psychology"/>
    <s v="9781119953784"/>
    <s v=",76,77,78,79,80"/>
    <n v="5"/>
    <m/>
    <m/>
    <s v="No"/>
    <x v="0"/>
    <d v="2015-09-28T17:39:32"/>
    <n v="7"/>
    <s v="199.29.6.54"/>
    <s v="BF637.N66 K84"/>
    <n v="153.69"/>
    <d v="2012-01-03T00:00:00"/>
  </r>
  <r>
    <x v="6863"/>
    <d v="1899-12-30T00:21:55"/>
    <x v="1532"/>
    <x v="12"/>
    <s v="potsdam"/>
    <x v="1415"/>
    <n v="1546789"/>
    <x v="2"/>
    <s v="History"/>
    <s v="9781317976431"/>
    <s v=",163,163,164,165,164,165,166,166,166,167,167,168,168,163,168,169,169,170,170,171,172,173,174,175,169,168,167,166,165,164,163,162,161,160,159,158,157,156,155,154,153,152"/>
    <n v="24"/>
    <m/>
    <m/>
    <s v="No"/>
    <x v="2"/>
    <d v="2015-09-28T17:33:52"/>
    <n v="1"/>
    <s v="137.143.104.94"/>
    <s v="DG276 -- .A44 2014eb"/>
    <n v="937.07"/>
    <d v="2013-11-07T00:00:00"/>
  </r>
  <r>
    <x v="6864"/>
    <d v="1899-12-30T00:10:42"/>
    <x v="1602"/>
    <x v="5"/>
    <s v="erie"/>
    <x v="1163"/>
    <n v="836633"/>
    <x v="0"/>
    <s v="Psychology"/>
    <s v="9781119953784"/>
    <s v=",1,2,3,69,70,71,68,67,72,73,74,75,76,77,72,71,70,75"/>
    <n v="14"/>
    <m/>
    <m/>
    <s v="No"/>
    <x v="1"/>
    <m/>
    <m/>
    <s v="199.29.6.54"/>
    <s v="BF637.N66 K84"/>
    <n v="153.69"/>
    <d v="2012-01-03T00:00:00"/>
  </r>
  <r>
    <x v="6865"/>
    <d v="1899-12-30T00:06:31"/>
    <x v="1532"/>
    <x v="12"/>
    <s v="potsdam"/>
    <x v="1415"/>
    <n v="1546789"/>
    <x v="2"/>
    <s v="History"/>
    <s v="9781317976431"/>
    <s v=",1,2,3,2,3,1,173,173,174,175,171,174,172,175,172,2,176,176,177,177,154,155,154,156,153,155,153,156,152,157,159,157,158,154,158,159,160,160,161,161,162,162"/>
    <n v="21"/>
    <m/>
    <m/>
    <s v="No"/>
    <x v="3"/>
    <m/>
    <m/>
    <s v="137.143.104.94"/>
    <s v="DG276 -- .A44 2014eb"/>
    <n v="937.07"/>
    <d v="2013-11-07T00:00:00"/>
  </r>
  <r>
    <x v="6866"/>
    <d v="1899-12-30T00:00:00"/>
    <x v="1603"/>
    <x v="0"/>
    <s v="Buffalo"/>
    <x v="4"/>
    <n v="699526"/>
    <x v="0"/>
    <s v="Science; Computer Science/IT"/>
    <s v="9781118586006"/>
    <m/>
    <n v="0"/>
    <m/>
    <m/>
    <s v="Yes"/>
    <x v="0"/>
    <d v="2015-09-28T17:18:34"/>
    <n v="7"/>
    <s v="128.205.114.91"/>
    <s v="Q327 -- .D83 2001eb"/>
    <n v="6.4"/>
    <d v="2012-11-09T00:00:00"/>
  </r>
  <r>
    <x v="6866"/>
    <d v="1899-12-30T00:00:00"/>
    <x v="1603"/>
    <x v="0"/>
    <s v="Buffalo"/>
    <x v="4"/>
    <n v="699526"/>
    <x v="0"/>
    <s v="Science; Computer Science/IT"/>
    <s v="9781118586006"/>
    <m/>
    <n v="0"/>
    <m/>
    <m/>
    <s v="No"/>
    <x v="0"/>
    <d v="2015-09-28T17:18:34"/>
    <n v="7"/>
    <s v="128.205.114.91"/>
    <s v="Q327 -- .D83 2001eb"/>
    <n v="6.4"/>
    <d v="2012-11-09T00:00:00"/>
  </r>
  <r>
    <x v="6867"/>
    <d v="1899-12-30T00:00:40"/>
    <x v="1603"/>
    <x v="0"/>
    <s v="Buffalo"/>
    <x v="4"/>
    <n v="699526"/>
    <x v="0"/>
    <s v="Science; Computer Science/IT"/>
    <s v="9781118586006"/>
    <s v=",1,3,2"/>
    <n v="3"/>
    <m/>
    <m/>
    <s v="No"/>
    <x v="1"/>
    <m/>
    <m/>
    <s v="128.205.114.91"/>
    <s v="Q327 -- .D83 2001eb"/>
    <n v="6.4"/>
    <d v="2012-11-09T00:00:00"/>
  </r>
  <r>
    <x v="6868"/>
    <d v="1899-12-30T00:00:21"/>
    <x v="1526"/>
    <x v="15"/>
    <s v="morrisville"/>
    <x v="1382"/>
    <n v="1501633"/>
    <x v="0"/>
    <s v="Language/Linguistics"/>
    <s v="9781118610701"/>
    <s v=",1,3,2,4"/>
    <n v="4"/>
    <m/>
    <m/>
    <s v="No"/>
    <x v="0"/>
    <d v="2015-09-28T02:05:05"/>
    <n v="7"/>
    <s v="136.204.32.67"/>
    <s v="PA227 -- .C658 2014eb"/>
    <n v="480.09"/>
    <d v="2013-10-23T00:00:00"/>
  </r>
  <r>
    <x v="6869"/>
    <d v="1899-12-30T00:26:27"/>
    <x v="13"/>
    <x v="0"/>
    <s v="Buffalo"/>
    <x v="73"/>
    <n v="1119505"/>
    <x v="0"/>
    <s v="Science: Chemistry; Science"/>
    <s v="9781118355015"/>
    <s v=",1,2,3,4,5,8,12,19,27,29,31,32,33,34,30,101,102,103,99,104,100,105,102,103,104,100,101,105,106,107,102,101,100,106"/>
    <n v="24"/>
    <s v=",102"/>
    <m/>
    <s v="No"/>
    <x v="0"/>
    <d v="2015-09-22T20:22:23"/>
    <n v="7"/>
    <s v="128.205.114.91"/>
    <s v="QD251.3 -- .S38 2013eb"/>
    <s v="547/.128"/>
    <d v="2013-01-28T00:00:00"/>
  </r>
  <r>
    <x v="6870"/>
    <d v="1899-12-30T00:00:21"/>
    <x v="1532"/>
    <x v="12"/>
    <s v="potsdam"/>
    <x v="1415"/>
    <n v="1546789"/>
    <x v="2"/>
    <s v="History"/>
    <s v="9781317976431"/>
    <s v=",1,2,3,1,2,3,154,155,156,154,155,156,152,153,153,157,157,158,158,159,154,153,152,159,2"/>
    <n v="11"/>
    <m/>
    <m/>
    <s v="No"/>
    <x v="3"/>
    <m/>
    <m/>
    <s v="137.143.104.94"/>
    <s v="DG276 -- .A44 2014eb"/>
    <n v="937.07"/>
    <d v="2013-11-07T00:00:00"/>
  </r>
  <r>
    <x v="6871"/>
    <d v="1899-12-30T00:01:03"/>
    <x v="13"/>
    <x v="0"/>
    <s v="Buffalo"/>
    <x v="73"/>
    <n v="1119505"/>
    <x v="0"/>
    <s v="Science: Chemistry; Science"/>
    <s v="9781118355015"/>
    <s v=",1,2,3,101,102,103,99,100,104,105"/>
    <n v="10"/>
    <m/>
    <s v=",79,80,81,82,83,84,85,86,87,88,89,90,91,92,93,94,95,96,97,98,99,100,101,102,103,104,105"/>
    <s v="No"/>
    <x v="0"/>
    <d v="2015-09-22T20:22:23"/>
    <n v="7"/>
    <s v="128.205.114.91"/>
    <s v="QD251.3 -- .S38 2013eb"/>
    <s v="547/.128"/>
    <d v="2013-01-28T00:00:00"/>
  </r>
  <r>
    <x v="6872"/>
    <d v="1899-12-30T00:00:26"/>
    <x v="1540"/>
    <x v="9"/>
    <s v="trocaire"/>
    <x v="1495"/>
    <n v="836567"/>
    <x v="0"/>
    <s v="Business/Management; Medicine"/>
    <s v="9781118222034"/>
    <s v=",2,3,1,4"/>
    <n v="4"/>
    <m/>
    <m/>
    <s v="No"/>
    <x v="1"/>
    <m/>
    <m/>
    <s v="173.225.62.67"/>
    <s v="R728.5 -- .S655 2012eb"/>
    <n v="651.50426100000004"/>
    <d v="2012-06-07T00:00:00"/>
  </r>
  <r>
    <x v="6873"/>
    <d v="1899-12-30T00:00:06"/>
    <x v="26"/>
    <x v="6"/>
    <s v="sjfc"/>
    <x v="500"/>
    <n v="699744"/>
    <x v="0"/>
    <s v="Engineering; Engineering: Electrical; Engineering: Civil"/>
    <s v="9781118585818"/>
    <s v=",1,2,3"/>
    <n v="3"/>
    <m/>
    <m/>
    <s v="No"/>
    <x v="1"/>
    <m/>
    <m/>
    <s v="149.69.254.57"/>
    <s v="TA1520 -- .S24 2007eb"/>
    <n v="621.36"/>
    <d v="2013-02-05T00:00:00"/>
  </r>
  <r>
    <x v="6874"/>
    <d v="1899-12-30T00:00:28"/>
    <x v="1604"/>
    <x v="7"/>
    <s v="oneonta"/>
    <x v="1559"/>
    <n v="1666535"/>
    <x v="0"/>
    <s v="Agriculture"/>
    <s v="9781118474365"/>
    <s v=",1,2,3,4,5,7,6,8,9,10"/>
    <n v="10"/>
    <m/>
    <m/>
    <s v="No"/>
    <x v="3"/>
    <m/>
    <m/>
    <s v="137.141.13.2"/>
    <s v="SF910.P34 -- .F376 2014eb"/>
    <s v="636.089/796"/>
    <d v="2014-04-03T00:00:00"/>
  </r>
  <r>
    <x v="6875"/>
    <d v="1899-12-30T00:02:22"/>
    <x v="13"/>
    <x v="0"/>
    <s v="Buffalo"/>
    <x v="650"/>
    <n v="1910128"/>
    <x v="4"/>
    <s v="Fine Arts; Social Science"/>
    <s v="9781462519453"/>
    <s v=",1,2,3,4,5,23,24,25,21,22,26,27,149,150,151,147,148,152,153,154,155,156,157,158"/>
    <n v="24"/>
    <m/>
    <m/>
    <s v="No"/>
    <x v="3"/>
    <m/>
    <m/>
    <s v="128.205.114.91"/>
    <s v="H62 -- .L438 2015eb"/>
    <n v="700"/>
    <d v="2015-02-10T00:00:00"/>
  </r>
  <r>
    <x v="6876"/>
    <d v="1899-12-30T00:06:58"/>
    <x v="1605"/>
    <x v="13"/>
    <s v="buffalostate"/>
    <x v="127"/>
    <n v="1166311"/>
    <x v="0"/>
    <s v="Military Science"/>
    <s v="9781118525616"/>
    <s v=",209,210,211,212,213,214,235,236,233,234,238,240"/>
    <n v="12"/>
    <m/>
    <m/>
    <s v="Yes"/>
    <x v="0"/>
    <d v="2015-09-28T05:46:53"/>
    <n v="7"/>
    <s v="136.183.11.43"/>
    <s v="U408.5 .P384 2013"/>
    <n v="355.00700000000001"/>
    <d v="2013-04-02T00:00:00"/>
  </r>
  <r>
    <x v="6877"/>
    <d v="1899-12-30T00:07:15"/>
    <x v="1605"/>
    <x v="13"/>
    <s v="buffalostate"/>
    <x v="127"/>
    <n v="1166311"/>
    <x v="0"/>
    <s v="Military Science"/>
    <s v="9781118525616"/>
    <s v=",22,23,24,25,26,27,28,47,49,45,46,50,51,52,53,205,207,208"/>
    <n v="18"/>
    <m/>
    <m/>
    <s v="No"/>
    <x v="0"/>
    <d v="2015-09-28T05:46:53"/>
    <n v="7"/>
    <s v="136.183.11.43"/>
    <s v="U408.5 .P384 2013"/>
    <n v="355.00700000000001"/>
    <d v="2013-04-02T00:00:00"/>
  </r>
  <r>
    <x v="6878"/>
    <d v="1899-12-30T00:10:13"/>
    <x v="1605"/>
    <x v="13"/>
    <s v="buffalostate"/>
    <x v="127"/>
    <n v="1166311"/>
    <x v="0"/>
    <s v="Military Science"/>
    <s v="9781118525616"/>
    <s v=",1,2,3,5,16,17,18,14,15,19,20,21"/>
    <n v="12"/>
    <m/>
    <m/>
    <s v="No"/>
    <x v="1"/>
    <m/>
    <m/>
    <s v="136.183.11.43"/>
    <s v="U408.5 .P384 2013"/>
    <n v="355.00700000000001"/>
    <d v="2013-04-02T00:00:00"/>
  </r>
  <r>
    <x v="6879"/>
    <d v="1899-12-30T00:15:49"/>
    <x v="13"/>
    <x v="0"/>
    <s v="Buffalo"/>
    <x v="73"/>
    <n v="1119505"/>
    <x v="0"/>
    <s v="Science: Chemistry; Science"/>
    <s v="9781118355015"/>
    <s v=",1,3,2,101,102,103,99,100,101,102,81,82,83,84,85,86,87,88,94,387,388,389"/>
    <n v="20"/>
    <m/>
    <m/>
    <s v="No"/>
    <x v="0"/>
    <d v="2015-09-22T20:22:23"/>
    <n v="7"/>
    <s v="128.205.114.91"/>
    <s v="QD251.3 -- .S38 2013eb"/>
    <s v="547/.128"/>
    <d v="2013-01-28T00:00:00"/>
  </r>
  <r>
    <x v="6880"/>
    <d v="1899-12-30T00:00:03"/>
    <x v="1606"/>
    <x v="1"/>
    <s v="brockport"/>
    <x v="1560"/>
    <n v="1650803"/>
    <x v="3"/>
    <s v="Fine Arts"/>
    <s v="9780520958340"/>
    <s v=",1,2,3"/>
    <n v="3"/>
    <m/>
    <m/>
    <s v="No"/>
    <x v="0"/>
    <d v="2015-09-22T22:08:52"/>
    <n v="7"/>
    <s v="137.21.7.121"/>
    <s v="ML3524 -- .H78 2014eb"/>
    <s v="781.642086/640973"/>
    <d v="2014-03-18T00:00:00"/>
  </r>
  <r>
    <x v="6881"/>
    <d v="1899-12-30T00:03:14"/>
    <x v="973"/>
    <x v="0"/>
    <s v="Buffalo"/>
    <x v="161"/>
    <n v="821663"/>
    <x v="0"/>
    <s v="Architecture"/>
    <s v="9781118168479"/>
    <s v=",1,2,3,4,5"/>
    <n v="5"/>
    <m/>
    <m/>
    <s v="No"/>
    <x v="1"/>
    <m/>
    <m/>
    <s v="128.205.114.91"/>
    <s v="NA2547 -- .S74 2012eb"/>
    <n v="729"/>
    <d v="2012-03-05T00:00:00"/>
  </r>
  <r>
    <x v="6882"/>
    <d v="1899-12-30T00:00:42"/>
    <x v="13"/>
    <x v="0"/>
    <s v="Buffalo"/>
    <x v="73"/>
    <n v="1119505"/>
    <x v="0"/>
    <s v="Science: Chemistry; Science"/>
    <s v="9781118355015"/>
    <s v=",1,2,3,101,102,103,100,99,101,102"/>
    <n v="8"/>
    <m/>
    <m/>
    <s v="No"/>
    <x v="0"/>
    <d v="2015-09-22T20:22:23"/>
    <n v="7"/>
    <s v="128.205.114.91"/>
    <s v="QD251.3 -- .S38 2013eb"/>
    <s v="547/.128"/>
    <d v="2013-01-28T00:00:00"/>
  </r>
  <r>
    <x v="6883"/>
    <d v="1899-12-30T00:01:15"/>
    <x v="1526"/>
    <x v="15"/>
    <s v="morrisville"/>
    <x v="1382"/>
    <n v="1501633"/>
    <x v="0"/>
    <s v="Language/Linguistics"/>
    <s v="9781118610701"/>
    <s v=",1,174,175,176,172,173,105,2,104,103,171,169,170,175,177"/>
    <n v="14"/>
    <m/>
    <m/>
    <s v="No"/>
    <x v="0"/>
    <d v="2015-09-28T02:05:05"/>
    <n v="7"/>
    <s v="136.204.32.67"/>
    <s v="PA227 -- .C658 2014eb"/>
    <n v="480.09"/>
    <d v="2013-10-23T00:00:00"/>
  </r>
  <r>
    <x v="6884"/>
    <d v="1899-12-30T00:00:12"/>
    <x v="1145"/>
    <x v="12"/>
    <s v="potsdam"/>
    <x v="1103"/>
    <n v="1887746"/>
    <x v="0"/>
    <s v="Religion"/>
    <s v="9781118697559"/>
    <s v=",1,3,2,4,5,6,7,8"/>
    <n v="8"/>
    <m/>
    <m/>
    <s v="No"/>
    <x v="3"/>
    <m/>
    <m/>
    <s v="137.143.104.94"/>
    <s v="BV4501.2 -- .M2357 1999eb"/>
    <n v="248"/>
    <d v="2013-05-30T00:00:00"/>
  </r>
  <r>
    <x v="6885"/>
    <d v="1899-12-30T00:00:03"/>
    <x v="1145"/>
    <x v="12"/>
    <s v="potsdam"/>
    <x v="1561"/>
    <n v="1397071"/>
    <x v="2"/>
    <s v="Religion"/>
    <s v="9781317998525"/>
    <s v=",1,2,3"/>
    <n v="3"/>
    <m/>
    <m/>
    <s v="No"/>
    <x v="3"/>
    <m/>
    <m/>
    <s v="137.143.104.94"/>
    <m/>
    <n v="297"/>
    <d v="2013-09-13T00:00:00"/>
  </r>
  <r>
    <x v="6886"/>
    <d v="1899-12-30T00:00:51"/>
    <x v="1145"/>
    <x v="12"/>
    <s v="potsdam"/>
    <x v="1103"/>
    <n v="1887746"/>
    <x v="0"/>
    <s v="Religion"/>
    <s v="9781118697559"/>
    <s v=",1,2,3,4,5,6,7,8,9"/>
    <n v="9"/>
    <m/>
    <m/>
    <s v="No"/>
    <x v="3"/>
    <m/>
    <m/>
    <s v="137.143.104.94"/>
    <s v="BV4501.2 -- .M2357 1999eb"/>
    <n v="248"/>
    <d v="2013-05-30T00:00:00"/>
  </r>
  <r>
    <x v="6887"/>
    <d v="1899-12-30T00:01:25"/>
    <x v="1607"/>
    <x v="12"/>
    <s v="potsdam"/>
    <x v="3"/>
    <n v="822040"/>
    <x v="0"/>
    <s v="Literature; Psychology"/>
    <s v="9781118289099"/>
    <s v=",1,2,3,57,58,59,55,56,60,72,73,74,70,71,61,62,63,64,65,66,67,68,69,75"/>
    <n v="24"/>
    <m/>
    <m/>
    <s v="No"/>
    <x v="1"/>
    <m/>
    <m/>
    <s v="137.143.104.94"/>
    <s v="BF76.7 -- .B447 2012eb"/>
    <s v="808.06/615"/>
    <d v="2012-03-22T00:00:00"/>
  </r>
  <r>
    <x v="6888"/>
    <d v="1899-12-30T00:00:58"/>
    <x v="1145"/>
    <x v="12"/>
    <s v="potsdam"/>
    <x v="1103"/>
    <n v="1887746"/>
    <x v="0"/>
    <s v="Religion"/>
    <s v="9781118697559"/>
    <s v=",1,2,3,4,5,23,24,25,26,22,27,42,39"/>
    <n v="13"/>
    <m/>
    <m/>
    <s v="No"/>
    <x v="3"/>
    <m/>
    <m/>
    <s v="137.143.104.94"/>
    <s v="BV4501.2 -- .M2357 1999eb"/>
    <n v="248"/>
    <d v="2013-05-30T00:00:00"/>
  </r>
  <r>
    <x v="6889"/>
    <d v="1899-12-30T00:00:47"/>
    <x v="1608"/>
    <x v="0"/>
    <s v="Buffalo"/>
    <x v="31"/>
    <n v="1682559"/>
    <x v="4"/>
    <s v="Medicine"/>
    <s v="9781462515431"/>
    <s v=",1,2,3,31,32,33,30,26,27,29,122,123,124,120,121,129,130,127,131,128,132,133,134"/>
    <n v="23"/>
    <m/>
    <m/>
    <s v="No"/>
    <x v="1"/>
    <m/>
    <m/>
    <s v="128.205.114.91"/>
    <s v="RC469 -- .M677 2014eb"/>
    <n v="616.89"/>
    <d v="2014-05-10T00:00:00"/>
  </r>
  <r>
    <x v="6890"/>
    <d v="1899-12-30T00:47:38"/>
    <x v="1609"/>
    <x v="0"/>
    <s v="Buffalo"/>
    <x v="666"/>
    <n v="1711615"/>
    <x v="0"/>
    <s v="Computer Science/IT"/>
    <s v="9781118461068"/>
    <s v=",104,105,106,107,108,109,110,111,112,113,114,115,116,117,118,119,120,121,122,123,124,125,126,127,128,129,130,131,132,133,134,135,137,138,139,136,140,141,142,143,144,145,146,147,148,149,150,151,152,153,154,155,156,157,158,159,160,161,162,163,164,165,167,166,168,169,171,20,21,18,19,22,23,25,27,9,10,11,7,8,12,13,14,15,16"/>
    <n v="85"/>
    <m/>
    <m/>
    <s v="No"/>
    <x v="2"/>
    <d v="2015-09-28T00:50:01"/>
    <n v="1"/>
    <s v="128.205.114.91"/>
    <s v="QA76.73.J38 -- .B873 2014eb"/>
    <n v="5.133"/>
    <d v="2014-06-03T00:00:00"/>
  </r>
  <r>
    <x v="6891"/>
    <d v="1899-12-30T00:00:04"/>
    <x v="1610"/>
    <x v="5"/>
    <s v="erie"/>
    <x v="494"/>
    <n v="947565"/>
    <x v="0"/>
    <s v="Engineering; Engineering: Electrical; Computer Science/IT"/>
    <s v="9781118416945"/>
    <s v=",1,2,3"/>
    <n v="3"/>
    <m/>
    <m/>
    <s v="No"/>
    <x v="1"/>
    <m/>
    <m/>
    <s v="199.29.6.54"/>
    <s v="TK7887.7 .L384 2012"/>
    <n v="6.6859999999999999"/>
    <d v="2013-01-22T00:00:00"/>
  </r>
  <r>
    <x v="6892"/>
    <d v="1899-12-30T00:06:05"/>
    <x v="1609"/>
    <x v="0"/>
    <s v="Buffalo"/>
    <x v="666"/>
    <n v="1711615"/>
    <x v="0"/>
    <s v="Computer Science/IT"/>
    <s v="9781118461068"/>
    <s v=",1,2,3,25,26,27,24,23,96,97,93,95,94,91,92,98,99,100,101,102,103"/>
    <n v="21"/>
    <m/>
    <m/>
    <s v="No"/>
    <x v="3"/>
    <m/>
    <m/>
    <s v="128.205.114.91"/>
    <s v="QA76.73.J38 -- .B873 2014eb"/>
    <n v="5.133"/>
    <d v="2014-06-03T00:00:00"/>
  </r>
  <r>
    <x v="6893"/>
    <d v="1899-12-30T00:01:52"/>
    <x v="1609"/>
    <x v="0"/>
    <s v="Buffalo"/>
    <x v="1562"/>
    <n v="1688015"/>
    <x v="0"/>
    <s v="Computer Science/IT"/>
    <s v="9781118461037"/>
    <s v=",88,86,87,84,85,83,82,25,26,27,23,24,56,58,57,54,55,53,52,51,49,50,1"/>
    <n v="23"/>
    <m/>
    <m/>
    <s v="No"/>
    <x v="2"/>
    <d v="2015-09-28T00:41:41"/>
    <n v="1"/>
    <s v="128.205.114.91"/>
    <s v="QA76.73.J38 -- .B873 2014eb"/>
    <n v="5"/>
    <d v="2014-03-14T00:00:00"/>
  </r>
  <r>
    <x v="6894"/>
    <d v="1899-12-30T00:01:03"/>
    <x v="1609"/>
    <x v="0"/>
    <s v="Buffalo"/>
    <x v="1563"/>
    <n v="1895661"/>
    <x v="0"/>
    <s v="Science: Physics; Science"/>
    <s v="9781118853276"/>
    <s v=",1,3,2,12,13,10,11,14,15,16,17,18,21,22,23,20,19"/>
    <n v="17"/>
    <m/>
    <m/>
    <s v="No"/>
    <x v="3"/>
    <m/>
    <m/>
    <s v="128.205.114.91"/>
    <s v="QC32 .P384 2015"/>
    <n v="530.07600000000002"/>
    <d v="2015-05-06T00:00:00"/>
  </r>
  <r>
    <x v="6895"/>
    <d v="1899-12-30T00:01:27"/>
    <x v="1145"/>
    <x v="12"/>
    <s v="potsdam"/>
    <x v="1564"/>
    <n v="1763123"/>
    <x v="1"/>
    <s v="Religion"/>
    <s v="9781409470267"/>
    <s v=",1,2,3,5,8,9,10,11,12,14,24,25,26,22,23,50,51,52,48,49"/>
    <n v="20"/>
    <m/>
    <m/>
    <s v="No"/>
    <x v="3"/>
    <m/>
    <m/>
    <s v="137.143.104.94"/>
    <s v="BR481 -- .C494 2014eb"/>
    <s v="270.8/3"/>
    <d v="2014-10-28T00:00:00"/>
  </r>
  <r>
    <x v="6896"/>
    <d v="1899-12-30T00:09:45"/>
    <x v="1609"/>
    <x v="0"/>
    <s v="Buffalo"/>
    <x v="1562"/>
    <n v="1688015"/>
    <x v="0"/>
    <s v="Computer Science/IT"/>
    <s v="9781118461037"/>
    <s v=",1,2,3,1,3,4,5,2,91,92,93,89,90"/>
    <n v="10"/>
    <m/>
    <m/>
    <s v="No"/>
    <x v="3"/>
    <m/>
    <m/>
    <s v="128.205.114.91"/>
    <s v="QA76.73.J38 -- .B873 2014eb"/>
    <n v="5"/>
    <d v="2014-03-14T00:00:00"/>
  </r>
  <r>
    <x v="6897"/>
    <d v="1899-12-30T01:49:46"/>
    <x v="1298"/>
    <x v="0"/>
    <s v="Buffalo"/>
    <x v="901"/>
    <n v="864784"/>
    <x v="10"/>
    <s v="Education"/>
    <s v="9781400841578"/>
    <s v=",1,2,3,26,27,28,24,25,29,30,31,32,33,54,52,53,51,55,34,35,36,37,38,39,40,41,42,43,44,45,46,47,48,49,50,51"/>
    <n v="35"/>
    <m/>
    <m/>
    <s v="No"/>
    <x v="1"/>
    <m/>
    <m/>
    <s v="128.205.114.91"/>
    <s v="LA227.4 .D455 2012"/>
    <n v="378.73"/>
    <d v="2014-05-27T00:00:00"/>
  </r>
  <r>
    <x v="6898"/>
    <d v="1899-12-30T01:55:47"/>
    <x v="1526"/>
    <x v="15"/>
    <s v="morrisville"/>
    <x v="1382"/>
    <n v="1501633"/>
    <x v="0"/>
    <s v="Language/Linguistics"/>
    <s v="9781118610701"/>
    <s v=",1,2,3,175,176,177,173,174"/>
    <n v="8"/>
    <m/>
    <m/>
    <s v="No"/>
    <x v="3"/>
    <m/>
    <m/>
    <s v="136.204.32.67"/>
    <s v="PA227 -- .C658 2014eb"/>
    <n v="480.09"/>
    <d v="2013-10-23T00:00:00"/>
  </r>
  <r>
    <x v="6899"/>
    <d v="1899-12-30T00:00:57"/>
    <x v="461"/>
    <x v="0"/>
    <s v="Buffalo"/>
    <x v="500"/>
    <n v="699744"/>
    <x v="0"/>
    <s v="Engineering; Engineering: Electrical; Engineering: Civil"/>
    <s v="9781118585818"/>
    <s v=",1,3,2,1,2,1,3,4,5,6,7,9,8,10,7,7"/>
    <n v="10"/>
    <m/>
    <m/>
    <s v="No"/>
    <x v="0"/>
    <d v="2015-09-24T14:06:37"/>
    <n v="7"/>
    <s v="128.205.114.91"/>
    <s v="TA1520 -- .S24 2007eb"/>
    <n v="621.36"/>
    <d v="2013-02-05T00:00:00"/>
  </r>
  <r>
    <x v="6900"/>
    <d v="1899-12-30T00:03:46"/>
    <x v="986"/>
    <x v="0"/>
    <s v="Buffalo"/>
    <x v="73"/>
    <n v="1119505"/>
    <x v="0"/>
    <s v="Science: Chemistry; Science"/>
    <s v="9781118355015"/>
    <s v=",1,2,3,75,76,77,73,74,78,79,81,80,82,101,102,103,100,99,104"/>
    <n v="19"/>
    <m/>
    <m/>
    <s v="No"/>
    <x v="0"/>
    <d v="2015-09-22T22:41:10"/>
    <n v="7"/>
    <s v="128.205.114.91"/>
    <s v="QD251.3 -- .S38 2013eb"/>
    <s v="547/.128"/>
    <d v="2013-01-28T00:00:00"/>
  </r>
  <r>
    <x v="6901"/>
    <d v="1899-12-30T00:01:03"/>
    <x v="634"/>
    <x v="11"/>
    <s v="cobleskill"/>
    <x v="11"/>
    <n v="693176"/>
    <x v="0"/>
    <s v="Engineering: Manufacturing; General Works/Reference; Engineering"/>
    <s v="9781118017746"/>
    <s v=",1,2,3,248,249,250,246,247,251,252,253"/>
    <n v="11"/>
    <m/>
    <m/>
    <s v="No"/>
    <x v="0"/>
    <d v="2015-09-27T20:11:19"/>
    <n v="7"/>
    <s v="137.36.32.34"/>
    <s v="Z246 -- .M43 2012eb"/>
    <s v="686.2/209"/>
    <d v="2011-10-19T00:00:00"/>
  </r>
  <r>
    <x v="6902"/>
    <d v="1899-12-30T01:57:47"/>
    <x v="1140"/>
    <x v="0"/>
    <s v="Buffalo"/>
    <x v="73"/>
    <n v="1119505"/>
    <x v="0"/>
    <s v="Science: Chemistry; Science"/>
    <s v="9781118355015"/>
    <s v=",386,385,384,384,383,383,382,386,387,388,389,390,391,392,387,392,387,386,385,384,383,382,381,386,387,388,389,390,391,386,391,386,385,384,389,390,391,386,391,385,384,389,390,1,390,391,392,388,389,2,387,386,385"/>
    <n v="14"/>
    <m/>
    <m/>
    <s v="No"/>
    <x v="0"/>
    <d v="2015-09-27T22:27:45"/>
    <n v="7"/>
    <s v="128.205.114.91"/>
    <s v="QD251.3 -- .S38 2013eb"/>
    <s v="547/.128"/>
    <d v="2013-01-28T00:00:00"/>
  </r>
  <r>
    <x v="6903"/>
    <d v="1899-12-30T00:15:26"/>
    <x v="1140"/>
    <x v="0"/>
    <s v="Buffalo"/>
    <x v="73"/>
    <n v="1119505"/>
    <x v="0"/>
    <s v="Science: Chemistry; Science"/>
    <s v="9781118355015"/>
    <s v=",1,3,2,3,2,1,2,2,387,388,389,387,386,388,389,386,385,390,390,390,391,391,387,392,392,392"/>
    <n v="11"/>
    <m/>
    <m/>
    <s v="No"/>
    <x v="1"/>
    <m/>
    <m/>
    <s v="128.205.114.91"/>
    <s v="QD251.3 -- .S38 2013eb"/>
    <s v="547/.128"/>
    <d v="2013-01-28T00:00:00"/>
  </r>
  <r>
    <x v="6904"/>
    <d v="1899-12-30T00:01:48"/>
    <x v="461"/>
    <x v="0"/>
    <s v="Buffalo"/>
    <x v="500"/>
    <n v="699744"/>
    <x v="0"/>
    <s v="Engineering; Engineering: Electrical; Engineering: Civil"/>
    <s v="9781118585818"/>
    <s v=",1,2,3,4,5,6,8,7,10,9,11,13,15,14,16,17,19,18,20,21,22,23,24,25,27,26,28,30,32,32,34,33,31,32,33,28,29,27,26,24,23,25,22,20"/>
    <n v="33"/>
    <m/>
    <m/>
    <s v="No"/>
    <x v="0"/>
    <d v="2015-09-24T14:06:37"/>
    <n v="7"/>
    <s v="128.205.114.91"/>
    <s v="TA1520 -- .S24 2007eb"/>
    <n v="621.36"/>
    <d v="2013-02-05T00:00:00"/>
  </r>
  <r>
    <x v="6905"/>
    <d v="1899-12-30T00:01:01"/>
    <x v="461"/>
    <x v="0"/>
    <s v="Buffalo"/>
    <x v="500"/>
    <n v="699744"/>
    <x v="0"/>
    <s v="Engineering; Engineering: Electrical; Engineering: Civil"/>
    <s v="9781118585818"/>
    <s v=",30,17,17,17,5,5,27"/>
    <n v="4"/>
    <m/>
    <m/>
    <s v="Yes"/>
    <x v="0"/>
    <d v="2015-09-24T14:06:37"/>
    <n v="7"/>
    <s v="128.205.114.91"/>
    <s v="TA1520 -- .S24 2007eb"/>
    <n v="621.36"/>
    <d v="2013-02-05T00:00:00"/>
  </r>
  <r>
    <x v="6906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24T14:06:37"/>
    <n v="7"/>
    <s v="128.205.114.91"/>
    <s v="TA1520 -- .S24 2007eb"/>
    <n v="621.36"/>
    <d v="2013-02-05T00:00:00"/>
  </r>
  <r>
    <x v="6907"/>
    <d v="1899-12-30T00:17:02"/>
    <x v="1611"/>
    <x v="14"/>
    <s v="houghton"/>
    <x v="248"/>
    <n v="817836"/>
    <x v="0"/>
    <s v="Computer Science/IT"/>
    <s v="9781118203835"/>
    <s v=",242,243,239,240,1,241,242,240,238,239,243,2,244,246,247,1,247,248,245,246,2"/>
    <n v="13"/>
    <m/>
    <m/>
    <s v="No"/>
    <x v="0"/>
    <d v="2015-09-27T20:35:12"/>
    <n v="7"/>
    <s v="96.43.64.169"/>
    <s v="TK5105.5 -- .M36 2012eb"/>
    <n v="4.6500000000000004"/>
    <d v="2011-10-18T00:00:00"/>
  </r>
  <r>
    <x v="6908"/>
    <d v="1899-12-30T00:01:00"/>
    <x v="461"/>
    <x v="0"/>
    <s v="Buffalo"/>
    <x v="500"/>
    <n v="699744"/>
    <x v="0"/>
    <s v="Engineering; Engineering: Electrical; Engineering: Civil"/>
    <s v="9781118585818"/>
    <s v=",1,3,2,1,2,30,30"/>
    <n v="4"/>
    <s v=",30"/>
    <s v=",651,652,653,654,655,656,657,658,659,660,661,662,663,664,665,666,667,668,669,670,671,672,673,674,675,676,677,678,679,680,681,682,683,684,685,686,687,688,689,690,691,692,693,694,695,696,697,698,699,700,701,702,703,704,705,706,707,708,709,710,711,712,713,714,715,716,717,718,719,720,721,722,723,724,725,726,727,728,729,730,731,732,733,734,735,736,737,738,739,740,741,742,743,744,745,746,747,748,749,750,751,752,753,754,755,756,757,758,759,760,761,762,763,764,765,766,767,768,769,770,771,772,773,774,775,776,777,778,779,780,781,782,783,784,785,786,787,788,789,790,791,792,793,794,795,796,797,798,799,800,801,802,803,804,805,806,807,808,809,810,811,812,813,814,815,816,817,818,819,820,821,822,823,824,825,826,827"/>
    <s v="No"/>
    <x v="0"/>
    <d v="2015-09-24T14:06:37"/>
    <n v="7"/>
    <s v="128.205.114.91"/>
    <s v="TA1520 -- .S24 2007eb"/>
    <n v="621.36"/>
    <d v="2013-02-05T00:00:00"/>
  </r>
  <r>
    <x v="6909"/>
    <d v="1899-12-30T00:09:13"/>
    <x v="13"/>
    <x v="0"/>
    <s v="Buffalo"/>
    <x v="666"/>
    <n v="817932"/>
    <x v="0"/>
    <s v="Computer Science/IT"/>
    <s v="9781118220146"/>
    <s v=",93,94,95,91,92,96,96,97,97,98,98,99,99,100,100"/>
    <n v="10"/>
    <m/>
    <m/>
    <s v="No"/>
    <x v="0"/>
    <d v="2015-09-27T20:30:05"/>
    <n v="7"/>
    <s v="128.205.114.91"/>
    <s v="QA76.73.J38 -- B87 2012eb"/>
    <n v="5.133"/>
    <d v="2012-03-13T00:00:00"/>
  </r>
  <r>
    <x v="6910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24T14:06:37"/>
    <n v="7"/>
    <s v="128.205.114.91"/>
    <s v="TA1520 -- .S24 2007eb"/>
    <n v="621.36"/>
    <d v="2013-02-05T00:00:00"/>
  </r>
  <r>
    <x v="6911"/>
    <d v="1899-12-30T00:01:28"/>
    <x v="461"/>
    <x v="0"/>
    <s v="Buffalo"/>
    <x v="500"/>
    <n v="699744"/>
    <x v="0"/>
    <s v="Engineering; Engineering: Electrical; Engineering: Civil"/>
    <s v="9781118585818"/>
    <s v=",1"/>
    <n v="1"/>
    <m/>
    <m/>
    <s v="Yes"/>
    <x v="0"/>
    <d v="2015-09-24T14:06:37"/>
    <n v="7"/>
    <s v="128.205.114.91"/>
    <s v="TA1520 -- .S24 2007eb"/>
    <n v="621.36"/>
    <d v="2013-02-05T00:00:00"/>
  </r>
  <r>
    <x v="6912"/>
    <d v="1899-12-30T00:00:05"/>
    <x v="461"/>
    <x v="0"/>
    <s v="Buffalo"/>
    <x v="500"/>
    <n v="699744"/>
    <x v="0"/>
    <s v="Engineering; Engineering: Electrical; Engineering: Civil"/>
    <s v="9781118585818"/>
    <s v=",1,3,2"/>
    <n v="3"/>
    <m/>
    <m/>
    <s v="No"/>
    <x v="0"/>
    <d v="2015-09-24T14:06:37"/>
    <n v="7"/>
    <s v="128.205.114.91"/>
    <s v="TA1520 -- .S24 2007eb"/>
    <n v="621.36"/>
    <d v="2013-02-05T00:00:00"/>
  </r>
  <r>
    <x v="6913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24T14:06:37"/>
    <n v="7"/>
    <s v="128.205.114.91"/>
    <s v="TA1520 -- .S24 2007eb"/>
    <n v="621.36"/>
    <d v="2013-02-05T00:00:00"/>
  </r>
  <r>
    <x v="6914"/>
    <d v="1899-12-30T00:00:25"/>
    <x v="461"/>
    <x v="0"/>
    <s v="Buffalo"/>
    <x v="500"/>
    <n v="699744"/>
    <x v="0"/>
    <s v="Engineering; Engineering: Electrical; Engineering: Civil"/>
    <s v="9781118585818"/>
    <s v=",1,2,2,3,1,3,48,49,48,49,50,47,46,47,50,2"/>
    <n v="8"/>
    <m/>
    <m/>
    <s v="No"/>
    <x v="0"/>
    <d v="2015-09-24T14:06:37"/>
    <n v="7"/>
    <s v="128.205.114.91"/>
    <s v="TA1520 -- .S24 2007eb"/>
    <n v="621.36"/>
    <d v="2013-02-05T00:00:00"/>
  </r>
  <r>
    <x v="6915"/>
    <d v="1899-12-30T00:16:00"/>
    <x v="1611"/>
    <x v="14"/>
    <s v="houghton"/>
    <x v="248"/>
    <n v="817836"/>
    <x v="0"/>
    <s v="Computer Science/IT"/>
    <s v="9781118203835"/>
    <s v=",1,2,3,4,5,6,7,8,9,275,273,274,82,83,84,80,85,93,94,90,91,89,95,97,98,100,101,104,105,106,1,106,107,108,104,105,2,103,102,101"/>
    <n v="34"/>
    <m/>
    <m/>
    <s v="No"/>
    <x v="1"/>
    <m/>
    <m/>
    <s v="96.43.64.169"/>
    <s v="TK5105.5 -- .M36 2012eb"/>
    <n v="4.6500000000000004"/>
    <d v="2011-10-18T00:00:00"/>
  </r>
  <r>
    <x v="6916"/>
    <d v="1899-12-30T00:01:02"/>
    <x v="634"/>
    <x v="11"/>
    <s v="cobleskill"/>
    <x v="11"/>
    <n v="693176"/>
    <x v="0"/>
    <s v="Engineering: Manufacturing; General Works/Reference; Engineering"/>
    <s v="9781118017746"/>
    <s v=",248,249,250,247,246,268,269,270"/>
    <n v="8"/>
    <m/>
    <m/>
    <s v="No"/>
    <x v="0"/>
    <d v="2015-09-27T20:16:42"/>
    <n v="7"/>
    <s v="137.36.32.34"/>
    <s v="Z246 -- .M43 2012eb"/>
    <s v="686.2/209"/>
    <d v="2011-10-19T00:00:00"/>
  </r>
  <r>
    <x v="6917"/>
    <d v="1899-12-30T00:02:31"/>
    <x v="634"/>
    <x v="11"/>
    <s v="cobleskill"/>
    <x v="11"/>
    <n v="693176"/>
    <x v="0"/>
    <s v="Engineering: Manufacturing; General Works/Reference; Engineering"/>
    <s v="9781118017746"/>
    <s v=",275,248,249,250,246,247,251,252,251,252,248,250,249,247,246"/>
    <n v="8"/>
    <m/>
    <m/>
    <s v="No"/>
    <x v="0"/>
    <d v="2015-09-27T20:11:19"/>
    <n v="7"/>
    <s v="137.36.32.34"/>
    <s v="Z246 -- .M43 2012eb"/>
    <s v="686.2/209"/>
    <d v="2011-10-19T00:00:00"/>
  </r>
  <r>
    <x v="6918"/>
    <d v="1899-12-30T00:02:19"/>
    <x v="634"/>
    <x v="11"/>
    <s v="cobleskill"/>
    <x v="11"/>
    <n v="693176"/>
    <x v="0"/>
    <s v="Engineering: Manufacturing; General Works/Reference; Engineering"/>
    <s v="9781118017746"/>
    <s v=",1,2,3,272,273,274,270,271"/>
    <n v="8"/>
    <m/>
    <m/>
    <s v="No"/>
    <x v="1"/>
    <m/>
    <m/>
    <s v="137.36.32.34"/>
    <s v="Z246 -- .M43 2012eb"/>
    <s v="686.2/209"/>
    <d v="2011-10-19T00:00:00"/>
  </r>
  <r>
    <x v="6919"/>
    <d v="1899-12-30T00:26:14"/>
    <x v="13"/>
    <x v="0"/>
    <s v="Buffalo"/>
    <x v="666"/>
    <n v="817932"/>
    <x v="0"/>
    <s v="Computer Science/IT"/>
    <s v="9781118220146"/>
    <s v=",1,67,68,1,68,69,65,67,69,66,66,70,70,21,21,22,23,23,19,22,20,20,27,27,28,25,2,29,28,26,29,26,2,42,43,42,44,43,44,40,41,41,45,45,46,46,47,47,82,83,84,82,84,80,83,81,81,85,85,86,86,87,87,89,90,89,90,91,88,91,88,92,92,93,93,94,94,89,94,95,95"/>
    <n v="42"/>
    <m/>
    <m/>
    <s v="No"/>
    <x v="1"/>
    <m/>
    <m/>
    <s v="128.205.114.91"/>
    <s v="QA76.73.J38 -- B87 2012eb"/>
    <n v="5.133"/>
    <d v="2012-03-13T00:00:00"/>
  </r>
  <r>
    <x v="6920"/>
    <d v="1899-12-30T00:00:04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6921"/>
    <d v="1899-12-30T00:48:01"/>
    <x v="634"/>
    <x v="11"/>
    <s v="cobleskill"/>
    <x v="11"/>
    <n v="693176"/>
    <x v="0"/>
    <s v="Engineering: Manufacturing; General Works/Reference; Engineering"/>
    <s v="9781118017746"/>
    <s v=",1,2,3,342,343,344,340,341,345,346,347,348,349,350,351,352,353"/>
    <n v="17"/>
    <m/>
    <m/>
    <s v="No"/>
    <x v="1"/>
    <m/>
    <m/>
    <s v="137.36.32.34"/>
    <s v="Z246 -- .M43 2012eb"/>
    <s v="686.2/209"/>
    <d v="2011-10-19T00:00:00"/>
  </r>
  <r>
    <x v="6922"/>
    <d v="1899-12-30T00:03:06"/>
    <x v="1612"/>
    <x v="0"/>
    <s v="Buffalo"/>
    <x v="1163"/>
    <n v="836633"/>
    <x v="0"/>
    <s v="Psychology"/>
    <s v="9781119953784"/>
    <s v=",197,198,199,200,201,202,203"/>
    <n v="7"/>
    <m/>
    <m/>
    <s v="No"/>
    <x v="0"/>
    <d v="2015-09-27T19:24:48"/>
    <n v="7"/>
    <s v="128.205.114.91"/>
    <s v="BF637.N66 K84"/>
    <n v="153.69"/>
    <d v="2012-01-03T00:00:00"/>
  </r>
  <r>
    <x v="6923"/>
    <d v="1899-12-30T00:10:27"/>
    <x v="1612"/>
    <x v="0"/>
    <s v="Buffalo"/>
    <x v="1163"/>
    <n v="836633"/>
    <x v="0"/>
    <s v="Psychology"/>
    <s v="9781119953784"/>
    <s v=",1,2,3,69,70,71,67,68,42,72,73,74,75,137,138,139,135,136,140,141,142,147,148,149,145,146,150,151,152,153,154,155,156,157,158,159,160,161,162,166,167,168,164,165,194,195,196,192,193"/>
    <n v="49"/>
    <m/>
    <m/>
    <s v="No"/>
    <x v="1"/>
    <m/>
    <m/>
    <s v="128.205.114.91"/>
    <s v="BF637.N66 K84"/>
    <n v="153.69"/>
    <d v="2012-01-03T00:00:00"/>
  </r>
  <r>
    <x v="6924"/>
    <d v="1899-12-30T00:00:52"/>
    <x v="1613"/>
    <x v="0"/>
    <s v="Buffalo"/>
    <x v="1565"/>
    <n v="1774197"/>
    <x v="1"/>
    <s v="Business/Management"/>
    <s v="9781472437211"/>
    <s v=",1,2,3,79,80,81,82,78,83,84,85,86,87,88"/>
    <n v="14"/>
    <m/>
    <m/>
    <s v="No"/>
    <x v="3"/>
    <m/>
    <m/>
    <s v="128.205.114.91"/>
    <s v="HD45 -- .M5155 2014eb"/>
    <s v="658.3/120285"/>
    <d v="2014-10-28T00:00:00"/>
  </r>
  <r>
    <x v="6925"/>
    <d v="1899-12-30T00:02:39"/>
    <x v="13"/>
    <x v="0"/>
    <s v="Buffalo"/>
    <x v="1177"/>
    <n v="836860"/>
    <x v="4"/>
    <s v="Psychology"/>
    <s v="9781462503117"/>
    <s v=",62,63,64,1,62,63,64,60,61,36,37,34,35,38,65,66,67,2,84,12,13,14,11,10,15,16,139,140,141,138,137,142,143,144,145"/>
    <n v="32"/>
    <m/>
    <m/>
    <s v="No"/>
    <x v="0"/>
    <d v="2015-09-27T17:41:54"/>
    <n v="7"/>
    <s v="128.205.114.91"/>
    <s v="BF697 -- .H345 2012eb"/>
    <n v="155.19999999999999"/>
    <d v="2014-05-14T00:00:00"/>
  </r>
  <r>
    <x v="6926"/>
    <d v="1899-12-30T00:41:39"/>
    <x v="13"/>
    <x v="0"/>
    <s v="Buffalo"/>
    <x v="1177"/>
    <n v="836860"/>
    <x v="4"/>
    <s v="Psychology"/>
    <s v="9781462503117"/>
    <s v=",1,2,3,34,35,36,32,37,33"/>
    <n v="9"/>
    <m/>
    <m/>
    <s v="No"/>
    <x v="1"/>
    <m/>
    <m/>
    <s v="128.205.114.91"/>
    <s v="BF697 -- .H345 2012eb"/>
    <n v="155.19999999999999"/>
    <d v="2014-05-14T00:00:00"/>
  </r>
  <r>
    <x v="6927"/>
    <d v="1899-12-30T00:01:07"/>
    <x v="13"/>
    <x v="0"/>
    <s v="Buffalo"/>
    <x v="1177"/>
    <n v="836860"/>
    <x v="4"/>
    <s v="Psychology"/>
    <s v="9781462503117"/>
    <s v=",1,2,3,65,66,67,63,68,64,139,140,141,137,138,142,120,121,122,118,123,119,84,85,86,82,83,87,88,89,90,92,91,93,94,95,104,105,106,107,108,109"/>
    <n v="41"/>
    <m/>
    <m/>
    <s v="No"/>
    <x v="1"/>
    <m/>
    <m/>
    <s v="128.205.114.91"/>
    <s v="BF697 -- .H345 2012eb"/>
    <n v="155.19999999999999"/>
    <d v="2014-05-14T00:00:00"/>
  </r>
  <r>
    <x v="6928"/>
    <d v="1899-12-30T00:00:00"/>
    <x v="1614"/>
    <x v="0"/>
    <s v="Buffalo"/>
    <x v="1566"/>
    <n v="1873196"/>
    <x v="3"/>
    <s v="History"/>
    <s v="9780520962026"/>
    <m/>
    <n v="0"/>
    <m/>
    <m/>
    <s v="Yes"/>
    <x v="0"/>
    <d v="2015-09-27T15:24:21"/>
    <n v="7"/>
    <s v="128.205.114.91"/>
    <s v="DS135.F9 -- B78613 1999eb"/>
    <n v="940.5318092"/>
    <d v="2014-11-18T00:00:00"/>
  </r>
  <r>
    <x v="6929"/>
    <d v="1899-12-30T00:00:02"/>
    <x v="1614"/>
    <x v="0"/>
    <s v="Buffalo"/>
    <x v="1566"/>
    <n v="1873196"/>
    <x v="3"/>
    <s v="History"/>
    <s v="9780520962026"/>
    <s v=",1,2,3"/>
    <n v="3"/>
    <m/>
    <m/>
    <s v="No"/>
    <x v="0"/>
    <d v="2015-09-27T15:24:21"/>
    <n v="7"/>
    <s v="128.205.114.91"/>
    <s v="DS135.F9 -- B78613 1999eb"/>
    <n v="940.5318092"/>
    <d v="2014-11-18T00:00:00"/>
  </r>
  <r>
    <x v="6930"/>
    <d v="1899-12-30T00:00:00"/>
    <x v="1614"/>
    <x v="0"/>
    <s v="Buffalo"/>
    <x v="1566"/>
    <n v="1873196"/>
    <x v="3"/>
    <s v="History"/>
    <s v="9780520962026"/>
    <m/>
    <n v="0"/>
    <m/>
    <m/>
    <s v="Yes"/>
    <x v="0"/>
    <d v="2015-09-27T15:24:21"/>
    <n v="7"/>
    <s v="128.205.114.91"/>
    <s v="DS135.F9 -- B78613 1999eb"/>
    <n v="940.5318092"/>
    <d v="2014-11-18T00:00:00"/>
  </r>
  <r>
    <x v="6931"/>
    <d v="1899-12-30T00:13:11"/>
    <x v="1614"/>
    <x v="0"/>
    <s v="Buffalo"/>
    <x v="1566"/>
    <n v="1873196"/>
    <x v="3"/>
    <s v="History"/>
    <s v="9780520962026"/>
    <s v=",1,2,3,4,5,6,7,8,9,10,65,67,63"/>
    <n v="13"/>
    <m/>
    <m/>
    <s v="No"/>
    <x v="0"/>
    <d v="2015-09-27T15:24:21"/>
    <n v="7"/>
    <s v="128.205.114.91"/>
    <s v="DS135.F9 -- B78613 1999eb"/>
    <n v="940.5318092"/>
    <d v="2014-11-18T00:00:00"/>
  </r>
  <r>
    <x v="6932"/>
    <d v="1899-12-30T00:00:00"/>
    <x v="1614"/>
    <x v="0"/>
    <s v="Buffalo"/>
    <x v="1566"/>
    <n v="1873196"/>
    <x v="3"/>
    <s v="History"/>
    <s v="9780520962026"/>
    <m/>
    <n v="0"/>
    <m/>
    <m/>
    <s v="Yes"/>
    <x v="0"/>
    <d v="2015-09-27T15:24:21"/>
    <n v="7"/>
    <s v="128.205.114.91"/>
    <s v="DS135.F9 -- B78613 1999eb"/>
    <n v="940.5318092"/>
    <d v="2014-11-18T00:00:00"/>
  </r>
  <r>
    <x v="6932"/>
    <d v="1899-12-30T00:00:00"/>
    <x v="1614"/>
    <x v="0"/>
    <s v="Buffalo"/>
    <x v="1566"/>
    <n v="1873196"/>
    <x v="3"/>
    <s v="History"/>
    <s v="9780520962026"/>
    <m/>
    <n v="0"/>
    <m/>
    <m/>
    <s v="No"/>
    <x v="0"/>
    <d v="2015-09-27T15:24:21"/>
    <n v="7"/>
    <s v="128.205.114.91"/>
    <s v="DS135.F9 -- B78613 1999eb"/>
    <n v="940.5318092"/>
    <d v="2014-11-18T00:00:00"/>
  </r>
  <r>
    <x v="6933"/>
    <d v="1899-12-30T00:02:06"/>
    <x v="1614"/>
    <x v="0"/>
    <s v="Buffalo"/>
    <x v="1566"/>
    <n v="1873196"/>
    <x v="3"/>
    <s v="History"/>
    <s v="9780520962026"/>
    <s v=",1,2,3"/>
    <n v="3"/>
    <m/>
    <m/>
    <s v="No"/>
    <x v="1"/>
    <m/>
    <m/>
    <s v="128.205.114.91"/>
    <s v="DS135.F9 -- B78613 1999eb"/>
    <n v="940.5318092"/>
    <d v="2014-11-18T00:00:00"/>
  </r>
  <r>
    <x v="6934"/>
    <d v="1899-12-30T00:00:22"/>
    <x v="1615"/>
    <x v="13"/>
    <s v="buffalostate"/>
    <x v="725"/>
    <n v="1046302"/>
    <x v="3"/>
    <s v="Political Science; History"/>
    <s v="9780520953543"/>
    <s v=",1,2,1,3,2,3,4,4,4,2,2"/>
    <n v="4"/>
    <m/>
    <m/>
    <s v="No"/>
    <x v="1"/>
    <m/>
    <m/>
    <s v="136.183.11.43"/>
    <s v="E185.615 -- .B5574 2012eb"/>
    <n v="322.420973"/>
    <d v="2013-01-14T00:00:00"/>
  </r>
  <r>
    <x v="6935"/>
    <d v="1899-12-30T00:00:14"/>
    <x v="1616"/>
    <x v="0"/>
    <s v="Buffalo"/>
    <x v="1567"/>
    <n v="1652944"/>
    <x v="0"/>
    <s v="Science; Science: Astronomy"/>
    <s v="9783527665051"/>
    <s v=",28,29,30,26,27,31,32,33,34,35,36"/>
    <n v="11"/>
    <m/>
    <m/>
    <s v="No"/>
    <x v="0"/>
    <d v="2015-09-27T13:50:19"/>
    <n v="7"/>
    <s v="128.205.114.91"/>
    <s v="QB464 -- .N34 2014eb"/>
    <n v="523.01969999999994"/>
    <d v="2014-03-14T00:00:00"/>
  </r>
  <r>
    <x v="6936"/>
    <d v="1899-12-30T00:21:46"/>
    <x v="1616"/>
    <x v="0"/>
    <s v="Buffalo"/>
    <x v="1567"/>
    <n v="1652944"/>
    <x v="0"/>
    <s v="Science; Science: Astronomy"/>
    <s v="9783527665051"/>
    <s v=",1,2,3,27,28,29,26,30,31,32,33,34,35,36,37,38,39,40,41,42,43,44,45,46,47,48,49"/>
    <n v="27"/>
    <m/>
    <m/>
    <s v="No"/>
    <x v="1"/>
    <m/>
    <m/>
    <s v="128.205.114.91"/>
    <s v="QB464 -- .N34 2014eb"/>
    <n v="523.01969999999994"/>
    <d v="2014-03-14T00:00:00"/>
  </r>
  <r>
    <x v="6937"/>
    <d v="1899-12-30T00:03:31"/>
    <x v="1616"/>
    <x v="0"/>
    <s v="Buffalo"/>
    <x v="1567"/>
    <n v="1652944"/>
    <x v="0"/>
    <s v="Science; Science: Astronomy"/>
    <s v="9783527665051"/>
    <s v=",1,2,3,4,5,6,7,8,9,10,11,12,13,28,29,30,26,31,27,32,33,34,35,36,37,38,39,40,41,42,45,43,44,46,47,48,49,50,51,52,53,54,38,39,40,36,41,37"/>
    <n v="42"/>
    <m/>
    <m/>
    <s v="No"/>
    <x v="1"/>
    <m/>
    <m/>
    <s v="128.205.114.91"/>
    <s v="QB464 -- .N34 2014eb"/>
    <n v="523.01969999999994"/>
    <d v="2014-03-14T00:00:00"/>
  </r>
  <r>
    <x v="6938"/>
    <d v="1899-12-30T00:03:35"/>
    <x v="1617"/>
    <x v="0"/>
    <s v="Buffalo"/>
    <x v="1568"/>
    <n v="1759295"/>
    <x v="4"/>
    <s v="Medicine"/>
    <s v="9781462517084"/>
    <s v=",1,2,3,19,20,21,18,17,22,23,24,29,30,32,31,28,33,34,35,36,37,38,39"/>
    <n v="23"/>
    <m/>
    <m/>
    <s v="No"/>
    <x v="3"/>
    <m/>
    <m/>
    <s v="128.205.114.91"/>
    <s v="RJ505.C63 -- .T743 2014eb"/>
    <n v="618.9289"/>
    <d v="2014-09-26T00:00:00"/>
  </r>
  <r>
    <x v="6939"/>
    <d v="1899-12-30T00:08:19"/>
    <x v="13"/>
    <x v="0"/>
    <s v="Buffalo"/>
    <x v="161"/>
    <n v="821663"/>
    <x v="0"/>
    <s v="Architecture"/>
    <s v="9781118168479"/>
    <s v=",1,2,3,157,158,155,159,156"/>
    <n v="8"/>
    <m/>
    <m/>
    <s v="No"/>
    <x v="0"/>
    <d v="2015-09-22T00:51:49"/>
    <n v="7"/>
    <s v="128.205.114.91"/>
    <s v="NA2547 -- .S74 2012eb"/>
    <n v="729"/>
    <d v="2012-03-05T00:00:00"/>
  </r>
  <r>
    <x v="6940"/>
    <d v="1899-12-30T00:35:50"/>
    <x v="1298"/>
    <x v="0"/>
    <s v="Buffalo"/>
    <x v="901"/>
    <n v="864784"/>
    <x v="10"/>
    <s v="Education"/>
    <s v="9781400841578"/>
    <s v=",1,2,3,4,5,6,7,8,9,10,11,12,13,14,1,14,15,12,16,13,10,11,18,19,20,17,2,26,27,28,24,25,21"/>
    <n v="26"/>
    <m/>
    <m/>
    <s v="No"/>
    <x v="1"/>
    <m/>
    <m/>
    <s v="128.205.114.91"/>
    <s v="LA227.4 .D455 2012"/>
    <n v="378.73"/>
    <d v="2014-05-27T00:00:00"/>
  </r>
  <r>
    <x v="6941"/>
    <d v="1899-12-30T00:00:04"/>
    <x v="1618"/>
    <x v="6"/>
    <s v="sjfc"/>
    <x v="1569"/>
    <n v="738750"/>
    <x v="0"/>
    <s v="Science; Science: Chemistry"/>
    <s v="9781118018170"/>
    <s v=",1,2,3"/>
    <n v="3"/>
    <m/>
    <m/>
    <s v="No"/>
    <x v="3"/>
    <m/>
    <m/>
    <s v="149.69.254.57"/>
    <s v="QD476 -- .C375 2010eb"/>
    <s v="547/.13"/>
    <d v="2014-11-03T00:00:00"/>
  </r>
  <r>
    <x v="6942"/>
    <d v="1899-12-30T00:00:37"/>
    <x v="1618"/>
    <x v="6"/>
    <s v="sjfc"/>
    <x v="215"/>
    <n v="1211841"/>
    <x v="0"/>
    <s v="Science; Science: Chemistry"/>
    <s v="9781118507971"/>
    <s v=",49,50,51,52,53,54"/>
    <n v="6"/>
    <m/>
    <m/>
    <s v="No"/>
    <x v="2"/>
    <d v="2015-09-27T02:16:00"/>
    <n v="1"/>
    <s v="149.69.254.57"/>
    <s v="QD502.5 -- .S86 2013eb"/>
    <s v="547/.139"/>
    <d v="2013-06-05T00:00:00"/>
  </r>
  <r>
    <x v="6943"/>
    <d v="1899-12-30T00:00:06"/>
    <x v="13"/>
    <x v="0"/>
    <s v="Buffalo"/>
    <x v="233"/>
    <n v="800719"/>
    <x v="14"/>
    <s v="Religion"/>
    <s v="9780786487035"/>
    <s v=",1,2,3"/>
    <n v="3"/>
    <m/>
    <m/>
    <s v="No"/>
    <x v="1"/>
    <m/>
    <m/>
    <s v="128.205.114.91"/>
    <s v="BL900 -- .M447 2012eb"/>
    <s v="299/.16"/>
    <d v="2011-10-17T00:00:00"/>
  </r>
  <r>
    <x v="6944"/>
    <d v="1899-12-30T00:06:00"/>
    <x v="1618"/>
    <x v="6"/>
    <s v="sjfc"/>
    <x v="215"/>
    <n v="1211841"/>
    <x v="0"/>
    <s v="Science; Science: Chemistry"/>
    <s v="9781118507971"/>
    <s v=",1,2,3,429,430,428,431,427,425,426,423,424,142,143,144,140,141,139,138,4,5,6,7,8,9,10,1,2,3,45,46,47,43,44,48"/>
    <n v="32"/>
    <m/>
    <m/>
    <s v="No"/>
    <x v="3"/>
    <m/>
    <m/>
    <s v="149.69.254.57"/>
    <s v="QD502.5 -- .S86 2013eb"/>
    <s v="547/.139"/>
    <d v="2013-06-05T00:00:00"/>
  </r>
  <r>
    <x v="6945"/>
    <d v="1899-12-30T00:00:50"/>
    <x v="1618"/>
    <x v="6"/>
    <s v="sjfc"/>
    <x v="1570"/>
    <n v="1144071"/>
    <x v="0"/>
    <s v="Science: Chemistry; Science"/>
    <s v="9781118472217"/>
    <s v=",1,2,3,815,816,817,813,814"/>
    <n v="8"/>
    <m/>
    <m/>
    <s v="No"/>
    <x v="2"/>
    <d v="2015-09-27T01:10:43"/>
    <n v="1"/>
    <s v="149.69.254.57"/>
    <s v="QD251.2 .M37 2013"/>
    <n v="547"/>
    <d v="2013-03-06T00:00:00"/>
  </r>
  <r>
    <x v="6946"/>
    <d v="1899-12-30T00:00:00"/>
    <x v="1618"/>
    <x v="6"/>
    <s v="sjfc"/>
    <x v="1570"/>
    <n v="1144071"/>
    <x v="0"/>
    <s v="Science: Chemistry; Science"/>
    <s v="9781118472217"/>
    <m/>
    <n v="0"/>
    <m/>
    <m/>
    <s v="Yes"/>
    <x v="2"/>
    <d v="2015-09-27T01:10:43"/>
    <n v="1"/>
    <s v="149.69.254.57"/>
    <s v="QD251.2 .M37 2013"/>
    <n v="547"/>
    <d v="2013-03-06T00:00:00"/>
  </r>
  <r>
    <x v="6947"/>
    <d v="1899-12-30T00:09:17"/>
    <x v="1618"/>
    <x v="6"/>
    <s v="sjfc"/>
    <x v="1570"/>
    <n v="1144071"/>
    <x v="0"/>
    <s v="Science: Chemistry; Science"/>
    <s v="9781118472217"/>
    <s v=",633,634,635,636,638,639,815,816,817,813,814,818"/>
    <n v="12"/>
    <m/>
    <m/>
    <s v="Yes"/>
    <x v="2"/>
    <d v="2015-09-27T01:10:43"/>
    <n v="1"/>
    <s v="149.69.254.57"/>
    <s v="QD251.2 .M37 2013"/>
    <n v="547"/>
    <d v="2013-03-06T00:00:00"/>
  </r>
  <r>
    <x v="6948"/>
    <d v="1899-12-30T00:03:56"/>
    <x v="1618"/>
    <x v="6"/>
    <s v="sjfc"/>
    <x v="1570"/>
    <n v="1144071"/>
    <x v="0"/>
    <s v="Science: Chemistry; Science"/>
    <s v="9781118472217"/>
    <s v=",625,626,627,628,629,630,631,632"/>
    <n v="8"/>
    <m/>
    <m/>
    <s v="No"/>
    <x v="2"/>
    <d v="2015-09-27T01:10:43"/>
    <n v="1"/>
    <s v="149.69.254.57"/>
    <s v="QD251.2 .M37 2013"/>
    <n v="547"/>
    <d v="2013-03-06T00:00:00"/>
  </r>
  <r>
    <x v="6949"/>
    <d v="1899-12-30T00:05:38"/>
    <x v="1618"/>
    <x v="6"/>
    <s v="sjfc"/>
    <x v="1570"/>
    <n v="1144071"/>
    <x v="0"/>
    <s v="Science: Chemistry; Science"/>
    <s v="9781118472217"/>
    <s v=",1,2,3,619,620,621,622,618,623,624"/>
    <n v="10"/>
    <m/>
    <m/>
    <s v="No"/>
    <x v="3"/>
    <m/>
    <m/>
    <s v="149.69.254.57"/>
    <s v="QD251.2 .M37 2013"/>
    <n v="547"/>
    <d v="2013-03-06T00:00:00"/>
  </r>
  <r>
    <x v="6950"/>
    <d v="1899-12-30T00:00:06"/>
    <x v="980"/>
    <x v="13"/>
    <s v="buffalostate"/>
    <x v="949"/>
    <n v="871519"/>
    <x v="0"/>
    <s v="Science: Astronomy; Science"/>
    <s v="9781444398359"/>
    <s v=",1,2,3"/>
    <n v="3"/>
    <m/>
    <m/>
    <s v="No"/>
    <x v="0"/>
    <d v="2015-09-23T03:47:28"/>
    <n v="7"/>
    <s v="136.183.11.43"/>
    <s v="QB501 -- .B68 2012eb"/>
    <n v="523.20000000000005"/>
    <d v="2012-02-29T00:00:00"/>
  </r>
  <r>
    <x v="6951"/>
    <d v="1899-12-30T00:03:41"/>
    <x v="1619"/>
    <x v="0"/>
    <s v="Buffalo"/>
    <x v="3"/>
    <n v="822040"/>
    <x v="0"/>
    <s v="Literature; Psychology"/>
    <s v="9781118289099"/>
    <s v=",1,2,1,2,3,3,1,2,2,91,92,91,93,92,90,89,93,90,94,94,95,95,96,96,97,97,98,93,98,92,97,98,99,99,100,101,100,101,102,103,98,103,96,102,97,94,92,93,90,91,89,93,94,95,96,97,98"/>
    <n v="18"/>
    <m/>
    <m/>
    <s v="No"/>
    <x v="1"/>
    <m/>
    <m/>
    <s v="128.205.114.91"/>
    <s v="BF76.7 -- .B447 2012eb"/>
    <s v="808.06/615"/>
    <d v="2012-03-22T00:00:00"/>
  </r>
  <r>
    <x v="6952"/>
    <d v="1899-12-30T00:21:26"/>
    <x v="1367"/>
    <x v="0"/>
    <s v="Buffalo"/>
    <x v="31"/>
    <n v="1682559"/>
    <x v="4"/>
    <s v="Medicine"/>
    <s v="9781462515431"/>
    <s v=",1,2,3,213,214,215,211,212,216,217,218,219,220,221,222,223,224,225,226,227,228,229,230,231,232,233,234,235,236,237,238,239,240,241,242,243,244"/>
    <n v="37"/>
    <m/>
    <m/>
    <s v="No"/>
    <x v="0"/>
    <d v="2015-09-22T15:15:50"/>
    <n v="7"/>
    <s v="128.205.114.91"/>
    <s v="RC469 -- .M677 2014eb"/>
    <n v="616.89"/>
    <d v="2014-05-10T00:00:00"/>
  </r>
  <r>
    <x v="6953"/>
    <d v="1899-12-30T00:00:17"/>
    <x v="26"/>
    <x v="6"/>
    <s v="sjfc"/>
    <x v="1571"/>
    <n v="837600"/>
    <x v="0"/>
    <s v="Business/Management; Economics"/>
    <s v="9781118286364"/>
    <s v=",1,2,3,21,22,23,19,20"/>
    <n v="8"/>
    <m/>
    <m/>
    <s v="No"/>
    <x v="1"/>
    <m/>
    <m/>
    <s v="149.69.254.57"/>
    <s v="HG4028.D5 -- L53 2012eb"/>
    <s v="332.63/221"/>
    <d v="2012-05-30T00:00:00"/>
  </r>
  <r>
    <x v="6954"/>
    <d v="1899-12-30T00:01:00"/>
    <x v="1367"/>
    <x v="0"/>
    <s v="Buffalo"/>
    <x v="31"/>
    <n v="1682559"/>
    <x v="4"/>
    <s v="Medicine"/>
    <s v="9781462515431"/>
    <s v=",1,2,3,213,214,215,212,211,216,217,218,219,220,221,222,223,224,225,226,227,228,229,230"/>
    <n v="23"/>
    <m/>
    <m/>
    <s v="No"/>
    <x v="0"/>
    <d v="2015-09-22T15:15:50"/>
    <n v="7"/>
    <s v="128.205.114.91"/>
    <s v="RC469 -- .M677 2014eb"/>
    <n v="616.89"/>
    <d v="2014-05-10T00:00:00"/>
  </r>
  <r>
    <x v="6955"/>
    <d v="1899-12-30T00:26:56"/>
    <x v="1620"/>
    <x v="1"/>
    <s v="brockport"/>
    <x v="510"/>
    <n v="1109590"/>
    <x v="14"/>
    <s v="Fine Arts"/>
    <s v="9781476600093"/>
    <s v=",128,128,129"/>
    <n v="2"/>
    <m/>
    <m/>
    <s v="No"/>
    <x v="0"/>
    <d v="2015-09-26T15:38:40"/>
    <n v="7"/>
    <s v="137.21.7.121"/>
    <s v="PN1999.W27 -- D58 2013eb"/>
    <s v="791.43/6552; 791.436552"/>
    <d v="2013-01-20T00:00:00"/>
  </r>
  <r>
    <x v="6956"/>
    <d v="1899-12-30T00:10:33"/>
    <x v="1620"/>
    <x v="1"/>
    <s v="brockport"/>
    <x v="510"/>
    <n v="1109590"/>
    <x v="14"/>
    <s v="Fine Arts"/>
    <s v="9781476600093"/>
    <s v=",1,2,3,4,124,125,126,122,123,127,128,125,126,124,123,122,120,127"/>
    <n v="12"/>
    <m/>
    <m/>
    <s v="No"/>
    <x v="1"/>
    <m/>
    <m/>
    <s v="137.21.7.121"/>
    <s v="PN1999.W27 -- D58 2013eb"/>
    <s v="791.43/6552; 791.436552"/>
    <d v="2013-01-20T00:00:00"/>
  </r>
  <r>
    <x v="6957"/>
    <d v="1899-12-30T00:15:07"/>
    <x v="1567"/>
    <x v="5"/>
    <s v="erie"/>
    <x v="986"/>
    <n v="1638687"/>
    <x v="0"/>
    <s v="Medicine; Pharmacy; Social Science; Health"/>
    <s v="9781118850152"/>
    <s v=",44,45,46,41,39,40,47,48,49,50,51,58,59,60,56,57,61,62"/>
    <n v="18"/>
    <m/>
    <m/>
    <s v="No"/>
    <x v="0"/>
    <d v="2015-09-26T14:58:27"/>
    <n v="7"/>
    <s v="199.29.6.54"/>
    <s v="RM315 -- .H693 2014eb"/>
    <n v="362.29"/>
    <d v="2014-02-21T00:00:00"/>
  </r>
  <r>
    <x v="6958"/>
    <d v="1899-12-30T00:10:11"/>
    <x v="1567"/>
    <x v="5"/>
    <s v="erie"/>
    <x v="986"/>
    <n v="1638687"/>
    <x v="0"/>
    <s v="Medicine; Pharmacy; Social Science; Health"/>
    <s v="9781118850152"/>
    <s v=",1,2,3,5,6,7,8,4,9,10,11,12,13,14,15,16,17,18,19,20,21,22,23,24,25,26,27,22,21,28,29,31,30,32,37,38,39,40,41,42,43,43,44,45,46,36,37,34,35,33,38,33,32,31,30,28,29,27,25,26,30,31,32,33,34,35,36,37,38,39,40,41,101,102,99,100,42,43"/>
    <n v="50"/>
    <m/>
    <m/>
    <s v="No"/>
    <x v="1"/>
    <m/>
    <m/>
    <s v="199.29.6.54"/>
    <s v="RM315 -- .H693 2014eb"/>
    <n v="362.29"/>
    <d v="2014-02-21T00:00:00"/>
  </r>
  <r>
    <x v="6959"/>
    <d v="1899-12-30T00:00:39"/>
    <x v="1621"/>
    <x v="1"/>
    <s v="brockport"/>
    <x v="1572"/>
    <n v="1570499"/>
    <x v="1"/>
    <s v="Business/Management"/>
    <s v="9781472413475"/>
    <s v=",1,206,207,208,204,205,2,3,213,211,212,210,209,207,208,41,1,2,3,4,5,6,7"/>
    <n v="18"/>
    <m/>
    <m/>
    <s v="No"/>
    <x v="3"/>
    <m/>
    <m/>
    <s v="137.21.7.121"/>
    <s v="HD38.5 -- .S256 2014eb"/>
    <n v="658.7"/>
    <d v="2014-02-28T00:00:00"/>
  </r>
  <r>
    <x v="6960"/>
    <d v="1899-12-30T00:00:46"/>
    <x v="1622"/>
    <x v="0"/>
    <s v="Buffalo"/>
    <x v="1573"/>
    <n v="1711012"/>
    <x v="3"/>
    <s v="Fine Arts"/>
    <s v="9780520959552"/>
    <s v=",1,2,3,14,15,16,12,13,230,231,232,228,229"/>
    <n v="13"/>
    <m/>
    <m/>
    <s v="No"/>
    <x v="3"/>
    <m/>
    <m/>
    <s v="128.205.114.91"/>
    <s v="PN1995.8 -- .T46 2015eb"/>
    <s v="791.43/3"/>
    <d v="2014-12-24T00:00:00"/>
  </r>
  <r>
    <x v="6961"/>
    <d v="1899-12-30T00:01:05"/>
    <x v="1621"/>
    <x v="1"/>
    <s v="brockport"/>
    <x v="1572"/>
    <n v="1570499"/>
    <x v="1"/>
    <s v="Business/Management"/>
    <s v="9781472413475"/>
    <s v=",1,2,3,4,5,6,7,8,9,10,11,12,13,14,15,16,17,2,18,19,20,21,22,23,24,25,26,27,28,29,30,31,32,33,35,36,34,35,31,36,32,37,38,39"/>
    <n v="39"/>
    <m/>
    <m/>
    <s v="No"/>
    <x v="3"/>
    <m/>
    <m/>
    <s v="137.21.7.121"/>
    <s v="HD38.5 -- .S256 2014eb"/>
    <n v="658.7"/>
    <d v="2014-02-28T00:00:00"/>
  </r>
  <r>
    <x v="6962"/>
    <d v="1899-12-30T00:00:43"/>
    <x v="1621"/>
    <x v="1"/>
    <s v="brockport"/>
    <x v="1572"/>
    <n v="1570499"/>
    <x v="1"/>
    <s v="Business/Management"/>
    <s v="9781472413475"/>
    <s v=",1,10,11,12,8,9,22,23,24,20,21,2,41,43,39,40,69,70,71,67,68"/>
    <n v="21"/>
    <m/>
    <m/>
    <s v="No"/>
    <x v="3"/>
    <m/>
    <m/>
    <s v="137.21.7.121"/>
    <s v="HD38.5 -- .S256 2014eb"/>
    <n v="658.7"/>
    <d v="2014-02-28T00:00:00"/>
  </r>
  <r>
    <x v="6963"/>
    <d v="1899-12-30T00:00:50"/>
    <x v="1623"/>
    <x v="5"/>
    <s v="erie"/>
    <x v="1574"/>
    <n v="1204057"/>
    <x v="0"/>
    <s v="Engineering; Engineering: Chemical"/>
    <s v="9781118598122"/>
    <s v=",1,2,3,10,11,12,8,9,7,13,14,15"/>
    <n v="12"/>
    <m/>
    <m/>
    <s v="No"/>
    <x v="1"/>
    <m/>
    <m/>
    <s v="199.29.6.54"/>
    <s v="TP568 -- .B68 2013eb"/>
    <s v="663/.3"/>
    <d v="2013-05-20T00:00:00"/>
  </r>
  <r>
    <x v="6964"/>
    <d v="1899-12-30T00:02:33"/>
    <x v="326"/>
    <x v="0"/>
    <s v="Buffalo"/>
    <x v="1575"/>
    <n v="1434092"/>
    <x v="0"/>
    <s v="Computer Science/IT; Mathematics"/>
    <s v="9781118555071"/>
    <s v=",1,2,3,104,105,106,103,102,153,154,155,152,151,266,267,268,265,264,226,227,228,225,229,230,231,232,233,234,235,236,237,238,239,240,241,242,243,244,245,246,247"/>
    <n v="41"/>
    <m/>
    <m/>
    <s v="No"/>
    <x v="1"/>
    <m/>
    <m/>
    <s v="128.205.114.91"/>
    <s v="QA402 -- .O797 2013eb"/>
    <n v="3"/>
    <d v="2013-08-05T00:00:00"/>
  </r>
  <r>
    <x v="6965"/>
    <d v="1899-12-30T00:00:00"/>
    <x v="1624"/>
    <x v="0"/>
    <s v="Buffalo"/>
    <x v="1576"/>
    <n v="1589624"/>
    <x v="1"/>
    <s v="History"/>
    <s v="9781472413772"/>
    <m/>
    <n v="0"/>
    <m/>
    <m/>
    <s v="Yes"/>
    <x v="2"/>
    <d v="2015-09-26T03:18:48"/>
    <n v="7"/>
    <s v="128.205.114.91"/>
    <s v="E743.5 -- .L56 2014eb"/>
    <n v="973.91"/>
    <d v="2014-06-28T00:00:00"/>
  </r>
  <r>
    <x v="6965"/>
    <d v="1899-12-30T00:00:00"/>
    <x v="1624"/>
    <x v="0"/>
    <s v="Buffalo"/>
    <x v="1576"/>
    <n v="1589624"/>
    <x v="1"/>
    <s v="History"/>
    <s v="9781472413772"/>
    <m/>
    <n v="0"/>
    <m/>
    <m/>
    <s v="No"/>
    <x v="2"/>
    <d v="2015-09-26T03:18:48"/>
    <n v="7"/>
    <s v="128.205.114.91"/>
    <s v="E743.5 -- .L56 2014eb"/>
    <n v="973.91"/>
    <d v="2014-06-28T00:00:00"/>
  </r>
  <r>
    <x v="6966"/>
    <d v="1899-12-30T00:00:34"/>
    <x v="1624"/>
    <x v="0"/>
    <s v="Buffalo"/>
    <x v="1576"/>
    <n v="1589624"/>
    <x v="1"/>
    <s v="History"/>
    <s v="9781472413772"/>
    <s v=",1,2,3"/>
    <n v="3"/>
    <m/>
    <m/>
    <s v="No"/>
    <x v="3"/>
    <m/>
    <m/>
    <s v="128.205.114.91"/>
    <s v="E743.5 -- .L56 2014eb"/>
    <n v="973.91"/>
    <d v="2014-06-28T00:00:00"/>
  </r>
  <r>
    <x v="6967"/>
    <d v="1899-12-30T00:15:47"/>
    <x v="1367"/>
    <x v="0"/>
    <s v="Buffalo"/>
    <x v="31"/>
    <n v="1682559"/>
    <x v="4"/>
    <s v="Medicine"/>
    <s v="9781462515431"/>
    <s v=",1,2,3,185,186,187,184,183,188,189,190,191,192,193,194,195,196,197,198,199,200,201,202,203,204,205,206,207,249,250,251,247,248,252,253,254,255,256,257,69,71,70,68,67,72,73,74,75,76,77"/>
    <n v="50"/>
    <m/>
    <m/>
    <s v="No"/>
    <x v="0"/>
    <d v="2015-09-22T15:15:50"/>
    <n v="7"/>
    <s v="128.205.114.91"/>
    <s v="RC469 -- .M677 2014eb"/>
    <n v="616.89"/>
    <d v="2014-05-10T00:00:00"/>
  </r>
  <r>
    <x v="6968"/>
    <d v="1899-12-30T00:00:49"/>
    <x v="1625"/>
    <x v="14"/>
    <s v="houghton"/>
    <x v="1577"/>
    <n v="882717"/>
    <x v="0"/>
    <s v="Language/Linguistics"/>
    <s v="9781118286937"/>
    <s v=",1,2,3,4,5,6,7,8,9,10,11,12,13,14,15,16"/>
    <n v="16"/>
    <m/>
    <m/>
    <s v="No"/>
    <x v="1"/>
    <m/>
    <m/>
    <s v="96.43.64.169"/>
    <s v="PC2129.E5 -- K87 2012eb"/>
    <s v="448.2/421; 448.2421"/>
    <d v="2012-09-04T00:00:00"/>
  </r>
  <r>
    <x v="6969"/>
    <d v="1899-12-30T00:00:05"/>
    <x v="803"/>
    <x v="1"/>
    <s v="brockport"/>
    <x v="218"/>
    <n v="860474"/>
    <x v="0"/>
    <s v="Social Science; Psychology"/>
    <s v="9780857082909"/>
    <s v=",1,2,3"/>
    <n v="3"/>
    <m/>
    <m/>
    <s v="No"/>
    <x v="1"/>
    <m/>
    <m/>
    <s v="137.21.7.121"/>
    <s v="BF637.N66 -- P44 2012eb"/>
    <s v="153; 302.222"/>
    <d v="2012-02-08T00:00:00"/>
  </r>
  <r>
    <x v="6970"/>
    <d v="1899-12-30T00:01:07"/>
    <x v="803"/>
    <x v="1"/>
    <s v="brockport"/>
    <x v="218"/>
    <n v="860474"/>
    <x v="0"/>
    <s v="Social Science; Psychology"/>
    <s v="9780857082909"/>
    <s v=",1,2,3,167,168,169,165,166,97,98,99,95,96,82,83,84,80,81,126,127,128,124,125"/>
    <n v="23"/>
    <m/>
    <m/>
    <s v="No"/>
    <x v="1"/>
    <m/>
    <m/>
    <s v="137.21.7.121"/>
    <s v="BF637.N66 -- P44 2012eb"/>
    <s v="153; 302.222"/>
    <d v="2012-02-08T00:00:00"/>
  </r>
  <r>
    <x v="6971"/>
    <d v="1899-12-30T00:04:26"/>
    <x v="803"/>
    <x v="1"/>
    <s v="brockport"/>
    <x v="674"/>
    <n v="980956"/>
    <x v="0"/>
    <s v="Psychology; Social Science"/>
    <s v="9781118227251"/>
    <s v=",1,51,52,53,49,50,54,2,55,56,1,2,3,4,473,474,470,475,476,477,478,333,300,301,472,470,471"/>
    <n v="24"/>
    <m/>
    <m/>
    <s v="No"/>
    <x v="1"/>
    <m/>
    <m/>
    <s v="137.21.7.121"/>
    <s v="HV40 -- .T51377 2012eb"/>
    <s v="150.1023/36132"/>
    <d v="2012-07-23T00:00:00"/>
  </r>
  <r>
    <x v="6972"/>
    <d v="1899-12-30T00:04:00"/>
    <x v="1626"/>
    <x v="15"/>
    <s v="morrisville"/>
    <x v="1578"/>
    <n v="1568418"/>
    <x v="0"/>
    <s v="Business/Management"/>
    <s v="9781118417829"/>
    <s v=",1,2,3,13,14,15,16,12,57,58,59,55,56,60,61,62,63,64,65,66,67,60,47,52,53,54,50,51,55"/>
    <n v="27"/>
    <m/>
    <m/>
    <s v="No"/>
    <x v="3"/>
    <m/>
    <m/>
    <s v="136.204.32.68"/>
    <s v="HF5549.5.M5 -- .D584 2014eb"/>
    <n v="658.30079999999998"/>
    <d v="2013-11-20T00:00:00"/>
  </r>
  <r>
    <x v="6973"/>
    <d v="1899-12-30T00:44:35"/>
    <x v="525"/>
    <x v="0"/>
    <s v="Buffalo"/>
    <x v="477"/>
    <n v="1120279"/>
    <x v="0"/>
    <s v="Science: Biology/Natural History; Science"/>
    <s v="9781118537671"/>
    <s v=",1,2,3,32,33,34,30,31,35,36,37,36,36,30,36,37,38,39,38,33,39,34,32,37,39,40,35,41,42,36,43,44,45,46,47,48,49,50"/>
    <n v="24"/>
    <m/>
    <m/>
    <s v="No"/>
    <x v="0"/>
    <d v="2015-09-19T17:23:14"/>
    <n v="7"/>
    <s v="128.205.114.91"/>
    <s v="QH371 .K384 2012"/>
    <n v="599.93499999999995"/>
    <d v="2012-11-19T00:00:00"/>
  </r>
  <r>
    <x v="6974"/>
    <d v="1899-12-30T00:00:28"/>
    <x v="1627"/>
    <x v="0"/>
    <s v="Buffalo"/>
    <x v="673"/>
    <n v="1734072"/>
    <x v="1"/>
    <s v="Religion"/>
    <s v="9781472421500"/>
    <s v=",1,2,3,6,7,8,4,5,9"/>
    <n v="9"/>
    <m/>
    <m/>
    <s v="No"/>
    <x v="3"/>
    <m/>
    <m/>
    <s v="128.205.114.91"/>
    <s v="BL639 -- .R447 2014eb"/>
    <s v="204/.2"/>
    <d v="2014-09-28T00:00:00"/>
  </r>
  <r>
    <x v="6975"/>
    <d v="1899-12-30T00:05:58"/>
    <x v="1298"/>
    <x v="0"/>
    <s v="Buffalo"/>
    <x v="901"/>
    <n v="864784"/>
    <x v="10"/>
    <s v="Education"/>
    <s v="9781400841578"/>
    <s v=",1,2,3,232,233,234,235,231,230,236,237,238,196,197,198,194,195,193,18,19,20,16,12,13,10,11,14,53,54,55,51,52,84,85,86,82,83,26,28,27,24,25,29,30,1,2,3,4,196,197,167,168,169,142,143,144,140,141"/>
    <n v="53"/>
    <m/>
    <m/>
    <s v="No"/>
    <x v="1"/>
    <m/>
    <m/>
    <s v="128.205.114.91"/>
    <s v="LA227.4 .D455 2012"/>
    <n v="378.73"/>
    <d v="2014-05-27T00:00:00"/>
  </r>
  <r>
    <x v="6976"/>
    <d v="1899-12-30T00:01:51"/>
    <x v="1628"/>
    <x v="8"/>
    <s v="niagaracc"/>
    <x v="1579"/>
    <n v="1823058"/>
    <x v="0"/>
    <s v="Agriculture"/>
    <s v="9781118873519"/>
    <s v=",188,189,190,191,192,193,194,195,241,242,243,239,240,244,245,246,247,248"/>
    <n v="18"/>
    <m/>
    <m/>
    <s v="No"/>
    <x v="0"/>
    <d v="2015-09-25T16:45:54"/>
    <n v="7"/>
    <s v="132.174.254.37"/>
    <s v="SB123 -- .B769 2014eb"/>
    <s v="631.5/2"/>
    <d v="2014-10-20T00:00:00"/>
  </r>
  <r>
    <x v="6977"/>
    <d v="1899-12-30T00:06:17"/>
    <x v="1628"/>
    <x v="8"/>
    <s v="niagaracc"/>
    <x v="1579"/>
    <n v="1823058"/>
    <x v="0"/>
    <s v="Agriculture"/>
    <s v="9781118873519"/>
    <s v=",1,2,3,35,36,37,33,34,184,185,186,182,183,187"/>
    <n v="14"/>
    <m/>
    <m/>
    <s v="No"/>
    <x v="3"/>
    <m/>
    <m/>
    <s v="132.174.254.37"/>
    <s v="SB123 -- .B769 2014eb"/>
    <s v="631.5/2"/>
    <d v="2014-10-20T00:00:00"/>
  </r>
  <r>
    <x v="6978"/>
    <d v="1899-12-30T00:00:08"/>
    <x v="1628"/>
    <x v="8"/>
    <s v="niagaracc"/>
    <x v="1580"/>
    <n v="1753388"/>
    <x v="0"/>
    <s v="Engineering: Chemical; Engineering"/>
    <s v="9783527691098"/>
    <s v=",148,149,150,146,147"/>
    <n v="5"/>
    <m/>
    <m/>
    <s v="No"/>
    <x v="2"/>
    <d v="2015-09-25T16:31:22"/>
    <n v="1"/>
    <s v="132.174.254.37"/>
    <s v="TP248.2 -- .B83 2010eb"/>
    <n v="660.6"/>
    <d v="2014-07-22T00:00:00"/>
  </r>
  <r>
    <x v="6979"/>
    <d v="1899-12-30T00:05:28"/>
    <x v="1628"/>
    <x v="8"/>
    <s v="niagaracc"/>
    <x v="1580"/>
    <n v="1753388"/>
    <x v="0"/>
    <s v="Engineering: Chemical; Engineering"/>
    <s v="9783527691098"/>
    <s v=",1,2,3,4,31,32,33,29,30,34,35,36,37,39,40"/>
    <n v="15"/>
    <m/>
    <m/>
    <s v="No"/>
    <x v="3"/>
    <m/>
    <m/>
    <s v="132.174.254.37"/>
    <s v="TP248.2 -- .B83 2010eb"/>
    <n v="660.6"/>
    <d v="2014-07-22T00:00:00"/>
  </r>
  <r>
    <x v="6980"/>
    <d v="1899-12-30T00:00:30"/>
    <x v="1628"/>
    <x v="8"/>
    <s v="niagaracc"/>
    <x v="1041"/>
    <n v="1895734"/>
    <x v="0"/>
    <s v="Medicine; Pharmacy"/>
    <s v="9781118907221"/>
    <s v=",1,2,3,4,5,19,20,21,17,18,41,42,43,39"/>
    <n v="14"/>
    <m/>
    <m/>
    <s v="No"/>
    <x v="3"/>
    <m/>
    <m/>
    <s v="132.174.254.37"/>
    <s v="RM301.25 -- .N475 2015eb"/>
    <n v="615.19000000000005"/>
    <d v="2015-04-13T00:00:00"/>
  </r>
  <r>
    <x v="6981"/>
    <d v="1899-12-30T02:01:50"/>
    <x v="609"/>
    <x v="0"/>
    <s v="Buffalo"/>
    <x v="477"/>
    <n v="1120279"/>
    <x v="0"/>
    <s v="Science: Biology/Natural History; Science"/>
    <s v="9781118537671"/>
    <s v=",76,82,83,82,83,78,77,82,83,84,85,85,85,86,81,87,80,88,89,90,91,82,81,80,88,89,90,91,88,89,90,90,91,84"/>
    <n v="15"/>
    <m/>
    <m/>
    <s v="No"/>
    <x v="0"/>
    <d v="2015-09-25T16:21:54"/>
    <n v="7"/>
    <s v="128.205.114.91"/>
    <s v="QH371 .K384 2012"/>
    <n v="599.93499999999995"/>
    <d v="2012-11-19T00:00:00"/>
  </r>
  <r>
    <x v="6982"/>
    <d v="1899-12-30T00:11:31"/>
    <x v="609"/>
    <x v="0"/>
    <s v="Buffalo"/>
    <x v="477"/>
    <n v="1120279"/>
    <x v="0"/>
    <s v="Science: Biology/Natural History; Science"/>
    <s v="9781118537671"/>
    <s v=",1,2,3,76,77,78,74,75,79,80,81,82,83,84"/>
    <n v="14"/>
    <m/>
    <m/>
    <s v="No"/>
    <x v="1"/>
    <m/>
    <m/>
    <s v="128.205.114.91"/>
    <s v="QH371 .K384 2012"/>
    <n v="599.93499999999995"/>
    <d v="2012-11-19T00:00:00"/>
  </r>
  <r>
    <x v="6983"/>
    <d v="1899-12-30T01:02:21"/>
    <x v="13"/>
    <x v="0"/>
    <s v="Buffalo"/>
    <x v="73"/>
    <n v="1119505"/>
    <x v="0"/>
    <s v="Science: Chemistry; Science"/>
    <s v="9781118355015"/>
    <s v=",1,2,3,56,57,58,54,55,59,60,61,62,63,64,65,66,67,68,69,70,71,72,73,74,75"/>
    <n v="25"/>
    <m/>
    <m/>
    <s v="No"/>
    <x v="0"/>
    <d v="2015-09-22T20:22:23"/>
    <n v="7"/>
    <s v="128.205.114.91"/>
    <s v="QD251.3 -- .S38 2013eb"/>
    <s v="547/.128"/>
    <d v="2013-01-28T00:00:00"/>
  </r>
  <r>
    <x v="6984"/>
    <d v="1899-12-30T00:02:31"/>
    <x v="13"/>
    <x v="0"/>
    <s v="Buffalo"/>
    <x v="509"/>
    <n v="1115640"/>
    <x v="0"/>
    <s v="Engineering: Civil; Engineering: Construction; Engineering"/>
    <s v="9781118419090"/>
    <s v=",1,2,2,3,3,1,4,4,5,5,6,6,7,7,8,8,9,9,10,10,17,19,18,2,17,15,19,16,20,18,20,15,20,21,21,22,22,23,23"/>
    <n v="19"/>
    <m/>
    <m/>
    <s v="No"/>
    <x v="0"/>
    <d v="2015-09-25T13:33:27"/>
    <n v="7"/>
    <s v="128.205.114.91"/>
    <s v="TH375 -- .S77 2013eb"/>
    <n v="624"/>
    <d v="2013-01-22T00:00:00"/>
  </r>
  <r>
    <x v="6985"/>
    <d v="1899-12-30T00:02:50"/>
    <x v="1629"/>
    <x v="0"/>
    <s v="Buffalo"/>
    <x v="509"/>
    <n v="1115640"/>
    <x v="0"/>
    <s v="Engineering: Civil; Engineering: Construction; Engineering"/>
    <s v="9781118419090"/>
    <s v=",1,2,2,3,1,3,4,4,69,70,71,69,71,67,70,68,68,2,97,98,97,98,93,94,93,94,95,95,91,92,92,96,96,97,133,134,133,134,135,131,135,132,132,169,170,169,171,167,170,171,168,168,172,172"/>
    <n v="28"/>
    <m/>
    <m/>
    <s v="No"/>
    <x v="0"/>
    <d v="2015-09-25T14:11:57"/>
    <n v="7"/>
    <s v="128.205.114.91"/>
    <s v="TH375 -- .S77 2013eb"/>
    <n v="624"/>
    <d v="2013-01-22T00:00:00"/>
  </r>
  <r>
    <x v="6986"/>
    <d v="1899-12-30T00:00:22"/>
    <x v="13"/>
    <x v="0"/>
    <s v="Buffalo"/>
    <x v="509"/>
    <n v="1115640"/>
    <x v="0"/>
    <s v="Engineering: Civil; Engineering: Construction; Engineering"/>
    <s v="9781118419090"/>
    <s v=",1,2,2,3,3,1,2,2"/>
    <n v="3"/>
    <m/>
    <m/>
    <s v="No"/>
    <x v="0"/>
    <d v="2015-09-25T13:33:27"/>
    <n v="7"/>
    <s v="128.205.114.91"/>
    <s v="TH375 -- .S77 2013eb"/>
    <n v="624"/>
    <d v="2013-01-22T00:00:00"/>
  </r>
  <r>
    <x v="6987"/>
    <d v="1899-12-30T00:10:04"/>
    <x v="13"/>
    <x v="0"/>
    <s v="Buffalo"/>
    <x v="509"/>
    <n v="1115640"/>
    <x v="0"/>
    <s v="Engineering: Civil; Engineering: Construction; Engineering"/>
    <s v="9781118419090"/>
    <s v=",1,2,2,3,3,1,4,4,2,2,5,5,6,6,7,7,3,8,8,9,9,10,10,11,11,12,12,13,13,14,14,15,15,10,15,16,16,17,17,18,19,18,19,20,20,16,21,21,22,22,23,23,24,24,25,25,20,19,18,17,16,21,22,23,24,25,26,27,26,27,28,28,29,29,30,30,31,31,32,32,33,33,34,34,35,35,36,36,37,37,38,38,39,39,40,40,41"/>
    <n v="41"/>
    <m/>
    <m/>
    <s v="No"/>
    <x v="0"/>
    <d v="2015-09-25T13:33:27"/>
    <n v="7"/>
    <s v="128.205.114.91"/>
    <s v="TH375 -- .S77 2013eb"/>
    <n v="624"/>
    <d v="2013-01-22T00:00:00"/>
  </r>
  <r>
    <x v="6988"/>
    <d v="1899-12-30T00:15:03"/>
    <x v="1630"/>
    <x v="0"/>
    <s v="Buffalo"/>
    <x v="509"/>
    <n v="1115640"/>
    <x v="0"/>
    <s v="Engineering: Civil; Engineering: Construction; Engineering"/>
    <s v="9781118419090"/>
    <s v=",34,35,36,37,38,39,40,41,42,43,44,45,46,47,48,49,50,51,52,53,54,55,56,57,58,59,60,61,62,63,64,65,66,67,68,69,70,71,72,73,74,75,76,77,78,79"/>
    <n v="46"/>
    <m/>
    <m/>
    <s v="No"/>
    <x v="0"/>
    <d v="2015-09-25T15:08:19"/>
    <n v="7"/>
    <s v="128.205.114.91"/>
    <s v="TH375 -- .S77 2013eb"/>
    <n v="624"/>
    <d v="2013-01-22T00:00:00"/>
  </r>
  <r>
    <x v="6989"/>
    <d v="1899-12-30T00:11:04"/>
    <x v="1631"/>
    <x v="0"/>
    <s v="Buffalo"/>
    <x v="509"/>
    <n v="1115640"/>
    <x v="0"/>
    <s v="Engineering: Civil; Engineering: Construction; Engineering"/>
    <s v="9781118419090"/>
    <s v=",1,2,3,2,1,3,43,156,120,81,60,4,5,6,7,8,9,10,11,12,13,14,15,16,17,18,19,20,21,22,23,24,25,26,27,28,29,30,31,32,33,34,35,36,37,38,39,40,41,42,43,44,45,46,47,48,49,50,51,52,53,54,55,56,57,58,59,60,61,62,63,64,65,66,67,68,69,70,71,72,73,74,75,76,77,78,79,80,81"/>
    <n v="83"/>
    <m/>
    <m/>
    <s v="No"/>
    <x v="0"/>
    <d v="2015-09-23T21:07:19"/>
    <n v="7"/>
    <s v="128.205.114.91"/>
    <s v="TH375 -- .S77 2013eb"/>
    <n v="624"/>
    <d v="2013-01-22T00:00:00"/>
  </r>
  <r>
    <x v="6990"/>
    <d v="1899-12-30T00:15:28"/>
    <x v="1632"/>
    <x v="0"/>
    <s v="Buffalo"/>
    <x v="509"/>
    <n v="1115640"/>
    <x v="0"/>
    <s v="Engineering: Civil; Engineering: Construction; Engineering"/>
    <s v="9781118419090"/>
    <s v=",25,26,27,28,28,29,30,31,32,33,34,35,36,37,38,39,40,41,42,43,44,45,46,47,48,49,50,51,52,53,54,55,56,57,58,59,60,61,62,63,64,65,66,67,68,69,70,71,72,73,74,75,76,77,78,79,80,81"/>
    <n v="57"/>
    <m/>
    <m/>
    <s v="No"/>
    <x v="0"/>
    <d v="2015-09-25T15:01:53"/>
    <n v="7"/>
    <s v="128.205.114.91"/>
    <s v="TH375 -- .S77 2013eb"/>
    <n v="624"/>
    <d v="2013-01-22T00:00:00"/>
  </r>
  <r>
    <x v="6991"/>
    <d v="1899-12-30T00:05:28"/>
    <x v="1633"/>
    <x v="0"/>
    <s v="Buffalo"/>
    <x v="509"/>
    <n v="1115640"/>
    <x v="0"/>
    <s v="Engineering: Civil; Engineering: Construction; Engineering"/>
    <s v="9781118419090"/>
    <s v=",31,32,33,34,35,36,37,38,39,40,41,42,43,44,45,46,47,48,49,50,51,52,53,54,55,56,57"/>
    <n v="27"/>
    <m/>
    <m/>
    <s v="No"/>
    <x v="0"/>
    <d v="2015-09-25T15:01:33"/>
    <n v="7"/>
    <s v="128.205.114.91"/>
    <s v="TH375 -- .S77 2013eb"/>
    <n v="624"/>
    <d v="2013-01-22T00:00:00"/>
  </r>
  <r>
    <x v="6992"/>
    <d v="1899-12-30T00:08:33"/>
    <x v="1634"/>
    <x v="0"/>
    <s v="Buffalo"/>
    <x v="509"/>
    <n v="1115640"/>
    <x v="0"/>
    <s v="Engineering: Civil; Engineering: Construction; Engineering"/>
    <s v="9781118419090"/>
    <s v=",36,37,38,39,40,42,43,44,45,46,47,48,49,50,51,52,53,54,55,56,57,58,60,61,62,63,64,65,67,68,69,70,72,73,74"/>
    <n v="35"/>
    <m/>
    <m/>
    <s v="No"/>
    <x v="0"/>
    <d v="2015-09-25T14:59:14"/>
    <n v="7"/>
    <s v="128.205.114.91"/>
    <s v="TH375 -- .S77 2013eb"/>
    <n v="624"/>
    <d v="2013-01-22T00:00:00"/>
  </r>
  <r>
    <x v="6993"/>
    <d v="1899-12-30T00:24:24"/>
    <x v="13"/>
    <x v="0"/>
    <s v="Buffalo"/>
    <x v="509"/>
    <n v="1115640"/>
    <x v="0"/>
    <s v="Engineering: Civil; Engineering: Construction; Engineering"/>
    <s v="9781118419090"/>
    <s v=",1,2,2,3,3,1,4,4,5,5,2,2,49,49,51,50,51,48,47,48,50,49,50,49,51,47,51,48,1,46,46,47,48,47,45,44,1,48,45,49,49,50,51,50,51,2,2,52,52,47,52,53,53,48,53,54,54,49,54,55,55,56,56,57,57,58,58,58,59,59,59,60,60,61,61,62,62,63,63,64,64,65,66,66,65,67,67,62,68,69,68,70,69,70,71,71"/>
    <n v="33"/>
    <m/>
    <m/>
    <s v="No"/>
    <x v="0"/>
    <d v="2015-09-25T13:33:27"/>
    <n v="7"/>
    <s v="128.205.114.91"/>
    <s v="TH375 -- .S77 2013eb"/>
    <n v="624"/>
    <d v="2013-01-22T00:00:00"/>
  </r>
  <r>
    <x v="6994"/>
    <d v="1899-12-30T00:10:07"/>
    <x v="1630"/>
    <x v="0"/>
    <s v="Buffalo"/>
    <x v="509"/>
    <n v="1115640"/>
    <x v="0"/>
    <s v="Engineering: Civil; Engineering: Construction; Engineering"/>
    <s v="9781118419090"/>
    <s v=",1,2,3,4,5,6,7,8,9,10,11,13,12,14,15,16,17,18,19,20,21,22,23,24,25,26,27,28,29,30,31,32,33"/>
    <n v="33"/>
    <m/>
    <m/>
    <s v="No"/>
    <x v="1"/>
    <m/>
    <m/>
    <s v="128.205.114.91"/>
    <s v="TH375 -- .S77 2013eb"/>
    <n v="624"/>
    <d v="2013-01-22T00:00:00"/>
  </r>
  <r>
    <x v="6995"/>
    <d v="1899-12-30T00:10:12"/>
    <x v="1632"/>
    <x v="0"/>
    <s v="Buffalo"/>
    <x v="509"/>
    <n v="1115640"/>
    <x v="0"/>
    <s v="Engineering: Civil; Engineering: Construction; Engineering"/>
    <s v="9781118419090"/>
    <s v=",1,2,3,4,5,6,7,8,9,10,11,12,13,14,15,16,17,18,19,20,21,22,17,22,17,23,18,17,23,16,24"/>
    <n v="24"/>
    <m/>
    <m/>
    <s v="No"/>
    <x v="1"/>
    <m/>
    <m/>
    <s v="128.205.114.91"/>
    <s v="TH375 -- .S77 2013eb"/>
    <n v="624"/>
    <d v="2013-01-22T00:00:00"/>
  </r>
  <r>
    <x v="6996"/>
    <d v="1899-12-30T00:10:59"/>
    <x v="1633"/>
    <x v="0"/>
    <s v="Buffalo"/>
    <x v="509"/>
    <n v="1115640"/>
    <x v="0"/>
    <s v="Engineering: Civil; Engineering: Construction; Engineering"/>
    <s v="9781118419090"/>
    <s v=",1,2,3,4,5,6,7,8,9,10,11,12,13,14,15,16,17,18,19,20,21,22,23,24,25,26,27,28,29,30"/>
    <n v="30"/>
    <m/>
    <m/>
    <s v="No"/>
    <x v="1"/>
    <m/>
    <m/>
    <s v="128.205.114.91"/>
    <s v="TH375 -- .S77 2013eb"/>
    <n v="624"/>
    <d v="2013-01-22T00:00:00"/>
  </r>
  <r>
    <x v="6997"/>
    <d v="1899-12-30T00:10:28"/>
    <x v="1634"/>
    <x v="0"/>
    <s v="Buffalo"/>
    <x v="509"/>
    <n v="1115640"/>
    <x v="0"/>
    <s v="Engineering: Civil; Engineering: Construction; Engineering"/>
    <s v="9781118419090"/>
    <s v=",1,2,3,4,5,11,23,24,36,41,52,59,66,79,102,93,107,108,2,109,105,106,103,100,99,97,94,92,91,85,88,81,78,75,77,71,73,68,64,63,57,51,47,42,38,35,34,36,32,28,30,25,24,27,22,20,19,18,17,16,15,21,23,26,29,31,33"/>
    <n v="63"/>
    <m/>
    <m/>
    <s v="No"/>
    <x v="1"/>
    <m/>
    <m/>
    <s v="128.205.114.91"/>
    <s v="TH375 -- .S77 2013eb"/>
    <n v="624"/>
    <d v="2013-01-22T00:00:00"/>
  </r>
  <r>
    <x v="6998"/>
    <d v="1899-12-30T00:00:43"/>
    <x v="1635"/>
    <x v="0"/>
    <s v="Buffalo"/>
    <x v="789"/>
    <n v="1675657"/>
    <x v="4"/>
    <s v="Education"/>
    <s v="9781462515264"/>
    <s v=",1,2,3,4,5,6,7,8,9,2,10,11,12,13,14,15,16,17,18"/>
    <n v="18"/>
    <m/>
    <m/>
    <s v="No"/>
    <x v="3"/>
    <m/>
    <m/>
    <s v="128.205.114.91"/>
    <s v="LB1731 -- .H197 2014eb"/>
    <n v="370.71100000000001"/>
    <d v="2014-07-10T00:00:00"/>
  </r>
  <r>
    <x v="6999"/>
    <d v="1899-12-30T00:00:57"/>
    <x v="26"/>
    <x v="6"/>
    <s v="sjfc"/>
    <x v="1581"/>
    <n v="1527429"/>
    <x v="0"/>
    <s v="Social Science"/>
    <s v="9780745673622"/>
    <s v=",1,2,3,30,31,32,28,29"/>
    <n v="8"/>
    <m/>
    <m/>
    <s v="No"/>
    <x v="3"/>
    <m/>
    <m/>
    <s v="149.69.254.57"/>
    <s v="HM1271 .C384 2013"/>
    <n v="305.8"/>
    <d v="2013-10-30T00:00:00"/>
  </r>
  <r>
    <x v="7000"/>
    <d v="1899-12-30T00:03:28"/>
    <x v="13"/>
    <x v="0"/>
    <s v="Buffalo"/>
    <x v="509"/>
    <n v="1115640"/>
    <x v="0"/>
    <s v="Engineering: Civil; Engineering: Construction; Engineering"/>
    <s v="9781118419090"/>
    <s v=",1,2,2,3,1,3,47,48,49,47,48,49,45,46,46,47,40,2,41,42,42,43,44,45,46,47,48,49,50,51,52,52,53,54,55,56,57,58,59,60,61,62,63,64,65,66,67,68"/>
    <n v="32"/>
    <m/>
    <m/>
    <s v="No"/>
    <x v="0"/>
    <d v="2015-09-25T13:33:27"/>
    <n v="7"/>
    <s v="128.205.114.91"/>
    <s v="TH375 -- .S77 2013eb"/>
    <n v="624"/>
    <d v="2013-01-22T00:00:00"/>
  </r>
  <r>
    <x v="7001"/>
    <d v="1899-12-30T00:18:59"/>
    <x v="1636"/>
    <x v="0"/>
    <s v="Buffalo"/>
    <x v="509"/>
    <n v="1115640"/>
    <x v="0"/>
    <s v="Engineering: Civil; Engineering: Construction; Engineering"/>
    <s v="9781118419090"/>
    <s v=",31,32,33,34,35,36,37,38,39,40,41,42,43,44,45,46,47,48,49,50,51,52,53,54,55,56,57,58,59,60,61,62,63,64,65,66,67,68,69,70,71,72,73,74,75,76,77"/>
    <n v="47"/>
    <m/>
    <m/>
    <s v="No"/>
    <x v="0"/>
    <d v="2015-09-25T14:44:06"/>
    <n v="7"/>
    <s v="128.205.114.91"/>
    <s v="TH375 -- .S77 2013eb"/>
    <n v="624"/>
    <d v="2013-01-22T00:00:00"/>
  </r>
  <r>
    <x v="7002"/>
    <d v="1899-12-30T00:48:42"/>
    <x v="1637"/>
    <x v="0"/>
    <s v="Buffalo"/>
    <x v="509"/>
    <n v="1115640"/>
    <x v="0"/>
    <s v="Engineering: Civil; Engineering: Construction; Engineering"/>
    <s v="9781118419090"/>
    <s v=",1,2,2,3,3,1,4,4,2,5,2,7,13,7,15,5,13,15,19,19,20,21,22,20,23,21,23,22,24,24,25,26,25,26,27,29,27,29,28,30,26,28,30,25,24,23,28,29,39,40,41,39,40,37,38,41,38,42,43,44,42,43,46,44,45,46,45,47,48,49,47,48,49,50,50,45,53,54,53,55,51,54,52,55,52,56,56,57,58,57,59,60,59,58,60,61,61,62,63,62,63,64,64,65,65,66,66,67,68,67,68,69,70,71,70,69,71,66,65,64,63,62,60,61,59,57,56,55,53,54,52,57,58,59,60,61,62,63,58,57,62,63,64,65,66,67,63,64,62,67,68,69,67,68,69,65,70,66,71,72,73,72,73,74,74,75,75,76,77,76,77"/>
    <n v="61"/>
    <m/>
    <m/>
    <s v="No"/>
    <x v="0"/>
    <d v="2015-09-25T05:53:21"/>
    <n v="7"/>
    <s v="128.205.114.91"/>
    <s v="TH375 -- .S77 2013eb"/>
    <n v="624"/>
    <d v="2013-01-22T00:00:00"/>
  </r>
  <r>
    <x v="7003"/>
    <d v="1899-12-30T00:21:33"/>
    <x v="1638"/>
    <x v="0"/>
    <s v="Buffalo"/>
    <x v="509"/>
    <n v="1115640"/>
    <x v="0"/>
    <s v="Engineering: Civil; Engineering: Construction; Engineering"/>
    <s v="9781118419090"/>
    <s v=",29,30,31,32,33,34,35,36,37,38,39,2,40,41,37,43,45,50,49,51,1,52,36,35,33,34,38,32,42,44,46,47,48,53,54,55,56,57,58,59,60,1,60,61,62,58,59,63,64,2,65,66,68,69,70,71,72,73,67,74,75,76,77,78,79,80"/>
    <n v="54"/>
    <m/>
    <m/>
    <s v="No"/>
    <x v="0"/>
    <d v="2015-09-25T14:26:23"/>
    <n v="7"/>
    <s v="128.205.114.91"/>
    <s v="TH375 -- .S77 2013eb"/>
    <n v="624"/>
    <d v="2013-01-22T00:00:00"/>
  </r>
  <r>
    <x v="7004"/>
    <d v="1899-12-30T00:03:08"/>
    <x v="26"/>
    <x v="6"/>
    <s v="sjfc"/>
    <x v="1582"/>
    <n v="1887757"/>
    <x v="0"/>
    <s v="Science: Anatomy/Physiology; Science; Science: Biology/Natural History"/>
    <s v="9781118940099"/>
    <s v=",1,2,3,4,5,6,7,8,131,132,133,129,313,314,312,316,317,318,319,132,134,130,74,75,72,73,76,71,69,83,86,87,84,82,81,79,80,78,77"/>
    <n v="38"/>
    <m/>
    <m/>
    <s v="No"/>
    <x v="3"/>
    <m/>
    <m/>
    <s v="149.69.254.57"/>
    <s v="QP41 -- .R34 2015eb"/>
    <n v="612.00760000000002"/>
    <d v="2014-12-19T00:00:00"/>
  </r>
  <r>
    <x v="7005"/>
    <d v="1899-12-30T00:22:41"/>
    <x v="1636"/>
    <x v="0"/>
    <s v="Buffalo"/>
    <x v="509"/>
    <n v="1115640"/>
    <x v="0"/>
    <s v="Engineering: Civil; Engineering: Construction; Engineering"/>
    <s v="9781118419090"/>
    <s v=",1,2,3,4,5,6,7,8,9,10,11,12,13,14,15,16,17,18,19,20,21,22,23,16,24,25,26,27,28,29,30"/>
    <n v="30"/>
    <m/>
    <m/>
    <s v="No"/>
    <x v="1"/>
    <m/>
    <m/>
    <s v="128.205.114.91"/>
    <s v="TH375 -- .S77 2013eb"/>
    <n v="624"/>
    <d v="2013-01-22T00:00:00"/>
  </r>
  <r>
    <x v="7006"/>
    <d v="1899-12-30T00:48:26"/>
    <x v="1639"/>
    <x v="0"/>
    <s v="Buffalo"/>
    <x v="509"/>
    <n v="1115640"/>
    <x v="0"/>
    <s v="Engineering: Civil; Engineering: Construction; Engineering"/>
    <s v="9781118419090"/>
    <s v=",2,3,1,17,18,19,15,16,20,2,36,37,38,34,35,36,37,38,34,35,36,36,36,37,38,39,40,41,42,42,43,44,45,46,47,48,49,49,50,51,47,48,16,15,17,18,19,20,21,22,23,24,25,26,27,28,29,30,31,32,33,33,32,30,35,36,37,38,39,40,41,42,43,44,45,46,47,48,49,48,50,48,49,50,46,47,45,44,43,42,41,40,39,38,37,36,35,33,34,51,52,53,54,55,56,57,58,59,60,61,62,63,64,65,66,67,68,69,70,71,72,73,74,75,76,77,78,79,80,81,82,83,12,15,17,18,19,20,21,22,23,24,25,26,16,27,28,29,30,31,32"/>
    <n v="73"/>
    <m/>
    <m/>
    <s v="No"/>
    <x v="0"/>
    <d v="2015-09-24T00:14:14"/>
    <n v="7"/>
    <s v="128.205.114.91"/>
    <s v="TH375 -- .S77 2013eb"/>
    <n v="624"/>
    <d v="2013-01-22T00:00:00"/>
  </r>
  <r>
    <x v="7007"/>
    <d v="1899-12-30T00:58:51"/>
    <x v="354"/>
    <x v="0"/>
    <s v="Buffalo"/>
    <x v="509"/>
    <n v="1115640"/>
    <x v="0"/>
    <s v="Engineering: Civil; Engineering: Construction; Engineering"/>
    <s v="9781118419090"/>
    <s v=",1,2,2,3,3,1,4,4,5,5,6,6,7,7,12,22,33,12,42,33,22,42,43,44,43,44,40,38,41,39,2,36,39,41,37,35,37,40,34,39,40,41,42,37,42,43,44,45,45,46,46,41,46,41,46,47,47,42,47,48,48,49,49,50,50,51,51,52,52,53,53,48,53,54,54,49,54,55,55,50,49,48,46,47,51,52,53,55,54,56,56,57,57,52,57,58,53,58,58,59,59,60,60,61,61,62,62,63,63,64,64,65,65,66,66,67,67,68,69,68,70,71,69,72,70,71,74,75,74,72,78,78,85,75,85,88,89,88,89,90,90,91,87,91,85,86,83,84,81,84,81,80,80,82,78,82,79,77,79,76,75,74,72,73,71,70,69,68,67,66,65,64,63,68,69,70,71,72,67,72,73,74,75,76,77,78,79,80,75"/>
    <n v="68"/>
    <m/>
    <m/>
    <s v="No"/>
    <x v="0"/>
    <d v="2015-09-25T01:34:18"/>
    <n v="7"/>
    <s v="128.205.114.91"/>
    <s v="TH375 -- .S77 2013eb"/>
    <n v="624"/>
    <d v="2013-01-22T00:00:00"/>
  </r>
  <r>
    <x v="7008"/>
    <d v="1899-12-30T00:00:08"/>
    <x v="1367"/>
    <x v="0"/>
    <s v="Buffalo"/>
    <x v="31"/>
    <n v="1682559"/>
    <x v="4"/>
    <s v="Medicine"/>
    <s v="9781462515431"/>
    <s v=",1,2,3"/>
    <n v="3"/>
    <m/>
    <m/>
    <s v="No"/>
    <x v="0"/>
    <d v="2015-09-22T15:15:50"/>
    <n v="7"/>
    <s v="128.205.114.91"/>
    <s v="RC469 -- .M677 2014eb"/>
    <n v="616.89"/>
    <d v="2014-05-10T00:00:00"/>
  </r>
  <r>
    <x v="7009"/>
    <d v="1899-12-30T00:13:43"/>
    <x v="1367"/>
    <x v="0"/>
    <s v="Buffalo"/>
    <x v="31"/>
    <n v="1682559"/>
    <x v="4"/>
    <s v="Medicine"/>
    <s v="9781462515431"/>
    <s v=",1,2,3,1,3,2,4,4,2,2,4,5,5,6,6,8,7,8,7,9,9,10,10,12,12,15,14,14,15,18,19,16,21,19,16,21,22,18,23,24,22,23,24,20,213,214,213,214,211,215,212,212,215,216,216,217,217,218,218,219,219,220,220,221,221,222,222,223,223,224,224,225,225,226,227,226,227,228,228,227,229,229,225,226,224,229,230,230,231,231,232,232,233,233,231,232,233,229,230,234,234,235,235,236,236,234,235,236,232,237,233,237,238,238,239,239,240,240,241,242,241,242,243,238,243,244,244,245,245,243,244,245,241,242,246,246,247,247,248,248,249,249,250,250,248,249,250,246,247,251,251,246,245,244,243,242,241,240,239,238,237,236,241,242,240,241,242,238,239,243,237,236,241,242,240,241,242,238,239,243,241,242,243,239,240,244,239,238"/>
    <n v="62"/>
    <m/>
    <m/>
    <s v="No"/>
    <x v="0"/>
    <d v="2015-09-22T15:15:50"/>
    <n v="7"/>
    <s v="128.205.114.91"/>
    <s v="RC469 -- .M677 2014eb"/>
    <n v="616.89"/>
    <d v="2014-05-10T00:00:00"/>
  </r>
  <r>
    <x v="7010"/>
    <d v="1899-12-30T00:10:19"/>
    <x v="1638"/>
    <x v="0"/>
    <s v="Buffalo"/>
    <x v="509"/>
    <n v="1115640"/>
    <x v="0"/>
    <s v="Engineering: Civil; Engineering: Construction; Engineering"/>
    <s v="9781118419090"/>
    <s v=",1,2,3,4,5,6,7,8,9,10,11,12,13,14,15,16,17,18,19,20,21,22,23,24,25,26,27,28"/>
    <n v="28"/>
    <m/>
    <m/>
    <s v="No"/>
    <x v="1"/>
    <m/>
    <m/>
    <s v="128.205.114.91"/>
    <s v="TH375 -- .S77 2013eb"/>
    <n v="624"/>
    <d v="2013-01-22T00:00:00"/>
  </r>
  <r>
    <x v="7011"/>
    <d v="1899-12-30T00:38:43"/>
    <x v="1629"/>
    <x v="0"/>
    <s v="Buffalo"/>
    <x v="509"/>
    <n v="1115640"/>
    <x v="0"/>
    <s v="Engineering: Civil; Engineering: Construction; Engineering"/>
    <s v="9781118419090"/>
    <s v=",17,18,17,19,15,16,19,16,18,20,20,21,21,22,22,23,23,18,16,17,26,27,28,28,27,24,26,25,25,29,29,30,30,31,31,32,32,33,33,34,34,35,35,36,36,37,37,38,38,39,39,40,40,41,41,36,35,34,33,38,39,40,41,36,41,42,42,43,43,49,50,49,51,51,47,48,50,48,52,52,53,53,54,54,55,55,56,56,57,57,58,58,59,60,59,60,61,61,62,63,62,63,64,65,64,65,66,66,67,67,68,69,68,70,69,70,71,71,72,72,67,72,73,73,68,73,74,74,75,75,76,76,77,77,78,78,79,79,80,81,80,81"/>
    <n v="64"/>
    <m/>
    <m/>
    <s v="No"/>
    <x v="0"/>
    <d v="2015-09-25T14:11:57"/>
    <n v="7"/>
    <s v="128.205.114.91"/>
    <s v="TH375 -- .S77 2013eb"/>
    <n v="624"/>
    <d v="2013-01-22T00:00:00"/>
  </r>
  <r>
    <x v="7012"/>
    <d v="1899-12-30T00:44:08"/>
    <x v="1606"/>
    <x v="1"/>
    <s v="brockport"/>
    <x v="1560"/>
    <n v="1650803"/>
    <x v="3"/>
    <s v="Fine Arts"/>
    <s v="9780520958340"/>
    <s v=",1,1,2,2,3,3,2,2,4,4,5,5,6,6,7,7,8,8,9,9,10,10,122,122,123,123,124,124,120,121,121,122,122,122,122,122,122,122,125,125,126,126,127,127,128,128,129,129,122,123,124,120,121"/>
    <n v="20"/>
    <m/>
    <m/>
    <s v="No"/>
    <x v="0"/>
    <d v="2015-09-22T22:08:52"/>
    <n v="7"/>
    <s v="137.21.7.121"/>
    <s v="ML3524 -- .H78 2014eb"/>
    <s v="781.642086/640973"/>
    <d v="2014-03-18T00:00:00"/>
  </r>
  <r>
    <x v="7013"/>
    <d v="1899-12-30T00:43:39"/>
    <x v="1640"/>
    <x v="0"/>
    <s v="Buffalo"/>
    <x v="509"/>
    <n v="1115640"/>
    <x v="0"/>
    <s v="Engineering: Civil; Engineering: Construction; Engineering"/>
    <s v="9781118419090"/>
    <s v=",1,2,2,3,3,1,9,10,9,10,11,12,12,11,13,2,13,14,15,14,15,16,16,18,19,19,18,20,21,21,20,17,22,22,23,23,24,24,25,26,25,26,21,20,19,18,17,16,15,20,21,22,23,24,35,35,36,37,33,36,34,34,37,38,38,39,39,40,40,41,41,42,42,43,43,44,44,45,45,46,46,47,47,48,48,49,49,50,50,51,51,52,52,53,53,54,54,55,55,56,56,57,57,58,58,59,59,60,60,61,61,62,62,63,63,64,64,65,65,66,66,67,67,62,67,68,68,69,69,70,70,71,71,72,72,73,73,68,73,74,74,69,74,75,75,76,76,77,77,78,78,79,79,80,80"/>
    <n v="69"/>
    <m/>
    <m/>
    <s v="No"/>
    <x v="0"/>
    <d v="2015-09-25T01:31:14"/>
    <n v="7"/>
    <s v="128.205.114.91"/>
    <s v="TH375 -- .S77 2013eb"/>
    <n v="624"/>
    <d v="2013-01-22T00:00:00"/>
  </r>
  <r>
    <x v="7014"/>
    <d v="1899-12-30T00:11:02"/>
    <x v="1629"/>
    <x v="0"/>
    <s v="Buffalo"/>
    <x v="509"/>
    <n v="1115640"/>
    <x v="0"/>
    <s v="Engineering: Civil; Engineering: Construction; Engineering"/>
    <s v="9781118419090"/>
    <s v=",1,2,2,3,3,1,4,2,4,2,1,2,2,3,3,1,2,2,4,4,5,5,6,6"/>
    <n v="6"/>
    <m/>
    <m/>
    <s v="No"/>
    <x v="1"/>
    <m/>
    <m/>
    <s v="128.205.114.91"/>
    <s v="TH375 -- .S77 2013eb"/>
    <n v="624"/>
    <d v="2013-01-22T00:00:00"/>
  </r>
  <r>
    <x v="7015"/>
    <d v="1899-12-30T00:40:46"/>
    <x v="13"/>
    <x v="0"/>
    <s v="Buffalo"/>
    <x v="509"/>
    <n v="1115640"/>
    <x v="0"/>
    <s v="Engineering: Civil; Engineering: Construction; Engineering"/>
    <s v="9781118419090"/>
    <s v=",1,2,3,4,5,6,7,8,9,10,11,12,13,14,15,16,17,18,19,20,21,22,23,24,25,26,27,28,29,30,31,32,33,34,35,36,37,38,39,40,41,41,42"/>
    <n v="42"/>
    <m/>
    <m/>
    <s v="No"/>
    <x v="0"/>
    <d v="2015-09-25T13:33:27"/>
    <n v="7"/>
    <s v="128.205.114.91"/>
    <s v="TH375 -- .S77 2013eb"/>
    <n v="624"/>
    <d v="2013-01-22T00:00:00"/>
  </r>
  <r>
    <x v="7016"/>
    <d v="1899-12-30T01:21:50"/>
    <x v="1641"/>
    <x v="0"/>
    <s v="Buffalo"/>
    <x v="509"/>
    <n v="1115640"/>
    <x v="0"/>
    <s v="Engineering: Civil; Engineering: Construction; Engineering"/>
    <s v="9781118419090"/>
    <s v=",20,21,22,23,24,25,26,27,28,29,22,21,20,19,18,17,16,15,14,13,12,11,10,9,8,7,30,31,32,33,34,35,36,37,38,39,40,41,42,43,44,45,46,47,48,49,50,51,52,53,54,55,56,57,58,59,60,61,62,63,64,65,66,67,68,69,70,71,73,72,74,75,76,77,52,51,57,58,59,60,61,62,63,64,65,66,67,68,69,70,71,72,73,74,75,76,77,78,79,80,59,58,56,55,57,54,52,53,51,50,49,48,47,46,45,44,43,42,41,40,39,38,37,36,35,34,33,32,31,86,87,85,88,83,84,81,80,82,79,74,80,81,74,73,72,71,70,69,68,67"/>
    <n v="82"/>
    <m/>
    <m/>
    <s v="No"/>
    <x v="0"/>
    <d v="2015-09-25T13:52:46"/>
    <n v="7"/>
    <s v="128.205.114.91"/>
    <s v="TH375 -- .S77 2013eb"/>
    <n v="624"/>
    <d v="2013-01-22T00:00:00"/>
  </r>
  <r>
    <x v="7017"/>
    <d v="1899-12-30T00:00:00"/>
    <x v="516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23T21:52:39"/>
    <n v="7"/>
    <s v="128.205.114.91"/>
    <s v="TH375 -- .S77 2013eb"/>
    <n v="624"/>
    <d v="2013-01-22T00:00:00"/>
  </r>
  <r>
    <x v="7018"/>
    <d v="1899-12-30T00:54:33"/>
    <x v="13"/>
    <x v="0"/>
    <s v="Buffalo"/>
    <x v="509"/>
    <n v="1115640"/>
    <x v="0"/>
    <s v="Engineering: Civil; Engineering: Construction; Engineering"/>
    <s v="9781118419090"/>
    <s v=",1,1,2,2,3,3,17,18,17,19,18,16,19,16,15,20,20,21,22,21,22,2,23,23,24,24,19,24,25,25,26,26,27,28,28,27,29,29,24,29,30,30,31,31,26,31,32,32,33,33,34,34,35,35,36,36,37,37,38,38,39,40,39,40,35,34,39,40,41,41,42,42,43,43,44,44,45,45,46,46,47,47,48,48,49,49,50,50,51,51,46,45,44,43,42,41,40,39,38,37,36,35,34,33,38,39,34,39,40,41,42,43,44,39,44,39,44,45,40,45,46,41,46,41,46,47,48,49,50,51,52,52,53,53,54,54,55,55,56,56,57,57,58,58"/>
    <n v="47"/>
    <m/>
    <m/>
    <s v="No"/>
    <x v="0"/>
    <d v="2015-09-25T13:33:27"/>
    <n v="7"/>
    <s v="128.205.114.91"/>
    <s v="TH375 -- .S77 2013eb"/>
    <n v="624"/>
    <d v="2013-01-22T00:00:00"/>
  </r>
  <r>
    <x v="7019"/>
    <d v="1899-12-30T00:00:14"/>
    <x v="516"/>
    <x v="0"/>
    <s v="Buffalo"/>
    <x v="509"/>
    <n v="1115640"/>
    <x v="0"/>
    <s v="Engineering: Civil; Engineering: Construction; Engineering"/>
    <s v="9781118419090"/>
    <s v=",1,2,3,17,18,19,15,16,17,17"/>
    <n v="8"/>
    <m/>
    <m/>
    <s v="No"/>
    <x v="0"/>
    <d v="2015-09-23T21:52:39"/>
    <n v="7"/>
    <s v="128.205.114.91"/>
    <s v="TH375 -- .S77 2013eb"/>
    <n v="624"/>
    <d v="2013-01-22T00:00:00"/>
  </r>
  <r>
    <x v="7020"/>
    <d v="1899-12-30T00:32:17"/>
    <x v="1642"/>
    <x v="0"/>
    <s v="Buffalo"/>
    <x v="509"/>
    <n v="1115640"/>
    <x v="0"/>
    <s v="Engineering: Civil; Engineering: Construction; Engineering"/>
    <s v="9781118419090"/>
    <s v=",1,2,3,4,35,36,37,33,34,38,47,40,41,42,39,37,43,44,45,46,47,48,49,50"/>
    <n v="22"/>
    <m/>
    <m/>
    <s v="No"/>
    <x v="0"/>
    <d v="2015-09-24T01:00:55"/>
    <n v="7"/>
    <s v="128.205.114.91"/>
    <s v="TH375 -- .S77 2013eb"/>
    <n v="624"/>
    <d v="2013-01-22T00:00:00"/>
  </r>
  <r>
    <x v="7021"/>
    <d v="1899-12-30T00:55:25"/>
    <x v="13"/>
    <x v="0"/>
    <s v="Buffalo"/>
    <x v="509"/>
    <n v="1115640"/>
    <x v="0"/>
    <s v="Engineering: Civil; Engineering: Construction; Engineering"/>
    <s v="9781118419090"/>
    <s v=",1,2,3,26,27,28,24,25,29,30,31,32,33,17,18,19,20,16,21,15,22,32,33,34,35,36,37,38,39,40,41,42,43,44,45,46,47,48,49"/>
    <n v="37"/>
    <m/>
    <m/>
    <s v="No"/>
    <x v="0"/>
    <d v="2015-09-25T13:33:27"/>
    <n v="7"/>
    <s v="128.205.114.91"/>
    <s v="TH375 -- .S77 2013eb"/>
    <n v="624"/>
    <d v="2013-01-22T00:00:00"/>
  </r>
  <r>
    <x v="7022"/>
    <d v="1899-12-30T00:00:00"/>
    <x v="1643"/>
    <x v="9"/>
    <s v="trocaire"/>
    <x v="1583"/>
    <n v="1477463"/>
    <x v="5"/>
    <s v="Social Science"/>
    <s v="9781479826872"/>
    <m/>
    <n v="0"/>
    <m/>
    <m/>
    <s v="Yes"/>
    <x v="2"/>
    <d v="2015-09-25T13:29:58"/>
    <n v="1"/>
    <s v="173.225.62.67"/>
    <s v="HQ77.9 -- .W47 2014eb"/>
    <s v="306.76/8"/>
    <d v="2013-12-02T00:00:00"/>
  </r>
  <r>
    <x v="7023"/>
    <d v="1899-12-30T00:05:29"/>
    <x v="1644"/>
    <x v="0"/>
    <s v="Buffalo"/>
    <x v="509"/>
    <n v="1115640"/>
    <x v="0"/>
    <s v="Engineering: Civil; Engineering: Construction; Engineering"/>
    <s v="9781118419090"/>
    <s v=",21,22,23,24"/>
    <n v="4"/>
    <m/>
    <m/>
    <s v="No"/>
    <x v="0"/>
    <d v="2015-09-25T13:39:34"/>
    <n v="7"/>
    <s v="128.205.114.91"/>
    <s v="TH375 -- .S77 2013eb"/>
    <n v="624"/>
    <d v="2013-01-22T00:00:00"/>
  </r>
  <r>
    <x v="7024"/>
    <d v="1899-12-30T00:12:45"/>
    <x v="13"/>
    <x v="0"/>
    <s v="Buffalo"/>
    <x v="509"/>
    <n v="1115640"/>
    <x v="0"/>
    <s v="Engineering: Civil; Engineering: Construction; Engineering"/>
    <s v="9781118419090"/>
    <s v=",1,2,3,35,36,37,33,34,39,40,41,38,49,50,51,47,48,52,53,54,55,56,57,58,59,60,61,62,63,64,65,66,67,68,69,70,71,72,73,74,75,76,77,78,79,80,81"/>
    <n v="47"/>
    <m/>
    <m/>
    <s v="No"/>
    <x v="0"/>
    <d v="2015-09-25T13:33:27"/>
    <n v="7"/>
    <s v="128.205.114.91"/>
    <s v="TH375 -- .S77 2013eb"/>
    <n v="624"/>
    <d v="2013-01-22T00:00:00"/>
  </r>
  <r>
    <x v="7025"/>
    <d v="1899-12-30T00:00:00"/>
    <x v="516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23T21:52:39"/>
    <n v="7"/>
    <s v="128.205.114.91"/>
    <s v="TH375 -- .S77 2013eb"/>
    <n v="624"/>
    <d v="2013-01-22T00:00:00"/>
  </r>
  <r>
    <x v="7026"/>
    <d v="1899-12-30T00:00:04"/>
    <x v="516"/>
    <x v="0"/>
    <s v="Buffalo"/>
    <x v="509"/>
    <n v="1115640"/>
    <x v="0"/>
    <s v="Engineering: Civil; Engineering: Construction; Engineering"/>
    <s v="9781118419090"/>
    <s v=",1,2,3"/>
    <n v="3"/>
    <m/>
    <m/>
    <s v="No"/>
    <x v="0"/>
    <d v="2015-09-23T21:52:39"/>
    <n v="7"/>
    <s v="128.205.114.91"/>
    <s v="TH375 -- .S77 2013eb"/>
    <n v="624"/>
    <d v="2013-01-22T00:00:00"/>
  </r>
  <r>
    <x v="7027"/>
    <d v="1899-12-30T01:04:27"/>
    <x v="13"/>
    <x v="0"/>
    <s v="Buffalo"/>
    <x v="509"/>
    <n v="1115640"/>
    <x v="0"/>
    <s v="Engineering: Civil; Engineering: Construction; Engineering"/>
    <s v="9781118419090"/>
    <s v=",46,47,48,44,45,43,42,41,40,39,38,37,49,50,51,36,35,34,33,52,53,54,55,56,57,58,59,60,61,62,63,64,65,66,67,68,69,70,71,72,73,74,75,76,77,78,79,80,81,52,53,54,55,56,57,58,59,60,61,62,63,64,65,66,67,68,69,70,71,72,73,74,75,76"/>
    <n v="49"/>
    <m/>
    <m/>
    <s v="No"/>
    <x v="0"/>
    <d v="2015-09-25T13:33:27"/>
    <n v="7"/>
    <s v="128.205.114.91"/>
    <s v="TH375 -- .S77 2013eb"/>
    <n v="624"/>
    <d v="2013-01-22T00:00:00"/>
  </r>
  <r>
    <x v="7028"/>
    <d v="1899-12-30T00:00:22"/>
    <x v="13"/>
    <x v="0"/>
    <s v="Buffalo"/>
    <x v="509"/>
    <n v="1115640"/>
    <x v="0"/>
    <s v="Engineering: Civil; Engineering: Construction; Engineering"/>
    <s v="9781118419090"/>
    <s v=",1,2,3"/>
    <n v="3"/>
    <m/>
    <m/>
    <s v="No"/>
    <x v="0"/>
    <d v="2015-09-18T13:33:26"/>
    <n v="7"/>
    <s v="128.205.114.91"/>
    <s v="TH375 -- .S77 2013eb"/>
    <n v="624"/>
    <d v="2013-01-22T00:00:00"/>
  </r>
  <r>
    <x v="7029"/>
    <d v="1899-12-30T00:19:45"/>
    <x v="1641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1"/>
    <m/>
    <m/>
    <s v="128.205.114.91"/>
    <s v="TH375 -- .S77 2013eb"/>
    <n v="624"/>
    <d v="2013-01-22T00:00:00"/>
  </r>
  <r>
    <x v="7030"/>
    <d v="1899-12-30T00:00:58"/>
    <x v="1206"/>
    <x v="11"/>
    <s v="cobleskill"/>
    <x v="1042"/>
    <n v="1249494"/>
    <x v="3"/>
    <s v="Agriculture; Social Science; Health"/>
    <s v="9780520954571"/>
    <s v=",55,56"/>
    <n v="2"/>
    <m/>
    <m/>
    <s v="No"/>
    <x v="0"/>
    <d v="2015-09-25T13:32:08"/>
    <n v="7"/>
    <s v="137.36.32.34"/>
    <s v="SB295.C35 -- C54 2013eb"/>
    <n v="362.29300000000001"/>
    <d v="2013-09-01T00:00:00"/>
  </r>
  <r>
    <x v="7031"/>
    <d v="1899-12-30T00:35:14"/>
    <x v="1645"/>
    <x v="0"/>
    <s v="Buffalo"/>
    <x v="509"/>
    <n v="1115640"/>
    <x v="0"/>
    <s v="Engineering: Civil; Engineering: Construction; Engineering"/>
    <s v="9781118419090"/>
    <s v=",1,3,2,36,37,38,34,35,39,56,57,58,54,55,59,60,61,62,1,2,3"/>
    <n v="18"/>
    <m/>
    <m/>
    <s v="No"/>
    <x v="0"/>
    <d v="2015-09-21T13:10:44"/>
    <n v="7"/>
    <s v="128.205.114.91"/>
    <s v="TH375 -- .S77 2013eb"/>
    <n v="624"/>
    <d v="2013-01-22T00:00:00"/>
  </r>
  <r>
    <x v="7032"/>
    <d v="1899-12-30T00:31:20"/>
    <x v="1646"/>
    <x v="0"/>
    <s v="Buffalo"/>
    <x v="509"/>
    <n v="1115640"/>
    <x v="0"/>
    <s v="Engineering: Civil; Engineering: Construction; Engineering"/>
    <s v="9781118419090"/>
    <s v=",32,32,27,32,33,33,28,33,28,33,35,34,35,34,36,36,31,36,37,37,31,30,29,34,35,36,37,38,38,39,40,39,40,41,41,42,42,43,44,43,44,45,45,46,46,47,47,48,48,49,49,50,50,51,51,52,52,53,53,54,54,55,56,55,56,57,57,58,58,59,59,60,55,60,54,53,52,50,49,47,45,43,42,41,38,39,36,37,35,40,34,33"/>
    <n v="34"/>
    <m/>
    <m/>
    <s v="No"/>
    <x v="0"/>
    <d v="2015-09-25T13:30:19"/>
    <n v="7"/>
    <s v="128.205.114.91"/>
    <s v="TH375 -- .S77 2013eb"/>
    <n v="624"/>
    <d v="2013-01-22T00:00:00"/>
  </r>
  <r>
    <x v="7033"/>
    <d v="1899-12-30T00:08:41"/>
    <x v="1643"/>
    <x v="9"/>
    <s v="trocaire"/>
    <x v="1583"/>
    <n v="1477463"/>
    <x v="5"/>
    <s v="Social Science"/>
    <s v="9781479826872"/>
    <s v=",5,6,7,8,9,10,11,12,13,14,15,16,14,17,18,19,20,21,22,23,24,25,26,27,21,22,20,19,18,10,2,3,4,5,6,7,8,9,10,11,8,9,10,11,12,13,14,15,16,17"/>
    <n v="26"/>
    <m/>
    <m/>
    <s v="Yes"/>
    <x v="2"/>
    <d v="2015-09-25T13:29:58"/>
    <n v="1"/>
    <s v="173.225.62.67"/>
    <s v="HQ77.9 -- .W47 2014eb"/>
    <s v="306.76/8"/>
    <d v="2013-12-02T00:00:00"/>
  </r>
  <r>
    <x v="7033"/>
    <d v="1899-12-30T00:00:00"/>
    <x v="1643"/>
    <x v="9"/>
    <s v="trocaire"/>
    <x v="1583"/>
    <n v="1477463"/>
    <x v="5"/>
    <s v="Social Science"/>
    <s v="9781479826872"/>
    <m/>
    <n v="0"/>
    <m/>
    <m/>
    <s v="No"/>
    <x v="2"/>
    <d v="2015-09-25T13:29:58"/>
    <n v="1"/>
    <s v="173.225.62.67"/>
    <s v="HQ77.9 -- .W47 2014eb"/>
    <s v="306.76/8"/>
    <d v="2013-12-02T00:00:00"/>
  </r>
  <r>
    <x v="7034"/>
    <d v="1899-12-30T00:10:38"/>
    <x v="1644"/>
    <x v="0"/>
    <s v="Buffalo"/>
    <x v="509"/>
    <n v="1115640"/>
    <x v="0"/>
    <s v="Engineering: Civil; Engineering: Construction; Engineering"/>
    <s v="9781118419090"/>
    <s v=",1,2,3,9,11,13,12,14,10,15,16,17,18,16,19,20,29,24,13,7,8,9,10,6,11,12"/>
    <n v="20"/>
    <m/>
    <m/>
    <s v="No"/>
    <x v="1"/>
    <m/>
    <m/>
    <s v="128.205.114.91"/>
    <s v="TH375 -- .S77 2013eb"/>
    <n v="624"/>
    <d v="2013-01-22T00:00:00"/>
  </r>
  <r>
    <x v="7035"/>
    <d v="1899-12-30T00:02:02"/>
    <x v="1643"/>
    <x v="9"/>
    <s v="trocaire"/>
    <x v="1583"/>
    <n v="1477463"/>
    <x v="5"/>
    <s v="Social Science"/>
    <s v="9781479826872"/>
    <s v=",1,2,3,4,5,6,7,8,9"/>
    <n v="9"/>
    <m/>
    <m/>
    <s v="No"/>
    <x v="3"/>
    <m/>
    <m/>
    <s v="173.225.62.67"/>
    <s v="HQ77.9 -- .W47 2014eb"/>
    <s v="306.76/8"/>
    <d v="2013-12-02T00:00:00"/>
  </r>
  <r>
    <x v="7036"/>
    <d v="1899-12-30T00:32:20"/>
    <x v="1647"/>
    <x v="0"/>
    <s v="Buffalo"/>
    <x v="509"/>
    <n v="1115640"/>
    <x v="0"/>
    <s v="Engineering: Civil; Engineering: Construction; Engineering"/>
    <s v="9781118419090"/>
    <s v=",1,3,2,3,2,1,31,33,29,31,32,33,30,30,32,34,34,2,35,36,35,36,37,37,38,38,39,40,39,40,41,41,42,37,42,42,37,42,43,44,43,44,45,45,46,46,47,47,48,48,49,49,50,50,51,51,52,52,53,53,54,54,55,55,55,56,56,51,56,57,57,52,57,52,57,57,57,58,58,59,59,60,60,61,61,56,61,56,55,54,59,60,61,62,63,62,63,64,64,65,65,60,65,66,66,67,67,62,67,68,69,68,69,70,71,70,71,72,72,72,73,73,68,67,72,73,74,74,69,74,75,76,75,76,77,77,78,78,79,79,80,80"/>
    <n v="55"/>
    <m/>
    <m/>
    <s v="No"/>
    <x v="0"/>
    <d v="2015-09-24T15:52:13"/>
    <n v="7"/>
    <s v="128.205.114.91"/>
    <s v="TH375 -- .S77 2013eb"/>
    <n v="624"/>
    <d v="2013-01-22T00:00:00"/>
  </r>
  <r>
    <x v="7037"/>
    <d v="1899-12-30T00:15:39"/>
    <x v="1646"/>
    <x v="0"/>
    <s v="Buffalo"/>
    <x v="509"/>
    <n v="1115640"/>
    <x v="0"/>
    <s v="Engineering: Civil; Engineering: Construction; Engineering"/>
    <s v="9781118419090"/>
    <s v=",1,1,2,2,3,3,4,4,5,5,6,6,7,7,8,8,9,9,2,10,11,12,12,13,11,14,13,10,14,16,15,16,15,17,18,17,19,18,20,19,21,20,21,22,23,23,22,24,24,25,26,25,27,26,27,28,28,29,29,30,30,31,31,32,32"/>
    <n v="32"/>
    <m/>
    <m/>
    <s v="No"/>
    <x v="1"/>
    <m/>
    <m/>
    <s v="128.205.114.91"/>
    <s v="TH375 -- .S77 2013eb"/>
    <n v="624"/>
    <d v="2013-01-22T00:00:00"/>
  </r>
  <r>
    <x v="7038"/>
    <d v="1899-12-30T00:00:06"/>
    <x v="1646"/>
    <x v="0"/>
    <s v="Buffalo"/>
    <x v="509"/>
    <n v="1115640"/>
    <x v="0"/>
    <s v="Engineering: Civil; Engineering: Construction; Engineering"/>
    <s v="9781118419090"/>
    <s v=",1,2,2,1,3,3"/>
    <n v="3"/>
    <m/>
    <m/>
    <s v="No"/>
    <x v="1"/>
    <m/>
    <m/>
    <s v="128.205.114.91"/>
    <s v="TH375 -- .S77 2013eb"/>
    <n v="624"/>
    <d v="2013-01-22T00:00:00"/>
  </r>
  <r>
    <x v="7039"/>
    <d v="1899-12-30T00:00:19"/>
    <x v="1646"/>
    <x v="0"/>
    <s v="Buffalo"/>
    <x v="509"/>
    <n v="1115640"/>
    <x v="0"/>
    <s v="Engineering: Civil; Engineering: Construction; Engineering"/>
    <s v="9781118419090"/>
    <s v=",1,2,2,3,3,1,4,4,4"/>
    <n v="4"/>
    <m/>
    <m/>
    <s v="No"/>
    <x v="1"/>
    <m/>
    <m/>
    <s v="128.205.114.91"/>
    <s v="TH375 -- .S77 2013eb"/>
    <n v="624"/>
    <d v="2013-01-22T00:00:00"/>
  </r>
  <r>
    <x v="7040"/>
    <d v="1899-12-30T00:26:34"/>
    <x v="1206"/>
    <x v="11"/>
    <s v="cobleskill"/>
    <x v="1042"/>
    <n v="1249494"/>
    <x v="3"/>
    <s v="Agriculture; Social Science; Health"/>
    <s v="9780520954571"/>
    <s v=",1,2,3,8,9,10,6,7,51,52,53,49,50,54,49"/>
    <n v="14"/>
    <m/>
    <m/>
    <s v="No"/>
    <x v="1"/>
    <m/>
    <m/>
    <s v="137.36.32.34"/>
    <s v="SB295.C35 -- C54 2013eb"/>
    <n v="362.29300000000001"/>
    <d v="2013-09-01T00:00:00"/>
  </r>
  <r>
    <x v="7041"/>
    <d v="1899-12-30T01:32:02"/>
    <x v="518"/>
    <x v="0"/>
    <s v="Buffalo"/>
    <x v="509"/>
    <n v="1115640"/>
    <x v="0"/>
    <s v="Engineering: Civil; Engineering: Construction; Engineering"/>
    <s v="9781118419090"/>
    <s v=",1,2,3,28,29,30,26,27,24,25,48,41,37,38,31,32,33,28,28,28,29,30,31,31,32,33,35,36,37,39,40,41,47,46,45,44,43,42,41,42,43,44,45,46,47,48,49,69"/>
    <n v="29"/>
    <m/>
    <m/>
    <s v="No"/>
    <x v="0"/>
    <d v="2015-09-18T16:31:43"/>
    <n v="7"/>
    <s v="128.205.114.91"/>
    <s v="TH375 -- .S77 2013eb"/>
    <n v="624"/>
    <d v="2013-01-22T00:00:00"/>
  </r>
  <r>
    <x v="7042"/>
    <d v="1899-12-30T00:00:28"/>
    <x v="1648"/>
    <x v="0"/>
    <s v="Buffalo"/>
    <x v="509"/>
    <n v="1115640"/>
    <x v="0"/>
    <s v="Engineering: Civil; Engineering: Construction; Engineering"/>
    <s v="9781118419090"/>
    <s v=",1,2,3,4,5,6,31,32,33,34,35,48,49,50,46,47"/>
    <n v="16"/>
    <m/>
    <m/>
    <s v="No"/>
    <x v="0"/>
    <d v="2015-09-21T03:19:50"/>
    <n v="7"/>
    <s v="128.205.114.91"/>
    <s v="TH375 -- .S77 2013eb"/>
    <n v="624"/>
    <d v="2013-01-22T00:00:00"/>
  </r>
  <r>
    <x v="7043"/>
    <d v="1899-12-30T02:51:50"/>
    <x v="1649"/>
    <x v="0"/>
    <s v="Buffalo"/>
    <x v="509"/>
    <n v="1115640"/>
    <x v="0"/>
    <s v="Engineering: Civil; Engineering: Construction; Engineering"/>
    <s v="9781118419090"/>
    <s v=",21,21,22,22,22,23,23,24,24,25,26,25,26,27,27,22,21,20,19,18,16,17,21,22,23,24,25,26,27,28,28,29,29,30,30,25,30,31,26,31,32,32,33,33,28,33,1,33,33,34,34,35,1,35,31,32,32,36,36,37,38,37,38,2,33,2,32,31,36,37,32,37,32,37,37,32,37,38,36,37,38,34,35,39,39,40,40"/>
    <n v="27"/>
    <m/>
    <m/>
    <s v="No"/>
    <x v="0"/>
    <d v="2015-09-25T12:30:22"/>
    <n v="7"/>
    <s v="128.205.114.91"/>
    <s v="TH375 -- .S77 2013eb"/>
    <n v="624"/>
    <d v="2013-01-22T00:00:00"/>
  </r>
  <r>
    <x v="7044"/>
    <d v="1899-12-30T01:51:01"/>
    <x v="528"/>
    <x v="0"/>
    <s v="Buffalo"/>
    <x v="509"/>
    <n v="1115640"/>
    <x v="0"/>
    <s v="Engineering: Civil; Engineering: Construction; Engineering"/>
    <s v="9781118419090"/>
    <s v=",22,23,24,25,26,27,28,29,30,31,32,33,34,35,36,37,38,39,40,41,42,32,30,25,49,50,51,47,48,52,53,54,55,56,57,58,59,60,61,79,80,81,77,78,82,83,84,85,86,87,88,89,90,91,92,93,94,77,76,75,73,74,71,72,69,70,71,67,68,66,65,64,63,62,61,60"/>
    <n v="69"/>
    <m/>
    <m/>
    <s v="No"/>
    <x v="0"/>
    <d v="2015-09-25T12:27:40"/>
    <n v="7"/>
    <s v="128.205.114.91"/>
    <s v="TH375 -- .S77 2013eb"/>
    <n v="624"/>
    <d v="2013-01-22T00:00:00"/>
  </r>
  <r>
    <x v="7045"/>
    <d v="1899-12-30T00:10:57"/>
    <x v="1649"/>
    <x v="0"/>
    <s v="Buffalo"/>
    <x v="509"/>
    <n v="1115640"/>
    <x v="0"/>
    <s v="Engineering: Civil; Engineering: Construction; Engineering"/>
    <s v="9781118419090"/>
    <s v=",1,2,2,3,3,1,2,2,4,4,4,5,5,5,6,6,7,7,8,8,9,9,10,10,11,11,12,13,12,14,13,14,15,15,16,16,17,17,18,19,19,18,20,20"/>
    <n v="20"/>
    <m/>
    <m/>
    <s v="No"/>
    <x v="1"/>
    <m/>
    <m/>
    <s v="128.205.114.91"/>
    <s v="TH375 -- .S77 2013eb"/>
    <n v="624"/>
    <d v="2013-01-22T00:00:00"/>
  </r>
  <r>
    <x v="7046"/>
    <d v="1899-12-30T00:10:49"/>
    <x v="528"/>
    <x v="0"/>
    <s v="Buffalo"/>
    <x v="509"/>
    <n v="1115640"/>
    <x v="0"/>
    <s v="Engineering: Civil; Engineering: Construction; Engineering"/>
    <s v="9781118419090"/>
    <s v=",1,2,3,1,28,14,17,17,18,19,21,18,20,16,15"/>
    <n v="12"/>
    <m/>
    <m/>
    <s v="No"/>
    <x v="1"/>
    <m/>
    <m/>
    <s v="128.205.114.91"/>
    <s v="TH375 -- .S77 2013eb"/>
    <n v="624"/>
    <d v="2013-01-22T00:00:00"/>
  </r>
  <r>
    <x v="7047"/>
    <d v="1899-12-30T00:40:06"/>
    <x v="1650"/>
    <x v="0"/>
    <s v="Buffalo"/>
    <x v="509"/>
    <n v="1115640"/>
    <x v="0"/>
    <s v="Engineering: Civil; Engineering: Construction; Engineering"/>
    <s v="9781118419090"/>
    <s v=",1,2,3,4,5,6,7,30,31,32,28,29,27,33,34,35,36,37,38,39,40,41,42,43,44,45,46,47,48,49,50,51,52,53,54,55,56,57,58,59,60,61,62,63,64,65,66,67,68,69,70,71,72,73,74,75,76,77,78,79,80,81"/>
    <n v="62"/>
    <m/>
    <m/>
    <s v="No"/>
    <x v="0"/>
    <d v="2015-09-25T00:08:24"/>
    <n v="7"/>
    <s v="128.205.114.91"/>
    <s v="TH375 -- .S77 2013eb"/>
    <n v="624"/>
    <d v="2013-01-22T00:00:00"/>
  </r>
  <r>
    <x v="7048"/>
    <d v="1899-12-30T01:06:17"/>
    <x v="1651"/>
    <x v="0"/>
    <s v="Buffalo"/>
    <x v="509"/>
    <n v="1115640"/>
    <x v="0"/>
    <s v="Engineering: Civil; Engineering: Construction; Engineering"/>
    <s v="9781118419090"/>
    <s v=",1,2,2,3,3,2,2,1,4,4,5,5,6,7,6,7,8,8,9,10,10,11,9,11,12,13,12,14,13,15,16,15,16,14,11,16,17,19,17,18,20,15,19,20,18,20,21,21,16,21,22,22,23,18,24,23,24,25,20,25,19,18,17,22,17,23,24,25,26,27,26,21,27,27,28,28,23,28,29,29,30,30,25,31,31,32,33,28,27,25,26,30,33,32,25,24,28,23,29,30,31,33,34,35,29,34,35,34,35,30,35,36,36,32,37,31,36,37,38,38,39,40,35,40,41,39,41,42,42,43,43,44,44,45,45,46,47,46,48,48,47,49,49,50,50,51,46,51,51,52,47,52,52,53,53,54,54,55,55,56,56,57,57,58,53,58,58,59,60,61,56,55,60,61,59,62,62,63,63,64,65,65,66,67,62,66,67,64,67,68,69,70,68,70,71,71,72,67,66,69,72,71,73,74,75,74,75,73,69,74,75,77,125,127,127,124,123,125,122,77,118,124,123,117,116,115,117,118,116,122,114,115,114,106,107,105,108,104,103,104,108,67,107,52,51,53,105,49,1,50,51,49,47,48,51,49,48,50,2,2,1,52,53,52,53,54,55,56,57,54,57,56,55,58,59,60,61,59,60,61,58,62,63,62,64,63,65,64,65,66,66,67,67,68,69,70,68,70,69,71,71,72,73,73,72,74,74,75,76,75,76,77,72,77,77,78,78,79,79,80,80,75,74,73,71,70,72,73,69,68,67,66,65,64,63,62,61,60"/>
    <n v="96"/>
    <m/>
    <m/>
    <s v="No"/>
    <x v="0"/>
    <d v="2015-09-25T02:32:11"/>
    <n v="7"/>
    <s v="128.205.114.91"/>
    <s v="TH375 -- .S77 2013eb"/>
    <n v="624"/>
    <d v="2013-01-22T00:00:00"/>
  </r>
  <r>
    <x v="7049"/>
    <d v="1899-12-30T00:34:32"/>
    <x v="1652"/>
    <x v="0"/>
    <s v="Buffalo"/>
    <x v="509"/>
    <n v="1115640"/>
    <x v="0"/>
    <s v="Engineering: Civil; Engineering: Construction; Engineering"/>
    <s v="9781118419090"/>
    <s v=",1,2,3,48,49,50,46,47,59,60,61,57,58,62,63,64,65,66,67,68,69,70,71,72,73,74,75,75,76,77,78,79,80,81"/>
    <n v="33"/>
    <m/>
    <m/>
    <s v="No"/>
    <x v="0"/>
    <d v="2015-09-24T11:48:26"/>
    <n v="7"/>
    <s v="128.205.114.91"/>
    <s v="TH375 -- .S77 2013eb"/>
    <n v="624"/>
    <d v="2013-01-22T00:00:00"/>
  </r>
  <r>
    <x v="7050"/>
    <d v="1899-12-30T00:20:53"/>
    <x v="1647"/>
    <x v="0"/>
    <s v="Buffalo"/>
    <x v="509"/>
    <n v="1115640"/>
    <x v="0"/>
    <s v="Engineering: Civil; Engineering: Construction; Engineering"/>
    <s v="9781118419090"/>
    <s v=",1,2,3,4,6,8,9,7,5,10,11,12,13,14,15,18,19,20,16,17,22,21,23,24,25,26,27,28,29,30,31,32,33,33,34,34,34,35,35,36,37,36,37,38,38,33,38,39,40,39,40,35,34,33,38,39,40,41,41"/>
    <n v="41"/>
    <m/>
    <m/>
    <s v="No"/>
    <x v="0"/>
    <d v="2015-09-24T15:52:13"/>
    <n v="7"/>
    <s v="128.205.114.91"/>
    <s v="TH375 -- .S77 2013eb"/>
    <n v="624"/>
    <d v="2013-01-22T00:00:00"/>
  </r>
  <r>
    <x v="7051"/>
    <d v="1899-12-30T00:01:27"/>
    <x v="1647"/>
    <x v="0"/>
    <s v="Buffalo"/>
    <x v="509"/>
    <n v="1115640"/>
    <x v="0"/>
    <s v="Engineering: Civil; Engineering: Construction; Engineering"/>
    <s v="9781118419090"/>
    <s v=",1,2,3,4,6,5,7,8,9,11,10,12,13,15,15,14,17,18,16,19,20,19,18"/>
    <n v="20"/>
    <m/>
    <m/>
    <s v="No"/>
    <x v="0"/>
    <d v="2015-09-24T15:52:13"/>
    <n v="7"/>
    <s v="128.205.114.91"/>
    <s v="TH375 -- .S77 2013eb"/>
    <n v="624"/>
    <d v="2013-01-22T00:00:00"/>
  </r>
  <r>
    <x v="7052"/>
    <d v="1899-12-30T01:24:09"/>
    <x v="1653"/>
    <x v="0"/>
    <s v="Buffalo"/>
    <x v="509"/>
    <n v="1115640"/>
    <x v="0"/>
    <s v="Engineering: Civil; Engineering: Construction; Engineering"/>
    <s v="9781118419090"/>
    <s v=",1,2,3,4,5,6,7,8,9,10,11,12,13,14,15,16,17,18,19,20,21,17,18,19,16,15,17,18,19,15,16,20,21,22,23,24,25,26,27,28,29,30,31,32,33,34,35,36,37,38,39,40,41,42,37,42,43,44,44,45,46,47,48,49,50,51,52,53,54,55,56,57,58,59,60,61,62,63,64,65,60,66,67,68,68,69,70,71,72,67,72,72,73,74,75,76,77,78,79,80,81,75,74,73,72,71,70,69,68,67,72,67,72,73,74,75,76,77,78,73,72,71,70,77,78,79,80,74,73,72,71,70,69,74,75,76,77,71,76,77,77,78,79,80"/>
    <n v="81"/>
    <m/>
    <m/>
    <s v="No"/>
    <x v="0"/>
    <d v="2015-09-25T11:26:55"/>
    <n v="7"/>
    <s v="128.205.114.91"/>
    <s v="TH375 -- .S77 2013eb"/>
    <n v="624"/>
    <d v="2013-01-22T00:00:00"/>
  </r>
  <r>
    <x v="7053"/>
    <d v="1899-12-30T02:36:40"/>
    <x v="1654"/>
    <x v="0"/>
    <s v="Buffalo"/>
    <x v="509"/>
    <n v="1115640"/>
    <x v="0"/>
    <s v="Engineering: Civil; Engineering: Construction; Engineering"/>
    <s v="9781118419090"/>
    <s v=",1,2,3,4,5,6,59,60,61,57,58,54,55,56,52,53,62,1,62,63,64,60,61,65,66,67,2,68,69,70,71,72,73,74,75,76,77,78,79,80,81"/>
    <n v="36"/>
    <m/>
    <m/>
    <s v="No"/>
    <x v="0"/>
    <d v="2015-09-23T23:53:44"/>
    <n v="7"/>
    <s v="128.205.114.91"/>
    <s v="TH375 -- .S77 2013eb"/>
    <n v="624"/>
    <d v="2013-01-22T00:00:00"/>
  </r>
  <r>
    <x v="7054"/>
    <d v="1899-12-30T00:12:56"/>
    <x v="1652"/>
    <x v="0"/>
    <s v="Buffalo"/>
    <x v="509"/>
    <n v="1115640"/>
    <x v="0"/>
    <s v="Engineering: Civil; Engineering: Construction; Engineering"/>
    <s v="9781118419090"/>
    <s v=",1,2,3,153,182,183,184,47,48,49,45,46,50,51,52,53,54,55,56,57,58,59,60,61,62"/>
    <n v="25"/>
    <m/>
    <m/>
    <s v="No"/>
    <x v="0"/>
    <d v="2015-09-24T11:48:26"/>
    <n v="7"/>
    <s v="128.205.114.91"/>
    <s v="TH375 -- .S77 2013eb"/>
    <n v="624"/>
    <d v="2013-01-22T00:00:00"/>
  </r>
  <r>
    <x v="7055"/>
    <d v="1899-12-30T00:00:02"/>
    <x v="1653"/>
    <x v="0"/>
    <s v="Buffalo"/>
    <x v="509"/>
    <n v="1115640"/>
    <x v="0"/>
    <s v="Engineering: Civil; Engineering: Construction; Engineering"/>
    <s v="9781118419090"/>
    <s v=",20,21,22"/>
    <n v="3"/>
    <m/>
    <m/>
    <s v="No"/>
    <x v="0"/>
    <d v="2015-09-25T11:26:55"/>
    <n v="7"/>
    <s v="128.205.114.91"/>
    <s v="TH375 -- .S77 2013eb"/>
    <n v="624"/>
    <d v="2013-01-22T00:00:00"/>
  </r>
  <r>
    <x v="7056"/>
    <d v="1899-12-30T00:11:43"/>
    <x v="1653"/>
    <x v="0"/>
    <s v="Buffalo"/>
    <x v="509"/>
    <n v="1115640"/>
    <x v="0"/>
    <s v="Engineering: Civil; Engineering: Construction; Engineering"/>
    <s v="9781118419090"/>
    <s v=",1,2,3,4,5,6,7,8,9,10,11,12,13,14,15,16,18,19,17"/>
    <n v="19"/>
    <m/>
    <m/>
    <s v="No"/>
    <x v="1"/>
    <m/>
    <m/>
    <s v="128.205.114.91"/>
    <s v="TH375 -- .S77 2013eb"/>
    <n v="624"/>
    <d v="2013-01-22T00:00:00"/>
  </r>
  <r>
    <x v="7057"/>
    <d v="1899-12-30T00:00:38"/>
    <x v="1655"/>
    <x v="0"/>
    <s v="Buffalo"/>
    <x v="509"/>
    <n v="1115640"/>
    <x v="0"/>
    <s v="Engineering: Civil; Engineering: Construction; Engineering"/>
    <s v="9781118419090"/>
    <s v=",1,2,3,17,18,19,15,16,20,25,27,28,29,30,31,32,33,34"/>
    <n v="18"/>
    <m/>
    <m/>
    <s v="No"/>
    <x v="0"/>
    <d v="2015-09-25T02:53:07"/>
    <n v="7"/>
    <s v="128.205.114.91"/>
    <s v="TH375 -- .S77 2013eb"/>
    <n v="624"/>
    <d v="2013-01-22T00:00:00"/>
  </r>
  <r>
    <x v="7058"/>
    <d v="1899-12-30T00:32:36"/>
    <x v="1656"/>
    <x v="0"/>
    <s v="Buffalo"/>
    <x v="509"/>
    <n v="1115640"/>
    <x v="0"/>
    <s v="Engineering: Civil; Engineering: Construction; Engineering"/>
    <s v="9781118419090"/>
    <s v=",20,21,22,23,24,25,26,27,28,29,30,31,32,33,34,35,36,37,38,39,40,41,42,43,44,45,46,47,48,49,50,51,52,53,54,55,56,57,58,59,60,61,62,63,64,65,66,67,68,69,70,71,72,73,74,75,76,77,78,79,80,81"/>
    <n v="62"/>
    <m/>
    <m/>
    <s v="No"/>
    <x v="0"/>
    <d v="2015-09-25T08:28:41"/>
    <n v="7"/>
    <s v="128.205.114.91"/>
    <s v="TH375 -- .S77 2013eb"/>
    <n v="624"/>
    <d v="2013-01-22T00:00:00"/>
  </r>
  <r>
    <x v="7059"/>
    <d v="1899-12-30T00:12:29"/>
    <x v="1656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1"/>
    <m/>
    <m/>
    <s v="128.205.114.91"/>
    <s v="TH375 -- .S77 2013eb"/>
    <n v="624"/>
    <d v="2013-01-22T00:00:00"/>
  </r>
  <r>
    <x v="7060"/>
    <d v="1899-12-30T00:00:38"/>
    <x v="1657"/>
    <x v="0"/>
    <s v="Buffalo"/>
    <x v="1584"/>
    <n v="1711848"/>
    <x v="1"/>
    <s v="Law"/>
    <s v="9781409465348"/>
    <s v=",1,2,3"/>
    <n v="3"/>
    <m/>
    <m/>
    <s v="No"/>
    <x v="3"/>
    <m/>
    <m/>
    <s v="128.205.114.91"/>
    <s v="K970 -- .F65 2014eb"/>
    <n v="345.00099999999998"/>
    <d v="2014-08-28T00:00:00"/>
  </r>
  <r>
    <x v="7061"/>
    <d v="1899-12-30T01:35:48"/>
    <x v="805"/>
    <x v="0"/>
    <s v="Buffalo"/>
    <x v="509"/>
    <n v="1115640"/>
    <x v="0"/>
    <s v="Engineering: Civil; Engineering: Construction; Engineering"/>
    <s v="9781118419090"/>
    <s v=",1,2,3,5,6,4,39,40,41,42,38,37,36,43,44,45,46,47,48,49,50,51,52,53,55,54,56,57,58,59,60,61,62,63,64,65,66,67,68,69,70,71,72,73,74,75,76,77,78,79,80"/>
    <n v="51"/>
    <m/>
    <m/>
    <s v="No"/>
    <x v="0"/>
    <d v="2015-09-25T00:57:23"/>
    <n v="7"/>
    <s v="128.205.114.91"/>
    <s v="TH375 -- .S77 2013eb"/>
    <n v="624"/>
    <d v="2013-01-22T00:00:00"/>
  </r>
  <r>
    <x v="7062"/>
    <d v="1899-12-30T00:57:35"/>
    <x v="1637"/>
    <x v="0"/>
    <s v="Buffalo"/>
    <x v="509"/>
    <n v="1115640"/>
    <x v="0"/>
    <s v="Engineering: Civil; Engineering: Construction; Engineering"/>
    <s v="9781118419090"/>
    <s v=",44,46,47,52,48,49,50,42,45"/>
    <n v="9"/>
    <m/>
    <m/>
    <s v="No"/>
    <x v="0"/>
    <d v="2015-09-25T05:53:21"/>
    <n v="7"/>
    <s v="128.205.114.91"/>
    <s v="TH375 -- .S77 2013eb"/>
    <n v="624"/>
    <d v="2013-01-22T00:00:00"/>
  </r>
  <r>
    <x v="7063"/>
    <d v="1899-12-30T00:59:56"/>
    <x v="13"/>
    <x v="0"/>
    <s v="Buffalo"/>
    <x v="509"/>
    <n v="1115640"/>
    <x v="0"/>
    <s v="Engineering: Civil; Engineering: Construction; Engineering"/>
    <s v="9781118419090"/>
    <s v=",1,2,3,17,18,19,15,16,20,21,22,23,24,25,26"/>
    <n v="15"/>
    <m/>
    <m/>
    <s v="No"/>
    <x v="0"/>
    <d v="2015-09-18T13:33:26"/>
    <n v="7"/>
    <s v="128.205.114.91"/>
    <s v="TH375 -- .S77 2013eb"/>
    <n v="624"/>
    <d v="2013-01-22T00:00:00"/>
  </r>
  <r>
    <x v="7064"/>
    <d v="1899-12-30T00:15:46"/>
    <x v="1637"/>
    <x v="0"/>
    <s v="Buffalo"/>
    <x v="509"/>
    <n v="1115640"/>
    <x v="0"/>
    <s v="Engineering: Civil; Engineering: Construction; Engineering"/>
    <s v="9781118419090"/>
    <s v=",1,2,3,4,8,9,13,28,58,81,80,79,76,75,65,45,41,42,40,38,39,43"/>
    <n v="22"/>
    <m/>
    <m/>
    <s v="No"/>
    <x v="1"/>
    <m/>
    <m/>
    <s v="128.205.114.91"/>
    <s v="TH375 -- .S77 2013eb"/>
    <n v="624"/>
    <d v="2013-01-22T00:00:00"/>
  </r>
  <r>
    <x v="7065"/>
    <d v="1899-12-30T00:19:32"/>
    <x v="1658"/>
    <x v="0"/>
    <s v="Buffalo"/>
    <x v="509"/>
    <n v="1115640"/>
    <x v="0"/>
    <s v="Engineering: Civil; Engineering: Construction; Engineering"/>
    <s v="9781118419090"/>
    <s v=",1,2,3,35,36,37,33,34,49,50,51,47,48,79,80,81,77,78,38,39,40,41,42,43,44,40,41,42,38,39,43,37"/>
    <n v="25"/>
    <m/>
    <m/>
    <s v="No"/>
    <x v="0"/>
    <d v="2015-09-24T14:39:35"/>
    <n v="7"/>
    <s v="128.205.114.91"/>
    <s v="TH375 -- .S77 2013eb"/>
    <n v="624"/>
    <d v="2013-01-22T00:00:00"/>
  </r>
  <r>
    <x v="7066"/>
    <d v="1899-12-30T00:13:12"/>
    <x v="1659"/>
    <x v="0"/>
    <s v="Buffalo"/>
    <x v="509"/>
    <n v="1115640"/>
    <x v="0"/>
    <s v="Engineering: Civil; Engineering: Construction; Engineering"/>
    <s v="9781118419090"/>
    <s v=",21,21,22,23,24,25,26,27,28,29,30,31,32,33,34,35,36,37,38,39,40,41,42,43,44,45,46,47,48,49,50,51,52,53,54,55,56,57,58,59,60,61,62,63,64,65,66"/>
    <n v="46"/>
    <m/>
    <m/>
    <s v="No"/>
    <x v="0"/>
    <d v="2015-09-25T05:04:45"/>
    <n v="7"/>
    <s v="128.205.114.91"/>
    <s v="TH375 -- .S77 2013eb"/>
    <n v="624"/>
    <d v="2013-01-22T00:00:00"/>
  </r>
  <r>
    <x v="7067"/>
    <d v="1899-12-30T00:10:32"/>
    <x v="1659"/>
    <x v="0"/>
    <s v="Buffalo"/>
    <x v="509"/>
    <n v="1115640"/>
    <x v="0"/>
    <s v="Engineering: Civil; Engineering: Construction; Engineering"/>
    <s v="9781118419090"/>
    <s v=",1,2,3,4,5,6,7,8,9,10,11,12,13,14,15,16,17,18,19,17,386,385,1,20,18,19,20"/>
    <n v="22"/>
    <m/>
    <m/>
    <s v="No"/>
    <x v="1"/>
    <m/>
    <m/>
    <s v="128.205.114.91"/>
    <s v="TH375 -- .S77 2013eb"/>
    <n v="624"/>
    <d v="2013-01-22T00:00:00"/>
  </r>
  <r>
    <x v="7068"/>
    <d v="1899-12-30T00:45:50"/>
    <x v="1639"/>
    <x v="0"/>
    <s v="Buffalo"/>
    <x v="509"/>
    <n v="1115640"/>
    <x v="0"/>
    <s v="Engineering: Civil; Engineering: Construction; Engineering"/>
    <s v="9781118419090"/>
    <s v=",1,2,3,17,19,15,18,16,17,18,19,16,15,20,18,17,18,21,22,23,24,25,26,27,28,29,30,31,32,33,34,35,36,37,38,39,40,41,42,43,44,45,46,47,48,49,50,51,52,53,54,55,56,57,58,59"/>
    <n v="48"/>
    <m/>
    <m/>
    <s v="No"/>
    <x v="0"/>
    <d v="2015-09-24T00:14:14"/>
    <n v="7"/>
    <s v="128.205.114.91"/>
    <s v="TH375 -- .S77 2013eb"/>
    <n v="624"/>
    <d v="2013-01-22T00:00:00"/>
  </r>
  <r>
    <x v="7069"/>
    <d v="1899-12-30T01:12:55"/>
    <x v="805"/>
    <x v="0"/>
    <s v="Buffalo"/>
    <x v="509"/>
    <n v="1115640"/>
    <x v="0"/>
    <s v="Engineering: Civil; Engineering: Construction; Engineering"/>
    <s v="9781118419090"/>
    <s v=",1,2,3,4,5,6,7,9,10,8,11,12,13,14,15,16,17,18,19,20,21,22,23,24,25,26,27,28,29,30,31,32,33,34,35,36,37,38,39,40,41,42,43,44,45"/>
    <n v="45"/>
    <m/>
    <m/>
    <s v="No"/>
    <x v="0"/>
    <d v="2015-09-25T00:57:23"/>
    <n v="7"/>
    <s v="128.205.114.91"/>
    <s v="TH375 -- .S77 2013eb"/>
    <n v="624"/>
    <d v="2013-01-22T00:00:00"/>
  </r>
  <r>
    <x v="7070"/>
    <d v="1899-12-30T00:00:39"/>
    <x v="805"/>
    <x v="0"/>
    <s v="Buffalo"/>
    <x v="509"/>
    <n v="1115640"/>
    <x v="0"/>
    <s v="Engineering: Civil; Engineering: Construction; Engineering"/>
    <s v="9781118419090"/>
    <s v=",1,2,3"/>
    <n v="3"/>
    <m/>
    <m/>
    <s v="No"/>
    <x v="0"/>
    <d v="2015-09-25T00:57:23"/>
    <n v="7"/>
    <s v="128.205.114.91"/>
    <s v="TH375 -- .S77 2013eb"/>
    <n v="624"/>
    <d v="2013-01-22T00:00:00"/>
  </r>
  <r>
    <x v="7071"/>
    <d v="1899-12-30T00:06:39"/>
    <x v="13"/>
    <x v="0"/>
    <s v="Buffalo"/>
    <x v="509"/>
    <n v="1115640"/>
    <x v="0"/>
    <s v="Engineering: Civil; Engineering: Construction; Engineering"/>
    <s v="9781118419090"/>
    <s v=",1,2,3,16,33,25,26,27,28,24,29,30,31"/>
    <n v="13"/>
    <m/>
    <m/>
    <s v="No"/>
    <x v="0"/>
    <d v="2015-09-18T13:33:26"/>
    <n v="7"/>
    <s v="128.205.114.91"/>
    <s v="TH375 -- .S77 2013eb"/>
    <n v="624"/>
    <d v="2013-01-22T00:00:00"/>
  </r>
  <r>
    <x v="7072"/>
    <d v="1899-12-30T00:00:57"/>
    <x v="1659"/>
    <x v="0"/>
    <s v="Buffalo"/>
    <x v="509"/>
    <n v="1115640"/>
    <x v="0"/>
    <s v="Engineering: Civil; Engineering: Construction; Engineering"/>
    <s v="9781118419090"/>
    <s v=",1,2,3,4,5,6,7,8,9,10,11,12,13,14,15,16,17,18,19,20,21,22,23,24,25,26,27,28,29,34,33,35,31,32,30"/>
    <n v="35"/>
    <m/>
    <m/>
    <s v="No"/>
    <x v="1"/>
    <m/>
    <m/>
    <s v="128.205.114.91"/>
    <s v="TH375 -- .S77 2013eb"/>
    <n v="624"/>
    <d v="2013-01-22T00:00:00"/>
  </r>
  <r>
    <x v="7073"/>
    <d v="1899-12-30T01:39:30"/>
    <x v="1660"/>
    <x v="0"/>
    <s v="Buffalo"/>
    <x v="509"/>
    <n v="1115640"/>
    <x v="0"/>
    <s v="Engineering: Civil; Engineering: Construction; Engineering"/>
    <s v="9781118419090"/>
    <s v=",39,40,41,32,42,42,1,43,44,40,41,45,2,46,47,48,49,50,51,52,53,54,55,56,57,58,59,60,61,62,63,64,65,66,67,68,69,70,71,72,73,74,75,76,77,78,79,80"/>
    <n v="45"/>
    <m/>
    <m/>
    <s v="No"/>
    <x v="0"/>
    <d v="2015-09-25T04:14:21"/>
    <n v="7"/>
    <s v="128.205.114.91"/>
    <s v="TH375 -- .S77 2013eb"/>
    <n v="624"/>
    <d v="2013-01-22T00:00:00"/>
  </r>
  <r>
    <x v="7074"/>
    <d v="1899-12-30T00:10:33"/>
    <x v="1660"/>
    <x v="0"/>
    <s v="Buffalo"/>
    <x v="509"/>
    <n v="1115640"/>
    <x v="0"/>
    <s v="Engineering: Civil; Engineering: Construction; Engineering"/>
    <s v="9781118419090"/>
    <s v=",1,2,3,35,36,37,33,34,38"/>
    <n v="9"/>
    <m/>
    <m/>
    <s v="No"/>
    <x v="1"/>
    <m/>
    <m/>
    <s v="128.205.114.91"/>
    <s v="TH375 -- .S77 2013eb"/>
    <n v="624"/>
    <d v="2013-01-22T00:00:00"/>
  </r>
  <r>
    <x v="7075"/>
    <d v="1899-12-30T01:47:06"/>
    <x v="1661"/>
    <x v="0"/>
    <s v="Buffalo"/>
    <x v="509"/>
    <n v="1115640"/>
    <x v="0"/>
    <s v="Engineering: Civil; Engineering: Construction; Engineering"/>
    <s v="9781118419090"/>
    <s v=",43,44,45,46,47,48,49,50,52,51,53,54,55,56,57,58,58,1,59,60,56,57,57,1,58,59,55,57,56,59,56,58,1,60,61,60,61,2,62,63,64,65,66,67,68,69,70,71,72,73,74,75,76,77,78,79,80"/>
    <n v="40"/>
    <m/>
    <m/>
    <s v="No"/>
    <x v="0"/>
    <d v="2015-09-25T03:53:59"/>
    <n v="7"/>
    <s v="128.205.114.91"/>
    <s v="TH375 -- .S77 2013eb"/>
    <n v="624"/>
    <d v="2013-01-22T00:00:00"/>
  </r>
  <r>
    <x v="7076"/>
    <d v="1899-12-30T01:56:15"/>
    <x v="13"/>
    <x v="0"/>
    <s v="Buffalo"/>
    <x v="509"/>
    <n v="1115640"/>
    <x v="0"/>
    <s v="Engineering: Civil; Engineering: Construction; Engineering"/>
    <s v="9781118419090"/>
    <s v=",1,2,3,4,5,6,7,8,9,10,11,12,13,14,15,16,17,18,19,20,21,55,54,56,57,53,52,18,19,20,21,22,23,24,25,26,27,28,29,30,31,136,137,138,134,135,133,32,33,34,35,36,37,38,39,40,41,42,43,44,45,46,47,48,49,50,51,58,59,60,61,62,63,64,65,66,67,68,69,70,71,72,73,74,75,76,77,78,79,80,81"/>
    <n v="87"/>
    <m/>
    <m/>
    <s v="No"/>
    <x v="0"/>
    <d v="2015-09-18T13:33:26"/>
    <n v="7"/>
    <s v="128.205.114.91"/>
    <s v="TH375 -- .S77 2013eb"/>
    <n v="624"/>
    <d v="2013-01-22T00:00:00"/>
  </r>
  <r>
    <x v="7077"/>
    <d v="1899-12-30T00:14:50"/>
    <x v="1661"/>
    <x v="0"/>
    <s v="Buffalo"/>
    <x v="509"/>
    <n v="1115640"/>
    <x v="0"/>
    <s v="Engineering: Civil; Engineering: Construction; Engineering"/>
    <s v="9781118419090"/>
    <s v=",1,2,3,4,5,6,7,8,9,10,12,13,14,11,15,16,17,40,41,42,38,39,37"/>
    <n v="23"/>
    <m/>
    <m/>
    <s v="No"/>
    <x v="1"/>
    <m/>
    <m/>
    <s v="128.205.114.91"/>
    <s v="TH375 -- .S77 2013eb"/>
    <n v="624"/>
    <d v="2013-01-22T00:00:00"/>
  </r>
  <r>
    <x v="7078"/>
    <d v="1899-12-30T01:26:41"/>
    <x v="13"/>
    <x v="0"/>
    <s v="Buffalo"/>
    <x v="509"/>
    <n v="1115640"/>
    <x v="0"/>
    <s v="Engineering: Civil; Engineering: Construction; Engineering"/>
    <s v="9781118419090"/>
    <s v=",1,2,3,4,5,6,7,8,17,18,19,15,16,20,21,22,23,24,25,26,27,28,29,30,31,32,33"/>
    <n v="27"/>
    <m/>
    <m/>
    <s v="No"/>
    <x v="0"/>
    <d v="2015-09-18T13:33:26"/>
    <n v="7"/>
    <s v="128.205.114.91"/>
    <s v="TH375 -- .S77 2013eb"/>
    <n v="624"/>
    <d v="2013-01-22T00:00:00"/>
  </r>
  <r>
    <x v="7079"/>
    <d v="1899-12-30T00:02:32"/>
    <x v="1662"/>
    <x v="0"/>
    <s v="Buffalo"/>
    <x v="509"/>
    <n v="1115640"/>
    <x v="0"/>
    <s v="Engineering: Civil; Engineering: Construction; Engineering"/>
    <s v="9781118419090"/>
    <s v=",1,2,3,4,5,6,7,8,9,10,11,13,14,15,12"/>
    <n v="15"/>
    <m/>
    <m/>
    <s v="No"/>
    <x v="1"/>
    <m/>
    <m/>
    <s v="128.205.114.91"/>
    <s v="TH375 -- .S77 2013eb"/>
    <n v="624"/>
    <d v="2013-01-22T00:00:00"/>
  </r>
  <r>
    <x v="7080"/>
    <d v="1899-12-30T00:52:53"/>
    <x v="1655"/>
    <x v="0"/>
    <s v="Buffalo"/>
    <x v="509"/>
    <n v="1115640"/>
    <x v="0"/>
    <s v="Engineering: Civil; Engineering: Construction; Engineering"/>
    <s v="9781118419090"/>
    <s v=",22,23,24,25,26,27,28,29,30,31,32,33"/>
    <n v="12"/>
    <m/>
    <m/>
    <s v="No"/>
    <x v="0"/>
    <d v="2015-09-25T02:53:07"/>
    <n v="7"/>
    <s v="128.205.114.91"/>
    <s v="TH375 -- .S77 2013eb"/>
    <n v="624"/>
    <d v="2013-01-22T00:00:00"/>
  </r>
  <r>
    <x v="7081"/>
    <d v="1899-12-30T00:15:09"/>
    <x v="805"/>
    <x v="0"/>
    <s v="Buffalo"/>
    <x v="509"/>
    <n v="1115640"/>
    <x v="0"/>
    <s v="Engineering: Civil; Engineering: Construction; Engineering"/>
    <s v="9781118419090"/>
    <s v=",1,2,3,8,5,4,6,7,9,10,11,12,13,14,15,16,17,18,19,20,21,22,23,24,25,26,27,28,29,30,31,32"/>
    <n v="32"/>
    <m/>
    <m/>
    <s v="No"/>
    <x v="0"/>
    <d v="2015-09-25T00:57:23"/>
    <n v="7"/>
    <s v="128.205.114.91"/>
    <s v="TH375 -- .S77 2013eb"/>
    <n v="624"/>
    <d v="2013-01-22T00:00:00"/>
  </r>
  <r>
    <x v="7082"/>
    <d v="1899-12-30T00:00:48"/>
    <x v="805"/>
    <x v="0"/>
    <s v="Buffalo"/>
    <x v="509"/>
    <n v="1115640"/>
    <x v="0"/>
    <s v="Engineering: Civil; Engineering: Construction; Engineering"/>
    <s v="9781118419090"/>
    <s v=",1,3,2,4,5,6,7,8,9,10,11,12,13,14"/>
    <n v="14"/>
    <m/>
    <m/>
    <s v="No"/>
    <x v="0"/>
    <d v="2015-09-25T00:57:23"/>
    <n v="7"/>
    <s v="128.205.114.91"/>
    <s v="TH375 -- .S77 2013eb"/>
    <n v="624"/>
    <d v="2013-01-22T00:00:00"/>
  </r>
  <r>
    <x v="7083"/>
    <d v="1899-12-30T00:11:50"/>
    <x v="1655"/>
    <x v="0"/>
    <s v="Buffalo"/>
    <x v="509"/>
    <n v="1115640"/>
    <x v="0"/>
    <s v="Engineering: Civil; Engineering: Construction; Engineering"/>
    <s v="9781118419090"/>
    <s v=",1,2,3,4,6,5,7,8,9,10,11,12,13,14,15,16,17,18,19,20,21"/>
    <n v="21"/>
    <m/>
    <m/>
    <s v="No"/>
    <x v="1"/>
    <m/>
    <m/>
    <s v="128.205.114.91"/>
    <s v="TH375 -- .S77 2013eb"/>
    <n v="624"/>
    <d v="2013-01-22T00:00:00"/>
  </r>
  <r>
    <x v="7084"/>
    <d v="1899-12-30T00:04:24"/>
    <x v="1651"/>
    <x v="0"/>
    <s v="Buffalo"/>
    <x v="509"/>
    <n v="1115640"/>
    <x v="0"/>
    <s v="Engineering: Civil; Engineering: Construction; Engineering"/>
    <s v="9781118419090"/>
    <s v=",6,7,8,10,9,11,12,13,14,15,16,17,18,19,20,21,22,23,24,25,26,27,28,29,30,31,32,33,34,35,36,37,38,39,40,41,42,45,46,48,49,50,51,52,53,55,57,59,61,62,63,64,60,65,66,67,68,69,70,71,72,73,74,75,76,77,78,79,80"/>
    <n v="69"/>
    <m/>
    <m/>
    <s v="Yes"/>
    <x v="0"/>
    <d v="2015-09-25T02:32:11"/>
    <n v="7"/>
    <s v="128.205.114.91"/>
    <s v="TH375 -- .S77 2013eb"/>
    <n v="624"/>
    <d v="2013-01-22T00:00:00"/>
  </r>
  <r>
    <x v="7085"/>
    <d v="1899-12-30T00:00:24"/>
    <x v="1651"/>
    <x v="0"/>
    <s v="Buffalo"/>
    <x v="509"/>
    <n v="1115640"/>
    <x v="0"/>
    <s v="Engineering: Civil; Engineering: Construction; Engineering"/>
    <s v="9781118419090"/>
    <s v=",1,2,3,5,4"/>
    <n v="5"/>
    <m/>
    <m/>
    <s v="No"/>
    <x v="0"/>
    <d v="2015-09-25T02:32:11"/>
    <n v="7"/>
    <s v="128.205.114.91"/>
    <s v="TH375 -- .S77 2013eb"/>
    <n v="624"/>
    <d v="2013-01-22T00:00:00"/>
  </r>
  <r>
    <x v="7086"/>
    <d v="1899-12-30T00:00:00"/>
    <x v="1651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25T02:32:11"/>
    <n v="7"/>
    <s v="128.205.114.91"/>
    <s v="TH375 -- .S77 2013eb"/>
    <n v="624"/>
    <d v="2013-01-22T00:00:00"/>
  </r>
  <r>
    <x v="7087"/>
    <d v="1899-12-30T00:00:33"/>
    <x v="1651"/>
    <x v="0"/>
    <s v="Buffalo"/>
    <x v="509"/>
    <n v="1115640"/>
    <x v="0"/>
    <s v="Engineering: Civil; Engineering: Construction; Engineering"/>
    <s v="9781118419090"/>
    <s v=",20,17"/>
    <n v="2"/>
    <m/>
    <m/>
    <s v="Yes"/>
    <x v="0"/>
    <d v="2015-09-25T02:32:11"/>
    <n v="7"/>
    <s v="128.205.114.91"/>
    <s v="TH375 -- .S77 2013eb"/>
    <n v="624"/>
    <d v="2013-01-22T00:00:00"/>
  </r>
  <r>
    <x v="7088"/>
    <d v="1899-12-30T04:24:10"/>
    <x v="13"/>
    <x v="0"/>
    <s v="Buffalo"/>
    <x v="509"/>
    <n v="1115640"/>
    <x v="0"/>
    <s v="Engineering: Civil; Engineering: Construction; Engineering"/>
    <s v="9781118419090"/>
    <s v=",1,2,3,11,14,12,31,32,35,36,37,33,34,38,39,40,44,53,76,114,115,116,117,113,109,97,96,95,93,94,68,62,67,69,65,66,42,41,44,43,45,46,47,48,49,50,51,52,53,54,55,56,57,58,59,61,60,62,64,63,65,66,67,68,69,70,71,72,73,74,75,73,74,75,76,77,78,79,80,81"/>
    <n v="68"/>
    <m/>
    <m/>
    <s v="No"/>
    <x v="0"/>
    <d v="2015-09-18T13:33:26"/>
    <n v="7"/>
    <s v="128.205.114.91"/>
    <s v="TH375 -- .S77 2013eb"/>
    <n v="624"/>
    <d v="2013-01-22T00:00:00"/>
  </r>
  <r>
    <x v="7089"/>
    <d v="1899-12-30T00:00:00"/>
    <x v="1651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25T02:32:11"/>
    <n v="7"/>
    <s v="128.205.114.91"/>
    <s v="TH375 -- .S77 2013eb"/>
    <n v="624"/>
    <d v="2013-01-22T00:00:00"/>
  </r>
  <r>
    <x v="7089"/>
    <d v="1899-12-30T00:00:00"/>
    <x v="1651"/>
    <x v="0"/>
    <s v="Buffalo"/>
    <x v="509"/>
    <n v="1115640"/>
    <x v="0"/>
    <s v="Engineering: Civil; Engineering: Construction; Engineering"/>
    <s v="9781118419090"/>
    <m/>
    <n v="0"/>
    <m/>
    <m/>
    <s v="No"/>
    <x v="0"/>
    <d v="2015-09-25T02:32:11"/>
    <n v="7"/>
    <s v="128.205.114.91"/>
    <s v="TH375 -- .S77 2013eb"/>
    <n v="624"/>
    <d v="2013-01-22T00:00:00"/>
  </r>
  <r>
    <x v="7090"/>
    <d v="1899-12-30T00:02:44"/>
    <x v="1651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1"/>
    <m/>
    <m/>
    <s v="128.205.114.91"/>
    <s v="TH375 -- .S77 2013eb"/>
    <n v="624"/>
    <d v="2013-01-22T00:00:00"/>
  </r>
  <r>
    <x v="7091"/>
    <d v="1899-12-30T03:15:25"/>
    <x v="13"/>
    <x v="0"/>
    <s v="Buffalo"/>
    <x v="509"/>
    <n v="1115640"/>
    <x v="0"/>
    <s v="Engineering: Civil; Engineering: Construction; Engineering"/>
    <s v="9781118419090"/>
    <s v=",1,2,3,17,18,19,15,16,17,20,21,22,23,24,25,26,27,28,29,30,31,32,33,1,33,34,35,31,32,36,37,2,38,39,40,41,42,43,44,45,46,47,48,49,50,51,52,53,54,55,56,57,58,59,60,61,62,63,64,65,66,67,68,69,70,71,72,73,74,75,76,77,78,79,80"/>
    <n v="69"/>
    <m/>
    <m/>
    <s v="No"/>
    <x v="0"/>
    <d v="2015-09-18T13:33:26"/>
    <n v="7"/>
    <s v="128.205.114.91"/>
    <s v="TH375 -- .S77 2013eb"/>
    <n v="624"/>
    <d v="2013-01-22T00:00:00"/>
  </r>
  <r>
    <x v="7092"/>
    <d v="1899-12-30T00:42:05"/>
    <x v="1663"/>
    <x v="0"/>
    <s v="Buffalo"/>
    <x v="509"/>
    <n v="1115640"/>
    <x v="0"/>
    <s v="Engineering: Civil; Engineering: Construction; Engineering"/>
    <s v="9781118419090"/>
    <s v=",16,15,14,13,11,12,10,9,8,7,22,24,31,32,33,34,35,36,37,38,39,40,41,42,43,44,45,46,47,48,49,50,51,52,53,54,55,56,57,58,59,60,61,62,63,64,65,66,67,68,69,70,71,72,73,74,75,76,77,78,79,80,81"/>
    <n v="63"/>
    <m/>
    <m/>
    <s v="No"/>
    <x v="0"/>
    <d v="2015-09-25T02:21:46"/>
    <n v="7"/>
    <s v="128.205.114.91"/>
    <s v="TH375 -- .S77 2013eb"/>
    <n v="624"/>
    <d v="2013-01-22T00:00:00"/>
  </r>
  <r>
    <x v="7093"/>
    <d v="1899-12-30T00:18:24"/>
    <x v="1663"/>
    <x v="0"/>
    <s v="Buffalo"/>
    <x v="509"/>
    <n v="1115640"/>
    <x v="0"/>
    <s v="Engineering: Civil; Engineering: Construction; Engineering"/>
    <s v="9781118419090"/>
    <s v=",1,2,3,4,6,29,30,27,26,28,23,25,21,20,19,17,18"/>
    <n v="17"/>
    <m/>
    <m/>
    <s v="No"/>
    <x v="1"/>
    <m/>
    <m/>
    <s v="128.205.114.91"/>
    <s v="TH375 -- .S77 2013eb"/>
    <n v="624"/>
    <d v="2013-01-22T00:00:00"/>
  </r>
  <r>
    <x v="7094"/>
    <d v="1899-12-30T01:53:27"/>
    <x v="518"/>
    <x v="0"/>
    <s v="Buffalo"/>
    <x v="509"/>
    <n v="1115640"/>
    <x v="0"/>
    <s v="Engineering: Civil; Engineering: Construction; Engineering"/>
    <s v="9781118419090"/>
    <s v=",1,2,3,17,18,19,15,16,17,18,19,20,21,22,23,24,25,26,27,28,29"/>
    <n v="18"/>
    <s v=",18"/>
    <m/>
    <s v="No"/>
    <x v="0"/>
    <d v="2015-09-18T16:31:43"/>
    <n v="7"/>
    <s v="128.205.114.91"/>
    <s v="TH375 -- .S77 2013eb"/>
    <n v="624"/>
    <d v="2013-01-22T00:00:00"/>
  </r>
  <r>
    <x v="7095"/>
    <d v="1899-12-30T02:08:14"/>
    <x v="1645"/>
    <x v="0"/>
    <s v="Buffalo"/>
    <x v="509"/>
    <n v="1115640"/>
    <x v="0"/>
    <s v="Engineering: Civil; Engineering: Construction; Engineering"/>
    <s v="9781118419090"/>
    <s v=",1,2,3,39,40,41,42,38,43,44,45,46,47,48,49,50,51,52,53,54,55,56,57,58,56,57,58,55,54,68,69,70,71,70,69,67,68,66,65,64,63,62,61,60,59,1,54,55,56,52,53,2,51,57,59,58,61,60,62,63,64,65,66,67,68,69,70,71,72,73,74,75,76,77,78,79,80,81"/>
    <n v="47"/>
    <m/>
    <m/>
    <s v="No"/>
    <x v="0"/>
    <d v="2015-09-21T13:10:44"/>
    <n v="7"/>
    <s v="128.205.114.91"/>
    <s v="TH375 -- .S77 2013eb"/>
    <n v="624"/>
    <d v="2013-01-22T00:00:00"/>
  </r>
  <r>
    <x v="7096"/>
    <d v="1899-12-30T02:55:22"/>
    <x v="13"/>
    <x v="0"/>
    <s v="Buffalo"/>
    <x v="509"/>
    <n v="1115640"/>
    <x v="0"/>
    <s v="Engineering: Civil; Engineering: Construction; Engineering"/>
    <s v="9781118419090"/>
    <s v=",1,2,3,5,4,7,8,6,9,10,11,13,12,15,14,16,17,18,19,20,21,22,23,24,25,26,27,29,28,30,31,32,34,33,35,36,37,38,39,40,41,1,41,42,43,39,40,38,44,2,45,46,47,47,48,49,41,40,39,38,37,50,50,51,52,52,53,54,55,56,57,58,59,1,2,3,4,5,6,7,8,9,82,116,122,123,124,18,19,20,17,16,21,22,23,24,25,26,27,29,30,31,32,28,33,34,35,36,37,38,39,40,41,42,43,44,45,46,47,48,49,50,51,52,53,54,55,56,57,58,59,60,61,62,63,64,65,66,67,68,69,70,71,69,70,71,72,72,73,74,75,76,77,78,79,80"/>
    <n v="85"/>
    <m/>
    <m/>
    <s v="No"/>
    <x v="0"/>
    <d v="2015-09-18T13:33:26"/>
    <n v="7"/>
    <s v="128.205.114.91"/>
    <s v="TH375 -- .S77 2013eb"/>
    <n v="624"/>
    <d v="2013-01-22T00:00:00"/>
  </r>
  <r>
    <x v="7097"/>
    <d v="1899-12-30T02:01:23"/>
    <x v="1664"/>
    <x v="0"/>
    <s v="Buffalo"/>
    <x v="509"/>
    <n v="1115640"/>
    <x v="0"/>
    <s v="Engineering: Civil; Engineering: Construction; Engineering"/>
    <s v="9781118419090"/>
    <s v=",19,20,21,22,23,24,25,26,27,28,29,30,31,32,33,34,35,36,37,38,39,40,41,42,43,44,45,46,47,48,49,50,51,52,53,54,55,56,57,58,59,60,61,62,63,64,65,66,67,68,69,70,71,72,73,74,76,75,77,78,79,80,81,82,83,84,85"/>
    <n v="67"/>
    <m/>
    <m/>
    <s v="Yes"/>
    <x v="0"/>
    <d v="2015-09-25T01:42:17"/>
    <n v="7"/>
    <s v="128.205.114.91"/>
    <s v="TH375 -- .S77 2013eb"/>
    <n v="624"/>
    <d v="2013-01-22T00:00:00"/>
  </r>
  <r>
    <x v="7098"/>
    <d v="1899-12-30T00:00:00"/>
    <x v="1664"/>
    <x v="0"/>
    <s v="Buffalo"/>
    <x v="509"/>
    <n v="1115640"/>
    <x v="0"/>
    <s v="Engineering: Civil; Engineering: Construction; Engineering"/>
    <s v="9781118419090"/>
    <m/>
    <n v="0"/>
    <s v=",16"/>
    <m/>
    <s v="No"/>
    <x v="0"/>
    <d v="2015-09-25T01:42:17"/>
    <n v="7"/>
    <s v="128.205.114.91"/>
    <s v="TH375 -- .S77 2013eb"/>
    <n v="624"/>
    <d v="2013-01-22T00:00:00"/>
  </r>
  <r>
    <x v="7099"/>
    <d v="1899-12-30T01:32:39"/>
    <x v="13"/>
    <x v="0"/>
    <s v="Buffalo"/>
    <x v="509"/>
    <n v="1115640"/>
    <x v="0"/>
    <s v="Engineering: Civil; Engineering: Construction; Engineering"/>
    <s v="9781118419090"/>
    <s v=",1,2,3,5,6,7,4,8,9,10,12,11,14,15,13,16,17,20,18,19,21,22,23,24,25,26,27,28,29,30,31,32,33,34,35,37,38,39,36,40,41,42,43,44,45,46,47,48,49,50,51,53,56,59,62,64,67,68,69,70,72,75,78,82,81,83,79,80,77,76,74,73,71,66,65,63,61,60,58,57,55,54,52,25,24"/>
    <n v="83"/>
    <m/>
    <m/>
    <s v="No"/>
    <x v="0"/>
    <d v="2015-09-18T13:33:26"/>
    <n v="7"/>
    <s v="128.205.114.91"/>
    <s v="TH375 -- .S77 2013eb"/>
    <n v="624"/>
    <d v="2013-01-22T00:00:00"/>
  </r>
  <r>
    <x v="7100"/>
    <d v="1899-12-30T00:39:24"/>
    <x v="354"/>
    <x v="0"/>
    <s v="Buffalo"/>
    <x v="509"/>
    <n v="1115640"/>
    <x v="0"/>
    <s v="Engineering: Civil; Engineering: Construction; Engineering"/>
    <s v="9781118419090"/>
    <s v=",21,22,1,19,20,23,24,2,25,26,27,28,18,17,16,29,30,31,14,15,32,33,34,35,36,37,38,39,40,41,42"/>
    <n v="31"/>
    <m/>
    <m/>
    <s v="No"/>
    <x v="0"/>
    <d v="2015-09-25T01:34:18"/>
    <n v="7"/>
    <s v="128.205.114.91"/>
    <s v="TH375 -- .S77 2013eb"/>
    <n v="624"/>
    <d v="2013-01-22T00:00:00"/>
  </r>
  <r>
    <x v="7101"/>
    <d v="1899-12-30T00:34:18"/>
    <x v="1640"/>
    <x v="0"/>
    <s v="Buffalo"/>
    <x v="509"/>
    <n v="1115640"/>
    <x v="0"/>
    <s v="Engineering: Civil; Engineering: Construction; Engineering"/>
    <s v="9781118419090"/>
    <s v=",22,23,24,25,26,27,28,29,30,31,32,33,34,35,36,37"/>
    <n v="16"/>
    <m/>
    <m/>
    <s v="No"/>
    <x v="0"/>
    <d v="2015-09-25T01:31:14"/>
    <n v="7"/>
    <s v="128.205.114.91"/>
    <s v="TH375 -- .S77 2013eb"/>
    <n v="624"/>
    <d v="2013-01-22T00:00:00"/>
  </r>
  <r>
    <x v="7102"/>
    <d v="1899-12-30T02:04:57"/>
    <x v="1665"/>
    <x v="0"/>
    <s v="Buffalo"/>
    <x v="509"/>
    <n v="1115640"/>
    <x v="0"/>
    <s v="Engineering: Civil; Engineering: Construction; Engineering"/>
    <s v="9781118419090"/>
    <s v=",24,25,27,28,30,31,32,34,35,36,37,38,39,40,41,42,43,44,45,46,47,48,49,50,51,52,53,54,55,56,57,58,59,60,61,62,63,64,65,66,67,68,69,70,71,72,73,74,75,76,77,78,79,80"/>
    <n v="54"/>
    <m/>
    <m/>
    <s v="No"/>
    <x v="0"/>
    <d v="2015-09-25T01:27:15"/>
    <n v="7"/>
    <s v="128.205.114.91"/>
    <s v="TH375 -- .S77 2013eb"/>
    <n v="624"/>
    <d v="2013-01-22T00:00:00"/>
  </r>
  <r>
    <x v="7103"/>
    <d v="1899-12-30T00:01:29"/>
    <x v="1641"/>
    <x v="0"/>
    <s v="Buffalo"/>
    <x v="509"/>
    <n v="1115640"/>
    <x v="0"/>
    <s v="Engineering: Civil; Engineering: Construction; Engineering"/>
    <s v="9781118419090"/>
    <s v=",1,2,3,4,5,6,7,8,9,10,11,12,13,14,15"/>
    <n v="15"/>
    <m/>
    <m/>
    <s v="No"/>
    <x v="1"/>
    <m/>
    <m/>
    <s v="128.205.114.91"/>
    <s v="TH375 -- .S77 2013eb"/>
    <n v="624"/>
    <d v="2013-01-22T00:00:00"/>
  </r>
  <r>
    <x v="7104"/>
    <d v="1899-12-30T00:11:04"/>
    <x v="1665"/>
    <x v="0"/>
    <s v="Buffalo"/>
    <x v="509"/>
    <n v="1115640"/>
    <x v="0"/>
    <s v="Engineering: Civil; Engineering: Construction; Engineering"/>
    <s v="9781118419090"/>
    <s v=",1,2,3,18,19,20,17,16,47,53,50,33,26,29,38,34,21,22,23"/>
    <n v="19"/>
    <m/>
    <m/>
    <s v="No"/>
    <x v="1"/>
    <m/>
    <m/>
    <s v="128.205.114.91"/>
    <s v="TH375 -- .S77 2013eb"/>
    <n v="624"/>
    <d v="2013-01-22T00:00:00"/>
  </r>
  <r>
    <x v="7105"/>
    <d v="1899-12-30T00:21:33"/>
    <x v="1640"/>
    <x v="0"/>
    <s v="Buffalo"/>
    <x v="509"/>
    <n v="1115640"/>
    <x v="0"/>
    <s v="Engineering: Civil; Engineering: Construction; Engineering"/>
    <s v="9781118419090"/>
    <s v=",1,2,3,4,5,6,7,8,9,10,11,12,13,14,15,16,17,18,19,20,21"/>
    <n v="21"/>
    <m/>
    <m/>
    <s v="No"/>
    <x v="1"/>
    <m/>
    <m/>
    <s v="128.205.114.91"/>
    <s v="TH375 -- .S77 2013eb"/>
    <n v="624"/>
    <d v="2013-01-22T00:00:00"/>
  </r>
  <r>
    <x v="7106"/>
    <d v="1899-12-30T02:55:38"/>
    <x v="1642"/>
    <x v="0"/>
    <s v="Buffalo"/>
    <x v="509"/>
    <n v="1115640"/>
    <x v="0"/>
    <s v="Engineering: Civil; Engineering: Construction; Engineering"/>
    <s v="9781118419090"/>
    <s v=",1,2,3,26,27,25,24,28,23,22,21,20,29,18,17,19,15,16,30,31,32,1,32,33,34,30,31,26,27,28,29,35,2,36,37,40,38,39,1,39,40,41,37,38,42,45,46,47,55,60,64,2,68,69,70,71,67,66,75,74,77,78,79,76,80,81,82,72,73,59,61,57,58,62,63,65,1,65,66,67,63,64,49,50,51,47,48,2,52,53,54,55,56"/>
    <n v="69"/>
    <m/>
    <m/>
    <s v="No"/>
    <x v="0"/>
    <d v="2015-09-24T01:00:55"/>
    <n v="7"/>
    <s v="128.205.114.91"/>
    <s v="TH375 -- .S77 2013eb"/>
    <n v="624"/>
    <d v="2013-01-22T00:00:00"/>
  </r>
  <r>
    <x v="7107"/>
    <d v="1899-12-30T00:45:13"/>
    <x v="805"/>
    <x v="0"/>
    <s v="Buffalo"/>
    <x v="509"/>
    <n v="1115640"/>
    <x v="0"/>
    <s v="Engineering: Civil; Engineering: Construction; Engineering"/>
    <s v="9781118419090"/>
    <s v=",20,21,22,23,24,25,26"/>
    <n v="7"/>
    <m/>
    <m/>
    <s v="No"/>
    <x v="0"/>
    <d v="2015-09-25T00:57:23"/>
    <n v="7"/>
    <s v="128.205.114.91"/>
    <s v="TH375 -- .S77 2013eb"/>
    <n v="624"/>
    <d v="2013-01-22T00:00:00"/>
  </r>
  <r>
    <x v="7108"/>
    <d v="1899-12-30T00:00:55"/>
    <x v="1639"/>
    <x v="0"/>
    <s v="Buffalo"/>
    <x v="509"/>
    <n v="1115640"/>
    <x v="0"/>
    <s v="Engineering: Civil; Engineering: Construction; Engineering"/>
    <s v="9781118419090"/>
    <s v=",1,2,3,17,18,19,15,16,18,19,17,18,17,15,16,2,20,21,22,23,24,25,26,27,28,29,30,31,32,33,34,35,36,37,38,39"/>
    <n v="28"/>
    <m/>
    <m/>
    <s v="No"/>
    <x v="0"/>
    <d v="2015-09-24T00:14:14"/>
    <n v="7"/>
    <s v="128.205.114.91"/>
    <s v="TH375 -- .S77 2013eb"/>
    <n v="624"/>
    <d v="2013-01-22T00:00:00"/>
  </r>
  <r>
    <x v="7109"/>
    <d v="1899-12-30T00:24:42"/>
    <x v="1666"/>
    <x v="0"/>
    <s v="Buffalo"/>
    <x v="509"/>
    <n v="1115640"/>
    <x v="0"/>
    <s v="Engineering: Civil; Engineering: Construction; Engineering"/>
    <s v="9781118419090"/>
    <s v=",20,21,22,23,24,25,26,27,28,29,30,36,37,49,50,51,47,48,93,94,95,91,92,79,80,81,77,78,38,39,40,41,42,43,44,45,46,52,53,54,55,56,57,58,59,60,61,62,63,64,65,66,67,68,69,70,71,72,73,74,75,76"/>
    <n v="62"/>
    <m/>
    <m/>
    <s v="No"/>
    <x v="0"/>
    <d v="2015-09-25T00:48:06"/>
    <n v="7"/>
    <s v="128.205.114.91"/>
    <s v="TH375 -- .S77 2013eb"/>
    <n v="624"/>
    <d v="2013-01-22T00:00:00"/>
  </r>
  <r>
    <x v="7110"/>
    <d v="1899-12-30T01:34:28"/>
    <x v="13"/>
    <x v="0"/>
    <s v="Buffalo"/>
    <x v="509"/>
    <n v="1115640"/>
    <x v="0"/>
    <s v="Engineering: Civil; Engineering: Construction; Engineering"/>
    <s v="9781118419090"/>
    <s v=",1,2,3,39,41,40,37,38,42,43,44,45,46,47,48,49,50,51,52,53,54,55,56,57,58,59,60,61,62,63,64,65,66,67,68,69,70,71,72,73,74,75,76,77,78,79,80"/>
    <n v="47"/>
    <m/>
    <m/>
    <s v="No"/>
    <x v="0"/>
    <d v="2015-09-18T13:33:26"/>
    <n v="7"/>
    <s v="128.205.114.91"/>
    <s v="TH375 -- .S77 2013eb"/>
    <n v="624"/>
    <d v="2013-01-22T00:00:00"/>
  </r>
  <r>
    <x v="7111"/>
    <d v="1899-12-30T00:57:23"/>
    <x v="354"/>
    <x v="0"/>
    <s v="Buffalo"/>
    <x v="509"/>
    <n v="1115640"/>
    <x v="0"/>
    <s v="Engineering: Civil; Engineering: Construction; Engineering"/>
    <s v="9781118419090"/>
    <s v=",1,2,3,4,5,6,7,8,11,10,9,12,13,14,15,16,18,17,19,20,21"/>
    <n v="21"/>
    <m/>
    <m/>
    <s v="No"/>
    <x v="1"/>
    <m/>
    <m/>
    <s v="128.205.114.91"/>
    <s v="TH375 -- .S77 2013eb"/>
    <n v="624"/>
    <d v="2013-01-22T00:00:00"/>
  </r>
  <r>
    <x v="7112"/>
    <d v="1899-12-30T00:11:34"/>
    <x v="1666"/>
    <x v="0"/>
    <s v="Buffalo"/>
    <x v="509"/>
    <n v="1115640"/>
    <x v="0"/>
    <s v="Engineering: Civil; Engineering: Construction; Engineering"/>
    <s v="9781118419090"/>
    <s v=",1,2,3,17,18,19,15,16,17,19,16,15,33,34,35,31,32,18"/>
    <n v="13"/>
    <m/>
    <m/>
    <s v="No"/>
    <x v="1"/>
    <m/>
    <m/>
    <s v="128.205.114.91"/>
    <s v="TH375 -- .S77 2013eb"/>
    <n v="624"/>
    <d v="2013-01-22T00:00:00"/>
  </r>
  <r>
    <x v="7113"/>
    <d v="1899-12-30T00:01:18"/>
    <x v="13"/>
    <x v="0"/>
    <s v="Buffalo"/>
    <x v="509"/>
    <n v="1115640"/>
    <x v="0"/>
    <s v="Engineering: Civil; Engineering: Construction; Engineering"/>
    <s v="9781118419090"/>
    <s v=",1,2,3,4,5,6,7,8,9,10,11,12,14,13,15,16,17,18,19,20,21,22,23,24,25,26,27,28,29,30"/>
    <n v="30"/>
    <m/>
    <m/>
    <s v="No"/>
    <x v="0"/>
    <d v="2015-09-18T13:33:26"/>
    <n v="7"/>
    <s v="128.205.114.91"/>
    <s v="TH375 -- .S77 2013eb"/>
    <n v="624"/>
    <d v="2013-01-22T00:00:00"/>
  </r>
  <r>
    <x v="7114"/>
    <d v="1899-12-30T01:12:13"/>
    <x v="1664"/>
    <x v="0"/>
    <s v="Buffalo"/>
    <x v="509"/>
    <n v="1115640"/>
    <x v="0"/>
    <s v="Engineering: Civil; Engineering: Construction; Engineering"/>
    <s v="9781118419090"/>
    <s v=",1,2,3,5,4,6,11,12,13,14,15,16,17,19,20,21,18"/>
    <n v="17"/>
    <m/>
    <m/>
    <s v="No"/>
    <x v="1"/>
    <m/>
    <m/>
    <s v="128.205.114.91"/>
    <s v="TH375 -- .S77 2013eb"/>
    <n v="624"/>
    <d v="2013-01-22T00:00:00"/>
  </r>
  <r>
    <x v="7115"/>
    <d v="1899-12-30T00:31:40"/>
    <x v="805"/>
    <x v="0"/>
    <s v="Buffalo"/>
    <x v="509"/>
    <n v="1115640"/>
    <x v="0"/>
    <s v="Engineering: Civil; Engineering: Construction; Engineering"/>
    <s v="9781118419090"/>
    <s v=",1,3,2,4,5,6,7,8,9,10,12,11,13,14,15,16,17,18,19"/>
    <n v="19"/>
    <m/>
    <m/>
    <s v="No"/>
    <x v="1"/>
    <m/>
    <m/>
    <s v="128.205.114.91"/>
    <s v="TH375 -- .S77 2013eb"/>
    <n v="624"/>
    <d v="2013-01-22T00:00:00"/>
  </r>
  <r>
    <x v="7116"/>
    <d v="1899-12-30T01:30:44"/>
    <x v="1667"/>
    <x v="0"/>
    <s v="Buffalo"/>
    <x v="509"/>
    <n v="1115640"/>
    <x v="0"/>
    <s v="Engineering: Civil; Engineering: Construction; Engineering"/>
    <s v="9781118419090"/>
    <s v=",29,30,31,32,33,34,35,36,37,38,39,40,41,42,43,44,45,46,47,48,49,1,49,50,51,48,47,2,52,53,54,55,56,57,58,59,60,61,62,63,64,65,66,67,68,69,70,71,72,73,74,75,76,77,78,79,80,3"/>
    <n v="55"/>
    <m/>
    <m/>
    <s v="No"/>
    <x v="0"/>
    <d v="2015-09-25T00:22:15"/>
    <n v="7"/>
    <s v="128.205.114.91"/>
    <s v="TH375 -- .S77 2013eb"/>
    <n v="624"/>
    <d v="2013-01-22T00:00:00"/>
  </r>
  <r>
    <x v="7117"/>
    <d v="1899-12-30T00:09:56"/>
    <x v="1667"/>
    <x v="0"/>
    <s v="Buffalo"/>
    <x v="509"/>
    <n v="1115640"/>
    <x v="0"/>
    <s v="Engineering: Civil; Engineering: Construction; Engineering"/>
    <s v="9781118419090"/>
    <s v=",1,2,3,4,5,6,7,8,9,10,11,12,13,14,16,17,18,19,20,21,22,23,24,25,26,27,28"/>
    <n v="27"/>
    <m/>
    <m/>
    <s v="No"/>
    <x v="1"/>
    <m/>
    <m/>
    <s v="128.205.114.91"/>
    <s v="TH375 -- .S77 2013eb"/>
    <n v="624"/>
    <d v="2013-01-22T00:00:00"/>
  </r>
  <r>
    <x v="7118"/>
    <d v="1899-12-30T02:48:05"/>
    <x v="1650"/>
    <x v="0"/>
    <s v="Buffalo"/>
    <x v="509"/>
    <n v="1115640"/>
    <x v="0"/>
    <s v="Engineering: Civil; Engineering: Construction; Engineering"/>
    <s v="9781118419090"/>
    <s v=",26,27,28,29,29,1,31,27,30,28,2,26,25,24,32,33,34,35,36,37,38,39,40,41,42,43,44,45,46,47,48,49"/>
    <n v="28"/>
    <m/>
    <m/>
    <s v="No"/>
    <x v="0"/>
    <d v="2015-09-25T00:08:24"/>
    <n v="7"/>
    <s v="128.205.114.91"/>
    <s v="TH375 -- .S77 2013eb"/>
    <n v="624"/>
    <d v="2013-01-22T00:00:00"/>
  </r>
  <r>
    <x v="7119"/>
    <d v="1899-12-30T00:18:15"/>
    <x v="1650"/>
    <x v="0"/>
    <s v="Buffalo"/>
    <x v="509"/>
    <n v="1115640"/>
    <x v="0"/>
    <s v="Engineering: Civil; Engineering: Construction; Engineering"/>
    <s v="9781118419090"/>
    <s v=",1,2,3,4,5,6,7,8,9,10,11,12,13,14,15,16,17,18,19,20,21,22,23,24,25"/>
    <n v="25"/>
    <m/>
    <m/>
    <s v="No"/>
    <x v="1"/>
    <m/>
    <m/>
    <s v="128.205.114.91"/>
    <s v="TH375 -- .S77 2013eb"/>
    <n v="624"/>
    <d v="2013-01-22T00:00:00"/>
  </r>
  <r>
    <x v="7120"/>
    <d v="1899-12-30T00:00:54"/>
    <x v="1668"/>
    <x v="0"/>
    <s v="Buffalo"/>
    <x v="509"/>
    <n v="1115640"/>
    <x v="0"/>
    <s v="Engineering: Civil; Engineering: Construction; Engineering"/>
    <s v="9781118419090"/>
    <s v=",1,2,3,4"/>
    <n v="4"/>
    <s v=",1"/>
    <m/>
    <s v="No"/>
    <x v="0"/>
    <d v="2015-09-24T04:15:24"/>
    <n v="7"/>
    <s v="128.205.114.91"/>
    <s v="TH375 -- .S77 2013eb"/>
    <n v="624"/>
    <d v="2013-01-22T00:00:00"/>
  </r>
  <r>
    <x v="7121"/>
    <d v="1899-12-30T00:04:45"/>
    <x v="990"/>
    <x v="0"/>
    <s v="Buffalo"/>
    <x v="1407"/>
    <n v="1790819"/>
    <x v="11"/>
    <s v="Religion"/>
    <s v="9780226169095"/>
    <s v=",1,2,3,4,5,6,7,222,223,224,220,221,225,297,298,294,295,1,295,296,297,293,294,298,2,299,300,301,302,303,304,305,306,307,308,309,310,311"/>
    <n v="32"/>
    <m/>
    <m/>
    <s v="No"/>
    <x v="1"/>
    <m/>
    <m/>
    <s v="128.205.114.91"/>
    <s v="BL410"/>
    <s v="201/.50902"/>
    <d v="2014-10-20T00:00:00"/>
  </r>
  <r>
    <x v="7122"/>
    <d v="1899-12-30T02:16:16"/>
    <x v="1669"/>
    <x v="0"/>
    <s v="Buffalo"/>
    <x v="509"/>
    <n v="1115640"/>
    <x v="0"/>
    <s v="Engineering: Civil; Engineering: Construction; Engineering"/>
    <s v="9781118419090"/>
    <s v=",26,27,28,29,30,31,32,33,34,35,36,37,38,39,40,41,42,43,44,45,46,47,48,49,50,51,52,53,54,55,56,57,58,59,60,61,62,63,64,65,66,67,68,69,70,71,72,73,74,75,76,77,78,79,80,81,17,18,19,15,16,20,21,22,23,54,55,56,57,58,59,60,61,62,63,64,65,66"/>
    <n v="65"/>
    <m/>
    <m/>
    <s v="No"/>
    <x v="0"/>
    <d v="2015-09-24T23:04:44"/>
    <n v="7"/>
    <s v="128.205.114.91"/>
    <s v="TH375 -- .S77 2013eb"/>
    <n v="624"/>
    <d v="2013-01-22T00:00:00"/>
  </r>
  <r>
    <x v="7123"/>
    <d v="1899-12-30T00:11:54"/>
    <x v="1669"/>
    <x v="0"/>
    <s v="Buffalo"/>
    <x v="509"/>
    <n v="1115640"/>
    <x v="0"/>
    <s v="Engineering: Civil; Engineering: Construction; Engineering"/>
    <s v="9781118419090"/>
    <s v=",1,2,3,4,5,6,7,8,9,10,11,12,13,14,15,16,17,18,19,20,21,22,23,24,25"/>
    <n v="25"/>
    <m/>
    <m/>
    <s v="No"/>
    <x v="1"/>
    <m/>
    <m/>
    <s v="128.205.114.91"/>
    <s v="TH375 -- .S77 2013eb"/>
    <n v="624"/>
    <d v="2013-01-22T00:00:00"/>
  </r>
  <r>
    <x v="7124"/>
    <d v="1899-12-30T01:46:17"/>
    <x v="1670"/>
    <x v="0"/>
    <s v="Buffalo"/>
    <x v="509"/>
    <n v="1115640"/>
    <x v="0"/>
    <s v="Engineering: Civil; Engineering: Construction; Engineering"/>
    <s v="9781118419090"/>
    <s v=",38,39,40,39,40,41,42,43,44,45,46"/>
    <n v="9"/>
    <m/>
    <m/>
    <s v="No"/>
    <x v="0"/>
    <d v="2015-09-24T22:11:38"/>
    <n v="7"/>
    <s v="128.205.114.91"/>
    <s v="TH375 -- .S77 2013eb"/>
    <n v="624"/>
    <d v="2013-01-22T00:00:00"/>
  </r>
  <r>
    <x v="7125"/>
    <d v="1899-12-30T00:01:30"/>
    <x v="1671"/>
    <x v="0"/>
    <s v="Buffalo"/>
    <x v="509"/>
    <n v="1115640"/>
    <x v="0"/>
    <s v="Engineering: Civil; Engineering: Construction; Engineering"/>
    <s v="9781118419090"/>
    <s v=",1,2,3,5,4,6,7,8,9,10,11,12,13,14,15,16,17,18,19,20"/>
    <n v="20"/>
    <m/>
    <m/>
    <s v="No"/>
    <x v="1"/>
    <m/>
    <m/>
    <s v="128.205.114.91"/>
    <s v="TH375 -- .S77 2013eb"/>
    <n v="624"/>
    <d v="2013-01-22T00:00:00"/>
  </r>
  <r>
    <x v="7126"/>
    <d v="1899-12-30T00:39:44"/>
    <x v="1642"/>
    <x v="0"/>
    <s v="Buffalo"/>
    <x v="509"/>
    <n v="1115640"/>
    <x v="0"/>
    <s v="Engineering: Civil; Engineering: Construction; Engineering"/>
    <s v="9781118419090"/>
    <s v=",1,2,3,4,5,6,7,8,9,10,11,12,13,14,15,16,17,18,19,20,21,22,23"/>
    <n v="23"/>
    <m/>
    <m/>
    <s v="No"/>
    <x v="0"/>
    <d v="2015-09-24T01:00:55"/>
    <n v="7"/>
    <s v="128.205.114.91"/>
    <s v="TH375 -- .S77 2013eb"/>
    <n v="624"/>
    <d v="2013-01-22T00:00:00"/>
  </r>
  <r>
    <x v="7127"/>
    <d v="1899-12-30T00:03:52"/>
    <x v="13"/>
    <x v="0"/>
    <s v="Buffalo"/>
    <x v="509"/>
    <n v="1115640"/>
    <x v="0"/>
    <s v="Engineering: Civil; Engineering: Construction; Engineering"/>
    <s v="9781118419090"/>
    <s v=",1,2,3,4,5,7,8,9,10,6,11,12,13,14,15,16,17,18,19,20"/>
    <n v="20"/>
    <m/>
    <m/>
    <s v="No"/>
    <x v="0"/>
    <d v="2015-09-18T13:33:26"/>
    <n v="7"/>
    <s v="128.205.114.91"/>
    <s v="TH375 -- .S77 2013eb"/>
    <n v="624"/>
    <d v="2013-01-22T00:00:00"/>
  </r>
  <r>
    <x v="7128"/>
    <d v="1899-12-30T00:27:36"/>
    <x v="1670"/>
    <x v="0"/>
    <s v="Buffalo"/>
    <x v="509"/>
    <n v="1115640"/>
    <x v="0"/>
    <s v="Engineering: Civil; Engineering: Construction; Engineering"/>
    <s v="9781118419090"/>
    <s v=",1,2,3,4,5,6,9,10,11,7,12,14,16,19,20,21,17,18,22,23,24,25,26,27,28,29,30,31,32,33,34,35,36,37"/>
    <n v="34"/>
    <m/>
    <m/>
    <s v="No"/>
    <x v="1"/>
    <m/>
    <m/>
    <s v="128.205.114.91"/>
    <s v="TH375 -- .S77 2013eb"/>
    <n v="624"/>
    <d v="2013-01-22T00:00:00"/>
  </r>
  <r>
    <x v="7129"/>
    <d v="1899-12-30T02:28:24"/>
    <x v="13"/>
    <x v="0"/>
    <s v="Buffalo"/>
    <x v="509"/>
    <n v="1115640"/>
    <x v="0"/>
    <s v="Engineering: Civil; Engineering: Construction; Engineering"/>
    <s v="9781118419090"/>
    <s v=",1,2,3,15,16,17,13,14,18,19,20,21,22,23,24,25,20,19,26,27,28,2,1,3,26,27,28,24,25,1,26,27,28,24,25,2,29,30,31,32,33,34,35,36,37,34,35,29,35,36,37"/>
    <n v="28"/>
    <m/>
    <m/>
    <s v="No"/>
    <x v="0"/>
    <d v="2015-09-18T13:33:26"/>
    <n v="7"/>
    <s v="128.205.114.91"/>
    <s v="TH375 -- .S77 2013eb"/>
    <n v="624"/>
    <d v="2013-01-22T00:00:00"/>
  </r>
  <r>
    <x v="7130"/>
    <d v="1899-12-30T00:01:05"/>
    <x v="1672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1"/>
    <m/>
    <m/>
    <s v="128.205.114.91"/>
    <s v="TH375 -- .S77 2013eb"/>
    <n v="624"/>
    <d v="2013-01-22T00:00:00"/>
  </r>
  <r>
    <x v="7131"/>
    <d v="1899-12-30T00:00:41"/>
    <x v="1667"/>
    <x v="0"/>
    <s v="Buffalo"/>
    <x v="509"/>
    <n v="1115640"/>
    <x v="0"/>
    <s v="Engineering: Civil; Engineering: Construction; Engineering"/>
    <s v="9781118419090"/>
    <s v=",1,2,3,4,5,6,7,8,9,10,11,12,13,14,15,16,17,18,19,20"/>
    <n v="20"/>
    <m/>
    <m/>
    <s v="No"/>
    <x v="1"/>
    <m/>
    <m/>
    <s v="128.205.114.91"/>
    <s v="TH375 -- .S77 2013eb"/>
    <n v="624"/>
    <d v="2013-01-22T00:00:00"/>
  </r>
  <r>
    <x v="7132"/>
    <d v="1899-12-30T00:05:04"/>
    <x v="1673"/>
    <x v="0"/>
    <s v="Buffalo"/>
    <x v="1585"/>
    <n v="1661227"/>
    <x v="1"/>
    <s v="Social Science; Juvenile Literature"/>
    <s v="9781409450450"/>
    <s v=",67,69,70,71,72,73,74"/>
    <n v="7"/>
    <m/>
    <s v=",12,13,14,15,16,17,18,19,20,21,22,23,24,25"/>
    <s v="No"/>
    <x v="2"/>
    <d v="2015-09-24T21:24:52"/>
    <n v="1"/>
    <s v="128.205.114.91"/>
    <s v="GR550 -- .S29 2014eb"/>
    <s v="398.2/082"/>
    <d v="2014-05-28T00:00:00"/>
  </r>
  <r>
    <x v="7133"/>
    <d v="1899-12-30T00:02:26"/>
    <x v="1673"/>
    <x v="0"/>
    <s v="Buffalo"/>
    <x v="1585"/>
    <n v="1661227"/>
    <x v="1"/>
    <s v="Social Science; Juvenile Literature"/>
    <s v="9781409450450"/>
    <s v=",1,2,3,4,152,153,154,150,151,155,156,157,12,13,14,10,11,15,16,26,27,28,24,25,12,13,14,10,11"/>
    <n v="24"/>
    <m/>
    <m/>
    <s v="No"/>
    <x v="3"/>
    <m/>
    <m/>
    <s v="128.205.114.91"/>
    <s v="GR550 -- .S29 2014eb"/>
    <s v="398.2/082"/>
    <d v="2014-05-28T00:00:00"/>
  </r>
  <r>
    <x v="7134"/>
    <d v="1899-12-30T00:16:03"/>
    <x v="1654"/>
    <x v="0"/>
    <s v="Buffalo"/>
    <x v="509"/>
    <n v="1115640"/>
    <x v="0"/>
    <s v="Engineering: Civil; Engineering: Construction; Engineering"/>
    <s v="9781118419090"/>
    <s v=",1,2,3,4,5,6,49,50,51,47,48,52,53,54,55,56,57"/>
    <n v="17"/>
    <m/>
    <m/>
    <s v="No"/>
    <x v="0"/>
    <d v="2015-09-23T23:53:44"/>
    <n v="7"/>
    <s v="128.205.114.91"/>
    <s v="TH375 -- .S77 2013eb"/>
    <n v="624"/>
    <d v="2013-01-22T00:00:00"/>
  </r>
  <r>
    <x v="7135"/>
    <d v="1899-12-30T02:35:35"/>
    <x v="1658"/>
    <x v="0"/>
    <s v="Buffalo"/>
    <x v="509"/>
    <n v="1115640"/>
    <x v="0"/>
    <s v="Engineering: Civil; Engineering: Construction; Engineering"/>
    <s v="9781118419090"/>
    <s v=",1,2,2,3,3,1,4,4,5,6,5,6,7,7,8,9,8,9,11,10,11,10,2,12,13,12,14,13,14,16,16,15,17,18,19,17,15,19,18,20,21,20,22,21,23,22,23,18,23,24,24,25,25,26,26,27,27,22,27,22,21,20,19,18,23,24,25,26,21,27,28,28,29,29,30,25,30,24,29,30,25,30,31,32,31,33,33,28,32,27,26,25,30,25,30,31,32,33,28,1,28,29,30,26,27,31,32,33,34,35,36,2,37"/>
    <n v="37"/>
    <m/>
    <m/>
    <s v="No"/>
    <x v="0"/>
    <d v="2015-09-24T14:39:35"/>
    <n v="7"/>
    <s v="128.205.114.91"/>
    <s v="TH375 -- .S77 2013eb"/>
    <n v="624"/>
    <d v="2013-01-22T00:00:00"/>
  </r>
  <r>
    <x v="7136"/>
    <d v="1899-12-30T00:10:07"/>
    <x v="13"/>
    <x v="0"/>
    <s v="Buffalo"/>
    <x v="509"/>
    <n v="1115640"/>
    <x v="0"/>
    <s v="Engineering: Civil; Engineering: Construction; Engineering"/>
    <s v="9781118419090"/>
    <s v=",1,2,2,3,3,1,17,18,17,19,19,16,18,15,16,20,20,21,21,22,2,22,23,23,24,24,25,26,25,27,26,27,28,28,29,29,29,24,29,30,25,30,30"/>
    <n v="19"/>
    <m/>
    <m/>
    <s v="No"/>
    <x v="0"/>
    <d v="2015-09-18T13:33:26"/>
    <n v="7"/>
    <s v="128.205.114.91"/>
    <s v="TH375 -- .S77 2013eb"/>
    <n v="624"/>
    <d v="2013-01-22T00:00:00"/>
  </r>
  <r>
    <x v="7137"/>
    <d v="1899-12-30T00:16:08"/>
    <x v="1674"/>
    <x v="0"/>
    <s v="Buffalo"/>
    <x v="3"/>
    <n v="822040"/>
    <x v="0"/>
    <s v="Literature; Psychology"/>
    <s v="9781118289099"/>
    <s v=",98,99,98,98,92,91,90,89,88,87,86,84,85"/>
    <n v="11"/>
    <m/>
    <m/>
    <s v="No"/>
    <x v="0"/>
    <d v="2015-09-24T21:15:50"/>
    <n v="7"/>
    <s v="128.205.114.91"/>
    <s v="BF76.7 -- .B447 2012eb"/>
    <s v="808.06/615"/>
    <d v="2012-03-22T00:00:00"/>
  </r>
  <r>
    <x v="7138"/>
    <d v="1899-12-30T00:00:48"/>
    <x v="1673"/>
    <x v="0"/>
    <s v="Buffalo"/>
    <x v="1585"/>
    <n v="1661227"/>
    <x v="1"/>
    <s v="Social Science; Juvenile Literature"/>
    <s v="9781409450450"/>
    <s v=",1,12,13,14,10,11,15,2,16"/>
    <n v="9"/>
    <m/>
    <m/>
    <s v="No"/>
    <x v="3"/>
    <m/>
    <m/>
    <s v="128.205.114.91"/>
    <s v="GR550 -- .S29 2014eb"/>
    <s v="398.2/082"/>
    <d v="2014-05-28T00:00:00"/>
  </r>
  <r>
    <x v="7139"/>
    <d v="1899-12-30T00:07:35"/>
    <x v="1674"/>
    <x v="0"/>
    <s v="Buffalo"/>
    <x v="3"/>
    <n v="822040"/>
    <x v="0"/>
    <s v="Literature; Psychology"/>
    <s v="9781118289099"/>
    <s v=",1,91,92,93,89,90,95,94,96,97,2"/>
    <n v="11"/>
    <m/>
    <m/>
    <s v="No"/>
    <x v="1"/>
    <m/>
    <m/>
    <s v="128.205.114.91"/>
    <s v="BF76.7 -- .B447 2012eb"/>
    <s v="808.06/615"/>
    <d v="2012-03-22T00:00:00"/>
  </r>
  <r>
    <x v="7140"/>
    <d v="1899-12-30T00:00:21"/>
    <x v="518"/>
    <x v="0"/>
    <s v="Buffalo"/>
    <x v="509"/>
    <n v="1115640"/>
    <x v="0"/>
    <s v="Engineering: Civil; Engineering: Construction; Engineering"/>
    <s v="9781118419090"/>
    <s v=",1,17,18,15,19,16,2"/>
    <n v="7"/>
    <m/>
    <s v=",17,18,17,18,17,18,19,20,21,22,23,24,25,26,27,28,29,30,31,32,33,34,35,36,35,36,35,36,35,36,37,36,37,38,39,40,39,40,41,42,43,44,45,46,47"/>
    <s v="No"/>
    <x v="0"/>
    <d v="2015-09-18T16:31:43"/>
    <n v="7"/>
    <s v="128.205.114.91"/>
    <s v="TH375 -- .S77 2013eb"/>
    <n v="624"/>
    <d v="2013-01-22T00:00:00"/>
  </r>
  <r>
    <x v="7141"/>
    <d v="1899-12-30T00:00:03"/>
    <x v="518"/>
    <x v="0"/>
    <s v="Buffalo"/>
    <x v="509"/>
    <n v="1115640"/>
    <x v="0"/>
    <s v="Engineering: Civil; Engineering: Construction; Engineering"/>
    <s v="9781118419090"/>
    <s v=",1"/>
    <n v="1"/>
    <m/>
    <m/>
    <s v="No"/>
    <x v="0"/>
    <d v="2015-09-18T16:31:43"/>
    <n v="7"/>
    <s v="128.205.114.91"/>
    <s v="TH375 -- .S77 2013eb"/>
    <n v="624"/>
    <d v="2013-01-22T00:00:00"/>
  </r>
  <r>
    <x v="7142"/>
    <d v="1899-12-30T00:23:58"/>
    <x v="13"/>
    <x v="0"/>
    <s v="Buffalo"/>
    <x v="509"/>
    <n v="1115640"/>
    <x v="0"/>
    <s v="Engineering: Civil; Engineering: Construction; Engineering"/>
    <s v="9781118419090"/>
    <s v=",1,2,2,3,3,1,4,4,5,5,6,6,1,2,2,6,7,7,8,8,9,9,10,10,17,17,18,19,16,15,16,19,18,20,20,21,21,16,21,22,17,22,22,17,22,17,16,21,22,23,23,18,23,24,24,25,25,26,26,27,27,28,28,29,29,24,29,24"/>
    <n v="25"/>
    <m/>
    <m/>
    <s v="No"/>
    <x v="0"/>
    <d v="2015-09-18T13:33:26"/>
    <n v="7"/>
    <s v="128.205.114.91"/>
    <s v="TH375 -- .S77 2013eb"/>
    <n v="624"/>
    <d v="2013-01-22T00:00:00"/>
  </r>
  <r>
    <x v="7143"/>
    <d v="1899-12-30T00:29:55"/>
    <x v="13"/>
    <x v="0"/>
    <s v="Buffalo"/>
    <x v="509"/>
    <n v="1115640"/>
    <x v="0"/>
    <s v="Engineering: Civil; Engineering: Construction; Engineering"/>
    <s v="9781118419090"/>
    <s v=",1,2,3,57,59,61,62,63,60,55,56,53,54,52,51,21,17,16,18,14,15,19,20,22,23,24,25,26,27,28,29,30,31,32,33,35,44,43,42,41,40,39,38,37,36,34,45,46,47,48,49,50"/>
    <n v="52"/>
    <m/>
    <m/>
    <s v="No"/>
    <x v="0"/>
    <d v="2015-09-18T13:33:26"/>
    <n v="7"/>
    <s v="128.205.114.91"/>
    <s v="TH375 -- .S77 2013eb"/>
    <n v="624"/>
    <d v="2013-01-22T00:00:00"/>
  </r>
  <r>
    <x v="7144"/>
    <d v="1899-12-30T00:14:51"/>
    <x v="518"/>
    <x v="0"/>
    <s v="Buffalo"/>
    <x v="509"/>
    <n v="1115640"/>
    <x v="0"/>
    <s v="Engineering: Civil; Engineering: Construction; Engineering"/>
    <s v="9781118419090"/>
    <s v=",1,2,3,5,6,7,4,17,18,19,15,16,1,16,18,17,14,15,2,19,20,14,17,16,17,17,17"/>
    <n v="14"/>
    <m/>
    <m/>
    <s v="No"/>
    <x v="0"/>
    <d v="2015-09-18T16:31:43"/>
    <n v="7"/>
    <s v="128.205.114.91"/>
    <s v="TH375 -- .S77 2013eb"/>
    <n v="624"/>
    <d v="2013-01-22T00:00:00"/>
  </r>
  <r>
    <x v="7145"/>
    <d v="1899-12-30T00:38:46"/>
    <x v="13"/>
    <x v="0"/>
    <s v="Buffalo"/>
    <x v="509"/>
    <n v="1115640"/>
    <x v="0"/>
    <s v="Engineering: Civil; Engineering: Construction; Engineering"/>
    <s v="9781118419090"/>
    <s v=",1,2,3,4,14,18,28,19,20,21,22,23,24,25,26,27,17,16"/>
    <n v="18"/>
    <m/>
    <m/>
    <s v="No"/>
    <x v="0"/>
    <d v="2015-09-18T13:33:26"/>
    <n v="7"/>
    <s v="128.205.114.91"/>
    <s v="TH375 -- .S77 2013eb"/>
    <n v="624"/>
    <d v="2013-01-22T00:00:00"/>
  </r>
  <r>
    <x v="7146"/>
    <d v="1899-12-30T00:46:37"/>
    <x v="1668"/>
    <x v="0"/>
    <s v="Buffalo"/>
    <x v="509"/>
    <n v="1115640"/>
    <x v="0"/>
    <s v="Engineering: Civil; Engineering: Construction; Engineering"/>
    <s v="9781118419090"/>
    <s v=",1,2,2,3,1,3,17,17,18,19,18,15,19,16,16,17,2,17,18,17,18,19,20"/>
    <n v="9"/>
    <m/>
    <m/>
    <s v="No"/>
    <x v="0"/>
    <d v="2015-09-24T04:15:24"/>
    <n v="7"/>
    <s v="128.205.114.91"/>
    <s v="TH375 -- .S77 2013eb"/>
    <n v="624"/>
    <d v="2013-01-22T00:00:00"/>
  </r>
  <r>
    <x v="7147"/>
    <d v="1899-12-30T01:14:10"/>
    <x v="1675"/>
    <x v="0"/>
    <s v="Buffalo"/>
    <x v="509"/>
    <n v="1115640"/>
    <x v="0"/>
    <s v="Engineering: Civil; Engineering: Construction; Engineering"/>
    <s v="9781118419090"/>
    <s v=",1,2,3,46,47,48,44,45,43,42,41,40,39,38,37,36,35,34,33,32,31,31,1,32,33,29,30"/>
    <n v="23"/>
    <m/>
    <m/>
    <s v="No"/>
    <x v="0"/>
    <d v="2015-09-20T19:21:03"/>
    <n v="7"/>
    <s v="128.205.114.91"/>
    <s v="TH375 -- .S77 2013eb"/>
    <n v="624"/>
    <d v="2013-01-22T00:00:00"/>
  </r>
  <r>
    <x v="7148"/>
    <d v="1899-12-30T00:00:53"/>
    <x v="170"/>
    <x v="9"/>
    <s v="trocaire"/>
    <x v="1586"/>
    <n v="801732"/>
    <x v="2"/>
    <s v="Library Science"/>
    <s v="9780203824733"/>
    <s v=",1,3,2,23,19,20,47,48,49,50,46,51,52,53,54"/>
    <n v="15"/>
    <m/>
    <m/>
    <s v="No"/>
    <x v="3"/>
    <m/>
    <m/>
    <s v="173.225.62.67"/>
    <s v="Z692.C65 -- H348 2006eb"/>
    <s v="025.2/84"/>
    <d v="2013-01-11T00:00:00"/>
  </r>
  <r>
    <x v="7149"/>
    <d v="1899-12-30T00:12:40"/>
    <x v="1668"/>
    <x v="0"/>
    <s v="Buffalo"/>
    <x v="509"/>
    <n v="1115640"/>
    <x v="0"/>
    <s v="Engineering: Civil; Engineering: Construction; Engineering"/>
    <s v="9781118419090"/>
    <s v=",1,2,3,2,3,1,17,18,17,19,18,15,19,16,16,17,2,17,17"/>
    <n v="8"/>
    <m/>
    <m/>
    <s v="No"/>
    <x v="0"/>
    <d v="2015-09-24T04:15:24"/>
    <n v="7"/>
    <s v="128.205.114.91"/>
    <s v="TH375 -- .S77 2013eb"/>
    <n v="624"/>
    <d v="2013-01-22T00:00:00"/>
  </r>
  <r>
    <x v="7150"/>
    <d v="1899-12-30T00:00:47"/>
    <x v="13"/>
    <x v="0"/>
    <s v="Buffalo"/>
    <x v="509"/>
    <n v="1115640"/>
    <x v="0"/>
    <s v="Engineering: Civil; Engineering: Construction; Engineering"/>
    <s v="9781118419090"/>
    <s v=",1,2,3,4,5,6,7,8,14,15,16,17,18,19,20,21,22,23,24,25,26,27,28,29,30"/>
    <n v="25"/>
    <m/>
    <m/>
    <s v="No"/>
    <x v="0"/>
    <d v="2015-09-18T13:33:26"/>
    <n v="7"/>
    <s v="128.205.114.91"/>
    <s v="TH375 -- .S77 2013eb"/>
    <n v="624"/>
    <d v="2013-01-22T00:00:00"/>
  </r>
  <r>
    <x v="7151"/>
    <d v="1899-12-30T00:00:18"/>
    <x v="1654"/>
    <x v="0"/>
    <s v="Buffalo"/>
    <x v="509"/>
    <n v="1115640"/>
    <x v="0"/>
    <s v="Engineering: Civil; Engineering: Construction; Engineering"/>
    <s v="9781118419090"/>
    <s v=",1,2,3,4,49,50,51,52,48,47"/>
    <n v="10"/>
    <m/>
    <m/>
    <s v="No"/>
    <x v="0"/>
    <d v="2015-09-23T23:53:44"/>
    <n v="7"/>
    <s v="128.205.114.91"/>
    <s v="TH375 -- .S77 2013eb"/>
    <n v="624"/>
    <d v="2013-01-22T00:00:00"/>
  </r>
  <r>
    <x v="7152"/>
    <d v="1899-12-30T00:01:50"/>
    <x v="354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1"/>
    <m/>
    <m/>
    <s v="128.205.114.91"/>
    <s v="TH375 -- .S77 2013eb"/>
    <n v="624"/>
    <d v="2013-01-22T00:00:00"/>
  </r>
  <r>
    <x v="7153"/>
    <d v="1899-12-30T00:26:10"/>
    <x v="13"/>
    <x v="0"/>
    <s v="Buffalo"/>
    <x v="509"/>
    <n v="1115640"/>
    <x v="0"/>
    <s v="Engineering: Civil; Engineering: Construction; Engineering"/>
    <s v="9781118419090"/>
    <s v=",17,17,18,19,20"/>
    <n v="4"/>
    <m/>
    <m/>
    <s v="Yes"/>
    <x v="0"/>
    <d v="2015-09-18T13:33:26"/>
    <n v="7"/>
    <s v="128.205.114.91"/>
    <s v="TH375 -- .S77 2013eb"/>
    <n v="624"/>
    <d v="2013-01-22T00:00:00"/>
  </r>
  <r>
    <x v="7154"/>
    <d v="1899-12-30T00:03:02"/>
    <x v="13"/>
    <x v="0"/>
    <s v="Buffalo"/>
    <x v="509"/>
    <n v="1115640"/>
    <x v="0"/>
    <s v="Engineering: Civil; Engineering: Construction; Engineering"/>
    <s v="9781118419090"/>
    <s v=",1,2,2,3,3,1,2,2,4,4,5,5,6,7,7,8,8,9,6,9,10,10,11,11,12,12,13,13,14,14,15,15,16,16,17,17,18,19,19,18,14,19,14,16,16,17,18,17,15,14,18,15,19,19,17,18,17,18,18,16,15,19,16,19,17,18,17,19,15,18,16,19,16,17"/>
    <n v="19"/>
    <m/>
    <m/>
    <s v="No"/>
    <x v="0"/>
    <d v="2015-09-18T13:33:26"/>
    <n v="7"/>
    <s v="128.205.114.91"/>
    <s v="TH375 -- .S77 2013eb"/>
    <n v="624"/>
    <d v="2013-01-22T00:00:00"/>
  </r>
  <r>
    <x v="7155"/>
    <d v="1899-12-30T00:49:03"/>
    <x v="1676"/>
    <x v="11"/>
    <s v="cobleskill"/>
    <x v="414"/>
    <n v="1143522"/>
    <x v="0"/>
    <s v="History"/>
    <s v="9781118257197"/>
    <s v=",154,155,156,152,153,157,158,159,153,152,183,184,185,181,182,9,10,11,7,8,60,61,62,58,59,63,147,148,149,145,151,150,146,97,98,99,95,96"/>
    <n v="36"/>
    <m/>
    <m/>
    <s v="No"/>
    <x v="0"/>
    <d v="2015-09-24T18:16:21"/>
    <n v="7"/>
    <s v="137.36.32.34"/>
    <s v="F1219.73 .S58 2013"/>
    <n v="972"/>
    <d v="2013-03-01T00:00:00"/>
  </r>
  <r>
    <x v="7156"/>
    <d v="1899-12-30T02:38:45"/>
    <x v="13"/>
    <x v="0"/>
    <s v="Buffalo"/>
    <x v="509"/>
    <n v="1115640"/>
    <x v="0"/>
    <s v="Engineering: Civil; Engineering: Construction; Engineering"/>
    <s v="9781118419090"/>
    <s v=",1,2,3,39,40,41,37,38,47,48,49,2,45,46,50,51,52,53,54,55,56,57,58,59,60,61,62,63,64,65,66,67,68,69,70,71,72,73,74,75,76,77,78,79,80"/>
    <n v="44"/>
    <m/>
    <m/>
    <s v="No"/>
    <x v="0"/>
    <d v="2015-09-18T13:33:26"/>
    <n v="7"/>
    <s v="128.205.114.91"/>
    <s v="TH375 -- .S77 2013eb"/>
    <n v="624"/>
    <d v="2013-01-22T00:00:00"/>
  </r>
  <r>
    <x v="7157"/>
    <d v="1899-12-30T00:32:26"/>
    <x v="1677"/>
    <x v="0"/>
    <s v="Buffalo"/>
    <x v="509"/>
    <n v="1115640"/>
    <x v="0"/>
    <s v="Engineering: Civil; Engineering: Construction; Engineering"/>
    <s v="9781118419090"/>
    <s v=",1,2,3,4,5,6,7,8,9,17,18,19,15,16,20,20,21,22,16,22,23,24,25,26,27,29,30,32,34,36,37,38,39,40,71,72,73,69,70,74,75,77,79,81,82,83,80,84,85,79,78,76,77,73,68,66,63,55,32,7,3,18,19,20,16,17,21,22"/>
    <n v="52"/>
    <m/>
    <m/>
    <s v="No"/>
    <x v="0"/>
    <d v="2015-09-20T04:57:10"/>
    <n v="7"/>
    <s v="128.205.114.91"/>
    <s v="TH375 -- .S77 2013eb"/>
    <n v="624"/>
    <d v="2013-01-22T00:00:00"/>
  </r>
  <r>
    <x v="7158"/>
    <d v="1899-12-30T00:07:54"/>
    <x v="1678"/>
    <x v="1"/>
    <s v="brockport"/>
    <x v="838"/>
    <n v="1645284"/>
    <x v="11"/>
    <s v="History; Social Science"/>
    <s v="9780226122595"/>
    <s v=",54,55,56,57,58,59,60,61,62,63,64,65,66,67,68,69,70,71,72,73,74,75,76,77,78,79,80,81,82,83,84,85,86,87,88,89,90,91,92,93,94,95,96,129,130,131,127,128,132,133,134,159,160,161,157,158,162,163,164,165,166,167,168,169,170,171,172"/>
    <n v="67"/>
    <m/>
    <m/>
    <s v="No"/>
    <x v="2"/>
    <d v="2015-09-24T18:09:17"/>
    <n v="1"/>
    <s v="137.21.7.121"/>
    <s v="E184"/>
    <n v="304.80973"/>
    <d v="2014-03-28T00:00:00"/>
  </r>
  <r>
    <x v="7159"/>
    <d v="1899-12-30T00:10:09"/>
    <x v="1668"/>
    <x v="0"/>
    <s v="Buffalo"/>
    <x v="509"/>
    <n v="1115640"/>
    <x v="0"/>
    <s v="Engineering: Civil; Engineering: Construction; Engineering"/>
    <s v="9781118419090"/>
    <s v=",1,2,3,4,2,13,14,17,17,17,17,18,17,31,103,91,71,80,83,80,79,79,71,72,48,71,70,48,49"/>
    <n v="19"/>
    <m/>
    <s v=",17,18,17,18,17,18,19,20,21,22,23,24,25,26,27,28,29,30,31,32,33,34,35,36,35,36,35,36,35,36,37,36,37,38,39,40,39,40,41,42,43,44,45,46,47,48,49,50,49,50,51,52,53,54,53,54,55,56,57,56,57,58,59,60,59,60,59,60,61,62,63,64,65,66,67,68,69,70,69,70,71,72,73,74,75,76,77,78"/>
    <s v="No"/>
    <x v="0"/>
    <d v="2015-09-24T04:15:24"/>
    <n v="7"/>
    <s v="128.205.114.91"/>
    <s v="TH375 -- .S77 2013eb"/>
    <n v="624"/>
    <d v="2013-01-22T00:00:00"/>
  </r>
  <r>
    <x v="7160"/>
    <d v="1899-12-30T00:05:08"/>
    <x v="1678"/>
    <x v="1"/>
    <s v="brockport"/>
    <x v="838"/>
    <n v="1645284"/>
    <x v="11"/>
    <s v="History; Social Science"/>
    <s v="9780226122595"/>
    <s v=",1,2,3,25,26,27,23,24,28,29,30,31,32,33,34,35,36,37,38,39,40,41,42,43,44,45,46,47,48,49,50,51,52,53"/>
    <n v="34"/>
    <m/>
    <m/>
    <s v="No"/>
    <x v="3"/>
    <m/>
    <m/>
    <s v="137.21.7.121"/>
    <s v="E184"/>
    <n v="304.80973"/>
    <d v="2014-03-28T00:00:00"/>
  </r>
  <r>
    <x v="7161"/>
    <d v="1899-12-30T00:14:03"/>
    <x v="1676"/>
    <x v="11"/>
    <s v="cobleskill"/>
    <x v="414"/>
    <n v="1143522"/>
    <x v="0"/>
    <s v="History"/>
    <s v="9781118257197"/>
    <s v=",1,2,3,23,24,25,21,22,359,360,361,357,358,362,53,54,55,51,52,56,50,51,48,49,80,81,82,78"/>
    <n v="27"/>
    <m/>
    <m/>
    <s v="No"/>
    <x v="1"/>
    <m/>
    <m/>
    <s v="137.36.32.34"/>
    <s v="F1219.73 .S58 2013"/>
    <n v="972"/>
    <d v="2013-03-01T00:00:00"/>
  </r>
  <r>
    <x v="7162"/>
    <d v="1899-12-30T00:17:45"/>
    <x v="13"/>
    <x v="0"/>
    <s v="Buffalo"/>
    <x v="509"/>
    <n v="1115640"/>
    <x v="0"/>
    <s v="Engineering: Civil; Engineering: Construction; Engineering"/>
    <s v="9781118419090"/>
    <s v=",1,2,2,3,3,1,7,7,8,9,8,10,9,13,10,13,2,14,15,19,14,15,29,34,19,35,29,34,35,36,37,38,36,38,37,39,39,40,40,35,34,40,39,35,40,41,41,36,41,43,42,44,46,45,44,43,42,46,47,45,48,49,52,47,57,48,55,57,52,49,51,48,51,50,55,47,46,50,45,43,42,41,40,38,37,39,40,41,42,37,42"/>
    <n v="33"/>
    <m/>
    <m/>
    <s v="No"/>
    <x v="0"/>
    <d v="2015-09-18T13:33:26"/>
    <n v="7"/>
    <s v="128.205.114.91"/>
    <s v="TH375 -- .S77 2013eb"/>
    <n v="624"/>
    <d v="2013-01-22T00:00:00"/>
  </r>
  <r>
    <x v="7163"/>
    <d v="1899-12-30T00:00:03"/>
    <x v="1676"/>
    <x v="11"/>
    <s v="cobleskill"/>
    <x v="414"/>
    <n v="1143522"/>
    <x v="0"/>
    <s v="History"/>
    <s v="9781118257197"/>
    <s v=",1,2,3"/>
    <n v="3"/>
    <m/>
    <m/>
    <s v="No"/>
    <x v="1"/>
    <m/>
    <m/>
    <s v="137.36.32.34"/>
    <s v="F1219.73 .S58 2013"/>
    <n v="972"/>
    <d v="2013-03-01T00:00:00"/>
  </r>
  <r>
    <x v="7164"/>
    <d v="1899-12-30T02:19:22"/>
    <x v="1645"/>
    <x v="0"/>
    <s v="Buffalo"/>
    <x v="509"/>
    <n v="1115640"/>
    <x v="0"/>
    <s v="Engineering: Civil; Engineering: Construction; Engineering"/>
    <s v="9781118419090"/>
    <s v=",1,2,3,4,5,17,18,19,16,15,20,21,22,23,24,25,26,27,23,31,32,33,29,30,34,35,36,37,18,19,20,16,17,21,22,23,24,25,19,26,27,28,29,30,26,30,27,28,29,25,1,25,26,27,23,24,2,28,29,30,31,32,33,26,27,34,35,36,37,38,39,40,37,38,39,36,35,40,34,33,39,40,41,25,1,26,27,23,24,41"/>
    <n v="32"/>
    <m/>
    <m/>
    <s v="No"/>
    <x v="0"/>
    <d v="2015-09-21T13:10:44"/>
    <n v="7"/>
    <s v="128.205.114.91"/>
    <s v="TH375 -- .S77 2013eb"/>
    <n v="624"/>
    <d v="2013-01-22T00:00:00"/>
  </r>
  <r>
    <x v="7165"/>
    <d v="1899-12-30T00:00:37"/>
    <x v="1679"/>
    <x v="11"/>
    <s v="cobleskill"/>
    <x v="414"/>
    <n v="1143522"/>
    <x v="0"/>
    <s v="History"/>
    <s v="9781118257197"/>
    <s v=",1,2,3,23,24,25,21,22,26,40,41,38,39"/>
    <n v="13"/>
    <m/>
    <m/>
    <s v="No"/>
    <x v="1"/>
    <m/>
    <m/>
    <s v="137.36.32.34"/>
    <s v="F1219.73 .S58 2013"/>
    <n v="972"/>
    <d v="2013-03-01T00:00:00"/>
  </r>
  <r>
    <x v="7166"/>
    <d v="1899-12-30T01:06:36"/>
    <x v="13"/>
    <x v="0"/>
    <s v="Buffalo"/>
    <x v="509"/>
    <n v="1115640"/>
    <x v="0"/>
    <s v="Engineering: Civil; Engineering: Construction; Engineering"/>
    <s v="9781118419090"/>
    <s v=",1,2,3,17,18,19,15,16,16,1,17,18,15,14,2,13,12,10,11,19,20,21,22,23"/>
    <n v="17"/>
    <m/>
    <m/>
    <s v="No"/>
    <x v="0"/>
    <d v="2015-09-18T13:33:26"/>
    <n v="7"/>
    <s v="128.205.114.91"/>
    <s v="TH375 -- .S77 2013eb"/>
    <n v="624"/>
    <d v="2013-01-22T00:00:00"/>
  </r>
  <r>
    <x v="7167"/>
    <d v="1899-12-30T00:02:08"/>
    <x v="980"/>
    <x v="13"/>
    <s v="buffalostate"/>
    <x v="949"/>
    <n v="871519"/>
    <x v="0"/>
    <s v="Science: Astronomy; Science"/>
    <s v="9781444398359"/>
    <s v=",1,2,3,4,5,6,7,8,9,10,11,12,13,14,15,64,65,99,116,117,118,119,115,117,118,119,472"/>
    <n v="24"/>
    <s v=",1"/>
    <m/>
    <s v="Yes"/>
    <x v="0"/>
    <d v="2015-09-23T03:47:28"/>
    <n v="7"/>
    <s v="136.183.11.43"/>
    <s v="QB501 -- .B68 2012eb"/>
    <n v="523.20000000000005"/>
    <d v="2012-02-29T00:00:00"/>
  </r>
  <r>
    <x v="7168"/>
    <d v="1899-12-30T00:00:03"/>
    <x v="980"/>
    <x v="13"/>
    <s v="buffalostate"/>
    <x v="949"/>
    <n v="871519"/>
    <x v="0"/>
    <s v="Science: Astronomy; Science"/>
    <s v="9781444398359"/>
    <s v=",1,2,3"/>
    <n v="3"/>
    <m/>
    <m/>
    <s v="No"/>
    <x v="0"/>
    <d v="2015-09-23T03:47:28"/>
    <n v="7"/>
    <s v="136.183.11.43"/>
    <s v="QB501 -- .B68 2012eb"/>
    <n v="523.20000000000005"/>
    <d v="2012-02-29T00:00:00"/>
  </r>
  <r>
    <x v="7169"/>
    <d v="1899-12-30T00:00:03"/>
    <x v="980"/>
    <x v="13"/>
    <s v="buffalostate"/>
    <x v="949"/>
    <n v="871519"/>
    <x v="0"/>
    <s v="Science: Astronomy; Science"/>
    <s v="9781444398359"/>
    <s v=",1,2,3"/>
    <n v="3"/>
    <m/>
    <m/>
    <s v="No"/>
    <x v="0"/>
    <d v="2015-09-23T03:47:28"/>
    <n v="7"/>
    <s v="136.183.11.43"/>
    <s v="QB501 -- .B68 2012eb"/>
    <n v="523.20000000000005"/>
    <d v="2012-02-29T00:00:00"/>
  </r>
  <r>
    <x v="7170"/>
    <d v="1899-12-30T00:01:12"/>
    <x v="980"/>
    <x v="13"/>
    <s v="buffalostate"/>
    <x v="949"/>
    <n v="871519"/>
    <x v="0"/>
    <s v="Science: Astronomy; Science"/>
    <s v="9781444398359"/>
    <s v=",1,2,3,1,11,33"/>
    <n v="5"/>
    <m/>
    <m/>
    <s v="No"/>
    <x v="0"/>
    <d v="2015-09-23T03:47:28"/>
    <n v="7"/>
    <s v="136.183.11.43"/>
    <s v="QB501 -- .B68 2012eb"/>
    <n v="523.20000000000005"/>
    <d v="2012-02-29T00:00:00"/>
  </r>
  <r>
    <x v="7171"/>
    <d v="1899-12-30T01:10:51"/>
    <x v="13"/>
    <x v="0"/>
    <s v="Buffalo"/>
    <x v="509"/>
    <n v="1115640"/>
    <x v="0"/>
    <s v="Engineering: Civil; Engineering: Construction; Engineering"/>
    <s v="9781118419090"/>
    <s v=",1,2,3,4,5,6,7,8,9,10,11,12,13,14,15,16,17,18,19,20,21,22,20,21,22,23,24,25,26,27,11,4,2,3,5,6,7,8,9,10,11,12,13,14"/>
    <n v="27"/>
    <m/>
    <m/>
    <s v="No"/>
    <x v="0"/>
    <d v="2015-09-18T13:33:26"/>
    <n v="7"/>
    <s v="128.205.114.91"/>
    <s v="TH375 -- .S77 2013eb"/>
    <n v="624"/>
    <d v="2013-01-22T00:00:00"/>
  </r>
  <r>
    <x v="7172"/>
    <d v="1899-12-30T00:30:11"/>
    <x v="1647"/>
    <x v="0"/>
    <s v="Buffalo"/>
    <x v="509"/>
    <n v="1115640"/>
    <x v="0"/>
    <s v="Engineering: Civil; Engineering: Construction; Engineering"/>
    <s v="9781118419090"/>
    <s v=",20,21,22,23,24,25,26,27,19,20,18,16,21,16,22,22,22,16,23,24,25,26,27,22,21,20,19,18"/>
    <n v="11"/>
    <m/>
    <m/>
    <s v="No"/>
    <x v="0"/>
    <d v="2015-09-24T15:52:13"/>
    <n v="7"/>
    <s v="128.205.114.91"/>
    <s v="TH375 -- .S77 2013eb"/>
    <n v="624"/>
    <d v="2013-01-22T00:00:00"/>
  </r>
  <r>
    <x v="7173"/>
    <d v="1899-12-30T00:10:12"/>
    <x v="1647"/>
    <x v="0"/>
    <s v="Buffalo"/>
    <x v="509"/>
    <n v="1115640"/>
    <x v="0"/>
    <s v="Engineering: Civil; Engineering: Construction; Engineering"/>
    <s v="9781118419090"/>
    <s v=",1,3,2,4,5,6,7,8,9,10,11,12,13,14,15,16,17,18,19,20,21,22,23,23,24,25,26,27,28,29,6,1,14,32,33,17,18,19,15,16,11,6,3,1,9,10,7,8,12,11,7,12,13,14,15,16,17,18,19"/>
    <n v="31"/>
    <m/>
    <m/>
    <s v="No"/>
    <x v="1"/>
    <m/>
    <m/>
    <s v="128.205.114.91"/>
    <s v="TH375 -- .S77 2013eb"/>
    <n v="624"/>
    <d v="2013-01-22T00:00:00"/>
  </r>
  <r>
    <x v="7174"/>
    <d v="1899-12-30T00:38:06"/>
    <x v="13"/>
    <x v="0"/>
    <s v="Buffalo"/>
    <x v="509"/>
    <n v="1115640"/>
    <x v="0"/>
    <s v="Engineering: Civil; Engineering: Construction; Engineering"/>
    <s v="9781118419090"/>
    <s v=",1,2,3,1,1,48,3,4,1,4,6,5,7,8,9,10,11,12,13,14,15,16,17,18,19,20,21"/>
    <n v="22"/>
    <m/>
    <m/>
    <s v="No"/>
    <x v="0"/>
    <d v="2015-09-18T13:33:26"/>
    <n v="7"/>
    <s v="128.205.114.91"/>
    <s v="TH375 -- .S77 2013eb"/>
    <n v="624"/>
    <d v="2013-01-22T00:00:00"/>
  </r>
  <r>
    <x v="7175"/>
    <d v="1899-12-30T00:00:35"/>
    <x v="1680"/>
    <x v="13"/>
    <s v="buffalostate"/>
    <x v="261"/>
    <n v="902995"/>
    <x v="6"/>
    <s v="Medicine"/>
    <s v="9781438139234"/>
    <s v=",1,2,3,4,5,6,7,8,9,10,11,12,52,53,54,50,51,55"/>
    <n v="18"/>
    <m/>
    <m/>
    <s v="No"/>
    <x v="1"/>
    <m/>
    <m/>
    <s v="136.183.11.43"/>
    <s v="RC569.5.I54 -- M37 2012eb"/>
    <s v="616.85/84"/>
    <d v="2012-03-01T00:00:00"/>
  </r>
  <r>
    <x v="7176"/>
    <d v="1899-12-30T00:46:16"/>
    <x v="1658"/>
    <x v="0"/>
    <s v="Buffalo"/>
    <x v="509"/>
    <n v="1115640"/>
    <x v="0"/>
    <s v="Engineering: Civil; Engineering: Construction; Engineering"/>
    <s v="9781118419090"/>
    <s v=",20,20,15,20,21,21,22,22"/>
    <n v="4"/>
    <m/>
    <m/>
    <s v="No"/>
    <x v="0"/>
    <d v="2015-09-24T14:39:35"/>
    <n v="7"/>
    <s v="128.205.114.91"/>
    <s v="TH375 -- .S77 2013eb"/>
    <n v="624"/>
    <d v="2013-01-22T00:00:00"/>
  </r>
  <r>
    <x v="7177"/>
    <d v="1899-12-30T00:17:59"/>
    <x v="1658"/>
    <x v="0"/>
    <s v="Buffalo"/>
    <x v="509"/>
    <n v="1115640"/>
    <x v="0"/>
    <s v="Engineering: Civil; Engineering: Construction; Engineering"/>
    <s v="9781118419090"/>
    <s v=",1,2,3,2,3,1,4,4,4,5,5,6,6,7,8,8,2,7,9,9,10,10,11,11,12,12,13,8,13,7,12,13,14,14,15,15,16,16,17,17,18,19,19,18"/>
    <n v="19"/>
    <m/>
    <m/>
    <s v="No"/>
    <x v="1"/>
    <m/>
    <m/>
    <s v="128.205.114.91"/>
    <s v="TH375 -- .S77 2013eb"/>
    <n v="624"/>
    <d v="2013-01-22T00:00:00"/>
  </r>
  <r>
    <x v="7178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24T14:06:37"/>
    <n v="7"/>
    <s v="128.205.114.91"/>
    <s v="TA1520 -- .S24 2007eb"/>
    <n v="621.36"/>
    <d v="2013-02-05T00:00:00"/>
  </r>
  <r>
    <x v="7179"/>
    <d v="1899-12-30T00:00:29"/>
    <x v="461"/>
    <x v="0"/>
    <s v="Buffalo"/>
    <x v="500"/>
    <n v="699744"/>
    <x v="0"/>
    <s v="Engineering; Engineering: Electrical; Engineering: Civil"/>
    <s v="9781118585818"/>
    <s v=",1,1"/>
    <n v="1"/>
    <m/>
    <m/>
    <s v="Yes"/>
    <x v="0"/>
    <d v="2015-09-24T14:06:37"/>
    <n v="7"/>
    <s v="128.205.114.91"/>
    <s v="TA1520 -- .S24 2007eb"/>
    <n v="621.36"/>
    <d v="2013-02-05T00:00:00"/>
  </r>
  <r>
    <x v="7180"/>
    <d v="1899-12-30T00:00:04"/>
    <x v="461"/>
    <x v="0"/>
    <s v="Buffalo"/>
    <x v="500"/>
    <n v="699744"/>
    <x v="0"/>
    <s v="Engineering; Engineering: Electrical; Engineering: Civil"/>
    <s v="9781118585818"/>
    <s v=",1,2,3"/>
    <n v="3"/>
    <m/>
    <m/>
    <s v="No"/>
    <x v="0"/>
    <d v="2015-09-24T14:06:37"/>
    <n v="7"/>
    <s v="128.205.114.91"/>
    <s v="TA1520 -- .S24 2007eb"/>
    <n v="621.36"/>
    <d v="2013-02-05T00:00:00"/>
  </r>
  <r>
    <x v="7181"/>
    <d v="1899-12-30T00:09:03"/>
    <x v="1043"/>
    <x v="0"/>
    <s v="Buffalo"/>
    <x v="73"/>
    <n v="1119505"/>
    <x v="0"/>
    <s v="Science: Chemistry; Science"/>
    <s v="9781118355015"/>
    <s v=",84,84,86,86,85,86,85,83,87,84,87,82"/>
    <n v="6"/>
    <m/>
    <m/>
    <s v="No"/>
    <x v="0"/>
    <d v="2015-09-24T14:15:08"/>
    <n v="7"/>
    <s v="128.205.114.91"/>
    <s v="QD251.3 -- .S38 2013eb"/>
    <s v="547/.128"/>
    <d v="2013-01-28T00:00:00"/>
  </r>
  <r>
    <x v="7182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24T14:06:37"/>
    <n v="7"/>
    <s v="128.205.114.91"/>
    <s v="TA1520 -- .S24 2007eb"/>
    <n v="621.36"/>
    <d v="2013-02-05T00:00:00"/>
  </r>
  <r>
    <x v="7182"/>
    <d v="1899-12-30T00:00:00"/>
    <x v="461"/>
    <x v="0"/>
    <s v="Buffalo"/>
    <x v="500"/>
    <n v="699744"/>
    <x v="0"/>
    <s v="Engineering; Engineering: Electrical; Engineering: Civil"/>
    <s v="9781118585818"/>
    <m/>
    <n v="0"/>
    <m/>
    <m/>
    <s v="No"/>
    <x v="0"/>
    <d v="2015-09-24T14:06:37"/>
    <n v="7"/>
    <s v="128.205.114.91"/>
    <s v="TA1520 -- .S24 2007eb"/>
    <n v="621.36"/>
    <d v="2013-02-05T00:00:00"/>
  </r>
  <r>
    <x v="7183"/>
    <d v="1899-12-30T00:14:13"/>
    <x v="986"/>
    <x v="0"/>
    <s v="Buffalo"/>
    <x v="73"/>
    <n v="1119505"/>
    <x v="0"/>
    <s v="Science: Chemistry; Science"/>
    <s v="9781118355015"/>
    <s v=",1,2,3,75,76,77,73,74,78,79,80"/>
    <n v="11"/>
    <m/>
    <m/>
    <s v="No"/>
    <x v="0"/>
    <d v="2015-09-22T22:41:10"/>
    <n v="7"/>
    <s v="128.205.114.91"/>
    <s v="QD251.3 -- .S38 2013eb"/>
    <s v="547/.128"/>
    <d v="2013-01-28T00:00:00"/>
  </r>
  <r>
    <x v="7184"/>
    <d v="1899-12-30T00:01:10"/>
    <x v="461"/>
    <x v="0"/>
    <s v="Buffalo"/>
    <x v="500"/>
    <n v="699744"/>
    <x v="0"/>
    <s v="Engineering; Engineering: Electrical; Engineering: Civil"/>
    <s v="9781118585818"/>
    <s v=",1,2,3,704"/>
    <n v="4"/>
    <m/>
    <m/>
    <s v="No"/>
    <x v="1"/>
    <m/>
    <m/>
    <s v="128.205.114.91"/>
    <s v="TA1520 -- .S24 2007eb"/>
    <n v="621.36"/>
    <d v="2013-02-05T00:00:00"/>
  </r>
  <r>
    <x v="7185"/>
    <d v="1899-12-30T00:16:36"/>
    <x v="1043"/>
    <x v="0"/>
    <s v="Buffalo"/>
    <x v="73"/>
    <n v="1119505"/>
    <x v="0"/>
    <s v="Science: Chemistry; Science"/>
    <s v="9781118355015"/>
    <s v=",1,2,2,3,3,1,80,81,80,82,81,82,78,79,79,101,101,2,102,102,104,104,100,105,105,100,105,106,106,103,104,103,102,101,105,100,105,80,81,82,78,79,83,83"/>
    <n v="16"/>
    <m/>
    <m/>
    <s v="No"/>
    <x v="0"/>
    <d v="2015-09-17T14:10:32"/>
    <n v="7"/>
    <s v="128.205.114.91"/>
    <s v="QD251.3 -- .S38 2013eb"/>
    <s v="547/.128"/>
    <d v="2013-01-28T00:00:00"/>
  </r>
  <r>
    <x v="7186"/>
    <d v="1899-12-30T00:00:25"/>
    <x v="13"/>
    <x v="0"/>
    <s v="Buffalo"/>
    <x v="509"/>
    <n v="1115640"/>
    <x v="0"/>
    <s v="Engineering: Civil; Engineering: Construction; Engineering"/>
    <s v="9781118419090"/>
    <s v=",1,1,2,3,3,2,4,4,5,5,5,6,6,7,8,8,7,9,9,10,10,11,11,2"/>
    <n v="11"/>
    <m/>
    <m/>
    <s v="No"/>
    <x v="0"/>
    <d v="2015-09-18T13:33:26"/>
    <n v="7"/>
    <s v="128.205.114.91"/>
    <s v="TH375 -- .S77 2013eb"/>
    <n v="624"/>
    <d v="2013-01-22T00:00:00"/>
  </r>
  <r>
    <x v="7187"/>
    <d v="1899-12-30T01:18:37"/>
    <x v="1654"/>
    <x v="0"/>
    <s v="Buffalo"/>
    <x v="509"/>
    <n v="1115640"/>
    <x v="0"/>
    <s v="Engineering: Civil; Engineering: Construction; Engineering"/>
    <s v="9781118419090"/>
    <s v=",1,2,3,4,5,6,7,8,9,35,36,37,33,34,45,41,42,43,39,40,44,46,47,48,45,42,39,37,38,40,36,34,40,1,40,42,41,38,39,2,43,44,45,46,47,48,49,50"/>
    <n v="27"/>
    <m/>
    <m/>
    <s v="No"/>
    <x v="0"/>
    <d v="2015-09-23T23:53:44"/>
    <n v="7"/>
    <s v="128.205.114.91"/>
    <s v="TH375 -- .S77 2013eb"/>
    <n v="624"/>
    <d v="2013-01-22T00:00:00"/>
  </r>
  <r>
    <x v="7188"/>
    <d v="1899-12-30T00:00:21"/>
    <x v="1140"/>
    <x v="0"/>
    <s v="Buffalo"/>
    <x v="73"/>
    <n v="1119505"/>
    <x v="0"/>
    <s v="Science: Chemistry; Science"/>
    <s v="9781118355015"/>
    <s v=",1,2,3,79,80,81,77,78,2"/>
    <n v="8"/>
    <m/>
    <s v=",79,80,81,82,83,84,85,86,87,88,89,90,91,92,93,94,95,96,97,98,99,100,101,102,103,104,105"/>
    <s v="No"/>
    <x v="0"/>
    <d v="2015-09-17T14:24:40"/>
    <n v="7"/>
    <s v="128.205.114.91"/>
    <s v="QD251.3 -- .S38 2013eb"/>
    <s v="547/.128"/>
    <d v="2013-01-28T00:00:00"/>
  </r>
  <r>
    <x v="7189"/>
    <d v="1899-12-30T00:33:32"/>
    <x v="13"/>
    <x v="0"/>
    <s v="Buffalo"/>
    <x v="509"/>
    <n v="1115640"/>
    <x v="0"/>
    <s v="Engineering: Civil; Engineering: Construction; Engineering"/>
    <s v="9781118419090"/>
    <s v=",1,2,3,49,50,51,47,48,52,53,54,55,56,57,58,59,60,61,62,63,64,65,66,67,68,69,70,71,72,73,74,75,76,77,78,79,80"/>
    <n v="37"/>
    <m/>
    <m/>
    <s v="No"/>
    <x v="0"/>
    <d v="2015-09-18T13:33:26"/>
    <n v="7"/>
    <s v="128.205.114.91"/>
    <s v="TH375 -- .S77 2013eb"/>
    <n v="624"/>
    <d v="2013-01-22T00:00:00"/>
  </r>
  <r>
    <x v="7190"/>
    <d v="1899-12-30T02:09:36"/>
    <x v="1652"/>
    <x v="0"/>
    <s v="Buffalo"/>
    <x v="509"/>
    <n v="1115640"/>
    <x v="0"/>
    <s v="Engineering: Civil; Engineering: Construction; Engineering"/>
    <s v="9781118419090"/>
    <s v=",24,25,26,27,28,29,30,31,32,33,34,35,36,37,38,39,40,41,42,43,44,45,46,47,48,49,50,51,52,53,54,55,56,57,58,59,60,61"/>
    <n v="38"/>
    <m/>
    <m/>
    <s v="No"/>
    <x v="0"/>
    <d v="2015-09-24T11:48:26"/>
    <n v="7"/>
    <s v="128.205.114.91"/>
    <s v="TH375 -- .S77 2013eb"/>
    <n v="624"/>
    <d v="2013-01-22T00:00:00"/>
  </r>
  <r>
    <x v="7191"/>
    <d v="1899-12-30T00:18:35"/>
    <x v="1648"/>
    <x v="0"/>
    <s v="Buffalo"/>
    <x v="509"/>
    <n v="1115640"/>
    <x v="0"/>
    <s v="Engineering: Civil; Engineering: Construction; Engineering"/>
    <s v="9781118419090"/>
    <s v=",1,3,2,39,40,41,37,38,42,36,43,44,45,46,47,48"/>
    <n v="16"/>
    <m/>
    <m/>
    <s v="No"/>
    <x v="0"/>
    <d v="2015-09-21T03:19:50"/>
    <n v="7"/>
    <s v="128.205.114.91"/>
    <s v="TH375 -- .S77 2013eb"/>
    <n v="624"/>
    <d v="2013-01-22T00:00:00"/>
  </r>
  <r>
    <x v="7192"/>
    <d v="1899-12-30T00:17:23"/>
    <x v="1652"/>
    <x v="0"/>
    <s v="Buffalo"/>
    <x v="509"/>
    <n v="1115640"/>
    <x v="0"/>
    <s v="Engineering: Civil; Engineering: Construction; Engineering"/>
    <s v="9781118419090"/>
    <s v=",1,2,3,17,18,19,15,16,20,21,22,23,12,11,13,14"/>
    <n v="16"/>
    <m/>
    <m/>
    <s v="No"/>
    <x v="1"/>
    <m/>
    <m/>
    <s v="128.205.114.91"/>
    <s v="TH375 -- .S77 2013eb"/>
    <n v="624"/>
    <d v="2013-01-22T00:00:00"/>
  </r>
  <r>
    <x v="7193"/>
    <d v="1899-12-30T00:03:23"/>
    <x v="1681"/>
    <x v="6"/>
    <s v="sjfc"/>
    <x v="1587"/>
    <n v="1647465"/>
    <x v="3"/>
    <s v="Environmental Studies; Economics; Agriculture"/>
    <s v="9780520957930"/>
    <s v=",5,6,7,8,4,22,23,24,20,21,30,31,32,28,33,29,34,35,116,117,118,114,115,127,119,120,118"/>
    <n v="26"/>
    <m/>
    <m/>
    <s v="Yes"/>
    <x v="2"/>
    <d v="2015-09-24T10:06:09"/>
    <n v="1"/>
    <s v="149.69.254.57"/>
    <s v="SB486.S65 -- .J336 2014eb"/>
    <s v="333.78/0973"/>
    <d v="2014-02-22T00:00:00"/>
  </r>
  <r>
    <x v="7193"/>
    <d v="1899-12-30T00:00:00"/>
    <x v="1681"/>
    <x v="6"/>
    <s v="sjfc"/>
    <x v="1587"/>
    <n v="1647465"/>
    <x v="3"/>
    <s v="Environmental Studies; Economics; Agriculture"/>
    <s v="9780520957930"/>
    <m/>
    <n v="0"/>
    <m/>
    <m/>
    <s v="No"/>
    <x v="2"/>
    <d v="2015-09-24T10:06:09"/>
    <n v="1"/>
    <s v="149.69.254.57"/>
    <s v="SB486.S65 -- .J336 2014eb"/>
    <s v="333.78/0973"/>
    <d v="2014-02-22T00:00:00"/>
  </r>
  <r>
    <x v="7194"/>
    <d v="1899-12-30T00:00:33"/>
    <x v="1681"/>
    <x v="6"/>
    <s v="sjfc"/>
    <x v="1587"/>
    <n v="1647465"/>
    <x v="3"/>
    <s v="Environmental Studies; Economics; Agriculture"/>
    <s v="9780520957930"/>
    <s v=",1,2,3"/>
    <n v="3"/>
    <m/>
    <m/>
    <s v="No"/>
    <x v="3"/>
    <m/>
    <m/>
    <s v="149.69.254.57"/>
    <s v="SB486.S65 -- .J336 2014eb"/>
    <s v="333.78/0973"/>
    <d v="2014-02-22T00:00:00"/>
  </r>
  <r>
    <x v="7195"/>
    <d v="1899-12-30T00:03:03"/>
    <x v="1682"/>
    <x v="0"/>
    <s v="Buffalo"/>
    <x v="3"/>
    <n v="822040"/>
    <x v="0"/>
    <s v="Literature; Psychology"/>
    <s v="9781118289099"/>
    <s v=",1,2,3,4,73,74,75,71,72,76,77,78,79,80,81,82,83,84,85"/>
    <n v="19"/>
    <m/>
    <m/>
    <s v="No"/>
    <x v="1"/>
    <m/>
    <m/>
    <s v="128.205.114.91"/>
    <s v="BF76.7 -- .B447 2012eb"/>
    <s v="808.06/615"/>
    <d v="2012-03-22T00:00:00"/>
  </r>
  <r>
    <x v="7196"/>
    <d v="1899-12-30T00:00:00"/>
    <x v="1683"/>
    <x v="9"/>
    <s v="trocaire"/>
    <x v="1588"/>
    <n v="2034315"/>
    <x v="0"/>
    <s v="Social Science; Economics; Business/Management"/>
    <s v="9780745690414"/>
    <m/>
    <n v="0"/>
    <m/>
    <m/>
    <s v="Yes"/>
    <x v="0"/>
    <d v="2015-09-24T07:18:37"/>
    <n v="7"/>
    <s v="173.225.62.67"/>
    <s v="P96.E25 .L384 2015"/>
    <n v="338.47302230000003"/>
    <d v="2015-04-22T00:00:00"/>
  </r>
  <r>
    <x v="7196"/>
    <d v="1899-12-30T00:00:00"/>
    <x v="1683"/>
    <x v="9"/>
    <s v="trocaire"/>
    <x v="1588"/>
    <n v="2034315"/>
    <x v="0"/>
    <s v="Social Science; Economics; Business/Management"/>
    <s v="9780745690414"/>
    <m/>
    <n v="0"/>
    <m/>
    <m/>
    <s v="No"/>
    <x v="0"/>
    <d v="2015-09-24T07:18:37"/>
    <n v="7"/>
    <s v="173.225.62.67"/>
    <s v="P96.E25 .L384 2015"/>
    <n v="338.47302230000003"/>
    <d v="2015-04-22T00:00:00"/>
  </r>
  <r>
    <x v="7197"/>
    <d v="1899-12-30T00:01:00"/>
    <x v="1683"/>
    <x v="9"/>
    <s v="trocaire"/>
    <x v="1588"/>
    <n v="2034315"/>
    <x v="0"/>
    <s v="Social Science; Economics; Business/Management"/>
    <s v="9780745690414"/>
    <s v=",1,2,3,4,5,6,7,8"/>
    <n v="8"/>
    <m/>
    <m/>
    <s v="No"/>
    <x v="3"/>
    <m/>
    <m/>
    <s v="173.225.62.67"/>
    <s v="P96.E25 .L384 2015"/>
    <n v="338.47302230000003"/>
    <d v="2015-04-22T00:00:00"/>
  </r>
  <r>
    <x v="7198"/>
    <d v="1899-12-30T00:00:00"/>
    <x v="1683"/>
    <x v="9"/>
    <s v="trocaire"/>
    <x v="1589"/>
    <n v="2034316"/>
    <x v="0"/>
    <s v="Political Science; Religion"/>
    <s v="9780745691404"/>
    <m/>
    <n v="0"/>
    <m/>
    <m/>
    <s v="Yes"/>
    <x v="0"/>
    <d v="2015-09-23T15:44:55"/>
    <n v="7"/>
    <s v="173.225.62.67"/>
    <s v="BL65.P7 -- .J67 2015eb"/>
    <s v="322/.1094"/>
    <d v="2015-04-22T00:00:00"/>
  </r>
  <r>
    <x v="7199"/>
    <d v="1899-12-30T00:00:00"/>
    <x v="1683"/>
    <x v="9"/>
    <s v="trocaire"/>
    <x v="1590"/>
    <n v="1895706"/>
    <x v="0"/>
    <s v="Social Science"/>
    <s v="9781118885925"/>
    <m/>
    <n v="0"/>
    <m/>
    <m/>
    <s v="Yes"/>
    <x v="0"/>
    <d v="2015-09-23T15:43:25"/>
    <n v="7"/>
    <s v="173.225.62.67"/>
    <s v="HM1211 .H47 2015"/>
    <s v="303.48/2"/>
    <d v="2015-04-27T00:00:00"/>
  </r>
  <r>
    <x v="7200"/>
    <d v="1899-12-30T00:00:52"/>
    <x v="1683"/>
    <x v="9"/>
    <s v="trocaire"/>
    <x v="1589"/>
    <n v="2034316"/>
    <x v="0"/>
    <s v="Political Science; Religion"/>
    <s v="9780745691404"/>
    <s v=",1,1,2,3,4,5,6,7,8"/>
    <n v="8"/>
    <m/>
    <m/>
    <s v="No"/>
    <x v="0"/>
    <d v="2015-09-23T15:44:55"/>
    <n v="7"/>
    <s v="173.225.62.67"/>
    <s v="BL65.P7 -- .J67 2015eb"/>
    <s v="322/.1094"/>
    <d v="2015-04-22T00:00:00"/>
  </r>
  <r>
    <x v="7201"/>
    <d v="1899-12-30T00:00:10"/>
    <x v="1683"/>
    <x v="9"/>
    <s v="trocaire"/>
    <x v="1590"/>
    <n v="1895706"/>
    <x v="0"/>
    <s v="Social Science"/>
    <s v="9781118885925"/>
    <s v=",1,1,2,3"/>
    <n v="3"/>
    <m/>
    <m/>
    <s v="No"/>
    <x v="0"/>
    <d v="2015-09-23T15:43:25"/>
    <n v="7"/>
    <s v="173.225.62.67"/>
    <s v="HM1211 .H47 2015"/>
    <s v="303.48/2"/>
    <d v="2015-04-27T00:00:00"/>
  </r>
  <r>
    <x v="7202"/>
    <d v="1899-12-30T00:00:31"/>
    <x v="1683"/>
    <x v="9"/>
    <s v="trocaire"/>
    <x v="1218"/>
    <n v="284081"/>
    <x v="0"/>
    <s v="Social Science"/>
    <s v="9781405172776"/>
    <s v=",1,2,3,4,5"/>
    <n v="5"/>
    <m/>
    <m/>
    <s v="No"/>
    <x v="3"/>
    <m/>
    <m/>
    <s v="173.225.62.67"/>
    <m/>
    <n v="301.09199999999998"/>
    <d v="2015-05-01T00:00:00"/>
  </r>
  <r>
    <x v="7203"/>
    <d v="1899-12-30T00:00:00"/>
    <x v="1683"/>
    <x v="9"/>
    <s v="trocaire"/>
    <x v="1591"/>
    <n v="1998213"/>
    <x v="0"/>
    <s v="Philosophy; Psychology"/>
    <s v="9780745690186"/>
    <m/>
    <n v="0"/>
    <m/>
    <m/>
    <s v="Yes"/>
    <x v="0"/>
    <d v="2015-09-24T07:12:13"/>
    <n v="7"/>
    <s v="173.225.62.67"/>
    <s v="BF371"/>
    <n v="126"/>
    <d v="2015-05-19T00:00:00"/>
  </r>
  <r>
    <x v="7203"/>
    <d v="1899-12-30T00:00:00"/>
    <x v="1683"/>
    <x v="9"/>
    <s v="trocaire"/>
    <x v="1591"/>
    <n v="1998213"/>
    <x v="0"/>
    <s v="Philosophy; Psychology"/>
    <s v="9780745690186"/>
    <m/>
    <n v="0"/>
    <m/>
    <m/>
    <s v="No"/>
    <x v="0"/>
    <d v="2015-09-24T07:12:13"/>
    <n v="7"/>
    <s v="173.225.62.67"/>
    <s v="BF371"/>
    <n v="126"/>
    <d v="2015-05-19T00:00:00"/>
  </r>
  <r>
    <x v="7204"/>
    <d v="1899-12-30T00:00:00"/>
    <x v="1683"/>
    <x v="9"/>
    <s v="trocaire"/>
    <x v="1441"/>
    <n v="1985762"/>
    <x v="0"/>
    <s v="Social Science; Philosophy; Economics"/>
    <s v="9780745688374"/>
    <m/>
    <n v="0"/>
    <m/>
    <m/>
    <s v="Yes"/>
    <x v="0"/>
    <d v="2015-09-24T07:10:57"/>
    <n v="7"/>
    <s v="173.225.62.67"/>
    <s v="B2430 .B274 A5 2015"/>
    <n v="335.40100000000001"/>
    <d v="2015-05-11T00:00:00"/>
  </r>
  <r>
    <x v="7204"/>
    <d v="1899-12-30T00:00:00"/>
    <x v="1683"/>
    <x v="9"/>
    <s v="trocaire"/>
    <x v="1441"/>
    <n v="1985762"/>
    <x v="0"/>
    <s v="Social Science; Philosophy; Economics"/>
    <s v="9780745688374"/>
    <m/>
    <n v="0"/>
    <m/>
    <m/>
    <s v="No"/>
    <x v="0"/>
    <d v="2015-09-24T07:10:57"/>
    <n v="7"/>
    <s v="173.225.62.67"/>
    <s v="B2430 .B274 A5 2015"/>
    <n v="335.40100000000001"/>
    <d v="2015-05-11T00:00:00"/>
  </r>
  <r>
    <x v="7205"/>
    <d v="1899-12-30T00:01:19"/>
    <x v="1683"/>
    <x v="9"/>
    <s v="trocaire"/>
    <x v="1591"/>
    <n v="1998213"/>
    <x v="0"/>
    <s v="Philosophy; Psychology"/>
    <s v="9780745690186"/>
    <s v=",1,2,3"/>
    <n v="3"/>
    <m/>
    <m/>
    <s v="No"/>
    <x v="3"/>
    <m/>
    <m/>
    <s v="173.225.62.67"/>
    <s v="BF371"/>
    <n v="126"/>
    <d v="2015-05-19T00:00:00"/>
  </r>
  <r>
    <x v="7206"/>
    <d v="1899-12-30T00:00:38"/>
    <x v="1683"/>
    <x v="9"/>
    <s v="trocaire"/>
    <x v="1441"/>
    <n v="1985762"/>
    <x v="0"/>
    <s v="Social Science; Philosophy; Economics"/>
    <s v="9780745688374"/>
    <s v=",1,1,2,3"/>
    <n v="3"/>
    <m/>
    <m/>
    <s v="No"/>
    <x v="3"/>
    <m/>
    <m/>
    <s v="173.225.62.67"/>
    <s v="B2430 .B274 A5 2015"/>
    <n v="335.40100000000001"/>
    <d v="2015-05-11T00:00:00"/>
  </r>
  <r>
    <x v="7207"/>
    <d v="1899-12-30T00:00:00"/>
    <x v="1683"/>
    <x v="9"/>
    <s v="trocaire"/>
    <x v="1592"/>
    <n v="2056177"/>
    <x v="0"/>
    <s v="History; Social Science"/>
    <s v="9780745686424"/>
    <m/>
    <n v="0"/>
    <m/>
    <m/>
    <s v="Yes"/>
    <x v="0"/>
    <d v="2015-09-24T07:09:23"/>
    <n v="7"/>
    <s v="173.225.62.67"/>
    <s v="E184 .S75 G369 2014"/>
    <n v="305.86"/>
    <d v="2015-05-19T00:00:00"/>
  </r>
  <r>
    <x v="7207"/>
    <d v="1899-12-30T00:00:00"/>
    <x v="1683"/>
    <x v="9"/>
    <s v="trocaire"/>
    <x v="1592"/>
    <n v="2056177"/>
    <x v="0"/>
    <s v="History; Social Science"/>
    <s v="9780745686424"/>
    <m/>
    <n v="0"/>
    <m/>
    <m/>
    <s v="No"/>
    <x v="0"/>
    <d v="2015-09-24T07:09:23"/>
    <n v="7"/>
    <s v="173.225.62.67"/>
    <s v="E184 .S75 G369 2014"/>
    <n v="305.86"/>
    <d v="2015-05-19T00:00:00"/>
  </r>
  <r>
    <x v="7208"/>
    <d v="1899-12-30T00:01:11"/>
    <x v="1683"/>
    <x v="9"/>
    <s v="trocaire"/>
    <x v="1592"/>
    <n v="2056177"/>
    <x v="0"/>
    <s v="History; Social Science"/>
    <s v="9780745686424"/>
    <s v=",1,1,2,3,4,5,6,7,8,9,10,11"/>
    <n v="11"/>
    <m/>
    <m/>
    <s v="No"/>
    <x v="3"/>
    <m/>
    <m/>
    <s v="173.225.62.67"/>
    <s v="E184 .S75 G369 2014"/>
    <n v="305.86"/>
    <d v="2015-05-19T00:00:00"/>
  </r>
  <r>
    <x v="7209"/>
    <d v="1899-12-30T00:01:31"/>
    <x v="1683"/>
    <x v="9"/>
    <s v="trocaire"/>
    <x v="1593"/>
    <n v="2030731"/>
    <x v="0"/>
    <s v="Economics; Business/Management"/>
    <s v="9781119059936"/>
    <s v=",1,2,1,3,4,5,6,7,8,9,10"/>
    <n v="10"/>
    <m/>
    <m/>
    <s v="No"/>
    <x v="3"/>
    <m/>
    <m/>
    <s v="173.225.62.67"/>
    <s v="HD47.3 .L384 2015"/>
    <n v="338.12093764000002"/>
    <d v="2015-04-23T00:00:00"/>
  </r>
  <r>
    <x v="7210"/>
    <d v="1899-12-30T00:00:00"/>
    <x v="1683"/>
    <x v="9"/>
    <s v="trocaire"/>
    <x v="645"/>
    <n v="1998231"/>
    <x v="0"/>
    <s v="Social Science"/>
    <s v="9780745695778"/>
    <m/>
    <n v="0"/>
    <m/>
    <m/>
    <s v="Yes"/>
    <x v="0"/>
    <d v="2015-09-24T07:02:34"/>
    <n v="7"/>
    <s v="173.225.62.67"/>
    <s v="HM851 .C369 2015"/>
    <n v="302.23099999999999"/>
    <d v="2015-04-24T00:00:00"/>
  </r>
  <r>
    <x v="7211"/>
    <d v="1899-12-30T00:00:00"/>
    <x v="1683"/>
    <x v="9"/>
    <s v="trocaire"/>
    <x v="1594"/>
    <n v="2006073"/>
    <x v="0"/>
    <s v="Political Science; Social Science"/>
    <s v="9780745688602"/>
    <m/>
    <n v="0"/>
    <m/>
    <m/>
    <s v="Yes"/>
    <x v="0"/>
    <d v="2015-09-24T07:05:02"/>
    <n v="7"/>
    <s v="173.225.62.67"/>
    <s v="HM881 .D45 2015"/>
    <n v="322.39999999999998"/>
    <d v="2015-04-20T00:00:00"/>
  </r>
  <r>
    <x v="7211"/>
    <d v="1899-12-30T00:00:00"/>
    <x v="1683"/>
    <x v="9"/>
    <s v="trocaire"/>
    <x v="1594"/>
    <n v="2006073"/>
    <x v="0"/>
    <s v="Political Science; Social Science"/>
    <s v="9780745688602"/>
    <m/>
    <n v="0"/>
    <m/>
    <m/>
    <s v="No"/>
    <x v="0"/>
    <d v="2015-09-24T07:05:02"/>
    <n v="7"/>
    <s v="173.225.62.67"/>
    <s v="HM881 .D45 2015"/>
    <n v="322.39999999999998"/>
    <d v="2015-04-20T00:00:00"/>
  </r>
  <r>
    <x v="7212"/>
    <d v="1899-12-30T00:02:17"/>
    <x v="1683"/>
    <x v="9"/>
    <s v="trocaire"/>
    <x v="1594"/>
    <n v="2006073"/>
    <x v="0"/>
    <s v="Political Science; Social Science"/>
    <s v="9780745688602"/>
    <s v=",1,1,2,3,4,5,6,7,8"/>
    <n v="8"/>
    <m/>
    <m/>
    <s v="No"/>
    <x v="3"/>
    <m/>
    <m/>
    <s v="173.225.62.67"/>
    <s v="HM881 .D45 2015"/>
    <n v="322.39999999999998"/>
    <d v="2015-04-20T00:00:00"/>
  </r>
  <r>
    <x v="7213"/>
    <d v="1899-12-30T00:00:00"/>
    <x v="1683"/>
    <x v="9"/>
    <s v="trocaire"/>
    <x v="645"/>
    <n v="1998231"/>
    <x v="0"/>
    <s v="Social Science"/>
    <s v="9780745695778"/>
    <m/>
    <n v="0"/>
    <m/>
    <m/>
    <s v="Yes"/>
    <x v="0"/>
    <d v="2015-09-24T07:02:34"/>
    <n v="7"/>
    <s v="173.225.62.67"/>
    <s v="HM851 .C369 2015"/>
    <n v="302.23099999999999"/>
    <d v="2015-04-24T00:00:00"/>
  </r>
  <r>
    <x v="7213"/>
    <d v="1899-12-30T00:00:00"/>
    <x v="1683"/>
    <x v="9"/>
    <s v="trocaire"/>
    <x v="645"/>
    <n v="1998231"/>
    <x v="0"/>
    <s v="Social Science"/>
    <s v="9780745695778"/>
    <m/>
    <n v="0"/>
    <m/>
    <m/>
    <s v="No"/>
    <x v="0"/>
    <d v="2015-09-24T07:02:34"/>
    <n v="7"/>
    <s v="173.225.62.67"/>
    <s v="HM851 .C369 2015"/>
    <n v="302.23099999999999"/>
    <d v="2015-04-24T00:00:00"/>
  </r>
  <r>
    <x v="7214"/>
    <d v="1899-12-30T00:00:00"/>
    <x v="1683"/>
    <x v="9"/>
    <s v="trocaire"/>
    <x v="1595"/>
    <n v="2065772"/>
    <x v="0"/>
    <s v="Philosophy; Social Science"/>
    <s v="9780745684871"/>
    <m/>
    <n v="0"/>
    <m/>
    <m/>
    <s v="Yes"/>
    <x v="0"/>
    <d v="2015-09-24T07:02:16"/>
    <n v="7"/>
    <s v="173.225.62.67"/>
    <s v="B105.A35 T65 2015"/>
    <n v="302.8"/>
    <d v="2015-06-03T00:00:00"/>
  </r>
  <r>
    <x v="7214"/>
    <d v="1899-12-30T00:00:00"/>
    <x v="1683"/>
    <x v="9"/>
    <s v="trocaire"/>
    <x v="1595"/>
    <n v="2065772"/>
    <x v="0"/>
    <s v="Philosophy; Social Science"/>
    <s v="9780745684871"/>
    <m/>
    <n v="0"/>
    <m/>
    <m/>
    <s v="No"/>
    <x v="0"/>
    <d v="2015-09-24T07:02:16"/>
    <n v="7"/>
    <s v="173.225.62.67"/>
    <s v="B105.A35 T65 2015"/>
    <n v="302.8"/>
    <d v="2015-06-03T00:00:00"/>
  </r>
  <r>
    <x v="7215"/>
    <d v="1899-12-30T00:01:38"/>
    <x v="1683"/>
    <x v="9"/>
    <s v="trocaire"/>
    <x v="1595"/>
    <n v="2065772"/>
    <x v="0"/>
    <s v="Philosophy; Social Science"/>
    <s v="9780745684871"/>
    <s v=",1,3,2,4,5,6,7,8"/>
    <n v="8"/>
    <m/>
    <m/>
    <s v="No"/>
    <x v="3"/>
    <m/>
    <m/>
    <s v="173.225.62.67"/>
    <s v="B105.A35 T65 2015"/>
    <n v="302.8"/>
    <d v="2015-06-03T00:00:00"/>
  </r>
  <r>
    <x v="7216"/>
    <d v="1899-12-30T00:00:23"/>
    <x v="1683"/>
    <x v="9"/>
    <s v="trocaire"/>
    <x v="421"/>
    <n v="1895411"/>
    <x v="0"/>
    <s v="Social Science"/>
    <s v="9780745688961"/>
    <s v=",1,2,3,4,5,6,7,8"/>
    <n v="8"/>
    <m/>
    <m/>
    <s v="No"/>
    <x v="0"/>
    <d v="2015-09-23T15:32:12"/>
    <n v="7"/>
    <s v="173.225.62.67"/>
    <s v="HM479.B68 A513 2015"/>
    <n v="301.09199999999998"/>
    <d v="2015-04-06T00:00:00"/>
  </r>
  <r>
    <x v="7217"/>
    <d v="1899-12-30T00:00:00"/>
    <x v="1683"/>
    <x v="9"/>
    <s v="trocaire"/>
    <x v="1596"/>
    <n v="2030712"/>
    <x v="0"/>
    <s v="Philosophy; Political Science"/>
    <s v="9780745686851"/>
    <m/>
    <n v="0"/>
    <m/>
    <m/>
    <s v="Yes"/>
    <x v="0"/>
    <d v="2015-09-24T06:58:51"/>
    <n v="7"/>
    <s v="173.225.62.67"/>
    <s v="B3258.H323 I413 2015"/>
    <n v="320.94"/>
    <d v="2015-06-04T00:00:00"/>
  </r>
  <r>
    <x v="7217"/>
    <d v="1899-12-30T00:00:00"/>
    <x v="1683"/>
    <x v="9"/>
    <s v="trocaire"/>
    <x v="1596"/>
    <n v="2030712"/>
    <x v="0"/>
    <s v="Philosophy; Political Science"/>
    <s v="9780745686851"/>
    <m/>
    <n v="0"/>
    <m/>
    <m/>
    <s v="No"/>
    <x v="0"/>
    <d v="2015-09-24T06:58:51"/>
    <n v="7"/>
    <s v="173.225.62.67"/>
    <s v="B3258.H323 I413 2015"/>
    <n v="320.94"/>
    <d v="2015-06-04T00:00:00"/>
  </r>
  <r>
    <x v="7218"/>
    <d v="1899-12-30T00:05:36"/>
    <x v="1683"/>
    <x v="9"/>
    <s v="trocaire"/>
    <x v="645"/>
    <n v="1998231"/>
    <x v="0"/>
    <s v="Social Science"/>
    <s v="9780745695778"/>
    <s v=",1,2,1,3,4,5,6,7"/>
    <n v="7"/>
    <m/>
    <m/>
    <s v="No"/>
    <x v="3"/>
    <m/>
    <m/>
    <s v="173.225.62.67"/>
    <s v="HM851 .C369 2015"/>
    <n v="302.23099999999999"/>
    <d v="2015-04-24T00:00:00"/>
  </r>
  <r>
    <x v="7219"/>
    <d v="1899-12-30T00:02:09"/>
    <x v="1683"/>
    <x v="9"/>
    <s v="trocaire"/>
    <x v="1596"/>
    <n v="2030712"/>
    <x v="0"/>
    <s v="Philosophy; Political Science"/>
    <s v="9780745686851"/>
    <s v=",1,1,2,3,4,5,6,7,8"/>
    <n v="8"/>
    <m/>
    <m/>
    <s v="No"/>
    <x v="3"/>
    <m/>
    <m/>
    <s v="173.225.62.67"/>
    <s v="B3258.H323 I413 2015"/>
    <n v="320.94"/>
    <d v="2015-06-04T00:00:00"/>
  </r>
  <r>
    <x v="7220"/>
    <d v="1899-12-30T00:02:19"/>
    <x v="1683"/>
    <x v="9"/>
    <s v="trocaire"/>
    <x v="1597"/>
    <n v="2065775"/>
    <x v="0"/>
    <s v="Philosophy"/>
    <s v="9780745691459"/>
    <s v=",1,2,1,3,4"/>
    <n v="4"/>
    <m/>
    <m/>
    <s v="No"/>
    <x v="0"/>
    <d v="2015-09-23T15:26:28"/>
    <n v="7"/>
    <s v="173.225.62.67"/>
    <s v="B2433 .L373 T4413 2015"/>
    <n v="170"/>
    <d v="2015-06-04T00:00:00"/>
  </r>
  <r>
    <x v="7221"/>
    <d v="1899-12-30T00:00:17"/>
    <x v="1683"/>
    <x v="9"/>
    <s v="trocaire"/>
    <x v="1598"/>
    <n v="2066658"/>
    <x v="0"/>
    <s v="Social Science; History"/>
    <s v="9780745690452"/>
    <s v=",1,2,3"/>
    <n v="3"/>
    <m/>
    <m/>
    <s v="No"/>
    <x v="0"/>
    <d v="2015-09-23T15:23:05"/>
    <n v="7"/>
    <s v="173.225.62.67"/>
    <s v="DS730 .Z364 2015"/>
    <n v="305.8"/>
    <d v="2015-06-05T00:00:00"/>
  </r>
  <r>
    <x v="7222"/>
    <d v="1899-12-30T00:00:00"/>
    <x v="1683"/>
    <x v="9"/>
    <s v="trocaire"/>
    <x v="1599"/>
    <n v="1985781"/>
    <x v="0"/>
    <s v="History"/>
    <s v="9781118714331"/>
    <m/>
    <n v="0"/>
    <m/>
    <m/>
    <s v="Yes"/>
    <x v="0"/>
    <d v="2015-09-24T06:55:33"/>
    <n v="7"/>
    <s v="173.225.62.67"/>
    <s v="E77 .O24 2015"/>
    <n v="970.00496999999996"/>
    <d v="2010-01-15T00:00:00"/>
  </r>
  <r>
    <x v="7222"/>
    <d v="1899-12-30T00:00:00"/>
    <x v="1683"/>
    <x v="9"/>
    <s v="trocaire"/>
    <x v="1599"/>
    <n v="1985781"/>
    <x v="0"/>
    <s v="History"/>
    <s v="9781118714331"/>
    <m/>
    <n v="0"/>
    <m/>
    <m/>
    <s v="No"/>
    <x v="0"/>
    <d v="2015-09-24T06:55:33"/>
    <n v="7"/>
    <s v="173.225.62.67"/>
    <s v="E77 .O24 2015"/>
    <n v="970.00496999999996"/>
    <d v="2010-01-15T00:00:00"/>
  </r>
  <r>
    <x v="7223"/>
    <d v="1899-12-30T00:00:00"/>
    <x v="1683"/>
    <x v="9"/>
    <s v="trocaire"/>
    <x v="1600"/>
    <n v="2075660"/>
    <x v="0"/>
    <s v="Social Science"/>
    <s v="9780745687100"/>
    <m/>
    <n v="0"/>
    <m/>
    <m/>
    <s v="Yes"/>
    <x v="0"/>
    <d v="2015-09-24T06:54:36"/>
    <n v="7"/>
    <s v="173.225.62.67"/>
    <s v="HV6322.7 .S53 2015"/>
    <n v="364.15100000000001"/>
    <d v="2015-06-24T00:00:00"/>
  </r>
  <r>
    <x v="7223"/>
    <d v="1899-12-30T00:00:00"/>
    <x v="1683"/>
    <x v="9"/>
    <s v="trocaire"/>
    <x v="1600"/>
    <n v="2075660"/>
    <x v="0"/>
    <s v="Social Science"/>
    <s v="9780745687100"/>
    <m/>
    <n v="0"/>
    <m/>
    <m/>
    <s v="No"/>
    <x v="0"/>
    <d v="2015-09-24T06:54:36"/>
    <n v="7"/>
    <s v="173.225.62.67"/>
    <s v="HV6322.7 .S53 2015"/>
    <n v="364.15100000000001"/>
    <d v="2015-06-24T00:00:00"/>
  </r>
  <r>
    <x v="7224"/>
    <d v="1899-12-30T00:01:37"/>
    <x v="1683"/>
    <x v="9"/>
    <s v="trocaire"/>
    <x v="1599"/>
    <n v="1985781"/>
    <x v="0"/>
    <s v="History"/>
    <s v="9781118714331"/>
    <s v=",1,2,1,3,4,5,6,7,8"/>
    <n v="8"/>
    <m/>
    <m/>
    <s v="No"/>
    <x v="3"/>
    <m/>
    <m/>
    <s v="173.225.62.67"/>
    <s v="E77 .O24 2015"/>
    <n v="970.00496999999996"/>
    <d v="2010-01-15T00:00:00"/>
  </r>
  <r>
    <x v="7225"/>
    <d v="1899-12-30T00:00:50"/>
    <x v="1683"/>
    <x v="9"/>
    <s v="trocaire"/>
    <x v="1600"/>
    <n v="2075660"/>
    <x v="0"/>
    <s v="Social Science"/>
    <s v="9780745687100"/>
    <s v=",1,1,2,3,4,5,6,7,8,9,10"/>
    <n v="10"/>
    <m/>
    <m/>
    <s v="No"/>
    <x v="3"/>
    <m/>
    <m/>
    <s v="173.225.62.67"/>
    <s v="HV6322.7 .S53 2015"/>
    <n v="364.15100000000001"/>
    <d v="2015-06-24T00:00:00"/>
  </r>
  <r>
    <x v="7226"/>
    <d v="1899-12-30T00:00:00"/>
    <x v="1683"/>
    <x v="9"/>
    <s v="trocaire"/>
    <x v="1601"/>
    <n v="2081167"/>
    <x v="0"/>
    <s v="Political Science; History"/>
    <s v="9780745696003"/>
    <m/>
    <n v="0"/>
    <m/>
    <m/>
    <s v="Yes"/>
    <x v="0"/>
    <d v="2015-09-24T06:52:58"/>
    <n v="7"/>
    <s v="173.225.62.67"/>
    <s v="DS109.95 .S55 2015"/>
    <n v="320.95694420000001"/>
    <d v="2015-05-29T00:00:00"/>
  </r>
  <r>
    <x v="7226"/>
    <d v="1899-12-30T00:00:00"/>
    <x v="1683"/>
    <x v="9"/>
    <s v="trocaire"/>
    <x v="1601"/>
    <n v="2081167"/>
    <x v="0"/>
    <s v="Political Science; History"/>
    <s v="9780745696003"/>
    <m/>
    <n v="0"/>
    <m/>
    <m/>
    <s v="No"/>
    <x v="0"/>
    <d v="2015-09-24T06:52:58"/>
    <n v="7"/>
    <s v="173.225.62.67"/>
    <s v="DS109.95 .S55 2015"/>
    <n v="320.95694420000001"/>
    <d v="2015-05-29T00:00:00"/>
  </r>
  <r>
    <x v="7227"/>
    <d v="1899-12-30T00:00:00"/>
    <x v="1683"/>
    <x v="9"/>
    <s v="trocaire"/>
    <x v="1602"/>
    <n v="2089472"/>
    <x v="0"/>
    <s v="Philosophy"/>
    <s v="9780745687582"/>
    <m/>
    <n v="0"/>
    <m/>
    <m/>
    <s v="Yes"/>
    <x v="0"/>
    <d v="2015-09-24T06:52:18"/>
    <n v="7"/>
    <s v="173.225.62.67"/>
    <s v="BD311 .G3313 2015"/>
    <n v="111"/>
    <d v="2015-07-06T00:00:00"/>
  </r>
  <r>
    <x v="7227"/>
    <d v="1899-12-30T00:00:00"/>
    <x v="1683"/>
    <x v="9"/>
    <s v="trocaire"/>
    <x v="1602"/>
    <n v="2089472"/>
    <x v="0"/>
    <s v="Philosophy"/>
    <s v="9780745687582"/>
    <m/>
    <n v="0"/>
    <m/>
    <m/>
    <s v="No"/>
    <x v="0"/>
    <d v="2015-09-24T06:52:18"/>
    <n v="7"/>
    <s v="173.225.62.67"/>
    <s v="BD311 .G3313 2015"/>
    <n v="111"/>
    <d v="2015-07-06T00:00:00"/>
  </r>
  <r>
    <x v="7228"/>
    <d v="1899-12-30T00:01:01"/>
    <x v="1683"/>
    <x v="9"/>
    <s v="trocaire"/>
    <x v="1601"/>
    <n v="2081167"/>
    <x v="0"/>
    <s v="Political Science; History"/>
    <s v="9780745696003"/>
    <s v=",1,2,1,3,4,5,6,7,8"/>
    <n v="8"/>
    <m/>
    <m/>
    <s v="No"/>
    <x v="3"/>
    <m/>
    <m/>
    <s v="173.225.62.67"/>
    <s v="DS109.95 .S55 2015"/>
    <n v="320.95694420000001"/>
    <d v="2015-05-29T00:00:00"/>
  </r>
  <r>
    <x v="7229"/>
    <d v="1899-12-30T00:00:50"/>
    <x v="1683"/>
    <x v="9"/>
    <s v="trocaire"/>
    <x v="1602"/>
    <n v="2089472"/>
    <x v="0"/>
    <s v="Philosophy"/>
    <s v="9780745687582"/>
    <s v=",1,2,3,4,5,6,7,8"/>
    <n v="8"/>
    <m/>
    <m/>
    <s v="No"/>
    <x v="3"/>
    <m/>
    <m/>
    <s v="173.225.62.67"/>
    <s v="BD311 .G3313 2015"/>
    <n v="111"/>
    <d v="2015-07-06T00:00:00"/>
  </r>
  <r>
    <x v="7230"/>
    <d v="1899-12-30T00:00:00"/>
    <x v="1683"/>
    <x v="9"/>
    <s v="trocaire"/>
    <x v="1603"/>
    <n v="2075649"/>
    <x v="0"/>
    <s v="Political Science"/>
    <s v="9780745682709"/>
    <m/>
    <n v="0"/>
    <m/>
    <m/>
    <s v="Yes"/>
    <x v="0"/>
    <d v="2015-09-24T06:50:37"/>
    <n v="7"/>
    <s v="173.225.62.67"/>
    <s v="JC328.3 .S375 2015"/>
    <n v="323.04399999999998"/>
    <d v="2015-07-09T00:00:00"/>
  </r>
  <r>
    <x v="7230"/>
    <d v="1899-12-30T00:00:00"/>
    <x v="1683"/>
    <x v="9"/>
    <s v="trocaire"/>
    <x v="1603"/>
    <n v="2075649"/>
    <x v="0"/>
    <s v="Political Science"/>
    <s v="9780745682709"/>
    <m/>
    <n v="0"/>
    <m/>
    <m/>
    <s v="No"/>
    <x v="0"/>
    <d v="2015-09-24T06:50:37"/>
    <n v="7"/>
    <s v="173.225.62.67"/>
    <s v="JC328.3 .S375 2015"/>
    <n v="323.04399999999998"/>
    <d v="2015-07-09T00:00:00"/>
  </r>
  <r>
    <x v="7231"/>
    <d v="1899-12-30T00:00:56"/>
    <x v="1683"/>
    <x v="9"/>
    <s v="trocaire"/>
    <x v="1603"/>
    <n v="2075649"/>
    <x v="0"/>
    <s v="Political Science"/>
    <s v="9780745682709"/>
    <s v=",1,2,3,4,5,6,7,8,9"/>
    <n v="9"/>
    <m/>
    <m/>
    <s v="No"/>
    <x v="3"/>
    <m/>
    <m/>
    <s v="173.225.62.67"/>
    <s v="JC328.3 .S375 2015"/>
    <n v="323.04399999999998"/>
    <d v="2015-07-09T00:00:00"/>
  </r>
  <r>
    <x v="7232"/>
    <d v="1899-12-30T00:00:00"/>
    <x v="1683"/>
    <x v="9"/>
    <s v="trocaire"/>
    <x v="665"/>
    <n v="2006091"/>
    <x v="0"/>
    <s v="Literature"/>
    <s v="9781118780961"/>
    <m/>
    <n v="0"/>
    <m/>
    <m/>
    <s v="Yes"/>
    <x v="0"/>
    <d v="2015-09-23T15:13:38"/>
    <n v="7"/>
    <s v="173.225.62.67"/>
    <s v="PN56.P555 P674 2015"/>
    <s v="809/.93358"/>
    <d v="2014-10-24T00:00:00"/>
  </r>
  <r>
    <x v="7233"/>
    <d v="1899-12-30T00:00:11"/>
    <x v="1683"/>
    <x v="9"/>
    <s v="trocaire"/>
    <x v="665"/>
    <n v="2006091"/>
    <x v="0"/>
    <s v="Literature"/>
    <s v="9781118780961"/>
    <s v=",1,1,3,2"/>
    <n v="3"/>
    <m/>
    <m/>
    <s v="No"/>
    <x v="0"/>
    <d v="2015-09-23T15:13:38"/>
    <n v="7"/>
    <s v="173.225.62.67"/>
    <s v="PN56.P555 P674 2015"/>
    <s v="809/.93358"/>
    <d v="2014-10-24T00:00:00"/>
  </r>
  <r>
    <x v="7234"/>
    <d v="1899-12-30T00:00:00"/>
    <x v="1683"/>
    <x v="9"/>
    <s v="trocaire"/>
    <x v="1604"/>
    <n v="2075667"/>
    <x v="0"/>
    <s v="Health; Social Science; Medicine"/>
    <s v="9780745698045"/>
    <m/>
    <n v="0"/>
    <m/>
    <m/>
    <s v="Yes"/>
    <x v="0"/>
    <d v="2015-09-24T06:45:00"/>
    <n v="7"/>
    <s v="173.225.62.67"/>
    <s v="RC560 .S43 R42 2015"/>
    <n v="362.27"/>
    <d v="2015-08-06T00:00:00"/>
  </r>
  <r>
    <x v="7234"/>
    <d v="1899-12-30T00:00:00"/>
    <x v="1683"/>
    <x v="9"/>
    <s v="trocaire"/>
    <x v="1604"/>
    <n v="2075667"/>
    <x v="0"/>
    <s v="Health; Social Science; Medicine"/>
    <s v="9780745698045"/>
    <m/>
    <n v="0"/>
    <m/>
    <m/>
    <s v="No"/>
    <x v="0"/>
    <d v="2015-09-24T06:45:00"/>
    <n v="7"/>
    <s v="173.225.62.67"/>
    <s v="RC560 .S43 R42 2015"/>
    <n v="362.27"/>
    <d v="2015-08-06T00:00:00"/>
  </r>
  <r>
    <x v="7235"/>
    <d v="1899-12-30T00:00:08"/>
    <x v="1683"/>
    <x v="9"/>
    <s v="trocaire"/>
    <x v="1519"/>
    <n v="2072491"/>
    <x v="0"/>
    <s v="Social Science"/>
    <s v="9780745698175"/>
    <s v=",1,2,1,3"/>
    <n v="3"/>
    <m/>
    <m/>
    <s v="No"/>
    <x v="0"/>
    <d v="2015-09-23T15:11:42"/>
    <n v="7"/>
    <s v="173.225.62.67"/>
    <s v="HN49 .R33 B43 2015"/>
    <s v="303.48; 303.484"/>
    <d v="2015-08-06T00:00:00"/>
  </r>
  <r>
    <x v="7236"/>
    <d v="1899-12-30T00:01:37"/>
    <x v="1683"/>
    <x v="9"/>
    <s v="trocaire"/>
    <x v="1604"/>
    <n v="2075667"/>
    <x v="0"/>
    <s v="Health; Social Science; Medicine"/>
    <s v="9780745698045"/>
    <s v=",1,1,2,3,4,5,6,7"/>
    <n v="7"/>
    <m/>
    <m/>
    <s v="No"/>
    <x v="3"/>
    <m/>
    <m/>
    <s v="173.225.62.67"/>
    <s v="RC560 .S43 R42 2015"/>
    <n v="362.27"/>
    <d v="2015-08-06T00:00:00"/>
  </r>
  <r>
    <x v="7237"/>
    <d v="1899-12-30T00:00:00"/>
    <x v="1683"/>
    <x v="9"/>
    <s v="trocaire"/>
    <x v="646"/>
    <n v="2198556"/>
    <x v="0"/>
    <m/>
    <s v="9781118905166"/>
    <m/>
    <n v="0"/>
    <m/>
    <m/>
    <s v="Yes"/>
    <x v="0"/>
    <d v="2015-09-24T06:39:22"/>
    <n v="7"/>
    <s v="173.225.62.67"/>
    <m/>
    <m/>
    <d v="2015-08-27T00:00:00"/>
  </r>
  <r>
    <x v="7237"/>
    <d v="1899-12-30T00:00:00"/>
    <x v="1683"/>
    <x v="9"/>
    <s v="trocaire"/>
    <x v="646"/>
    <n v="2198556"/>
    <x v="0"/>
    <m/>
    <s v="9781118905166"/>
    <m/>
    <n v="0"/>
    <m/>
    <m/>
    <s v="No"/>
    <x v="0"/>
    <d v="2015-09-24T06:39:22"/>
    <n v="7"/>
    <s v="173.225.62.67"/>
    <m/>
    <m/>
    <d v="2015-08-27T00:00:00"/>
  </r>
  <r>
    <x v="7238"/>
    <d v="1899-12-30T00:02:41"/>
    <x v="1684"/>
    <x v="1"/>
    <s v="brockport"/>
    <x v="1605"/>
    <n v="1610017"/>
    <x v="1"/>
    <s v="Social Science; Health"/>
    <s v="9781472412362"/>
    <s v=",1,2,3,32,33,34,30,31,35"/>
    <n v="9"/>
    <m/>
    <m/>
    <s v="No"/>
    <x v="3"/>
    <m/>
    <m/>
    <s v="137.21.7.121"/>
    <s v="HV40 -- .H863 2014eb"/>
    <n v="362"/>
    <d v="2014-03-28T00:00:00"/>
  </r>
  <r>
    <x v="7239"/>
    <d v="1899-12-30T00:00:56"/>
    <x v="1683"/>
    <x v="9"/>
    <s v="trocaire"/>
    <x v="646"/>
    <n v="2198556"/>
    <x v="0"/>
    <m/>
    <s v="9781118905166"/>
    <s v=",1,2,1,3,4,4,5"/>
    <n v="5"/>
    <m/>
    <m/>
    <s v="No"/>
    <x v="3"/>
    <m/>
    <m/>
    <s v="173.225.62.67"/>
    <m/>
    <m/>
    <d v="2015-08-27T00:00:00"/>
  </r>
  <r>
    <x v="7240"/>
    <d v="1899-12-30T00:00:35"/>
    <x v="1685"/>
    <x v="0"/>
    <s v="Buffalo"/>
    <x v="509"/>
    <n v="1115640"/>
    <x v="0"/>
    <s v="Engineering: Civil; Engineering: Construction; Engineering"/>
    <s v="9781118419090"/>
    <s v=",1,2,3,69,70,71,67,68,72"/>
    <n v="9"/>
    <m/>
    <m/>
    <s v="No"/>
    <x v="1"/>
    <m/>
    <m/>
    <s v="128.205.114.91"/>
    <s v="TH375 -- .S77 2013eb"/>
    <n v="624"/>
    <d v="2013-01-22T00:00:00"/>
  </r>
  <r>
    <x v="7241"/>
    <d v="1899-12-30T00:03:11"/>
    <x v="13"/>
    <x v="0"/>
    <s v="Buffalo"/>
    <x v="73"/>
    <n v="1119505"/>
    <x v="0"/>
    <s v="Science: Chemistry; Science"/>
    <s v="9781118355015"/>
    <s v=",1,2,3,65,67,66,65,61,62,63,64"/>
    <n v="10"/>
    <m/>
    <m/>
    <s v="No"/>
    <x v="0"/>
    <d v="2015-09-22T20:22:23"/>
    <n v="7"/>
    <s v="128.205.114.91"/>
    <s v="QD251.3 -- .S38 2013eb"/>
    <s v="547/.128"/>
    <d v="2013-01-28T00:00:00"/>
  </r>
  <r>
    <x v="7242"/>
    <d v="1899-12-30T00:00:22"/>
    <x v="512"/>
    <x v="0"/>
    <s v="Buffalo"/>
    <x v="1606"/>
    <n v="2058094"/>
    <x v="1"/>
    <s v="Architecture"/>
    <s v="9781472416537"/>
    <s v=",1,3,2,80,82,81,78,79"/>
    <n v="8"/>
    <m/>
    <m/>
    <s v="No"/>
    <x v="3"/>
    <m/>
    <m/>
    <s v="128.205.114.91"/>
    <s v="NA6821 .S48 2015"/>
    <s v="725''.822090; 725.8220904; 725/.8220904"/>
    <d v="2015-07-28T00:00:00"/>
  </r>
  <r>
    <x v="7243"/>
    <d v="1899-12-30T00:03:41"/>
    <x v="13"/>
    <x v="0"/>
    <s v="Buffalo"/>
    <x v="509"/>
    <n v="1115640"/>
    <x v="0"/>
    <s v="Engineering: Civil; Engineering: Construction; Engineering"/>
    <s v="9781118419090"/>
    <s v=",1,2,3,4,5,6,7,8,9,16,20,10,19,53,60,81,95,102,109,116,122,129,136,150,157,171,192,185,199,205,222,73,72,74,70,71,75,76,77,78,79,80,69,67,68,66,65,64,62,63,61,59,57,58,55,56,54,51,52,49,50,47,46,48,45,44,43,42,39,41,40,38,37,35,36,33,34,32,31,30,29,27,28,25,26,24,23,22,21,18,17,14,15"/>
    <n v="93"/>
    <m/>
    <m/>
    <s v="No"/>
    <x v="0"/>
    <d v="2015-09-18T13:33:26"/>
    <n v="7"/>
    <s v="128.205.114.91"/>
    <s v="TH375 -- .S77 2013eb"/>
    <n v="624"/>
    <d v="2013-01-22T00:00:00"/>
  </r>
  <r>
    <x v="7244"/>
    <d v="1899-12-30T00:00:01"/>
    <x v="1668"/>
    <x v="0"/>
    <s v="Buffalo"/>
    <x v="509"/>
    <n v="1115640"/>
    <x v="0"/>
    <s v="Engineering: Civil; Engineering: Construction; Engineering"/>
    <s v="9781118419090"/>
    <s v=",14"/>
    <n v="1"/>
    <m/>
    <m/>
    <s v="No"/>
    <x v="0"/>
    <d v="2015-09-24T04:15:24"/>
    <n v="7"/>
    <s v="128.205.114.91"/>
    <s v="TH375 -- .S77 2013eb"/>
    <n v="624"/>
    <d v="2013-01-22T00:00:00"/>
  </r>
  <r>
    <x v="7245"/>
    <d v="1899-12-30T00:00:00"/>
    <x v="1686"/>
    <x v="0"/>
    <s v="Buffalo"/>
    <x v="509"/>
    <n v="1115640"/>
    <x v="0"/>
    <s v="Engineering: Civil; Engineering: Construction; Engineering"/>
    <s v="9781118419090"/>
    <m/>
    <n v="0"/>
    <m/>
    <s v=",17,18,19,20,21,22,23,24,25,26,27,28,29,30,31,32,33,34,35,36,37,38,39,40,41,42,43,44,45,46,47,48,49,50,51,52,53,54,55,56,57,58,59,60,61,62,63,64,65,66,67,68,69,70,71,72,73,74,75,76,77,78"/>
    <s v="No"/>
    <x v="0"/>
    <d v="2015-09-24T04:04:50"/>
    <n v="7"/>
    <s v="128.205.114.91"/>
    <s v="TH375 -- .S77 2013eb"/>
    <n v="624"/>
    <d v="2013-01-22T00:00:00"/>
  </r>
  <r>
    <x v="7246"/>
    <d v="1899-12-30T00:01:16"/>
    <x v="1686"/>
    <x v="0"/>
    <s v="Buffalo"/>
    <x v="509"/>
    <n v="1115640"/>
    <x v="0"/>
    <s v="Engineering: Civil; Engineering: Construction; Engineering"/>
    <s v="9781118419090"/>
    <s v=",1,2,3,4"/>
    <n v="4"/>
    <m/>
    <m/>
    <s v="No"/>
    <x v="1"/>
    <m/>
    <m/>
    <s v="128.205.114.91"/>
    <s v="TH375 -- .S77 2013eb"/>
    <n v="624"/>
    <d v="2013-01-22T00:00:00"/>
  </r>
  <r>
    <x v="7247"/>
    <d v="1899-12-30T00:00:00"/>
    <x v="1687"/>
    <x v="0"/>
    <s v="Buffalo"/>
    <x v="509"/>
    <n v="1115640"/>
    <x v="0"/>
    <s v="Engineering: Civil; Engineering: Construction; Engineering"/>
    <s v="9781118419090"/>
    <m/>
    <n v="0"/>
    <m/>
    <s v=",17,18,19,20,21,22,23,24,25,26,27,28,29,30,31,32,33,34,35,36,37,38,39,40,41,42,43,44,45,46,47,48,49,50,51,52,53,54,55,56,57,58,59,60,61,62,63,64,65,66,67,68,69,70,71,72,73,74,75,76,77,78"/>
    <s v="No"/>
    <x v="0"/>
    <d v="2015-09-24T04:03:19"/>
    <n v="7"/>
    <s v="128.205.114.91"/>
    <s v="TH375 -- .S77 2013eb"/>
    <n v="624"/>
    <d v="2013-01-22T00:00:00"/>
  </r>
  <r>
    <x v="7248"/>
    <d v="1899-12-30T00:00:22"/>
    <x v="1687"/>
    <x v="0"/>
    <s v="Buffalo"/>
    <x v="509"/>
    <n v="1115640"/>
    <x v="0"/>
    <s v="Engineering: Civil; Engineering: Construction; Engineering"/>
    <s v="9781118419090"/>
    <s v=",1,3,2"/>
    <n v="3"/>
    <m/>
    <m/>
    <s v="No"/>
    <x v="1"/>
    <m/>
    <m/>
    <s v="128.205.114.91"/>
    <s v="TH375 -- .S77 2013eb"/>
    <n v="624"/>
    <d v="2013-01-22T00:00:00"/>
  </r>
  <r>
    <x v="7249"/>
    <d v="1899-12-30T01:02:29"/>
    <x v="13"/>
    <x v="0"/>
    <s v="Buffalo"/>
    <x v="509"/>
    <n v="1115640"/>
    <x v="0"/>
    <s v="Engineering: Civil; Engineering: Construction; Engineering"/>
    <s v="9781118419090"/>
    <s v=",1,2,3,4,5,6,7,8,9,10,11,12,13,14,15,16,17,18,19,17,20,21,22,23,24,25,26,27,28,29,30,31,32,33,34,35,36,37,38,39,40,41,42,43,44,45,46,47,48,49,50,51"/>
    <n v="51"/>
    <m/>
    <m/>
    <s v="No"/>
    <x v="0"/>
    <d v="2015-09-18T13:33:26"/>
    <n v="7"/>
    <s v="128.205.114.91"/>
    <s v="TH375 -- .S77 2013eb"/>
    <n v="624"/>
    <d v="2013-01-22T00:00:00"/>
  </r>
  <r>
    <x v="7250"/>
    <d v="1899-12-30T01:01:38"/>
    <x v="13"/>
    <x v="0"/>
    <s v="Buffalo"/>
    <x v="509"/>
    <n v="1115640"/>
    <x v="0"/>
    <s v="Engineering: Civil; Engineering: Construction; Engineering"/>
    <s v="9781118419090"/>
    <s v=",1,2,3,17,18,19,16,15,20,21,22,23,24,25,26,27,28,29,30,31,32,33,34,35,36,37,38,41,46,47,48,44,45,43,42,40,39"/>
    <n v="37"/>
    <m/>
    <m/>
    <s v="No"/>
    <x v="0"/>
    <d v="2015-09-18T13:33:26"/>
    <n v="7"/>
    <s v="128.205.114.91"/>
    <s v="TH375 -- .S77 2013eb"/>
    <n v="624"/>
    <d v="2013-01-22T00:00:00"/>
  </r>
  <r>
    <x v="7251"/>
    <d v="1899-12-30T00:32:41"/>
    <x v="1668"/>
    <x v="0"/>
    <s v="Buffalo"/>
    <x v="509"/>
    <n v="1115640"/>
    <x v="0"/>
    <s v="Engineering: Civil; Engineering: Construction; Engineering"/>
    <s v="9781118419090"/>
    <s v=",1,2,3,4,5,6,7,8,9,7,8,9,13,10,11,12"/>
    <n v="13"/>
    <m/>
    <m/>
    <s v="No"/>
    <x v="1"/>
    <m/>
    <m/>
    <s v="128.205.114.91"/>
    <s v="TH375 -- .S77 2013eb"/>
    <n v="624"/>
    <d v="2013-01-22T00:00:00"/>
  </r>
  <r>
    <x v="7252"/>
    <d v="1899-12-30T00:01:21"/>
    <x v="13"/>
    <x v="0"/>
    <s v="Buffalo"/>
    <x v="509"/>
    <n v="1115640"/>
    <x v="0"/>
    <s v="Engineering: Civil; Engineering: Construction; Engineering"/>
    <s v="9781118419090"/>
    <s v=",20,21"/>
    <n v="2"/>
    <s v=",17,17"/>
    <s v=",17,18,19,20,21,22,23,24,25,26,27,28,29,30,31,32,33,34,35,36,37,38,39,40,41,42,43,44,45,46,47,48,49,50,51,52,53,54,55,56,57,58,59,60,61,62,63,64,65,66,67,68,69,70,71,72,73,74,75,76,77,78"/>
    <s v="Yes"/>
    <x v="0"/>
    <d v="2015-09-18T13:33:26"/>
    <n v="7"/>
    <s v="128.205.114.91"/>
    <s v="TH375 -- .S77 2013eb"/>
    <n v="624"/>
    <d v="2013-01-22T00:00:00"/>
  </r>
  <r>
    <x v="7253"/>
    <d v="1899-12-30T00:00:00"/>
    <x v="13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18T13:33:26"/>
    <n v="7"/>
    <s v="128.205.114.91"/>
    <s v="TH375 -- .S77 2013eb"/>
    <n v="624"/>
    <d v="2013-01-22T00:00:00"/>
  </r>
  <r>
    <x v="7254"/>
    <d v="1899-12-30T00:00:00"/>
    <x v="13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18T13:33:26"/>
    <n v="7"/>
    <s v="128.205.114.91"/>
    <s v="TH375 -- .S77 2013eb"/>
    <n v="624"/>
    <d v="2013-01-22T00:00:00"/>
  </r>
  <r>
    <x v="7255"/>
    <d v="1899-12-30T00:01:01"/>
    <x v="1668"/>
    <x v="0"/>
    <s v="Buffalo"/>
    <x v="509"/>
    <n v="1115640"/>
    <x v="0"/>
    <s v="Engineering: Civil; Engineering: Construction; Engineering"/>
    <s v="9781118419090"/>
    <s v=",1,2,3,4,5,6,7,9,8,10,11,12,13"/>
    <n v="13"/>
    <m/>
    <m/>
    <s v="No"/>
    <x v="1"/>
    <m/>
    <m/>
    <s v="128.205.114.91"/>
    <s v="TH375 -- .S77 2013eb"/>
    <n v="624"/>
    <d v="2013-01-22T00:00:00"/>
  </r>
  <r>
    <x v="7256"/>
    <d v="1899-12-30T00:00:00"/>
    <x v="13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18T13:33:26"/>
    <n v="7"/>
    <s v="128.205.114.91"/>
    <s v="TH375 -- .S77 2013eb"/>
    <n v="624"/>
    <d v="2013-01-22T00:00:00"/>
  </r>
  <r>
    <x v="7257"/>
    <d v="1899-12-30T00:02:32"/>
    <x v="13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0"/>
    <d v="2015-09-18T13:33:26"/>
    <n v="7"/>
    <s v="128.205.114.91"/>
    <s v="TH375 -- .S77 2013eb"/>
    <n v="624"/>
    <d v="2013-01-22T00:00:00"/>
  </r>
  <r>
    <x v="7258"/>
    <d v="1899-12-30T00:00:20"/>
    <x v="1668"/>
    <x v="0"/>
    <s v="Buffalo"/>
    <x v="509"/>
    <n v="1115640"/>
    <x v="0"/>
    <s v="Engineering: Civil; Engineering: Construction; Engineering"/>
    <s v="9781118419090"/>
    <s v=",1,3,2,4,5"/>
    <n v="5"/>
    <m/>
    <m/>
    <s v="No"/>
    <x v="1"/>
    <m/>
    <m/>
    <s v="128.205.114.91"/>
    <s v="TH375 -- .S77 2013eb"/>
    <n v="624"/>
    <d v="2013-01-22T00:00:00"/>
  </r>
  <r>
    <x v="7259"/>
    <d v="1899-12-30T00:01:28"/>
    <x v="13"/>
    <x v="0"/>
    <s v="Buffalo"/>
    <x v="509"/>
    <n v="1115640"/>
    <x v="0"/>
    <s v="Engineering: Civil; Engineering: Construction; Engineering"/>
    <s v="9781118419090"/>
    <s v=",1,17,18,19,15,16,2,20,23,6,5,7,3,4,8,9,10,11,12,13,14"/>
    <n v="21"/>
    <m/>
    <m/>
    <s v="No"/>
    <x v="0"/>
    <d v="2015-09-18T13:33:26"/>
    <n v="7"/>
    <s v="128.205.114.91"/>
    <s v="TH375 -- .S77 2013eb"/>
    <n v="624"/>
    <d v="2013-01-22T00:00:00"/>
  </r>
  <r>
    <x v="7260"/>
    <d v="1899-12-30T00:02:51"/>
    <x v="746"/>
    <x v="13"/>
    <s v="buffalostate"/>
    <x v="516"/>
    <n v="1840835"/>
    <x v="0"/>
    <s v="Business/Management; Economics"/>
    <s v="9781118950166"/>
    <s v=",1,2,3,25,26,27,23,24,28,29,30,31"/>
    <n v="12"/>
    <m/>
    <m/>
    <s v="No"/>
    <x v="0"/>
    <d v="2015-09-22T20:41:14"/>
    <n v="7"/>
    <s v="136.183.11.43"/>
    <s v="HD9969.S6 .R384 2014"/>
    <n v="338.10923789999998"/>
    <d v="2014-11-10T00:00:00"/>
  </r>
  <r>
    <x v="7261"/>
    <d v="1899-12-30T01:38:51"/>
    <x v="13"/>
    <x v="0"/>
    <s v="Buffalo"/>
    <x v="73"/>
    <n v="1119505"/>
    <x v="0"/>
    <s v="Science: Chemistry; Science"/>
    <s v="9781118355015"/>
    <s v=",1,2,3,75,76,73,77,74,78,79,390,391,392,389,388,73,74,80,76,75,77,78,79,80,61,62,63,59,60,64,65,72,71,70,69,68,67,66,58,57,73,74,81"/>
    <n v="33"/>
    <m/>
    <m/>
    <s v="No"/>
    <x v="0"/>
    <d v="2015-09-22T20:22:23"/>
    <n v="7"/>
    <s v="128.205.114.91"/>
    <s v="QD251.3 -- .S38 2013eb"/>
    <s v="547/.128"/>
    <d v="2013-01-28T00:00:00"/>
  </r>
  <r>
    <x v="7262"/>
    <d v="1899-12-30T00:39:29"/>
    <x v="13"/>
    <x v="0"/>
    <s v="Buffalo"/>
    <x v="509"/>
    <n v="1115640"/>
    <x v="0"/>
    <s v="Engineering: Civil; Engineering: Construction; Engineering"/>
    <s v="9781118419090"/>
    <s v=",1,2,3,4,24,28,29,30,26,27,31,32,33,34,35,36,37,38,39,40,41,42,43,44,45,46,47,48,49,51"/>
    <n v="30"/>
    <m/>
    <m/>
    <s v="No"/>
    <x v="0"/>
    <d v="2015-09-18T13:33:26"/>
    <n v="7"/>
    <s v="128.205.114.91"/>
    <s v="TH375 -- .S77 2013eb"/>
    <n v="624"/>
    <d v="2013-01-22T00:00:00"/>
  </r>
  <r>
    <x v="7263"/>
    <d v="1899-12-30T00:03:06"/>
    <x v="1674"/>
    <x v="0"/>
    <s v="Buffalo"/>
    <x v="3"/>
    <n v="822040"/>
    <x v="0"/>
    <s v="Literature; Psychology"/>
    <s v="9781118289099"/>
    <s v=",1,91,93,90,92,89,94,2,95,96,97,98"/>
    <n v="12"/>
    <m/>
    <m/>
    <s v="No"/>
    <x v="1"/>
    <m/>
    <m/>
    <s v="128.205.114.91"/>
    <s v="BF76.7 -- .B447 2012eb"/>
    <s v="808.06/615"/>
    <d v="2012-03-22T00:00:00"/>
  </r>
  <r>
    <x v="7264"/>
    <d v="1899-12-30T00:03:52"/>
    <x v="1674"/>
    <x v="0"/>
    <s v="Buffalo"/>
    <x v="3"/>
    <n v="822040"/>
    <x v="0"/>
    <s v="Literature; Psychology"/>
    <s v="9781118289099"/>
    <s v=",1,91,92,93,89,90,94,95,2,96,88,87,86,97,98,99,100,101,102,103,104,105,106,107,108,109,110,111,112,4,3,5,6,7,8,9"/>
    <n v="36"/>
    <m/>
    <m/>
    <s v="No"/>
    <x v="1"/>
    <m/>
    <m/>
    <s v="128.205.114.91"/>
    <s v="BF76.7 -- .B447 2012eb"/>
    <s v="808.06/615"/>
    <d v="2012-03-22T00:00:00"/>
  </r>
  <r>
    <x v="7265"/>
    <d v="1899-12-30T00:18:57"/>
    <x v="1578"/>
    <x v="0"/>
    <s v="Buffalo"/>
    <x v="31"/>
    <n v="1682559"/>
    <x v="4"/>
    <s v="Medicine"/>
    <s v="9781462515431"/>
    <s v=",1,2,3,310,311,308,312,309,313,318,319,320,317,315,316,314,321,322,323,324,325,326,327,328,329,330,331,332,333,334,335,336,337,338,339,340,341,342,343,345,344,346,347,348,349,350,351,352,353,354,355,356,357,358,359"/>
    <n v="55"/>
    <m/>
    <m/>
    <s v="No"/>
    <x v="0"/>
    <d v="2015-09-22T22:52:21"/>
    <n v="7"/>
    <s v="128.205.114.91"/>
    <s v="RC469 -- .M677 2014eb"/>
    <n v="616.89"/>
    <d v="2014-05-10T00:00:00"/>
  </r>
  <r>
    <x v="7266"/>
    <d v="1899-12-30T00:31:01"/>
    <x v="1688"/>
    <x v="0"/>
    <s v="Buffalo"/>
    <x v="728"/>
    <n v="1872281"/>
    <x v="4"/>
    <s v="Education; Business/Management"/>
    <s v="9781462519606"/>
    <s v=",1,285,286,287,283,284,285,287,286,284,283,2,288,289,290,291,292,293,294,295,296,297,298,299,300,301,302,303,304,305,306,307,308,309,310,311,312,313,314,315,316,317,318,319,320,321,322,323,324,325"/>
    <n v="45"/>
    <m/>
    <m/>
    <s v="No"/>
    <x v="0"/>
    <d v="2015-09-20T23:19:06"/>
    <n v="7"/>
    <s v="128.205.114.91"/>
    <s v="HD75 -- .P448 2015eb"/>
    <n v="378.101"/>
    <d v="2015-05-26T00:00:00"/>
  </r>
  <r>
    <x v="7267"/>
    <d v="1899-12-30T00:01:32"/>
    <x v="13"/>
    <x v="0"/>
    <s v="Buffalo"/>
    <x v="509"/>
    <n v="1115640"/>
    <x v="0"/>
    <s v="Engineering: Civil; Engineering: Construction; Engineering"/>
    <s v="9781118419090"/>
    <s v=",1,3,2,6,5,4,7,8,9,10,11,12,13,14,15,16,17,18,20,19"/>
    <n v="20"/>
    <m/>
    <m/>
    <s v="No"/>
    <x v="0"/>
    <d v="2015-09-18T13:33:26"/>
    <n v="7"/>
    <s v="128.205.114.91"/>
    <s v="TH375 -- .S77 2013eb"/>
    <n v="624"/>
    <d v="2013-01-22T00:00:00"/>
  </r>
  <r>
    <x v="7268"/>
    <d v="1899-12-30T00:02:03"/>
    <x v="1689"/>
    <x v="0"/>
    <s v="Buffalo"/>
    <x v="3"/>
    <n v="822040"/>
    <x v="0"/>
    <s v="Literature; Psychology"/>
    <s v="9781118289099"/>
    <s v=",1,91,92,93,89,90,2,94,95,96,97,98"/>
    <n v="12"/>
    <m/>
    <m/>
    <s v="No"/>
    <x v="1"/>
    <m/>
    <m/>
    <s v="128.205.114.91"/>
    <s v="BF76.7 -- .B447 2012eb"/>
    <s v="808.06/615"/>
    <d v="2012-03-22T00:00:00"/>
  </r>
  <r>
    <x v="7269"/>
    <d v="1899-12-30T01:25:26"/>
    <x v="1648"/>
    <x v="0"/>
    <s v="Buffalo"/>
    <x v="509"/>
    <n v="1115640"/>
    <x v="0"/>
    <s v="Engineering: Civil; Engineering: Construction; Engineering"/>
    <s v="9781118419090"/>
    <s v=",1,2,3,26,27,28,24,25,29,30,31,32,33,34,35,36,37,38,39,40,41,43,42,44,46,52,49,57,58,60,56,59,61,62,65,68,77,78,75,76,79,80"/>
    <n v="42"/>
    <m/>
    <m/>
    <s v="No"/>
    <x v="0"/>
    <d v="2015-09-21T03:19:50"/>
    <n v="7"/>
    <s v="128.205.114.91"/>
    <s v="TH375 -- .S77 2013eb"/>
    <n v="624"/>
    <d v="2013-01-22T00:00:00"/>
  </r>
  <r>
    <x v="7270"/>
    <d v="1899-12-30T02:55:06"/>
    <x v="1690"/>
    <x v="0"/>
    <s v="Buffalo"/>
    <x v="509"/>
    <n v="1115640"/>
    <x v="0"/>
    <s v="Engineering: Civil; Engineering: Construction; Engineering"/>
    <s v="9781118419090"/>
    <s v=",23,24,25,26,27,28,29,30,31,32,32,33,34,35,36,37,38,39,38,35,39,40,41,42,43,44,45,46,47,48,49,50,51,52,53,54,53,54,55,56,57,58,57,58,59,60,61,62,63,64,65,66,67,68,69,70,71,72,73,74,75,76,77,78,79"/>
    <n v="57"/>
    <m/>
    <m/>
    <s v="Yes"/>
    <x v="0"/>
    <d v="2015-09-24T00:51:06"/>
    <n v="7"/>
    <s v="128.205.114.91"/>
    <s v="TH375 -- .S77 2013eb"/>
    <n v="624"/>
    <d v="2013-01-22T00:00:00"/>
  </r>
  <r>
    <x v="7271"/>
    <d v="1899-12-30T00:00:05"/>
    <x v="1691"/>
    <x v="0"/>
    <s v="Buffalo"/>
    <x v="509"/>
    <n v="1115640"/>
    <x v="0"/>
    <s v="Engineering: Civil; Engineering: Construction; Engineering"/>
    <s v="9781118419090"/>
    <s v=",1,3,2"/>
    <n v="3"/>
    <m/>
    <s v=",37,38,39,40,41,42,43,44,45,46,47,48,49,50,51,52,53,54,55,56,57,58,59,60,61,62,63,64,65,66,67,68,69,70,71,72,73,74,75,76,77,78"/>
    <s v="No"/>
    <x v="0"/>
    <d v="2015-09-23T04:20:45"/>
    <n v="7"/>
    <s v="128.205.114.91"/>
    <s v="TH375 -- .S77 2013eb"/>
    <n v="624"/>
    <d v="2013-01-22T00:00:00"/>
  </r>
  <r>
    <x v="7272"/>
    <d v="1899-12-30T01:03:33"/>
    <x v="13"/>
    <x v="0"/>
    <s v="Buffalo"/>
    <x v="509"/>
    <n v="1115640"/>
    <x v="0"/>
    <s v="Engineering: Civil; Engineering: Construction; Engineering"/>
    <s v="9781118419090"/>
    <s v=",1,14,16,15,12,13,17,18,19,2,20,21,22,23,24,25,26,27,28,29,30,31,1,31,33,29,32,30,26,27,28,24,25,2,34,35,36,37,38,39,40,41,42,43,44,45,46,47,48,49,50,51,52,53,54,55,56,57,58,59,60,61,62,63,64,65,66,67,68,69,70,71,72,73,74,75,76,77,78,79,80"/>
    <n v="71"/>
    <m/>
    <m/>
    <s v="No"/>
    <x v="0"/>
    <d v="2015-09-18T13:33:26"/>
    <n v="7"/>
    <s v="128.205.114.91"/>
    <s v="TH375 -- .S77 2013eb"/>
    <n v="624"/>
    <d v="2013-01-22T00:00:00"/>
  </r>
  <r>
    <x v="7273"/>
    <d v="1899-12-30T00:00:42"/>
    <x v="1642"/>
    <x v="0"/>
    <s v="Buffalo"/>
    <x v="509"/>
    <n v="1115640"/>
    <x v="0"/>
    <s v="Engineering: Civil; Engineering: Construction; Engineering"/>
    <s v="9781118419090"/>
    <s v=",26,27,28,24,25,29,30,31,32,33,34,35,36,37"/>
    <n v="14"/>
    <m/>
    <m/>
    <s v="No"/>
    <x v="0"/>
    <d v="2015-09-24T01:00:55"/>
    <n v="7"/>
    <s v="128.205.114.91"/>
    <s v="TH375 -- .S77 2013eb"/>
    <n v="624"/>
    <d v="2013-01-22T00:00:00"/>
  </r>
  <r>
    <x v="7274"/>
    <d v="1899-12-30T00:17:45"/>
    <x v="1648"/>
    <x v="0"/>
    <s v="Buffalo"/>
    <x v="509"/>
    <n v="1115640"/>
    <x v="0"/>
    <s v="Engineering: Civil; Engineering: Construction; Engineering"/>
    <s v="9781118419090"/>
    <s v=",1,2,3,26,27,28,25,24,29"/>
    <n v="9"/>
    <m/>
    <m/>
    <s v="No"/>
    <x v="0"/>
    <d v="2015-09-21T03:19:50"/>
    <n v="7"/>
    <s v="128.205.114.91"/>
    <s v="TH375 -- .S77 2013eb"/>
    <n v="624"/>
    <d v="2013-01-22T00:00:00"/>
  </r>
  <r>
    <x v="7275"/>
    <d v="1899-12-30T00:17:24"/>
    <x v="1690"/>
    <x v="0"/>
    <s v="Buffalo"/>
    <x v="509"/>
    <n v="1115640"/>
    <x v="0"/>
    <s v="Engineering: Civil; Engineering: Construction; Engineering"/>
    <s v="9781118419090"/>
    <s v=",18,19,20,21,22"/>
    <n v="5"/>
    <m/>
    <m/>
    <s v="No"/>
    <x v="0"/>
    <d v="2015-09-24T00:51:06"/>
    <n v="7"/>
    <s v="128.205.114.91"/>
    <s v="TH375 -- .S77 2013eb"/>
    <n v="624"/>
    <d v="2013-01-22T00:00:00"/>
  </r>
  <r>
    <x v="7276"/>
    <d v="1899-12-30T00:11:32"/>
    <x v="1642"/>
    <x v="0"/>
    <s v="Buffalo"/>
    <x v="509"/>
    <n v="1115640"/>
    <x v="0"/>
    <s v="Engineering: Civil; Engineering: Construction; Engineering"/>
    <s v="9781118419090"/>
    <s v=",1,2,3,4,5,6,7,8,9,10,11,12,13,14,15,16,17,18,19,20,21,22"/>
    <n v="22"/>
    <m/>
    <m/>
    <s v="No"/>
    <x v="1"/>
    <m/>
    <m/>
    <s v="128.205.114.91"/>
    <s v="TH375 -- .S77 2013eb"/>
    <n v="624"/>
    <d v="2013-01-22T00:00:00"/>
  </r>
  <r>
    <x v="7277"/>
    <d v="1899-12-30T00:02:29"/>
    <x v="1690"/>
    <x v="0"/>
    <s v="Buffalo"/>
    <x v="509"/>
    <n v="1115640"/>
    <x v="0"/>
    <s v="Engineering: Civil; Engineering: Construction; Engineering"/>
    <s v="9781118419090"/>
    <s v=",1,3,2,20,21,22"/>
    <n v="6"/>
    <m/>
    <m/>
    <s v="No"/>
    <x v="1"/>
    <m/>
    <m/>
    <s v="128.205.114.91"/>
    <s v="TH375 -- .S77 2013eb"/>
    <n v="624"/>
    <d v="2013-01-22T00:00:00"/>
  </r>
  <r>
    <x v="7278"/>
    <d v="1899-12-30T03:11:54"/>
    <x v="13"/>
    <x v="0"/>
    <s v="Buffalo"/>
    <x v="509"/>
    <n v="1115640"/>
    <x v="0"/>
    <s v="Engineering: Civil; Engineering: Construction; Engineering"/>
    <s v="9781118419090"/>
    <s v=",1,2,3,4,5,6,7,8,9,10,11,12,13,14,15,16,17,18,19,17,20,21,22,23,24,25,18,19,26,27,28,29,23,28,29,24,30,25,31,26,32,27,33,34,35,36,37"/>
    <n v="37"/>
    <m/>
    <m/>
    <s v="No"/>
    <x v="0"/>
    <d v="2015-09-18T13:33:26"/>
    <n v="7"/>
    <s v="128.205.114.91"/>
    <s v="TH375 -- .S77 2013eb"/>
    <n v="624"/>
    <d v="2013-01-22T00:00:00"/>
  </r>
  <r>
    <x v="7279"/>
    <d v="1899-12-30T00:28:46"/>
    <x v="1639"/>
    <x v="0"/>
    <s v="Buffalo"/>
    <x v="509"/>
    <n v="1115640"/>
    <x v="0"/>
    <s v="Engineering: Civil; Engineering: Construction; Engineering"/>
    <s v="9781118419090"/>
    <s v=",2,17,18,19,78,79,80,76,77,3,21,22,23,24,25,26,28,27,12,13,11"/>
    <n v="21"/>
    <s v=",17"/>
    <m/>
    <s v="No"/>
    <x v="0"/>
    <d v="2015-09-24T00:14:14"/>
    <n v="7"/>
    <s v="128.205.114.91"/>
    <s v="TH375 -- .S77 2013eb"/>
    <n v="624"/>
    <d v="2013-01-22T00:00:00"/>
  </r>
  <r>
    <x v="7280"/>
    <d v="1899-12-30T00:00:20"/>
    <x v="1639"/>
    <x v="0"/>
    <s v="Buffalo"/>
    <x v="509"/>
    <n v="1115640"/>
    <x v="0"/>
    <s v="Engineering: Civil; Engineering: Construction; Engineering"/>
    <s v="9781118419090"/>
    <s v=",1,17,18,19,15,16,20,14"/>
    <n v="8"/>
    <m/>
    <m/>
    <s v="No"/>
    <x v="1"/>
    <m/>
    <m/>
    <s v="128.205.114.91"/>
    <s v="TH375 -- .S77 2013eb"/>
    <n v="624"/>
    <d v="2013-01-22T00:00:00"/>
  </r>
  <r>
    <x v="7281"/>
    <d v="1899-12-30T01:55:46"/>
    <x v="1654"/>
    <x v="0"/>
    <s v="Buffalo"/>
    <x v="509"/>
    <n v="1115640"/>
    <x v="0"/>
    <s v="Engineering: Civil; Engineering: Construction; Engineering"/>
    <s v="9781118419090"/>
    <s v=",22,23,24,25,26,27,28,1,28,29,30,26,27,2,25,24,31,32,33,34,35,36,37,39,38,40,41,42,43,44,45,46,47,48,49,50,51"/>
    <n v="32"/>
    <m/>
    <m/>
    <s v="No"/>
    <x v="0"/>
    <d v="2015-09-23T23:53:44"/>
    <n v="7"/>
    <s v="128.205.114.91"/>
    <s v="TH375 -- .S77 2013eb"/>
    <n v="624"/>
    <d v="2013-01-22T00:00:00"/>
  </r>
  <r>
    <x v="7282"/>
    <d v="1899-12-30T00:08:09"/>
    <x v="1654"/>
    <x v="0"/>
    <s v="Buffalo"/>
    <x v="509"/>
    <n v="1115640"/>
    <x v="0"/>
    <s v="Engineering: Civil; Engineering: Construction; Engineering"/>
    <s v="9781118419090"/>
    <s v=",1,2,3,17,268,269,270,271,267,266,265,262,261,263,259,260,254,250,257,241,237,232,223,218,214,205,201,198,194,189,185,180,176,171,167,162,157,153,149,144,139,135,131,126,122,117,112,108,103,99,94,93,95,92,90,91,89,88,87,86,85,84,83,81,82,80,79,78,77,76,75,74,68,35,20,11,12,13,9,10,14,15,16,18,19,21"/>
    <n v="86"/>
    <m/>
    <m/>
    <s v="No"/>
    <x v="1"/>
    <m/>
    <m/>
    <s v="128.205.114.91"/>
    <s v="TH375 -- .S77 2013eb"/>
    <n v="624"/>
    <d v="2013-01-22T00:00:00"/>
  </r>
  <r>
    <x v="7283"/>
    <d v="1899-12-30T00:47:09"/>
    <x v="13"/>
    <x v="0"/>
    <s v="Buffalo"/>
    <x v="509"/>
    <n v="1115640"/>
    <x v="0"/>
    <s v="Engineering: Civil; Engineering: Construction; Engineering"/>
    <s v="9781118419090"/>
    <s v=",1,2,3,4,5,6,7,8,9,10,11,12,13,14,15,16,17,18,19,20,21,22,23,24,25,26,27,28,29"/>
    <n v="29"/>
    <m/>
    <m/>
    <s v="No"/>
    <x v="0"/>
    <d v="2015-09-18T13:33:26"/>
    <n v="7"/>
    <s v="128.205.114.91"/>
    <s v="TH375 -- .S77 2013eb"/>
    <n v="624"/>
    <d v="2013-01-22T00:00:00"/>
  </r>
  <r>
    <x v="7284"/>
    <d v="1899-12-30T00:00:22"/>
    <x v="1692"/>
    <x v="0"/>
    <s v="Buffalo"/>
    <x v="1607"/>
    <n v="1774373"/>
    <x v="4"/>
    <s v="Medicine"/>
    <s v="9781462518609"/>
    <s v=",1,1,2,2,3,3,4,4,5,6,7,8,7,8,11,9,6,11,9,5,12,12,10,10,13,13,2"/>
    <n v="13"/>
    <m/>
    <m/>
    <s v="No"/>
    <x v="3"/>
    <m/>
    <m/>
    <s v="128.205.114.91"/>
    <s v="RC552.T7 -- .M563 2015eb"/>
    <s v="617.1/0652"/>
    <d v="2014-12-19T00:00:00"/>
  </r>
  <r>
    <x v="7285"/>
    <d v="1899-12-30T04:02:21"/>
    <x v="13"/>
    <x v="0"/>
    <s v="Buffalo"/>
    <x v="73"/>
    <n v="1119505"/>
    <x v="0"/>
    <s v="Science: Chemistry; Science"/>
    <s v="9781118355015"/>
    <s v=",1,2,3,52,53,54,50,51,52,53,56,57,61,62,63,64,65,64,63,62,61,62,63,64,65,64,65,66,67,68,61,62,63,64,65,69,70,71,72,73,75,76,408,409,410,411,412,390,391,61,68,408,390,61,62,64"/>
    <n v="32"/>
    <m/>
    <m/>
    <s v="No"/>
    <x v="0"/>
    <d v="2015-09-22T20:22:23"/>
    <n v="7"/>
    <s v="128.205.114.91"/>
    <s v="QD251.3 -- .S38 2013eb"/>
    <s v="547/.128"/>
    <d v="2013-01-28T00:00:00"/>
  </r>
  <r>
    <x v="7286"/>
    <d v="1899-12-30T00:01:42"/>
    <x v="1690"/>
    <x v="0"/>
    <s v="Buffalo"/>
    <x v="509"/>
    <n v="1115640"/>
    <x v="0"/>
    <s v="Engineering: Civil; Engineering: Construction; Engineering"/>
    <s v="9781118419090"/>
    <s v=",1,2,3,18,19,20,16,17,18,19"/>
    <n v="8"/>
    <m/>
    <m/>
    <s v="No"/>
    <x v="1"/>
    <m/>
    <m/>
    <s v="128.205.114.91"/>
    <s v="TH375 -- .S77 2013eb"/>
    <n v="624"/>
    <d v="2013-01-22T00:00:00"/>
  </r>
  <r>
    <x v="7287"/>
    <d v="1899-12-30T00:02:16"/>
    <x v="1654"/>
    <x v="0"/>
    <s v="Buffalo"/>
    <x v="509"/>
    <n v="1115640"/>
    <x v="0"/>
    <s v="Engineering: Civil; Engineering: Construction; Engineering"/>
    <s v="9781118419090"/>
    <s v=",1,2,2,3,3,1,4,4,5,5,6,6,7,7,8,8,9,10,9,11,10,11,2,12,13,12,14,13,14,15,15,16,16,11,16,17,17,18,19,18,19,20,20,21,22,21,22,23,23,24,25,24,25,26,26,27,27,28,28,29,29,30,30,31,32,31,33,33,32,28,27,25,24,23,22,21,19,20,18,17,16,15"/>
    <n v="33"/>
    <m/>
    <m/>
    <s v="No"/>
    <x v="1"/>
    <m/>
    <m/>
    <s v="128.205.114.91"/>
    <s v="TH375 -- .S77 2013eb"/>
    <n v="624"/>
    <d v="2013-01-22T00:00:00"/>
  </r>
  <r>
    <x v="7288"/>
    <d v="1899-12-30T00:01:42"/>
    <x v="805"/>
    <x v="0"/>
    <s v="Buffalo"/>
    <x v="509"/>
    <n v="1115640"/>
    <x v="0"/>
    <s v="Engineering: Civil; Engineering: Construction; Engineering"/>
    <s v="9781118419090"/>
    <s v=",1,3,2,4,5"/>
    <n v="5"/>
    <m/>
    <m/>
    <s v="No"/>
    <x v="1"/>
    <m/>
    <m/>
    <s v="128.205.114.91"/>
    <s v="TH375 -- .S77 2013eb"/>
    <n v="624"/>
    <d v="2013-01-22T00:00:00"/>
  </r>
  <r>
    <x v="7289"/>
    <d v="1899-12-30T00:00:21"/>
    <x v="516"/>
    <x v="0"/>
    <s v="Buffalo"/>
    <x v="509"/>
    <n v="1115640"/>
    <x v="0"/>
    <s v="Engineering: Civil; Engineering: Construction; Engineering"/>
    <s v="9781118419090"/>
    <s v=",4,2"/>
    <n v="2"/>
    <m/>
    <m/>
    <s v="Yes"/>
    <x v="0"/>
    <d v="2015-09-23T21:52:39"/>
    <n v="7"/>
    <s v="128.205.114.91"/>
    <s v="TH375 -- .S77 2013eb"/>
    <n v="624"/>
    <d v="2013-01-22T00:00:00"/>
  </r>
  <r>
    <x v="7290"/>
    <d v="1899-12-30T00:00:04"/>
    <x v="516"/>
    <x v="0"/>
    <s v="Buffalo"/>
    <x v="509"/>
    <n v="1115640"/>
    <x v="0"/>
    <s v="Engineering: Civil; Engineering: Construction; Engineering"/>
    <s v="9781118419090"/>
    <s v=",1,2,3"/>
    <n v="3"/>
    <m/>
    <m/>
    <s v="No"/>
    <x v="0"/>
    <d v="2015-09-23T21:52:39"/>
    <n v="7"/>
    <s v="128.205.114.91"/>
    <s v="TH375 -- .S77 2013eb"/>
    <n v="624"/>
    <d v="2013-01-22T00:00:00"/>
  </r>
  <r>
    <x v="7291"/>
    <d v="1899-12-30T00:00:00"/>
    <x v="516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23T21:52:39"/>
    <n v="7"/>
    <s v="128.205.114.91"/>
    <s v="TH375 -- .S77 2013eb"/>
    <n v="624"/>
    <d v="2013-01-22T00:00:00"/>
  </r>
  <r>
    <x v="7292"/>
    <d v="1899-12-30T00:00:00"/>
    <x v="516"/>
    <x v="0"/>
    <s v="Buffalo"/>
    <x v="509"/>
    <n v="1115640"/>
    <x v="0"/>
    <s v="Engineering: Civil; Engineering: Construction; Engineering"/>
    <s v="9781118419090"/>
    <m/>
    <n v="0"/>
    <m/>
    <m/>
    <s v="Yes"/>
    <x v="0"/>
    <d v="2015-09-23T21:52:39"/>
    <n v="7"/>
    <s v="128.205.114.91"/>
    <s v="TH375 -- .S77 2013eb"/>
    <n v="624"/>
    <d v="2013-01-22T00:00:00"/>
  </r>
  <r>
    <x v="7292"/>
    <d v="1899-12-30T00:00:00"/>
    <x v="516"/>
    <x v="0"/>
    <s v="Buffalo"/>
    <x v="509"/>
    <n v="1115640"/>
    <x v="0"/>
    <s v="Engineering: Civil; Engineering: Construction; Engineering"/>
    <s v="9781118419090"/>
    <m/>
    <n v="0"/>
    <m/>
    <m/>
    <s v="No"/>
    <x v="0"/>
    <d v="2015-09-23T21:52:39"/>
    <n v="7"/>
    <s v="128.205.114.91"/>
    <s v="TH375 -- .S77 2013eb"/>
    <n v="624"/>
    <d v="2013-01-22T00:00:00"/>
  </r>
  <r>
    <x v="7293"/>
    <d v="1899-12-30T00:02:11"/>
    <x v="516"/>
    <x v="0"/>
    <s v="Buffalo"/>
    <x v="509"/>
    <n v="1115640"/>
    <x v="0"/>
    <s v="Engineering: Civil; Engineering: Construction; Engineering"/>
    <s v="9781118419090"/>
    <s v=",1,2,3,4,5,6,7,8,9,10,11,12,13,11,12,13,14,15,16,17,35,35,17"/>
    <n v="18"/>
    <m/>
    <m/>
    <s v="No"/>
    <x v="1"/>
    <m/>
    <m/>
    <s v="128.205.114.91"/>
    <s v="TH375 -- .S77 2013eb"/>
    <n v="624"/>
    <d v="2013-01-22T00:00:00"/>
  </r>
  <r>
    <x v="7294"/>
    <d v="1899-12-30T00:03:19"/>
    <x v="1693"/>
    <x v="7"/>
    <s v="oneonta"/>
    <x v="1608"/>
    <n v="1882089"/>
    <x v="3"/>
    <s v="Agriculture; Home Economics"/>
    <s v="9780520961333"/>
    <s v=",1,2,3,16,17,18,14,15,19,20,28,29,30,26,27,32,31,52,53,54,50,51,148,149,150,146,147,89,90,86,87,88,91,108,109,110,106,107,111,28,29,30,26,31,27,32,69,70,71,67,68,129,130,131,127,128,169,170,171,167,168"/>
    <n v="54"/>
    <m/>
    <m/>
    <s v="No"/>
    <x v="3"/>
    <m/>
    <m/>
    <s v="137.141.13.2"/>
    <s v="SB387.8.F8 -- .P36 2015eb"/>
    <n v="641"/>
    <d v="2015-04-30T00:00:00"/>
  </r>
  <r>
    <x v="7295"/>
    <d v="1899-12-30T00:03:35"/>
    <x v="1694"/>
    <x v="1"/>
    <s v="brockport"/>
    <x v="1609"/>
    <n v="1711036"/>
    <x v="3"/>
    <s v="Health; Home Economics"/>
    <s v="9780520959347"/>
    <s v=",125,126,127,128,129,213,214,215,211,212"/>
    <n v="10"/>
    <m/>
    <m/>
    <s v="No"/>
    <x v="2"/>
    <d v="2015-09-23T21:39:39"/>
    <n v="1"/>
    <s v="137.21.7.121"/>
    <s v="TX353 -- .F644 2014eb"/>
    <n v="641.29999999999995"/>
    <d v="2014-11-24T00:00:00"/>
  </r>
  <r>
    <x v="7296"/>
    <d v="1899-12-30T00:07:30"/>
    <x v="1694"/>
    <x v="1"/>
    <s v="brockport"/>
    <x v="1609"/>
    <n v="1711036"/>
    <x v="3"/>
    <s v="Health; Home Economics"/>
    <s v="9780520959347"/>
    <s v=",1,2,3,120,121,122,118,119,123,124"/>
    <n v="10"/>
    <m/>
    <m/>
    <s v="No"/>
    <x v="3"/>
    <m/>
    <m/>
    <s v="137.21.7.121"/>
    <s v="TX353 -- .F644 2014eb"/>
    <n v="641.29999999999995"/>
    <d v="2014-11-24T00:00:00"/>
  </r>
  <r>
    <x v="7297"/>
    <d v="1899-12-30T00:25:00"/>
    <x v="746"/>
    <x v="13"/>
    <s v="buffalostate"/>
    <x v="516"/>
    <n v="1840835"/>
    <x v="0"/>
    <s v="Business/Management; Economics"/>
    <s v="9781118950166"/>
    <s v=",1,2,3,25,26,27,23,28,24,29,30,31,32,33"/>
    <n v="14"/>
    <m/>
    <m/>
    <s v="No"/>
    <x v="0"/>
    <d v="2015-09-22T20:41:14"/>
    <n v="7"/>
    <s v="136.183.11.43"/>
    <s v="HD9969.S6 .R384 2014"/>
    <n v="338.10923789999998"/>
    <d v="2014-11-10T00:00:00"/>
  </r>
  <r>
    <x v="7298"/>
    <d v="1899-12-30T00:03:10"/>
    <x v="1693"/>
    <x v="7"/>
    <s v="oneonta"/>
    <x v="1610"/>
    <n v="1691731"/>
    <x v="3"/>
    <s v="Social Science"/>
    <s v="9780520958968"/>
    <s v=",1,2,3,28,29,30,26,27,31,32,58,59,60,56,61,57,62,63,64,104,105,106,102,103,107,108,109,110,138,139,140,136,137,138,141,142,143,144,145,146,147,148,149"/>
    <n v="42"/>
    <m/>
    <m/>
    <s v="No"/>
    <x v="3"/>
    <m/>
    <m/>
    <s v="137.141.13.2"/>
    <s v="GT2850 -- .F46 2014eb"/>
    <n v="394.12"/>
    <d v="2014-07-07T00:00:00"/>
  </r>
  <r>
    <x v="7299"/>
    <d v="1899-12-30T00:05:55"/>
    <x v="1368"/>
    <x v="0"/>
    <s v="Buffalo"/>
    <x v="533"/>
    <n v="1760720"/>
    <x v="4"/>
    <s v="Medicine"/>
    <s v="9781462517459"/>
    <s v=",1,2,3,29,31,30,27,28,34,26,24,25,33"/>
    <n v="13"/>
    <m/>
    <m/>
    <s v="No"/>
    <x v="1"/>
    <m/>
    <m/>
    <s v="128.205.114.91"/>
    <s v="RC489.D48 -- L56 2015eb"/>
    <n v="616.89142000000004"/>
    <d v="2014-12-23T00:00:00"/>
  </r>
  <r>
    <x v="7300"/>
    <d v="1899-12-30T05:51:01"/>
    <x v="1631"/>
    <x v="0"/>
    <s v="Buffalo"/>
    <x v="509"/>
    <n v="1115640"/>
    <x v="0"/>
    <s v="Engineering: Civil; Engineering: Construction; Engineering"/>
    <s v="9781118419090"/>
    <s v=",20,21,22,23,24,25,26,27,28,29,30,31,32,32,33,34,35,36,37,1,37,38,39,35,36,40,2,41,42,43,1,43,44,45,41,42,2,46,47,48,49,50,51,52,53,54,55,56,57,58,59,60,61,62,63,91,64,65,66,67,68,69,70,72,1,72,74,73,71,70,2,69,68,75,76,77,78,79,80,81"/>
    <n v="65"/>
    <m/>
    <m/>
    <s v="No"/>
    <x v="0"/>
    <d v="2015-09-23T21:07:19"/>
    <n v="7"/>
    <s v="128.205.114.91"/>
    <s v="TH375 -- .S77 2013eb"/>
    <n v="624"/>
    <d v="2013-01-22T00:00:00"/>
  </r>
  <r>
    <x v="7301"/>
    <d v="1899-12-30T01:33:48"/>
    <x v="1695"/>
    <x v="0"/>
    <s v="Buffalo"/>
    <x v="509"/>
    <n v="1115640"/>
    <x v="0"/>
    <s v="Engineering: Civil; Engineering: Construction; Engineering"/>
    <s v="9781118419090"/>
    <s v=",24,25,25,1,26,24,27,23,28,2,23"/>
    <n v="8"/>
    <m/>
    <m/>
    <s v="No"/>
    <x v="0"/>
    <d v="2015-09-23T20:56:30"/>
    <n v="7"/>
    <s v="128.205.114.91"/>
    <s v="TH375 -- .S77 2013eb"/>
    <n v="624"/>
    <d v="2013-01-22T00:00:00"/>
  </r>
  <r>
    <x v="7302"/>
    <d v="1899-12-30T00:13:14"/>
    <x v="1631"/>
    <x v="0"/>
    <s v="Buffalo"/>
    <x v="509"/>
    <n v="1115640"/>
    <x v="0"/>
    <s v="Engineering: Civil; Engineering: Construction; Engineering"/>
    <s v="9781118419090"/>
    <s v=",1,2,3,18,15,10,4,5,6,7,8,9,10,11,12,13,14,15,16,17,18,19"/>
    <n v="19"/>
    <m/>
    <m/>
    <s v="No"/>
    <x v="1"/>
    <m/>
    <m/>
    <s v="128.205.114.91"/>
    <s v="TH375 -- .S77 2013eb"/>
    <n v="624"/>
    <d v="2013-01-22T00:00:00"/>
  </r>
  <r>
    <x v="7303"/>
    <d v="1899-12-30T00:11:43"/>
    <x v="1695"/>
    <x v="0"/>
    <s v="Buffalo"/>
    <x v="509"/>
    <n v="1115640"/>
    <x v="0"/>
    <s v="Engineering: Civil; Engineering: Construction; Engineering"/>
    <s v="9781118419090"/>
    <s v=",1,14,15,12,16,13,2,17,18,19,20,21,22,23"/>
    <n v="14"/>
    <m/>
    <m/>
    <s v="No"/>
    <x v="1"/>
    <m/>
    <m/>
    <s v="128.205.114.91"/>
    <s v="TH375 -- .S77 2013eb"/>
    <n v="624"/>
    <d v="2013-01-22T00:00:00"/>
  </r>
  <r>
    <x v="7304"/>
    <d v="1899-12-30T00:14:17"/>
    <x v="714"/>
    <x v="12"/>
    <s v="potsdam"/>
    <x v="713"/>
    <n v="565082"/>
    <x v="0"/>
    <s v="Education"/>
    <s v="9781118041567"/>
    <s v=",83,84,85,86,87,88,89,115,116,117,113,114,112"/>
    <n v="13"/>
    <m/>
    <m/>
    <s v="No"/>
    <x v="0"/>
    <d v="2015-09-23T20:27:06"/>
    <n v="7"/>
    <s v="137.143.104.94"/>
    <s v="LB1775 .P25 2010"/>
    <s v="371.1; 371.102"/>
    <d v="2010-06-08T00:00:00"/>
  </r>
  <r>
    <x v="7305"/>
    <d v="1899-12-30T00:11:30"/>
    <x v="714"/>
    <x v="12"/>
    <s v="potsdam"/>
    <x v="713"/>
    <n v="565082"/>
    <x v="0"/>
    <s v="Education"/>
    <s v="9781118041567"/>
    <s v=",1,2,3,72,71,70,73,74,75,76,78,77,76,75,74,77,78,79,80,81,82"/>
    <n v="16"/>
    <m/>
    <m/>
    <s v="No"/>
    <x v="1"/>
    <m/>
    <m/>
    <s v="137.143.104.94"/>
    <s v="LB1775 .P25 2010"/>
    <s v="371.1; 371.102"/>
    <d v="2010-06-08T00:00:00"/>
  </r>
  <r>
    <x v="7306"/>
    <d v="1899-12-30T00:04:45"/>
    <x v="1696"/>
    <x v="13"/>
    <s v="buffalostate"/>
    <x v="1273"/>
    <n v="1732138"/>
    <x v="3"/>
    <s v="Social Science"/>
    <s v="9780520958746"/>
    <s v=",1,2,4,3,93,94,92,91,96"/>
    <n v="9"/>
    <m/>
    <m/>
    <s v="No"/>
    <x v="3"/>
    <m/>
    <m/>
    <s v="136.183.11.43"/>
    <s v="HV6529 -- .G373 2015eb"/>
    <n v="364.15230000000003"/>
    <d v="2015-03-12T00:00:00"/>
  </r>
  <r>
    <x v="7307"/>
    <d v="1899-12-30T00:15:45"/>
    <x v="13"/>
    <x v="0"/>
    <s v="Buffalo"/>
    <x v="73"/>
    <n v="1119505"/>
    <x v="0"/>
    <s v="Science: Chemistry; Science"/>
    <s v="9781118355015"/>
    <s v=",1,2,3,75,73,74,76,77,78,79,52,61,63,62,60,64,62,65,66,67,68,69,390,389,392,388,391,393,394,53,51,54,52,55,56,58,57,59,60,61"/>
    <n v="36"/>
    <m/>
    <m/>
    <s v="No"/>
    <x v="0"/>
    <d v="2015-09-22T20:22:23"/>
    <n v="7"/>
    <s v="128.205.114.91"/>
    <s v="QD251.3 -- .S38 2013eb"/>
    <s v="547/.128"/>
    <d v="2013-01-28T00:00:00"/>
  </r>
  <r>
    <x v="7308"/>
    <d v="1899-12-30T00:00:00"/>
    <x v="1697"/>
    <x v="0"/>
    <s v="Buffalo"/>
    <x v="1001"/>
    <n v="1655589"/>
    <x v="3"/>
    <s v="Religion"/>
    <s v="9780520957985"/>
    <m/>
    <n v="0"/>
    <m/>
    <m/>
    <s v="Yes"/>
    <x v="2"/>
    <d v="2015-09-23T19:46:31"/>
    <n v="1"/>
    <s v="128.205.114.91"/>
    <s v="BR1085.A58 -- S54 2014eb"/>
    <s v="275.64/8"/>
    <d v="2014-04-12T00:00:00"/>
  </r>
  <r>
    <x v="7308"/>
    <d v="1899-12-30T00:00:00"/>
    <x v="1697"/>
    <x v="0"/>
    <s v="Buffalo"/>
    <x v="1001"/>
    <n v="1655589"/>
    <x v="3"/>
    <s v="Religion"/>
    <s v="9780520957985"/>
    <m/>
    <n v="0"/>
    <m/>
    <m/>
    <s v="No"/>
    <x v="2"/>
    <d v="2015-09-23T19:46:31"/>
    <n v="1"/>
    <s v="128.205.114.91"/>
    <s v="BR1085.A58 -- S54 2014eb"/>
    <s v="275.64/8"/>
    <d v="2014-04-12T00:00:00"/>
  </r>
  <r>
    <x v="7309"/>
    <d v="1899-12-30T00:00:14"/>
    <x v="1697"/>
    <x v="0"/>
    <s v="Buffalo"/>
    <x v="1001"/>
    <n v="1655589"/>
    <x v="3"/>
    <s v="Religion"/>
    <s v="9780520957985"/>
    <s v=",1,2,3"/>
    <n v="3"/>
    <m/>
    <m/>
    <s v="No"/>
    <x v="3"/>
    <m/>
    <m/>
    <s v="128.205.114.91"/>
    <s v="BR1085.A58 -- S54 2014eb"/>
    <s v="275.64/8"/>
    <d v="2014-04-12T00:00:00"/>
  </r>
  <r>
    <x v="7310"/>
    <d v="1899-12-30T00:43:47"/>
    <x v="941"/>
    <x v="13"/>
    <s v="buffalostate"/>
    <x v="916"/>
    <n v="1925073"/>
    <x v="4"/>
    <s v="Education"/>
    <s v="9781462521128"/>
    <s v=",18,18,19,19,20,20,21,21,23,22,23,24,22,24,15,13,18,14,21,22,16,20,19,17,17,15,16,22,20,21,24,23,25,25,26,26,21,20,25,26,27,27,28,28,29,29,30,30,31,31,32,32,33,34,33,34,35,36,35,36,37,38,37,38,39,39,40,40,35,34,33,32,31,30,28,27,29,26,25,24,28,23,10,8,12,9,11,21,22,23,19,20,24,25,26,27,28,29,30,25,24,23,27,22,29,28,30,31,26,31,32,33,34,35,36,32,37,36,31,37,38,40,39,40,41,36,40,35,42,43,41,38,37,21,22,23,19,20,42,41,43,24"/>
    <n v="36"/>
    <m/>
    <m/>
    <s v="No"/>
    <x v="2"/>
    <d v="2015-09-23T19:36:59"/>
    <n v="1"/>
    <s v="136.183.11.43"/>
    <s v="LB1050.46 .M35 2015"/>
    <n v="372.48"/>
    <d v="2015-06-23T00:00:00"/>
  </r>
  <r>
    <x v="7311"/>
    <d v="1899-12-30T00:00:07"/>
    <x v="1698"/>
    <x v="3"/>
    <s v="canton"/>
    <x v="1611"/>
    <n v="2002087"/>
    <x v="3"/>
    <s v="Medicine"/>
    <s v="9780520960763"/>
    <s v=",1,2,3"/>
    <n v="3"/>
    <m/>
    <m/>
    <s v="No"/>
    <x v="3"/>
    <m/>
    <m/>
    <s v="137.37.33.33"/>
    <s v="RJ365 -- .B83 2015eb"/>
    <s v="618.92/0472"/>
    <d v="2015-06-05T00:00:00"/>
  </r>
  <r>
    <x v="7312"/>
    <d v="1899-12-30T00:00:44"/>
    <x v="1698"/>
    <x v="3"/>
    <s v="canton"/>
    <x v="1611"/>
    <n v="2002087"/>
    <x v="3"/>
    <s v="Medicine"/>
    <s v="9780520960763"/>
    <s v=",1,3,2,132,134,133,130"/>
    <n v="7"/>
    <m/>
    <m/>
    <s v="No"/>
    <x v="3"/>
    <m/>
    <m/>
    <s v="137.37.33.33"/>
    <s v="RJ365 -- .B83 2015eb"/>
    <s v="618.92/0472"/>
    <d v="2015-06-05T00:00:00"/>
  </r>
  <r>
    <x v="7313"/>
    <d v="1899-12-30T00:04:59"/>
    <x v="941"/>
    <x v="13"/>
    <s v="buffalostate"/>
    <x v="916"/>
    <n v="1925073"/>
    <x v="4"/>
    <s v="Education"/>
    <s v="9781462521128"/>
    <s v=",1,3,2,15,16,17,13,14,18,19"/>
    <n v="10"/>
    <m/>
    <m/>
    <s v="No"/>
    <x v="2"/>
    <d v="2015-09-22T19:25:09"/>
    <n v="1"/>
    <s v="136.183.11.43"/>
    <s v="LB1050.46 .M35 2015"/>
    <n v="372.48"/>
    <d v="2015-06-23T00:00:00"/>
  </r>
  <r>
    <x v="7314"/>
    <d v="1899-12-30T00:00:10"/>
    <x v="1699"/>
    <x v="2"/>
    <s v="hilbert"/>
    <x v="1612"/>
    <n v="2079218"/>
    <x v="1"/>
    <s v="Business/Management"/>
    <s v="9781472433695"/>
    <s v=",1,3,2"/>
    <n v="3"/>
    <m/>
    <m/>
    <s v="No"/>
    <x v="3"/>
    <m/>
    <m/>
    <s v="72.45.217.43"/>
    <s v="HD62.6 .R433 2015"/>
    <s v="658''.046"/>
    <d v="2015-08-28T00:00:00"/>
  </r>
  <r>
    <x v="7315"/>
    <d v="1899-12-30T00:41:36"/>
    <x v="1515"/>
    <x v="15"/>
    <s v="morrisville"/>
    <x v="1386"/>
    <n v="2049501"/>
    <x v="1"/>
    <s v="Law"/>
    <s v="9781472414816"/>
    <s v=",1,22,21,20,23,2,24,12,15,11,10,13,14,25,26,27,28,22,1,21,22,24,20,23,2,108,109,106,110,107,111,112,113,114,115,116,117,118,119"/>
    <n v="31"/>
    <m/>
    <m/>
    <s v="No"/>
    <x v="2"/>
    <d v="2015-09-23T18:48:14"/>
    <n v="1"/>
    <s v="136.204.32.67"/>
    <s v="K3165 .K576 2015"/>
    <n v="342.00099999999998"/>
    <d v="2015-07-28T00:00:00"/>
  </r>
  <r>
    <x v="7316"/>
    <d v="1899-12-30T00:05:17"/>
    <x v="1515"/>
    <x v="15"/>
    <s v="morrisville"/>
    <x v="1386"/>
    <n v="2049501"/>
    <x v="1"/>
    <s v="Law"/>
    <s v="9781472414816"/>
    <s v=",3,1,2,24,25,23,26,22"/>
    <n v="8"/>
    <m/>
    <m/>
    <s v="No"/>
    <x v="3"/>
    <m/>
    <m/>
    <s v="136.204.32.67"/>
    <s v="K3165 .K576 2015"/>
    <n v="342.00099999999998"/>
    <d v="2015-07-28T00:00:00"/>
  </r>
  <r>
    <x v="7317"/>
    <d v="1899-12-30T00:01:36"/>
    <x v="1515"/>
    <x v="15"/>
    <s v="morrisville"/>
    <x v="1613"/>
    <n v="1774217"/>
    <x v="1"/>
    <s v="Political Science; History"/>
    <s v="9781472422859"/>
    <s v=",12,15,16,17"/>
    <n v="4"/>
    <m/>
    <m/>
    <s v="No"/>
    <x v="2"/>
    <d v="2015-09-23T18:34:27"/>
    <n v="1"/>
    <s v="136.204.32.67"/>
    <s v="DS481.G3 -- .V37 2014eb"/>
    <n v="320.01"/>
    <d v="2014-10-28T00:00:00"/>
  </r>
  <r>
    <x v="7318"/>
    <d v="1899-12-30T01:06:26"/>
    <x v="941"/>
    <x v="13"/>
    <s v="buffalostate"/>
    <x v="916"/>
    <n v="1925073"/>
    <x v="4"/>
    <s v="Education"/>
    <s v="9781462521128"/>
    <s v=",1,3,1,3,2,2,2,2,94,94,95,92,93,96,93,96,91,95,95,96,91,97,92,97,91,90,89,88,86,87,85,84,83,82,60,59,60,62,58,62,59,61,61,63,63,94,96,95,97,92,93,92,91,89,87,85,83,1,84,86,2,3,3,88,4,90,4,3,2,5,5,6,2,6,7,8,7,9,8,9,10,10,11,12,11,12,13,9,13,14,14,9,14,15,15,16,16,17,17,1,2,1,2,3,3,4,5,2,5,4,15,14,15,14,17,17,16,13,16,12,11,10,9,8,7,6,5,10,11,12,13,15,17,16,14"/>
    <n v="39"/>
    <m/>
    <s v=",94,94"/>
    <s v="No"/>
    <x v="2"/>
    <d v="2015-09-22T19:25:09"/>
    <n v="1"/>
    <s v="136.183.11.43"/>
    <s v="LB1050.46 .M35 2015"/>
    <n v="372.48"/>
    <d v="2015-06-23T00:00:00"/>
  </r>
  <r>
    <x v="7319"/>
    <d v="1899-12-30T00:05:03"/>
    <x v="1515"/>
    <x v="15"/>
    <s v="morrisville"/>
    <x v="1613"/>
    <n v="1774217"/>
    <x v="1"/>
    <s v="Political Science; History"/>
    <s v="9781472422859"/>
    <s v=",1,3,2,14,13"/>
    <n v="5"/>
    <m/>
    <m/>
    <s v="No"/>
    <x v="3"/>
    <m/>
    <m/>
    <s v="136.204.32.67"/>
    <s v="DS481.G3 -- .V37 2014eb"/>
    <n v="320.01"/>
    <d v="2014-10-28T00:00:00"/>
  </r>
  <r>
    <x v="7320"/>
    <d v="1899-12-30T01:57:50"/>
    <x v="1426"/>
    <x v="0"/>
    <s v="Buffalo"/>
    <x v="73"/>
    <n v="1119505"/>
    <x v="0"/>
    <s v="Science: Chemistry; Science"/>
    <s v="9781118355015"/>
    <s v=",1,2,3,65,64,66,63,67,68,69,70,71,66,65,64,63,62,61,67,68,69,70,71,72,73,66,65,64,63,61,62,408,409,407,406,410,411,53,52,50,54,51,53,52,55,56,57,58,59,60,62,63,61,64,65,66,67,68,69,70,71,72,73,74,75,76,77,390,389,391,392,388,393,61,59,60,64,63,62,65,66,67,68,69,62,390,389,388,392,391,61,63,59,60,64,62,65,66,67,68,69,70,71,64,62,63,61,72,73,74,61,66,67,68,69,70,71"/>
    <n v="43"/>
    <m/>
    <m/>
    <s v="No"/>
    <x v="0"/>
    <d v="2015-09-23T00:17:09"/>
    <n v="7"/>
    <s v="128.205.114.91"/>
    <s v="QD251.3 -- .S38 2013eb"/>
    <s v="547/.128"/>
    <d v="2013-01-28T00:00:00"/>
  </r>
  <r>
    <x v="7321"/>
    <d v="1899-12-30T00:00:49"/>
    <x v="1700"/>
    <x v="0"/>
    <s v="Buffalo"/>
    <x v="509"/>
    <n v="1115640"/>
    <x v="0"/>
    <s v="Engineering: Civil; Engineering: Construction; Engineering"/>
    <s v="9781118419090"/>
    <s v=",2,1,3,40,38,41,42,39"/>
    <n v="8"/>
    <m/>
    <s v=",40,41,42,43,44,45,46,47,48,49,50,51,52,53,54,55,56,57,58,59,60,61,62,63,64,65,66,67,68,69,70,71,72,73,74,75,76,77,78"/>
    <s v="No"/>
    <x v="0"/>
    <d v="2015-09-23T17:05:18"/>
    <n v="7"/>
    <s v="128.205.114.91"/>
    <s v="TH375 -- .S77 2013eb"/>
    <n v="624"/>
    <d v="2013-01-22T00:00:00"/>
  </r>
  <r>
    <x v="7322"/>
    <d v="1899-12-30T00:02:05"/>
    <x v="1701"/>
    <x v="5"/>
    <s v="erie"/>
    <x v="1230"/>
    <n v="1184746"/>
    <x v="0"/>
    <s v="Science: Geology; Science; Social Science"/>
    <s v="9781118327531"/>
    <s v=",1,2,3,4,5,6,8,7,9,10,23,24,22,25,21,242,240,241,243,244"/>
    <n v="20"/>
    <m/>
    <m/>
    <s v="No"/>
    <x v="1"/>
    <m/>
    <m/>
    <s v="199.29.6.54"/>
    <s v="GB5014 -- .P46 2013eb"/>
    <n v="363.34089999999998"/>
    <d v="2013-05-03T00:00:00"/>
  </r>
  <r>
    <x v="7323"/>
    <d v="1899-12-30T00:00:00"/>
    <x v="1700"/>
    <x v="0"/>
    <s v="Buffalo"/>
    <x v="509"/>
    <n v="1115640"/>
    <x v="0"/>
    <s v="Engineering: Civil; Engineering: Construction; Engineering"/>
    <s v="9781118419090"/>
    <m/>
    <n v="0"/>
    <m/>
    <s v=",17,18,19,20,21,22,23,24,25,26,27,28,29,30,31,32,33,34,35,36,37,38,39,40,41,42,43,44,45,46,47,48,49,50,51,52,53,54,55,56,57,58,59,60,61,62,63,64,65,66,67,68,69,70,71,72,73,74,75,76,77,78"/>
    <s v="No"/>
    <x v="0"/>
    <d v="2015-09-23T17:05:18"/>
    <n v="7"/>
    <s v="128.205.114.91"/>
    <s v="TH375 -- .S77 2013eb"/>
    <n v="624"/>
    <d v="2013-01-22T00:00:00"/>
  </r>
  <r>
    <x v="7324"/>
    <d v="1899-12-30T00:28:26"/>
    <x v="13"/>
    <x v="0"/>
    <s v="Buffalo"/>
    <x v="73"/>
    <n v="1119505"/>
    <x v="0"/>
    <s v="Science: Chemistry; Science"/>
    <s v="9781118355015"/>
    <s v=",1,3,2,390,389,388,391,392,65,66,64,67,63,62,61,75,74,73,77,76,78,79,81,80,73,72,71,69,70,68,62,71,72,73,80,81"/>
    <n v="29"/>
    <m/>
    <m/>
    <s v="No"/>
    <x v="0"/>
    <d v="2015-09-22T20:22:23"/>
    <n v="7"/>
    <s v="128.205.114.91"/>
    <s v="QD251.3 -- .S38 2013eb"/>
    <s v="547/.128"/>
    <d v="2013-01-28T00:00:00"/>
  </r>
  <r>
    <x v="7325"/>
    <d v="1899-12-30T00:06:50"/>
    <x v="1700"/>
    <x v="0"/>
    <s v="Buffalo"/>
    <x v="509"/>
    <n v="1115640"/>
    <x v="0"/>
    <s v="Engineering: Civil; Engineering: Construction; Engineering"/>
    <s v="9781118419090"/>
    <s v=",1,2,3,4,5,6,7,8,9,10,17,18,16,14,20,19,15"/>
    <n v="17"/>
    <m/>
    <m/>
    <s v="No"/>
    <x v="1"/>
    <m/>
    <m/>
    <s v="128.205.114.91"/>
    <s v="TH375 -- .S77 2013eb"/>
    <n v="624"/>
    <d v="2013-01-22T00:00:00"/>
  </r>
  <r>
    <x v="7326"/>
    <d v="1899-12-30T00:00:14"/>
    <x v="1702"/>
    <x v="1"/>
    <s v="brockport"/>
    <x v="292"/>
    <n v="1635364"/>
    <x v="0"/>
    <s v="Mathematics"/>
    <s v="9781118710449"/>
    <s v=",1,2,3,4"/>
    <n v="4"/>
    <m/>
    <m/>
    <s v="No"/>
    <x v="1"/>
    <m/>
    <m/>
    <s v="137.21.7.121"/>
    <s v="QA135.6 -- .M87 2014eb"/>
    <n v="510.71273000000002"/>
    <d v="2014-02-14T00:00:00"/>
  </r>
  <r>
    <x v="7327"/>
    <d v="1899-12-30T00:00:14"/>
    <x v="1703"/>
    <x v="9"/>
    <s v="trocaire"/>
    <x v="1614"/>
    <n v="1965989"/>
    <x v="0"/>
    <s v="Medicine"/>
    <s v="9781118904725"/>
    <s v=",2,3,1"/>
    <n v="3"/>
    <m/>
    <m/>
    <s v="No"/>
    <x v="3"/>
    <m/>
    <m/>
    <s v="173.225.62.67"/>
    <s v="RC78.7.D53 -- .B573 2015eb"/>
    <s v="616.07/572"/>
    <d v="2015-02-17T00:00:00"/>
  </r>
  <r>
    <x v="7328"/>
    <d v="1899-12-30T00:00:00"/>
    <x v="1645"/>
    <x v="0"/>
    <s v="Buffalo"/>
    <x v="509"/>
    <n v="1115640"/>
    <x v="0"/>
    <s v="Engineering: Civil; Engineering: Construction; Engineering"/>
    <s v="9781118419090"/>
    <m/>
    <n v="0"/>
    <m/>
    <s v=",17,18,17,18,17,18,19,20,21,22,23,24,25,26,27,28,29,30,31,32,33,34,35,36,35,36,35,36,35,36,37,36,37,38,39,40,39,40,41,42,43,44,45,46,47,48"/>
    <s v="Yes"/>
    <x v="0"/>
    <d v="2015-09-21T13:10:44"/>
    <n v="7"/>
    <s v="128.205.114.91"/>
    <s v="TH375 -- .S77 2013eb"/>
    <n v="624"/>
    <d v="2013-01-22T00:00:00"/>
  </r>
  <r>
    <x v="7329"/>
    <d v="1899-12-30T00:00:44"/>
    <x v="1645"/>
    <x v="0"/>
    <s v="Buffalo"/>
    <x v="509"/>
    <n v="1115640"/>
    <x v="0"/>
    <s v="Engineering: Civil; Engineering: Construction; Engineering"/>
    <s v="9781118419090"/>
    <s v=",1,3,2,4,44,45,43,46,42"/>
    <n v="9"/>
    <m/>
    <m/>
    <s v="No"/>
    <x v="0"/>
    <d v="2015-09-21T13:10:44"/>
    <n v="7"/>
    <s v="128.205.114.91"/>
    <s v="TH375 -- .S77 2013eb"/>
    <n v="624"/>
    <d v="2013-01-22T00:00:00"/>
  </r>
  <r>
    <x v="7330"/>
    <d v="1899-12-30T00:00:00"/>
    <x v="1683"/>
    <x v="9"/>
    <s v="trocaire"/>
    <x v="1615"/>
    <n v="2034314"/>
    <x v="0"/>
    <s v="Social Science; Philosophy"/>
    <s v="9780745686783"/>
    <m/>
    <n v="0"/>
    <m/>
    <m/>
    <s v="Yes"/>
    <x v="0"/>
    <d v="2015-09-23T15:48:17"/>
    <n v="7"/>
    <s v="173.225.62.67"/>
    <s v="B63 -- .Z87 2015eb"/>
    <n v="301.09199999999998"/>
    <d v="2015-04-22T00:00:00"/>
  </r>
  <r>
    <x v="7330"/>
    <d v="1899-12-30T00:00:00"/>
    <x v="1683"/>
    <x v="9"/>
    <s v="trocaire"/>
    <x v="1615"/>
    <n v="2034314"/>
    <x v="0"/>
    <s v="Social Science; Philosophy"/>
    <s v="9780745686783"/>
    <m/>
    <n v="0"/>
    <m/>
    <m/>
    <s v="No"/>
    <x v="0"/>
    <d v="2015-09-23T15:48:17"/>
    <n v="7"/>
    <s v="173.225.62.67"/>
    <s v="B63 -- .Z87 2015eb"/>
    <n v="301.09199999999998"/>
    <d v="2015-04-22T00:00:00"/>
  </r>
  <r>
    <x v="7331"/>
    <d v="1899-12-30T00:03:31"/>
    <x v="1645"/>
    <x v="0"/>
    <s v="Buffalo"/>
    <x v="509"/>
    <n v="1115640"/>
    <x v="0"/>
    <s v="Engineering: Civil; Engineering: Construction; Engineering"/>
    <s v="9781118419090"/>
    <s v=",1,3,2,17,79,81,77,78,80,76,108,56,58,54,59,60,57,61"/>
    <n v="18"/>
    <m/>
    <s v=",17,18,19,20,21,22,23,24,25,26,27,28,29,30,31,32,33,34,35,36,37,38,39,40,41,42,43,44,45,46,47,48,49,50,51,52,53,54,55,56,57,58,59,60,61,62,63,64,65,66,67,68,69,70,71,72,73,74,75,76,77,78,47,48,49,50,51,52,53,54,55,56,57,58,59,60,61,62,63,64,65,66,67,68,69,70,71,72,73,74,75,76,77,78"/>
    <s v="No"/>
    <x v="0"/>
    <d v="2015-09-21T13:10:44"/>
    <n v="7"/>
    <s v="128.205.114.91"/>
    <s v="TH375 -- .S77 2013eb"/>
    <n v="624"/>
    <d v="2013-01-22T00:00:00"/>
  </r>
  <r>
    <x v="7332"/>
    <d v="1899-12-30T00:00:00"/>
    <x v="1683"/>
    <x v="9"/>
    <s v="trocaire"/>
    <x v="1589"/>
    <n v="2034316"/>
    <x v="0"/>
    <s v="Political Science; Religion"/>
    <s v="9780745691404"/>
    <m/>
    <n v="0"/>
    <m/>
    <m/>
    <s v="Yes"/>
    <x v="0"/>
    <d v="2015-09-23T15:44:55"/>
    <n v="7"/>
    <s v="173.225.62.67"/>
    <s v="BL65.P7 -- .J67 2015eb"/>
    <s v="322/.1094"/>
    <d v="2015-04-22T00:00:00"/>
  </r>
  <r>
    <x v="7333"/>
    <d v="1899-12-30T00:02:09"/>
    <x v="1683"/>
    <x v="9"/>
    <s v="trocaire"/>
    <x v="1615"/>
    <n v="2034314"/>
    <x v="0"/>
    <s v="Social Science; Philosophy"/>
    <s v="9780745686783"/>
    <s v=",1,1,3,2"/>
    <n v="3"/>
    <m/>
    <m/>
    <s v="No"/>
    <x v="3"/>
    <m/>
    <m/>
    <s v="173.225.62.67"/>
    <s v="B63 -- .Z87 2015eb"/>
    <n v="301.09199999999998"/>
    <d v="2015-04-22T00:00:00"/>
  </r>
  <r>
    <x v="7334"/>
    <d v="1899-12-30T00:00:00"/>
    <x v="1683"/>
    <x v="9"/>
    <s v="trocaire"/>
    <x v="1589"/>
    <n v="2034316"/>
    <x v="0"/>
    <s v="Political Science; Religion"/>
    <s v="9780745691404"/>
    <m/>
    <n v="0"/>
    <m/>
    <m/>
    <s v="Yes"/>
    <x v="0"/>
    <d v="2015-09-23T15:44:55"/>
    <n v="7"/>
    <s v="173.225.62.67"/>
    <s v="BL65.P7 -- .J67 2015eb"/>
    <s v="322/.1094"/>
    <d v="2015-04-22T00:00:00"/>
  </r>
  <r>
    <x v="7334"/>
    <d v="1899-12-30T00:00:00"/>
    <x v="1683"/>
    <x v="9"/>
    <s v="trocaire"/>
    <x v="1589"/>
    <n v="2034316"/>
    <x v="0"/>
    <s v="Political Science; Religion"/>
    <s v="9780745691404"/>
    <m/>
    <n v="0"/>
    <m/>
    <m/>
    <s v="No"/>
    <x v="0"/>
    <d v="2015-09-23T15:44:55"/>
    <n v="7"/>
    <s v="173.225.62.67"/>
    <s v="BL65.P7 -- .J67 2015eb"/>
    <s v="322/.1094"/>
    <d v="2015-04-22T00:00:00"/>
  </r>
  <r>
    <x v="7335"/>
    <d v="1899-12-30T00:00:00"/>
    <x v="1683"/>
    <x v="9"/>
    <s v="trocaire"/>
    <x v="1590"/>
    <n v="1895706"/>
    <x v="0"/>
    <s v="Social Science"/>
    <s v="9781118885925"/>
    <m/>
    <n v="0"/>
    <m/>
    <m/>
    <s v="Yes"/>
    <x v="0"/>
    <d v="2015-09-23T15:43:25"/>
    <n v="7"/>
    <s v="173.225.62.67"/>
    <s v="HM1211 .H47 2015"/>
    <s v="303.48/2"/>
    <d v="2015-04-27T00:00:00"/>
  </r>
  <r>
    <x v="7335"/>
    <d v="1899-12-30T00:00:00"/>
    <x v="1683"/>
    <x v="9"/>
    <s v="trocaire"/>
    <x v="1590"/>
    <n v="1895706"/>
    <x v="0"/>
    <s v="Social Science"/>
    <s v="9781118885925"/>
    <m/>
    <n v="0"/>
    <m/>
    <m/>
    <s v="No"/>
    <x v="0"/>
    <d v="2015-09-23T15:43:25"/>
    <n v="7"/>
    <s v="173.225.62.67"/>
    <s v="HM1211 .H47 2015"/>
    <s v="303.48/2"/>
    <d v="2015-04-27T00:00:00"/>
  </r>
  <r>
    <x v="7336"/>
    <d v="1899-12-30T00:01:42"/>
    <x v="1683"/>
    <x v="9"/>
    <s v="trocaire"/>
    <x v="1589"/>
    <n v="2034316"/>
    <x v="0"/>
    <s v="Political Science; Religion"/>
    <s v="9780745691404"/>
    <s v=",1,1,3,2,4,5,6,7"/>
    <n v="7"/>
    <m/>
    <m/>
    <s v="No"/>
    <x v="3"/>
    <m/>
    <m/>
    <s v="173.225.62.67"/>
    <s v="BL65.P7 -- .J67 2015eb"/>
    <s v="322/.1094"/>
    <d v="2015-04-22T00:00:00"/>
  </r>
  <r>
    <x v="7337"/>
    <d v="1899-12-30T00:01:01"/>
    <x v="1683"/>
    <x v="9"/>
    <s v="trocaire"/>
    <x v="1590"/>
    <n v="1895706"/>
    <x v="0"/>
    <s v="Social Science"/>
    <s v="9781118885925"/>
    <s v=",1,1,2,3,4,5"/>
    <n v="5"/>
    <m/>
    <m/>
    <s v="No"/>
    <x v="3"/>
    <m/>
    <m/>
    <s v="173.225.62.67"/>
    <s v="HM1211 .H47 2015"/>
    <s v="303.48/2"/>
    <d v="2015-04-27T00:00:00"/>
  </r>
  <r>
    <x v="7338"/>
    <d v="1899-12-30T00:00:28"/>
    <x v="1683"/>
    <x v="9"/>
    <s v="trocaire"/>
    <x v="1616"/>
    <n v="1711005"/>
    <x v="3"/>
    <s v="Religion; History"/>
    <s v="9780520957992"/>
    <s v=",1,3,2,4"/>
    <n v="4"/>
    <m/>
    <m/>
    <s v="No"/>
    <x v="3"/>
    <m/>
    <m/>
    <s v="173.225.62.67"/>
    <s v="BP64.M6 -- .B88 2014eb"/>
    <n v="964.04"/>
    <d v="2014-09-10T00:00:00"/>
  </r>
  <r>
    <x v="7339"/>
    <d v="1899-12-30T00:00:00"/>
    <x v="1683"/>
    <x v="9"/>
    <s v="trocaire"/>
    <x v="196"/>
    <n v="2030288"/>
    <x v="0"/>
    <s v="History; Geography/Travel"/>
    <s v="9780745689371"/>
    <m/>
    <n v="0"/>
    <m/>
    <m/>
    <s v="Yes"/>
    <x v="0"/>
    <d v="2015-09-23T15:41:06"/>
    <n v="7"/>
    <s v="173.225.62.67"/>
    <s v="D16; DC36.9"/>
    <n v="907.20439999999996"/>
    <d v="2015-01-20T00:00:00"/>
  </r>
  <r>
    <x v="7339"/>
    <d v="1899-12-30T00:00:00"/>
    <x v="1683"/>
    <x v="9"/>
    <s v="trocaire"/>
    <x v="196"/>
    <n v="2030288"/>
    <x v="0"/>
    <s v="History; Geography/Travel"/>
    <s v="9780745689371"/>
    <m/>
    <n v="0"/>
    <m/>
    <m/>
    <s v="No"/>
    <x v="0"/>
    <d v="2015-09-23T15:41:06"/>
    <n v="7"/>
    <s v="173.225.62.67"/>
    <s v="D16; DC36.9"/>
    <n v="907.20439999999996"/>
    <d v="2015-01-20T00:00:00"/>
  </r>
  <r>
    <x v="7340"/>
    <d v="1899-12-30T00:00:23"/>
    <x v="1683"/>
    <x v="9"/>
    <s v="trocaire"/>
    <x v="196"/>
    <n v="2030288"/>
    <x v="0"/>
    <s v="History; Geography/Travel"/>
    <s v="9780745689371"/>
    <s v=",1,2,3"/>
    <n v="3"/>
    <m/>
    <m/>
    <s v="No"/>
    <x v="3"/>
    <m/>
    <m/>
    <s v="173.225.62.67"/>
    <s v="D16; DC36.9"/>
    <n v="907.20439999999996"/>
    <d v="2015-01-20T00:00:00"/>
  </r>
  <r>
    <x v="7341"/>
    <d v="1899-12-30T00:00:00"/>
    <x v="1683"/>
    <x v="9"/>
    <s v="trocaire"/>
    <x v="1617"/>
    <n v="1977567"/>
    <x v="0"/>
    <s v="Philosophy"/>
    <s v="9780745690667"/>
    <m/>
    <n v="0"/>
    <m/>
    <m/>
    <s v="Yes"/>
    <x v="0"/>
    <d v="2015-09-23T15:38:23"/>
    <n v="7"/>
    <s v="173.225.62.67"/>
    <s v="B824 .E8613 2015"/>
    <n v="110"/>
    <d v="2015-06-22T00:00:00"/>
  </r>
  <r>
    <x v="7341"/>
    <d v="1899-12-30T00:00:00"/>
    <x v="1683"/>
    <x v="9"/>
    <s v="trocaire"/>
    <x v="1617"/>
    <n v="1977567"/>
    <x v="0"/>
    <s v="Philosophy"/>
    <s v="9780745690667"/>
    <m/>
    <n v="0"/>
    <m/>
    <m/>
    <s v="No"/>
    <x v="0"/>
    <d v="2015-09-23T15:38:23"/>
    <n v="7"/>
    <s v="173.225.62.67"/>
    <s v="B824 .E8613 2015"/>
    <n v="110"/>
    <d v="2015-06-22T00:00:00"/>
  </r>
  <r>
    <x v="7342"/>
    <d v="1899-12-30T00:00:35"/>
    <x v="1683"/>
    <x v="9"/>
    <s v="trocaire"/>
    <x v="1617"/>
    <n v="1977567"/>
    <x v="0"/>
    <s v="Philosophy"/>
    <s v="9780745690667"/>
    <s v=",1,2,3"/>
    <n v="3"/>
    <m/>
    <m/>
    <s v="No"/>
    <x v="3"/>
    <m/>
    <m/>
    <s v="173.225.62.67"/>
    <s v="B824 .E8613 2015"/>
    <n v="110"/>
    <d v="2015-06-22T00:00:00"/>
  </r>
  <r>
    <x v="7343"/>
    <d v="1899-12-30T00:04:11"/>
    <x v="1188"/>
    <x v="0"/>
    <s v="Buffalo"/>
    <x v="161"/>
    <n v="821663"/>
    <x v="0"/>
    <s v="Architecture"/>
    <s v="9781118168479"/>
    <s v=",1,2,3,4,5,6,7,9,8,10,11,12,13,14,15,16,17,18,19,20,21,22,23,47,49,46,48,50,51,52,53,54,55,44,45"/>
    <n v="35"/>
    <m/>
    <m/>
    <s v="No"/>
    <x v="1"/>
    <m/>
    <m/>
    <s v="128.205.114.91"/>
    <s v="NA2547 -- .S74 2012eb"/>
    <n v="729"/>
    <d v="2012-03-05T00:00:00"/>
  </r>
  <r>
    <x v="7344"/>
    <d v="1899-12-30T00:00:00"/>
    <x v="1683"/>
    <x v="9"/>
    <s v="trocaire"/>
    <x v="1618"/>
    <n v="1991751"/>
    <x v="0"/>
    <s v="Political Science"/>
    <s v="9780745691480"/>
    <m/>
    <n v="0"/>
    <m/>
    <m/>
    <s v="Yes"/>
    <x v="0"/>
    <d v="2015-09-23T15:36:22"/>
    <n v="7"/>
    <s v="173.225.62.67"/>
    <s v="JC423 .B767 2015"/>
    <n v="321.8"/>
    <d v="2015-05-22T00:00:00"/>
  </r>
  <r>
    <x v="7345"/>
    <d v="1899-12-30T00:00:00"/>
    <x v="1683"/>
    <x v="9"/>
    <s v="trocaire"/>
    <x v="1618"/>
    <n v="1991751"/>
    <x v="0"/>
    <s v="Political Science"/>
    <s v="9780745691480"/>
    <m/>
    <n v="0"/>
    <m/>
    <m/>
    <s v="No"/>
    <x v="0"/>
    <d v="2015-09-23T15:36:22"/>
    <n v="7"/>
    <s v="173.225.62.67"/>
    <s v="JC423 .B767 2015"/>
    <n v="321.8"/>
    <d v="2015-05-22T00:00:00"/>
  </r>
  <r>
    <x v="7346"/>
    <d v="1899-12-30T00:01:23"/>
    <x v="1683"/>
    <x v="9"/>
    <s v="trocaire"/>
    <x v="1618"/>
    <n v="1991751"/>
    <x v="0"/>
    <s v="Political Science"/>
    <s v="9780745691480"/>
    <s v=",1,1,2,3,4"/>
    <n v="4"/>
    <m/>
    <m/>
    <s v="No"/>
    <x v="3"/>
    <m/>
    <m/>
    <s v="173.225.62.67"/>
    <s v="JC423 .B767 2015"/>
    <n v="321.8"/>
    <d v="2015-05-22T00:00:00"/>
  </r>
  <r>
    <x v="7347"/>
    <d v="1899-12-30T00:00:00"/>
    <x v="1683"/>
    <x v="9"/>
    <s v="trocaire"/>
    <x v="1619"/>
    <n v="2056178"/>
    <x v="0"/>
    <s v="Political Science"/>
    <s v="9780745690513"/>
    <m/>
    <n v="0"/>
    <m/>
    <m/>
    <s v="Yes"/>
    <x v="0"/>
    <d v="2015-09-23T15:33:23"/>
    <n v="7"/>
    <s v="173.225.62.67"/>
    <s v="JF1051 .T66 2015"/>
    <n v="321.8"/>
    <d v="2015-05-19T00:00:00"/>
  </r>
  <r>
    <x v="7347"/>
    <d v="1899-12-30T00:00:00"/>
    <x v="1683"/>
    <x v="9"/>
    <s v="trocaire"/>
    <x v="1619"/>
    <n v="2056178"/>
    <x v="0"/>
    <s v="Political Science"/>
    <s v="9780745690513"/>
    <m/>
    <n v="0"/>
    <m/>
    <m/>
    <s v="No"/>
    <x v="0"/>
    <d v="2015-09-23T15:33:23"/>
    <n v="7"/>
    <s v="173.225.62.67"/>
    <s v="JF1051 .T66 2015"/>
    <n v="321.8"/>
    <d v="2015-05-19T00:00:00"/>
  </r>
  <r>
    <x v="7348"/>
    <d v="1899-12-30T00:01:30"/>
    <x v="1367"/>
    <x v="0"/>
    <s v="Buffalo"/>
    <x v="31"/>
    <n v="1682559"/>
    <x v="4"/>
    <s v="Medicine"/>
    <s v="9781462515431"/>
    <s v=",1,2,3,4,213,211,215,212,214"/>
    <n v="9"/>
    <m/>
    <m/>
    <s v="No"/>
    <x v="0"/>
    <d v="2015-09-22T15:15:50"/>
    <n v="7"/>
    <s v="128.205.114.91"/>
    <s v="RC469 -- .M677 2014eb"/>
    <n v="616.89"/>
    <d v="2014-05-10T00:00:00"/>
  </r>
  <r>
    <x v="7349"/>
    <d v="1899-12-30T00:00:00"/>
    <x v="1683"/>
    <x v="9"/>
    <s v="trocaire"/>
    <x v="421"/>
    <n v="1895411"/>
    <x v="0"/>
    <s v="Social Science"/>
    <s v="9780745688961"/>
    <m/>
    <n v="0"/>
    <m/>
    <m/>
    <s v="Yes"/>
    <x v="0"/>
    <d v="2015-09-23T15:32:12"/>
    <n v="7"/>
    <s v="173.225.62.67"/>
    <s v="HM479.B68 A513 2015"/>
    <n v="301.09199999999998"/>
    <d v="2015-04-06T00:00:00"/>
  </r>
  <r>
    <x v="7349"/>
    <d v="1899-12-30T00:00:00"/>
    <x v="1683"/>
    <x v="9"/>
    <s v="trocaire"/>
    <x v="421"/>
    <n v="1895411"/>
    <x v="0"/>
    <s v="Social Science"/>
    <s v="9780745688961"/>
    <m/>
    <n v="0"/>
    <m/>
    <m/>
    <s v="No"/>
    <x v="0"/>
    <d v="2015-09-23T15:32:12"/>
    <n v="7"/>
    <s v="173.225.62.67"/>
    <s v="HM479.B68 A513 2015"/>
    <n v="301.09199999999998"/>
    <d v="2015-04-06T00:00:00"/>
  </r>
  <r>
    <x v="7350"/>
    <d v="1899-12-30T00:01:24"/>
    <x v="1683"/>
    <x v="9"/>
    <s v="trocaire"/>
    <x v="1619"/>
    <n v="2056178"/>
    <x v="0"/>
    <s v="Political Science"/>
    <s v="9780745690513"/>
    <s v=",1,2,3,4,5,6,7"/>
    <n v="7"/>
    <m/>
    <m/>
    <s v="No"/>
    <x v="3"/>
    <m/>
    <m/>
    <s v="173.225.62.67"/>
    <s v="JF1051 .T66 2015"/>
    <n v="321.8"/>
    <d v="2015-05-19T00:00:00"/>
  </r>
  <r>
    <x v="7351"/>
    <d v="1899-12-30T00:01:42"/>
    <x v="1683"/>
    <x v="9"/>
    <s v="trocaire"/>
    <x v="421"/>
    <n v="1895411"/>
    <x v="0"/>
    <s v="Social Science"/>
    <s v="9780745688961"/>
    <s v=",1,2,3,4,6,5"/>
    <n v="6"/>
    <m/>
    <m/>
    <s v="No"/>
    <x v="3"/>
    <m/>
    <m/>
    <s v="173.225.62.67"/>
    <s v="HM479.B68 A513 2015"/>
    <n v="301.09199999999998"/>
    <d v="2015-04-06T00:00:00"/>
  </r>
  <r>
    <x v="7352"/>
    <d v="1899-12-30T00:00:00"/>
    <x v="1683"/>
    <x v="9"/>
    <s v="trocaire"/>
    <x v="1620"/>
    <n v="2006074"/>
    <x v="0"/>
    <s v="History"/>
    <s v="9780745695907"/>
    <m/>
    <n v="0"/>
    <m/>
    <m/>
    <s v="Yes"/>
    <x v="0"/>
    <d v="2015-09-23T15:29:28"/>
    <n v="7"/>
    <s v="173.225.62.67"/>
    <s v="E184.65 .D35 2015"/>
    <n v="973.04960730000005"/>
    <d v="2015-06-04T00:00:00"/>
  </r>
  <r>
    <x v="7352"/>
    <d v="1899-12-30T00:00:00"/>
    <x v="1683"/>
    <x v="9"/>
    <s v="trocaire"/>
    <x v="1620"/>
    <n v="2006074"/>
    <x v="0"/>
    <s v="History"/>
    <s v="9780745695907"/>
    <m/>
    <n v="0"/>
    <m/>
    <m/>
    <s v="No"/>
    <x v="0"/>
    <d v="2015-09-23T15:29:28"/>
    <n v="7"/>
    <s v="173.225.62.67"/>
    <s v="E184.65 .D35 2015"/>
    <n v="973.04960730000005"/>
    <d v="2015-06-04T00:00:00"/>
  </r>
  <r>
    <x v="7353"/>
    <d v="1899-12-30T00:00:00"/>
    <x v="1683"/>
    <x v="9"/>
    <s v="trocaire"/>
    <x v="1597"/>
    <n v="2065775"/>
    <x v="0"/>
    <s v="Philosophy"/>
    <s v="9780745691459"/>
    <m/>
    <n v="0"/>
    <m/>
    <m/>
    <s v="Yes"/>
    <x v="0"/>
    <d v="2015-09-23T15:26:28"/>
    <n v="7"/>
    <s v="173.225.62.67"/>
    <s v="B2433 .L373 T4413 2015"/>
    <n v="170"/>
    <d v="2015-06-04T00:00:00"/>
  </r>
  <r>
    <x v="7354"/>
    <d v="1899-12-30T00:01:12"/>
    <x v="1683"/>
    <x v="9"/>
    <s v="trocaire"/>
    <x v="1620"/>
    <n v="2006074"/>
    <x v="0"/>
    <s v="History"/>
    <s v="9780745695907"/>
    <s v=",1,3,2,4"/>
    <n v="4"/>
    <m/>
    <m/>
    <s v="No"/>
    <x v="3"/>
    <m/>
    <m/>
    <s v="173.225.62.67"/>
    <s v="E184.65 .D35 2015"/>
    <n v="973.04960730000005"/>
    <d v="2015-06-04T00:00:00"/>
  </r>
  <r>
    <x v="7355"/>
    <d v="1899-12-30T00:00:00"/>
    <x v="1683"/>
    <x v="9"/>
    <s v="trocaire"/>
    <x v="1621"/>
    <n v="2081781"/>
    <x v="5"/>
    <s v="History; Social Science"/>
    <s v="9781479863778"/>
    <m/>
    <n v="0"/>
    <m/>
    <m/>
    <s v="Yes"/>
    <x v="0"/>
    <d v="2015-09-23T15:22:04"/>
    <n v="7"/>
    <s v="173.225.62.67"/>
    <s v="E184.P47 B47 2015"/>
    <n v="305.80098500000003"/>
    <d v="2015-08-14T00:00:00"/>
  </r>
  <r>
    <x v="7356"/>
    <d v="1899-12-30T00:00:58"/>
    <x v="1683"/>
    <x v="9"/>
    <s v="trocaire"/>
    <x v="1597"/>
    <n v="2065775"/>
    <x v="0"/>
    <s v="Philosophy"/>
    <s v="9780745691459"/>
    <s v=",1,1,3,2,4"/>
    <n v="4"/>
    <m/>
    <m/>
    <s v="No"/>
    <x v="0"/>
    <d v="2015-09-23T15:26:28"/>
    <n v="7"/>
    <s v="173.225.62.67"/>
    <s v="B2433 .L373 T4413 2015"/>
    <n v="170"/>
    <d v="2015-06-04T00:00:00"/>
  </r>
  <r>
    <x v="7357"/>
    <d v="1899-12-30T00:00:00"/>
    <x v="1683"/>
    <x v="9"/>
    <s v="trocaire"/>
    <x v="573"/>
    <n v="2065773"/>
    <x v="0"/>
    <s v="Social Science"/>
    <s v="9780745690490"/>
    <m/>
    <n v="0"/>
    <m/>
    <m/>
    <s v="Yes"/>
    <x v="0"/>
    <d v="2015-09-23T15:27:00"/>
    <n v="7"/>
    <s v="173.225.62.67"/>
    <s v="HM1281 .M395 2015"/>
    <n v="303.61"/>
    <d v="2015-06-04T00:00:00"/>
  </r>
  <r>
    <x v="7358"/>
    <d v="1899-12-30T00:00:00"/>
    <x v="1683"/>
    <x v="9"/>
    <s v="trocaire"/>
    <x v="573"/>
    <n v="2065773"/>
    <x v="0"/>
    <s v="Social Science"/>
    <s v="9780745690490"/>
    <m/>
    <n v="0"/>
    <m/>
    <m/>
    <s v="No"/>
    <x v="0"/>
    <d v="2015-09-23T15:27:00"/>
    <n v="7"/>
    <s v="173.225.62.67"/>
    <s v="HM1281 .M395 2015"/>
    <n v="303.61"/>
    <d v="2015-06-04T00:00:00"/>
  </r>
  <r>
    <x v="7359"/>
    <d v="1899-12-30T00:00:00"/>
    <x v="1683"/>
    <x v="9"/>
    <s v="trocaire"/>
    <x v="1597"/>
    <n v="2065775"/>
    <x v="0"/>
    <s v="Philosophy"/>
    <s v="9780745691459"/>
    <m/>
    <n v="0"/>
    <m/>
    <m/>
    <s v="Yes"/>
    <x v="0"/>
    <d v="2015-09-23T15:26:28"/>
    <n v="7"/>
    <s v="173.225.62.67"/>
    <s v="B2433 .L373 T4413 2015"/>
    <n v="170"/>
    <d v="2015-06-04T00:00:00"/>
  </r>
  <r>
    <x v="7360"/>
    <d v="1899-12-30T00:00:00"/>
    <x v="1683"/>
    <x v="9"/>
    <s v="trocaire"/>
    <x v="1597"/>
    <n v="2065775"/>
    <x v="0"/>
    <s v="Philosophy"/>
    <s v="9780745691459"/>
    <m/>
    <n v="0"/>
    <m/>
    <m/>
    <s v="Yes"/>
    <x v="0"/>
    <d v="2015-09-23T15:26:28"/>
    <n v="7"/>
    <s v="173.225.62.67"/>
    <s v="B2433 .L373 T4413 2015"/>
    <n v="170"/>
    <d v="2015-06-04T00:00:00"/>
  </r>
  <r>
    <x v="7360"/>
    <d v="1899-12-30T00:00:00"/>
    <x v="1683"/>
    <x v="9"/>
    <s v="trocaire"/>
    <x v="1597"/>
    <n v="2065775"/>
    <x v="0"/>
    <s v="Philosophy"/>
    <s v="9780745691459"/>
    <m/>
    <n v="0"/>
    <m/>
    <m/>
    <s v="No"/>
    <x v="0"/>
    <d v="2015-09-23T15:26:28"/>
    <n v="7"/>
    <s v="173.225.62.67"/>
    <s v="B2433 .L373 T4413 2015"/>
    <n v="170"/>
    <d v="2015-06-04T00:00:00"/>
  </r>
  <r>
    <x v="7361"/>
    <d v="1899-12-30T00:01:06"/>
    <x v="1683"/>
    <x v="9"/>
    <s v="trocaire"/>
    <x v="573"/>
    <n v="2065773"/>
    <x v="0"/>
    <s v="Social Science"/>
    <s v="9780745690490"/>
    <s v=",1,2,3,4"/>
    <n v="4"/>
    <m/>
    <m/>
    <s v="No"/>
    <x v="3"/>
    <m/>
    <m/>
    <s v="173.225.62.67"/>
    <s v="HM1281 .M395 2015"/>
    <n v="303.61"/>
    <d v="2015-06-04T00:00:00"/>
  </r>
  <r>
    <x v="7362"/>
    <d v="1899-12-30T00:01:06"/>
    <x v="1683"/>
    <x v="9"/>
    <s v="trocaire"/>
    <x v="1597"/>
    <n v="2065775"/>
    <x v="0"/>
    <s v="Philosophy"/>
    <s v="9780745691459"/>
    <s v=",1,2,1,3"/>
    <n v="3"/>
    <m/>
    <m/>
    <s v="No"/>
    <x v="3"/>
    <m/>
    <m/>
    <s v="173.225.62.67"/>
    <s v="B2433 .L373 T4413 2015"/>
    <n v="170"/>
    <d v="2015-06-04T00:00:00"/>
  </r>
  <r>
    <x v="7363"/>
    <d v="1899-12-30T00:00:15"/>
    <x v="1683"/>
    <x v="9"/>
    <s v="trocaire"/>
    <x v="1621"/>
    <n v="2081781"/>
    <x v="5"/>
    <s v="History; Social Science"/>
    <s v="9781479863778"/>
    <s v=",1,1,2,3"/>
    <n v="3"/>
    <m/>
    <m/>
    <s v="No"/>
    <x v="0"/>
    <d v="2015-09-23T15:22:04"/>
    <n v="7"/>
    <s v="173.225.62.67"/>
    <s v="E184.P47 B47 2015"/>
    <n v="305.80098500000003"/>
    <d v="2015-08-14T00:00:00"/>
  </r>
  <r>
    <x v="7364"/>
    <d v="1899-12-30T00:00:00"/>
    <x v="1683"/>
    <x v="9"/>
    <s v="trocaire"/>
    <x v="1622"/>
    <n v="2067185"/>
    <x v="5"/>
    <s v="Social Science"/>
    <s v="9781479881956"/>
    <m/>
    <n v="0"/>
    <m/>
    <m/>
    <s v="Yes"/>
    <x v="0"/>
    <d v="2015-09-23T15:23:47"/>
    <n v="7"/>
    <s v="173.225.62.67"/>
    <s v="HV7431"/>
    <n v="364"/>
    <d v="2015-07-10T00:00:00"/>
  </r>
  <r>
    <x v="7364"/>
    <d v="1899-12-30T00:00:00"/>
    <x v="1683"/>
    <x v="9"/>
    <s v="trocaire"/>
    <x v="1622"/>
    <n v="2067185"/>
    <x v="5"/>
    <s v="Social Science"/>
    <s v="9781479881956"/>
    <m/>
    <n v="0"/>
    <m/>
    <m/>
    <s v="No"/>
    <x v="0"/>
    <d v="2015-09-23T15:23:47"/>
    <n v="7"/>
    <s v="173.225.62.67"/>
    <s v="HV7431"/>
    <n v="364"/>
    <d v="2015-07-10T00:00:00"/>
  </r>
  <r>
    <x v="7365"/>
    <d v="1899-12-30T00:00:00"/>
    <x v="1683"/>
    <x v="9"/>
    <s v="trocaire"/>
    <x v="1598"/>
    <n v="2066658"/>
    <x v="0"/>
    <s v="Social Science; History"/>
    <s v="9780745690452"/>
    <m/>
    <n v="0"/>
    <m/>
    <m/>
    <s v="Yes"/>
    <x v="0"/>
    <d v="2015-09-23T15:23:05"/>
    <n v="7"/>
    <s v="173.225.62.67"/>
    <s v="DS730 .Z364 2015"/>
    <n v="305.8"/>
    <d v="2015-06-05T00:00:00"/>
  </r>
  <r>
    <x v="7365"/>
    <d v="1899-12-30T00:00:00"/>
    <x v="1683"/>
    <x v="9"/>
    <s v="trocaire"/>
    <x v="1598"/>
    <n v="2066658"/>
    <x v="0"/>
    <s v="Social Science; History"/>
    <s v="9780745690452"/>
    <m/>
    <n v="0"/>
    <m/>
    <m/>
    <s v="No"/>
    <x v="0"/>
    <d v="2015-09-23T15:23:05"/>
    <n v="7"/>
    <s v="173.225.62.67"/>
    <s v="DS730 .Z364 2015"/>
    <n v="305.8"/>
    <d v="2015-06-05T00:00:00"/>
  </r>
  <r>
    <x v="7366"/>
    <d v="1899-12-30T00:00:00"/>
    <x v="1683"/>
    <x v="9"/>
    <s v="trocaire"/>
    <x v="1621"/>
    <n v="2081781"/>
    <x v="5"/>
    <s v="History; Social Science"/>
    <s v="9781479863778"/>
    <m/>
    <n v="0"/>
    <m/>
    <m/>
    <s v="Yes"/>
    <x v="0"/>
    <d v="2015-09-23T15:22:04"/>
    <n v="7"/>
    <s v="173.225.62.67"/>
    <s v="E184.P47 B47 2015"/>
    <n v="305.80098500000003"/>
    <d v="2015-08-14T00:00:00"/>
  </r>
  <r>
    <x v="7366"/>
    <d v="1899-12-30T00:00:00"/>
    <x v="1683"/>
    <x v="9"/>
    <s v="trocaire"/>
    <x v="1621"/>
    <n v="2081781"/>
    <x v="5"/>
    <s v="History; Social Science"/>
    <s v="9781479863778"/>
    <m/>
    <n v="0"/>
    <m/>
    <m/>
    <s v="No"/>
    <x v="0"/>
    <d v="2015-09-23T15:22:04"/>
    <n v="7"/>
    <s v="173.225.62.67"/>
    <s v="E184.P47 B47 2015"/>
    <n v="305.80098500000003"/>
    <d v="2015-08-14T00:00:00"/>
  </r>
  <r>
    <x v="7367"/>
    <d v="1899-12-30T00:01:22"/>
    <x v="1683"/>
    <x v="9"/>
    <s v="trocaire"/>
    <x v="1598"/>
    <n v="2066658"/>
    <x v="0"/>
    <s v="Social Science; History"/>
    <s v="9780745690452"/>
    <s v=",2,3,4"/>
    <n v="3"/>
    <m/>
    <m/>
    <s v="No"/>
    <x v="3"/>
    <m/>
    <m/>
    <s v="173.225.62.67"/>
    <s v="DS730 .Z364 2015"/>
    <n v="305.8"/>
    <d v="2015-06-05T00:00:00"/>
  </r>
  <r>
    <x v="7368"/>
    <d v="1899-12-30T00:00:00"/>
    <x v="1683"/>
    <x v="9"/>
    <s v="trocaire"/>
    <x v="1623"/>
    <n v="2082217"/>
    <x v="5"/>
    <s v="Language/Linguistics; Social Science"/>
    <s v="9781479812516"/>
    <m/>
    <n v="0"/>
    <m/>
    <m/>
    <s v="Yes"/>
    <x v="0"/>
    <d v="2015-09-23T15:21:05"/>
    <n v="7"/>
    <s v="173.225.62.67"/>
    <s v="P35.5.N7 G86 2015"/>
    <s v="306.440972/1"/>
    <d v="2015-10-16T00:00:00"/>
  </r>
  <r>
    <x v="7368"/>
    <d v="1899-12-30T00:00:00"/>
    <x v="1683"/>
    <x v="9"/>
    <s v="trocaire"/>
    <x v="1623"/>
    <n v="2082217"/>
    <x v="5"/>
    <s v="Language/Linguistics; Social Science"/>
    <s v="9781479812516"/>
    <m/>
    <n v="0"/>
    <m/>
    <m/>
    <s v="No"/>
    <x v="0"/>
    <d v="2015-09-23T15:21:05"/>
    <n v="7"/>
    <s v="173.225.62.67"/>
    <s v="P35.5.N7 G86 2015"/>
    <s v="306.440972/1"/>
    <d v="2015-10-16T00:00:00"/>
  </r>
  <r>
    <x v="7369"/>
    <d v="1899-12-30T00:02:53"/>
    <x v="1683"/>
    <x v="9"/>
    <s v="trocaire"/>
    <x v="1622"/>
    <n v="2067185"/>
    <x v="5"/>
    <s v="Social Science"/>
    <s v="9781479881956"/>
    <s v=",1,1,3,2,4,5"/>
    <n v="5"/>
    <m/>
    <m/>
    <s v="No"/>
    <x v="3"/>
    <m/>
    <m/>
    <s v="173.225.62.67"/>
    <s v="HV7431"/>
    <n v="364"/>
    <d v="2015-07-10T00:00:00"/>
  </r>
  <r>
    <x v="7370"/>
    <d v="1899-12-30T00:51:04"/>
    <x v="13"/>
    <x v="0"/>
    <s v="Buffalo"/>
    <x v="73"/>
    <n v="1119505"/>
    <x v="0"/>
    <s v="Science: Chemistry; Science"/>
    <s v="9781118355015"/>
    <s v=",1,3,2,75,74,77,2,76,73,78,79,61,60,63,59,62,64,65,73,78,79,79,390,389,392,388,391,73"/>
    <n v="22"/>
    <m/>
    <m/>
    <s v="No"/>
    <x v="0"/>
    <d v="2015-09-22T20:22:23"/>
    <n v="7"/>
    <s v="128.205.114.91"/>
    <s v="QD251.3 -- .S38 2013eb"/>
    <s v="547/.128"/>
    <d v="2013-01-28T00:00:00"/>
  </r>
  <r>
    <x v="7371"/>
    <d v="1899-12-30T00:01:30"/>
    <x v="1683"/>
    <x v="9"/>
    <s v="trocaire"/>
    <x v="1621"/>
    <n v="2081781"/>
    <x v="5"/>
    <s v="History; Social Science"/>
    <s v="9781479863778"/>
    <s v=",1,1,3,2,4,5"/>
    <n v="5"/>
    <m/>
    <m/>
    <s v="No"/>
    <x v="3"/>
    <m/>
    <m/>
    <s v="173.225.62.67"/>
    <s v="E184.P47 B47 2015"/>
    <n v="305.80098500000003"/>
    <d v="2015-08-14T00:00:00"/>
  </r>
  <r>
    <x v="7372"/>
    <d v="1899-12-30T00:00:54"/>
    <x v="1683"/>
    <x v="9"/>
    <s v="trocaire"/>
    <x v="1623"/>
    <n v="2082217"/>
    <x v="5"/>
    <s v="Language/Linguistics; Social Science"/>
    <s v="9781479812516"/>
    <s v=",1,1,2,3,4"/>
    <n v="4"/>
    <m/>
    <m/>
    <s v="No"/>
    <x v="3"/>
    <m/>
    <m/>
    <s v="173.225.62.67"/>
    <s v="P35.5.N7 G86 2015"/>
    <s v="306.440972/1"/>
    <d v="2015-10-16T00:00:00"/>
  </r>
  <r>
    <x v="7373"/>
    <d v="1899-12-30T00:00:00"/>
    <x v="1683"/>
    <x v="9"/>
    <s v="trocaire"/>
    <x v="1624"/>
    <n v="1998771"/>
    <x v="0"/>
    <s v="Business/Management; Political Science"/>
    <s v="9781118896150"/>
    <m/>
    <n v="0"/>
    <m/>
    <m/>
    <s v="Yes"/>
    <x v="0"/>
    <d v="2015-09-23T15:17:33"/>
    <n v="7"/>
    <s v="173.225.62.67"/>
    <s v="JX1907 .Y384 2015"/>
    <n v="383.10923480000002"/>
    <d v="2015-06-29T00:00:00"/>
  </r>
  <r>
    <x v="7373"/>
    <d v="1899-12-30T00:00:00"/>
    <x v="1683"/>
    <x v="9"/>
    <s v="trocaire"/>
    <x v="1624"/>
    <n v="1998771"/>
    <x v="0"/>
    <s v="Business/Management; Political Science"/>
    <s v="9781118896150"/>
    <m/>
    <n v="0"/>
    <m/>
    <m/>
    <s v="No"/>
    <x v="0"/>
    <d v="2015-09-23T15:17:33"/>
    <n v="7"/>
    <s v="173.225.62.67"/>
    <s v="JX1907 .Y384 2015"/>
    <n v="383.10923480000002"/>
    <d v="2015-06-29T00:00:00"/>
  </r>
  <r>
    <x v="7374"/>
    <d v="1899-12-30T00:00:34"/>
    <x v="1683"/>
    <x v="9"/>
    <s v="trocaire"/>
    <x v="1624"/>
    <n v="1998771"/>
    <x v="0"/>
    <s v="Business/Management; Political Science"/>
    <s v="9781118896150"/>
    <s v=",1,1,2,3"/>
    <n v="3"/>
    <m/>
    <m/>
    <s v="No"/>
    <x v="3"/>
    <m/>
    <m/>
    <s v="173.225.62.67"/>
    <s v="JX1907 .Y384 2015"/>
    <n v="383.10923480000002"/>
    <d v="2015-06-29T00:00:00"/>
  </r>
  <r>
    <x v="7375"/>
    <d v="1899-12-30T00:00:00"/>
    <x v="1683"/>
    <x v="9"/>
    <s v="trocaire"/>
    <x v="1625"/>
    <n v="1991752"/>
    <x v="0"/>
    <s v="Psychology; Philosophy"/>
    <s v="9780745694948"/>
    <m/>
    <n v="0"/>
    <m/>
    <m/>
    <s v="Yes"/>
    <x v="0"/>
    <d v="2015-09-23T15:14:49"/>
    <n v="7"/>
    <s v="173.225.62.67"/>
    <s v="BF204.5 .K384 2015"/>
    <n v="142.69999999999999"/>
    <d v="2015-07-15T00:00:00"/>
  </r>
  <r>
    <x v="7375"/>
    <d v="1899-12-30T00:00:00"/>
    <x v="1683"/>
    <x v="9"/>
    <s v="trocaire"/>
    <x v="1625"/>
    <n v="1991752"/>
    <x v="0"/>
    <s v="Psychology; Philosophy"/>
    <s v="9780745694948"/>
    <m/>
    <n v="0"/>
    <m/>
    <m/>
    <s v="No"/>
    <x v="0"/>
    <d v="2015-09-23T15:14:49"/>
    <n v="7"/>
    <s v="173.225.62.67"/>
    <s v="BF204.5 .K384 2015"/>
    <n v="142.69999999999999"/>
    <d v="2015-07-15T00:00:00"/>
  </r>
  <r>
    <x v="7376"/>
    <d v="1899-12-30T00:00:00"/>
    <x v="1683"/>
    <x v="9"/>
    <s v="trocaire"/>
    <x v="665"/>
    <n v="2006091"/>
    <x v="0"/>
    <s v="Literature"/>
    <s v="9781118780961"/>
    <m/>
    <n v="0"/>
    <m/>
    <m/>
    <s v="Yes"/>
    <x v="0"/>
    <d v="2015-09-23T15:13:38"/>
    <n v="7"/>
    <s v="173.225.62.67"/>
    <s v="PN56.P555 P674 2015"/>
    <s v="809/.93358"/>
    <d v="2014-10-24T00:00:00"/>
  </r>
  <r>
    <x v="7376"/>
    <d v="1899-12-30T00:00:00"/>
    <x v="1683"/>
    <x v="9"/>
    <s v="trocaire"/>
    <x v="665"/>
    <n v="2006091"/>
    <x v="0"/>
    <s v="Literature"/>
    <s v="9781118780961"/>
    <m/>
    <n v="0"/>
    <m/>
    <m/>
    <s v="No"/>
    <x v="0"/>
    <d v="2015-09-23T15:13:38"/>
    <n v="7"/>
    <s v="173.225.62.67"/>
    <s v="PN56.P555 P674 2015"/>
    <s v="809/.93358"/>
    <d v="2014-10-24T00:00:00"/>
  </r>
  <r>
    <x v="7377"/>
    <d v="1899-12-30T00:00:51"/>
    <x v="1683"/>
    <x v="9"/>
    <s v="trocaire"/>
    <x v="665"/>
    <n v="2006091"/>
    <x v="0"/>
    <s v="Literature"/>
    <s v="9781118780961"/>
    <s v=",1,1,2,3,4,5"/>
    <n v="5"/>
    <m/>
    <m/>
    <s v="No"/>
    <x v="3"/>
    <m/>
    <m/>
    <s v="173.225.62.67"/>
    <s v="PN56.P555 P674 2015"/>
    <s v="809/.93358"/>
    <d v="2014-10-24T00:00:00"/>
  </r>
  <r>
    <x v="7378"/>
    <d v="1899-12-30T00:02:19"/>
    <x v="1683"/>
    <x v="9"/>
    <s v="trocaire"/>
    <x v="1625"/>
    <n v="1991752"/>
    <x v="0"/>
    <s v="Psychology; Philosophy"/>
    <s v="9780745694948"/>
    <s v=",1,2,3,4"/>
    <n v="4"/>
    <m/>
    <m/>
    <s v="No"/>
    <x v="3"/>
    <m/>
    <m/>
    <s v="173.225.62.67"/>
    <s v="BF204.5 .K384 2015"/>
    <n v="142.69999999999999"/>
    <d v="2015-07-15T00:00:00"/>
  </r>
  <r>
    <x v="7379"/>
    <d v="1899-12-30T00:00:00"/>
    <x v="1683"/>
    <x v="9"/>
    <s v="trocaire"/>
    <x v="1519"/>
    <n v="2072491"/>
    <x v="0"/>
    <s v="Social Science"/>
    <s v="9780745698175"/>
    <m/>
    <n v="0"/>
    <m/>
    <m/>
    <s v="Yes"/>
    <x v="0"/>
    <d v="2015-09-23T15:11:42"/>
    <n v="7"/>
    <s v="173.225.62.67"/>
    <s v="HN49 .R33 B43 2015"/>
    <s v="303.48; 303.484"/>
    <d v="2015-08-06T00:00:00"/>
  </r>
  <r>
    <x v="7379"/>
    <d v="1899-12-30T00:00:00"/>
    <x v="1683"/>
    <x v="9"/>
    <s v="trocaire"/>
    <x v="1519"/>
    <n v="2072491"/>
    <x v="0"/>
    <s v="Social Science"/>
    <s v="9780745698175"/>
    <m/>
    <n v="0"/>
    <m/>
    <m/>
    <s v="No"/>
    <x v="0"/>
    <d v="2015-09-23T15:11:42"/>
    <n v="7"/>
    <s v="173.225.62.67"/>
    <s v="HN49 .R33 B43 2015"/>
    <s v="303.48; 303.484"/>
    <d v="2015-08-06T00:00:00"/>
  </r>
  <r>
    <x v="7380"/>
    <d v="1899-12-30T00:00:00"/>
    <x v="1683"/>
    <x v="9"/>
    <s v="trocaire"/>
    <x v="1626"/>
    <n v="2144896"/>
    <x v="0"/>
    <s v="Psychology; Social Science"/>
    <s v="9780745689838"/>
    <m/>
    <n v="0"/>
    <m/>
    <m/>
    <s v="Yes"/>
    <x v="0"/>
    <d v="2015-09-23T15:07:17"/>
    <n v="7"/>
    <s v="173.225.62.67"/>
    <s v="BF531"/>
    <n v="301.01"/>
    <d v="2015-06-12T00:00:00"/>
  </r>
  <r>
    <x v="7381"/>
    <d v="1899-12-30T00:02:53"/>
    <x v="1683"/>
    <x v="9"/>
    <s v="trocaire"/>
    <x v="1519"/>
    <n v="2072491"/>
    <x v="0"/>
    <s v="Social Science"/>
    <s v="9780745698175"/>
    <s v=",1,1,2,3,3,1,2,1,4,5"/>
    <n v="5"/>
    <m/>
    <m/>
    <s v="No"/>
    <x v="3"/>
    <m/>
    <m/>
    <s v="173.225.62.67"/>
    <s v="HN49 .R33 B43 2015"/>
    <s v="303.48; 303.484"/>
    <d v="2015-08-06T00:00:00"/>
  </r>
  <r>
    <x v="7382"/>
    <d v="1899-12-30T00:00:00"/>
    <x v="1683"/>
    <x v="9"/>
    <s v="trocaire"/>
    <x v="1149"/>
    <n v="2144890"/>
    <x v="0"/>
    <s v="History; Social Science"/>
    <s v="9780745695853"/>
    <m/>
    <n v="0"/>
    <m/>
    <m/>
    <s v="Yes"/>
    <x v="0"/>
    <d v="2015-09-23T15:08:24"/>
    <n v="7"/>
    <s v="173.225.62.67"/>
    <s v="E441"/>
    <s v="306.3/620973"/>
    <d v="2015-08-06T00:00:00"/>
  </r>
  <r>
    <x v="7382"/>
    <d v="1899-12-30T00:00:00"/>
    <x v="1683"/>
    <x v="9"/>
    <s v="trocaire"/>
    <x v="1149"/>
    <n v="2144890"/>
    <x v="0"/>
    <s v="History; Social Science"/>
    <s v="9780745695853"/>
    <m/>
    <n v="0"/>
    <m/>
    <m/>
    <s v="No"/>
    <x v="0"/>
    <d v="2015-09-23T15:08:24"/>
    <n v="7"/>
    <s v="173.225.62.67"/>
    <s v="E441"/>
    <s v="306.3/620973"/>
    <d v="2015-08-06T00:00:00"/>
  </r>
  <r>
    <x v="7383"/>
    <d v="1899-12-30T00:00:27"/>
    <x v="1683"/>
    <x v="9"/>
    <s v="trocaire"/>
    <x v="1149"/>
    <n v="2144890"/>
    <x v="0"/>
    <s v="History; Social Science"/>
    <s v="9780745695853"/>
    <s v=",1,3,2,4,5"/>
    <n v="5"/>
    <m/>
    <m/>
    <s v="No"/>
    <x v="3"/>
    <m/>
    <m/>
    <s v="173.225.62.67"/>
    <s v="E441"/>
    <s v="306.3/620973"/>
    <d v="2015-08-06T00:00:00"/>
  </r>
  <r>
    <x v="7384"/>
    <d v="1899-12-30T00:00:00"/>
    <x v="1683"/>
    <x v="9"/>
    <s v="trocaire"/>
    <x v="1626"/>
    <n v="2144896"/>
    <x v="0"/>
    <s v="Psychology; Social Science"/>
    <s v="9780745689838"/>
    <m/>
    <n v="0"/>
    <m/>
    <m/>
    <s v="Yes"/>
    <x v="0"/>
    <d v="2015-09-23T15:07:17"/>
    <n v="7"/>
    <s v="173.225.62.67"/>
    <s v="BF531"/>
    <n v="301.01"/>
    <d v="2015-06-12T00:00:00"/>
  </r>
  <r>
    <x v="7384"/>
    <d v="1899-12-30T00:00:00"/>
    <x v="1683"/>
    <x v="9"/>
    <s v="trocaire"/>
    <x v="1626"/>
    <n v="2144896"/>
    <x v="0"/>
    <s v="Psychology; Social Science"/>
    <s v="9780745689838"/>
    <m/>
    <n v="0"/>
    <m/>
    <m/>
    <s v="No"/>
    <x v="0"/>
    <d v="2015-09-23T15:07:17"/>
    <n v="7"/>
    <s v="173.225.62.67"/>
    <s v="BF531"/>
    <n v="301.01"/>
    <d v="2015-06-12T00:00:00"/>
  </r>
  <r>
    <x v="7385"/>
    <d v="1899-12-30T00:01:11"/>
    <x v="1683"/>
    <x v="9"/>
    <s v="trocaire"/>
    <x v="1626"/>
    <n v="2144896"/>
    <x v="0"/>
    <s v="Psychology; Social Science"/>
    <s v="9780745689838"/>
    <s v=",1,1,2,3,4,5,6,7,8"/>
    <n v="8"/>
    <m/>
    <m/>
    <s v="No"/>
    <x v="3"/>
    <m/>
    <m/>
    <s v="173.225.62.67"/>
    <s v="BF531"/>
    <n v="301.01"/>
    <d v="2015-06-12T00:00:00"/>
  </r>
  <r>
    <x v="7386"/>
    <d v="1899-12-30T00:00:00"/>
    <x v="1683"/>
    <x v="9"/>
    <s v="trocaire"/>
    <x v="1627"/>
    <n v="2050920"/>
    <x v="0"/>
    <s v="Philosophy"/>
    <s v="9780745685410"/>
    <m/>
    <n v="0"/>
    <m/>
    <m/>
    <s v="Yes"/>
    <x v="0"/>
    <d v="2015-09-23T15:02:45"/>
    <n v="7"/>
    <s v="173.225.62.67"/>
    <s v="B2430.S34 B255 2015"/>
    <n v="194"/>
    <d v="2015-06-01T00:00:00"/>
  </r>
  <r>
    <x v="7386"/>
    <d v="1899-12-30T00:00:00"/>
    <x v="1683"/>
    <x v="9"/>
    <s v="trocaire"/>
    <x v="1627"/>
    <n v="2050920"/>
    <x v="0"/>
    <s v="Philosophy"/>
    <s v="9780745685410"/>
    <m/>
    <n v="0"/>
    <m/>
    <m/>
    <s v="No"/>
    <x v="0"/>
    <d v="2015-09-23T15:02:45"/>
    <n v="7"/>
    <s v="173.225.62.67"/>
    <s v="B2430.S34 B255 2015"/>
    <n v="194"/>
    <d v="2015-06-01T00:00:00"/>
  </r>
  <r>
    <x v="7387"/>
    <d v="1899-12-30T00:00:52"/>
    <x v="1683"/>
    <x v="9"/>
    <s v="trocaire"/>
    <x v="1627"/>
    <n v="2050920"/>
    <x v="0"/>
    <s v="Philosophy"/>
    <s v="9780745685410"/>
    <s v=",1,1,2,3"/>
    <n v="3"/>
    <m/>
    <m/>
    <s v="No"/>
    <x v="3"/>
    <m/>
    <m/>
    <s v="173.225.62.67"/>
    <s v="B2430.S34 B255 2015"/>
    <n v="194"/>
    <d v="2015-06-01T00:00:00"/>
  </r>
  <r>
    <x v="7388"/>
    <d v="1899-12-30T02:10:20"/>
    <x v="1704"/>
    <x v="0"/>
    <s v="Buffalo"/>
    <x v="1628"/>
    <n v="1173637"/>
    <x v="17"/>
    <s v="Literature"/>
    <s v="9780748676446"/>
    <s v=",1,1,2,3,3,178,181,179,180,182,181,182,180,2,179,183,184,183,184,185,185,186,186,187,187,188,188,189,189,190,190,191,191,192,192,6,6,8,5,8,4,7,182,179,7,178,5,181,180,190,191,189,188,192,193,193,194,194,195,195,196,196,197,197,198,198,199,199,200,200,201,201,196,201,196,201,202,202,203,203,204,204,205,205,206,206,207,207,208,208,1,208,1,208,207,207,206,180,180,181,181,179,179,178,2,2,182,182,183,183,184,184,185,180,187,185,183,187,185,187,182,187,188,189,186,189,186,188,190,190,191,191,186,191,192,192,187,186,188,192,193,192,193,185,190,191,192,196,196,197,199,198,199,198,197,200,200,201,201,196,201,202,202,197,202,203,198,203,197"/>
    <n v="39"/>
    <m/>
    <m/>
    <s v="No"/>
    <x v="2"/>
    <d v="2015-09-23T01:35:15"/>
    <n v="1"/>
    <s v="128.205.114.91"/>
    <s v="PR6045.O72 -- R93 2013eb"/>
    <n v="823.91200000000003"/>
    <d v="2013-03-17T00:00:00"/>
  </r>
  <r>
    <x v="7389"/>
    <d v="1899-12-30T00:02:13"/>
    <x v="13"/>
    <x v="0"/>
    <s v="Buffalo"/>
    <x v="559"/>
    <n v="1217954"/>
    <x v="1"/>
    <s v="Engineering; Engineering: General"/>
    <s v="9781409457558"/>
    <s v=",1,2,3,1,2,3,2,2,4,4,91,89,92,93,91,264,93,265,262,265,92,264,266,263,266,263,631,631,633,632,633,629,630,632,630"/>
    <n v="18"/>
    <m/>
    <m/>
    <s v="No"/>
    <x v="1"/>
    <m/>
    <m/>
    <s v="128.205.114.91"/>
    <s v="T59.7 -- .S73 2013eb"/>
    <s v="620.8/2"/>
    <d v="2013-10-28T00:00:00"/>
  </r>
  <r>
    <x v="7390"/>
    <d v="1899-12-30T00:01:32"/>
    <x v="1690"/>
    <x v="0"/>
    <s v="Buffalo"/>
    <x v="509"/>
    <n v="1115640"/>
    <x v="0"/>
    <s v="Engineering: Civil; Engineering: Construction; Engineering"/>
    <s v="9781118419090"/>
    <s v=",1,2,3,17,19,18,16,15,17,84,84,17,17"/>
    <n v="9"/>
    <m/>
    <m/>
    <s v="No"/>
    <x v="1"/>
    <m/>
    <m/>
    <s v="128.205.114.91"/>
    <s v="TH375 -- .S77 2013eb"/>
    <n v="624"/>
    <d v="2013-01-22T00:00:00"/>
  </r>
  <r>
    <x v="7391"/>
    <d v="1899-12-30T00:00:00"/>
    <x v="1705"/>
    <x v="6"/>
    <s v="sjfc"/>
    <x v="1629"/>
    <n v="1645638"/>
    <x v="0"/>
    <s v="Education"/>
    <s v="9781118837955"/>
    <m/>
    <n v="0"/>
    <s v=",1"/>
    <m/>
    <s v="No"/>
    <x v="2"/>
    <d v="2015-09-23T13:34:21"/>
    <n v="1"/>
    <s v="149.69.254.57"/>
    <s v="LB2806.4"/>
    <s v="371.2; 371.2/00973; 371.200973"/>
    <d v="2014-03-05T00:00:00"/>
  </r>
  <r>
    <x v="7392"/>
    <d v="1899-12-30T00:00:33"/>
    <x v="1705"/>
    <x v="6"/>
    <s v="sjfc"/>
    <x v="1629"/>
    <n v="1645638"/>
    <x v="0"/>
    <s v="Education"/>
    <s v="9781118837955"/>
    <s v=",1,3,2,4"/>
    <n v="4"/>
    <m/>
    <m/>
    <s v="No"/>
    <x v="3"/>
    <m/>
    <m/>
    <s v="149.69.254.57"/>
    <s v="LB2806.4"/>
    <s v="371.2; 371.2/00973; 371.200973"/>
    <d v="2014-03-05T00:00:00"/>
  </r>
  <r>
    <x v="7393"/>
    <d v="1899-12-30T00:13:39"/>
    <x v="1588"/>
    <x v="0"/>
    <s v="Buffalo"/>
    <x v="728"/>
    <n v="1872281"/>
    <x v="4"/>
    <s v="Education; Business/Management"/>
    <s v="9781462519606"/>
    <s v=",316,315,318,317,314,319"/>
    <n v="6"/>
    <s v=",238"/>
    <s v="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,238,239,240,241,242,243,244,245,246,247,248,249,250,251,252,253,254,255,256,257,258,259,260,261,262,263,264,265,266,267,268,269,270,271,272,273,274,275,276,277,278,279,280,281,282,283,284,285,286,287,288,289,290,291,292,293,294,295,296,297,298,299,300,301,302,303,304,305,306,307,308,309,310,311,312,313,314,315"/>
    <s v="No"/>
    <x v="0"/>
    <d v="2015-09-23T13:29:58"/>
    <n v="7"/>
    <s v="128.205.114.91"/>
    <s v="HD75 -- .P448 2015eb"/>
    <n v="378.101"/>
    <d v="2015-05-26T00:00:00"/>
  </r>
  <r>
    <x v="7394"/>
    <d v="1899-12-30T00:00:57"/>
    <x v="1588"/>
    <x v="0"/>
    <s v="Buffalo"/>
    <x v="728"/>
    <n v="1872281"/>
    <x v="4"/>
    <s v="Education; Business/Management"/>
    <s v="9781462519606"/>
    <s v=",1,2,3,238,236,237,240,239"/>
    <n v="8"/>
    <m/>
    <m/>
    <s v="No"/>
    <x v="1"/>
    <m/>
    <m/>
    <s v="128.205.114.91"/>
    <s v="HD75 -- .P448 2015eb"/>
    <n v="378.101"/>
    <d v="2015-05-26T00:00:00"/>
  </r>
  <r>
    <x v="7395"/>
    <d v="1899-12-30T00:05:05"/>
    <x v="705"/>
    <x v="13"/>
    <s v="buffalostate"/>
    <x v="516"/>
    <n v="1840835"/>
    <x v="0"/>
    <s v="Business/Management; Economics"/>
    <s v="9781118950166"/>
    <s v=",1,2,3,88,87,86,90,89,91,92,93"/>
    <n v="11"/>
    <m/>
    <m/>
    <s v="No"/>
    <x v="0"/>
    <d v="2015-09-18T18:20:23"/>
    <n v="7"/>
    <s v="136.183.11.43"/>
    <s v="HD9969.S6 .R384 2014"/>
    <n v="338.10923789999998"/>
    <d v="2014-11-10T00:00:00"/>
  </r>
  <r>
    <x v="7396"/>
    <d v="1899-12-30T00:04:12"/>
    <x v="535"/>
    <x v="0"/>
    <s v="Buffalo"/>
    <x v="559"/>
    <n v="1217954"/>
    <x v="1"/>
    <s v="Engineering; Engineering: General"/>
    <s v="9781409457558"/>
    <s v=",2,3,1,323,321,322,325,324,326,327,413,412,415,414,411,416,475,477,476,473,474,478,479,480"/>
    <n v="24"/>
    <s v=",477,475"/>
    <s v=",475,476,477,478,479"/>
    <s v="No"/>
    <x v="0"/>
    <d v="2015-09-23T02:17:16"/>
    <n v="7"/>
    <s v="128.205.114.91"/>
    <s v="T59.7 -- .S73 2013eb"/>
    <s v="620.8/2"/>
    <d v="2013-10-28T00:00:00"/>
  </r>
  <r>
    <x v="7397"/>
    <d v="1899-12-30T00:13:27"/>
    <x v="1706"/>
    <x v="0"/>
    <s v="Buffalo"/>
    <x v="559"/>
    <n v="1217954"/>
    <x v="1"/>
    <s v="Engineering; Engineering: General"/>
    <s v="9781409457558"/>
    <s v=",1,3,2,323,325,321,322,324,318,317,316,328,326,327,328,329,330"/>
    <n v="16"/>
    <m/>
    <m/>
    <s v="No"/>
    <x v="0"/>
    <d v="2015-09-18T00:03:07"/>
    <n v="7"/>
    <s v="128.205.114.91"/>
    <s v="T59.7 -- .S73 2013eb"/>
    <s v="620.8/2"/>
    <d v="2013-10-28T00:00:00"/>
  </r>
  <r>
    <x v="7398"/>
    <d v="1899-12-30T00:12:12"/>
    <x v="535"/>
    <x v="0"/>
    <s v="Buffalo"/>
    <x v="559"/>
    <n v="1217954"/>
    <x v="1"/>
    <s v="Engineering; Engineering: General"/>
    <s v="9781409457558"/>
    <s v=",1,3,2,604,603,602,606,605,607,608,609,610,611,612,613,615,614,616,617,618,620,619,621,622,623,624,625,626,627,628,475,476,473,477,474,478"/>
    <n v="36"/>
    <s v=",626"/>
    <m/>
    <s v="No"/>
    <x v="0"/>
    <d v="2015-09-23T02:17:16"/>
    <n v="7"/>
    <s v="128.205.114.91"/>
    <s v="T59.7 -- .S73 2013eb"/>
    <s v="620.8/2"/>
    <d v="2013-10-28T00:00:00"/>
  </r>
  <r>
    <x v="7399"/>
    <d v="1899-12-30T00:03:19"/>
    <x v="1645"/>
    <x v="0"/>
    <s v="Buffalo"/>
    <x v="509"/>
    <n v="1115640"/>
    <x v="0"/>
    <s v="Engineering: Civil; Engineering: Construction; Engineering"/>
    <s v="9781118419090"/>
    <s v=",1,2,3,17,16,18,15,19,20,1,2,3"/>
    <n v="9"/>
    <m/>
    <m/>
    <s v="No"/>
    <x v="0"/>
    <d v="2015-09-21T13:10:44"/>
    <n v="7"/>
    <s v="128.205.114.91"/>
    <s v="TH375 -- .S77 2013eb"/>
    <n v="624"/>
    <d v="2013-01-22T00:00:00"/>
  </r>
  <r>
    <x v="7400"/>
    <d v="1899-12-30T00:00:00"/>
    <x v="1691"/>
    <x v="0"/>
    <s v="Buffalo"/>
    <x v="509"/>
    <n v="1115640"/>
    <x v="0"/>
    <s v="Engineering: Civil; Engineering: Construction; Engineering"/>
    <s v="9781118419090"/>
    <m/>
    <n v="0"/>
    <m/>
    <s v=",17,18,19,20,21,22,23,24,25,26,27,28,29,30,31,32,33,34,35,36,37,38,39,40,41,42,43,44,45,46,47,48,49,50,51,52,53,54,55,56,57,58,59,60,61,62,63,64,65,66,67,68,69,70,71,72,73,74,75,76,77,78,17,18,19,20,21,22,23,24,25,26,27,28,29,30,31,32,33,34,35,36,37,38,39,40,41,42,43,44,45,46,47,48,49,50,51,17,18,19,20,21,22,23,24,25,26,27,28,29,30,31,32,33,34,35,36"/>
    <s v="No"/>
    <x v="0"/>
    <d v="2015-09-23T04:20:45"/>
    <n v="7"/>
    <s v="128.205.114.91"/>
    <s v="TH375 -- .S77 2013eb"/>
    <n v="624"/>
    <d v="2013-01-22T00:00:00"/>
  </r>
  <r>
    <x v="7401"/>
    <d v="1899-12-30T00:01:39"/>
    <x v="1691"/>
    <x v="0"/>
    <s v="Buffalo"/>
    <x v="509"/>
    <n v="1115640"/>
    <x v="0"/>
    <s v="Engineering: Civil; Engineering: Construction; Engineering"/>
    <s v="9781118419090"/>
    <s v=",1,3,2,4,28,31,32,5,10,29,11,6,7,9"/>
    <n v="14"/>
    <m/>
    <m/>
    <s v="No"/>
    <x v="1"/>
    <m/>
    <m/>
    <s v="128.205.114.91"/>
    <s v="TH375 -- .S77 2013eb"/>
    <n v="624"/>
    <d v="2013-01-22T00:00:00"/>
  </r>
  <r>
    <x v="7402"/>
    <d v="1899-12-30T00:00:39"/>
    <x v="980"/>
    <x v="13"/>
    <s v="buffalostate"/>
    <x v="949"/>
    <n v="871519"/>
    <x v="0"/>
    <s v="Science: Astronomy; Science"/>
    <s v="9781444398359"/>
    <s v=",4"/>
    <n v="1"/>
    <m/>
    <m/>
    <s v="Yes"/>
    <x v="0"/>
    <d v="2015-09-23T03:47:28"/>
    <n v="7"/>
    <s v="136.183.11.43"/>
    <s v="QB501 -- .B68 2012eb"/>
    <n v="523.20000000000005"/>
    <d v="2012-02-29T00:00:00"/>
  </r>
  <r>
    <x v="7402"/>
    <d v="1899-12-30T00:00:00"/>
    <x v="980"/>
    <x v="13"/>
    <s v="buffalostate"/>
    <x v="949"/>
    <n v="871519"/>
    <x v="0"/>
    <s v="Science: Astronomy; Science"/>
    <s v="9781444398359"/>
    <m/>
    <n v="0"/>
    <m/>
    <m/>
    <s v="No"/>
    <x v="0"/>
    <d v="2015-09-23T03:47:28"/>
    <n v="7"/>
    <s v="136.183.11.43"/>
    <s v="QB501 -- .B68 2012eb"/>
    <n v="523.20000000000005"/>
    <d v="2012-02-29T00:00:00"/>
  </r>
  <r>
    <x v="7403"/>
    <d v="1899-12-30T00:00:38"/>
    <x v="980"/>
    <x v="13"/>
    <s v="buffalostate"/>
    <x v="949"/>
    <n v="871519"/>
    <x v="0"/>
    <s v="Science: Astronomy; Science"/>
    <s v="9781444398359"/>
    <s v=",1,2,3"/>
    <n v="3"/>
    <m/>
    <m/>
    <s v="No"/>
    <x v="1"/>
    <m/>
    <m/>
    <s v="136.183.11.43"/>
    <s v="QB501 -- .B68 2012eb"/>
    <n v="523.20000000000005"/>
    <d v="2012-02-29T00:00:00"/>
  </r>
  <r>
    <x v="7404"/>
    <d v="1899-12-30T00:37:58"/>
    <x v="1704"/>
    <x v="0"/>
    <s v="Buffalo"/>
    <x v="1628"/>
    <n v="1173637"/>
    <x v="17"/>
    <s v="Literature"/>
    <s v="9780748676446"/>
    <s v=",1,2,3,10,8,12,9,11,13,14,15,16,17,18,19,20,22,23,24,25,26,27,28,29,30,31,32,6,7,4,5,180,179,178,181,182,183,184,185,186,187,188,189,190"/>
    <n v="44"/>
    <m/>
    <m/>
    <s v="No"/>
    <x v="2"/>
    <d v="2015-09-23T01:35:15"/>
    <n v="1"/>
    <s v="128.205.114.91"/>
    <s v="PR6045.O72 -- R93 2013eb"/>
    <n v="823.91200000000003"/>
    <d v="2013-03-17T00:00:00"/>
  </r>
  <r>
    <x v="7405"/>
    <d v="1899-12-30T00:04:14"/>
    <x v="1688"/>
    <x v="0"/>
    <s v="Buffalo"/>
    <x v="728"/>
    <n v="1872281"/>
    <x v="4"/>
    <s v="Education; Business/Management"/>
    <s v="9781462519606"/>
    <s v=",1,285,287,286,283,284,285,2,288,285,287,284,286,283,288"/>
    <n v="8"/>
    <s v=",285,285"/>
    <m/>
    <s v="No"/>
    <x v="0"/>
    <d v="2015-09-20T23:19:06"/>
    <n v="7"/>
    <s v="128.205.114.91"/>
    <s v="HD75 -- .P448 2015eb"/>
    <n v="378.101"/>
    <d v="2015-05-26T00:00:00"/>
  </r>
  <r>
    <x v="7406"/>
    <d v="1899-12-30T00:30:44"/>
    <x v="1707"/>
    <x v="5"/>
    <s v="erie"/>
    <x v="1574"/>
    <n v="1204057"/>
    <x v="0"/>
    <s v="Engineering; Engineering: Chemical"/>
    <s v="9781118598122"/>
    <s v=",661,662,663,664,665,666,667,668,669,670,672,676,678,677,674,675,679,680"/>
    <n v="18"/>
    <m/>
    <m/>
    <s v="No"/>
    <x v="0"/>
    <d v="2015-09-23T02:35:10"/>
    <n v="7"/>
    <s v="199.29.6.54"/>
    <s v="TP568 -- .B68 2013eb"/>
    <s v="663/.3"/>
    <d v="2013-05-20T00:00:00"/>
  </r>
  <r>
    <x v="7407"/>
    <d v="1899-12-30T00:08:19"/>
    <x v="1688"/>
    <x v="0"/>
    <s v="Buffalo"/>
    <x v="728"/>
    <n v="1872281"/>
    <x v="4"/>
    <s v="Education; Business/Management"/>
    <s v="9781462519606"/>
    <s v=",285,284,238,288,296,296"/>
    <n v="5"/>
    <m/>
    <m/>
    <s v="Yes"/>
    <x v="0"/>
    <d v="2015-09-20T23:19:06"/>
    <n v="7"/>
    <s v="128.205.114.91"/>
    <s v="HD75 -- .P448 2015eb"/>
    <n v="378.101"/>
    <d v="2015-05-26T00:00:00"/>
  </r>
  <r>
    <x v="7408"/>
    <d v="1899-12-30T00:00:00"/>
    <x v="209"/>
    <x v="0"/>
    <s v="Buffalo"/>
    <x v="669"/>
    <n v="1742841"/>
    <x v="4"/>
    <s v="Medicine"/>
    <s v="9781462516445"/>
    <m/>
    <n v="0"/>
    <m/>
    <m/>
    <s v="Yes"/>
    <x v="0"/>
    <d v="2015-09-19T22:52:45"/>
    <n v="7"/>
    <s v="128.205.114.91"/>
    <s v="RC537 -- .H3376 2014eb"/>
    <n v="616.85270000000003"/>
    <d v="2014-10-22T00:00:00"/>
  </r>
  <r>
    <x v="7409"/>
    <d v="1899-12-30T00:11:35"/>
    <x v="1707"/>
    <x v="5"/>
    <s v="erie"/>
    <x v="1574"/>
    <n v="1204057"/>
    <x v="0"/>
    <s v="Engineering; Engineering: Chemical"/>
    <s v="9781118598122"/>
    <s v=",1,2,3,5,4,6,8,7,9,10,11,657,656,659,658,655,660"/>
    <n v="17"/>
    <m/>
    <m/>
    <s v="No"/>
    <x v="1"/>
    <m/>
    <m/>
    <s v="199.29.6.54"/>
    <s v="TP568 -- .B68 2013eb"/>
    <s v="663/.3"/>
    <d v="2013-05-20T00:00:00"/>
  </r>
  <r>
    <x v="7410"/>
    <d v="1899-12-30T00:09:49"/>
    <x v="1688"/>
    <x v="0"/>
    <s v="Buffalo"/>
    <x v="728"/>
    <n v="1872281"/>
    <x v="4"/>
    <s v="Education; Business/Management"/>
    <s v="9781462519606"/>
    <s v=",1,2,3,285,283,287,286,323,324,322,321,325,320,319,318,316,317,284,1,284,285,286,283,282,2,287"/>
    <n v="19"/>
    <m/>
    <m/>
    <s v="No"/>
    <x v="0"/>
    <d v="2015-09-20T23:19:06"/>
    <n v="7"/>
    <s v="128.205.114.91"/>
    <s v="HD75 -- .P448 2015eb"/>
    <n v="378.101"/>
    <d v="2015-05-26T00:00:00"/>
  </r>
  <r>
    <x v="7411"/>
    <d v="1899-12-30T00:06:30"/>
    <x v="209"/>
    <x v="0"/>
    <s v="Buffalo"/>
    <x v="669"/>
    <n v="1742841"/>
    <x v="4"/>
    <s v="Medicine"/>
    <s v="9781462516445"/>
    <s v=",1,3,2,236,237,234,238,235,239,256,257,353,352,354,351,355,119,121,117,118,120"/>
    <n v="21"/>
    <m/>
    <s v=",236,237,238,239,240,241,242,243,244,245,246,247,248,249,250,251,252,253,254,255,256,257,258,259,260,261,262,263,264,265,266,267,268,269,270,271,272,273,274,353,354,355,356,357,358,359,360,361,362,363,364,365,366,367,368,369,370"/>
    <s v="No"/>
    <x v="0"/>
    <d v="2015-09-19T22:52:45"/>
    <n v="7"/>
    <s v="128.205.114.91"/>
    <s v="RC537 -- .H3376 2014eb"/>
    <n v="616.85270000000003"/>
    <d v="2014-10-22T00:00:00"/>
  </r>
  <r>
    <x v="7412"/>
    <d v="1899-12-30T00:00:36"/>
    <x v="535"/>
    <x v="0"/>
    <s v="Buffalo"/>
    <x v="559"/>
    <n v="1217954"/>
    <x v="1"/>
    <s v="Engineering; Engineering: General"/>
    <s v="9781409457558"/>
    <s v=",480,481,482"/>
    <n v="3"/>
    <s v=",475"/>
    <m/>
    <s v="No"/>
    <x v="0"/>
    <d v="2015-09-23T02:17:16"/>
    <n v="7"/>
    <s v="128.205.114.91"/>
    <s v="T59.7 -- .S73 2013eb"/>
    <s v="620.8/2"/>
    <d v="2013-10-28T00:00:00"/>
  </r>
  <r>
    <x v="7413"/>
    <d v="1899-12-30T00:12:34"/>
    <x v="535"/>
    <x v="0"/>
    <s v="Buffalo"/>
    <x v="559"/>
    <n v="1217954"/>
    <x v="1"/>
    <s v="Engineering; Engineering: General"/>
    <s v="9781409457558"/>
    <s v=",1,2,3,475,477,473,476,474,478,479"/>
    <n v="10"/>
    <m/>
    <m/>
    <s v="No"/>
    <x v="1"/>
    <m/>
    <m/>
    <s v="128.205.114.91"/>
    <s v="T59.7 -- .S73 2013eb"/>
    <s v="620.8/2"/>
    <d v="2013-10-28T00:00:00"/>
  </r>
  <r>
    <x v="7414"/>
    <d v="1899-12-30T05:39:19"/>
    <x v="13"/>
    <x v="0"/>
    <s v="Buffalo"/>
    <x v="73"/>
    <n v="1119505"/>
    <x v="0"/>
    <s v="Science: Chemistry; Science"/>
    <s v="9781118355015"/>
    <s v=",1,3,2,52,54,50,53,51,55,56,57,58,59,60,61,62,63,64,65,66,67,68,69,70,71,72,73,74,75,1,75,73,77,74,76,72,2,69,70,71,68,78,21,52,51,54,50,55,53,56,57,60,59,58,61,62,63,64,65,66,67,58,69,61,59,60,63,62,64,65,67,73,70,68,71,79,80,72,79,60,50,44,45,59,16,43,1,41,42,40,58,57,56,55"/>
    <n v="42"/>
    <m/>
    <m/>
    <s v="No"/>
    <x v="0"/>
    <d v="2015-09-22T20:22:23"/>
    <n v="7"/>
    <s v="128.205.114.91"/>
    <s v="QD251.3 -- .S38 2013eb"/>
    <s v="547/.128"/>
    <d v="2013-01-28T00:00:00"/>
  </r>
  <r>
    <x v="7415"/>
    <d v="1899-12-30T00:00:12"/>
    <x v="1708"/>
    <x v="0"/>
    <s v="Buffalo"/>
    <x v="844"/>
    <n v="1332527"/>
    <x v="0"/>
    <s v="Business/Management"/>
    <s v="9781118720882"/>
    <s v=",1,2,3"/>
    <n v="3"/>
    <m/>
    <m/>
    <s v="No"/>
    <x v="1"/>
    <m/>
    <m/>
    <s v="128.205.114.91"/>
    <s v="HB615 -- .A95 2013eb"/>
    <n v="658.11"/>
    <d v="2013-07-31T00:00:00"/>
  </r>
  <r>
    <x v="7416"/>
    <d v="1899-12-30T00:02:35"/>
    <x v="1640"/>
    <x v="0"/>
    <s v="Buffalo"/>
    <x v="509"/>
    <n v="1115640"/>
    <x v="0"/>
    <s v="Engineering: Civil; Engineering: Construction; Engineering"/>
    <s v="9781118419090"/>
    <s v=",1,2,3,4,5,6,7,8,9,10,11"/>
    <n v="11"/>
    <m/>
    <m/>
    <s v="No"/>
    <x v="1"/>
    <m/>
    <m/>
    <s v="128.205.114.91"/>
    <s v="TH375 -- .S77 2013eb"/>
    <n v="624"/>
    <d v="2013-01-22T00:00:00"/>
  </r>
  <r>
    <x v="7417"/>
    <d v="1899-12-30T00:00:21"/>
    <x v="1588"/>
    <x v="0"/>
    <s v="Buffalo"/>
    <x v="728"/>
    <n v="1872281"/>
    <x v="4"/>
    <s v="Education; Business/Management"/>
    <s v="9781462519606"/>
    <s v=",1,2,3,5,4"/>
    <n v="5"/>
    <m/>
    <m/>
    <s v="No"/>
    <x v="1"/>
    <m/>
    <m/>
    <s v="128.205.114.91"/>
    <s v="HD75 -- .P448 2015eb"/>
    <n v="378.101"/>
    <d v="2015-05-26T00:00:00"/>
  </r>
  <r>
    <x v="7418"/>
    <d v="1899-12-30T00:04:12"/>
    <x v="1704"/>
    <x v="0"/>
    <s v="Buffalo"/>
    <x v="1628"/>
    <n v="1173637"/>
    <x v="17"/>
    <s v="Literature"/>
    <s v="9780748676446"/>
    <s v=",1,4,6,5,2,3,10,8,12,11,9,13,14"/>
    <n v="13"/>
    <m/>
    <m/>
    <s v="No"/>
    <x v="2"/>
    <d v="2015-09-23T01:35:15"/>
    <n v="1"/>
    <s v="128.205.114.91"/>
    <s v="PR6045.O72 -- R93 2013eb"/>
    <n v="823.91200000000003"/>
    <d v="2013-03-17T00:00:00"/>
  </r>
  <r>
    <x v="7419"/>
    <d v="1899-12-30T00:01:38"/>
    <x v="1709"/>
    <x v="7"/>
    <s v="oneonta"/>
    <x v="1630"/>
    <n v="1507824"/>
    <x v="5"/>
    <s v="Political Science; Social Science"/>
    <s v="9780814738221"/>
    <s v=",1,3,2,32,33,34,35,31,36,37,38,39,40,41"/>
    <n v="14"/>
    <m/>
    <m/>
    <s v="No"/>
    <x v="3"/>
    <m/>
    <m/>
    <s v="137.141.13.2"/>
    <s v="JV7048 -- .N49 20014eb"/>
    <n v="305.90691208999999"/>
    <d v="2014-01-03T00:00:00"/>
  </r>
  <r>
    <x v="7420"/>
    <d v="1899-12-30T00:00:45"/>
    <x v="13"/>
    <x v="0"/>
    <s v="Buffalo"/>
    <x v="559"/>
    <n v="1217954"/>
    <x v="1"/>
    <s v="Engineering; Engineering: General"/>
    <s v="9781409457558"/>
    <s v=",1,3,2,471,473,472,470,469"/>
    <n v="8"/>
    <m/>
    <m/>
    <s v="No"/>
    <x v="1"/>
    <m/>
    <m/>
    <s v="128.205.114.91"/>
    <s v="T59.7 -- .S73 2013eb"/>
    <s v="620.8/2"/>
    <d v="2013-10-28T00:00:00"/>
  </r>
  <r>
    <x v="7421"/>
    <d v="1899-12-30T00:03:22"/>
    <x v="1426"/>
    <x v="0"/>
    <s v="Buffalo"/>
    <x v="73"/>
    <n v="1119505"/>
    <x v="0"/>
    <s v="Science: Chemistry; Science"/>
    <s v="9781118355015"/>
    <s v=",73,74,75,76,77,78"/>
    <n v="6"/>
    <m/>
    <m/>
    <s v="No"/>
    <x v="0"/>
    <d v="2015-09-23T00:17:09"/>
    <n v="7"/>
    <s v="128.205.114.91"/>
    <s v="QD251.3 -- .S38 2013eb"/>
    <s v="547/.128"/>
    <d v="2013-01-28T00:00:00"/>
  </r>
  <r>
    <x v="7422"/>
    <d v="1899-12-30T01:19:49"/>
    <x v="1704"/>
    <x v="0"/>
    <s v="Buffalo"/>
    <x v="1628"/>
    <n v="1173637"/>
    <x v="17"/>
    <s v="Literature"/>
    <s v="9780748676446"/>
    <s v=",1,2,10,3,11,9,8,6,5,7,4"/>
    <n v="11"/>
    <m/>
    <m/>
    <s v="No"/>
    <x v="3"/>
    <m/>
    <m/>
    <s v="128.205.114.91"/>
    <s v="PR6045.O72 -- R93 2013eb"/>
    <n v="823.91200000000003"/>
    <d v="2013-03-17T00:00:00"/>
  </r>
  <r>
    <x v="7423"/>
    <d v="1899-12-30T00:10:46"/>
    <x v="1426"/>
    <x v="0"/>
    <s v="Buffalo"/>
    <x v="73"/>
    <n v="1119505"/>
    <x v="0"/>
    <s v="Science: Chemistry; Science"/>
    <s v="9781118355015"/>
    <s v=",1,2,3,53,54,51,52,55,50,56,57,58,59,60,61,62,63,64,65,66,67,68,69,70,71,72"/>
    <n v="26"/>
    <m/>
    <m/>
    <s v="No"/>
    <x v="1"/>
    <m/>
    <m/>
    <s v="128.205.114.91"/>
    <s v="QD251.3 -- .S38 2013eb"/>
    <s v="547/.128"/>
    <d v="2013-01-28T00:00:00"/>
  </r>
  <r>
    <x v="7424"/>
    <d v="1899-12-30T00:00:07"/>
    <x v="526"/>
    <x v="0"/>
    <s v="Buffalo"/>
    <x v="559"/>
    <n v="1217954"/>
    <x v="1"/>
    <s v="Engineering; Engineering: General"/>
    <s v="9781409457558"/>
    <s v=",323,322,324,325,321"/>
    <n v="5"/>
    <m/>
    <m/>
    <s v="No"/>
    <x v="0"/>
    <d v="2015-09-22T23:59:30"/>
    <n v="7"/>
    <s v="128.205.114.91"/>
    <s v="T59.7 -- .S73 2013eb"/>
    <s v="620.8/2"/>
    <d v="2013-10-28T00:00:00"/>
  </r>
  <r>
    <x v="7425"/>
    <d v="1899-12-30T00:32:57"/>
    <x v="526"/>
    <x v="0"/>
    <s v="Buffalo"/>
    <x v="559"/>
    <n v="1217954"/>
    <x v="1"/>
    <s v="Engineering; Engineering: General"/>
    <s v="9781409457558"/>
    <s v=",1,3,2"/>
    <n v="3"/>
    <m/>
    <m/>
    <s v="No"/>
    <x v="1"/>
    <m/>
    <m/>
    <s v="128.205.114.91"/>
    <s v="T59.7 -- .S73 2013eb"/>
    <s v="620.8/2"/>
    <d v="2013-10-28T00:00:00"/>
  </r>
  <r>
    <x v="7426"/>
    <d v="1899-12-30T00:01:56"/>
    <x v="1710"/>
    <x v="0"/>
    <s v="Buffalo"/>
    <x v="509"/>
    <n v="1115640"/>
    <x v="0"/>
    <s v="Engineering: Civil; Engineering: Construction; Engineering"/>
    <s v="9781118419090"/>
    <s v=",1,3,2,4,5,6,11,13,19,23,26,28,27,25,24"/>
    <n v="15"/>
    <s v=",1"/>
    <s v=",17,18,19,20,21,22,23,24,25,26,27,28,29,30,31,32,33,34,35,36,37,38,39,40,41,42,43,44,45,46,47,48,49,50,51,52,53,54,55,56,57,58,59,60,61,62,63,64,65,66,67,68,69,70,71,72,73,74,75,76,77,78"/>
    <s v="No"/>
    <x v="0"/>
    <d v="2015-09-22T23:14:59"/>
    <n v="7"/>
    <s v="128.205.114.91"/>
    <s v="TH375 -- .S77 2013eb"/>
    <n v="624"/>
    <d v="2013-01-22T00:00:00"/>
  </r>
  <r>
    <x v="7427"/>
    <d v="1899-12-30T00:00:00"/>
    <x v="1710"/>
    <x v="0"/>
    <s v="Buffalo"/>
    <x v="509"/>
    <n v="1115640"/>
    <x v="0"/>
    <s v="Engineering: Civil; Engineering: Construction; Engineering"/>
    <s v="9781118419090"/>
    <m/>
    <n v="0"/>
    <m/>
    <m/>
    <s v="No"/>
    <x v="0"/>
    <d v="2015-09-22T23:14:59"/>
    <n v="7"/>
    <s v="128.205.114.91"/>
    <s v="TH375 -- .S77 2013eb"/>
    <n v="624"/>
    <d v="2013-01-22T00:00:00"/>
  </r>
  <r>
    <x v="7428"/>
    <d v="1899-12-30T00:00:29"/>
    <x v="1710"/>
    <x v="0"/>
    <s v="Buffalo"/>
    <x v="509"/>
    <n v="1115640"/>
    <x v="0"/>
    <s v="Engineering: Civil; Engineering: Construction; Engineering"/>
    <s v="9781118419090"/>
    <s v=",1,2,3,4"/>
    <n v="4"/>
    <m/>
    <m/>
    <s v="No"/>
    <x v="1"/>
    <m/>
    <m/>
    <s v="128.205.114.91"/>
    <s v="TH375 -- .S77 2013eb"/>
    <n v="624"/>
    <d v="2013-01-22T00:00:00"/>
  </r>
  <r>
    <x v="7429"/>
    <d v="1899-12-30T00:56:02"/>
    <x v="1706"/>
    <x v="0"/>
    <s v="Buffalo"/>
    <x v="559"/>
    <n v="1217954"/>
    <x v="1"/>
    <s v="Engineering; Engineering: General"/>
    <s v="9781409457558"/>
    <s v=",1,2,3,4,1,2,3,323,325,321,324,322,326,327,328,329,330,328,323,321,326"/>
    <n v="14"/>
    <m/>
    <m/>
    <s v="No"/>
    <x v="0"/>
    <d v="2015-09-18T00:03:07"/>
    <n v="7"/>
    <s v="128.205.114.91"/>
    <s v="T59.7 -- .S73 2013eb"/>
    <s v="620.8/2"/>
    <d v="2013-10-28T00:00:00"/>
  </r>
  <r>
    <x v="7430"/>
    <d v="1899-12-30T00:45:37"/>
    <x v="1578"/>
    <x v="0"/>
    <s v="Buffalo"/>
    <x v="31"/>
    <n v="1682559"/>
    <x v="4"/>
    <s v="Medicine"/>
    <s v="9781462515431"/>
    <s v=",223,224,225,226,227,228,229,230,232,233,249,250,247,248,251,234,235,236,237,238,239,240,241,242,243,244,245,246,211,225,212,220,221,222,223,227"/>
    <n v="33"/>
    <m/>
    <m/>
    <s v="No"/>
    <x v="0"/>
    <d v="2015-09-22T22:52:21"/>
    <n v="7"/>
    <s v="128.205.114.91"/>
    <s v="RC469 -- .M677 2014eb"/>
    <n v="616.89"/>
    <d v="2014-05-10T00:00:00"/>
  </r>
  <r>
    <x v="7431"/>
    <d v="1899-12-30T00:10:09"/>
    <x v="1578"/>
    <x v="0"/>
    <s v="Buffalo"/>
    <x v="31"/>
    <n v="1682559"/>
    <x v="4"/>
    <s v="Medicine"/>
    <s v="9781462515431"/>
    <s v=",1,2,3,38,124,125,126,122,123,213,212,211,215,214,216,217,231,230,232,229,211,217,218,219,220,221,222"/>
    <n v="25"/>
    <m/>
    <m/>
    <s v="No"/>
    <x v="1"/>
    <m/>
    <m/>
    <s v="128.205.114.91"/>
    <s v="RC469 -- .M677 2014eb"/>
    <n v="616.89"/>
    <d v="2014-05-10T00:00:00"/>
  </r>
  <r>
    <x v="7432"/>
    <d v="1899-12-30T03:30:38"/>
    <x v="986"/>
    <x v="0"/>
    <s v="Buffalo"/>
    <x v="73"/>
    <n v="1119505"/>
    <x v="0"/>
    <s v="Science: Chemistry; Science"/>
    <s v="9781118355015"/>
    <s v=",56,57,58,59,60,61,62,63,64,65,66,67,68,69,70,71,72,405,407,409,405,406,1,2,3,408,407,406,410,409,411,412,413,415,414,416,417,419,75,73,76,77,74,78,79,390,392,389,391,388,61,59,62,60,63,64,65,66,67,68,69,70,71,72,80,81,1,81,80,79,2,82,83,83,1,82,81,84,53,54,51,52,55,2,56,57,58,59,60,61,62,63"/>
    <n v="56"/>
    <s v=",407"/>
    <m/>
    <s v="No"/>
    <x v="0"/>
    <d v="2015-09-22T22:41:10"/>
    <n v="7"/>
    <s v="128.205.114.91"/>
    <s v="QD251.3 -- .S38 2013eb"/>
    <s v="547/.128"/>
    <d v="2013-01-28T00:00:00"/>
  </r>
  <r>
    <x v="7433"/>
    <d v="1899-12-30T00:13:47"/>
    <x v="986"/>
    <x v="0"/>
    <s v="Buffalo"/>
    <x v="73"/>
    <n v="1119505"/>
    <x v="0"/>
    <s v="Science: Chemistry; Science"/>
    <s v="9781118355015"/>
    <s v=",1,2,3,48,49,46,47,50,55,51,52,53,54,75,76,73,74,77,78"/>
    <n v="19"/>
    <m/>
    <m/>
    <s v="No"/>
    <x v="1"/>
    <m/>
    <m/>
    <s v="128.205.114.91"/>
    <s v="QD251.3 -- .S38 2013eb"/>
    <s v="547/.128"/>
    <d v="2013-01-28T00:00:00"/>
  </r>
  <r>
    <x v="7434"/>
    <d v="1899-12-30T00:00:00"/>
    <x v="1606"/>
    <x v="1"/>
    <s v="brockport"/>
    <x v="1560"/>
    <n v="1650803"/>
    <x v="3"/>
    <s v="Fine Arts"/>
    <s v="9780520958340"/>
    <m/>
    <n v="0"/>
    <m/>
    <m/>
    <s v="No"/>
    <x v="0"/>
    <d v="2015-09-22T22:08:52"/>
    <n v="7"/>
    <s v="137.21.7.121"/>
    <s v="ML3524 -- .H78 2014eb"/>
    <s v="781.642086/640973"/>
    <d v="2014-03-18T00:00:00"/>
  </r>
  <r>
    <x v="7435"/>
    <d v="1899-12-30T00:02:51"/>
    <x v="1645"/>
    <x v="0"/>
    <s v="Buffalo"/>
    <x v="509"/>
    <n v="1115640"/>
    <x v="0"/>
    <s v="Engineering: Civil; Engineering: Construction; Engineering"/>
    <s v="9781118419090"/>
    <s v=",1,2,3,15,16,17,18,19,20,22,21,136,137,138,139,135,132,130,133,128,127,134,76,78,77,75,80,79,81,17,18,19,16,15,35,37,34,36,33,49,50,48,79,80,78,75,74,77,76,81"/>
    <n v="38"/>
    <m/>
    <s v=",17,18,19,20,21,22,23,24,25,26,27,28,29,30,31,32,33,34,35,36,37,38,39,40,41,42,43,44,45,46,47,48,49,50,51,52,53,54,55,56,57,58,59,60,61,62,63,64,65,66,67,68,69,70,71,72,73,74,75,76,77,78,17,18,19,20,21,22,23,24,25,26,27,28,29,30,31,32,33,34,35,36,37,38,39,40,41,42,43,44,45,46,47,48,49,50,51,52,53,54,55,56,57,58,59,60,61,62,63,64,65,66,67,68,69,70,71,72,73,74,75,76,77,78"/>
    <s v="No"/>
    <x v="0"/>
    <d v="2015-09-21T13:10:44"/>
    <n v="7"/>
    <s v="128.205.114.91"/>
    <s v="TH375 -- .S77 2013eb"/>
    <n v="624"/>
    <d v="2013-01-22T00:00:00"/>
  </r>
  <r>
    <x v="7436"/>
    <d v="1899-12-30T00:00:00"/>
    <x v="1711"/>
    <x v="0"/>
    <s v="Buffalo"/>
    <x v="500"/>
    <n v="699744"/>
    <x v="0"/>
    <s v="Engineering; Engineering: Electrical; Engineering: Civil"/>
    <s v="9781118585818"/>
    <m/>
    <n v="0"/>
    <s v=",3"/>
    <m/>
    <s v="No"/>
    <x v="0"/>
    <d v="2015-09-22T21:52:20"/>
    <n v="7"/>
    <s v="128.205.114.91"/>
    <s v="TA1520 -- .S24 2007eb"/>
    <n v="621.36"/>
    <d v="2013-02-05T00:00:00"/>
  </r>
  <r>
    <x v="7437"/>
    <d v="1899-12-30T00:00:59"/>
    <x v="1711"/>
    <x v="0"/>
    <s v="Buffalo"/>
    <x v="500"/>
    <n v="699744"/>
    <x v="0"/>
    <s v="Engineering; Engineering: Electrical; Engineering: Civil"/>
    <s v="9781118585818"/>
    <s v=",1,2,2,1,3,3,4,4,2,2,5,5"/>
    <n v="5"/>
    <m/>
    <m/>
    <s v="No"/>
    <x v="1"/>
    <m/>
    <m/>
    <s v="128.205.114.91"/>
    <s v="TA1520 -- .S24 2007eb"/>
    <n v="621.36"/>
    <d v="2013-02-05T00:00:00"/>
  </r>
  <r>
    <x v="7438"/>
    <d v="1899-12-30T00:22:09"/>
    <x v="1606"/>
    <x v="1"/>
    <s v="brockport"/>
    <x v="1560"/>
    <n v="1650803"/>
    <x v="3"/>
    <s v="Fine Arts"/>
    <s v="9780520958340"/>
    <s v=",1,2,3"/>
    <n v="3"/>
    <m/>
    <m/>
    <s v="No"/>
    <x v="3"/>
    <m/>
    <m/>
    <s v="137.21.7.121"/>
    <s v="ML3524 -- .H78 2014eb"/>
    <s v="781.642086/640973"/>
    <d v="2014-03-18T00:00:00"/>
  </r>
  <r>
    <x v="7439"/>
    <d v="1899-12-30T00:00:16"/>
    <x v="1712"/>
    <x v="1"/>
    <s v="brockport"/>
    <x v="1328"/>
    <n v="1875898"/>
    <x v="0"/>
    <s v="Computer Science/IT"/>
    <s v="9781118908891"/>
    <s v=",1,3,2,4,107,105,109,106,108"/>
    <n v="9"/>
    <m/>
    <m/>
    <s v="No"/>
    <x v="1"/>
    <m/>
    <m/>
    <s v="137.21.7.121"/>
    <s v="QA76.73.P98 -- C37 2014eb"/>
    <n v="5.133"/>
    <d v="2014-11-24T00:00:00"/>
  </r>
  <r>
    <x v="7440"/>
    <d v="1899-12-30T00:12:32"/>
    <x v="746"/>
    <x v="13"/>
    <s v="buffalostate"/>
    <x v="516"/>
    <n v="1840835"/>
    <x v="0"/>
    <s v="Business/Management; Economics"/>
    <s v="9781118950166"/>
    <s v=",30,31,32"/>
    <n v="3"/>
    <m/>
    <m/>
    <s v="No"/>
    <x v="0"/>
    <d v="2015-09-22T20:41:14"/>
    <n v="7"/>
    <s v="136.183.11.43"/>
    <s v="HD9969.S6 .R384 2014"/>
    <n v="338.10923789999998"/>
    <d v="2014-11-10T00:00:00"/>
  </r>
  <r>
    <x v="7441"/>
    <d v="1899-12-30T00:14:30"/>
    <x v="746"/>
    <x v="13"/>
    <s v="buffalostate"/>
    <x v="516"/>
    <n v="1840835"/>
    <x v="0"/>
    <s v="Business/Management; Economics"/>
    <s v="9781118950166"/>
    <s v=",1,2,3,4,5,6,7,8,9,10,11,12,13,14,15,16,17,18,19,20,21,22,23,24,25,26,27,28,29"/>
    <n v="29"/>
    <m/>
    <m/>
    <s v="No"/>
    <x v="1"/>
    <m/>
    <m/>
    <s v="136.183.11.43"/>
    <s v="HD9969.S6 .R384 2014"/>
    <n v="338.10923789999998"/>
    <d v="2014-11-10T00:00:00"/>
  </r>
  <r>
    <x v="7442"/>
    <d v="1899-12-30T00:19:35"/>
    <x v="705"/>
    <x v="13"/>
    <s v="buffalostate"/>
    <x v="516"/>
    <n v="1840835"/>
    <x v="0"/>
    <s v="Business/Management; Economics"/>
    <s v="9781118950166"/>
    <s v=",1,2,3,46,47,48,44,45,67,68,69,65,66,70,71,72,73,74,75,76,77,78,79"/>
    <n v="23"/>
    <m/>
    <m/>
    <s v="No"/>
    <x v="0"/>
    <d v="2015-09-18T18:20:23"/>
    <n v="7"/>
    <s v="136.183.11.43"/>
    <s v="HD9969.S6 .R384 2014"/>
    <n v="338.10923789999998"/>
    <d v="2014-11-10T00:00:00"/>
  </r>
  <r>
    <x v="7443"/>
    <d v="1899-12-30T00:04:08"/>
    <x v="13"/>
    <x v="0"/>
    <s v="Buffalo"/>
    <x v="73"/>
    <n v="1119505"/>
    <x v="0"/>
    <s v="Science: Chemistry; Science"/>
    <s v="9781118355015"/>
    <s v=",56,57,58,59,60,61,62,63,64,75,76,77,73,74,78,79"/>
    <n v="16"/>
    <m/>
    <m/>
    <s v="No"/>
    <x v="0"/>
    <d v="2015-09-22T20:22:23"/>
    <n v="7"/>
    <s v="128.205.114.91"/>
    <s v="QD251.3 -- .S38 2013eb"/>
    <s v="547/.128"/>
    <d v="2013-01-28T00:00:00"/>
  </r>
  <r>
    <x v="7444"/>
    <d v="1899-12-30T00:08:32"/>
    <x v="13"/>
    <x v="0"/>
    <s v="Buffalo"/>
    <x v="73"/>
    <n v="1119505"/>
    <x v="0"/>
    <s v="Science: Chemistry; Science"/>
    <s v="9781118355015"/>
    <s v=",1,2,3,24,25,26,22,23,52,53,54,50,51,2,55"/>
    <n v="14"/>
    <m/>
    <m/>
    <s v="No"/>
    <x v="1"/>
    <m/>
    <m/>
    <s v="128.205.114.91"/>
    <s v="QD251.3 -- .S38 2013eb"/>
    <s v="547/.128"/>
    <d v="2013-01-28T00:00:00"/>
  </r>
  <r>
    <x v="7445"/>
    <d v="1899-12-30T00:00:00"/>
    <x v="1683"/>
    <x v="9"/>
    <s v="trocaire"/>
    <x v="778"/>
    <n v="1964196"/>
    <x v="0"/>
    <s v="Philosophy"/>
    <s v="9781509500864"/>
    <m/>
    <n v="0"/>
    <m/>
    <m/>
    <s v="Yes"/>
    <x v="0"/>
    <d v="2015-09-22T20:08:28"/>
    <n v="7"/>
    <s v="173.225.62.67"/>
    <s v="B945.S444 O84 2015"/>
    <n v="191"/>
    <d v="2015-02-13T00:00:00"/>
  </r>
  <r>
    <x v="7445"/>
    <d v="1899-12-30T00:00:00"/>
    <x v="1683"/>
    <x v="9"/>
    <s v="trocaire"/>
    <x v="778"/>
    <n v="1964196"/>
    <x v="0"/>
    <s v="Philosophy"/>
    <s v="9781509500864"/>
    <m/>
    <n v="0"/>
    <m/>
    <m/>
    <s v="No"/>
    <x v="0"/>
    <d v="2015-09-22T20:08:28"/>
    <n v="7"/>
    <s v="173.225.62.67"/>
    <s v="B945.S444 O84 2015"/>
    <n v="191"/>
    <d v="2015-02-13T00:00:00"/>
  </r>
  <r>
    <x v="7446"/>
    <d v="1899-12-30T00:00:16"/>
    <x v="1683"/>
    <x v="9"/>
    <s v="trocaire"/>
    <x v="778"/>
    <n v="1964196"/>
    <x v="0"/>
    <s v="Philosophy"/>
    <s v="9781509500864"/>
    <s v=",2,3,1"/>
    <n v="3"/>
    <m/>
    <m/>
    <s v="No"/>
    <x v="3"/>
    <m/>
    <m/>
    <s v="173.225.62.67"/>
    <s v="B945.S444 O84 2015"/>
    <n v="191"/>
    <d v="2015-02-13T00:00:00"/>
  </r>
  <r>
    <x v="7447"/>
    <d v="1899-12-30T00:00:00"/>
    <x v="1683"/>
    <x v="9"/>
    <s v="trocaire"/>
    <x v="1631"/>
    <n v="2037988"/>
    <x v="0"/>
    <s v="Philosophy"/>
    <s v="9781118950678"/>
    <m/>
    <n v="0"/>
    <m/>
    <m/>
    <s v="Yes"/>
    <x v="0"/>
    <d v="2015-09-22T20:05:56"/>
    <n v="7"/>
    <s v="173.225.62.67"/>
    <s v="B2799.A4 M87 2015"/>
    <s v="111/.85092"/>
    <d v="2015-04-22T00:00:00"/>
  </r>
  <r>
    <x v="7447"/>
    <d v="1899-12-30T00:00:00"/>
    <x v="1683"/>
    <x v="9"/>
    <s v="trocaire"/>
    <x v="1631"/>
    <n v="2037988"/>
    <x v="0"/>
    <s v="Philosophy"/>
    <s v="9781118950678"/>
    <m/>
    <n v="0"/>
    <m/>
    <m/>
    <s v="No"/>
    <x v="0"/>
    <d v="2015-09-22T20:05:56"/>
    <n v="7"/>
    <s v="173.225.62.67"/>
    <s v="B2799.A4 M87 2015"/>
    <s v="111/.85092"/>
    <d v="2015-04-22T00:00:00"/>
  </r>
  <r>
    <x v="7448"/>
    <d v="1899-12-30T00:00:24"/>
    <x v="1683"/>
    <x v="9"/>
    <s v="trocaire"/>
    <x v="1631"/>
    <n v="2037988"/>
    <x v="0"/>
    <s v="Philosophy"/>
    <s v="9781118950678"/>
    <s v=",1,2,3,4,5"/>
    <n v="5"/>
    <m/>
    <m/>
    <s v="No"/>
    <x v="3"/>
    <m/>
    <m/>
    <s v="173.225.62.67"/>
    <s v="B2799.A4 M87 2015"/>
    <s v="111/.85092"/>
    <d v="2015-04-22T00:00:00"/>
  </r>
  <r>
    <x v="7449"/>
    <d v="1899-12-30T00:00:18"/>
    <x v="1683"/>
    <x v="9"/>
    <s v="trocaire"/>
    <x v="1632"/>
    <n v="1963821"/>
    <x v="0"/>
    <s v="Philosophy"/>
    <s v="9780745688701"/>
    <s v=",1,2,3,4"/>
    <n v="4"/>
    <m/>
    <m/>
    <s v="No"/>
    <x v="3"/>
    <m/>
    <m/>
    <s v="173.225.62.67"/>
    <s v="BJ991 .B384 2015"/>
    <n v="192.10928372999999"/>
    <d v="2015-02-02T00:00:00"/>
  </r>
  <r>
    <x v="7450"/>
    <d v="1899-12-30T00:03:14"/>
    <x v="941"/>
    <x v="13"/>
    <s v="buffalostate"/>
    <x v="916"/>
    <n v="1925073"/>
    <x v="4"/>
    <s v="Education"/>
    <s v="9781462521128"/>
    <s v=",19,20,21,27,45,38,34,28,24,23,25,57,58,59,95,96,97,93,94,92,90,91"/>
    <n v="22"/>
    <m/>
    <m/>
    <s v="Yes"/>
    <x v="2"/>
    <d v="2015-09-22T19:25:09"/>
    <n v="1"/>
    <s v="136.183.11.43"/>
    <s v="LB1050.46 .M35 2015"/>
    <n v="372.48"/>
    <d v="2015-06-23T00:00:00"/>
  </r>
  <r>
    <x v="7451"/>
    <d v="1899-12-30T00:00:25"/>
    <x v="941"/>
    <x v="13"/>
    <s v="buffalostate"/>
    <x v="916"/>
    <n v="1925073"/>
    <x v="4"/>
    <s v="Education"/>
    <s v="9781462521128"/>
    <s v=",4,17,18"/>
    <n v="3"/>
    <m/>
    <m/>
    <s v="No"/>
    <x v="2"/>
    <d v="2015-09-22T19:25:09"/>
    <n v="1"/>
    <s v="136.183.11.43"/>
    <s v="LB1050.46 .M35 2015"/>
    <n v="372.48"/>
    <d v="2015-06-23T00:00:00"/>
  </r>
  <r>
    <x v="7452"/>
    <d v="1899-12-30T00:00:42"/>
    <x v="13"/>
    <x v="0"/>
    <s v="Buffalo"/>
    <x v="559"/>
    <n v="1217954"/>
    <x v="1"/>
    <s v="Engineering; Engineering: General"/>
    <s v="9781409457558"/>
    <s v=",1,2,3,323,324,325,321,322,326,327,328,329"/>
    <n v="12"/>
    <m/>
    <m/>
    <s v="No"/>
    <x v="1"/>
    <m/>
    <m/>
    <s v="128.205.114.91"/>
    <s v="T59.7 -- .S73 2013eb"/>
    <s v="620.8/2"/>
    <d v="2013-10-28T00:00:00"/>
  </r>
  <r>
    <x v="7453"/>
    <d v="1899-12-30T00:00:13"/>
    <x v="1713"/>
    <x v="0"/>
    <s v="Buffalo"/>
    <x v="246"/>
    <n v="1707328"/>
    <x v="3"/>
    <s v="Fine Arts"/>
    <s v="9780520958876"/>
    <s v=",1,2,3,6,5,4,7,8,9,10,11"/>
    <n v="11"/>
    <m/>
    <m/>
    <s v="No"/>
    <x v="1"/>
    <m/>
    <m/>
    <s v="128.205.114.91"/>
    <s v="ML195 -- .A45 2014eb"/>
    <n v="780.90329999999994"/>
    <d v="2014-06-07T00:00:00"/>
  </r>
  <r>
    <x v="7454"/>
    <d v="1899-12-30T00:00:30"/>
    <x v="1698"/>
    <x v="3"/>
    <s v="canton"/>
    <x v="1633"/>
    <n v="1884239"/>
    <x v="11"/>
    <s v="Fine Arts"/>
    <s v="9780226174624"/>
    <s v=",1,2,3,148,149,150,146,147,69,70,71,72,68,67"/>
    <n v="14"/>
    <m/>
    <m/>
    <s v="No"/>
    <x v="3"/>
    <m/>
    <m/>
    <s v="137.37.33.33"/>
    <s v="PN1995"/>
    <s v="791.43/611"/>
    <d v="2015-01-26T00:00:00"/>
  </r>
  <r>
    <x v="7455"/>
    <d v="1899-12-30T00:11:01"/>
    <x v="941"/>
    <x v="13"/>
    <s v="buffalostate"/>
    <x v="916"/>
    <n v="1925073"/>
    <x v="4"/>
    <s v="Education"/>
    <s v="9781462521128"/>
    <s v=",1,2,3,4,5,6,7,8,9,10,11,12,13,14,15,16,17,18,19,35,36,30,26,1,2,3"/>
    <n v="23"/>
    <m/>
    <m/>
    <s v="No"/>
    <x v="3"/>
    <m/>
    <m/>
    <s v="136.183.11.43"/>
    <s v="LB1050.46 .M35 2015"/>
    <n v="372.48"/>
    <d v="2015-06-23T00:00:00"/>
  </r>
  <r>
    <x v="7456"/>
    <d v="1899-12-30T00:00:29"/>
    <x v="1714"/>
    <x v="1"/>
    <s v="brockport"/>
    <x v="500"/>
    <n v="699744"/>
    <x v="0"/>
    <s v="Engineering; Engineering: Electrical; Engineering: Civil"/>
    <s v="9781118585818"/>
    <s v=",1,2,3,349,350,351,347,348,352"/>
    <n v="9"/>
    <m/>
    <m/>
    <s v="No"/>
    <x v="1"/>
    <m/>
    <m/>
    <s v="137.21.7.121"/>
    <s v="TA1520 -- .S24 2007eb"/>
    <n v="621.36"/>
    <d v="2013-02-05T00:00:00"/>
  </r>
  <r>
    <x v="7457"/>
    <d v="1899-12-30T00:04:26"/>
    <x v="350"/>
    <x v="1"/>
    <s v="brockport"/>
    <x v="500"/>
    <n v="699744"/>
    <x v="0"/>
    <s v="Engineering; Engineering: Electrical; Engineering: Civil"/>
    <s v="9781118585818"/>
    <s v=",1,2,3,349,350,351,347,348,352,345,346,344,343,342,1097,1098,1094,1095"/>
    <n v="18"/>
    <m/>
    <m/>
    <s v="No"/>
    <x v="1"/>
    <m/>
    <m/>
    <s v="137.21.7.121"/>
    <s v="TA1520 -- .S24 2007eb"/>
    <n v="621.36"/>
    <d v="2013-02-05T00:00:00"/>
  </r>
  <r>
    <x v="7458"/>
    <d v="1899-12-30T00:01:43"/>
    <x v="1715"/>
    <x v="1"/>
    <s v="brockport"/>
    <x v="500"/>
    <n v="699744"/>
    <x v="0"/>
    <s v="Engineering; Engineering: Electrical; Engineering: Civil"/>
    <s v="9781118585818"/>
    <s v=",1,3,2,4,5,6,349,350,351,347,348,352,5,6,7,3,4"/>
    <n v="13"/>
    <m/>
    <m/>
    <s v="No"/>
    <x v="1"/>
    <m/>
    <m/>
    <s v="137.21.7.121"/>
    <s v="TA1520 -- .S24 2007eb"/>
    <n v="621.36"/>
    <d v="2013-02-05T00:00:00"/>
  </r>
  <r>
    <x v="7459"/>
    <d v="1899-12-30T00:01:40"/>
    <x v="1716"/>
    <x v="1"/>
    <s v="brockport"/>
    <x v="500"/>
    <n v="699744"/>
    <x v="0"/>
    <s v="Engineering; Engineering: Electrical; Engineering: Civil"/>
    <s v="9781118585818"/>
    <s v=",1,2,3,351,352,353,349,350,347,348,593,594,595,591,592,590"/>
    <n v="16"/>
    <m/>
    <m/>
    <s v="No"/>
    <x v="1"/>
    <m/>
    <m/>
    <s v="137.21.7.121"/>
    <s v="TA1520 -- .S24 2007eb"/>
    <n v="621.36"/>
    <d v="2013-02-05T00:00:00"/>
  </r>
  <r>
    <x v="7460"/>
    <d v="1899-12-30T01:01:32"/>
    <x v="1706"/>
    <x v="0"/>
    <s v="Buffalo"/>
    <x v="559"/>
    <n v="1217954"/>
    <x v="1"/>
    <s v="Engineering; Engineering: General"/>
    <s v="9781409457558"/>
    <s v=",1,2,3,28,29,30,26,27,323,324,325,321,322,322,1,323,324,320,321,325,2,326,319,326,327,328,329,330,324"/>
    <n v="20"/>
    <m/>
    <m/>
    <s v="No"/>
    <x v="0"/>
    <d v="2015-09-18T00:03:07"/>
    <n v="7"/>
    <s v="128.205.114.91"/>
    <s v="T59.7 -- .S73 2013eb"/>
    <s v="620.8/2"/>
    <d v="2013-10-28T00:00:00"/>
  </r>
  <r>
    <x v="7461"/>
    <d v="1899-12-30T00:00:04"/>
    <x v="518"/>
    <x v="0"/>
    <s v="Buffalo"/>
    <x v="509"/>
    <n v="1115640"/>
    <x v="0"/>
    <s v="Engineering: Civil; Engineering: Construction; Engineering"/>
    <s v="9781118419090"/>
    <s v=",1,2,3"/>
    <n v="3"/>
    <m/>
    <m/>
    <s v="No"/>
    <x v="0"/>
    <d v="2015-09-18T16:31:43"/>
    <n v="7"/>
    <s v="128.205.114.91"/>
    <s v="TH375 -- .S77 2013eb"/>
    <n v="624"/>
    <d v="2013-01-22T00:00:00"/>
  </r>
  <r>
    <x v="7462"/>
    <d v="1899-12-30T00:56:58"/>
    <x v="13"/>
    <x v="0"/>
    <s v="Buffalo"/>
    <x v="509"/>
    <n v="1115640"/>
    <x v="0"/>
    <s v="Engineering: Civil; Engineering: Construction; Engineering"/>
    <s v="9781118419090"/>
    <s v=",1,2,3,2,3,1,4,4,2,2,4,5,6,5,6,1,5,6,7,8,8,9,9,7,10,11,10,11,12,12,13,14,13,14,9,8,7,12,13,14,15,11,15,17,17,19,19,20,21,18,21,16,20,18,15,20,21,16,21,22,17,22,22,23,23,24,24,25,25,26,26,27,21,27,22,20,19,18,23,24,19,18,23,25,26,24,27,23,24,22,21,26,27,28,28,29,29,30,30,31,31,26,31,32,32,27,32,33,33,27,28,26,25,30,25,24,29,30,31,32,33,28,33,34,34,29,34,36,36,37,31,35,35,37,30,35,37,36,38,39,38,40,35,39,40,40,41,42,43,42,43,41,38,37,36,34,35,33,38"/>
    <n v="43"/>
    <m/>
    <m/>
    <s v="No"/>
    <x v="0"/>
    <d v="2015-09-18T13:33:26"/>
    <n v="7"/>
    <s v="128.205.114.91"/>
    <s v="TH375 -- .S77 2013eb"/>
    <n v="624"/>
    <d v="2013-01-22T00:00:00"/>
  </r>
  <r>
    <x v="7463"/>
    <d v="1899-12-30T00:09:40"/>
    <x v="705"/>
    <x v="13"/>
    <s v="buffalostate"/>
    <x v="516"/>
    <n v="1840835"/>
    <x v="0"/>
    <s v="Business/Management; Economics"/>
    <s v="9781118950166"/>
    <s v=",58,59,60,61,62"/>
    <n v="5"/>
    <m/>
    <m/>
    <s v="Yes"/>
    <x v="0"/>
    <d v="2015-09-18T18:20:23"/>
    <n v="7"/>
    <s v="136.183.11.43"/>
    <s v="HD9969.S6 .R384 2014"/>
    <n v="338.10923789999998"/>
    <d v="2014-11-10T00:00:00"/>
  </r>
  <r>
    <x v="7464"/>
    <d v="1899-12-30T00:00:00"/>
    <x v="705"/>
    <x v="13"/>
    <s v="buffalostate"/>
    <x v="516"/>
    <n v="1840835"/>
    <x v="0"/>
    <s v="Business/Management; Economics"/>
    <s v="9781118950166"/>
    <m/>
    <n v="0"/>
    <m/>
    <m/>
    <s v="Yes"/>
    <x v="0"/>
    <d v="2015-09-18T18:20:23"/>
    <n v="7"/>
    <s v="136.183.11.43"/>
    <s v="HD9969.S6 .R384 2014"/>
    <n v="338.10923789999998"/>
    <d v="2014-11-10T00:00:00"/>
  </r>
  <r>
    <x v="7465"/>
    <d v="1899-12-30T00:00:00"/>
    <x v="705"/>
    <x v="13"/>
    <s v="buffalostate"/>
    <x v="516"/>
    <n v="1840835"/>
    <x v="0"/>
    <s v="Business/Management; Economics"/>
    <s v="9781118950166"/>
    <m/>
    <n v="0"/>
    <m/>
    <m/>
    <s v="Yes"/>
    <x v="0"/>
    <d v="2015-09-18T18:20:23"/>
    <n v="7"/>
    <s v="136.183.11.43"/>
    <s v="HD9969.S6 .R384 2014"/>
    <n v="338.10923789999998"/>
    <d v="2014-11-10T00:00:00"/>
  </r>
  <r>
    <x v="7466"/>
    <d v="1899-12-30T00:00:15"/>
    <x v="26"/>
    <x v="6"/>
    <s v="sjfc"/>
    <x v="1634"/>
    <n v="1163670"/>
    <x v="0"/>
    <s v="Language/Linguistics"/>
    <s v="9781118502501"/>
    <s v=",14,42,43,44,45,46,47"/>
    <n v="7"/>
    <m/>
    <m/>
    <s v="No"/>
    <x v="2"/>
    <d v="2015-09-22T16:37:29"/>
    <n v="1"/>
    <s v="149.69.254.57"/>
    <s v="PC2129.E5 -- M39 2013eb"/>
    <n v="448.24209999999999"/>
    <d v="2013-03-29T00:00:00"/>
  </r>
  <r>
    <x v="7467"/>
    <d v="1899-12-30T00:06:13"/>
    <x v="705"/>
    <x v="13"/>
    <s v="buffalostate"/>
    <x v="516"/>
    <n v="1840835"/>
    <x v="0"/>
    <s v="Business/Management; Economics"/>
    <s v="9781118950166"/>
    <s v=",1,2,3,44,45,46,43,42,50,49,51,48,47,52,53,54,55,56,57"/>
    <n v="19"/>
    <m/>
    <m/>
    <s v="No"/>
    <x v="0"/>
    <d v="2015-09-18T18:20:23"/>
    <n v="7"/>
    <s v="136.183.11.43"/>
    <s v="HD9969.S6 .R384 2014"/>
    <n v="338.10923789999998"/>
    <d v="2014-11-10T00:00:00"/>
  </r>
  <r>
    <x v="7468"/>
    <d v="1899-12-30T00:00:46"/>
    <x v="1717"/>
    <x v="0"/>
    <s v="Buffalo"/>
    <x v="1635"/>
    <n v="1661235"/>
    <x v="1"/>
    <s v="Economics; Business/Management"/>
    <s v="9781472412515"/>
    <s v=",1,18,19,20,16,17,2,21,22,10,9,8,7,3,2,4,5,6"/>
    <n v="17"/>
    <m/>
    <m/>
    <s v="No"/>
    <x v="3"/>
    <m/>
    <m/>
    <s v="128.205.114.91"/>
    <s v="HG179.5 -- .B77 2014eb"/>
    <n v="332.024"/>
    <d v="2014-05-28T00:00:00"/>
  </r>
  <r>
    <x v="7469"/>
    <d v="1899-12-30T00:15:44"/>
    <x v="26"/>
    <x v="6"/>
    <s v="sjfc"/>
    <x v="1634"/>
    <n v="1163670"/>
    <x v="0"/>
    <s v="Language/Linguistics"/>
    <s v="9781118502501"/>
    <s v=",1,3,2,4,5,6,7,8,9,10,11,12,13"/>
    <n v="13"/>
    <m/>
    <m/>
    <s v="No"/>
    <x v="3"/>
    <m/>
    <m/>
    <s v="149.69.254.57"/>
    <s v="PC2129.E5 -- M39 2013eb"/>
    <n v="448.24209999999999"/>
    <d v="2013-03-29T00:00:00"/>
  </r>
  <r>
    <x v="7470"/>
    <d v="1899-12-30T00:00:12"/>
    <x v="211"/>
    <x v="10"/>
    <s v="daemen"/>
    <x v="1636"/>
    <n v="1908949"/>
    <x v="0"/>
    <s v="Education"/>
    <s v="9781118314869"/>
    <s v=",1,2,3,4"/>
    <n v="4"/>
    <m/>
    <m/>
    <s v="No"/>
    <x v="3"/>
    <m/>
    <m/>
    <s v="38.123.32.158"/>
    <s v="LC4717.5"/>
    <n v="371.94"/>
    <d v="2014-12-17T00:00:00"/>
  </r>
  <r>
    <x v="7471"/>
    <d v="1899-12-30T00:00:06"/>
    <x v="350"/>
    <x v="1"/>
    <s v="brockport"/>
    <x v="500"/>
    <n v="699744"/>
    <x v="0"/>
    <s v="Engineering; Engineering: Electrical; Engineering: Civil"/>
    <s v="9781118585818"/>
    <s v=",2,1,2,3,3,1"/>
    <n v="3"/>
    <m/>
    <m/>
    <s v="No"/>
    <x v="1"/>
    <m/>
    <m/>
    <s v="137.21.7.121"/>
    <s v="TA1520 -- .S24 2007eb"/>
    <n v="621.36"/>
    <d v="2013-02-05T00:00:00"/>
  </r>
  <r>
    <x v="7472"/>
    <d v="1899-12-30T00:00:53"/>
    <x v="1367"/>
    <x v="0"/>
    <s v="Buffalo"/>
    <x v="31"/>
    <n v="1682559"/>
    <x v="4"/>
    <s v="Medicine"/>
    <s v="9781462515431"/>
    <s v=",188"/>
    <n v="1"/>
    <m/>
    <m/>
    <s v="Yes"/>
    <x v="0"/>
    <d v="2015-09-22T15:15:50"/>
    <n v="7"/>
    <s v="128.205.114.91"/>
    <s v="RC469 -- .M677 2014eb"/>
    <n v="616.89"/>
    <d v="2014-05-10T00:00:00"/>
  </r>
  <r>
    <x v="7473"/>
    <d v="1899-12-30T00:00:04"/>
    <x v="1718"/>
    <x v="0"/>
    <s v="Buffalo"/>
    <x v="975"/>
    <n v="817871"/>
    <x v="0"/>
    <s v="Computer Science/IT"/>
    <s v="9781118206911"/>
    <s v=",1,2,3"/>
    <n v="3"/>
    <m/>
    <m/>
    <s v="No"/>
    <x v="1"/>
    <m/>
    <m/>
    <s v="128.205.114.91"/>
    <s v="QA76.76.H94"/>
    <n v="6.74"/>
    <d v="2011-12-20T00:00:00"/>
  </r>
  <r>
    <x v="7474"/>
    <d v="1899-12-30T00:19:55"/>
    <x v="1367"/>
    <x v="0"/>
    <s v="Buffalo"/>
    <x v="31"/>
    <n v="1682559"/>
    <x v="4"/>
    <s v="Medicine"/>
    <s v="9781462515431"/>
    <s v=",185,186,187,183,184"/>
    <n v="5"/>
    <s v=",210,185"/>
    <m/>
    <s v="No"/>
    <x v="0"/>
    <d v="2015-09-22T15:15:50"/>
    <n v="7"/>
    <s v="128.205.114.91"/>
    <s v="RC469 -- .M677 2014eb"/>
    <n v="616.89"/>
    <d v="2014-05-10T00:00:00"/>
  </r>
  <r>
    <x v="7475"/>
    <d v="1899-12-30T00:01:38"/>
    <x v="1367"/>
    <x v="0"/>
    <s v="Buffalo"/>
    <x v="31"/>
    <n v="1682559"/>
    <x v="4"/>
    <s v="Medicine"/>
    <s v="9781462515431"/>
    <s v=",1,2,3,4,5,6,7,8,31,32,33,29,30,34,213,215,212,214,211,216,210,217,208,209"/>
    <n v="24"/>
    <m/>
    <m/>
    <s v="No"/>
    <x v="1"/>
    <m/>
    <m/>
    <s v="128.205.114.91"/>
    <s v="RC469 -- .M677 2014eb"/>
    <n v="616.89"/>
    <d v="2014-05-10T00:00:00"/>
  </r>
  <r>
    <x v="7476"/>
    <d v="1899-12-30T00:02:21"/>
    <x v="1719"/>
    <x v="0"/>
    <s v="Buffalo"/>
    <x v="559"/>
    <n v="1217954"/>
    <x v="1"/>
    <s v="Engineering; Engineering: General"/>
    <s v="9781409457558"/>
    <s v=",313,311,312"/>
    <n v="3"/>
    <m/>
    <m/>
    <s v="Yes"/>
    <x v="0"/>
    <d v="2015-09-18T04:11:27"/>
    <n v="7"/>
    <s v="128.205.114.91"/>
    <s v="T59.7 -- .S73 2013eb"/>
    <s v="620.8/2"/>
    <d v="2013-10-28T00:00:00"/>
  </r>
  <r>
    <x v="7477"/>
    <d v="1899-12-30T00:00:04"/>
    <x v="1720"/>
    <x v="0"/>
    <s v="Buffalo"/>
    <x v="975"/>
    <n v="817871"/>
    <x v="0"/>
    <s v="Computer Science/IT"/>
    <s v="9781118206911"/>
    <s v=",1,2,3"/>
    <n v="3"/>
    <m/>
    <m/>
    <s v="No"/>
    <x v="1"/>
    <m/>
    <m/>
    <s v="128.205.114.91"/>
    <s v="QA76.76.H94"/>
    <n v="6.74"/>
    <d v="2011-12-20T00:00:00"/>
  </r>
  <r>
    <x v="7478"/>
    <d v="1899-12-30T00:02:37"/>
    <x v="1719"/>
    <x v="0"/>
    <s v="Buffalo"/>
    <x v="559"/>
    <n v="1217954"/>
    <x v="1"/>
    <s v="Engineering; Engineering: General"/>
    <s v="9781409457558"/>
    <s v=",1,2,3,306,307,308,304,305,303,323,324,325,321,322,326,327,328,329,330,320,318,319,316,317,314,315"/>
    <n v="26"/>
    <m/>
    <s v=",24"/>
    <s v="No"/>
    <x v="0"/>
    <d v="2015-09-18T04:11:27"/>
    <n v="7"/>
    <s v="128.205.114.91"/>
    <s v="T59.7 -- .S73 2013eb"/>
    <s v="620.8/2"/>
    <d v="2013-10-28T00:00:00"/>
  </r>
  <r>
    <x v="7479"/>
    <d v="1899-12-30T00:00:36"/>
    <x v="557"/>
    <x v="9"/>
    <s v="trocaire"/>
    <x v="1637"/>
    <n v="2057199"/>
    <x v="0"/>
    <s v="Nursing"/>
    <s v="9781118756355"/>
    <s v=",1,2,3,11,12,13,10,9,14,15,16,17,18,19"/>
    <n v="14"/>
    <m/>
    <m/>
    <s v="No"/>
    <x v="3"/>
    <m/>
    <m/>
    <s v="173.225.62.67"/>
    <s v="RT82"/>
    <s v="610.7306/9"/>
    <d v="2015-05-22T00:00:00"/>
  </r>
  <r>
    <x v="7480"/>
    <d v="1899-12-30T00:00:31"/>
    <x v="557"/>
    <x v="9"/>
    <s v="trocaire"/>
    <x v="1638"/>
    <n v="1936761"/>
    <x v="0"/>
    <s v="Nursing"/>
    <s v="9781118522561"/>
    <s v=",1,3,2,19,20,21,17,18"/>
    <n v="8"/>
    <m/>
    <m/>
    <s v="No"/>
    <x v="3"/>
    <m/>
    <m/>
    <s v="173.225.62.67"/>
    <s v="RT81.5 -- .R474 2015eb"/>
    <n v="610.73072000000002"/>
    <d v="2015-01-29T00:00:00"/>
  </r>
  <r>
    <x v="7481"/>
    <d v="1899-12-30T01:01:42"/>
    <x v="13"/>
    <x v="0"/>
    <s v="Buffalo"/>
    <x v="509"/>
    <n v="1115640"/>
    <x v="0"/>
    <s v="Engineering: Civil; Engineering: Construction; Engineering"/>
    <s v="9781118419090"/>
    <s v=",1,2,3,6,7,8,4,5,9,10,11,12,13,14,15,16,17,18,19,20,21,22,22,23,24,25,23,24,19,25,26,27,28,29,30,31,31,32,33"/>
    <n v="33"/>
    <m/>
    <m/>
    <s v="No"/>
    <x v="0"/>
    <d v="2015-09-18T13:33:26"/>
    <n v="7"/>
    <s v="128.205.114.91"/>
    <s v="TH375 -- .S77 2013eb"/>
    <n v="624"/>
    <d v="2013-01-22T00:00:00"/>
  </r>
  <r>
    <x v="7482"/>
    <d v="1899-12-30T00:00:40"/>
    <x v="1721"/>
    <x v="0"/>
    <s v="Buffalo"/>
    <x v="509"/>
    <n v="1115640"/>
    <x v="0"/>
    <s v="Engineering: Civil; Engineering: Construction; Engineering"/>
    <s v="9781118419090"/>
    <s v=",1,2,3,4,5,6,7,8,9,10,11,12,13,14,15,16,17,18,19"/>
    <n v="19"/>
    <m/>
    <m/>
    <s v="No"/>
    <x v="1"/>
    <m/>
    <m/>
    <s v="128.205.114.91"/>
    <s v="TH375 -- .S77 2013eb"/>
    <n v="624"/>
    <d v="2013-01-22T00:00:00"/>
  </r>
  <r>
    <x v="7483"/>
    <d v="1899-12-30T00:10:47"/>
    <x v="705"/>
    <x v="13"/>
    <s v="buffalostate"/>
    <x v="516"/>
    <n v="1840835"/>
    <x v="0"/>
    <s v="Business/Management; Economics"/>
    <s v="9781118950166"/>
    <s v=",1,2,3,25,26,27,23,24,28,29,30,35,36,37,33,34,38,39,40,41,42,46,47,48,44,45,49,50,51,52"/>
    <n v="30"/>
    <m/>
    <m/>
    <s v="No"/>
    <x v="0"/>
    <d v="2015-09-18T18:20:23"/>
    <n v="7"/>
    <s v="136.183.11.43"/>
    <s v="HD9969.S6 .R384 2014"/>
    <n v="338.10923789999998"/>
    <d v="2014-11-10T00:00:00"/>
  </r>
  <r>
    <x v="7484"/>
    <d v="1899-12-30T01:03:38"/>
    <x v="824"/>
    <x v="0"/>
    <s v="Buffalo"/>
    <x v="161"/>
    <n v="821663"/>
    <x v="0"/>
    <s v="Architecture"/>
    <s v="9781118168479"/>
    <s v=",1,2,3,128,129,126,130,127,125,124,123,1,123,124,125,121,122,126,127,128,2,129,130,131,132,133,134,135,136,137,138,139,140,141,142,143,144,145,146,147,148,149,150,151,152,153,154,146,147,144,145,143,142,141,140,139,138,137"/>
    <n v="37"/>
    <m/>
    <m/>
    <s v="No"/>
    <x v="0"/>
    <d v="2015-09-22T10:55:05"/>
    <n v="7"/>
    <s v="128.205.114.91"/>
    <s v="NA2547 -- .S74 2012eb"/>
    <n v="729"/>
    <d v="2012-03-05T00:00:00"/>
  </r>
  <r>
    <x v="7485"/>
    <d v="1899-12-30T00:00:10"/>
    <x v="1722"/>
    <x v="0"/>
    <s v="Buffalo"/>
    <x v="674"/>
    <n v="980956"/>
    <x v="0"/>
    <s v="Psychology; Social Science"/>
    <s v="9781118227251"/>
    <s v=",1,2,3,4"/>
    <n v="4"/>
    <m/>
    <m/>
    <s v="No"/>
    <x v="1"/>
    <m/>
    <m/>
    <s v="128.205.114.91"/>
    <s v="HV40 -- .T51377 2012eb"/>
    <s v="150.1023/36132"/>
    <d v="2012-07-23T00:00:00"/>
  </r>
  <r>
    <x v="7486"/>
    <d v="1899-12-30T00:00:19"/>
    <x v="711"/>
    <x v="13"/>
    <s v="buffalostate"/>
    <x v="516"/>
    <n v="1840835"/>
    <x v="0"/>
    <s v="Business/Management; Economics"/>
    <s v="9781118950166"/>
    <s v=",1,2,3,84,85,86,82,83"/>
    <n v="8"/>
    <m/>
    <m/>
    <s v="No"/>
    <x v="0"/>
    <d v="2015-09-22T04:28:45"/>
    <n v="7"/>
    <s v="136.183.11.43"/>
    <s v="HD9969.S6 .R384 2014"/>
    <n v="338.10923789999998"/>
    <d v="2014-11-10T00:00:00"/>
  </r>
  <r>
    <x v="7487"/>
    <d v="1899-12-30T00:00:03"/>
    <x v="824"/>
    <x v="0"/>
    <s v="Buffalo"/>
    <x v="161"/>
    <n v="821663"/>
    <x v="0"/>
    <s v="Architecture"/>
    <s v="9781118168479"/>
    <s v=",1,2,3,4"/>
    <n v="4"/>
    <m/>
    <m/>
    <s v="No"/>
    <x v="0"/>
    <d v="2015-09-22T10:55:05"/>
    <n v="7"/>
    <s v="128.205.114.91"/>
    <s v="NA2547 -- .S74 2012eb"/>
    <n v="729"/>
    <d v="2012-03-05T00:00:00"/>
  </r>
  <r>
    <x v="7487"/>
    <d v="1899-12-30T00:00:00"/>
    <x v="824"/>
    <x v="0"/>
    <s v="Buffalo"/>
    <x v="161"/>
    <n v="821663"/>
    <x v="0"/>
    <s v="Architecture"/>
    <s v="9781118168479"/>
    <m/>
    <n v="0"/>
    <m/>
    <m/>
    <s v="No"/>
    <x v="1"/>
    <m/>
    <m/>
    <s v="128.205.114.91"/>
    <s v="NA2547 -- .S74 2012eb"/>
    <n v="729"/>
    <d v="2012-03-05T00:00:00"/>
  </r>
  <r>
    <x v="7488"/>
    <d v="1899-12-30T00:49:12"/>
    <x v="824"/>
    <x v="0"/>
    <s v="Buffalo"/>
    <x v="161"/>
    <n v="821663"/>
    <x v="0"/>
    <s v="Architecture"/>
    <s v="9781118168479"/>
    <s v=",1,2,3,123,125,124,121,122,120,126,1,126,127,128,124,125,123,122,2"/>
    <n v="12"/>
    <m/>
    <m/>
    <s v="No"/>
    <x v="0"/>
    <d v="2015-09-15T10:52:49"/>
    <n v="7"/>
    <s v="128.205.114.91"/>
    <s v="NA2547 -- .S74 2012eb"/>
    <n v="729"/>
    <d v="2012-03-05T00:00:00"/>
  </r>
  <r>
    <x v="7489"/>
    <d v="1899-12-30T00:07:06"/>
    <x v="824"/>
    <x v="0"/>
    <s v="Buffalo"/>
    <x v="161"/>
    <n v="821663"/>
    <x v="0"/>
    <s v="Architecture"/>
    <s v="9781118168479"/>
    <s v=",126,127,128"/>
    <n v="3"/>
    <m/>
    <m/>
    <s v="Yes"/>
    <x v="0"/>
    <d v="2015-09-15T10:52:49"/>
    <n v="7"/>
    <s v="128.205.114.91"/>
    <s v="NA2547 -- .S74 2012eb"/>
    <n v="729"/>
    <d v="2012-03-05T00:00:00"/>
  </r>
  <r>
    <x v="7490"/>
    <d v="1899-12-30T00:18:37"/>
    <x v="711"/>
    <x v="13"/>
    <s v="buffalostate"/>
    <x v="516"/>
    <n v="1840835"/>
    <x v="0"/>
    <s v="Business/Management; Economics"/>
    <s v="9781118950166"/>
    <s v=",1,2,3,44,46,45,42,43,47,57,59,58,56,55,60,61,62,63,64,65,66,67,68,69,70,35,36,41,42,39,37,40,38"/>
    <n v="32"/>
    <m/>
    <m/>
    <s v="No"/>
    <x v="0"/>
    <d v="2015-09-22T04:28:45"/>
    <n v="7"/>
    <s v="136.183.11.43"/>
    <s v="HD9969.S6 .R384 2014"/>
    <n v="338.10923789999998"/>
    <d v="2014-11-10T00:00:00"/>
  </r>
  <r>
    <x v="7491"/>
    <d v="1899-12-30T00:02:26"/>
    <x v="711"/>
    <x v="13"/>
    <s v="buffalostate"/>
    <x v="516"/>
    <n v="1840835"/>
    <x v="0"/>
    <s v="Business/Management; Economics"/>
    <s v="9781118950166"/>
    <s v=",4,5,6,7,8,9,10,12,13,14,15,11,17,18,19,20,16,18,19,1,2,3"/>
    <n v="20"/>
    <m/>
    <m/>
    <s v="Yes"/>
    <x v="0"/>
    <d v="2015-09-22T04:28:45"/>
    <n v="7"/>
    <s v="136.183.11.43"/>
    <s v="HD9969.S6 .R384 2014"/>
    <n v="338.10923789999998"/>
    <d v="2014-11-10T00:00:00"/>
  </r>
  <r>
    <x v="7492"/>
    <d v="1899-12-30T00:00:04"/>
    <x v="711"/>
    <x v="13"/>
    <s v="buffalostate"/>
    <x v="516"/>
    <n v="1840835"/>
    <x v="0"/>
    <s v="Business/Management; Economics"/>
    <s v="9781118950166"/>
    <s v=",1,2,3"/>
    <n v="3"/>
    <m/>
    <m/>
    <s v="No"/>
    <x v="0"/>
    <d v="2015-09-22T04:28:45"/>
    <n v="7"/>
    <s v="136.183.11.43"/>
    <s v="HD9969.S6 .R384 2014"/>
    <n v="338.10923789999998"/>
    <d v="2014-11-10T00:00:00"/>
  </r>
  <r>
    <x v="7493"/>
    <d v="1899-12-30T00:00:27"/>
    <x v="711"/>
    <x v="13"/>
    <s v="buffalostate"/>
    <x v="516"/>
    <n v="1840835"/>
    <x v="0"/>
    <s v="Business/Management; Economics"/>
    <s v="9781118950166"/>
    <s v=",1,2,3,4,5,6,8,10,11,14,16,17,18,19,20,23,25,28,33,36,38,40,44,45,46,47,43"/>
    <n v="27"/>
    <m/>
    <m/>
    <s v="No"/>
    <x v="0"/>
    <d v="2015-09-22T04:28:45"/>
    <n v="7"/>
    <s v="136.183.11.43"/>
    <s v="HD9969.S6 .R384 2014"/>
    <n v="338.10923789999998"/>
    <d v="2014-11-10T00:00:00"/>
  </r>
  <r>
    <x v="7494"/>
    <d v="1899-12-30T00:00:28"/>
    <x v="711"/>
    <x v="13"/>
    <s v="buffalostate"/>
    <x v="516"/>
    <n v="1840835"/>
    <x v="0"/>
    <s v="Business/Management; Economics"/>
    <s v="9781118950166"/>
    <s v=",1,2,3,1,2,3"/>
    <n v="3"/>
    <m/>
    <m/>
    <s v="No"/>
    <x v="0"/>
    <d v="2015-09-22T04:28:45"/>
    <n v="7"/>
    <s v="136.183.11.43"/>
    <s v="HD9969.S6 .R384 2014"/>
    <n v="338.10923789999998"/>
    <d v="2014-11-10T00:00:00"/>
  </r>
  <r>
    <x v="7495"/>
    <d v="1899-12-30T01:42:37"/>
    <x v="824"/>
    <x v="0"/>
    <s v="Buffalo"/>
    <x v="161"/>
    <n v="821663"/>
    <x v="0"/>
    <s v="Architecture"/>
    <s v="9781118168479"/>
    <s v=",1,2,3,115,116,117,113,114,149,150,151,147,148,112,1,112,113,114,110,111,109,115,116,117,2,118,119,120,121,122,123,124,125"/>
    <n v="25"/>
    <m/>
    <m/>
    <s v="No"/>
    <x v="0"/>
    <d v="2015-09-15T10:52:49"/>
    <n v="7"/>
    <s v="128.205.114.91"/>
    <s v="NA2547 -- .S74 2012eb"/>
    <n v="729"/>
    <d v="2012-03-05T00:00:00"/>
  </r>
  <r>
    <x v="7496"/>
    <d v="1899-12-30T00:01:20"/>
    <x v="1688"/>
    <x v="0"/>
    <s v="Buffalo"/>
    <x v="728"/>
    <n v="1872281"/>
    <x v="4"/>
    <s v="Education; Business/Management"/>
    <s v="9781462519606"/>
    <s v=",1,2,3,114,115,116,112,113,274,275,276,272,273,285,286,287,283,284,288,289,290,282,281,280,318,319,320,316"/>
    <n v="28"/>
    <m/>
    <m/>
    <s v="No"/>
    <x v="0"/>
    <d v="2015-09-20T23:19:06"/>
    <n v="7"/>
    <s v="128.205.114.91"/>
    <s v="HD75 -- .P448 2015eb"/>
    <n v="378.101"/>
    <d v="2015-05-26T00:00:00"/>
  </r>
  <r>
    <x v="7497"/>
    <d v="1899-12-30T00:04:08"/>
    <x v="1723"/>
    <x v="6"/>
    <s v="sjfc"/>
    <x v="258"/>
    <n v="821827"/>
    <x v="0"/>
    <s v="Social Science"/>
    <s v="9781118225349"/>
    <s v=",1,2,3,309,310,311,307,308,315,316,314,312,313,317,318,319,323,324,325,321,322,306,305,304,303,302,301,300,298,299,296,297,294,295,293,291,292,289,290,288,287,285,286,284,283,281,282,280,278,279,277,276,275,273,274,272,271,269,270,268,267,266,265,263,262,260,257,255,256,253,254,258,259,261"/>
    <n v="74"/>
    <m/>
    <m/>
    <s v="No"/>
    <x v="0"/>
    <d v="2015-09-21T19:11:44"/>
    <n v="7"/>
    <s v="149.69.254.57"/>
    <s v="HM1166 -- .N448 2012eb"/>
    <n v="302"/>
    <d v="2012-04-30T00:00:00"/>
  </r>
  <r>
    <x v="7498"/>
    <d v="1899-12-30T00:57:18"/>
    <x v="711"/>
    <x v="13"/>
    <s v="buffalostate"/>
    <x v="516"/>
    <n v="1840835"/>
    <x v="0"/>
    <s v="Business/Management; Economics"/>
    <s v="9781118950166"/>
    <s v=",30,31,32,33,34,35,36,37,38,24,23,33,34,35,36,37,38,39,40,41,42,43,44,45,46,47,48,49,50,51,52,53,54,55,56,57,58,59,60,61,58"/>
    <n v="34"/>
    <m/>
    <m/>
    <s v="No"/>
    <x v="0"/>
    <d v="2015-09-22T04:28:45"/>
    <n v="7"/>
    <s v="136.183.11.43"/>
    <s v="HD9969.S6 .R384 2014"/>
    <n v="338.10923789999998"/>
    <d v="2014-11-10T00:00:00"/>
  </r>
  <r>
    <x v="7499"/>
    <d v="1899-12-30T00:14:08"/>
    <x v="711"/>
    <x v="13"/>
    <s v="buffalostate"/>
    <x v="516"/>
    <n v="1840835"/>
    <x v="0"/>
    <s v="Business/Management; Economics"/>
    <s v="9781118950166"/>
    <s v=",1,2,3,4,5,6,8,7,9,10,11,12,13,14,15,16,17,18,19,20,21,22,23,24,25,26,27,29,28,30,31,32,33"/>
    <n v="33"/>
    <m/>
    <m/>
    <s v="No"/>
    <x v="1"/>
    <m/>
    <m/>
    <s v="136.183.11.43"/>
    <s v="HD9969.S6 .R384 2014"/>
    <n v="338.10923789999998"/>
    <d v="2014-11-10T00:00:00"/>
  </r>
  <r>
    <x v="7500"/>
    <d v="1899-12-30T00:20:29"/>
    <x v="1724"/>
    <x v="13"/>
    <s v="buffalostate"/>
    <x v="1199"/>
    <n v="1190428"/>
    <x v="3"/>
    <s v="Health; Social Science"/>
    <s v="9780520955066"/>
    <s v=",5,6,7,8,9,10,11,12,13,14,15,16,17,18,19,20,21,22,23,24,25,26,27,28,29,30,31,32,33,34"/>
    <n v="30"/>
    <m/>
    <m/>
    <s v="No"/>
    <x v="0"/>
    <d v="2015-09-22T03:51:51"/>
    <n v="7"/>
    <s v="136.183.11.43"/>
    <s v="TX360.U6 -- N47 2013eb"/>
    <s v="363.8/5/0973"/>
    <d v="2013-05-14T00:00:00"/>
  </r>
  <r>
    <x v="7501"/>
    <d v="1899-12-30T01:24:45"/>
    <x v="853"/>
    <x v="0"/>
    <s v="Buffalo"/>
    <x v="477"/>
    <n v="1120279"/>
    <x v="0"/>
    <s v="Science: Biology/Natural History; Science"/>
    <s v="9781118537671"/>
    <s v=",15,16,17,18,19,20,21,22,23,24"/>
    <n v="10"/>
    <m/>
    <m/>
    <s v="No"/>
    <x v="0"/>
    <d v="2015-09-22T03:38:41"/>
    <n v="7"/>
    <s v="128.205.114.91"/>
    <s v="QH371 .K384 2012"/>
    <n v="599.93499999999995"/>
    <d v="2012-11-19T00:00:00"/>
  </r>
  <r>
    <x v="7502"/>
    <d v="1899-12-30T00:00:23"/>
    <x v="853"/>
    <x v="0"/>
    <s v="Buffalo"/>
    <x v="477"/>
    <n v="1120279"/>
    <x v="0"/>
    <s v="Science: Biology/Natural History; Science"/>
    <s v="9781118537671"/>
    <s v=",1,2,3,1"/>
    <n v="3"/>
    <m/>
    <m/>
    <s v="No"/>
    <x v="1"/>
    <m/>
    <m/>
    <s v="128.205.114.91"/>
    <s v="QH371 .K384 2012"/>
    <n v="599.93499999999995"/>
    <d v="2012-11-19T00:00:00"/>
  </r>
  <r>
    <x v="7503"/>
    <d v="1899-12-30T00:13:57"/>
    <x v="1724"/>
    <x v="13"/>
    <s v="buffalostate"/>
    <x v="1199"/>
    <n v="1190428"/>
    <x v="3"/>
    <s v="Health; Social Science"/>
    <s v="9780520955066"/>
    <s v=",1,2,3,4"/>
    <n v="4"/>
    <m/>
    <m/>
    <s v="No"/>
    <x v="1"/>
    <m/>
    <m/>
    <s v="136.183.11.43"/>
    <s v="TX360.U6 -- N47 2013eb"/>
    <s v="363.8/5/0973"/>
    <d v="2013-05-14T00:00:00"/>
  </r>
  <r>
    <x v="7504"/>
    <d v="1899-12-30T00:01:03"/>
    <x v="1725"/>
    <x v="11"/>
    <s v="cobleskill"/>
    <x v="318"/>
    <n v="1895286"/>
    <x v="0"/>
    <s v="Military Science"/>
    <s v="9781119038351"/>
    <s v=",27,25,25,81,82,83,84"/>
    <n v="6"/>
    <m/>
    <m/>
    <s v="No"/>
    <x v="0"/>
    <d v="2015-09-22T03:21:28"/>
    <n v="7"/>
    <s v="137.36.32.34"/>
    <s v="U408.5"/>
    <n v="355.61"/>
    <d v="2015-05-07T00:00:00"/>
  </r>
  <r>
    <x v="7505"/>
    <d v="1899-12-30T00:22:33"/>
    <x v="13"/>
    <x v="0"/>
    <s v="Buffalo"/>
    <x v="509"/>
    <n v="1115640"/>
    <x v="0"/>
    <s v="Engineering: Civil; Engineering: Construction; Engineering"/>
    <s v="9781118419090"/>
    <s v=",1,2,3,4,52,64,72,5,6,7,8,9,10,11,12,13,14,15,16,17,18,19,20"/>
    <n v="23"/>
    <m/>
    <m/>
    <s v="No"/>
    <x v="0"/>
    <d v="2015-09-18T13:33:26"/>
    <n v="7"/>
    <s v="128.205.114.91"/>
    <s v="TH375 -- .S77 2013eb"/>
    <n v="624"/>
    <d v="2013-01-22T00:00:00"/>
  </r>
  <r>
    <x v="7506"/>
    <d v="1899-12-30T01:40:14"/>
    <x v="1725"/>
    <x v="11"/>
    <s v="cobleskill"/>
    <x v="318"/>
    <n v="1895286"/>
    <x v="0"/>
    <s v="Military Science"/>
    <s v="9781119038351"/>
    <s v=",1,2,3,4,5,6,7,8,9,10,11,12,13,11,17,24"/>
    <n v="15"/>
    <m/>
    <m/>
    <s v="No"/>
    <x v="3"/>
    <m/>
    <m/>
    <s v="137.36.32.34"/>
    <s v="U408.5"/>
    <n v="355.61"/>
    <d v="2015-05-07T00:00:00"/>
  </r>
  <r>
    <x v="7507"/>
    <d v="1899-12-30T00:00:04"/>
    <x v="1725"/>
    <x v="11"/>
    <s v="cobleskill"/>
    <x v="1028"/>
    <n v="1183913"/>
    <x v="0"/>
    <s v="Engineering; Engineering: Electrical"/>
    <s v="9781118446423"/>
    <s v=",1,2"/>
    <n v="2"/>
    <m/>
    <m/>
    <s v="No"/>
    <x v="1"/>
    <m/>
    <m/>
    <s v="137.36.32.34"/>
    <s v="TK7895.M5 -- .N877 2013eb"/>
    <n v="621.38099999999997"/>
    <d v="2013-04-29T00:00:00"/>
  </r>
  <r>
    <x v="7508"/>
    <d v="1899-12-30T00:11:42"/>
    <x v="1719"/>
    <x v="0"/>
    <s v="Buffalo"/>
    <x v="559"/>
    <n v="1217954"/>
    <x v="1"/>
    <s v="Engineering; Engineering: General"/>
    <s v="9781409457558"/>
    <s v=",1,2,3,6,7,8,4,5,4,1,2,24,24,26,22,25,23,20,306,307,304,308,305,303"/>
    <n v="20"/>
    <s v=",2"/>
    <s v=",24,25,26,27,28,29,30,31,32,33,34,35,36,37,38,39,40,41,42,43,44,45,46,47,48,49,50,51,52,53,54,55,56,57,58,59,60,61,62,63,64,65,66,67,68,69,70,71,72,73,74,75,76,77,78,79,80,81,82,83,84,85,86,87,88,89,90,91,92,93,94,95,96,97,98,99,100,101,102,103,104,105,106,107,108,109,110,111,112,113,114,115,116,117,118,119,120,121,122,123,124,125,126,127,128,129,130,131,132,133,134,135,136,137,138,139,140,141,142,143,144,145,146,147,148,149,150,151,152,153"/>
    <s v="No"/>
    <x v="0"/>
    <d v="2015-09-18T04:11:27"/>
    <n v="7"/>
    <s v="128.205.114.91"/>
    <s v="T59.7 -- .S73 2013eb"/>
    <s v="620.8/2"/>
    <d v="2013-10-28T00:00:00"/>
  </r>
  <r>
    <x v="7509"/>
    <d v="1899-12-30T00:03:29"/>
    <x v="1726"/>
    <x v="13"/>
    <s v="buffalostate"/>
    <x v="1639"/>
    <n v="1652965"/>
    <x v="1"/>
    <s v="Law"/>
    <s v="9781472430410"/>
    <s v=",1,16,17,18,14,15,2,79,80,81,77,82,78,83,84,85,86"/>
    <n v="17"/>
    <m/>
    <m/>
    <s v="No"/>
    <x v="3"/>
    <m/>
    <m/>
    <s v="136.183.11.43"/>
    <s v="K247.6 -- .B874 2014eb"/>
    <s v="340/.112"/>
    <d v="2014-05-28T00:00:00"/>
  </r>
  <r>
    <x v="7510"/>
    <d v="1899-12-30T00:00:28"/>
    <x v="1727"/>
    <x v="1"/>
    <s v="brockport"/>
    <x v="1640"/>
    <n v="1675474"/>
    <x v="4"/>
    <s v="Education"/>
    <s v="9781462514250"/>
    <s v=",1,2,3,4,5,6,7,8,9,10,11,12"/>
    <n v="12"/>
    <m/>
    <m/>
    <s v="No"/>
    <x v="3"/>
    <m/>
    <m/>
    <s v="137.21.7.121"/>
    <s v="LB1140.5.L3 -- .M36 2014eb"/>
    <n v="371.1"/>
    <d v="2014-04-14T00:00:00"/>
  </r>
  <r>
    <x v="7511"/>
    <d v="1899-12-30T03:43:56"/>
    <x v="13"/>
    <x v="0"/>
    <s v="Buffalo"/>
    <x v="161"/>
    <n v="821663"/>
    <x v="0"/>
    <s v="Architecture"/>
    <s v="9781118168479"/>
    <s v=",115,116,117,113,118,114,119,120,121,122,123,124,152,153,154,150,151,115,116,116,116,117,118,114,115,113,119,120,121,122,123,1,123,125,121,124,122,2,126,127,128,129,130,131,132,133,134,135,136,137,138,139,140,141,142,143,144,146,145,147,148,149,150,151,152,153,154"/>
    <n v="44"/>
    <m/>
    <m/>
    <s v="No"/>
    <x v="0"/>
    <d v="2015-09-22T00:51:49"/>
    <n v="7"/>
    <s v="128.205.114.91"/>
    <s v="NA2547 -- .S74 2012eb"/>
    <n v="729"/>
    <d v="2012-03-05T00:00:00"/>
  </r>
  <r>
    <x v="7512"/>
    <d v="1899-12-30T00:13:50"/>
    <x v="13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7513"/>
    <d v="1899-12-30T00:28:13"/>
    <x v="709"/>
    <x v="13"/>
    <s v="buffalostate"/>
    <x v="516"/>
    <n v="1840835"/>
    <x v="0"/>
    <s v="Business/Management; Economics"/>
    <s v="9781118950166"/>
    <s v=",1,2,3,53,54,55,51,52,46,47,48,44,45,49,51,53,50,54,56,50,63,64,65,61,62,67,68,69,66,70,29,30,31,27,28,45,46,43,93,94,95,91,92,69,71,67,72,73,74,63,46,49,71,72,29,94,96,93,91"/>
    <n v="42"/>
    <m/>
    <m/>
    <s v="No"/>
    <x v="0"/>
    <d v="2015-09-20T01:45:37"/>
    <n v="7"/>
    <s v="136.183.11.43"/>
    <s v="HD9969.S6 .R384 2014"/>
    <n v="338.10923789999998"/>
    <d v="2014-11-10T00:00:00"/>
  </r>
  <r>
    <x v="7514"/>
    <d v="1899-12-30T00:00:00"/>
    <x v="1728"/>
    <x v="1"/>
    <s v="brockport"/>
    <x v="1"/>
    <n v="1684620"/>
    <x v="0"/>
    <s v="Health; Social Science"/>
    <s v="9781118418925"/>
    <m/>
    <n v="0"/>
    <m/>
    <m/>
    <s v="Yes"/>
    <x v="0"/>
    <d v="2015-09-21T23:02:00"/>
    <n v="7"/>
    <s v="137.21.7.121"/>
    <s v="RA971 -- .S56 2014eb"/>
    <n v="362.10680000000002"/>
    <d v="2014-04-30T00:00:00"/>
  </r>
  <r>
    <x v="7514"/>
    <d v="1899-12-30T00:00:00"/>
    <x v="1728"/>
    <x v="1"/>
    <s v="brockport"/>
    <x v="1"/>
    <n v="1684620"/>
    <x v="0"/>
    <s v="Health; Social Science"/>
    <s v="9781118418925"/>
    <m/>
    <n v="0"/>
    <m/>
    <m/>
    <s v="No"/>
    <x v="0"/>
    <d v="2015-09-21T23:02:00"/>
    <n v="7"/>
    <s v="137.21.7.121"/>
    <s v="RA971 -- .S56 2014eb"/>
    <n v="362.10680000000002"/>
    <d v="2014-04-30T00:00:00"/>
  </r>
  <r>
    <x v="7515"/>
    <d v="1899-12-30T00:09:51"/>
    <x v="1728"/>
    <x v="1"/>
    <s v="brockport"/>
    <x v="1"/>
    <n v="1684620"/>
    <x v="0"/>
    <s v="Health; Social Science"/>
    <s v="9781118418925"/>
    <s v=",1,2,3,149,150,151,147,148,159,160,161,157,158,162,163,164,165,166,167,168,169,170,162,171,140,21,23,22,27,71,142,105,59,30,13,1,2,6,42,74,96"/>
    <n v="38"/>
    <m/>
    <m/>
    <s v="No"/>
    <x v="1"/>
    <m/>
    <m/>
    <s v="137.21.7.121"/>
    <s v="RA971 -- .S56 2014eb"/>
    <n v="362.10680000000002"/>
    <d v="2014-04-30T00:00:00"/>
  </r>
  <r>
    <x v="7516"/>
    <d v="1899-12-30T00:00:06"/>
    <x v="1721"/>
    <x v="0"/>
    <s v="Buffalo"/>
    <x v="509"/>
    <n v="1115640"/>
    <x v="0"/>
    <s v="Engineering: Civil; Engineering: Construction; Engineering"/>
    <s v="9781118419090"/>
    <s v=",1,2,3"/>
    <n v="3"/>
    <m/>
    <m/>
    <s v="No"/>
    <x v="1"/>
    <m/>
    <m/>
    <s v="128.205.114.91"/>
    <s v="TH375 -- .S77 2013eb"/>
    <n v="624"/>
    <d v="2013-01-22T00:00:00"/>
  </r>
  <r>
    <x v="7517"/>
    <d v="1899-12-30T00:20:21"/>
    <x v="1688"/>
    <x v="0"/>
    <s v="Buffalo"/>
    <x v="728"/>
    <n v="1872281"/>
    <x v="4"/>
    <s v="Education; Business/Management"/>
    <s v="9781462519606"/>
    <s v=",1,2,2,3,1,3,238,239,238,239,240,236,240,237,237,2,238,240,244,238,238,238,238,238,239,240,241,240,241,241,242,242,243,244,243,244,245,245,240,239,241,242,241,243,242,239,243,240,240,238,237,236,236,234,235,235,1,235,1,235,234,236,233,237,234,237,236,2,2,235,236,235,236,237,233,234,237,234,238,238,239,239,240,240,241,242,241,242,246,247,246,248,247,249,248,249,245,250,251,250,251,252,252,254,253,254,253,255,255,256,257,256,258,257,259,258,260,259,260,262,263,262,261,263,261,264,264,265,266,265,266,261,266,267,268,267,268,269,269,270,270,271,271,272,272,273,274,273,274,275,275,276,276,277,277,278,278,279,279,280,280,281,281,282,282,283,283,284,284,285,285,286,286,287,287,288,288,290,289,290,291,292,295,289,291,292,295,296,294,297,293,296,297,294,298,298,299,299,301,301,302,303,302,303,304,300,304,305,306,305,306,307,308,307,308,309,309,310,311,310,311,312,312,313,314,313,314,315,316,315,317,316,317,318,318,319,320,319,321,320,321,322,322,323,323,324,324,319,324,325,325,326,326,320,319,318,323,324,325,320"/>
    <n v="97"/>
    <m/>
    <s v=",239,240,241,242,243,244,245,246,247,248,249,250,251,252,253,254,255,256,257,258,259,260,261,262,263,264,265,266,267,268,269,270,271,272,273,274,275,276,277,278,279,280,281,282,283,284,285"/>
    <s v="No"/>
    <x v="0"/>
    <d v="2015-09-20T23:19:06"/>
    <n v="7"/>
    <s v="128.205.114.91"/>
    <s v="HD75 -- .P448 2015eb"/>
    <n v="378.101"/>
    <d v="2015-05-26T00:00:00"/>
  </r>
  <r>
    <x v="7518"/>
    <d v="1899-12-30T00:28:09"/>
    <x v="1729"/>
    <x v="1"/>
    <s v="brockport"/>
    <x v="1"/>
    <n v="1684620"/>
    <x v="0"/>
    <s v="Health; Social Science"/>
    <s v="9781118418925"/>
    <s v=",1,2,3,55,56,53,54,131,132,133,129,130,134,135,136,137,138,139,140,141,142,143,144,138,137,136,135,144,145,146,147,148,149,150,151,152,153,154,155,156,157,158,159,160,161,162,163,164,159"/>
    <n v="43"/>
    <m/>
    <m/>
    <s v="No"/>
    <x v="0"/>
    <d v="2015-09-21T19:15:28"/>
    <n v="7"/>
    <s v="137.21.7.121"/>
    <s v="RA971 -- .S56 2014eb"/>
    <n v="362.10680000000002"/>
    <d v="2014-04-30T00:00:00"/>
  </r>
  <r>
    <x v="7519"/>
    <d v="1899-12-30T00:56:34"/>
    <x v="1730"/>
    <x v="1"/>
    <s v="brockport"/>
    <x v="1"/>
    <n v="1684620"/>
    <x v="0"/>
    <s v="Health; Social Science"/>
    <s v="9781118418925"/>
    <s v=",1,2,3,4,107,108,109,105,106,110,111,112,113,114,107,105,106,149,150,151,147,148,152,153,154,155,150,149,156,157,158,159,160,161,162,163,158,157,156,155,154,153,152,151,150,159,160,161,162,163,164,165,158,153,152,151,150,157,157,158,159,160,161,162,163,164,156,162,163,164,165,166,167,168,169,170,163,162,161,168,169,170,165,164,1,2,3"/>
    <n v="38"/>
    <m/>
    <m/>
    <s v="No"/>
    <x v="0"/>
    <d v="2015-09-20T22:15:11"/>
    <n v="7"/>
    <s v="137.21.7.121"/>
    <s v="RA971 -- .S56 2014eb"/>
    <n v="362.10680000000002"/>
    <d v="2014-04-30T00:00:00"/>
  </r>
  <r>
    <x v="7520"/>
    <d v="1899-12-30T00:03:09"/>
    <x v="1040"/>
    <x v="16"/>
    <s v="monroecc"/>
    <x v="1525"/>
    <n v="1895793"/>
    <x v="0"/>
    <s v="Computer Science/IT"/>
    <s v="9781118949290"/>
    <s v=",1,2,2,3,3,1,2,2,47,48,49,47,45,49,48,46,46,58,59,60,57,56,59,57,58,60,61,61,62,62,74,75,74,75,76,76,72,73,73,132,132,134,130,133,131,135,133,131,135,134,136,136"/>
    <n v="27"/>
    <m/>
    <m/>
    <s v="No"/>
    <x v="3"/>
    <m/>
    <m/>
    <s v="150.160.200.114"/>
    <s v="QA76.8.I863 -- .G786 2015eb"/>
    <n v="4.16"/>
    <d v="2015-02-12T00:00:00"/>
  </r>
  <r>
    <x v="7521"/>
    <d v="1899-12-30T00:05:42"/>
    <x v="1040"/>
    <x v="16"/>
    <s v="monroecc"/>
    <x v="1641"/>
    <n v="1895243"/>
    <x v="0"/>
    <s v="Computer Science/IT; Business/Management"/>
    <s v="9781119010203"/>
    <s v=",1,2,2,3,3,1,2,2"/>
    <n v="3"/>
    <m/>
    <m/>
    <s v="No"/>
    <x v="3"/>
    <m/>
    <m/>
    <s v="150.160.200.114"/>
    <s v="HF5548.4.M525 -- .W484 2015eb"/>
    <n v="5.5"/>
    <d v="2015-04-06T00:00:00"/>
  </r>
  <r>
    <x v="7522"/>
    <d v="1899-12-30T00:03:39"/>
    <x v="13"/>
    <x v="0"/>
    <s v="Buffalo"/>
    <x v="73"/>
    <n v="1119505"/>
    <x v="0"/>
    <s v="Science: Chemistry; Science"/>
    <s v="9781118355015"/>
    <s v=",1,2,3,75,76,77,78,74,79,80,79,80"/>
    <n v="10"/>
    <m/>
    <m/>
    <s v="No"/>
    <x v="1"/>
    <m/>
    <m/>
    <s v="128.205.114.91"/>
    <s v="QD251.3 -- .S38 2013eb"/>
    <s v="547/.128"/>
    <d v="2013-01-28T00:00:00"/>
  </r>
  <r>
    <x v="7523"/>
    <d v="1899-12-30T01:57:11"/>
    <x v="1723"/>
    <x v="6"/>
    <s v="sjfc"/>
    <x v="258"/>
    <n v="821827"/>
    <x v="0"/>
    <s v="Social Science"/>
    <s v="9781118225349"/>
    <s v=",1,2,3,4,5,36,37,38,34,35,39,40,41,42,43,44,45,46,47,48,49,50,51,52,53,54,55,56,57,58,59,60,61,62,63,64,65,88,89,90,86,87,74,75,76,72,73,66,67,68,69,70,71,72,73,74,55,56,57,58,59,60,61,62,63,64,65,66,67,68,69,70,71,71,1,72,73,69,70,74,75,2,76,77,78"/>
    <n v="55"/>
    <m/>
    <m/>
    <s v="No"/>
    <x v="0"/>
    <d v="2015-09-21T19:11:44"/>
    <n v="7"/>
    <s v="149.69.254.57"/>
    <s v="HM1166 -- .N448 2012eb"/>
    <n v="302"/>
    <d v="2012-04-30T00:00:00"/>
  </r>
  <r>
    <x v="7524"/>
    <d v="1899-12-30T00:00:21"/>
    <x v="1729"/>
    <x v="1"/>
    <s v="brockport"/>
    <x v="1"/>
    <n v="1684620"/>
    <x v="0"/>
    <s v="Health; Social Science"/>
    <s v="9781118418925"/>
    <s v=",118,119,120,121,122,123,124,125,126,127,128,129,130"/>
    <n v="13"/>
    <m/>
    <m/>
    <s v="No"/>
    <x v="0"/>
    <d v="2015-09-21T19:15:28"/>
    <n v="7"/>
    <s v="137.21.7.121"/>
    <s v="RA971 -- .S56 2014eb"/>
    <n v="362.10680000000002"/>
    <d v="2014-04-30T00:00:00"/>
  </r>
  <r>
    <x v="7525"/>
    <d v="1899-12-30T00:17:15"/>
    <x v="1723"/>
    <x v="6"/>
    <s v="sjfc"/>
    <x v="258"/>
    <n v="821827"/>
    <x v="0"/>
    <s v="Social Science"/>
    <s v="9781118225349"/>
    <s v=",1,19,20,21,17,18,22,23,24,25,2,26,27,28,29,36,37,38,34,35,39,40,41,43,42,36,35,34,33,32,37,35,36,37,38,39,40,41,42,43,44,45,46,47,48,49"/>
    <n v="33"/>
    <m/>
    <m/>
    <s v="No"/>
    <x v="0"/>
    <d v="2015-09-21T19:11:44"/>
    <n v="7"/>
    <s v="149.69.254.57"/>
    <s v="HM1166 -- .N448 2012eb"/>
    <n v="302"/>
    <d v="2012-04-30T00:00:00"/>
  </r>
  <r>
    <x v="7526"/>
    <d v="1899-12-30T00:14:54"/>
    <x v="1729"/>
    <x v="1"/>
    <s v="brockport"/>
    <x v="1"/>
    <n v="1684620"/>
    <x v="0"/>
    <s v="Health; Social Science"/>
    <s v="9781118418925"/>
    <s v=",1,2,3,113,114,115,111,112,110,116,117,118"/>
    <n v="12"/>
    <m/>
    <m/>
    <s v="No"/>
    <x v="1"/>
    <m/>
    <m/>
    <s v="137.21.7.121"/>
    <s v="RA971 -- .S56 2014eb"/>
    <n v="362.10680000000002"/>
    <d v="2014-04-30T00:00:00"/>
  </r>
  <r>
    <x v="7527"/>
    <d v="1899-12-30T00:02:36"/>
    <x v="824"/>
    <x v="0"/>
    <s v="Buffalo"/>
    <x v="161"/>
    <n v="821663"/>
    <x v="0"/>
    <s v="Architecture"/>
    <s v="9781118168479"/>
    <s v=",1,2,3,115,116,117,113,114"/>
    <n v="8"/>
    <m/>
    <m/>
    <s v="No"/>
    <x v="0"/>
    <d v="2015-09-15T10:52:49"/>
    <n v="7"/>
    <s v="128.205.114.91"/>
    <s v="NA2547 -- .S74 2012eb"/>
    <n v="729"/>
    <d v="2012-03-05T00:00:00"/>
  </r>
  <r>
    <x v="7528"/>
    <d v="1899-12-30T00:10:32"/>
    <x v="13"/>
    <x v="0"/>
    <s v="Buffalo"/>
    <x v="552"/>
    <n v="1294909"/>
    <x v="3"/>
    <s v="Economics; Business/Management"/>
    <s v="9780520956797"/>
    <s v=",94,94,95,96,92,96,93,95,93,97,97,98,99,100,98,99,100,101,101,102,102,103,103,104,104,105,105,106,106,107,107,108,108,109,109,110,110,111,111,112,114,112,114,113,113,115,115,116,116,117,118,117,119,119,118,120,120,121,121,123,122,123,122,124,124,125,125,126,127,126,127,128,128,129,129,130,125,124,123,122,121,120,119,118,117,116,115,130,114,113,112,111,110,109,108"/>
    <n v="39"/>
    <m/>
    <m/>
    <s v="Yes"/>
    <x v="0"/>
    <d v="2015-09-18T17:25:18"/>
    <n v="7"/>
    <s v="128.205.114.91"/>
    <s v="HC110.P6 -- I25 2013eb"/>
    <s v="339.4/60973"/>
    <d v="2013-08-01T00:00:00"/>
  </r>
  <r>
    <x v="7529"/>
    <d v="1899-12-30T00:00:00"/>
    <x v="13"/>
    <x v="0"/>
    <s v="Buffalo"/>
    <x v="552"/>
    <n v="1294909"/>
    <x v="3"/>
    <s v="Economics; Business/Management"/>
    <s v="9780520956797"/>
    <m/>
    <n v="0"/>
    <m/>
    <m/>
    <s v="Yes"/>
    <x v="0"/>
    <d v="2015-09-18T17:25:18"/>
    <n v="7"/>
    <s v="128.205.114.91"/>
    <s v="HC110.P6 -- I25 2013eb"/>
    <s v="339.4/60973"/>
    <d v="2013-08-01T00:00:00"/>
  </r>
  <r>
    <x v="7530"/>
    <d v="1899-12-30T00:00:22"/>
    <x v="13"/>
    <x v="0"/>
    <s v="Buffalo"/>
    <x v="552"/>
    <n v="1294909"/>
    <x v="3"/>
    <s v="Economics; Business/Management"/>
    <s v="9780520956797"/>
    <s v=",1,2,1,2,3,3,2,2"/>
    <n v="3"/>
    <m/>
    <m/>
    <s v="No"/>
    <x v="0"/>
    <d v="2015-09-18T17:25:18"/>
    <n v="7"/>
    <s v="128.205.114.91"/>
    <s v="HC110.P6 -- I25 2013eb"/>
    <s v="339.4/60973"/>
    <d v="2013-08-01T00:00:00"/>
  </r>
  <r>
    <x v="7531"/>
    <d v="1899-12-30T00:00:00"/>
    <x v="13"/>
    <x v="0"/>
    <s v="Buffalo"/>
    <x v="552"/>
    <n v="1294909"/>
    <x v="3"/>
    <s v="Economics; Business/Management"/>
    <s v="9780520956797"/>
    <m/>
    <n v="0"/>
    <m/>
    <m/>
    <s v="Yes"/>
    <x v="0"/>
    <d v="2015-09-18T17:25:18"/>
    <n v="7"/>
    <s v="128.205.114.91"/>
    <s v="HC110.P6 -- I25 2013eb"/>
    <s v="339.4/60973"/>
    <d v="2013-08-01T00:00:00"/>
  </r>
  <r>
    <x v="7532"/>
    <d v="1899-12-30T01:01:23"/>
    <x v="1723"/>
    <x v="6"/>
    <s v="sjfc"/>
    <x v="258"/>
    <n v="821827"/>
    <x v="0"/>
    <s v="Social Science"/>
    <s v="9781118225349"/>
    <s v=",1,2,3,33,34,35,31,32,36,37,38,39,40,41,42,35,34,33,32,31,30,29,27,26,25,23,24,22,3,1,4,5,6,7,8,9,10,11,12,13,14,15,16,17,18,19"/>
    <n v="39"/>
    <m/>
    <m/>
    <s v="No"/>
    <x v="1"/>
    <m/>
    <m/>
    <s v="149.69.254.57"/>
    <s v="HM1166 -- .N448 2012eb"/>
    <n v="302"/>
    <d v="2012-04-30T00:00:00"/>
  </r>
  <r>
    <x v="7533"/>
    <d v="1899-12-30T00:01:03"/>
    <x v="13"/>
    <x v="0"/>
    <s v="Buffalo"/>
    <x v="552"/>
    <n v="1294909"/>
    <x v="3"/>
    <s v="Economics; Business/Management"/>
    <s v="9780520956797"/>
    <s v=",5,5,6,4,7,8,6,4,11,10,12,13,9,12,7,13,8,10,11,14,14,15,15,16,16,17,18,17,19,19,20,18,21,20,22,21,23,22,23,24,24,25,25,26,26,28,27,27,31,30,32,30,28,31,34,34,32,35,36,35,36,33,33,38,29,39,37,39,29,38,37"/>
    <n v="36"/>
    <m/>
    <m/>
    <s v="Yes"/>
    <x v="0"/>
    <d v="2015-09-18T17:25:18"/>
    <n v="7"/>
    <s v="128.205.114.91"/>
    <s v="HC110.P6 -- I25 2013eb"/>
    <s v="339.4/60973"/>
    <d v="2013-08-01T00:00:00"/>
  </r>
  <r>
    <x v="7534"/>
    <d v="1899-12-30T00:00:14"/>
    <x v="13"/>
    <x v="0"/>
    <s v="Buffalo"/>
    <x v="552"/>
    <n v="1294909"/>
    <x v="3"/>
    <s v="Economics; Business/Management"/>
    <s v="9780520956797"/>
    <s v=",2,2"/>
    <n v="1"/>
    <m/>
    <m/>
    <s v="Yes"/>
    <x v="0"/>
    <d v="2015-09-18T17:25:18"/>
    <n v="7"/>
    <s v="128.205.114.91"/>
    <s v="HC110.P6 -- I25 2013eb"/>
    <s v="339.4/60973"/>
    <d v="2013-08-01T00:00:00"/>
  </r>
  <r>
    <x v="7535"/>
    <d v="1899-12-30T00:00:04"/>
    <x v="13"/>
    <x v="0"/>
    <s v="Buffalo"/>
    <x v="552"/>
    <n v="1294909"/>
    <x v="3"/>
    <s v="Economics; Business/Management"/>
    <s v="9780520956797"/>
    <s v=",1,2,1,3,3,2"/>
    <n v="3"/>
    <m/>
    <m/>
    <s v="No"/>
    <x v="0"/>
    <d v="2015-09-18T17:25:18"/>
    <n v="7"/>
    <s v="128.205.114.91"/>
    <s v="HC110.P6 -- I25 2013eb"/>
    <s v="339.4/60973"/>
    <d v="2013-08-01T00:00:00"/>
  </r>
  <r>
    <x v="7536"/>
    <d v="1899-12-30T00:07:41"/>
    <x v="13"/>
    <x v="0"/>
    <s v="Buffalo"/>
    <x v="552"/>
    <n v="1294909"/>
    <x v="3"/>
    <s v="Economics; Business/Management"/>
    <s v="9780520956797"/>
    <s v=",1,2,3,2,3,1,1,2,1,2,3,3,192,193,192,193,190,194,191,194,191,94,95,96,94,95,92,96,93,93,2,97,97,92,97,98,98,93,98,99,99"/>
    <n v="16"/>
    <m/>
    <m/>
    <s v="No"/>
    <x v="0"/>
    <d v="2015-09-18T17:25:18"/>
    <n v="7"/>
    <s v="128.205.114.91"/>
    <s v="HC110.P6 -- I25 2013eb"/>
    <s v="339.4/60973"/>
    <d v="2013-08-01T00:00:00"/>
  </r>
  <r>
    <x v="7537"/>
    <d v="1899-12-30T00:00:03"/>
    <x v="1443"/>
    <x v="15"/>
    <s v="morrisville"/>
    <x v="125"/>
    <n v="1221573"/>
    <x v="0"/>
    <s v="Business/Management; Philosophy"/>
    <s v="9781118658116"/>
    <s v=",1,2,3"/>
    <n v="3"/>
    <m/>
    <m/>
    <s v="No"/>
    <x v="3"/>
    <m/>
    <m/>
    <s v="136.204.32.67"/>
    <s v="HF5387 .B86626 2013"/>
    <n v="174.4"/>
    <d v="2013-06-19T00:00:00"/>
  </r>
  <r>
    <x v="7538"/>
    <d v="1899-12-30T00:12:45"/>
    <x v="1731"/>
    <x v="0"/>
    <s v="Buffalo"/>
    <x v="552"/>
    <n v="1294909"/>
    <x v="3"/>
    <s v="Economics; Business/Management"/>
    <s v="9780520956797"/>
    <s v=",129,130,131,127,128,132,124,125,126,123,121"/>
    <n v="11"/>
    <m/>
    <m/>
    <s v="No"/>
    <x v="0"/>
    <d v="2015-09-21T17:57:18"/>
    <n v="7"/>
    <s v="128.205.114.91"/>
    <s v="HC110.P6 -- I25 2013eb"/>
    <s v="339.4/60973"/>
    <d v="2013-08-01T00:00:00"/>
  </r>
  <r>
    <x v="7539"/>
    <d v="1899-12-30T00:00:50"/>
    <x v="26"/>
    <x v="6"/>
    <s v="sjfc"/>
    <x v="1315"/>
    <n v="1895721"/>
    <x v="0"/>
    <s v="Mathematics"/>
    <s v="9781118898833"/>
    <s v=",1,1,2,3,3,2,399,399,401,401,397,398,398,402,2,402,397,402,403,404,404,405,405,406,406,406"/>
    <n v="12"/>
    <m/>
    <m/>
    <s v="No"/>
    <x v="3"/>
    <m/>
    <m/>
    <s v="149.69.254.57"/>
    <s v="QA273 -- .O46 2015eb"/>
    <n v="519.20000000000005"/>
    <d v="2014-12-29T00:00:00"/>
  </r>
  <r>
    <x v="7540"/>
    <d v="1899-12-30T00:00:21"/>
    <x v="1732"/>
    <x v="13"/>
    <s v="buffalostate"/>
    <x v="1642"/>
    <n v="1698606"/>
    <x v="1"/>
    <s v="Medicine"/>
    <s v="9781409445500"/>
    <s v=",1,3,2,2,3,1,4,4,5,5,6,6,7,7,8,8,2"/>
    <n v="8"/>
    <m/>
    <m/>
    <s v="No"/>
    <x v="3"/>
    <m/>
    <m/>
    <s v="136.183.11.43"/>
    <s v="RC967.5 -- .H37 2014eb"/>
    <s v="616.89/165"/>
    <d v="2014-07-28T00:00:00"/>
  </r>
  <r>
    <x v="7541"/>
    <d v="1899-12-30T00:00:00"/>
    <x v="1733"/>
    <x v="0"/>
    <s v="Buffalo"/>
    <x v="728"/>
    <n v="1872281"/>
    <x v="4"/>
    <s v="Education; Business/Management"/>
    <s v="9781462519606"/>
    <m/>
    <n v="0"/>
    <m/>
    <s v=",285,286,287,288,289,290,291,292,293,294,295,296,297,298,299,300,301,302,303,304,305,306,307,308,309,310,311,312,313,314,315,316,317,318,319,320,321,322,323,324"/>
    <s v="No"/>
    <x v="0"/>
    <d v="2015-09-21T17:49:33"/>
    <n v="7"/>
    <s v="128.205.114.91"/>
    <s v="HD75 -- .P448 2015eb"/>
    <n v="378.101"/>
    <d v="2015-05-26T00:00:00"/>
  </r>
  <r>
    <x v="7542"/>
    <d v="1899-12-30T00:00:05"/>
    <x v="1733"/>
    <x v="0"/>
    <s v="Buffalo"/>
    <x v="728"/>
    <n v="1872281"/>
    <x v="4"/>
    <s v="Education; Business/Management"/>
    <s v="9781462519606"/>
    <s v=",1,2,3"/>
    <n v="3"/>
    <m/>
    <m/>
    <s v="No"/>
    <x v="1"/>
    <m/>
    <m/>
    <s v="128.205.114.91"/>
    <s v="HD75 -- .P448 2015eb"/>
    <n v="378.101"/>
    <d v="2015-05-26T00:00:00"/>
  </r>
  <r>
    <x v="7543"/>
    <d v="1899-12-30T00:00:00"/>
    <x v="760"/>
    <x v="0"/>
    <s v="Buffalo"/>
    <x v="728"/>
    <n v="1872281"/>
    <x v="4"/>
    <s v="Education; Business/Management"/>
    <s v="9781462519606"/>
    <m/>
    <n v="0"/>
    <m/>
    <s v=",238,239,240,241,242,243,244,245,246,247,248,249,250,251,252,253,254,255,256,257,258,259,260,261,262,263,264,265,266,267,268,269,270,271,272,273,274,275,276,277,278,279,280,281,282,283,284"/>
    <s v="No"/>
    <x v="0"/>
    <d v="2015-09-21T17:43:09"/>
    <n v="7"/>
    <s v="128.205.114.91"/>
    <s v="HD75 -- .P448 2015eb"/>
    <n v="378.101"/>
    <d v="2015-05-26T00:00:00"/>
  </r>
  <r>
    <x v="7544"/>
    <d v="1899-12-30T00:00:05"/>
    <x v="760"/>
    <x v="0"/>
    <s v="Buffalo"/>
    <x v="728"/>
    <n v="1872281"/>
    <x v="4"/>
    <s v="Education; Business/Management"/>
    <s v="9781462519606"/>
    <s v=",1,2,3"/>
    <n v="3"/>
    <m/>
    <m/>
    <s v="No"/>
    <x v="1"/>
    <m/>
    <m/>
    <s v="128.205.114.91"/>
    <s v="HD75 -- .P448 2015eb"/>
    <n v="378.101"/>
    <d v="2015-05-26T00:00:00"/>
  </r>
  <r>
    <x v="7545"/>
    <d v="1899-12-30T00:27:01"/>
    <x v="1731"/>
    <x v="0"/>
    <s v="Buffalo"/>
    <x v="552"/>
    <n v="1294909"/>
    <x v="3"/>
    <s v="Economics; Business/Management"/>
    <s v="9780520956797"/>
    <s v=",1,2,3,94,95,96,92,93,2,97,98,99,100,101,102"/>
    <n v="14"/>
    <m/>
    <m/>
    <s v="No"/>
    <x v="1"/>
    <m/>
    <m/>
    <s v="128.205.114.91"/>
    <s v="HC110.P6 -- I25 2013eb"/>
    <s v="339.4/60973"/>
    <d v="2013-08-01T00:00:00"/>
  </r>
  <r>
    <x v="7546"/>
    <d v="1899-12-30T00:03:08"/>
    <x v="1734"/>
    <x v="0"/>
    <s v="Buffalo"/>
    <x v="552"/>
    <n v="1294909"/>
    <x v="3"/>
    <s v="Economics; Business/Management"/>
    <s v="9780520956797"/>
    <s v=",1,2,3,129,130,131,127,132,133,134,135,136,137,138,2,139,140,141,142,143,144,145,146,147,146,129,130,131,127,128,132,94,95,125,126"/>
    <n v="28"/>
    <m/>
    <m/>
    <s v="No"/>
    <x v="0"/>
    <d v="2015-09-21T02:36:07"/>
    <n v="7"/>
    <s v="128.205.114.91"/>
    <s v="HC110.P6 -- I25 2013eb"/>
    <s v="339.4/60973"/>
    <d v="2013-08-01T00:00:00"/>
  </r>
  <r>
    <x v="7547"/>
    <d v="1899-12-30T00:53:53"/>
    <x v="547"/>
    <x v="1"/>
    <s v="brockport"/>
    <x v="1"/>
    <n v="1684620"/>
    <x v="0"/>
    <s v="Health; Social Science"/>
    <s v="9781118418925"/>
    <s v=",113,113,114,114,115,115,116,116,117,117,118,118,119,119,120,120,121,121,122,122,123,123,124,124,125,125,126,126,127,127,128,128,129,129,130,130,131,131,132,132,133,133,134,134,135,135,136,136,137,137,138,138,139,139,140,140,141,141,142,142,149,149,150,151,150,151,148,147,148,152,152,153,153,154,154,155,155,156,156,157,157,158,158,159,160,159,160,161,161,162,162,163,163,164,164,165,165,166,166,167,167,168,168,169,169,165"/>
    <n v="53"/>
    <m/>
    <m/>
    <s v="No"/>
    <x v="0"/>
    <d v="2015-09-21T17:15:02"/>
    <n v="7"/>
    <s v="137.21.7.121"/>
    <s v="RA971 -- .S56 2014eb"/>
    <n v="362.10680000000002"/>
    <d v="2014-04-30T00:00:00"/>
  </r>
  <r>
    <x v="7548"/>
    <d v="1899-12-30T00:02:55"/>
    <x v="26"/>
    <x v="6"/>
    <s v="sjfc"/>
    <x v="1643"/>
    <n v="1272243"/>
    <x v="0"/>
    <s v="Medicine"/>
    <s v="9781118592199"/>
    <s v=",1,3,2,15,11,75,76,73,139,140,141,137,138,203,204,200,201,199,205,205,1,206,207,203,204,208,2,202,201,200"/>
    <n v="23"/>
    <m/>
    <m/>
    <s v="No"/>
    <x v="3"/>
    <m/>
    <m/>
    <s v="149.69.254.57"/>
    <s v="RC268.45 -- .M37 2013eb"/>
    <n v="616.99406539999995"/>
    <d v="2013-07-17T00:00:00"/>
  </r>
  <r>
    <x v="7549"/>
    <d v="1899-12-30T00:11:46"/>
    <x v="547"/>
    <x v="1"/>
    <s v="brockport"/>
    <x v="1"/>
    <n v="1684620"/>
    <x v="0"/>
    <s v="Health; Social Science"/>
    <s v="9781118418925"/>
    <s v=",1,2,2,3,3,1,2,2,108,108,110,109,110,106,109,107,107,111,111,112,112,107,106,111,112"/>
    <n v="10"/>
    <m/>
    <m/>
    <s v="No"/>
    <x v="1"/>
    <m/>
    <m/>
    <s v="137.21.7.121"/>
    <s v="RA971 -- .S56 2014eb"/>
    <n v="362.10680000000002"/>
    <d v="2014-04-30T00:00:00"/>
  </r>
  <r>
    <x v="7550"/>
    <d v="1899-12-30T00:00:30"/>
    <x v="13"/>
    <x v="0"/>
    <s v="Buffalo"/>
    <x v="552"/>
    <n v="1294909"/>
    <x v="3"/>
    <s v="Economics; Business/Management"/>
    <s v="9780520956797"/>
    <s v=",1,2,3,129,130,131,127,128,132,133,134,135,136,146,145,142,139,140,141,138,143,144"/>
    <n v="22"/>
    <m/>
    <m/>
    <s v="No"/>
    <x v="0"/>
    <d v="2015-09-18T17:25:18"/>
    <n v="7"/>
    <s v="128.205.114.91"/>
    <s v="HC110.P6 -- I25 2013eb"/>
    <s v="339.4/60973"/>
    <d v="2013-08-01T00:00:00"/>
  </r>
  <r>
    <x v="7551"/>
    <d v="1899-12-30T00:13:59"/>
    <x v="13"/>
    <x v="0"/>
    <s v="Buffalo"/>
    <x v="552"/>
    <n v="1294909"/>
    <x v="3"/>
    <s v="Economics; Business/Management"/>
    <s v="9780520956797"/>
    <s v=",1,2,3,94,95,96,92,93,2,97,98,99,100,101,102,103,104,105,106,107,108,109,110,111,112,113,114,115,116,117,118,119,120,121,122,123,124,129,130,131,127,128,132,133"/>
    <n v="43"/>
    <m/>
    <m/>
    <s v="No"/>
    <x v="0"/>
    <d v="2015-09-18T17:25:18"/>
    <n v="7"/>
    <s v="128.205.114.91"/>
    <s v="HC110.P6 -- I25 2013eb"/>
    <s v="339.4/60973"/>
    <d v="2013-08-01T00:00:00"/>
  </r>
  <r>
    <x v="7552"/>
    <d v="1899-12-30T00:01:16"/>
    <x v="1735"/>
    <x v="1"/>
    <s v="brockport"/>
    <x v="1118"/>
    <n v="1774374"/>
    <x v="4"/>
    <s v="Psychology"/>
    <s v="9781462519040"/>
    <s v=",211,212,224,225,226,222,223,227,228,229,230,231,232"/>
    <n v="13"/>
    <m/>
    <m/>
    <s v="No"/>
    <x v="2"/>
    <d v="2015-09-21T16:54:25"/>
    <n v="1"/>
    <s v="137.21.7.121"/>
    <s v="BF327 -- .H363 2015eb"/>
    <n v="158"/>
    <d v="2014-12-24T00:00:00"/>
  </r>
  <r>
    <x v="7553"/>
    <d v="1899-12-30T01:24:55"/>
    <x v="1730"/>
    <x v="1"/>
    <s v="brockport"/>
    <x v="1"/>
    <n v="1684620"/>
    <x v="0"/>
    <s v="Health; Social Science"/>
    <s v="9781118418925"/>
    <s v=",1,2,3,108,109,110,106,107,111,112,113,114,115,116,117,118,119,120,121,122,123,124,125,126,127,128,129,130,122,123,121,120,118,119,117,116,115,114,113,112,118,119,121,122,123,124,125,126,127,128,129,130,123,122,121,119,120,118,117,116,115,114,113,121,122,123,124,125,126,127,128,129,130,122,127,121,120,125,126,127,127,128,129,130,131,132,133,134,135,136,137,138,139,140,141,142,143,144,145,146,147,148,149,150,151,145,144,150,151,1,2,3"/>
    <n v="49"/>
    <m/>
    <m/>
    <s v="No"/>
    <x v="0"/>
    <d v="2015-09-20T22:15:11"/>
    <n v="7"/>
    <s v="137.21.7.121"/>
    <s v="RA971 -- .S56 2014eb"/>
    <n v="362.10680000000002"/>
    <d v="2014-04-30T00:00:00"/>
  </r>
  <r>
    <x v="7554"/>
    <d v="1899-12-30T00:00:00"/>
    <x v="1460"/>
    <x v="0"/>
    <s v="Buffalo"/>
    <x v="552"/>
    <n v="1294909"/>
    <x v="3"/>
    <s v="Economics; Business/Management"/>
    <s v="9780520956797"/>
    <m/>
    <n v="0"/>
    <m/>
    <s v=",94,95,96,97,98,99,100,101,102,103,104,105,106,107,108,109,110,111,112,113,114,115,116,117,118,119,120,121,122,123,124,125,126,127,128"/>
    <s v="No"/>
    <x v="0"/>
    <d v="2015-09-21T16:43:19"/>
    <n v="7"/>
    <s v="128.205.114.91"/>
    <s v="HC110.P6 -- I25 2013eb"/>
    <s v="339.4/60973"/>
    <d v="2013-08-01T00:00:00"/>
  </r>
  <r>
    <x v="7555"/>
    <d v="1899-12-30T00:00:32"/>
    <x v="1460"/>
    <x v="0"/>
    <s v="Buffalo"/>
    <x v="552"/>
    <n v="1294909"/>
    <x v="3"/>
    <s v="Economics; Business/Management"/>
    <s v="9780520956797"/>
    <s v=",1,2,3,54,55,56,52,53,94,95,96,92,93"/>
    <n v="13"/>
    <m/>
    <m/>
    <s v="No"/>
    <x v="1"/>
    <m/>
    <m/>
    <s v="128.205.114.91"/>
    <s v="HC110.P6 -- I25 2013eb"/>
    <s v="339.4/60973"/>
    <d v="2013-08-01T00:00:00"/>
  </r>
  <r>
    <x v="7556"/>
    <d v="1899-12-30T00:25:33"/>
    <x v="1522"/>
    <x v="0"/>
    <s v="Buffalo"/>
    <x v="552"/>
    <n v="1294909"/>
    <x v="3"/>
    <s v="Economics; Business/Management"/>
    <s v="9780520956797"/>
    <s v=",1,2,3,129,130,131,127,128,132,133,134,135,136,137,138,139,140,141,142,139,140,141,142,141,142,143,144,145,146,146"/>
    <n v="23"/>
    <m/>
    <m/>
    <s v="No"/>
    <x v="0"/>
    <d v="2015-09-21T04:26:39"/>
    <n v="7"/>
    <s v="128.205.114.91"/>
    <s v="HC110.P6 -- I25 2013eb"/>
    <s v="339.4/60973"/>
    <d v="2013-08-01T00:00:00"/>
  </r>
  <r>
    <x v="7557"/>
    <d v="1899-12-30T00:13:36"/>
    <x v="1735"/>
    <x v="1"/>
    <s v="brockport"/>
    <x v="1118"/>
    <n v="1774374"/>
    <x v="4"/>
    <s v="Psychology"/>
    <s v="9781462519040"/>
    <s v=",2,1,3,187,188,189,185,186,190,191,206,207,208,204,205,209,210"/>
    <n v="17"/>
    <m/>
    <m/>
    <s v="No"/>
    <x v="3"/>
    <m/>
    <m/>
    <s v="137.21.7.121"/>
    <s v="BF327 -- .H363 2015eb"/>
    <n v="158"/>
    <d v="2014-12-24T00:00:00"/>
  </r>
  <r>
    <x v="7558"/>
    <d v="1899-12-30T01:21:21"/>
    <x v="1736"/>
    <x v="1"/>
    <s v="brockport"/>
    <x v="1"/>
    <n v="1684620"/>
    <x v="0"/>
    <s v="Health; Social Science"/>
    <s v="9781118418925"/>
    <s v=",128,129,130,131,132,133,134,135,136,137,138,139,140,141,142,143,144,145,146,147,148,149,150,151,152,153,154,155,156,157,158,159,160,161,162,163,164,165,166,167,168,169,170"/>
    <n v="43"/>
    <m/>
    <m/>
    <s v="No"/>
    <x v="0"/>
    <d v="2015-09-21T16:02:15"/>
    <n v="7"/>
    <s v="137.21.7.121"/>
    <s v="RA971 -- .S56 2014eb"/>
    <n v="362.10680000000002"/>
    <d v="2014-04-30T00:00:00"/>
  </r>
  <r>
    <x v="7559"/>
    <d v="1899-12-30T00:13:28"/>
    <x v="1736"/>
    <x v="1"/>
    <s v="brockport"/>
    <x v="1"/>
    <n v="1684620"/>
    <x v="0"/>
    <s v="Health; Social Science"/>
    <s v="9781118418925"/>
    <s v=",1,2,3,118,119,120,116,117,121,122,123,124,125,126,127"/>
    <n v="15"/>
    <m/>
    <m/>
    <s v="No"/>
    <x v="1"/>
    <m/>
    <m/>
    <s v="137.21.7.121"/>
    <s v="RA971 -- .S56 2014eb"/>
    <n v="362.10680000000002"/>
    <d v="2014-04-30T00:00:00"/>
  </r>
  <r>
    <x v="7560"/>
    <d v="1899-12-30T00:09:24"/>
    <x v="1526"/>
    <x v="15"/>
    <s v="morrisville"/>
    <x v="414"/>
    <n v="1143522"/>
    <x v="0"/>
    <s v="History"/>
    <s v="9781118257197"/>
    <s v=",148,149,150,146,147,151,152,153,154,155,156"/>
    <n v="11"/>
    <m/>
    <m/>
    <s v="No"/>
    <x v="0"/>
    <d v="2015-09-21T15:40:03"/>
    <n v="7"/>
    <s v="136.204.32.68"/>
    <s v="F1219.73 .S58 2013"/>
    <n v="972"/>
    <d v="2013-03-01T00:00:00"/>
  </r>
  <r>
    <x v="7561"/>
    <d v="1899-12-30T00:10:36"/>
    <x v="1526"/>
    <x v="15"/>
    <s v="morrisville"/>
    <x v="414"/>
    <n v="1143522"/>
    <x v="0"/>
    <s v="History"/>
    <s v="9781118257197"/>
    <s v=",1,2,3,9,10,11,7,8,12,147,148,149,145,146,150,151,152,147,146,23,24,25,21,22,20,19,26,27,21,20,19"/>
    <n v="26"/>
    <m/>
    <m/>
    <s v="No"/>
    <x v="1"/>
    <m/>
    <m/>
    <s v="136.204.32.68"/>
    <s v="F1219.73 .S58 2013"/>
    <n v="972"/>
    <d v="2013-03-01T00:00:00"/>
  </r>
  <r>
    <x v="7562"/>
    <d v="1899-12-30T00:00:10"/>
    <x v="1526"/>
    <x v="15"/>
    <s v="morrisville"/>
    <x v="1644"/>
    <n v="771072"/>
    <x v="18"/>
    <s v="History"/>
    <s v="9781608707539"/>
    <s v=",1,2,3,4,5,6"/>
    <n v="6"/>
    <m/>
    <m/>
    <s v="No"/>
    <x v="1"/>
    <m/>
    <m/>
    <s v="136.204.32.68"/>
    <s v="F1219.73"/>
    <n v="972"/>
    <d v="2012-01-01T00:00:00"/>
  </r>
  <r>
    <x v="7563"/>
    <d v="1899-12-30T00:04:47"/>
    <x v="1526"/>
    <x v="15"/>
    <s v="morrisville"/>
    <x v="1382"/>
    <n v="1501633"/>
    <x v="0"/>
    <s v="Language/Linguistics"/>
    <s v="9781118610701"/>
    <s v=",1,2,3,4,5,6,221,222,223,219,178,179,180,176,177,15,16,17,13,14,38,39,40,36,37,175,176,177,173,174,178,115,116,117,113,114"/>
    <n v="33"/>
    <m/>
    <m/>
    <s v="No"/>
    <x v="2"/>
    <d v="2015-09-21T00:32:37"/>
    <n v="1"/>
    <s v="136.204.32.68"/>
    <s v="PA227 -- .C658 2014eb"/>
    <n v="480.09"/>
    <d v="2013-10-23T00:00:00"/>
  </r>
  <r>
    <x v="7564"/>
    <d v="1899-12-30T00:00:00"/>
    <x v="1683"/>
    <x v="9"/>
    <s v="trocaire"/>
    <x v="1645"/>
    <n v="1084822"/>
    <x v="10"/>
    <s v="Business/Management; Economics"/>
    <s v="9781400846573"/>
    <m/>
    <n v="0"/>
    <m/>
    <m/>
    <s v="Yes"/>
    <x v="0"/>
    <d v="2015-09-21T15:16:23"/>
    <n v="7"/>
    <s v="173.225.62.67"/>
    <s v="HG255 -- .S837 2013eb"/>
    <s v="339.5/3"/>
    <d v="2013-02-11T00:00:00"/>
  </r>
  <r>
    <x v="7565"/>
    <d v="1899-12-30T00:00:44"/>
    <x v="1683"/>
    <x v="9"/>
    <s v="trocaire"/>
    <x v="1645"/>
    <n v="1084822"/>
    <x v="10"/>
    <s v="Business/Management; Economics"/>
    <s v="9781400846573"/>
    <s v=",1,2,3"/>
    <n v="3"/>
    <m/>
    <m/>
    <s v="No"/>
    <x v="1"/>
    <m/>
    <m/>
    <s v="173.225.62.67"/>
    <s v="HG255 -- .S837 2013eb"/>
    <s v="339.5/3"/>
    <d v="2013-02-11T00:00:00"/>
  </r>
  <r>
    <x v="7566"/>
    <d v="1899-12-30T00:01:35"/>
    <x v="1737"/>
    <x v="1"/>
    <s v="brockport"/>
    <x v="519"/>
    <n v="822662"/>
    <x v="0"/>
    <s v="History"/>
    <s v="9781444355130"/>
    <s v=",1,2,3,97,98,99,95,96,105,110,116,121,127,132,138,143,149,154,155,156,152,195,226,224,225,223,222,227,220,221,219,218,217,216,215,213,214,211,212,210,209,207,208,197,196,194,193,191,192,189,190,187,188,186"/>
    <n v="54"/>
    <m/>
    <m/>
    <s v="No"/>
    <x v="1"/>
    <m/>
    <m/>
    <s v="137.21.7.121"/>
    <s v="DT20 -- .R45 2012eb"/>
    <n v="960.3"/>
    <d v="2011-11-11T00:00:00"/>
  </r>
  <r>
    <x v="7567"/>
    <d v="1899-12-30T00:29:36"/>
    <x v="798"/>
    <x v="0"/>
    <s v="Buffalo"/>
    <x v="161"/>
    <n v="821663"/>
    <x v="0"/>
    <s v="Architecture"/>
    <s v="9781118168479"/>
    <s v=",1,2,3,128,129,130,126,127,131,132,133,134,135,136,137,138,139,140,141"/>
    <n v="19"/>
    <m/>
    <m/>
    <s v="No"/>
    <x v="0"/>
    <d v="2015-09-14T16:04:18"/>
    <n v="7"/>
    <s v="128.205.114.91"/>
    <s v="NA2547 -- .S74 2012eb"/>
    <n v="729"/>
    <d v="2012-03-05T00:00:00"/>
  </r>
  <r>
    <x v="7568"/>
    <d v="1899-12-30T00:00:04"/>
    <x v="1738"/>
    <x v="9"/>
    <s v="trocaire"/>
    <x v="440"/>
    <n v="707971"/>
    <x v="0"/>
    <s v="Medicine"/>
    <s v="9781118293973"/>
    <s v=",1,2,3"/>
    <n v="3"/>
    <m/>
    <m/>
    <s v="No"/>
    <x v="1"/>
    <m/>
    <m/>
    <s v="173.225.62.67"/>
    <s v="RB145"/>
    <s v="616.1/5; 616.15"/>
    <d v="2011-11-21T00:00:00"/>
  </r>
  <r>
    <x v="7569"/>
    <d v="1899-12-30T00:00:02"/>
    <x v="26"/>
    <x v="6"/>
    <s v="sjfc"/>
    <x v="510"/>
    <n v="1109590"/>
    <x v="14"/>
    <s v="Fine Arts"/>
    <s v="9781476600093"/>
    <s v=",10,11,12,8,9"/>
    <n v="5"/>
    <m/>
    <m/>
    <s v="No"/>
    <x v="0"/>
    <d v="2015-09-21T14:49:11"/>
    <n v="7"/>
    <s v="149.69.254.57"/>
    <s v="PN1999.W27 -- D58 2013eb"/>
    <s v="791.43/6552; 791.436552"/>
    <d v="2013-01-20T00:00:00"/>
  </r>
  <r>
    <x v="7570"/>
    <d v="1899-12-30T00:16:57"/>
    <x v="1627"/>
    <x v="0"/>
    <s v="Buffalo"/>
    <x v="1646"/>
    <n v="2077488"/>
    <x v="11"/>
    <s v="Philosophy"/>
    <s v="9780226259796"/>
    <s v=",202,203,207,276,277,278,274,275,279,280,124,125,126,122,123,98,99,100,97,96,101,102,103,104,105,106,107,108,109,110,111,112,113,114,115,116,117,118,119,120,121,122,226,227,228,224,225,229,230,231,232,186,187,188,184,185,189,190"/>
    <n v="57"/>
    <m/>
    <m/>
    <s v="No"/>
    <x v="2"/>
    <d v="2015-09-21T14:44:37"/>
    <n v="1"/>
    <s v="128.205.114.91"/>
    <s v="B2741"/>
    <n v="193"/>
    <d v="2015-07-21T00:00:00"/>
  </r>
  <r>
    <x v="7571"/>
    <d v="1899-12-30T00:00:00"/>
    <x v="40"/>
    <x v="0"/>
    <s v="Buffalo"/>
    <x v="161"/>
    <n v="821663"/>
    <x v="0"/>
    <s v="Architecture"/>
    <s v="9781118168479"/>
    <m/>
    <n v="0"/>
    <m/>
    <s v=",110"/>
    <s v="No"/>
    <x v="0"/>
    <d v="2015-09-21T14:42:45"/>
    <n v="7"/>
    <s v="128.205.114.91"/>
    <s v="NA2547 -- .S74 2012eb"/>
    <n v="729"/>
    <d v="2012-03-05T00:00:00"/>
  </r>
  <r>
    <x v="7572"/>
    <d v="1899-12-30T00:41:51"/>
    <x v="13"/>
    <x v="0"/>
    <s v="Buffalo"/>
    <x v="552"/>
    <n v="1294909"/>
    <x v="3"/>
    <s v="Economics; Business/Management"/>
    <s v="9780520956797"/>
    <s v=",1,2,3,94,95,96,92,93,97,98,99,102,104,105,106,107,2,108,109,110,111,112,113,114,115,116,117,118,119,120,121,122,123,124,125,126,127,128,129,130,98,93,92,94,95,96,97,91,92,89,90,88,94,95,96,97,98,99,100,101,102,103,104,105,106,107,108,109,110,111,112,113,114,115,116,117,118,119,121,124,128,129,131,130,127,132,133,134,135,139,149,159,157,156,153,152,148,146,144,143,145,141,142,126,125"/>
    <n v="65"/>
    <m/>
    <m/>
    <s v="No"/>
    <x v="0"/>
    <d v="2015-09-18T17:25:18"/>
    <n v="7"/>
    <s v="128.205.114.91"/>
    <s v="HC110.P6 -- I25 2013eb"/>
    <s v="339.4/60973"/>
    <d v="2013-08-01T00:00:00"/>
  </r>
  <r>
    <x v="7573"/>
    <d v="1899-12-30T00:00:00"/>
    <x v="847"/>
    <x v="0"/>
    <s v="Buffalo"/>
    <x v="559"/>
    <n v="1217954"/>
    <x v="1"/>
    <s v="Engineering; Engineering: General"/>
    <s v="9781409457558"/>
    <m/>
    <n v="0"/>
    <m/>
    <m/>
    <s v="Yes"/>
    <x v="0"/>
    <d v="2015-09-21T14:39:57"/>
    <n v="7"/>
    <s v="128.205.114.91"/>
    <s v="T59.7 -- .S73 2013eb"/>
    <s v="620.8/2"/>
    <d v="2013-10-28T00:00:00"/>
  </r>
  <r>
    <x v="7573"/>
    <d v="1899-12-30T00:00:00"/>
    <x v="847"/>
    <x v="0"/>
    <s v="Buffalo"/>
    <x v="559"/>
    <n v="1217954"/>
    <x v="1"/>
    <s v="Engineering; Engineering: General"/>
    <s v="9781409457558"/>
    <m/>
    <n v="0"/>
    <m/>
    <m/>
    <s v="No"/>
    <x v="0"/>
    <d v="2015-09-21T14:39:57"/>
    <n v="7"/>
    <s v="128.205.114.91"/>
    <s v="T59.7 -- .S73 2013eb"/>
    <s v="620.8/2"/>
    <d v="2013-10-28T00:00:00"/>
  </r>
  <r>
    <x v="7574"/>
    <d v="1899-12-30T00:05:01"/>
    <x v="1627"/>
    <x v="0"/>
    <s v="Buffalo"/>
    <x v="1646"/>
    <n v="2077488"/>
    <x v="11"/>
    <s v="Philosophy"/>
    <s v="9780226259796"/>
    <s v=",1,2,3,166,167,168,164,165,169,170,276,277,278,274,275,279,280,186,187,188,184,185,146,147,148,144,145,143,142,141,226,227,228,224,225,204,205,206"/>
    <n v="38"/>
    <m/>
    <m/>
    <s v="No"/>
    <x v="3"/>
    <m/>
    <m/>
    <s v="128.205.114.91"/>
    <s v="B2741"/>
    <n v="193"/>
    <d v="2015-07-21T00:00:00"/>
  </r>
  <r>
    <x v="7575"/>
    <d v="1899-12-30T00:11:27"/>
    <x v="26"/>
    <x v="6"/>
    <s v="sjfc"/>
    <x v="510"/>
    <n v="1109590"/>
    <x v="14"/>
    <s v="Fine Arts"/>
    <s v="9781476600093"/>
    <s v=",1,2,3,10,11,12,8,9,18,19,20,16,17"/>
    <n v="13"/>
    <m/>
    <m/>
    <s v="No"/>
    <x v="1"/>
    <m/>
    <m/>
    <s v="149.69.254.57"/>
    <s v="PN1999.W27 -- D58 2013eb"/>
    <s v="791.43/6552; 791.436552"/>
    <d v="2013-01-20T00:00:00"/>
  </r>
  <r>
    <x v="7576"/>
    <d v="1899-12-30T00:02:22"/>
    <x v="847"/>
    <x v="0"/>
    <s v="Buffalo"/>
    <x v="559"/>
    <n v="1217954"/>
    <x v="1"/>
    <s v="Engineering; Engineering: General"/>
    <s v="9781409457558"/>
    <s v=",1,2,3,323,324,325,321,322,326,327,328,329,330,319,320,318"/>
    <n v="16"/>
    <m/>
    <m/>
    <s v="No"/>
    <x v="1"/>
    <m/>
    <m/>
    <s v="128.205.114.91"/>
    <s v="T59.7 -- .S73 2013eb"/>
    <s v="620.8/2"/>
    <d v="2013-10-28T00:00:00"/>
  </r>
  <r>
    <x v="7577"/>
    <d v="1899-12-30T00:06:17"/>
    <x v="40"/>
    <x v="0"/>
    <s v="Buffalo"/>
    <x v="161"/>
    <n v="821663"/>
    <x v="0"/>
    <s v="Architecture"/>
    <s v="9781118168479"/>
    <s v=",1,2,3,106,107,108,105,104,109,110,111,112,113"/>
    <n v="13"/>
    <m/>
    <m/>
    <s v="No"/>
    <x v="1"/>
    <m/>
    <m/>
    <s v="128.205.114.91"/>
    <s v="NA2547 -- .S74 2012eb"/>
    <n v="729"/>
    <d v="2012-03-05T00:00:00"/>
  </r>
  <r>
    <x v="7578"/>
    <d v="1899-12-30T00:00:00"/>
    <x v="13"/>
    <x v="0"/>
    <s v="Buffalo"/>
    <x v="627"/>
    <n v="1675480"/>
    <x v="0"/>
    <s v="Science: Chemistry; Science"/>
    <s v="9781118828137"/>
    <m/>
    <n v="0"/>
    <m/>
    <m/>
    <s v="Yes"/>
    <x v="0"/>
    <d v="2015-09-21T14:17:06"/>
    <n v="7"/>
    <s v="128.205.114.91"/>
    <s v="QD251 -- .W568 2014eb"/>
    <n v="547"/>
    <d v="2014-03-27T00:00:00"/>
  </r>
  <r>
    <x v="7578"/>
    <d v="1899-12-30T00:00:00"/>
    <x v="13"/>
    <x v="0"/>
    <s v="Buffalo"/>
    <x v="627"/>
    <n v="1675480"/>
    <x v="0"/>
    <s v="Science: Chemistry; Science"/>
    <s v="9781118828137"/>
    <m/>
    <n v="0"/>
    <m/>
    <m/>
    <s v="No"/>
    <x v="0"/>
    <d v="2015-09-21T14:17:06"/>
    <n v="7"/>
    <s v="128.205.114.91"/>
    <s v="QD251 -- .W568 2014eb"/>
    <n v="547"/>
    <d v="2014-03-27T00:00:00"/>
  </r>
  <r>
    <x v="7579"/>
    <d v="1899-12-30T00:00:24"/>
    <x v="13"/>
    <x v="0"/>
    <s v="Buffalo"/>
    <x v="627"/>
    <n v="1675480"/>
    <x v="0"/>
    <s v="Science: Chemistry; Science"/>
    <s v="9781118828137"/>
    <s v=",1,2,3"/>
    <n v="3"/>
    <m/>
    <m/>
    <s v="No"/>
    <x v="1"/>
    <m/>
    <m/>
    <s v="128.205.114.91"/>
    <s v="QD251 -- .W568 2014eb"/>
    <n v="547"/>
    <d v="2014-03-27T00:00:00"/>
  </r>
  <r>
    <x v="7580"/>
    <d v="1899-12-30T00:00:21"/>
    <x v="13"/>
    <x v="0"/>
    <s v="Buffalo"/>
    <x v="404"/>
    <n v="1732123"/>
    <x v="0"/>
    <s v="Economics; Business/Management"/>
    <s v="9781118884942"/>
    <s v=",1,2,3,25,26,27,23,36,35,28,29,30"/>
    <n v="12"/>
    <m/>
    <m/>
    <s v="No"/>
    <x v="1"/>
    <m/>
    <m/>
    <s v="128.205.114.91"/>
    <s v="HG179 -- .T976 2014eb"/>
    <n v="332.024"/>
    <d v="2014-07-07T00:00:00"/>
  </r>
  <r>
    <x v="7581"/>
    <d v="1899-12-30T00:30:03"/>
    <x v="1645"/>
    <x v="0"/>
    <s v="Buffalo"/>
    <x v="509"/>
    <n v="1115640"/>
    <x v="0"/>
    <s v="Engineering: Civil; Engineering: Construction; Engineering"/>
    <s v="9781118419090"/>
    <s v=",14,15,16,17,19,18,20,20,20,21,22"/>
    <n v="9"/>
    <m/>
    <m/>
    <s v="No"/>
    <x v="0"/>
    <d v="2015-09-21T13:10:44"/>
    <n v="7"/>
    <s v="128.205.114.91"/>
    <s v="TH375 -- .S77 2013eb"/>
    <n v="624"/>
    <d v="2013-01-22T00:00:00"/>
  </r>
  <r>
    <x v="7582"/>
    <d v="1899-12-30T00:03:59"/>
    <x v="1515"/>
    <x v="15"/>
    <s v="morrisville"/>
    <x v="1613"/>
    <n v="1774217"/>
    <x v="1"/>
    <s v="Political Science; History"/>
    <s v="9781472422859"/>
    <s v=",1,2,3,14,15,16,12,13,17"/>
    <n v="9"/>
    <m/>
    <m/>
    <s v="No"/>
    <x v="3"/>
    <m/>
    <m/>
    <s v="136.204.32.68"/>
    <s v="DS481.G3 -- .V37 2014eb"/>
    <n v="320.01"/>
    <d v="2014-10-28T00:00:00"/>
  </r>
  <r>
    <x v="7583"/>
    <d v="1899-12-30T00:02:42"/>
    <x v="1645"/>
    <x v="0"/>
    <s v="Buffalo"/>
    <x v="509"/>
    <n v="1115640"/>
    <x v="0"/>
    <s v="Engineering: Civil; Engineering: Construction; Engineering"/>
    <s v="9781118419090"/>
    <s v=",1,2,3,4,5,6,7,8,9,2,11,10,12,13,14"/>
    <n v="14"/>
    <m/>
    <m/>
    <s v="No"/>
    <x v="1"/>
    <m/>
    <m/>
    <s v="128.205.114.91"/>
    <s v="TH375 -- .S77 2013eb"/>
    <n v="624"/>
    <d v="2013-01-22T00:00:00"/>
  </r>
  <r>
    <x v="7584"/>
    <d v="1899-12-30T00:19:43"/>
    <x v="13"/>
    <x v="0"/>
    <s v="Buffalo"/>
    <x v="509"/>
    <n v="1115640"/>
    <x v="0"/>
    <s v="Engineering: Civil; Engineering: Construction; Engineering"/>
    <s v="9781118419090"/>
    <s v=",1,2,3,18,19,20,16,17,21,22,23,23,24,25,26,27,28,29"/>
    <n v="17"/>
    <m/>
    <m/>
    <s v="No"/>
    <x v="0"/>
    <d v="2015-09-18T13:33:26"/>
    <n v="7"/>
    <s v="128.205.114.91"/>
    <s v="TH375 -- .S77 2013eb"/>
    <n v="624"/>
    <d v="2013-01-22T00:00:00"/>
  </r>
  <r>
    <x v="7585"/>
    <d v="1899-12-30T00:00:14"/>
    <x v="321"/>
    <x v="0"/>
    <s v="Buffalo"/>
    <x v="1647"/>
    <n v="1829617"/>
    <x v="11"/>
    <s v="Social Science"/>
    <s v="9780226186757"/>
    <s v=",25,26,27"/>
    <n v="3"/>
    <m/>
    <m/>
    <s v="No"/>
    <x v="2"/>
    <d v="2015-09-21T11:22:02"/>
    <n v="1"/>
    <s v="128.205.114.91"/>
    <s v="HQ60"/>
    <n v="306.7"/>
    <d v="2014-12-19T00:00:00"/>
  </r>
  <r>
    <x v="7586"/>
    <d v="1899-12-30T00:05:08"/>
    <x v="321"/>
    <x v="0"/>
    <s v="Buffalo"/>
    <x v="1647"/>
    <n v="1829617"/>
    <x v="11"/>
    <s v="Social Science"/>
    <s v="9780226186757"/>
    <s v=",1,2,3,4,5,6,7,8,9,10,11,12,13,14,15,16,17,18,19,20,21,22,23,24"/>
    <n v="24"/>
    <m/>
    <m/>
    <s v="No"/>
    <x v="3"/>
    <m/>
    <m/>
    <s v="128.205.114.91"/>
    <s v="HQ60"/>
    <n v="306.7"/>
    <d v="2014-12-19T00:00:00"/>
  </r>
  <r>
    <x v="7587"/>
    <d v="1899-12-30T00:00:14"/>
    <x v="1151"/>
    <x v="1"/>
    <s v="brockport"/>
    <x v="519"/>
    <n v="822662"/>
    <x v="0"/>
    <s v="History"/>
    <s v="9781444355130"/>
    <s v=",170,171,195,196,197,193,194,191,192,190,189,187,188,186"/>
    <n v="14"/>
    <m/>
    <m/>
    <s v="No"/>
    <x v="0"/>
    <d v="2015-09-21T09:05:42"/>
    <n v="7"/>
    <s v="137.21.7.121"/>
    <s v="DT20 -- .R45 2012eb"/>
    <n v="960.3"/>
    <d v="2011-11-11T00:00:00"/>
  </r>
  <r>
    <x v="7588"/>
    <d v="1899-12-30T00:45:35"/>
    <x v="1151"/>
    <x v="1"/>
    <s v="brockport"/>
    <x v="519"/>
    <n v="822662"/>
    <x v="0"/>
    <s v="History"/>
    <s v="9781444355130"/>
    <s v=",1,2,3"/>
    <n v="3"/>
    <m/>
    <m/>
    <s v="No"/>
    <x v="1"/>
    <m/>
    <m/>
    <s v="137.21.7.121"/>
    <s v="DT20 -- .R45 2012eb"/>
    <n v="960.3"/>
    <d v="2011-11-11T00:00:00"/>
  </r>
  <r>
    <x v="7589"/>
    <d v="1899-12-30T00:07:34"/>
    <x v="1645"/>
    <x v="0"/>
    <s v="Buffalo"/>
    <x v="509"/>
    <n v="1115640"/>
    <x v="0"/>
    <s v="Engineering: Civil; Engineering: Construction; Engineering"/>
    <s v="9781118419090"/>
    <s v=",1,2,3,4,5,6,7,8,9,10,11,12,13,14,15,16,17,18,19,20,21,22"/>
    <n v="22"/>
    <m/>
    <m/>
    <s v="No"/>
    <x v="1"/>
    <m/>
    <m/>
    <s v="128.205.114.91"/>
    <s v="TH375 -- .S77 2013eb"/>
    <n v="624"/>
    <d v="2013-01-22T00:00:00"/>
  </r>
  <r>
    <x v="7590"/>
    <d v="1899-12-30T00:00:42"/>
    <x v="1522"/>
    <x v="0"/>
    <s v="Buffalo"/>
    <x v="552"/>
    <n v="1294909"/>
    <x v="3"/>
    <s v="Economics; Business/Management"/>
    <s v="9780520956797"/>
    <s v=",1,2,3,145,146,147,143,144,129,130,131,127,128"/>
    <n v="13"/>
    <m/>
    <m/>
    <s v="No"/>
    <x v="0"/>
    <d v="2015-09-21T04:26:39"/>
    <n v="7"/>
    <s v="128.205.114.91"/>
    <s v="HC110.P6 -- I25 2013eb"/>
    <s v="339.4/60973"/>
    <d v="2013-08-01T00:00:00"/>
  </r>
  <r>
    <x v="7591"/>
    <d v="1899-12-30T00:00:47"/>
    <x v="1739"/>
    <x v="0"/>
    <s v="Buffalo"/>
    <x v="509"/>
    <n v="1115640"/>
    <x v="0"/>
    <s v="Engineering: Civil; Engineering: Construction; Engineering"/>
    <s v="9781118419090"/>
    <s v=",17,18,19,15,20,21,22,23,24,42,105,192,230,231,197,116,110,90,79,67,68,69,70,71,72,73,75,74,76,77,78,80,81,82,83"/>
    <n v="35"/>
    <m/>
    <s v=",17,18,19,20,21,22,23,24,25,26,27,28,29,30,31,32,33,34,35,36,37,38,39,40,41,42,43,44,45,46,47,48,49,50,51,52,53,54,55,56,57,58,59,60,61,62,63,64,65,66,67,68,69,70,71,72,73,74,75,76,77,78"/>
    <s v="No"/>
    <x v="0"/>
    <d v="2015-09-21T06:12:05"/>
    <n v="7"/>
    <s v="128.205.114.91"/>
    <s v="TH375 -- .S77 2013eb"/>
    <n v="624"/>
    <d v="2013-01-22T00:00:00"/>
  </r>
  <r>
    <x v="7592"/>
    <d v="1899-12-30T00:00:12"/>
    <x v="1739"/>
    <x v="0"/>
    <s v="Buffalo"/>
    <x v="509"/>
    <n v="1115640"/>
    <x v="0"/>
    <s v="Engineering: Civil; Engineering: Construction; Engineering"/>
    <s v="9781118419090"/>
    <s v=",1,2,3"/>
    <n v="3"/>
    <m/>
    <m/>
    <s v="No"/>
    <x v="1"/>
    <m/>
    <m/>
    <s v="128.205.114.91"/>
    <s v="TH375 -- .S77 2013eb"/>
    <n v="624"/>
    <d v="2013-01-22T00:00:00"/>
  </r>
  <r>
    <x v="7593"/>
    <d v="1899-12-30T02:34:03"/>
    <x v="512"/>
    <x v="0"/>
    <s v="Buffalo"/>
    <x v="552"/>
    <n v="1294909"/>
    <x v="3"/>
    <s v="Economics; Business/Management"/>
    <s v="9780520956797"/>
    <s v=",60,61,62,63,64,65,66,67,68,69,70,71,72,73,74,75,76,77,94,95,96,92,93,97,98,99,100,101,102,103,104,105,106,107,108,109,110,111,112,113,114,115,116,117,118,119,120,121,122,123,124,125,126,127,128,129,130,131"/>
    <n v="58"/>
    <m/>
    <m/>
    <s v="No"/>
    <x v="0"/>
    <d v="2015-09-21T04:48:30"/>
    <n v="7"/>
    <s v="128.205.114.91"/>
    <s v="HC110.P6 -- I25 2013eb"/>
    <s v="339.4/60973"/>
    <d v="2013-08-01T00:00:00"/>
  </r>
  <r>
    <x v="7594"/>
    <d v="1899-12-30T00:00:00"/>
    <x v="1522"/>
    <x v="0"/>
    <s v="Buffalo"/>
    <x v="552"/>
    <n v="1294909"/>
    <x v="3"/>
    <s v="Economics; Business/Management"/>
    <s v="9780520956797"/>
    <m/>
    <n v="0"/>
    <m/>
    <m/>
    <s v="Yes"/>
    <x v="0"/>
    <d v="2015-09-21T04:26:39"/>
    <n v="7"/>
    <s v="128.205.114.91"/>
    <s v="HC110.P6 -- I25 2013eb"/>
    <s v="339.4/60973"/>
    <d v="2013-08-01T00:00:00"/>
  </r>
  <r>
    <x v="7595"/>
    <d v="1899-12-30T00:00:00"/>
    <x v="1522"/>
    <x v="0"/>
    <s v="Buffalo"/>
    <x v="552"/>
    <n v="1294909"/>
    <x v="3"/>
    <s v="Economics; Business/Management"/>
    <s v="9780520956797"/>
    <m/>
    <n v="0"/>
    <m/>
    <m/>
    <s v="Yes"/>
    <x v="0"/>
    <d v="2015-09-21T04:26:39"/>
    <n v="7"/>
    <s v="128.205.114.91"/>
    <s v="HC110.P6 -- I25 2013eb"/>
    <s v="339.4/60973"/>
    <d v="2013-08-01T00:00:00"/>
  </r>
  <r>
    <x v="7596"/>
    <d v="1899-12-30T00:00:00"/>
    <x v="1522"/>
    <x v="0"/>
    <s v="Buffalo"/>
    <x v="552"/>
    <n v="1294909"/>
    <x v="3"/>
    <s v="Economics; Business/Management"/>
    <s v="9780520956797"/>
    <m/>
    <n v="0"/>
    <s v=",94"/>
    <m/>
    <s v="No"/>
    <x v="0"/>
    <d v="2015-09-21T04:26:39"/>
    <n v="7"/>
    <s v="128.205.114.91"/>
    <s v="HC110.P6 -- I25 2013eb"/>
    <s v="339.4/60973"/>
    <d v="2013-08-01T00:00:00"/>
  </r>
  <r>
    <x v="7597"/>
    <d v="1899-12-30T00:00:46"/>
    <x v="1522"/>
    <x v="0"/>
    <s v="Buffalo"/>
    <x v="552"/>
    <n v="1294909"/>
    <x v="3"/>
    <s v="Economics; Business/Management"/>
    <s v="9780520956797"/>
    <s v=",1,3,2,94,96,95,92,93"/>
    <n v="8"/>
    <m/>
    <m/>
    <s v="No"/>
    <x v="1"/>
    <m/>
    <m/>
    <s v="128.205.114.91"/>
    <s v="HC110.P6 -- I25 2013eb"/>
    <s v="339.4/60973"/>
    <d v="2013-08-01T00:00:00"/>
  </r>
  <r>
    <x v="7598"/>
    <d v="1899-12-30T01:48:40"/>
    <x v="13"/>
    <x v="0"/>
    <s v="Buffalo"/>
    <x v="552"/>
    <n v="1294909"/>
    <x v="3"/>
    <s v="Economics; Business/Management"/>
    <s v="9780520956797"/>
    <s v=",1,2,3,94,95,96,92,93,91,97,98,99,1,99,100,101,98,97,2,102,103,104,105,106,107,108,109,110,111,112,113,114,115,116,117,118,119,120,121,122,123,124,125,126,127,128,129,130,131,132"/>
    <n v="45"/>
    <m/>
    <m/>
    <s v="No"/>
    <x v="0"/>
    <d v="2015-09-18T17:25:18"/>
    <n v="7"/>
    <s v="128.205.114.91"/>
    <s v="HC110.P6 -- I25 2013eb"/>
    <s v="339.4/60973"/>
    <d v="2013-08-01T00:00:00"/>
  </r>
  <r>
    <x v="7599"/>
    <d v="1899-12-30T00:25:26"/>
    <x v="512"/>
    <x v="0"/>
    <s v="Buffalo"/>
    <x v="552"/>
    <n v="1294909"/>
    <x v="3"/>
    <s v="Economics; Business/Management"/>
    <s v="9780520956797"/>
    <s v=",1,3,2,54,55,56,52,53,58,57,59,76,77,78,74,75"/>
    <n v="16"/>
    <m/>
    <m/>
    <s v="No"/>
    <x v="1"/>
    <m/>
    <m/>
    <s v="128.205.114.91"/>
    <s v="HC110.P6 -- I25 2013eb"/>
    <s v="339.4/60973"/>
    <d v="2013-08-01T00:00:00"/>
  </r>
  <r>
    <x v="7600"/>
    <d v="1899-12-30T00:05:22"/>
    <x v="354"/>
    <x v="0"/>
    <s v="Buffalo"/>
    <x v="509"/>
    <n v="1115640"/>
    <x v="0"/>
    <s v="Engineering: Civil; Engineering: Construction; Engineering"/>
    <s v="9781118419090"/>
    <s v=",1,2,3,4,5,7,6,8,9,10,11,12,14,13,15,16,17,18,19,20,21"/>
    <n v="21"/>
    <m/>
    <m/>
    <s v="No"/>
    <x v="1"/>
    <m/>
    <m/>
    <s v="128.205.114.91"/>
    <s v="TH375 -- .S77 2013eb"/>
    <n v="624"/>
    <d v="2013-01-22T00:00:00"/>
  </r>
  <r>
    <x v="7601"/>
    <d v="1899-12-30T00:00:35"/>
    <x v="1740"/>
    <x v="0"/>
    <s v="Buffalo"/>
    <x v="3"/>
    <n v="822040"/>
    <x v="0"/>
    <s v="Literature; Psychology"/>
    <s v="9781118289099"/>
    <s v=",1,2,3,7,9,6,5,8,10,11,12,14,13,15,16"/>
    <n v="15"/>
    <m/>
    <m/>
    <s v="No"/>
    <x v="1"/>
    <m/>
    <m/>
    <s v="128.205.114.91"/>
    <s v="BF76.7 -- .B447 2012eb"/>
    <s v="808.06/615"/>
    <d v="2012-03-22T00:00:00"/>
  </r>
  <r>
    <x v="7602"/>
    <d v="1899-12-30T00:00:38"/>
    <x v="1741"/>
    <x v="12"/>
    <s v="potsdam"/>
    <x v="1648"/>
    <n v="1774195"/>
    <x v="1"/>
    <s v="Fine Arts"/>
    <s v="9781472421807"/>
    <s v=",1,2,3,182,183,184,180,212,214,210,211"/>
    <n v="11"/>
    <m/>
    <m/>
    <s v="No"/>
    <x v="3"/>
    <m/>
    <m/>
    <s v="137.143.104.94"/>
    <s v="ML3470 -- .P6824 2014eb"/>
    <n v="781.64089999999999"/>
    <d v="2014-10-28T00:00:00"/>
  </r>
  <r>
    <x v="7603"/>
    <d v="1899-12-30T00:05:12"/>
    <x v="13"/>
    <x v="0"/>
    <s v="Buffalo"/>
    <x v="559"/>
    <n v="1217954"/>
    <x v="1"/>
    <s v="Engineering; Engineering: General"/>
    <s v="9781409457558"/>
    <s v=",1,2,3,471,472,469,473,470,471,472,473,474,475,476,477"/>
    <n v="12"/>
    <m/>
    <m/>
    <s v="No"/>
    <x v="0"/>
    <d v="2015-09-14T14:56:41"/>
    <n v="7"/>
    <s v="128.205.114.91"/>
    <s v="T59.7 -- .S73 2013eb"/>
    <s v="620.8/2"/>
    <d v="2013-10-28T00:00:00"/>
  </r>
  <r>
    <x v="7604"/>
    <d v="1899-12-30T00:02:46"/>
    <x v="13"/>
    <x v="0"/>
    <s v="Buffalo"/>
    <x v="73"/>
    <n v="1119505"/>
    <x v="0"/>
    <s v="Science: Chemistry; Science"/>
    <s v="9781118355015"/>
    <s v=",1,2,3,1,53,53,54,55,56,57,58,59,60,61,62,63,64"/>
    <n v="15"/>
    <m/>
    <m/>
    <s v="No"/>
    <x v="1"/>
    <m/>
    <m/>
    <s v="128.205.114.91"/>
    <s v="QD251.3 -- .S38 2013eb"/>
    <s v="547/.128"/>
    <d v="2013-01-28T00:00:00"/>
  </r>
  <r>
    <x v="7605"/>
    <d v="1899-12-30T00:00:44"/>
    <x v="13"/>
    <x v="0"/>
    <s v="Buffalo"/>
    <x v="73"/>
    <n v="1119505"/>
    <x v="0"/>
    <s v="Science: Chemistry; Science"/>
    <s v="9781118355015"/>
    <s v=",1,2,3,1,52,53"/>
    <n v="5"/>
    <m/>
    <m/>
    <s v="No"/>
    <x v="1"/>
    <m/>
    <m/>
    <s v="128.205.114.91"/>
    <s v="QD251.3 -- .S38 2013eb"/>
    <s v="547/.128"/>
    <d v="2013-01-28T00:00:00"/>
  </r>
  <r>
    <x v="7606"/>
    <d v="1899-12-30T00:01:18"/>
    <x v="1742"/>
    <x v="0"/>
    <s v="Buffalo"/>
    <x v="628"/>
    <n v="1610008"/>
    <x v="1"/>
    <s v="Social Science; Law"/>
    <s v="9781409457206"/>
    <s v=",1,2,3,4,5,7,6"/>
    <n v="7"/>
    <m/>
    <m/>
    <s v="No"/>
    <x v="0"/>
    <d v="2015-09-21T03:16:02"/>
    <n v="7"/>
    <s v="128.205.114.91"/>
    <s v="K5104 -- .C375 2014eb"/>
    <n v="364.66"/>
    <d v="2014-03-28T00:00:00"/>
  </r>
  <r>
    <x v="7607"/>
    <d v="1899-12-30T00:00:07"/>
    <x v="13"/>
    <x v="0"/>
    <s v="Buffalo"/>
    <x v="509"/>
    <n v="1115640"/>
    <x v="0"/>
    <s v="Engineering: Civil; Engineering: Construction; Engineering"/>
    <s v="9781118419090"/>
    <s v=",1,2,3"/>
    <n v="3"/>
    <m/>
    <m/>
    <s v="No"/>
    <x v="0"/>
    <d v="2015-09-18T13:33:26"/>
    <n v="7"/>
    <s v="128.205.114.91"/>
    <s v="TH375 -- .S77 2013eb"/>
    <n v="624"/>
    <d v="2013-01-22T00:00:00"/>
  </r>
  <r>
    <x v="7608"/>
    <d v="1899-12-30T00:00:00"/>
    <x v="1648"/>
    <x v="0"/>
    <s v="Buffalo"/>
    <x v="509"/>
    <n v="1115640"/>
    <x v="0"/>
    <s v="Engineering: Civil; Engineering: Construction; Engineering"/>
    <s v="9781118419090"/>
    <s v=",21"/>
    <n v="1"/>
    <m/>
    <m/>
    <s v="No"/>
    <x v="0"/>
    <d v="2015-09-21T03:19:50"/>
    <n v="7"/>
    <s v="128.205.114.91"/>
    <s v="TH375 -- .S77 2013eb"/>
    <n v="624"/>
    <d v="2013-01-22T00:00:00"/>
  </r>
  <r>
    <x v="7609"/>
    <d v="1899-12-30T00:00:00"/>
    <x v="1742"/>
    <x v="0"/>
    <s v="Buffalo"/>
    <x v="628"/>
    <n v="1610008"/>
    <x v="1"/>
    <s v="Social Science; Law"/>
    <s v="9781409457206"/>
    <m/>
    <n v="0"/>
    <m/>
    <m/>
    <s v="Yes"/>
    <x v="0"/>
    <d v="2015-09-21T03:16:02"/>
    <n v="7"/>
    <s v="128.205.114.91"/>
    <s v="K5104 -- .C375 2014eb"/>
    <n v="364.66"/>
    <d v="2014-03-28T00:00:00"/>
  </r>
  <r>
    <x v="7610"/>
    <d v="1899-12-30T00:00:00"/>
    <x v="1742"/>
    <x v="0"/>
    <s v="Buffalo"/>
    <x v="628"/>
    <n v="1610008"/>
    <x v="1"/>
    <s v="Social Science; Law"/>
    <s v="9781409457206"/>
    <m/>
    <n v="0"/>
    <m/>
    <m/>
    <s v="Yes"/>
    <x v="0"/>
    <d v="2015-09-21T03:16:02"/>
    <n v="7"/>
    <s v="128.205.114.91"/>
    <s v="K5104 -- .C375 2014eb"/>
    <n v="364.66"/>
    <d v="2014-03-28T00:00:00"/>
  </r>
  <r>
    <x v="7611"/>
    <d v="1899-12-30T00:01:05"/>
    <x v="1742"/>
    <x v="0"/>
    <s v="Buffalo"/>
    <x v="628"/>
    <n v="1610008"/>
    <x v="1"/>
    <s v="Social Science; Law"/>
    <s v="9781409457206"/>
    <s v=",278,1,324,323,322,318,85,86,89"/>
    <n v="9"/>
    <m/>
    <m/>
    <s v="Yes"/>
    <x v="0"/>
    <d v="2015-09-21T03:16:02"/>
    <n v="7"/>
    <s v="128.205.114.91"/>
    <s v="K5104 -- .C375 2014eb"/>
    <n v="364.66"/>
    <d v="2014-03-28T00:00:00"/>
  </r>
  <r>
    <x v="7611"/>
    <d v="1899-12-30T00:00:00"/>
    <x v="1742"/>
    <x v="0"/>
    <s v="Buffalo"/>
    <x v="628"/>
    <n v="1610008"/>
    <x v="1"/>
    <s v="Social Science; Law"/>
    <s v="9781409457206"/>
    <m/>
    <n v="0"/>
    <m/>
    <m/>
    <s v="No"/>
    <x v="0"/>
    <d v="2015-09-21T03:16:02"/>
    <n v="7"/>
    <s v="128.205.114.91"/>
    <s v="K5104 -- .C375 2014eb"/>
    <n v="364.66"/>
    <d v="2014-03-28T00:00:00"/>
  </r>
  <r>
    <x v="7612"/>
    <d v="1899-12-30T00:02:02"/>
    <x v="1742"/>
    <x v="0"/>
    <s v="Buffalo"/>
    <x v="628"/>
    <n v="1610008"/>
    <x v="1"/>
    <s v="Social Science; Law"/>
    <s v="9781409457206"/>
    <s v=",1,3,2,44,46,42,44,43,45,278"/>
    <n v="9"/>
    <m/>
    <m/>
    <s v="No"/>
    <x v="1"/>
    <m/>
    <m/>
    <s v="128.205.114.91"/>
    <s v="K5104 -- .C375 2014eb"/>
    <n v="364.66"/>
    <d v="2014-03-28T00:00:00"/>
  </r>
  <r>
    <x v="7613"/>
    <d v="1899-12-30T02:24:16"/>
    <x v="1734"/>
    <x v="0"/>
    <s v="Buffalo"/>
    <x v="552"/>
    <n v="1294909"/>
    <x v="3"/>
    <s v="Economics; Business/Management"/>
    <s v="9780520956797"/>
    <s v=",97,98,99,100,101,102,103,104,105,106,107,108,109,110,111,113,114,115,116,117,118,119,120,121,120,121,122,119,118,123,122,124,125,123,124,125,126,127,128,129,130,131,132,133,134,135,136,137,138,139,140,141,142,143,144"/>
    <n v="47"/>
    <m/>
    <m/>
    <s v="No"/>
    <x v="0"/>
    <d v="2015-09-21T02:36:07"/>
    <n v="7"/>
    <s v="128.205.114.91"/>
    <s v="HC110.P6 -- I25 2013eb"/>
    <s v="339.4/60973"/>
    <d v="2013-08-01T00:00:00"/>
  </r>
  <r>
    <x v="7614"/>
    <d v="1899-12-30T00:44:20"/>
    <x v="1648"/>
    <x v="0"/>
    <s v="Buffalo"/>
    <x v="509"/>
    <n v="1115640"/>
    <x v="0"/>
    <s v="Engineering: Civil; Engineering: Construction; Engineering"/>
    <s v="9781118419090"/>
    <s v=",1,3,2,4,5,6,7,8,9,10,11,12,13,14,15,16,17,18,19,20"/>
    <n v="20"/>
    <m/>
    <m/>
    <s v="No"/>
    <x v="1"/>
    <m/>
    <m/>
    <s v="128.205.114.91"/>
    <s v="TH375 -- .S77 2013eb"/>
    <n v="624"/>
    <d v="2013-01-22T00:00:00"/>
  </r>
  <r>
    <x v="7615"/>
    <d v="1899-12-30T00:03:22"/>
    <x v="1719"/>
    <x v="0"/>
    <s v="Buffalo"/>
    <x v="559"/>
    <n v="1217954"/>
    <x v="1"/>
    <s v="Engineering; Engineering: General"/>
    <s v="9781409457558"/>
    <s v=",1,2,3,306,307,308,305,304,313,315,314,312,311,310,309"/>
    <n v="15"/>
    <s v=",306,306"/>
    <m/>
    <s v="No"/>
    <x v="0"/>
    <d v="2015-09-18T04:11:27"/>
    <n v="7"/>
    <s v="128.205.114.91"/>
    <s v="T59.7 -- .S73 2013eb"/>
    <s v="620.8/2"/>
    <d v="2013-10-28T00:00:00"/>
  </r>
  <r>
    <x v="7616"/>
    <d v="1899-12-30T00:00:00"/>
    <x v="1719"/>
    <x v="0"/>
    <s v="Buffalo"/>
    <x v="559"/>
    <n v="1217954"/>
    <x v="1"/>
    <s v="Engineering; Engineering: General"/>
    <s v="9781409457558"/>
    <m/>
    <n v="0"/>
    <s v=",168"/>
    <m/>
    <s v="Yes"/>
    <x v="0"/>
    <d v="2015-09-18T04:11:27"/>
    <n v="7"/>
    <s v="128.205.114.91"/>
    <s v="T59.7 -- .S73 2013eb"/>
    <s v="620.8/2"/>
    <d v="2013-10-28T00:00:00"/>
  </r>
  <r>
    <x v="7617"/>
    <d v="1899-12-30T00:00:00"/>
    <x v="1719"/>
    <x v="0"/>
    <s v="Buffalo"/>
    <x v="559"/>
    <n v="1217954"/>
    <x v="1"/>
    <s v="Engineering; Engineering: General"/>
    <s v="9781409457558"/>
    <m/>
    <n v="0"/>
    <m/>
    <m/>
    <s v="Yes"/>
    <x v="0"/>
    <d v="2015-09-18T04:11:27"/>
    <n v="7"/>
    <s v="128.205.114.91"/>
    <s v="T59.7 -- .S73 2013eb"/>
    <s v="620.8/2"/>
    <d v="2013-10-28T00:00:00"/>
  </r>
  <r>
    <x v="7618"/>
    <d v="1899-12-30T00:00:26"/>
    <x v="1719"/>
    <x v="0"/>
    <s v="Buffalo"/>
    <x v="559"/>
    <n v="1217954"/>
    <x v="1"/>
    <s v="Engineering; Engineering: General"/>
    <s v="9781409457558"/>
    <s v=",1,168,169,170,166,167,2"/>
    <n v="7"/>
    <m/>
    <m/>
    <s v="No"/>
    <x v="0"/>
    <d v="2015-09-18T04:11:27"/>
    <n v="7"/>
    <s v="128.205.114.91"/>
    <s v="T59.7 -- .S73 2013eb"/>
    <s v="620.8/2"/>
    <d v="2013-10-28T00:00:00"/>
  </r>
  <r>
    <x v="7619"/>
    <d v="1899-12-30T00:11:45"/>
    <x v="1734"/>
    <x v="0"/>
    <s v="Buffalo"/>
    <x v="552"/>
    <n v="1294909"/>
    <x v="3"/>
    <s v="Economics; Business/Management"/>
    <s v="9780520956797"/>
    <s v=",1,3,2,94,95,92,96,93,94,95,96"/>
    <n v="8"/>
    <m/>
    <m/>
    <s v="No"/>
    <x v="1"/>
    <m/>
    <m/>
    <s v="128.205.114.91"/>
    <s v="HC110.P6 -- I25 2013eb"/>
    <s v="339.4/60973"/>
    <d v="2013-08-01T00:00:00"/>
  </r>
  <r>
    <x v="7620"/>
    <d v="1899-12-30T01:39:26"/>
    <x v="1719"/>
    <x v="0"/>
    <s v="Buffalo"/>
    <x v="559"/>
    <n v="1217954"/>
    <x v="1"/>
    <s v="Engineering; Engineering: General"/>
    <s v="9781409457558"/>
    <s v=",1,3,2,306,307,308,304,305,323,324,325,322,321,320,313,314,315,312,311,306,307,308,304,305,309"/>
    <n v="20"/>
    <m/>
    <m/>
    <s v="No"/>
    <x v="0"/>
    <d v="2015-09-18T04:11:27"/>
    <n v="7"/>
    <s v="128.205.114.91"/>
    <s v="T59.7 -- .S73 2013eb"/>
    <s v="620.8/2"/>
    <d v="2013-10-28T00:00:00"/>
  </r>
  <r>
    <x v="7621"/>
    <d v="1899-12-30T00:00:04"/>
    <x v="1515"/>
    <x v="15"/>
    <s v="morrisville"/>
    <x v="1613"/>
    <n v="1774217"/>
    <x v="1"/>
    <s v="Political Science; History"/>
    <s v="9781472422859"/>
    <s v=",1,2,3"/>
    <n v="3"/>
    <m/>
    <m/>
    <s v="No"/>
    <x v="3"/>
    <m/>
    <m/>
    <s v="136.204.32.68"/>
    <s v="DS481.G3 -- .V37 2014eb"/>
    <n v="320.01"/>
    <d v="2014-10-28T00:00:00"/>
  </r>
  <r>
    <x v="7622"/>
    <d v="1899-12-30T00:00:28"/>
    <x v="1526"/>
    <x v="15"/>
    <s v="morrisville"/>
    <x v="1382"/>
    <n v="1501633"/>
    <x v="0"/>
    <s v="Language/Linguistics"/>
    <s v="9781118610701"/>
    <s v=",39,40,37,41,38,42,43"/>
    <n v="7"/>
    <m/>
    <m/>
    <s v="No"/>
    <x v="2"/>
    <d v="2015-09-21T00:32:37"/>
    <n v="1"/>
    <s v="136.204.32.68"/>
    <s v="PA227 -- .C658 2014eb"/>
    <n v="480.09"/>
    <d v="2013-10-23T00:00:00"/>
  </r>
  <r>
    <x v="7623"/>
    <d v="1899-12-30T00:14:46"/>
    <x v="1526"/>
    <x v="15"/>
    <s v="morrisville"/>
    <x v="1382"/>
    <n v="1501633"/>
    <x v="0"/>
    <s v="Language/Linguistics"/>
    <s v="9781118610701"/>
    <s v=",1,2,3,175,176,177,173,174,178,172,170,171,175"/>
    <n v="12"/>
    <m/>
    <m/>
    <s v="No"/>
    <x v="3"/>
    <m/>
    <m/>
    <s v="136.204.32.68"/>
    <s v="PA227 -- .C658 2014eb"/>
    <n v="480.09"/>
    <d v="2013-10-23T00:00:00"/>
  </r>
  <r>
    <x v="7624"/>
    <d v="1899-12-30T02:24:34"/>
    <x v="1743"/>
    <x v="0"/>
    <s v="Buffalo"/>
    <x v="509"/>
    <n v="1115640"/>
    <x v="0"/>
    <s v="Engineering: Civil; Engineering: Construction; Engineering"/>
    <s v="9781118419090"/>
    <s v=",1,2,3,4,31,32,33,30,29,34,35,36,37,38,39,40,41,42,43,37,44,45,46,47,48,49,50,51,52,53,54,55,56,57,58,59,60,61,62,63,64,65,66,67,68,69,70,71,72,73,74,76,75,77,78,79,80,81"/>
    <n v="57"/>
    <m/>
    <m/>
    <s v="No"/>
    <x v="0"/>
    <d v="2015-09-20T21:57:36"/>
    <n v="7"/>
    <s v="128.205.114.91"/>
    <s v="TH375 -- .S77 2013eb"/>
    <n v="624"/>
    <d v="2013-01-22T00:00:00"/>
  </r>
  <r>
    <x v="7625"/>
    <d v="1899-12-30T01:23:54"/>
    <x v="13"/>
    <x v="0"/>
    <s v="Buffalo"/>
    <x v="552"/>
    <n v="1294909"/>
    <x v="3"/>
    <s v="Economics; Business/Management"/>
    <s v="9780520956797"/>
    <s v=",1,2,3,94,95,92,96,94,93,94,94,94,95,96,97,98,98,99,97,100,101,102,103,104,105,106,107,108,109,110,111,112,113,114,115,116,117,118,119,120,121,122,123,124,125,126,127,128,129,130,131,132,133,134,135,136,137,138,139,140,141,142,143,144,145,146"/>
    <n v="58"/>
    <m/>
    <m/>
    <s v="No"/>
    <x v="0"/>
    <d v="2015-09-18T17:25:18"/>
    <n v="7"/>
    <s v="128.205.114.91"/>
    <s v="HC110.P6 -- I25 2013eb"/>
    <s v="339.4/60973"/>
    <d v="2013-08-01T00:00:00"/>
  </r>
  <r>
    <x v="7626"/>
    <d v="1899-12-30T00:00:07"/>
    <x v="703"/>
    <x v="0"/>
    <s v="Buffalo"/>
    <x v="111"/>
    <n v="1166322"/>
    <x v="0"/>
    <s v="Architecture"/>
    <s v="9781118418512"/>
    <s v=",1,2,3"/>
    <n v="3"/>
    <m/>
    <m/>
    <s v="No"/>
    <x v="1"/>
    <m/>
    <m/>
    <s v="128.205.114.91"/>
    <s v="NA2000 -- .G76 2013eb"/>
    <n v="720.072"/>
    <d v="2013-04-03T00:00:00"/>
  </r>
  <r>
    <x v="7627"/>
    <d v="1899-12-30T00:00:00"/>
    <x v="1688"/>
    <x v="0"/>
    <s v="Buffalo"/>
    <x v="728"/>
    <n v="1872281"/>
    <x v="4"/>
    <s v="Education; Business/Management"/>
    <s v="9781462519606"/>
    <m/>
    <n v="0"/>
    <m/>
    <m/>
    <s v="Yes"/>
    <x v="0"/>
    <d v="2015-09-20T23:19:06"/>
    <n v="7"/>
    <s v="128.205.114.91"/>
    <s v="HD75 -- .P448 2015eb"/>
    <n v="378.101"/>
    <d v="2015-05-26T00:00:00"/>
  </r>
  <r>
    <x v="7628"/>
    <d v="1899-12-30T00:00:08"/>
    <x v="1688"/>
    <x v="0"/>
    <s v="Buffalo"/>
    <x v="728"/>
    <n v="1872281"/>
    <x v="4"/>
    <s v="Education; Business/Management"/>
    <s v="9781462519606"/>
    <s v=",1,2,3"/>
    <n v="3"/>
    <m/>
    <m/>
    <s v="No"/>
    <x v="0"/>
    <d v="2015-09-20T23:19:06"/>
    <n v="7"/>
    <s v="128.205.114.91"/>
    <s v="HD75 -- .P448 2015eb"/>
    <n v="378.101"/>
    <d v="2015-05-26T00:00:00"/>
  </r>
  <r>
    <x v="7629"/>
    <d v="1899-12-30T00:06:30"/>
    <x v="1688"/>
    <x v="0"/>
    <s v="Buffalo"/>
    <x v="728"/>
    <n v="1872281"/>
    <x v="4"/>
    <s v="Education; Business/Management"/>
    <s v="9781462519606"/>
    <s v=",238,240,244,238,239,240,274,239"/>
    <n v="5"/>
    <m/>
    <m/>
    <s v="Yes"/>
    <x v="0"/>
    <d v="2015-09-20T23:19:06"/>
    <n v="7"/>
    <s v="128.205.114.91"/>
    <s v="HD75 -- .P448 2015eb"/>
    <n v="378.101"/>
    <d v="2015-05-26T00:00:00"/>
  </r>
  <r>
    <x v="7629"/>
    <d v="1899-12-30T00:00:00"/>
    <x v="1688"/>
    <x v="0"/>
    <s v="Buffalo"/>
    <x v="728"/>
    <n v="1872281"/>
    <x v="4"/>
    <s v="Education; Business/Management"/>
    <s v="9781462519606"/>
    <m/>
    <n v="0"/>
    <m/>
    <m/>
    <s v="No"/>
    <x v="0"/>
    <d v="2015-09-20T23:19:06"/>
    <n v="7"/>
    <s v="128.205.114.91"/>
    <s v="HD75 -- .P448 2015eb"/>
    <n v="378.101"/>
    <d v="2015-05-26T00:00:00"/>
  </r>
  <r>
    <x v="7630"/>
    <d v="1899-12-30T00:00:37"/>
    <x v="1688"/>
    <x v="0"/>
    <s v="Buffalo"/>
    <x v="728"/>
    <n v="1872281"/>
    <x v="4"/>
    <s v="Education; Business/Management"/>
    <s v="9781462519606"/>
    <s v=",1,2,3,4,1"/>
    <n v="4"/>
    <m/>
    <m/>
    <s v="No"/>
    <x v="1"/>
    <m/>
    <m/>
    <s v="128.205.114.91"/>
    <s v="HD75 -- .P448 2015eb"/>
    <n v="378.101"/>
    <d v="2015-05-26T00:00:00"/>
  </r>
  <r>
    <x v="7631"/>
    <d v="1899-12-30T00:00:00"/>
    <x v="1730"/>
    <x v="1"/>
    <s v="brockport"/>
    <x v="1"/>
    <n v="1684620"/>
    <x v="0"/>
    <s v="Health; Social Science"/>
    <s v="9781118418925"/>
    <s v=",111"/>
    <n v="1"/>
    <m/>
    <m/>
    <s v="No"/>
    <x v="0"/>
    <d v="2015-09-20T22:15:11"/>
    <n v="7"/>
    <s v="137.21.7.121"/>
    <s v="RA971 -- .S56 2014eb"/>
    <n v="362.10680000000002"/>
    <d v="2014-04-30T00:00:00"/>
  </r>
  <r>
    <x v="7632"/>
    <d v="1899-12-30T00:01:23"/>
    <x v="703"/>
    <x v="0"/>
    <s v="Buffalo"/>
    <x v="111"/>
    <n v="1166322"/>
    <x v="0"/>
    <s v="Architecture"/>
    <s v="9781118418512"/>
    <s v=",1,2,3,4,5,6"/>
    <n v="6"/>
    <m/>
    <m/>
    <s v="No"/>
    <x v="1"/>
    <m/>
    <m/>
    <s v="128.205.114.91"/>
    <s v="NA2000 -- .G76 2013eb"/>
    <n v="720.072"/>
    <d v="2013-04-03T00:00:00"/>
  </r>
  <r>
    <x v="7633"/>
    <d v="1899-12-30T00:52:26"/>
    <x v="1743"/>
    <x v="0"/>
    <s v="Buffalo"/>
    <x v="509"/>
    <n v="1115640"/>
    <x v="0"/>
    <s v="Engineering: Civil; Engineering: Construction; Engineering"/>
    <s v="9781118419090"/>
    <s v=",20,21,22,23,25,26,27,28,29,30,31,32,33"/>
    <n v="13"/>
    <m/>
    <m/>
    <s v="No"/>
    <x v="0"/>
    <d v="2015-09-20T21:57:36"/>
    <n v="7"/>
    <s v="128.205.114.91"/>
    <s v="TH375 -- .S77 2013eb"/>
    <n v="624"/>
    <d v="2013-01-22T00:00:00"/>
  </r>
  <r>
    <x v="7634"/>
    <d v="1899-12-30T00:17:51"/>
    <x v="1730"/>
    <x v="1"/>
    <s v="brockport"/>
    <x v="1"/>
    <n v="1684620"/>
    <x v="0"/>
    <s v="Health; Social Science"/>
    <s v="9781118418925"/>
    <s v=",1,3,2,102,107,108,109,105,106,110"/>
    <n v="10"/>
    <m/>
    <m/>
    <s v="No"/>
    <x v="1"/>
    <m/>
    <m/>
    <s v="137.21.7.121"/>
    <s v="RA971 -- .S56 2014eb"/>
    <n v="362.10680000000002"/>
    <d v="2014-04-30T00:00:00"/>
  </r>
  <r>
    <x v="7635"/>
    <d v="1899-12-30T00:19:24"/>
    <x v="1743"/>
    <x v="0"/>
    <s v="Buffalo"/>
    <x v="509"/>
    <n v="1115640"/>
    <x v="0"/>
    <s v="Engineering: Civil; Engineering: Construction; Engineering"/>
    <s v="9781118419090"/>
    <s v=",1,2,3,4,5,6,7,8,9,10,11,12,13,14,15,20,26,24,25,22,23,21,19,17,18,16"/>
    <n v="26"/>
    <m/>
    <m/>
    <s v="No"/>
    <x v="1"/>
    <m/>
    <m/>
    <s v="128.205.114.91"/>
    <s v="TH375 -- .S77 2013eb"/>
    <n v="624"/>
    <d v="2013-01-22T00:00:00"/>
  </r>
  <r>
    <x v="7636"/>
    <d v="1899-12-30T00:08:02"/>
    <x v="906"/>
    <x v="1"/>
    <s v="brockport"/>
    <x v="151"/>
    <n v="968030"/>
    <x v="0"/>
    <s v="Psychology"/>
    <s v="9781118285138"/>
    <s v=",1,2,2,1,3,3,4,5,4,5,2,2,5,5,6,6"/>
    <n v="6"/>
    <m/>
    <m/>
    <s v="No"/>
    <x v="1"/>
    <m/>
    <m/>
    <s v="137.21.7.121"/>
    <s v="BF637.C6 -- S85 2013eb"/>
    <n v="158.30000000000001"/>
    <d v="2012-07-10T00:00:00"/>
  </r>
  <r>
    <x v="7637"/>
    <d v="1899-12-30T01:22:18"/>
    <x v="910"/>
    <x v="0"/>
    <s v="Buffalo"/>
    <x v="161"/>
    <n v="821663"/>
    <x v="0"/>
    <s v="Architecture"/>
    <s v="9781118168479"/>
    <s v=",1,2,3,139,140,138,137,136,135,141,134,132,133,131,142,143,144,145,128,130,129,126,127,131,132,146,147,148,149,150,151,152,153,154"/>
    <n v="32"/>
    <m/>
    <m/>
    <s v="No"/>
    <x v="0"/>
    <d v="2015-09-20T00:57:31"/>
    <n v="7"/>
    <s v="128.205.114.91"/>
    <s v="NA2547 -- .S74 2012eb"/>
    <n v="729"/>
    <d v="2012-03-05T00:00:00"/>
  </r>
  <r>
    <x v="7638"/>
    <d v="1899-12-30T00:00:15"/>
    <x v="13"/>
    <x v="0"/>
    <s v="Buffalo"/>
    <x v="552"/>
    <n v="1294909"/>
    <x v="3"/>
    <s v="Economics; Business/Management"/>
    <s v="9780520956797"/>
    <s v=",1,2,3,94,95,96,93,92,98"/>
    <n v="9"/>
    <m/>
    <m/>
    <s v="No"/>
    <x v="0"/>
    <d v="2015-09-18T17:25:18"/>
    <n v="7"/>
    <s v="128.205.114.91"/>
    <s v="HC110.P6 -- I25 2013eb"/>
    <s v="339.4/60973"/>
    <d v="2013-08-01T00:00:00"/>
  </r>
  <r>
    <x v="7639"/>
    <d v="1899-12-30T00:01:19"/>
    <x v="13"/>
    <x v="0"/>
    <s v="Buffalo"/>
    <x v="150"/>
    <n v="1882108"/>
    <x v="3"/>
    <s v="Literature"/>
    <s v="9780520961326"/>
    <s v=",417,462,463,464,461,459,460,465,466,469,467,470,471,468,475,474,476,477,473,478,479,1,2,3"/>
    <n v="24"/>
    <m/>
    <m/>
    <s v="No"/>
    <x v="2"/>
    <d v="2015-09-20T19:41:33"/>
    <n v="1"/>
    <s v="128.205.114.91"/>
    <s v="PA4025.A2 -- .H664 2015eb"/>
    <n v="883"/>
    <d v="2015-05-14T00:00:00"/>
  </r>
  <r>
    <x v="7640"/>
    <d v="1899-12-30T00:05:18"/>
    <x v="13"/>
    <x v="0"/>
    <s v="Buffalo"/>
    <x v="150"/>
    <n v="1882108"/>
    <x v="3"/>
    <s v="Literature"/>
    <s v="9780520961326"/>
    <s v=",1,2,3,4,5,6,7,8,9,10,14,15,17,18,19,16,20,22,21,23,92,93,81,79,77,80,78,82,86,87,84,85,83,80,81,42,43,44,41,40,46,49,55,59,66,67,68,65,64,63,79,77,78,51,53,58,47,39,37,168,169,113,114,115,112,111,116,117,118,114,113,198,199,252,255,257,256,253,260,261,258,522,523,524,520,521,16,17,18,43,44,40,41,57,172,173,174,170,171,293,299,288,289,290,287,286,401,393,394,389,391,390,387,388,392"/>
    <n v="101"/>
    <m/>
    <m/>
    <s v="No"/>
    <x v="3"/>
    <m/>
    <m/>
    <s v="128.205.114.91"/>
    <s v="PA4025.A2 -- .H664 2015eb"/>
    <n v="883"/>
    <d v="2015-05-14T00:00:00"/>
  </r>
  <r>
    <x v="7641"/>
    <d v="1899-12-30T00:43:17"/>
    <x v="1675"/>
    <x v="0"/>
    <s v="Buffalo"/>
    <x v="509"/>
    <n v="1115640"/>
    <x v="0"/>
    <s v="Engineering: Civil; Engineering: Construction; Engineering"/>
    <s v="9781118419090"/>
    <s v=",24,25,26,27,28,29,30,31,32,33,34,35,36,37,38,39,40,41,42"/>
    <n v="19"/>
    <m/>
    <m/>
    <s v="No"/>
    <x v="0"/>
    <d v="2015-09-20T19:21:03"/>
    <n v="7"/>
    <s v="128.205.114.91"/>
    <s v="TH375 -- .S77 2013eb"/>
    <n v="624"/>
    <d v="2013-01-22T00:00:00"/>
  </r>
  <r>
    <x v="7642"/>
    <d v="1899-12-30T00:11:33"/>
    <x v="1484"/>
    <x v="0"/>
    <s v="Buffalo"/>
    <x v="552"/>
    <n v="1294909"/>
    <x v="3"/>
    <s v="Economics; Business/Management"/>
    <s v="9780520956797"/>
    <s v=",133,133,134,135,136,134,135,136,137,137,138,138,139,139,140,140,141,141,142,142,143,143,144,144,145,145,146,147,146,142,147,141"/>
    <n v="15"/>
    <m/>
    <m/>
    <s v="No"/>
    <x v="0"/>
    <d v="2015-09-20T18:59:43"/>
    <n v="7"/>
    <s v="128.205.114.91"/>
    <s v="HC110.P6 -- I25 2013eb"/>
    <s v="339.4/60973"/>
    <d v="2013-08-01T00:00:00"/>
  </r>
  <r>
    <x v="7643"/>
    <d v="1899-12-30T00:03:34"/>
    <x v="454"/>
    <x v="5"/>
    <s v="erie"/>
    <x v="1649"/>
    <n v="1589679"/>
    <x v="1"/>
    <s v="Fine Arts"/>
    <s v="9781409461982"/>
    <s v=",1,2,3,574,575,572,576,573,103,104,105,101,102,106,495,496,493,497,494,292,294,291,290,293,577,586,581,589,590,591,587,588"/>
    <n v="32"/>
    <m/>
    <m/>
    <s v="No"/>
    <x v="2"/>
    <d v="2015-09-20T02:46:49"/>
    <n v="1"/>
    <s v="199.29.6.54"/>
    <s v="N6754 -- .P487 2014eb"/>
    <n v="709.4"/>
    <d v="2014-05-28T00:00:00"/>
  </r>
  <r>
    <x v="7644"/>
    <d v="1899-12-30T00:26:26"/>
    <x v="1675"/>
    <x v="0"/>
    <s v="Buffalo"/>
    <x v="509"/>
    <n v="1115640"/>
    <x v="0"/>
    <s v="Engineering: Civil; Engineering: Construction; Engineering"/>
    <s v="9781118419090"/>
    <s v=",1,3,2,4,17,19,18,15,16,20,15,21,22,23"/>
    <n v="13"/>
    <m/>
    <m/>
    <s v="No"/>
    <x v="1"/>
    <m/>
    <m/>
    <s v="128.205.114.91"/>
    <s v="TH375 -- .S77 2013eb"/>
    <n v="624"/>
    <d v="2013-01-22T00:00:00"/>
  </r>
  <r>
    <x v="7645"/>
    <d v="1899-12-30T00:13:45"/>
    <x v="1484"/>
    <x v="0"/>
    <s v="Buffalo"/>
    <x v="552"/>
    <n v="1294909"/>
    <x v="3"/>
    <s v="Economics; Business/Management"/>
    <s v="9780520956797"/>
    <s v=",1,2,3,2,3,1,129,129,130,131,127,131,2,128,130,128,132,132"/>
    <n v="9"/>
    <m/>
    <m/>
    <s v="No"/>
    <x v="1"/>
    <m/>
    <m/>
    <s v="128.205.114.91"/>
    <s v="HC110.P6 -- I25 2013eb"/>
    <s v="339.4/60973"/>
    <d v="2013-08-01T00:00:00"/>
  </r>
  <r>
    <x v="7646"/>
    <d v="1899-12-30T00:01:52"/>
    <x v="1744"/>
    <x v="0"/>
    <s v="Buffalo"/>
    <x v="552"/>
    <n v="1294909"/>
    <x v="3"/>
    <s v="Economics; Business/Management"/>
    <s v="9780520956797"/>
    <s v=",1,2,3,94,95,96,92,93,2,94,95,97"/>
    <n v="9"/>
    <m/>
    <m/>
    <s v="No"/>
    <x v="1"/>
    <m/>
    <m/>
    <s v="128.205.114.91"/>
    <s v="HC110.P6 -- I25 2013eb"/>
    <s v="339.4/60973"/>
    <d v="2013-08-01T00:00:00"/>
  </r>
  <r>
    <x v="7647"/>
    <d v="1899-12-30T00:00:29"/>
    <x v="1745"/>
    <x v="13"/>
    <s v="buffalostate"/>
    <x v="3"/>
    <n v="822040"/>
    <x v="0"/>
    <s v="Literature; Psychology"/>
    <s v="9781118289099"/>
    <s v=",1,2,3,6,5,4,8,7"/>
    <n v="8"/>
    <m/>
    <m/>
    <s v="No"/>
    <x v="1"/>
    <m/>
    <m/>
    <s v="136.183.11.43"/>
    <s v="BF76.7 -- .B447 2012eb"/>
    <s v="808.06/615"/>
    <d v="2012-03-22T00:00:00"/>
  </r>
  <r>
    <x v="7648"/>
    <d v="1899-12-30T00:00:00"/>
    <x v="13"/>
    <x v="0"/>
    <s v="Buffalo"/>
    <x v="935"/>
    <n v="1718748"/>
    <x v="0"/>
    <s v="Mathematics"/>
    <s v="9781118791080"/>
    <m/>
    <n v="0"/>
    <m/>
    <m/>
    <s v="Yes"/>
    <x v="0"/>
    <d v="2015-09-20T15:33:10"/>
    <n v="7"/>
    <s v="128.205.114.91"/>
    <s v="QA303 -- .R936 2014eb"/>
    <n v="515"/>
    <d v="2014-06-23T00:00:00"/>
  </r>
  <r>
    <x v="7649"/>
    <d v="1899-12-30T00:00:00"/>
    <x v="13"/>
    <x v="0"/>
    <s v="Buffalo"/>
    <x v="935"/>
    <n v="1718748"/>
    <x v="0"/>
    <s v="Mathematics"/>
    <s v="9781118791080"/>
    <m/>
    <n v="0"/>
    <m/>
    <m/>
    <s v="Yes"/>
    <x v="0"/>
    <d v="2015-09-20T15:33:10"/>
    <n v="7"/>
    <s v="128.205.114.91"/>
    <s v="QA303 -- .R936 2014eb"/>
    <n v="515"/>
    <d v="2014-06-23T00:00:00"/>
  </r>
  <r>
    <x v="7650"/>
    <d v="1899-12-30T00:00:00"/>
    <x v="1746"/>
    <x v="0"/>
    <s v="Buffalo"/>
    <x v="509"/>
    <n v="1115640"/>
    <x v="0"/>
    <s v="Engineering: Civil; Engineering: Construction; Engineering"/>
    <s v="9781118419090"/>
    <m/>
    <n v="0"/>
    <m/>
    <s v=",17,18,19,20,21,22,23,24,25,26,27,28,29,30,31,32,33,34,35,36,37,38,39,40,41,42,43,44,45,46,47,48,49,50,51,52,53,54,55,56,57,58,59,60,61,62,63,64,65,66,67,68,69,70,71,72,73,74,75,76,77,78"/>
    <s v="No"/>
    <x v="0"/>
    <d v="2015-09-20T15:33:32"/>
    <n v="7"/>
    <s v="128.205.114.91"/>
    <s v="TH375 -- .S77 2013eb"/>
    <n v="624"/>
    <d v="2013-01-22T00:00:00"/>
  </r>
  <r>
    <x v="7651"/>
    <d v="1899-12-30T00:00:09"/>
    <x v="13"/>
    <x v="0"/>
    <s v="Buffalo"/>
    <x v="935"/>
    <n v="1718748"/>
    <x v="0"/>
    <s v="Mathematics"/>
    <s v="9781118791080"/>
    <s v=",2,2"/>
    <n v="1"/>
    <m/>
    <m/>
    <s v="Yes"/>
    <x v="0"/>
    <d v="2015-09-20T15:33:10"/>
    <n v="7"/>
    <s v="128.205.114.91"/>
    <s v="QA303 -- .R936 2014eb"/>
    <n v="515"/>
    <d v="2014-06-23T00:00:00"/>
  </r>
  <r>
    <x v="7651"/>
    <d v="1899-12-30T00:00:00"/>
    <x v="13"/>
    <x v="0"/>
    <s v="Buffalo"/>
    <x v="935"/>
    <n v="1718748"/>
    <x v="0"/>
    <s v="Mathematics"/>
    <s v="9781118791080"/>
    <m/>
    <n v="0"/>
    <m/>
    <m/>
    <s v="No"/>
    <x v="0"/>
    <d v="2015-09-20T15:33:10"/>
    <n v="7"/>
    <s v="128.205.114.91"/>
    <s v="QA303 -- .R936 2014eb"/>
    <n v="515"/>
    <d v="2014-06-23T00:00:00"/>
  </r>
  <r>
    <x v="7652"/>
    <d v="1899-12-30T00:00:14"/>
    <x v="13"/>
    <x v="0"/>
    <s v="Buffalo"/>
    <x v="935"/>
    <n v="1718748"/>
    <x v="0"/>
    <s v="Mathematics"/>
    <s v="9781118791080"/>
    <s v=",2,1,2,3,3,1"/>
    <n v="3"/>
    <m/>
    <m/>
    <s v="No"/>
    <x v="1"/>
    <m/>
    <m/>
    <s v="128.205.114.91"/>
    <s v="QA303 -- .R936 2014eb"/>
    <n v="515"/>
    <d v="2014-06-23T00:00:00"/>
  </r>
  <r>
    <x v="7653"/>
    <d v="1899-12-30T00:00:51"/>
    <x v="1746"/>
    <x v="0"/>
    <s v="Buffalo"/>
    <x v="509"/>
    <n v="1115640"/>
    <x v="0"/>
    <s v="Engineering: Civil; Engineering: Construction; Engineering"/>
    <s v="9781118419090"/>
    <s v=",1,3,2,4,5,6,7,8,9,10,11,12,13,14,15,16,2,17,18,19,20,21,22,23,24,25,26,27,25,26,27,23,24"/>
    <n v="27"/>
    <m/>
    <m/>
    <s v="No"/>
    <x v="1"/>
    <m/>
    <m/>
    <s v="128.205.114.91"/>
    <s v="TH375 -- .S77 2013eb"/>
    <n v="624"/>
    <d v="2013-01-22T00:00:00"/>
  </r>
  <r>
    <x v="7654"/>
    <d v="1899-12-30T00:05:30"/>
    <x v="13"/>
    <x v="0"/>
    <s v="Buffalo"/>
    <x v="1541"/>
    <n v="2146552"/>
    <x v="0"/>
    <s v="Computer Science/IT; Mathematics"/>
    <s v="9781119042174"/>
    <s v=",1,1,2,3,3,1,2,23,24,23,25,24,21,25,22,22,2,26,26,27,27,28,28,30,30,25,30,26,27,151,151,155,155,153,158,158,316,316,313,314,314,318,318"/>
    <n v="20"/>
    <m/>
    <m/>
    <s v="No"/>
    <x v="3"/>
    <m/>
    <m/>
    <s v="128.205.114.91"/>
    <s v="QA279 .E384 2015"/>
    <n v="4.1020938740000004"/>
    <d v="2015-08-10T00:00:00"/>
  </r>
  <r>
    <x v="7655"/>
    <d v="1899-12-30T00:01:02"/>
    <x v="13"/>
    <x v="0"/>
    <s v="Buffalo"/>
    <x v="1541"/>
    <n v="2146552"/>
    <x v="0"/>
    <s v="Computer Science/IT; Mathematics"/>
    <s v="9781119042174"/>
    <s v=",1,2,2,3,3,1,4,4,22,22,23,23,24,24,20,21,21,2,25,25"/>
    <n v="10"/>
    <m/>
    <m/>
    <s v="No"/>
    <x v="3"/>
    <m/>
    <m/>
    <s v="128.205.114.91"/>
    <s v="QA279 .E384 2015"/>
    <n v="4.1020938740000004"/>
    <d v="2015-08-10T00:00:00"/>
  </r>
  <r>
    <x v="7656"/>
    <d v="1899-12-30T00:00:09"/>
    <x v="13"/>
    <x v="0"/>
    <s v="Buffalo"/>
    <x v="796"/>
    <n v="1318206"/>
    <x v="0"/>
    <s v="Computer Science/IT; Social Science"/>
    <s v="9781118363560"/>
    <s v=",2,2"/>
    <n v="1"/>
    <m/>
    <m/>
    <s v="Yes"/>
    <x v="0"/>
    <d v="2015-09-20T15:25:44"/>
    <n v="7"/>
    <s v="128.205.114.91"/>
    <s v="HA32 -- .M4994 2013eb"/>
    <s v="005.5/5"/>
    <d v="2013-07-15T00:00:00"/>
  </r>
  <r>
    <x v="7656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09-20T15:25:44"/>
    <n v="7"/>
    <s v="128.205.114.91"/>
    <s v="HA32 -- .M4994 2013eb"/>
    <s v="005.5/5"/>
    <d v="2013-07-15T00:00:00"/>
  </r>
  <r>
    <x v="7657"/>
    <d v="1899-12-30T00:00:13"/>
    <x v="13"/>
    <x v="0"/>
    <s v="Buffalo"/>
    <x v="796"/>
    <n v="1318206"/>
    <x v="0"/>
    <s v="Computer Science/IT; Social Science"/>
    <s v="9781118363560"/>
    <s v=",1,2,2,3,3,1,4,4"/>
    <n v="4"/>
    <m/>
    <m/>
    <s v="No"/>
    <x v="1"/>
    <m/>
    <m/>
    <s v="128.205.114.91"/>
    <s v="HA32 -- .M4994 2013eb"/>
    <s v="005.5/5"/>
    <d v="2013-07-15T00:00:00"/>
  </r>
  <r>
    <x v="7658"/>
    <d v="1899-12-30T01:31:25"/>
    <x v="798"/>
    <x v="0"/>
    <s v="Buffalo"/>
    <x v="161"/>
    <n v="821663"/>
    <x v="0"/>
    <s v="Architecture"/>
    <s v="9781118168479"/>
    <s v=",1,2,3,116,117,118,114,115,119,123,124,125,122,121,120,126,127,1,127,128,129,125,126,2"/>
    <n v="19"/>
    <m/>
    <m/>
    <s v="No"/>
    <x v="0"/>
    <d v="2015-09-14T16:04:18"/>
    <n v="7"/>
    <s v="128.205.114.91"/>
    <s v="NA2547 -- .S74 2012eb"/>
    <n v="729"/>
    <d v="2012-03-05T00:00:00"/>
  </r>
  <r>
    <x v="7659"/>
    <d v="1899-12-30T00:00:19"/>
    <x v="910"/>
    <x v="0"/>
    <s v="Buffalo"/>
    <x v="161"/>
    <n v="821663"/>
    <x v="0"/>
    <s v="Architecture"/>
    <s v="9781118168479"/>
    <s v=",1,2,3,128,129,130,126,127,131,132,133"/>
    <n v="11"/>
    <m/>
    <m/>
    <s v="No"/>
    <x v="0"/>
    <d v="2015-09-20T00:57:31"/>
    <n v="7"/>
    <s v="128.205.114.91"/>
    <s v="NA2547 -- .S74 2012eb"/>
    <n v="729"/>
    <d v="2012-03-05T00:00:00"/>
  </r>
  <r>
    <x v="7660"/>
    <d v="1899-12-30T00:18:09"/>
    <x v="798"/>
    <x v="0"/>
    <s v="Buffalo"/>
    <x v="161"/>
    <n v="821663"/>
    <x v="0"/>
    <s v="Architecture"/>
    <s v="9781118168479"/>
    <s v=",1,2,3,115,116,117,113,114,118,119"/>
    <n v="10"/>
    <m/>
    <m/>
    <s v="No"/>
    <x v="0"/>
    <d v="2015-09-14T16:04:18"/>
    <n v="7"/>
    <s v="128.205.114.91"/>
    <s v="NA2547 -- .S74 2012eb"/>
    <n v="729"/>
    <d v="2012-03-05T00:00:00"/>
  </r>
  <r>
    <x v="7661"/>
    <d v="1899-12-30T00:00:00"/>
    <x v="1747"/>
    <x v="0"/>
    <s v="Buffalo"/>
    <x v="546"/>
    <n v="1809344"/>
    <x v="16"/>
    <s v="Social Science"/>
    <s v="9781137356192"/>
    <m/>
    <n v="0"/>
    <m/>
    <m/>
    <s v="No"/>
    <x v="0"/>
    <d v="2015-09-20T11:27:05"/>
    <n v="7"/>
    <s v="128.205.114.91"/>
    <s v="HV6556 -- .P748 2014eb"/>
    <n v="364.4"/>
    <d v="2014-10-03T00:00:00"/>
  </r>
  <r>
    <x v="7662"/>
    <d v="1899-12-30T00:00:52"/>
    <x v="1747"/>
    <x v="0"/>
    <s v="Buffalo"/>
    <x v="546"/>
    <n v="1809344"/>
    <x v="16"/>
    <s v="Social Science"/>
    <s v="9781137356192"/>
    <s v=",1,2,3,1"/>
    <n v="3"/>
    <m/>
    <m/>
    <s v="No"/>
    <x v="1"/>
    <m/>
    <m/>
    <s v="128.205.114.91"/>
    <s v="HV6556 -- .P748 2014eb"/>
    <n v="364.4"/>
    <d v="2014-10-03T00:00:00"/>
  </r>
  <r>
    <x v="7663"/>
    <d v="1899-12-30T00:08:30"/>
    <x v="1040"/>
    <x v="16"/>
    <s v="monroecc"/>
    <x v="1444"/>
    <n v="2009818"/>
    <x v="0"/>
    <s v="Science; Science: Biology/Natural History"/>
    <s v="9781118525241"/>
    <s v=",1,2,3"/>
    <n v="3"/>
    <m/>
    <m/>
    <s v="No"/>
    <x v="3"/>
    <m/>
    <m/>
    <s v="150.160.200.114"/>
    <s v="QH456"/>
    <s v="576.5/8"/>
    <d v="2015-08-26T00:00:00"/>
  </r>
  <r>
    <x v="7664"/>
    <d v="1899-12-30T00:00:00"/>
    <x v="1040"/>
    <x v="16"/>
    <s v="monroecc"/>
    <x v="1650"/>
    <n v="2063927"/>
    <x v="0"/>
    <s v="Language/Linguistics"/>
    <s v="9781118455449"/>
    <m/>
    <n v="0"/>
    <m/>
    <m/>
    <s v="No"/>
    <x v="3"/>
    <m/>
    <m/>
    <s v="150.160.200.114"/>
    <s v="P53.475"/>
    <s v="418.0071/1"/>
    <d v="2015-08-25T00:00:00"/>
  </r>
  <r>
    <x v="7665"/>
    <d v="1899-12-30T00:00:48"/>
    <x v="1677"/>
    <x v="0"/>
    <s v="Buffalo"/>
    <x v="509"/>
    <n v="1115640"/>
    <x v="0"/>
    <s v="Engineering: Civil; Engineering: Construction; Engineering"/>
    <s v="9781118419090"/>
    <s v=",7,9,8,10,11,12,13,14,15,16,17,18,19,20,21,22"/>
    <n v="16"/>
    <s v=",5"/>
    <m/>
    <s v="No"/>
    <x v="0"/>
    <d v="2015-09-20T04:57:10"/>
    <n v="7"/>
    <s v="128.205.114.91"/>
    <s v="TH375 -- .S77 2013eb"/>
    <n v="624"/>
    <d v="2013-01-22T00:00:00"/>
  </r>
  <r>
    <x v="7666"/>
    <d v="1899-12-30T00:00:22"/>
    <x v="1677"/>
    <x v="0"/>
    <s v="Buffalo"/>
    <x v="509"/>
    <n v="1115640"/>
    <x v="0"/>
    <s v="Engineering: Civil; Engineering: Construction; Engineering"/>
    <s v="9781118419090"/>
    <s v=",1,2,3,4,5,6"/>
    <n v="6"/>
    <m/>
    <m/>
    <s v="No"/>
    <x v="1"/>
    <m/>
    <m/>
    <s v="128.205.114.91"/>
    <s v="TH375 -- .S77 2013eb"/>
    <n v="624"/>
    <d v="2013-01-22T00:00:00"/>
  </r>
  <r>
    <x v="7667"/>
    <d v="1899-12-30T00:19:48"/>
    <x v="13"/>
    <x v="0"/>
    <s v="Buffalo"/>
    <x v="552"/>
    <n v="1294909"/>
    <x v="3"/>
    <s v="Economics; Business/Management"/>
    <s v="9780520956797"/>
    <s v=",1,2,3,94,95,96,92,93,99,105,104,106,107,108,109,110,111,112,113,114,115,116,117,118,119,120,121,122,123,124,125,126,127,128,129,130"/>
    <n v="36"/>
    <m/>
    <m/>
    <s v="No"/>
    <x v="0"/>
    <d v="2015-09-18T17:25:18"/>
    <n v="7"/>
    <s v="128.205.114.91"/>
    <s v="HC110.P6 -- I25 2013eb"/>
    <s v="339.4/60973"/>
    <d v="2013-08-01T00:00:00"/>
  </r>
  <r>
    <x v="7668"/>
    <d v="1899-12-30T00:13:05"/>
    <x v="13"/>
    <x v="0"/>
    <s v="Buffalo"/>
    <x v="552"/>
    <n v="1294909"/>
    <x v="3"/>
    <s v="Economics; Business/Management"/>
    <s v="9780520956797"/>
    <s v=",1,2,3,94,95,96,93,92,104,105,106,102,103,107,108,109,110,111,112,113,114,115,116,117"/>
    <n v="24"/>
    <m/>
    <m/>
    <s v="No"/>
    <x v="0"/>
    <d v="2015-09-18T17:25:18"/>
    <n v="7"/>
    <s v="128.205.114.91"/>
    <s v="HC110.P6 -- I25 2013eb"/>
    <s v="339.4/60973"/>
    <d v="2013-08-01T00:00:00"/>
  </r>
  <r>
    <x v="7669"/>
    <d v="1899-12-30T00:12:21"/>
    <x v="13"/>
    <x v="0"/>
    <s v="Buffalo"/>
    <x v="552"/>
    <n v="1294909"/>
    <x v="3"/>
    <s v="Economics; Business/Management"/>
    <s v="9780520956797"/>
    <s v=",1,2,3,4,94,96,95,92,93,97,98,99,100,101,102,103,104,105,106"/>
    <n v="19"/>
    <m/>
    <m/>
    <s v="No"/>
    <x v="0"/>
    <d v="2015-09-18T17:25:18"/>
    <n v="7"/>
    <s v="128.205.114.91"/>
    <s v="HC110.P6 -- I25 2013eb"/>
    <s v="339.4/60973"/>
    <d v="2013-08-01T00:00:00"/>
  </r>
  <r>
    <x v="7670"/>
    <d v="1899-12-30T00:09:17"/>
    <x v="13"/>
    <x v="0"/>
    <s v="Buffalo"/>
    <x v="552"/>
    <n v="1294909"/>
    <x v="3"/>
    <s v="Economics; Business/Management"/>
    <s v="9780520956797"/>
    <s v=",1,2,3,5,4,7,6,94,96,95,92,93,97,98,99,100"/>
    <n v="16"/>
    <m/>
    <m/>
    <s v="No"/>
    <x v="0"/>
    <d v="2015-09-18T17:25:18"/>
    <n v="7"/>
    <s v="128.205.114.91"/>
    <s v="HC110.P6 -- I25 2013eb"/>
    <s v="339.4/60973"/>
    <d v="2013-08-01T00:00:00"/>
  </r>
  <r>
    <x v="7671"/>
    <d v="1899-12-30T00:01:58"/>
    <x v="13"/>
    <x v="0"/>
    <s v="Buffalo"/>
    <x v="552"/>
    <n v="1294909"/>
    <x v="3"/>
    <s v="Economics; Business/Management"/>
    <s v="9780520956797"/>
    <s v=",1,2,3,94,95,96,92,93,91,93,1,2,3,1,2,3,94,95,96,93,92"/>
    <n v="9"/>
    <m/>
    <m/>
    <s v="No"/>
    <x v="0"/>
    <d v="2015-09-18T17:25:18"/>
    <n v="7"/>
    <s v="128.205.114.91"/>
    <s v="HC110.P6 -- I25 2013eb"/>
    <s v="339.4/60973"/>
    <d v="2013-08-01T00:00:00"/>
  </r>
  <r>
    <x v="7672"/>
    <d v="1899-12-30T00:00:04"/>
    <x v="454"/>
    <x v="5"/>
    <s v="erie"/>
    <x v="1651"/>
    <n v="1674395"/>
    <x v="0"/>
    <s v="Sport &amp; Recreation; Computer Science/IT"/>
    <s v="9781118877210"/>
    <s v=",1,2,3"/>
    <n v="3"/>
    <m/>
    <m/>
    <s v="No"/>
    <x v="3"/>
    <m/>
    <m/>
    <s v="199.29.6.54"/>
    <s v="QA76.76.C672 -- .R644 2014eb"/>
    <n v="794.81536000000006"/>
    <d v="2014-04-11T00:00:00"/>
  </r>
  <r>
    <x v="7673"/>
    <d v="1899-12-30T00:00:03"/>
    <x v="454"/>
    <x v="5"/>
    <s v="erie"/>
    <x v="1649"/>
    <n v="1589679"/>
    <x v="1"/>
    <s v="Fine Arts"/>
    <s v="9781409461982"/>
    <s v=",574,576,575,572,573"/>
    <n v="5"/>
    <m/>
    <m/>
    <s v="No"/>
    <x v="2"/>
    <d v="2015-09-20T02:46:49"/>
    <n v="1"/>
    <s v="199.29.6.54"/>
    <s v="N6754 -- .P487 2014eb"/>
    <n v="709.4"/>
    <d v="2014-05-28T00:00:00"/>
  </r>
  <r>
    <x v="7674"/>
    <d v="1899-12-30T00:05:21"/>
    <x v="454"/>
    <x v="5"/>
    <s v="erie"/>
    <x v="1649"/>
    <n v="1589679"/>
    <x v="1"/>
    <s v="Fine Arts"/>
    <s v="9781409461982"/>
    <s v=",1,2,3,103,104,105,101,102,292,293,294,290,291,176,177,178,293,177,175,174,179"/>
    <n v="19"/>
    <m/>
    <m/>
    <s v="No"/>
    <x v="3"/>
    <m/>
    <m/>
    <s v="199.29.6.54"/>
    <s v="N6754 -- .P487 2014eb"/>
    <n v="709.4"/>
    <d v="2014-05-28T00:00:00"/>
  </r>
  <r>
    <x v="7675"/>
    <d v="1899-12-30T00:38:48"/>
    <x v="709"/>
    <x v="13"/>
    <s v="buffalostate"/>
    <x v="516"/>
    <n v="1840835"/>
    <x v="0"/>
    <s v="Business/Management; Economics"/>
    <s v="9781118950166"/>
    <s v=",46,33,33,33,34,35,36,37,38,39,40,40,41,208"/>
    <n v="11"/>
    <m/>
    <m/>
    <s v="No"/>
    <x v="0"/>
    <d v="2015-09-20T01:45:37"/>
    <n v="7"/>
    <s v="136.183.11.43"/>
    <s v="HD9969.S6 .R384 2014"/>
    <n v="338.10923789999998"/>
    <d v="2014-11-10T00:00:00"/>
  </r>
  <r>
    <x v="7676"/>
    <d v="1899-12-30T00:04:22"/>
    <x v="709"/>
    <x v="13"/>
    <s v="buffalostate"/>
    <x v="516"/>
    <n v="1840835"/>
    <x v="0"/>
    <s v="Business/Management; Economics"/>
    <s v="9781118950166"/>
    <s v=",1,2,3,6,5,7,4,8,9,10,11,12,13,14,15,16,17,18,16,25,26,27"/>
    <n v="21"/>
    <m/>
    <m/>
    <s v="No"/>
    <x v="1"/>
    <m/>
    <m/>
    <s v="136.183.11.43"/>
    <s v="HD9969.S6 .R384 2014"/>
    <n v="338.10923789999998"/>
    <d v="2014-11-10T00:00:00"/>
  </r>
  <r>
    <x v="7677"/>
    <d v="1899-12-30T01:07:27"/>
    <x v="1056"/>
    <x v="0"/>
    <s v="Buffalo"/>
    <x v="73"/>
    <n v="1119505"/>
    <x v="0"/>
    <s v="Science: Chemistry; Science"/>
    <s v="9781118355015"/>
    <s v=",1,2,3,52,53,54,50,51,75,76,77,73,74,78,72,71,70,69,68,67,65,66,64,63,62,61,60,58,59,57,56,55,1,55,56,53,57,54,58,59,2,60,61,52,62,63,64,65,66,67,68,69"/>
    <n v="32"/>
    <m/>
    <m/>
    <s v="No"/>
    <x v="0"/>
    <d v="2015-09-15T01:15:48"/>
    <n v="7"/>
    <s v="128.205.114.91"/>
    <s v="QD251.3 -- .S38 2013eb"/>
    <s v="547/.128"/>
    <d v="2013-01-28T00:00:00"/>
  </r>
  <r>
    <x v="7678"/>
    <d v="1899-12-30T00:01:08"/>
    <x v="13"/>
    <x v="0"/>
    <s v="Buffalo"/>
    <x v="73"/>
    <n v="1119505"/>
    <x v="0"/>
    <s v="Science: Chemistry; Science"/>
    <s v="9781118355015"/>
    <s v=",1,2,3,71,72,73,69,70,74,75"/>
    <n v="10"/>
    <m/>
    <m/>
    <s v="No"/>
    <x v="1"/>
    <m/>
    <m/>
    <s v="128.205.114.91"/>
    <s v="QD251.3 -- .S38 2013eb"/>
    <s v="547/.128"/>
    <d v="2013-01-28T00:00:00"/>
  </r>
  <r>
    <x v="7679"/>
    <d v="1899-12-30T00:26:05"/>
    <x v="910"/>
    <x v="0"/>
    <s v="Buffalo"/>
    <x v="161"/>
    <n v="821663"/>
    <x v="0"/>
    <s v="Architecture"/>
    <s v="9781118168479"/>
    <s v=",125,126,127,128,129,130,131"/>
    <n v="7"/>
    <m/>
    <m/>
    <s v="No"/>
    <x v="0"/>
    <d v="2015-09-20T00:57:31"/>
    <n v="7"/>
    <s v="128.205.114.91"/>
    <s v="NA2547 -- .S74 2012eb"/>
    <n v="729"/>
    <d v="2012-03-05T00:00:00"/>
  </r>
  <r>
    <x v="7680"/>
    <d v="1899-12-30T00:09:32"/>
    <x v="910"/>
    <x v="0"/>
    <s v="Buffalo"/>
    <x v="161"/>
    <n v="821663"/>
    <x v="0"/>
    <s v="Architecture"/>
    <s v="9781118168479"/>
    <s v=",1,2,3,116,117,118,114,115,119,120,121,122,123,124"/>
    <n v="14"/>
    <m/>
    <m/>
    <s v="No"/>
    <x v="1"/>
    <m/>
    <m/>
    <s v="128.205.114.91"/>
    <s v="NA2547 -- .S74 2012eb"/>
    <n v="729"/>
    <d v="2012-03-05T00:00:00"/>
  </r>
  <r>
    <x v="7681"/>
    <d v="1899-12-30T00:02:15"/>
    <x v="209"/>
    <x v="0"/>
    <s v="Buffalo"/>
    <x v="669"/>
    <n v="1742841"/>
    <x v="4"/>
    <s v="Medicine"/>
    <s v="9781462516445"/>
    <s v=",198,198,199,200,196,201,197,202,203,204,205,206"/>
    <n v="11"/>
    <m/>
    <s v=",293,294,295,296,297,298,299,300,301,302,303,304,305,306,307,308,309,310,311"/>
    <s v="No"/>
    <x v="0"/>
    <d v="2015-09-19T22:52:45"/>
    <n v="7"/>
    <s v="128.205.114.91"/>
    <s v="RC537 -- .H3376 2014eb"/>
    <n v="616.85270000000003"/>
    <d v="2014-10-22T00:00:00"/>
  </r>
  <r>
    <x v="7682"/>
    <d v="1899-12-30T00:00:31"/>
    <x v="209"/>
    <x v="0"/>
    <s v="Buffalo"/>
    <x v="669"/>
    <n v="1742841"/>
    <x v="4"/>
    <s v="Medicine"/>
    <s v="9781462516445"/>
    <s v=",1,2,3,293,294,295,291,292,293"/>
    <n v="8"/>
    <m/>
    <m/>
    <s v="No"/>
    <x v="1"/>
    <m/>
    <m/>
    <s v="128.205.114.91"/>
    <s v="RC537 -- .H3376 2014eb"/>
    <n v="616.85270000000003"/>
    <d v="2014-10-22T00:00:00"/>
  </r>
  <r>
    <x v="7683"/>
    <d v="1899-12-30T00:01:02"/>
    <x v="910"/>
    <x v="0"/>
    <s v="Buffalo"/>
    <x v="161"/>
    <n v="821663"/>
    <x v="0"/>
    <s v="Architecture"/>
    <s v="9781118168479"/>
    <s v=",1,2,3,21,22,23,19,20,115,116,113,117,114,118"/>
    <n v="14"/>
    <m/>
    <m/>
    <s v="No"/>
    <x v="1"/>
    <m/>
    <m/>
    <s v="128.205.114.91"/>
    <s v="NA2547 -- .S74 2012eb"/>
    <n v="729"/>
    <d v="2012-03-05T00:00:00"/>
  </r>
  <r>
    <x v="7684"/>
    <d v="1899-12-30T00:00:36"/>
    <x v="13"/>
    <x v="0"/>
    <s v="Buffalo"/>
    <x v="73"/>
    <n v="1119505"/>
    <x v="0"/>
    <s v="Science: Chemistry; Science"/>
    <s v="9781118355015"/>
    <s v=",1,2,3,390,391,392,388,389,393"/>
    <n v="9"/>
    <m/>
    <m/>
    <s v="No"/>
    <x v="1"/>
    <m/>
    <m/>
    <s v="128.205.114.91"/>
    <s v="QD251.3 -- .S38 2013eb"/>
    <s v="547/.128"/>
    <d v="2013-01-28T00:00:00"/>
  </r>
  <r>
    <x v="7685"/>
    <d v="1899-12-30T00:22:33"/>
    <x v="1140"/>
    <x v="0"/>
    <s v="Buffalo"/>
    <x v="73"/>
    <n v="1119505"/>
    <x v="0"/>
    <s v="Science: Chemistry; Science"/>
    <s v="9781118355015"/>
    <s v=",1,2,2,3,3,1,2,2,1,2,3,2,4,3,1,4,2,390,390,391,391,392,392,388,389,389,393,393"/>
    <n v="10"/>
    <m/>
    <m/>
    <s v="No"/>
    <x v="0"/>
    <d v="2015-09-17T14:24:40"/>
    <n v="7"/>
    <s v="128.205.114.91"/>
    <s v="QD251.3 -- .S38 2013eb"/>
    <s v="547/.128"/>
    <d v="2013-01-28T00:00:00"/>
  </r>
  <r>
    <x v="7686"/>
    <d v="1899-12-30T00:15:51"/>
    <x v="13"/>
    <x v="0"/>
    <s v="Buffalo"/>
    <x v="509"/>
    <n v="1115640"/>
    <x v="0"/>
    <s v="Engineering: Civil; Engineering: Construction; Engineering"/>
    <s v="9781118419090"/>
    <s v=",1,2,3,4,5,6,17,18,15,19,20,16,21,22,23"/>
    <n v="15"/>
    <m/>
    <m/>
    <s v="No"/>
    <x v="0"/>
    <d v="2015-09-18T13:33:26"/>
    <n v="7"/>
    <s v="128.205.114.91"/>
    <s v="TH375 -- .S77 2013eb"/>
    <n v="624"/>
    <d v="2013-01-22T00:00:00"/>
  </r>
  <r>
    <x v="7687"/>
    <d v="1899-12-30T01:12:28"/>
    <x v="1736"/>
    <x v="1"/>
    <s v="brockport"/>
    <x v="1"/>
    <n v="1684620"/>
    <x v="0"/>
    <s v="Health; Social Science"/>
    <s v="9781118418925"/>
    <s v=",1,2,3,4,5,6,7,8,9,10,11,12,13,14,15,16,107,108,109,105,106,110,111,112,113,114,115,116,117,118,119,120,121,122,123,124"/>
    <n v="36"/>
    <m/>
    <m/>
    <s v="No"/>
    <x v="0"/>
    <d v="2015-09-14T05:07:35"/>
    <n v="7"/>
    <s v="137.21.7.121"/>
    <s v="RA971 -- .S56 2014eb"/>
    <n v="362.10680000000002"/>
    <d v="2014-04-30T00:00:00"/>
  </r>
  <r>
    <x v="7688"/>
    <d v="1899-12-30T00:00:18"/>
    <x v="1748"/>
    <x v="13"/>
    <s v="buffalostate"/>
    <x v="1652"/>
    <n v="1590674"/>
    <x v="1"/>
    <s v="Religion"/>
    <s v="9781472410887"/>
    <s v=",1,2,3,4,5,6,7,8,9,10,11,12,14,13"/>
    <n v="14"/>
    <m/>
    <m/>
    <s v="No"/>
    <x v="3"/>
    <m/>
    <m/>
    <s v="136.183.11.43"/>
    <s v="BR100 -- .S39 2014eb"/>
    <n v="230"/>
    <d v="2014-02-28T00:00:00"/>
  </r>
  <r>
    <x v="7689"/>
    <d v="1899-12-30T00:05:41"/>
    <x v="1749"/>
    <x v="0"/>
    <s v="Buffalo"/>
    <x v="3"/>
    <n v="822040"/>
    <x v="0"/>
    <s v="Literature; Psychology"/>
    <s v="9781118289099"/>
    <s v=",1,2,3,4,91,92,93,89,90,94,95,96,97,98,92,91,90,89,97,98,99,100,101,102,103,104"/>
    <n v="20"/>
    <m/>
    <m/>
    <s v="No"/>
    <x v="1"/>
    <m/>
    <m/>
    <s v="128.205.114.91"/>
    <s v="BF76.7 -- .B447 2012eb"/>
    <s v="808.06/615"/>
    <d v="2012-03-22T00:00:00"/>
  </r>
  <r>
    <x v="7690"/>
    <d v="1899-12-30T00:00:00"/>
    <x v="1008"/>
    <x v="0"/>
    <s v="Buffalo"/>
    <x v="73"/>
    <n v="1119505"/>
    <x v="0"/>
    <s v="Science: Chemistry; Science"/>
    <s v="9781118355015"/>
    <m/>
    <n v="0"/>
    <m/>
    <s v=",52,53,54,53,54,55,56,57,58,59,60,61,62,63,64,65,66,67,68,69,70,71,72,73,74,75,76,77,78"/>
    <s v="No"/>
    <x v="0"/>
    <d v="2015-09-19T17:37:34"/>
    <n v="7"/>
    <s v="128.205.114.91"/>
    <s v="QD251.3 -- .S38 2013eb"/>
    <s v="547/.128"/>
    <d v="2013-01-28T00:00:00"/>
  </r>
  <r>
    <x v="7691"/>
    <d v="1899-12-30T00:00:13"/>
    <x v="1008"/>
    <x v="0"/>
    <s v="Buffalo"/>
    <x v="73"/>
    <n v="1119505"/>
    <x v="0"/>
    <s v="Science: Chemistry; Science"/>
    <s v="9781118355015"/>
    <s v=",1,2,3,52,53,54,51,50"/>
    <n v="8"/>
    <m/>
    <m/>
    <s v="No"/>
    <x v="1"/>
    <m/>
    <m/>
    <s v="128.205.114.91"/>
    <s v="QD251.3 -- .S38 2013eb"/>
    <s v="547/.128"/>
    <d v="2013-01-28T00:00:00"/>
  </r>
  <r>
    <x v="7692"/>
    <d v="1899-12-30T00:38:06"/>
    <x v="525"/>
    <x v="0"/>
    <s v="Buffalo"/>
    <x v="477"/>
    <n v="1120279"/>
    <x v="0"/>
    <s v="Science: Biology/Natural History; Science"/>
    <s v="9781118537671"/>
    <s v=",14,22,23,24,25,26,27,28,29,30"/>
    <n v="10"/>
    <m/>
    <m/>
    <s v="No"/>
    <x v="0"/>
    <d v="2015-09-19T17:23:14"/>
    <n v="7"/>
    <s v="128.205.114.91"/>
    <s v="QH371 .K384 2012"/>
    <n v="599.93499999999995"/>
    <d v="2012-11-19T00:00:00"/>
  </r>
  <r>
    <x v="7693"/>
    <d v="1899-12-30T00:02:31"/>
    <x v="13"/>
    <x v="0"/>
    <s v="Buffalo"/>
    <x v="73"/>
    <n v="1119505"/>
    <x v="0"/>
    <s v="Science: Chemistry; Science"/>
    <s v="9781118355015"/>
    <s v=",1,2,3,75,76,77,78,74,79,80,81,73,72,71,69,70"/>
    <n v="16"/>
    <m/>
    <m/>
    <s v="No"/>
    <x v="1"/>
    <m/>
    <m/>
    <s v="128.205.114.91"/>
    <s v="QD251.3 -- .S38 2013eb"/>
    <s v="547/.128"/>
    <d v="2013-01-28T00:00:00"/>
  </r>
  <r>
    <x v="7694"/>
    <d v="1899-12-30T00:17:20"/>
    <x v="525"/>
    <x v="0"/>
    <s v="Buffalo"/>
    <x v="477"/>
    <n v="1120279"/>
    <x v="0"/>
    <s v="Science: Biology/Natural History; Science"/>
    <s v="9781118537671"/>
    <s v=",1,2,3,15,16,17,13,14,18,19,20,15,14,21,22,23"/>
    <n v="14"/>
    <m/>
    <m/>
    <s v="No"/>
    <x v="1"/>
    <m/>
    <m/>
    <s v="128.205.114.91"/>
    <s v="QH371 .K384 2012"/>
    <n v="599.93499999999995"/>
    <d v="2012-11-19T00:00:00"/>
  </r>
  <r>
    <x v="7695"/>
    <d v="1899-12-30T00:31:39"/>
    <x v="588"/>
    <x v="1"/>
    <s v="brockport"/>
    <x v="1"/>
    <n v="1684620"/>
    <x v="0"/>
    <s v="Health; Social Science"/>
    <s v="9781118418925"/>
    <s v=",114,115,116,117,118,119,120,121,122,123,124,125,126,127,128,129,130,163,165,164,162,161,166,167,168,169,170,113,114,115,111,112,116,117,118,119,120,121,122,124,125,123,130,131,132,133,134,146,147,148,144,149,145,148,143,142,149,150,151,159,160,161,157,158,162,163,164,152,153,154,155,156,157,163,164,158,169,170"/>
    <n v="53"/>
    <m/>
    <m/>
    <s v="No"/>
    <x v="0"/>
    <d v="2015-09-19T16:14:15"/>
    <n v="7"/>
    <s v="137.21.7.121"/>
    <s v="RA971 -- .S56 2014eb"/>
    <n v="362.10680000000002"/>
    <d v="2014-04-30T00:00:00"/>
  </r>
  <r>
    <x v="7696"/>
    <d v="1899-12-30T00:12:13"/>
    <x v="588"/>
    <x v="1"/>
    <s v="brockport"/>
    <x v="1"/>
    <n v="1684620"/>
    <x v="0"/>
    <s v="Health; Social Science"/>
    <s v="9781118418925"/>
    <s v=",1,2,3,108,109,110,106,107,111,112,113"/>
    <n v="11"/>
    <m/>
    <m/>
    <s v="No"/>
    <x v="1"/>
    <m/>
    <m/>
    <s v="137.21.7.121"/>
    <s v="RA971 -- .S56 2014eb"/>
    <n v="362.10680000000002"/>
    <d v="2014-04-30T00:00:00"/>
  </r>
  <r>
    <x v="7697"/>
    <d v="1899-12-30T00:04:08"/>
    <x v="1750"/>
    <x v="0"/>
    <s v="Buffalo"/>
    <x v="1653"/>
    <n v="2049507"/>
    <x v="1"/>
    <s v="Economics; Business/Management"/>
    <s v="9781472439123"/>
    <s v=",16"/>
    <n v="1"/>
    <m/>
    <s v=",16,17,18,19,20,21,25,26,27,28,29,30,31,32,33,34,35,36,37,38,39,40,41,42,43,160,161,162,163,164,170,171,172,173,198,199,240,241,253,254,255"/>
    <s v="No"/>
    <x v="2"/>
    <d v="2015-09-19T13:32:38"/>
    <n v="1"/>
    <s v="128.205.114.91"/>
    <s v="HE5736 .N67 2015"/>
    <s v="338.4/7629227209; 338.47629227209; 338.4''7629227209"/>
    <d v="2015-07-28T00:00:00"/>
  </r>
  <r>
    <x v="7698"/>
    <d v="1899-12-30T00:00:52"/>
    <x v="1750"/>
    <x v="0"/>
    <s v="Buffalo"/>
    <x v="1653"/>
    <n v="2049507"/>
    <x v="1"/>
    <s v="Economics; Business/Management"/>
    <s v="9781472439123"/>
    <s v=",1,2,2,3,3,1,4,4,17,18,18,15,19,17,16,19,2,16,14,16"/>
    <n v="10"/>
    <m/>
    <m/>
    <s v="No"/>
    <x v="3"/>
    <m/>
    <m/>
    <s v="128.205.114.91"/>
    <s v="HE5736 .N67 2015"/>
    <s v="338.4/7629227209; 338.47629227209; 338.4''7629227209"/>
    <d v="2015-07-28T00:00:00"/>
  </r>
  <r>
    <x v="7699"/>
    <d v="1899-12-30T00:19:49"/>
    <x v="1683"/>
    <x v="9"/>
    <s v="trocaire"/>
    <x v="1654"/>
    <n v="1707854"/>
    <x v="3"/>
    <s v="Science: Botany; Science"/>
    <s v="9780520958432"/>
    <s v=",7,8,10,14,15,16,18,17,19,20,22,21,24,23,91,87,84,83,80,26,28,25,27,29,30,31,32,33,34,35,36,37,39,38,40,41,42,43,44,45,46,47,48,49,50,51,54,55,112,113,114,110,111,109,108,107,106,105,103,104,102,115,116,117,130,131,129,132,133,134,135,136,137,139,138,140,141,142,143,144,145,146,356,357,358,359,355"/>
    <n v="87"/>
    <m/>
    <m/>
    <s v="Yes"/>
    <x v="2"/>
    <d v="2015-09-19T03:38:40"/>
    <n v="1"/>
    <s v="173.225.62.67"/>
    <s v="QK495.G74 -- .S623 2014eb"/>
    <n v="584.74"/>
    <d v="2014-09-12T00:00:00"/>
  </r>
  <r>
    <x v="7700"/>
    <d v="1899-12-30T00:00:00"/>
    <x v="1683"/>
    <x v="9"/>
    <s v="trocaire"/>
    <x v="1654"/>
    <n v="1707854"/>
    <x v="3"/>
    <s v="Science: Botany; Science"/>
    <s v="9780520958432"/>
    <m/>
    <n v="0"/>
    <m/>
    <m/>
    <s v="Yes"/>
    <x v="2"/>
    <d v="2015-09-19T03:38:40"/>
    <n v="1"/>
    <s v="173.225.62.67"/>
    <s v="QK495.G74 -- .S623 2014eb"/>
    <n v="584.74"/>
    <d v="2014-09-12T00:00:00"/>
  </r>
  <r>
    <x v="7700"/>
    <d v="1899-12-30T00:00:00"/>
    <x v="1683"/>
    <x v="9"/>
    <s v="trocaire"/>
    <x v="1654"/>
    <n v="1707854"/>
    <x v="3"/>
    <s v="Science: Botany; Science"/>
    <s v="9780520958432"/>
    <m/>
    <n v="0"/>
    <m/>
    <m/>
    <s v="No"/>
    <x v="2"/>
    <d v="2015-09-19T03:38:40"/>
    <n v="1"/>
    <s v="173.225.62.67"/>
    <s v="QK495.G74 -- .S623 2014eb"/>
    <n v="584.74"/>
    <d v="2014-09-12T00:00:00"/>
  </r>
  <r>
    <x v="7701"/>
    <d v="1899-12-30T00:03:06"/>
    <x v="1683"/>
    <x v="9"/>
    <s v="trocaire"/>
    <x v="1654"/>
    <n v="1707854"/>
    <x v="3"/>
    <s v="Science: Botany; Science"/>
    <s v="9780520958432"/>
    <s v=",1,3,2,4,5,6"/>
    <n v="6"/>
    <m/>
    <m/>
    <s v="No"/>
    <x v="3"/>
    <m/>
    <m/>
    <s v="173.225.62.67"/>
    <s v="QK495.G74 -- .S623 2014eb"/>
    <n v="584.74"/>
    <d v="2014-09-12T00:00:00"/>
  </r>
  <r>
    <x v="7702"/>
    <d v="1899-12-30T00:00:00"/>
    <x v="1683"/>
    <x v="9"/>
    <s v="trocaire"/>
    <x v="1655"/>
    <n v="1637201"/>
    <x v="7"/>
    <s v="Science; Science: Botany"/>
    <s v="9781780641843"/>
    <m/>
    <n v="0"/>
    <m/>
    <m/>
    <s v="Yes"/>
    <x v="2"/>
    <d v="2015-09-19T03:32:05"/>
    <n v="1"/>
    <s v="173.225.62.67"/>
    <s v="QK661 -- .S428 2014eb"/>
    <s v="581.4/67"/>
    <d v="2013-01-01T00:00:00"/>
  </r>
  <r>
    <x v="7703"/>
    <d v="1899-12-30T00:00:00"/>
    <x v="1683"/>
    <x v="9"/>
    <s v="trocaire"/>
    <x v="1655"/>
    <n v="1637201"/>
    <x v="7"/>
    <s v="Science; Science: Botany"/>
    <s v="9781780641843"/>
    <m/>
    <n v="0"/>
    <s v=",1"/>
    <m/>
    <s v="No"/>
    <x v="2"/>
    <d v="2015-09-19T03:32:05"/>
    <n v="1"/>
    <s v="173.225.62.67"/>
    <s v="QK661 -- .S428 2014eb"/>
    <s v="581.4/67"/>
    <d v="2013-01-01T00:00:00"/>
  </r>
  <r>
    <x v="7704"/>
    <d v="1899-12-30T00:00:19"/>
    <x v="1683"/>
    <x v="9"/>
    <s v="trocaire"/>
    <x v="1655"/>
    <n v="1637201"/>
    <x v="7"/>
    <s v="Science; Science: Botany"/>
    <s v="9781780641843"/>
    <s v=",1,3,2"/>
    <n v="3"/>
    <m/>
    <m/>
    <s v="No"/>
    <x v="3"/>
    <m/>
    <m/>
    <s v="173.225.62.67"/>
    <s v="QK661 -- .S428 2014eb"/>
    <s v="581.4/67"/>
    <d v="2013-01-01T00:00:00"/>
  </r>
  <r>
    <x v="7705"/>
    <d v="1899-12-30T00:02:20"/>
    <x v="1683"/>
    <x v="9"/>
    <s v="trocaire"/>
    <x v="1656"/>
    <n v="1895512"/>
    <x v="0"/>
    <s v="Agriculture"/>
    <s v="9781118629208"/>
    <s v=",1,2,3,4,8,9,7,10,11,12,13,14,15,16,5"/>
    <n v="15"/>
    <m/>
    <m/>
    <s v="No"/>
    <x v="3"/>
    <m/>
    <m/>
    <s v="173.225.62.67"/>
    <s v="S592.5 -- .B63 2015eb"/>
    <s v="631.4/1"/>
    <d v="2015-04-27T00:00:00"/>
  </r>
  <r>
    <x v="7706"/>
    <d v="1899-12-30T00:01:07"/>
    <x v="1240"/>
    <x v="0"/>
    <s v="Buffalo"/>
    <x v="285"/>
    <n v="1815426"/>
    <x v="4"/>
    <s v="Education"/>
    <s v="9781462519781"/>
    <s v=",1,15,16,17,13,14,2,18"/>
    <n v="8"/>
    <m/>
    <m/>
    <s v="No"/>
    <x v="3"/>
    <m/>
    <m/>
    <s v="128.205.114.91"/>
    <s v="LB1573.7 -- .S734 2015eb"/>
    <n v="372.47"/>
    <d v="2015-02-04T00:00:00"/>
  </r>
  <r>
    <x v="7707"/>
    <d v="1899-12-30T00:00:00"/>
    <x v="1240"/>
    <x v="0"/>
    <s v="Buffalo"/>
    <x v="285"/>
    <n v="1815426"/>
    <x v="4"/>
    <s v="Education"/>
    <s v="9781462519781"/>
    <m/>
    <n v="0"/>
    <m/>
    <m/>
    <s v="No"/>
    <x v="3"/>
    <m/>
    <m/>
    <s v="128.205.114.91"/>
    <s v="LB1573.7 -- .S734 2015eb"/>
    <n v="372.47"/>
    <d v="2015-02-04T00:00:00"/>
  </r>
  <r>
    <x v="7708"/>
    <d v="1899-12-30T00:03:50"/>
    <x v="1373"/>
    <x v="0"/>
    <s v="Buffalo"/>
    <x v="1541"/>
    <n v="2146552"/>
    <x v="0"/>
    <s v="Computer Science/IT; Mathematics"/>
    <s v="9781119042174"/>
    <s v=",1,2,3,65,66,67,63,64,134,136,135,132,133,227,228,229,225,226,244,245,246,242,243,241,240,239,238,237,373,372,374,370,371,375,376,377,378,379,380,381,308,309,306,310,307,305,304,303,302,301"/>
    <n v="50"/>
    <m/>
    <m/>
    <s v="No"/>
    <x v="3"/>
    <m/>
    <m/>
    <s v="128.205.114.91"/>
    <s v="QA279 .E384 2015"/>
    <n v="4.1020938740000004"/>
    <d v="2015-08-10T00:00:00"/>
  </r>
  <r>
    <x v="7709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Yes"/>
    <x v="0"/>
    <d v="2015-09-19T02:26:19"/>
    <n v="7"/>
    <s v="128.205.114.91"/>
    <s v="TA345.5.M38 M34 2014"/>
    <s v="510.285/53; 510.28553"/>
    <d v="2014-03-26T00:00:00"/>
  </r>
  <r>
    <x v="7709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No"/>
    <x v="0"/>
    <d v="2015-09-19T02:26:19"/>
    <n v="7"/>
    <s v="128.205.114.91"/>
    <s v="TA345.5.M38 M34 2014"/>
    <s v="510.285/53; 510.28553"/>
    <d v="2014-03-26T00:00:00"/>
  </r>
  <r>
    <x v="7710"/>
    <d v="1899-12-30T00:00:28"/>
    <x v="1373"/>
    <x v="0"/>
    <s v="Buffalo"/>
    <x v="572"/>
    <n v="1662670"/>
    <x v="0"/>
    <s v="Mathematics; Engineering; Engineering: Civil"/>
    <s v="9781118821251"/>
    <s v=",1,2,3"/>
    <n v="3"/>
    <m/>
    <m/>
    <s v="No"/>
    <x v="1"/>
    <m/>
    <m/>
    <s v="128.205.114.91"/>
    <s v="TA345.5.M38 M34 2014"/>
    <s v="510.285/53; 510.28553"/>
    <d v="2014-03-26T00:00:00"/>
  </r>
  <r>
    <x v="7711"/>
    <d v="1899-12-30T00:03:44"/>
    <x v="1719"/>
    <x v="0"/>
    <s v="Buffalo"/>
    <x v="559"/>
    <n v="1217954"/>
    <x v="1"/>
    <s v="Engineering; Engineering: General"/>
    <s v="9781409457558"/>
    <s v=",1,2,3,23,26,27,28,29,25,354,355,356,352,353,351,350,349,348,68,10,13,11,12,9,8,7,6,5,14,15,16,17,18,19,20,22,21,218,239,240,241,238,237,242,243,244,245,246,247,248,259,260,261,257,258,262,291,292,293,290,294,329,330,331,332,328,327,326,325,324,323,322,321"/>
    <n v="73"/>
    <m/>
    <m/>
    <s v="No"/>
    <x v="0"/>
    <d v="2015-09-18T04:11:27"/>
    <n v="7"/>
    <s v="128.205.114.91"/>
    <s v="T59.7 -- .S73 2013eb"/>
    <s v="620.8/2"/>
    <d v="2013-10-28T00:00:00"/>
  </r>
  <r>
    <x v="7712"/>
    <d v="1899-12-30T00:09:22"/>
    <x v="705"/>
    <x v="13"/>
    <s v="buffalostate"/>
    <x v="516"/>
    <n v="1840835"/>
    <x v="0"/>
    <s v="Business/Management; Economics"/>
    <s v="9781118950166"/>
    <s v=",1,2,3,4,5,25,26,27,31,32,29,33,30,28,34,35"/>
    <n v="16"/>
    <m/>
    <m/>
    <s v="No"/>
    <x v="0"/>
    <d v="2015-09-18T18:20:23"/>
    <n v="7"/>
    <s v="136.183.11.43"/>
    <s v="HD9969.S6 .R384 2014"/>
    <n v="338.10923789999998"/>
    <d v="2014-11-10T00:00:00"/>
  </r>
  <r>
    <x v="7713"/>
    <d v="1899-12-30T00:00:00"/>
    <x v="175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18T21:43:52"/>
    <n v="7"/>
    <s v="128.205.114.91"/>
    <s v="TA1520 -- .S24 2007eb"/>
    <n v="621.36"/>
    <d v="2013-02-05T00:00:00"/>
  </r>
  <r>
    <x v="7714"/>
    <d v="1899-12-30T00:00:00"/>
    <x v="1751"/>
    <x v="0"/>
    <s v="Buffalo"/>
    <x v="500"/>
    <n v="699744"/>
    <x v="0"/>
    <s v="Engineering; Engineering: Electrical; Engineering: Civil"/>
    <s v="9781118585818"/>
    <m/>
    <n v="0"/>
    <m/>
    <m/>
    <s v="Yes"/>
    <x v="0"/>
    <d v="2015-09-18T21:43:52"/>
    <n v="7"/>
    <s v="128.205.114.91"/>
    <s v="TA1520 -- .S24 2007eb"/>
    <n v="621.36"/>
    <d v="2013-02-05T00:00:00"/>
  </r>
  <r>
    <x v="7715"/>
    <d v="1899-12-30T00:25:34"/>
    <x v="1751"/>
    <x v="0"/>
    <s v="Buffalo"/>
    <x v="500"/>
    <n v="699744"/>
    <x v="0"/>
    <s v="Engineering; Engineering: Electrical; Engineering: Civil"/>
    <s v="9781118585818"/>
    <s v=",1,2,3,1,4,1,5,6,7,8,9,10,11,12,17,18,19,15,16,20,21,22,23,24,25,26,27,28,29,30,31,32,27,26,24,25,388,555,845,839,840,841,837,793,794,791,789,790,727,728,725,726,705,687,681,682,683,679,680,632,616,617,614,618,615,620,628,630,631,629,627,633,634,635,636,637,652,653,654,655,651,656,657,658,659,660,661,662,663,664,650,653"/>
    <n v="85"/>
    <s v=",653"/>
    <m/>
    <s v="No"/>
    <x v="0"/>
    <d v="2015-09-18T21:43:52"/>
    <n v="7"/>
    <s v="128.205.114.91"/>
    <s v="TA1520 -- .S24 2007eb"/>
    <n v="621.36"/>
    <d v="2013-02-05T00:00:00"/>
  </r>
  <r>
    <x v="7716"/>
    <d v="1899-12-30T00:00:45"/>
    <x v="1751"/>
    <x v="0"/>
    <s v="Buffalo"/>
    <x v="500"/>
    <n v="699744"/>
    <x v="0"/>
    <s v="Engineering; Engineering: Electrical; Engineering: Civil"/>
    <s v="9781118585818"/>
    <s v=",11,10,5,5"/>
    <n v="3"/>
    <s v=",11"/>
    <m/>
    <s v="No"/>
    <x v="0"/>
    <d v="2015-09-18T21:43:52"/>
    <n v="7"/>
    <s v="128.205.114.91"/>
    <s v="TA1520 -- .S24 2007eb"/>
    <n v="621.36"/>
    <d v="2013-02-05T00:00:00"/>
  </r>
  <r>
    <x v="7717"/>
    <d v="1899-12-30T00:02:27"/>
    <x v="1751"/>
    <x v="0"/>
    <s v="Buffalo"/>
    <x v="500"/>
    <n v="699744"/>
    <x v="0"/>
    <s v="Engineering; Engineering: Electrical; Engineering: Civil"/>
    <s v="9781118585818"/>
    <s v=",1,2,3,45,40,12,10,11,4,5,6,7,8,9,12,13"/>
    <n v="15"/>
    <m/>
    <m/>
    <s v="No"/>
    <x v="1"/>
    <m/>
    <m/>
    <s v="128.205.114.91"/>
    <s v="TA1520 -- .S24 2007eb"/>
    <n v="621.36"/>
    <d v="2013-02-05T00:00:00"/>
  </r>
  <r>
    <x v="7718"/>
    <d v="1899-12-30T00:06:28"/>
    <x v="1582"/>
    <x v="0"/>
    <s v="Buffalo"/>
    <x v="477"/>
    <n v="1120279"/>
    <x v="0"/>
    <s v="Science: Biology/Natural History; Science"/>
    <s v="9781118537671"/>
    <s v=",1,2,3,4,6,5,8,7,9,10,11,12,13,14,15,16,17,18,19,20,21,22,23,24,25,26,27,28,29,30,31,32"/>
    <n v="32"/>
    <m/>
    <m/>
    <s v="No"/>
    <x v="0"/>
    <d v="2015-09-18T20:14:31"/>
    <n v="7"/>
    <s v="128.205.114.91"/>
    <s v="QH371 .K384 2012"/>
    <n v="599.93499999999995"/>
    <d v="2012-11-19T00:00:00"/>
  </r>
  <r>
    <x v="7719"/>
    <d v="1899-12-30T01:01:59"/>
    <x v="1582"/>
    <x v="0"/>
    <s v="Buffalo"/>
    <x v="477"/>
    <n v="1120279"/>
    <x v="0"/>
    <s v="Science: Biology/Natural History; Science"/>
    <s v="9781118537671"/>
    <s v=",21,21,22,22,16,21,22,23"/>
    <n v="4"/>
    <m/>
    <m/>
    <s v="No"/>
    <x v="0"/>
    <d v="2015-09-18T20:14:31"/>
    <n v="7"/>
    <s v="128.205.114.91"/>
    <s v="QH371 .K384 2012"/>
    <n v="599.93499999999995"/>
    <d v="2012-11-19T00:00:00"/>
  </r>
  <r>
    <x v="7720"/>
    <d v="1899-12-30T00:06:51"/>
    <x v="1582"/>
    <x v="0"/>
    <s v="Buffalo"/>
    <x v="477"/>
    <n v="1120279"/>
    <x v="0"/>
    <s v="Science: Biology/Natural History; Science"/>
    <s v="9781118537671"/>
    <s v=",1,2,3,4,5,6,7,8,9,10,11,12,13,14,15,16,17,18,19,20"/>
    <n v="20"/>
    <m/>
    <m/>
    <s v="No"/>
    <x v="1"/>
    <m/>
    <m/>
    <s v="128.205.114.91"/>
    <s v="QH371 .K384 2012"/>
    <n v="599.93499999999995"/>
    <d v="2012-11-19T00:00:00"/>
  </r>
  <r>
    <x v="7721"/>
    <d v="1899-12-30T00:00:00"/>
    <x v="1683"/>
    <x v="9"/>
    <s v="trocaire"/>
    <x v="1657"/>
    <n v="1162068"/>
    <x v="0"/>
    <s v="Political Science"/>
    <s v="9781118561607"/>
    <m/>
    <n v="0"/>
    <m/>
    <m/>
    <s v="Yes"/>
    <x v="0"/>
    <d v="2015-09-18T19:27:11"/>
    <n v="7"/>
    <s v="173.225.62.67"/>
    <s v="JC75.D36 -- G73 2013eb"/>
    <s v="320.938/5"/>
    <d v="2013-04-29T00:00:00"/>
  </r>
  <r>
    <x v="7721"/>
    <d v="1899-12-30T00:00:00"/>
    <x v="1683"/>
    <x v="9"/>
    <s v="trocaire"/>
    <x v="1657"/>
    <n v="1162068"/>
    <x v="0"/>
    <s v="Political Science"/>
    <s v="9781118561607"/>
    <m/>
    <n v="0"/>
    <m/>
    <m/>
    <s v="No"/>
    <x v="0"/>
    <d v="2015-09-18T19:27:11"/>
    <n v="7"/>
    <s v="173.225.62.67"/>
    <s v="JC75.D36 -- G73 2013eb"/>
    <s v="320.938/5"/>
    <d v="2013-04-29T00:00:00"/>
  </r>
  <r>
    <x v="7722"/>
    <d v="1899-12-30T00:00:26"/>
    <x v="1683"/>
    <x v="9"/>
    <s v="trocaire"/>
    <x v="1657"/>
    <n v="1162068"/>
    <x v="0"/>
    <s v="Political Science"/>
    <s v="9781118561607"/>
    <s v=",1,2,3"/>
    <n v="3"/>
    <m/>
    <m/>
    <s v="No"/>
    <x v="3"/>
    <m/>
    <m/>
    <s v="173.225.62.67"/>
    <s v="JC75.D36 -- G73 2013eb"/>
    <s v="320.938/5"/>
    <d v="2013-04-29T00:00:00"/>
  </r>
  <r>
    <x v="7723"/>
    <d v="1899-12-30T00:00:00"/>
    <x v="1683"/>
    <x v="9"/>
    <s v="trocaire"/>
    <x v="1658"/>
    <n v="1564107"/>
    <x v="0"/>
    <s v="Political Science"/>
    <s v="9781118624746"/>
    <m/>
    <n v="0"/>
    <m/>
    <m/>
    <s v="Yes"/>
    <x v="2"/>
    <d v="2015-09-18T19:25:22"/>
    <n v="1"/>
    <s v="173.225.62.67"/>
    <s v="JZ1242 -- .G853 2014eb"/>
    <n v="327.101"/>
    <d v="2013-11-14T00:00:00"/>
  </r>
  <r>
    <x v="7723"/>
    <d v="1899-12-30T00:00:00"/>
    <x v="1683"/>
    <x v="9"/>
    <s v="trocaire"/>
    <x v="1658"/>
    <n v="1564107"/>
    <x v="0"/>
    <s v="Political Science"/>
    <s v="9781118624746"/>
    <m/>
    <n v="0"/>
    <m/>
    <m/>
    <s v="No"/>
    <x v="2"/>
    <d v="2015-09-18T19:25:22"/>
    <n v="1"/>
    <s v="173.225.62.67"/>
    <s v="JZ1242 -- .G853 2014eb"/>
    <n v="327.101"/>
    <d v="2013-11-14T00:00:00"/>
  </r>
  <r>
    <x v="7724"/>
    <d v="1899-12-30T00:00:56"/>
    <x v="1683"/>
    <x v="9"/>
    <s v="trocaire"/>
    <x v="1658"/>
    <n v="1564107"/>
    <x v="0"/>
    <s v="Political Science"/>
    <s v="9781118624746"/>
    <s v=",1,1,2,3"/>
    <n v="3"/>
    <m/>
    <m/>
    <s v="No"/>
    <x v="3"/>
    <m/>
    <m/>
    <s v="173.225.62.67"/>
    <s v="JZ1242 -- .G853 2014eb"/>
    <n v="327.101"/>
    <d v="2013-11-14T00:00:00"/>
  </r>
  <r>
    <x v="7725"/>
    <d v="1899-12-30T00:06:44"/>
    <x v="1582"/>
    <x v="0"/>
    <s v="Buffalo"/>
    <x v="477"/>
    <n v="1120279"/>
    <x v="0"/>
    <s v="Science: Biology/Natural History; Science"/>
    <s v="9781118537671"/>
    <s v=",1,2,3,4,5,6,7,8,9,10,11,12,13,14,15,16,17,18,19,20,21,22,23,24,25,26,27,28,29,30,31,32,33,34"/>
    <n v="34"/>
    <m/>
    <m/>
    <s v="No"/>
    <x v="1"/>
    <m/>
    <m/>
    <s v="128.205.114.91"/>
    <s v="QH371 .K384 2012"/>
    <n v="599.93499999999995"/>
    <d v="2012-11-19T00:00:00"/>
  </r>
  <r>
    <x v="7726"/>
    <d v="1899-12-30T00:00:00"/>
    <x v="1683"/>
    <x v="9"/>
    <s v="trocaire"/>
    <x v="1659"/>
    <n v="1651183"/>
    <x v="0"/>
    <s v="Philosophy; Social Science"/>
    <s v="9780745680064"/>
    <m/>
    <n v="0"/>
    <m/>
    <m/>
    <s v="Yes"/>
    <x v="2"/>
    <d v="2015-09-18T19:18:45"/>
    <n v="1"/>
    <s v="173.225.62.67"/>
    <s v="HM671 -- .H666 2014eb"/>
    <n v="172.2"/>
    <d v="2014-03-11T00:00:00"/>
  </r>
  <r>
    <x v="7726"/>
    <d v="1899-12-30T00:00:00"/>
    <x v="1683"/>
    <x v="9"/>
    <s v="trocaire"/>
    <x v="1659"/>
    <n v="1651183"/>
    <x v="0"/>
    <s v="Philosophy; Social Science"/>
    <s v="9780745680064"/>
    <m/>
    <n v="0"/>
    <m/>
    <m/>
    <s v="No"/>
    <x v="2"/>
    <d v="2015-09-18T19:18:45"/>
    <n v="1"/>
    <s v="173.225.62.67"/>
    <s v="HM671 -- .H666 2014eb"/>
    <n v="172.2"/>
    <d v="2014-03-11T00:00:00"/>
  </r>
  <r>
    <x v="7727"/>
    <d v="1899-12-30T00:01:04"/>
    <x v="1683"/>
    <x v="9"/>
    <s v="trocaire"/>
    <x v="1659"/>
    <n v="1651183"/>
    <x v="0"/>
    <s v="Philosophy; Social Science"/>
    <s v="9780745680064"/>
    <s v=",2,1,3"/>
    <n v="3"/>
    <m/>
    <m/>
    <s v="No"/>
    <x v="3"/>
    <m/>
    <m/>
    <s v="173.225.62.67"/>
    <s v="HM671 -- .H666 2014eb"/>
    <n v="172.2"/>
    <d v="2014-03-11T00:00:00"/>
  </r>
  <r>
    <x v="7728"/>
    <d v="1899-12-30T00:00:03"/>
    <x v="1752"/>
    <x v="0"/>
    <s v="Buffalo"/>
    <x v="477"/>
    <n v="1120279"/>
    <x v="0"/>
    <s v="Science: Biology/Natural History; Science"/>
    <s v="9781118537671"/>
    <s v=",1,2,3"/>
    <n v="3"/>
    <m/>
    <m/>
    <s v="No"/>
    <x v="1"/>
    <m/>
    <m/>
    <s v="128.205.114.91"/>
    <s v="QH371 .K384 2012"/>
    <n v="599.93499999999995"/>
    <d v="2012-11-19T00:00:00"/>
  </r>
  <r>
    <x v="7729"/>
    <d v="1899-12-30T00:00:00"/>
    <x v="1683"/>
    <x v="9"/>
    <s v="trocaire"/>
    <x v="1660"/>
    <n v="1656355"/>
    <x v="0"/>
    <s v="Political Science; Social Science"/>
    <s v="9780745681467"/>
    <m/>
    <n v="0"/>
    <m/>
    <m/>
    <s v="Yes"/>
    <x v="2"/>
    <d v="2015-09-18T19:09:04"/>
    <n v="1"/>
    <s v="173.225.62.67"/>
    <s v="JV6021 .S813 2014"/>
    <n v="304.82089999999999"/>
    <d v="2014-03-18T00:00:00"/>
  </r>
  <r>
    <x v="7729"/>
    <d v="1899-12-30T00:00:00"/>
    <x v="1683"/>
    <x v="9"/>
    <s v="trocaire"/>
    <x v="1660"/>
    <n v="1656355"/>
    <x v="0"/>
    <s v="Political Science; Social Science"/>
    <s v="9780745681467"/>
    <m/>
    <n v="0"/>
    <m/>
    <m/>
    <s v="No"/>
    <x v="2"/>
    <d v="2015-09-18T19:09:04"/>
    <n v="1"/>
    <s v="173.225.62.67"/>
    <s v="JV6021 .S813 2014"/>
    <n v="304.82089999999999"/>
    <d v="2014-03-18T00:00:00"/>
  </r>
  <r>
    <x v="7730"/>
    <d v="1899-12-30T00:01:11"/>
    <x v="1683"/>
    <x v="9"/>
    <s v="trocaire"/>
    <x v="1660"/>
    <n v="1656355"/>
    <x v="0"/>
    <s v="Political Science; Social Science"/>
    <s v="9780745681467"/>
    <s v=",1,3,2,4"/>
    <n v="4"/>
    <m/>
    <m/>
    <s v="No"/>
    <x v="3"/>
    <m/>
    <m/>
    <s v="173.225.62.67"/>
    <s v="JV6021 .S813 2014"/>
    <n v="304.82089999999999"/>
    <d v="2014-03-18T00:00:00"/>
  </r>
  <r>
    <x v="7731"/>
    <d v="1899-12-30T00:00:00"/>
    <x v="1683"/>
    <x v="9"/>
    <s v="trocaire"/>
    <x v="1661"/>
    <n v="1729062"/>
    <x v="0"/>
    <s v="Political Science"/>
    <s v="9780745685366"/>
    <m/>
    <n v="0"/>
    <m/>
    <m/>
    <s v="Yes"/>
    <x v="2"/>
    <d v="2015-09-18T19:05:37"/>
    <n v="1"/>
    <s v="173.225.62.67"/>
    <s v="JX1291 -- .B893 2014eb"/>
    <n v="327"/>
    <d v="2014-07-02T00:00:00"/>
  </r>
  <r>
    <x v="7731"/>
    <d v="1899-12-30T00:00:00"/>
    <x v="1683"/>
    <x v="9"/>
    <s v="trocaire"/>
    <x v="1661"/>
    <n v="1729062"/>
    <x v="0"/>
    <s v="Political Science"/>
    <s v="9780745685366"/>
    <m/>
    <n v="0"/>
    <m/>
    <m/>
    <s v="No"/>
    <x v="2"/>
    <d v="2015-09-18T19:05:37"/>
    <n v="1"/>
    <s v="173.225.62.67"/>
    <s v="JX1291 -- .B893 2014eb"/>
    <n v="327"/>
    <d v="2014-07-02T00:00:00"/>
  </r>
  <r>
    <x v="7732"/>
    <d v="1899-12-30T00:00:14"/>
    <x v="1683"/>
    <x v="9"/>
    <s v="trocaire"/>
    <x v="1661"/>
    <n v="1729062"/>
    <x v="0"/>
    <s v="Political Science"/>
    <s v="9780745685366"/>
    <s v=",1,2,3"/>
    <n v="3"/>
    <m/>
    <m/>
    <s v="No"/>
    <x v="3"/>
    <m/>
    <m/>
    <s v="173.225.62.67"/>
    <s v="JX1291 -- .B893 2014eb"/>
    <n v="327"/>
    <d v="2014-07-02T00:00:00"/>
  </r>
  <r>
    <x v="7733"/>
    <d v="1899-12-30T00:00:00"/>
    <x v="1683"/>
    <x v="9"/>
    <s v="trocaire"/>
    <x v="1662"/>
    <n v="2004767"/>
    <x v="1"/>
    <s v="Social Science; Political Science"/>
    <s v="9781472430342"/>
    <m/>
    <n v="0"/>
    <m/>
    <m/>
    <s v="Yes"/>
    <x v="2"/>
    <d v="2015-09-18T19:02:15"/>
    <n v="1"/>
    <s v="173.225.62.67"/>
    <s v="JV6342 -- .D576 2015eb"/>
    <s v="305.9/06912"/>
    <d v="2015-04-28T00:00:00"/>
  </r>
  <r>
    <x v="7733"/>
    <d v="1899-12-30T00:00:00"/>
    <x v="1683"/>
    <x v="9"/>
    <s v="trocaire"/>
    <x v="1662"/>
    <n v="2004767"/>
    <x v="1"/>
    <s v="Social Science; Political Science"/>
    <s v="9781472430342"/>
    <m/>
    <n v="0"/>
    <m/>
    <m/>
    <s v="No"/>
    <x v="2"/>
    <d v="2015-09-18T19:02:15"/>
    <n v="1"/>
    <s v="173.225.62.67"/>
    <s v="JV6342 -- .D576 2015eb"/>
    <s v="305.9/06912"/>
    <d v="2015-04-28T00:00:00"/>
  </r>
  <r>
    <x v="7734"/>
    <d v="1899-12-30T00:01:26"/>
    <x v="1683"/>
    <x v="9"/>
    <s v="trocaire"/>
    <x v="1662"/>
    <n v="2004767"/>
    <x v="1"/>
    <s v="Social Science; Political Science"/>
    <s v="9781472430342"/>
    <s v=",1,2,3"/>
    <n v="3"/>
    <m/>
    <m/>
    <s v="No"/>
    <x v="3"/>
    <m/>
    <m/>
    <s v="173.225.62.67"/>
    <s v="JV6342 -- .D576 2015eb"/>
    <s v="305.9/06912"/>
    <d v="2015-04-28T00:00:00"/>
  </r>
  <r>
    <x v="7735"/>
    <d v="1899-12-30T00:00:00"/>
    <x v="1683"/>
    <x v="9"/>
    <s v="trocaire"/>
    <x v="1663"/>
    <n v="1645633"/>
    <x v="0"/>
    <s v="Geography/Travel"/>
    <s v="9780745683683"/>
    <m/>
    <n v="0"/>
    <m/>
    <m/>
    <s v="Yes"/>
    <x v="2"/>
    <d v="2015-09-18T18:47:22"/>
    <n v="1"/>
    <s v="173.225.62.67"/>
    <s v="GA13 .L471 2014"/>
    <n v="909.5"/>
    <d v="2014-02-28T00:00:00"/>
  </r>
  <r>
    <x v="7735"/>
    <d v="1899-12-30T00:00:00"/>
    <x v="1683"/>
    <x v="9"/>
    <s v="trocaire"/>
    <x v="1663"/>
    <n v="1645633"/>
    <x v="0"/>
    <s v="Geography/Travel"/>
    <s v="9780745683683"/>
    <m/>
    <n v="0"/>
    <m/>
    <m/>
    <s v="No"/>
    <x v="2"/>
    <d v="2015-09-18T18:47:22"/>
    <n v="1"/>
    <s v="173.225.62.67"/>
    <s v="GA13 .L471 2014"/>
    <n v="909.5"/>
    <d v="2014-02-28T00:00:00"/>
  </r>
  <r>
    <x v="7736"/>
    <d v="1899-12-30T00:03:19"/>
    <x v="1683"/>
    <x v="9"/>
    <s v="trocaire"/>
    <x v="1663"/>
    <n v="1645633"/>
    <x v="0"/>
    <s v="Geography/Travel"/>
    <s v="9780745683683"/>
    <s v=",1,1,2,3,4,5"/>
    <n v="5"/>
    <m/>
    <m/>
    <s v="No"/>
    <x v="3"/>
    <m/>
    <m/>
    <s v="173.225.62.67"/>
    <s v="GA13 .L471 2014"/>
    <n v="909.5"/>
    <d v="2014-02-28T00:00:00"/>
  </r>
  <r>
    <x v="7737"/>
    <d v="1899-12-30T00:00:00"/>
    <x v="1683"/>
    <x v="9"/>
    <s v="trocaire"/>
    <x v="1664"/>
    <n v="707969"/>
    <x v="0"/>
    <s v="Geography/Travel; Political Science"/>
    <s v="9781444397338"/>
    <m/>
    <n v="0"/>
    <m/>
    <m/>
    <s v="Yes"/>
    <x v="2"/>
    <d v="2015-09-18T18:42:54"/>
    <n v="1"/>
    <s v="173.225.62.67"/>
    <s v="G62 -- .P65 2010eb"/>
    <s v="320.01/1"/>
    <d v="2013-12-24T00:00:00"/>
  </r>
  <r>
    <x v="7737"/>
    <d v="1899-12-30T00:00:00"/>
    <x v="1683"/>
    <x v="9"/>
    <s v="trocaire"/>
    <x v="1664"/>
    <n v="707969"/>
    <x v="0"/>
    <s v="Geography/Travel; Political Science"/>
    <s v="9781444397338"/>
    <m/>
    <n v="0"/>
    <m/>
    <m/>
    <s v="No"/>
    <x v="2"/>
    <d v="2015-09-18T18:42:54"/>
    <n v="1"/>
    <s v="173.225.62.67"/>
    <s v="G62 -- .P65 2010eb"/>
    <s v="320.01/1"/>
    <d v="2013-12-24T00:00:00"/>
  </r>
  <r>
    <x v="7738"/>
    <d v="1899-12-30T00:00:40"/>
    <x v="1683"/>
    <x v="9"/>
    <s v="trocaire"/>
    <x v="1664"/>
    <n v="707969"/>
    <x v="0"/>
    <s v="Geography/Travel; Political Science"/>
    <s v="9781444397338"/>
    <s v=",1,2,3"/>
    <n v="3"/>
    <m/>
    <m/>
    <s v="No"/>
    <x v="3"/>
    <m/>
    <m/>
    <s v="173.225.62.67"/>
    <s v="G62 -- .P65 2010eb"/>
    <s v="320.01/1"/>
    <d v="2013-12-24T00:00:00"/>
  </r>
  <r>
    <x v="7739"/>
    <d v="1899-12-30T00:06:28"/>
    <x v="1753"/>
    <x v="0"/>
    <s v="Buffalo"/>
    <x v="552"/>
    <n v="1294909"/>
    <x v="3"/>
    <s v="Economics; Business/Management"/>
    <s v="9780520956797"/>
    <s v=",60,61,62,63"/>
    <n v="4"/>
    <m/>
    <m/>
    <s v="No"/>
    <x v="0"/>
    <d v="2015-09-18T18:40:40"/>
    <n v="7"/>
    <s v="128.205.114.91"/>
    <s v="HC110.P6 -- I25 2013eb"/>
    <s v="339.4/60973"/>
    <d v="2013-08-01T00:00:00"/>
  </r>
  <r>
    <x v="7740"/>
    <d v="1899-12-30T00:00:00"/>
    <x v="1683"/>
    <x v="9"/>
    <s v="trocaire"/>
    <x v="1251"/>
    <n v="1323948"/>
    <x v="0"/>
    <s v="History"/>
    <s v="9781118473443"/>
    <m/>
    <n v="0"/>
    <m/>
    <m/>
    <s v="Yes"/>
    <x v="0"/>
    <d v="2015-09-18T18:40:09"/>
    <n v="7"/>
    <s v="173.225.62.67"/>
    <s v="DS735 -- .R68 2014eb"/>
    <n v="951"/>
    <d v="2013-07-23T00:00:00"/>
  </r>
  <r>
    <x v="7740"/>
    <d v="1899-12-30T00:00:00"/>
    <x v="1683"/>
    <x v="9"/>
    <s v="trocaire"/>
    <x v="1251"/>
    <n v="1323948"/>
    <x v="0"/>
    <s v="History"/>
    <s v="9781118473443"/>
    <m/>
    <n v="0"/>
    <m/>
    <m/>
    <s v="No"/>
    <x v="0"/>
    <d v="2015-09-18T18:40:09"/>
    <n v="7"/>
    <s v="173.225.62.67"/>
    <s v="DS735 -- .R68 2014eb"/>
    <n v="951"/>
    <d v="2013-07-23T00:00:00"/>
  </r>
  <r>
    <x v="7741"/>
    <d v="1899-12-30T00:00:26"/>
    <x v="1683"/>
    <x v="9"/>
    <s v="trocaire"/>
    <x v="1251"/>
    <n v="1323948"/>
    <x v="0"/>
    <s v="History"/>
    <s v="9781118473443"/>
    <s v=",1,2,1,3"/>
    <n v="3"/>
    <m/>
    <m/>
    <s v="No"/>
    <x v="3"/>
    <m/>
    <m/>
    <s v="173.225.62.67"/>
    <s v="DS735 -- .R68 2014eb"/>
    <n v="951"/>
    <d v="2013-07-23T00:00:00"/>
  </r>
  <r>
    <x v="7742"/>
    <d v="1899-12-30T00:08:29"/>
    <x v="1754"/>
    <x v="0"/>
    <s v="Buffalo"/>
    <x v="552"/>
    <n v="1294909"/>
    <x v="3"/>
    <s v="Economics; Business/Management"/>
    <s v="9780520956797"/>
    <s v=",1,59,60,61,57,58,55,56,2,2,1,3,4,6,7,8,9,5,37,38,39,35,36,40,41,42,43,44,45,2,46,47,54,55,56,52,53,57,58,59,60,61,62,63,64,65,66,67,68,69,70,71,72,73,1,73,75,74,71,72,2,70,69,68,67,66,65,64,62,63,61,60,58,59,56,57"/>
    <n v="46"/>
    <m/>
    <m/>
    <s v="No"/>
    <x v="0"/>
    <d v="2015-09-18T18:39:30"/>
    <n v="7"/>
    <s v="128.205.114.91"/>
    <s v="HC110.P6 -- I25 2013eb"/>
    <s v="339.4/60973"/>
    <d v="2013-08-01T00:00:00"/>
  </r>
  <r>
    <x v="7743"/>
    <d v="1899-12-30T00:08:43"/>
    <x v="1755"/>
    <x v="0"/>
    <s v="Buffalo"/>
    <x v="552"/>
    <n v="1294909"/>
    <x v="3"/>
    <s v="Economics; Business/Management"/>
    <s v="9780520956797"/>
    <s v=",60,60,61,61,62,62,57,56,55,60,61,62,63,63,64,64,65,66,66,67,65,67,61,59,58,57,55,56,60,61,62,63,64,59,58,57,56,58,59,60,56,57,55,60,61"/>
    <n v="13"/>
    <m/>
    <m/>
    <s v="No"/>
    <x v="0"/>
    <d v="2015-09-18T18:37:16"/>
    <n v="7"/>
    <s v="128.205.114.91"/>
    <s v="HC110.P6 -- I25 2013eb"/>
    <s v="339.4/60973"/>
    <d v="2013-08-01T00:00:00"/>
  </r>
  <r>
    <x v="7744"/>
    <d v="1899-12-30T00:14:47"/>
    <x v="1753"/>
    <x v="0"/>
    <s v="Buffalo"/>
    <x v="552"/>
    <n v="1294909"/>
    <x v="3"/>
    <s v="Economics; Business/Management"/>
    <s v="9780520956797"/>
    <s v=",1,2,3,54,55,56,52,57,58,59"/>
    <n v="10"/>
    <m/>
    <m/>
    <s v="No"/>
    <x v="1"/>
    <m/>
    <m/>
    <s v="128.205.114.91"/>
    <s v="HC110.P6 -- I25 2013eb"/>
    <s v="339.4/60973"/>
    <d v="2013-08-01T00:00:00"/>
  </r>
  <r>
    <x v="7745"/>
    <d v="1899-12-30T00:00:00"/>
    <x v="26"/>
    <x v="6"/>
    <s v="sjfc"/>
    <x v="1665"/>
    <n v="1204636"/>
    <x v="11"/>
    <s v="Science: Anatomy/Physiology; Business/Management; Science"/>
    <s v="9780226020952"/>
    <m/>
    <n v="0"/>
    <m/>
    <m/>
    <s v="Yes"/>
    <x v="2"/>
    <d v="2015-09-18T18:23:46"/>
    <n v="7"/>
    <s v="149.69.254.57"/>
    <s v="HB1322.3 -- .A58 2013eb"/>
    <s v="612.6/8"/>
    <d v="2013-05-01T00:00:00"/>
  </r>
  <r>
    <x v="7745"/>
    <d v="1899-12-30T00:00:00"/>
    <x v="26"/>
    <x v="6"/>
    <s v="sjfc"/>
    <x v="1665"/>
    <n v="1204636"/>
    <x v="11"/>
    <s v="Science: Anatomy/Physiology; Business/Management; Science"/>
    <s v="9780226020952"/>
    <m/>
    <n v="0"/>
    <m/>
    <m/>
    <s v="No"/>
    <x v="2"/>
    <d v="2015-09-18T18:23:46"/>
    <n v="7"/>
    <s v="149.69.254.57"/>
    <s v="HB1322.3 -- .A58 2013eb"/>
    <s v="612.6/8"/>
    <d v="2013-05-01T00:00:00"/>
  </r>
  <r>
    <x v="7746"/>
    <d v="1899-12-30T00:16:46"/>
    <x v="1754"/>
    <x v="0"/>
    <s v="Buffalo"/>
    <x v="552"/>
    <n v="1294909"/>
    <x v="3"/>
    <s v="Economics; Business/Management"/>
    <s v="9780520956797"/>
    <s v=",1,2,3,54,55,56,52,53,57,1,57,58,59,55,56,2,53,54,52,1,52,53,54,50,51,55,56,57,58,2,59"/>
    <n v="13"/>
    <m/>
    <m/>
    <s v="No"/>
    <x v="1"/>
    <m/>
    <m/>
    <s v="128.205.114.91"/>
    <s v="HC110.P6 -- I25 2013eb"/>
    <s v="339.4/60973"/>
    <d v="2013-08-01T00:00:00"/>
  </r>
  <r>
    <x v="7747"/>
    <d v="1899-12-30T00:01:08"/>
    <x v="26"/>
    <x v="6"/>
    <s v="sjfc"/>
    <x v="1665"/>
    <n v="1204636"/>
    <x v="11"/>
    <s v="Science: Anatomy/Physiology; Business/Management; Science"/>
    <s v="9780226020952"/>
    <s v=",1,2,3,98,241,242,239,17,18,19,15,16,17"/>
    <n v="12"/>
    <m/>
    <m/>
    <s v="No"/>
    <x v="3"/>
    <m/>
    <m/>
    <s v="149.69.254.57"/>
    <s v="HB1322.3 -- .A58 2013eb"/>
    <s v="612.6/8"/>
    <d v="2013-05-01T00:00:00"/>
  </r>
  <r>
    <x v="7748"/>
    <d v="1899-12-30T00:20:29"/>
    <x v="13"/>
    <x v="0"/>
    <s v="Buffalo"/>
    <x v="552"/>
    <n v="1294909"/>
    <x v="3"/>
    <s v="Economics; Business/Management"/>
    <s v="9780520956797"/>
    <s v=",1,1,2,2,3,3,54,54,55,55,56,56,57,57,53,52,2,57,58,58,56,56,56,57,58,57,58,57,58,59,60,61,62,63,64,59,58,59,60,61"/>
    <n v="16"/>
    <m/>
    <m/>
    <s v="No"/>
    <x v="0"/>
    <d v="2015-09-18T17:25:18"/>
    <n v="7"/>
    <s v="128.205.114.91"/>
    <s v="HC110.P6 -- I25 2013eb"/>
    <s v="339.4/60973"/>
    <d v="2013-08-01T00:00:00"/>
  </r>
  <r>
    <x v="7749"/>
    <d v="1899-12-30T00:15:40"/>
    <x v="1755"/>
    <x v="0"/>
    <s v="Buffalo"/>
    <x v="552"/>
    <n v="1294909"/>
    <x v="3"/>
    <s v="Economics; Business/Management"/>
    <s v="9780520956797"/>
    <s v=",1,1,2,3,2,3,4,4,5,5,6,6,8,8,14,14,15,15,12,54,54,55,55,56,52,56,53,53,2,57,57,58,58,59,59"/>
    <n v="18"/>
    <m/>
    <m/>
    <s v="No"/>
    <x v="1"/>
    <m/>
    <m/>
    <s v="128.205.114.91"/>
    <s v="HC110.P6 -- I25 2013eb"/>
    <s v="339.4/60973"/>
    <d v="2013-08-01T00:00:00"/>
  </r>
  <r>
    <x v="7750"/>
    <d v="1899-12-30T00:22:09"/>
    <x v="13"/>
    <x v="0"/>
    <s v="Buffalo"/>
    <x v="552"/>
    <n v="1294909"/>
    <x v="3"/>
    <s v="Economics; Business/Management"/>
    <s v="9780520956797"/>
    <s v=",1,1,2,2,3,3,54,54,55,56,55,52,56,53,53,57,57,58,59,59,60,58,60,61,61,62,62,63,2,63,64,64,65,66,61,66,60,65,59,58,57,56,55,54,52,53,57,58,59,60,61,56,55,60,55,60,55,60,61"/>
    <n v="18"/>
    <m/>
    <m/>
    <s v="No"/>
    <x v="0"/>
    <d v="2015-09-18T17:25:18"/>
    <n v="7"/>
    <s v="128.205.114.91"/>
    <s v="HC110.P6 -- I25 2013eb"/>
    <s v="339.4/60973"/>
    <d v="2013-08-01T00:00:00"/>
  </r>
  <r>
    <x v="7751"/>
    <d v="1899-12-30T00:25:57"/>
    <x v="13"/>
    <x v="0"/>
    <s v="Buffalo"/>
    <x v="552"/>
    <n v="1294909"/>
    <x v="3"/>
    <s v="Economics; Business/Management"/>
    <s v="9780520956797"/>
    <s v=",1,2,1,2,3,1,3,2,2,54,54,55,56,55,56,52,53,53,57,57,58,58,59,59,54,59,60,60,61,61,56,55,54,59,60,61,62,62,63,63,64,64,59,58,57,62,63,64,65,65,66,66,67,68,69,67,70,68,69,70,65,70,65,64,62,61,63,59,60,58,57,56,55,54,59,55,60,61,56,61,55,60,55,60,58,59,60,56,57,61,62,63,64,65"/>
    <n v="22"/>
    <m/>
    <m/>
    <s v="No"/>
    <x v="0"/>
    <d v="2015-09-18T17:25:18"/>
    <n v="7"/>
    <s v="128.205.114.91"/>
    <s v="HC110.P6 -- I25 2013eb"/>
    <s v="339.4/60973"/>
    <d v="2013-08-01T00:00:00"/>
  </r>
  <r>
    <x v="7752"/>
    <d v="1899-12-30T00:00:01"/>
    <x v="13"/>
    <x v="0"/>
    <s v="Buffalo"/>
    <x v="552"/>
    <n v="1294909"/>
    <x v="3"/>
    <s v="Economics; Business/Management"/>
    <s v="9780520956797"/>
    <s v=",2,2"/>
    <n v="1"/>
    <m/>
    <m/>
    <s v="Yes"/>
    <x v="0"/>
    <d v="2015-09-18T17:25:18"/>
    <n v="7"/>
    <s v="128.205.114.91"/>
    <s v="HC110.P6 -- I25 2013eb"/>
    <s v="339.4/60973"/>
    <d v="2013-08-01T00:00:00"/>
  </r>
  <r>
    <x v="7753"/>
    <d v="1899-12-30T00:00:05"/>
    <x v="13"/>
    <x v="0"/>
    <s v="Buffalo"/>
    <x v="552"/>
    <n v="1294909"/>
    <x v="3"/>
    <s v="Economics; Business/Management"/>
    <s v="9780520956797"/>
    <s v=",1,1,2,2,3,3"/>
    <n v="3"/>
    <m/>
    <m/>
    <s v="No"/>
    <x v="0"/>
    <d v="2015-09-18T17:25:18"/>
    <n v="7"/>
    <s v="128.205.114.91"/>
    <s v="HC110.P6 -- I25 2013eb"/>
    <s v="339.4/60973"/>
    <d v="2013-08-01T00:00:00"/>
  </r>
  <r>
    <x v="7754"/>
    <d v="1899-12-30T00:02:30"/>
    <x v="705"/>
    <x v="13"/>
    <s v="buffalostate"/>
    <x v="516"/>
    <n v="1840835"/>
    <x v="0"/>
    <s v="Business/Management; Economics"/>
    <s v="9781118950166"/>
    <s v=",31,32"/>
    <n v="2"/>
    <m/>
    <m/>
    <s v="No"/>
    <x v="0"/>
    <d v="2015-09-18T18:20:23"/>
    <n v="7"/>
    <s v="136.183.11.43"/>
    <s v="HD9969.S6 .R384 2014"/>
    <n v="338.10923789999998"/>
    <d v="2014-11-10T00:00:00"/>
  </r>
  <r>
    <x v="7755"/>
    <d v="1899-12-30T00:23:13"/>
    <x v="13"/>
    <x v="0"/>
    <s v="Buffalo"/>
    <x v="552"/>
    <n v="1294909"/>
    <x v="3"/>
    <s v="Economics; Business/Management"/>
    <s v="9780520956797"/>
    <s v=",1,2,3,54,55,56,52,53,57,58,59,60,61,62,63,64,65,66,67,68,69,70,71,72"/>
    <n v="24"/>
    <m/>
    <m/>
    <s v="No"/>
    <x v="0"/>
    <d v="2015-09-18T17:25:18"/>
    <n v="7"/>
    <s v="128.205.114.91"/>
    <s v="HC110.P6 -- I25 2013eb"/>
    <s v="339.4/60973"/>
    <d v="2013-08-01T00:00:00"/>
  </r>
  <r>
    <x v="7756"/>
    <d v="1899-12-30T00:29:38"/>
    <x v="13"/>
    <x v="0"/>
    <s v="Buffalo"/>
    <x v="552"/>
    <n v="1294909"/>
    <x v="3"/>
    <s v="Economics; Business/Management"/>
    <s v="9780520956797"/>
    <s v=",1,2,3,54,55,56,52,53,57,58,59,60,55,60,61,56,55"/>
    <n v="13"/>
    <m/>
    <m/>
    <s v="No"/>
    <x v="0"/>
    <d v="2015-09-18T17:25:18"/>
    <n v="7"/>
    <s v="128.205.114.91"/>
    <s v="HC110.P6 -- I25 2013eb"/>
    <s v="339.4/60973"/>
    <d v="2013-08-01T00:00:00"/>
  </r>
  <r>
    <x v="7757"/>
    <d v="1899-12-30T00:00:00"/>
    <x v="1756"/>
    <x v="0"/>
    <s v="Buffalo"/>
    <x v="64"/>
    <n v="836614"/>
    <x v="9"/>
    <s v="Language/Linguistics"/>
    <s v="9781118315958"/>
    <m/>
    <n v="0"/>
    <m/>
    <s v=",81,82,83,84,85,86,87,88,89,90,91,92,93,94,95,96,97,98,99,100,101,102,103,104,105,106,107,108,109,110,111,112,113"/>
    <s v="No"/>
    <x v="0"/>
    <d v="2015-09-18T18:17:11"/>
    <n v="7"/>
    <s v="128.205.114.91"/>
    <s v="P217 -- .H346 2009eb"/>
    <n v="414"/>
    <d v="2011-12-15T00:00:00"/>
  </r>
  <r>
    <x v="7758"/>
    <d v="1899-12-30T00:01:42"/>
    <x v="1756"/>
    <x v="0"/>
    <s v="Buffalo"/>
    <x v="64"/>
    <n v="836614"/>
    <x v="9"/>
    <s v="Language/Linguistics"/>
    <s v="9781118315958"/>
    <s v=",1,2,3,132,133,134,114,115,116,81,82,83,84,85,86,87,88,89,90,91,92,84,82,83,80,81,79,83,79,80,84,85,87,88,90,91,92,93,94,95,96,97,98,99,100,101,102,103,104,105,106,107,108,109,110,111,112,113,107,114,115,116"/>
    <n v="44"/>
    <m/>
    <m/>
    <s v="No"/>
    <x v="1"/>
    <m/>
    <m/>
    <s v="128.205.114.91"/>
    <s v="P217 -- .H346 2009eb"/>
    <n v="414"/>
    <d v="2011-12-15T00:00:00"/>
  </r>
  <r>
    <x v="7759"/>
    <d v="1899-12-30T00:10:14"/>
    <x v="705"/>
    <x v="13"/>
    <s v="buffalostate"/>
    <x v="516"/>
    <n v="1840835"/>
    <x v="0"/>
    <s v="Business/Management; Economics"/>
    <s v="9781118950166"/>
    <s v=",1,2,3,23,24,25,21,22,26,27,28,29,94,95,96,92,97,99,93,13,14,15,11,12,28,29,30"/>
    <n v="25"/>
    <m/>
    <m/>
    <s v="No"/>
    <x v="1"/>
    <m/>
    <m/>
    <s v="136.183.11.43"/>
    <s v="HD9969.S6 .R384 2014"/>
    <n v="338.10923789999998"/>
    <d v="2014-11-10T00:00:00"/>
  </r>
  <r>
    <x v="7760"/>
    <d v="1899-12-30T00:00:21"/>
    <x v="1757"/>
    <x v="0"/>
    <s v="Buffalo"/>
    <x v="31"/>
    <n v="1682559"/>
    <x v="4"/>
    <s v="Medicine"/>
    <s v="9781462515431"/>
    <s v=",1,122,123,124,120,121,132,127,128,129,125,126,2"/>
    <n v="13"/>
    <m/>
    <m/>
    <s v="No"/>
    <x v="1"/>
    <m/>
    <m/>
    <s v="128.205.114.91"/>
    <s v="RC469 -- .M677 2014eb"/>
    <n v="616.89"/>
    <d v="2014-05-10T00:00:00"/>
  </r>
  <r>
    <x v="7761"/>
    <d v="1899-12-30T00:15:40"/>
    <x v="1758"/>
    <x v="1"/>
    <s v="brockport"/>
    <x v="1"/>
    <n v="1684620"/>
    <x v="0"/>
    <s v="Health; Social Science"/>
    <s v="9781118418925"/>
    <s v=",124,125,126,123,122,127,128,129,130,146,147,148,144,145,149,159,160,161,157,162,158,163,164,165,166,167,171,172,173,170,169,168"/>
    <n v="32"/>
    <m/>
    <m/>
    <s v="No"/>
    <x v="0"/>
    <d v="2015-09-18T17:31:44"/>
    <n v="7"/>
    <s v="137.21.7.121"/>
    <s v="RA971 -- .S56 2014eb"/>
    <n v="362.10680000000002"/>
    <d v="2014-04-30T00:00:00"/>
  </r>
  <r>
    <x v="7762"/>
    <d v="1899-12-30T00:06:51"/>
    <x v="13"/>
    <x v="0"/>
    <s v="Buffalo"/>
    <x v="552"/>
    <n v="1294909"/>
    <x v="3"/>
    <s v="Economics; Business/Management"/>
    <s v="9780520956797"/>
    <s v=",63,64,65,66,67,68,69,70,71,72"/>
    <n v="10"/>
    <m/>
    <m/>
    <s v="No"/>
    <x v="0"/>
    <d v="2015-09-18T17:25:18"/>
    <n v="7"/>
    <s v="128.205.114.91"/>
    <s v="HC110.P6 -- I25 2013eb"/>
    <s v="339.4/60973"/>
    <d v="2013-08-01T00:00:00"/>
  </r>
  <r>
    <x v="7763"/>
    <d v="1899-12-30T00:01:30"/>
    <x v="1134"/>
    <x v="13"/>
    <s v="buffalostate"/>
    <x v="1666"/>
    <n v="1590687"/>
    <x v="1"/>
    <s v="Social Science; Political Science"/>
    <s v="9781472417817"/>
    <s v=",2,1,3,14,15,16,12,17,18,19,13,164,165,166,162,163"/>
    <n v="16"/>
    <m/>
    <m/>
    <s v="No"/>
    <x v="3"/>
    <m/>
    <m/>
    <s v="136.183.11.43"/>
    <s v="JC328.7 -- .H679 2014eb"/>
    <n v="363.32"/>
    <d v="2014-06-28T00:00:00"/>
  </r>
  <r>
    <x v="7764"/>
    <d v="1899-12-30T00:13:52"/>
    <x v="1758"/>
    <x v="1"/>
    <s v="brockport"/>
    <x v="1"/>
    <n v="1684620"/>
    <x v="0"/>
    <s v="Health; Social Science"/>
    <s v="9781118418925"/>
    <s v=",1,2,3,108,109,110,106,107,111,112,113,114"/>
    <n v="12"/>
    <m/>
    <m/>
    <s v="No"/>
    <x v="1"/>
    <m/>
    <m/>
    <s v="137.21.7.121"/>
    <s v="RA971 -- .S56 2014eb"/>
    <n v="362.10680000000002"/>
    <d v="2014-04-30T00:00:00"/>
  </r>
  <r>
    <x v="7765"/>
    <d v="1899-12-30T00:10:23"/>
    <x v="13"/>
    <x v="0"/>
    <s v="Buffalo"/>
    <x v="552"/>
    <n v="1294909"/>
    <x v="3"/>
    <s v="Economics; Business/Management"/>
    <s v="9780520956797"/>
    <s v=",1,2,3,54,55,56,52,53,51,57,58,59,60,61,62"/>
    <n v="15"/>
    <m/>
    <m/>
    <s v="No"/>
    <x v="1"/>
    <m/>
    <m/>
    <s v="128.205.114.91"/>
    <s v="HC110.P6 -- I25 2013eb"/>
    <s v="339.4/60973"/>
    <d v="2013-08-01T00:00:00"/>
  </r>
  <r>
    <x v="7766"/>
    <d v="1899-12-30T00:00:04"/>
    <x v="13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7767"/>
    <d v="1899-12-30T00:00:04"/>
    <x v="13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7768"/>
    <d v="1899-12-30T00:09:15"/>
    <x v="1043"/>
    <x v="0"/>
    <s v="Buffalo"/>
    <x v="73"/>
    <n v="1119505"/>
    <x v="0"/>
    <s v="Science: Chemistry; Science"/>
    <s v="9781118355015"/>
    <s v=",1,1,2,2,3,3,36,37,38,38,34,36,35,37,35,61,61,63,62,59,62,63,64,64,60,65,65,2,66,66,67,67,75,75,76,77,76,78,77,78,74,79,79,80,80,75,80,61,62,63,59,64,60,65,66,79,80,81,78,81,77,75,76,80,65,66,67,63,64,68,68,69,69,75,76,77,78,79,80"/>
    <n v="27"/>
    <m/>
    <m/>
    <s v="No"/>
    <x v="0"/>
    <d v="2015-09-17T14:10:32"/>
    <n v="7"/>
    <s v="128.205.114.91"/>
    <s v="QD251.3 -- .S38 2013eb"/>
    <s v="547/.128"/>
    <d v="2013-01-28T00:00:00"/>
  </r>
  <r>
    <x v="7769"/>
    <d v="1899-12-30T00:00:08"/>
    <x v="454"/>
    <x v="5"/>
    <s v="erie"/>
    <x v="1649"/>
    <n v="1589679"/>
    <x v="1"/>
    <s v="Fine Arts"/>
    <s v="9781409461982"/>
    <s v=",108,110,109,106,107"/>
    <n v="5"/>
    <m/>
    <m/>
    <s v="No"/>
    <x v="2"/>
    <d v="2015-09-18T17:06:16"/>
    <n v="1"/>
    <s v="199.29.6.54"/>
    <s v="N6754 -- .P487 2014eb"/>
    <n v="709.4"/>
    <d v="2014-05-28T00:00:00"/>
  </r>
  <r>
    <x v="7770"/>
    <d v="1899-12-30T00:01:24"/>
    <x v="454"/>
    <x v="5"/>
    <s v="erie"/>
    <x v="1649"/>
    <n v="1589679"/>
    <x v="1"/>
    <s v="Fine Arts"/>
    <s v="9781409461982"/>
    <s v=",1,2,3"/>
    <n v="3"/>
    <m/>
    <m/>
    <s v="No"/>
    <x v="3"/>
    <m/>
    <m/>
    <s v="199.29.6.54"/>
    <s v="N6754 -- .P487 2014eb"/>
    <n v="709.4"/>
    <d v="2014-05-28T00:00:00"/>
  </r>
  <r>
    <x v="7771"/>
    <d v="1899-12-30T00:04:27"/>
    <x v="454"/>
    <x v="5"/>
    <s v="erie"/>
    <x v="1649"/>
    <n v="1589679"/>
    <x v="1"/>
    <s v="Fine Arts"/>
    <s v="9781409461982"/>
    <s v=",1,2,3,574,575,576,572,573,518,519,520,516,517,318,319,320,316,228,229,230,226,227,317"/>
    <n v="23"/>
    <m/>
    <m/>
    <s v="No"/>
    <x v="3"/>
    <m/>
    <m/>
    <s v="199.29.6.54"/>
    <s v="N6754 -- .P487 2014eb"/>
    <n v="709.4"/>
    <d v="2014-05-28T00:00:00"/>
  </r>
  <r>
    <x v="7772"/>
    <d v="1899-12-30T00:00:20"/>
    <x v="1759"/>
    <x v="1"/>
    <s v="brockport"/>
    <x v="519"/>
    <n v="822662"/>
    <x v="0"/>
    <s v="History"/>
    <s v="9781444355130"/>
    <s v=",173,174,175,176,177,178,179,180"/>
    <n v="8"/>
    <m/>
    <m/>
    <s v="No"/>
    <x v="0"/>
    <d v="2015-09-18T16:50:03"/>
    <n v="7"/>
    <s v="137.21.7.121"/>
    <s v="DT20 -- .R45 2012eb"/>
    <n v="960.3"/>
    <d v="2011-11-11T00:00:00"/>
  </r>
  <r>
    <x v="7773"/>
    <d v="1899-12-30T00:00:00"/>
    <x v="1760"/>
    <x v="0"/>
    <s v="Buffalo"/>
    <x v="552"/>
    <n v="1294909"/>
    <x v="3"/>
    <s v="Economics; Business/Management"/>
    <s v="9780520956797"/>
    <m/>
    <n v="0"/>
    <m/>
    <s v=",54,55,56,57,58,59,60,61,62,63,64,65,66,67,68,69,70,71,72,73,74,75"/>
    <s v="No"/>
    <x v="0"/>
    <d v="2015-09-18T16:46:57"/>
    <n v="7"/>
    <s v="128.205.114.91"/>
    <s v="HC110.P6 -- I25 2013eb"/>
    <s v="339.4/60973"/>
    <d v="2013-08-01T00:00:00"/>
  </r>
  <r>
    <x v="7774"/>
    <d v="1899-12-30T00:00:41"/>
    <x v="1760"/>
    <x v="0"/>
    <s v="Buffalo"/>
    <x v="552"/>
    <n v="1294909"/>
    <x v="3"/>
    <s v="Economics; Business/Management"/>
    <s v="9780520956797"/>
    <s v=",1,2,3,54,55,56,52,57,53,51"/>
    <n v="10"/>
    <m/>
    <m/>
    <s v="No"/>
    <x v="1"/>
    <m/>
    <m/>
    <s v="128.205.114.91"/>
    <s v="HC110.P6 -- I25 2013eb"/>
    <s v="339.4/60973"/>
    <d v="2013-08-01T00:00:00"/>
  </r>
  <r>
    <x v="7775"/>
    <d v="1899-12-30T00:10:39"/>
    <x v="1759"/>
    <x v="1"/>
    <s v="brockport"/>
    <x v="519"/>
    <n v="822662"/>
    <x v="0"/>
    <s v="History"/>
    <s v="9781444355130"/>
    <s v=",1,2,3,170,171,172,168,169"/>
    <n v="8"/>
    <m/>
    <m/>
    <s v="No"/>
    <x v="1"/>
    <m/>
    <m/>
    <s v="137.21.7.121"/>
    <s v="DT20 -- .R45 2012eb"/>
    <n v="960.3"/>
    <d v="2011-11-11T00:00:00"/>
  </r>
  <r>
    <x v="7776"/>
    <d v="1899-12-30T00:05:19"/>
    <x v="518"/>
    <x v="0"/>
    <s v="Buffalo"/>
    <x v="509"/>
    <n v="1115640"/>
    <x v="0"/>
    <s v="Engineering: Civil; Engineering: Construction; Engineering"/>
    <s v="9781118419090"/>
    <s v=",2,1,3,1"/>
    <n v="3"/>
    <m/>
    <s v=",49,50,49,50,51,52,53,54,53,54,55,56,57,56,57,58,59,60,59,60,59,60,61,62,63,64,65,66,67,68,69,70,69,70,71,72,73,74,75,76,77,78"/>
    <s v="No"/>
    <x v="0"/>
    <d v="2015-09-18T16:31:43"/>
    <n v="7"/>
    <s v="128.205.114.91"/>
    <s v="TH375 -- .S77 2013eb"/>
    <n v="624"/>
    <d v="2013-01-22T00:00:00"/>
  </r>
  <r>
    <x v="7777"/>
    <d v="1899-12-30T00:08:51"/>
    <x v="518"/>
    <x v="0"/>
    <s v="Buffalo"/>
    <x v="509"/>
    <n v="1115640"/>
    <x v="0"/>
    <s v="Engineering: Civil; Engineering: Construction; Engineering"/>
    <s v="9781118419090"/>
    <s v=",50,47,46,49,48,51,45,71,72,73,69,70,74,80,81,77,76,75,74,1,2,3"/>
    <n v="21"/>
    <m/>
    <s v=",17,18,17,18,17,18,19,20,21,22,23,24,25,26,27,28,29,30,31,32,33,34,35,36,35,36,35,36,35,36,37,36,37,38,39,40,39,40,41,42,43,44,45,46,47,48"/>
    <s v="No"/>
    <x v="0"/>
    <d v="2015-09-18T16:31:43"/>
    <n v="7"/>
    <s v="128.205.114.91"/>
    <s v="TH375 -- .S77 2013eb"/>
    <n v="624"/>
    <d v="2013-01-22T00:00:00"/>
  </r>
  <r>
    <x v="7778"/>
    <d v="1899-12-30T00:00:55"/>
    <x v="518"/>
    <x v="0"/>
    <s v="Buffalo"/>
    <x v="509"/>
    <n v="1115640"/>
    <x v="0"/>
    <s v="Engineering: Civil; Engineering: Construction; Engineering"/>
    <s v="9781118419090"/>
    <s v=",1,2,3,4,17,18,19,15,16,20,21,22,35,36,37,33,34,38,49,50,51,47,52,53,79,80,81,82,78,77,76"/>
    <n v="31"/>
    <m/>
    <m/>
    <s v="No"/>
    <x v="1"/>
    <m/>
    <m/>
    <s v="128.205.114.91"/>
    <s v="TH375 -- .S77 2013eb"/>
    <n v="624"/>
    <d v="2013-01-22T00:00:00"/>
  </r>
  <r>
    <x v="7779"/>
    <d v="1899-12-30T00:12:53"/>
    <x v="1729"/>
    <x v="1"/>
    <s v="brockport"/>
    <x v="1"/>
    <n v="1684620"/>
    <x v="0"/>
    <s v="Health; Social Science"/>
    <s v="9781118418925"/>
    <s v=",1,2,3,107,108,109,105,110,106,111,112,113,114,115,116,117,118,119,120,121,122,123,124,125,126,127,128,163,164,165,166,167,169,170,168,171,164,163,161,162,166,167,168,169,170"/>
    <n v="38"/>
    <m/>
    <m/>
    <s v="No"/>
    <x v="0"/>
    <d v="2015-09-14T13:22:15"/>
    <n v="7"/>
    <s v="137.21.7.121"/>
    <s v="RA971 -- .S56 2014eb"/>
    <n v="362.10680000000002"/>
    <d v="2014-04-30T00:00:00"/>
  </r>
  <r>
    <x v="7780"/>
    <d v="1899-12-30T00:44:14"/>
    <x v="1043"/>
    <x v="0"/>
    <s v="Buffalo"/>
    <x v="73"/>
    <n v="1119505"/>
    <x v="0"/>
    <s v="Science: Chemistry; Science"/>
    <s v="9781118355015"/>
    <s v=",1,2,2,1,3,3,73,73,74,74,71,75,72,75,72,2,76,76,77,77,78,78,53,54,54,55,51,55,52,52,53,56,57,56,57,58,58,59,59,60,60,61,61,62,62,63,63,64,64,65,65,66,66,67,67,68,68,69,69,70,70,71,79,79,80,77,81,78,80,81,76,74,75,61,62,63,59,60,64,65,66,67,68,69,70,71,72,73,74,75,70,69,68,66,67,65,64,63,62,61,60,59,58,57,56,55,54,75,76,77,78,74,79,74,61,62,63,59,60,64,65,66,61,60,59,58,62,63,64,65,66,75,76,77,78,74,73,71,72,70,69,68,67,66,65,64,63,62,61,66,79,80,78,76,77,75,61,62,63,59,64,65,66,67,62,61,79,80,78,76,77,75"/>
    <n v="34"/>
    <m/>
    <m/>
    <s v="No"/>
    <x v="0"/>
    <d v="2015-09-17T14:10:32"/>
    <n v="7"/>
    <s v="128.205.114.91"/>
    <s v="QD251.3 -- .S38 2013eb"/>
    <s v="547/.128"/>
    <d v="2013-01-28T00:00:00"/>
  </r>
  <r>
    <x v="7781"/>
    <d v="1899-12-30T00:02:24"/>
    <x v="1307"/>
    <x v="11"/>
    <s v="cobleskill"/>
    <x v="11"/>
    <n v="693176"/>
    <x v="0"/>
    <s v="Engineering: Manufacturing; General Works/Reference; Engineering"/>
    <s v="9781118017746"/>
    <s v=",1,2,3,2,3,1,2,2,272,273,274,272,270,273,274,271,271,272,273,274,272,270,271,271,273,274"/>
    <n v="8"/>
    <m/>
    <m/>
    <s v="No"/>
    <x v="0"/>
    <d v="2015-09-11T19:27:54"/>
    <n v="7"/>
    <s v="137.36.32.34"/>
    <s v="Z246 -- .M43 2012eb"/>
    <s v="686.2/209"/>
    <d v="2011-10-19T00:00:00"/>
  </r>
  <r>
    <x v="7782"/>
    <d v="1899-12-30T00:00:00"/>
    <x v="1683"/>
    <x v="9"/>
    <s v="trocaire"/>
    <x v="1667"/>
    <n v="1825717"/>
    <x v="1"/>
    <s v="Law"/>
    <s v="9781409410461"/>
    <m/>
    <n v="0"/>
    <m/>
    <s v=",30,31,32,33,34,35,36,37,38,39,40,41,42,43,44,45,46,47,48,49,50,51,52,53,54,55,56,57,58,59,60,61,62,63,64,65,66,67,68,69,70,71,72,73,74,75,76,77,78,79,80,81,82,83,84,85,86,87,88,89,90,91,92,93,94,95,96,97,98,99,100,101,30,31,32,33,34,35,36,37,38,39,40,41,42,43,44,45,46,47,48,49,50,51,52,53,54,55,56,57,58,59,60,61,62,63,64,65,66,67,68,69,70,71,72,73,74,75,76,77,78,79,80,81,82,83,84,85,86,87,88,89,90,91,92,93,94,95,96,97,98,99,100,101"/>
    <s v="No"/>
    <x v="2"/>
    <d v="2015-09-18T14:42:06"/>
    <n v="1"/>
    <s v="173.225.62.67"/>
    <s v="KZ6275 -- .W45 2014eb"/>
    <s v="341.5/52"/>
    <d v="2014-12-28T00:00:00"/>
  </r>
  <r>
    <x v="7783"/>
    <d v="1899-12-30T00:01:02"/>
    <x v="1683"/>
    <x v="9"/>
    <s v="trocaire"/>
    <x v="1667"/>
    <n v="1825717"/>
    <x v="1"/>
    <s v="Law"/>
    <s v="9781409410461"/>
    <s v=",1,2,3,30,31,28,32,30,29,30,30,30,30,30,30,30,30"/>
    <n v="8"/>
    <m/>
    <m/>
    <s v="No"/>
    <x v="3"/>
    <m/>
    <m/>
    <s v="173.225.62.67"/>
    <s v="KZ6275 -- .W45 2014eb"/>
    <s v="341.5/52"/>
    <d v="2014-12-28T00:00:00"/>
  </r>
  <r>
    <x v="7784"/>
    <d v="1899-12-30T00:00:00"/>
    <x v="1761"/>
    <x v="0"/>
    <s v="Buffalo"/>
    <x v="552"/>
    <n v="1294909"/>
    <x v="3"/>
    <s v="Economics; Business/Management"/>
    <s v="9780520956797"/>
    <m/>
    <n v="0"/>
    <m/>
    <s v=",54,55,56,57,58,59,60,61,62,63,64,65,66,67,68,69,70,71,72,73,74,75"/>
    <s v="No"/>
    <x v="0"/>
    <d v="2015-09-18T14:17:57"/>
    <n v="7"/>
    <s v="128.205.114.91"/>
    <s v="HC110.P6 -- I25 2013eb"/>
    <s v="339.4/60973"/>
    <d v="2013-08-01T00:00:00"/>
  </r>
  <r>
    <x v="7785"/>
    <d v="1899-12-30T00:02:02"/>
    <x v="1761"/>
    <x v="0"/>
    <s v="Buffalo"/>
    <x v="552"/>
    <n v="1294909"/>
    <x v="3"/>
    <s v="Economics; Business/Management"/>
    <s v="9780520956797"/>
    <s v=",1,2,3,4,1,54,54"/>
    <n v="5"/>
    <m/>
    <m/>
    <s v="No"/>
    <x v="1"/>
    <m/>
    <m/>
    <s v="128.205.114.91"/>
    <s v="HC110.P6 -- I25 2013eb"/>
    <s v="339.4/60973"/>
    <d v="2013-08-01T00:00:00"/>
  </r>
  <r>
    <x v="7786"/>
    <d v="1899-12-30T00:01:50"/>
    <x v="1641"/>
    <x v="0"/>
    <s v="Buffalo"/>
    <x v="509"/>
    <n v="1115640"/>
    <x v="0"/>
    <s v="Engineering: Civil; Engineering: Construction; Engineering"/>
    <s v="9781118419090"/>
    <s v=",1,2,3,4,5,6,7,8,9,10,11,12,13,14,15,16"/>
    <n v="16"/>
    <m/>
    <m/>
    <s v="No"/>
    <x v="1"/>
    <m/>
    <m/>
    <s v="128.205.114.91"/>
    <s v="TH375 -- .S77 2013eb"/>
    <n v="624"/>
    <d v="2013-01-22T00:00:00"/>
  </r>
  <r>
    <x v="7787"/>
    <d v="1899-12-30T00:00:57"/>
    <x v="98"/>
    <x v="4"/>
    <s v="monroe2boces"/>
    <x v="228"/>
    <n v="894589"/>
    <x v="15"/>
    <s v="Literature"/>
    <s v="9781441124906"/>
    <s v=",4,5,6,7,8,9,10,8,11,12,13,14,15,16,18,36,37,38,34,39,40,41,42,43,44,45,46,47,48,49,50,51,52,53,54,55,56"/>
    <n v="36"/>
    <m/>
    <m/>
    <s v="No"/>
    <x v="0"/>
    <d v="2015-09-18T14:01:25"/>
    <n v="7"/>
    <s v="216.226.102.163"/>
    <s v="PA4413.O7 -- S54 2012eb"/>
    <n v="882.01"/>
    <d v="2012-03-08T00:00:00"/>
  </r>
  <r>
    <x v="7788"/>
    <d v="1899-12-30T00:02:00"/>
    <x v="1043"/>
    <x v="0"/>
    <s v="Buffalo"/>
    <x v="73"/>
    <n v="1119505"/>
    <x v="0"/>
    <s v="Science: Chemistry; Science"/>
    <s v="9781118355015"/>
    <s v=",1,2,2,1,3,3,71,72,72,73,69,71,70,70,73,68,67,71,72,73,2,74,74,75,75,76,76,77,77,78,78"/>
    <n v="15"/>
    <m/>
    <m/>
    <s v="No"/>
    <x v="0"/>
    <d v="2015-09-17T14:10:32"/>
    <n v="7"/>
    <s v="128.205.114.91"/>
    <s v="QD251.3 -- .S38 2013eb"/>
    <s v="547/.128"/>
    <d v="2013-01-28T00:00:00"/>
  </r>
  <r>
    <x v="7789"/>
    <d v="1899-12-30T00:14:59"/>
    <x v="13"/>
    <x v="0"/>
    <s v="Buffalo"/>
    <x v="509"/>
    <n v="1115640"/>
    <x v="0"/>
    <s v="Engineering: Civil; Engineering: Construction; Engineering"/>
    <s v="9781118419090"/>
    <s v=",30,31,32,33,34,35,36,37,38,39,40,41,42,43,44,45,46,47,48,49,50,51,52,53,54,55,56,57,58,59,60,61,62,63,64,65,66,67,68,69,70,71,72,73,74,75,76,77,78,79,80"/>
    <n v="51"/>
    <m/>
    <m/>
    <s v="No"/>
    <x v="0"/>
    <d v="2015-09-18T13:33:26"/>
    <n v="7"/>
    <s v="128.205.114.91"/>
    <s v="TH375 -- .S77 2013eb"/>
    <n v="624"/>
    <d v="2013-01-22T00:00:00"/>
  </r>
  <r>
    <x v="7790"/>
    <d v="1899-12-30T00:11:30"/>
    <x v="13"/>
    <x v="0"/>
    <s v="Buffalo"/>
    <x v="509"/>
    <n v="1115640"/>
    <x v="0"/>
    <s v="Engineering: Civil; Engineering: Construction; Engineering"/>
    <s v="9781118419090"/>
    <s v=",1,2,3,17,18,19,15,16,2,20,21,22,23,18,23,18,24,25,26,27,28,29,24,29"/>
    <n v="18"/>
    <m/>
    <m/>
    <s v="No"/>
    <x v="1"/>
    <m/>
    <m/>
    <s v="128.205.114.91"/>
    <s v="TH375 -- .S77 2013eb"/>
    <n v="624"/>
    <d v="2013-01-22T00:00:00"/>
  </r>
  <r>
    <x v="7791"/>
    <d v="1899-12-30T01:42:26"/>
    <x v="98"/>
    <x v="4"/>
    <s v="monroe2boces"/>
    <x v="228"/>
    <n v="894589"/>
    <x v="15"/>
    <s v="Literature"/>
    <s v="9781441124906"/>
    <s v=",1,2,3"/>
    <n v="3"/>
    <m/>
    <m/>
    <s v="No"/>
    <x v="1"/>
    <m/>
    <m/>
    <s v="216.226.102.163"/>
    <s v="PA4413.O7 -- S54 2012eb"/>
    <n v="882.01"/>
    <d v="2012-03-08T00:00:00"/>
  </r>
  <r>
    <x v="7792"/>
    <d v="1899-12-30T00:00:57"/>
    <x v="1652"/>
    <x v="0"/>
    <s v="Buffalo"/>
    <x v="509"/>
    <n v="1115640"/>
    <x v="0"/>
    <s v="Engineering: Civil; Engineering: Construction; Engineering"/>
    <s v="9781118419090"/>
    <s v=",1,2,3,4,5,6,7,8,9,10,11,17,18,19,15,16"/>
    <n v="16"/>
    <m/>
    <m/>
    <s v="No"/>
    <x v="1"/>
    <m/>
    <m/>
    <s v="128.205.114.91"/>
    <s v="TH375 -- .S77 2013eb"/>
    <n v="624"/>
    <d v="2013-01-22T00:00:00"/>
  </r>
  <r>
    <x v="7793"/>
    <d v="1899-12-30T00:00:00"/>
    <x v="1762"/>
    <x v="0"/>
    <s v="Buffalo"/>
    <x v="298"/>
    <n v="1809736"/>
    <x v="0"/>
    <s v="Engineering: Construction; Architecture; Engineering"/>
    <s v="9781118870242"/>
    <m/>
    <n v="0"/>
    <m/>
    <m/>
    <s v="Yes"/>
    <x v="0"/>
    <d v="2015-09-18T09:21:02"/>
    <n v="7"/>
    <s v="128.205.114.91"/>
    <s v="TH880 .C68 2014"/>
    <n v="720.47076000000004"/>
    <d v="2014-09-29T00:00:00"/>
  </r>
  <r>
    <x v="7794"/>
    <d v="1899-12-30T00:01:16"/>
    <x v="1762"/>
    <x v="0"/>
    <s v="Buffalo"/>
    <x v="298"/>
    <n v="1809736"/>
    <x v="0"/>
    <s v="Engineering: Construction; Architecture; Engineering"/>
    <s v="9781118870242"/>
    <s v=",1,2,3,37,37"/>
    <n v="4"/>
    <m/>
    <m/>
    <s v="No"/>
    <x v="0"/>
    <d v="2015-09-18T09:21:02"/>
    <n v="7"/>
    <s v="128.205.114.91"/>
    <s v="TH880 .C68 2014"/>
    <n v="720.47076000000004"/>
    <d v="2014-09-29T00:00:00"/>
  </r>
  <r>
    <x v="7795"/>
    <d v="1899-12-30T00:28:57"/>
    <x v="1151"/>
    <x v="1"/>
    <s v="brockport"/>
    <x v="519"/>
    <n v="822662"/>
    <x v="0"/>
    <s v="History"/>
    <s v="9781444355130"/>
    <s v=",2,1,3,4,170,171,172,168,169,173,174,175,176,177,178,179,180,181,182,183,184,185,186,187,188,189,190,191,192,193,194,195,196,197,198,199,200,201,202,203,156"/>
    <n v="41"/>
    <m/>
    <m/>
    <s v="No"/>
    <x v="0"/>
    <d v="2015-09-14T00:15:48"/>
    <n v="7"/>
    <s v="137.21.7.121"/>
    <s v="DT20 -- .R45 2012eb"/>
    <n v="960.3"/>
    <d v="2011-11-11T00:00:00"/>
  </r>
  <r>
    <x v="7796"/>
    <d v="1899-12-30T00:00:25"/>
    <x v="1762"/>
    <x v="0"/>
    <s v="Buffalo"/>
    <x v="298"/>
    <n v="1809736"/>
    <x v="0"/>
    <s v="Engineering: Construction; Architecture; Engineering"/>
    <s v="9781118870242"/>
    <s v=",6,7,48,49,50,46,47,8"/>
    <n v="8"/>
    <m/>
    <m/>
    <s v="Yes"/>
    <x v="0"/>
    <d v="2015-09-18T09:21:02"/>
    <n v="7"/>
    <s v="128.205.114.91"/>
    <s v="TH880 .C68 2014"/>
    <n v="720.47076000000004"/>
    <d v="2014-09-29T00:00:00"/>
  </r>
  <r>
    <x v="7797"/>
    <d v="1899-12-30T00:00:11"/>
    <x v="1762"/>
    <x v="0"/>
    <s v="Buffalo"/>
    <x v="298"/>
    <n v="1809736"/>
    <x v="0"/>
    <s v="Engineering: Construction; Architecture; Engineering"/>
    <s v="9781118870242"/>
    <s v=",4,5"/>
    <n v="2"/>
    <m/>
    <m/>
    <s v="Yes"/>
    <x v="0"/>
    <d v="2015-09-18T09:21:02"/>
    <n v="7"/>
    <s v="128.205.114.91"/>
    <s v="TH880 .C68 2014"/>
    <n v="720.47076000000004"/>
    <d v="2014-09-29T00:00:00"/>
  </r>
  <r>
    <x v="7798"/>
    <d v="1899-12-30T00:00:00"/>
    <x v="1762"/>
    <x v="0"/>
    <s v="Buffalo"/>
    <x v="298"/>
    <n v="1809736"/>
    <x v="0"/>
    <s v="Engineering: Construction; Architecture; Engineering"/>
    <s v="9781118870242"/>
    <m/>
    <n v="0"/>
    <m/>
    <m/>
    <s v="Yes"/>
    <x v="0"/>
    <d v="2015-09-18T09:21:02"/>
    <n v="7"/>
    <s v="128.205.114.91"/>
    <s v="TH880 .C68 2014"/>
    <n v="720.47076000000004"/>
    <d v="2014-09-29T00:00:00"/>
  </r>
  <r>
    <x v="7799"/>
    <d v="1899-12-30T00:00:00"/>
    <x v="1762"/>
    <x v="0"/>
    <s v="Buffalo"/>
    <x v="298"/>
    <n v="1809736"/>
    <x v="0"/>
    <s v="Engineering: Construction; Architecture; Engineering"/>
    <s v="9781118870242"/>
    <m/>
    <n v="0"/>
    <m/>
    <m/>
    <s v="Yes"/>
    <x v="0"/>
    <d v="2015-09-18T09:21:02"/>
    <n v="7"/>
    <s v="128.205.114.91"/>
    <s v="TH880 .C68 2014"/>
    <n v="720.47076000000004"/>
    <d v="2014-09-29T00:00:00"/>
  </r>
  <r>
    <x v="7800"/>
    <d v="1899-12-30T00:00:00"/>
    <x v="1762"/>
    <x v="0"/>
    <s v="Buffalo"/>
    <x v="298"/>
    <n v="1809736"/>
    <x v="0"/>
    <s v="Engineering: Construction; Architecture; Engineering"/>
    <s v="9781118870242"/>
    <m/>
    <n v="0"/>
    <m/>
    <m/>
    <s v="Yes"/>
    <x v="0"/>
    <d v="2015-09-18T09:21:02"/>
    <n v="7"/>
    <s v="128.205.114.91"/>
    <s v="TH880 .C68 2014"/>
    <n v="720.47076000000004"/>
    <d v="2014-09-29T00:00:00"/>
  </r>
  <r>
    <x v="7801"/>
    <d v="1899-12-30T00:00:49"/>
    <x v="1762"/>
    <x v="0"/>
    <s v="Buffalo"/>
    <x v="298"/>
    <n v="1809736"/>
    <x v="0"/>
    <s v="Engineering: Construction; Architecture; Engineering"/>
    <s v="9781118870242"/>
    <s v=",3"/>
    <n v="1"/>
    <m/>
    <m/>
    <s v="No"/>
    <x v="0"/>
    <d v="2015-09-18T09:21:02"/>
    <n v="7"/>
    <s v="128.205.114.91"/>
    <s v="TH880 .C68 2014"/>
    <n v="720.47076000000004"/>
    <d v="2014-09-29T00:00:00"/>
  </r>
  <r>
    <x v="7802"/>
    <d v="1899-12-30T00:00:56"/>
    <x v="1762"/>
    <x v="0"/>
    <s v="Buffalo"/>
    <x v="298"/>
    <n v="1809736"/>
    <x v="0"/>
    <s v="Engineering: Construction; Architecture; Engineering"/>
    <s v="9781118870242"/>
    <s v=",1,2,3,1"/>
    <n v="3"/>
    <m/>
    <m/>
    <s v="No"/>
    <x v="1"/>
    <m/>
    <m/>
    <s v="128.205.114.91"/>
    <s v="TH880 .C68 2014"/>
    <n v="720.47076000000004"/>
    <d v="2014-09-29T00:00:00"/>
  </r>
  <r>
    <x v="7803"/>
    <d v="1899-12-30T00:01:16"/>
    <x v="1719"/>
    <x v="0"/>
    <s v="Buffalo"/>
    <x v="559"/>
    <n v="1217954"/>
    <x v="1"/>
    <s v="Engineering; Engineering: General"/>
    <s v="9781409457558"/>
    <s v=",1,2,3,4,5,6,7,8,9,10,11,12,13,14,15,16,17,19,20,21,22,23,25,26,24,27,28,29"/>
    <n v="28"/>
    <m/>
    <m/>
    <s v="No"/>
    <x v="0"/>
    <d v="2015-09-18T04:11:27"/>
    <n v="7"/>
    <s v="128.205.114.91"/>
    <s v="T59.7 -- .S73 2013eb"/>
    <s v="620.8/2"/>
    <d v="2013-10-28T00:00:00"/>
  </r>
  <r>
    <x v="7804"/>
    <d v="1899-12-30T00:00:00"/>
    <x v="1719"/>
    <x v="0"/>
    <s v="Buffalo"/>
    <x v="559"/>
    <n v="1217954"/>
    <x v="1"/>
    <s v="Engineering; Engineering: General"/>
    <s v="9781409457558"/>
    <m/>
    <n v="0"/>
    <s v=",1"/>
    <m/>
    <s v="Yes"/>
    <x v="0"/>
    <d v="2015-09-18T04:11:27"/>
    <n v="7"/>
    <s v="128.205.114.91"/>
    <s v="T59.7 -- .S73 2013eb"/>
    <s v="620.8/2"/>
    <d v="2013-10-28T00:00:00"/>
  </r>
  <r>
    <x v="7805"/>
    <d v="1899-12-30T00:00:00"/>
    <x v="1719"/>
    <x v="0"/>
    <s v="Buffalo"/>
    <x v="559"/>
    <n v="1217954"/>
    <x v="1"/>
    <s v="Engineering; Engineering: General"/>
    <s v="9781409457558"/>
    <m/>
    <n v="0"/>
    <m/>
    <m/>
    <s v="No"/>
    <x v="0"/>
    <d v="2015-09-18T04:11:27"/>
    <n v="7"/>
    <s v="128.205.114.91"/>
    <s v="T59.7 -- .S73 2013eb"/>
    <s v="620.8/2"/>
    <d v="2013-10-28T00:00:00"/>
  </r>
  <r>
    <x v="7806"/>
    <d v="1899-12-30T00:02:02"/>
    <x v="1719"/>
    <x v="0"/>
    <s v="Buffalo"/>
    <x v="559"/>
    <n v="1217954"/>
    <x v="1"/>
    <s v="Engineering; Engineering: General"/>
    <s v="9781409457558"/>
    <s v=",1,2,3"/>
    <n v="3"/>
    <m/>
    <m/>
    <s v="No"/>
    <x v="1"/>
    <m/>
    <m/>
    <s v="128.205.114.91"/>
    <s v="T59.7 -- .S73 2013eb"/>
    <s v="620.8/2"/>
    <d v="2013-10-28T00:00:00"/>
  </r>
  <r>
    <x v="7807"/>
    <d v="1899-12-30T00:03:40"/>
    <x v="515"/>
    <x v="0"/>
    <s v="Buffalo"/>
    <x v="509"/>
    <n v="1115640"/>
    <x v="0"/>
    <s v="Engineering: Civil; Engineering: Construction; Engineering"/>
    <s v="9781118419090"/>
    <s v=",1,2,3,5,4,6,7,8,9,10,11,12,13,14,15,16,18,17,19,20,21"/>
    <n v="21"/>
    <m/>
    <m/>
    <s v="No"/>
    <x v="1"/>
    <m/>
    <m/>
    <s v="128.205.114.91"/>
    <s v="TH375 -- .S77 2013eb"/>
    <n v="624"/>
    <d v="2013-01-22T00:00:00"/>
  </r>
  <r>
    <x v="7808"/>
    <d v="1899-12-30T00:00:09"/>
    <x v="1640"/>
    <x v="0"/>
    <s v="Buffalo"/>
    <x v="509"/>
    <n v="1115640"/>
    <x v="0"/>
    <s v="Engineering: Civil; Engineering: Construction; Engineering"/>
    <s v="9781118419090"/>
    <s v=",1,2,3"/>
    <n v="3"/>
    <m/>
    <m/>
    <s v="No"/>
    <x v="1"/>
    <m/>
    <m/>
    <s v="128.205.114.91"/>
    <s v="TH375 -- .S77 2013eb"/>
    <n v="624"/>
    <d v="2013-01-22T00:00:00"/>
  </r>
  <r>
    <x v="7809"/>
    <d v="1899-12-30T00:07:02"/>
    <x v="1763"/>
    <x v="5"/>
    <s v="erie"/>
    <x v="593"/>
    <n v="943954"/>
    <x v="14"/>
    <s v="History"/>
    <s v="9780786492770"/>
    <s v=",44,42,43,47,48,19,20,49,45,46,49,44"/>
    <n v="10"/>
    <m/>
    <m/>
    <s v="No"/>
    <x v="0"/>
    <d v="2015-09-18T00:52:49"/>
    <n v="7"/>
    <s v="199.29.6.54"/>
    <s v="E176.1 -- .F215 2012eb"/>
    <s v="973.09/9"/>
    <d v="2012-06-01T00:00:00"/>
  </r>
  <r>
    <x v="7810"/>
    <d v="1899-12-30T00:11:21"/>
    <x v="1763"/>
    <x v="5"/>
    <s v="erie"/>
    <x v="593"/>
    <n v="943954"/>
    <x v="14"/>
    <s v="History"/>
    <s v="9780786492770"/>
    <s v=",1,10,11,8,12,9,2"/>
    <n v="7"/>
    <m/>
    <m/>
    <s v="No"/>
    <x v="1"/>
    <m/>
    <m/>
    <s v="199.29.6.54"/>
    <s v="E176.1 -- .F215 2012eb"/>
    <s v="973.09/9"/>
    <d v="2012-06-01T00:00:00"/>
  </r>
  <r>
    <x v="7811"/>
    <d v="1899-12-30T00:00:06"/>
    <x v="1764"/>
    <x v="0"/>
    <s v="Buffalo"/>
    <x v="508"/>
    <n v="1882107"/>
    <x v="3"/>
    <s v="History; Social Science"/>
    <s v="9780520961593"/>
    <s v=",4,5,6"/>
    <n v="3"/>
    <m/>
    <m/>
    <s v="No"/>
    <x v="2"/>
    <d v="2015-09-18T00:20:16"/>
    <n v="1"/>
    <s v="128.205.114.91"/>
    <s v="HX413.8.K68"/>
    <n v="952.03099999999995"/>
    <d v="2015-06-09T00:00:00"/>
  </r>
  <r>
    <x v="7812"/>
    <d v="1899-12-30T00:11:30"/>
    <x v="1764"/>
    <x v="0"/>
    <s v="Buffalo"/>
    <x v="508"/>
    <n v="1882107"/>
    <x v="3"/>
    <s v="History; Social Science"/>
    <s v="9780520961593"/>
    <s v=",1,2,3"/>
    <n v="3"/>
    <m/>
    <m/>
    <s v="No"/>
    <x v="3"/>
    <m/>
    <m/>
    <s v="128.205.114.91"/>
    <s v="HX413.8.K68"/>
    <n v="952.03099999999995"/>
    <d v="2015-06-09T00:00:00"/>
  </r>
  <r>
    <x v="7813"/>
    <d v="1899-12-30T00:00:55"/>
    <x v="1706"/>
    <x v="0"/>
    <s v="Buffalo"/>
    <x v="559"/>
    <n v="1217954"/>
    <x v="1"/>
    <s v="Engineering; Engineering: General"/>
    <s v="9781409457558"/>
    <s v=",330,331,333,334"/>
    <n v="4"/>
    <m/>
    <m/>
    <s v="No"/>
    <x v="0"/>
    <d v="2015-09-18T00:03:07"/>
    <n v="7"/>
    <s v="128.205.114.91"/>
    <s v="T59.7 -- .S73 2013eb"/>
    <s v="620.8/2"/>
    <d v="2013-10-28T00:00:00"/>
  </r>
  <r>
    <x v="7814"/>
    <d v="1899-12-30T00:13:53"/>
    <x v="1706"/>
    <x v="0"/>
    <s v="Buffalo"/>
    <x v="559"/>
    <n v="1217954"/>
    <x v="1"/>
    <s v="Engineering; Engineering: General"/>
    <s v="9781409457558"/>
    <s v=",1,2,3,323,324,325,321,322,338,332,315,326,328,327,329"/>
    <n v="15"/>
    <m/>
    <m/>
    <s v="No"/>
    <x v="1"/>
    <m/>
    <m/>
    <s v="128.205.114.91"/>
    <s v="T59.7 -- .S73 2013eb"/>
    <s v="620.8/2"/>
    <d v="2013-10-28T00:00:00"/>
  </r>
  <r>
    <x v="7815"/>
    <d v="1899-12-30T00:02:26"/>
    <x v="1765"/>
    <x v="13"/>
    <s v="buffalostate"/>
    <x v="1668"/>
    <n v="1024333"/>
    <x v="4"/>
    <s v="Education"/>
    <s v="9781462506439"/>
    <s v=",4,5,113,114,115,111,101,102,103,99,104,100,105,106,116,118,117,119,120,121,122,123,124,125,127,129,133,132,134,130,131"/>
    <n v="31"/>
    <m/>
    <s v=",101,102,101,102,103,104,105,106,107,108,109,110,111,112,113,114,115,116,117,118,119,120,121,122,123,124,125,126,127,128,129,130,131,132"/>
    <s v="Yes"/>
    <x v="0"/>
    <d v="2015-09-17T15:44:57"/>
    <n v="7"/>
    <s v="136.183.11.43"/>
    <s v="LB1050.42 -- .A44 2012eb"/>
    <n v="372.41"/>
    <d v="2014-05-14T00:00:00"/>
  </r>
  <r>
    <x v="7816"/>
    <d v="1899-12-30T00:00:02"/>
    <x v="1765"/>
    <x v="13"/>
    <s v="buffalostate"/>
    <x v="1668"/>
    <n v="1024333"/>
    <x v="4"/>
    <s v="Education"/>
    <s v="9781462506439"/>
    <s v=",1,2,3"/>
    <n v="3"/>
    <m/>
    <m/>
    <s v="No"/>
    <x v="0"/>
    <d v="2015-09-17T15:44:57"/>
    <n v="7"/>
    <s v="136.183.11.43"/>
    <s v="LB1050.42 -- .A44 2012eb"/>
    <n v="372.41"/>
    <d v="2014-05-14T00:00:00"/>
  </r>
  <r>
    <x v="7817"/>
    <d v="1899-12-30T00:05:54"/>
    <x v="463"/>
    <x v="1"/>
    <s v="brockport"/>
    <x v="151"/>
    <n v="968030"/>
    <x v="0"/>
    <s v="Psychology"/>
    <s v="9781118285138"/>
    <s v=",1,2,2,3,3,1,4,4,4,5,5,6,6,7,7,1,6,2,2,201,202,201,203,202,203,199,200,200,204,204,205,205,206,206"/>
    <n v="15"/>
    <m/>
    <m/>
    <s v="No"/>
    <x v="1"/>
    <m/>
    <m/>
    <s v="137.21.7.121"/>
    <s v="BF637.C6 -- S85 2013eb"/>
    <n v="158.30000000000001"/>
    <d v="2012-07-10T00:00:00"/>
  </r>
  <r>
    <x v="7818"/>
    <d v="1899-12-30T00:07:24"/>
    <x v="1766"/>
    <x v="13"/>
    <s v="buffalostate"/>
    <x v="1669"/>
    <n v="818034"/>
    <x v="0"/>
    <s v="Computer Science/IT"/>
    <s v="9781118223888"/>
    <s v=",4,5,6,1,5,2,3,4,6,7,8,9,10,11,12,13,15,14,16,17,18,19,20,21,22,23,25,24,26,27,28,29,30,31,32,27,25,26,1,26,27,28,24,1,1,28,25,28,29,30,28,1,26,29,27,33,29,26,26,35,30,32,27,27,30,27,34,25,1,24,26,28,2,36,2,2,30,2,36,2,37,2,35,33,36,34,34,35,31,32,36,30,29,28,27,26,25"/>
    <n v="37"/>
    <m/>
    <s v=",33,34,35,36,37,38,39,40,41,42,43,44,45,46,47,48,49,50,51,52,53,54,55,56,57,58,59,60,61,62,63,64,65,66,67,68,69,70,71,72,73,74,75,76,77,78,79,80,81,82,83,84,85,86,87,88,89,90,91,92,33,34,35,36,37,38,39,40,41,42,43,44,45,46,47,48,49,50,51,52,53,54,55,56,57,58,59,60,61,62,63,64,65,66,67,68,69,70,71,72,73,74,75,76,77,78,79,80,81,82,83,84,85,86,87,88,89,90,91,92"/>
    <s v="No"/>
    <x v="0"/>
    <d v="2015-09-17T21:30:54"/>
    <n v="7"/>
    <s v="136.183.11.43"/>
    <s v="QA76.9.C55 -- A85 2012eb"/>
    <n v="5.7565"/>
    <d v="2012-04-09T00:00:00"/>
  </r>
  <r>
    <x v="7819"/>
    <d v="1899-12-30T00:00:14"/>
    <x v="1766"/>
    <x v="13"/>
    <s v="buffalostate"/>
    <x v="1669"/>
    <n v="818034"/>
    <x v="0"/>
    <s v="Computer Science/IT"/>
    <s v="9781118223888"/>
    <s v=",1,2,3"/>
    <n v="3"/>
    <m/>
    <m/>
    <s v="No"/>
    <x v="1"/>
    <m/>
    <m/>
    <s v="136.183.11.43"/>
    <s v="QA76.9.C55 -- A85 2012eb"/>
    <n v="5.7565"/>
    <d v="2012-04-09T00:00:00"/>
  </r>
  <r>
    <x v="7820"/>
    <d v="1899-12-30T00:00:03"/>
    <x v="1767"/>
    <x v="12"/>
    <s v="potsdam"/>
    <x v="1670"/>
    <n v="1602905"/>
    <x v="0"/>
    <s v="Business/Management; Economics; Fine Arts"/>
    <s v="9780745645704"/>
    <s v=",1,2,3"/>
    <n v="3"/>
    <m/>
    <m/>
    <s v="No"/>
    <x v="3"/>
    <m/>
    <m/>
    <s v="137.143.104.94"/>
    <s v="ML3790 .W52 2013"/>
    <n v="338.4778"/>
    <d v="2014-01-21T00:00:00"/>
  </r>
  <r>
    <x v="7821"/>
    <d v="1899-12-30T00:04:50"/>
    <x v="1443"/>
    <x v="15"/>
    <s v="morrisville"/>
    <x v="125"/>
    <n v="1221573"/>
    <x v="0"/>
    <s v="Business/Management; Philosophy"/>
    <s v="9781118658116"/>
    <s v=",113,114,111,115,112,116,154,155,156,152,153,159,241,242,243,240,239,245,244,246,247,248"/>
    <n v="22"/>
    <m/>
    <m/>
    <s v="No"/>
    <x v="2"/>
    <d v="2015-09-17T20:59:20"/>
    <n v="1"/>
    <s v="136.204.32.68"/>
    <s v="HF5387 .B86626 2013"/>
    <n v="174.4"/>
    <d v="2013-06-19T00:00:00"/>
  </r>
  <r>
    <x v="7822"/>
    <d v="1899-12-30T00:00:02"/>
    <x v="1767"/>
    <x v="12"/>
    <s v="potsdam"/>
    <x v="1671"/>
    <n v="2006072"/>
    <x v="0"/>
    <s v="Engineering; Engineering: Electrical; Computer Science/IT"/>
    <s v="9780745685045"/>
    <s v=",1,2,3"/>
    <n v="3"/>
    <m/>
    <m/>
    <s v="No"/>
    <x v="3"/>
    <m/>
    <m/>
    <s v="137.143.104.94"/>
    <s v="TK5103.4885 .F384 2015"/>
    <n v="4.1092348899999998"/>
    <d v="2015-03-26T00:00:00"/>
  </r>
  <r>
    <x v="7823"/>
    <d v="1899-12-30T00:06:52"/>
    <x v="1443"/>
    <x v="15"/>
    <s v="morrisville"/>
    <x v="125"/>
    <n v="1221573"/>
    <x v="0"/>
    <s v="Business/Management; Philosophy"/>
    <s v="9781118658116"/>
    <s v=",1,2,3,49,45,24,25,26,23,22,19,18,35,36,37,33,34,67,68,69,65,66,70"/>
    <n v="23"/>
    <m/>
    <m/>
    <s v="No"/>
    <x v="3"/>
    <m/>
    <m/>
    <s v="136.204.32.68"/>
    <s v="HF5387 .B86626 2013"/>
    <n v="174.4"/>
    <d v="2013-06-19T00:00:00"/>
  </r>
  <r>
    <x v="7824"/>
    <d v="1899-12-30T00:00:02"/>
    <x v="13"/>
    <x v="0"/>
    <s v="Buffalo"/>
    <x v="1672"/>
    <n v="1589617"/>
    <x v="1"/>
    <s v="Business/Management"/>
    <s v="9781409467489"/>
    <s v=",4,5,6,7,8,9"/>
    <n v="6"/>
    <m/>
    <m/>
    <s v="No"/>
    <x v="2"/>
    <d v="2015-09-17T20:13:33"/>
    <n v="1"/>
    <s v="128.205.114.91"/>
    <s v="HF5841 -- .P586 2013eb"/>
    <s v="659.13/42"/>
    <d v="2014-04-28T00:00:00"/>
  </r>
  <r>
    <x v="7825"/>
    <d v="1899-12-30T00:07:10"/>
    <x v="13"/>
    <x v="0"/>
    <s v="Buffalo"/>
    <x v="1672"/>
    <n v="1589617"/>
    <x v="1"/>
    <s v="Business/Management"/>
    <s v="9781409467489"/>
    <s v=",1,2,3"/>
    <n v="3"/>
    <m/>
    <m/>
    <s v="No"/>
    <x v="3"/>
    <m/>
    <m/>
    <s v="128.205.114.91"/>
    <s v="HF5841 -- .P586 2013eb"/>
    <s v="659.13/42"/>
    <d v="2014-04-28T00:00:00"/>
  </r>
  <r>
    <x v="7826"/>
    <d v="1899-12-30T00:00:15"/>
    <x v="13"/>
    <x v="0"/>
    <s v="Buffalo"/>
    <x v="1672"/>
    <n v="1589617"/>
    <x v="1"/>
    <s v="Business/Management"/>
    <s v="9781409467489"/>
    <s v=",2,1,3,1"/>
    <n v="3"/>
    <m/>
    <m/>
    <s v="No"/>
    <x v="3"/>
    <m/>
    <m/>
    <s v="128.205.114.91"/>
    <s v="HF5841 -- .P586 2013eb"/>
    <s v="659.13/42"/>
    <d v="2014-04-28T00:00:00"/>
  </r>
  <r>
    <x v="7827"/>
    <d v="1899-12-30T00:28:43"/>
    <x v="1768"/>
    <x v="1"/>
    <s v="brockport"/>
    <x v="151"/>
    <n v="968030"/>
    <x v="0"/>
    <s v="Psychology"/>
    <s v="9781118285138"/>
    <s v=",1,2,2,3,3,1,2,2,55,56,55,57,53,57,54,56,54,52,57"/>
    <n v="9"/>
    <m/>
    <m/>
    <s v="No"/>
    <x v="0"/>
    <d v="2015-09-17T03:04:25"/>
    <n v="7"/>
    <s v="137.21.7.121"/>
    <s v="BF637.C6 -- S85 2013eb"/>
    <n v="158.30000000000001"/>
    <d v="2012-07-10T00:00:00"/>
  </r>
  <r>
    <x v="7828"/>
    <d v="1899-12-30T00:00:03"/>
    <x v="1769"/>
    <x v="1"/>
    <s v="brockport"/>
    <x v="151"/>
    <n v="968030"/>
    <x v="0"/>
    <s v="Psychology"/>
    <s v="9781118285138"/>
    <s v=",25,26,27,23,24"/>
    <n v="5"/>
    <m/>
    <m/>
    <s v="No"/>
    <x v="0"/>
    <d v="2015-09-17T20:00:16"/>
    <n v="7"/>
    <s v="137.21.7.121"/>
    <s v="BF637.C6 -- S85 2013eb"/>
    <n v="158.30000000000001"/>
    <d v="2012-07-10T00:00:00"/>
  </r>
  <r>
    <x v="7829"/>
    <d v="1899-12-30T00:00:03"/>
    <x v="26"/>
    <x v="6"/>
    <s v="sjfc"/>
    <x v="1024"/>
    <n v="834631"/>
    <x v="0"/>
    <s v="Medicine"/>
    <s v="9781444354669"/>
    <s v=",1,2,3"/>
    <n v="3"/>
    <m/>
    <m/>
    <s v="No"/>
    <x v="1"/>
    <m/>
    <m/>
    <s v="149.69.254.57"/>
    <s v="RC113.2 -- .A85 2012eb"/>
    <s v="616.90022/3"/>
    <d v="2012-01-03T00:00:00"/>
  </r>
  <r>
    <x v="7830"/>
    <d v="1899-12-30T00:01:04"/>
    <x v="26"/>
    <x v="6"/>
    <s v="sjfc"/>
    <x v="1024"/>
    <n v="834631"/>
    <x v="0"/>
    <s v="Medicine"/>
    <s v="9781444354669"/>
    <s v=",1,2,3,32,33,30,31,36,35,37,38"/>
    <n v="11"/>
    <m/>
    <m/>
    <s v="No"/>
    <x v="1"/>
    <m/>
    <m/>
    <s v="149.69.254.57"/>
    <s v="RC113.2 -- .A85 2012eb"/>
    <s v="616.90022/3"/>
    <d v="2012-01-03T00:00:00"/>
  </r>
  <r>
    <x v="7831"/>
    <d v="1899-12-30T00:35:31"/>
    <x v="1769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7832"/>
    <d v="1899-12-30T00:00:00"/>
    <x v="811"/>
    <x v="0"/>
    <s v="Buffalo"/>
    <x v="533"/>
    <n v="1760720"/>
    <x v="4"/>
    <s v="Medicine"/>
    <s v="9781462517459"/>
    <m/>
    <n v="0"/>
    <m/>
    <m/>
    <s v="No"/>
    <x v="0"/>
    <d v="2015-09-17T19:21:52"/>
    <n v="7"/>
    <s v="128.205.114.91"/>
    <s v="RC489.D48 -- L56 2015eb"/>
    <n v="616.89142000000004"/>
    <d v="2014-12-23T00:00:00"/>
  </r>
  <r>
    <x v="7833"/>
    <d v="1899-12-30T00:00:05"/>
    <x v="811"/>
    <x v="0"/>
    <s v="Buffalo"/>
    <x v="533"/>
    <n v="1760720"/>
    <x v="4"/>
    <s v="Medicine"/>
    <s v="9781462517459"/>
    <s v=",1,3,2"/>
    <n v="3"/>
    <m/>
    <m/>
    <s v="No"/>
    <x v="1"/>
    <m/>
    <m/>
    <s v="128.205.114.91"/>
    <s v="RC489.D48 -- L56 2015eb"/>
    <n v="616.89142000000004"/>
    <d v="2014-12-23T00:00:00"/>
  </r>
  <r>
    <x v="7834"/>
    <d v="1899-12-30T00:01:32"/>
    <x v="1770"/>
    <x v="15"/>
    <s v="morrisville"/>
    <x v="1673"/>
    <n v="1701392"/>
    <x v="0"/>
    <s v="Agriculture"/>
    <s v="9781118348246"/>
    <s v=",1,2,3,19,20,21,17,18"/>
    <n v="8"/>
    <m/>
    <m/>
    <s v="No"/>
    <x v="3"/>
    <m/>
    <m/>
    <s v="136.204.32.68"/>
    <s v="SK355 -- .F799 2014eb"/>
    <n v="639.9"/>
    <d v="2014-05-27T00:00:00"/>
  </r>
  <r>
    <x v="7835"/>
    <d v="1899-12-30T00:00:40"/>
    <x v="171"/>
    <x v="0"/>
    <s v="Buffalo"/>
    <x v="1674"/>
    <n v="1869304"/>
    <x v="1"/>
    <s v="Social Science"/>
    <s v="9781472432933"/>
    <s v=",14,15,16,12,13,17,18,19,20,9,10,11,7,8"/>
    <n v="14"/>
    <m/>
    <s v=",1,2,3,4,5,6,7,122,123,124,125,126,127,128,129,130,131,132,133,134,135"/>
    <s v="No"/>
    <x v="2"/>
    <d v="2015-09-17T17:52:21"/>
    <n v="1"/>
    <s v="128.205.114.91"/>
    <s v="HV1568.2 -- .G78 2015eb"/>
    <s v="305.9/080141"/>
    <d v="2015-01-28T00:00:00"/>
  </r>
  <r>
    <x v="7836"/>
    <d v="1899-12-30T00:03:25"/>
    <x v="171"/>
    <x v="0"/>
    <s v="Buffalo"/>
    <x v="1674"/>
    <n v="1869304"/>
    <x v="1"/>
    <s v="Social Science"/>
    <s v="9781472432933"/>
    <s v=",1,2,3,4,87,88,89,85,86,90,91,92,93,102,122,123,124,120,121,125,126,127,128,129,130,131,132,133,134,135,136,137"/>
    <n v="32"/>
    <m/>
    <m/>
    <s v="No"/>
    <x v="3"/>
    <m/>
    <m/>
    <s v="128.205.114.91"/>
    <s v="HV1568.2 -- .G78 2015eb"/>
    <s v="305.9/080141"/>
    <d v="2015-01-28T00:00:00"/>
  </r>
  <r>
    <x v="7837"/>
    <d v="1899-12-30T01:36:12"/>
    <x v="13"/>
    <x v="0"/>
    <s v="Buffalo"/>
    <x v="559"/>
    <n v="1217954"/>
    <x v="1"/>
    <s v="Engineering; Engineering: General"/>
    <s v="9781409457558"/>
    <s v=",1,2,3,475,476,477,473,474,478,323,324,325,321,322,326,327,328,67,68,69,65,66,64,63,62,61,67,68,327,328,329,330,331"/>
    <n v="29"/>
    <m/>
    <m/>
    <s v="No"/>
    <x v="0"/>
    <d v="2015-09-14T14:56:41"/>
    <n v="7"/>
    <s v="128.205.114.91"/>
    <s v="T59.7 -- .S73 2013eb"/>
    <s v="620.8/2"/>
    <d v="2013-10-28T00:00:00"/>
  </r>
  <r>
    <x v="7838"/>
    <d v="1899-12-30T00:00:02"/>
    <x v="1600"/>
    <x v="0"/>
    <s v="Buffalo"/>
    <x v="73"/>
    <n v="1119505"/>
    <x v="0"/>
    <s v="Science: Chemistry; Science"/>
    <s v="9781118355015"/>
    <s v=",1,2,3"/>
    <n v="3"/>
    <m/>
    <s v=",76,77,78"/>
    <s v="No"/>
    <x v="0"/>
    <d v="2015-09-17T17:12:53"/>
    <n v="7"/>
    <s v="128.205.114.91"/>
    <s v="QD251.3 -- .S38 2013eb"/>
    <s v="547/.128"/>
    <d v="2013-01-28T00:00:00"/>
  </r>
  <r>
    <x v="7839"/>
    <d v="1899-12-30T00:08:57"/>
    <x v="709"/>
    <x v="13"/>
    <s v="buffalostate"/>
    <x v="516"/>
    <n v="1840835"/>
    <x v="0"/>
    <s v="Business/Management; Economics"/>
    <s v="9781118950166"/>
    <s v=",1,2,3,4,5,7,8,9,10,6,4,3,16,17,15,13,14,12,10,11,9,8,7,6,12,13,14,15,16,10,9,8,1,5,6,7,3,4,8,9,10,11,12,13,8"/>
    <n v="17"/>
    <m/>
    <m/>
    <s v="No"/>
    <x v="1"/>
    <m/>
    <m/>
    <s v="136.183.11.43"/>
    <s v="HD9969.S6 .R384 2014"/>
    <n v="338.10923789999998"/>
    <d v="2014-11-10T00:00:00"/>
  </r>
  <r>
    <x v="7840"/>
    <d v="1899-12-30T00:00:00"/>
    <x v="1600"/>
    <x v="0"/>
    <s v="Buffalo"/>
    <x v="73"/>
    <n v="1119505"/>
    <x v="0"/>
    <s v="Science: Chemistry; Science"/>
    <s v="9781118355015"/>
    <m/>
    <n v="0"/>
    <m/>
    <s v=",76,77,78"/>
    <s v="No"/>
    <x v="0"/>
    <d v="2015-09-17T17:12:53"/>
    <n v="7"/>
    <s v="128.205.114.91"/>
    <s v="QD251.3 -- .S38 2013eb"/>
    <s v="547/.128"/>
    <d v="2013-01-28T00:00:00"/>
  </r>
  <r>
    <x v="7841"/>
    <d v="1899-12-30T00:00:55"/>
    <x v="1600"/>
    <x v="0"/>
    <s v="Buffalo"/>
    <x v="73"/>
    <n v="1119505"/>
    <x v="0"/>
    <s v="Science: Chemistry; Science"/>
    <s v="9781118355015"/>
    <s v=",1,2,3,75,76,77,73,78,74,79,80,81,76"/>
    <n v="12"/>
    <m/>
    <m/>
    <s v="No"/>
    <x v="1"/>
    <m/>
    <m/>
    <s v="128.205.114.91"/>
    <s v="QD251.3 -- .S38 2013eb"/>
    <s v="547/.128"/>
    <d v="2013-01-28T00:00:00"/>
  </r>
  <r>
    <x v="7842"/>
    <d v="1899-12-30T00:00:08"/>
    <x v="1771"/>
    <x v="0"/>
    <s v="Buffalo"/>
    <x v="31"/>
    <n v="1682559"/>
    <x v="4"/>
    <s v="Medicine"/>
    <s v="9781462515431"/>
    <s v=",1,2,3,31,32,33,29,30"/>
    <n v="8"/>
    <m/>
    <m/>
    <s v="No"/>
    <x v="1"/>
    <m/>
    <m/>
    <s v="128.205.114.91"/>
    <s v="RC469 -- .M677 2014eb"/>
    <n v="616.89"/>
    <d v="2014-05-10T00:00:00"/>
  </r>
  <r>
    <x v="7843"/>
    <d v="1899-12-30T00:05:59"/>
    <x v="1768"/>
    <x v="1"/>
    <s v="brockport"/>
    <x v="151"/>
    <n v="968030"/>
    <x v="0"/>
    <s v="Psychology"/>
    <s v="9781118285138"/>
    <s v=",1,60,62,61,58,59,2,63,64,65,66,67,205,206,207,203,204,202,201,208"/>
    <n v="20"/>
    <m/>
    <m/>
    <s v="No"/>
    <x v="0"/>
    <d v="2015-09-17T03:04:25"/>
    <n v="7"/>
    <s v="137.21.7.121"/>
    <s v="BF637.C6 -- S85 2013eb"/>
    <n v="158.30000000000001"/>
    <d v="2012-07-10T00:00:00"/>
  </r>
  <r>
    <x v="7844"/>
    <d v="1899-12-30T00:01:12"/>
    <x v="1772"/>
    <x v="0"/>
    <s v="Buffalo"/>
    <x v="150"/>
    <n v="1882108"/>
    <x v="3"/>
    <s v="Literature"/>
    <s v="9780520961326"/>
    <s v=",2,1,3,19,46,46,47,2,45,44,43,42,42,42,42,43"/>
    <n v="10"/>
    <m/>
    <m/>
    <s v="No"/>
    <x v="3"/>
    <m/>
    <m/>
    <s v="128.205.114.91"/>
    <s v="PA4025.A2 -- .H664 2015eb"/>
    <n v="883"/>
    <d v="2015-05-14T00:00:00"/>
  </r>
  <r>
    <x v="7845"/>
    <d v="1899-12-30T00:04:18"/>
    <x v="1773"/>
    <x v="7"/>
    <s v="oneonta"/>
    <x v="465"/>
    <n v="1781084"/>
    <x v="0"/>
    <s v="Fine Arts"/>
    <s v="9781118900079"/>
    <s v=",1,2,3,4,5,6,7,8,9,10,11,12,13,14,15,16,17,18,19,20,21,22,23,24,25,26,27,28,29,30,31,32,33,34,35,36,37,38,39,40,42,43,44,45,46,47,48,52,55,60,65,70,76,78,79,77,81,82,83,84,85,86"/>
    <n v="62"/>
    <m/>
    <m/>
    <s v="No"/>
    <x v="3"/>
    <m/>
    <m/>
    <s v="137.141.13.2"/>
    <s v="MT248 -- .P536 2014eb"/>
    <n v="786.21929999999998"/>
    <d v="2014-09-03T00:00:00"/>
  </r>
  <r>
    <x v="7846"/>
    <d v="1899-12-30T00:00:00"/>
    <x v="1377"/>
    <x v="5"/>
    <s v="erie"/>
    <x v="1675"/>
    <n v="868340"/>
    <x v="3"/>
    <s v="Social Science; Business/Management; Health"/>
    <s v="9780520950436"/>
    <m/>
    <n v="0"/>
    <m/>
    <m/>
    <s v="No"/>
    <x v="0"/>
    <d v="2015-09-17T16:52:42"/>
    <n v="7"/>
    <s v="199.29.6.54"/>
    <s v="HD9135 -- .P76 2011eb"/>
    <n v="362.29609729999999"/>
    <d v="2012-02-28T00:00:00"/>
  </r>
  <r>
    <x v="7847"/>
    <d v="1899-12-30T00:00:12"/>
    <x v="1377"/>
    <x v="5"/>
    <s v="erie"/>
    <x v="1675"/>
    <n v="868340"/>
    <x v="3"/>
    <s v="Social Science; Business/Management; Health"/>
    <s v="9780520950436"/>
    <s v=",1,2,3,162,163,164,160,161"/>
    <n v="8"/>
    <m/>
    <m/>
    <s v="No"/>
    <x v="1"/>
    <m/>
    <m/>
    <s v="199.29.6.54"/>
    <s v="HD9135 -- .P76 2011eb"/>
    <n v="362.29609729999999"/>
    <d v="2012-02-28T00:00:00"/>
  </r>
  <r>
    <x v="7848"/>
    <d v="1899-12-30T00:00:04"/>
    <x v="1774"/>
    <x v="7"/>
    <s v="oneonta"/>
    <x v="1219"/>
    <n v="1104736"/>
    <x v="9"/>
    <s v="Mathematics"/>
    <s v="9781118497579"/>
    <s v=",1,2,3"/>
    <n v="3"/>
    <m/>
    <m/>
    <s v="No"/>
    <x v="1"/>
    <m/>
    <m/>
    <s v="137.141.13.2"/>
    <s v="QA278.8 .G384 2012"/>
    <s v="519.5/4"/>
    <d v="2021-05-01T00:00:00"/>
  </r>
  <r>
    <x v="7849"/>
    <d v="1899-12-30T02:15:42"/>
    <x v="1765"/>
    <x v="13"/>
    <s v="buffalostate"/>
    <x v="1668"/>
    <n v="1024333"/>
    <x v="4"/>
    <s v="Education"/>
    <s v="9781462506439"/>
    <s v=",1,2,3,2,3,1,4,5,4,7,6,5,7,6,8,9,8,9,20,21,22,20,21,22,19,18,19,17,22,24,23,25,24,23,23,21,22,25,22,23,26,26,27,27,28,28,29,29,30,30,31,31,32,32,33,33,34,34,35,30,35,36,36,37,38,37,38,39,39,40,40,41,41,36,41,42,42,43,43,44,44,39,44,39,45,45,46,47,46,47,48,48,49,49,50,50,51,51,101,102,103,99,100,102,101,103,100,104,104,99,104,105,105,106,106,107,107,102,107"/>
    <n v="53"/>
    <m/>
    <m/>
    <s v="No"/>
    <x v="0"/>
    <d v="2015-09-17T15:44:57"/>
    <n v="7"/>
    <s v="136.183.11.43"/>
    <s v="LB1050.42 -- .A44 2012eb"/>
    <n v="372.41"/>
    <d v="2014-05-14T00:00:00"/>
  </r>
  <r>
    <x v="7850"/>
    <d v="1899-12-30T00:00:00"/>
    <x v="1765"/>
    <x v="13"/>
    <s v="buffalostate"/>
    <x v="1668"/>
    <n v="1024333"/>
    <x v="4"/>
    <s v="Education"/>
    <s v="9781462506439"/>
    <m/>
    <n v="0"/>
    <m/>
    <m/>
    <s v="Yes"/>
    <x v="0"/>
    <d v="2015-09-17T15:44:57"/>
    <n v="7"/>
    <s v="136.183.11.43"/>
    <s v="LB1050.42 -- .A44 2012eb"/>
    <n v="372.41"/>
    <d v="2014-05-14T00:00:00"/>
  </r>
  <r>
    <x v="7851"/>
    <d v="1899-12-30T00:00:00"/>
    <x v="1765"/>
    <x v="13"/>
    <s v="buffalostate"/>
    <x v="1668"/>
    <n v="1024333"/>
    <x v="4"/>
    <s v="Education"/>
    <s v="9781462506439"/>
    <m/>
    <n v="0"/>
    <m/>
    <m/>
    <s v="Yes"/>
    <x v="0"/>
    <d v="2015-09-17T15:44:57"/>
    <n v="7"/>
    <s v="136.183.11.43"/>
    <s v="LB1050.42 -- .A44 2012eb"/>
    <n v="372.41"/>
    <d v="2014-05-14T00:00:00"/>
  </r>
  <r>
    <x v="7852"/>
    <d v="1899-12-30T00:08:41"/>
    <x v="1765"/>
    <x v="13"/>
    <s v="buffalostate"/>
    <x v="1668"/>
    <n v="1024333"/>
    <x v="4"/>
    <s v="Education"/>
    <s v="9781462506439"/>
    <s v=",29,23,22,23,24,22,25,21,23,22,24"/>
    <n v="6"/>
    <m/>
    <m/>
    <s v="Yes"/>
    <x v="0"/>
    <d v="2015-09-17T15:44:57"/>
    <n v="7"/>
    <s v="136.183.11.43"/>
    <s v="LB1050.42 -- .A44 2012eb"/>
    <n v="372.41"/>
    <d v="2014-05-14T00:00:00"/>
  </r>
  <r>
    <x v="7853"/>
    <d v="1899-12-30T00:00:47"/>
    <x v="1765"/>
    <x v="13"/>
    <s v="buffalostate"/>
    <x v="1668"/>
    <n v="1024333"/>
    <x v="4"/>
    <s v="Education"/>
    <s v="9781462506439"/>
    <s v=",33,33,34,34"/>
    <n v="2"/>
    <m/>
    <m/>
    <s v="Yes"/>
    <x v="0"/>
    <d v="2015-09-17T15:44:57"/>
    <n v="7"/>
    <s v="136.183.11.43"/>
    <s v="LB1050.42 -- .A44 2012eb"/>
    <n v="372.41"/>
    <d v="2014-05-14T00:00:00"/>
  </r>
  <r>
    <x v="7853"/>
    <d v="1899-12-30T00:00:00"/>
    <x v="1765"/>
    <x v="13"/>
    <s v="buffalostate"/>
    <x v="1668"/>
    <n v="1024333"/>
    <x v="4"/>
    <s v="Education"/>
    <s v="9781462506439"/>
    <m/>
    <n v="0"/>
    <m/>
    <m/>
    <s v="No"/>
    <x v="0"/>
    <d v="2015-09-17T15:44:57"/>
    <n v="7"/>
    <s v="136.183.11.43"/>
    <s v="LB1050.42 -- .A44 2012eb"/>
    <n v="372.41"/>
    <d v="2014-05-14T00:00:00"/>
  </r>
  <r>
    <x v="7854"/>
    <d v="1899-12-30T00:01:04"/>
    <x v="1765"/>
    <x v="13"/>
    <s v="buffalostate"/>
    <x v="1668"/>
    <n v="1024333"/>
    <x v="4"/>
    <s v="Education"/>
    <s v="9781462506439"/>
    <s v=",1,2,3,2,3,1,4,4,5,5,6,6,7,7,8,8,9,10,2,10,9,11,11,23,23,25,24,25,24,22,21,22,26,26,29,30,29,30,31,28,31,32,32"/>
    <n v="22"/>
    <m/>
    <m/>
    <s v="No"/>
    <x v="1"/>
    <m/>
    <m/>
    <s v="136.183.11.43"/>
    <s v="LB1050.42 -- .A44 2012eb"/>
    <n v="372.41"/>
    <d v="2014-05-14T00:00:00"/>
  </r>
  <r>
    <x v="7855"/>
    <d v="1899-12-30T00:03:43"/>
    <x v="1775"/>
    <x v="13"/>
    <s v="buffalostate"/>
    <x v="755"/>
    <n v="1839929"/>
    <x v="4"/>
    <s v="Medicine"/>
    <s v="9781462519873"/>
    <s v=",1,2,3,4,5,6,7,8,24,25,23,21,22,19,20,17,18,16,25,26,27,28,29,30,31,32,33,34,35"/>
    <n v="28"/>
    <m/>
    <m/>
    <s v="No"/>
    <x v="3"/>
    <m/>
    <m/>
    <s v="136.183.11.43"/>
    <s v="RC537.5 -- .K466 2015eb"/>
    <s v="618.97/68527"/>
    <d v="2015-02-25T00:00:00"/>
  </r>
  <r>
    <x v="7856"/>
    <d v="1899-12-30T00:00:00"/>
    <x v="1598"/>
    <x v="1"/>
    <s v="brockport"/>
    <x v="1"/>
    <n v="1684620"/>
    <x v="0"/>
    <s v="Health; Social Science"/>
    <s v="9781118418925"/>
    <m/>
    <n v="0"/>
    <m/>
    <m/>
    <s v="Yes"/>
    <x v="0"/>
    <d v="2015-09-17T14:58:18"/>
    <n v="7"/>
    <s v="137.21.7.121"/>
    <s v="RA971 -- .S56 2014eb"/>
    <n v="362.10680000000002"/>
    <d v="2014-04-30T00:00:00"/>
  </r>
  <r>
    <x v="7856"/>
    <d v="1899-12-30T00:00:00"/>
    <x v="1598"/>
    <x v="1"/>
    <s v="brockport"/>
    <x v="1"/>
    <n v="1684620"/>
    <x v="0"/>
    <s v="Health; Social Science"/>
    <s v="9781118418925"/>
    <m/>
    <n v="0"/>
    <m/>
    <m/>
    <s v="No"/>
    <x v="0"/>
    <d v="2015-09-17T14:58:18"/>
    <n v="7"/>
    <s v="137.21.7.121"/>
    <s v="RA971 -- .S56 2014eb"/>
    <n v="362.10680000000002"/>
    <d v="2014-04-30T00:00:00"/>
  </r>
  <r>
    <x v="7857"/>
    <d v="1899-12-30T00:00:12"/>
    <x v="1598"/>
    <x v="1"/>
    <s v="brockport"/>
    <x v="1"/>
    <n v="1684620"/>
    <x v="0"/>
    <s v="Health; Social Science"/>
    <s v="9781118418925"/>
    <s v=",1,2,2,3,3,1"/>
    <n v="3"/>
    <m/>
    <m/>
    <s v="No"/>
    <x v="1"/>
    <m/>
    <m/>
    <s v="137.21.7.121"/>
    <s v="RA971 -- .S56 2014eb"/>
    <n v="362.10680000000002"/>
    <d v="2014-04-30T00:00:00"/>
  </r>
  <r>
    <x v="7858"/>
    <d v="1899-12-30T00:00:03"/>
    <x v="1776"/>
    <x v="1"/>
    <s v="brockport"/>
    <x v="1676"/>
    <n v="1808797"/>
    <x v="1"/>
    <s v="Law"/>
    <s v="9781472436061"/>
    <s v=",1,2,3"/>
    <n v="3"/>
    <m/>
    <m/>
    <s v="No"/>
    <x v="3"/>
    <m/>
    <m/>
    <s v="137.21.7.121"/>
    <s v="KNQ470 -- .L5 2014eb"/>
    <s v="347.51/01"/>
    <d v="2014-11-28T00:00:00"/>
  </r>
  <r>
    <x v="7859"/>
    <d v="1899-12-30T00:00:00"/>
    <x v="1140"/>
    <x v="0"/>
    <s v="Buffalo"/>
    <x v="73"/>
    <n v="1119505"/>
    <x v="0"/>
    <s v="Science: Chemistry; Science"/>
    <s v="9781118355015"/>
    <m/>
    <n v="0"/>
    <m/>
    <s v=",59,60,61,62,63,64,65,66,67,68,69,70,71,72,73,74,75,76,77,78,52,53,54,53,54,55,56,57,58,59,60,61,62,63,64,65,66,67,68,69,70,71,72,73,74,75,76,77,78"/>
    <s v="No"/>
    <x v="0"/>
    <d v="2015-09-17T14:24:40"/>
    <n v="7"/>
    <s v="128.205.114.91"/>
    <s v="QD251.3 -- .S38 2013eb"/>
    <s v="547/.128"/>
    <d v="2013-01-28T00:00:00"/>
  </r>
  <r>
    <x v="7860"/>
    <d v="1899-12-30T00:01:19"/>
    <x v="1140"/>
    <x v="0"/>
    <s v="Buffalo"/>
    <x v="73"/>
    <n v="1119505"/>
    <x v="0"/>
    <s v="Science: Chemistry; Science"/>
    <s v="9781118355015"/>
    <s v=",1,2,3,52,53,54,50,51,55,56,57,58,50"/>
    <n v="12"/>
    <m/>
    <m/>
    <s v="No"/>
    <x v="1"/>
    <m/>
    <m/>
    <s v="128.205.114.91"/>
    <s v="QD251.3 -- .S38 2013eb"/>
    <s v="547/.128"/>
    <d v="2013-01-28T00:00:00"/>
  </r>
  <r>
    <x v="7861"/>
    <d v="1899-12-30T00:00:00"/>
    <x v="13"/>
    <x v="0"/>
    <s v="Buffalo"/>
    <x v="728"/>
    <n v="1872281"/>
    <x v="4"/>
    <s v="Education; Business/Management"/>
    <s v="9781462519606"/>
    <m/>
    <n v="0"/>
    <m/>
    <m/>
    <s v="No"/>
    <x v="0"/>
    <d v="2015-09-17T14:19:35"/>
    <n v="7"/>
    <s v="128.205.114.91"/>
    <s v="HD75 -- .P448 2015eb"/>
    <n v="378.101"/>
    <d v="2015-05-26T00:00:00"/>
  </r>
  <r>
    <x v="7862"/>
    <d v="1899-12-30T00:01:35"/>
    <x v="13"/>
    <x v="0"/>
    <s v="Buffalo"/>
    <x v="728"/>
    <n v="1872281"/>
    <x v="4"/>
    <s v="Education; Business/Management"/>
    <s v="9781462519606"/>
    <s v=",1,1,3,3,2,2,238,238,239,239,240,240,236,237,237,238,239,240,236,238,2,240,238,237,236,236,236,236,238,238,238"/>
    <n v="8"/>
    <m/>
    <m/>
    <s v="No"/>
    <x v="1"/>
    <m/>
    <m/>
    <s v="128.205.114.91"/>
    <s v="HD75 -- .P448 2015eb"/>
    <n v="378.101"/>
    <d v="2015-05-26T00:00:00"/>
  </r>
  <r>
    <x v="7863"/>
    <d v="1899-12-30T00:32:34"/>
    <x v="1043"/>
    <x v="0"/>
    <s v="Buffalo"/>
    <x v="73"/>
    <n v="1119505"/>
    <x v="0"/>
    <s v="Science: Chemistry; Science"/>
    <s v="9781118355015"/>
    <s v=",57,57,58,58,59,59,60,60,61,61,62,62,63,63,64,64,65,65,66,66,67,67,68,68,69,69,70,70,71,71,72,72,73,74,69,74,75,76,77,78,79,79,73,78,73,78,79"/>
    <n v="23"/>
    <m/>
    <m/>
    <s v="No"/>
    <x v="0"/>
    <d v="2015-09-17T14:10:32"/>
    <n v="7"/>
    <s v="128.205.114.91"/>
    <s v="QD251.3 -- .S38 2013eb"/>
    <s v="547/.128"/>
    <d v="2013-01-28T00:00:00"/>
  </r>
  <r>
    <x v="7864"/>
    <d v="1899-12-30T00:16:09"/>
    <x v="1043"/>
    <x v="0"/>
    <s v="Buffalo"/>
    <x v="73"/>
    <n v="1119505"/>
    <x v="0"/>
    <s v="Science: Chemistry; Science"/>
    <s v="9781118355015"/>
    <s v=",1,3,3,2,1,2,75,76,77,75,77,2,2,76,74,73,74,78,78,53,54,53,54,52,55,51,55,52,50,56,56"/>
    <n v="16"/>
    <m/>
    <m/>
    <s v="No"/>
    <x v="1"/>
    <m/>
    <m/>
    <s v="128.205.114.91"/>
    <s v="QD251.3 -- .S38 2013eb"/>
    <s v="547/.128"/>
    <d v="2013-01-28T00:00:00"/>
  </r>
  <r>
    <x v="7865"/>
    <d v="1899-12-30T00:02:11"/>
    <x v="535"/>
    <x v="0"/>
    <s v="Buffalo"/>
    <x v="559"/>
    <n v="1217954"/>
    <x v="1"/>
    <s v="Engineering; Engineering: General"/>
    <s v="9781409457558"/>
    <s v=",1,2,3"/>
    <n v="3"/>
    <m/>
    <m/>
    <s v="Yes"/>
    <x v="0"/>
    <d v="2015-09-11T19:28:50"/>
    <n v="7"/>
    <s v="128.205.114.91"/>
    <s v="T59.7 -- .S73 2013eb"/>
    <s v="620.8/2"/>
    <d v="2013-10-28T00:00:00"/>
  </r>
  <r>
    <x v="7866"/>
    <d v="1899-12-30T00:00:03"/>
    <x v="535"/>
    <x v="0"/>
    <s v="Buffalo"/>
    <x v="559"/>
    <n v="1217954"/>
    <x v="1"/>
    <s v="Engineering; Engineering: General"/>
    <s v="9781409457558"/>
    <s v=",1,2,3"/>
    <n v="3"/>
    <m/>
    <m/>
    <s v="No"/>
    <x v="0"/>
    <d v="2015-09-11T19:28:50"/>
    <n v="7"/>
    <s v="128.205.114.91"/>
    <s v="T59.7 -- .S73 2013eb"/>
    <s v="620.8/2"/>
    <d v="2013-10-28T00:00:00"/>
  </r>
  <r>
    <x v="7867"/>
    <d v="1899-12-30T00:06:51"/>
    <x v="847"/>
    <x v="0"/>
    <s v="Buffalo"/>
    <x v="559"/>
    <n v="1217954"/>
    <x v="1"/>
    <s v="Engineering; Engineering: General"/>
    <s v="9781409457558"/>
    <s v=",1,2,3,554,555,553,551,552,37,38,39,35,36,40,41,35,34,13,1,3"/>
    <n v="17"/>
    <m/>
    <m/>
    <s v="No"/>
    <x v="1"/>
    <m/>
    <m/>
    <s v="128.205.114.91"/>
    <s v="T59.7 -- .S73 2013eb"/>
    <s v="620.8/2"/>
    <d v="2013-10-28T00:00:00"/>
  </r>
  <r>
    <x v="7868"/>
    <d v="1899-12-30T00:01:01"/>
    <x v="1093"/>
    <x v="5"/>
    <s v="erie"/>
    <x v="1677"/>
    <n v="1174128"/>
    <x v="0"/>
    <s v="Political Science"/>
    <s v="9780745637303"/>
    <s v=",1,3,2,4,5,6,7,76,77,78,75,73,74,72,70,71"/>
    <n v="16"/>
    <m/>
    <m/>
    <s v="No"/>
    <x v="1"/>
    <m/>
    <m/>
    <s v="199.29.6.54"/>
    <s v="JZ1308 .B43 2011"/>
    <n v="327.101"/>
    <d v="2013-04-16T00:00:00"/>
  </r>
  <r>
    <x v="7869"/>
    <d v="1899-12-30T00:48:41"/>
    <x v="1768"/>
    <x v="1"/>
    <s v="brockport"/>
    <x v="151"/>
    <n v="968030"/>
    <x v="0"/>
    <s v="Psychology"/>
    <s v="9781118285138"/>
    <s v=",51,53,54,55,56,57,58,59,62,60,61,60,59,63,64,65,64,66,62,63,67,9,10,11,7,8,12,14,17,18,68,71,83,96,101,105,107,109,113,114,117,120,124,126,129,128,131,127,125,122,123,224,221,220,218,190,191,192,193,194,195,196,197,200,202,205,204,203,206,208,209,210,211,212,213,214,215,216,217,219,222,223,225,226,227,228,207"/>
    <n v="82"/>
    <m/>
    <m/>
    <s v="No"/>
    <x v="0"/>
    <d v="2015-09-17T03:04:25"/>
    <n v="7"/>
    <s v="137.21.7.121"/>
    <s v="BF637.C6 -- S85 2013eb"/>
    <n v="158.30000000000001"/>
    <d v="2012-07-10T00:00:00"/>
  </r>
  <r>
    <x v="7870"/>
    <d v="1899-12-30T00:10:53"/>
    <x v="1768"/>
    <x v="1"/>
    <s v="brockport"/>
    <x v="151"/>
    <n v="968030"/>
    <x v="0"/>
    <s v="Psychology"/>
    <s v="9781118285138"/>
    <s v=",1,2,3,25,26,27,23,24,28,26,27,28,29,30,36,31,32,33,37,37,7,50"/>
    <n v="18"/>
    <m/>
    <m/>
    <s v="No"/>
    <x v="1"/>
    <m/>
    <m/>
    <s v="137.21.7.121"/>
    <s v="BF637.C6 -- S85 2013eb"/>
    <n v="158.30000000000001"/>
    <d v="2012-07-10T00:00:00"/>
  </r>
  <r>
    <x v="7871"/>
    <d v="1899-12-30T00:00:30"/>
    <x v="1527"/>
    <x v="13"/>
    <s v="buffalostate"/>
    <x v="1414"/>
    <n v="849019"/>
    <x v="0"/>
    <s v="Science: Biology/Natural History; Agriculture; Science"/>
    <s v="9781119949862"/>
    <s v=",1,2,3,9,10,7,8,6,5,4"/>
    <n v="10"/>
    <m/>
    <m/>
    <s v="No"/>
    <x v="1"/>
    <m/>
    <m/>
    <s v="136.183.11.43"/>
    <s v="QP801.C24 -- C636 2012eb"/>
    <n v="633.73"/>
    <d v="2012-01-24T00:00:00"/>
  </r>
  <r>
    <x v="7872"/>
    <d v="1899-12-30T00:03:24"/>
    <x v="1777"/>
    <x v="1"/>
    <s v="brockport"/>
    <x v="1678"/>
    <n v="1175196"/>
    <x v="3"/>
    <s v="Science; Science: Zoology"/>
    <s v="9780520955196"/>
    <s v=",4,275,276,277,273,274,278,275,337,333,334,332,16,14"/>
    <n v="13"/>
    <m/>
    <m/>
    <s v="No"/>
    <x v="2"/>
    <d v="2015-09-17T02:14:07"/>
    <n v="1"/>
    <s v="137.21.7.121"/>
    <s v="QL625 -- .R67 2013eb"/>
    <n v="597.17600000000004"/>
    <d v="2013-06-01T00:00:00"/>
  </r>
  <r>
    <x v="7873"/>
    <d v="1899-12-30T00:10:16"/>
    <x v="1777"/>
    <x v="1"/>
    <s v="brockport"/>
    <x v="1678"/>
    <n v="1175196"/>
    <x v="3"/>
    <s v="Science; Science: Zoology"/>
    <s v="9780520955196"/>
    <s v=",1,2,3"/>
    <n v="3"/>
    <m/>
    <m/>
    <s v="No"/>
    <x v="3"/>
    <m/>
    <m/>
    <s v="137.21.7.121"/>
    <s v="QL625 -- .R67 2013eb"/>
    <n v="597.17600000000004"/>
    <d v="2013-06-01T00:00:00"/>
  </r>
  <r>
    <x v="7874"/>
    <d v="1899-12-30T00:01:56"/>
    <x v="1777"/>
    <x v="1"/>
    <s v="brockport"/>
    <x v="1678"/>
    <n v="1175196"/>
    <x v="3"/>
    <s v="Science; Science: Zoology"/>
    <s v="9780520955196"/>
    <s v=",1,2,3,4,450,451,452,448,449,453,454,456,457,457,450,450"/>
    <n v="13"/>
    <m/>
    <m/>
    <s v="No"/>
    <x v="3"/>
    <m/>
    <m/>
    <s v="137.21.7.121"/>
    <s v="QL625 -- .R67 2013eb"/>
    <n v="597.17600000000004"/>
    <d v="2013-06-01T00:00:00"/>
  </r>
  <r>
    <x v="7875"/>
    <d v="1899-12-30T00:00:26"/>
    <x v="1778"/>
    <x v="5"/>
    <s v="erie"/>
    <x v="1574"/>
    <n v="1204057"/>
    <x v="0"/>
    <s v="Engineering; Engineering: Chemical"/>
    <s v="9781118598122"/>
    <s v=",1,2,3,4,5,6"/>
    <n v="6"/>
    <m/>
    <m/>
    <s v="No"/>
    <x v="1"/>
    <m/>
    <m/>
    <s v="199.29.6.54"/>
    <s v="TP568 -- .B68 2013eb"/>
    <s v="663/.3"/>
    <d v="2013-05-20T00:00:00"/>
  </r>
  <r>
    <x v="7876"/>
    <d v="1899-12-30T00:00:26"/>
    <x v="760"/>
    <x v="0"/>
    <s v="Buffalo"/>
    <x v="728"/>
    <n v="1872281"/>
    <x v="4"/>
    <s v="Education; Business/Management"/>
    <s v="9781462519606"/>
    <s v=",1,2,3,2,3,1,2,2"/>
    <n v="3"/>
    <m/>
    <m/>
    <s v="No"/>
    <x v="1"/>
    <m/>
    <m/>
    <s v="128.205.114.91"/>
    <s v="HD75 -- .P448 2015eb"/>
    <n v="378.101"/>
    <d v="2015-05-26T00:00:00"/>
  </r>
  <r>
    <x v="7877"/>
    <d v="1899-12-30T00:01:17"/>
    <x v="1779"/>
    <x v="0"/>
    <s v="Buffalo"/>
    <x v="524"/>
    <n v="1742625"/>
    <x v="11"/>
    <s v="Social Science; Business/Management"/>
    <s v="9780226135250"/>
    <s v=",1,2,3,32,33,34,31,30,35,36,37,38,39,40,41,42,43,44,45"/>
    <n v="19"/>
    <m/>
    <m/>
    <s v="No"/>
    <x v="3"/>
    <m/>
    <m/>
    <s v="128.205.114.91"/>
    <s v="HD268"/>
    <s v="363.5/99960730759381"/>
    <d v="2014-08-25T00:00:00"/>
  </r>
  <r>
    <x v="7878"/>
    <d v="1899-12-30T00:00:08"/>
    <x v="1780"/>
    <x v="0"/>
    <s v="Buffalo"/>
    <x v="1679"/>
    <n v="1313513"/>
    <x v="0"/>
    <s v="Computer Science/IT"/>
    <s v="9781118732281"/>
    <s v=",1,2,3"/>
    <n v="3"/>
    <m/>
    <m/>
    <s v="No"/>
    <x v="1"/>
    <m/>
    <m/>
    <s v="128.205.114.91"/>
    <s v="QA76.9 .D37"/>
    <n v="5.74"/>
    <d v="2013-07-01T00:00:00"/>
  </r>
  <r>
    <x v="7879"/>
    <d v="1899-12-30T00:01:10"/>
    <x v="1781"/>
    <x v="16"/>
    <s v="monroecc"/>
    <x v="1355"/>
    <n v="1630976"/>
    <x v="0"/>
    <s v="Fine Arts; Architecture"/>
    <s v="9781118418666"/>
    <s v=",1,2,3,4"/>
    <n v="4"/>
    <m/>
    <m/>
    <s v="No"/>
    <x v="1"/>
    <m/>
    <m/>
    <s v="150.160.200.114"/>
    <s v="NK2110"/>
    <n v="729"/>
    <d v="2014-02-07T00:00:00"/>
  </r>
  <r>
    <x v="7880"/>
    <d v="1899-12-30T00:00:04"/>
    <x v="199"/>
    <x v="5"/>
    <s v="erie"/>
    <x v="1680"/>
    <n v="1882090"/>
    <x v="3"/>
    <s v="Social Science; Literature"/>
    <s v="9780520959590"/>
    <s v=",1,2,3"/>
    <n v="3"/>
    <m/>
    <m/>
    <s v="No"/>
    <x v="3"/>
    <m/>
    <m/>
    <s v="199.29.6.54"/>
    <s v="PL2403 .R43 2015"/>
    <n v="306.48099999999999"/>
    <d v="2015-05-01T00:00:00"/>
  </r>
  <r>
    <x v="7881"/>
    <d v="1899-12-30T00:00:59"/>
    <x v="1149"/>
    <x v="9"/>
    <s v="trocaire"/>
    <x v="603"/>
    <n v="1710985"/>
    <x v="3"/>
    <s v="Literature; Fine Arts"/>
    <s v="9780520960022"/>
    <s v=",1,2,3,4"/>
    <n v="4"/>
    <m/>
    <m/>
    <s v="No"/>
    <x v="3"/>
    <m/>
    <m/>
    <s v="173.225.62.67"/>
    <s v="PN6725 -- .B37225 2015eb"/>
    <n v="741.59"/>
    <d v="2014-11-27T00:00:00"/>
  </r>
  <r>
    <x v="7882"/>
    <d v="1899-12-30T00:03:38"/>
    <x v="1782"/>
    <x v="7"/>
    <s v="oneonta"/>
    <x v="596"/>
    <n v="1010497"/>
    <x v="0"/>
    <s v="Medicine"/>
    <s v="9781118314753"/>
    <s v=",1,2,3,4,5,6,7,8,9,10,11,12,13,81,154,155,156,152,153,151,149,150"/>
    <n v="22"/>
    <m/>
    <m/>
    <s v="No"/>
    <x v="1"/>
    <m/>
    <m/>
    <s v="137.141.13.2"/>
    <s v="RC552.E18 -- E28 2012eb"/>
    <s v="616.85/26"/>
    <d v="2012-08-21T00:00:00"/>
  </r>
  <r>
    <x v="7883"/>
    <d v="1899-12-30T00:23:42"/>
    <x v="1783"/>
    <x v="0"/>
    <s v="Buffalo"/>
    <x v="1681"/>
    <n v="1590672"/>
    <x v="1"/>
    <s v="Religion"/>
    <s v="9781472410535"/>
    <s v=",205,206,207,208,209,210,211,212,213,214,215,216,217,221,218,219,220,221,222,223,224,225,226,227,32,34,33,31,30,35,36,37,38,39,40,41,42,43,44,45,46,47,48,49,50,154,155,156,152,153,157,158"/>
    <n v="51"/>
    <m/>
    <m/>
    <s v="No"/>
    <x v="2"/>
    <d v="2015-09-16T17:56:05"/>
    <n v="1"/>
    <s v="128.205.114.91"/>
    <s v="BL510 -- .E436 2014eb"/>
    <s v="202/.2"/>
    <d v="2014-03-28T00:00:00"/>
  </r>
  <r>
    <x v="7884"/>
    <d v="1899-12-30T00:05:36"/>
    <x v="1783"/>
    <x v="0"/>
    <s v="Buffalo"/>
    <x v="1681"/>
    <n v="1590672"/>
    <x v="1"/>
    <s v="Religion"/>
    <s v="9781472410535"/>
    <s v=",1,2,3,118,119,120,117,116,182,183,184,180,181,185,200,201,202,199,198,203,204"/>
    <n v="21"/>
    <m/>
    <m/>
    <s v="No"/>
    <x v="3"/>
    <m/>
    <m/>
    <s v="128.205.114.91"/>
    <s v="BL510 -- .E436 2014eb"/>
    <s v="202/.2"/>
    <d v="2014-03-28T00:00:00"/>
  </r>
  <r>
    <x v="7885"/>
    <d v="1899-12-30T00:01:28"/>
    <x v="1784"/>
    <x v="9"/>
    <s v="trocaire"/>
    <x v="3"/>
    <n v="822040"/>
    <x v="0"/>
    <s v="Literature; Psychology"/>
    <s v="9781118289099"/>
    <s v=",1,1,2,3,2,3,4,4,5,6,5,6,7,7,8,8,2,17,18,19,17,18,19,16,15,16,20,20,21,21,22,22,23,23,25,24,25,24,26,21"/>
    <n v="20"/>
    <m/>
    <m/>
    <s v="No"/>
    <x v="1"/>
    <m/>
    <m/>
    <s v="173.225.62.67"/>
    <s v="BF76.7 -- .B447 2012eb"/>
    <s v="808.06/615"/>
    <d v="2012-03-22T00:00:00"/>
  </r>
  <r>
    <x v="7886"/>
    <d v="1899-12-30T00:00:04"/>
    <x v="1785"/>
    <x v="8"/>
    <s v="niagaracc"/>
    <x v="254"/>
    <n v="2064681"/>
    <x v="0"/>
    <s v="Engineering; Mathematics; Engineering: Mechanical"/>
    <s v="9781118674918"/>
    <s v=",1,3,2"/>
    <n v="3"/>
    <m/>
    <m/>
    <s v="No"/>
    <x v="3"/>
    <m/>
    <m/>
    <s v="132.174.254.37"/>
    <s v="TJ216"/>
    <n v="519.54999999999995"/>
    <d v="2015-06-02T00:00:00"/>
  </r>
  <r>
    <x v="7887"/>
    <d v="1899-12-30T00:00:04"/>
    <x v="1093"/>
    <x v="5"/>
    <s v="erie"/>
    <x v="134"/>
    <n v="1791341"/>
    <x v="0"/>
    <s v="Engineering; Engineering: Construction"/>
    <s v="9781118862285"/>
    <s v=",1,2,3"/>
    <n v="3"/>
    <m/>
    <m/>
    <s v="No"/>
    <x v="1"/>
    <m/>
    <m/>
    <s v="199.29.6.54"/>
    <s v="TH6010 -- .G766 2015eb"/>
    <n v="696"/>
    <d v="2014-09-17T00:00:00"/>
  </r>
  <r>
    <x v="7888"/>
    <d v="1899-12-30T01:29:34"/>
    <x v="13"/>
    <x v="0"/>
    <s v="Buffalo"/>
    <x v="559"/>
    <n v="1217954"/>
    <x v="1"/>
    <s v="Engineering; Engineering: General"/>
    <s v="9781409457558"/>
    <s v=",1,2,3,475,477,476,473,474,478,479,480,479,611,613,612,609,610,572,573,574,570,571,63,64,65,62,61,6,7,8,4,5,67,66,68,69,70,71,72,73,74,75,76,77,78,79,598,600,599,596,597,5,202,35,7,6,8,9,4,10,11,599,600,416,417,418,414,415,413,412,411,416,419,420,354,356,337,355,338,339,336,335,334,333,324,325,326,323,322,321,320,319,318,317,316,324,327,328,329,330,331,333,332"/>
    <n v="92"/>
    <m/>
    <m/>
    <s v="No"/>
    <x v="0"/>
    <d v="2015-09-14T14:56:41"/>
    <n v="7"/>
    <s v="128.205.114.91"/>
    <s v="T59.7 -- .S73 2013eb"/>
    <s v="620.8/2"/>
    <d v="2013-10-28T00:00:00"/>
  </r>
  <r>
    <x v="7889"/>
    <d v="1899-12-30T00:01:25"/>
    <x v="171"/>
    <x v="0"/>
    <s v="Buffalo"/>
    <x v="785"/>
    <n v="1570482"/>
    <x v="1"/>
    <s v="Social Science"/>
    <s v="9781409440529"/>
    <s v=",1,2,3,62,63,60,61,64"/>
    <n v="8"/>
    <m/>
    <m/>
    <s v="No"/>
    <x v="1"/>
    <m/>
    <m/>
    <s v="128.205.114.91"/>
    <s v="P96.I34 -- .R633 2014eb"/>
    <s v="302.2301/9"/>
    <d v="2014-02-28T00:00:00"/>
  </r>
  <r>
    <x v="7890"/>
    <d v="1899-12-30T00:00:03"/>
    <x v="1786"/>
    <x v="8"/>
    <s v="niagaracc"/>
    <x v="631"/>
    <n v="1798778"/>
    <x v="0"/>
    <s v="Medicine"/>
    <s v="9781118760741"/>
    <s v=",1,2,3"/>
    <n v="3"/>
    <m/>
    <m/>
    <s v="No"/>
    <x v="1"/>
    <m/>
    <m/>
    <s v="132.174.254.37"/>
    <s v="RC71.5 -- .D954 2015eb"/>
    <n v="616.07500000000005"/>
    <d v="2014-09-24T00:00:00"/>
  </r>
  <r>
    <x v="7891"/>
    <d v="1899-12-30T00:00:13"/>
    <x v="1787"/>
    <x v="0"/>
    <s v="Buffalo"/>
    <x v="552"/>
    <n v="1294909"/>
    <x v="3"/>
    <s v="Economics; Business/Management"/>
    <s v="9780520956797"/>
    <s v=",2"/>
    <n v="1"/>
    <m/>
    <s v=",54,55,56,57,58,59,60,61,62,63,64,65,66,67,68,69,70,71,72,73,74,75"/>
    <s v="No"/>
    <x v="0"/>
    <d v="2015-09-16T15:39:59"/>
    <n v="7"/>
    <s v="128.205.114.91"/>
    <s v="HC110.P6 -- I25 2013eb"/>
    <s v="339.4/60973"/>
    <d v="2013-08-01T00:00:00"/>
  </r>
  <r>
    <x v="7892"/>
    <d v="1899-12-30T00:00:10"/>
    <x v="1787"/>
    <x v="0"/>
    <s v="Buffalo"/>
    <x v="552"/>
    <n v="1294909"/>
    <x v="3"/>
    <s v="Economics; Business/Management"/>
    <s v="9780520956797"/>
    <s v=",1,2,3,54,55,56"/>
    <n v="6"/>
    <m/>
    <m/>
    <s v="No"/>
    <x v="1"/>
    <m/>
    <m/>
    <s v="128.205.114.91"/>
    <s v="HC110.P6 -- I25 2013eb"/>
    <s v="339.4/60973"/>
    <d v="2013-08-01T00:00:00"/>
  </r>
  <r>
    <x v="7893"/>
    <d v="1899-12-30T00:00:22"/>
    <x v="1787"/>
    <x v="0"/>
    <s v="Buffalo"/>
    <x v="552"/>
    <n v="1294909"/>
    <x v="3"/>
    <s v="Economics; Business/Management"/>
    <s v="9780520956797"/>
    <s v=",1,2,3,54,55,56,52,53"/>
    <n v="8"/>
    <m/>
    <m/>
    <s v="No"/>
    <x v="1"/>
    <m/>
    <m/>
    <s v="128.205.114.91"/>
    <s v="HC110.P6 -- I25 2013eb"/>
    <s v="339.4/60973"/>
    <d v="2013-08-01T00:00:00"/>
  </r>
  <r>
    <x v="7894"/>
    <d v="1899-12-30T00:08:22"/>
    <x v="171"/>
    <x v="0"/>
    <s v="Buffalo"/>
    <x v="1682"/>
    <n v="1821004"/>
    <x v="5"/>
    <s v="Social Science"/>
    <s v="9781479841103"/>
    <s v=",1,2,3,76,77,74,78,75,79,80"/>
    <n v="10"/>
    <m/>
    <m/>
    <s v="No"/>
    <x v="1"/>
    <m/>
    <m/>
    <s v="128.205.114.91"/>
    <s v="HQ796 -- .E553 2014eb"/>
    <n v="305.23509730000001"/>
    <d v="2014-10-20T00:00:00"/>
  </r>
  <r>
    <x v="7895"/>
    <d v="1899-12-30T00:01:03"/>
    <x v="1683"/>
    <x v="9"/>
    <s v="trocaire"/>
    <x v="1683"/>
    <n v="1390823"/>
    <x v="0"/>
    <s v="Social Science"/>
    <s v="9780745678924"/>
    <s v=",1,1,2,3,4,5,6,7,8"/>
    <n v="8"/>
    <m/>
    <m/>
    <s v="No"/>
    <x v="3"/>
    <m/>
    <m/>
    <s v="173.225.62.67"/>
    <s v="HM1111 -- .G853 2013eb"/>
    <n v="305"/>
    <d v="2013-09-10T00:00:00"/>
  </r>
  <r>
    <x v="7896"/>
    <d v="1899-12-30T00:00:08"/>
    <x v="1683"/>
    <x v="9"/>
    <s v="trocaire"/>
    <x v="1581"/>
    <n v="1527429"/>
    <x v="0"/>
    <s v="Social Science"/>
    <s v="9780745673622"/>
    <s v=",1,2,3"/>
    <n v="3"/>
    <m/>
    <m/>
    <s v="No"/>
    <x v="3"/>
    <m/>
    <m/>
    <s v="173.225.62.67"/>
    <s v="HM1271 .C384 2013"/>
    <n v="305.8"/>
    <d v="2013-10-30T00:00:00"/>
  </r>
  <r>
    <x v="7897"/>
    <d v="1899-12-30T00:00:31"/>
    <x v="1683"/>
    <x v="9"/>
    <s v="trocaire"/>
    <x v="1132"/>
    <n v="1651145"/>
    <x v="0"/>
    <s v="Political Science; Social Science"/>
    <s v="9780745684277"/>
    <s v=",1,2,1,3,4"/>
    <n v="4"/>
    <m/>
    <m/>
    <s v="No"/>
    <x v="3"/>
    <m/>
    <m/>
    <s v="173.225.62.67"/>
    <s v="JZ1318"/>
    <n v="303.48200000000003"/>
    <d v="2014-03-03T00:00:00"/>
  </r>
  <r>
    <x v="7898"/>
    <d v="1899-12-30T00:00:00"/>
    <x v="1683"/>
    <x v="9"/>
    <s v="trocaire"/>
    <x v="1684"/>
    <n v="1780036"/>
    <x v="0"/>
    <s v="Environmental Studies; Social Science"/>
    <s v="9781118451489"/>
    <m/>
    <n v="0"/>
    <m/>
    <m/>
    <s v="Yes"/>
    <x v="2"/>
    <d v="2015-09-16T15:10:47"/>
    <n v="1"/>
    <s v="173.225.62.67"/>
    <s v="GF41 -- .B69 2015eb"/>
    <n v="304.2"/>
    <d v="2014-09-02T00:00:00"/>
  </r>
  <r>
    <x v="7898"/>
    <d v="1899-12-30T00:00:00"/>
    <x v="1683"/>
    <x v="9"/>
    <s v="trocaire"/>
    <x v="1684"/>
    <n v="1780036"/>
    <x v="0"/>
    <s v="Environmental Studies; Social Science"/>
    <s v="9781118451489"/>
    <m/>
    <n v="0"/>
    <m/>
    <m/>
    <s v="No"/>
    <x v="2"/>
    <d v="2015-09-16T15:10:47"/>
    <n v="1"/>
    <s v="173.225.62.67"/>
    <s v="GF41 -- .B69 2015eb"/>
    <n v="304.2"/>
    <d v="2014-09-02T00:00:00"/>
  </r>
  <r>
    <x v="7899"/>
    <d v="1899-12-30T00:00:36"/>
    <x v="1683"/>
    <x v="9"/>
    <s v="trocaire"/>
    <x v="1684"/>
    <n v="1780036"/>
    <x v="0"/>
    <s v="Environmental Studies; Social Science"/>
    <s v="9781118451489"/>
    <s v=",1,2,1,3"/>
    <n v="3"/>
    <m/>
    <m/>
    <s v="No"/>
    <x v="3"/>
    <m/>
    <m/>
    <s v="173.225.62.67"/>
    <s v="GF41 -- .B69 2015eb"/>
    <n v="304.2"/>
    <d v="2014-09-02T00:00:00"/>
  </r>
  <r>
    <x v="7900"/>
    <d v="1899-12-30T00:01:12"/>
    <x v="1683"/>
    <x v="9"/>
    <s v="trocaire"/>
    <x v="1590"/>
    <n v="1895706"/>
    <x v="0"/>
    <s v="Social Science"/>
    <s v="9781118885925"/>
    <s v=",1,1,2,3,4,5,6,7"/>
    <n v="7"/>
    <m/>
    <m/>
    <s v="No"/>
    <x v="3"/>
    <m/>
    <m/>
    <s v="173.225.62.67"/>
    <s v="HM1211 .H47 2015"/>
    <s v="303.48/2"/>
    <d v="2015-04-27T00:00:00"/>
  </r>
  <r>
    <x v="7901"/>
    <d v="1899-12-30T00:00:42"/>
    <x v="1788"/>
    <x v="1"/>
    <s v="brockport"/>
    <x v="1685"/>
    <n v="1390810"/>
    <x v="3"/>
    <s v="Home Economics"/>
    <s v="9780520954915"/>
    <s v=",328,330,331,332,333,334,335"/>
    <n v="7"/>
    <m/>
    <m/>
    <s v="No"/>
    <x v="2"/>
    <d v="2015-09-16T14:40:02"/>
    <n v="1"/>
    <s v="137.21.7.121"/>
    <s v="TX645 -- .L325 2013eb"/>
    <n v="641.5"/>
    <d v="2013-11-21T00:00:00"/>
  </r>
  <r>
    <x v="7902"/>
    <d v="1899-12-30T00:06:07"/>
    <x v="1788"/>
    <x v="1"/>
    <s v="brockport"/>
    <x v="1685"/>
    <n v="1390810"/>
    <x v="3"/>
    <s v="Home Economics"/>
    <s v="9780520954915"/>
    <s v=",1,2,3,325,326,327,323,324"/>
    <n v="8"/>
    <m/>
    <m/>
    <s v="No"/>
    <x v="3"/>
    <m/>
    <m/>
    <s v="137.21.7.121"/>
    <s v="TX645 -- .L325 2013eb"/>
    <n v="641.5"/>
    <d v="2013-11-21T00:00:00"/>
  </r>
  <r>
    <x v="7903"/>
    <d v="1899-12-30T00:02:37"/>
    <x v="705"/>
    <x v="13"/>
    <s v="buffalostate"/>
    <x v="516"/>
    <n v="1840835"/>
    <x v="0"/>
    <s v="Business/Management; Economics"/>
    <s v="9781118950166"/>
    <s v=",1,2,3,23,25,24,21,22,27,26,46,47,48,44,31,32,33,30,29,26,27,28"/>
    <n v="20"/>
    <m/>
    <m/>
    <s v="No"/>
    <x v="1"/>
    <m/>
    <m/>
    <s v="136.183.11.43"/>
    <s v="HD9969.S6 .R384 2014"/>
    <n v="338.10923789999998"/>
    <d v="2014-11-10T00:00:00"/>
  </r>
  <r>
    <x v="7904"/>
    <d v="1899-12-30T00:04:59"/>
    <x v="171"/>
    <x v="0"/>
    <s v="Buffalo"/>
    <x v="784"/>
    <n v="1843655"/>
    <x v="1"/>
    <s v="Social Science"/>
    <s v="9781472411792"/>
    <s v=",4,5,6,7,8,90,92,88,91,89,93,94,95,96,97,98,180,181,182,178,179,211,183,184,186,187,188,189,190,191,192,194,193,195,196,198,199,197,200,201,202"/>
    <n v="41"/>
    <m/>
    <m/>
    <s v="No"/>
    <x v="2"/>
    <d v="2015-09-16T13:33:30"/>
    <n v="1"/>
    <s v="128.205.114.91"/>
    <s v="HV1568 -- .E445 2015eb"/>
    <s v="305.9/08"/>
    <d v="2015-01-28T00:00:00"/>
  </r>
  <r>
    <x v="7905"/>
    <d v="1899-12-30T00:07:56"/>
    <x v="171"/>
    <x v="0"/>
    <s v="Buffalo"/>
    <x v="784"/>
    <n v="1843655"/>
    <x v="1"/>
    <s v="Social Science"/>
    <s v="9781472411792"/>
    <s v=",1,2,3"/>
    <n v="3"/>
    <m/>
    <m/>
    <s v="No"/>
    <x v="3"/>
    <m/>
    <m/>
    <s v="128.205.114.91"/>
    <s v="HV1568 -- .E445 2015eb"/>
    <s v="305.9/08"/>
    <d v="2015-01-28T00:00:00"/>
  </r>
  <r>
    <x v="7906"/>
    <d v="1899-12-30T00:08:01"/>
    <x v="171"/>
    <x v="0"/>
    <s v="Buffalo"/>
    <x v="785"/>
    <n v="1570482"/>
    <x v="1"/>
    <s v="Social Science"/>
    <s v="9781409440529"/>
    <s v=",1,2,3,4,5,6,7,8,62,63,60,61,64,65,66,68,67,69,1,3,62,63,64,60,61,65,66,67,68,80,79,78,77,76"/>
    <n v="23"/>
    <m/>
    <m/>
    <s v="No"/>
    <x v="1"/>
    <m/>
    <m/>
    <s v="128.205.114.91"/>
    <s v="P96.I34 -- .R633 2014eb"/>
    <s v="302.2301/9"/>
    <d v="2014-02-28T00:00:00"/>
  </r>
  <r>
    <x v="7907"/>
    <d v="1899-12-30T00:00:15"/>
    <x v="742"/>
    <x v="0"/>
    <s v="Buffalo"/>
    <x v="283"/>
    <n v="1768753"/>
    <x v="4"/>
    <s v="Social Science"/>
    <s v="9781462518371"/>
    <s v=",1,2,3,105,106,107,103,104"/>
    <n v="8"/>
    <m/>
    <s v=",105,106,107,108,109,110,111,112,113,114,115,116,117,118,119,120,121,122,123,124,125,126,127,128"/>
    <s v="No"/>
    <x v="2"/>
    <d v="2015-09-16T03:28:59"/>
    <n v="1"/>
    <s v="128.205.114.91"/>
    <s v="HM686 -- .H36 2015eb"/>
    <s v="303.3/2"/>
    <d v="2014-11-10T00:00:00"/>
  </r>
  <r>
    <x v="7908"/>
    <d v="1899-12-30T00:01:00"/>
    <x v="1040"/>
    <x v="16"/>
    <s v="monroecc"/>
    <x v="1686"/>
    <n v="1911675"/>
    <x v="0"/>
    <s v="Nursing"/>
    <s v="9781118474532"/>
    <s v=",1,2,3,21,22,23,19,20,25,26,27,5,6,7,8,4,24"/>
    <n v="17"/>
    <m/>
    <m/>
    <s v="No"/>
    <x v="3"/>
    <m/>
    <m/>
    <s v="150.160.200.114"/>
    <s v="RT41"/>
    <n v="610.73"/>
    <d v="2014-12-24T00:00:00"/>
  </r>
  <r>
    <x v="7909"/>
    <d v="1899-12-30T00:04:18"/>
    <x v="742"/>
    <x v="0"/>
    <s v="Buffalo"/>
    <x v="283"/>
    <n v="1768753"/>
    <x v="4"/>
    <s v="Social Science"/>
    <s v="9781462518371"/>
    <s v=",108,109,110,111,112,113"/>
    <n v="6"/>
    <m/>
    <m/>
    <s v="No"/>
    <x v="2"/>
    <d v="2015-09-16T03:28:59"/>
    <n v="1"/>
    <s v="128.205.114.91"/>
    <s v="HM686 -- .H36 2015eb"/>
    <s v="303.3/2"/>
    <d v="2014-11-10T00:00:00"/>
  </r>
  <r>
    <x v="7910"/>
    <d v="1899-12-30T00:10:10"/>
    <x v="742"/>
    <x v="0"/>
    <s v="Buffalo"/>
    <x v="283"/>
    <n v="1768753"/>
    <x v="4"/>
    <s v="Social Science"/>
    <s v="9781462518371"/>
    <s v=",1,2,3,105,106,107,103,104"/>
    <n v="8"/>
    <m/>
    <m/>
    <s v="No"/>
    <x v="3"/>
    <m/>
    <m/>
    <s v="128.205.114.91"/>
    <s v="HM686 -- .H36 2015eb"/>
    <s v="303.3/2"/>
    <d v="2014-11-10T00:00:00"/>
  </r>
  <r>
    <x v="7911"/>
    <d v="1899-12-30T00:04:16"/>
    <x v="1789"/>
    <x v="0"/>
    <s v="Buffalo"/>
    <x v="3"/>
    <n v="822040"/>
    <x v="0"/>
    <s v="Literature; Psychology"/>
    <s v="9781118289099"/>
    <s v=",1,2,3,202,203,204,200,201,209,210,211,207,208,212,104,105,106,102,103,107,101,100,99,98,97,96,95,94,93,92,91,90,89,88,87,86,85,84,83,82,80,81,161,162,163,159,160,165,164,166"/>
    <n v="50"/>
    <m/>
    <m/>
    <s v="No"/>
    <x v="1"/>
    <m/>
    <m/>
    <s v="128.205.114.91"/>
    <s v="BF76.7 -- .B447 2012eb"/>
    <s v="808.06/615"/>
    <d v="2012-03-22T00:00:00"/>
  </r>
  <r>
    <x v="7912"/>
    <d v="1899-12-30T00:00:03"/>
    <x v="1581"/>
    <x v="7"/>
    <s v="oneonta"/>
    <x v="550"/>
    <n v="1650800"/>
    <x v="3"/>
    <s v="Sport &amp; Recreation"/>
    <s v="9780520958258"/>
    <s v=",1,2,3"/>
    <n v="3"/>
    <m/>
    <m/>
    <s v="No"/>
    <x v="3"/>
    <m/>
    <m/>
    <s v="137.141.13.2"/>
    <s v="GV944.B7 -- .K57 2014eb"/>
    <n v="796.33409810000001"/>
    <d v="2014-06-12T00:00:00"/>
  </r>
  <r>
    <x v="7913"/>
    <d v="1899-12-30T00:00:16"/>
    <x v="1581"/>
    <x v="7"/>
    <s v="oneonta"/>
    <x v="550"/>
    <n v="1650800"/>
    <x v="3"/>
    <s v="Sport &amp; Recreation"/>
    <s v="9780520958258"/>
    <s v=",1,2,3,4,5,6,7,8,9,10,11,12,13,7,5,4,3,2,1"/>
    <n v="13"/>
    <m/>
    <m/>
    <s v="No"/>
    <x v="3"/>
    <m/>
    <m/>
    <s v="137.141.13.2"/>
    <s v="GV944.B7 -- .K57 2014eb"/>
    <n v="796.33409810000001"/>
    <d v="2014-06-12T00:00:00"/>
  </r>
  <r>
    <x v="7914"/>
    <d v="1899-12-30T00:00:13"/>
    <x v="1790"/>
    <x v="0"/>
    <s v="Buffalo"/>
    <x v="975"/>
    <n v="817871"/>
    <x v="0"/>
    <s v="Computer Science/IT"/>
    <s v="9781118206911"/>
    <s v=",1,2,3"/>
    <n v="3"/>
    <m/>
    <m/>
    <s v="No"/>
    <x v="1"/>
    <m/>
    <m/>
    <s v="128.205.114.91"/>
    <s v="QA76.76.H94"/>
    <n v="6.74"/>
    <d v="2011-12-20T00:00:00"/>
  </r>
  <r>
    <x v="7915"/>
    <d v="1899-12-30T00:00:04"/>
    <x v="1088"/>
    <x v="5"/>
    <s v="erie"/>
    <x v="1322"/>
    <n v="1132869"/>
    <x v="0"/>
    <s v="Business/Management"/>
    <s v="9781118502631"/>
    <s v=",1,2,3"/>
    <n v="3"/>
    <m/>
    <m/>
    <s v="No"/>
    <x v="1"/>
    <m/>
    <m/>
    <s v="199.29.6.54"/>
    <s v="HF5636 -- .T73 2013eb"/>
    <n v="657"/>
    <d v="2013-02-22T00:00:00"/>
  </r>
  <r>
    <x v="7916"/>
    <d v="1899-12-30T00:24:26"/>
    <x v="995"/>
    <x v="0"/>
    <s v="Buffalo"/>
    <x v="533"/>
    <n v="1760720"/>
    <x v="4"/>
    <s v="Medicine"/>
    <s v="9781462517459"/>
    <s v=",177,178,179,175,176,192,193,194,190,191,187,188,189,185,186,184,195,196,197,198,199,200,189,188,187,186,185,194,195,196"/>
    <n v="22"/>
    <m/>
    <s v=",107,108,109,110,111,112,113,114,115,116,117,118,119,120,121,122,123,124,125,126,127,128,129,130,131,132,107,108,109,110,111,112,113,114,115,116,117,118,119,120,121,122,123,124,125,126,127,128,129,130,131,132"/>
    <s v="No"/>
    <x v="0"/>
    <d v="2015-09-15T18:43:23"/>
    <n v="7"/>
    <s v="128.205.114.91"/>
    <s v="RC489.D48 -- L56 2015eb"/>
    <n v="616.89142000000004"/>
    <d v="2014-12-23T00:00:00"/>
  </r>
  <r>
    <x v="7917"/>
    <d v="1899-12-30T00:07:16"/>
    <x v="995"/>
    <x v="0"/>
    <s v="Buffalo"/>
    <x v="533"/>
    <n v="1760720"/>
    <x v="4"/>
    <s v="Medicine"/>
    <s v="9781462517459"/>
    <s v=",1,2,3,107,108,109,87,88,89,85,86,90,91,92,69,70,71,67,68,72,73,77,78,79,75,76,80,81,82,83,84,92,93,94,95,96,97,98,99,100,101,102,103,104,105,106,107,108,109"/>
    <n v="45"/>
    <m/>
    <m/>
    <s v="No"/>
    <x v="1"/>
    <m/>
    <m/>
    <s v="128.205.114.91"/>
    <s v="RC489.D48 -- L56 2015eb"/>
    <n v="616.89142000000004"/>
    <d v="2014-12-23T00:00:00"/>
  </r>
  <r>
    <x v="7918"/>
    <d v="1899-12-30T00:00:29"/>
    <x v="1423"/>
    <x v="5"/>
    <s v="erie"/>
    <x v="232"/>
    <n v="822111"/>
    <x v="0"/>
    <s v="Social Science"/>
    <s v="9781444356922"/>
    <s v=",1,169,170,171,167,168,172,173,174,175,2,176,177,178"/>
    <n v="14"/>
    <m/>
    <m/>
    <s v="No"/>
    <x v="1"/>
    <m/>
    <m/>
    <s v="199.29.6.54"/>
    <s v="HV6773 -- .K69 2012eb"/>
    <s v="302.34/3"/>
    <d v="2012-02-16T00:00:00"/>
  </r>
  <r>
    <x v="7919"/>
    <d v="1899-12-30T00:00:39"/>
    <x v="1720"/>
    <x v="0"/>
    <s v="Buffalo"/>
    <x v="975"/>
    <n v="817871"/>
    <x v="0"/>
    <s v="Computer Science/IT"/>
    <s v="9781118206911"/>
    <s v=",1,2,3,4,5,6,7,8,19,20,21,17,18,22,23"/>
    <n v="15"/>
    <m/>
    <m/>
    <s v="No"/>
    <x v="1"/>
    <m/>
    <m/>
    <s v="128.205.114.91"/>
    <s v="QA76.76.H94"/>
    <n v="6.74"/>
    <d v="2011-12-20T00:00:00"/>
  </r>
  <r>
    <x v="7920"/>
    <d v="1899-12-30T00:01:08"/>
    <x v="1791"/>
    <x v="15"/>
    <s v="morrisville"/>
    <x v="628"/>
    <n v="1610008"/>
    <x v="1"/>
    <s v="Social Science; Law"/>
    <s v="9781409457206"/>
    <s v=",1,2,3,12,13,14,10,11,44,45,46,42,43,47"/>
    <n v="14"/>
    <m/>
    <m/>
    <s v="No"/>
    <x v="1"/>
    <m/>
    <m/>
    <s v="136.204.32.68"/>
    <s v="K5104 -- .C375 2014eb"/>
    <n v="364.66"/>
    <d v="2014-03-28T00:00:00"/>
  </r>
  <r>
    <x v="7921"/>
    <d v="1899-12-30T00:00:03"/>
    <x v="1792"/>
    <x v="13"/>
    <s v="buffalostate"/>
    <x v="684"/>
    <n v="1120621"/>
    <x v="0"/>
    <s v="Education"/>
    <s v="9781118362679"/>
    <s v=",1,2,3"/>
    <n v="3"/>
    <m/>
    <m/>
    <s v="No"/>
    <x v="1"/>
    <m/>
    <m/>
    <s v="136.183.11.43"/>
    <s v="LB3013.3 .R59 2012"/>
    <s v="371.5/8; 371.58"/>
    <d v="2012-08-15T00:00:00"/>
  </r>
  <r>
    <x v="7922"/>
    <d v="1899-12-30T00:00:21"/>
    <x v="1793"/>
    <x v="13"/>
    <s v="buffalostate"/>
    <x v="684"/>
    <n v="1120621"/>
    <x v="0"/>
    <s v="Education"/>
    <s v="9781118362679"/>
    <s v=",1,2,3,17,18,15,16,2"/>
    <n v="7"/>
    <m/>
    <m/>
    <s v="No"/>
    <x v="1"/>
    <m/>
    <m/>
    <s v="136.183.11.43"/>
    <s v="LB3013.3 .R59 2012"/>
    <s v="371.5/8; 371.58"/>
    <d v="2012-08-15T00:00:00"/>
  </r>
  <r>
    <x v="7923"/>
    <d v="1899-12-30T00:00:24"/>
    <x v="1794"/>
    <x v="13"/>
    <s v="buffalostate"/>
    <x v="684"/>
    <n v="1120621"/>
    <x v="0"/>
    <s v="Education"/>
    <s v="9781118362679"/>
    <s v=",1,2,3,6,8,4,1,3,2"/>
    <n v="6"/>
    <m/>
    <m/>
    <s v="No"/>
    <x v="1"/>
    <m/>
    <m/>
    <s v="136.183.11.43"/>
    <s v="LB3013.3 .R59 2012"/>
    <s v="371.5/8; 371.58"/>
    <d v="2012-08-15T00:00:00"/>
  </r>
  <r>
    <x v="7924"/>
    <d v="1899-12-30T00:01:11"/>
    <x v="1795"/>
    <x v="13"/>
    <s v="buffalostate"/>
    <x v="684"/>
    <n v="1120621"/>
    <x v="0"/>
    <s v="Education"/>
    <s v="9781118362679"/>
    <s v=",1,2,3,62,63,64,60,61,65,60,59"/>
    <n v="10"/>
    <m/>
    <m/>
    <s v="No"/>
    <x v="1"/>
    <m/>
    <m/>
    <s v="136.183.11.43"/>
    <s v="LB3013.3 .R59 2012"/>
    <s v="371.5/8; 371.58"/>
    <d v="2012-08-15T00:00:00"/>
  </r>
  <r>
    <x v="7925"/>
    <d v="1899-12-30T00:00:25"/>
    <x v="1479"/>
    <x v="13"/>
    <s v="buffalostate"/>
    <x v="684"/>
    <n v="1120621"/>
    <x v="0"/>
    <s v="Education"/>
    <s v="9781118362679"/>
    <s v=",1,2,3,62,64,60,61"/>
    <n v="7"/>
    <m/>
    <m/>
    <s v="No"/>
    <x v="1"/>
    <m/>
    <m/>
    <s v="136.183.11.43"/>
    <s v="LB3013.3 .R59 2012"/>
    <s v="371.5/8; 371.58"/>
    <d v="2012-08-15T00:00:00"/>
  </r>
  <r>
    <x v="7926"/>
    <d v="1899-12-30T00:12:50"/>
    <x v="824"/>
    <x v="0"/>
    <s v="Buffalo"/>
    <x v="161"/>
    <n v="821663"/>
    <x v="0"/>
    <s v="Architecture"/>
    <s v="9781118168479"/>
    <s v=",1,2,3,102,103,104,100,101,105,106,107,108,109,110,111,112,1,112,113,114,110,111,115,109,2,108,1,109,110,106,107,2,111,112"/>
    <n v="19"/>
    <m/>
    <m/>
    <s v="No"/>
    <x v="0"/>
    <d v="2015-09-15T10:52:49"/>
    <n v="7"/>
    <s v="128.205.114.91"/>
    <s v="NA2547 -- .S74 2012eb"/>
    <n v="729"/>
    <d v="2012-03-05T00:00:00"/>
  </r>
  <r>
    <x v="7927"/>
    <d v="1899-12-30T00:08:19"/>
    <x v="1056"/>
    <x v="0"/>
    <s v="Buffalo"/>
    <x v="73"/>
    <n v="1119505"/>
    <x v="0"/>
    <s v="Science: Chemistry; Science"/>
    <s v="9781118355015"/>
    <s v=",1,2,2,3,3,1,2,2,20,20,22,21,22,21,18,19,19,48,49,48,49,50,46,50,47,47,45,50,45,44,43,42,41,40,39,38,37,36,35,34,33,32,31,30,29,28,27,26,25,24,29,30,36,37,38,34,35,45,46,47,43,44,48,43"/>
    <n v="35"/>
    <m/>
    <m/>
    <s v="No"/>
    <x v="0"/>
    <d v="2015-09-15T01:15:48"/>
    <n v="7"/>
    <s v="128.205.114.91"/>
    <s v="QD251.3 -- .S38 2013eb"/>
    <s v="547/.128"/>
    <d v="2013-01-28T00:00:00"/>
  </r>
  <r>
    <x v="7928"/>
    <d v="1899-12-30T00:02:28"/>
    <x v="798"/>
    <x v="0"/>
    <s v="Buffalo"/>
    <x v="161"/>
    <n v="821663"/>
    <x v="0"/>
    <s v="Architecture"/>
    <s v="9781118168479"/>
    <s v=",1,2,3,102,103,104,100,101,105,106,107,108"/>
    <n v="12"/>
    <m/>
    <m/>
    <s v="No"/>
    <x v="0"/>
    <d v="2015-09-14T16:04:18"/>
    <n v="7"/>
    <s v="128.205.114.91"/>
    <s v="NA2547 -- .S74 2012eb"/>
    <n v="729"/>
    <d v="2012-03-05T00:00:00"/>
  </r>
  <r>
    <x v="7929"/>
    <d v="1899-12-30T00:21:05"/>
    <x v="1188"/>
    <x v="0"/>
    <s v="Buffalo"/>
    <x v="161"/>
    <n v="821663"/>
    <x v="0"/>
    <s v="Architecture"/>
    <s v="9781118168479"/>
    <s v=",1,2,3,90,91,92,88,89,93,94,95,96,97,98,99,100,101,102,103,104,105,106,107,108,109,110,111,112,113,114"/>
    <n v="30"/>
    <m/>
    <m/>
    <s v="No"/>
    <x v="0"/>
    <d v="2015-09-08T14:02:38"/>
    <n v="7"/>
    <s v="128.205.114.91"/>
    <s v="NA2547 -- .S74 2012eb"/>
    <n v="729"/>
    <d v="2012-03-05T00:00:00"/>
  </r>
  <r>
    <x v="7930"/>
    <d v="1899-12-30T00:00:04"/>
    <x v="824"/>
    <x v="0"/>
    <s v="Buffalo"/>
    <x v="161"/>
    <n v="821663"/>
    <x v="0"/>
    <s v="Architecture"/>
    <s v="9781118168479"/>
    <s v=",1,2,3"/>
    <n v="3"/>
    <m/>
    <m/>
    <s v="No"/>
    <x v="0"/>
    <d v="2015-09-15T10:52:49"/>
    <n v="7"/>
    <s v="128.205.114.91"/>
    <s v="NA2547 -- .S74 2012eb"/>
    <n v="729"/>
    <d v="2012-03-05T00:00:00"/>
  </r>
  <r>
    <x v="7931"/>
    <d v="1899-12-30T00:01:01"/>
    <x v="1188"/>
    <x v="0"/>
    <s v="Buffalo"/>
    <x v="161"/>
    <n v="821663"/>
    <x v="0"/>
    <s v="Architecture"/>
    <s v="9781118168479"/>
    <s v=",1,2,3,87,88,89,85,86,90"/>
    <n v="9"/>
    <m/>
    <m/>
    <s v="No"/>
    <x v="0"/>
    <d v="2015-09-08T14:02:38"/>
    <n v="7"/>
    <s v="128.205.114.91"/>
    <s v="NA2547 -- .S74 2012eb"/>
    <n v="729"/>
    <d v="2012-03-05T00:00:00"/>
  </r>
  <r>
    <x v="7932"/>
    <d v="1899-12-30T00:08:21"/>
    <x v="1796"/>
    <x v="0"/>
    <s v="Buffalo"/>
    <x v="161"/>
    <n v="821663"/>
    <x v="0"/>
    <s v="Architecture"/>
    <s v="9781118168479"/>
    <s v=",92,93,94,95,96,97,98,99,100,101,102,103,104,105,106,107,108,109,110,111,112,113,114"/>
    <n v="23"/>
    <m/>
    <m/>
    <s v="No"/>
    <x v="0"/>
    <d v="2015-09-15T12:06:30"/>
    <n v="7"/>
    <s v="128.205.114.91"/>
    <s v="NA2547 -- .S74 2012eb"/>
    <n v="729"/>
    <d v="2012-03-05T00:00:00"/>
  </r>
  <r>
    <x v="7933"/>
    <d v="1899-12-30T00:13:03"/>
    <x v="1796"/>
    <x v="0"/>
    <s v="Buffalo"/>
    <x v="161"/>
    <n v="821663"/>
    <x v="0"/>
    <s v="Architecture"/>
    <s v="9781118168479"/>
    <s v=",1,2,3,87,88,89,85,86,90,91"/>
    <n v="10"/>
    <m/>
    <m/>
    <s v="No"/>
    <x v="1"/>
    <m/>
    <m/>
    <s v="128.205.114.91"/>
    <s v="NA2547 -- .S74 2012eb"/>
    <n v="729"/>
    <d v="2012-03-05T00:00:00"/>
  </r>
  <r>
    <x v="7934"/>
    <d v="1899-12-30T00:22:31"/>
    <x v="1797"/>
    <x v="0"/>
    <s v="Buffalo"/>
    <x v="1687"/>
    <n v="1570485"/>
    <x v="1"/>
    <s v="Architecture"/>
    <s v="9781409447405"/>
    <s v=",203,210,4,5,6,7,8,9,10,11,12,13,14,16,15,18,17,36,37,38,35,34,39,40,41,42,43,44,45,46,202,203,204,200,201"/>
    <n v="34"/>
    <m/>
    <m/>
    <s v="Yes"/>
    <x v="2"/>
    <d v="2015-09-15T11:10:14"/>
    <n v="7"/>
    <s v="128.205.114.91"/>
    <s v="NA2542.36 -- .J364 2013eb"/>
    <s v="720/.47"/>
    <d v="2014-01-02T00:00:00"/>
  </r>
  <r>
    <x v="7934"/>
    <d v="1899-12-30T00:00:00"/>
    <x v="1797"/>
    <x v="0"/>
    <s v="Buffalo"/>
    <x v="1687"/>
    <n v="1570485"/>
    <x v="1"/>
    <s v="Architecture"/>
    <s v="9781409447405"/>
    <m/>
    <n v="0"/>
    <m/>
    <m/>
    <s v="No"/>
    <x v="2"/>
    <d v="2015-09-15T11:10:14"/>
    <n v="7"/>
    <s v="128.205.114.91"/>
    <s v="NA2542.36 -- .J364 2013eb"/>
    <s v="720/.47"/>
    <d v="2014-01-02T00:00:00"/>
  </r>
  <r>
    <x v="7935"/>
    <d v="1899-12-30T00:01:18"/>
    <x v="1797"/>
    <x v="0"/>
    <s v="Buffalo"/>
    <x v="1687"/>
    <n v="1570485"/>
    <x v="1"/>
    <s v="Architecture"/>
    <s v="9781409447405"/>
    <s v=",1,2,3,204,205"/>
    <n v="5"/>
    <m/>
    <m/>
    <s v="No"/>
    <x v="3"/>
    <m/>
    <m/>
    <s v="128.205.114.91"/>
    <s v="NA2542.36 -- .J364 2013eb"/>
    <s v="720/.47"/>
    <d v="2014-01-02T00:00:00"/>
  </r>
  <r>
    <x v="7936"/>
    <d v="1899-12-30T00:06:44"/>
    <x v="824"/>
    <x v="0"/>
    <s v="Buffalo"/>
    <x v="161"/>
    <n v="821663"/>
    <x v="0"/>
    <s v="Architecture"/>
    <s v="9781118168479"/>
    <s v=",1,2,3,87,88,89,85,86,90,1,90,91,92,88,89,86,87,85,2"/>
    <n v="11"/>
    <m/>
    <m/>
    <s v="No"/>
    <x v="0"/>
    <d v="2015-09-15T10:52:49"/>
    <n v="7"/>
    <s v="128.205.114.91"/>
    <s v="NA2547 -- .S74 2012eb"/>
    <n v="729"/>
    <d v="2012-03-05T00:00:00"/>
  </r>
  <r>
    <x v="7937"/>
    <d v="1899-12-30T01:03:10"/>
    <x v="824"/>
    <x v="0"/>
    <s v="Buffalo"/>
    <x v="161"/>
    <n v="821663"/>
    <x v="0"/>
    <s v="Architecture"/>
    <s v="9781118168479"/>
    <s v=",111,106,107,105,109,90,91,92,92,93,94,95,96,97,98,99,101,100,102,103,110,305,310,314,319,324,328,106,114,102,111,363,364,361,365,108,104"/>
    <n v="33"/>
    <m/>
    <m/>
    <s v="No"/>
    <x v="0"/>
    <d v="2015-09-15T10:52:49"/>
    <n v="7"/>
    <s v="128.205.114.91"/>
    <s v="NA2547 -- .S74 2012eb"/>
    <n v="729"/>
    <d v="2012-03-05T00:00:00"/>
  </r>
  <r>
    <x v="7938"/>
    <d v="1899-12-30T00:15:52"/>
    <x v="824"/>
    <x v="0"/>
    <s v="Buffalo"/>
    <x v="161"/>
    <n v="821663"/>
    <x v="0"/>
    <s v="Architecture"/>
    <s v="9781118168479"/>
    <s v=",1,2,3,87,88,89,85,86"/>
    <n v="8"/>
    <m/>
    <m/>
    <s v="No"/>
    <x v="1"/>
    <m/>
    <m/>
    <s v="128.205.114.91"/>
    <s v="NA2547 -- .S74 2012eb"/>
    <n v="729"/>
    <d v="2012-03-05T00:00:00"/>
  </r>
  <r>
    <x v="7939"/>
    <d v="1899-12-30T00:17:46"/>
    <x v="798"/>
    <x v="0"/>
    <s v="Buffalo"/>
    <x v="161"/>
    <n v="821663"/>
    <x v="0"/>
    <s v="Architecture"/>
    <s v="9781118168479"/>
    <s v=",1,2,3,2,1,3,90,91,92,89,88,93,94"/>
    <n v="10"/>
    <m/>
    <m/>
    <s v="No"/>
    <x v="0"/>
    <d v="2015-09-14T16:04:18"/>
    <n v="7"/>
    <s v="128.205.114.91"/>
    <s v="NA2547 -- .S74 2012eb"/>
    <n v="729"/>
    <d v="2012-03-05T00:00:00"/>
  </r>
  <r>
    <x v="7940"/>
    <d v="1899-12-30T00:09:23"/>
    <x v="13"/>
    <x v="0"/>
    <s v="Buffalo"/>
    <x v="73"/>
    <n v="1119505"/>
    <x v="0"/>
    <s v="Science: Chemistry; Science"/>
    <s v="9781118355015"/>
    <s v=",1,2,3,4,48,49,50,46,47,51,52,53,54,44,45,43,42,41,40,39,38,37,36,35,34,33,32,31,30,29,28,27,26,25,24,23,22,21"/>
    <n v="38"/>
    <m/>
    <m/>
    <s v="No"/>
    <x v="0"/>
    <d v="2015-09-10T18:48:26"/>
    <n v="7"/>
    <s v="128.205.114.91"/>
    <s v="QD251.3 -- .S38 2013eb"/>
    <s v="547/.128"/>
    <d v="2013-01-28T00:00:00"/>
  </r>
  <r>
    <x v="7941"/>
    <d v="1899-12-30T00:00:47"/>
    <x v="1056"/>
    <x v="0"/>
    <s v="Buffalo"/>
    <x v="73"/>
    <n v="1119505"/>
    <x v="0"/>
    <s v="Science: Chemistry; Science"/>
    <s v="9781118355015"/>
    <s v=",1,2,3,18,19,20,21,24,25,22,26,23,27"/>
    <n v="13"/>
    <m/>
    <m/>
    <s v="No"/>
    <x v="0"/>
    <d v="2015-09-15T01:15:48"/>
    <n v="7"/>
    <s v="128.205.114.91"/>
    <s v="QD251.3 -- .S38 2013eb"/>
    <s v="547/.128"/>
    <d v="2013-01-28T00:00:00"/>
  </r>
  <r>
    <x v="7942"/>
    <d v="1899-12-30T00:16:45"/>
    <x v="1056"/>
    <x v="0"/>
    <s v="Buffalo"/>
    <x v="73"/>
    <n v="1119505"/>
    <x v="0"/>
    <s v="Science: Chemistry; Science"/>
    <s v="9781118355015"/>
    <s v=",1,2,3,4,5,6,7,8,66,26,27,25,24,28,30,29,31,32,33,34,35,36,37,39,38,40,41,42,43,44,45,46,47,48,49,50"/>
    <n v="36"/>
    <m/>
    <m/>
    <s v="No"/>
    <x v="0"/>
    <d v="2015-09-15T01:15:48"/>
    <n v="7"/>
    <s v="128.205.114.91"/>
    <s v="QD251.3 -- .S38 2013eb"/>
    <s v="547/.128"/>
    <d v="2013-01-28T00:00:00"/>
  </r>
  <r>
    <x v="7943"/>
    <d v="1899-12-30T00:07:47"/>
    <x v="1521"/>
    <x v="0"/>
    <s v="Buffalo"/>
    <x v="3"/>
    <n v="822040"/>
    <x v="0"/>
    <s v="Literature; Psychology"/>
    <s v="9781118289099"/>
    <s v=",1,2,3,8,9,10,7,49,50,51,47,48"/>
    <n v="12"/>
    <m/>
    <m/>
    <s v="No"/>
    <x v="1"/>
    <m/>
    <m/>
    <s v="128.205.114.91"/>
    <s v="BF76.7 -- .B447 2012eb"/>
    <s v="808.06/615"/>
    <d v="2012-03-22T00:00:00"/>
  </r>
  <r>
    <x v="7944"/>
    <d v="1899-12-30T00:04:57"/>
    <x v="1426"/>
    <x v="0"/>
    <s v="Buffalo"/>
    <x v="73"/>
    <n v="1119505"/>
    <x v="0"/>
    <s v="Science: Chemistry; Science"/>
    <s v="9781118355015"/>
    <s v=",1,3,2,15,17,16,14,13,18,36,37,38,39,41,40"/>
    <n v="15"/>
    <m/>
    <m/>
    <s v="No"/>
    <x v="0"/>
    <d v="2015-09-15T01:36:05"/>
    <n v="7"/>
    <s v="128.205.114.91"/>
    <s v="QD251.3 -- .S38 2013eb"/>
    <s v="547/.128"/>
    <d v="2013-01-28T00:00:00"/>
  </r>
  <r>
    <x v="7945"/>
    <d v="1899-12-30T00:44:19"/>
    <x v="13"/>
    <x v="0"/>
    <s v="Buffalo"/>
    <x v="73"/>
    <n v="1119505"/>
    <x v="0"/>
    <s v="Science: Chemistry; Science"/>
    <s v="9781118355015"/>
    <s v=",1,2,3,29,30,27,31,28,29,30,31,32,33,34,35,34,36,37,39,40,41,42,43,45,44,46,47,48,49,50,51,52,75,76,77,78,79,26,27,28"/>
    <n v="34"/>
    <m/>
    <m/>
    <s v="No"/>
    <x v="0"/>
    <d v="2015-09-10T18:48:26"/>
    <n v="7"/>
    <s v="128.205.114.91"/>
    <s v="QD251.3 -- .S38 2013eb"/>
    <s v="547/.128"/>
    <d v="2013-01-28T00:00:00"/>
  </r>
  <r>
    <x v="7946"/>
    <d v="1899-12-30T00:01:21"/>
    <x v="913"/>
    <x v="1"/>
    <s v="brockport"/>
    <x v="151"/>
    <n v="968030"/>
    <x v="0"/>
    <s v="Psychology"/>
    <s v="9781118285138"/>
    <s v=",1,2,3,4,6,5,7,8,9,10,11,12,13,14,15,25,26,27,23,24,28,31,34,35,36,37,33"/>
    <n v="27"/>
    <m/>
    <m/>
    <s v="No"/>
    <x v="1"/>
    <m/>
    <m/>
    <s v="137.21.7.121"/>
    <s v="BF637.C6 -- S85 2013eb"/>
    <n v="158.30000000000001"/>
    <d v="2012-07-10T00:00:00"/>
  </r>
  <r>
    <x v="7947"/>
    <d v="1899-12-30T00:16:35"/>
    <x v="13"/>
    <x v="0"/>
    <s v="Buffalo"/>
    <x v="73"/>
    <n v="1119505"/>
    <x v="0"/>
    <s v="Science: Chemistry; Science"/>
    <s v="9781118355015"/>
    <s v=",1,2,3,20,21,22,19,18,24,25,26,23,27,28,29,30,31,35,34,36,32,33,37,38,39,40,41,42,43,44,45,46,47,48,49,50,51,52,53"/>
    <n v="39"/>
    <m/>
    <m/>
    <s v="No"/>
    <x v="0"/>
    <d v="2015-09-10T18:48:26"/>
    <n v="7"/>
    <s v="128.205.114.91"/>
    <s v="QD251.3 -- .S38 2013eb"/>
    <s v="547/.128"/>
    <d v="2013-01-28T00:00:00"/>
  </r>
  <r>
    <x v="7948"/>
    <d v="1899-12-30T00:24:35"/>
    <x v="1426"/>
    <x v="0"/>
    <s v="Buffalo"/>
    <x v="73"/>
    <n v="1119505"/>
    <x v="0"/>
    <s v="Science: Chemistry; Science"/>
    <s v="9781118355015"/>
    <s v=",36,37,38,39,40,48,49,50,46,47,51,52,45,43,41,42,44"/>
    <n v="17"/>
    <m/>
    <m/>
    <s v="No"/>
    <x v="0"/>
    <d v="2015-09-15T01:36:05"/>
    <n v="7"/>
    <s v="128.205.114.91"/>
    <s v="QD251.3 -- .S38 2013eb"/>
    <s v="547/.128"/>
    <d v="2013-01-28T00:00:00"/>
  </r>
  <r>
    <x v="7949"/>
    <d v="1899-12-30T00:14:12"/>
    <x v="1426"/>
    <x v="0"/>
    <s v="Buffalo"/>
    <x v="73"/>
    <n v="1119505"/>
    <x v="0"/>
    <s v="Science: Chemistry; Science"/>
    <s v="9781118355015"/>
    <s v=",1,2,3,4,24,25,26,22,23,27,28,29,30,31,32,33,34,35"/>
    <n v="18"/>
    <m/>
    <m/>
    <s v="No"/>
    <x v="1"/>
    <m/>
    <m/>
    <s v="128.205.114.91"/>
    <s v="QD251.3 -- .S38 2013eb"/>
    <s v="547/.128"/>
    <d v="2013-01-28T00:00:00"/>
  </r>
  <r>
    <x v="7950"/>
    <d v="1899-12-30T01:07:45"/>
    <x v="1056"/>
    <x v="0"/>
    <s v="Buffalo"/>
    <x v="73"/>
    <n v="1119505"/>
    <x v="0"/>
    <s v="Science: Chemistry; Science"/>
    <s v="9781118355015"/>
    <s v=",32,33,34,35,36,37,38,39,24,23,25,22,21,19,14,20,17,11,12,13,15,16,18,26,40,41,42,43,44,45,46,47,48,49,50,36,34,30,27,28,29,31,32,33,35,37,38,39,15,13,12,14,11,10,9,8,7,16,18,19,17,24,21,22,23,26,25"/>
    <n v="44"/>
    <m/>
    <m/>
    <s v="Yes"/>
    <x v="0"/>
    <d v="2015-09-15T01:15:48"/>
    <n v="7"/>
    <s v="128.205.114.91"/>
    <s v="QD251.3 -- .S38 2013eb"/>
    <s v="547/.128"/>
    <d v="2013-01-28T00:00:00"/>
  </r>
  <r>
    <x v="7950"/>
    <d v="1899-12-30T00:00:00"/>
    <x v="1056"/>
    <x v="0"/>
    <s v="Buffalo"/>
    <x v="73"/>
    <n v="1119505"/>
    <x v="0"/>
    <s v="Science: Chemistry; Science"/>
    <s v="9781118355015"/>
    <m/>
    <n v="0"/>
    <m/>
    <m/>
    <s v="No"/>
    <x v="0"/>
    <d v="2015-09-15T01:15:48"/>
    <n v="7"/>
    <s v="128.205.114.91"/>
    <s v="QD251.3 -- .S38 2013eb"/>
    <s v="547/.128"/>
    <d v="2013-01-28T00:00:00"/>
  </r>
  <r>
    <x v="7951"/>
    <d v="1899-12-30T00:00:35"/>
    <x v="1056"/>
    <x v="0"/>
    <s v="Buffalo"/>
    <x v="73"/>
    <n v="1119505"/>
    <x v="0"/>
    <s v="Science: Chemistry; Science"/>
    <s v="9781118355015"/>
    <s v=",1,2,3,4,5,6,7,8,10,9,29,30,31,27,28"/>
    <n v="15"/>
    <m/>
    <m/>
    <s v="No"/>
    <x v="1"/>
    <m/>
    <m/>
    <s v="128.205.114.91"/>
    <s v="QD251.3 -- .S38 2013eb"/>
    <s v="547/.128"/>
    <d v="2013-01-28T00:00:00"/>
  </r>
  <r>
    <x v="7952"/>
    <d v="1899-12-30T00:00:00"/>
    <x v="13"/>
    <x v="0"/>
    <s v="Buffalo"/>
    <x v="1407"/>
    <n v="1790819"/>
    <x v="11"/>
    <s v="Religion"/>
    <s v="9780226169095"/>
    <m/>
    <n v="0"/>
    <m/>
    <m/>
    <s v="Yes"/>
    <x v="0"/>
    <d v="2015-09-14T17:44:23"/>
    <n v="7"/>
    <s v="128.205.114.91"/>
    <s v="BL410"/>
    <s v="201/.50902"/>
    <d v="2014-10-20T00:00:00"/>
  </r>
  <r>
    <x v="7953"/>
    <d v="1899-12-30T00:00:24"/>
    <x v="13"/>
    <x v="0"/>
    <s v="Buffalo"/>
    <x v="73"/>
    <n v="1119505"/>
    <x v="0"/>
    <s v="Science: Chemistry; Science"/>
    <s v="9781118355015"/>
    <s v=",1,2,3,48,49,50,46,47,51,52,53"/>
    <n v="11"/>
    <m/>
    <m/>
    <s v="No"/>
    <x v="0"/>
    <d v="2015-09-10T18:48:26"/>
    <n v="7"/>
    <s v="128.205.114.91"/>
    <s v="QD251.3 -- .S38 2013eb"/>
    <s v="547/.128"/>
    <d v="2013-01-28T00:00:00"/>
  </r>
  <r>
    <x v="7954"/>
    <d v="1899-12-30T00:01:25"/>
    <x v="13"/>
    <x v="0"/>
    <s v="Buffalo"/>
    <x v="161"/>
    <n v="821663"/>
    <x v="0"/>
    <s v="Architecture"/>
    <s v="9781118168479"/>
    <s v=",21,22,23,19,20"/>
    <n v="5"/>
    <m/>
    <m/>
    <s v="No"/>
    <x v="0"/>
    <d v="2015-09-15T00:28:02"/>
    <n v="7"/>
    <s v="128.205.114.91"/>
    <s v="NA2547 -- .S74 2012eb"/>
    <n v="729"/>
    <d v="2012-03-05T00:00:00"/>
  </r>
  <r>
    <x v="7955"/>
    <d v="1899-12-30T00:00:10"/>
    <x v="13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7956"/>
    <d v="1899-12-30T01:19:38"/>
    <x v="1798"/>
    <x v="0"/>
    <s v="Buffalo"/>
    <x v="1407"/>
    <n v="1790819"/>
    <x v="11"/>
    <s v="Religion"/>
    <s v="9780226169095"/>
    <s v=",22,23,24,28,29,27,26,46,62,65,64,66,67,68,198,181,282,182"/>
    <n v="18"/>
    <m/>
    <m/>
    <s v="No"/>
    <x v="0"/>
    <d v="2015-09-14T23:17:19"/>
    <n v="7"/>
    <s v="128.205.114.91"/>
    <s v="BL410"/>
    <s v="201/.50902"/>
    <d v="2014-10-20T00:00:00"/>
  </r>
  <r>
    <x v="7957"/>
    <d v="1899-12-30T01:41:11"/>
    <x v="13"/>
    <x v="0"/>
    <s v="Buffalo"/>
    <x v="1407"/>
    <n v="1790819"/>
    <x v="11"/>
    <s v="Religion"/>
    <s v="9780226169095"/>
    <s v=",1,2,3,42,43,44,40,41,45,46,47,48,49,50,51,52,53,54,55,56,57,58,59,60,61,62,63,22,9,11,12,13,14,15,16,17,18,19,20,21,23,24,25,26,64,65,66,67,68,69,78,80,81,82,83,79,84,85,86,87,88,89,90,91,92,93,94,95,96,97,98,99,100,101,102,103,104,105,106,107,108,109,110,111,112,114,113,115,116,117,118,119,120,121,122,145,136,128,129,127,126,125,124,123,198,200,199,197,196,202,201"/>
    <n v="111"/>
    <m/>
    <m/>
    <s v="No"/>
    <x v="0"/>
    <d v="2015-09-14T17:44:23"/>
    <n v="7"/>
    <s v="128.205.114.91"/>
    <s v="BL410"/>
    <s v="201/.50902"/>
    <d v="2014-10-20T00:00:00"/>
  </r>
  <r>
    <x v="7958"/>
    <d v="1899-12-30T01:51:55"/>
    <x v="13"/>
    <x v="0"/>
    <s v="Buffalo"/>
    <x v="1407"/>
    <n v="1790819"/>
    <x v="11"/>
    <s v="Religion"/>
    <s v="9780226169095"/>
    <s v=",25,62,64,63,61,60,59,58,50,51,47,48,29,30,31,27,28,65,66,67,68,69,70,71,72,73,74,75,76,77,78,79,82,83,84,80,81,85,86,87,88,89,90,91,176,177,178,174,175,179,180,181,182,183,184,185,186,187,188,189,190,191,192,193,194,195,196,197,198,199,129,130,131,127,128,132,126,125,124,123,122,121,120,118,119,117,1,2,3"/>
    <n v="89"/>
    <m/>
    <m/>
    <s v="Yes"/>
    <x v="0"/>
    <d v="2015-09-14T17:44:23"/>
    <n v="7"/>
    <s v="128.205.114.91"/>
    <s v="BL410"/>
    <s v="201/.50902"/>
    <d v="2014-10-20T00:00:00"/>
  </r>
  <r>
    <x v="7959"/>
    <d v="1899-12-30T00:00:00"/>
    <x v="13"/>
    <x v="0"/>
    <s v="Buffalo"/>
    <x v="1407"/>
    <n v="1790819"/>
    <x v="11"/>
    <s v="Religion"/>
    <s v="9780226169095"/>
    <m/>
    <n v="0"/>
    <m/>
    <m/>
    <s v="Yes"/>
    <x v="0"/>
    <d v="2015-09-14T17:44:23"/>
    <n v="7"/>
    <s v="128.205.114.91"/>
    <s v="BL410"/>
    <s v="201/.50902"/>
    <d v="2014-10-20T00:00:00"/>
  </r>
  <r>
    <x v="7960"/>
    <d v="1899-12-30T00:12:07"/>
    <x v="1798"/>
    <x v="0"/>
    <s v="Buffalo"/>
    <x v="1407"/>
    <n v="1790819"/>
    <x v="11"/>
    <s v="Religion"/>
    <s v="9780226169095"/>
    <s v=",1,2,3,4,5,6,7,8,9,10,11,12,13,11,12,13,9,10,11,348,347,346,341,194"/>
    <n v="18"/>
    <m/>
    <m/>
    <s v="No"/>
    <x v="1"/>
    <m/>
    <m/>
    <s v="128.205.114.91"/>
    <s v="BL410"/>
    <s v="201/.50902"/>
    <d v="2014-10-20T00:00:00"/>
  </r>
  <r>
    <x v="7961"/>
    <d v="1899-12-30T00:00:00"/>
    <x v="13"/>
    <x v="0"/>
    <s v="Buffalo"/>
    <x v="1407"/>
    <n v="1790819"/>
    <x v="11"/>
    <s v="Religion"/>
    <s v="9780226169095"/>
    <m/>
    <n v="0"/>
    <m/>
    <m/>
    <s v="Yes"/>
    <x v="0"/>
    <d v="2015-09-14T17:44:23"/>
    <n v="7"/>
    <s v="128.205.114.91"/>
    <s v="BL410"/>
    <s v="201/.50902"/>
    <d v="2014-10-20T00:00:00"/>
  </r>
  <r>
    <x v="7962"/>
    <d v="1899-12-30T00:32:09"/>
    <x v="1730"/>
    <x v="1"/>
    <s v="brockport"/>
    <x v="1"/>
    <n v="1684620"/>
    <x v="0"/>
    <s v="Health; Social Science"/>
    <s v="9781118418925"/>
    <s v=",1,3,2,85,86,87,83,84,107,108,109,105,106,88,88,48,49,50,46,47,31,32,33,29,30,34,35,36,37,38,39,40,41,42,43,44,45,55,56,57,53,54,58,59,60,61,62,63,64,61,62,58,59,63,65,66,67,64,68,69,63,70,71,72,73,74,75,76,77,78,79,85,86,87,83,84,88,89"/>
    <n v="64"/>
    <m/>
    <m/>
    <s v="No"/>
    <x v="0"/>
    <d v="2015-09-12T22:16:24"/>
    <n v="7"/>
    <s v="137.21.7.121"/>
    <s v="RA971 -- .S56 2014eb"/>
    <n v="362.10680000000002"/>
    <d v="2014-04-30T00:00:00"/>
  </r>
  <r>
    <x v="7963"/>
    <d v="1899-12-30T00:27:56"/>
    <x v="13"/>
    <x v="0"/>
    <s v="Buffalo"/>
    <x v="1407"/>
    <n v="1790819"/>
    <x v="11"/>
    <s v="Religion"/>
    <s v="9780226169095"/>
    <s v=",1,2,3,4,5,4,5,6,22,23,24,20,21"/>
    <n v="11"/>
    <m/>
    <m/>
    <s v="No"/>
    <x v="0"/>
    <d v="2015-09-14T17:44:23"/>
    <n v="7"/>
    <s v="128.205.114.91"/>
    <s v="BL410"/>
    <s v="201/.50902"/>
    <d v="2014-10-20T00:00:00"/>
  </r>
  <r>
    <x v="7964"/>
    <d v="1899-12-30T00:03:40"/>
    <x v="760"/>
    <x v="0"/>
    <s v="Buffalo"/>
    <x v="728"/>
    <n v="1872281"/>
    <x v="4"/>
    <s v="Education; Business/Management"/>
    <s v="9781462519606"/>
    <s v=",1,1,2,2,3,3,2,2,215,216,215,217,213,217,214,216,214,218,218,219,219,220,220,221,221,222,222,223,223,224,224,225,225,226,226,227,227,228,228"/>
    <n v="19"/>
    <m/>
    <m/>
    <s v="No"/>
    <x v="1"/>
    <m/>
    <m/>
    <s v="128.205.114.91"/>
    <s v="HD75 -- .P448 2015eb"/>
    <n v="378.101"/>
    <d v="2015-05-26T00:00:00"/>
  </r>
  <r>
    <x v="7965"/>
    <d v="1899-12-30T00:02:59"/>
    <x v="1729"/>
    <x v="1"/>
    <s v="brockport"/>
    <x v="1"/>
    <n v="1684620"/>
    <x v="0"/>
    <s v="Health; Social Science"/>
    <s v="9781118418925"/>
    <s v=",1,2,3,85,86,87,83,84,88,89"/>
    <n v="10"/>
    <m/>
    <m/>
    <s v="No"/>
    <x v="0"/>
    <d v="2015-09-14T13:22:15"/>
    <n v="7"/>
    <s v="137.21.7.121"/>
    <s v="RA971 -- .S56 2014eb"/>
    <n v="362.10680000000002"/>
    <d v="2014-04-30T00:00:00"/>
  </r>
  <r>
    <x v="7966"/>
    <d v="1899-12-30T00:04:43"/>
    <x v="1799"/>
    <x v="0"/>
    <s v="Buffalo"/>
    <x v="150"/>
    <n v="1882108"/>
    <x v="3"/>
    <s v="Literature"/>
    <s v="9780520961326"/>
    <s v=",1,1,1,3,2,2,3,4,4,523,523,524,524,521,520,521,2,480,481,480,481,522,524,523,522,520,521,8,9,8,10,9,10,6,7,7,42,43,44,42,43,40,41,44,41,45,46,45,46,47,47,48,49,48,49,50,50,51,51,52,52,53,53,54,55,54,55,42,43,44,40,41,1,41,1,42,41,42,43,39,43,40,40,9,10,8,10,9,8,6,7,7,11,11,2,2,6,11,12,12,13,14,13,14,15,15,42,43,44,40,44,41,45,40,45"/>
    <n v="38"/>
    <m/>
    <m/>
    <s v="No"/>
    <x v="3"/>
    <m/>
    <m/>
    <s v="128.205.114.91"/>
    <s v="PA4025.A2 -- .H664 2015eb"/>
    <n v="883"/>
    <d v="2015-05-14T00:00:00"/>
  </r>
  <r>
    <x v="7967"/>
    <d v="1899-12-30T00:03:40"/>
    <x v="1768"/>
    <x v="1"/>
    <s v="brockport"/>
    <x v="151"/>
    <n v="968030"/>
    <x v="0"/>
    <s v="Psychology"/>
    <s v="9781118285138"/>
    <s v=",1,2,3,2,3,1,21,22,23,22,23,20,21,20,19,2,24,24,25,25,26,26,27,27,28,28,23,28,29,29,27,27,24,29,30,30,31,32,31,33,32,34,33,34,29,28,33,34,35,36,35,36,37,33,37,38,39,38,39,40,40,41,41,42,43,42,43,44,44"/>
    <n v="29"/>
    <m/>
    <m/>
    <s v="No"/>
    <x v="1"/>
    <m/>
    <m/>
    <s v="137.21.7.121"/>
    <s v="BF637.C6 -- S85 2013eb"/>
    <n v="158.30000000000001"/>
    <d v="2012-07-10T00:00:00"/>
  </r>
  <r>
    <x v="7968"/>
    <d v="1899-12-30T00:00:31"/>
    <x v="760"/>
    <x v="0"/>
    <s v="Buffalo"/>
    <x v="728"/>
    <n v="1872281"/>
    <x v="4"/>
    <s v="Education; Business/Management"/>
    <s v="9781462519606"/>
    <s v=",1,3,1,2,3,2,210,211,210,211,208,209,213,209,214,213,212,214,212,2,215,215,216,216,217,217"/>
    <n v="13"/>
    <m/>
    <m/>
    <s v="No"/>
    <x v="1"/>
    <m/>
    <m/>
    <s v="128.205.114.91"/>
    <s v="HD75 -- .P448 2015eb"/>
    <n v="378.101"/>
    <d v="2015-05-26T00:00:00"/>
  </r>
  <r>
    <x v="7969"/>
    <d v="1899-12-30T00:26:26"/>
    <x v="1730"/>
    <x v="1"/>
    <s v="brockport"/>
    <x v="1"/>
    <n v="1684620"/>
    <x v="0"/>
    <s v="Health; Social Science"/>
    <s v="9781118418925"/>
    <s v=",2,3,1,4,5,6,7,8,9,10,11,12,26,27,28,24,25,29,30,31,32,33,34,35,36,37,38,39,40,41,42,43,44,45,46,47,48,49,50,51,52,53,54,55,56,54,55,56,57,56,57,58,59,60,61,62,63,64,59,65,66,67,68,69,70,71,72,73"/>
    <n v="62"/>
    <m/>
    <m/>
    <s v="No"/>
    <x v="0"/>
    <d v="2015-09-12T22:16:24"/>
    <n v="7"/>
    <s v="137.21.7.121"/>
    <s v="RA971 -- .S56 2014eb"/>
    <n v="362.10680000000002"/>
    <d v="2014-04-30T00:00:00"/>
  </r>
  <r>
    <x v="7970"/>
    <d v="1899-12-30T00:00:04"/>
    <x v="1780"/>
    <x v="0"/>
    <s v="Buffalo"/>
    <x v="1679"/>
    <n v="1313513"/>
    <x v="0"/>
    <s v="Computer Science/IT"/>
    <s v="9781118732281"/>
    <s v=",1,2,3"/>
    <n v="3"/>
    <m/>
    <m/>
    <s v="No"/>
    <x v="1"/>
    <m/>
    <m/>
    <s v="128.205.114.91"/>
    <s v="QA76.9 .D37"/>
    <n v="5.74"/>
    <d v="2013-07-01T00:00:00"/>
  </r>
  <r>
    <x v="7971"/>
    <d v="1899-12-30T01:28:14"/>
    <x v="1800"/>
    <x v="0"/>
    <s v="Buffalo"/>
    <x v="6"/>
    <n v="1635363"/>
    <x v="0"/>
    <s v="Law"/>
    <s v="9781118678206"/>
    <s v=",1,51,53,52,49,50,54,55,56,57,58,59,60,61,62,2,63,64,65,61,62,63,64,65,66,67,68,69,70,71,72,65,64,63,72,73,74,75,76,77,78,79,80,81,82,180,181,182,178,179"/>
    <n v="41"/>
    <m/>
    <m/>
    <s v="No"/>
    <x v="0"/>
    <d v="2015-09-09T14:16:58"/>
    <n v="7"/>
    <s v="128.205.114.91"/>
    <s v="KF285.Z9 -- H38 2014eb"/>
    <n v="340.07600000000002"/>
    <d v="2014-02-14T00:00:00"/>
  </r>
  <r>
    <x v="7972"/>
    <d v="1899-12-30T00:04:54"/>
    <x v="1800"/>
    <x v="0"/>
    <s v="Buffalo"/>
    <x v="6"/>
    <n v="1635363"/>
    <x v="0"/>
    <s v="Law"/>
    <s v="9781118678206"/>
    <s v=",1,2,3,49,50,51,47,48,52,53,54,55,56"/>
    <n v="13"/>
    <m/>
    <m/>
    <s v="No"/>
    <x v="0"/>
    <d v="2015-09-09T14:16:58"/>
    <n v="7"/>
    <s v="128.205.114.91"/>
    <s v="KF285.Z9 -- H38 2014eb"/>
    <n v="340.07600000000002"/>
    <d v="2014-02-14T00:00:00"/>
  </r>
  <r>
    <x v="7973"/>
    <d v="1899-12-30T01:21:49"/>
    <x v="634"/>
    <x v="11"/>
    <s v="cobleskill"/>
    <x v="11"/>
    <n v="693176"/>
    <x v="0"/>
    <s v="Engineering: Manufacturing; General Works/Reference; Engineering"/>
    <s v="9781118017746"/>
    <s v=",1,2,3,249,250,251,247,248,246,236,237,238,234,235,257,258,259,256,255,254,253,252,251,250,249,269,270,271,267,268,273,275,272,274,279,280,281,277,278,275,276,281,282,279,283,284,285,279,284,280,284,286,287,288"/>
    <n v="44"/>
    <m/>
    <m/>
    <s v="No"/>
    <x v="0"/>
    <d v="2015-09-11T02:35:19"/>
    <n v="7"/>
    <s v="137.36.32.34"/>
    <s v="Z246 -- .M43 2012eb"/>
    <s v="686.2/209"/>
    <d v="2011-10-19T00:00:00"/>
  </r>
  <r>
    <x v="7974"/>
    <d v="1899-12-30T01:18:26"/>
    <x v="1758"/>
    <x v="1"/>
    <s v="brockport"/>
    <x v="1"/>
    <n v="1684620"/>
    <x v="0"/>
    <s v="Health; Social Science"/>
    <s v="9781118418925"/>
    <s v=",1,2,3,13,14,15,11,12,16,17,18,19,20,26,27,28,24,25,29,30,31,32,33,34,35,36,37,38,39,40,41,42,43,44,45,46,47,48,49,50,51,52,53,54,55,56,57,58,59,60,61,62,63,64,65,66,67,68,69,70,71,72,73,74,75,76,77,78,79,80,81,82,83,84,85,86,87,88,89,90,91,92,93,94,95,97,98,100,101,102,103,104,105,106"/>
    <n v="94"/>
    <m/>
    <m/>
    <s v="No"/>
    <x v="0"/>
    <d v="2015-09-09T18:33:14"/>
    <n v="7"/>
    <s v="137.21.7.121"/>
    <s v="RA971 -- .S56 2014eb"/>
    <n v="362.10680000000002"/>
    <d v="2014-04-30T00:00:00"/>
  </r>
  <r>
    <x v="7975"/>
    <d v="1899-12-30T00:52:28"/>
    <x v="13"/>
    <x v="0"/>
    <s v="Buffalo"/>
    <x v="73"/>
    <n v="1119505"/>
    <x v="0"/>
    <s v="Science: Chemistry; Science"/>
    <s v="9781118355015"/>
    <s v=",1,2,3,4,5,6,7,24,25,26,22,23,27,29,31,28,25,24,23,48,49,50,46,47,51,54,52,53,45,46,36,37,38,34,35,39,40,41,42,43,44,45,46,47,45,46,47,43,44,53,43,44"/>
    <n v="37"/>
    <m/>
    <m/>
    <s v="No"/>
    <x v="0"/>
    <d v="2015-09-10T18:48:26"/>
    <n v="7"/>
    <s v="128.205.114.91"/>
    <s v="QD251.3 -- .S38 2013eb"/>
    <s v="547/.128"/>
    <d v="2013-01-28T00:00:00"/>
  </r>
  <r>
    <x v="7976"/>
    <d v="1899-12-30T00:02:13"/>
    <x v="13"/>
    <x v="0"/>
    <s v="Buffalo"/>
    <x v="73"/>
    <n v="1119505"/>
    <x v="0"/>
    <s v="Science: Chemistry; Science"/>
    <s v="9781118355015"/>
    <s v=",1,3,2,48,49,50,46,47,51,52"/>
    <n v="10"/>
    <m/>
    <m/>
    <s v="No"/>
    <x v="0"/>
    <d v="2015-09-10T18:48:26"/>
    <n v="7"/>
    <s v="128.205.114.91"/>
    <s v="QD251.3 -- .S38 2013eb"/>
    <s v="547/.128"/>
    <d v="2013-01-28T00:00:00"/>
  </r>
  <r>
    <x v="7977"/>
    <d v="1899-12-30T02:35:35"/>
    <x v="1801"/>
    <x v="0"/>
    <s v="Buffalo"/>
    <x v="1407"/>
    <n v="1790819"/>
    <x v="11"/>
    <s v="Religion"/>
    <s v="9780226169095"/>
    <s v=",1,2,3,62,63,64,60,61,65,66,67,68,69,70,71,72,73,74,75,76,77,78,79,80,81,82,83,84,85,86,87,88,89,90,91,92,93,94,95,96,97,98,99,100,101,102,103,104,105,106,107,108,109,110,111,112,113,114,115,116,117,118,119,120,121,122,123,116,121,122,123,124,125,126,127,128,129,130,131,132,133,134,135,136,137,138,139,140,141,142,143,144,145,146,147,148,149,150,150,151,152,153,154,155,156,157,158,159,160,161,162,163,164,165,166,167,168,169,170,171,172,173,174,175,176,177,178,174,179,180,181,182,183,184,185,186,187,188,189,190,191,192,193,194,195,196,197,198,199,198,199,200,201,202,203,296,222,220,196,197,202,203,204,205,206,207,208,209,210,211,212,213,214,215,216,217,218,219,220,221"/>
    <n v="167"/>
    <m/>
    <m/>
    <s v="No"/>
    <x v="2"/>
    <d v="2015-09-13T23:04:09"/>
    <n v="1"/>
    <s v="128.205.114.91"/>
    <s v="BL410"/>
    <s v="201/.50902"/>
    <d v="2014-10-20T00:00:00"/>
  </r>
  <r>
    <x v="7978"/>
    <d v="1899-12-30T01:41:20"/>
    <x v="1736"/>
    <x v="1"/>
    <s v="brockport"/>
    <x v="1"/>
    <n v="1684620"/>
    <x v="0"/>
    <s v="Health; Social Science"/>
    <s v="9781118418925"/>
    <s v=",1,2,3,4,31,32,33,29,30,34,35,36,37,38,39,40,41,42,43,44,45,46,47,48,49,50,51,52,53,54,55,56,57,58,59,60,61,62,63,64,65,66,67,68,69,70,71,72,73,74,75,76,77,78,79,80,81,82,83,84,85,86,87,88,89,90,91,92,93,94,95,96,97,98,99,100,101,102,103,104,105,106,107,108,109"/>
    <n v="85"/>
    <m/>
    <m/>
    <s v="No"/>
    <x v="0"/>
    <d v="2015-09-14T05:07:35"/>
    <n v="7"/>
    <s v="137.21.7.121"/>
    <s v="RA971 -- .S56 2014eb"/>
    <n v="362.10680000000002"/>
    <d v="2014-04-30T00:00:00"/>
  </r>
  <r>
    <x v="7979"/>
    <d v="1899-12-30T00:00:22"/>
    <x v="1802"/>
    <x v="0"/>
    <s v="Buffalo"/>
    <x v="894"/>
    <n v="817911"/>
    <x v="0"/>
    <s v="Education"/>
    <s v="9781118218587"/>
    <s v=",1,2,3,21,22,23,19,20"/>
    <n v="8"/>
    <m/>
    <m/>
    <s v="No"/>
    <x v="1"/>
    <m/>
    <m/>
    <s v="128.205.114.91"/>
    <s v="LB1025.3 -- .L485 2012eb"/>
    <n v="371.10199999999998"/>
    <d v="2011-12-22T00:00:00"/>
  </r>
  <r>
    <x v="7980"/>
    <d v="1899-12-30T00:59:10"/>
    <x v="1729"/>
    <x v="1"/>
    <s v="brockport"/>
    <x v="1"/>
    <n v="1684620"/>
    <x v="0"/>
    <s v="Health; Social Science"/>
    <s v="9781118418925"/>
    <s v=",1,3,2,26,31,32,33,29,30,34,35,36,37,38,39,40,41,42,43,44,36,35,41,42,43,43,44,45,46,46,47,48,49,50,55,56,57,53,54,58,59,60,61,62,71,72,73,69,70,74,75,76,77,85,86,87,83,84,88,89"/>
    <n v="52"/>
    <m/>
    <m/>
    <s v="No"/>
    <x v="0"/>
    <d v="2015-09-14T13:22:15"/>
    <n v="7"/>
    <s v="137.21.7.121"/>
    <s v="RA971 -- .S56 2014eb"/>
    <n v="362.10680000000002"/>
    <d v="2014-04-30T00:00:00"/>
  </r>
  <r>
    <x v="7981"/>
    <d v="1899-12-30T00:05:11"/>
    <x v="13"/>
    <x v="0"/>
    <s v="Buffalo"/>
    <x v="1407"/>
    <n v="1790819"/>
    <x v="11"/>
    <s v="Religion"/>
    <s v="9780226169095"/>
    <s v=",69,70,71"/>
    <n v="3"/>
    <m/>
    <m/>
    <s v="No"/>
    <x v="0"/>
    <d v="2015-09-14T17:44:23"/>
    <n v="7"/>
    <s v="128.205.114.91"/>
    <s v="BL410"/>
    <s v="201/.50902"/>
    <d v="2014-10-20T00:00:00"/>
  </r>
  <r>
    <x v="7982"/>
    <d v="1899-12-30T00:08:14"/>
    <x v="13"/>
    <x v="0"/>
    <s v="Buffalo"/>
    <x v="1407"/>
    <n v="1790819"/>
    <x v="11"/>
    <s v="Religion"/>
    <s v="9780226169095"/>
    <s v=",1,2,3,62,63,64,60,61,65,2,66,67,68"/>
    <n v="12"/>
    <m/>
    <m/>
    <s v="No"/>
    <x v="3"/>
    <m/>
    <m/>
    <s v="128.205.114.91"/>
    <s v="BL410"/>
    <s v="201/.50902"/>
    <d v="2014-10-20T00:00:00"/>
  </r>
  <r>
    <x v="7983"/>
    <d v="1899-12-30T00:01:38"/>
    <x v="1803"/>
    <x v="0"/>
    <s v="Buffalo"/>
    <x v="552"/>
    <n v="1294909"/>
    <x v="3"/>
    <s v="Economics; Business/Management"/>
    <s v="9780520956797"/>
    <s v=",1,3,2,54,55,56,52,53,1,53,54,55,51,52,2,56,57,58,59,60"/>
    <n v="13"/>
    <m/>
    <s v=",54,55,56,57,58,59,60,61,62,63,64,65,66,67,68,69,70"/>
    <s v="No"/>
    <x v="0"/>
    <d v="2015-09-09T18:59:15"/>
    <n v="7"/>
    <s v="128.205.114.91"/>
    <s v="HC110.P6 -- I25 2013eb"/>
    <s v="339.4/60973"/>
    <d v="2013-08-01T00:00:00"/>
  </r>
  <r>
    <x v="7984"/>
    <d v="1899-12-30T00:03:55"/>
    <x v="1804"/>
    <x v="5"/>
    <s v="erie"/>
    <x v="630"/>
    <n v="771049"/>
    <x v="18"/>
    <s v="Science: Physics; Science; Environmental Studies"/>
    <s v="9781608706648"/>
    <s v=",1,2,3,4,8,9,10,6,7,11,12,13,14,20,21,22,18,19,23"/>
    <n v="19"/>
    <m/>
    <m/>
    <s v="No"/>
    <x v="1"/>
    <m/>
    <m/>
    <s v="199.29.6.54"/>
    <s v="QC981.8"/>
    <n v="363.73874000000001"/>
    <d v="2012-01-01T00:00:00"/>
  </r>
  <r>
    <x v="7985"/>
    <d v="1899-12-30T00:00:47"/>
    <x v="1610"/>
    <x v="5"/>
    <s v="erie"/>
    <x v="494"/>
    <n v="947565"/>
    <x v="0"/>
    <s v="Engineering; Engineering: Electrical; Computer Science/IT"/>
    <s v="9781118416945"/>
    <s v=",1,2,3,4,19,20,21,17,18,22,23"/>
    <n v="11"/>
    <m/>
    <m/>
    <s v="No"/>
    <x v="1"/>
    <m/>
    <m/>
    <s v="199.29.6.54"/>
    <s v="TK7887.7 .L384 2012"/>
    <n v="6.6859999999999999"/>
    <d v="2013-01-22T00:00:00"/>
  </r>
  <r>
    <x v="7986"/>
    <d v="1899-12-30T00:11:57"/>
    <x v="1729"/>
    <x v="1"/>
    <s v="brockport"/>
    <x v="1"/>
    <n v="1684620"/>
    <x v="0"/>
    <s v="Health; Social Science"/>
    <s v="9781118418925"/>
    <s v=",1,2,3,65,66,67,63,64,68,69,70,31,32,33,29,34,35,36,37,38,39,40,42,41,43,34,33"/>
    <n v="25"/>
    <m/>
    <m/>
    <s v="No"/>
    <x v="0"/>
    <d v="2015-09-14T13:22:15"/>
    <n v="7"/>
    <s v="137.21.7.121"/>
    <s v="RA971 -- .S56 2014eb"/>
    <n v="362.10680000000002"/>
    <d v="2014-04-30T00:00:00"/>
  </r>
  <r>
    <x v="7987"/>
    <d v="1899-12-30T00:23:35"/>
    <x v="798"/>
    <x v="0"/>
    <s v="Buffalo"/>
    <x v="161"/>
    <n v="821663"/>
    <x v="0"/>
    <s v="Architecture"/>
    <s v="9781118168479"/>
    <s v=",91,92"/>
    <n v="2"/>
    <m/>
    <m/>
    <s v="No"/>
    <x v="0"/>
    <d v="2015-09-14T16:04:18"/>
    <n v="7"/>
    <s v="128.205.114.91"/>
    <s v="NA2547 -- .S74 2012eb"/>
    <n v="729"/>
    <d v="2012-03-05T00:00:00"/>
  </r>
  <r>
    <x v="7988"/>
    <d v="1899-12-30T00:14:14"/>
    <x v="1736"/>
    <x v="1"/>
    <s v="brockport"/>
    <x v="1"/>
    <n v="1684620"/>
    <x v="0"/>
    <s v="Health; Social Science"/>
    <s v="9781118418925"/>
    <s v=",2,3,1,4,5,6,7,26,27,28,24,25,29,30"/>
    <n v="14"/>
    <m/>
    <m/>
    <s v="No"/>
    <x v="0"/>
    <d v="2015-09-14T05:07:35"/>
    <n v="7"/>
    <s v="137.21.7.121"/>
    <s v="RA971 -- .S56 2014eb"/>
    <n v="362.10680000000002"/>
    <d v="2014-04-30T00:00:00"/>
  </r>
  <r>
    <x v="7989"/>
    <d v="1899-12-30T00:02:16"/>
    <x v="1737"/>
    <x v="1"/>
    <s v="brockport"/>
    <x v="519"/>
    <n v="822662"/>
    <x v="0"/>
    <s v="History"/>
    <s v="9781444355130"/>
    <s v=",1,2,3,37,38,39,35,36,145,225,255,256,254,253,251,196,178,168,167,166,165,164,163,162,160,144,137,136,138,139,140,141,142,143,146,147,148,149,150,151,152,153,154,155,156,157,158,159,161,169"/>
    <n v="50"/>
    <m/>
    <m/>
    <s v="No"/>
    <x v="1"/>
    <m/>
    <m/>
    <s v="137.21.7.121"/>
    <s v="DT20 -- .R45 2012eb"/>
    <n v="960.3"/>
    <d v="2011-11-11T00:00:00"/>
  </r>
  <r>
    <x v="7990"/>
    <d v="1899-12-30T00:11:23"/>
    <x v="798"/>
    <x v="0"/>
    <s v="Buffalo"/>
    <x v="161"/>
    <n v="821663"/>
    <x v="0"/>
    <s v="Architecture"/>
    <s v="9781118168479"/>
    <s v=",1,2,3,87,88,89,85,86,87,2,88,89,85,86,90"/>
    <n v="9"/>
    <m/>
    <m/>
    <s v="No"/>
    <x v="1"/>
    <m/>
    <m/>
    <s v="128.205.114.91"/>
    <s v="NA2547 -- .S74 2012eb"/>
    <n v="729"/>
    <d v="2012-03-05T00:00:00"/>
  </r>
  <r>
    <x v="7991"/>
    <d v="1899-12-30T00:00:08"/>
    <x v="1805"/>
    <x v="0"/>
    <s v="Buffalo"/>
    <x v="1688"/>
    <n v="1120530"/>
    <x v="12"/>
    <s v="Social Science"/>
    <s v="9781469607931"/>
    <s v=",1,300,301,302,298,303,304,305"/>
    <n v="8"/>
    <m/>
    <m/>
    <s v="No"/>
    <x v="3"/>
    <m/>
    <m/>
    <s v="128.205.114.91"/>
    <s v="HT1523 -- .R33 2013eb"/>
    <n v="305.80097503000002"/>
    <d v="2013-06-03T00:00:00"/>
  </r>
  <r>
    <x v="7992"/>
    <d v="1899-12-30T00:00:03"/>
    <x v="1805"/>
    <x v="0"/>
    <s v="Buffalo"/>
    <x v="1688"/>
    <n v="1120530"/>
    <x v="12"/>
    <s v="Social Science"/>
    <s v="9781469607931"/>
    <s v=",1,10,11"/>
    <n v="3"/>
    <m/>
    <m/>
    <s v="No"/>
    <x v="3"/>
    <m/>
    <m/>
    <s v="128.205.114.91"/>
    <s v="HT1523 -- .R33 2013eb"/>
    <n v="305.80097503000002"/>
    <d v="2013-06-03T00:00:00"/>
  </r>
  <r>
    <x v="7993"/>
    <d v="1899-12-30T00:00:19"/>
    <x v="825"/>
    <x v="7"/>
    <s v="oneonta"/>
    <x v="1689"/>
    <n v="1126604"/>
    <x v="17"/>
    <s v="History"/>
    <s v="9780748631759"/>
    <s v=",2,1,3,24,25,26,22,23"/>
    <n v="8"/>
    <m/>
    <m/>
    <s v="No"/>
    <x v="3"/>
    <m/>
    <m/>
    <s v="137.141.13.2"/>
    <s v="DF555 -- .L44 2013eb"/>
    <n v="937.09"/>
    <d v="2013-01-15T00:00:00"/>
  </r>
  <r>
    <x v="7994"/>
    <d v="1899-12-30T00:36:50"/>
    <x v="13"/>
    <x v="0"/>
    <s v="Buffalo"/>
    <x v="559"/>
    <n v="1217954"/>
    <x v="1"/>
    <s v="Engineering; Engineering: General"/>
    <s v="9781409457558"/>
    <s v=",34,471,471,471,471,471,471,471,472,473,474,475,475,476,477,473,474,32,33,37,43,44,45,41,42,46,47,48,38,39,40"/>
    <n v="22"/>
    <m/>
    <s v=",471,472,473,474,471,472,473,474,34,35,36,37,38,39,40,41,42,43,44,45,46,47,48,49,50,51,52,53,54,55,56,57,58,59,60,61,34,35,36,37,38,39,40,41,42,43,44,45,46,47,48,49,50,51,52,53,54,55,56,57,58,59,60,61"/>
    <s v="No"/>
    <x v="0"/>
    <d v="2015-09-14T14:56:41"/>
    <n v="7"/>
    <s v="128.205.114.91"/>
    <s v="T59.7 -- .S73 2013eb"/>
    <s v="620.8/2"/>
    <d v="2013-10-28T00:00:00"/>
  </r>
  <r>
    <x v="7995"/>
    <d v="1899-12-30T00:01:16"/>
    <x v="13"/>
    <x v="0"/>
    <s v="Buffalo"/>
    <x v="559"/>
    <n v="1217954"/>
    <x v="1"/>
    <s v="Engineering; Engineering: General"/>
    <s v="9781409457558"/>
    <s v=",1,2,3,34,35,36,32,33,37,2"/>
    <n v="9"/>
    <m/>
    <m/>
    <s v="No"/>
    <x v="1"/>
    <m/>
    <m/>
    <s v="128.205.114.91"/>
    <s v="T59.7 -- .S73 2013eb"/>
    <s v="620.8/2"/>
    <d v="2013-10-28T00:00:00"/>
  </r>
  <r>
    <x v="7996"/>
    <d v="1899-12-30T00:08:33"/>
    <x v="1307"/>
    <x v="11"/>
    <s v="cobleskill"/>
    <x v="11"/>
    <n v="693176"/>
    <x v="0"/>
    <s v="Engineering: Manufacturing; General Works/Reference; Engineering"/>
    <s v="9781118017746"/>
    <s v=",1,2,3,160,161,162,158,159,160,161,162,158,159,163,164,165,166,167,168,169,170,171,172,173,174,175,176,177,178,179,180,181,182,183,184"/>
    <n v="30"/>
    <m/>
    <m/>
    <s v="No"/>
    <x v="0"/>
    <d v="2015-09-11T19:27:54"/>
    <n v="7"/>
    <s v="137.36.32.34"/>
    <s v="Z246 -- .M43 2012eb"/>
    <s v="686.2/209"/>
    <d v="2011-10-19T00:00:00"/>
  </r>
  <r>
    <x v="7997"/>
    <d v="1899-12-30T00:23:28"/>
    <x v="1307"/>
    <x v="11"/>
    <s v="cobleskill"/>
    <x v="11"/>
    <n v="693176"/>
    <x v="0"/>
    <s v="Engineering: Manufacturing; General Works/Reference; Engineering"/>
    <s v="9781118017746"/>
    <s v=",1,1,2,2,3,3,1,2,2,160,161,162,161,160,162,159,158,159,163,163,158,164,165,165,164"/>
    <n v="11"/>
    <m/>
    <m/>
    <s v="No"/>
    <x v="0"/>
    <d v="2015-09-11T19:27:54"/>
    <n v="7"/>
    <s v="137.36.32.34"/>
    <s v="Z246 -- .M43 2012eb"/>
    <s v="686.2/209"/>
    <d v="2011-10-19T00:00:00"/>
  </r>
  <r>
    <x v="7998"/>
    <d v="1899-12-30T00:31:30"/>
    <x v="1151"/>
    <x v="1"/>
    <s v="brockport"/>
    <x v="519"/>
    <n v="822662"/>
    <x v="0"/>
    <s v="History"/>
    <s v="9781444355130"/>
    <s v=",1,2,3,2,1,3,159,159,2,160,161,157,158,160,161,158,2,162,162,163,163,164,164,165,165,166,166,167,168,167,168,169,170,169,170,165,170"/>
    <n v="17"/>
    <m/>
    <m/>
    <s v="No"/>
    <x v="0"/>
    <d v="2015-09-14T00:15:48"/>
    <n v="7"/>
    <s v="137.21.7.121"/>
    <s v="DT20 -- .R45 2012eb"/>
    <n v="960.3"/>
    <d v="2011-11-11T00:00:00"/>
  </r>
  <r>
    <x v="7999"/>
    <d v="1899-12-30T00:00:06"/>
    <x v="13"/>
    <x v="0"/>
    <s v="Buffalo"/>
    <x v="1690"/>
    <n v="1760718"/>
    <x v="4"/>
    <s v="Medicine"/>
    <s v="9781462517848"/>
    <s v=",1,2,3"/>
    <n v="3"/>
    <m/>
    <m/>
    <s v="No"/>
    <x v="1"/>
    <m/>
    <m/>
    <s v="128.205.114.91"/>
    <s v="RJ496.A86 -- A883 2015eb"/>
    <n v="618.92849999999999"/>
    <d v="2015-01-15T00:00:00"/>
  </r>
  <r>
    <x v="8000"/>
    <d v="1899-12-30T00:04:38"/>
    <x v="1307"/>
    <x v="11"/>
    <s v="cobleskill"/>
    <x v="11"/>
    <n v="693176"/>
    <x v="0"/>
    <s v="Engineering: Manufacturing; General Works/Reference; Engineering"/>
    <s v="9781118017746"/>
    <s v=",1,2,3,22,23,24,20,21,22,23,24,20,21,25,26,27,28,29,30,31,32,33,34,35,36,37,38,39,40,41,42,43,44,45,46,47,48,49,50,51,52,53,54,55,56,57,58,59,160,161,162,158,159,163,161,163,162,160,159,158"/>
    <n v="49"/>
    <m/>
    <m/>
    <s v="No"/>
    <x v="0"/>
    <d v="2015-09-11T19:27:54"/>
    <n v="7"/>
    <s v="137.36.32.34"/>
    <s v="Z246 -- .M43 2012eb"/>
    <s v="686.2/209"/>
    <d v="2011-10-19T00:00:00"/>
  </r>
  <r>
    <x v="8001"/>
    <d v="1899-12-30T00:00:18"/>
    <x v="1806"/>
    <x v="7"/>
    <s v="oneonta"/>
    <x v="3"/>
    <n v="822040"/>
    <x v="0"/>
    <s v="Literature; Psychology"/>
    <s v="9781118289099"/>
    <s v=",1,2,3,17,18,19,15,16,20"/>
    <n v="9"/>
    <m/>
    <m/>
    <s v="No"/>
    <x v="1"/>
    <m/>
    <m/>
    <s v="137.141.13.2"/>
    <s v="BF76.7 -- .B447 2012eb"/>
    <s v="808.06/615"/>
    <d v="2012-03-22T00:00:00"/>
  </r>
  <r>
    <x v="8002"/>
    <d v="1899-12-30T00:12:55"/>
    <x v="1729"/>
    <x v="1"/>
    <s v="brockport"/>
    <x v="1"/>
    <n v="1684620"/>
    <x v="0"/>
    <s v="Health; Social Science"/>
    <s v="9781118418925"/>
    <s v=",16,17,26,27,28,24,25,29,30,31,32,26,25,24,29"/>
    <n v="11"/>
    <m/>
    <m/>
    <s v="No"/>
    <x v="0"/>
    <d v="2015-09-14T13:22:15"/>
    <n v="7"/>
    <s v="137.21.7.121"/>
    <s v="RA971 -- .S56 2014eb"/>
    <n v="362.10680000000002"/>
    <d v="2014-04-30T00:00:00"/>
  </r>
  <r>
    <x v="8003"/>
    <d v="1899-12-30T00:10:22"/>
    <x v="1729"/>
    <x v="1"/>
    <s v="brockport"/>
    <x v="1"/>
    <n v="1684620"/>
    <x v="0"/>
    <s v="Health; Social Science"/>
    <s v="9781118418925"/>
    <s v=",1,2,3,13,14,15,11,12,10,15,16,17,18,19,20,21,13,12,11,11"/>
    <n v="15"/>
    <m/>
    <m/>
    <s v="No"/>
    <x v="1"/>
    <m/>
    <m/>
    <s v="137.21.7.121"/>
    <s v="RA971 -- .S56 2014eb"/>
    <n v="362.10680000000002"/>
    <d v="2014-04-30T00:00:00"/>
  </r>
  <r>
    <x v="8004"/>
    <d v="1899-12-30T00:14:37"/>
    <x v="634"/>
    <x v="11"/>
    <s v="cobleskill"/>
    <x v="11"/>
    <n v="693176"/>
    <x v="0"/>
    <s v="Engineering: Manufacturing; General Works/Reference; Engineering"/>
    <s v="9781118017746"/>
    <s v=",1,2,3,165,166,167,163,164,168,168,169,170,171,172,173,174"/>
    <n v="15"/>
    <m/>
    <m/>
    <s v="No"/>
    <x v="0"/>
    <d v="2015-09-11T02:35:19"/>
    <n v="7"/>
    <s v="137.36.32.34"/>
    <s v="Z246 -- .M43 2012eb"/>
    <s v="686.2/209"/>
    <d v="2011-10-19T00:00:00"/>
  </r>
  <r>
    <x v="8005"/>
    <d v="1899-12-30T00:00:03"/>
    <x v="811"/>
    <x v="0"/>
    <s v="Buffalo"/>
    <x v="533"/>
    <n v="1760720"/>
    <x v="4"/>
    <s v="Medicine"/>
    <s v="9781462517459"/>
    <s v=",1,3,2"/>
    <n v="3"/>
    <m/>
    <m/>
    <s v="No"/>
    <x v="0"/>
    <d v="2015-09-08T20:19:34"/>
    <n v="7"/>
    <s v="128.205.114.91"/>
    <s v="RC489.D48 -- L56 2015eb"/>
    <n v="616.89142000000004"/>
    <d v="2014-12-23T00:00:00"/>
  </r>
  <r>
    <x v="8006"/>
    <d v="1899-12-30T00:06:22"/>
    <x v="1807"/>
    <x v="0"/>
    <s v="Buffalo"/>
    <x v="1134"/>
    <n v="759923"/>
    <x v="4"/>
    <s v="Medicine"/>
    <s v="9781609186418"/>
    <s v=",1,2,3,1"/>
    <n v="3"/>
    <m/>
    <m/>
    <s v="No"/>
    <x v="1"/>
    <m/>
    <m/>
    <s v="128.205.114.91"/>
    <s v="RJ505.C63 -- C45 2012eb"/>
    <n v="618.9289"/>
    <d v="2014-07-04T00:00:00"/>
  </r>
  <r>
    <x v="8007"/>
    <d v="1899-12-30T00:00:00"/>
    <x v="1808"/>
    <x v="0"/>
    <s v="Buffalo"/>
    <x v="151"/>
    <n v="968030"/>
    <x v="0"/>
    <s v="Psychology"/>
    <s v="9781118285138"/>
    <m/>
    <n v="0"/>
    <m/>
    <m/>
    <s v="No"/>
    <x v="0"/>
    <d v="2015-09-14T05:31:40"/>
    <n v="7"/>
    <s v="128.205.114.91"/>
    <s v="BF637.C6 -- S85 2013eb"/>
    <n v="158.30000000000001"/>
    <d v="2012-07-10T00:00:00"/>
  </r>
  <r>
    <x v="8008"/>
    <d v="1899-12-30T00:01:46"/>
    <x v="1808"/>
    <x v="0"/>
    <s v="Buffalo"/>
    <x v="151"/>
    <n v="968030"/>
    <x v="0"/>
    <s v="Psychology"/>
    <s v="9781118285138"/>
    <s v=",1,2,3,4,5,6,7,8,9,10,11,12,13"/>
    <n v="13"/>
    <m/>
    <m/>
    <s v="No"/>
    <x v="1"/>
    <m/>
    <m/>
    <s v="128.205.114.91"/>
    <s v="BF637.C6 -- S85 2013eb"/>
    <n v="158.30000000000001"/>
    <d v="2012-07-10T00:00:00"/>
  </r>
  <r>
    <x v="8009"/>
    <d v="1899-12-30T00:00:53"/>
    <x v="1736"/>
    <x v="1"/>
    <s v="brockport"/>
    <x v="1"/>
    <n v="1684620"/>
    <x v="0"/>
    <s v="Health; Social Science"/>
    <s v="9781118418925"/>
    <s v=",22,23,24,25,26,27,28"/>
    <n v="7"/>
    <m/>
    <m/>
    <s v="No"/>
    <x v="0"/>
    <d v="2015-09-14T05:07:35"/>
    <n v="7"/>
    <s v="137.21.7.121"/>
    <s v="RA971 -- .S56 2014eb"/>
    <n v="362.10680000000002"/>
    <d v="2014-04-30T00:00:00"/>
  </r>
  <r>
    <x v="8010"/>
    <d v="1899-12-30T00:19:46"/>
    <x v="1736"/>
    <x v="1"/>
    <s v="brockport"/>
    <x v="1"/>
    <n v="1684620"/>
    <x v="0"/>
    <s v="Health; Social Science"/>
    <s v="9781118418925"/>
    <s v=",1,2,3,13,14,15,11,12,16,17,18,19,20,21,10"/>
    <n v="15"/>
    <m/>
    <m/>
    <s v="No"/>
    <x v="1"/>
    <m/>
    <m/>
    <s v="137.21.7.121"/>
    <s v="RA971 -- .S56 2014eb"/>
    <n v="362.10680000000002"/>
    <d v="2014-04-30T00:00:00"/>
  </r>
  <r>
    <x v="8011"/>
    <d v="1899-12-30T00:37:11"/>
    <x v="13"/>
    <x v="0"/>
    <s v="Buffalo"/>
    <x v="73"/>
    <n v="1119505"/>
    <x v="0"/>
    <s v="Science: Chemistry; Science"/>
    <s v="9781118355015"/>
    <s v=",1,3,2,49,48,47,46,50,51,52,26,27,28,24,25,29,23"/>
    <n v="17"/>
    <m/>
    <m/>
    <s v="No"/>
    <x v="0"/>
    <d v="2015-09-10T18:48:26"/>
    <n v="7"/>
    <s v="128.205.114.91"/>
    <s v="QD251.3 -- .S38 2013eb"/>
    <s v="547/.128"/>
    <d v="2013-01-28T00:00:00"/>
  </r>
  <r>
    <x v="8012"/>
    <d v="1899-12-30T00:00:08"/>
    <x v="1440"/>
    <x v="0"/>
    <s v="Buffalo"/>
    <x v="73"/>
    <n v="1119505"/>
    <x v="0"/>
    <s v="Science: Chemistry; Science"/>
    <s v="9781118355015"/>
    <s v=",1,2,3"/>
    <n v="3"/>
    <m/>
    <m/>
    <s v="No"/>
    <x v="0"/>
    <d v="2015-09-14T02:14:59"/>
    <n v="7"/>
    <s v="128.205.114.91"/>
    <s v="QD251.3 -- .S38 2013eb"/>
    <s v="547/.128"/>
    <d v="2013-01-28T00:00:00"/>
  </r>
  <r>
    <x v="8013"/>
    <d v="1899-12-30T00:00:00"/>
    <x v="1440"/>
    <x v="0"/>
    <s v="Buffalo"/>
    <x v="73"/>
    <n v="1119505"/>
    <x v="0"/>
    <s v="Science: Chemistry; Science"/>
    <s v="9781118355015"/>
    <m/>
    <n v="0"/>
    <s v=",51"/>
    <m/>
    <s v="No"/>
    <x v="0"/>
    <d v="2015-09-14T02:14:59"/>
    <n v="7"/>
    <s v="128.205.114.91"/>
    <s v="QD251.3 -- .S38 2013eb"/>
    <s v="547/.128"/>
    <d v="2013-01-28T00:00:00"/>
  </r>
  <r>
    <x v="8014"/>
    <d v="1899-12-30T00:01:12"/>
    <x v="1440"/>
    <x v="0"/>
    <s v="Buffalo"/>
    <x v="73"/>
    <n v="1119505"/>
    <x v="0"/>
    <s v="Science: Chemistry; Science"/>
    <s v="9781118355015"/>
    <s v=",1,2,3,4,5,6,7,8,48,49,47,46,50,51,52,53,54"/>
    <n v="17"/>
    <m/>
    <m/>
    <s v="No"/>
    <x v="1"/>
    <m/>
    <m/>
    <s v="128.205.114.91"/>
    <s v="QD251.3 -- .S38 2013eb"/>
    <s v="547/.128"/>
    <d v="2013-01-28T00:00:00"/>
  </r>
  <r>
    <x v="8015"/>
    <d v="1899-12-30T00:21:54"/>
    <x v="634"/>
    <x v="11"/>
    <s v="cobleskill"/>
    <x v="11"/>
    <n v="693176"/>
    <x v="0"/>
    <s v="Engineering: Manufacturing; General Works/Reference; Engineering"/>
    <s v="9781118017746"/>
    <s v=",1,2,3,31,32,33,30,29,40,41,42,39,38,1,2,3,45,47,46,43,44,48,49,50,51,52,166,167,168,164,165,157,158,159,155,156,167,169,166,161,162,163,160,164,170,171,172,161,164"/>
    <n v="41"/>
    <m/>
    <m/>
    <s v="No"/>
    <x v="0"/>
    <d v="2015-09-11T02:35:19"/>
    <n v="7"/>
    <s v="137.36.32.34"/>
    <s v="Z246 -- .M43 2012eb"/>
    <s v="686.2/209"/>
    <d v="2011-10-19T00:00:00"/>
  </r>
  <r>
    <x v="8016"/>
    <d v="1899-12-30T01:19:35"/>
    <x v="1809"/>
    <x v="11"/>
    <s v="cobleskill"/>
    <x v="11"/>
    <n v="693176"/>
    <x v="0"/>
    <s v="Engineering: Manufacturing; General Works/Reference; Engineering"/>
    <s v="9781118017746"/>
    <s v=",1,2,3,4,5,6,7,9,8,160,161,162,158,159,164,163,165,192,193,194,190,191,195,196,197,198,199,200,201,203,202,204,205,206,207,208,209,210,211,212,213,214,215,216,217,218,219,220,221,222,223,224,225,226,227,228,229,230,231,232,233,234,236,235,237,238,239,240,241,242,243,244,245,246,247,248,249,250,252,251,253,254,255,256,257,258,259,189,166,167,168,169,170,171,172,173,174,115,116,117,113,114,129,131,130,128,127,1,3,2,228,229,230,226,227,157,159,158,155,156,160,154,222,223,224,220,221,225,194,196,195,192,193,165,166,167,163,164,162,168,169,170,171,172,173,174,175,176,177,178,194,197,198,199,201,200,202,203,204,205,207,206,208,209,210,211,212,213,214,215,216,218,217,219,222,228,231,232,233,234,235,236,237,238,239,240,241,242,244,243,245,246,247,248,249,250,251,252,253,254,255,256,257,259,158,157,215,184,186,185,183,182,202,157,168,157,179,180,181,185,187,184,188,165,161,165,177,179,260,261,262,258,197,174"/>
    <n v="128"/>
    <m/>
    <m/>
    <s v="No"/>
    <x v="0"/>
    <d v="2015-09-13T23:19:03"/>
    <n v="7"/>
    <s v="137.36.32.34"/>
    <s v="Z246 -- .M43 2012eb"/>
    <s v="686.2/209"/>
    <d v="2011-10-19T00:00:00"/>
  </r>
  <r>
    <x v="8017"/>
    <d v="1899-12-30T00:00:34"/>
    <x v="1810"/>
    <x v="0"/>
    <s v="Buffalo"/>
    <x v="509"/>
    <n v="1115640"/>
    <x v="0"/>
    <s v="Engineering: Civil; Engineering: Construction; Engineering"/>
    <s v="9781118419090"/>
    <s v=",2"/>
    <n v="1"/>
    <m/>
    <m/>
    <s v="Yes"/>
    <x v="0"/>
    <d v="2015-09-14T01:03:09"/>
    <n v="7"/>
    <s v="128.205.114.91"/>
    <s v="TH375 -- .S77 2013eb"/>
    <n v="624"/>
    <d v="2013-01-22T00:00:00"/>
  </r>
  <r>
    <x v="8017"/>
    <d v="1899-12-30T00:00:00"/>
    <x v="1810"/>
    <x v="0"/>
    <s v="Buffalo"/>
    <x v="509"/>
    <n v="1115640"/>
    <x v="0"/>
    <s v="Engineering: Civil; Engineering: Construction; Engineering"/>
    <s v="9781118419090"/>
    <m/>
    <n v="0"/>
    <m/>
    <m/>
    <s v="No"/>
    <x v="0"/>
    <d v="2015-09-14T01:03:09"/>
    <n v="7"/>
    <s v="128.205.114.91"/>
    <s v="TH375 -- .S77 2013eb"/>
    <n v="624"/>
    <d v="2013-01-22T00:00:00"/>
  </r>
  <r>
    <x v="8018"/>
    <d v="1899-12-30T00:00:33"/>
    <x v="1810"/>
    <x v="0"/>
    <s v="Buffalo"/>
    <x v="509"/>
    <n v="1115640"/>
    <x v="0"/>
    <s v="Engineering: Civil; Engineering: Construction; Engineering"/>
    <s v="9781118419090"/>
    <s v=",1,2,3,4"/>
    <n v="4"/>
    <m/>
    <m/>
    <s v="No"/>
    <x v="1"/>
    <m/>
    <m/>
    <s v="128.205.114.91"/>
    <s v="TH375 -- .S77 2013eb"/>
    <n v="624"/>
    <d v="2013-01-22T00:00:00"/>
  </r>
  <r>
    <x v="8019"/>
    <d v="1899-12-30T00:06:02"/>
    <x v="1151"/>
    <x v="1"/>
    <s v="brockport"/>
    <x v="519"/>
    <n v="822662"/>
    <x v="0"/>
    <s v="History"/>
    <s v="9781444355130"/>
    <s v=",1,2,3,139,140,141,137,138,142,143,144,145,146,147"/>
    <n v="14"/>
    <m/>
    <m/>
    <s v="No"/>
    <x v="0"/>
    <d v="2015-09-14T00:15:48"/>
    <n v="7"/>
    <s v="137.21.7.121"/>
    <s v="DT20 -- .R45 2012eb"/>
    <n v="960.3"/>
    <d v="2011-11-11T00:00:00"/>
  </r>
  <r>
    <x v="8020"/>
    <d v="1899-12-30T00:03:03"/>
    <x v="1811"/>
    <x v="0"/>
    <s v="Buffalo"/>
    <x v="1283"/>
    <n v="1220625"/>
    <x v="12"/>
    <s v="Social Science; Health"/>
    <s v="9781469612751"/>
    <s v=",44,45,46,47,48,49,50,51,52,53,54,55,56"/>
    <n v="13"/>
    <m/>
    <s v=",28,29,30,31,32,33,34,35,36,37,38,39,40,41,42,43,44,45,46,47,48,49,50,51,52,53"/>
    <s v="Yes"/>
    <x v="2"/>
    <d v="2015-09-14T00:39:33"/>
    <n v="7"/>
    <s v="128.205.114.91"/>
    <s v="GT2855 -- .V45 2013eb"/>
    <n v="362.1"/>
    <d v="2013-08-01T00:00:00"/>
  </r>
  <r>
    <x v="8020"/>
    <d v="1899-12-30T00:00:00"/>
    <x v="1811"/>
    <x v="0"/>
    <s v="Buffalo"/>
    <x v="1283"/>
    <n v="1220625"/>
    <x v="12"/>
    <s v="Social Science; Health"/>
    <s v="9781469612751"/>
    <m/>
    <n v="0"/>
    <m/>
    <m/>
    <s v="No"/>
    <x v="2"/>
    <d v="2015-09-14T00:39:33"/>
    <n v="7"/>
    <s v="128.205.114.91"/>
    <s v="GT2855 -- .V45 2013eb"/>
    <n v="362.1"/>
    <d v="2013-08-01T00:00:00"/>
  </r>
  <r>
    <x v="8021"/>
    <d v="1899-12-30T00:02:37"/>
    <x v="1811"/>
    <x v="0"/>
    <s v="Buffalo"/>
    <x v="1283"/>
    <n v="1220625"/>
    <x v="12"/>
    <s v="Social Science; Health"/>
    <s v="9781469612751"/>
    <s v=",1,2,3,28,29,30,27,26,31,32,33,34,35,36,37,38,39,40,41,42,43"/>
    <n v="21"/>
    <m/>
    <m/>
    <s v="No"/>
    <x v="3"/>
    <m/>
    <m/>
    <s v="128.205.114.91"/>
    <s v="GT2855 -- .V45 2013eb"/>
    <n v="362.1"/>
    <d v="2013-08-01T00:00:00"/>
  </r>
  <r>
    <x v="8022"/>
    <d v="1899-12-30T00:02:07"/>
    <x v="1809"/>
    <x v="11"/>
    <s v="cobleskill"/>
    <x v="11"/>
    <n v="693176"/>
    <x v="0"/>
    <s v="Engineering: Manufacturing; General Works/Reference; Engineering"/>
    <s v="9781118017746"/>
    <s v=",1,2,3,4,5,6,7,8,9,10,11,12,13,160,161,162,159,158,163,164,165,166,167,168,169,170,171,172,173,174,175,176,177,178"/>
    <n v="34"/>
    <m/>
    <m/>
    <s v="No"/>
    <x v="0"/>
    <d v="2015-09-13T23:19:03"/>
    <n v="7"/>
    <s v="137.36.32.34"/>
    <s v="Z246 -- .M43 2012eb"/>
    <s v="686.2/209"/>
    <d v="2011-10-19T00:00:00"/>
  </r>
  <r>
    <x v="8023"/>
    <d v="1899-12-30T00:04:20"/>
    <x v="1151"/>
    <x v="1"/>
    <s v="brockport"/>
    <x v="519"/>
    <n v="822662"/>
    <x v="0"/>
    <s v="History"/>
    <s v="9781444355130"/>
    <s v=",119,120,121,117,118,11,12,13,9,10,122,123,124,125,126,127,128,129,130,131,132,133,134,135,136,137,138,139,140,141,142"/>
    <n v="31"/>
    <m/>
    <m/>
    <s v="Yes"/>
    <x v="0"/>
    <d v="2015-09-14T00:15:48"/>
    <n v="7"/>
    <s v="137.21.7.121"/>
    <s v="DT20 -- .R45 2012eb"/>
    <n v="960.3"/>
    <d v="2011-11-11T00:00:00"/>
  </r>
  <r>
    <x v="8023"/>
    <d v="1899-12-30T00:00:00"/>
    <x v="1151"/>
    <x v="1"/>
    <s v="brockport"/>
    <x v="519"/>
    <n v="822662"/>
    <x v="0"/>
    <s v="History"/>
    <s v="9781444355130"/>
    <m/>
    <n v="0"/>
    <m/>
    <m/>
    <s v="No"/>
    <x v="0"/>
    <d v="2015-09-14T00:15:48"/>
    <n v="7"/>
    <s v="137.21.7.121"/>
    <s v="DT20 -- .R45 2012eb"/>
    <n v="960.3"/>
    <d v="2011-11-11T00:00:00"/>
  </r>
  <r>
    <x v="8024"/>
    <d v="1899-12-30T00:01:35"/>
    <x v="1151"/>
    <x v="1"/>
    <s v="brockport"/>
    <x v="519"/>
    <n v="822662"/>
    <x v="0"/>
    <s v="History"/>
    <s v="9781444355130"/>
    <s v=",1,2,3"/>
    <n v="3"/>
    <m/>
    <m/>
    <s v="No"/>
    <x v="1"/>
    <m/>
    <m/>
    <s v="137.21.7.121"/>
    <s v="DT20 -- .R45 2012eb"/>
    <n v="960.3"/>
    <d v="2011-11-11T00:00:00"/>
  </r>
  <r>
    <x v="8025"/>
    <d v="1899-12-30T00:00:00"/>
    <x v="1809"/>
    <x v="11"/>
    <s v="cobleskill"/>
    <x v="11"/>
    <n v="693176"/>
    <x v="0"/>
    <s v="Engineering: Manufacturing; General Works/Reference; Engineering"/>
    <s v="9781118017746"/>
    <m/>
    <n v="0"/>
    <m/>
    <m/>
    <s v="Yes"/>
    <x v="0"/>
    <d v="2015-09-13T23:19:03"/>
    <n v="7"/>
    <s v="137.36.32.34"/>
    <s v="Z246 -- .M43 2012eb"/>
    <s v="686.2/209"/>
    <d v="2011-10-19T00:00:00"/>
  </r>
  <r>
    <x v="8026"/>
    <d v="1899-12-30T00:29:40"/>
    <x v="1809"/>
    <x v="11"/>
    <s v="cobleskill"/>
    <x v="11"/>
    <n v="693176"/>
    <x v="0"/>
    <s v="Engineering: Manufacturing; General Works/Reference; Engineering"/>
    <s v="9781118017746"/>
    <s v=",4,6,7,10,14,15,18,22,23,24,20,21,25,160,161,162,158,159,157,156,163,164,165,155,154,166,167,168,169,170,171,172,173,174,175,176,177,178,179,180,181,182,183,212,214,213,211,215,210,209,184,186,185,187,188,189,190,191,192,193,194,195,196,197,198,199,200,201,202,203,204,205,206,207,208,160,160,160,162,160,161,158,160,161,162,158,159,163"/>
    <n v="75"/>
    <m/>
    <m/>
    <s v="No"/>
    <x v="0"/>
    <d v="2015-09-13T23:19:03"/>
    <n v="7"/>
    <s v="137.36.32.34"/>
    <s v="Z246 -- .M43 2012eb"/>
    <s v="686.2/209"/>
    <d v="2011-10-19T00:00:00"/>
  </r>
  <r>
    <x v="8027"/>
    <d v="1899-12-30T00:05:19"/>
    <x v="1809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8028"/>
    <d v="1899-12-30T01:44:11"/>
    <x v="1801"/>
    <x v="0"/>
    <s v="Buffalo"/>
    <x v="1407"/>
    <n v="1790819"/>
    <x v="11"/>
    <s v="Religion"/>
    <s v="9780226169095"/>
    <s v=",16,17,18,19,20,21,22,23,24,25,26,27,28,29,30,31,32,33,34,35,36,37,38,39,40,41,42,43,44,45,46,47,48,49,50,51,52,53,54,55,56,57,58,59,60,61,62,63,64,65"/>
    <n v="50"/>
    <m/>
    <m/>
    <s v="No"/>
    <x v="2"/>
    <d v="2015-09-13T23:04:09"/>
    <n v="1"/>
    <s v="128.205.114.91"/>
    <s v="BL410"/>
    <s v="201/.50902"/>
    <d v="2014-10-20T00:00:00"/>
  </r>
  <r>
    <x v="8029"/>
    <d v="1899-12-30T00:38:26"/>
    <x v="1812"/>
    <x v="12"/>
    <s v="potsdam"/>
    <x v="1691"/>
    <n v="1589599"/>
    <x v="1"/>
    <s v="Fine Arts"/>
    <s v="9781409447894"/>
    <s v=",22,23,24,25,26,27,1,27,28,29,25,26,30,2,24,31,32,33,34,35,36,37,38,39,40,41,42,43,44,45,46,47,48,49,50,51,52,53,54,55"/>
    <n v="36"/>
    <m/>
    <m/>
    <s v="No"/>
    <x v="2"/>
    <d v="2015-09-13T23:02:07"/>
    <n v="1"/>
    <s v="137.143.104.94"/>
    <s v="ML410.S3 -- F39 2014eb"/>
    <s v="780.9/034"/>
    <d v="2014-02-28T00:00:00"/>
  </r>
  <r>
    <x v="8030"/>
    <d v="1899-12-30T00:05:36"/>
    <x v="1801"/>
    <x v="0"/>
    <s v="Buffalo"/>
    <x v="1407"/>
    <n v="1790819"/>
    <x v="11"/>
    <s v="Religion"/>
    <s v="9780226169095"/>
    <s v=",1,2,3,8,9,10,6,7,11,12,13,14,15"/>
    <n v="13"/>
    <m/>
    <m/>
    <s v="No"/>
    <x v="3"/>
    <m/>
    <m/>
    <s v="128.205.114.91"/>
    <s v="BL410"/>
    <s v="201/.50902"/>
    <d v="2014-10-20T00:00:00"/>
  </r>
  <r>
    <x v="8031"/>
    <d v="1899-12-30T00:07:02"/>
    <x v="1812"/>
    <x v="12"/>
    <s v="potsdam"/>
    <x v="1691"/>
    <n v="1589599"/>
    <x v="1"/>
    <s v="Fine Arts"/>
    <s v="9781409447894"/>
    <s v=",1,18,19,20,17,16,2,21"/>
    <n v="8"/>
    <m/>
    <m/>
    <s v="No"/>
    <x v="3"/>
    <m/>
    <m/>
    <s v="137.143.104.94"/>
    <s v="ML410.S3 -- F39 2014eb"/>
    <s v="780.9/034"/>
    <d v="2014-02-28T00:00:00"/>
  </r>
  <r>
    <x v="8032"/>
    <d v="1899-12-30T00:09:24"/>
    <x v="986"/>
    <x v="0"/>
    <s v="Buffalo"/>
    <x v="73"/>
    <n v="1119505"/>
    <x v="0"/>
    <s v="Science: Chemistry; Science"/>
    <s v="9781118355015"/>
    <s v=",1,2,3,48,50,49,46,52,51,47,53"/>
    <n v="11"/>
    <m/>
    <m/>
    <s v="No"/>
    <x v="1"/>
    <m/>
    <m/>
    <s v="128.205.114.91"/>
    <s v="QD251.3 -- .S38 2013eb"/>
    <s v="547/.128"/>
    <d v="2013-01-28T00:00:00"/>
  </r>
  <r>
    <x v="8033"/>
    <d v="1899-12-30T00:00:46"/>
    <x v="1813"/>
    <x v="0"/>
    <s v="Buffalo"/>
    <x v="1692"/>
    <n v="2064569"/>
    <x v="1"/>
    <s v="Architecture"/>
    <s v="9781472439024"/>
    <s v=",28,28,29,29,30,25,30,24,22,23,20,15,6,5,7,4,3,8"/>
    <n v="15"/>
    <m/>
    <m/>
    <s v="No"/>
    <x v="2"/>
    <d v="2015-09-13T22:29:12"/>
    <n v="1"/>
    <s v="128.205.114.91"/>
    <s v="NA6690 .T384 2015"/>
    <s v="727.203774; 727''.6"/>
    <d v="2015-07-28T00:00:00"/>
  </r>
  <r>
    <x v="8034"/>
    <d v="1899-12-30T00:05:21"/>
    <x v="1813"/>
    <x v="0"/>
    <s v="Buffalo"/>
    <x v="1692"/>
    <n v="2064569"/>
    <x v="1"/>
    <s v="Architecture"/>
    <s v="9781472439024"/>
    <s v=",1,2,2,3,3,1,2,2,4,4,5,6,5,6,7,7,8,8,9,9,10,11,10,12,11,12,13,14,13,14,15,15,16,16,17,17,18,18,19,19,20,21,20,22,21,22,23,23,24,25,26,25,26,24,27,27"/>
    <n v="27"/>
    <m/>
    <m/>
    <s v="No"/>
    <x v="3"/>
    <m/>
    <m/>
    <s v="128.205.114.91"/>
    <s v="NA6690 .T384 2015"/>
    <s v="727.203774; 727''.6"/>
    <d v="2015-07-28T00:00:00"/>
  </r>
  <r>
    <x v="8035"/>
    <d v="1899-12-30T01:50:25"/>
    <x v="547"/>
    <x v="1"/>
    <s v="brockport"/>
    <x v="1"/>
    <n v="1684620"/>
    <x v="0"/>
    <s v="Health; Social Science"/>
    <s v="9781118418925"/>
    <s v=",2,16,1,2,3,4,13,14,15,11,12,16,17,18,19,20,21,22,23,24,25,26,27,28,29,30,31,32,33,34,35,36,37,38,39,40,41,42,43,44,45,46,47,48,49,50,51,52,53,54,55,56,57,58,59,60,61,62,63,64,65,66,67,68,69,70,71,72,73,74,75,76,77,78,79,80,81,82,83,84,85,86,87,88,89,90,91,92,93,94,95,96,97,98,99,100,101,102,103,104,105,106,107"/>
    <n v="101"/>
    <s v=",13"/>
    <m/>
    <s v="No"/>
    <x v="0"/>
    <d v="2015-09-13T21:46:06"/>
    <n v="7"/>
    <s v="137.21.7.121"/>
    <s v="RA971 -- .S56 2014eb"/>
    <n v="362.10680000000002"/>
    <d v="2014-04-30T00:00:00"/>
  </r>
  <r>
    <x v="8036"/>
    <d v="1899-12-30T00:00:18"/>
    <x v="547"/>
    <x v="1"/>
    <s v="brockport"/>
    <x v="1"/>
    <n v="1684620"/>
    <x v="0"/>
    <s v="Health; Social Science"/>
    <s v="9781118418925"/>
    <s v=",1,2,3,13,14,15,11,12"/>
    <n v="8"/>
    <m/>
    <m/>
    <s v="No"/>
    <x v="1"/>
    <m/>
    <m/>
    <s v="137.21.7.121"/>
    <s v="RA971 -- .S56 2014eb"/>
    <n v="362.10680000000002"/>
    <d v="2014-04-30T00:00:00"/>
  </r>
  <r>
    <x v="8037"/>
    <d v="1899-12-30T00:09:32"/>
    <x v="1809"/>
    <x v="11"/>
    <s v="cobleskill"/>
    <x v="11"/>
    <n v="693176"/>
    <x v="0"/>
    <s v="Engineering: Manufacturing; General Works/Reference; Engineering"/>
    <s v="9781118017746"/>
    <s v=",1,3,2,2,3,1,2,2,4,4,5,6,5,7,6,3,7,8,8,9,9,10,6,10,11,12,11,12,13,7,8,13,6,11,12,13,14,14,15,15,16,16,17,18,17,18,13,11,2,1,3,160,161,162,161,160,159,158,162,159,163,163,165,164,165,164,162,161,160,165,166,167,168,169,167,168,166,169,170,165,170,169,164,170,171,172,172,173,174,173,175,174,176,175,177,178,177,176,178,193,194,192,193,190,192,191,194,191,189,194,195,196,195,196,212,213,212,210,214,211,211,209,213,214,215,248,215,248,249,250,245,247,249,246,247,250,246,244,243,242,241,239,240,238,241"/>
    <n v="67"/>
    <m/>
    <m/>
    <s v="No"/>
    <x v="1"/>
    <m/>
    <m/>
    <s v="137.36.32.34"/>
    <s v="Z246 -- .M43 2012eb"/>
    <s v="686.2/209"/>
    <d v="2011-10-19T00:00:00"/>
  </r>
  <r>
    <x v="8038"/>
    <d v="1899-12-30T00:19:54"/>
    <x v="1814"/>
    <x v="0"/>
    <s v="Buffalo"/>
    <x v="1693"/>
    <n v="1543732"/>
    <x v="11"/>
    <s v="Geography/Travel; History"/>
    <s v="9780226046778"/>
    <s v=",11,12,13,14,15,16,17,18,19"/>
    <n v="9"/>
    <m/>
    <m/>
    <s v="No"/>
    <x v="2"/>
    <d v="2015-09-13T21:32:54"/>
    <n v="1"/>
    <s v="128.205.114.91"/>
    <s v="D843"/>
    <s v="909.82/5"/>
    <d v="2013-11-22T00:00:00"/>
  </r>
  <r>
    <x v="8039"/>
    <d v="1899-12-30T00:00:29"/>
    <x v="13"/>
    <x v="0"/>
    <s v="Buffalo"/>
    <x v="73"/>
    <n v="1119505"/>
    <x v="0"/>
    <s v="Science: Chemistry; Science"/>
    <s v="9781118355015"/>
    <s v=",1,2,3,48,49,50,46,47,51,52,53,54"/>
    <n v="12"/>
    <m/>
    <m/>
    <s v="No"/>
    <x v="0"/>
    <d v="2015-09-10T18:48:26"/>
    <n v="7"/>
    <s v="128.205.114.91"/>
    <s v="QD251.3 -- .S38 2013eb"/>
    <s v="547/.128"/>
    <d v="2013-01-28T00:00:00"/>
  </r>
  <r>
    <x v="8040"/>
    <d v="1899-12-30T00:05:16"/>
    <x v="1814"/>
    <x v="0"/>
    <s v="Buffalo"/>
    <x v="1693"/>
    <n v="1543732"/>
    <x v="11"/>
    <s v="Geography/Travel; History"/>
    <s v="9780226046778"/>
    <s v=",1,2,3,1,4,5,3,5,2,4,1,6,8,7,9,10"/>
    <n v="10"/>
    <m/>
    <m/>
    <s v="No"/>
    <x v="3"/>
    <m/>
    <m/>
    <s v="128.205.114.91"/>
    <s v="D843"/>
    <s v="909.82/5"/>
    <d v="2013-11-22T00:00:00"/>
  </r>
  <r>
    <x v="8041"/>
    <d v="1899-12-30T00:01:59"/>
    <x v="974"/>
    <x v="0"/>
    <s v="Buffalo"/>
    <x v="161"/>
    <n v="821663"/>
    <x v="0"/>
    <s v="Architecture"/>
    <s v="9781118168479"/>
    <s v=",1,2,2,3,3,1,47,48,47,48,49,21,22,2,21,23,49,20,22,19,23,20,87,88,89,86,87,85,86,89,88,90,90,111,112,111,112,109,110,113,110,113,114,109,114,108,107,106,105,107,104,103,106,105,103,101,104,102,102"/>
    <n v="31"/>
    <m/>
    <m/>
    <s v="No"/>
    <x v="1"/>
    <m/>
    <m/>
    <s v="128.205.114.91"/>
    <s v="NA2547 -- .S74 2012eb"/>
    <n v="729"/>
    <d v="2012-03-05T00:00:00"/>
  </r>
  <r>
    <x v="8042"/>
    <d v="1899-12-30T00:03:06"/>
    <x v="13"/>
    <x v="0"/>
    <s v="Buffalo"/>
    <x v="73"/>
    <n v="1119505"/>
    <x v="0"/>
    <s v="Science: Chemistry; Science"/>
    <s v="9781118355015"/>
    <s v=",1,3,2,20,21,22,18,19,48,49,50,46,47,51"/>
    <n v="14"/>
    <m/>
    <m/>
    <s v="No"/>
    <x v="0"/>
    <d v="2015-09-10T18:48:26"/>
    <n v="7"/>
    <s v="128.205.114.91"/>
    <s v="QD251.3 -- .S38 2013eb"/>
    <s v="547/.128"/>
    <d v="2013-01-28T00:00:00"/>
  </r>
  <r>
    <x v="8043"/>
    <d v="1899-12-30T00:00:38"/>
    <x v="1801"/>
    <x v="0"/>
    <s v="Buffalo"/>
    <x v="1407"/>
    <n v="1790819"/>
    <x v="11"/>
    <s v="Religion"/>
    <s v="9780226169095"/>
    <s v=",1,2,3,8,9,6,10,7,220,221,218,222,219,11"/>
    <n v="14"/>
    <m/>
    <m/>
    <s v="No"/>
    <x v="3"/>
    <m/>
    <m/>
    <s v="128.205.114.91"/>
    <s v="BL410"/>
    <s v="201/.50902"/>
    <d v="2014-10-20T00:00:00"/>
  </r>
  <r>
    <x v="8044"/>
    <d v="1899-12-30T00:09:01"/>
    <x v="26"/>
    <x v="6"/>
    <s v="sjfc"/>
    <x v="631"/>
    <n v="1798778"/>
    <x v="0"/>
    <s v="Medicine"/>
    <s v="9781118760741"/>
    <s v=",1,2,3,4,5,6,7,8,9,10,11,12,13,14,15,16,1,3"/>
    <n v="16"/>
    <m/>
    <s v=",493,494,495,496,497,498,499,500,501,502,503,504,505,506,507,508,509,510,511,512,513,514,515,516,517,518,519,520,521,522,523,524,525,526,527,528,529"/>
    <s v="No"/>
    <x v="0"/>
    <d v="2015-09-13T17:27:25"/>
    <n v="7"/>
    <s v="149.69.254.57"/>
    <s v="RC71.5 -- .D954 2015eb"/>
    <n v="616.07500000000005"/>
    <d v="2014-09-24T00:00:00"/>
  </r>
  <r>
    <x v="8045"/>
    <d v="1899-12-30T00:00:12"/>
    <x v="26"/>
    <x v="6"/>
    <s v="sjfc"/>
    <x v="631"/>
    <n v="1798778"/>
    <x v="0"/>
    <s v="Medicine"/>
    <s v="9781118760741"/>
    <s v=",1,2,3,4"/>
    <n v="4"/>
    <m/>
    <m/>
    <s v="No"/>
    <x v="0"/>
    <d v="2015-09-13T17:27:25"/>
    <n v="7"/>
    <s v="149.69.254.57"/>
    <s v="RC71.5 -- .D954 2015eb"/>
    <n v="616.07500000000005"/>
    <d v="2014-09-24T00:00:00"/>
  </r>
  <r>
    <x v="8046"/>
    <d v="1899-12-30T00:00:01"/>
    <x v="26"/>
    <x v="6"/>
    <s v="sjfc"/>
    <x v="631"/>
    <n v="1798778"/>
    <x v="0"/>
    <s v="Medicine"/>
    <s v="9781118760741"/>
    <s v=",27,26"/>
    <n v="2"/>
    <m/>
    <m/>
    <s v="No"/>
    <x v="0"/>
    <d v="2015-09-13T17:33:59"/>
    <n v="7"/>
    <s v="149.69.254.57"/>
    <s v="RC71.5 -- .D954 2015eb"/>
    <n v="616.07500000000005"/>
    <d v="2014-09-24T00:00:00"/>
  </r>
  <r>
    <x v="8047"/>
    <d v="1899-12-30T00:08:17"/>
    <x v="26"/>
    <x v="6"/>
    <s v="sjfc"/>
    <x v="631"/>
    <n v="1798778"/>
    <x v="0"/>
    <s v="Medicine"/>
    <s v="9781118760741"/>
    <s v=",1,2,3,1,3,2,11,126,186,259,345,341,342,468,479,480,494,543,551,553,549,550,552,554,566,584,581,582,586,588,591,592,598,603,604,605,606,609,610,611,608,607,602,600,601,599,597,285"/>
    <n v="45"/>
    <m/>
    <m/>
    <s v="No"/>
    <x v="0"/>
    <d v="2015-09-13T17:27:25"/>
    <n v="7"/>
    <s v="149.69.254.57"/>
    <s v="RC71.5 -- .D954 2015eb"/>
    <n v="616.07500000000005"/>
    <d v="2014-09-24T00:00:00"/>
  </r>
  <r>
    <x v="8048"/>
    <d v="1899-12-30T00:00:17"/>
    <x v="26"/>
    <x v="6"/>
    <s v="sjfc"/>
    <x v="631"/>
    <n v="1798778"/>
    <x v="0"/>
    <s v="Medicine"/>
    <s v="9781118760741"/>
    <s v=",4,5,6,7,8,9"/>
    <n v="6"/>
    <m/>
    <s v=",31,32,33,34,35,36,37,38,39,40,41,42,43,44,45,46,47,48,49,50,51"/>
    <s v="No"/>
    <x v="0"/>
    <d v="2015-09-13T17:27:25"/>
    <n v="7"/>
    <s v="149.69.254.57"/>
    <s v="RC71.5 -- .D954 2015eb"/>
    <n v="616.07500000000005"/>
    <d v="2014-09-24T00:00:00"/>
  </r>
  <r>
    <x v="8049"/>
    <d v="1899-12-30T00:15:21"/>
    <x v="26"/>
    <x v="6"/>
    <s v="sjfc"/>
    <x v="631"/>
    <n v="1798778"/>
    <x v="0"/>
    <s v="Medicine"/>
    <s v="9781118760741"/>
    <s v=",1,2,3,37,98,28"/>
    <n v="6"/>
    <m/>
    <m/>
    <s v="No"/>
    <x v="1"/>
    <m/>
    <m/>
    <s v="149.69.254.57"/>
    <s v="RC71.5 -- .D954 2015eb"/>
    <n v="616.07500000000005"/>
    <d v="2014-09-24T00:00:00"/>
  </r>
  <r>
    <x v="8050"/>
    <d v="1899-12-30T00:23:01"/>
    <x v="26"/>
    <x v="6"/>
    <s v="sjfc"/>
    <x v="631"/>
    <n v="1798778"/>
    <x v="0"/>
    <s v="Medicine"/>
    <s v="9781118760741"/>
    <s v=",1,3,2,30,31,32,28,29"/>
    <n v="8"/>
    <m/>
    <m/>
    <s v="No"/>
    <x v="1"/>
    <m/>
    <m/>
    <s v="149.69.254.57"/>
    <s v="RC71.5 -- .D954 2015eb"/>
    <n v="616.07500000000005"/>
    <d v="2014-09-24T00:00:00"/>
  </r>
  <r>
    <x v="8051"/>
    <d v="1899-12-30T01:23:35"/>
    <x v="609"/>
    <x v="0"/>
    <s v="Buffalo"/>
    <x v="477"/>
    <n v="1120279"/>
    <x v="0"/>
    <s v="Science: Biology/Natural History; Science"/>
    <s v="9781118537671"/>
    <s v=",1,2,3,57,58,59,55,56,60,61,75,76,77,73,74,66,67,68,64,65,69,70,86,87,88,84,85,64,66,62,63,68,69,70,67,1,2,3,68,69,70,66,67,72,74,73,71,71"/>
    <n v="31"/>
    <m/>
    <m/>
    <s v="No"/>
    <x v="0"/>
    <d v="2015-09-13T16:29:52"/>
    <n v="7"/>
    <s v="128.205.114.91"/>
    <s v="QH371 .K384 2012"/>
    <n v="599.93499999999995"/>
    <d v="2012-11-19T00:00:00"/>
  </r>
  <r>
    <x v="8052"/>
    <d v="1899-12-30T00:02:08"/>
    <x v="760"/>
    <x v="0"/>
    <s v="Buffalo"/>
    <x v="728"/>
    <n v="1872281"/>
    <x v="4"/>
    <s v="Education; Business/Management"/>
    <s v="9781462519606"/>
    <s v=",1,2,1,2,3,3,2,2,145,146,145,147,146,147,144,143,144,148,148,149,149,150,150,151,152,151,153,152,153,154,154,155,155,156,156,157,157,158,158,159,159,160,160,161,161"/>
    <n v="22"/>
    <m/>
    <m/>
    <s v="No"/>
    <x v="1"/>
    <m/>
    <m/>
    <s v="128.205.114.91"/>
    <s v="HD75 -- .P448 2015eb"/>
    <n v="378.101"/>
    <d v="2015-05-26T00:00:00"/>
  </r>
  <r>
    <x v="8053"/>
    <d v="1899-12-30T00:00:15"/>
    <x v="609"/>
    <x v="0"/>
    <s v="Buffalo"/>
    <x v="477"/>
    <n v="1120279"/>
    <x v="0"/>
    <s v="Science: Biology/Natural History; Science"/>
    <s v="9781118537671"/>
    <s v=",55,52,50"/>
    <n v="3"/>
    <m/>
    <m/>
    <s v="No"/>
    <x v="0"/>
    <d v="2015-09-13T16:29:52"/>
    <n v="7"/>
    <s v="128.205.114.91"/>
    <s v="QH371 .K384 2012"/>
    <n v="599.93499999999995"/>
    <d v="2012-11-19T00:00:00"/>
  </r>
  <r>
    <x v="8054"/>
    <d v="1899-12-30T00:11:04"/>
    <x v="609"/>
    <x v="0"/>
    <s v="Buffalo"/>
    <x v="477"/>
    <n v="1120279"/>
    <x v="0"/>
    <s v="Science: Biology/Natural History; Science"/>
    <s v="9781118537671"/>
    <s v=",1,2,3,52,53,54,50,51,55,2,53,54,55,51,52,56,57,58,59,60,61,62,63,64,65"/>
    <n v="19"/>
    <m/>
    <m/>
    <s v="No"/>
    <x v="1"/>
    <m/>
    <m/>
    <s v="128.205.114.91"/>
    <s v="QH371 .K384 2012"/>
    <n v="599.93499999999995"/>
    <d v="2012-11-19T00:00:00"/>
  </r>
  <r>
    <x v="8055"/>
    <d v="1899-12-30T00:00:36"/>
    <x v="13"/>
    <x v="0"/>
    <s v="Buffalo"/>
    <x v="73"/>
    <n v="1119505"/>
    <x v="0"/>
    <s v="Science: Chemistry; Science"/>
    <s v="9781118355015"/>
    <s v=",1,2,3,29,31,30,28,27,29"/>
    <n v="8"/>
    <m/>
    <m/>
    <s v="No"/>
    <x v="0"/>
    <d v="2015-09-10T18:48:26"/>
    <n v="7"/>
    <s v="128.205.114.91"/>
    <s v="QD251.3 -- .S38 2013eb"/>
    <s v="547/.128"/>
    <d v="2013-01-28T00:00:00"/>
  </r>
  <r>
    <x v="8056"/>
    <d v="1899-12-30T01:26:57"/>
    <x v="634"/>
    <x v="11"/>
    <s v="cobleskill"/>
    <x v="11"/>
    <n v="693176"/>
    <x v="0"/>
    <s v="Engineering: Manufacturing; General Works/Reference; Engineering"/>
    <s v="9781118017746"/>
    <s v=",1,2,3,201,202,203,199,200,198,203,198,157,158,159,155,156,157,158,159,155,156,160,201,202,203,200,199,198,198,195,196,197,193,194,192,17,18,19,15,16,3,4,5,1,2,244,245,246,243,242,247"/>
    <n v="34"/>
    <m/>
    <m/>
    <s v="No"/>
    <x v="0"/>
    <d v="2015-09-11T02:35:19"/>
    <n v="7"/>
    <s v="137.36.32.34"/>
    <s v="Z246 -- .M43 2012eb"/>
    <s v="686.2/209"/>
    <d v="2011-10-19T00:00:00"/>
  </r>
  <r>
    <x v="8057"/>
    <d v="1899-12-30T00:05:03"/>
    <x v="535"/>
    <x v="0"/>
    <s v="Buffalo"/>
    <x v="559"/>
    <n v="1217954"/>
    <x v="1"/>
    <s v="Engineering; Engineering: General"/>
    <s v="9781409457558"/>
    <s v=",1,2,3,4,521,522,519,520,523,524,525,526,527"/>
    <n v="13"/>
    <m/>
    <m/>
    <s v="No"/>
    <x v="0"/>
    <d v="2015-09-11T19:28:50"/>
    <n v="7"/>
    <s v="128.205.114.91"/>
    <s v="T59.7 -- .S73 2013eb"/>
    <s v="620.8/2"/>
    <d v="2013-10-28T00:00:00"/>
  </r>
  <r>
    <x v="8058"/>
    <d v="1899-12-30T00:40:03"/>
    <x v="634"/>
    <x v="11"/>
    <s v="cobleskill"/>
    <x v="11"/>
    <n v="693176"/>
    <x v="0"/>
    <s v="Engineering: Manufacturing; General Works/Reference; Engineering"/>
    <s v="9781118017746"/>
    <s v=",1,192,193,194,190,191,2,195,193,194,195,192,191,196,197,198,199,429,430,431,427,428,432,433,617,618,619,615,616,200,202,201,196"/>
    <n v="27"/>
    <m/>
    <m/>
    <s v="No"/>
    <x v="0"/>
    <d v="2015-09-11T02:35:19"/>
    <n v="7"/>
    <s v="137.36.32.34"/>
    <s v="Z246 -- .M43 2012eb"/>
    <s v="686.2/209"/>
    <d v="2011-10-19T00:00:00"/>
  </r>
  <r>
    <x v="8059"/>
    <d v="1899-12-30T00:03:29"/>
    <x v="634"/>
    <x v="11"/>
    <s v="cobleskill"/>
    <x v="11"/>
    <n v="693176"/>
    <x v="0"/>
    <s v="Engineering: Manufacturing; General Works/Reference; Engineering"/>
    <s v="9781118017746"/>
    <s v=",1,2,3,1,3,4,5,2,2,1,3,4"/>
    <n v="5"/>
    <m/>
    <m/>
    <s v="No"/>
    <x v="0"/>
    <d v="2015-09-11T02:35:19"/>
    <n v="7"/>
    <s v="137.36.32.34"/>
    <s v="Z246 -- .M43 2012eb"/>
    <s v="686.2/209"/>
    <d v="2011-10-19T00:00:00"/>
  </r>
  <r>
    <x v="8060"/>
    <d v="1899-12-30T01:09:08"/>
    <x v="1730"/>
    <x v="1"/>
    <s v="brockport"/>
    <x v="1"/>
    <n v="1684620"/>
    <x v="0"/>
    <s v="Health; Social Science"/>
    <s v="9781118418925"/>
    <s v=",1,2,3,4,5,6,8,9,11,14,15,17,19,20,22,23,25,26,28,31,34,37,36,38,39,41,42,44,46,47,48,49,45,50,51,52,53,54,55,56,56,50,49,48,53,54,55,56,57,58,59,60,61,62,63,57,62,63,64,65,66,67,68,69,70,71,72,73,74,75,76,77,78,79,80,81,82,83,84,85,86,87,88,89,90,91,92,93,94,95,96,97,98,99,100,101,102,103,104,105,106,107,101,100,99,98,97,96,95,94,93,98,92,91,90,89,88,87,94"/>
    <n v="91"/>
    <m/>
    <m/>
    <s v="No"/>
    <x v="0"/>
    <d v="2015-09-12T22:16:24"/>
    <n v="7"/>
    <s v="137.21.7.121"/>
    <s v="RA971 -- .S56 2014eb"/>
    <n v="362.10680000000002"/>
    <d v="2014-04-30T00:00:00"/>
  </r>
  <r>
    <x v="8061"/>
    <d v="1899-12-30T00:00:22"/>
    <x v="1815"/>
    <x v="0"/>
    <s v="Buffalo"/>
    <x v="335"/>
    <n v="821801"/>
    <x v="0"/>
    <s v="Education; Business/Management"/>
    <s v="9781118224144"/>
    <s v=",1,2,3,14,7,8,9,10,6,11"/>
    <n v="10"/>
    <m/>
    <m/>
    <s v="No"/>
    <x v="1"/>
    <m/>
    <m/>
    <s v="128.205.114.91"/>
    <s v="HF1118 .O33; LB2367.3 .O34"/>
    <n v="658.00760000000002"/>
    <d v="2012-03-06T00:00:00"/>
  </r>
  <r>
    <x v="8062"/>
    <d v="1899-12-30T00:26:36"/>
    <x v="1741"/>
    <x v="12"/>
    <s v="potsdam"/>
    <x v="1648"/>
    <n v="1774195"/>
    <x v="1"/>
    <s v="Fine Arts"/>
    <s v="9781472421807"/>
    <s v=",1,2,3,219,220,221,217,218,219,220,221,221,222,223,224,225,224"/>
    <n v="12"/>
    <m/>
    <m/>
    <s v="No"/>
    <x v="2"/>
    <d v="2015-09-12T18:07:52"/>
    <n v="1"/>
    <s v="137.143.104.94"/>
    <s v="ML3470 -- .P6824 2014eb"/>
    <n v="781.64089999999999"/>
    <d v="2014-10-28T00:00:00"/>
  </r>
  <r>
    <x v="8063"/>
    <d v="1899-12-30T01:28:19"/>
    <x v="1730"/>
    <x v="1"/>
    <s v="brockport"/>
    <x v="1"/>
    <n v="1684620"/>
    <x v="0"/>
    <s v="Health; Social Science"/>
    <s v="9781118418925"/>
    <s v=",31,32,33,34,34,35,36,37,38,39,40,41,42,43,44,45,46,47,48,49,50,51,52"/>
    <n v="22"/>
    <m/>
    <m/>
    <s v="No"/>
    <x v="0"/>
    <d v="2015-09-12T22:16:24"/>
    <n v="7"/>
    <s v="137.21.7.121"/>
    <s v="RA971 -- .S56 2014eb"/>
    <n v="362.10680000000002"/>
    <d v="2014-04-30T00:00:00"/>
  </r>
  <r>
    <x v="8064"/>
    <d v="1899-12-30T00:13:12"/>
    <x v="1730"/>
    <x v="1"/>
    <s v="brockport"/>
    <x v="1"/>
    <n v="1684620"/>
    <x v="0"/>
    <s v="Health; Social Science"/>
    <s v="9781118418925"/>
    <s v=",1,2,3,4,5,6,7,8,9,10,11,12,13,14,15,16,17,18,19,20,21,22,23,24,25,26,27,28,29,30"/>
    <n v="30"/>
    <m/>
    <m/>
    <s v="No"/>
    <x v="1"/>
    <m/>
    <m/>
    <s v="137.21.7.121"/>
    <s v="RA971 -- .S56 2014eb"/>
    <n v="362.10680000000002"/>
    <d v="2014-04-30T00:00:00"/>
  </r>
  <r>
    <x v="8065"/>
    <d v="1899-12-30T00:11:49"/>
    <x v="1741"/>
    <x v="12"/>
    <s v="potsdam"/>
    <x v="1648"/>
    <n v="1774195"/>
    <x v="1"/>
    <s v="Fine Arts"/>
    <s v="9781472421807"/>
    <s v=",1,2,3,212,213,214,210,211,212,219,219,220,220,221"/>
    <n v="11"/>
    <m/>
    <m/>
    <s v="No"/>
    <x v="2"/>
    <d v="2015-09-12T18:07:52"/>
    <n v="1"/>
    <s v="137.143.104.94"/>
    <s v="ML3470 -- .P6824 2014eb"/>
    <n v="781.64089999999999"/>
    <d v="2014-10-28T00:00:00"/>
  </r>
  <r>
    <x v="8066"/>
    <d v="1899-12-30T00:01:05"/>
    <x v="1816"/>
    <x v="13"/>
    <s v="buffalostate"/>
    <x v="1694"/>
    <n v="1610015"/>
    <x v="1"/>
    <s v="Social Science"/>
    <s v="9781472410054"/>
    <s v=",24,25,26,22,23,27"/>
    <n v="6"/>
    <m/>
    <m/>
    <s v="No"/>
    <x v="2"/>
    <d v="2015-09-12T20:10:16"/>
    <n v="1"/>
    <s v="136.183.11.43"/>
    <s v="HT166 -- .C668 2014eb"/>
    <s v="307.1/216"/>
    <d v="2014-03-28T00:00:00"/>
  </r>
  <r>
    <x v="8067"/>
    <d v="1899-12-30T00:07:56"/>
    <x v="1816"/>
    <x v="13"/>
    <s v="buffalostate"/>
    <x v="1694"/>
    <n v="1610015"/>
    <x v="1"/>
    <s v="Social Science"/>
    <s v="9781472410054"/>
    <s v=",1,2,3,34,35,36,32,33,37,38,39,40,41,42,43,44,45,47,46,48,49,50"/>
    <n v="22"/>
    <m/>
    <m/>
    <s v="No"/>
    <x v="3"/>
    <m/>
    <m/>
    <s v="136.183.11.43"/>
    <s v="HT166 -- .C668 2014eb"/>
    <s v="307.1/216"/>
    <d v="2014-03-28T00:00:00"/>
  </r>
  <r>
    <x v="8068"/>
    <d v="1899-12-30T01:53:30"/>
    <x v="1741"/>
    <x v="12"/>
    <s v="potsdam"/>
    <x v="1648"/>
    <n v="1774195"/>
    <x v="1"/>
    <s v="Fine Arts"/>
    <s v="9781472421807"/>
    <s v=",1,2,3,28,29,30,26,27,28,18,28,62,48,49,49,50,62,62,63,62,63,63,63,64,182,183,184,185,212,226,212,226,212,213,214,215,216,217,218,217,218,219,218"/>
    <n v="28"/>
    <m/>
    <m/>
    <s v="No"/>
    <x v="2"/>
    <d v="2015-09-12T18:07:52"/>
    <n v="1"/>
    <s v="137.143.104.94"/>
    <s v="ML3470 -- .P6824 2014eb"/>
    <n v="781.64089999999999"/>
    <d v="2014-10-28T00:00:00"/>
  </r>
  <r>
    <x v="8069"/>
    <d v="1899-12-30T00:00:00"/>
    <x v="1741"/>
    <x v="12"/>
    <s v="potsdam"/>
    <x v="1648"/>
    <n v="1774195"/>
    <x v="1"/>
    <s v="Fine Arts"/>
    <s v="9781472421807"/>
    <m/>
    <n v="0"/>
    <m/>
    <m/>
    <s v="Yes"/>
    <x v="2"/>
    <d v="2015-09-12T18:07:52"/>
    <n v="1"/>
    <s v="137.143.104.94"/>
    <s v="ML3470 -- .P6824 2014eb"/>
    <n v="781.64089999999999"/>
    <d v="2014-10-28T00:00:00"/>
  </r>
  <r>
    <x v="8069"/>
    <d v="1899-12-30T00:00:00"/>
    <x v="1741"/>
    <x v="12"/>
    <s v="potsdam"/>
    <x v="1648"/>
    <n v="1774195"/>
    <x v="1"/>
    <s v="Fine Arts"/>
    <s v="9781472421807"/>
    <m/>
    <n v="0"/>
    <m/>
    <m/>
    <s v="No"/>
    <x v="2"/>
    <d v="2015-09-12T18:07:52"/>
    <n v="1"/>
    <s v="137.143.104.94"/>
    <s v="ML3470 -- .P6824 2014eb"/>
    <n v="781.64089999999999"/>
    <d v="2014-10-28T00:00:00"/>
  </r>
  <r>
    <x v="8070"/>
    <d v="1899-12-30T00:01:19"/>
    <x v="1741"/>
    <x v="12"/>
    <s v="potsdam"/>
    <x v="1648"/>
    <n v="1774195"/>
    <x v="1"/>
    <s v="Fine Arts"/>
    <s v="9781472421807"/>
    <s v=",1,2,3,164,165,166,162,163,242,243,244,240,241,48,49,50,46,47"/>
    <n v="18"/>
    <m/>
    <m/>
    <s v="No"/>
    <x v="3"/>
    <m/>
    <m/>
    <s v="137.143.104.94"/>
    <s v="ML3470 -- .P6824 2014eb"/>
    <n v="781.64089999999999"/>
    <d v="2014-10-28T00:00:00"/>
  </r>
  <r>
    <x v="8071"/>
    <d v="1899-12-30T00:00:00"/>
    <x v="1817"/>
    <x v="0"/>
    <s v="Buffalo"/>
    <x v="1695"/>
    <n v="1808789"/>
    <x v="1"/>
    <s v="History"/>
    <s v="9781472439352"/>
    <m/>
    <n v="0"/>
    <m/>
    <m/>
    <s v="Yes"/>
    <x v="2"/>
    <d v="2015-09-12T11:53:43"/>
    <n v="1"/>
    <s v="128.205.114.91"/>
    <s v="DS286 -- .R29 2014eb"/>
    <s v="935/.707072039536"/>
    <d v="2014-11-28T00:00:00"/>
  </r>
  <r>
    <x v="8071"/>
    <d v="1899-12-30T00:00:00"/>
    <x v="1817"/>
    <x v="0"/>
    <s v="Buffalo"/>
    <x v="1695"/>
    <n v="1808789"/>
    <x v="1"/>
    <s v="History"/>
    <s v="9781472439352"/>
    <m/>
    <n v="0"/>
    <m/>
    <m/>
    <s v="No"/>
    <x v="2"/>
    <d v="2015-09-12T11:53:43"/>
    <n v="1"/>
    <s v="128.205.114.91"/>
    <s v="DS286 -- .R29 2014eb"/>
    <s v="935/.707072039536"/>
    <d v="2014-11-28T00:00:00"/>
  </r>
  <r>
    <x v="8072"/>
    <d v="1899-12-30T00:00:34"/>
    <x v="1817"/>
    <x v="0"/>
    <s v="Buffalo"/>
    <x v="1695"/>
    <n v="1808789"/>
    <x v="1"/>
    <s v="History"/>
    <s v="9781472439352"/>
    <s v=",1,2,3"/>
    <n v="3"/>
    <m/>
    <m/>
    <s v="No"/>
    <x v="3"/>
    <m/>
    <m/>
    <s v="128.205.114.91"/>
    <s v="DS286 -- .R29 2014eb"/>
    <s v="935/.707072039536"/>
    <d v="2014-11-28T00:00:00"/>
  </r>
  <r>
    <x v="8073"/>
    <d v="1899-12-30T00:00:48"/>
    <x v="1818"/>
    <x v="13"/>
    <s v="buffalostate"/>
    <x v="1668"/>
    <n v="1024333"/>
    <x v="4"/>
    <s v="Education"/>
    <s v="9781462506439"/>
    <s v=",1,2,3,287,328,326,327,329,333,334,335,337,339,340,341,338,336,331,7,6,8,19,20"/>
    <n v="23"/>
    <m/>
    <m/>
    <s v="No"/>
    <x v="1"/>
    <m/>
    <m/>
    <s v="136.183.11.43"/>
    <s v="LB1050.42 -- .A44 2012eb"/>
    <n v="372.41"/>
    <d v="2014-05-14T00:00:00"/>
  </r>
  <r>
    <x v="8074"/>
    <d v="1899-12-30T00:00:00"/>
    <x v="1819"/>
    <x v="0"/>
    <s v="Buffalo"/>
    <x v="477"/>
    <n v="1120279"/>
    <x v="0"/>
    <s v="Science: Biology/Natural History; Science"/>
    <s v="9781118537671"/>
    <m/>
    <n v="0"/>
    <m/>
    <m/>
    <s v="Yes"/>
    <x v="0"/>
    <d v="2015-09-11T22:15:08"/>
    <n v="7"/>
    <s v="128.205.114.91"/>
    <s v="QH371 .K384 2012"/>
    <n v="599.93499999999995"/>
    <d v="2012-11-19T00:00:00"/>
  </r>
  <r>
    <x v="8074"/>
    <d v="1899-12-30T00:00:00"/>
    <x v="1819"/>
    <x v="0"/>
    <s v="Buffalo"/>
    <x v="477"/>
    <n v="1120279"/>
    <x v="0"/>
    <s v="Science: Biology/Natural History; Science"/>
    <s v="9781118537671"/>
    <m/>
    <n v="0"/>
    <m/>
    <m/>
    <s v="No"/>
    <x v="0"/>
    <d v="2015-09-11T22:15:08"/>
    <n v="7"/>
    <s v="128.205.114.91"/>
    <s v="QH371 .K384 2012"/>
    <n v="599.93499999999995"/>
    <d v="2012-11-19T00:00:00"/>
  </r>
  <r>
    <x v="8075"/>
    <d v="1899-12-30T00:00:46"/>
    <x v="1819"/>
    <x v="0"/>
    <s v="Buffalo"/>
    <x v="477"/>
    <n v="1120279"/>
    <x v="0"/>
    <s v="Science: Biology/Natural History; Science"/>
    <s v="9781118537671"/>
    <s v=",1,2,3,7"/>
    <n v="4"/>
    <m/>
    <m/>
    <s v="No"/>
    <x v="1"/>
    <m/>
    <m/>
    <s v="128.205.114.91"/>
    <s v="QH371 .K384 2012"/>
    <n v="599.93499999999995"/>
    <d v="2012-11-19T00:00:00"/>
  </r>
  <r>
    <x v="8076"/>
    <d v="1899-12-30T00:00:04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0"/>
    <d v="2015-09-11T02:35:19"/>
    <n v="7"/>
    <s v="137.36.32.34"/>
    <s v="Z246 -- .M43 2012eb"/>
    <s v="686.2/209"/>
    <d v="2011-10-19T00:00:00"/>
  </r>
  <r>
    <x v="8077"/>
    <d v="1899-12-30T00:03:57"/>
    <x v="787"/>
    <x v="1"/>
    <s v="brockport"/>
    <x v="151"/>
    <n v="968030"/>
    <x v="0"/>
    <s v="Psychology"/>
    <s v="9781118285138"/>
    <s v=",1,2,3,503,504,505,501,502,506,507,508,509"/>
    <n v="12"/>
    <m/>
    <m/>
    <s v="No"/>
    <x v="0"/>
    <d v="2015-09-11T16:41:01"/>
    <n v="7"/>
    <s v="137.21.7.121"/>
    <s v="BF637.C6 -- S85 2013eb"/>
    <n v="158.30000000000001"/>
    <d v="2012-07-10T00:00:00"/>
  </r>
  <r>
    <x v="8078"/>
    <d v="1899-12-30T00:00:04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0"/>
    <d v="2015-09-11T02:35:19"/>
    <n v="7"/>
    <s v="137.36.32.34"/>
    <s v="Z246 -- .M43 2012eb"/>
    <s v="686.2/209"/>
    <d v="2011-10-19T00:00:00"/>
  </r>
  <r>
    <x v="8079"/>
    <d v="1899-12-30T00:06:55"/>
    <x v="1820"/>
    <x v="0"/>
    <s v="Buffalo"/>
    <x v="1696"/>
    <n v="1590668"/>
    <x v="1"/>
    <s v="Education"/>
    <s v="9781472409614"/>
    <s v=",1,2,3,24,25,26,23,22,27"/>
    <n v="9"/>
    <m/>
    <m/>
    <s v="No"/>
    <x v="2"/>
    <d v="2015-09-11T19:33:54"/>
    <n v="1"/>
    <s v="128.205.114.91"/>
    <s v="LA411.7 -- .M39 2014eb"/>
    <n v="371.82908900000001"/>
    <d v="2014-04-28T00:00:00"/>
  </r>
  <r>
    <x v="8080"/>
    <d v="1899-12-30T00:04:54"/>
    <x v="634"/>
    <x v="11"/>
    <s v="cobleskill"/>
    <x v="11"/>
    <n v="693176"/>
    <x v="0"/>
    <s v="Engineering: Manufacturing; General Works/Reference; Engineering"/>
    <s v="9781118017746"/>
    <s v=",1,3,2,412,414,415,416,414,415,412,413,417,410,411,204,236,234"/>
    <n v="14"/>
    <m/>
    <m/>
    <s v="No"/>
    <x v="0"/>
    <d v="2015-09-11T02:35:19"/>
    <n v="7"/>
    <s v="137.36.32.34"/>
    <s v="Z246 -- .M43 2012eb"/>
    <s v="686.2/209"/>
    <d v="2011-10-19T00:00:00"/>
  </r>
  <r>
    <x v="8081"/>
    <d v="1899-12-30T00:00:45"/>
    <x v="1821"/>
    <x v="0"/>
    <s v="Buffalo"/>
    <x v="477"/>
    <n v="1120279"/>
    <x v="0"/>
    <s v="Science: Biology/Natural History; Science"/>
    <s v="9781118537671"/>
    <s v=",1,2,3,4,5,6,41,62,167,186,187,188,184,185"/>
    <n v="14"/>
    <m/>
    <m/>
    <s v="No"/>
    <x v="1"/>
    <m/>
    <m/>
    <s v="128.205.114.91"/>
    <s v="QH371 .K384 2012"/>
    <n v="599.93499999999995"/>
    <d v="2012-11-19T00:00:00"/>
  </r>
  <r>
    <x v="8082"/>
    <d v="1899-12-30T00:03:34"/>
    <x v="13"/>
    <x v="0"/>
    <s v="Buffalo"/>
    <x v="1679"/>
    <n v="1313513"/>
    <x v="0"/>
    <s v="Computer Science/IT"/>
    <s v="9781118732281"/>
    <s v=",1,2,3,62,63,64,60,61,65,66,74,75,76,72,73,77,78,89,90,91,87,88,103,104,105,101,102,106,11,12,13,9,10,14"/>
    <n v="34"/>
    <m/>
    <m/>
    <s v="No"/>
    <x v="1"/>
    <m/>
    <m/>
    <s v="128.205.114.91"/>
    <s v="QA76.9 .D37"/>
    <n v="5.74"/>
    <d v="2013-07-01T00:00:00"/>
  </r>
  <r>
    <x v="8083"/>
    <d v="1899-12-30T00:02:10"/>
    <x v="535"/>
    <x v="0"/>
    <s v="Buffalo"/>
    <x v="559"/>
    <n v="1217954"/>
    <x v="1"/>
    <s v="Engineering; Engineering: General"/>
    <s v="9781409457558"/>
    <s v=",1,2,3,514,512,521,522,523,519,520,524,525,524,525,526,527"/>
    <n v="14"/>
    <s v=",525"/>
    <s v=",521,522,523,524,521,522,523,524"/>
    <s v="No"/>
    <x v="0"/>
    <d v="2015-09-11T19:28:50"/>
    <n v="7"/>
    <s v="128.205.114.91"/>
    <s v="T59.7 -- .S73 2013eb"/>
    <s v="620.8/2"/>
    <d v="2013-10-28T00:00:00"/>
  </r>
  <r>
    <x v="8084"/>
    <d v="1899-12-30T00:29:19"/>
    <x v="1820"/>
    <x v="0"/>
    <s v="Buffalo"/>
    <x v="1696"/>
    <n v="1590668"/>
    <x v="1"/>
    <s v="Education"/>
    <s v="9781472409614"/>
    <s v=",9,10,11,12,13,14,15,16,17,18,13,12,19"/>
    <n v="11"/>
    <m/>
    <m/>
    <s v="No"/>
    <x v="2"/>
    <d v="2015-09-11T19:33:54"/>
    <n v="1"/>
    <s v="128.205.114.91"/>
    <s v="LA411.7 -- .M39 2014eb"/>
    <n v="371.82908900000001"/>
    <d v="2014-04-28T00:00:00"/>
  </r>
  <r>
    <x v="8085"/>
    <d v="1899-12-30T00:00:30"/>
    <x v="1307"/>
    <x v="11"/>
    <s v="cobleskill"/>
    <x v="11"/>
    <n v="693176"/>
    <x v="0"/>
    <s v="Engineering: Manufacturing; General Works/Reference; Engineering"/>
    <s v="9781118017746"/>
    <s v=",4,5,6,7,8,9,10"/>
    <n v="7"/>
    <m/>
    <m/>
    <s v="Yes"/>
    <x v="0"/>
    <d v="2015-09-11T19:27:54"/>
    <n v="7"/>
    <s v="137.36.32.34"/>
    <s v="Z246 -- .M43 2012eb"/>
    <s v="686.2/209"/>
    <d v="2011-10-19T00:00:00"/>
  </r>
  <r>
    <x v="8086"/>
    <d v="1899-12-30T00:05:04"/>
    <x v="1820"/>
    <x v="0"/>
    <s v="Buffalo"/>
    <x v="1696"/>
    <n v="1590668"/>
    <x v="1"/>
    <s v="Education"/>
    <s v="9781472409614"/>
    <s v=",1,2,3,4,5,6,7,8"/>
    <n v="8"/>
    <m/>
    <m/>
    <s v="No"/>
    <x v="3"/>
    <m/>
    <m/>
    <s v="128.205.114.91"/>
    <s v="LA411.7 -- .M39 2014eb"/>
    <n v="371.82908900000001"/>
    <d v="2014-04-28T00:00:00"/>
  </r>
  <r>
    <x v="8086"/>
    <d v="1899-12-30T00:02:52"/>
    <x v="535"/>
    <x v="0"/>
    <s v="Buffalo"/>
    <x v="559"/>
    <n v="1217954"/>
    <x v="1"/>
    <s v="Engineering; Engineering: General"/>
    <s v="9781409457558"/>
    <s v=",6,7,8,4,5,9"/>
    <n v="6"/>
    <s v=",1"/>
    <m/>
    <s v="No"/>
    <x v="0"/>
    <d v="2015-09-11T19:28:50"/>
    <n v="7"/>
    <s v="128.205.114.91"/>
    <s v="T59.7 -- .S73 2013eb"/>
    <s v="620.8/2"/>
    <d v="2013-10-28T00:00:00"/>
  </r>
  <r>
    <x v="8087"/>
    <d v="1899-12-30T00:00:29"/>
    <x v="535"/>
    <x v="0"/>
    <s v="Buffalo"/>
    <x v="559"/>
    <n v="1217954"/>
    <x v="1"/>
    <s v="Engineering; Engineering: General"/>
    <s v="9781409457558"/>
    <s v=",1,2,3,4,6,7,8,5"/>
    <n v="8"/>
    <m/>
    <m/>
    <s v="No"/>
    <x v="1"/>
    <m/>
    <m/>
    <s v="128.205.114.91"/>
    <s v="T59.7 -- .S73 2013eb"/>
    <s v="620.8/2"/>
    <d v="2013-10-28T00:00:00"/>
  </r>
  <r>
    <x v="8088"/>
    <d v="1899-12-30T00:00:00"/>
    <x v="1307"/>
    <x v="11"/>
    <s v="cobleskill"/>
    <x v="11"/>
    <n v="693176"/>
    <x v="0"/>
    <s v="Engineering: Manufacturing; General Works/Reference; Engineering"/>
    <s v="9781118017746"/>
    <m/>
    <n v="0"/>
    <m/>
    <m/>
    <s v="No"/>
    <x v="0"/>
    <d v="2015-09-11T19:27:54"/>
    <n v="7"/>
    <s v="137.36.32.34"/>
    <s v="Z246 -- .M43 2012eb"/>
    <s v="686.2/209"/>
    <d v="2011-10-19T00:00:00"/>
  </r>
  <r>
    <x v="8089"/>
    <d v="1899-12-30T00:00:44"/>
    <x v="1307"/>
    <x v="11"/>
    <s v="cobleskill"/>
    <x v="11"/>
    <n v="693176"/>
    <x v="0"/>
    <s v="Engineering: Manufacturing; General Works/Reference; Engineering"/>
    <s v="9781118017746"/>
    <s v=",1,2,3,1"/>
    <n v="3"/>
    <m/>
    <m/>
    <s v="No"/>
    <x v="1"/>
    <m/>
    <m/>
    <s v="137.36.32.34"/>
    <s v="Z246 -- .M43 2012eb"/>
    <s v="686.2/209"/>
    <d v="2011-10-19T00:00:00"/>
  </r>
  <r>
    <x v="8090"/>
    <d v="1899-12-30T00:01:54"/>
    <x v="1307"/>
    <x v="11"/>
    <s v="cobleskill"/>
    <x v="11"/>
    <n v="693176"/>
    <x v="0"/>
    <s v="Engineering: Manufacturing; General Works/Reference; Engineering"/>
    <s v="9781118017746"/>
    <s v=",1,2,3,160,161,162,158,159,163,164,165,158,159,212,213,214,210,211"/>
    <n v="16"/>
    <m/>
    <m/>
    <s v="No"/>
    <x v="1"/>
    <m/>
    <m/>
    <s v="137.36.32.34"/>
    <s v="Z246 -- .M43 2012eb"/>
    <s v="686.2/209"/>
    <d v="2011-10-19T00:00:00"/>
  </r>
  <r>
    <x v="8091"/>
    <d v="1899-12-30T00:09:54"/>
    <x v="1820"/>
    <x v="0"/>
    <s v="Buffalo"/>
    <x v="1697"/>
    <n v="1808803"/>
    <x v="1"/>
    <s v="Literature"/>
    <s v="9781472424228"/>
    <s v=",1,2,3,4,5"/>
    <n v="5"/>
    <m/>
    <m/>
    <s v="No"/>
    <x v="2"/>
    <d v="2015-09-11T16:12:44"/>
    <n v="1"/>
    <s v="128.205.114.91"/>
    <s v="PL2449 -- .R47 2014eb"/>
    <s v="895.109/9282"/>
    <d v="2014-11-28T00:00:00"/>
  </r>
  <r>
    <x v="8092"/>
    <d v="1899-12-30T00:04:35"/>
    <x v="1426"/>
    <x v="0"/>
    <s v="Buffalo"/>
    <x v="73"/>
    <n v="1119505"/>
    <x v="0"/>
    <s v="Science: Chemistry; Science"/>
    <s v="9781118355015"/>
    <s v=",1,2,3,48,49,50,46,51,47,52,53,42,43,44,40,41,45,46,49,50,51,47,48,54,53,55,52,50,51,52,48,49,47,52,53"/>
    <n v="19"/>
    <m/>
    <m/>
    <s v="No"/>
    <x v="1"/>
    <m/>
    <m/>
    <s v="128.205.114.91"/>
    <s v="QD251.3 -- .S38 2013eb"/>
    <s v="547/.128"/>
    <d v="2013-01-28T00:00:00"/>
  </r>
  <r>
    <x v="8093"/>
    <d v="1899-12-30T00:23:52"/>
    <x v="1822"/>
    <x v="13"/>
    <s v="buffalostate"/>
    <x v="1668"/>
    <n v="1024333"/>
    <x v="4"/>
    <s v="Education"/>
    <s v="9781462506439"/>
    <s v=",39,34,1,34,36,35,32,33,37,38,2,39,40,41,42,43,44,45,46,47,48,49,50,51,52,53,54,55,56,57,59,61,62,64,65,66,67,70,71,73,74,75,77,78,79,80,81,82,76"/>
    <n v="47"/>
    <m/>
    <m/>
    <s v="No"/>
    <x v="0"/>
    <d v="2015-09-11T19:04:36"/>
    <n v="7"/>
    <s v="136.183.11.43"/>
    <s v="LB1050.42 -- .A44 2012eb"/>
    <n v="372.41"/>
    <d v="2014-05-14T00:00:00"/>
  </r>
  <r>
    <x v="8094"/>
    <d v="1899-12-30T00:09:38"/>
    <x v="1822"/>
    <x v="13"/>
    <s v="buffalostate"/>
    <x v="1668"/>
    <n v="1024333"/>
    <x v="4"/>
    <s v="Education"/>
    <s v="9781462506439"/>
    <s v=",1,2,3,4,5,6,23,24,25,21,22,26,2,27,28,29,30,31,32,33,34,35,36,38"/>
    <n v="23"/>
    <m/>
    <m/>
    <s v="No"/>
    <x v="1"/>
    <m/>
    <m/>
    <s v="136.183.11.43"/>
    <s v="LB1050.42 -- .A44 2012eb"/>
    <n v="372.41"/>
    <d v="2014-05-14T00:00:00"/>
  </r>
  <r>
    <x v="8095"/>
    <d v="1899-12-30T00:00:38"/>
    <x v="1823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8096"/>
    <d v="1899-12-30T01:03:27"/>
    <x v="787"/>
    <x v="1"/>
    <s v="brockport"/>
    <x v="151"/>
    <n v="968030"/>
    <x v="0"/>
    <s v="Psychology"/>
    <s v="9781118285138"/>
    <s v=",1,2,3,493,494,495,491,492,496,497,498,499,500,501,502,503"/>
    <n v="16"/>
    <m/>
    <m/>
    <s v="No"/>
    <x v="0"/>
    <d v="2015-09-11T16:41:01"/>
    <n v="7"/>
    <s v="137.21.7.121"/>
    <s v="BF637.C6 -- S85 2013eb"/>
    <n v="158.30000000000001"/>
    <d v="2012-07-10T00:00:00"/>
  </r>
  <r>
    <x v="8097"/>
    <d v="1899-12-30T00:00:04"/>
    <x v="787"/>
    <x v="1"/>
    <s v="brockport"/>
    <x v="151"/>
    <n v="968030"/>
    <x v="0"/>
    <s v="Psychology"/>
    <s v="9781118285138"/>
    <s v=",1,2,3"/>
    <n v="3"/>
    <m/>
    <m/>
    <s v="No"/>
    <x v="0"/>
    <d v="2015-09-11T16:41:01"/>
    <n v="7"/>
    <s v="137.21.7.121"/>
    <s v="BF637.C6 -- S85 2013eb"/>
    <n v="158.30000000000001"/>
    <d v="2012-07-10T00:00:00"/>
  </r>
  <r>
    <x v="8098"/>
    <d v="1899-12-30T00:00:42"/>
    <x v="634"/>
    <x v="11"/>
    <s v="cobleskill"/>
    <x v="11"/>
    <n v="693176"/>
    <x v="0"/>
    <s v="Engineering: Manufacturing; General Works/Reference; Engineering"/>
    <s v="9781118017746"/>
    <s v=",1,3,2,4"/>
    <n v="4"/>
    <m/>
    <m/>
    <s v="No"/>
    <x v="0"/>
    <d v="2015-09-11T02:35:19"/>
    <n v="7"/>
    <s v="137.36.32.34"/>
    <s v="Z246 -- .M43 2012eb"/>
    <s v="686.2/209"/>
    <d v="2011-10-19T00:00:00"/>
  </r>
  <r>
    <x v="8099"/>
    <d v="1899-12-30T00:05:44"/>
    <x v="787"/>
    <x v="1"/>
    <s v="brockport"/>
    <x v="151"/>
    <n v="968030"/>
    <x v="0"/>
    <s v="Psychology"/>
    <s v="9781118285138"/>
    <s v=",504,505,506,502,503,501,500,499,498,497,495,496,494,492,493,491,479,480,481,477,478,491,499,500,501,502,503,504,505,506,507,508"/>
    <n v="23"/>
    <s v=",1,493"/>
    <m/>
    <s v="No"/>
    <x v="0"/>
    <d v="2015-09-11T16:41:01"/>
    <n v="7"/>
    <s v="137.21.7.121"/>
    <s v="BF637.C6 -- S85 2013eb"/>
    <n v="158.30000000000001"/>
    <d v="2012-07-10T00:00:00"/>
  </r>
  <r>
    <x v="8100"/>
    <d v="1899-12-30T00:00:16"/>
    <x v="787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8101"/>
    <d v="1899-12-30T01:12:34"/>
    <x v="910"/>
    <x v="0"/>
    <s v="Buffalo"/>
    <x v="161"/>
    <n v="821663"/>
    <x v="0"/>
    <s v="Architecture"/>
    <s v="9781118168479"/>
    <s v=",91,92,93,94,95,96,97,98,99,100,115,116,117,114,118,102,100,103,104,101,105,106,107,108,109,110,111,112,113,114,116,117,157,158,159,156,155,149,150,151,152,148,153"/>
    <n v="39"/>
    <m/>
    <m/>
    <s v="No"/>
    <x v="0"/>
    <d v="2015-09-11T16:27:16"/>
    <n v="7"/>
    <s v="128.205.114.91"/>
    <s v="NA2547 -- .S74 2012eb"/>
    <n v="729"/>
    <d v="2012-03-05T00:00:00"/>
  </r>
  <r>
    <x v="8102"/>
    <d v="1899-12-30T00:02:24"/>
    <x v="13"/>
    <x v="0"/>
    <s v="Buffalo"/>
    <x v="150"/>
    <n v="1882108"/>
    <x v="3"/>
    <s v="Literature"/>
    <s v="9780520961326"/>
    <s v=",46,47,47,42,47,42,47,48,48"/>
    <n v="4"/>
    <m/>
    <m/>
    <s v="No"/>
    <x v="2"/>
    <d v="2015-09-11T16:25:05"/>
    <n v="1"/>
    <s v="128.205.114.91"/>
    <s v="PA4025.A2 -- .H664 2015eb"/>
    <n v="883"/>
    <d v="2015-05-14T00:00:00"/>
  </r>
  <r>
    <x v="8103"/>
    <d v="1899-12-30T00:05:25"/>
    <x v="13"/>
    <x v="0"/>
    <s v="Buffalo"/>
    <x v="150"/>
    <n v="1882108"/>
    <x v="3"/>
    <s v="Literature"/>
    <s v="9780520961326"/>
    <s v=",1,1,2,2,3,3,4,4,5,5,7,7,6,6,8,8,9,9,10,10,11,11,12,12,13,13,14,14,15,15,16,16,17,17,18,18,19,19,20,20,2,21,22,22,23,21,23,42,42,43,43,40,44,44,41,41,45,45,40,45,46,46"/>
    <n v="30"/>
    <m/>
    <m/>
    <s v="No"/>
    <x v="3"/>
    <m/>
    <m/>
    <s v="128.205.114.91"/>
    <s v="PA4025.A2 -- .H664 2015eb"/>
    <n v="883"/>
    <d v="2015-05-14T00:00:00"/>
  </r>
  <r>
    <x v="8104"/>
    <d v="1899-12-30T00:11:14"/>
    <x v="910"/>
    <x v="0"/>
    <s v="Buffalo"/>
    <x v="161"/>
    <n v="821663"/>
    <x v="0"/>
    <s v="Architecture"/>
    <s v="9781118168479"/>
    <s v=",1,2,3,87,88,94,95,96,85,89,86,87,88,89,85,86,90"/>
    <n v="12"/>
    <m/>
    <m/>
    <s v="No"/>
    <x v="1"/>
    <m/>
    <m/>
    <s v="128.205.114.91"/>
    <s v="NA2547 -- .S74 2012eb"/>
    <n v="729"/>
    <d v="2012-03-05T00:00:00"/>
  </r>
  <r>
    <x v="8105"/>
    <d v="1899-12-30T00:01:11"/>
    <x v="1820"/>
    <x v="0"/>
    <s v="Buffalo"/>
    <x v="1697"/>
    <n v="1808803"/>
    <x v="1"/>
    <s v="Literature"/>
    <s v="9781472424228"/>
    <s v=",8,9,10,11,13,14,18,19,16,17"/>
    <n v="10"/>
    <m/>
    <m/>
    <s v="Yes"/>
    <x v="2"/>
    <d v="2015-09-11T16:12:44"/>
    <n v="1"/>
    <s v="128.205.114.91"/>
    <s v="PL2449 -- .R47 2014eb"/>
    <s v="895.109/9282"/>
    <d v="2014-11-28T00:00:00"/>
  </r>
  <r>
    <x v="8105"/>
    <d v="1899-12-30T00:00:00"/>
    <x v="1820"/>
    <x v="0"/>
    <s v="Buffalo"/>
    <x v="1697"/>
    <n v="1808803"/>
    <x v="1"/>
    <s v="Literature"/>
    <s v="9781472424228"/>
    <m/>
    <n v="0"/>
    <m/>
    <m/>
    <s v="No"/>
    <x v="2"/>
    <d v="2015-09-11T16:12:44"/>
    <n v="1"/>
    <s v="128.205.114.91"/>
    <s v="PL2449 -- .R47 2014eb"/>
    <s v="895.109/9282"/>
    <d v="2014-11-28T00:00:00"/>
  </r>
  <r>
    <x v="8106"/>
    <d v="1899-12-30T00:01:00"/>
    <x v="1820"/>
    <x v="0"/>
    <s v="Buffalo"/>
    <x v="1697"/>
    <n v="1808803"/>
    <x v="1"/>
    <s v="Literature"/>
    <s v="9781472424228"/>
    <s v=",1,2,3,4,5,6,7"/>
    <n v="7"/>
    <m/>
    <m/>
    <s v="No"/>
    <x v="3"/>
    <m/>
    <m/>
    <s v="128.205.114.91"/>
    <s v="PL2449 -- .R47 2014eb"/>
    <s v="895.109/9282"/>
    <d v="2014-11-28T00:00:00"/>
  </r>
  <r>
    <x v="8107"/>
    <d v="1899-12-30T00:01:23"/>
    <x v="1718"/>
    <x v="0"/>
    <s v="Buffalo"/>
    <x v="975"/>
    <n v="817871"/>
    <x v="0"/>
    <s v="Computer Science/IT"/>
    <s v="9781118206911"/>
    <s v=",1,2,3,4,22,23,24,20,21,25,26,27,28,29,30,45,46,47,43,44,33"/>
    <n v="21"/>
    <m/>
    <m/>
    <s v="No"/>
    <x v="1"/>
    <m/>
    <m/>
    <s v="128.205.114.91"/>
    <s v="QA76.76.H94"/>
    <n v="6.74"/>
    <d v="2011-12-20T00:00:00"/>
  </r>
  <r>
    <x v="8108"/>
    <d v="1899-12-30T00:02:27"/>
    <x v="1683"/>
    <x v="9"/>
    <s v="trocaire"/>
    <x v="1698"/>
    <n v="1106487"/>
    <x v="3"/>
    <s v="Science: Geology; Science"/>
    <s v="9780520954557"/>
    <s v=",1,2,3,4,5,6,7,8,9,10,11,12,14,15,13,16"/>
    <n v="16"/>
    <m/>
    <m/>
    <s v="No"/>
    <x v="3"/>
    <m/>
    <m/>
    <s v="173.225.62.67"/>
    <s v="GC28 -- .C37 2013eb"/>
    <n v="551.48"/>
    <d v="2013-04-03T00:00:00"/>
  </r>
  <r>
    <x v="8109"/>
    <d v="1899-12-30T00:01:35"/>
    <x v="1683"/>
    <x v="9"/>
    <s v="trocaire"/>
    <x v="1371"/>
    <n v="2004761"/>
    <x v="1"/>
    <s v="Science; Science: Biology/Natural History; Science: Anatomy/Physiology"/>
    <s v="9781472453808"/>
    <s v=",1,2,3,4,5,6,7,8,9,10,11,13,14,12,15,16,17"/>
    <n v="17"/>
    <m/>
    <m/>
    <s v="No"/>
    <x v="3"/>
    <m/>
    <m/>
    <s v="173.225.62.67"/>
    <s v="QP263 -- .M335 2015eb"/>
    <s v="612.6/620944"/>
    <d v="2015-04-28T00:00:00"/>
  </r>
  <r>
    <x v="8110"/>
    <d v="1899-12-30T00:00:12"/>
    <x v="13"/>
    <x v="0"/>
    <s v="Buffalo"/>
    <x v="796"/>
    <n v="1318206"/>
    <x v="0"/>
    <s v="Computer Science/IT; Social Science"/>
    <s v="9781118363560"/>
    <s v=",2,2"/>
    <n v="1"/>
    <m/>
    <m/>
    <s v="Yes"/>
    <x v="0"/>
    <d v="2015-09-11T14:08:49"/>
    <n v="7"/>
    <s v="128.205.114.91"/>
    <s v="HA32 -- .M4994 2013eb"/>
    <s v="005.5/5"/>
    <d v="2013-07-15T00:00:00"/>
  </r>
  <r>
    <x v="8110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09-11T14:08:49"/>
    <n v="7"/>
    <s v="128.205.114.91"/>
    <s v="HA32 -- .M4994 2013eb"/>
    <s v="005.5/5"/>
    <d v="2013-07-15T00:00:00"/>
  </r>
  <r>
    <x v="8111"/>
    <d v="1899-12-30T00:00:10"/>
    <x v="13"/>
    <x v="0"/>
    <s v="Buffalo"/>
    <x v="796"/>
    <n v="1318206"/>
    <x v="0"/>
    <s v="Computer Science/IT; Social Science"/>
    <s v="9781118363560"/>
    <s v=",1,2,3,1,3,2"/>
    <n v="3"/>
    <m/>
    <m/>
    <s v="No"/>
    <x v="1"/>
    <m/>
    <m/>
    <s v="128.205.114.91"/>
    <s v="HA32 -- .M4994 2013eb"/>
    <s v="005.5/5"/>
    <d v="2013-07-15T00:00:00"/>
  </r>
  <r>
    <x v="8112"/>
    <d v="1899-12-30T00:00:22"/>
    <x v="1824"/>
    <x v="16"/>
    <s v="monroecc"/>
    <x v="1699"/>
    <n v="1119448"/>
    <x v="0"/>
    <s v="Education"/>
    <s v="9781118416167"/>
    <s v=",1,1,3,2,3,2,4,4,4,2,2"/>
    <n v="4"/>
    <m/>
    <m/>
    <s v="No"/>
    <x v="1"/>
    <m/>
    <m/>
    <s v="150.160.200.114"/>
    <s v="LB2331 .W39 2013"/>
    <s v="378.1/2; 378.12; 378.125"/>
    <d v="2013-01-28T00:00:00"/>
  </r>
  <r>
    <x v="8113"/>
    <d v="1899-12-30T00:04:13"/>
    <x v="714"/>
    <x v="12"/>
    <s v="potsdam"/>
    <x v="713"/>
    <n v="565082"/>
    <x v="0"/>
    <s v="Education"/>
    <s v="9781118041567"/>
    <s v=",1,2,3,72,73,74,75,76,71,77,78"/>
    <n v="11"/>
    <m/>
    <m/>
    <s v="No"/>
    <x v="0"/>
    <d v="2015-09-10T22:29:58"/>
    <n v="7"/>
    <s v="137.143.104.94"/>
    <s v="LB1775 .P25 2010"/>
    <s v="371.1; 371.102"/>
    <d v="2010-06-08T00:00:00"/>
  </r>
  <r>
    <x v="8114"/>
    <d v="1899-12-30T00:00:06"/>
    <x v="13"/>
    <x v="0"/>
    <s v="Buffalo"/>
    <x v="572"/>
    <n v="1662670"/>
    <x v="0"/>
    <s v="Mathematics; Engineering; Engineering: Civil"/>
    <s v="9781118821251"/>
    <s v=",2,2"/>
    <n v="1"/>
    <m/>
    <m/>
    <s v="Yes"/>
    <x v="0"/>
    <d v="2015-09-11T12:40:07"/>
    <n v="7"/>
    <s v="128.205.114.91"/>
    <s v="TA345.5.M38 M34 2014"/>
    <s v="510.285/53; 510.28553"/>
    <d v="2014-03-26T00:00:00"/>
  </r>
  <r>
    <x v="8114"/>
    <d v="1899-12-30T00:00:00"/>
    <x v="13"/>
    <x v="0"/>
    <s v="Buffalo"/>
    <x v="572"/>
    <n v="1662670"/>
    <x v="0"/>
    <s v="Mathematics; Engineering; Engineering: Civil"/>
    <s v="9781118821251"/>
    <m/>
    <n v="0"/>
    <m/>
    <m/>
    <s v="No"/>
    <x v="0"/>
    <d v="2015-09-11T12:40:07"/>
    <n v="7"/>
    <s v="128.205.114.91"/>
    <s v="TA345.5.M38 M34 2014"/>
    <s v="510.285/53; 510.28553"/>
    <d v="2014-03-26T00:00:00"/>
  </r>
  <r>
    <x v="8115"/>
    <d v="1899-12-30T00:00:16"/>
    <x v="13"/>
    <x v="0"/>
    <s v="Buffalo"/>
    <x v="572"/>
    <n v="1662670"/>
    <x v="0"/>
    <s v="Mathematics; Engineering; Engineering: Civil"/>
    <s v="9781118821251"/>
    <s v=",1,2,2,3,3,1,4,4"/>
    <n v="4"/>
    <m/>
    <m/>
    <s v="No"/>
    <x v="1"/>
    <m/>
    <m/>
    <s v="128.205.114.91"/>
    <s v="TA345.5.M38 M34 2014"/>
    <s v="510.285/53; 510.28553"/>
    <d v="2014-03-26T00:00:00"/>
  </r>
  <r>
    <x v="8116"/>
    <d v="1899-12-30T00:01:02"/>
    <x v="714"/>
    <x v="12"/>
    <s v="potsdam"/>
    <x v="713"/>
    <n v="565082"/>
    <x v="0"/>
    <s v="Education"/>
    <s v="9781118041567"/>
    <s v=",1,2,1,2,3,3,72,73,72,73,70,71,71,72,73,72,74,73,74,70,71,71,2,2,72,70,76,76,76,72"/>
    <n v="9"/>
    <m/>
    <m/>
    <s v="No"/>
    <x v="0"/>
    <d v="2015-09-10T22:29:58"/>
    <n v="7"/>
    <s v="137.143.104.94"/>
    <s v="LB1775 .P25 2010"/>
    <s v="371.1; 371.102"/>
    <d v="2010-06-08T00:00:00"/>
  </r>
  <r>
    <x v="8117"/>
    <d v="1899-12-30T00:00:00"/>
    <x v="714"/>
    <x v="12"/>
    <s v="potsdam"/>
    <x v="713"/>
    <n v="565082"/>
    <x v="0"/>
    <s v="Education"/>
    <s v="9781118041567"/>
    <m/>
    <n v="0"/>
    <m/>
    <m/>
    <s v="Yes"/>
    <x v="0"/>
    <d v="2015-09-10T22:29:58"/>
    <n v="7"/>
    <s v="137.143.104.94"/>
    <s v="LB1775 .P25 2010"/>
    <s v="371.1; 371.102"/>
    <d v="2010-06-08T00:00:00"/>
  </r>
  <r>
    <x v="8118"/>
    <d v="1899-12-30T00:00:00"/>
    <x v="714"/>
    <x v="12"/>
    <s v="potsdam"/>
    <x v="713"/>
    <n v="565082"/>
    <x v="0"/>
    <s v="Education"/>
    <s v="9781118041567"/>
    <m/>
    <n v="0"/>
    <m/>
    <m/>
    <s v="Yes"/>
    <x v="0"/>
    <d v="2015-09-10T22:29:58"/>
    <n v="7"/>
    <s v="137.143.104.94"/>
    <s v="LB1775 .P25 2010"/>
    <s v="371.1; 371.102"/>
    <d v="2010-06-08T00:00:00"/>
  </r>
  <r>
    <x v="8119"/>
    <d v="1899-12-30T00:00:08"/>
    <x v="714"/>
    <x v="12"/>
    <s v="potsdam"/>
    <x v="713"/>
    <n v="565082"/>
    <x v="0"/>
    <s v="Education"/>
    <s v="9781118041567"/>
    <s v=",1,2,3,3,1,2"/>
    <n v="3"/>
    <m/>
    <m/>
    <s v="Yes"/>
    <x v="0"/>
    <d v="2015-09-10T22:29:58"/>
    <n v="7"/>
    <s v="137.143.104.94"/>
    <s v="LB1775 .P25 2010"/>
    <s v="371.1; 371.102"/>
    <d v="2010-06-08T00:00:00"/>
  </r>
  <r>
    <x v="8120"/>
    <d v="1899-12-30T00:00:53"/>
    <x v="714"/>
    <x v="12"/>
    <s v="potsdam"/>
    <x v="713"/>
    <n v="565082"/>
    <x v="0"/>
    <s v="Education"/>
    <s v="9781118041567"/>
    <s v=",1,2,2,3,1,3,72,73,72,74,73,74,21,22,21,23,22,19,23,76,78,76,77,78,77,75,75,70,71,71"/>
    <n v="16"/>
    <m/>
    <m/>
    <s v="No"/>
    <x v="0"/>
    <d v="2015-09-10T22:29:58"/>
    <n v="7"/>
    <s v="137.143.104.94"/>
    <s v="LB1775 .P25 2010"/>
    <s v="371.1; 371.102"/>
    <d v="2010-06-08T00:00:00"/>
  </r>
  <r>
    <x v="8121"/>
    <d v="1899-12-30T00:00:09"/>
    <x v="1825"/>
    <x v="0"/>
    <s v="Buffalo"/>
    <x v="6"/>
    <n v="1635363"/>
    <x v="0"/>
    <s v="Law"/>
    <s v="9781118678206"/>
    <s v=",1,2,3"/>
    <n v="3"/>
    <m/>
    <m/>
    <s v="No"/>
    <x v="1"/>
    <m/>
    <m/>
    <s v="128.205.114.91"/>
    <s v="KF285.Z9 -- H38 2014eb"/>
    <n v="340.07600000000002"/>
    <d v="2014-02-14T00:00:00"/>
  </r>
  <r>
    <x v="8122"/>
    <d v="1899-12-30T03:15:22"/>
    <x v="990"/>
    <x v="0"/>
    <s v="Buffalo"/>
    <x v="1407"/>
    <n v="1790819"/>
    <x v="11"/>
    <s v="Religion"/>
    <s v="9780226169095"/>
    <s v=",1,2,3,62,63,64,61,60,65,66,67,68,69,70,71,72,73,74,75,76,77,78,79,80,81,82,83,84,85,86,87,88,89,90,91,92,93,94,95,96,97,98,99,100,101,102,103,104,105,106,107,109,110,110,1,112,111,109,108,107,106,2,113,114,116,1,117,118,119,115,116,2,120,114,113,122,123,1,123,124,125,121,122,120,119,2,118,117,116,126,127,128,129,130,131,132,133,134,135,136,138,140,143,145,144,146,150,151,152,148,149,147,153,154,155,156,157,158,159,160,161,162,163,165,166,166,1,168,167,164,165,163,169,2,170,171,172,173,174,175,176,177,178,179,180,181,182,183,184,185,186,187,189,190,191,1,188,189,187,185,186,184,2,193,195,1,195,197,193,194,192,191,190,2,198,1,198,199,200,196,197,2,201,195,194,193,192,191,190,189,202,203,204,205,206,207,208,210,1,211,212,209,210,208,2,214,215,216,217,218,219,220,221,222,224,225,223,8,9,10,6,7,11,282,283,12,13,14,15,16,17,18,19,20,21,22,23,24,25,26,27,28,29,30,31,32,33,34,35,36,37,38,39,40,41,42,43,44,45,46,47,48,49,50,51,52,53,54,55,56,57,58,59,60,61,62,63"/>
    <n v="220"/>
    <m/>
    <m/>
    <s v="No"/>
    <x v="2"/>
    <d v="2015-09-10T21:02:12"/>
    <n v="1"/>
    <s v="128.205.114.91"/>
    <s v="BL410"/>
    <s v="201/.50902"/>
    <d v="2014-10-20T00:00:00"/>
  </r>
  <r>
    <x v="8123"/>
    <d v="1899-12-30T00:24:38"/>
    <x v="638"/>
    <x v="1"/>
    <s v="brockport"/>
    <x v="674"/>
    <n v="980956"/>
    <x v="0"/>
    <s v="Psychology; Social Science"/>
    <s v="9781118227251"/>
    <s v=",41,42,44,48,59"/>
    <n v="5"/>
    <m/>
    <m/>
    <s v="No"/>
    <x v="0"/>
    <d v="2015-09-11T03:14:23"/>
    <n v="7"/>
    <s v="137.21.7.121"/>
    <s v="HV40 -- .T51377 2012eb"/>
    <s v="150.1023/36132"/>
    <d v="2012-07-23T00:00:00"/>
  </r>
  <r>
    <x v="8124"/>
    <d v="1899-12-30T00:00:00"/>
    <x v="1242"/>
    <x v="1"/>
    <s v="brockport"/>
    <x v="151"/>
    <n v="968030"/>
    <x v="0"/>
    <s v="Psychology"/>
    <s v="9781118285138"/>
    <m/>
    <n v="0"/>
    <m/>
    <m/>
    <s v="Yes"/>
    <x v="0"/>
    <d v="2015-09-11T03:14:01"/>
    <n v="7"/>
    <s v="137.21.7.121"/>
    <s v="BF637.C6 -- S85 2013eb"/>
    <n v="158.30000000000001"/>
    <d v="2012-07-10T00:00:00"/>
  </r>
  <r>
    <x v="8124"/>
    <d v="1899-12-30T00:00:00"/>
    <x v="1242"/>
    <x v="1"/>
    <s v="brockport"/>
    <x v="151"/>
    <n v="968030"/>
    <x v="0"/>
    <s v="Psychology"/>
    <s v="9781118285138"/>
    <m/>
    <n v="0"/>
    <m/>
    <m/>
    <s v="No"/>
    <x v="0"/>
    <d v="2015-09-11T03:14:01"/>
    <n v="7"/>
    <s v="137.21.7.121"/>
    <s v="BF637.C6 -- S85 2013eb"/>
    <n v="158.30000000000001"/>
    <d v="2012-07-10T00:00:00"/>
  </r>
  <r>
    <x v="8125"/>
    <d v="1899-12-30T00:01:39"/>
    <x v="1242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8126"/>
    <d v="1899-12-30T00:04:38"/>
    <x v="638"/>
    <x v="1"/>
    <s v="brockport"/>
    <x v="674"/>
    <n v="980956"/>
    <x v="0"/>
    <s v="Psychology; Social Science"/>
    <s v="9781118227251"/>
    <s v=",1,2,3,51,52,53,49,50,54,55,56,57,58"/>
    <n v="13"/>
    <m/>
    <m/>
    <s v="No"/>
    <x v="1"/>
    <m/>
    <m/>
    <s v="137.21.7.121"/>
    <s v="HV40 -- .T51377 2012eb"/>
    <s v="150.1023/36132"/>
    <d v="2012-07-23T00:00:00"/>
  </r>
  <r>
    <x v="8127"/>
    <d v="1899-12-30T00:02:19"/>
    <x v="634"/>
    <x v="11"/>
    <s v="cobleskill"/>
    <x v="11"/>
    <n v="693176"/>
    <x v="0"/>
    <s v="Engineering: Manufacturing; General Works/Reference; Engineering"/>
    <s v="9781118017746"/>
    <s v=",490,491,492,488,489,493,494,495,490,496,497,498,499,500,501"/>
    <n v="14"/>
    <m/>
    <m/>
    <s v="No"/>
    <x v="0"/>
    <d v="2015-09-11T02:35:19"/>
    <n v="7"/>
    <s v="137.36.32.34"/>
    <s v="Z246 -- .M43 2012eb"/>
    <s v="686.2/209"/>
    <d v="2011-10-19T00:00:00"/>
  </r>
  <r>
    <x v="8128"/>
    <d v="1899-12-30T00:18:22"/>
    <x v="714"/>
    <x v="12"/>
    <s v="potsdam"/>
    <x v="713"/>
    <n v="565082"/>
    <x v="0"/>
    <s v="Education"/>
    <s v="9781118041567"/>
    <s v=",1,2,3,60,61,62,58,59,60,63,64,65,66,67,64,65,66,62,63,67,68,69,70,71,72,73,74,61"/>
    <n v="20"/>
    <m/>
    <m/>
    <s v="No"/>
    <x v="0"/>
    <d v="2015-09-10T22:29:58"/>
    <n v="7"/>
    <s v="137.143.104.94"/>
    <s v="LB1775 .P25 2010"/>
    <s v="371.1; 371.102"/>
    <d v="2010-06-08T00:00:00"/>
  </r>
  <r>
    <x v="8129"/>
    <d v="1899-12-30T00:10:50"/>
    <x v="634"/>
    <x v="11"/>
    <s v="cobleskill"/>
    <x v="11"/>
    <n v="693176"/>
    <x v="0"/>
    <s v="Engineering: Manufacturing; General Works/Reference; Engineering"/>
    <s v="9781118017746"/>
    <s v=",1,2,3,388,390,389,386,387,391,392,393,394,395,396,397,398,399,400,401,402,403,404,405,406,407,408,503,505,506,507,503,504,508,509,510,511"/>
    <n v="35"/>
    <m/>
    <m/>
    <s v="No"/>
    <x v="1"/>
    <m/>
    <m/>
    <s v="137.36.32.34"/>
    <s v="Z246 -- .M43 2012eb"/>
    <s v="686.2/209"/>
    <d v="2011-10-19T00:00:00"/>
  </r>
  <r>
    <x v="8130"/>
    <d v="1899-12-30T00:00:34"/>
    <x v="714"/>
    <x v="12"/>
    <s v="potsdam"/>
    <x v="713"/>
    <n v="565082"/>
    <x v="0"/>
    <s v="Education"/>
    <s v="9781118041567"/>
    <s v=",1,2,3,4,5,6,60,61,62,58,59,63,64,65,66,67,70,69"/>
    <n v="18"/>
    <m/>
    <m/>
    <s v="No"/>
    <x v="0"/>
    <d v="2015-09-10T22:29:58"/>
    <n v="7"/>
    <s v="137.143.104.94"/>
    <s v="LB1775 .P25 2010"/>
    <s v="371.1; 371.102"/>
    <d v="2010-06-08T00:00:00"/>
  </r>
  <r>
    <x v="8131"/>
    <d v="1899-12-30T00:00:24"/>
    <x v="1736"/>
    <x v="1"/>
    <s v="brockport"/>
    <x v="1"/>
    <n v="1684620"/>
    <x v="0"/>
    <s v="Health; Social Science"/>
    <s v="9781118418925"/>
    <s v=",1,2,3,31,32,33,29,30,34,37,36,35,42,43,44,40,41"/>
    <n v="17"/>
    <m/>
    <m/>
    <s v="No"/>
    <x v="1"/>
    <m/>
    <m/>
    <s v="137.21.7.121"/>
    <s v="RA971 -- .S56 2014eb"/>
    <n v="362.10680000000002"/>
    <d v="2014-04-30T00:00:00"/>
  </r>
  <r>
    <x v="8132"/>
    <d v="1899-12-30T00:00:26"/>
    <x v="1822"/>
    <x v="13"/>
    <s v="buffalostate"/>
    <x v="1668"/>
    <n v="1024333"/>
    <x v="4"/>
    <s v="Education"/>
    <s v="9781462506439"/>
    <s v=",1,2,3,23,24,25,21,22"/>
    <n v="8"/>
    <m/>
    <m/>
    <s v="No"/>
    <x v="1"/>
    <m/>
    <m/>
    <s v="136.183.11.43"/>
    <s v="LB1050.42 -- .A44 2012eb"/>
    <n v="372.41"/>
    <d v="2014-05-14T00:00:00"/>
  </r>
  <r>
    <x v="8133"/>
    <d v="1899-12-30T00:00:19"/>
    <x v="989"/>
    <x v="1"/>
    <s v="brockport"/>
    <x v="519"/>
    <n v="822662"/>
    <x v="0"/>
    <s v="History"/>
    <s v="9781444355130"/>
    <s v=",1,2,3,4,5,6,44,45,46,42,47,43,48,49"/>
    <n v="14"/>
    <m/>
    <m/>
    <s v="No"/>
    <x v="0"/>
    <d v="2015-09-09T15:25:17"/>
    <n v="7"/>
    <s v="137.21.7.121"/>
    <s v="DT20 -- .R45 2012eb"/>
    <n v="960.3"/>
    <d v="2011-11-11T00:00:00"/>
  </r>
  <r>
    <x v="8134"/>
    <d v="1899-12-30T00:00:00"/>
    <x v="827"/>
    <x v="0"/>
    <s v="Buffalo"/>
    <x v="1700"/>
    <n v="1816987"/>
    <x v="7"/>
    <s v="Science; Science: Biology/Natural History"/>
    <s v="9781780641652"/>
    <m/>
    <n v="0"/>
    <m/>
    <m/>
    <s v="No"/>
    <x v="2"/>
    <d v="2015-09-10T22:46:59"/>
    <n v="1"/>
    <s v="128.205.114.91"/>
    <s v="QH353 -- .Z575 2014eb"/>
    <s v="578.6/2"/>
    <d v="2014-08-29T00:00:00"/>
  </r>
  <r>
    <x v="8135"/>
    <d v="1899-12-30T00:08:28"/>
    <x v="827"/>
    <x v="0"/>
    <s v="Buffalo"/>
    <x v="1700"/>
    <n v="1816987"/>
    <x v="7"/>
    <s v="Science; Science: Biology/Natural History"/>
    <s v="9781780641652"/>
    <s v=",1,3,2,4,34,35,36,32,33,37,38,24,13,10,9,8,11,7,12,14,15"/>
    <n v="21"/>
    <m/>
    <m/>
    <s v="No"/>
    <x v="3"/>
    <m/>
    <m/>
    <s v="128.205.114.91"/>
    <s v="QH353 -- .Z575 2014eb"/>
    <s v="578.6/2"/>
    <d v="2014-08-29T00:00:00"/>
  </r>
  <r>
    <x v="8136"/>
    <d v="1899-12-30T00:00:00"/>
    <x v="714"/>
    <x v="12"/>
    <s v="potsdam"/>
    <x v="713"/>
    <n v="565082"/>
    <x v="0"/>
    <s v="Education"/>
    <s v="9781118041567"/>
    <m/>
    <n v="0"/>
    <m/>
    <m/>
    <s v="Yes"/>
    <x v="0"/>
    <d v="2015-09-10T22:29:58"/>
    <n v="7"/>
    <s v="137.143.104.94"/>
    <s v="LB1775 .P25 2010"/>
    <s v="371.1; 371.102"/>
    <d v="2010-06-08T00:00:00"/>
  </r>
  <r>
    <x v="8136"/>
    <d v="1899-12-30T00:00:00"/>
    <x v="714"/>
    <x v="12"/>
    <s v="potsdam"/>
    <x v="713"/>
    <n v="565082"/>
    <x v="0"/>
    <s v="Education"/>
    <s v="9781118041567"/>
    <m/>
    <n v="0"/>
    <m/>
    <m/>
    <s v="No"/>
    <x v="0"/>
    <d v="2015-09-10T22:29:58"/>
    <n v="7"/>
    <s v="137.143.104.94"/>
    <s v="LB1775 .P25 2010"/>
    <s v="371.1; 371.102"/>
    <d v="2010-06-08T00:00:00"/>
  </r>
  <r>
    <x v="8137"/>
    <d v="1899-12-30T00:01:14"/>
    <x v="714"/>
    <x v="12"/>
    <s v="potsdam"/>
    <x v="713"/>
    <n v="565082"/>
    <x v="0"/>
    <s v="Education"/>
    <s v="9781118041567"/>
    <s v=",1,2,3,2,3,1,2,55,56,2,55,60,56,61,62,59,58,60,62,61,59,60,61,60,62,61,62,59,58,59,60"/>
    <n v="10"/>
    <m/>
    <m/>
    <s v="No"/>
    <x v="1"/>
    <m/>
    <m/>
    <s v="137.143.104.94"/>
    <s v="LB1775 .P25 2010"/>
    <s v="371.1; 371.102"/>
    <d v="2010-06-08T00:00:00"/>
  </r>
  <r>
    <x v="8138"/>
    <d v="1899-12-30T00:01:14"/>
    <x v="1826"/>
    <x v="2"/>
    <s v="hilbert"/>
    <x v="1701"/>
    <n v="1168209"/>
    <x v="17"/>
    <s v="Literature"/>
    <s v="9780748681020"/>
    <s v=",1,2,3,4,5,6,7,8,215,216,214,213,212,210,211,128,116,117,118,114,194,196,195,192,193"/>
    <n v="25"/>
    <m/>
    <m/>
    <s v="No"/>
    <x v="3"/>
    <m/>
    <m/>
    <s v="72.45.217.43"/>
    <s v="PR149.H57 -- W35 2013eb"/>
    <n v="820.90030000000002"/>
    <d v="2013-02-06T00:00:00"/>
  </r>
  <r>
    <x v="8139"/>
    <d v="1899-12-30T01:22:03"/>
    <x v="990"/>
    <x v="0"/>
    <s v="Buffalo"/>
    <x v="1407"/>
    <n v="1790819"/>
    <x v="11"/>
    <s v="Religion"/>
    <s v="9780226169095"/>
    <s v=",14,15,16,17,19,20,21,21,1,22,19,20,2,24,25,27,28,23,18,17,15,16,20,15,14,12,13,10,11,8,9,7,6,12,13,14,15,16,17,18,19,20,21,22,23,24,25,26,27,28,29,30,31,32,33,34,35,36,37,38,39,40,41,42,36,41,42,43,44,45,46,47,48,49,50,51,52,53,54,56,220,221,218,219,217,216,215,222,42,43,44,40,41,134,42,43,44,40,41,48,49,50,51,52,53,54,55,56,57,58,59,60,61,62,63,64,63,64"/>
    <n v="70"/>
    <m/>
    <m/>
    <s v="No"/>
    <x v="2"/>
    <d v="2015-09-10T21:02:12"/>
    <n v="1"/>
    <s v="128.205.114.91"/>
    <s v="BL410"/>
    <s v="201/.50902"/>
    <d v="2014-10-20T00:00:00"/>
  </r>
  <r>
    <x v="8140"/>
    <d v="1899-12-30T00:05:03"/>
    <x v="990"/>
    <x v="0"/>
    <s v="Buffalo"/>
    <x v="1407"/>
    <n v="1790819"/>
    <x v="11"/>
    <s v="Religion"/>
    <s v="9780226169095"/>
    <s v=",1,3,2,8,10,9,6,7,11,12,13"/>
    <n v="11"/>
    <m/>
    <m/>
    <s v="No"/>
    <x v="3"/>
    <m/>
    <m/>
    <s v="128.205.114.91"/>
    <s v="BL410"/>
    <s v="201/.50902"/>
    <d v="2014-10-20T00:00:00"/>
  </r>
  <r>
    <x v="8141"/>
    <d v="1899-12-30T00:00:00"/>
    <x v="1827"/>
    <x v="0"/>
    <s v="Buffalo"/>
    <x v="6"/>
    <n v="1635363"/>
    <x v="0"/>
    <s v="Law"/>
    <s v="9781118678206"/>
    <m/>
    <n v="0"/>
    <m/>
    <m/>
    <s v="Yes"/>
    <x v="0"/>
    <d v="2015-09-10T20:21:27"/>
    <n v="7"/>
    <s v="128.205.114.91"/>
    <s v="KF285.Z9 -- H38 2014eb"/>
    <n v="340.07600000000002"/>
    <d v="2014-02-14T00:00:00"/>
  </r>
  <r>
    <x v="8141"/>
    <d v="1899-12-30T00:00:00"/>
    <x v="1827"/>
    <x v="0"/>
    <s v="Buffalo"/>
    <x v="6"/>
    <n v="1635363"/>
    <x v="0"/>
    <s v="Law"/>
    <s v="9781118678206"/>
    <m/>
    <n v="0"/>
    <m/>
    <m/>
    <s v="No"/>
    <x v="0"/>
    <d v="2015-09-10T20:21:27"/>
    <n v="7"/>
    <s v="128.205.114.91"/>
    <s v="KF285.Z9 -- H38 2014eb"/>
    <n v="340.07600000000002"/>
    <d v="2014-02-14T00:00:00"/>
  </r>
  <r>
    <x v="8142"/>
    <d v="1899-12-30T00:01:29"/>
    <x v="1827"/>
    <x v="0"/>
    <s v="Buffalo"/>
    <x v="6"/>
    <n v="1635363"/>
    <x v="0"/>
    <s v="Law"/>
    <s v="9781118678206"/>
    <s v=",1,3,2,16,18,17,15,14,2,13,1,2,3"/>
    <n v="9"/>
    <m/>
    <m/>
    <s v="No"/>
    <x v="1"/>
    <m/>
    <m/>
    <s v="128.205.114.91"/>
    <s v="KF285.Z9 -- H38 2014eb"/>
    <n v="340.07600000000002"/>
    <d v="2014-02-14T00:00:00"/>
  </r>
  <r>
    <x v="8143"/>
    <d v="1899-12-30T00:06:41"/>
    <x v="638"/>
    <x v="1"/>
    <s v="brockport"/>
    <x v="674"/>
    <n v="980956"/>
    <x v="0"/>
    <s v="Psychology; Social Science"/>
    <s v="9781118227251"/>
    <s v=",1,3,2,535,536,533,534,539,515,516,537,533,534,539,159,147,142,115,116,98,99,100,96,97,229,230,231,227,228,232,233,234,235,236,237,238,239,240,241,334,335,336,332,333,337,338,339,340,341,342,343,344,345,346,347"/>
    <n v="52"/>
    <m/>
    <m/>
    <s v="No"/>
    <x v="1"/>
    <m/>
    <m/>
    <s v="137.21.7.121"/>
    <s v="HV40 -- .T51377 2012eb"/>
    <s v="150.1023/36132"/>
    <d v="2012-07-23T00:00:00"/>
  </r>
  <r>
    <x v="8144"/>
    <d v="1899-12-30T00:00:21"/>
    <x v="935"/>
    <x v="15"/>
    <s v="morrisville"/>
    <x v="1088"/>
    <n v="1809240"/>
    <x v="16"/>
    <s v="Social Science"/>
    <s v="9781137393630"/>
    <s v=",1,124,125,126,122,123,127,128,129,198,199,200,196,197,2"/>
    <n v="15"/>
    <m/>
    <m/>
    <s v="No"/>
    <x v="1"/>
    <m/>
    <m/>
    <s v="136.204.32.68"/>
    <s v="HM851 -- .W454 2014eb"/>
    <s v="302.23/1"/>
    <d v="2014-08-22T00:00:00"/>
  </r>
  <r>
    <x v="8145"/>
    <d v="1899-12-30T00:04:48"/>
    <x v="1769"/>
    <x v="1"/>
    <s v="brockport"/>
    <x v="151"/>
    <n v="968030"/>
    <x v="0"/>
    <s v="Psychology"/>
    <s v="9781118285138"/>
    <s v=",1,2,3,109,110,111,107,108,112,113,114,197,198,199,195,196,200,201,1,2,3"/>
    <n v="18"/>
    <m/>
    <m/>
    <s v="No"/>
    <x v="1"/>
    <m/>
    <m/>
    <s v="137.21.7.121"/>
    <s v="BF637.C6 -- S85 2013eb"/>
    <n v="158.30000000000001"/>
    <d v="2012-07-10T00:00:00"/>
  </r>
  <r>
    <x v="8146"/>
    <d v="1899-12-30T00:01:39"/>
    <x v="13"/>
    <x v="0"/>
    <s v="Buffalo"/>
    <x v="73"/>
    <n v="1119505"/>
    <x v="0"/>
    <s v="Science: Chemistry; Science"/>
    <s v="9781118355015"/>
    <s v=",1,2,3,29,30,31,28,29,27"/>
    <n v="8"/>
    <m/>
    <m/>
    <s v="No"/>
    <x v="0"/>
    <d v="2015-09-10T18:48:26"/>
    <n v="7"/>
    <s v="128.205.114.91"/>
    <s v="QD251.3 -- .S38 2013eb"/>
    <s v="547/.128"/>
    <d v="2013-01-28T00:00:00"/>
  </r>
  <r>
    <x v="8147"/>
    <d v="1899-12-30T00:00:02"/>
    <x v="13"/>
    <x v="0"/>
    <s v="Buffalo"/>
    <x v="73"/>
    <n v="1119505"/>
    <x v="0"/>
    <s v="Science: Chemistry; Science"/>
    <s v="9781118355015"/>
    <m/>
    <n v="0"/>
    <m/>
    <m/>
    <s v="No"/>
    <x v="1"/>
    <m/>
    <m/>
    <s v="128.205.114.91"/>
    <s v="QD251.3 -- .S38 2013eb"/>
    <s v="547/.128"/>
    <d v="2013-01-28T00:00:00"/>
  </r>
  <r>
    <x v="8148"/>
    <d v="1899-12-30T00:09:59"/>
    <x v="975"/>
    <x v="0"/>
    <s v="Buffalo"/>
    <x v="73"/>
    <n v="1119505"/>
    <x v="0"/>
    <s v="Science: Chemistry; Science"/>
    <s v="9781118355015"/>
    <s v=",1,2,2,3,3,1,2,2,48,49,49,50,46,48,50,47,47,45,44,43,43,42,42,45,44,46,48,49,50,51,51,47,52,52"/>
    <n v="14"/>
    <m/>
    <m/>
    <s v="No"/>
    <x v="1"/>
    <m/>
    <m/>
    <s v="128.205.114.91"/>
    <s v="QD251.3 -- .S38 2013eb"/>
    <s v="547/.128"/>
    <d v="2013-01-28T00:00:00"/>
  </r>
  <r>
    <x v="8149"/>
    <d v="1899-12-30T00:02:22"/>
    <x v="1828"/>
    <x v="0"/>
    <s v="Buffalo"/>
    <x v="150"/>
    <n v="1882108"/>
    <x v="3"/>
    <s v="Literature"/>
    <s v="9780520961326"/>
    <s v=",1,3,2,6,10,4,5,7,8,9,11,12,13,14,15,16,17,18,19,20,21,22,23,24,25,33,40,53,45,42,41,38,39,43,44,46,47,48,55,60,61,62,58,59,57,56,54,52,51,50,49"/>
    <n v="51"/>
    <m/>
    <m/>
    <s v="No"/>
    <x v="3"/>
    <m/>
    <m/>
    <s v="128.205.114.91"/>
    <s v="PA4025.A2 -- .H664 2015eb"/>
    <n v="883"/>
    <d v="2015-05-14T00:00:00"/>
  </r>
  <r>
    <x v="8150"/>
    <d v="1899-12-30T00:10:51"/>
    <x v="811"/>
    <x v="0"/>
    <s v="Buffalo"/>
    <x v="533"/>
    <n v="1760720"/>
    <x v="4"/>
    <s v="Medicine"/>
    <s v="9781462517459"/>
    <s v=",1,2,3,151,152,153,149,150,154,155,156,157,158,159,169,170,171,167,168,172,173,167,168,174,175,176,177,178,27,28,29,25,26,525,527,523,524,526,100,101,102,98,99,103,97"/>
    <n v="43"/>
    <m/>
    <s v=",151,152,169,170,171,172,173,174,175,169,170,171,172,173,174,175,176,100,99"/>
    <s v="No"/>
    <x v="0"/>
    <d v="2015-09-08T20:19:34"/>
    <n v="7"/>
    <s v="128.205.114.91"/>
    <s v="RC489.D48 -- L56 2015eb"/>
    <n v="616.89142000000004"/>
    <d v="2014-12-23T00:00:00"/>
  </r>
  <r>
    <x v="8151"/>
    <d v="1899-12-30T00:01:59"/>
    <x v="811"/>
    <x v="0"/>
    <s v="Buffalo"/>
    <x v="533"/>
    <n v="1760720"/>
    <x v="4"/>
    <s v="Medicine"/>
    <s v="9781462517459"/>
    <s v=",1,2,3,19,20,21,17,18"/>
    <n v="8"/>
    <m/>
    <m/>
    <s v="No"/>
    <x v="0"/>
    <d v="2015-09-08T20:19:34"/>
    <n v="7"/>
    <s v="128.205.114.91"/>
    <s v="RC489.D48 -- L56 2015eb"/>
    <n v="616.89142000000004"/>
    <d v="2014-12-23T00:00:00"/>
  </r>
  <r>
    <x v="8152"/>
    <d v="1899-12-30T00:00:01"/>
    <x v="459"/>
    <x v="0"/>
    <s v="Buffalo"/>
    <x v="497"/>
    <n v="1825699"/>
    <x v="1"/>
    <s v="Fine Arts"/>
    <s v="9781472409645"/>
    <s v=",140,140"/>
    <n v="1"/>
    <m/>
    <m/>
    <s v="No"/>
    <x v="2"/>
    <d v="2015-09-10T14:04:33"/>
    <n v="1"/>
    <s v="128.205.114.91"/>
    <s v="ML80.B42 -- .B43 2014eb"/>
    <n v="780.92"/>
    <d v="2014-12-28T00:00:00"/>
  </r>
  <r>
    <x v="8153"/>
    <d v="1899-12-30T00:11:40"/>
    <x v="459"/>
    <x v="0"/>
    <s v="Buffalo"/>
    <x v="497"/>
    <n v="1825699"/>
    <x v="1"/>
    <s v="Fine Arts"/>
    <s v="9781472409645"/>
    <s v=",1,1,2,3,2,3,4,4,5,5,6,6,2,2,7,7,136,137,136,137,138,134,138,135,135,139,139,134,139"/>
    <n v="13"/>
    <m/>
    <m/>
    <s v="No"/>
    <x v="3"/>
    <m/>
    <m/>
    <s v="128.205.114.91"/>
    <s v="ML80.B42 -- .B43 2014eb"/>
    <n v="780.92"/>
    <d v="2014-12-28T00:00:00"/>
  </r>
  <r>
    <x v="8154"/>
    <d v="1899-12-30T00:10:58"/>
    <x v="588"/>
    <x v="1"/>
    <s v="brockport"/>
    <x v="1"/>
    <n v="1684620"/>
    <x v="0"/>
    <s v="Health; Social Science"/>
    <s v="9781118418925"/>
    <s v=",1,2,3,71,72,73,74,70,75,76,83,84,85,81,82,86,88,89,90,92,93,94,99,100,101,104,105,106,107,102,87,91,103,98"/>
    <n v="34"/>
    <m/>
    <m/>
    <s v="No"/>
    <x v="0"/>
    <d v="2015-09-03T15:25:16"/>
    <n v="7"/>
    <s v="137.21.7.121"/>
    <s v="RA971 -- .S56 2014eb"/>
    <n v="362.10680000000002"/>
    <d v="2014-04-30T00:00:00"/>
  </r>
  <r>
    <x v="8155"/>
    <d v="1899-12-30T00:09:36"/>
    <x v="13"/>
    <x v="0"/>
    <s v="Buffalo"/>
    <x v="73"/>
    <n v="1119505"/>
    <x v="0"/>
    <s v="Science: Chemistry; Science"/>
    <s v="9781118355015"/>
    <s v=",1,2,3,29,30,31,27,28,29,30,29"/>
    <n v="8"/>
    <m/>
    <m/>
    <s v="No"/>
    <x v="0"/>
    <d v="2015-09-03T17:44:21"/>
    <n v="7"/>
    <s v="128.205.114.91"/>
    <s v="QD251.3 -- .S38 2013eb"/>
    <s v="547/.128"/>
    <d v="2013-01-28T00:00:00"/>
  </r>
  <r>
    <x v="8156"/>
    <d v="1899-12-30T00:15:42"/>
    <x v="973"/>
    <x v="0"/>
    <s v="Buffalo"/>
    <x v="161"/>
    <n v="821663"/>
    <x v="0"/>
    <s v="Architecture"/>
    <s v="9781118168479"/>
    <s v=",1,2,3,87,88,89,85,86,90,91,92,93,94,95,96,97,98,100"/>
    <n v="18"/>
    <m/>
    <m/>
    <s v="No"/>
    <x v="0"/>
    <d v="2015-09-10T02:29:13"/>
    <n v="7"/>
    <s v="128.205.114.91"/>
    <s v="NA2547 -- .S74 2012eb"/>
    <n v="729"/>
    <d v="2012-03-05T00:00:00"/>
  </r>
  <r>
    <x v="8157"/>
    <d v="1899-12-30T00:03:12"/>
    <x v="13"/>
    <x v="0"/>
    <s v="Buffalo"/>
    <x v="73"/>
    <n v="1119505"/>
    <x v="0"/>
    <s v="Science: Chemistry; Science"/>
    <s v="9781118355015"/>
    <s v=",1,2,3,24,25,26,22,23,24,25,26"/>
    <n v="8"/>
    <m/>
    <m/>
    <s v="No"/>
    <x v="0"/>
    <d v="2015-09-03T17:44:21"/>
    <n v="7"/>
    <s v="128.205.114.91"/>
    <s v="QD251.3 -- .S38 2013eb"/>
    <s v="547/.128"/>
    <d v="2013-01-28T00:00:00"/>
  </r>
  <r>
    <x v="8158"/>
    <d v="1899-12-30T00:00:00"/>
    <x v="973"/>
    <x v="0"/>
    <s v="Buffalo"/>
    <x v="161"/>
    <n v="821663"/>
    <x v="0"/>
    <s v="Architecture"/>
    <s v="9781118168479"/>
    <m/>
    <n v="0"/>
    <m/>
    <s v=",87,87,87,88,89,90,90,91,92,93,94,95,96,97,98,99,100,101,102,102,103,104,105,106,106,107,108,109,110,111,111,111,112,112,113,114,115"/>
    <s v="No"/>
    <x v="0"/>
    <d v="2015-09-10T02:29:13"/>
    <n v="7"/>
    <s v="128.205.114.91"/>
    <s v="NA2547 -- .S74 2012eb"/>
    <n v="729"/>
    <d v="2012-03-05T00:00:00"/>
  </r>
  <r>
    <x v="8159"/>
    <d v="1899-12-30T00:01:16"/>
    <x v="973"/>
    <x v="0"/>
    <s v="Buffalo"/>
    <x v="161"/>
    <n v="821663"/>
    <x v="0"/>
    <s v="Architecture"/>
    <s v="9781118168479"/>
    <s v=",1,3,2"/>
    <n v="3"/>
    <m/>
    <m/>
    <s v="No"/>
    <x v="1"/>
    <m/>
    <m/>
    <s v="128.205.114.91"/>
    <s v="NA2547 -- .S74 2012eb"/>
    <n v="729"/>
    <d v="2012-03-05T00:00:00"/>
  </r>
  <r>
    <x v="8160"/>
    <d v="1899-12-30T00:01:47"/>
    <x v="709"/>
    <x v="13"/>
    <s v="buffalostate"/>
    <x v="516"/>
    <n v="1840835"/>
    <x v="0"/>
    <s v="Business/Management; Economics"/>
    <s v="9781118950166"/>
    <s v=",1,2,3,4,5,6,7,8,9,10,5,25,25,31,26"/>
    <n v="13"/>
    <m/>
    <m/>
    <s v="No"/>
    <x v="1"/>
    <m/>
    <m/>
    <s v="136.183.11.43"/>
    <s v="HD9969.S6 .R384 2014"/>
    <n v="338.10923789999998"/>
    <d v="2014-11-10T00:00:00"/>
  </r>
  <r>
    <x v="8161"/>
    <d v="1899-12-30T00:02:20"/>
    <x v="1829"/>
    <x v="0"/>
    <s v="Buffalo"/>
    <x v="728"/>
    <n v="1872281"/>
    <x v="4"/>
    <s v="Education; Business/Management"/>
    <s v="9781462519606"/>
    <s v=",1,2,3,4,5,6,7,8,9,10,11,12,179,181,180,178,177,238,239,237,240,236,274,275,276,272,273,285,287,286,283,284,319,321,320,318,317,322"/>
    <n v="38"/>
    <m/>
    <m/>
    <s v="No"/>
    <x v="0"/>
    <d v="2015-09-09T19:21:40"/>
    <n v="7"/>
    <s v="128.205.114.91"/>
    <s v="HD75 -- .P448 2015eb"/>
    <n v="378.101"/>
    <d v="2015-05-26T00:00:00"/>
  </r>
  <r>
    <x v="8162"/>
    <d v="1899-12-30T00:03:06"/>
    <x v="1829"/>
    <x v="0"/>
    <s v="Buffalo"/>
    <x v="728"/>
    <n v="1872281"/>
    <x v="4"/>
    <s v="Education; Business/Management"/>
    <s v="9781462519606"/>
    <s v=",41,42,43,41,42,39,39,41,44,45"/>
    <n v="6"/>
    <s v=",39"/>
    <m/>
    <s v="Yes"/>
    <x v="0"/>
    <d v="2015-09-09T19:21:40"/>
    <n v="7"/>
    <s v="128.205.114.91"/>
    <s v="HD75 -- .P448 2015eb"/>
    <n v="378.101"/>
    <d v="2015-05-26T00:00:00"/>
  </r>
  <r>
    <x v="8163"/>
    <d v="1899-12-30T00:01:01"/>
    <x v="1829"/>
    <x v="0"/>
    <s v="Buffalo"/>
    <x v="728"/>
    <n v="1872281"/>
    <x v="4"/>
    <s v="Education; Business/Management"/>
    <s v="9781462519606"/>
    <s v=",1,2,3,1,17,21,22,27,28,41,22,32,41,39,41,42,43,39,39,30,40"/>
    <n v="15"/>
    <s v=",17"/>
    <m/>
    <s v="No"/>
    <x v="0"/>
    <d v="2015-09-09T19:21:40"/>
    <n v="7"/>
    <s v="128.205.114.91"/>
    <s v="HD75 -- .P448 2015eb"/>
    <n v="378.101"/>
    <d v="2015-05-26T00:00:00"/>
  </r>
  <r>
    <x v="8164"/>
    <d v="1899-12-30T00:01:50"/>
    <x v="88"/>
    <x v="0"/>
    <s v="Buffalo"/>
    <x v="1702"/>
    <n v="1698625"/>
    <x v="1"/>
    <s v="Literature"/>
    <s v="9781472410467"/>
    <s v=",1,2,3,44,45,46,42,43,47,48,49,50,51,52,53,54,55,56,57,58,59,60,61,62,63"/>
    <n v="25"/>
    <m/>
    <m/>
    <s v="No"/>
    <x v="3"/>
    <m/>
    <m/>
    <s v="128.205.114.91"/>
    <s v="PR428.W63 -- .F46 2014eb"/>
    <s v="820.9/9287"/>
    <d v="2014-07-28T00:00:00"/>
  </r>
  <r>
    <x v="8165"/>
    <d v="1899-12-30T00:10:11"/>
    <x v="588"/>
    <x v="1"/>
    <s v="brockport"/>
    <x v="1"/>
    <n v="1684620"/>
    <x v="0"/>
    <s v="Health; Social Science"/>
    <s v="9781118418925"/>
    <s v=",1,2,3,55,56,57,53,54,58,60,61,62,63,64,65,66,67,68,69,70,71,72"/>
    <n v="22"/>
    <m/>
    <m/>
    <s v="No"/>
    <x v="0"/>
    <d v="2015-09-03T15:25:16"/>
    <n v="7"/>
    <s v="137.21.7.121"/>
    <s v="RA971 -- .S56 2014eb"/>
    <n v="362.10680000000002"/>
    <d v="2014-04-30T00:00:00"/>
  </r>
  <r>
    <x v="8166"/>
    <d v="1899-12-30T00:02:38"/>
    <x v="588"/>
    <x v="1"/>
    <s v="brockport"/>
    <x v="1"/>
    <n v="1684620"/>
    <x v="0"/>
    <s v="Health; Social Science"/>
    <s v="9781118418925"/>
    <s v=",1,2,3,1,3,4,5"/>
    <n v="5"/>
    <m/>
    <m/>
    <s v="No"/>
    <x v="0"/>
    <d v="2015-09-03T15:25:16"/>
    <n v="7"/>
    <s v="137.21.7.121"/>
    <s v="RA971 -- .S56 2014eb"/>
    <n v="362.10680000000002"/>
    <d v="2014-04-30T00:00:00"/>
  </r>
  <r>
    <x v="8167"/>
    <d v="1899-12-30T00:00:16"/>
    <x v="1830"/>
    <x v="13"/>
    <s v="buffalostate"/>
    <x v="1703"/>
    <n v="2049516"/>
    <x v="1"/>
    <s v="Law"/>
    <s v="9781472457790"/>
    <s v=",1,2,3,4,5,6,7,8,10,9,11"/>
    <n v="11"/>
    <m/>
    <m/>
    <s v="No"/>
    <x v="3"/>
    <m/>
    <m/>
    <s v="136.183.11.43"/>
    <s v="K3268.3 .T69 2015"/>
    <s v="342.08/3; 342.083; 342.08''3"/>
    <d v="2015-06-26T00:00:00"/>
  </r>
  <r>
    <x v="8168"/>
    <d v="1899-12-30T00:04:13"/>
    <x v="1831"/>
    <x v="0"/>
    <s v="Buffalo"/>
    <x v="1704"/>
    <n v="821764"/>
    <x v="0"/>
    <s v="Language/Linguistics"/>
    <s v="9781118222010"/>
    <s v=",1,2,3,20,21,22,18,19,25,26,27,23,24,28,29,30"/>
    <n v="16"/>
    <m/>
    <m/>
    <s v="No"/>
    <x v="1"/>
    <m/>
    <m/>
    <s v="128.205.114.91"/>
    <s v="PC4112 -- .K73 2012eb"/>
    <n v="468.24209999999999"/>
    <d v="2012-03-30T00:00:00"/>
  </r>
  <r>
    <x v="8169"/>
    <d v="1899-12-30T00:00:04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8170"/>
    <d v="1899-12-30T00:00:22"/>
    <x v="1832"/>
    <x v="1"/>
    <s v="brockport"/>
    <x v="1705"/>
    <n v="1692770"/>
    <x v="1"/>
    <s v="Religion"/>
    <s v="9781409436959"/>
    <s v=",242,244,245,246,248,250"/>
    <n v="6"/>
    <m/>
    <m/>
    <s v="No"/>
    <x v="2"/>
    <d v="2015-09-09T20:44:43"/>
    <n v="1"/>
    <s v="137.21.7.121"/>
    <s v="BV193.G7 -- .S44 2014eb"/>
    <s v="264/.059"/>
    <d v="2014-07-28T00:00:00"/>
  </r>
  <r>
    <x v="8171"/>
    <d v="1899-12-30T00:00:00"/>
    <x v="1833"/>
    <x v="0"/>
    <s v="Buffalo"/>
    <x v="728"/>
    <n v="1872281"/>
    <x v="4"/>
    <s v="Education; Business/Management"/>
    <s v="9781462519606"/>
    <m/>
    <n v="0"/>
    <m/>
    <s v=",135,136,137,138,139,140,141,142,143,144,145,146,147,151,152,153,159,160,161,162,163,164,165,166,167,168,169,170,171,172,173,174,175,176,179,180,181,182,183,184,185,186,187,188,189,190,191,192,193,194,195,196,197,198,199,200,201,202,203,204,205,206,207,208,209,210,211,212,213,214,220,221,222,223,224,225,236,237"/>
    <s v="No"/>
    <x v="0"/>
    <d v="2015-09-09T20:22:45"/>
    <n v="7"/>
    <s v="128.205.114.91"/>
    <s v="HD75 -- .P448 2015eb"/>
    <n v="378.101"/>
    <d v="2015-05-26T00:00:00"/>
  </r>
  <r>
    <x v="8172"/>
    <d v="1899-12-30T00:00:08"/>
    <x v="1833"/>
    <x v="0"/>
    <s v="Buffalo"/>
    <x v="728"/>
    <n v="1872281"/>
    <x v="4"/>
    <s v="Education; Business/Management"/>
    <s v="9781462519606"/>
    <s v=",1,2,3,4"/>
    <n v="4"/>
    <m/>
    <m/>
    <s v="No"/>
    <x v="1"/>
    <m/>
    <m/>
    <s v="128.205.114.91"/>
    <s v="HD75 -- .P448 2015eb"/>
    <n v="378.101"/>
    <d v="2015-05-26T00:00:00"/>
  </r>
  <r>
    <x v="8173"/>
    <d v="1899-12-30T00:22:38"/>
    <x v="1832"/>
    <x v="1"/>
    <s v="brockport"/>
    <x v="1705"/>
    <n v="1692770"/>
    <x v="1"/>
    <s v="Religion"/>
    <s v="9781409436959"/>
    <s v=",1,234,236,232,237,238,2,239,240,241,243,235"/>
    <n v="12"/>
    <m/>
    <m/>
    <s v="No"/>
    <x v="3"/>
    <m/>
    <m/>
    <s v="137.21.7.121"/>
    <s v="BV193.G7 -- .S44 2014eb"/>
    <s v="264/.059"/>
    <d v="2014-07-28T00:00:00"/>
  </r>
  <r>
    <x v="8174"/>
    <d v="1899-12-30T00:01:56"/>
    <x v="1562"/>
    <x v="6"/>
    <s v="sjfc"/>
    <x v="1326"/>
    <n v="1443883"/>
    <x v="0"/>
    <s v="Mathematics"/>
    <s v="9781118552032"/>
    <s v=",1,2,3,4"/>
    <n v="4"/>
    <m/>
    <m/>
    <s v="No"/>
    <x v="1"/>
    <m/>
    <m/>
    <s v="149.69.254.57"/>
    <s v="QA162"/>
    <n v="512"/>
    <d v="2013-09-30T00:00:00"/>
  </r>
  <r>
    <x v="8175"/>
    <d v="1899-12-30T00:00:48"/>
    <x v="1834"/>
    <x v="0"/>
    <s v="Buffalo"/>
    <x v="140"/>
    <n v="1315428"/>
    <x v="10"/>
    <s v="Mathematics"/>
    <s v="9781400841684"/>
    <s v=",1,2,2,3,1,3,1,2,2"/>
    <n v="3"/>
    <m/>
    <m/>
    <s v="No"/>
    <x v="1"/>
    <m/>
    <m/>
    <s v="128.205.114.91"/>
    <s v="QA211 -- .M16 2012eb"/>
    <n v="512.94000000000005"/>
    <d v="2012-04-09T00:00:00"/>
  </r>
  <r>
    <x v="8176"/>
    <d v="1899-12-30T00:02:22"/>
    <x v="13"/>
    <x v="0"/>
    <s v="Buffalo"/>
    <x v="728"/>
    <n v="1872281"/>
    <x v="4"/>
    <s v="Education; Business/Management"/>
    <s v="9781462519606"/>
    <s v=",1,2,3,4,5,6,7"/>
    <n v="7"/>
    <s v=",1"/>
    <m/>
    <s v="No"/>
    <x v="0"/>
    <d v="2015-09-03T02:14:15"/>
    <n v="7"/>
    <s v="128.205.114.91"/>
    <s v="HD75 -- .P448 2015eb"/>
    <n v="378.101"/>
    <d v="2015-05-26T00:00:00"/>
  </r>
  <r>
    <x v="8177"/>
    <d v="1899-12-30T00:00:08"/>
    <x v="13"/>
    <x v="0"/>
    <s v="Buffalo"/>
    <x v="728"/>
    <n v="1872281"/>
    <x v="4"/>
    <s v="Education; Business/Management"/>
    <s v="9781462519606"/>
    <s v=",1,2,3"/>
    <n v="3"/>
    <m/>
    <m/>
    <s v="No"/>
    <x v="0"/>
    <d v="2015-09-03T02:14:15"/>
    <n v="7"/>
    <s v="128.205.114.91"/>
    <s v="HD75 -- .P448 2015eb"/>
    <n v="378.101"/>
    <d v="2015-05-26T00:00:00"/>
  </r>
  <r>
    <x v="8178"/>
    <d v="1899-12-30T00:00:04"/>
    <x v="13"/>
    <x v="0"/>
    <s v="Buffalo"/>
    <x v="728"/>
    <n v="1872281"/>
    <x v="4"/>
    <s v="Education; Business/Management"/>
    <s v="9781462519606"/>
    <s v=",1,2,3"/>
    <n v="3"/>
    <m/>
    <m/>
    <s v="No"/>
    <x v="0"/>
    <d v="2015-09-03T02:14:15"/>
    <n v="7"/>
    <s v="128.205.114.91"/>
    <s v="HD75 -- .P448 2015eb"/>
    <n v="378.101"/>
    <d v="2015-05-26T00:00:00"/>
  </r>
  <r>
    <x v="8179"/>
    <d v="1899-12-30T00:03:12"/>
    <x v="1758"/>
    <x v="1"/>
    <s v="brockport"/>
    <x v="1"/>
    <n v="1684620"/>
    <x v="0"/>
    <s v="Health; Social Science"/>
    <s v="9781118418925"/>
    <s v=",1,2,3,13,14,15,11,12,25,26,27,24,23,28"/>
    <n v="14"/>
    <m/>
    <m/>
    <s v="No"/>
    <x v="0"/>
    <d v="2015-09-09T18:33:14"/>
    <n v="7"/>
    <s v="137.21.7.121"/>
    <s v="RA971 -- .S56 2014eb"/>
    <n v="362.10680000000002"/>
    <d v="2014-04-30T00:00:00"/>
  </r>
  <r>
    <x v="8180"/>
    <d v="1899-12-30T00:02:26"/>
    <x v="1829"/>
    <x v="0"/>
    <s v="Buffalo"/>
    <x v="728"/>
    <n v="1872281"/>
    <x v="4"/>
    <s v="Education; Business/Management"/>
    <s v="9781462519606"/>
    <s v=",135,136,137,133,134,236,237,238,234,235,239,240,134,174,137,175,176,177,173,179,180,181,178,236,237,238,239,235"/>
    <n v="21"/>
    <m/>
    <s v=",135,136,137,138,139,140,141,142,143,144,145,146,147,148,149,150,151,152,153,154,155,156,157,158,159,160,161,162,163,164,165,166,167,168,169,170,171,172,173,174,175"/>
    <s v="No"/>
    <x v="0"/>
    <d v="2015-09-09T19:21:40"/>
    <n v="7"/>
    <s v="128.205.114.91"/>
    <s v="HD75 -- .P448 2015eb"/>
    <n v="378.101"/>
    <d v="2015-05-26T00:00:00"/>
  </r>
  <r>
    <x v="8181"/>
    <d v="1899-12-30T00:00:09"/>
    <x v="1829"/>
    <x v="0"/>
    <s v="Buffalo"/>
    <x v="728"/>
    <n v="1872281"/>
    <x v="4"/>
    <s v="Education; Business/Management"/>
    <s v="9781462519606"/>
    <s v=",1,2,3"/>
    <n v="3"/>
    <m/>
    <m/>
    <s v="No"/>
    <x v="1"/>
    <m/>
    <m/>
    <s v="128.205.114.91"/>
    <s v="HD75 -- .P448 2015eb"/>
    <n v="378.101"/>
    <d v="2015-05-26T00:00:00"/>
  </r>
  <r>
    <x v="8182"/>
    <d v="1899-12-30T00:00:05"/>
    <x v="1803"/>
    <x v="0"/>
    <s v="Buffalo"/>
    <x v="552"/>
    <n v="1294909"/>
    <x v="3"/>
    <s v="Economics; Business/Management"/>
    <s v="9780520956797"/>
    <s v=",2"/>
    <n v="1"/>
    <m/>
    <s v=",26,27,28,29,30,31,32,33,34,35,36,37,38,39,40,41,42,43,44,45,46,47,48,49,50,51,52,53,26,27,28,29,30,31,32,33,34,35,36,37,38,39,40,41,42,43,44,45,46,47,48,49,50,51,52,53,26,27,28,29,30,31,32,33,34,35,36,37,38,39,40,41,42,43,44,45,46,47,48,49,50,51,52,53"/>
    <s v="No"/>
    <x v="0"/>
    <d v="2015-09-09T18:59:15"/>
    <n v="7"/>
    <s v="128.205.114.91"/>
    <s v="HC110.P6 -- I25 2013eb"/>
    <s v="339.4/60973"/>
    <d v="2013-08-01T00:00:00"/>
  </r>
  <r>
    <x v="8183"/>
    <d v="1899-12-30T00:00:00"/>
    <x v="13"/>
    <x v="0"/>
    <s v="Buffalo"/>
    <x v="728"/>
    <n v="1872281"/>
    <x v="4"/>
    <s v="Education; Business/Management"/>
    <s v="9781462519606"/>
    <m/>
    <n v="0"/>
    <m/>
    <m/>
    <s v="Yes"/>
    <x v="0"/>
    <d v="2015-09-03T02:14:15"/>
    <n v="7"/>
    <s v="128.205.114.91"/>
    <s v="HD75 -- .P448 2015eb"/>
    <n v="378.101"/>
    <d v="2015-05-26T00:00:00"/>
  </r>
  <r>
    <x v="8184"/>
    <d v="1899-12-30T00:00:17"/>
    <x v="1803"/>
    <x v="0"/>
    <s v="Buffalo"/>
    <x v="552"/>
    <n v="1294909"/>
    <x v="3"/>
    <s v="Economics; Business/Management"/>
    <s v="9780520956797"/>
    <s v=",1,2,3,26,27,28,24,25"/>
    <n v="8"/>
    <m/>
    <m/>
    <s v="No"/>
    <x v="1"/>
    <m/>
    <m/>
    <s v="128.205.114.91"/>
    <s v="HC110.P6 -- I25 2013eb"/>
    <s v="339.4/60973"/>
    <d v="2013-08-01T00:00:00"/>
  </r>
  <r>
    <x v="8185"/>
    <d v="1899-12-30T00:00:31"/>
    <x v="13"/>
    <x v="0"/>
    <s v="Buffalo"/>
    <x v="728"/>
    <n v="1872281"/>
    <x v="4"/>
    <s v="Education; Business/Management"/>
    <s v="9781462519606"/>
    <s v=",1,2,1,1,2,3,3,2,2"/>
    <n v="3"/>
    <m/>
    <m/>
    <s v="No"/>
    <x v="0"/>
    <d v="2015-09-03T02:14:15"/>
    <n v="7"/>
    <s v="128.205.114.91"/>
    <s v="HD75 -- .P448 2015eb"/>
    <n v="378.101"/>
    <d v="2015-05-26T00:00:00"/>
  </r>
  <r>
    <x v="8186"/>
    <d v="1899-12-30T00:00:02"/>
    <x v="1758"/>
    <x v="1"/>
    <s v="brockport"/>
    <x v="1"/>
    <n v="1684620"/>
    <x v="0"/>
    <s v="Health; Social Science"/>
    <s v="9781118418925"/>
    <s v=",16,17,18"/>
    <n v="3"/>
    <m/>
    <m/>
    <s v="No"/>
    <x v="0"/>
    <d v="2015-09-09T18:33:14"/>
    <n v="7"/>
    <s v="137.21.7.121"/>
    <s v="RA971 -- .S56 2014eb"/>
    <n v="362.10680000000002"/>
    <d v="2014-04-30T00:00:00"/>
  </r>
  <r>
    <x v="8187"/>
    <d v="1899-12-30T00:00:19"/>
    <x v="989"/>
    <x v="1"/>
    <s v="brockport"/>
    <x v="519"/>
    <n v="822662"/>
    <x v="0"/>
    <s v="History"/>
    <s v="9781444355130"/>
    <s v=",1,2,3,4,5,6,7,8,9,10,11,12,13"/>
    <n v="13"/>
    <m/>
    <m/>
    <s v="No"/>
    <x v="0"/>
    <d v="2015-09-09T15:25:17"/>
    <n v="7"/>
    <s v="137.21.7.121"/>
    <s v="DT20 -- .R45 2012eb"/>
    <n v="960.3"/>
    <d v="2011-11-11T00:00:00"/>
  </r>
  <r>
    <x v="8188"/>
    <d v="1899-12-30T00:20:02"/>
    <x v="1758"/>
    <x v="1"/>
    <s v="brockport"/>
    <x v="1"/>
    <n v="1684620"/>
    <x v="0"/>
    <s v="Health; Social Science"/>
    <s v="9781118418925"/>
    <s v=",1,2,3,13,14,15,11,12"/>
    <n v="8"/>
    <m/>
    <m/>
    <s v="No"/>
    <x v="1"/>
    <m/>
    <m/>
    <s v="137.21.7.121"/>
    <s v="RA971 -- .S56 2014eb"/>
    <n v="362.10680000000002"/>
    <d v="2014-04-30T00:00:00"/>
  </r>
  <r>
    <x v="8189"/>
    <d v="1899-12-30T00:40:18"/>
    <x v="1835"/>
    <x v="0"/>
    <s v="Buffalo"/>
    <x v="6"/>
    <n v="1635363"/>
    <x v="0"/>
    <s v="Law"/>
    <s v="9781118678206"/>
    <s v=",28,29,30,31,32,33,34,35,36,37,38,39,40,41,42,43,44,45,46,47,48,49,50,51,52,53,54,55,56,57,58"/>
    <n v="31"/>
    <m/>
    <m/>
    <s v="No"/>
    <x v="0"/>
    <d v="2015-09-09T17:53:01"/>
    <n v="7"/>
    <s v="128.205.114.91"/>
    <s v="KF285.Z9 -- H38 2014eb"/>
    <n v="340.07600000000002"/>
    <d v="2014-02-14T00:00:00"/>
  </r>
  <r>
    <x v="8190"/>
    <d v="1899-12-30T00:32:06"/>
    <x v="1835"/>
    <x v="0"/>
    <s v="Buffalo"/>
    <x v="6"/>
    <n v="1635363"/>
    <x v="0"/>
    <s v="Law"/>
    <s v="9781118678206"/>
    <s v=",1,2,3,1,19,21,21,22,23,19,20,24,25,26,27"/>
    <n v="12"/>
    <m/>
    <m/>
    <s v="No"/>
    <x v="1"/>
    <m/>
    <m/>
    <s v="128.205.114.91"/>
    <s v="KF285.Z9 -- H38 2014eb"/>
    <n v="340.07600000000002"/>
    <d v="2014-02-14T00:00:00"/>
  </r>
  <r>
    <x v="8191"/>
    <d v="1899-12-30T00:00:50"/>
    <x v="1836"/>
    <x v="8"/>
    <s v="niagaracc"/>
    <x v="976"/>
    <n v="967750"/>
    <x v="15"/>
    <s v="History"/>
    <s v="9781441116635"/>
    <s v=",1,2,3,127,128,125"/>
    <n v="6"/>
    <m/>
    <m/>
    <s v="No"/>
    <x v="1"/>
    <m/>
    <m/>
    <s v="132.174.254.37"/>
    <s v="DE86"/>
    <n v="937"/>
    <d v="2012-06-21T00:00:00"/>
  </r>
  <r>
    <x v="8192"/>
    <d v="1899-12-30T00:00:13"/>
    <x v="1835"/>
    <x v="0"/>
    <s v="Buffalo"/>
    <x v="6"/>
    <n v="1635363"/>
    <x v="0"/>
    <s v="Law"/>
    <s v="9781118678206"/>
    <s v=",1,2,3,4,5,6"/>
    <n v="6"/>
    <m/>
    <m/>
    <s v="No"/>
    <x v="1"/>
    <m/>
    <m/>
    <s v="128.205.114.91"/>
    <s v="KF285.Z9 -- H38 2014eb"/>
    <n v="340.07600000000002"/>
    <d v="2014-02-14T00:00:00"/>
  </r>
  <r>
    <x v="8193"/>
    <d v="1899-12-30T00:00:00"/>
    <x v="989"/>
    <x v="1"/>
    <s v="brockport"/>
    <x v="519"/>
    <n v="822662"/>
    <x v="0"/>
    <s v="History"/>
    <s v="9781444355130"/>
    <s v=",120"/>
    <n v="1"/>
    <m/>
    <m/>
    <s v="No"/>
    <x v="0"/>
    <d v="2015-09-09T15:25:17"/>
    <n v="7"/>
    <s v="137.21.7.121"/>
    <s v="DT20 -- .R45 2012eb"/>
    <n v="960.3"/>
    <d v="2011-11-11T00:00:00"/>
  </r>
  <r>
    <x v="8194"/>
    <d v="1899-12-30T00:18:30"/>
    <x v="989"/>
    <x v="1"/>
    <s v="brockport"/>
    <x v="519"/>
    <n v="822662"/>
    <x v="0"/>
    <s v="History"/>
    <s v="9781444355130"/>
    <s v=",1,2,3,123,124,125,121,122,126,127"/>
    <n v="10"/>
    <m/>
    <m/>
    <s v="No"/>
    <x v="1"/>
    <m/>
    <m/>
    <s v="137.21.7.121"/>
    <s v="DT20 -- .R45 2012eb"/>
    <n v="960.3"/>
    <d v="2011-11-11T00:00:00"/>
  </r>
  <r>
    <x v="8195"/>
    <d v="1899-12-30T01:07:29"/>
    <x v="1800"/>
    <x v="0"/>
    <s v="Buffalo"/>
    <x v="6"/>
    <n v="1635363"/>
    <x v="0"/>
    <s v="Law"/>
    <s v="9781118678206"/>
    <s v=",29,30,31,32,33,34,35,36,37,38,39,40,41,42,43,44,45,46,47,48,49,50,51,52,53,54,55,56,57,84,85,86,82,83,433,434,430,81,80,78,79,76,72,70,71,68,69,67,65,66,63,64,61,62,60,55,56,52,53,57,58,59,60,55,54,53,52,57,58,59,60,61,62,63,64,65,57,55,56,66,67,68,69,180,181,182,178,179"/>
    <n v="62"/>
    <m/>
    <m/>
    <s v="No"/>
    <x v="0"/>
    <d v="2015-09-09T14:16:58"/>
    <n v="7"/>
    <s v="128.205.114.91"/>
    <s v="KF285.Z9 -- H38 2014eb"/>
    <n v="340.07600000000002"/>
    <d v="2014-02-14T00:00:00"/>
  </r>
  <r>
    <x v="8196"/>
    <d v="1899-12-30T00:10:09"/>
    <x v="1800"/>
    <x v="0"/>
    <s v="Buffalo"/>
    <x v="6"/>
    <n v="1635363"/>
    <x v="0"/>
    <s v="Law"/>
    <s v="9781118678206"/>
    <s v=",1,3,2,4,5,6,7,8,9,10,11,12,13,14,15,16,17,18,19,20,21,22,23,24,25,26,27,28"/>
    <n v="28"/>
    <m/>
    <m/>
    <s v="No"/>
    <x v="1"/>
    <m/>
    <m/>
    <s v="128.205.114.91"/>
    <s v="KF285.Z9 -- H38 2014eb"/>
    <n v="340.07600000000002"/>
    <d v="2014-02-14T00:00:00"/>
  </r>
  <r>
    <x v="8197"/>
    <d v="1899-12-30T00:00:00"/>
    <x v="209"/>
    <x v="0"/>
    <s v="Buffalo"/>
    <x v="669"/>
    <n v="1742841"/>
    <x v="4"/>
    <s v="Medicine"/>
    <s v="9781462516445"/>
    <m/>
    <n v="0"/>
    <m/>
    <s v=",80,81,82,83,84,85,86,87,88,89,90,91,92,93,94,95,96,97,98,99"/>
    <s v="No"/>
    <x v="0"/>
    <d v="2015-09-09T14:03:31"/>
    <n v="7"/>
    <s v="128.205.114.91"/>
    <s v="RC537 -- .H3376 2014eb"/>
    <n v="616.85270000000003"/>
    <d v="2014-10-22T00:00:00"/>
  </r>
  <r>
    <x v="8198"/>
    <d v="1899-12-30T00:01:10"/>
    <x v="209"/>
    <x v="0"/>
    <s v="Buffalo"/>
    <x v="669"/>
    <n v="1742841"/>
    <x v="4"/>
    <s v="Medicine"/>
    <s v="9781462516445"/>
    <s v=",1,2,3,80,81,82,78,79,83,84,85,86,87,88,89,2,90,91,92,93,94,95,79,78,80"/>
    <n v="21"/>
    <m/>
    <m/>
    <s v="No"/>
    <x v="1"/>
    <m/>
    <m/>
    <s v="128.205.114.91"/>
    <s v="RC537 -- .H3376 2014eb"/>
    <n v="616.85270000000003"/>
    <d v="2014-10-22T00:00:00"/>
  </r>
  <r>
    <x v="8199"/>
    <d v="1899-12-30T00:28:04"/>
    <x v="1788"/>
    <x v="1"/>
    <s v="brockport"/>
    <x v="1706"/>
    <n v="1711006"/>
    <x v="3"/>
    <s v="Business/Management"/>
    <s v="9780520957886"/>
    <s v=",23,40,41,42,38,39,43,69,70,71,67,68,66,72,73,74,75,76,64,65,66,62,63,77,78,79,80,81,82,295,296,293,294,298,299,319,320,321,317,318,322,324,325,326,327,328,329,330,23,38,43,44,45,46,47,6,4,38,37,16,5,4,7,8,9,6,10,11,12,13,14,15,16,23,24,25,26,27,28,29,30,31,32"/>
    <n v="74"/>
    <m/>
    <m/>
    <s v="No"/>
    <x v="2"/>
    <d v="2015-09-09T13:56:00"/>
    <n v="1"/>
    <s v="137.21.7.121"/>
    <s v="HD9199.D442 -- .J344 2014eb"/>
    <n v="382.41"/>
    <d v="2014-09-12T00:00:00"/>
  </r>
  <r>
    <x v="8200"/>
    <d v="1899-12-30T00:05:41"/>
    <x v="1788"/>
    <x v="1"/>
    <s v="brockport"/>
    <x v="1706"/>
    <n v="1711006"/>
    <x v="3"/>
    <s v="Business/Management"/>
    <s v="9780520957886"/>
    <s v=",1,2,3,19,20,21,17,18,22"/>
    <n v="9"/>
    <m/>
    <m/>
    <s v="No"/>
    <x v="3"/>
    <m/>
    <m/>
    <s v="137.21.7.121"/>
    <s v="HD9199.D442 -- .J344 2014eb"/>
    <n v="382.41"/>
    <d v="2014-09-12T00:00:00"/>
  </r>
  <r>
    <x v="8201"/>
    <d v="1899-12-30T00:01:48"/>
    <x v="989"/>
    <x v="1"/>
    <s v="brockport"/>
    <x v="519"/>
    <n v="822662"/>
    <x v="0"/>
    <s v="History"/>
    <s v="9781444355130"/>
    <s v=",1,2,3,4,16,17,18,14,15,19,123,124,125,121,122,126,127,128,129,130,131,132,133,134,135,120,123,124,125,121,122,123,124,125,121,122,123"/>
    <n v="26"/>
    <m/>
    <m/>
    <s v="No"/>
    <x v="1"/>
    <m/>
    <m/>
    <s v="137.21.7.121"/>
    <s v="DT20 -- .R45 2012eb"/>
    <n v="960.3"/>
    <d v="2011-11-11T00:00:00"/>
  </r>
  <r>
    <x v="8202"/>
    <d v="1899-12-30T00:00:43"/>
    <x v="13"/>
    <x v="0"/>
    <s v="Buffalo"/>
    <x v="728"/>
    <n v="1872281"/>
    <x v="4"/>
    <s v="Education; Business/Management"/>
    <s v="9781462519606"/>
    <s v=",1,2,3,135,137,136,133,134"/>
    <n v="8"/>
    <m/>
    <m/>
    <s v="No"/>
    <x v="0"/>
    <d v="2015-09-03T02:14:15"/>
    <n v="7"/>
    <s v="128.205.114.91"/>
    <s v="HD75 -- .P448 2015eb"/>
    <n v="378.101"/>
    <d v="2015-05-26T00:00:00"/>
  </r>
  <r>
    <x v="8203"/>
    <d v="1899-12-30T00:00:37"/>
    <x v="535"/>
    <x v="0"/>
    <s v="Buffalo"/>
    <x v="559"/>
    <n v="1217954"/>
    <x v="1"/>
    <s v="Engineering; Engineering: General"/>
    <s v="9781409457558"/>
    <s v=",1,3,2,4,5,6,7,8"/>
    <n v="8"/>
    <m/>
    <m/>
    <s v="No"/>
    <x v="1"/>
    <m/>
    <m/>
    <s v="128.205.114.91"/>
    <s v="T59.7 -- .S73 2013eb"/>
    <s v="620.8/2"/>
    <d v="2013-10-28T00:00:00"/>
  </r>
  <r>
    <x v="8204"/>
    <d v="1899-12-30T00:00:16"/>
    <x v="1759"/>
    <x v="1"/>
    <s v="brockport"/>
    <x v="519"/>
    <n v="822662"/>
    <x v="0"/>
    <s v="History"/>
    <s v="9781444355130"/>
    <s v=",1,2,3,123,124,125,121,122"/>
    <n v="8"/>
    <m/>
    <m/>
    <s v="No"/>
    <x v="1"/>
    <m/>
    <m/>
    <s v="137.21.7.121"/>
    <s v="DT20 -- .R45 2012eb"/>
    <n v="960.3"/>
    <d v="2011-11-11T00:00:00"/>
  </r>
  <r>
    <x v="8205"/>
    <d v="1899-12-30T00:01:06"/>
    <x v="666"/>
    <x v="1"/>
    <s v="brockport"/>
    <x v="519"/>
    <n v="822662"/>
    <x v="0"/>
    <s v="History"/>
    <s v="9781444355130"/>
    <s v=",1,2,3,2,3,1,4,4,2,2,97,97,98,95,99,98,96,99,96,100,100,101,101"/>
    <n v="11"/>
    <m/>
    <m/>
    <s v="No"/>
    <x v="1"/>
    <m/>
    <m/>
    <s v="137.21.7.121"/>
    <s v="DT20 -- .R45 2012eb"/>
    <n v="960.3"/>
    <d v="2011-11-11T00:00:00"/>
  </r>
  <r>
    <x v="8206"/>
    <d v="1899-12-30T00:02:32"/>
    <x v="13"/>
    <x v="0"/>
    <s v="Buffalo"/>
    <x v="246"/>
    <n v="1707328"/>
    <x v="3"/>
    <s v="Fine Arts"/>
    <s v="9780520958876"/>
    <s v=",1,2,3,4,147,148,149,145,146,150,151,152,153,154,155,156,157,158,159,160"/>
    <n v="20"/>
    <m/>
    <m/>
    <s v="No"/>
    <x v="2"/>
    <d v="2015-09-04T17:11:04"/>
    <n v="7"/>
    <s v="128.205.114.91"/>
    <s v="ML195 -- .A45 2014eb"/>
    <n v="780.90329999999994"/>
    <d v="2014-06-07T00:00:00"/>
  </r>
  <r>
    <x v="8207"/>
    <d v="1899-12-30T00:02:42"/>
    <x v="1759"/>
    <x v="1"/>
    <s v="brockport"/>
    <x v="519"/>
    <n v="822662"/>
    <x v="0"/>
    <s v="History"/>
    <s v="9781444355130"/>
    <s v=",1,2,3,1,3,4,5,2"/>
    <n v="5"/>
    <m/>
    <m/>
    <s v="No"/>
    <x v="1"/>
    <m/>
    <m/>
    <s v="137.21.7.121"/>
    <s v="DT20 -- .R45 2012eb"/>
    <n v="960.3"/>
    <d v="2011-11-11T00:00:00"/>
  </r>
  <r>
    <x v="8208"/>
    <d v="1899-12-30T00:00:00"/>
    <x v="811"/>
    <x v="0"/>
    <s v="Buffalo"/>
    <x v="533"/>
    <n v="1760720"/>
    <x v="4"/>
    <s v="Medicine"/>
    <s v="9781462517459"/>
    <m/>
    <n v="0"/>
    <m/>
    <s v=",9,10,11,12,27,28,29,30,31,32,33,34,35,36,37,38,39,40,41,42,43,44,45,46,47,48,49,50,51,52,53,54,55,56,57,58,59,60,61,62,63,64,65,66,67,68,27,28,29,30,31,32,33,34,35,36,37,38,39,40,41,42,43,44,45,46,47,48,49,50,51,52,53,54,55,56,57,58,59,60,61,62,63,64,65,66,67,68,27,28,29,30,31,32,33,34,35,36,37,38,39,40,41,42,43,44,45,46,47,48,49,50,51,52,53,54,55,56,57,58,59,60,61,62,63,64,65,66,67,68,69,70,71,72,73,74,75,76,77,78,79,80,81,82,83,84,85,86,87,88,89,90,91,92,93,94,95,96,97,98,99,100,101,102,103,104,105,106,19,20,21,22,23,24,25,26"/>
    <s v="No"/>
    <x v="0"/>
    <d v="2015-09-08T20:19:34"/>
    <n v="7"/>
    <s v="128.205.114.91"/>
    <s v="RC489.D48 -- L56 2015eb"/>
    <n v="616.89142000000004"/>
    <d v="2014-12-23T00:00:00"/>
  </r>
  <r>
    <x v="8209"/>
    <d v="1899-12-30T00:00:54"/>
    <x v="811"/>
    <x v="0"/>
    <s v="Buffalo"/>
    <x v="533"/>
    <n v="1760720"/>
    <x v="4"/>
    <s v="Medicine"/>
    <s v="9781462517459"/>
    <s v=",1,2,3,4,5,6,7,8,9,10,11,12,13,14,15,16,17"/>
    <n v="17"/>
    <m/>
    <m/>
    <s v="No"/>
    <x v="1"/>
    <m/>
    <m/>
    <s v="128.205.114.91"/>
    <s v="RC489.D48 -- L56 2015eb"/>
    <n v="616.89142000000004"/>
    <d v="2014-12-23T00:00:00"/>
  </r>
  <r>
    <x v="8210"/>
    <d v="1899-12-30T00:01:01"/>
    <x v="1698"/>
    <x v="3"/>
    <s v="canton"/>
    <x v="1707"/>
    <n v="1843658"/>
    <x v="1"/>
    <s v="History"/>
    <s v="9781472425010"/>
    <s v=",1,2,3,36,37,38,34"/>
    <n v="7"/>
    <m/>
    <m/>
    <s v="No"/>
    <x v="3"/>
    <m/>
    <m/>
    <s v="137.37.33.33"/>
    <s v="F3031.5 -- .A13 2015eb"/>
    <s v="997/.11024"/>
    <d v="2015-01-28T00:00:00"/>
  </r>
  <r>
    <x v="8211"/>
    <d v="1899-12-30T00:00:11"/>
    <x v="13"/>
    <x v="0"/>
    <s v="Buffalo"/>
    <x v="246"/>
    <n v="1707328"/>
    <x v="3"/>
    <s v="Fine Arts"/>
    <s v="9780520958876"/>
    <s v=",1,2,3,147,148,149,145,146"/>
    <n v="8"/>
    <m/>
    <m/>
    <s v="No"/>
    <x v="2"/>
    <d v="2015-09-04T17:11:04"/>
    <n v="7"/>
    <s v="128.205.114.91"/>
    <s v="ML195 -- .A45 2014eb"/>
    <n v="780.90329999999994"/>
    <d v="2014-06-07T00:00:00"/>
  </r>
  <r>
    <x v="8212"/>
    <d v="1899-12-30T00:00:39"/>
    <x v="1837"/>
    <x v="0"/>
    <s v="Buffalo"/>
    <x v="161"/>
    <n v="821663"/>
    <x v="0"/>
    <s v="Architecture"/>
    <s v="9781118168479"/>
    <s v=",1,2,3,1,2,3"/>
    <n v="3"/>
    <m/>
    <m/>
    <s v="No"/>
    <x v="0"/>
    <d v="2015-09-08T19:30:05"/>
    <n v="7"/>
    <s v="128.205.114.91"/>
    <s v="NA2547 -- .S74 2012eb"/>
    <n v="729"/>
    <d v="2012-03-05T00:00:00"/>
  </r>
  <r>
    <x v="8213"/>
    <d v="1899-12-30T00:11:27"/>
    <x v="1837"/>
    <x v="0"/>
    <s v="Buffalo"/>
    <x v="161"/>
    <n v="821663"/>
    <x v="0"/>
    <s v="Architecture"/>
    <s v="9781118168479"/>
    <s v=",1,2,3,44,45,46,42,43,47,2,41,45,41,42,46,112,113,114,110,111,109,114,115,44,45,46,42,43,47,42,41,40,38,39,37,36,35,389,390,391,392,393,7,8,9,5,10,11,12,13,14,15,9,8,7,6,5,10,11,12,13,14,47,48,49,45,46,50,51,52,53,54,55,56,57,58,59,60,61,62,63,64,65,66,67,68,69,70,71,72,73,74,75,76,77,78,79,80,81,82,83,84,85,86,87,88,89,90,91,92,93,94,98,100,101,102,103,104,105,106,107,108,109,110,111,112,113,114,115,116,117"/>
    <n v="98"/>
    <m/>
    <m/>
    <s v="No"/>
    <x v="1"/>
    <m/>
    <m/>
    <s v="128.205.114.91"/>
    <s v="NA2547 -- .S74 2012eb"/>
    <n v="729"/>
    <d v="2012-03-05T00:00:00"/>
  </r>
  <r>
    <x v="8214"/>
    <d v="1899-12-30T00:00:50"/>
    <x v="811"/>
    <x v="0"/>
    <s v="Buffalo"/>
    <x v="768"/>
    <n v="829309"/>
    <x v="4"/>
    <s v="Medicine"/>
    <s v="9781462502387"/>
    <s v=",1,2,1,3,2,3,4,4,5,5,6,6,7,7,8,8,22,22,23,23,24,24,20,25,25,2,26,26,27,27,28,28,29,29,30,30,31,31,32,32,33,33,34,34,35,35,36,36,37,37,38,38"/>
    <n v="26"/>
    <m/>
    <m/>
    <s v="No"/>
    <x v="1"/>
    <m/>
    <m/>
    <s v="128.205.114.91"/>
    <s v="RC489.B4 -- K64 2012eb"/>
    <n v="616.89142000000004"/>
    <d v="2011-12-14T00:00:00"/>
  </r>
  <r>
    <x v="8215"/>
    <d v="1899-12-30T00:03:33"/>
    <x v="13"/>
    <x v="0"/>
    <s v="Buffalo"/>
    <x v="73"/>
    <n v="1119505"/>
    <x v="0"/>
    <s v="Science: Chemistry; Science"/>
    <s v="9781118355015"/>
    <s v=",1,2,3,43,44,48,49,50,46,51,47,52,53"/>
    <n v="13"/>
    <m/>
    <m/>
    <s v="No"/>
    <x v="0"/>
    <d v="2015-09-03T17:44:21"/>
    <n v="7"/>
    <s v="128.205.114.91"/>
    <s v="QD251.3 -- .S38 2013eb"/>
    <s v="547/.128"/>
    <d v="2013-01-28T00:00:00"/>
  </r>
  <r>
    <x v="8216"/>
    <d v="1899-12-30T00:00:03"/>
    <x v="434"/>
    <x v="0"/>
    <s v="Buffalo"/>
    <x v="1708"/>
    <n v="2079240"/>
    <x v="1"/>
    <s v="Law"/>
    <s v="9781472460882"/>
    <s v=",1,2,3"/>
    <n v="3"/>
    <m/>
    <m/>
    <s v="No"/>
    <x v="3"/>
    <m/>
    <m/>
    <s v="128.205.114.91"/>
    <s v="KJE5078 .P75 2015"/>
    <n v="341.26"/>
    <d v="2015-08-28T00:00:00"/>
  </r>
  <r>
    <x v="8217"/>
    <d v="1899-12-30T00:00:00"/>
    <x v="1598"/>
    <x v="1"/>
    <s v="brockport"/>
    <x v="1"/>
    <n v="1684620"/>
    <x v="0"/>
    <s v="Health; Social Science"/>
    <s v="9781118418925"/>
    <m/>
    <n v="0"/>
    <m/>
    <m/>
    <s v="Yes"/>
    <x v="0"/>
    <d v="2015-09-08T17:13:29"/>
    <n v="7"/>
    <s v="137.21.7.121"/>
    <s v="RA971 -- .S56 2014eb"/>
    <n v="362.10680000000002"/>
    <d v="2014-04-30T00:00:00"/>
  </r>
  <r>
    <x v="8217"/>
    <d v="1899-12-30T00:00:00"/>
    <x v="1598"/>
    <x v="1"/>
    <s v="brockport"/>
    <x v="1"/>
    <n v="1684620"/>
    <x v="0"/>
    <s v="Health; Social Science"/>
    <s v="9781118418925"/>
    <m/>
    <n v="0"/>
    <m/>
    <m/>
    <s v="No"/>
    <x v="0"/>
    <d v="2015-09-08T17:13:29"/>
    <n v="7"/>
    <s v="137.21.7.121"/>
    <s v="RA971 -- .S56 2014eb"/>
    <n v="362.10680000000002"/>
    <d v="2014-04-30T00:00:00"/>
  </r>
  <r>
    <x v="8218"/>
    <d v="1899-12-30T00:00:17"/>
    <x v="1598"/>
    <x v="1"/>
    <s v="brockport"/>
    <x v="1"/>
    <n v="1684620"/>
    <x v="0"/>
    <s v="Health; Social Science"/>
    <s v="9781118418925"/>
    <s v=",1,2,2,3,3,1"/>
    <n v="3"/>
    <m/>
    <m/>
    <s v="No"/>
    <x v="1"/>
    <m/>
    <m/>
    <s v="137.21.7.121"/>
    <s v="RA971 -- .S56 2014eb"/>
    <n v="362.10680000000002"/>
    <d v="2014-04-30T00:00:00"/>
  </r>
  <r>
    <x v="8219"/>
    <d v="1899-12-30T00:00:03"/>
    <x v="973"/>
    <x v="0"/>
    <s v="Buffalo"/>
    <x v="161"/>
    <n v="821663"/>
    <x v="0"/>
    <s v="Architecture"/>
    <s v="9781118168479"/>
    <s v=",1,2,3"/>
    <n v="3"/>
    <m/>
    <m/>
    <s v="No"/>
    <x v="0"/>
    <d v="2015-09-01T17:12:58"/>
    <n v="7"/>
    <s v="128.205.114.91"/>
    <s v="NA2547 -- .S74 2012eb"/>
    <n v="729"/>
    <d v="2012-03-05T00:00:00"/>
  </r>
  <r>
    <x v="8220"/>
    <d v="1899-12-30T00:01:51"/>
    <x v="847"/>
    <x v="0"/>
    <s v="Buffalo"/>
    <x v="559"/>
    <n v="1217954"/>
    <x v="1"/>
    <s v="Engineering; Engineering: General"/>
    <s v="9781409457558"/>
    <s v=",41,42,43,44,45"/>
    <n v="5"/>
    <m/>
    <m/>
    <s v="No"/>
    <x v="0"/>
    <d v="2015-09-08T16:09:22"/>
    <n v="7"/>
    <s v="128.205.114.91"/>
    <s v="T59.7 -- .S73 2013eb"/>
    <s v="620.8/2"/>
    <d v="2013-10-28T00:00:00"/>
  </r>
  <r>
    <x v="8221"/>
    <d v="1899-12-30T00:02:56"/>
    <x v="588"/>
    <x v="1"/>
    <s v="brockport"/>
    <x v="1"/>
    <n v="1684620"/>
    <x v="0"/>
    <s v="Health; Social Science"/>
    <s v="9781118418925"/>
    <s v=",1,2,3,43,44,45,46,47,48,49,50,51,52,53,54,55,56,57"/>
    <n v="18"/>
    <m/>
    <m/>
    <s v="No"/>
    <x v="0"/>
    <d v="2015-09-03T15:25:16"/>
    <n v="7"/>
    <s v="137.21.7.121"/>
    <s v="RA971 -- .S56 2014eb"/>
    <n v="362.10680000000002"/>
    <d v="2014-04-30T00:00:00"/>
  </r>
  <r>
    <x v="8222"/>
    <d v="1899-12-30T00:13:11"/>
    <x v="847"/>
    <x v="0"/>
    <s v="Buffalo"/>
    <x v="559"/>
    <n v="1217954"/>
    <x v="1"/>
    <s v="Engineering; Engineering: General"/>
    <s v="9781409457558"/>
    <s v=",1,2,3,37,39,38,35,36,40,35"/>
    <n v="9"/>
    <m/>
    <m/>
    <s v="No"/>
    <x v="1"/>
    <m/>
    <m/>
    <s v="128.205.114.91"/>
    <s v="T59.7 -- .S73 2013eb"/>
    <s v="620.8/2"/>
    <d v="2013-10-28T00:00:00"/>
  </r>
  <r>
    <x v="8223"/>
    <d v="1899-12-30T00:02:43"/>
    <x v="847"/>
    <x v="0"/>
    <s v="Buffalo"/>
    <x v="559"/>
    <n v="1217954"/>
    <x v="1"/>
    <s v="Engineering; Engineering: General"/>
    <s v="9781409457558"/>
    <s v=",1,2,3"/>
    <n v="3"/>
    <m/>
    <m/>
    <s v="No"/>
    <x v="1"/>
    <m/>
    <m/>
    <s v="128.205.114.91"/>
    <s v="T59.7 -- .S73 2013eb"/>
    <s v="620.8/2"/>
    <d v="2013-10-28T00:00:00"/>
  </r>
  <r>
    <x v="8224"/>
    <d v="1899-12-30T00:22:21"/>
    <x v="588"/>
    <x v="1"/>
    <s v="brockport"/>
    <x v="1"/>
    <n v="1684620"/>
    <x v="0"/>
    <s v="Health; Social Science"/>
    <s v="9781118418925"/>
    <s v=",1,2,3,31,32,33,29,30,34,35,36,37,38,39,40,41,42,43,44,45"/>
    <n v="20"/>
    <m/>
    <m/>
    <s v="No"/>
    <x v="0"/>
    <d v="2015-09-03T15:25:16"/>
    <n v="7"/>
    <s v="137.21.7.121"/>
    <s v="RA971 -- .S56 2014eb"/>
    <n v="362.10680000000002"/>
    <d v="2014-04-30T00:00:00"/>
  </r>
  <r>
    <x v="8225"/>
    <d v="1899-12-30T00:01:33"/>
    <x v="1838"/>
    <x v="0"/>
    <s v="Buffalo"/>
    <x v="477"/>
    <n v="1120279"/>
    <x v="0"/>
    <s v="Science: Biology/Natural History; Science"/>
    <s v="9781118537671"/>
    <s v=",1,2,3,1,15,16"/>
    <n v="5"/>
    <m/>
    <m/>
    <s v="No"/>
    <x v="0"/>
    <d v="2015-09-08T14:37:54"/>
    <n v="7"/>
    <s v="128.205.114.91"/>
    <s v="QH371 .K384 2012"/>
    <n v="599.93499999999995"/>
    <d v="2012-11-19T00:00:00"/>
  </r>
  <r>
    <x v="8226"/>
    <d v="1899-12-30T00:00:00"/>
    <x v="1838"/>
    <x v="0"/>
    <s v="Buffalo"/>
    <x v="477"/>
    <n v="1120279"/>
    <x v="0"/>
    <s v="Science: Biology/Natural History; Science"/>
    <s v="9781118537671"/>
    <m/>
    <n v="0"/>
    <m/>
    <m/>
    <s v="Yes"/>
    <x v="0"/>
    <d v="2015-09-08T14:37:54"/>
    <n v="7"/>
    <s v="128.205.114.91"/>
    <s v="QH371 .K384 2012"/>
    <n v="599.93499999999995"/>
    <d v="2012-11-19T00:00:00"/>
  </r>
  <r>
    <x v="8227"/>
    <d v="1899-12-30T00:00:00"/>
    <x v="1838"/>
    <x v="0"/>
    <s v="Buffalo"/>
    <x v="477"/>
    <n v="1120279"/>
    <x v="0"/>
    <s v="Science: Biology/Natural History; Science"/>
    <s v="9781118537671"/>
    <m/>
    <n v="0"/>
    <m/>
    <m/>
    <s v="Yes"/>
    <x v="0"/>
    <d v="2015-09-08T14:37:54"/>
    <n v="7"/>
    <s v="128.205.114.91"/>
    <s v="QH371 .K384 2012"/>
    <n v="599.93499999999995"/>
    <d v="2012-11-19T00:00:00"/>
  </r>
  <r>
    <x v="8228"/>
    <d v="1899-12-30T00:00:00"/>
    <x v="1838"/>
    <x v="0"/>
    <s v="Buffalo"/>
    <x v="477"/>
    <n v="1120279"/>
    <x v="0"/>
    <s v="Science: Biology/Natural History; Science"/>
    <s v="9781118537671"/>
    <m/>
    <n v="0"/>
    <m/>
    <m/>
    <s v="Yes"/>
    <x v="0"/>
    <d v="2015-09-08T14:37:54"/>
    <n v="7"/>
    <s v="128.205.114.91"/>
    <s v="QH371 .K384 2012"/>
    <n v="599.93499999999995"/>
    <d v="2012-11-19T00:00:00"/>
  </r>
  <r>
    <x v="8228"/>
    <d v="1899-12-30T00:00:00"/>
    <x v="1838"/>
    <x v="0"/>
    <s v="Buffalo"/>
    <x v="477"/>
    <n v="1120279"/>
    <x v="0"/>
    <s v="Science: Biology/Natural History; Science"/>
    <s v="9781118537671"/>
    <m/>
    <n v="0"/>
    <m/>
    <m/>
    <s v="No"/>
    <x v="0"/>
    <d v="2015-09-08T14:37:54"/>
    <n v="7"/>
    <s v="128.205.114.91"/>
    <s v="QH371 .K384 2012"/>
    <n v="599.93499999999995"/>
    <d v="2012-11-19T00:00:00"/>
  </r>
  <r>
    <x v="8229"/>
    <d v="1899-12-30T00:00:20"/>
    <x v="1838"/>
    <x v="0"/>
    <s v="Buffalo"/>
    <x v="477"/>
    <n v="1120279"/>
    <x v="0"/>
    <s v="Science: Biology/Natural History; Science"/>
    <s v="9781118537671"/>
    <s v=",1,2,3,20,21,22,18,19,15,16,17,13,14"/>
    <n v="13"/>
    <m/>
    <m/>
    <s v="No"/>
    <x v="1"/>
    <m/>
    <m/>
    <s v="128.205.114.91"/>
    <s v="QH371 .K384 2012"/>
    <n v="599.93499999999995"/>
    <d v="2012-11-19T00:00:00"/>
  </r>
  <r>
    <x v="8230"/>
    <d v="1899-12-30T00:00:00"/>
    <x v="1839"/>
    <x v="1"/>
    <s v="brockport"/>
    <x v="674"/>
    <n v="980956"/>
    <x v="0"/>
    <s v="Psychology; Social Science"/>
    <s v="9781118227251"/>
    <m/>
    <n v="0"/>
    <m/>
    <m/>
    <s v="No"/>
    <x v="0"/>
    <d v="2015-09-08T14:18:27"/>
    <n v="7"/>
    <s v="137.21.7.121"/>
    <s v="HV40 -- .T51377 2012eb"/>
    <s v="150.1023/36132"/>
    <d v="2012-07-23T00:00:00"/>
  </r>
  <r>
    <x v="8231"/>
    <d v="1899-12-30T00:03:12"/>
    <x v="1188"/>
    <x v="0"/>
    <s v="Buffalo"/>
    <x v="161"/>
    <n v="821663"/>
    <x v="0"/>
    <s v="Architecture"/>
    <s v="9781118168479"/>
    <s v=",28,29,30,31,32,32"/>
    <n v="5"/>
    <m/>
    <m/>
    <s v="No"/>
    <x v="0"/>
    <d v="2015-09-08T14:02:38"/>
    <n v="7"/>
    <s v="128.205.114.91"/>
    <s v="NA2547 -- .S74 2012eb"/>
    <n v="729"/>
    <d v="2012-03-05T00:00:00"/>
  </r>
  <r>
    <x v="8232"/>
    <d v="1899-12-30T00:02:32"/>
    <x v="13"/>
    <x v="0"/>
    <s v="Buffalo"/>
    <x v="73"/>
    <n v="1119505"/>
    <x v="0"/>
    <s v="Science: Chemistry; Science"/>
    <s v="9781118355015"/>
    <s v=",1,2,3,48,49,50,46,47,51,52,53,54"/>
    <n v="12"/>
    <m/>
    <m/>
    <s v="No"/>
    <x v="0"/>
    <d v="2015-09-03T17:44:21"/>
    <n v="7"/>
    <s v="128.205.114.91"/>
    <s v="QD251.3 -- .S38 2013eb"/>
    <s v="547/.128"/>
    <d v="2013-01-28T00:00:00"/>
  </r>
  <r>
    <x v="8233"/>
    <d v="1899-12-30T00:00:12"/>
    <x v="1840"/>
    <x v="5"/>
    <s v="erie"/>
    <x v="219"/>
    <n v="1310741"/>
    <x v="15"/>
    <s v="Health; Sport &amp; Recreation"/>
    <s v="9781408107461"/>
    <s v=",2,1,3,25,26,27,23,37,38,39,41,42"/>
    <n v="12"/>
    <m/>
    <m/>
    <s v="No"/>
    <x v="1"/>
    <m/>
    <m/>
    <s v="199.29.6.54"/>
    <s v="GV546"/>
    <n v="613.71"/>
    <d v="2009-01-01T00:00:00"/>
  </r>
  <r>
    <x v="8234"/>
    <d v="1899-12-30T00:02:35"/>
    <x v="13"/>
    <x v="0"/>
    <s v="Buffalo"/>
    <x v="161"/>
    <n v="821663"/>
    <x v="0"/>
    <s v="Architecture"/>
    <s v="9781118168479"/>
    <s v=",1,2,3,62,63,64,60,61,2,82,83,84,80,81,85"/>
    <n v="14"/>
    <m/>
    <m/>
    <s v="No"/>
    <x v="0"/>
    <d v="2015-09-01T14:51:35"/>
    <n v="7"/>
    <s v="128.205.114.91"/>
    <s v="NA2547 -- .S74 2012eb"/>
    <n v="729"/>
    <d v="2012-03-05T00:00:00"/>
  </r>
  <r>
    <x v="8235"/>
    <d v="1899-12-30T00:00:02"/>
    <x v="1840"/>
    <x v="5"/>
    <s v="erie"/>
    <x v="1709"/>
    <n v="882731"/>
    <x v="0"/>
    <s v="Fine Arts; Philosophy"/>
    <s v="9781444355857"/>
    <s v=",1"/>
    <n v="1"/>
    <m/>
    <m/>
    <s v="No"/>
    <x v="1"/>
    <m/>
    <m/>
    <s v="199.29.6.54"/>
    <s v="PN1995.5 -- .T395 2012eb"/>
    <n v="175"/>
    <d v="2012-03-29T00:00:00"/>
  </r>
  <r>
    <x v="8236"/>
    <d v="1899-12-30T00:00:26"/>
    <x v="13"/>
    <x v="0"/>
    <s v="Buffalo"/>
    <x v="161"/>
    <n v="821663"/>
    <x v="0"/>
    <s v="Architecture"/>
    <s v="9781118168479"/>
    <s v=",1,2,2,1,3,3,2,2"/>
    <n v="3"/>
    <m/>
    <m/>
    <s v="No"/>
    <x v="0"/>
    <d v="2015-09-01T14:51:35"/>
    <n v="7"/>
    <s v="128.205.114.91"/>
    <s v="NA2547 -- .S74 2012eb"/>
    <n v="729"/>
    <d v="2012-03-05T00:00:00"/>
  </r>
  <r>
    <x v="8237"/>
    <d v="1899-12-30T00:21:39"/>
    <x v="1839"/>
    <x v="1"/>
    <s v="brockport"/>
    <x v="674"/>
    <n v="980956"/>
    <x v="0"/>
    <s v="Psychology; Social Science"/>
    <s v="9781118227251"/>
    <s v=",1,2,3,9,10,11,7,8,12,13,201,202,209,211,210,207,208,212,213,214,215,216,217,220,221,222,218,219,207,206,205"/>
    <n v="30"/>
    <m/>
    <m/>
    <s v="No"/>
    <x v="1"/>
    <m/>
    <m/>
    <s v="137.21.7.121"/>
    <s v="HV40 -- .T51377 2012eb"/>
    <s v="150.1023/36132"/>
    <d v="2012-07-23T00:00:00"/>
  </r>
  <r>
    <x v="8238"/>
    <d v="1899-12-30T00:10:17"/>
    <x v="1188"/>
    <x v="0"/>
    <s v="Buffalo"/>
    <x v="161"/>
    <n v="821663"/>
    <x v="0"/>
    <s v="Architecture"/>
    <s v="9781118168479"/>
    <s v=",1,2,1,2,3,3,4,4,5,5,6,6,7,7,8,8,2,3,8,9,9,10,10,11,11,12,12,13,13,14,14,15,15,16,16,17,17,18,18,19,19,20,20,21,21,22,23,22,23,24,24,25,25,26,26,27,27,28,28,29,29,1,29,30,29,1,30,31,27,31,28,28,2,2,26,25,24,23"/>
    <n v="31"/>
    <m/>
    <m/>
    <s v="No"/>
    <x v="1"/>
    <m/>
    <m/>
    <s v="128.205.114.91"/>
    <s v="NA2547 -- .S74 2012eb"/>
    <n v="729"/>
    <d v="2012-03-05T00:00:00"/>
  </r>
  <r>
    <x v="8239"/>
    <d v="1899-12-30T00:00:25"/>
    <x v="1188"/>
    <x v="0"/>
    <s v="Buffalo"/>
    <x v="161"/>
    <n v="821663"/>
    <x v="0"/>
    <s v="Architecture"/>
    <s v="9781118168479"/>
    <s v=",1,2,3,1,2,3,4,4,4,2,2"/>
    <n v="4"/>
    <m/>
    <m/>
    <s v="No"/>
    <x v="1"/>
    <m/>
    <m/>
    <s v="128.205.114.91"/>
    <s v="NA2547 -- .S74 2012eb"/>
    <n v="729"/>
    <d v="2012-03-05T00:00:00"/>
  </r>
  <r>
    <x v="8240"/>
    <d v="1899-12-30T00:00:04"/>
    <x v="1188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8241"/>
    <d v="1899-12-30T00:01:54"/>
    <x v="13"/>
    <x v="0"/>
    <s v="Buffalo"/>
    <x v="161"/>
    <n v="821663"/>
    <x v="0"/>
    <s v="Architecture"/>
    <s v="9781118168479"/>
    <s v=",1,2,2,1,3,3,2,2,30,31,30,31,28,32,32,29,29,27,32"/>
    <n v="9"/>
    <m/>
    <m/>
    <s v="No"/>
    <x v="0"/>
    <d v="2015-09-01T14:51:35"/>
    <n v="7"/>
    <s v="128.205.114.91"/>
    <s v="NA2547 -- .S74 2012eb"/>
    <n v="729"/>
    <d v="2012-03-05T00:00:00"/>
  </r>
  <r>
    <x v="8242"/>
    <d v="1899-12-30T01:10:39"/>
    <x v="824"/>
    <x v="0"/>
    <s v="Buffalo"/>
    <x v="161"/>
    <n v="821663"/>
    <x v="0"/>
    <s v="Architecture"/>
    <s v="9781118168479"/>
    <s v=",1,2,3,4,5,6,7,8,9,10,11,12,13,14,15,16,18,17,19,20,21,24,25,26,23,22,27,28,29,30,31,32,33,34,35,36,37,38,39,40,41,42,43,44,45,46,47,48,49,50,51,52,53,54,55,56,57,58,58,59,60,61,62,63,64,65,66,67,68,70,69,71,72,73,74,75,76,80,81,82,78,79,83,84,85,76,74,75,73,77,76,75,74,73,72,71,70,69,83,84,85,86,87,68"/>
    <n v="87"/>
    <m/>
    <m/>
    <s v="No"/>
    <x v="0"/>
    <d v="2015-09-06T19:33:30"/>
    <n v="7"/>
    <s v="128.205.114.91"/>
    <s v="NA2547 -- .S74 2012eb"/>
    <n v="729"/>
    <d v="2012-03-05T00:00:00"/>
  </r>
  <r>
    <x v="8243"/>
    <d v="1899-12-30T00:01:07"/>
    <x v="824"/>
    <x v="0"/>
    <s v="Buffalo"/>
    <x v="161"/>
    <n v="821663"/>
    <x v="0"/>
    <s v="Architecture"/>
    <s v="9781118168479"/>
    <s v=",1,2,3,4,5,6,7,8,9,10,11,12,13,14,15,16,18,19,20,17,23,22,24,25,27,26,28,21"/>
    <n v="28"/>
    <m/>
    <m/>
    <s v="No"/>
    <x v="0"/>
    <d v="2015-09-06T19:33:30"/>
    <n v="7"/>
    <s v="128.205.114.91"/>
    <s v="NA2547 -- .S74 2012eb"/>
    <n v="729"/>
    <d v="2012-03-05T00:00:00"/>
  </r>
  <r>
    <x v="8244"/>
    <d v="1899-12-30T00:06:10"/>
    <x v="13"/>
    <x v="0"/>
    <s v="Buffalo"/>
    <x v="161"/>
    <n v="821663"/>
    <x v="0"/>
    <s v="Architecture"/>
    <s v="9781118168479"/>
    <s v=",1,2,3,65,66,67,63,64,68,69,70,71,72,73,74,75,76,77,78,79,80,81,82,83,84,85"/>
    <n v="26"/>
    <m/>
    <m/>
    <s v="No"/>
    <x v="0"/>
    <d v="2015-09-01T14:51:35"/>
    <n v="7"/>
    <s v="128.205.114.91"/>
    <s v="NA2547 -- .S74 2012eb"/>
    <n v="729"/>
    <d v="2012-03-05T00:00:00"/>
  </r>
  <r>
    <x v="8245"/>
    <d v="1899-12-30T00:35:05"/>
    <x v="13"/>
    <x v="0"/>
    <s v="Buffalo"/>
    <x v="161"/>
    <n v="821663"/>
    <x v="0"/>
    <s v="Architecture"/>
    <s v="9781118168479"/>
    <s v=",1,2,3,44,45,46,42,43,47,48,41,40,38,39,37,36,35,34,32,33,31,30,29,62,63,64,60,61,82,83,84,80,59,58,57,56,55,54,53,51,52,49,50,81,85"/>
    <n v="45"/>
    <m/>
    <m/>
    <s v="No"/>
    <x v="0"/>
    <d v="2015-09-01T14:51:35"/>
    <n v="7"/>
    <s v="128.205.114.91"/>
    <s v="NA2547 -- .S74 2012eb"/>
    <n v="729"/>
    <d v="2012-03-05T00:00:00"/>
  </r>
  <r>
    <x v="8246"/>
    <d v="1899-12-30T00:21:48"/>
    <x v="1841"/>
    <x v="0"/>
    <s v="Buffalo"/>
    <x v="246"/>
    <n v="1707328"/>
    <x v="3"/>
    <s v="Fine Arts"/>
    <s v="9780520958876"/>
    <s v=",1,2,3,147,148,149,146,145,150,151,152,153,154,155,156,157,158,159,160,161,162,163,164,165,166,167,168,169,170,171,196,197,198,194,195,193,191,189,188,186,184,183,180,178,177,176,175,174,173,172,179,181,182,185,187,190,192"/>
    <n v="57"/>
    <m/>
    <m/>
    <s v="No"/>
    <x v="0"/>
    <d v="2015-09-08T03:22:06"/>
    <n v="7"/>
    <s v="128.205.114.91"/>
    <s v="ML195 -- .A45 2014eb"/>
    <n v="780.90329999999994"/>
    <d v="2014-06-07T00:00:00"/>
  </r>
  <r>
    <x v="8247"/>
    <d v="1899-12-30T00:32:42"/>
    <x v="13"/>
    <x v="0"/>
    <s v="Buffalo"/>
    <x v="161"/>
    <n v="821663"/>
    <x v="0"/>
    <s v="Architecture"/>
    <s v="9781118168479"/>
    <s v=",1,2,3,4,6,5,7,8,9,10,12,11,14,13,15,16,17,21,22,23,20,24,25,26,27,28,29,30,31,32,34,33"/>
    <n v="32"/>
    <m/>
    <s v=",21,21,22,23,23,24,24,25,26,27,28,28,29,30,31,32,32,33,34,35,35,36,37,38,39,40,41,42,43,44,44,44,47,47,47,48,48,49,50,50,51,51,52,53,53,54,54,55,56,57,58,59,60,61,62,62,62,65,65,66,67,68,68,69,69,70,71,72,73,74,75,76,77,78,79,80,80,81,82,82,83,83"/>
    <s v="No"/>
    <x v="0"/>
    <d v="2015-09-01T14:51:35"/>
    <n v="7"/>
    <s v="128.205.114.91"/>
    <s v="NA2547 -- .S74 2012eb"/>
    <n v="729"/>
    <d v="2012-03-05T00:00:00"/>
  </r>
  <r>
    <x v="8248"/>
    <d v="1899-12-30T00:01:53"/>
    <x v="1841"/>
    <x v="0"/>
    <s v="Buffalo"/>
    <x v="246"/>
    <n v="1707328"/>
    <x v="3"/>
    <s v="Fine Arts"/>
    <s v="9780520958876"/>
    <s v=",152,153"/>
    <n v="2"/>
    <m/>
    <m/>
    <s v="No"/>
    <x v="0"/>
    <d v="2015-09-08T03:22:06"/>
    <n v="7"/>
    <s v="128.205.114.91"/>
    <s v="ML195 -- .A45 2014eb"/>
    <n v="780.90329999999994"/>
    <d v="2014-06-07T00:00:00"/>
  </r>
  <r>
    <x v="8249"/>
    <d v="1899-12-30T00:12:41"/>
    <x v="1841"/>
    <x v="0"/>
    <s v="Buffalo"/>
    <x v="246"/>
    <n v="1707328"/>
    <x v="3"/>
    <s v="Fine Arts"/>
    <s v="9780520958876"/>
    <s v=",1,2,3,147,149,148,145,146,150,151,196,197,198,195,194"/>
    <n v="15"/>
    <m/>
    <m/>
    <s v="No"/>
    <x v="1"/>
    <m/>
    <m/>
    <s v="128.205.114.91"/>
    <s v="ML195 -- .A45 2014eb"/>
    <n v="780.90329999999994"/>
    <d v="2014-06-07T00:00:00"/>
  </r>
  <r>
    <x v="8250"/>
    <d v="1899-12-30T00:00:29"/>
    <x v="13"/>
    <x v="0"/>
    <s v="Buffalo"/>
    <x v="559"/>
    <n v="1217954"/>
    <x v="1"/>
    <s v="Engineering; Engineering: General"/>
    <s v="9781409457558"/>
    <s v=",1,2,3,471,472,473,469,470,474,475,476,477"/>
    <n v="12"/>
    <m/>
    <m/>
    <s v="No"/>
    <x v="0"/>
    <d v="2015-09-06T22:17:53"/>
    <n v="7"/>
    <s v="128.205.114.91"/>
    <s v="T59.7 -- .S73 2013eb"/>
    <s v="620.8/2"/>
    <d v="2013-10-28T00:00:00"/>
  </r>
  <r>
    <x v="8251"/>
    <d v="1899-12-30T00:00:51"/>
    <x v="13"/>
    <x v="0"/>
    <s v="Buffalo"/>
    <x v="161"/>
    <n v="821663"/>
    <x v="0"/>
    <s v="Architecture"/>
    <s v="9781118168479"/>
    <s v=",1,2,3,21,23,22,24,20,19"/>
    <n v="9"/>
    <m/>
    <m/>
    <s v="No"/>
    <x v="0"/>
    <d v="2015-09-01T14:51:35"/>
    <n v="7"/>
    <s v="128.205.114.91"/>
    <s v="NA2547 -- .S74 2012eb"/>
    <n v="729"/>
    <d v="2012-03-05T00:00:00"/>
  </r>
  <r>
    <x v="8252"/>
    <d v="1899-12-30T00:41:07"/>
    <x v="910"/>
    <x v="0"/>
    <s v="Buffalo"/>
    <x v="161"/>
    <n v="821663"/>
    <x v="0"/>
    <s v="Architecture"/>
    <s v="9781118168479"/>
    <s v=",1,3,2,47,48,49,46,45,50,51,52,53,54,55,56,58,57,59,60,61,62,63,64,65,66,67,68,82,83,80,84,81,78,79,77,75"/>
    <n v="36"/>
    <m/>
    <m/>
    <s v="No"/>
    <x v="0"/>
    <d v="2015-09-01T16:44:41"/>
    <n v="7"/>
    <s v="128.205.114.91"/>
    <s v="NA2547 -- .S74 2012eb"/>
    <n v="729"/>
    <d v="2012-03-05T00:00:00"/>
  </r>
  <r>
    <x v="8253"/>
    <d v="1899-12-30T00:07:16"/>
    <x v="1842"/>
    <x v="0"/>
    <s v="Buffalo"/>
    <x v="184"/>
    <n v="1710997"/>
    <x v="3"/>
    <s v="Business/Management; Economics"/>
    <s v="9780520959224"/>
    <s v=",5,6,7,8,9,10,11,12,13,14,15,16,17,18,19,20,21,22"/>
    <n v="18"/>
    <m/>
    <m/>
    <s v="Yes"/>
    <x v="2"/>
    <d v="2015-09-08T01:25:14"/>
    <n v="7"/>
    <s v="128.205.114.91"/>
    <s v="HD8072.5 -- .I87 2014eb"/>
    <s v="332.0240086/9420973"/>
    <d v="2015-01-14T00:00:00"/>
  </r>
  <r>
    <x v="8253"/>
    <d v="1899-12-30T00:00:00"/>
    <x v="1842"/>
    <x v="0"/>
    <s v="Buffalo"/>
    <x v="184"/>
    <n v="1710997"/>
    <x v="3"/>
    <s v="Business/Management; Economics"/>
    <s v="9780520959224"/>
    <m/>
    <n v="0"/>
    <m/>
    <m/>
    <s v="No"/>
    <x v="2"/>
    <d v="2015-09-08T01:25:14"/>
    <n v="7"/>
    <s v="128.205.114.91"/>
    <s v="HD8072.5 -- .I87 2014eb"/>
    <s v="332.0240086/9420973"/>
    <d v="2015-01-14T00:00:00"/>
  </r>
  <r>
    <x v="8254"/>
    <d v="1899-12-30T00:00:23"/>
    <x v="1842"/>
    <x v="0"/>
    <s v="Buffalo"/>
    <x v="184"/>
    <n v="1710997"/>
    <x v="3"/>
    <s v="Business/Management; Economics"/>
    <s v="9780520959224"/>
    <s v=",1,2,3,4"/>
    <n v="4"/>
    <m/>
    <m/>
    <s v="No"/>
    <x v="3"/>
    <m/>
    <m/>
    <s v="128.205.114.91"/>
    <s v="HD8072.5 -- .I87 2014eb"/>
    <s v="332.0240086/9420973"/>
    <d v="2015-01-14T00:00:00"/>
  </r>
  <r>
    <x v="8255"/>
    <d v="1899-12-30T03:46:30"/>
    <x v="13"/>
    <x v="0"/>
    <s v="Buffalo"/>
    <x v="73"/>
    <n v="1119505"/>
    <x v="0"/>
    <s v="Science: Chemistry; Science"/>
    <s v="9781118355015"/>
    <s v=",1,2,3,48,49,50,46,47,51,52,53,54,27,21,22,23,20,18,19,17,24,25,26,8,28,29,30,31,32,33,34,35,36,37,38,39,40,41,42,43,44,45,46,47,49,50,51,52,53,54"/>
    <n v="42"/>
    <m/>
    <m/>
    <s v="No"/>
    <x v="0"/>
    <d v="2015-09-03T17:44:21"/>
    <n v="7"/>
    <s v="128.205.114.91"/>
    <s v="QD251.3 -- .S38 2013eb"/>
    <s v="547/.128"/>
    <d v="2013-01-28T00:00:00"/>
  </r>
  <r>
    <x v="8256"/>
    <d v="1899-12-30T01:12:00"/>
    <x v="609"/>
    <x v="0"/>
    <s v="Buffalo"/>
    <x v="477"/>
    <n v="1120279"/>
    <x v="0"/>
    <s v="Science: Biology/Natural History; Science"/>
    <s v="9781118537671"/>
    <s v=",1,2,3,32,33,34,30,31,35,40,41,42,38,39,43,44,45,46,47,48,37,36,39,44,40,44,40,46,47,48,41"/>
    <n v="22"/>
    <m/>
    <m/>
    <s v="No"/>
    <x v="0"/>
    <d v="2015-09-03T20:40:35"/>
    <n v="7"/>
    <s v="128.205.114.91"/>
    <s v="QH371 .K384 2012"/>
    <n v="599.93499999999995"/>
    <d v="2012-11-19T00:00:00"/>
  </r>
  <r>
    <x v="8257"/>
    <d v="1899-12-30T00:00:22"/>
    <x v="974"/>
    <x v="0"/>
    <s v="Buffalo"/>
    <x v="161"/>
    <n v="821663"/>
    <x v="0"/>
    <s v="Architecture"/>
    <s v="9781118168479"/>
    <s v=",1,2,2,1,3,3,21,22,21,23,19,22,23,20,20,25,24,25,24,2"/>
    <n v="10"/>
    <m/>
    <m/>
    <s v="No"/>
    <x v="1"/>
    <m/>
    <m/>
    <s v="128.205.114.91"/>
    <s v="NA2547 -- .S74 2012eb"/>
    <n v="729"/>
    <d v="2012-03-05T00:00:00"/>
  </r>
  <r>
    <x v="8258"/>
    <d v="1899-12-30T00:12:39"/>
    <x v="1843"/>
    <x v="0"/>
    <s v="Buffalo"/>
    <x v="161"/>
    <n v="821663"/>
    <x v="0"/>
    <s v="Architecture"/>
    <s v="9781118168479"/>
    <s v=",1,23,22,24,20,21,2,22,23,24,20,21,1,21,23,22,19,20,18,17,16,15,13,14,12,10,11,9,8,7,6,4,5,2"/>
    <n v="23"/>
    <s v=",6"/>
    <s v=",21,22,23,24,25,26,27,28,29,30,31,32,33,34,35,36,37,38,39,40,41,42,43,44,45,46,47,48,49,50,51,52,53,54,55,56,57,58,59,60,61,62,63,64,65,66,67,68,69,70,71,72,73,74,75,76,77,78,79,80,81,82,83,84,85,86,87,88,89,90,91,92,93,94,95,96,97,98,99,100,101,102"/>
    <s v="Yes"/>
    <x v="0"/>
    <d v="2015-09-07T21:25:51"/>
    <n v="7"/>
    <s v="128.205.114.91"/>
    <s v="NA2547 -- .S74 2012eb"/>
    <n v="729"/>
    <d v="2012-03-05T00:00:00"/>
  </r>
  <r>
    <x v="8259"/>
    <d v="1899-12-30T00:00:00"/>
    <x v="1843"/>
    <x v="0"/>
    <s v="Buffalo"/>
    <x v="161"/>
    <n v="821663"/>
    <x v="0"/>
    <s v="Architecture"/>
    <s v="9781118168479"/>
    <m/>
    <n v="0"/>
    <m/>
    <m/>
    <s v="Yes"/>
    <x v="0"/>
    <d v="2015-09-07T21:25:51"/>
    <n v="7"/>
    <s v="128.205.114.91"/>
    <s v="NA2547 -- .S74 2012eb"/>
    <n v="729"/>
    <d v="2012-03-05T00:00:00"/>
  </r>
  <r>
    <x v="8260"/>
    <d v="1899-12-30T00:00:00"/>
    <x v="1843"/>
    <x v="0"/>
    <s v="Buffalo"/>
    <x v="161"/>
    <n v="821663"/>
    <x v="0"/>
    <s v="Architecture"/>
    <s v="9781118168479"/>
    <m/>
    <n v="0"/>
    <m/>
    <m/>
    <s v="No"/>
    <x v="0"/>
    <d v="2015-09-07T21:25:51"/>
    <n v="7"/>
    <s v="128.205.114.91"/>
    <s v="NA2547 -- .S74 2012eb"/>
    <n v="729"/>
    <d v="2012-03-05T00:00:00"/>
  </r>
  <r>
    <x v="8261"/>
    <d v="1899-12-30T00:00:37"/>
    <x v="1843"/>
    <x v="0"/>
    <s v="Buffalo"/>
    <x v="161"/>
    <n v="821663"/>
    <x v="0"/>
    <s v="Architecture"/>
    <s v="9781118168479"/>
    <s v=",1,3,2,4,5,6,7,9,10,14,15,17,23,24,25,21,22"/>
    <n v="17"/>
    <m/>
    <m/>
    <s v="No"/>
    <x v="1"/>
    <m/>
    <m/>
    <s v="128.205.114.91"/>
    <s v="NA2547 -- .S74 2012eb"/>
    <n v="729"/>
    <d v="2012-03-05T00:00:00"/>
  </r>
  <r>
    <x v="8262"/>
    <d v="1899-12-30T01:39:13"/>
    <x v="13"/>
    <x v="0"/>
    <s v="Buffalo"/>
    <x v="559"/>
    <n v="1217954"/>
    <x v="1"/>
    <s v="Engineering; Engineering: General"/>
    <s v="9781409457558"/>
    <s v=",1,2,3,51,52,53,49,50,54,55,56,57,37,38,39,35,36,40,41,473,470,468,474,475,476,477,471,472,469,478,479,480,73,74,75,71,72,76,77,78,79,80,81,82,323,321,326,329,324,325,322,327,328,414,411,1,416,413,414,415,411,412,2,417,418,419,420"/>
    <n v="63"/>
    <m/>
    <m/>
    <s v="No"/>
    <x v="0"/>
    <d v="2015-09-06T22:17:53"/>
    <n v="7"/>
    <s v="128.205.114.91"/>
    <s v="T59.7 -- .S73 2013eb"/>
    <s v="620.8/2"/>
    <d v="2013-10-28T00:00:00"/>
  </r>
  <r>
    <x v="8263"/>
    <d v="1899-12-30T00:25:56"/>
    <x v="13"/>
    <x v="0"/>
    <s v="Buffalo"/>
    <x v="73"/>
    <n v="1119505"/>
    <x v="0"/>
    <s v="Science: Chemistry; Science"/>
    <s v="9781118355015"/>
    <s v=",1,2,3,29,30,31,27,28,29,30,29,28,29,30"/>
    <n v="8"/>
    <m/>
    <m/>
    <s v="No"/>
    <x v="0"/>
    <d v="2015-09-03T17:44:21"/>
    <n v="7"/>
    <s v="128.205.114.91"/>
    <s v="QD251.3 -- .S38 2013eb"/>
    <s v="547/.128"/>
    <d v="2013-01-28T00:00:00"/>
  </r>
  <r>
    <x v="8264"/>
    <d v="1899-12-30T00:13:03"/>
    <x v="13"/>
    <x v="0"/>
    <s v="Buffalo"/>
    <x v="73"/>
    <n v="1119505"/>
    <x v="0"/>
    <s v="Science: Chemistry; Science"/>
    <s v="9781118355015"/>
    <s v=",1,2,3,27,28,29,25,26,27,28"/>
    <n v="8"/>
    <m/>
    <m/>
    <s v="No"/>
    <x v="0"/>
    <d v="2015-09-03T17:44:21"/>
    <n v="7"/>
    <s v="128.205.114.91"/>
    <s v="QD251.3 -- .S38 2013eb"/>
    <s v="547/.128"/>
    <d v="2013-01-28T00:00:00"/>
  </r>
  <r>
    <x v="8265"/>
    <d v="1899-12-30T03:04:54"/>
    <x v="1140"/>
    <x v="0"/>
    <s v="Buffalo"/>
    <x v="73"/>
    <n v="1119505"/>
    <x v="0"/>
    <s v="Science: Chemistry; Science"/>
    <s v="9781118355015"/>
    <s v=",1,2,2,3,3,1,29,30,29,30,31,27,31,28,28,2,32,32,33,33,34,34,35,35,30,29,28,33,34,35,36,36,31,30,29,28,27,26,25,24,23,28,23,28,29,30,31,32,33,34,35,36,37,37,38,38,39,39,40,40,41,41,42,42,43,43,44,44,26,27,28,24,25,29,30,31,26,31,26,31,36,37,38,34,35,39,40,41,42,43,44,45,45,46,46,47,47,48,48,43,42,41,40,39,38,43,44,45,46,47,48,49,49,50,50,45,44,42,41,20,20,21,18,22,21,22,19,19,23,24,25,26,27,28,29,30,31,32,33,34,35,36,37,45,46,47,43,44,48,43,48,49,50,44,45,43,42,41,40,39,38,37,36,35,34,33,45,46,47,43,44,48,49,44,43,48,49,50,45,44,43,42,41,40,45,40,39,38,37,36,35,34,33,32,31,30,29,28,27,25,26,24,23,22,27,28,29,30,31,32,33,34,35,36,37,38,39,40,41,42,43,44,45,46,47,48,49,50,45,42,41,43,39,40,38,37,36,35,34,32,33,31,29,30,28,27,26,25,24,23,28,23,22,27,22,21,26,27,28,23,22,27,28,23,22,27,28,23,22,27,28,23,28,29,30,31,32,33,34,35,36,37,38,39,40,41,42,43,44,45,46,47,48,49,50,51"/>
    <n v="37"/>
    <m/>
    <m/>
    <s v="No"/>
    <x v="0"/>
    <d v="2015-09-04T20:49:32"/>
    <n v="7"/>
    <s v="128.205.114.91"/>
    <s v="QD251.3 -- .S38 2013eb"/>
    <s v="547/.128"/>
    <d v="2013-01-28T00:00:00"/>
  </r>
  <r>
    <x v="8266"/>
    <d v="1899-12-30T00:49:21"/>
    <x v="609"/>
    <x v="0"/>
    <s v="Buffalo"/>
    <x v="477"/>
    <n v="1120279"/>
    <x v="0"/>
    <s v="Science: Biology/Natural History; Science"/>
    <s v="9781118537671"/>
    <s v=",1,2,3,32,33,34,30,31,35,36,37,38,39,40,41,42,43,44,45,46,47,48,49,50,51,39,37,38,33,34,35,31,32,30,36"/>
    <n v="25"/>
    <m/>
    <m/>
    <s v="No"/>
    <x v="0"/>
    <d v="2015-09-03T20:40:35"/>
    <n v="7"/>
    <s v="128.205.114.91"/>
    <s v="QH371 .K384 2012"/>
    <n v="599.93499999999995"/>
    <d v="2012-11-19T00:00:00"/>
  </r>
  <r>
    <x v="8267"/>
    <d v="1899-12-30T00:11:20"/>
    <x v="609"/>
    <x v="0"/>
    <s v="Buffalo"/>
    <x v="477"/>
    <n v="1120279"/>
    <x v="0"/>
    <s v="Science: Biology/Natural History; Science"/>
    <s v="9781118537671"/>
    <s v=",1,2,3"/>
    <n v="3"/>
    <m/>
    <m/>
    <s v="No"/>
    <x v="0"/>
    <d v="2015-09-03T20:40:35"/>
    <n v="7"/>
    <s v="128.205.114.91"/>
    <s v="QH371 .K384 2012"/>
    <n v="599.93499999999995"/>
    <d v="2012-11-19T00:00:00"/>
  </r>
  <r>
    <x v="8268"/>
    <d v="1899-12-30T00:10:47"/>
    <x v="1140"/>
    <x v="0"/>
    <s v="Buffalo"/>
    <x v="73"/>
    <n v="1119505"/>
    <x v="0"/>
    <s v="Science: Chemistry; Science"/>
    <s v="9781118355015"/>
    <s v=",1,2,2,3,3,1,24,25,24,26,25,2,26,2,22,23,23,27,27,28,28,23,28,23,28,23,22,21,20,19,17,18,23,24,25,26,27,28,29,29,30,30,31,31,32,32,33,33,34,34,35,35,36,36,37,37,38,38,39,40,39,41,40,41,42,42,43,43,44,44,45,45,46,46,47,47,48,48,49,49,50,50,51,51,45,42,40,38,37,34,32,30,27,26,25,24,22,23,27,22,27,28,23,22,27"/>
    <n v="38"/>
    <m/>
    <m/>
    <s v="No"/>
    <x v="0"/>
    <d v="2015-09-04T20:49:32"/>
    <n v="7"/>
    <s v="128.205.114.91"/>
    <s v="QD251.3 -- .S38 2013eb"/>
    <s v="547/.128"/>
    <d v="2013-01-28T00:00:00"/>
  </r>
  <r>
    <x v="8269"/>
    <d v="1899-12-30T00:18:20"/>
    <x v="1811"/>
    <x v="0"/>
    <s v="Buffalo"/>
    <x v="1283"/>
    <n v="1220625"/>
    <x v="12"/>
    <s v="Social Science; Health"/>
    <s v="9781469612751"/>
    <s v=",29,35,36,37,38,39,40,41,42"/>
    <n v="9"/>
    <m/>
    <m/>
    <s v="No"/>
    <x v="2"/>
    <d v="2015-09-07T18:43:40"/>
    <n v="1"/>
    <s v="128.205.114.91"/>
    <s v="GT2855 -- .V45 2013eb"/>
    <n v="362.1"/>
    <d v="2013-08-01T00:00:00"/>
  </r>
  <r>
    <x v="8270"/>
    <d v="1899-12-30T00:08:57"/>
    <x v="1811"/>
    <x v="0"/>
    <s v="Buffalo"/>
    <x v="1283"/>
    <n v="1220625"/>
    <x v="12"/>
    <s v="Social Science; Health"/>
    <s v="9781469612751"/>
    <s v=",1,3,2,18,19,20,16,17,21,22,23,24,25,26,27,28,29,30,31,32,33,34"/>
    <n v="22"/>
    <m/>
    <m/>
    <s v="No"/>
    <x v="3"/>
    <m/>
    <m/>
    <s v="128.205.114.91"/>
    <s v="GT2855 -- .V45 2013eb"/>
    <n v="362.1"/>
    <d v="2013-08-01T00:00:00"/>
  </r>
  <r>
    <x v="8271"/>
    <d v="1899-12-30T00:00:51"/>
    <x v="1844"/>
    <x v="0"/>
    <s v="Buffalo"/>
    <x v="1710"/>
    <n v="1711851"/>
    <x v="1"/>
    <s v="Business/Management; Fine Arts"/>
    <s v="9781848221598"/>
    <s v=",1,2,3,4,5,6,7,8,9,203,204,205,201,202,206,207,208,209,2,202,199,198,189,188,187,186,159,152,145,138,131,124,117,103,89,90,91,87,86,85,83,84,82"/>
    <n v="41"/>
    <m/>
    <m/>
    <s v="No"/>
    <x v="3"/>
    <m/>
    <m/>
    <s v="128.205.114.91"/>
    <s v="N8600 -- .A33 2014eb"/>
    <n v="381.45699999999999"/>
    <d v="2014-08-28T00:00:00"/>
  </r>
  <r>
    <x v="8272"/>
    <d v="1899-12-30T01:11:37"/>
    <x v="13"/>
    <x v="0"/>
    <s v="Buffalo"/>
    <x v="73"/>
    <n v="1119505"/>
    <x v="0"/>
    <s v="Science: Chemistry; Science"/>
    <s v="9781118355015"/>
    <s v=",1,2,3,19,20,21,17,18,22,23,24,25,26,23,23,23,24,23,23,24,24,25,26"/>
    <n v="13"/>
    <m/>
    <m/>
    <s v="No"/>
    <x v="0"/>
    <d v="2015-09-03T17:44:21"/>
    <n v="7"/>
    <s v="128.205.114.91"/>
    <s v="QD251.3 -- .S38 2013eb"/>
    <s v="547/.128"/>
    <d v="2013-01-28T00:00:00"/>
  </r>
  <r>
    <x v="8273"/>
    <d v="1899-12-30T00:01:45"/>
    <x v="986"/>
    <x v="0"/>
    <s v="Buffalo"/>
    <x v="73"/>
    <n v="1119505"/>
    <x v="0"/>
    <s v="Science: Chemistry; Science"/>
    <s v="9781118355015"/>
    <s v=",1"/>
    <n v="1"/>
    <m/>
    <m/>
    <s v="Yes"/>
    <x v="0"/>
    <d v="2015-09-03T13:49:15"/>
    <n v="7"/>
    <s v="128.205.114.91"/>
    <s v="QD251.3 -- .S38 2013eb"/>
    <s v="547/.128"/>
    <d v="2013-01-28T00:00:00"/>
  </r>
  <r>
    <x v="8274"/>
    <d v="1899-12-30T00:00:06"/>
    <x v="986"/>
    <x v="0"/>
    <s v="Buffalo"/>
    <x v="73"/>
    <n v="1119505"/>
    <x v="0"/>
    <s v="Science: Chemistry; Science"/>
    <s v="9781118355015"/>
    <s v=",1,2,3"/>
    <n v="3"/>
    <m/>
    <m/>
    <s v="No"/>
    <x v="0"/>
    <d v="2015-09-03T13:49:15"/>
    <n v="7"/>
    <s v="128.205.114.91"/>
    <s v="QD251.3 -- .S38 2013eb"/>
    <s v="547/.128"/>
    <d v="2013-01-28T00:00:00"/>
  </r>
  <r>
    <x v="8275"/>
    <d v="1899-12-30T00:11:01"/>
    <x v="609"/>
    <x v="0"/>
    <s v="Buffalo"/>
    <x v="477"/>
    <n v="1120279"/>
    <x v="0"/>
    <s v="Science: Biology/Natural History; Science"/>
    <s v="9781118537671"/>
    <s v=",1,2,3,32,33,31,34,30,32,33,34,31,30,29,35,33,36,37,38,39,40,41,42,43,44,45,46"/>
    <n v="21"/>
    <m/>
    <m/>
    <s v="No"/>
    <x v="0"/>
    <d v="2015-09-03T20:40:35"/>
    <n v="7"/>
    <s v="128.205.114.91"/>
    <s v="QH371 .K384 2012"/>
    <n v="599.93499999999995"/>
    <d v="2012-11-19T00:00:00"/>
  </r>
  <r>
    <x v="8276"/>
    <d v="1899-12-30T00:00:31"/>
    <x v="1845"/>
    <x v="1"/>
    <s v="brockport"/>
    <x v="28"/>
    <n v="817313"/>
    <x v="0"/>
    <s v="Education"/>
    <s v="9781118136829"/>
    <s v=",1,2,3"/>
    <n v="3"/>
    <m/>
    <m/>
    <s v="No"/>
    <x v="1"/>
    <m/>
    <m/>
    <s v="137.21.7.121"/>
    <s v="LB2367.4 -- .W65 2012eb"/>
    <n v="378.16640000000001"/>
    <d v="2012-01-10T00:00:00"/>
  </r>
  <r>
    <x v="8277"/>
    <d v="1899-12-30T00:00:00"/>
    <x v="246"/>
    <x v="1"/>
    <s v="brockport"/>
    <x v="1711"/>
    <n v="1763124"/>
    <x v="1"/>
    <s v="Military Science"/>
    <s v="9781409457503"/>
    <m/>
    <n v="0"/>
    <m/>
    <s v=",9,10,11,12,13,14,15,16,17,18,19,20,21,22,23,24,25,26,27,28,29,30,31,32,33,34,35"/>
    <s v="No"/>
    <x v="2"/>
    <d v="2015-09-07T17:07:23"/>
    <n v="1"/>
    <s v="137.21.7.121"/>
    <s v="UB345.F5 -- .A353 2014eb"/>
    <s v="355.2/236309489709041"/>
    <d v="2014-10-28T00:00:00"/>
  </r>
  <r>
    <x v="8278"/>
    <d v="1899-12-30T00:00:32"/>
    <x v="246"/>
    <x v="1"/>
    <s v="brockport"/>
    <x v="1711"/>
    <n v="1763124"/>
    <x v="1"/>
    <s v="Military Science"/>
    <s v="9781409457503"/>
    <s v=",1,2,2,3,3,1,4,4,5,5,6,6,9,10,9,10,11,7,11,8,8,12,12,2,13,13,14,14"/>
    <n v="14"/>
    <m/>
    <m/>
    <s v="No"/>
    <x v="3"/>
    <m/>
    <m/>
    <s v="137.21.7.121"/>
    <s v="UB345.F5 -- .A353 2014eb"/>
    <s v="355.2/236309489709041"/>
    <d v="2014-10-28T00:00:00"/>
  </r>
  <r>
    <x v="8279"/>
    <d v="1899-12-30T00:07:12"/>
    <x v="1846"/>
    <x v="6"/>
    <s v="sjfc"/>
    <x v="381"/>
    <n v="1138225"/>
    <x v="0"/>
    <s v="Mathematics"/>
    <s v="9781118548356"/>
    <s v=",426,427,428,421,83,1,2,3,4,5,6,7,8"/>
    <n v="13"/>
    <m/>
    <m/>
    <s v="No"/>
    <x v="0"/>
    <d v="2015-09-07T16:27:21"/>
    <n v="7"/>
    <s v="149.69.254.57"/>
    <s v="QA278.2 .H67 2013"/>
    <n v="519.53599999999994"/>
    <d v="2013-02-26T00:00:00"/>
  </r>
  <r>
    <x v="8280"/>
    <d v="1899-12-30T00:10:10"/>
    <x v="1846"/>
    <x v="6"/>
    <s v="sjfc"/>
    <x v="381"/>
    <n v="1138225"/>
    <x v="0"/>
    <s v="Mathematics"/>
    <s v="9781118548356"/>
    <s v=",1,247,248,249,245,246,2,420,422,421,418,419,423,424,425"/>
    <n v="15"/>
    <m/>
    <m/>
    <s v="No"/>
    <x v="1"/>
    <m/>
    <m/>
    <s v="149.69.254.57"/>
    <s v="QA278.2 .H67 2013"/>
    <n v="519.53599999999994"/>
    <d v="2013-02-26T00:00:00"/>
  </r>
  <r>
    <x v="8281"/>
    <d v="1899-12-30T00:01:45"/>
    <x v="1847"/>
    <x v="15"/>
    <s v="morrisville"/>
    <x v="1712"/>
    <n v="1711059"/>
    <x v="3"/>
    <s v="Science; Science: Zoology"/>
    <s v="9780520959330"/>
    <s v=",1,2,3,38,39,40,36,37,41,42,43,44"/>
    <n v="12"/>
    <m/>
    <m/>
    <s v="No"/>
    <x v="3"/>
    <m/>
    <m/>
    <s v="136.204.32.68"/>
    <s v="QL615 -- .H37 2014eb"/>
    <n v="597"/>
    <d v="2015-01-10T00:00:00"/>
  </r>
  <r>
    <x v="8282"/>
    <d v="1899-12-30T00:00:21"/>
    <x v="1848"/>
    <x v="13"/>
    <s v="buffalostate"/>
    <x v="246"/>
    <n v="1707328"/>
    <x v="3"/>
    <s v="Fine Arts"/>
    <s v="9780520958876"/>
    <s v=",1,1,3,2,1,3,2,1,147,148,147,149,148,145,149,146,146,2"/>
    <n v="8"/>
    <m/>
    <s v=",147,148,149,150,151,152,153,154,155,156,157,158,159,160,161,162,163,164,165,166,167,168,169,170,171,172,173,174,175,176,177,178,179,180,181,182,183,184,185,186,187,188,189,190,191,192,193,194,195"/>
    <s v="No"/>
    <x v="0"/>
    <d v="2015-09-07T15:09:33"/>
    <n v="7"/>
    <s v="136.183.11.43"/>
    <s v="ML195 -- .A45 2014eb"/>
    <n v="780.90329999999994"/>
    <d v="2014-06-07T00:00:00"/>
  </r>
  <r>
    <x v="8283"/>
    <d v="1899-12-30T00:00:41"/>
    <x v="1848"/>
    <x v="13"/>
    <s v="buffalostate"/>
    <x v="246"/>
    <n v="1707328"/>
    <x v="3"/>
    <s v="Fine Arts"/>
    <s v="9780520958876"/>
    <s v=",147"/>
    <n v="1"/>
    <m/>
    <m/>
    <s v="Yes"/>
    <x v="0"/>
    <d v="2015-09-07T15:09:33"/>
    <n v="7"/>
    <s v="136.183.11.43"/>
    <s v="ML195 -- .A45 2014eb"/>
    <n v="780.90329999999994"/>
    <d v="2014-06-07T00:00:00"/>
  </r>
  <r>
    <x v="8284"/>
    <d v="1899-12-30T00:05:49"/>
    <x v="13"/>
    <x v="0"/>
    <s v="Buffalo"/>
    <x v="161"/>
    <n v="821663"/>
    <x v="0"/>
    <s v="Architecture"/>
    <s v="9781118168479"/>
    <s v=",1,2,3,21,22,23,19,20,24,25"/>
    <n v="10"/>
    <m/>
    <m/>
    <s v="No"/>
    <x v="0"/>
    <d v="2015-09-01T14:51:35"/>
    <n v="7"/>
    <s v="128.205.114.91"/>
    <s v="NA2547 -- .S74 2012eb"/>
    <n v="729"/>
    <d v="2012-03-05T00:00:00"/>
  </r>
  <r>
    <x v="8285"/>
    <d v="1899-12-30T00:16:04"/>
    <x v="1848"/>
    <x v="13"/>
    <s v="buffalostate"/>
    <x v="246"/>
    <n v="1707328"/>
    <x v="3"/>
    <s v="Fine Arts"/>
    <s v="9780520958876"/>
    <s v=",145,150,151,151,146,145,150,145,150,145,151,152,153,152,153,196,196,197,195,197,195,193,194,194,195,195,195,147,147,148,149,145,146"/>
    <n v="14"/>
    <m/>
    <m/>
    <s v="No"/>
    <x v="0"/>
    <d v="2015-09-07T15:09:33"/>
    <n v="7"/>
    <s v="136.183.11.43"/>
    <s v="ML195 -- .A45 2014eb"/>
    <n v="780.90329999999994"/>
    <d v="2014-06-07T00:00:00"/>
  </r>
  <r>
    <x v="8286"/>
    <d v="1899-12-30T00:03:39"/>
    <x v="1848"/>
    <x v="13"/>
    <s v="buffalostate"/>
    <x v="246"/>
    <n v="1707328"/>
    <x v="3"/>
    <s v="Fine Arts"/>
    <s v="9780520958876"/>
    <s v=",1,1,3,3,1,1,2,2,147,148,149,147,148,149,146,146,145,2,150,150"/>
    <n v="9"/>
    <m/>
    <m/>
    <s v="No"/>
    <x v="3"/>
    <m/>
    <m/>
    <s v="136.183.11.43"/>
    <s v="ML195 -- .A45 2014eb"/>
    <n v="780.90329999999994"/>
    <d v="2014-06-07T00:00:00"/>
  </r>
  <r>
    <x v="8287"/>
    <d v="1899-12-30T01:16:50"/>
    <x v="1849"/>
    <x v="13"/>
    <s v="buffalostate"/>
    <x v="246"/>
    <n v="1707328"/>
    <x v="3"/>
    <s v="Fine Arts"/>
    <s v="9780520958876"/>
    <s v=",1,1,2,3,2,3,147,148,149,147,148,149,145,146,146,151,151,152,154,152,158,154,158,159,162,159,162,164,166,164,166,2,167,168,167,168,165,165,147,148,149,145,146,8,9,10,9,6,10,8,7,7,147,148,149,145,146,150,150,151,152,147,152,153,153,154,155,155,156,156,157,157,158,159,160,160,161,161,162,163,163,164,165,166,167,168,169,169,170,170,171,171,172,172,172,173,173,174,174,175,175,176,176,177,177,178,178,179,179,180,180,181,181,182,183,182,183,184,184,185,185,186,186,187,188,187,188,183,188,189,189,190,190,191,191,192,192,187,192,193,193,194,194,195,195,196,196,197,197,198,198,199,193,186,160,199,5,1,5,3,13,196,195,193,192,185,181,180,13,174,169,170,165,164,163,161,162,157,156,155,154,152,153,151,150,149,148,146,147,145"/>
    <n v="65"/>
    <m/>
    <m/>
    <s v="No"/>
    <x v="2"/>
    <d v="2015-09-06T16:17:49"/>
    <n v="7"/>
    <s v="136.183.11.43"/>
    <s v="ML195 -- .A45 2014eb"/>
    <n v="780.90329999999994"/>
    <d v="2014-06-07T00:00:00"/>
  </r>
  <r>
    <x v="8288"/>
    <d v="1899-12-30T00:33:33"/>
    <x v="798"/>
    <x v="0"/>
    <s v="Buffalo"/>
    <x v="161"/>
    <n v="821663"/>
    <x v="0"/>
    <s v="Architecture"/>
    <s v="9781118168479"/>
    <s v=",1,3,2,35,36,37,33,34,38,38,39,40,41,42,43,44,45,46,47,48,49"/>
    <n v="20"/>
    <m/>
    <m/>
    <s v="No"/>
    <x v="0"/>
    <d v="2015-09-01T15:41:37"/>
    <n v="7"/>
    <s v="128.205.114.91"/>
    <s v="NA2547 -- .S74 2012eb"/>
    <n v="729"/>
    <d v="2012-03-05T00:00:00"/>
  </r>
  <r>
    <x v="8289"/>
    <d v="1899-12-30T00:01:39"/>
    <x v="526"/>
    <x v="0"/>
    <s v="Buffalo"/>
    <x v="559"/>
    <n v="1217954"/>
    <x v="1"/>
    <s v="Engineering; Engineering: General"/>
    <s v="9781409457558"/>
    <s v=",30,31,32,33,584,586,583,582,587,588,521,522,523,520,524,525"/>
    <n v="16"/>
    <m/>
    <m/>
    <s v="No"/>
    <x v="0"/>
    <d v="2015-09-07T04:09:14"/>
    <n v="7"/>
    <s v="128.205.114.91"/>
    <s v="T59.7 -- .S73 2013eb"/>
    <s v="620.8/2"/>
    <d v="2013-10-28T00:00:00"/>
  </r>
  <r>
    <x v="8290"/>
    <d v="1899-12-30T00:03:07"/>
    <x v="526"/>
    <x v="0"/>
    <s v="Buffalo"/>
    <x v="559"/>
    <n v="1217954"/>
    <x v="1"/>
    <s v="Engineering; Engineering: General"/>
    <s v="9781409457558"/>
    <s v=",1,2,3,27,29,28,25,26"/>
    <n v="8"/>
    <m/>
    <m/>
    <s v="No"/>
    <x v="1"/>
    <m/>
    <m/>
    <s v="128.205.114.91"/>
    <s v="T59.7 -- .S73 2013eb"/>
    <s v="620.8/2"/>
    <d v="2013-10-28T00:00:00"/>
  </r>
  <r>
    <x v="8291"/>
    <d v="1899-12-30T00:10:00"/>
    <x v="798"/>
    <x v="0"/>
    <s v="Buffalo"/>
    <x v="161"/>
    <n v="821663"/>
    <x v="0"/>
    <s v="Architecture"/>
    <s v="9781118168479"/>
    <s v=",1,2,3,1,2,3,21,23,22,20,19,24,25,23,24,21,25,22,26,27,28,29,30,31,32,33,34,35,36,37"/>
    <n v="22"/>
    <m/>
    <m/>
    <s v="No"/>
    <x v="0"/>
    <d v="2015-09-01T15:41:37"/>
    <n v="7"/>
    <s v="128.205.114.91"/>
    <s v="NA2547 -- .S74 2012eb"/>
    <n v="729"/>
    <d v="2012-03-05T00:00:00"/>
  </r>
  <r>
    <x v="8292"/>
    <d v="1899-12-30T00:09:36"/>
    <x v="526"/>
    <x v="0"/>
    <s v="Buffalo"/>
    <x v="559"/>
    <n v="1217954"/>
    <x v="1"/>
    <s v="Engineering; Engineering: General"/>
    <s v="9781409457558"/>
    <s v=",1,2,3,4,5,6,7,8,9,10,521,522,523,519,520,524,525,526,527"/>
    <n v="19"/>
    <m/>
    <m/>
    <s v="No"/>
    <x v="1"/>
    <m/>
    <m/>
    <s v="128.205.114.91"/>
    <s v="T59.7 -- .S73 2013eb"/>
    <s v="620.8/2"/>
    <d v="2013-10-28T00:00:00"/>
  </r>
  <r>
    <x v="8293"/>
    <d v="1899-12-30T01:06:27"/>
    <x v="634"/>
    <x v="11"/>
    <s v="cobleskill"/>
    <x v="11"/>
    <n v="693176"/>
    <x v="0"/>
    <s v="Engineering: Manufacturing; General Works/Reference; Engineering"/>
    <s v="9781118017746"/>
    <s v=",1,2,3,160,161,162,158,159,163,156,157,154,155,160,124,125,126,122,123,355,356,357,353,354,150,151,152,149,163,164,165,169,170,171,167,168"/>
    <n v="34"/>
    <m/>
    <m/>
    <s v="No"/>
    <x v="0"/>
    <d v="2015-09-01T16:52:51"/>
    <n v="7"/>
    <s v="137.36.32.34"/>
    <s v="Z246 -- .M43 2012eb"/>
    <s v="686.2/209"/>
    <d v="2011-10-19T00:00:00"/>
  </r>
  <r>
    <x v="8294"/>
    <d v="1899-12-30T00:03:15"/>
    <x v="1850"/>
    <x v="8"/>
    <s v="niagaracc"/>
    <x v="667"/>
    <n v="800610"/>
    <x v="4"/>
    <s v="Medicine"/>
    <s v="9781609186951"/>
    <s v=",1,2,3,4,5,6,7,8,9,10,11,12,13,14,15,16,17,18,19,20,21,22,23,24,25,26,27,28,29,30,31,32,33,34,35,36,37,38,39,40,41,42,43,44,45,46,47,48,49,50,51,52,53,54,52,741,740,739,738,737,736,735,734,733,732,731"/>
    <n v="65"/>
    <m/>
    <m/>
    <s v="No"/>
    <x v="1"/>
    <m/>
    <m/>
    <s v="132.174.254.37"/>
    <s v="RC537 -- .L43 2012eb"/>
    <n v="616.89499999999998"/>
    <d v="2011-11-09T00:00:00"/>
  </r>
  <r>
    <x v="8295"/>
    <d v="1899-12-30T00:06:59"/>
    <x v="13"/>
    <x v="0"/>
    <s v="Buffalo"/>
    <x v="559"/>
    <n v="1217954"/>
    <x v="1"/>
    <s v="Engineering; Engineering: General"/>
    <s v="9781409457558"/>
    <s v=",55,56"/>
    <n v="2"/>
    <m/>
    <m/>
    <s v="No"/>
    <x v="0"/>
    <d v="2015-09-06T22:17:53"/>
    <n v="7"/>
    <s v="128.205.114.91"/>
    <s v="T59.7 -- .S73 2013eb"/>
    <s v="620.8/2"/>
    <d v="2013-10-28T00:00:00"/>
  </r>
  <r>
    <x v="8296"/>
    <d v="1899-12-30T00:31:22"/>
    <x v="824"/>
    <x v="0"/>
    <s v="Buffalo"/>
    <x v="161"/>
    <n v="821663"/>
    <x v="0"/>
    <s v="Architecture"/>
    <s v="9781118168479"/>
    <s v=",1,2,3,1,15,19,21,21,21,22,23,20,19,18,24,25,26"/>
    <n v="13"/>
    <m/>
    <m/>
    <s v="No"/>
    <x v="0"/>
    <d v="2015-09-06T19:33:30"/>
    <n v="7"/>
    <s v="128.205.114.91"/>
    <s v="NA2547 -- .S74 2012eb"/>
    <n v="729"/>
    <d v="2012-03-05T00:00:00"/>
  </r>
  <r>
    <x v="8297"/>
    <d v="1899-12-30T00:00:51"/>
    <x v="13"/>
    <x v="0"/>
    <s v="Buffalo"/>
    <x v="73"/>
    <n v="1119505"/>
    <x v="0"/>
    <s v="Science: Chemistry; Science"/>
    <s v="9781118355015"/>
    <s v=",1,2,3,5,6,7,4,20,22,21,18,19,8"/>
    <n v="13"/>
    <m/>
    <m/>
    <s v="No"/>
    <x v="0"/>
    <d v="2015-09-03T17:44:21"/>
    <n v="7"/>
    <s v="128.205.114.91"/>
    <s v="QD251.3 -- .S38 2013eb"/>
    <s v="547/.128"/>
    <d v="2013-01-28T00:00:00"/>
  </r>
  <r>
    <x v="8298"/>
    <d v="1899-12-30T00:34:51"/>
    <x v="13"/>
    <x v="0"/>
    <s v="Buffalo"/>
    <x v="559"/>
    <n v="1217954"/>
    <x v="1"/>
    <s v="Engineering; Engineering: General"/>
    <s v="9781409457558"/>
    <s v=",1,2,3,29,28,30,27,26,31,32,69,70,71,68,67,72,51,52,53,50,49,54"/>
    <n v="22"/>
    <m/>
    <m/>
    <s v="No"/>
    <x v="1"/>
    <m/>
    <m/>
    <s v="128.205.114.91"/>
    <s v="T59.7 -- .S73 2013eb"/>
    <s v="620.8/2"/>
    <d v="2013-10-28T00:00:00"/>
  </r>
  <r>
    <x v="8299"/>
    <d v="1899-12-30T00:08:11"/>
    <x v="798"/>
    <x v="0"/>
    <s v="Buffalo"/>
    <x v="161"/>
    <n v="821663"/>
    <x v="0"/>
    <s v="Architecture"/>
    <s v="9781118168479"/>
    <s v=",1,2,3,1,2,3,21,23,22,19,20,21,23,22,20,19,24"/>
    <n v="9"/>
    <m/>
    <m/>
    <s v="No"/>
    <x v="0"/>
    <d v="2015-09-01T15:41:37"/>
    <n v="7"/>
    <s v="128.205.114.91"/>
    <s v="NA2547 -- .S74 2012eb"/>
    <n v="729"/>
    <d v="2012-03-05T00:00:00"/>
  </r>
  <r>
    <x v="8300"/>
    <d v="1899-12-30T00:00:04"/>
    <x v="798"/>
    <x v="0"/>
    <s v="Buffalo"/>
    <x v="161"/>
    <n v="821663"/>
    <x v="0"/>
    <s v="Architecture"/>
    <s v="9781118168479"/>
    <s v=",1,2,3"/>
    <n v="3"/>
    <m/>
    <m/>
    <s v="No"/>
    <x v="0"/>
    <d v="2015-09-01T15:41:37"/>
    <n v="7"/>
    <s v="128.205.114.91"/>
    <s v="NA2547 -- .S74 2012eb"/>
    <n v="729"/>
    <d v="2012-03-05T00:00:00"/>
  </r>
  <r>
    <x v="8301"/>
    <d v="1899-12-30T00:16:20"/>
    <x v="824"/>
    <x v="0"/>
    <s v="Buffalo"/>
    <x v="161"/>
    <n v="821663"/>
    <x v="0"/>
    <s v="Architecture"/>
    <s v="9781118168479"/>
    <s v=",7,1,2,3"/>
    <n v="4"/>
    <m/>
    <m/>
    <s v="Yes"/>
    <x v="0"/>
    <d v="2015-09-06T19:33:30"/>
    <n v="7"/>
    <s v="128.205.114.91"/>
    <s v="NA2547 -- .S74 2012eb"/>
    <n v="729"/>
    <d v="2012-03-05T00:00:00"/>
  </r>
  <r>
    <x v="8302"/>
    <d v="1899-12-30T00:01:16"/>
    <x v="824"/>
    <x v="0"/>
    <s v="Buffalo"/>
    <x v="161"/>
    <n v="821663"/>
    <x v="0"/>
    <s v="Architecture"/>
    <s v="9781118168479"/>
    <s v=",21,21"/>
    <n v="1"/>
    <s v=",21"/>
    <m/>
    <s v="Yes"/>
    <x v="0"/>
    <d v="2015-09-06T19:33:30"/>
    <n v="7"/>
    <s v="128.205.114.91"/>
    <s v="NA2547 -- .S74 2012eb"/>
    <n v="729"/>
    <d v="2012-03-05T00:00:00"/>
  </r>
  <r>
    <x v="8302"/>
    <d v="1899-12-30T00:00:00"/>
    <x v="824"/>
    <x v="0"/>
    <s v="Buffalo"/>
    <x v="161"/>
    <n v="821663"/>
    <x v="0"/>
    <s v="Architecture"/>
    <s v="9781118168479"/>
    <m/>
    <n v="0"/>
    <m/>
    <m/>
    <s v="No"/>
    <x v="0"/>
    <d v="2015-09-06T19:33:30"/>
    <n v="7"/>
    <s v="128.205.114.91"/>
    <s v="NA2547 -- .S74 2012eb"/>
    <n v="729"/>
    <d v="2012-03-05T00:00:00"/>
  </r>
  <r>
    <x v="8303"/>
    <d v="1899-12-30T00:01:16"/>
    <x v="824"/>
    <x v="0"/>
    <s v="Buffalo"/>
    <x v="161"/>
    <n v="821663"/>
    <x v="0"/>
    <s v="Architecture"/>
    <s v="9781118168479"/>
    <s v=",1,2,3,1,21,21,21,21,21,21"/>
    <n v="4"/>
    <m/>
    <m/>
    <s v="No"/>
    <x v="1"/>
    <m/>
    <m/>
    <s v="128.205.114.91"/>
    <s v="NA2547 -- .S74 2012eb"/>
    <n v="729"/>
    <d v="2012-03-05T00:00:00"/>
  </r>
  <r>
    <x v="8304"/>
    <d v="1899-12-30T00:00:16"/>
    <x v="1851"/>
    <x v="0"/>
    <s v="Buffalo"/>
    <x v="1713"/>
    <n v="1719911"/>
    <x v="1"/>
    <s v="Museums"/>
    <s v="9781472416568"/>
    <s v=",1,2,3,4,5"/>
    <n v="5"/>
    <m/>
    <m/>
    <s v="No"/>
    <x v="3"/>
    <m/>
    <m/>
    <s v="128.205.114.91"/>
    <s v="AM7 -- .B345 2014eb"/>
    <n v="69.409409999999994"/>
    <d v="2014-08-28T00:00:00"/>
  </r>
  <r>
    <x v="8305"/>
    <d v="1899-12-30T02:39:06"/>
    <x v="609"/>
    <x v="0"/>
    <s v="Buffalo"/>
    <x v="477"/>
    <n v="1120279"/>
    <x v="0"/>
    <s v="Science: Biology/Natural History; Science"/>
    <s v="9781118537671"/>
    <s v=",1,265,266,267,263,264,2,267,263,264,263,264,265,266,267,263,265,266,263,264,268,263,269,270,271,272,273,274,275,276,271,270,269,15,16,17,18,13,14,19,20,21,22,23,24,25,26,27,28,29,30,31,32,16,13,14,16,17,18,14,15,19,19,20,21,15,21,21,22,23,23,23,24,25,25,26,27,28,30,29,29,30,31,32,31,32,31,31,32,1,265,266,267,263,264,2,28,29,30,26,27,31,33,24,25,22,23,20,21,26,23,22"/>
    <n v="37"/>
    <s v=",265,266,267,268,269,270,271,272,273"/>
    <m/>
    <s v="No"/>
    <x v="0"/>
    <d v="2015-09-03T20:40:35"/>
    <n v="7"/>
    <s v="128.205.114.91"/>
    <s v="QH371 .K384 2012"/>
    <n v="599.93499999999995"/>
    <d v="2012-11-19T00:00:00"/>
  </r>
  <r>
    <x v="8306"/>
    <d v="1899-12-30T00:00:55"/>
    <x v="1849"/>
    <x v="13"/>
    <s v="buffalostate"/>
    <x v="246"/>
    <n v="1707328"/>
    <x v="3"/>
    <s v="Fine Arts"/>
    <s v="9780520958876"/>
    <s v=",147,148,147,149,148,149,146,145,146,150,153,150,153"/>
    <n v="7"/>
    <m/>
    <m/>
    <s v="Yes"/>
    <x v="2"/>
    <d v="2015-09-06T16:17:49"/>
    <n v="7"/>
    <s v="136.183.11.43"/>
    <s v="ML195 -- .A45 2014eb"/>
    <n v="780.90329999999994"/>
    <d v="2014-06-07T00:00:00"/>
  </r>
  <r>
    <x v="8306"/>
    <d v="1899-12-30T00:00:00"/>
    <x v="1849"/>
    <x v="13"/>
    <s v="buffalostate"/>
    <x v="246"/>
    <n v="1707328"/>
    <x v="3"/>
    <s v="Fine Arts"/>
    <s v="9780520958876"/>
    <m/>
    <n v="0"/>
    <m/>
    <m/>
    <s v="No"/>
    <x v="2"/>
    <d v="2015-09-06T16:17:49"/>
    <n v="7"/>
    <s v="136.183.11.43"/>
    <s v="ML195 -- .A45 2014eb"/>
    <n v="780.90329999999994"/>
    <d v="2014-06-07T00:00:00"/>
  </r>
  <r>
    <x v="8307"/>
    <d v="1899-12-30T00:02:00"/>
    <x v="1849"/>
    <x v="13"/>
    <s v="buffalostate"/>
    <x v="246"/>
    <n v="1707328"/>
    <x v="3"/>
    <s v="Fine Arts"/>
    <s v="9780520958876"/>
    <s v=",1,1,1,2,3,2,3,147,148,147,149,148,149,146,147,146,2,145,150,150,151,152,151,153,152,153,154,154,149,147,21,21,148,145,146,147,147,147"/>
    <n v="14"/>
    <m/>
    <m/>
    <s v="No"/>
    <x v="3"/>
    <m/>
    <m/>
    <s v="136.183.11.43"/>
    <s v="ML195 -- .A45 2014eb"/>
    <n v="780.90329999999994"/>
    <d v="2014-06-07T00:00:00"/>
  </r>
  <r>
    <x v="8308"/>
    <d v="1899-12-30T00:01:33"/>
    <x v="1848"/>
    <x v="13"/>
    <s v="buffalostate"/>
    <x v="246"/>
    <n v="1707328"/>
    <x v="3"/>
    <s v="Fine Arts"/>
    <s v="9780520958876"/>
    <s v=",1,1,147,147,148,148,149,149,145,146,146,150,150,2,151,152,2,152,151,153,153,154,154,155,155,156,156,157,157,158,158,159,159,160,160,161,161,162,162,163,163,164,164,165,165,166,167,167,166,168,168,169,169,170,171,170,171,172,172,173,173,174,174,175,176,175,176,177,177,178,178,179,180,179,180,181,181,182,182,183,183,184,184,185,186,185,187,186,187,188,188,189,189,190,190,191,192,191,192,193,193,194,195,194,195,196,197,196,197,198,198,193,192,188,189,190,186,187"/>
    <n v="56"/>
    <m/>
    <m/>
    <s v="No"/>
    <x v="3"/>
    <m/>
    <m/>
    <s v="136.183.11.43"/>
    <s v="ML195 -- .A45 2014eb"/>
    <n v="780.90329999999994"/>
    <d v="2014-06-07T00:00:00"/>
  </r>
  <r>
    <x v="8309"/>
    <d v="1899-12-30T00:00:00"/>
    <x v="45"/>
    <x v="0"/>
    <s v="Buffalo"/>
    <x v="1714"/>
    <n v="2068031"/>
    <x v="1"/>
    <s v="Education; Fine Arts"/>
    <s v="9781472415967"/>
    <m/>
    <n v="0"/>
    <m/>
    <m/>
    <s v="Yes"/>
    <x v="2"/>
    <d v="2015-09-06T12:35:14"/>
    <n v="1"/>
    <s v="128.205.114.91"/>
    <s v="L3921 .M87 2015"/>
    <n v="781.1"/>
    <d v="2015-08-28T00:00:00"/>
  </r>
  <r>
    <x v="8309"/>
    <d v="1899-12-30T00:00:00"/>
    <x v="45"/>
    <x v="0"/>
    <s v="Buffalo"/>
    <x v="1714"/>
    <n v="2068031"/>
    <x v="1"/>
    <s v="Education; Fine Arts"/>
    <s v="9781472415967"/>
    <m/>
    <n v="0"/>
    <m/>
    <m/>
    <s v="No"/>
    <x v="2"/>
    <d v="2015-09-06T12:35:14"/>
    <n v="1"/>
    <s v="128.205.114.91"/>
    <s v="L3921 .M87 2015"/>
    <n v="781.1"/>
    <d v="2015-08-28T00:00:00"/>
  </r>
  <r>
    <x v="8310"/>
    <d v="1899-12-30T00:00:13"/>
    <x v="45"/>
    <x v="0"/>
    <s v="Buffalo"/>
    <x v="1714"/>
    <n v="2068031"/>
    <x v="1"/>
    <s v="Education; Fine Arts"/>
    <s v="9781472415967"/>
    <s v=",1,2,3"/>
    <n v="3"/>
    <m/>
    <m/>
    <s v="No"/>
    <x v="3"/>
    <m/>
    <m/>
    <s v="128.205.114.91"/>
    <s v="L3921 .M87 2015"/>
    <n v="781.1"/>
    <d v="2015-08-28T00:00:00"/>
  </r>
  <r>
    <x v="8311"/>
    <d v="1899-12-30T00:00:00"/>
    <x v="45"/>
    <x v="0"/>
    <s v="Buffalo"/>
    <x v="1715"/>
    <n v="2095100"/>
    <x v="1"/>
    <s v="Fine Arts"/>
    <s v="9781472445889"/>
    <m/>
    <n v="0"/>
    <m/>
    <m/>
    <s v="Yes"/>
    <x v="2"/>
    <d v="2015-09-06T12:33:26"/>
    <n v="1"/>
    <s v="128.205.114.91"/>
    <s v="ML93 .G74 2015"/>
    <n v="780.94200000000001"/>
    <d v="2015-08-28T00:00:00"/>
  </r>
  <r>
    <x v="8311"/>
    <d v="1899-12-30T00:00:00"/>
    <x v="45"/>
    <x v="0"/>
    <s v="Buffalo"/>
    <x v="1715"/>
    <n v="2095100"/>
    <x v="1"/>
    <s v="Fine Arts"/>
    <s v="9781472445889"/>
    <m/>
    <n v="0"/>
    <m/>
    <m/>
    <s v="No"/>
    <x v="2"/>
    <d v="2015-09-06T12:33:26"/>
    <n v="1"/>
    <s v="128.205.114.91"/>
    <s v="ML93 .G74 2015"/>
    <n v="780.94200000000001"/>
    <d v="2015-08-28T00:00:00"/>
  </r>
  <r>
    <x v="8312"/>
    <d v="1899-12-30T00:00:23"/>
    <x v="45"/>
    <x v="0"/>
    <s v="Buffalo"/>
    <x v="1715"/>
    <n v="2095100"/>
    <x v="1"/>
    <s v="Fine Arts"/>
    <s v="9781472445889"/>
    <s v=",1,2,3"/>
    <n v="3"/>
    <m/>
    <m/>
    <s v="No"/>
    <x v="3"/>
    <m/>
    <m/>
    <s v="128.205.114.91"/>
    <s v="ML93 .G74 2015"/>
    <n v="780.94200000000001"/>
    <d v="2015-08-28T00:00:00"/>
  </r>
  <r>
    <x v="8313"/>
    <d v="1899-12-30T00:00:00"/>
    <x v="45"/>
    <x v="0"/>
    <s v="Buffalo"/>
    <x v="1716"/>
    <n v="2079238"/>
    <x v="1"/>
    <s v="Fine Arts"/>
    <s v="9781472451941"/>
    <m/>
    <n v="0"/>
    <m/>
    <m/>
    <s v="Yes"/>
    <x v="2"/>
    <d v="2015-09-06T12:32:09"/>
    <n v="1"/>
    <s v="128.205.114.91"/>
    <s v="ML3917.C93 P54 2015"/>
    <s v="780.83''095693"/>
    <d v="2015-08-28T00:00:00"/>
  </r>
  <r>
    <x v="8313"/>
    <d v="1899-12-30T00:00:00"/>
    <x v="45"/>
    <x v="0"/>
    <s v="Buffalo"/>
    <x v="1716"/>
    <n v="2079238"/>
    <x v="1"/>
    <s v="Fine Arts"/>
    <s v="9781472451941"/>
    <m/>
    <n v="0"/>
    <m/>
    <m/>
    <s v="No"/>
    <x v="2"/>
    <d v="2015-09-06T12:32:09"/>
    <n v="1"/>
    <s v="128.205.114.91"/>
    <s v="ML3917.C93 P54 2015"/>
    <s v="780.83''095693"/>
    <d v="2015-08-28T00:00:00"/>
  </r>
  <r>
    <x v="8314"/>
    <d v="1899-12-30T00:00:15"/>
    <x v="45"/>
    <x v="0"/>
    <s v="Buffalo"/>
    <x v="1716"/>
    <n v="2079238"/>
    <x v="1"/>
    <s v="Fine Arts"/>
    <s v="9781472451941"/>
    <s v=",1,2,3"/>
    <n v="3"/>
    <m/>
    <m/>
    <s v="No"/>
    <x v="3"/>
    <m/>
    <m/>
    <s v="128.205.114.91"/>
    <s v="ML3917.C93 P54 2015"/>
    <s v="780.83''095693"/>
    <d v="2015-08-28T00:00:00"/>
  </r>
  <r>
    <x v="8315"/>
    <d v="1899-12-30T00:00:00"/>
    <x v="45"/>
    <x v="0"/>
    <s v="Buffalo"/>
    <x v="1717"/>
    <n v="2079247"/>
    <x v="1"/>
    <s v="Fine Arts"/>
    <s v="9781472460950"/>
    <m/>
    <n v="0"/>
    <m/>
    <m/>
    <s v="Yes"/>
    <x v="2"/>
    <d v="2015-09-06T12:30:43"/>
    <n v="1"/>
    <s v="128.205.114.91"/>
    <s v="ML170 .B384 2015"/>
    <n v="781.43"/>
    <d v="2015-08-28T00:00:00"/>
  </r>
  <r>
    <x v="8315"/>
    <d v="1899-12-30T00:00:00"/>
    <x v="45"/>
    <x v="0"/>
    <s v="Buffalo"/>
    <x v="1717"/>
    <n v="2079247"/>
    <x v="1"/>
    <s v="Fine Arts"/>
    <s v="9781472460950"/>
    <m/>
    <n v="0"/>
    <m/>
    <m/>
    <s v="No"/>
    <x v="2"/>
    <d v="2015-09-06T12:30:43"/>
    <n v="1"/>
    <s v="128.205.114.91"/>
    <s v="ML170 .B384 2015"/>
    <n v="781.43"/>
    <d v="2015-08-28T00:00:00"/>
  </r>
  <r>
    <x v="8316"/>
    <d v="1899-12-30T00:00:11"/>
    <x v="45"/>
    <x v="0"/>
    <s v="Buffalo"/>
    <x v="1717"/>
    <n v="2079247"/>
    <x v="1"/>
    <s v="Fine Arts"/>
    <s v="9781472460950"/>
    <s v=",1,2,3"/>
    <n v="3"/>
    <m/>
    <m/>
    <s v="No"/>
    <x v="3"/>
    <m/>
    <m/>
    <s v="128.205.114.91"/>
    <s v="ML170 .B384 2015"/>
    <n v="781.43"/>
    <d v="2015-08-28T00:00:00"/>
  </r>
  <r>
    <x v="8317"/>
    <d v="1899-12-30T00:00:00"/>
    <x v="45"/>
    <x v="0"/>
    <s v="Buffalo"/>
    <x v="1718"/>
    <n v="2058075"/>
    <x v="1"/>
    <s v="Fine Arts"/>
    <s v="9781472434005"/>
    <m/>
    <n v="0"/>
    <m/>
    <m/>
    <s v="Yes"/>
    <x v="2"/>
    <d v="2015-09-06T12:29:31"/>
    <n v="1"/>
    <s v="128.205.114.91"/>
    <s v="ML421.B4 B75 2015"/>
    <s v="782.42166092/2; 782.42166092''2"/>
    <d v="2015-07-28T00:00:00"/>
  </r>
  <r>
    <x v="8317"/>
    <d v="1899-12-30T00:00:00"/>
    <x v="45"/>
    <x v="0"/>
    <s v="Buffalo"/>
    <x v="1718"/>
    <n v="2058075"/>
    <x v="1"/>
    <s v="Fine Arts"/>
    <s v="9781472434005"/>
    <m/>
    <n v="0"/>
    <m/>
    <m/>
    <s v="No"/>
    <x v="2"/>
    <d v="2015-09-06T12:29:31"/>
    <n v="1"/>
    <s v="128.205.114.91"/>
    <s v="ML421.B4 B75 2015"/>
    <s v="782.42166092/2; 782.42166092''2"/>
    <d v="2015-07-28T00:00:00"/>
  </r>
  <r>
    <x v="8318"/>
    <d v="1899-12-30T00:00:16"/>
    <x v="45"/>
    <x v="0"/>
    <s v="Buffalo"/>
    <x v="1718"/>
    <n v="2058075"/>
    <x v="1"/>
    <s v="Fine Arts"/>
    <s v="9781472434005"/>
    <s v=",1,2,3"/>
    <n v="3"/>
    <m/>
    <m/>
    <s v="No"/>
    <x v="3"/>
    <m/>
    <m/>
    <s v="128.205.114.91"/>
    <s v="ML421.B4 B75 2015"/>
    <s v="782.42166092/2; 782.42166092''2"/>
    <d v="2015-07-28T00:00:00"/>
  </r>
  <r>
    <x v="8319"/>
    <d v="1899-12-30T00:00:00"/>
    <x v="45"/>
    <x v="0"/>
    <s v="Buffalo"/>
    <x v="1719"/>
    <n v="2079220"/>
    <x v="1"/>
    <s v="Fine Arts"/>
    <s v="9781409441748"/>
    <m/>
    <n v="0"/>
    <m/>
    <m/>
    <s v="Yes"/>
    <x v="2"/>
    <d v="2015-09-06T12:27:11"/>
    <n v="1"/>
    <s v="128.205.114.91"/>
    <s v="ML3489 .H43 2015"/>
    <n v="782.42164094400005"/>
    <d v="2015-08-28T00:00:00"/>
  </r>
  <r>
    <x v="8319"/>
    <d v="1899-12-30T00:00:00"/>
    <x v="45"/>
    <x v="0"/>
    <s v="Buffalo"/>
    <x v="1719"/>
    <n v="2079220"/>
    <x v="1"/>
    <s v="Fine Arts"/>
    <s v="9781409441748"/>
    <m/>
    <n v="0"/>
    <m/>
    <m/>
    <s v="No"/>
    <x v="2"/>
    <d v="2015-09-06T12:27:11"/>
    <n v="1"/>
    <s v="128.205.114.91"/>
    <s v="ML3489 .H43 2015"/>
    <n v="782.42164094400005"/>
    <d v="2015-08-28T00:00:00"/>
  </r>
  <r>
    <x v="8320"/>
    <d v="1899-12-30T00:00:36"/>
    <x v="45"/>
    <x v="0"/>
    <s v="Buffalo"/>
    <x v="1719"/>
    <n v="2079220"/>
    <x v="1"/>
    <s v="Fine Arts"/>
    <s v="9781409441748"/>
    <s v=",1,2,3"/>
    <n v="3"/>
    <m/>
    <m/>
    <s v="No"/>
    <x v="3"/>
    <m/>
    <m/>
    <s v="128.205.114.91"/>
    <s v="ML3489 .H43 2015"/>
    <n v="782.42164094400005"/>
    <d v="2015-08-28T00:00:00"/>
  </r>
  <r>
    <x v="8321"/>
    <d v="1899-12-30T00:00:00"/>
    <x v="45"/>
    <x v="0"/>
    <s v="Buffalo"/>
    <x v="1720"/>
    <n v="2068027"/>
    <x v="1"/>
    <s v="Fine Arts"/>
    <s v="9781409461968"/>
    <m/>
    <n v="0"/>
    <m/>
    <m/>
    <s v="Yes"/>
    <x v="2"/>
    <d v="2015-09-06T12:24:04"/>
    <n v="1"/>
    <s v="128.205.114.91"/>
    <s v="N7483.P457 .G384 2015"/>
    <n v="709.2"/>
    <d v="2015-08-28T00:00:00"/>
  </r>
  <r>
    <x v="8321"/>
    <d v="1899-12-30T00:00:00"/>
    <x v="45"/>
    <x v="0"/>
    <s v="Buffalo"/>
    <x v="1720"/>
    <n v="2068027"/>
    <x v="1"/>
    <s v="Fine Arts"/>
    <s v="9781409461968"/>
    <m/>
    <n v="0"/>
    <m/>
    <m/>
    <s v="No"/>
    <x v="2"/>
    <d v="2015-09-06T12:24:04"/>
    <n v="1"/>
    <s v="128.205.114.91"/>
    <s v="N7483.P457 .G384 2015"/>
    <n v="709.2"/>
    <d v="2015-08-28T00:00:00"/>
  </r>
  <r>
    <x v="8322"/>
    <d v="1899-12-30T00:00:20"/>
    <x v="45"/>
    <x v="0"/>
    <s v="Buffalo"/>
    <x v="1720"/>
    <n v="2068027"/>
    <x v="1"/>
    <s v="Fine Arts"/>
    <s v="9781409461968"/>
    <s v=",1,2,3"/>
    <n v="3"/>
    <m/>
    <m/>
    <s v="No"/>
    <x v="3"/>
    <m/>
    <m/>
    <s v="128.205.114.91"/>
    <s v="N7483.P457 .G384 2015"/>
    <n v="709.2"/>
    <d v="2015-08-28T00:00:00"/>
  </r>
  <r>
    <x v="8323"/>
    <d v="1899-12-30T00:00:00"/>
    <x v="45"/>
    <x v="0"/>
    <s v="Buffalo"/>
    <x v="1721"/>
    <n v="2079224"/>
    <x v="1"/>
    <s v="History"/>
    <s v="9781472437884"/>
    <m/>
    <n v="0"/>
    <m/>
    <m/>
    <s v="Yes"/>
    <x v="2"/>
    <d v="2015-09-06T12:21:35"/>
    <n v="1"/>
    <s v="128.205.114.91"/>
    <s v="DT449.Z28 L66 2015"/>
    <n v="967.81030740000006"/>
    <d v="2015-08-28T00:00:00"/>
  </r>
  <r>
    <x v="8323"/>
    <d v="1899-12-30T00:00:00"/>
    <x v="45"/>
    <x v="0"/>
    <s v="Buffalo"/>
    <x v="1721"/>
    <n v="2079224"/>
    <x v="1"/>
    <s v="History"/>
    <s v="9781472437884"/>
    <m/>
    <n v="0"/>
    <m/>
    <m/>
    <s v="No"/>
    <x v="2"/>
    <d v="2015-09-06T12:21:35"/>
    <n v="1"/>
    <s v="128.205.114.91"/>
    <s v="DT449.Z28 L66 2015"/>
    <n v="967.81030740000006"/>
    <d v="2015-08-28T00:00:00"/>
  </r>
  <r>
    <x v="8324"/>
    <d v="1899-12-30T00:00:50"/>
    <x v="45"/>
    <x v="0"/>
    <s v="Buffalo"/>
    <x v="1721"/>
    <n v="2079224"/>
    <x v="1"/>
    <s v="History"/>
    <s v="9781472437884"/>
    <s v=",1,2,3"/>
    <n v="3"/>
    <m/>
    <m/>
    <s v="No"/>
    <x v="3"/>
    <m/>
    <m/>
    <s v="128.205.114.91"/>
    <s v="DT449.Z28 L66 2015"/>
    <n v="967.81030740000006"/>
    <d v="2015-08-28T00:00:00"/>
  </r>
  <r>
    <x v="8325"/>
    <d v="1899-12-30T00:00:00"/>
    <x v="45"/>
    <x v="0"/>
    <s v="Buffalo"/>
    <x v="1722"/>
    <n v="2095103"/>
    <x v="1"/>
    <s v="Architecture"/>
    <s v="9781472453020"/>
    <m/>
    <n v="0"/>
    <m/>
    <m/>
    <s v="Yes"/>
    <x v="2"/>
    <d v="2015-09-06T12:19:47"/>
    <n v="1"/>
    <s v="128.205.114.91"/>
    <s v="NA680 .M64 2015"/>
    <s v="724.6; 724''.6; 724/.6"/>
    <d v="2015-08-28T00:00:00"/>
  </r>
  <r>
    <x v="8325"/>
    <d v="1899-12-30T00:00:00"/>
    <x v="45"/>
    <x v="0"/>
    <s v="Buffalo"/>
    <x v="1722"/>
    <n v="2095103"/>
    <x v="1"/>
    <s v="Architecture"/>
    <s v="9781472453020"/>
    <m/>
    <n v="0"/>
    <m/>
    <m/>
    <s v="No"/>
    <x v="2"/>
    <d v="2015-09-06T12:19:47"/>
    <n v="1"/>
    <s v="128.205.114.91"/>
    <s v="NA680 .M64 2015"/>
    <s v="724.6; 724''.6; 724/.6"/>
    <d v="2015-08-28T00:00:00"/>
  </r>
  <r>
    <x v="8326"/>
    <d v="1899-12-30T00:00:34"/>
    <x v="45"/>
    <x v="0"/>
    <s v="Buffalo"/>
    <x v="1722"/>
    <n v="2095103"/>
    <x v="1"/>
    <s v="Architecture"/>
    <s v="9781472453020"/>
    <s v=",1,2,3"/>
    <n v="3"/>
    <m/>
    <m/>
    <s v="No"/>
    <x v="3"/>
    <m/>
    <m/>
    <s v="128.205.114.91"/>
    <s v="NA680 .M64 2015"/>
    <s v="724.6; 724''.6; 724/.6"/>
    <d v="2015-08-28T00:00:00"/>
  </r>
  <r>
    <x v="8327"/>
    <d v="1899-12-30T00:00:00"/>
    <x v="45"/>
    <x v="0"/>
    <s v="Buffalo"/>
    <x v="1723"/>
    <n v="2083651"/>
    <x v="1"/>
    <s v="Fine Arts"/>
    <s v="9781472441607"/>
    <m/>
    <n v="0"/>
    <m/>
    <m/>
    <s v="Yes"/>
    <x v="2"/>
    <d v="2015-09-06T12:18:20"/>
    <n v="1"/>
    <s v="128.205.114.91"/>
    <s v="ML3650.5 .M86 2015"/>
    <s v="782.421640941/09041; 782.42164094109041; 782.421640941''09041"/>
    <d v="2015-08-28T00:00:00"/>
  </r>
  <r>
    <x v="8328"/>
    <d v="1899-12-30T00:00:00"/>
    <x v="45"/>
    <x v="0"/>
    <s v="Buffalo"/>
    <x v="1723"/>
    <n v="2083651"/>
    <x v="1"/>
    <s v="Fine Arts"/>
    <s v="9781472441607"/>
    <m/>
    <n v="0"/>
    <m/>
    <m/>
    <s v="No"/>
    <x v="2"/>
    <d v="2015-09-06T12:18:20"/>
    <n v="1"/>
    <s v="128.205.114.91"/>
    <s v="ML3650.5 .M86 2015"/>
    <s v="782.421640941/09041; 782.42164094109041; 782.421640941''09041"/>
    <d v="2015-08-28T00:00:00"/>
  </r>
  <r>
    <x v="8329"/>
    <d v="1899-12-30T00:00:18"/>
    <x v="45"/>
    <x v="0"/>
    <s v="Buffalo"/>
    <x v="1723"/>
    <n v="2083651"/>
    <x v="1"/>
    <s v="Fine Arts"/>
    <s v="9781472441607"/>
    <s v=",1,2,3"/>
    <n v="3"/>
    <m/>
    <m/>
    <s v="No"/>
    <x v="3"/>
    <m/>
    <m/>
    <s v="128.205.114.91"/>
    <s v="ML3650.5 .M86 2015"/>
    <s v="782.421640941/09041; 782.42164094109041; 782.421640941''09041"/>
    <d v="2015-08-28T00:00:00"/>
  </r>
  <r>
    <x v="8330"/>
    <d v="1899-12-30T00:00:00"/>
    <x v="45"/>
    <x v="0"/>
    <s v="Buffalo"/>
    <x v="1724"/>
    <n v="1956560"/>
    <x v="3"/>
    <s v="History"/>
    <s v="9780520962149"/>
    <m/>
    <n v="0"/>
    <m/>
    <m/>
    <s v="Yes"/>
    <x v="2"/>
    <d v="2015-09-06T12:16:51"/>
    <n v="1"/>
    <s v="128.205.114.91"/>
    <s v="DA28.35.W54"/>
    <s v="929.7/2"/>
    <d v="2015-10-19T00:00:00"/>
  </r>
  <r>
    <x v="8330"/>
    <d v="1899-12-30T00:00:00"/>
    <x v="45"/>
    <x v="0"/>
    <s v="Buffalo"/>
    <x v="1724"/>
    <n v="1956560"/>
    <x v="3"/>
    <s v="History"/>
    <s v="9780520962149"/>
    <m/>
    <n v="0"/>
    <m/>
    <m/>
    <s v="No"/>
    <x v="2"/>
    <d v="2015-09-06T12:16:51"/>
    <n v="1"/>
    <s v="128.205.114.91"/>
    <s v="DA28.35.W54"/>
    <s v="929.7/2"/>
    <d v="2015-10-19T00:00:00"/>
  </r>
  <r>
    <x v="8331"/>
    <d v="1899-12-30T00:00:25"/>
    <x v="45"/>
    <x v="0"/>
    <s v="Buffalo"/>
    <x v="1724"/>
    <n v="1956560"/>
    <x v="3"/>
    <s v="History"/>
    <s v="9780520962149"/>
    <s v=",1,2,3"/>
    <n v="3"/>
    <m/>
    <m/>
    <s v="No"/>
    <x v="3"/>
    <m/>
    <m/>
    <s v="128.205.114.91"/>
    <s v="DA28.35.W54"/>
    <s v="929.7/2"/>
    <d v="2015-10-19T00:00:00"/>
  </r>
  <r>
    <x v="8332"/>
    <d v="1899-12-30T00:00:27"/>
    <x v="1852"/>
    <x v="3"/>
    <s v="canton"/>
    <x v="1725"/>
    <n v="1863793"/>
    <x v="11"/>
    <s v="Fine Arts"/>
    <s v="9780226184036"/>
    <s v=",1,2,3,4,6,7,20,21"/>
    <n v="8"/>
    <m/>
    <m/>
    <s v="No"/>
    <x v="3"/>
    <m/>
    <m/>
    <s v="137.37.33.33"/>
    <s v="NX180"/>
    <s v="700/.414209042"/>
    <d v="2015-01-08T00:00:00"/>
  </r>
  <r>
    <x v="8333"/>
    <d v="1899-12-30T00:00:03"/>
    <x v="1373"/>
    <x v="0"/>
    <s v="Buffalo"/>
    <x v="572"/>
    <n v="1662670"/>
    <x v="0"/>
    <s v="Mathematics; Engineering; Engineering: Civil"/>
    <s v="9781118821251"/>
    <s v=",1,3,4,5,2"/>
    <n v="5"/>
    <m/>
    <m/>
    <s v="No"/>
    <x v="0"/>
    <d v="2015-09-05T23:54:00"/>
    <n v="7"/>
    <s v="128.205.114.91"/>
    <s v="TA345.5.M38 M34 2014"/>
    <s v="510.285/53; 510.28553"/>
    <d v="2014-03-26T00:00:00"/>
  </r>
  <r>
    <x v="8334"/>
    <d v="1899-12-30T00:29:35"/>
    <x v="1373"/>
    <x v="0"/>
    <s v="Buffalo"/>
    <x v="572"/>
    <n v="1662670"/>
    <x v="0"/>
    <s v="Mathematics; Engineering; Engineering: Civil"/>
    <s v="9781118821251"/>
    <s v=",1,2,3"/>
    <n v="3"/>
    <m/>
    <m/>
    <s v="No"/>
    <x v="1"/>
    <m/>
    <m/>
    <s v="128.205.114.91"/>
    <s v="TA345.5.M38 M34 2014"/>
    <s v="510.285/53; 510.28553"/>
    <d v="2014-03-26T00:00:00"/>
  </r>
  <r>
    <x v="8335"/>
    <d v="1899-12-30T00:00:00"/>
    <x v="1373"/>
    <x v="0"/>
    <s v="Buffalo"/>
    <x v="796"/>
    <n v="1318206"/>
    <x v="0"/>
    <s v="Computer Science/IT; Social Science"/>
    <s v="9781118363560"/>
    <m/>
    <n v="0"/>
    <m/>
    <m/>
    <s v="Yes"/>
    <x v="0"/>
    <d v="2015-09-05T23:23:24"/>
    <n v="7"/>
    <s v="128.205.114.91"/>
    <s v="HA32 -- .M4994 2013eb"/>
    <s v="005.5/5"/>
    <d v="2013-07-15T00:00:00"/>
  </r>
  <r>
    <x v="8335"/>
    <d v="1899-12-30T00:00:00"/>
    <x v="1373"/>
    <x v="0"/>
    <s v="Buffalo"/>
    <x v="796"/>
    <n v="1318206"/>
    <x v="0"/>
    <s v="Computer Science/IT; Social Science"/>
    <s v="9781118363560"/>
    <m/>
    <n v="0"/>
    <m/>
    <m/>
    <s v="No"/>
    <x v="0"/>
    <d v="2015-09-05T23:23:24"/>
    <n v="7"/>
    <s v="128.205.114.91"/>
    <s v="HA32 -- .M4994 2013eb"/>
    <s v="005.5/5"/>
    <d v="2013-07-15T00:00:00"/>
  </r>
  <r>
    <x v="8336"/>
    <d v="1899-12-30T00:00:12"/>
    <x v="1373"/>
    <x v="0"/>
    <s v="Buffalo"/>
    <x v="796"/>
    <n v="1318206"/>
    <x v="0"/>
    <s v="Computer Science/IT; Social Science"/>
    <s v="9781118363560"/>
    <s v=",1,2,3"/>
    <n v="3"/>
    <m/>
    <m/>
    <s v="No"/>
    <x v="1"/>
    <m/>
    <m/>
    <s v="128.205.114.91"/>
    <s v="HA32 -- .M4994 2013eb"/>
    <s v="005.5/5"/>
    <d v="2013-07-15T00:00:00"/>
  </r>
  <r>
    <x v="8337"/>
    <d v="1899-12-30T00:00:34"/>
    <x v="1373"/>
    <x v="0"/>
    <s v="Buffalo"/>
    <x v="164"/>
    <n v="1744258"/>
    <x v="0"/>
    <s v="Mathematics"/>
    <s v="9781118776162"/>
    <s v=",1,2,3,156,157,158,154,155"/>
    <n v="8"/>
    <m/>
    <m/>
    <s v="No"/>
    <x v="1"/>
    <m/>
    <m/>
    <s v="128.205.114.91"/>
    <s v="QA139 -- .S73 2014eb"/>
    <n v="513.07600000000002"/>
    <d v="2014-07-15T00:00:00"/>
  </r>
  <r>
    <x v="8338"/>
    <d v="1899-12-30T00:00:00"/>
    <x v="1373"/>
    <x v="0"/>
    <s v="Buffalo"/>
    <x v="1726"/>
    <n v="848520"/>
    <x v="0"/>
    <s v="Mathematics"/>
    <s v="9781118274422"/>
    <m/>
    <n v="0"/>
    <m/>
    <m/>
    <s v="Yes"/>
    <x v="0"/>
    <d v="2015-09-05T23:20:11"/>
    <n v="7"/>
    <s v="128.205.114.91"/>
    <s v="QA278.2 -- .S4 2003eb"/>
    <s v="519.5/36"/>
    <d v="2012-01-20T00:00:00"/>
  </r>
  <r>
    <x v="8338"/>
    <d v="1899-12-30T00:00:00"/>
    <x v="1373"/>
    <x v="0"/>
    <s v="Buffalo"/>
    <x v="1726"/>
    <n v="848520"/>
    <x v="0"/>
    <s v="Mathematics"/>
    <s v="9781118274422"/>
    <m/>
    <n v="0"/>
    <m/>
    <m/>
    <s v="No"/>
    <x v="0"/>
    <d v="2015-09-05T23:20:11"/>
    <n v="7"/>
    <s v="128.205.114.91"/>
    <s v="QA278.2 -- .S4 2003eb"/>
    <s v="519.5/36"/>
    <d v="2012-01-20T00:00:00"/>
  </r>
  <r>
    <x v="8339"/>
    <d v="1899-12-30T00:00:58"/>
    <x v="1373"/>
    <x v="0"/>
    <s v="Buffalo"/>
    <x v="1726"/>
    <n v="848520"/>
    <x v="0"/>
    <s v="Mathematics"/>
    <s v="9781118274422"/>
    <s v=",1,2,3,31,33,29,32,30,27,28,25,26"/>
    <n v="12"/>
    <m/>
    <m/>
    <s v="No"/>
    <x v="1"/>
    <m/>
    <m/>
    <s v="128.205.114.91"/>
    <s v="QA278.2 -- .S4 2003eb"/>
    <s v="519.5/36"/>
    <d v="2012-01-20T00:00:00"/>
  </r>
  <r>
    <x v="8340"/>
    <d v="1899-12-30T00:00:56"/>
    <x v="1373"/>
    <x v="0"/>
    <s v="Buffalo"/>
    <x v="1727"/>
    <n v="1721120"/>
    <x v="0"/>
    <s v="Health; Sport &amp; Recreation"/>
    <s v="9781118855393"/>
    <s v=",1,2,3,487,488,489,490,491,492,493,494,495,496,497,498,499,500,501"/>
    <n v="18"/>
    <m/>
    <m/>
    <s v="No"/>
    <x v="1"/>
    <m/>
    <m/>
    <s v="128.205.114.91"/>
    <s v="GV741 -- .V47 2014eb"/>
    <s v="613.7/1"/>
    <d v="2014-06-23T00:00:00"/>
  </r>
  <r>
    <x v="8341"/>
    <d v="1899-12-30T00:02:19"/>
    <x v="1853"/>
    <x v="13"/>
    <s v="buffalostate"/>
    <x v="519"/>
    <n v="822662"/>
    <x v="0"/>
    <s v="History"/>
    <s v="9781444355130"/>
    <s v=",1,2,3,4,5,6,7,9,10,21,22,23,20,19"/>
    <n v="14"/>
    <m/>
    <m/>
    <s v="No"/>
    <x v="1"/>
    <m/>
    <m/>
    <s v="136.183.11.43"/>
    <s v="DT20 -- .R45 2012eb"/>
    <n v="960.3"/>
    <d v="2011-11-11T00:00:00"/>
  </r>
  <r>
    <x v="8342"/>
    <d v="1899-12-30T00:00:00"/>
    <x v="1683"/>
    <x v="9"/>
    <s v="trocaire"/>
    <x v="1728"/>
    <n v="2038607"/>
    <x v="1"/>
    <s v="Museums"/>
    <s v="9781472425195"/>
    <m/>
    <n v="0"/>
    <m/>
    <m/>
    <s v="Yes"/>
    <x v="2"/>
    <d v="2015-09-05T19:51:45"/>
    <n v="1"/>
    <s v="173.225.62.67"/>
    <n v="2014036127"/>
    <n v="69.093999999999994"/>
    <d v="2015-05-28T00:00:00"/>
  </r>
  <r>
    <x v="8342"/>
    <d v="1899-12-30T00:00:00"/>
    <x v="1683"/>
    <x v="9"/>
    <s v="trocaire"/>
    <x v="1728"/>
    <n v="2038607"/>
    <x v="1"/>
    <s v="Museums"/>
    <s v="9781472425195"/>
    <m/>
    <n v="0"/>
    <m/>
    <m/>
    <s v="No"/>
    <x v="2"/>
    <d v="2015-09-05T19:51:45"/>
    <n v="1"/>
    <s v="173.225.62.67"/>
    <n v="2014036127"/>
    <n v="69.093999999999994"/>
    <d v="2015-05-28T00:00:00"/>
  </r>
  <r>
    <x v="8343"/>
    <d v="1899-12-30T00:01:13"/>
    <x v="1683"/>
    <x v="9"/>
    <s v="trocaire"/>
    <x v="1728"/>
    <n v="2038607"/>
    <x v="1"/>
    <s v="Museums"/>
    <s v="9781472425195"/>
    <s v=",1,1,2,3"/>
    <n v="3"/>
    <m/>
    <m/>
    <s v="No"/>
    <x v="3"/>
    <m/>
    <m/>
    <s v="173.225.62.67"/>
    <n v="2014036127"/>
    <n v="69.093999999999994"/>
    <d v="2015-05-28T00:00:00"/>
  </r>
  <r>
    <x v="8344"/>
    <d v="1899-12-30T00:02:07"/>
    <x v="1140"/>
    <x v="0"/>
    <s v="Buffalo"/>
    <x v="73"/>
    <n v="1119505"/>
    <x v="0"/>
    <s v="Science: Chemistry; Science"/>
    <s v="9781118355015"/>
    <s v=",1,2,2,3,3,1,48,48,46,50,49,47,50,48,47,49,2,49,50,49,51,51,52,53,52,53,54,54"/>
    <n v="12"/>
    <m/>
    <s v=",49,50,51"/>
    <s v="No"/>
    <x v="0"/>
    <d v="2015-09-04T20:49:32"/>
    <n v="7"/>
    <s v="128.205.114.91"/>
    <s v="QD251.3 -- .S38 2013eb"/>
    <s v="547/.128"/>
    <d v="2013-01-28T00:00:00"/>
  </r>
  <r>
    <x v="8345"/>
    <d v="1899-12-30T00:00:00"/>
    <x v="1683"/>
    <x v="9"/>
    <s v="trocaire"/>
    <x v="1729"/>
    <n v="2079221"/>
    <x v="1"/>
    <s v="Political Science; Social Science"/>
    <s v="9781409458043"/>
    <m/>
    <n v="0"/>
    <m/>
    <m/>
    <s v="Yes"/>
    <x v="2"/>
    <d v="2015-09-05T19:13:59"/>
    <n v="1"/>
    <s v="173.225.62.67"/>
    <s v="JV6225 .M637 2015"/>
    <n v="304.8"/>
    <d v="2015-08-28T00:00:00"/>
  </r>
  <r>
    <x v="8345"/>
    <d v="1899-12-30T00:00:00"/>
    <x v="1683"/>
    <x v="9"/>
    <s v="trocaire"/>
    <x v="1729"/>
    <n v="2079221"/>
    <x v="1"/>
    <s v="Political Science; Social Science"/>
    <s v="9781409458043"/>
    <m/>
    <n v="0"/>
    <m/>
    <m/>
    <s v="No"/>
    <x v="2"/>
    <d v="2015-09-05T19:13:59"/>
    <n v="1"/>
    <s v="173.225.62.67"/>
    <s v="JV6225 .M637 2015"/>
    <n v="304.8"/>
    <d v="2015-08-28T00:00:00"/>
  </r>
  <r>
    <x v="8346"/>
    <d v="1899-12-30T00:03:49"/>
    <x v="1683"/>
    <x v="9"/>
    <s v="trocaire"/>
    <x v="1729"/>
    <n v="2079221"/>
    <x v="1"/>
    <s v="Political Science; Social Science"/>
    <s v="9781409458043"/>
    <s v=",1,1,2,3"/>
    <n v="3"/>
    <m/>
    <m/>
    <s v="No"/>
    <x v="3"/>
    <m/>
    <m/>
    <s v="173.225.62.67"/>
    <s v="JV6225 .M637 2015"/>
    <n v="304.8"/>
    <d v="2015-08-28T00:00:00"/>
  </r>
  <r>
    <x v="8347"/>
    <d v="1899-12-30T00:00:00"/>
    <x v="1683"/>
    <x v="9"/>
    <s v="trocaire"/>
    <x v="1730"/>
    <n v="1318190"/>
    <x v="3"/>
    <s v="History"/>
    <s v="9780520956865"/>
    <m/>
    <n v="0"/>
    <m/>
    <m/>
    <s v="Yes"/>
    <x v="2"/>
    <d v="2015-09-05T19:07:14"/>
    <n v="1"/>
    <s v="173.225.62.67"/>
    <s v="F2230.2.K4 -- K68 2013eb"/>
    <n v="986.6"/>
    <d v="2013-08-03T00:00:00"/>
  </r>
  <r>
    <x v="8347"/>
    <d v="1899-12-30T00:00:00"/>
    <x v="1683"/>
    <x v="9"/>
    <s v="trocaire"/>
    <x v="1730"/>
    <n v="1318190"/>
    <x v="3"/>
    <s v="History"/>
    <s v="9780520956865"/>
    <m/>
    <n v="0"/>
    <m/>
    <m/>
    <s v="No"/>
    <x v="2"/>
    <d v="2015-09-05T19:07:14"/>
    <n v="1"/>
    <s v="173.225.62.67"/>
    <s v="F2230.2.K4 -- K68 2013eb"/>
    <n v="986.6"/>
    <d v="2013-08-03T00:00:00"/>
  </r>
  <r>
    <x v="8348"/>
    <d v="1899-12-30T00:05:55"/>
    <x v="1683"/>
    <x v="9"/>
    <s v="trocaire"/>
    <x v="1730"/>
    <n v="1318190"/>
    <x v="3"/>
    <s v="History"/>
    <s v="9780520956865"/>
    <s v=",1,2,3"/>
    <n v="3"/>
    <m/>
    <m/>
    <s v="No"/>
    <x v="3"/>
    <m/>
    <m/>
    <s v="173.225.62.67"/>
    <s v="F2230.2.K4 -- K68 2013eb"/>
    <n v="986.6"/>
    <d v="2013-08-03T00:00:00"/>
  </r>
  <r>
    <x v="8349"/>
    <d v="1899-12-30T00:00:00"/>
    <x v="1683"/>
    <x v="9"/>
    <s v="trocaire"/>
    <x v="1731"/>
    <n v="1566103"/>
    <x v="1"/>
    <s v="Social Science"/>
    <s v="9781409464594"/>
    <m/>
    <n v="0"/>
    <m/>
    <m/>
    <s v="Yes"/>
    <x v="2"/>
    <d v="2015-09-05T18:46:09"/>
    <n v="1"/>
    <s v="173.225.62.67"/>
    <s v="GN387 -- .N592 2013eb"/>
    <s v="305.9/06918"/>
    <d v="2014-01-28T00:00:00"/>
  </r>
  <r>
    <x v="8349"/>
    <d v="1899-12-30T00:00:00"/>
    <x v="1683"/>
    <x v="9"/>
    <s v="trocaire"/>
    <x v="1731"/>
    <n v="1566103"/>
    <x v="1"/>
    <s v="Social Science"/>
    <s v="9781409464594"/>
    <m/>
    <n v="0"/>
    <m/>
    <m/>
    <s v="No"/>
    <x v="2"/>
    <d v="2015-09-05T18:46:09"/>
    <n v="1"/>
    <s v="173.225.62.67"/>
    <s v="GN387 -- .N592 2013eb"/>
    <s v="305.9/06918"/>
    <d v="2014-01-28T00:00:00"/>
  </r>
  <r>
    <x v="8350"/>
    <d v="1899-12-30T00:00:37"/>
    <x v="1683"/>
    <x v="9"/>
    <s v="trocaire"/>
    <x v="1731"/>
    <n v="1566103"/>
    <x v="1"/>
    <s v="Social Science"/>
    <s v="9781409464594"/>
    <s v=",1,1,3,2"/>
    <n v="3"/>
    <m/>
    <m/>
    <s v="No"/>
    <x v="3"/>
    <m/>
    <m/>
    <s v="173.225.62.67"/>
    <s v="GN387 -- .N592 2013eb"/>
    <s v="305.9/06918"/>
    <d v="2014-01-28T00:00:00"/>
  </r>
  <r>
    <x v="8351"/>
    <d v="1899-12-30T02:14:24"/>
    <x v="1140"/>
    <x v="0"/>
    <s v="Buffalo"/>
    <x v="73"/>
    <n v="1119505"/>
    <x v="0"/>
    <s v="Science: Chemistry; Science"/>
    <s v="9781118355015"/>
    <s v=",1,2,3,3,2,1,43,44,43,44,41,45,42,45,42,40,45,2,46,46,47,47,48,48,49,49,50,50,45,50,51,51,46,45,44,42,41,40,38,39,38,36,37,35,36,39,37,27,26,28,27,28,25,24,26,25,29,29,30,30,32,31,32,31,49,48,50,47,46,51,45,42,35,32,26,27,28,24,25,29,30,25,30,25,24,28,29,48,30,49,46,51,47,50,52,52,53,54,53,54,49,48,47,52,53,54,51,52,53,49,50,48,47,52,53,48,53,54,24,25,26"/>
    <n v="32"/>
    <m/>
    <m/>
    <s v="No"/>
    <x v="0"/>
    <d v="2015-09-04T20:49:32"/>
    <n v="7"/>
    <s v="128.205.114.91"/>
    <s v="QD251.3 -- .S38 2013eb"/>
    <s v="547/.128"/>
    <d v="2013-01-28T00:00:00"/>
  </r>
  <r>
    <x v="8352"/>
    <d v="1899-12-30T00:00:26"/>
    <x v="13"/>
    <x v="0"/>
    <s v="Buffalo"/>
    <x v="73"/>
    <n v="1119505"/>
    <x v="0"/>
    <s v="Science: Chemistry; Science"/>
    <s v="9781118355015"/>
    <s v=",1,2,3,19,20,21,17,18,79,79"/>
    <n v="9"/>
    <m/>
    <s v=",19,20,21,22,23,24,25,26,27,28,29,30,31,32,33,34,35,36,37,38,39,40,41,42,43,44,45,46,47,48,49,50,51,52,53,54,55,56,57,58,59,60,61,62,63,64,65,66,67,68,69,70,71,72,73,74,75,76,77,78"/>
    <s v="No"/>
    <x v="0"/>
    <d v="2015-09-03T17:44:21"/>
    <n v="7"/>
    <s v="128.205.114.91"/>
    <s v="QD251.3 -- .S38 2013eb"/>
    <s v="547/.128"/>
    <d v="2013-01-28T00:00:00"/>
  </r>
  <r>
    <x v="8353"/>
    <d v="1899-12-30T00:00:06"/>
    <x v="13"/>
    <x v="0"/>
    <s v="Buffalo"/>
    <x v="73"/>
    <n v="1119505"/>
    <x v="0"/>
    <s v="Science: Chemistry; Science"/>
    <s v="9781118355015"/>
    <s v=",1,2,3"/>
    <n v="3"/>
    <m/>
    <m/>
    <s v="No"/>
    <x v="0"/>
    <d v="2015-09-03T17:44:21"/>
    <n v="7"/>
    <s v="128.205.114.91"/>
    <s v="QD251.3 -- .S38 2013eb"/>
    <s v="547/.128"/>
    <d v="2013-01-28T00:00:00"/>
  </r>
  <r>
    <x v="8354"/>
    <d v="1899-12-30T00:00:00"/>
    <x v="13"/>
    <x v="0"/>
    <s v="Buffalo"/>
    <x v="73"/>
    <n v="1119505"/>
    <x v="0"/>
    <s v="Science: Chemistry; Science"/>
    <s v="9781118355015"/>
    <m/>
    <n v="0"/>
    <m/>
    <m/>
    <s v="Yes"/>
    <x v="0"/>
    <d v="2015-09-03T17:44:21"/>
    <n v="7"/>
    <s v="128.205.114.91"/>
    <s v="QD251.3 -- .S38 2013eb"/>
    <s v="547/.128"/>
    <d v="2013-01-28T00:00:00"/>
  </r>
  <r>
    <x v="8355"/>
    <d v="1899-12-30T00:00:00"/>
    <x v="13"/>
    <x v="0"/>
    <s v="Buffalo"/>
    <x v="73"/>
    <n v="1119505"/>
    <x v="0"/>
    <s v="Science: Chemistry; Science"/>
    <s v="9781118355015"/>
    <m/>
    <n v="0"/>
    <m/>
    <m/>
    <s v="Yes"/>
    <x v="0"/>
    <d v="2015-09-03T17:44:21"/>
    <n v="7"/>
    <s v="128.205.114.91"/>
    <s v="QD251.3 -- .S38 2013eb"/>
    <s v="547/.128"/>
    <d v="2013-01-28T00:00:00"/>
  </r>
  <r>
    <x v="8356"/>
    <d v="1899-12-30T00:15:44"/>
    <x v="13"/>
    <x v="0"/>
    <s v="Buffalo"/>
    <x v="73"/>
    <n v="1119505"/>
    <x v="0"/>
    <s v="Science: Chemistry; Science"/>
    <s v="9781118355015"/>
    <s v=",1,2,3,47,48,49,45,46,50,24,25,26,22,23,27,400"/>
    <n v="16"/>
    <m/>
    <m/>
    <s v="No"/>
    <x v="0"/>
    <d v="2015-09-03T17:44:21"/>
    <n v="7"/>
    <s v="128.205.114.91"/>
    <s v="QD251.3 -- .S38 2013eb"/>
    <s v="547/.128"/>
    <d v="2013-01-28T00:00:00"/>
  </r>
  <r>
    <x v="8357"/>
    <d v="1899-12-30T00:00:04"/>
    <x v="13"/>
    <x v="0"/>
    <s v="Buffalo"/>
    <x v="73"/>
    <n v="1119505"/>
    <x v="0"/>
    <s v="Science: Chemistry; Science"/>
    <s v="9781118355015"/>
    <s v=",1,2,3"/>
    <n v="3"/>
    <m/>
    <m/>
    <s v="No"/>
    <x v="0"/>
    <d v="2015-09-03T17:44:21"/>
    <n v="7"/>
    <s v="128.205.114.91"/>
    <s v="QD251.3 -- .S38 2013eb"/>
    <s v="547/.128"/>
    <d v="2013-01-28T00:00:00"/>
  </r>
  <r>
    <x v="8358"/>
    <d v="1899-12-30T00:41:07"/>
    <x v="1140"/>
    <x v="0"/>
    <s v="Buffalo"/>
    <x v="73"/>
    <n v="1119505"/>
    <x v="0"/>
    <s v="Science: Chemistry; Science"/>
    <s v="9781118355015"/>
    <s v=",1,2,2,3,3,1,36,37,36,38,37,38,34,35,35,39,39,2,40,40,35,40,35,40,35,40,35,40,41,41,42,42,42"/>
    <n v="12"/>
    <m/>
    <m/>
    <s v="No"/>
    <x v="0"/>
    <d v="2015-09-04T20:49:32"/>
    <n v="7"/>
    <s v="128.205.114.91"/>
    <s v="QD251.3 -- .S38 2013eb"/>
    <s v="547/.128"/>
    <d v="2013-01-28T00:00:00"/>
  </r>
  <r>
    <x v="8359"/>
    <d v="1899-12-30T00:00:13"/>
    <x v="1854"/>
    <x v="0"/>
    <s v="Buffalo"/>
    <x v="161"/>
    <n v="821663"/>
    <x v="0"/>
    <s v="Architecture"/>
    <s v="9781118168479"/>
    <s v=",1,2,3"/>
    <n v="3"/>
    <m/>
    <m/>
    <s v="No"/>
    <x v="1"/>
    <m/>
    <m/>
    <s v="128.205.114.91"/>
    <s v="NA2547 -- .S74 2012eb"/>
    <n v="729"/>
    <d v="2012-03-05T00:00:00"/>
  </r>
  <r>
    <x v="8360"/>
    <d v="1899-12-30T00:00:00"/>
    <x v="1008"/>
    <x v="0"/>
    <s v="Buffalo"/>
    <x v="73"/>
    <n v="1119505"/>
    <x v="0"/>
    <s v="Science: Chemistry; Science"/>
    <s v="9781118355015"/>
    <m/>
    <n v="0"/>
    <m/>
    <s v=",49,50,51"/>
    <s v="No"/>
    <x v="0"/>
    <d v="2015-09-05T14:40:13"/>
    <n v="7"/>
    <s v="128.205.114.91"/>
    <s v="QD251.3 -- .S38 2013eb"/>
    <s v="547/.128"/>
    <d v="2013-01-28T00:00:00"/>
  </r>
  <r>
    <x v="8361"/>
    <d v="1899-12-30T00:00:13"/>
    <x v="1008"/>
    <x v="0"/>
    <s v="Buffalo"/>
    <x v="73"/>
    <n v="1119505"/>
    <x v="0"/>
    <s v="Science: Chemistry; Science"/>
    <s v="9781118355015"/>
    <s v=",2,1,3,48,49,50,46,51,47"/>
    <n v="9"/>
    <m/>
    <m/>
    <s v="No"/>
    <x v="1"/>
    <m/>
    <m/>
    <s v="128.205.114.91"/>
    <s v="QD251.3 -- .S38 2013eb"/>
    <s v="547/.128"/>
    <d v="2013-01-28T00:00:00"/>
  </r>
  <r>
    <x v="8362"/>
    <d v="1899-12-30T00:22:25"/>
    <x v="13"/>
    <x v="0"/>
    <s v="Buffalo"/>
    <x v="73"/>
    <n v="1119505"/>
    <x v="0"/>
    <s v="Science: Chemistry; Science"/>
    <s v="9781118355015"/>
    <s v=",1,2,3,48,49,50,51,47,52,53,46,47,45,44,43,42,30,29,31,27,28,26,25,24,23,22,21,19,20,18,32,33,34,35,36,37,38,39,40,41,46,47,48,49,50,51"/>
    <n v="39"/>
    <m/>
    <s v=",49,50,51"/>
    <s v="No"/>
    <x v="0"/>
    <d v="2015-09-03T17:44:21"/>
    <n v="7"/>
    <s v="128.205.114.91"/>
    <s v="QD251.3 -- .S38 2013eb"/>
    <s v="547/.128"/>
    <d v="2013-01-28T00:00:00"/>
  </r>
  <r>
    <x v="8363"/>
    <d v="1899-12-30T00:02:43"/>
    <x v="1855"/>
    <x v="0"/>
    <s v="Buffalo"/>
    <x v="73"/>
    <n v="1119505"/>
    <x v="0"/>
    <s v="Science: Chemistry; Science"/>
    <s v="9781118355015"/>
    <s v=",1,2,3,48,49,50,46,47,51,52,53,54,48,47"/>
    <n v="12"/>
    <m/>
    <m/>
    <s v="No"/>
    <x v="1"/>
    <m/>
    <m/>
    <s v="128.205.114.91"/>
    <s v="QD251.3 -- .S38 2013eb"/>
    <s v="547/.128"/>
    <d v="2013-01-28T00:00:00"/>
  </r>
  <r>
    <x v="8364"/>
    <d v="1899-12-30T00:08:51"/>
    <x v="798"/>
    <x v="0"/>
    <s v="Buffalo"/>
    <x v="161"/>
    <n v="821663"/>
    <x v="0"/>
    <s v="Architecture"/>
    <s v="9781118168479"/>
    <s v=",1,2,3,1,2,3,4,5,6,7,8,9,10,11,12,13,14,15,16,17,18"/>
    <n v="18"/>
    <m/>
    <m/>
    <s v="No"/>
    <x v="0"/>
    <d v="2015-09-01T15:41:37"/>
    <n v="7"/>
    <s v="128.205.114.91"/>
    <s v="NA2547 -- .S74 2012eb"/>
    <n v="729"/>
    <d v="2012-03-05T00:00:00"/>
  </r>
  <r>
    <x v="8365"/>
    <d v="1899-12-30T00:12:52"/>
    <x v="1140"/>
    <x v="0"/>
    <s v="Buffalo"/>
    <x v="73"/>
    <n v="1119505"/>
    <x v="0"/>
    <s v="Science: Chemistry; Science"/>
    <s v="9781118355015"/>
    <s v=",1,2,3,5,8,9,10,11,12,20,21,22,23,19,18,16,17,25,24,27,26,28,29,30,31,32,33,34,35,36"/>
    <n v="30"/>
    <m/>
    <m/>
    <s v="No"/>
    <x v="0"/>
    <d v="2015-09-04T20:49:32"/>
    <n v="7"/>
    <s v="128.205.114.91"/>
    <s v="QD251.3 -- .S38 2013eb"/>
    <s v="547/.128"/>
    <d v="2013-01-28T00:00:00"/>
  </r>
  <r>
    <x v="8366"/>
    <d v="1899-12-30T00:00:00"/>
    <x v="609"/>
    <x v="0"/>
    <s v="Buffalo"/>
    <x v="477"/>
    <n v="1120279"/>
    <x v="0"/>
    <s v="Science: Biology/Natural History; Science"/>
    <s v="9781118537671"/>
    <m/>
    <n v="0"/>
    <m/>
    <m/>
    <s v="Yes"/>
    <x v="0"/>
    <d v="2015-09-03T20:40:35"/>
    <n v="7"/>
    <s v="128.205.114.91"/>
    <s v="QH371 .K384 2012"/>
    <n v="599.93499999999995"/>
    <d v="2012-11-19T00:00:00"/>
  </r>
  <r>
    <x v="8367"/>
    <d v="1899-12-30T00:03:51"/>
    <x v="609"/>
    <x v="0"/>
    <s v="Buffalo"/>
    <x v="477"/>
    <n v="1120279"/>
    <x v="0"/>
    <s v="Science: Biology/Natural History; Science"/>
    <s v="9781118537671"/>
    <s v=",1,2,3,4,5,6,4,16"/>
    <n v="7"/>
    <m/>
    <m/>
    <s v="No"/>
    <x v="0"/>
    <d v="2015-09-03T20:40:35"/>
    <n v="7"/>
    <s v="128.205.114.91"/>
    <s v="QH371 .K384 2012"/>
    <n v="599.93499999999995"/>
    <d v="2012-11-19T00:00:00"/>
  </r>
  <r>
    <x v="8368"/>
    <d v="1899-12-30T00:00:19"/>
    <x v="609"/>
    <x v="0"/>
    <s v="Buffalo"/>
    <x v="477"/>
    <n v="1120279"/>
    <x v="0"/>
    <s v="Science: Biology/Natural History; Science"/>
    <s v="9781118537671"/>
    <s v=",1,2,3,1"/>
    <n v="3"/>
    <s v=",1,1"/>
    <m/>
    <s v="No"/>
    <x v="0"/>
    <d v="2015-09-03T20:40:35"/>
    <n v="7"/>
    <s v="128.205.114.91"/>
    <s v="QH371 .K384 2012"/>
    <n v="599.93499999999995"/>
    <d v="2012-11-19T00:00:00"/>
  </r>
  <r>
    <x v="8369"/>
    <d v="1899-12-30T00:09:08"/>
    <x v="1856"/>
    <x v="0"/>
    <s v="Buffalo"/>
    <x v="1732"/>
    <n v="675005"/>
    <x v="0"/>
    <s v="Computer Science/IT"/>
    <s v="9781118075043"/>
    <s v=",1,2,3,36,37,38,39,40,35,33,34,32,30,31,28,29,27,26,24,25,23,22,21,19,20"/>
    <n v="25"/>
    <m/>
    <m/>
    <s v="No"/>
    <x v="1"/>
    <m/>
    <m/>
    <s v="128.205.114.91"/>
    <s v="QA76.9.D37 -- D38 2008eb"/>
    <n v="5.74"/>
    <d v="2011-11-09T00:00:00"/>
  </r>
  <r>
    <x v="8370"/>
    <d v="1899-12-30T00:02:13"/>
    <x v="1857"/>
    <x v="13"/>
    <s v="buffalostate"/>
    <x v="1733"/>
    <n v="1663522"/>
    <x v="12"/>
    <s v="History"/>
    <s v="9781469612683"/>
    <s v=",1,2,3,4,5,6,7,8,9,10,11,12,13,14,15,16,17,18,19,20,21,22,23,24,25,26,27,28,29,30,31,32,33,34,35,36,37,38,39,40"/>
    <n v="40"/>
    <m/>
    <m/>
    <s v="No"/>
    <x v="2"/>
    <d v="2015-09-04T22:48:36"/>
    <n v="1"/>
    <s v="136.183.11.43"/>
    <s v="E166 -- .S55 2013eb"/>
    <n v="973.7"/>
    <d v="2013-12-16T00:00:00"/>
  </r>
  <r>
    <x v="8371"/>
    <d v="1899-12-30T00:00:53"/>
    <x v="1857"/>
    <x v="13"/>
    <s v="buffalostate"/>
    <x v="1733"/>
    <n v="1663522"/>
    <x v="12"/>
    <s v="History"/>
    <s v="9781469612683"/>
    <s v=",1,2,3,78,80,76,81,61,62,68,71,74,72,73"/>
    <n v="14"/>
    <m/>
    <m/>
    <s v="No"/>
    <x v="2"/>
    <d v="2015-09-04T22:48:36"/>
    <n v="1"/>
    <s v="136.183.11.43"/>
    <s v="E166 -- .S55 2013eb"/>
    <n v="973.7"/>
    <d v="2013-12-16T00:00:00"/>
  </r>
  <r>
    <x v="8372"/>
    <d v="1899-12-30T00:00:00"/>
    <x v="1857"/>
    <x v="13"/>
    <s v="buffalostate"/>
    <x v="1733"/>
    <n v="1663522"/>
    <x v="12"/>
    <s v="History"/>
    <s v="9781469612683"/>
    <m/>
    <n v="0"/>
    <m/>
    <m/>
    <s v="Yes"/>
    <x v="2"/>
    <d v="2015-09-04T22:48:36"/>
    <n v="1"/>
    <s v="136.183.11.43"/>
    <s v="E166 -- .S55 2013eb"/>
    <n v="973.7"/>
    <d v="2013-12-16T00:00:00"/>
  </r>
  <r>
    <x v="8373"/>
    <d v="1899-12-30T00:21:08"/>
    <x v="1857"/>
    <x v="13"/>
    <s v="buffalostate"/>
    <x v="1733"/>
    <n v="1663522"/>
    <x v="12"/>
    <s v="History"/>
    <s v="9781469612683"/>
    <s v=",21,16,22,23,24,25,26,27,28,29,30,31,32,34,36,39,25,17,18,19,20,16,21,22,23,24,26,40,47,44,56,54,55,59,1,2,3"/>
    <n v="30"/>
    <m/>
    <m/>
    <s v="No"/>
    <x v="2"/>
    <d v="2015-09-04T22:48:36"/>
    <n v="1"/>
    <s v="136.183.11.43"/>
    <s v="E166 -- .S55 2013eb"/>
    <n v="973.7"/>
    <d v="2013-12-16T00:00:00"/>
  </r>
  <r>
    <x v="8374"/>
    <d v="1899-12-30T00:05:19"/>
    <x v="1857"/>
    <x v="13"/>
    <s v="buffalostate"/>
    <x v="1733"/>
    <n v="1663522"/>
    <x v="12"/>
    <s v="History"/>
    <s v="9781469612683"/>
    <s v=",1,2,3,4,5,6,7,8,9,10,11,12,13,14,15,16,17,18,19,20"/>
    <n v="20"/>
    <m/>
    <m/>
    <s v="No"/>
    <x v="3"/>
    <m/>
    <m/>
    <s v="136.183.11.43"/>
    <s v="E166 -- .S55 2013eb"/>
    <n v="973.7"/>
    <d v="2013-12-16T00:00:00"/>
  </r>
  <r>
    <x v="8375"/>
    <d v="1899-12-30T00:59:08"/>
    <x v="1140"/>
    <x v="0"/>
    <s v="Buffalo"/>
    <x v="73"/>
    <n v="1119505"/>
    <x v="0"/>
    <s v="Science: Chemistry; Science"/>
    <s v="9781118355015"/>
    <s v=",26,26,27,27,25,27,25,27,26,24,26,24,23,28,28,23,28,29,30,29,31,30,31,32,33,32,33,34,34,35,36,35,36,37,37,32,31,30,28,29,27,26,25,24"/>
    <n v="15"/>
    <m/>
    <m/>
    <s v="No"/>
    <x v="0"/>
    <d v="2015-09-04T20:49:32"/>
    <n v="7"/>
    <s v="128.205.114.91"/>
    <s v="QD251.3 -- .S38 2013eb"/>
    <s v="547/.128"/>
    <d v="2013-01-28T00:00:00"/>
  </r>
  <r>
    <x v="8376"/>
    <d v="1899-12-30T00:10:37"/>
    <x v="1140"/>
    <x v="0"/>
    <s v="Buffalo"/>
    <x v="73"/>
    <n v="1119505"/>
    <x v="0"/>
    <s v="Science: Chemistry; Science"/>
    <s v="9781118355015"/>
    <s v=",1,2,2,3,3,1,4,4,5,5,7,6,8,7,8,6,9,9,2,10,10,11,12,12,11,13,13,14,14,15,15,16,17,16,18,18,17,19,19,20,20,21,21,22,22,23,23,24,24,25,25,20,25"/>
    <n v="25"/>
    <m/>
    <m/>
    <s v="No"/>
    <x v="1"/>
    <m/>
    <m/>
    <s v="128.205.114.91"/>
    <s v="QD251.3 -- .S38 2013eb"/>
    <s v="547/.128"/>
    <d v="2013-01-28T00:00:00"/>
  </r>
  <r>
    <x v="8377"/>
    <d v="1899-12-30T00:00:00"/>
    <x v="200"/>
    <x v="0"/>
    <s v="Buffalo"/>
    <x v="61"/>
    <n v="1092851"/>
    <x v="0"/>
    <s v="Military Science; Social Science"/>
    <s v="9781118333051"/>
    <m/>
    <n v="0"/>
    <m/>
    <m/>
    <s v="Yes"/>
    <x v="0"/>
    <d v="2015-09-04T20:12:46"/>
    <n v="7"/>
    <s v="128.205.114.91"/>
    <s v="UH755 -- .H36 2013eb"/>
    <s v="355.345; 362.8"/>
    <d v="2012-11-27T00:00:00"/>
  </r>
  <r>
    <x v="8377"/>
    <d v="1899-12-30T00:00:00"/>
    <x v="200"/>
    <x v="0"/>
    <s v="Buffalo"/>
    <x v="61"/>
    <n v="1092851"/>
    <x v="0"/>
    <s v="Military Science; Social Science"/>
    <s v="9781118333051"/>
    <m/>
    <n v="0"/>
    <m/>
    <m/>
    <s v="No"/>
    <x v="0"/>
    <d v="2015-09-04T20:12:46"/>
    <n v="7"/>
    <s v="128.205.114.91"/>
    <s v="UH755 -- .H36 2013eb"/>
    <s v="355.345; 362.8"/>
    <d v="2012-11-27T00:00:00"/>
  </r>
  <r>
    <x v="8378"/>
    <d v="1899-12-30T00:01:49"/>
    <x v="200"/>
    <x v="0"/>
    <s v="Buffalo"/>
    <x v="61"/>
    <n v="1092851"/>
    <x v="0"/>
    <s v="Military Science; Social Science"/>
    <s v="9781118333051"/>
    <s v=",1,2,2,3,1,3,4,5,4,5,7,7,6,1,6,2,2,5,14,14,61,71,73,61,71,48,73,74,48,76,74,120,76,120,121,121,122,122,339,339,340,341,337,340,341,608,608,607"/>
    <n v="23"/>
    <m/>
    <m/>
    <s v="No"/>
    <x v="1"/>
    <m/>
    <m/>
    <s v="128.205.114.91"/>
    <s v="UH755 -- .H36 2013eb"/>
    <s v="355.345; 362.8"/>
    <d v="2012-11-27T00:00:00"/>
  </r>
  <r>
    <x v="8379"/>
    <d v="1899-12-30T00:21:29"/>
    <x v="1858"/>
    <x v="0"/>
    <s v="Buffalo"/>
    <x v="161"/>
    <n v="821663"/>
    <x v="0"/>
    <s v="Architecture"/>
    <s v="9781118168479"/>
    <s v=",1,2,3,4,68,69,70,66,67,71,72,73,74,75,76,77,78,79,80,81,82,83,84,85,76,77,78,79,80,81,82,83,84,85,75,73,72,71,70,69,74,86"/>
    <n v="25"/>
    <m/>
    <m/>
    <s v="No"/>
    <x v="0"/>
    <d v="2015-09-04T14:08:24"/>
    <n v="7"/>
    <s v="128.205.114.91"/>
    <s v="NA2547 -- .S74 2012eb"/>
    <n v="729"/>
    <d v="2012-03-05T00:00:00"/>
  </r>
  <r>
    <x v="8380"/>
    <d v="1899-12-30T00:00:15"/>
    <x v="13"/>
    <x v="0"/>
    <s v="Buffalo"/>
    <x v="246"/>
    <n v="1707328"/>
    <x v="3"/>
    <s v="Fine Arts"/>
    <s v="9780520958876"/>
    <s v=",1,2,3,4,5,6,7,8,9,147,148,149,145,146"/>
    <n v="14"/>
    <m/>
    <m/>
    <s v="No"/>
    <x v="2"/>
    <d v="2015-09-04T17:11:04"/>
    <n v="7"/>
    <s v="128.205.114.91"/>
    <s v="ML195 -- .A45 2014eb"/>
    <n v="780.90329999999994"/>
    <d v="2014-06-07T00:00:00"/>
  </r>
  <r>
    <x v="8381"/>
    <d v="1899-12-30T00:01:57"/>
    <x v="1043"/>
    <x v="0"/>
    <s v="Buffalo"/>
    <x v="73"/>
    <n v="1119505"/>
    <x v="0"/>
    <s v="Science: Chemistry; Science"/>
    <s v="9781118355015"/>
    <s v=",1,2,3,39,40,41,37,38,42,43,44,45,48,49,50,51,52,53,54"/>
    <n v="19"/>
    <m/>
    <m/>
    <s v="No"/>
    <x v="0"/>
    <d v="2015-09-04T16:02:39"/>
    <n v="7"/>
    <s v="128.205.114.91"/>
    <s v="QD251.3 -- .S38 2013eb"/>
    <s v="547/.128"/>
    <d v="2013-01-28T00:00:00"/>
  </r>
  <r>
    <x v="8382"/>
    <d v="1899-12-30T00:00:08"/>
    <x v="13"/>
    <x v="0"/>
    <s v="Buffalo"/>
    <x v="559"/>
    <n v="1217954"/>
    <x v="1"/>
    <s v="Engineering; Engineering: General"/>
    <s v="9781409457558"/>
    <s v=",1,2,3,4,137"/>
    <n v="5"/>
    <m/>
    <m/>
    <s v="No"/>
    <x v="1"/>
    <m/>
    <m/>
    <s v="128.205.114.91"/>
    <s v="T59.7 -- .S73 2013eb"/>
    <s v="620.8/2"/>
    <d v="2013-10-28T00:00:00"/>
  </r>
  <r>
    <x v="8383"/>
    <d v="1899-12-30T00:00:05"/>
    <x v="1242"/>
    <x v="1"/>
    <s v="brockport"/>
    <x v="151"/>
    <n v="968030"/>
    <x v="0"/>
    <s v="Psychology"/>
    <s v="9781118285138"/>
    <s v=",1,2,3"/>
    <n v="3"/>
    <m/>
    <m/>
    <s v="No"/>
    <x v="1"/>
    <m/>
    <m/>
    <s v="137.21.7.121"/>
    <s v="BF637.C6 -- S85 2013eb"/>
    <n v="158.30000000000001"/>
    <d v="2012-07-10T00:00:00"/>
  </r>
  <r>
    <x v="8384"/>
    <d v="1899-12-30T00:00:35"/>
    <x v="1858"/>
    <x v="0"/>
    <s v="Buffalo"/>
    <x v="161"/>
    <n v="821663"/>
    <x v="0"/>
    <s v="Architecture"/>
    <s v="9781118168479"/>
    <s v=",1,2,3,65,66,67,63,64,65,66,67,68,69,70,2,102,103,104,80,71,63,64"/>
    <n v="16"/>
    <m/>
    <m/>
    <s v="No"/>
    <x v="0"/>
    <d v="2015-09-04T14:08:24"/>
    <n v="7"/>
    <s v="128.205.114.91"/>
    <s v="NA2547 -- .S74 2012eb"/>
    <n v="729"/>
    <d v="2012-03-05T00:00:00"/>
  </r>
  <r>
    <x v="8385"/>
    <d v="1899-12-30T00:04:04"/>
    <x v="1043"/>
    <x v="0"/>
    <s v="Buffalo"/>
    <x v="73"/>
    <n v="1119505"/>
    <x v="0"/>
    <s v="Science: Chemistry; Science"/>
    <s v="9781118355015"/>
    <s v=",1,2,3,43,44,45,41,42,46,47,48,49,50,51,52,53"/>
    <n v="16"/>
    <m/>
    <m/>
    <s v="No"/>
    <x v="0"/>
    <d v="2015-09-04T16:02:39"/>
    <n v="7"/>
    <s v="128.205.114.91"/>
    <s v="QD251.3 -- .S38 2013eb"/>
    <s v="547/.128"/>
    <d v="2013-01-28T00:00:00"/>
  </r>
  <r>
    <x v="8386"/>
    <d v="1899-12-30T00:03:04"/>
    <x v="204"/>
    <x v="1"/>
    <s v="brockport"/>
    <x v="1006"/>
    <n v="1655862"/>
    <x v="12"/>
    <s v="Social Science; Religion"/>
    <s v="9781469615493"/>
    <s v=",1,3,2,16,17,18,14,15,22,24,20,21,25,270,271,272,268,269,31,70,71,144,145,142,143,141,136,137,138,139,135,140,141,142,143,144,145,146,147,148,149,151,152,153,156,157,158,154,159,160,161,162,163,164"/>
    <n v="49"/>
    <m/>
    <m/>
    <s v="No"/>
    <x v="3"/>
    <m/>
    <m/>
    <s v="137.21.7.121"/>
    <s v="BX1406.3 -- .D89 2014eb"/>
    <s v="391.0088/28273"/>
    <d v="2014-04-15T00:00:00"/>
  </r>
  <r>
    <x v="8387"/>
    <d v="1899-12-30T00:01:35"/>
    <x v="204"/>
    <x v="1"/>
    <s v="brockport"/>
    <x v="1006"/>
    <n v="1655862"/>
    <x v="12"/>
    <s v="Social Science; Religion"/>
    <s v="9781469615493"/>
    <s v=",1,2,3,270,271,18,14,15"/>
    <n v="8"/>
    <m/>
    <m/>
    <s v="No"/>
    <x v="3"/>
    <m/>
    <m/>
    <s v="137.21.7.121"/>
    <s v="BX1406.3 -- .D89 2014eb"/>
    <s v="391.0088/28273"/>
    <d v="2014-04-15T00:00:00"/>
  </r>
  <r>
    <x v="8388"/>
    <d v="1899-12-30T00:32:23"/>
    <x v="1484"/>
    <x v="0"/>
    <s v="Buffalo"/>
    <x v="552"/>
    <n v="1294909"/>
    <x v="3"/>
    <s v="Economics; Business/Management"/>
    <s v="9780520956797"/>
    <s v=",1,2,3,26,27,28,25,29,30,31,32,24,30,31,32,33,25,24,31,32,33,28,34,35,36,37,38"/>
    <n v="18"/>
    <m/>
    <m/>
    <s v="No"/>
    <x v="0"/>
    <d v="2015-08-31T18:43:05"/>
    <n v="7"/>
    <s v="128.205.114.91"/>
    <s v="HC110.P6 -- I25 2013eb"/>
    <s v="339.4/60973"/>
    <d v="2013-08-01T00:00:00"/>
  </r>
  <r>
    <x v="8389"/>
    <d v="1899-12-30T00:00:00"/>
    <x v="13"/>
    <x v="0"/>
    <s v="Buffalo"/>
    <x v="246"/>
    <n v="1707328"/>
    <x v="3"/>
    <s v="Fine Arts"/>
    <s v="9780520958876"/>
    <m/>
    <n v="0"/>
    <m/>
    <m/>
    <s v="Yes"/>
    <x v="2"/>
    <d v="2015-09-04T17:11:04"/>
    <n v="7"/>
    <s v="128.205.114.91"/>
    <s v="ML195 -- .A45 2014eb"/>
    <n v="780.90329999999994"/>
    <d v="2014-06-07T00:00:00"/>
  </r>
  <r>
    <x v="8389"/>
    <d v="1899-12-30T00:00:00"/>
    <x v="13"/>
    <x v="0"/>
    <s v="Buffalo"/>
    <x v="246"/>
    <n v="1707328"/>
    <x v="3"/>
    <s v="Fine Arts"/>
    <s v="9780520958876"/>
    <m/>
    <n v="0"/>
    <m/>
    <m/>
    <s v="No"/>
    <x v="2"/>
    <d v="2015-09-04T17:11:04"/>
    <n v="7"/>
    <s v="128.205.114.91"/>
    <s v="ML195 -- .A45 2014eb"/>
    <n v="780.90329999999994"/>
    <d v="2014-06-07T00:00:00"/>
  </r>
  <r>
    <x v="8390"/>
    <d v="1899-12-30T00:00:17"/>
    <x v="13"/>
    <x v="0"/>
    <s v="Buffalo"/>
    <x v="246"/>
    <n v="1707328"/>
    <x v="3"/>
    <s v="Fine Arts"/>
    <s v="9780520958876"/>
    <s v=",1,2,3"/>
    <n v="3"/>
    <m/>
    <m/>
    <s v="No"/>
    <x v="3"/>
    <m/>
    <m/>
    <s v="128.205.114.91"/>
    <s v="ML195 -- .A45 2014eb"/>
    <n v="780.90329999999994"/>
    <d v="2014-06-07T00:00:00"/>
  </r>
  <r>
    <x v="8391"/>
    <d v="1899-12-30T00:10:18"/>
    <x v="1043"/>
    <x v="0"/>
    <s v="Buffalo"/>
    <x v="73"/>
    <n v="1119505"/>
    <x v="0"/>
    <s v="Science: Chemistry; Science"/>
    <s v="9781118355015"/>
    <s v=",1,2,3,48,49,50,46,47,51,36,37,38,34,35,39,40,41,29,25,24,26,22,23,27,28,22,52,53"/>
    <n v="27"/>
    <m/>
    <m/>
    <s v="No"/>
    <x v="0"/>
    <d v="2015-09-04T16:02:39"/>
    <n v="7"/>
    <s v="128.205.114.91"/>
    <s v="QD251.3 -- .S38 2013eb"/>
    <s v="547/.128"/>
    <d v="2013-01-28T00:00:00"/>
  </r>
  <r>
    <x v="8392"/>
    <d v="1899-12-30T00:31:47"/>
    <x v="1858"/>
    <x v="0"/>
    <s v="Buffalo"/>
    <x v="161"/>
    <n v="821663"/>
    <x v="0"/>
    <s v="Architecture"/>
    <s v="9781118168479"/>
    <s v=",1,2,3,50,51,52,48,49,50,51,52,48,49,2,53,54,55,56,57,58,59,60,61,62,63,64"/>
    <n v="20"/>
    <m/>
    <m/>
    <s v="No"/>
    <x v="0"/>
    <d v="2015-09-04T14:08:24"/>
    <n v="7"/>
    <s v="128.205.114.91"/>
    <s v="NA2547 -- .S74 2012eb"/>
    <n v="729"/>
    <d v="2012-03-05T00:00:00"/>
  </r>
  <r>
    <x v="8393"/>
    <d v="1899-12-30T00:00:25"/>
    <x v="709"/>
    <x v="13"/>
    <s v="buffalostate"/>
    <x v="516"/>
    <n v="1840835"/>
    <x v="0"/>
    <s v="Business/Management; Economics"/>
    <s v="9781118950166"/>
    <s v=",1,2,2,3,1,3,4,4,5,5,1,2,2,4,5,6,6"/>
    <n v="6"/>
    <m/>
    <m/>
    <s v="No"/>
    <x v="1"/>
    <m/>
    <m/>
    <s v="136.183.11.43"/>
    <s v="HD9969.S6 .R384 2014"/>
    <n v="338.10923789999998"/>
    <d v="2014-11-10T00:00:00"/>
  </r>
  <r>
    <x v="8394"/>
    <d v="1899-12-30T00:23:57"/>
    <x v="1043"/>
    <x v="0"/>
    <s v="Buffalo"/>
    <x v="73"/>
    <n v="1119505"/>
    <x v="0"/>
    <s v="Science: Chemistry; Science"/>
    <s v="9781118355015"/>
    <s v=",26,27,28,24,25,29,30,46,24,31,24,32"/>
    <n v="10"/>
    <m/>
    <m/>
    <s v="No"/>
    <x v="0"/>
    <d v="2015-09-04T16:02:39"/>
    <n v="7"/>
    <s v="128.205.114.91"/>
    <s v="QD251.3 -- .S38 2013eb"/>
    <s v="547/.128"/>
    <d v="2013-01-28T00:00:00"/>
  </r>
  <r>
    <x v="8395"/>
    <d v="1899-12-30T00:12:34"/>
    <x v="1043"/>
    <x v="0"/>
    <s v="Buffalo"/>
    <x v="73"/>
    <n v="1119505"/>
    <x v="0"/>
    <s v="Science: Chemistry; Science"/>
    <s v="9781118355015"/>
    <s v=",1,2,3,48,49,50,46,47,51"/>
    <n v="9"/>
    <m/>
    <m/>
    <s v="No"/>
    <x v="1"/>
    <m/>
    <m/>
    <s v="128.205.114.91"/>
    <s v="QD251.3 -- .S38 2013eb"/>
    <s v="547/.128"/>
    <d v="2013-01-28T00:00:00"/>
  </r>
  <r>
    <x v="8396"/>
    <d v="1899-12-30T00:03:30"/>
    <x v="1859"/>
    <x v="8"/>
    <s v="niagaracc"/>
    <x v="293"/>
    <n v="1775471"/>
    <x v="0"/>
    <s v="Computer Science/IT"/>
    <s v="9781118891490"/>
    <s v=",1,2,3,5,6,7,8,9,10,17,18,19,15,16"/>
    <n v="14"/>
    <m/>
    <m/>
    <s v="No"/>
    <x v="1"/>
    <m/>
    <m/>
    <s v="132.174.254.37"/>
    <s v="QA76.73.P98 -- .M845 2014eb"/>
    <n v="5.133"/>
    <d v="2014-08-26T00:00:00"/>
  </r>
  <r>
    <x v="8397"/>
    <d v="1899-12-30T00:00:00"/>
    <x v="1600"/>
    <x v="0"/>
    <s v="Buffalo"/>
    <x v="73"/>
    <n v="1119505"/>
    <x v="0"/>
    <s v="Science: Chemistry; Science"/>
    <s v="9781118355015"/>
    <m/>
    <n v="0"/>
    <m/>
    <s v=",49,50,51"/>
    <s v="No"/>
    <x v="0"/>
    <d v="2015-09-04T15:04:29"/>
    <n v="7"/>
    <s v="128.205.114.91"/>
    <s v="QD251.3 -- .S38 2013eb"/>
    <s v="547/.128"/>
    <d v="2013-01-28T00:00:00"/>
  </r>
  <r>
    <x v="8398"/>
    <d v="1899-12-30T00:00:27"/>
    <x v="1600"/>
    <x v="0"/>
    <s v="Buffalo"/>
    <x v="73"/>
    <n v="1119505"/>
    <x v="0"/>
    <s v="Science: Chemistry; Science"/>
    <s v="9781118355015"/>
    <s v=",1,2,3,48,49,50,46,47,51,52,53,2"/>
    <n v="11"/>
    <m/>
    <m/>
    <s v="No"/>
    <x v="1"/>
    <m/>
    <m/>
    <s v="128.205.114.91"/>
    <s v="QD251.3 -- .S38 2013eb"/>
    <s v="547/.128"/>
    <d v="2013-01-28T00:00:00"/>
  </r>
  <r>
    <x v="8399"/>
    <d v="1899-12-30T00:17:39"/>
    <x v="1484"/>
    <x v="0"/>
    <s v="Buffalo"/>
    <x v="552"/>
    <n v="1294909"/>
    <x v="3"/>
    <s v="Economics; Business/Management"/>
    <s v="9780520956797"/>
    <s v=",1,2,3,37,38,39,35,36,40,34,26,27,28,25,24,29,30,31,24,30,31,32"/>
    <n v="19"/>
    <m/>
    <m/>
    <s v="No"/>
    <x v="0"/>
    <d v="2015-08-31T18:43:05"/>
    <n v="7"/>
    <s v="128.205.114.91"/>
    <s v="HC110.P6 -- I25 2013eb"/>
    <s v="339.4/60973"/>
    <d v="2013-08-01T00:00:00"/>
  </r>
  <r>
    <x v="8400"/>
    <d v="1899-12-30T00:00:03"/>
    <x v="1484"/>
    <x v="0"/>
    <s v="Buffalo"/>
    <x v="552"/>
    <n v="1294909"/>
    <x v="3"/>
    <s v="Economics; Business/Management"/>
    <s v="9780520956797"/>
    <s v=",1,2,3"/>
    <n v="3"/>
    <m/>
    <m/>
    <s v="No"/>
    <x v="0"/>
    <d v="2015-08-31T18:43:05"/>
    <n v="7"/>
    <s v="128.205.114.91"/>
    <s v="HC110.P6 -- I25 2013eb"/>
    <s v="339.4/60973"/>
    <d v="2013-08-01T00:00:00"/>
  </r>
  <r>
    <x v="8401"/>
    <d v="1899-12-30T00:00:00"/>
    <x v="139"/>
    <x v="0"/>
    <s v="Buffalo"/>
    <x v="1551"/>
    <n v="938873"/>
    <x v="0"/>
    <s v="General Works/Reference; Computer Science/IT; Mathematics"/>
    <s v="9781119963127"/>
    <m/>
    <n v="0"/>
    <m/>
    <m/>
    <s v="Yes"/>
    <x v="0"/>
    <d v="2015-09-04T14:50:58"/>
    <n v="7"/>
    <s v="128.205.114.91"/>
    <s v="QA276.45.R3 -- V75 2012eb"/>
    <s v="001.642; 005.55"/>
    <d v="2012-06-04T00:00:00"/>
  </r>
  <r>
    <x v="8401"/>
    <d v="1899-12-30T00:00:00"/>
    <x v="139"/>
    <x v="0"/>
    <s v="Buffalo"/>
    <x v="1551"/>
    <n v="938873"/>
    <x v="0"/>
    <s v="General Works/Reference; Computer Science/IT; Mathematics"/>
    <s v="9781119963127"/>
    <m/>
    <n v="0"/>
    <m/>
    <m/>
    <s v="No"/>
    <x v="0"/>
    <d v="2015-09-04T14:50:58"/>
    <n v="7"/>
    <s v="128.205.114.91"/>
    <s v="QA276.45.R3 -- V75 2012eb"/>
    <s v="001.642; 005.55"/>
    <d v="2012-06-04T00:00:00"/>
  </r>
  <r>
    <x v="8402"/>
    <d v="1899-12-30T00:00:09"/>
    <x v="139"/>
    <x v="0"/>
    <s v="Buffalo"/>
    <x v="1551"/>
    <n v="938873"/>
    <x v="0"/>
    <s v="General Works/Reference; Computer Science/IT; Mathematics"/>
    <s v="9781119963127"/>
    <s v=",1,2,3"/>
    <n v="3"/>
    <m/>
    <m/>
    <s v="No"/>
    <x v="1"/>
    <m/>
    <m/>
    <s v="128.205.114.91"/>
    <s v="QA276.45.R3 -- V75 2012eb"/>
    <s v="001.642; 005.55"/>
    <d v="2012-06-04T00:00:00"/>
  </r>
  <r>
    <x v="8403"/>
    <d v="1899-12-30T01:08:18"/>
    <x v="1858"/>
    <x v="0"/>
    <s v="Buffalo"/>
    <x v="161"/>
    <n v="821663"/>
    <x v="0"/>
    <s v="Architecture"/>
    <s v="9781118168479"/>
    <s v=",1,2,3,1,2,3,4,5,6,7,8,9,10,11,12,13,14,15,16,17,18,19,20,21,22,23,24,25,26,27,28,29,30,32,33,34,31,35,36,37,38,39,40,41,42,43,44,45,46,47,48,49"/>
    <n v="49"/>
    <m/>
    <m/>
    <s v="No"/>
    <x v="0"/>
    <d v="2015-09-04T14:08:24"/>
    <n v="7"/>
    <s v="128.205.114.91"/>
    <s v="NA2547 -- .S74 2012eb"/>
    <n v="729"/>
    <d v="2012-03-05T00:00:00"/>
  </r>
  <r>
    <x v="8404"/>
    <d v="1899-12-30T00:01:42"/>
    <x v="1858"/>
    <x v="0"/>
    <s v="Buffalo"/>
    <x v="161"/>
    <n v="821663"/>
    <x v="0"/>
    <s v="Architecture"/>
    <s v="9781118168479"/>
    <s v=",1,2,3,1"/>
    <n v="3"/>
    <m/>
    <m/>
    <s v="No"/>
    <x v="0"/>
    <d v="2015-09-04T14:08:24"/>
    <n v="7"/>
    <s v="128.205.114.91"/>
    <s v="NA2547 -- .S74 2012eb"/>
    <n v="729"/>
    <d v="2012-03-05T00:00:00"/>
  </r>
  <r>
    <x v="8405"/>
    <d v="1899-12-30T00:02:36"/>
    <x v="1858"/>
    <x v="0"/>
    <s v="Buffalo"/>
    <x v="161"/>
    <n v="821663"/>
    <x v="0"/>
    <s v="Architecture"/>
    <s v="9781118168479"/>
    <s v=",1,2,3,1,2,3,10,13,14,15,11,12,13,4,22,23,21,19,20,24,1"/>
    <n v="16"/>
    <m/>
    <m/>
    <s v="Yes"/>
    <x v="0"/>
    <d v="2015-09-04T14:08:24"/>
    <n v="7"/>
    <s v="128.205.114.91"/>
    <s v="NA2547 -- .S74 2012eb"/>
    <n v="729"/>
    <d v="2012-03-05T00:00:00"/>
  </r>
  <r>
    <x v="8406"/>
    <d v="1899-12-30T00:00:27"/>
    <x v="1858"/>
    <x v="0"/>
    <s v="Buffalo"/>
    <x v="161"/>
    <n v="821663"/>
    <x v="0"/>
    <s v="Architecture"/>
    <s v="9781118168479"/>
    <s v=",1,2,3,29,33,34,35,31,32,33"/>
    <n v="9"/>
    <m/>
    <m/>
    <s v="No"/>
    <x v="0"/>
    <d v="2015-09-04T14:08:24"/>
    <n v="7"/>
    <s v="128.205.114.91"/>
    <s v="NA2547 -- .S74 2012eb"/>
    <n v="729"/>
    <d v="2012-03-05T00:00:00"/>
  </r>
  <r>
    <x v="8407"/>
    <d v="1899-12-30T00:17:48"/>
    <x v="13"/>
    <x v="0"/>
    <s v="Buffalo"/>
    <x v="669"/>
    <n v="1742841"/>
    <x v="4"/>
    <s v="Medicine"/>
    <s v="9781462516445"/>
    <s v=",1,2,3,198,199,201,197,202,196,203,204,205,206,207,208,211,212,215,220,216,214,219,221,222,223,224,225,226,227,228,229,230,231,232,233,235,238,119,120,121,218,219,220,200,196,197,217,221,222,223,224,225,226,227,228,229,227,227,331,332,333,329,330,334,335,336,337,338,353,354,351,352,348,349,347,464,465,466,462,463,485,486,487,483,484,482,481,508,509,510,506,507,529,530,531,527,528,529"/>
    <n v="82"/>
    <m/>
    <s v=",218,219,220,221,222,223,224,225,226,227,228,229,230,231,232,233,234,235,331,332,333,334,335,336,337,338,339,340,341,342,343,344,345,346,347,348,349,350,508,509,510,511,512,513,514,515,516,517,518,519,520,521,522,523,524,525,526,527,528,464,465,466,467,468,469,470,471,472,473,474,475,476,477,478,479,480,481,482,483,484"/>
    <s v="No"/>
    <x v="0"/>
    <d v="2015-09-02T15:30:08"/>
    <n v="7"/>
    <s v="128.205.114.91"/>
    <s v="RC537 -- .H3376 2014eb"/>
    <n v="616.85270000000003"/>
    <d v="2014-10-22T00:00:00"/>
  </r>
  <r>
    <x v="8408"/>
    <d v="1899-12-30T00:00:21"/>
    <x v="1744"/>
    <x v="0"/>
    <s v="Buffalo"/>
    <x v="552"/>
    <n v="1294909"/>
    <x v="3"/>
    <s v="Economics; Business/Management"/>
    <s v="9780520956797"/>
    <s v=",1,1,2,2,3,3,37,37,38,39,38,39,35,36,36,2"/>
    <n v="8"/>
    <m/>
    <m/>
    <s v="No"/>
    <x v="0"/>
    <d v="2015-09-01T19:35:16"/>
    <n v="7"/>
    <s v="128.205.114.91"/>
    <s v="HC110.P6 -- I25 2013eb"/>
    <s v="339.4/60973"/>
    <d v="2013-08-01T00:00:00"/>
  </r>
  <r>
    <x v="8409"/>
    <d v="1899-12-30T00:26:03"/>
    <x v="13"/>
    <x v="0"/>
    <s v="Buffalo"/>
    <x v="552"/>
    <n v="1294909"/>
    <x v="3"/>
    <s v="Economics; Business/Management"/>
    <s v="9780520956797"/>
    <s v=",1,2,2,3,3,1,4,5,4,5,6,6,7,7,8,8,9,9,10,10,11,11,12,13,13,12,14,14,15,15,2,16,16,17,17,18,18,19,19,20,20,21,21,22,22,23,23,24,24,25,25,26,26,27,27,28,28,29,29,30,30,31,31,32,32,33,33,34,34,35,35,36,36,37,37,38,38,1,38,1,38,40,40,36,39,39,37,37"/>
    <n v="40"/>
    <m/>
    <m/>
    <s v="No"/>
    <x v="0"/>
    <d v="2015-08-31T19:34:21"/>
    <n v="7"/>
    <s v="128.205.114.91"/>
    <s v="HC110.P6 -- I25 2013eb"/>
    <s v="339.4/60973"/>
    <d v="2013-08-01T00:00:00"/>
  </r>
  <r>
    <x v="8410"/>
    <d v="1899-12-30T00:03:00"/>
    <x v="526"/>
    <x v="0"/>
    <s v="Buffalo"/>
    <x v="559"/>
    <n v="1217954"/>
    <x v="1"/>
    <s v="Engineering; Engineering: General"/>
    <s v="9781409457558"/>
    <s v=",1,2,3,1,573,573,572,572,572,572,572,524"/>
    <n v="6"/>
    <m/>
    <m/>
    <s v="No"/>
    <x v="1"/>
    <m/>
    <m/>
    <s v="128.205.114.91"/>
    <s v="T59.7 -- .S73 2013eb"/>
    <s v="620.8/2"/>
    <d v="2013-10-28T00:00:00"/>
  </r>
  <r>
    <x v="8411"/>
    <d v="1899-12-30T00:01:02"/>
    <x v="1858"/>
    <x v="0"/>
    <s v="Buffalo"/>
    <x v="161"/>
    <n v="821663"/>
    <x v="0"/>
    <s v="Architecture"/>
    <s v="9781118168479"/>
    <s v=",73,71,72,69,70,68,67,65,66,64,63,62,61,60,58,60,61,62,58,59,57"/>
    <n v="17"/>
    <m/>
    <m/>
    <s v="Yes"/>
    <x v="0"/>
    <d v="2015-09-04T14:08:24"/>
    <n v="7"/>
    <s v="128.205.114.91"/>
    <s v="NA2547 -- .S74 2012eb"/>
    <n v="729"/>
    <d v="2012-03-05T00:00:00"/>
  </r>
  <r>
    <x v="8412"/>
    <d v="1899-12-30T00:03:21"/>
    <x v="1858"/>
    <x v="0"/>
    <s v="Buffalo"/>
    <x v="161"/>
    <n v="821663"/>
    <x v="0"/>
    <s v="Architecture"/>
    <s v="9781118168479"/>
    <s v=",4,5,6,7,8,9,10,11,12,13,14,15,16,17,18,19,20,21,22,23,24,25,27,28,29,26,62,63,64,60,61,69,70,72,73,83,84,85,81,82,80,79,77,75,76,80,74"/>
    <n v="46"/>
    <m/>
    <s v=",21,21,22,23,23,24,24,25,26,27,28,28,29,30,31,32,32,33,34,35,35,36,37,38,39,40,41,42,43,44,44,44,47,47,47,48,48,49,50,50,51,51,52,53,53,54,54,55,56,57,58,59,60,61,62,62,62,65,65,66,67,68,68,69,69,70,71,72,73,74,75,76,77,78,79,80,80,81,82,82,83,83"/>
    <s v="No"/>
    <x v="0"/>
    <d v="2015-09-04T14:08:24"/>
    <n v="7"/>
    <s v="128.205.114.91"/>
    <s v="NA2547 -- .S74 2012eb"/>
    <n v="729"/>
    <d v="2012-03-05T00:00:00"/>
  </r>
  <r>
    <x v="8413"/>
    <d v="1899-12-30T00:00:18"/>
    <x v="1858"/>
    <x v="0"/>
    <s v="Buffalo"/>
    <x v="161"/>
    <n v="821663"/>
    <x v="0"/>
    <s v="Architecture"/>
    <s v="9781118168479"/>
    <s v=",1,2,3,4,5,6,7,8,9,10,3,1,2"/>
    <n v="10"/>
    <m/>
    <m/>
    <s v="No"/>
    <x v="1"/>
    <m/>
    <m/>
    <s v="128.205.114.91"/>
    <s v="NA2547 -- .S74 2012eb"/>
    <n v="729"/>
    <d v="2012-03-05T00:00:00"/>
  </r>
  <r>
    <x v="8414"/>
    <d v="1899-12-30T00:08:39"/>
    <x v="1860"/>
    <x v="0"/>
    <s v="Buffalo"/>
    <x v="552"/>
    <n v="1294909"/>
    <x v="3"/>
    <s v="Economics; Business/Management"/>
    <s v="9780520956797"/>
    <s v=",32,33,34,35,36,37,38"/>
    <n v="7"/>
    <m/>
    <m/>
    <s v="No"/>
    <x v="0"/>
    <d v="2015-09-04T05:41:24"/>
    <n v="7"/>
    <s v="128.205.114.91"/>
    <s v="HC110.P6 -- I25 2013eb"/>
    <s v="339.4/60973"/>
    <d v="2013-08-01T00:00:00"/>
  </r>
  <r>
    <x v="8415"/>
    <d v="1899-12-30T00:17:21"/>
    <x v="1860"/>
    <x v="0"/>
    <s v="Buffalo"/>
    <x v="552"/>
    <n v="1294909"/>
    <x v="3"/>
    <s v="Economics; Business/Management"/>
    <s v="9780520956797"/>
    <s v=",1,2,3,16,17,18,19,15,20,21,22,23,27,28,29,26,24,25,224,225,226,222,223,30,31"/>
    <n v="25"/>
    <m/>
    <m/>
    <s v="No"/>
    <x v="1"/>
    <m/>
    <m/>
    <s v="128.205.114.91"/>
    <s v="HC110.P6 -- I25 2013eb"/>
    <s v="339.4/60973"/>
    <d v="2013-08-01T00:00:00"/>
  </r>
  <r>
    <x v="8416"/>
    <d v="1899-12-30T00:00:00"/>
    <x v="1861"/>
    <x v="0"/>
    <s v="Buffalo"/>
    <x v="552"/>
    <n v="1294909"/>
    <x v="3"/>
    <s v="Economics; Business/Management"/>
    <s v="9780520956797"/>
    <m/>
    <n v="0"/>
    <m/>
    <m/>
    <s v="Yes"/>
    <x v="0"/>
    <d v="2015-09-04T04:49:01"/>
    <n v="7"/>
    <s v="128.205.114.91"/>
    <s v="HC110.P6 -- I25 2013eb"/>
    <s v="339.4/60973"/>
    <d v="2013-08-01T00:00:00"/>
  </r>
  <r>
    <x v="8417"/>
    <d v="1899-12-30T00:00:00"/>
    <x v="1861"/>
    <x v="0"/>
    <s v="Buffalo"/>
    <x v="552"/>
    <n v="1294909"/>
    <x v="3"/>
    <s v="Economics; Business/Management"/>
    <s v="9780520956797"/>
    <m/>
    <n v="0"/>
    <m/>
    <m/>
    <s v="Yes"/>
    <x v="0"/>
    <d v="2015-09-04T04:49:01"/>
    <n v="7"/>
    <s v="128.205.114.91"/>
    <s v="HC110.P6 -- I25 2013eb"/>
    <s v="339.4/60973"/>
    <d v="2013-08-01T00:00:00"/>
  </r>
  <r>
    <x v="8417"/>
    <d v="1899-12-30T00:00:00"/>
    <x v="1861"/>
    <x v="0"/>
    <s v="Buffalo"/>
    <x v="552"/>
    <n v="1294909"/>
    <x v="3"/>
    <s v="Economics; Business/Management"/>
    <s v="9780520956797"/>
    <m/>
    <n v="0"/>
    <m/>
    <m/>
    <s v="No"/>
    <x v="0"/>
    <d v="2015-09-04T04:49:01"/>
    <n v="7"/>
    <s v="128.205.114.91"/>
    <s v="HC110.P6 -- I25 2013eb"/>
    <s v="339.4/60973"/>
    <d v="2013-08-01T00:00:00"/>
  </r>
  <r>
    <x v="8418"/>
    <d v="1899-12-30T00:00:26"/>
    <x v="1861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8419"/>
    <d v="1899-12-30T00:03:07"/>
    <x v="1719"/>
    <x v="0"/>
    <s v="Buffalo"/>
    <x v="559"/>
    <n v="1217954"/>
    <x v="1"/>
    <s v="Engineering; Engineering: General"/>
    <s v="9781409457558"/>
    <s v=",1,2,3,4,5,6,7,5,521,69,323"/>
    <n v="10"/>
    <m/>
    <m/>
    <s v="No"/>
    <x v="1"/>
    <m/>
    <m/>
    <s v="128.205.114.91"/>
    <s v="T59.7 -- .S73 2013eb"/>
    <s v="620.8/2"/>
    <d v="2013-10-28T00:00:00"/>
  </r>
  <r>
    <x v="8420"/>
    <d v="1899-12-30T00:06:15"/>
    <x v="525"/>
    <x v="0"/>
    <s v="Buffalo"/>
    <x v="477"/>
    <n v="1120279"/>
    <x v="0"/>
    <s v="Science: Biology/Natural History; Science"/>
    <s v="9781118537671"/>
    <s v=",3,9,10,11,12,13,14,16,15,17,28,29,30,26,18,19,19"/>
    <n v="16"/>
    <m/>
    <m/>
    <s v="Yes"/>
    <x v="0"/>
    <d v="2015-09-04T02:39:47"/>
    <n v="7"/>
    <s v="128.205.114.91"/>
    <s v="QH371 .K384 2012"/>
    <n v="599.93499999999995"/>
    <d v="2012-11-19T00:00:00"/>
  </r>
  <r>
    <x v="8421"/>
    <d v="1899-12-30T00:00:07"/>
    <x v="452"/>
    <x v="0"/>
    <s v="Buffalo"/>
    <x v="477"/>
    <n v="1120279"/>
    <x v="0"/>
    <s v="Science: Biology/Natural History; Science"/>
    <s v="9781118537671"/>
    <s v=",1,2,3"/>
    <n v="3"/>
    <m/>
    <m/>
    <s v="No"/>
    <x v="1"/>
    <m/>
    <m/>
    <s v="128.205.114.91"/>
    <s v="QH371 .K384 2012"/>
    <n v="599.93499999999995"/>
    <d v="2012-11-19T00:00:00"/>
  </r>
  <r>
    <x v="8422"/>
    <d v="1899-12-30T00:00:49"/>
    <x v="452"/>
    <x v="0"/>
    <s v="Buffalo"/>
    <x v="477"/>
    <n v="1120279"/>
    <x v="0"/>
    <s v="Science: Biology/Natural History; Science"/>
    <s v="9781118537671"/>
    <s v=",1,2,3,4,8,16,17,14,18,19,15,13,11,12,9,10"/>
    <n v="16"/>
    <m/>
    <m/>
    <s v="No"/>
    <x v="1"/>
    <m/>
    <m/>
    <s v="128.205.114.91"/>
    <s v="QH371 .K384 2012"/>
    <n v="599.93499999999995"/>
    <d v="2012-11-19T00:00:00"/>
  </r>
  <r>
    <x v="8423"/>
    <d v="1899-12-30T00:06:09"/>
    <x v="525"/>
    <x v="0"/>
    <s v="Buffalo"/>
    <x v="477"/>
    <n v="1120279"/>
    <x v="0"/>
    <s v="Science: Biology/Natural History; Science"/>
    <s v="9781118537671"/>
    <s v=",15,14,13,19,20,21,22,23,14,1,2,3,4,5,6,7,8,9,10,12,11,13,14,15,16,17,18,19,20,21,22,23,24,25,7,37,6,1,6,8,7,4,5,2"/>
    <n v="26"/>
    <s v=",2"/>
    <m/>
    <s v="Yes"/>
    <x v="0"/>
    <d v="2015-09-04T02:39:47"/>
    <n v="7"/>
    <s v="128.205.114.91"/>
    <s v="QH371 .K384 2012"/>
    <n v="599.93499999999995"/>
    <d v="2012-11-19T00:00:00"/>
  </r>
  <r>
    <x v="8423"/>
    <d v="1899-12-30T00:00:00"/>
    <x v="525"/>
    <x v="0"/>
    <s v="Buffalo"/>
    <x v="477"/>
    <n v="1120279"/>
    <x v="0"/>
    <s v="Science: Biology/Natural History; Science"/>
    <s v="9781118537671"/>
    <m/>
    <n v="0"/>
    <m/>
    <m/>
    <s v="No"/>
    <x v="0"/>
    <d v="2015-09-04T02:39:47"/>
    <n v="7"/>
    <s v="128.205.114.91"/>
    <s v="QH371 .K384 2012"/>
    <n v="599.93499999999995"/>
    <d v="2012-11-19T00:00:00"/>
  </r>
  <r>
    <x v="8424"/>
    <d v="1899-12-30T00:03:26"/>
    <x v="525"/>
    <x v="0"/>
    <s v="Buffalo"/>
    <x v="477"/>
    <n v="1120279"/>
    <x v="0"/>
    <s v="Science: Biology/Natural History; Science"/>
    <s v="9781118537671"/>
    <s v=",1,2,3,4,5,6,7,8,9,10,2,16,15,17,13,14,18,19,20,18"/>
    <n v="18"/>
    <m/>
    <m/>
    <s v="No"/>
    <x v="1"/>
    <m/>
    <m/>
    <s v="128.205.114.91"/>
    <s v="QH371 .K384 2012"/>
    <n v="599.93499999999995"/>
    <d v="2012-11-19T00:00:00"/>
  </r>
  <r>
    <x v="8425"/>
    <d v="1899-12-30T00:43:57"/>
    <x v="1862"/>
    <x v="0"/>
    <s v="Buffalo"/>
    <x v="552"/>
    <n v="1294909"/>
    <x v="3"/>
    <s v="Economics; Business/Management"/>
    <s v="9780520956797"/>
    <s v=",1,2,3,26,27,28,24,25,29,30,31,32,33,34,35,36,37,38,39"/>
    <n v="19"/>
    <m/>
    <m/>
    <s v="No"/>
    <x v="0"/>
    <d v="2015-08-31T23:30:49"/>
    <n v="7"/>
    <s v="128.205.114.91"/>
    <s v="HC110.P6 -- I25 2013eb"/>
    <s v="339.4/60973"/>
    <d v="2013-08-01T00:00:00"/>
  </r>
  <r>
    <x v="8426"/>
    <d v="1899-12-30T00:01:11"/>
    <x v="547"/>
    <x v="1"/>
    <s v="brockport"/>
    <x v="1"/>
    <n v="1684620"/>
    <x v="0"/>
    <s v="Health; Social Science"/>
    <s v="9781118418925"/>
    <s v=",1,2,3,4,5,6,7,8,9,10,11,12,13,14,15,16,17,19,20,21,22,23,25,26,27,28,29,31,32,33,30,44,61,67,80,113,122,159,160,161,157,158,171,172,168,169"/>
    <n v="46"/>
    <m/>
    <m/>
    <s v="No"/>
    <x v="0"/>
    <d v="2015-09-04T01:16:26"/>
    <n v="7"/>
    <s v="137.21.7.121"/>
    <s v="RA971 -- .S56 2014eb"/>
    <n v="362.10680000000002"/>
    <d v="2014-04-30T00:00:00"/>
  </r>
  <r>
    <x v="8427"/>
    <d v="1899-12-30T00:02:28"/>
    <x v="126"/>
    <x v="0"/>
    <s v="Buffalo"/>
    <x v="129"/>
    <n v="817848"/>
    <x v="0"/>
    <s v="Engineering; Engineering: Civil"/>
    <s v="9781118205624"/>
    <s v=",1,3,2,4,6,5,7,8,9,10,11,12,13"/>
    <n v="13"/>
    <m/>
    <m/>
    <s v="No"/>
    <x v="1"/>
    <m/>
    <m/>
    <s v="128.205.114.91"/>
    <s v="TA683.2 -- .H365 2012eb"/>
    <s v="624.1/8341"/>
    <d v="2012-04-20T00:00:00"/>
  </r>
  <r>
    <x v="8428"/>
    <d v="1899-12-30T00:00:44"/>
    <x v="547"/>
    <x v="1"/>
    <s v="brockport"/>
    <x v="1"/>
    <n v="1684620"/>
    <x v="0"/>
    <s v="Health; Social Science"/>
    <s v="9781118418925"/>
    <s v=",4,5,6"/>
    <n v="3"/>
    <m/>
    <m/>
    <s v="Yes"/>
    <x v="0"/>
    <d v="2015-09-04T01:16:26"/>
    <n v="7"/>
    <s v="137.21.7.121"/>
    <s v="RA971 -- .S56 2014eb"/>
    <n v="362.10680000000002"/>
    <d v="2014-04-30T00:00:00"/>
  </r>
  <r>
    <x v="8429"/>
    <d v="1899-12-30T00:00:03"/>
    <x v="547"/>
    <x v="1"/>
    <s v="brockport"/>
    <x v="1"/>
    <n v="1684620"/>
    <x v="0"/>
    <s v="Health; Social Science"/>
    <s v="9781118418925"/>
    <s v=",1,2,3"/>
    <n v="3"/>
    <m/>
    <m/>
    <s v="No"/>
    <x v="0"/>
    <d v="2015-09-04T01:16:26"/>
    <n v="7"/>
    <s v="137.21.7.121"/>
    <s v="RA971 -- .S56 2014eb"/>
    <n v="362.10680000000002"/>
    <d v="2014-04-30T00:00:00"/>
  </r>
  <r>
    <x v="8430"/>
    <d v="1899-12-30T00:00:00"/>
    <x v="547"/>
    <x v="1"/>
    <s v="brockport"/>
    <x v="1"/>
    <n v="1684620"/>
    <x v="0"/>
    <s v="Health; Social Science"/>
    <s v="9781118418925"/>
    <m/>
    <n v="0"/>
    <m/>
    <m/>
    <s v="Yes"/>
    <x v="0"/>
    <d v="2015-09-04T01:16:26"/>
    <n v="7"/>
    <s v="137.21.7.121"/>
    <s v="RA971 -- .S56 2014eb"/>
    <n v="362.10680000000002"/>
    <d v="2014-04-30T00:00:00"/>
  </r>
  <r>
    <x v="8431"/>
    <d v="1899-12-30T00:00:03"/>
    <x v="547"/>
    <x v="1"/>
    <s v="brockport"/>
    <x v="1"/>
    <n v="1684620"/>
    <x v="0"/>
    <s v="Health; Social Science"/>
    <s v="9781118418925"/>
    <s v=",1,2,3"/>
    <n v="3"/>
    <m/>
    <m/>
    <s v="No"/>
    <x v="0"/>
    <d v="2015-09-04T01:16:26"/>
    <n v="7"/>
    <s v="137.21.7.121"/>
    <s v="RA971 -- .S56 2014eb"/>
    <n v="362.10680000000002"/>
    <d v="2014-04-30T00:00:00"/>
  </r>
  <r>
    <x v="8432"/>
    <d v="1899-12-30T00:00:00"/>
    <x v="547"/>
    <x v="1"/>
    <s v="brockport"/>
    <x v="1"/>
    <n v="1684620"/>
    <x v="0"/>
    <s v="Health; Social Science"/>
    <s v="9781118418925"/>
    <m/>
    <n v="0"/>
    <m/>
    <m/>
    <s v="Yes"/>
    <x v="0"/>
    <d v="2015-09-04T01:16:26"/>
    <n v="7"/>
    <s v="137.21.7.121"/>
    <s v="RA971 -- .S56 2014eb"/>
    <n v="362.10680000000002"/>
    <d v="2014-04-30T00:00:00"/>
  </r>
  <r>
    <x v="8433"/>
    <d v="1899-12-30T00:00:02"/>
    <x v="547"/>
    <x v="1"/>
    <s v="brockport"/>
    <x v="1"/>
    <n v="1684620"/>
    <x v="0"/>
    <s v="Health; Social Science"/>
    <s v="9781118418925"/>
    <s v=",1,2,3"/>
    <n v="3"/>
    <m/>
    <m/>
    <s v="No"/>
    <x v="0"/>
    <d v="2015-09-04T01:16:26"/>
    <n v="7"/>
    <s v="137.21.7.121"/>
    <s v="RA971 -- .S56 2014eb"/>
    <n v="362.10680000000002"/>
    <d v="2014-04-30T00:00:00"/>
  </r>
  <r>
    <x v="8434"/>
    <d v="1899-12-30T00:00:00"/>
    <x v="547"/>
    <x v="1"/>
    <s v="brockport"/>
    <x v="1"/>
    <n v="1684620"/>
    <x v="0"/>
    <s v="Health; Social Science"/>
    <s v="9781118418925"/>
    <m/>
    <n v="0"/>
    <m/>
    <m/>
    <s v="Yes"/>
    <x v="0"/>
    <d v="2015-09-04T01:16:26"/>
    <n v="7"/>
    <s v="137.21.7.121"/>
    <s v="RA971 -- .S56 2014eb"/>
    <n v="362.10680000000002"/>
    <d v="2014-04-30T00:00:00"/>
  </r>
  <r>
    <x v="8435"/>
    <d v="1899-12-30T00:00:03"/>
    <x v="547"/>
    <x v="1"/>
    <s v="brockport"/>
    <x v="1"/>
    <n v="1684620"/>
    <x v="0"/>
    <s v="Health; Social Science"/>
    <s v="9781118418925"/>
    <s v=",1,2,3"/>
    <n v="3"/>
    <m/>
    <m/>
    <s v="No"/>
    <x v="0"/>
    <d v="2015-09-04T01:16:26"/>
    <n v="7"/>
    <s v="137.21.7.121"/>
    <s v="RA971 -- .S56 2014eb"/>
    <n v="362.10680000000002"/>
    <d v="2014-04-30T00:00:00"/>
  </r>
  <r>
    <x v="8436"/>
    <d v="1899-12-30T00:00:00"/>
    <x v="547"/>
    <x v="1"/>
    <s v="brockport"/>
    <x v="1"/>
    <n v="1684620"/>
    <x v="0"/>
    <s v="Health; Social Science"/>
    <s v="9781118418925"/>
    <m/>
    <n v="0"/>
    <m/>
    <m/>
    <s v="Yes"/>
    <x v="0"/>
    <d v="2015-09-04T01:16:26"/>
    <n v="7"/>
    <s v="137.21.7.121"/>
    <s v="RA971 -- .S56 2014eb"/>
    <n v="362.10680000000002"/>
    <d v="2014-04-30T00:00:00"/>
  </r>
  <r>
    <x v="8437"/>
    <d v="1899-12-30T00:00:00"/>
    <x v="547"/>
    <x v="1"/>
    <s v="brockport"/>
    <x v="1"/>
    <n v="1684620"/>
    <x v="0"/>
    <s v="Health; Social Science"/>
    <s v="9781118418925"/>
    <m/>
    <n v="0"/>
    <m/>
    <m/>
    <s v="Yes"/>
    <x v="0"/>
    <d v="2015-09-04T01:16:26"/>
    <n v="7"/>
    <s v="137.21.7.121"/>
    <s v="RA971 -- .S56 2014eb"/>
    <n v="362.10680000000002"/>
    <d v="2014-04-30T00:00:00"/>
  </r>
  <r>
    <x v="8438"/>
    <d v="1899-12-30T00:00:04"/>
    <x v="547"/>
    <x v="1"/>
    <s v="brockport"/>
    <x v="1"/>
    <n v="1684620"/>
    <x v="0"/>
    <s v="Health; Social Science"/>
    <s v="9781118418925"/>
    <s v=",1,2,3"/>
    <n v="3"/>
    <m/>
    <m/>
    <s v="No"/>
    <x v="0"/>
    <d v="2015-09-04T01:16:26"/>
    <n v="7"/>
    <s v="137.21.7.121"/>
    <s v="RA971 -- .S56 2014eb"/>
    <n v="362.10680000000002"/>
    <d v="2014-04-30T00:00:00"/>
  </r>
  <r>
    <x v="8439"/>
    <d v="1899-12-30T00:00:03"/>
    <x v="13"/>
    <x v="0"/>
    <s v="Buffalo"/>
    <x v="73"/>
    <n v="1119505"/>
    <x v="0"/>
    <s v="Science: Chemistry; Science"/>
    <s v="9781118355015"/>
    <s v=",1,2,3"/>
    <n v="3"/>
    <s v=",1"/>
    <m/>
    <s v="No"/>
    <x v="0"/>
    <d v="2015-09-03T17:44:21"/>
    <n v="7"/>
    <s v="128.205.114.91"/>
    <s v="QD251.3 -- .S38 2013eb"/>
    <s v="547/.128"/>
    <d v="2013-01-28T00:00:00"/>
  </r>
  <r>
    <x v="8440"/>
    <d v="1899-12-30T00:00:04"/>
    <x v="13"/>
    <x v="0"/>
    <s v="Buffalo"/>
    <x v="73"/>
    <n v="1119505"/>
    <x v="0"/>
    <s v="Science: Chemistry; Science"/>
    <s v="9781118355015"/>
    <s v=",1,2,3"/>
    <n v="3"/>
    <m/>
    <m/>
    <s v="No"/>
    <x v="0"/>
    <d v="2015-09-03T17:44:21"/>
    <n v="7"/>
    <s v="128.205.114.91"/>
    <s v="QD251.3 -- .S38 2013eb"/>
    <s v="547/.128"/>
    <d v="2013-01-28T00:00:00"/>
  </r>
  <r>
    <x v="8441"/>
    <d v="1899-12-30T00:00:00"/>
    <x v="547"/>
    <x v="1"/>
    <s v="brockport"/>
    <x v="1"/>
    <n v="1684620"/>
    <x v="0"/>
    <s v="Health; Social Science"/>
    <s v="9781118418925"/>
    <m/>
    <n v="0"/>
    <m/>
    <m/>
    <s v="No"/>
    <x v="0"/>
    <d v="2015-09-04T01:16:26"/>
    <n v="7"/>
    <s v="137.21.7.121"/>
    <s v="RA971 -- .S56 2014eb"/>
    <n v="362.10680000000002"/>
    <d v="2014-04-30T00:00:00"/>
  </r>
  <r>
    <x v="8442"/>
    <d v="1899-12-30T00:01:02"/>
    <x v="547"/>
    <x v="1"/>
    <s v="brockport"/>
    <x v="1"/>
    <n v="1684620"/>
    <x v="0"/>
    <s v="Health; Social Science"/>
    <s v="9781118418925"/>
    <s v=",1,3,2,4,5,6,7"/>
    <n v="7"/>
    <m/>
    <m/>
    <s v="No"/>
    <x v="1"/>
    <m/>
    <m/>
    <s v="137.21.7.121"/>
    <s v="RA971 -- .S56 2014eb"/>
    <n v="362.10680000000002"/>
    <d v="2014-04-30T00:00:00"/>
  </r>
  <r>
    <x v="8443"/>
    <d v="1899-12-30T00:00:15"/>
    <x v="547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8444"/>
    <d v="1899-12-30T00:00:21"/>
    <x v="1863"/>
    <x v="1"/>
    <s v="brockport"/>
    <x v="1140"/>
    <n v="1641469"/>
    <x v="4"/>
    <s v="Medicine"/>
    <s v="9781462513444"/>
    <s v=",1,2,3,4,5,6,7,8,9,10"/>
    <n v="10"/>
    <m/>
    <m/>
    <s v="No"/>
    <x v="1"/>
    <m/>
    <m/>
    <s v="137.21.7.121"/>
    <s v="RC489.B4 -- C584 2014eb"/>
    <n v="616.89142000000004"/>
    <d v="2014-02-27T00:00:00"/>
  </r>
  <r>
    <x v="8445"/>
    <d v="1899-12-30T00:28:56"/>
    <x v="13"/>
    <x v="0"/>
    <s v="Buffalo"/>
    <x v="552"/>
    <n v="1294909"/>
    <x v="3"/>
    <s v="Economics; Business/Management"/>
    <s v="9780520956797"/>
    <s v=",1,2,3,27,26,28,24,25,29,30,31,32,33,34,35,36,37,38"/>
    <n v="18"/>
    <m/>
    <m/>
    <s v="No"/>
    <x v="0"/>
    <d v="2015-08-31T19:34:21"/>
    <n v="7"/>
    <s v="128.205.114.91"/>
    <s v="HC110.P6 -- I25 2013eb"/>
    <s v="339.4/60973"/>
    <d v="2013-08-01T00:00:00"/>
  </r>
  <r>
    <x v="8446"/>
    <d v="1899-12-30T00:02:11"/>
    <x v="13"/>
    <x v="0"/>
    <s v="Buffalo"/>
    <x v="73"/>
    <n v="1119505"/>
    <x v="0"/>
    <s v="Science: Chemistry; Science"/>
    <s v="9781118355015"/>
    <s v=",20,19,45,46,47,48,48,49,50,51,52"/>
    <n v="10"/>
    <m/>
    <m/>
    <s v="Yes"/>
    <x v="0"/>
    <d v="2015-09-03T17:44:21"/>
    <n v="7"/>
    <s v="128.205.114.91"/>
    <s v="QD251.3 -- .S38 2013eb"/>
    <s v="547/.128"/>
    <d v="2013-01-28T00:00:00"/>
  </r>
  <r>
    <x v="8447"/>
    <d v="1899-12-30T00:00:57"/>
    <x v="13"/>
    <x v="0"/>
    <s v="Buffalo"/>
    <x v="73"/>
    <n v="1119505"/>
    <x v="0"/>
    <s v="Science: Chemistry; Science"/>
    <s v="9781118355015"/>
    <s v=",1,2,3,1"/>
    <n v="3"/>
    <m/>
    <m/>
    <s v="No"/>
    <x v="0"/>
    <d v="2015-09-03T17:44:21"/>
    <n v="7"/>
    <s v="128.205.114.91"/>
    <s v="QD251.3 -- .S38 2013eb"/>
    <s v="547/.128"/>
    <d v="2013-01-28T00:00:00"/>
  </r>
  <r>
    <x v="8448"/>
    <d v="1899-12-30T00:00:07"/>
    <x v="13"/>
    <x v="0"/>
    <s v="Buffalo"/>
    <x v="1732"/>
    <n v="675005"/>
    <x v="0"/>
    <s v="Computer Science/IT"/>
    <s v="9781118075043"/>
    <s v=",1,2,3,4"/>
    <n v="4"/>
    <m/>
    <m/>
    <s v="No"/>
    <x v="1"/>
    <m/>
    <m/>
    <s v="128.205.114.91"/>
    <s v="QA76.9.D37 -- D38 2008eb"/>
    <n v="5.74"/>
    <d v="2011-11-09T00:00:00"/>
  </r>
  <r>
    <x v="8449"/>
    <d v="1899-12-30T00:00:00"/>
    <x v="1864"/>
    <x v="0"/>
    <s v="Buffalo"/>
    <x v="73"/>
    <n v="1119505"/>
    <x v="0"/>
    <s v="Science: Chemistry; Science"/>
    <s v="9781118355015"/>
    <m/>
    <n v="0"/>
    <m/>
    <m/>
    <s v="Yes"/>
    <x v="0"/>
    <d v="2015-09-03T22:31:06"/>
    <n v="7"/>
    <s v="128.205.114.91"/>
    <s v="QD251.3 -- .S38 2013eb"/>
    <s v="547/.128"/>
    <d v="2013-01-28T00:00:00"/>
  </r>
  <r>
    <x v="8450"/>
    <d v="1899-12-30T00:00:03"/>
    <x v="1864"/>
    <x v="0"/>
    <s v="Buffalo"/>
    <x v="73"/>
    <n v="1119505"/>
    <x v="0"/>
    <s v="Science: Chemistry; Science"/>
    <s v="9781118355015"/>
    <s v=",1,2,3"/>
    <n v="3"/>
    <m/>
    <m/>
    <s v="No"/>
    <x v="0"/>
    <d v="2015-09-03T22:31:06"/>
    <n v="7"/>
    <s v="128.205.114.91"/>
    <s v="QD251.3 -- .S38 2013eb"/>
    <s v="547/.128"/>
    <d v="2013-01-28T00:00:00"/>
  </r>
  <r>
    <x v="8451"/>
    <d v="1899-12-30T00:00:00"/>
    <x v="1864"/>
    <x v="0"/>
    <s v="Buffalo"/>
    <x v="73"/>
    <n v="1119505"/>
    <x v="0"/>
    <s v="Science: Chemistry; Science"/>
    <s v="9781118355015"/>
    <m/>
    <n v="0"/>
    <m/>
    <m/>
    <s v="Yes"/>
    <x v="0"/>
    <d v="2015-09-03T22:31:06"/>
    <n v="7"/>
    <s v="128.205.114.91"/>
    <s v="QD251.3 -- .S38 2013eb"/>
    <s v="547/.128"/>
    <d v="2013-01-28T00:00:00"/>
  </r>
  <r>
    <x v="8452"/>
    <d v="1899-12-30T00:00:03"/>
    <x v="1864"/>
    <x v="0"/>
    <s v="Buffalo"/>
    <x v="73"/>
    <n v="1119505"/>
    <x v="0"/>
    <s v="Science: Chemistry; Science"/>
    <s v="9781118355015"/>
    <s v=",1,2,3"/>
    <n v="3"/>
    <m/>
    <m/>
    <s v="No"/>
    <x v="0"/>
    <d v="2015-09-03T22:31:06"/>
    <n v="7"/>
    <s v="128.205.114.91"/>
    <s v="QD251.3 -- .S38 2013eb"/>
    <s v="547/.128"/>
    <d v="2013-01-28T00:00:00"/>
  </r>
  <r>
    <x v="8453"/>
    <d v="1899-12-30T00:00:00"/>
    <x v="1864"/>
    <x v="0"/>
    <s v="Buffalo"/>
    <x v="73"/>
    <n v="1119505"/>
    <x v="0"/>
    <s v="Science: Chemistry; Science"/>
    <s v="9781118355015"/>
    <m/>
    <n v="0"/>
    <m/>
    <m/>
    <s v="Yes"/>
    <x v="0"/>
    <d v="2015-09-03T22:31:06"/>
    <n v="7"/>
    <s v="128.205.114.91"/>
    <s v="QD251.3 -- .S38 2013eb"/>
    <s v="547/.128"/>
    <d v="2013-01-28T00:00:00"/>
  </r>
  <r>
    <x v="8453"/>
    <d v="1899-12-30T00:00:00"/>
    <x v="1864"/>
    <x v="0"/>
    <s v="Buffalo"/>
    <x v="73"/>
    <n v="1119505"/>
    <x v="0"/>
    <s v="Science: Chemistry; Science"/>
    <s v="9781118355015"/>
    <m/>
    <n v="0"/>
    <m/>
    <m/>
    <s v="No"/>
    <x v="0"/>
    <d v="2015-09-03T22:31:06"/>
    <n v="7"/>
    <s v="128.205.114.91"/>
    <s v="QD251.3 -- .S38 2013eb"/>
    <s v="547/.128"/>
    <d v="2013-01-28T00:00:00"/>
  </r>
  <r>
    <x v="8454"/>
    <d v="1899-12-30T00:00:31"/>
    <x v="1864"/>
    <x v="0"/>
    <s v="Buffalo"/>
    <x v="73"/>
    <n v="1119505"/>
    <x v="0"/>
    <s v="Science: Chemistry; Science"/>
    <s v="9781118355015"/>
    <s v=",1,2,3,4,5,6,7,8,9,3,2,1"/>
    <n v="9"/>
    <m/>
    <m/>
    <s v="No"/>
    <x v="1"/>
    <m/>
    <m/>
    <s v="128.205.114.91"/>
    <s v="QD251.3 -- .S38 2013eb"/>
    <s v="547/.128"/>
    <d v="2013-01-28T00:00:00"/>
  </r>
  <r>
    <x v="8455"/>
    <d v="1899-12-30T00:01:14"/>
    <x v="1744"/>
    <x v="0"/>
    <s v="Buffalo"/>
    <x v="552"/>
    <n v="1294909"/>
    <x v="3"/>
    <s v="Economics; Business/Management"/>
    <s v="9780520956797"/>
    <s v=",1,2,3,37,38,39,36,35,40,41,42,43,44,45,46,47,48,49,50,51,52,53,54,55,34"/>
    <n v="25"/>
    <m/>
    <m/>
    <s v="No"/>
    <x v="0"/>
    <d v="2015-09-01T19:35:16"/>
    <n v="7"/>
    <s v="128.205.114.91"/>
    <s v="HC110.P6 -- I25 2013eb"/>
    <s v="339.4/60973"/>
    <d v="2013-08-01T00:00:00"/>
  </r>
  <r>
    <x v="8456"/>
    <d v="1899-12-30T00:01:42"/>
    <x v="139"/>
    <x v="0"/>
    <s v="Buffalo"/>
    <x v="1732"/>
    <n v="675005"/>
    <x v="0"/>
    <s v="Computer Science/IT"/>
    <s v="9781118075043"/>
    <s v=",32,31"/>
    <n v="2"/>
    <m/>
    <m/>
    <s v="Yes"/>
    <x v="0"/>
    <d v="2015-09-03T21:52:15"/>
    <n v="7"/>
    <s v="128.205.114.91"/>
    <s v="QA76.9.D37 -- D38 2008eb"/>
    <n v="5.74"/>
    <d v="2011-11-09T00:00:00"/>
  </r>
  <r>
    <x v="8457"/>
    <d v="1899-12-30T00:00:00"/>
    <x v="139"/>
    <x v="0"/>
    <s v="Buffalo"/>
    <x v="1732"/>
    <n v="675005"/>
    <x v="0"/>
    <s v="Computer Science/IT"/>
    <s v="9781118075043"/>
    <m/>
    <n v="0"/>
    <s v=",33"/>
    <m/>
    <s v="No"/>
    <x v="0"/>
    <d v="2015-09-03T21:52:15"/>
    <n v="7"/>
    <s v="128.205.114.91"/>
    <s v="QA76.9.D37 -- D38 2008eb"/>
    <n v="5.74"/>
    <d v="2011-11-09T00:00:00"/>
  </r>
  <r>
    <x v="8458"/>
    <d v="1899-12-30T00:00:34"/>
    <x v="139"/>
    <x v="0"/>
    <s v="Buffalo"/>
    <x v="1732"/>
    <n v="675005"/>
    <x v="0"/>
    <s v="Computer Science/IT"/>
    <s v="9781118075043"/>
    <s v=",1,2,3,34,35,36,32,33,31"/>
    <n v="9"/>
    <m/>
    <m/>
    <s v="No"/>
    <x v="1"/>
    <m/>
    <m/>
    <s v="128.205.114.91"/>
    <s v="QA76.9.D37 -- D38 2008eb"/>
    <n v="5.74"/>
    <d v="2011-11-09T00:00:00"/>
  </r>
  <r>
    <x v="8459"/>
    <d v="1899-12-30T00:00:55"/>
    <x v="1865"/>
    <x v="1"/>
    <s v="brockport"/>
    <x v="151"/>
    <n v="968030"/>
    <x v="0"/>
    <s v="Psychology"/>
    <s v="9781118285138"/>
    <s v=",1,2,3,4,25,26,27,23,28,24,53,54,55,51,56,57,58,59,60,61,62,63,64,65,66,67,68,69,70"/>
    <n v="29"/>
    <m/>
    <m/>
    <s v="No"/>
    <x v="1"/>
    <m/>
    <m/>
    <s v="137.21.7.121"/>
    <s v="BF637.C6 -- S85 2013eb"/>
    <n v="158.30000000000001"/>
    <d v="2012-07-10T00:00:00"/>
  </r>
  <r>
    <x v="8460"/>
    <d v="1899-12-30T00:00:35"/>
    <x v="609"/>
    <x v="0"/>
    <s v="Buffalo"/>
    <x v="477"/>
    <n v="1120279"/>
    <x v="0"/>
    <s v="Science: Biology/Natural History; Science"/>
    <s v="9781118537671"/>
    <s v=",37,39,35"/>
    <n v="3"/>
    <s v=",3"/>
    <m/>
    <s v="No"/>
    <x v="0"/>
    <d v="2015-09-03T20:40:35"/>
    <n v="7"/>
    <s v="128.205.114.91"/>
    <s v="QH371 .K384 2012"/>
    <n v="599.93499999999995"/>
    <d v="2012-11-19T00:00:00"/>
  </r>
  <r>
    <x v="8461"/>
    <d v="1899-12-30T00:00:07"/>
    <x v="609"/>
    <x v="0"/>
    <s v="Buffalo"/>
    <x v="477"/>
    <n v="1120279"/>
    <x v="0"/>
    <s v="Science: Biology/Natural History; Science"/>
    <s v="9781118537671"/>
    <s v=",1,2,3,4,5"/>
    <n v="5"/>
    <m/>
    <m/>
    <s v="No"/>
    <x v="1"/>
    <m/>
    <m/>
    <s v="128.205.114.91"/>
    <s v="QH371 .K384 2012"/>
    <n v="599.93499999999995"/>
    <d v="2012-11-19T00:00:00"/>
  </r>
  <r>
    <x v="8462"/>
    <d v="1899-12-30T00:00:00"/>
    <x v="1466"/>
    <x v="5"/>
    <s v="erie"/>
    <x v="1734"/>
    <n v="918815"/>
    <x v="18"/>
    <s v="History"/>
    <s v="9781608707997"/>
    <m/>
    <n v="0"/>
    <m/>
    <s v=",12,13,14,15,16,17,18,19,20,21,22,23"/>
    <s v="No"/>
    <x v="0"/>
    <d v="2015-09-03T18:53:58"/>
    <n v="7"/>
    <s v="199.29.6.54"/>
    <s v="F2308.5 .W56 2013"/>
    <n v="987"/>
    <d v="2012-03-01T00:00:00"/>
  </r>
  <r>
    <x v="8463"/>
    <d v="1899-12-30T00:00:52"/>
    <x v="1466"/>
    <x v="5"/>
    <s v="erie"/>
    <x v="1734"/>
    <n v="918815"/>
    <x v="18"/>
    <s v="History"/>
    <s v="9781608707997"/>
    <s v=",1,2,8,12,13,14,10,11,15"/>
    <n v="9"/>
    <m/>
    <m/>
    <s v="No"/>
    <x v="1"/>
    <m/>
    <m/>
    <s v="199.29.6.54"/>
    <s v="F2308.5 .W56 2013"/>
    <n v="987"/>
    <d v="2012-03-01T00:00:00"/>
  </r>
  <r>
    <x v="8464"/>
    <d v="1899-12-30T00:00:05"/>
    <x v="1140"/>
    <x v="0"/>
    <s v="Buffalo"/>
    <x v="73"/>
    <n v="1119505"/>
    <x v="0"/>
    <s v="Science: Chemistry; Science"/>
    <s v="9781118355015"/>
    <s v=",1,2,2,3,1,3"/>
    <n v="3"/>
    <m/>
    <m/>
    <s v="No"/>
    <x v="1"/>
    <m/>
    <m/>
    <s v="128.205.114.91"/>
    <s v="QD251.3 -- .S38 2013eb"/>
    <s v="547/.128"/>
    <d v="2013-01-28T00:00:00"/>
  </r>
  <r>
    <x v="8465"/>
    <d v="1899-12-30T00:00:05"/>
    <x v="1698"/>
    <x v="3"/>
    <s v="canton"/>
    <x v="1735"/>
    <n v="1695953"/>
    <x v="7"/>
    <s v="Agriculture"/>
    <s v="9781780643175"/>
    <s v=",1,2,3"/>
    <n v="3"/>
    <m/>
    <m/>
    <s v="No"/>
    <x v="3"/>
    <m/>
    <m/>
    <s v="137.37.33.33"/>
    <s v="SF871 -- .A55 2014eb"/>
    <s v="636.08/24"/>
    <d v="2014-04-30T00:00:00"/>
  </r>
  <r>
    <x v="8466"/>
    <d v="1899-12-30T00:01:47"/>
    <x v="13"/>
    <x v="0"/>
    <s v="Buffalo"/>
    <x v="73"/>
    <n v="1119505"/>
    <x v="0"/>
    <s v="Science: Chemistry; Science"/>
    <s v="9781118355015"/>
    <s v=",1,2,3,48,49,50,46,47,51,52,53,54,49,46,45,44"/>
    <n v="14"/>
    <m/>
    <m/>
    <s v="No"/>
    <x v="0"/>
    <d v="2015-09-03T17:44:21"/>
    <n v="7"/>
    <s v="128.205.114.91"/>
    <s v="QD251.3 -- .S38 2013eb"/>
    <s v="547/.128"/>
    <d v="2013-01-28T00:00:00"/>
  </r>
  <r>
    <x v="8467"/>
    <d v="1899-12-30T00:00:31"/>
    <x v="13"/>
    <x v="0"/>
    <s v="Buffalo"/>
    <x v="73"/>
    <n v="1119505"/>
    <x v="0"/>
    <s v="Science: Chemistry; Science"/>
    <s v="9781118355015"/>
    <s v=",52,53,56,56,55,53,49,45,43,42,41,42,41,40,39,40,38,37,38,36,36,34,35,35,20,21,20,22,22,18,21,19,19,23,24,23,25,24,26,25,27,26,27,28,28,29,30,30,29,31,32,33,32,34,33,31"/>
    <n v="32"/>
    <m/>
    <m/>
    <s v="No"/>
    <x v="0"/>
    <d v="2015-09-03T17:44:21"/>
    <n v="7"/>
    <s v="128.205.114.91"/>
    <s v="QD251.3 -- .S38 2013eb"/>
    <s v="547/.128"/>
    <d v="2013-01-28T00:00:00"/>
  </r>
  <r>
    <x v="8468"/>
    <d v="1899-12-30T00:10:01"/>
    <x v="13"/>
    <x v="0"/>
    <s v="Buffalo"/>
    <x v="73"/>
    <n v="1119505"/>
    <x v="0"/>
    <s v="Science: Chemistry; Science"/>
    <s v="9781118355015"/>
    <s v=",1,2,2,3,3,1,4,4,5,6,5,6,7,7,8,8,9,12,12,13,13,9,48,48,49,50,50,51,51,52,53,53,47,52,49,46,2,51,52,53,54,55,54,55,49,48,47,46,51,52,53,54,48,47,49,45,46,48,49,50,51"/>
    <n v="22"/>
    <m/>
    <m/>
    <s v="No"/>
    <x v="1"/>
    <m/>
    <m/>
    <s v="128.205.114.91"/>
    <s v="QD251.3 -- .S38 2013eb"/>
    <s v="547/.128"/>
    <d v="2013-01-28T00:00:00"/>
  </r>
  <r>
    <x v="8469"/>
    <d v="1899-12-30T00:00:04"/>
    <x v="13"/>
    <x v="0"/>
    <s v="Buffalo"/>
    <x v="73"/>
    <n v="1119505"/>
    <x v="0"/>
    <s v="Science: Chemistry; Science"/>
    <s v="9781118355015"/>
    <s v=",1,2,3"/>
    <n v="3"/>
    <m/>
    <m/>
    <s v="No"/>
    <x v="1"/>
    <m/>
    <m/>
    <s v="128.205.114.91"/>
    <s v="QD251.3 -- .S38 2013eb"/>
    <s v="547/.128"/>
    <d v="2013-01-28T00:00:00"/>
  </r>
  <r>
    <x v="8470"/>
    <d v="1899-12-30T00:16:56"/>
    <x v="13"/>
    <x v="0"/>
    <s v="Buffalo"/>
    <x v="1551"/>
    <n v="938873"/>
    <x v="0"/>
    <s v="General Works/Reference; Computer Science/IT; Mathematics"/>
    <s v="9781119963127"/>
    <s v=",1,2,3,2,1,3,297,298,299,298,299,295,297,296,296,2,300,300,295,300,301,301,302,302"/>
    <n v="11"/>
    <m/>
    <m/>
    <s v="No"/>
    <x v="0"/>
    <d v="2015-09-03T16:22:36"/>
    <n v="7"/>
    <s v="128.205.114.91"/>
    <s v="QA276.45.R3 -- V75 2012eb"/>
    <s v="001.642; 005.55"/>
    <d v="2012-06-04T00:00:00"/>
  </r>
  <r>
    <x v="8471"/>
    <d v="1899-12-30T00:10:20"/>
    <x v="13"/>
    <x v="0"/>
    <s v="Buffalo"/>
    <x v="1551"/>
    <n v="938873"/>
    <x v="0"/>
    <s v="General Works/Reference; Computer Science/IT; Mathematics"/>
    <s v="9781119963127"/>
    <s v=",1,2,1,2,3,3,157,157,159,159,155,158,158,156,156,160,160,161,161,2,162,162,163,163,164,164,165,165,373,374,373,374,375,371,375,372,372,376,376,377,377,378,378,379,379,380,380,381,381,298,298,295,296,296"/>
    <n v="28"/>
    <m/>
    <m/>
    <s v="No"/>
    <x v="0"/>
    <d v="2015-09-03T16:22:36"/>
    <n v="7"/>
    <s v="128.205.114.91"/>
    <s v="QA276.45.R3 -- V75 2012eb"/>
    <s v="001.642; 005.55"/>
    <d v="2012-06-04T00:00:00"/>
  </r>
  <r>
    <x v="8472"/>
    <d v="1899-12-30T00:58:14"/>
    <x v="1866"/>
    <x v="0"/>
    <s v="Buffalo"/>
    <x v="1732"/>
    <n v="675005"/>
    <x v="0"/>
    <s v="Computer Science/IT"/>
    <s v="9781118075043"/>
    <s v=",6,5,6,6,6,7,33,33,34,35,31,1,31,32,33,29,30,2,34,35,36,37,38,39,40,41"/>
    <n v="18"/>
    <m/>
    <m/>
    <s v="No"/>
    <x v="0"/>
    <d v="2015-09-03T16:37:38"/>
    <n v="7"/>
    <s v="128.205.114.91"/>
    <s v="QA76.9.D37 -- D38 2008eb"/>
    <n v="5.74"/>
    <d v="2011-11-09T00:00:00"/>
  </r>
  <r>
    <x v="8473"/>
    <d v="1899-12-30T00:02:17"/>
    <x v="1866"/>
    <x v="0"/>
    <s v="Buffalo"/>
    <x v="1732"/>
    <n v="675005"/>
    <x v="0"/>
    <s v="Computer Science/IT"/>
    <s v="9781118075043"/>
    <s v=",1,2,3,1,7"/>
    <n v="4"/>
    <m/>
    <m/>
    <s v="No"/>
    <x v="1"/>
    <m/>
    <m/>
    <s v="128.205.114.91"/>
    <s v="QA76.9.D37 -- D38 2008eb"/>
    <n v="5.74"/>
    <d v="2011-11-09T00:00:00"/>
  </r>
  <r>
    <x v="8474"/>
    <d v="1899-12-30T00:00:22"/>
    <x v="13"/>
    <x v="0"/>
    <s v="Buffalo"/>
    <x v="73"/>
    <n v="1119505"/>
    <x v="0"/>
    <s v="Science: Chemistry; Science"/>
    <s v="9781118355015"/>
    <s v=",1,2,3,4,5,6,7,8,9,10,11,12,19,20,48,49,50,51,52,53,54,47"/>
    <n v="22"/>
    <m/>
    <m/>
    <s v="No"/>
    <x v="1"/>
    <m/>
    <m/>
    <s v="128.205.114.91"/>
    <s v="QD251.3 -- .S38 2013eb"/>
    <s v="547/.128"/>
    <d v="2013-01-28T00:00:00"/>
  </r>
  <r>
    <x v="8475"/>
    <d v="1899-12-30T00:00:00"/>
    <x v="1683"/>
    <x v="9"/>
    <s v="trocaire"/>
    <x v="1736"/>
    <n v="2038624"/>
    <x v="1"/>
    <s v="Religion"/>
    <s v="9781472439857"/>
    <m/>
    <n v="0"/>
    <m/>
    <m/>
    <s v="No"/>
    <x v="3"/>
    <m/>
    <m/>
    <s v="173.225.62.67"/>
    <n v="2014037350"/>
    <n v="201.44"/>
    <d v="2015-05-28T00:00:00"/>
  </r>
  <r>
    <x v="8476"/>
    <d v="1899-12-30T00:15:33"/>
    <x v="13"/>
    <x v="0"/>
    <s v="Buffalo"/>
    <x v="1551"/>
    <n v="938873"/>
    <x v="0"/>
    <s v="General Works/Reference; Computer Science/IT; Mathematics"/>
    <s v="9781119963127"/>
    <s v=",260,265,266,267,267,262,260,257,256,257,256,250,250,249,251,251,249,247,248,248,229,199,229,156,199,156,137,137,138,138,134,135,135"/>
    <n v="19"/>
    <m/>
    <m/>
    <s v="No"/>
    <x v="0"/>
    <d v="2015-09-03T16:22:36"/>
    <n v="7"/>
    <s v="128.205.114.91"/>
    <s v="QA276.45.R3 -- V75 2012eb"/>
    <s v="001.642; 005.55"/>
    <d v="2012-06-04T00:00:00"/>
  </r>
  <r>
    <x v="8477"/>
    <d v="1899-12-30T00:06:28"/>
    <x v="13"/>
    <x v="0"/>
    <s v="Buffalo"/>
    <x v="552"/>
    <n v="1294909"/>
    <x v="3"/>
    <s v="Economics; Business/Management"/>
    <s v="9780520956797"/>
    <s v=",1,2,3,26,27,28,24,25,2,23,22,29,30"/>
    <n v="12"/>
    <m/>
    <m/>
    <s v="No"/>
    <x v="0"/>
    <d v="2015-08-31T19:34:21"/>
    <n v="7"/>
    <s v="128.205.114.91"/>
    <s v="HC110.P6 -- I25 2013eb"/>
    <s v="339.4/60973"/>
    <d v="2013-08-01T00:00:00"/>
  </r>
  <r>
    <x v="8478"/>
    <d v="1899-12-30T00:07:42"/>
    <x v="13"/>
    <x v="0"/>
    <s v="Buffalo"/>
    <x v="1551"/>
    <n v="938873"/>
    <x v="0"/>
    <s v="General Works/Reference; Computer Science/IT; Mathematics"/>
    <s v="9781119963127"/>
    <s v=",1,2,1,2,3,3,2,2,373,373,374,374,371,372,372,264,264,265,265,266,266,262,263,263,261,265"/>
    <n v="13"/>
    <m/>
    <m/>
    <s v="No"/>
    <x v="1"/>
    <m/>
    <m/>
    <s v="128.205.114.91"/>
    <s v="QA276.45.R3 -- V75 2012eb"/>
    <s v="001.642; 005.55"/>
    <d v="2012-06-04T00:00:00"/>
  </r>
  <r>
    <x v="8479"/>
    <d v="1899-12-30T00:00:30"/>
    <x v="588"/>
    <x v="1"/>
    <s v="brockport"/>
    <x v="1"/>
    <n v="1684620"/>
    <x v="0"/>
    <s v="Health; Social Science"/>
    <s v="9781118418925"/>
    <s v=",1,2,3,25,26,27,28,29,30,31,32,33,34,35,36,37,38,39,40,41,42,43"/>
    <n v="22"/>
    <m/>
    <m/>
    <s v="No"/>
    <x v="0"/>
    <d v="2015-09-03T15:25:16"/>
    <n v="7"/>
    <s v="137.21.7.121"/>
    <s v="RA971 -- .S56 2014eb"/>
    <n v="362.10680000000002"/>
    <d v="2014-04-30T00:00:00"/>
  </r>
  <r>
    <x v="8480"/>
    <d v="1899-12-30T00:05:16"/>
    <x v="13"/>
    <x v="0"/>
    <s v="Buffalo"/>
    <x v="414"/>
    <n v="1143522"/>
    <x v="0"/>
    <s v="History"/>
    <s v="9781118257197"/>
    <s v=",108,107,106,105,104,103,102,100,101,405,406,407,403,404,408,410,411,412,413,414,415,349,350,185,187,134,135,136,137,138,139,141"/>
    <n v="32"/>
    <m/>
    <m/>
    <s v="No"/>
    <x v="0"/>
    <d v="2015-09-03T15:40:52"/>
    <n v="7"/>
    <s v="128.205.114.91"/>
    <s v="F1219.73 .S58 2013"/>
    <n v="972"/>
    <d v="2013-03-01T00:00:00"/>
  </r>
  <r>
    <x v="8481"/>
    <d v="1899-12-30T00:00:14"/>
    <x v="588"/>
    <x v="1"/>
    <s v="brockport"/>
    <x v="1"/>
    <n v="1684620"/>
    <x v="0"/>
    <s v="Health; Social Science"/>
    <s v="9781118418925"/>
    <s v=",26,27,28,24,25,23,29,30,31"/>
    <n v="9"/>
    <m/>
    <m/>
    <s v="No"/>
    <x v="0"/>
    <d v="2015-09-03T15:25:16"/>
    <n v="7"/>
    <s v="137.21.7.121"/>
    <s v="RA971 -- .S56 2014eb"/>
    <n v="362.10680000000002"/>
    <d v="2014-04-30T00:00:00"/>
  </r>
  <r>
    <x v="8482"/>
    <d v="1899-12-30T00:17:17"/>
    <x v="13"/>
    <x v="0"/>
    <s v="Buffalo"/>
    <x v="414"/>
    <n v="1143522"/>
    <x v="0"/>
    <s v="History"/>
    <s v="9781118257197"/>
    <s v=",1,2,3,80,81,78,79,83,84,92,93,90,91,95,97,98,99,125,132,133,134,130,131,129,128,126,127,124,123,122,120,121,119,118,117,115,116,114,113,111,112,110,109"/>
    <n v="43"/>
    <m/>
    <m/>
    <s v="No"/>
    <x v="1"/>
    <m/>
    <m/>
    <s v="128.205.114.91"/>
    <s v="F1219.73 .S58 2013"/>
    <n v="972"/>
    <d v="2013-03-01T00:00:00"/>
  </r>
  <r>
    <x v="8483"/>
    <d v="1899-12-30T00:13:20"/>
    <x v="588"/>
    <x v="1"/>
    <s v="brockport"/>
    <x v="1"/>
    <n v="1684620"/>
    <x v="0"/>
    <s v="Health; Social Science"/>
    <s v="9781118418925"/>
    <s v=",1,2,3,13,14,15,11,16,17,18,19,20,12,2,19,20"/>
    <n v="13"/>
    <m/>
    <m/>
    <s v="No"/>
    <x v="1"/>
    <m/>
    <m/>
    <s v="137.21.7.121"/>
    <s v="RA971 -- .S56 2014eb"/>
    <n v="362.10680000000002"/>
    <d v="2014-04-30T00:00:00"/>
  </r>
  <r>
    <x v="8484"/>
    <d v="1899-12-30T00:32:09"/>
    <x v="986"/>
    <x v="0"/>
    <s v="Buffalo"/>
    <x v="73"/>
    <n v="1119505"/>
    <x v="0"/>
    <s v="Science: Chemistry; Science"/>
    <s v="9781118355015"/>
    <s v=",25,26,27,28,29,30"/>
    <n v="6"/>
    <m/>
    <m/>
    <s v="No"/>
    <x v="0"/>
    <d v="2015-09-03T13:49:15"/>
    <n v="7"/>
    <s v="128.205.114.91"/>
    <s v="QD251.3 -- .S38 2013eb"/>
    <s v="547/.128"/>
    <d v="2013-01-28T00:00:00"/>
  </r>
  <r>
    <x v="8485"/>
    <d v="1899-12-30T00:07:35"/>
    <x v="986"/>
    <x v="0"/>
    <s v="Buffalo"/>
    <x v="73"/>
    <n v="1119505"/>
    <x v="0"/>
    <s v="Science: Chemistry; Science"/>
    <s v="9781118355015"/>
    <s v=",1,2,3,4,5,6,7,5,19,19,20,20,20,20,21,22,18,19,17,23,24,48,49,50,46,47"/>
    <n v="20"/>
    <m/>
    <m/>
    <s v="No"/>
    <x v="1"/>
    <m/>
    <m/>
    <s v="128.205.114.91"/>
    <s v="QD251.3 -- .S38 2013eb"/>
    <s v="547/.128"/>
    <d v="2013-01-28T00:00:00"/>
  </r>
  <r>
    <x v="8486"/>
    <d v="1899-12-30T00:00:15"/>
    <x v="1867"/>
    <x v="1"/>
    <s v="brockport"/>
    <x v="1"/>
    <n v="1684620"/>
    <x v="0"/>
    <s v="Health; Social Science"/>
    <s v="9781118418925"/>
    <s v=",1,2,3,4,5,6,7"/>
    <n v="7"/>
    <m/>
    <m/>
    <s v="No"/>
    <x v="1"/>
    <m/>
    <m/>
    <s v="137.21.7.121"/>
    <s v="RA971 -- .S56 2014eb"/>
    <n v="362.10680000000002"/>
    <d v="2014-04-30T00:00:00"/>
  </r>
  <r>
    <x v="8487"/>
    <d v="1899-12-30T00:00:22"/>
    <x v="1591"/>
    <x v="0"/>
    <s v="Buffalo"/>
    <x v="0"/>
    <n v="1120290"/>
    <x v="0"/>
    <s v="Language/Linguistics"/>
    <s v="9781118347478"/>
    <s v=",1,3,2,1,2,3,4"/>
    <n v="4"/>
    <m/>
    <m/>
    <s v="No"/>
    <x v="0"/>
    <d v="2015-09-03T07:22:07"/>
    <n v="7"/>
    <s v="128.205.114.91"/>
    <s v="PE1133 .C34 2012"/>
    <n v="421"/>
    <d v="2012-07-11T00:00:00"/>
  </r>
  <r>
    <x v="8488"/>
    <d v="1899-12-30T00:00:00"/>
    <x v="1591"/>
    <x v="0"/>
    <s v="Buffalo"/>
    <x v="0"/>
    <n v="1120290"/>
    <x v="0"/>
    <s v="Language/Linguistics"/>
    <s v="9781118347478"/>
    <m/>
    <n v="0"/>
    <m/>
    <m/>
    <s v="Yes"/>
    <x v="0"/>
    <d v="2015-09-03T07:22:07"/>
    <n v="7"/>
    <s v="128.205.114.91"/>
    <s v="PE1133 .C34 2012"/>
    <n v="421"/>
    <d v="2012-07-11T00:00:00"/>
  </r>
  <r>
    <x v="8489"/>
    <d v="1899-12-30T00:00:00"/>
    <x v="1591"/>
    <x v="0"/>
    <s v="Buffalo"/>
    <x v="0"/>
    <n v="1120290"/>
    <x v="0"/>
    <s v="Language/Linguistics"/>
    <s v="9781118347478"/>
    <m/>
    <n v="0"/>
    <m/>
    <m/>
    <s v="Yes"/>
    <x v="0"/>
    <d v="2015-09-03T07:22:07"/>
    <n v="7"/>
    <s v="128.205.114.91"/>
    <s v="PE1133 .C34 2012"/>
    <n v="421"/>
    <d v="2012-07-11T00:00:00"/>
  </r>
  <r>
    <x v="8490"/>
    <d v="1899-12-30T00:00:00"/>
    <x v="1591"/>
    <x v="0"/>
    <s v="Buffalo"/>
    <x v="0"/>
    <n v="1120290"/>
    <x v="0"/>
    <s v="Language/Linguistics"/>
    <s v="9781118347478"/>
    <m/>
    <n v="0"/>
    <m/>
    <m/>
    <s v="Yes"/>
    <x v="0"/>
    <d v="2015-09-03T07:22:07"/>
    <n v="7"/>
    <s v="128.205.114.91"/>
    <s v="PE1133 .C34 2012"/>
    <n v="421"/>
    <d v="2012-07-11T00:00:00"/>
  </r>
  <r>
    <x v="8490"/>
    <d v="1899-12-30T00:00:00"/>
    <x v="1591"/>
    <x v="0"/>
    <s v="Buffalo"/>
    <x v="0"/>
    <n v="1120290"/>
    <x v="0"/>
    <s v="Language/Linguistics"/>
    <s v="9781118347478"/>
    <m/>
    <n v="0"/>
    <m/>
    <m/>
    <s v="No"/>
    <x v="0"/>
    <d v="2015-09-03T07:22:07"/>
    <n v="7"/>
    <s v="128.205.114.91"/>
    <s v="PE1133 .C34 2012"/>
    <n v="421"/>
    <d v="2012-07-11T00:00:00"/>
  </r>
  <r>
    <x v="8491"/>
    <d v="1899-12-30T00:00:25"/>
    <x v="1591"/>
    <x v="0"/>
    <s v="Buffalo"/>
    <x v="0"/>
    <n v="1120290"/>
    <x v="0"/>
    <s v="Language/Linguistics"/>
    <s v="9781118347478"/>
    <s v=",1,2,3,82,83,84,80,81"/>
    <n v="8"/>
    <m/>
    <m/>
    <s v="No"/>
    <x v="1"/>
    <m/>
    <m/>
    <s v="128.205.114.91"/>
    <s v="PE1133 .C34 2012"/>
    <n v="421"/>
    <d v="2012-07-11T00:00:00"/>
  </r>
  <r>
    <x v="8492"/>
    <d v="1899-12-30T00:07:33"/>
    <x v="13"/>
    <x v="0"/>
    <s v="Buffalo"/>
    <x v="728"/>
    <n v="1872281"/>
    <x v="4"/>
    <s v="Education; Business/Management"/>
    <s v="9781462519606"/>
    <s v=",21,22,23,20"/>
    <n v="4"/>
    <s v=",21"/>
    <s v=",135,136,137,138,139,140,141,142,143,144,145,146,147,148,149,150,151,152,153,154,155,156,157,158,159,160,161,162,163,164,165,166,167,168,169,170,171,172,173,174,175,177,178,179,180,181,182,183,184,185,186,187,188,189,190,191,192,193,194,195,196,197,198,199,200,201,202,203,204,205,206,207,208,209,210,211,212,213"/>
    <s v="Yes"/>
    <x v="0"/>
    <d v="2015-09-03T02:14:15"/>
    <n v="7"/>
    <s v="128.205.114.91"/>
    <s v="HD75 -- .P448 2015eb"/>
    <n v="378.101"/>
    <d v="2015-05-26T00:00:00"/>
  </r>
  <r>
    <x v="8493"/>
    <d v="1899-12-30T00:14:11"/>
    <x v="13"/>
    <x v="0"/>
    <s v="Buffalo"/>
    <x v="728"/>
    <n v="1872281"/>
    <x v="4"/>
    <s v="Education; Business/Management"/>
    <s v="9781462519606"/>
    <s v=",11,13,12,9,10,11,17,18,19,19,19,20,21"/>
    <n v="10"/>
    <m/>
    <m/>
    <s v="Yes"/>
    <x v="0"/>
    <d v="2015-09-03T02:14:15"/>
    <n v="7"/>
    <s v="128.205.114.91"/>
    <s v="HD75 -- .P448 2015eb"/>
    <n v="378.101"/>
    <d v="2015-05-26T00:00:00"/>
  </r>
  <r>
    <x v="8493"/>
    <d v="1899-12-30T00:00:00"/>
    <x v="13"/>
    <x v="0"/>
    <s v="Buffalo"/>
    <x v="728"/>
    <n v="1872281"/>
    <x v="4"/>
    <s v="Education; Business/Management"/>
    <s v="9781462519606"/>
    <m/>
    <n v="0"/>
    <m/>
    <m/>
    <s v="No"/>
    <x v="0"/>
    <d v="2015-09-03T02:14:15"/>
    <n v="7"/>
    <s v="128.205.114.91"/>
    <s v="HD75 -- .P448 2015eb"/>
    <n v="378.101"/>
    <d v="2015-05-26T00:00:00"/>
  </r>
  <r>
    <x v="8494"/>
    <d v="1899-12-30T00:05:46"/>
    <x v="13"/>
    <x v="0"/>
    <s v="Buffalo"/>
    <x v="728"/>
    <n v="1872281"/>
    <x v="4"/>
    <s v="Education; Business/Management"/>
    <s v="9781462519606"/>
    <s v=",1,2,3,4,5,6,7,9,10,11,8,13,14,15,12"/>
    <n v="15"/>
    <m/>
    <m/>
    <s v="No"/>
    <x v="1"/>
    <m/>
    <m/>
    <s v="128.205.114.91"/>
    <s v="HD75 -- .P448 2015eb"/>
    <n v="378.101"/>
    <d v="2015-05-26T00:00:00"/>
  </r>
  <r>
    <x v="8495"/>
    <d v="1899-12-30T00:01:31"/>
    <x v="1721"/>
    <x v="0"/>
    <s v="Buffalo"/>
    <x v="509"/>
    <n v="1115640"/>
    <x v="0"/>
    <s v="Engineering: Civil; Engineering: Construction; Engineering"/>
    <s v="9781118419090"/>
    <s v=",1,2,3,22,23,24,21,20,78,79,80,77,76,75,74,73,72,70,71,69"/>
    <n v="20"/>
    <m/>
    <m/>
    <s v="No"/>
    <x v="1"/>
    <m/>
    <m/>
    <s v="128.205.114.91"/>
    <s v="TH375 -- .S77 2013eb"/>
    <n v="624"/>
    <d v="2013-01-22T00:00:00"/>
  </r>
  <r>
    <x v="8496"/>
    <d v="1899-12-30T00:00:11"/>
    <x v="1868"/>
    <x v="13"/>
    <s v="buffalostate"/>
    <x v="286"/>
    <n v="1760710"/>
    <x v="4"/>
    <s v="Education"/>
    <s v="9781462516865"/>
    <s v=",1,2,3,4,5,6,7,8,10,11"/>
    <n v="10"/>
    <m/>
    <m/>
    <s v="No"/>
    <x v="3"/>
    <m/>
    <m/>
    <s v="136.183.11.43"/>
    <s v="LB1573 -- .P72 2015eb"/>
    <n v="372.41"/>
    <d v="2014-10-29T00:00:00"/>
  </r>
  <r>
    <x v="8497"/>
    <d v="1899-12-30T00:05:03"/>
    <x v="711"/>
    <x v="13"/>
    <s v="buffalostate"/>
    <x v="516"/>
    <n v="1840835"/>
    <x v="0"/>
    <s v="Business/Management; Economics"/>
    <s v="9781118950166"/>
    <s v=",35,34,32,30,27,25,22,20,16,18,14,11,9,1,5,7,3,4"/>
    <n v="18"/>
    <m/>
    <m/>
    <s v="Yes"/>
    <x v="0"/>
    <d v="2015-09-02T22:07:37"/>
    <n v="7"/>
    <s v="136.183.11.43"/>
    <s v="HD9969.S6 .R384 2014"/>
    <n v="338.10923789999998"/>
    <d v="2014-11-10T00:00:00"/>
  </r>
  <r>
    <x v="8497"/>
    <d v="1899-12-30T00:00:00"/>
    <x v="711"/>
    <x v="13"/>
    <s v="buffalostate"/>
    <x v="516"/>
    <n v="1840835"/>
    <x v="0"/>
    <s v="Business/Management; Economics"/>
    <s v="9781118950166"/>
    <m/>
    <n v="0"/>
    <m/>
    <m/>
    <s v="No"/>
    <x v="0"/>
    <d v="2015-09-02T22:07:37"/>
    <n v="7"/>
    <s v="136.183.11.43"/>
    <s v="HD9969.S6 .R384 2014"/>
    <n v="338.10923789999998"/>
    <d v="2014-11-10T00:00:00"/>
  </r>
  <r>
    <x v="8498"/>
    <d v="1899-12-30T00:03:18"/>
    <x v="711"/>
    <x v="13"/>
    <s v="buffalostate"/>
    <x v="516"/>
    <n v="1840835"/>
    <x v="0"/>
    <s v="Business/Management; Economics"/>
    <s v="9781118950166"/>
    <s v=",1,2,3,4,5,6,7,8,9,10,5,11,13,12,14,15,16,17,18,19,20,21,22,23,24,25,26,27,28,29,30,31,33,32,34,35,37,38,39,40,36"/>
    <n v="40"/>
    <m/>
    <m/>
    <s v="No"/>
    <x v="1"/>
    <m/>
    <m/>
    <s v="136.183.11.43"/>
    <s v="HD9969.S6 .R384 2014"/>
    <n v="338.10923789999998"/>
    <d v="2014-11-10T00:00:00"/>
  </r>
  <r>
    <x v="8499"/>
    <d v="1899-12-30T00:00:06"/>
    <x v="13"/>
    <x v="0"/>
    <s v="Buffalo"/>
    <x v="728"/>
    <n v="1872281"/>
    <x v="4"/>
    <s v="Education; Business/Management"/>
    <s v="9781462519606"/>
    <s v=",1,2,3"/>
    <n v="3"/>
    <m/>
    <m/>
    <s v="No"/>
    <x v="1"/>
    <m/>
    <m/>
    <s v="128.205.114.91"/>
    <s v="HD75 -- .P448 2015eb"/>
    <n v="378.101"/>
    <d v="2015-05-26T00:00:00"/>
  </r>
  <r>
    <x v="8500"/>
    <d v="1899-12-30T00:00:43"/>
    <x v="13"/>
    <x v="0"/>
    <s v="Buffalo"/>
    <x v="728"/>
    <n v="1872281"/>
    <x v="4"/>
    <s v="Education; Business/Management"/>
    <s v="9781462519606"/>
    <s v=",2,1,2,3,3,1,1,2,2,3"/>
    <n v="3"/>
    <m/>
    <m/>
    <s v="No"/>
    <x v="1"/>
    <m/>
    <m/>
    <s v="128.205.114.91"/>
    <s v="HD75 -- .P448 2015eb"/>
    <n v="378.101"/>
    <d v="2015-05-26T00:00:00"/>
  </r>
  <r>
    <x v="8501"/>
    <d v="1899-12-30T00:00:22"/>
    <x v="104"/>
    <x v="0"/>
    <s v="Buffalo"/>
    <x v="161"/>
    <n v="821663"/>
    <x v="0"/>
    <s v="Architecture"/>
    <s v="9781118168479"/>
    <s v=",1,2,1,2,3,3,2,2"/>
    <n v="3"/>
    <m/>
    <m/>
    <s v="No"/>
    <x v="1"/>
    <m/>
    <m/>
    <s v="128.205.114.91"/>
    <s v="NA2547 -- .S74 2012eb"/>
    <n v="729"/>
    <d v="2012-03-05T00:00:00"/>
  </r>
  <r>
    <x v="8502"/>
    <d v="1899-12-30T00:00:49"/>
    <x v="1869"/>
    <x v="0"/>
    <s v="Buffalo"/>
    <x v="73"/>
    <n v="1119505"/>
    <x v="0"/>
    <s v="Science: Chemistry; Science"/>
    <s v="9781118355015"/>
    <s v=",1,2,3,4,5,6,7,8,9,10,11,12,13,14,15,20,21,22,18,19,23,24,25"/>
    <n v="23"/>
    <m/>
    <m/>
    <s v="No"/>
    <x v="1"/>
    <m/>
    <m/>
    <s v="128.205.114.91"/>
    <s v="QD251.3 -- .S38 2013eb"/>
    <s v="547/.128"/>
    <d v="2013-01-28T00:00:00"/>
  </r>
  <r>
    <x v="8503"/>
    <d v="1899-12-30T00:05:27"/>
    <x v="1870"/>
    <x v="1"/>
    <s v="brockport"/>
    <x v="487"/>
    <n v="1022416"/>
    <x v="0"/>
    <s v="Engineering; Engineering: Chemical"/>
    <s v="9781118373811"/>
    <s v=",1,2,3,4,4,5,6,7,8,9,10,11,12,13,14,15,16,17,18,19,20,21,22,23,24,25,26,27,28,29,30,31,32,33,34,35,36,38,37,34,33,39,40,41,42,43,44,45,46,47,48,49,50,44,42,43,41,40,39,38,37,35,36,34,33,32,31,30,29,28,27,26,25,24"/>
    <n v="50"/>
    <m/>
    <m/>
    <s v="No"/>
    <x v="1"/>
    <m/>
    <m/>
    <s v="137.21.7.121"/>
    <s v="TP248.65.F66 -- G4573 2012eb"/>
    <n v="664"/>
    <d v="2012-09-05T00:00:00"/>
  </r>
  <r>
    <x v="8504"/>
    <d v="1899-12-30T00:05:53"/>
    <x v="13"/>
    <x v="0"/>
    <s v="Buffalo"/>
    <x v="1551"/>
    <n v="938873"/>
    <x v="0"/>
    <s v="General Works/Reference; Computer Science/IT; Mathematics"/>
    <s v="9781119963127"/>
    <s v=",1,2,1,2,3,3,27,28,28,29,29,25,27,26,26,30,30,31,31,2,32,32,33,33,34,34,35,35,30,35,36,36,37,37"/>
    <n v="16"/>
    <m/>
    <m/>
    <s v="No"/>
    <x v="1"/>
    <m/>
    <m/>
    <s v="128.205.114.91"/>
    <s v="QA276.45.R3 -- V75 2012eb"/>
    <s v="001.642; 005.55"/>
    <d v="2012-06-04T00:00:00"/>
  </r>
  <r>
    <x v="8505"/>
    <d v="1899-12-30T00:01:28"/>
    <x v="13"/>
    <x v="0"/>
    <s v="Buffalo"/>
    <x v="552"/>
    <n v="1294909"/>
    <x v="3"/>
    <s v="Economics; Business/Management"/>
    <s v="9780520956797"/>
    <s v=",1,1,2,2,1,3,3,16,16,17,17,18,18,14,15,15,2,19,19,14,19,20,20,21,21,22,22"/>
    <n v="12"/>
    <m/>
    <m/>
    <s v="No"/>
    <x v="0"/>
    <d v="2015-08-31T19:34:21"/>
    <n v="7"/>
    <s v="128.205.114.91"/>
    <s v="HC110.P6 -- I25 2013eb"/>
    <s v="339.4/60973"/>
    <d v="2013-08-01T00:00:00"/>
  </r>
  <r>
    <x v="8506"/>
    <d v="1899-12-30T00:07:11"/>
    <x v="941"/>
    <x v="13"/>
    <s v="buffalostate"/>
    <x v="916"/>
    <n v="1925073"/>
    <x v="4"/>
    <s v="Education"/>
    <s v="9781462521128"/>
    <s v=",1,2,3,4,4,5,6,7,8"/>
    <n v="8"/>
    <m/>
    <m/>
    <s v="No"/>
    <x v="3"/>
    <m/>
    <m/>
    <s v="136.183.11.43"/>
    <s v="LB1050.46 .M35 2015"/>
    <n v="372.48"/>
    <d v="2015-06-23T00:00:00"/>
  </r>
  <r>
    <x v="8507"/>
    <d v="1899-12-30T00:00:03"/>
    <x v="1842"/>
    <x v="0"/>
    <s v="Buffalo"/>
    <x v="184"/>
    <n v="1710997"/>
    <x v="3"/>
    <s v="Business/Management; Economics"/>
    <s v="9780520959224"/>
    <s v=",1,2,3"/>
    <n v="3"/>
    <m/>
    <m/>
    <s v="No"/>
    <x v="3"/>
    <m/>
    <m/>
    <s v="128.205.114.91"/>
    <s v="HD8072.5 -- .I87 2014eb"/>
    <s v="332.0240086/9420973"/>
    <d v="2015-01-14T00:00:00"/>
  </r>
  <r>
    <x v="8508"/>
    <d v="1899-12-30T00:06:13"/>
    <x v="1760"/>
    <x v="0"/>
    <s v="Buffalo"/>
    <x v="552"/>
    <n v="1294909"/>
    <x v="3"/>
    <s v="Economics; Business/Management"/>
    <s v="9780520956797"/>
    <s v=",21"/>
    <n v="1"/>
    <m/>
    <s v=",16,17,18,19"/>
    <s v="No"/>
    <x v="0"/>
    <d v="2015-09-02T16:45:59"/>
    <n v="7"/>
    <s v="128.205.114.91"/>
    <s v="HC110.P6 -- I25 2013eb"/>
    <s v="339.4/60973"/>
    <d v="2013-08-01T00:00:00"/>
  </r>
  <r>
    <x v="8509"/>
    <d v="1899-12-30T00:06:36"/>
    <x v="1760"/>
    <x v="0"/>
    <s v="Buffalo"/>
    <x v="552"/>
    <n v="1294909"/>
    <x v="3"/>
    <s v="Economics; Business/Management"/>
    <s v="9780520956797"/>
    <s v=",1,2,3,16,17,18,14,15,19,20,21,22"/>
    <n v="12"/>
    <m/>
    <m/>
    <s v="No"/>
    <x v="1"/>
    <m/>
    <m/>
    <s v="128.205.114.91"/>
    <s v="HC110.P6 -- I25 2013eb"/>
    <s v="339.4/60973"/>
    <d v="2013-08-01T00:00:00"/>
  </r>
  <r>
    <x v="8510"/>
    <d v="1899-12-30T00:07:56"/>
    <x v="1871"/>
    <x v="0"/>
    <s v="Buffalo"/>
    <x v="552"/>
    <n v="1294909"/>
    <x v="3"/>
    <s v="Economics; Business/Management"/>
    <s v="9780520956797"/>
    <s v=",1,2,3,16,17,18,14,15,19,20,21,22,23,16"/>
    <n v="13"/>
    <m/>
    <m/>
    <s v="No"/>
    <x v="1"/>
    <m/>
    <m/>
    <s v="128.205.114.91"/>
    <s v="HC110.P6 -- I25 2013eb"/>
    <s v="339.4/60973"/>
    <d v="2013-08-01T00:00:00"/>
  </r>
  <r>
    <x v="8511"/>
    <d v="1899-12-30T00:08:14"/>
    <x v="714"/>
    <x v="12"/>
    <s v="potsdam"/>
    <x v="713"/>
    <n v="565082"/>
    <x v="0"/>
    <s v="Education"/>
    <s v="9781118041567"/>
    <s v=",1,2,3,51,52,53,49,50,51,52,53,54,52,53,50,51,55,56,57,58,54,59,60,61"/>
    <n v="16"/>
    <m/>
    <m/>
    <s v="No"/>
    <x v="0"/>
    <d v="2015-09-01T12:55:48"/>
    <n v="7"/>
    <s v="137.143.104.94"/>
    <s v="LB1775 .P25 2010"/>
    <s v="371.1; 371.102"/>
    <d v="2010-06-08T00:00:00"/>
  </r>
  <r>
    <x v="8512"/>
    <d v="1899-12-30T00:00:00"/>
    <x v="13"/>
    <x v="0"/>
    <s v="Buffalo"/>
    <x v="669"/>
    <n v="1742841"/>
    <x v="4"/>
    <s v="Medicine"/>
    <s v="9781462516445"/>
    <s v=",40"/>
    <n v="1"/>
    <m/>
    <s v=",41,42,43,44,45,46,47,48,49,50,51,52,53,54,55,56,57,58,59,60,100,101,102,103,104,105,106,107,108,109,110,111,112,113,114,115,116,117,118"/>
    <s v="No"/>
    <x v="0"/>
    <d v="2015-09-02T15:30:08"/>
    <n v="7"/>
    <s v="128.205.114.91"/>
    <s v="RC537 -- .H3376 2014eb"/>
    <n v="616.85270000000003"/>
    <d v="2014-10-22T00:00:00"/>
  </r>
  <r>
    <x v="8513"/>
    <d v="1899-12-30T00:00:08"/>
    <x v="13"/>
    <x v="0"/>
    <s v="Buffalo"/>
    <x v="669"/>
    <n v="1742841"/>
    <x v="4"/>
    <s v="Medicine"/>
    <s v="9781462516445"/>
    <s v=",1,2,3,41,42,43,39"/>
    <n v="7"/>
    <m/>
    <m/>
    <s v="No"/>
    <x v="1"/>
    <m/>
    <m/>
    <s v="128.205.114.91"/>
    <s v="RC537 -- .H3376 2014eb"/>
    <n v="616.85270000000003"/>
    <d v="2014-10-22T00:00:00"/>
  </r>
  <r>
    <x v="8514"/>
    <d v="1899-12-30T00:01:27"/>
    <x v="13"/>
    <x v="0"/>
    <s v="Buffalo"/>
    <x v="161"/>
    <n v="821663"/>
    <x v="0"/>
    <s v="Architecture"/>
    <s v="9781118168479"/>
    <s v=",1,3,2,21,22,23,19,20,89,82,84,81,87,88,86,83,85,83"/>
    <n v="17"/>
    <m/>
    <m/>
    <s v="No"/>
    <x v="0"/>
    <d v="2015-09-01T14:51:35"/>
    <n v="7"/>
    <s v="128.205.114.91"/>
    <s v="NA2547 -- .S74 2012eb"/>
    <n v="729"/>
    <d v="2012-03-05T00:00:00"/>
  </r>
  <r>
    <x v="8515"/>
    <d v="1899-12-30T00:16:52"/>
    <x v="714"/>
    <x v="12"/>
    <s v="potsdam"/>
    <x v="713"/>
    <n v="565082"/>
    <x v="0"/>
    <s v="Education"/>
    <s v="9781118041567"/>
    <s v=",1,2,3,42,43,44,40,41,45,46,47,48,49,50,51,52,53"/>
    <n v="17"/>
    <s v=",46,46"/>
    <m/>
    <s v="No"/>
    <x v="0"/>
    <d v="2015-09-01T12:55:48"/>
    <n v="7"/>
    <s v="137.143.104.94"/>
    <s v="LB1775 .P25 2010"/>
    <s v="371.1; 371.102"/>
    <d v="2010-06-08T00:00:00"/>
  </r>
  <r>
    <x v="8516"/>
    <d v="1899-12-30T00:01:19"/>
    <x v="13"/>
    <x v="0"/>
    <s v="Buffalo"/>
    <x v="552"/>
    <n v="1294909"/>
    <x v="3"/>
    <s v="Economics; Business/Management"/>
    <s v="9780520956797"/>
    <s v=",1,2,3,26,27,28,25,24,32,18,7,8,9,5,6,10,11,12,13,27,28,24,25,29,23,22,21,20,19,18,17,16,15,14"/>
    <n v="29"/>
    <m/>
    <m/>
    <s v="No"/>
    <x v="0"/>
    <d v="2015-08-31T19:34:21"/>
    <n v="7"/>
    <s v="128.205.114.91"/>
    <s v="HC110.P6 -- I25 2013eb"/>
    <s v="339.4/60973"/>
    <d v="2013-08-01T00:00:00"/>
  </r>
  <r>
    <x v="8517"/>
    <d v="1899-12-30T00:19:27"/>
    <x v="1872"/>
    <x v="0"/>
    <s v="Buffalo"/>
    <x v="3"/>
    <n v="822040"/>
    <x v="0"/>
    <s v="Literature; Psychology"/>
    <s v="9781118289099"/>
    <s v=",1,2,3,91,92,93,89,90,94,95,96,97,98"/>
    <n v="13"/>
    <m/>
    <m/>
    <s v="No"/>
    <x v="1"/>
    <m/>
    <m/>
    <s v="128.205.114.91"/>
    <s v="BF76.7 -- .B447 2012eb"/>
    <s v="808.06/615"/>
    <d v="2012-03-22T00:00:00"/>
  </r>
  <r>
    <x v="8518"/>
    <d v="1899-12-30T00:00:06"/>
    <x v="1873"/>
    <x v="5"/>
    <s v="erie"/>
    <x v="164"/>
    <n v="1744258"/>
    <x v="0"/>
    <s v="Mathematics"/>
    <s v="9781118776162"/>
    <s v=",484,485,486,487,488"/>
    <n v="5"/>
    <m/>
    <m/>
    <s v="No"/>
    <x v="0"/>
    <d v="2015-09-02T14:54:10"/>
    <n v="7"/>
    <s v="199.29.6.54"/>
    <s v="QA139 -- .S73 2014eb"/>
    <n v="513.07600000000002"/>
    <d v="2014-07-15T00:00:00"/>
  </r>
  <r>
    <x v="8519"/>
    <d v="1899-12-30T00:15:08"/>
    <x v="1873"/>
    <x v="5"/>
    <s v="erie"/>
    <x v="164"/>
    <n v="1744258"/>
    <x v="0"/>
    <s v="Mathematics"/>
    <s v="9781118776162"/>
    <s v=",1,2,3,4,5,6,7,8,9,10,11,12,13,14,15,16,17,18,19,20,21,22,23,24,25,25,178,179,175,180,181,481,482,483,479,480"/>
    <n v="35"/>
    <m/>
    <m/>
    <s v="No"/>
    <x v="1"/>
    <m/>
    <m/>
    <s v="199.29.6.54"/>
    <s v="QA139 -- .S73 2014eb"/>
    <n v="513.07600000000002"/>
    <d v="2014-07-15T00:00:00"/>
  </r>
  <r>
    <x v="8520"/>
    <d v="1899-12-30T00:06:14"/>
    <x v="1874"/>
    <x v="0"/>
    <s v="Buffalo"/>
    <x v="1551"/>
    <n v="938873"/>
    <x v="0"/>
    <s v="General Works/Reference; Computer Science/IT; Mathematics"/>
    <s v="9781119963127"/>
    <s v=",1,2,1,3,3,2,2,2,263,263,265,265,261,264,264,262,262,266,266,261,266,261,260,259,258"/>
    <n v="12"/>
    <m/>
    <m/>
    <s v="No"/>
    <x v="1"/>
    <m/>
    <m/>
    <s v="128.205.114.91"/>
    <s v="QA276.45.R3 -- V75 2012eb"/>
    <s v="001.642; 005.55"/>
    <d v="2012-06-04T00:00:00"/>
  </r>
  <r>
    <x v="8521"/>
    <d v="1899-12-30T00:02:12"/>
    <x v="1854"/>
    <x v="0"/>
    <s v="Buffalo"/>
    <x v="161"/>
    <n v="821663"/>
    <x v="0"/>
    <s v="Architecture"/>
    <s v="9781118168479"/>
    <s v=",1,2,3,4,5,6,7,8,9,10,11,12,13,17,15,14,19,28,18,21,20,16,24,25,22,29,1,33,33,35,35,31,31,7,37,45,46,301,6,2,3,4,5,1,5,7,6,3,4,4,1,5,6,3,2,2"/>
    <n v="33"/>
    <m/>
    <m/>
    <s v="No"/>
    <x v="1"/>
    <m/>
    <m/>
    <s v="128.205.114.91"/>
    <s v="NA2547 -- .S74 2012eb"/>
    <n v="729"/>
    <d v="2012-03-05T00:00:00"/>
  </r>
  <r>
    <x v="8522"/>
    <d v="1899-12-30T00:00:11"/>
    <x v="910"/>
    <x v="0"/>
    <s v="Buffalo"/>
    <x v="161"/>
    <n v="821663"/>
    <x v="0"/>
    <s v="Architecture"/>
    <s v="9781118168479"/>
    <s v=",1,2,3,21,22,23,19,20"/>
    <n v="8"/>
    <m/>
    <s v=",21,21,22,23,23,24,24,25,26,27,28,28,29,30,31,32,32,33,34,35,35,36,37,38,39,40,41,42,43,44,44,44,44,45,46,47,47,47,47,48,48,49,50,50,51,51,52,53,53,54,54,55,56,57,58,59,60,61,62,62,62,62,63,64,65,47,47,47,48,48,49,50,50,51,51,52,53,53,54,54,55,56,57,58,59,60,61,62,62,62,62,63,64,65,47,65,65,66,67,68,68,69,69,70,71,72,73,74,75,76,77,78,79,80,80,81,82,82,83,83,83,84,85,86,87,65,65,66,67,68,68,69,69,70,71,72,73,74,75,76,77,78,79,80,80,81,82,82,83,83"/>
    <s v="No"/>
    <x v="0"/>
    <d v="2015-09-01T16:44:41"/>
    <n v="7"/>
    <s v="128.205.114.91"/>
    <s v="NA2547 -- .S74 2012eb"/>
    <n v="729"/>
    <d v="2012-03-05T00:00:00"/>
  </r>
  <r>
    <x v="8523"/>
    <d v="1899-12-30T00:00:52"/>
    <x v="941"/>
    <x v="13"/>
    <s v="buffalostate"/>
    <x v="916"/>
    <n v="1925073"/>
    <x v="4"/>
    <s v="Education"/>
    <s v="9781462521128"/>
    <s v=",1,2,1,2,3,3,4,4,2,2,2,5,5,6,6,7,7,8,9,8,9,10,10,11,11,12,12,13,13,14,14,15,15"/>
    <n v="15"/>
    <m/>
    <m/>
    <s v="No"/>
    <x v="3"/>
    <m/>
    <m/>
    <s v="136.183.11.43"/>
    <s v="LB1050.46 .M35 2015"/>
    <n v="372.48"/>
    <d v="2015-06-23T00:00:00"/>
  </r>
  <r>
    <x v="8524"/>
    <d v="1899-12-30T00:01:29"/>
    <x v="1875"/>
    <x v="13"/>
    <s v="buffalostate"/>
    <x v="1737"/>
    <n v="1596092"/>
    <x v="4"/>
    <s v="Education"/>
    <s v="9781462513604"/>
    <s v=",21,1,23,22,19,20,2,24"/>
    <n v="8"/>
    <m/>
    <m/>
    <s v="No"/>
    <x v="3"/>
    <m/>
    <m/>
    <s v="136.183.11.43"/>
    <s v="LC4705 -- .M48 2014eb"/>
    <n v="372.43"/>
    <d v="2014-05-14T00:00:00"/>
  </r>
  <r>
    <x v="8525"/>
    <d v="1899-12-30T00:00:05"/>
    <x v="1875"/>
    <x v="13"/>
    <s v="buffalostate"/>
    <x v="1738"/>
    <n v="1991218"/>
    <x v="4"/>
    <s v="Education; Mathematics"/>
    <s v="9781462520800"/>
    <s v=",26,27,28"/>
    <n v="3"/>
    <m/>
    <m/>
    <s v="No"/>
    <x v="2"/>
    <d v="2015-09-02T14:05:12"/>
    <n v="1"/>
    <s v="136.183.11.43"/>
    <s v="LB1050.45"/>
    <n v="511.3"/>
    <d v="2015-06-09T00:00:00"/>
  </r>
  <r>
    <x v="8526"/>
    <d v="1899-12-30T00:05:03"/>
    <x v="1875"/>
    <x v="13"/>
    <s v="buffalostate"/>
    <x v="1738"/>
    <n v="1991218"/>
    <x v="4"/>
    <s v="Education; Mathematics"/>
    <s v="9781462520800"/>
    <s v=",1,2,3,4,5,6,7,8,9,10,12,14,15,16,17,18,19,20,21,22,23,25"/>
    <n v="22"/>
    <m/>
    <m/>
    <s v="No"/>
    <x v="3"/>
    <m/>
    <m/>
    <s v="136.183.11.43"/>
    <s v="LB1050.45"/>
    <n v="511.3"/>
    <d v="2015-06-09T00:00:00"/>
  </r>
  <r>
    <x v="8527"/>
    <d v="1899-12-30T00:32:43"/>
    <x v="13"/>
    <x v="0"/>
    <s v="Buffalo"/>
    <x v="552"/>
    <n v="1294909"/>
    <x v="3"/>
    <s v="Economics; Business/Management"/>
    <s v="9780520956797"/>
    <s v=",1,2,2,1,3,3,4,4,5,5,6,6,7,7,8,8,9,9,10,10,2,11,11,12,12,13,13,14,14,15,15,16,16,17,17,18,18,19,19,14,19,20,20,21,21,22,22,23,23,18,17,16,1,16,17,16,17,1,18,15,18,15,14,19,19,19,20,20,21,21,16,15,14,19,20,21,22,2,22,2,23,23,24,24,25,25,26,26,27,27,28,28,23,22,21,20,19,18,17,22"/>
    <n v="28"/>
    <m/>
    <m/>
    <s v="No"/>
    <x v="0"/>
    <d v="2015-08-31T19:34:21"/>
    <n v="7"/>
    <s v="128.205.114.91"/>
    <s v="HC110.P6 -- I25 2013eb"/>
    <s v="339.4/60973"/>
    <d v="2013-08-01T00:00:00"/>
  </r>
  <r>
    <x v="8528"/>
    <d v="1899-12-30T00:07:03"/>
    <x v="1876"/>
    <x v="0"/>
    <s v="Buffalo"/>
    <x v="1699"/>
    <n v="1119448"/>
    <x v="0"/>
    <s v="Education"/>
    <s v="9781118416167"/>
    <s v=",39,40,41,42,43,44,45,46,47,48,49,50,51,52,53,54,55,57,58,59,60,61,62,63,65,66,67,68,69,70,71,72,73,74,1,75"/>
    <n v="36"/>
    <m/>
    <m/>
    <s v="No"/>
    <x v="0"/>
    <d v="2015-09-02T13:35:57"/>
    <n v="7"/>
    <s v="128.205.114.91"/>
    <s v="LB2331 .W39 2013"/>
    <s v="378.1/2; 378.12; 378.125"/>
    <d v="2013-01-28T00:00:00"/>
  </r>
  <r>
    <x v="8529"/>
    <d v="1899-12-30T00:10:30"/>
    <x v="1876"/>
    <x v="0"/>
    <s v="Buffalo"/>
    <x v="1699"/>
    <n v="1119448"/>
    <x v="0"/>
    <s v="Education"/>
    <s v="9781118416167"/>
    <s v=",1,2,3,4,5,6,7,8,9,10,11,12,13,14,15,16,17,18,19,20,21,22,23,24,25,26,27,28,29,30,31,32,33,34,35,36,37,38"/>
    <n v="38"/>
    <m/>
    <m/>
    <s v="No"/>
    <x v="1"/>
    <m/>
    <m/>
    <s v="128.205.114.91"/>
    <s v="LB2331 .W39 2013"/>
    <s v="378.1/2; 378.12; 378.125"/>
    <d v="2013-01-28T00:00:00"/>
  </r>
  <r>
    <x v="8530"/>
    <d v="1899-12-30T00:00:03"/>
    <x v="13"/>
    <x v="0"/>
    <s v="Buffalo"/>
    <x v="669"/>
    <n v="1742841"/>
    <x v="4"/>
    <s v="Medicine"/>
    <s v="9781462516445"/>
    <s v=",1,2,3"/>
    <n v="3"/>
    <m/>
    <m/>
    <s v="No"/>
    <x v="1"/>
    <m/>
    <m/>
    <s v="128.205.114.91"/>
    <s v="RC537 -- .H3376 2014eb"/>
    <n v="616.85270000000003"/>
    <d v="2014-10-22T00:00:00"/>
  </r>
  <r>
    <x v="8531"/>
    <d v="1899-12-30T00:00:03"/>
    <x v="13"/>
    <x v="0"/>
    <s v="Buffalo"/>
    <x v="669"/>
    <n v="1742841"/>
    <x v="4"/>
    <s v="Medicine"/>
    <s v="9781462516445"/>
    <s v=",1,2,3"/>
    <n v="3"/>
    <m/>
    <m/>
    <s v="No"/>
    <x v="1"/>
    <m/>
    <m/>
    <s v="128.205.114.91"/>
    <s v="RC537 -- .H3376 2014eb"/>
    <n v="616.85270000000003"/>
    <d v="2014-10-22T00:00:00"/>
  </r>
  <r>
    <x v="8532"/>
    <d v="1899-12-30T00:00:03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0"/>
    <d v="2015-09-01T16:52:51"/>
    <n v="7"/>
    <s v="137.36.32.34"/>
    <s v="Z246 -- .M43 2012eb"/>
    <s v="686.2/209"/>
    <d v="2011-10-19T00:00:00"/>
  </r>
  <r>
    <x v="8533"/>
    <d v="1899-12-30T00:04:04"/>
    <x v="209"/>
    <x v="0"/>
    <s v="Buffalo"/>
    <x v="669"/>
    <n v="1742841"/>
    <x v="4"/>
    <s v="Medicine"/>
    <s v="9781462516445"/>
    <s v=",41,42,43,44,80,61,45"/>
    <n v="7"/>
    <s v=",23"/>
    <s v=",23,24,25,26,27,28,29,30,31,32,33,34,35,36,37,38,39,40"/>
    <s v="No"/>
    <x v="0"/>
    <d v="2015-09-02T02:26:01"/>
    <n v="7"/>
    <s v="128.205.114.91"/>
    <s v="RC537 -- .H3376 2014eb"/>
    <n v="616.85270000000003"/>
    <d v="2014-10-22T00:00:00"/>
  </r>
  <r>
    <x v="8534"/>
    <d v="1899-12-30T00:00:55"/>
    <x v="209"/>
    <x v="0"/>
    <s v="Buffalo"/>
    <x v="669"/>
    <n v="1742841"/>
    <x v="4"/>
    <s v="Medicine"/>
    <s v="9781462516445"/>
    <s v=",1,2,3,23,24,25,21,22,23"/>
    <n v="8"/>
    <m/>
    <m/>
    <s v="No"/>
    <x v="1"/>
    <m/>
    <m/>
    <s v="128.205.114.91"/>
    <s v="RC537 -- .H3376 2014eb"/>
    <n v="616.85270000000003"/>
    <d v="2014-10-22T00:00:00"/>
  </r>
  <r>
    <x v="8535"/>
    <d v="1899-12-30T00:04:35"/>
    <x v="1761"/>
    <x v="0"/>
    <s v="Buffalo"/>
    <x v="552"/>
    <n v="1294909"/>
    <x v="3"/>
    <s v="Economics; Business/Management"/>
    <s v="9780520956797"/>
    <s v=",1,2,3,4,5,6,7,8,9,10,11,12,13,14,15,16,17,18,19,20,21"/>
    <n v="21"/>
    <m/>
    <m/>
    <s v="No"/>
    <x v="1"/>
    <m/>
    <m/>
    <s v="128.205.114.91"/>
    <s v="HC110.P6 -- I25 2013eb"/>
    <s v="339.4/60973"/>
    <d v="2013-08-01T00:00:00"/>
  </r>
  <r>
    <x v="8536"/>
    <d v="1899-12-30T00:45:45"/>
    <x v="1744"/>
    <x v="0"/>
    <s v="Buffalo"/>
    <x v="552"/>
    <n v="1294909"/>
    <x v="3"/>
    <s v="Economics; Business/Management"/>
    <s v="9780520956797"/>
    <s v=",1,2,3,4,16,17,18,14,15,16,17,18,19,19,21,20,22,23,24,25"/>
    <n v="16"/>
    <m/>
    <m/>
    <s v="No"/>
    <x v="0"/>
    <d v="2015-09-01T19:35:16"/>
    <n v="7"/>
    <s v="128.205.114.91"/>
    <s v="HC110.P6 -- I25 2013eb"/>
    <s v="339.4/60973"/>
    <d v="2013-08-01T00:00:00"/>
  </r>
  <r>
    <x v="8537"/>
    <d v="1899-12-30T00:00:00"/>
    <x v="1877"/>
    <x v="0"/>
    <s v="Buffalo"/>
    <x v="1739"/>
    <n v="1711055"/>
    <x v="3"/>
    <s v="Religion"/>
    <s v="9780520959491"/>
    <m/>
    <n v="0"/>
    <m/>
    <s v=",186,187,188,189,190,191,192,193,194,195,196,197,198,199,200,201,202,203,204,205,206,207,208,209,100,101,102,103,104,105,106,107,108,109,110,111,112,113,114,115,116,117,118,119,120,121,122,123,146,147,148,149,150,151,152,153,154,155,156,157,158,159,160,161,162,163,164,165,166,167"/>
    <s v="No"/>
    <x v="2"/>
    <d v="2015-09-02T00:47:15"/>
    <n v="1"/>
    <s v="128.205.114.91"/>
    <s v="BL432 -- .W38 2015eb"/>
    <n v="270"/>
    <d v="2015-02-06T00:00:00"/>
  </r>
  <r>
    <x v="8538"/>
    <d v="1899-12-30T00:00:53"/>
    <x v="1877"/>
    <x v="0"/>
    <s v="Buffalo"/>
    <x v="1739"/>
    <n v="1711055"/>
    <x v="3"/>
    <s v="Religion"/>
    <s v="9780520959491"/>
    <s v=",1,2,3,101,98,99,186,187,188,184,185"/>
    <n v="11"/>
    <m/>
    <m/>
    <s v="No"/>
    <x v="3"/>
    <m/>
    <m/>
    <s v="128.205.114.91"/>
    <s v="BL432 -- .W38 2015eb"/>
    <n v="270"/>
    <d v="2015-02-06T00:00:00"/>
  </r>
  <r>
    <x v="8539"/>
    <d v="1899-12-30T00:01:16"/>
    <x v="1522"/>
    <x v="0"/>
    <s v="Buffalo"/>
    <x v="552"/>
    <n v="1294909"/>
    <x v="3"/>
    <s v="Economics; Business/Management"/>
    <s v="9780520956797"/>
    <s v=",1,2,3,4,5,6,16,17,18,14,19,20,21,22,15"/>
    <n v="15"/>
    <m/>
    <m/>
    <s v="No"/>
    <x v="1"/>
    <m/>
    <m/>
    <s v="128.205.114.91"/>
    <s v="HC110.P6 -- I25 2013eb"/>
    <s v="339.4/60973"/>
    <d v="2013-08-01T00:00:00"/>
  </r>
  <r>
    <x v="8540"/>
    <d v="1899-12-30T00:00:04"/>
    <x v="1522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8541"/>
    <d v="1899-12-30T00:00:01"/>
    <x v="1357"/>
    <x v="0"/>
    <s v="Buffalo"/>
    <x v="1259"/>
    <n v="817347"/>
    <x v="0"/>
    <s v="Education"/>
    <s v="9781118132241"/>
    <s v=",64,65"/>
    <n v="2"/>
    <m/>
    <m/>
    <s v="No"/>
    <x v="0"/>
    <d v="2015-09-02T00:19:33"/>
    <n v="7"/>
    <s v="128.205.114.91"/>
    <s v="LB2806 -- .L3854 2012eb"/>
    <n v="371.20097299999998"/>
    <d v="2011-10-21T00:00:00"/>
  </r>
  <r>
    <x v="8542"/>
    <d v="1899-12-30T00:00:22"/>
    <x v="1744"/>
    <x v="0"/>
    <s v="Buffalo"/>
    <x v="552"/>
    <n v="1294909"/>
    <x v="3"/>
    <s v="Economics; Business/Management"/>
    <s v="9780520956797"/>
    <s v=",1,2,3,4,4,1"/>
    <n v="4"/>
    <m/>
    <m/>
    <s v="No"/>
    <x v="0"/>
    <d v="2015-09-01T19:35:16"/>
    <n v="7"/>
    <s v="128.205.114.91"/>
    <s v="HC110.P6 -- I25 2013eb"/>
    <s v="339.4/60973"/>
    <d v="2013-08-01T00:00:00"/>
  </r>
  <r>
    <x v="8543"/>
    <d v="1899-12-30T00:32:09"/>
    <x v="1357"/>
    <x v="0"/>
    <s v="Buffalo"/>
    <x v="1259"/>
    <n v="817347"/>
    <x v="0"/>
    <s v="Education"/>
    <s v="9781118132241"/>
    <s v=",1,2,3,4,5,6,7,8,9,10,11,12,13,14,15,16,17,18,19,20,21,22,23,24,25,26,27,28,29,30,31,32,33,34,35,36,37,38,39,40,41,42,43,44,45,46,47,48,49,50,51,52,53,54,55,56,57,58,59,60,61,62,63"/>
    <n v="63"/>
    <m/>
    <m/>
    <s v="No"/>
    <x v="1"/>
    <m/>
    <m/>
    <s v="128.205.114.91"/>
    <s v="LB2806 -- .L3854 2012eb"/>
    <n v="371.20097299999998"/>
    <d v="2011-10-21T00:00:00"/>
  </r>
  <r>
    <x v="8544"/>
    <d v="1899-12-30T00:05:50"/>
    <x v="1878"/>
    <x v="13"/>
    <s v="buffalostate"/>
    <x v="1668"/>
    <n v="1024333"/>
    <x v="4"/>
    <s v="Education"/>
    <s v="9781462506439"/>
    <s v=",1,2,3,4,8,10,12,16,17,19,21,23,26,24,25,22,47,49,46,45,79,80,81,77,78,100,101,102,98,99,97,103"/>
    <n v="32"/>
    <m/>
    <m/>
    <s v="No"/>
    <x v="1"/>
    <m/>
    <m/>
    <s v="136.183.11.43"/>
    <s v="LB1050.42 -- .A44 2012eb"/>
    <n v="372.41"/>
    <d v="2014-05-14T00:00:00"/>
  </r>
  <r>
    <x v="8545"/>
    <d v="1899-12-30T00:05:08"/>
    <x v="1879"/>
    <x v="7"/>
    <s v="oneonta"/>
    <x v="1566"/>
    <n v="1873196"/>
    <x v="3"/>
    <s v="History"/>
    <s v="9780520962026"/>
    <s v=",1,2,3,10,9,7,8,11,12,13,14"/>
    <n v="11"/>
    <m/>
    <m/>
    <s v="No"/>
    <x v="1"/>
    <m/>
    <m/>
    <s v="137.141.13.2"/>
    <s v="DS135.F9 -- B78613 1999eb"/>
    <n v="940.5318092"/>
    <d v="2014-11-18T00:00:00"/>
  </r>
  <r>
    <x v="8546"/>
    <d v="1899-12-30T00:02:47"/>
    <x v="1880"/>
    <x v="12"/>
    <s v="potsdam"/>
    <x v="624"/>
    <n v="1132027"/>
    <x v="3"/>
    <s v="History"/>
    <s v="9780520954694"/>
    <s v=",7,8,9,10,11,12,13,14,15,16,17,18,22,23,24,25,21,52,53,54,50,51,55,56,57,58,60,61,62,59,63,64,65,66,67,68,69,70,71,72,73,74,76,75,77,78,79,80,81,82,83,84,85,86,87,88,69,56,22,13,7,1,8"/>
    <n v="57"/>
    <m/>
    <m/>
    <s v="No"/>
    <x v="0"/>
    <d v="2015-09-01T22:34:38"/>
    <n v="7"/>
    <s v="137.143.104.94"/>
    <s v="DF234 -- .G74 2013eb"/>
    <n v="938.07"/>
    <d v="2013-01-08T00:00:00"/>
  </r>
  <r>
    <x v="8547"/>
    <d v="1899-12-30T00:06:13"/>
    <x v="1880"/>
    <x v="12"/>
    <s v="potsdam"/>
    <x v="624"/>
    <n v="1132027"/>
    <x v="3"/>
    <s v="History"/>
    <s v="9780520954694"/>
    <s v=",1,2,3,4,5,6,7,4,4,4"/>
    <n v="7"/>
    <m/>
    <m/>
    <s v="No"/>
    <x v="3"/>
    <m/>
    <m/>
    <s v="137.143.104.94"/>
    <s v="DF234 -- .G74 2013eb"/>
    <n v="938.07"/>
    <d v="2013-01-08T00:00:00"/>
  </r>
  <r>
    <x v="8548"/>
    <d v="1899-12-30T00:00:00"/>
    <x v="1881"/>
    <x v="0"/>
    <s v="Buffalo"/>
    <x v="246"/>
    <n v="1707328"/>
    <x v="3"/>
    <s v="Fine Arts"/>
    <s v="9780520958876"/>
    <m/>
    <n v="0"/>
    <s v=",146"/>
    <s v=",147,148,149,150,151,152,153,154,155,156,157,158,159,160,161,162,163,164,165,166,167,168,169,170,171,172,173,174,175,176,177,178,179,180,181,182,183,184,185,186,187,188,189,190,191,192,193,194,195"/>
    <s v="No"/>
    <x v="2"/>
    <d v="2015-09-01T22:15:23"/>
    <n v="1"/>
    <s v="128.205.114.91"/>
    <s v="ML195 -- .A45 2014eb"/>
    <n v="780.90329999999994"/>
    <d v="2014-06-07T00:00:00"/>
  </r>
  <r>
    <x v="8549"/>
    <d v="1899-12-30T00:00:41"/>
    <x v="1881"/>
    <x v="0"/>
    <s v="Buffalo"/>
    <x v="246"/>
    <n v="1707328"/>
    <x v="3"/>
    <s v="Fine Arts"/>
    <s v="9780520958876"/>
    <s v=",1,2,3,147,149,145,150,146,145,144"/>
    <n v="9"/>
    <m/>
    <m/>
    <s v="No"/>
    <x v="3"/>
    <m/>
    <m/>
    <s v="128.205.114.91"/>
    <s v="ML195 -- .A45 2014eb"/>
    <n v="780.90329999999994"/>
    <d v="2014-06-07T00:00:00"/>
  </r>
  <r>
    <x v="8550"/>
    <d v="1899-12-30T00:00:03"/>
    <x v="547"/>
    <x v="1"/>
    <s v="brockport"/>
    <x v="1"/>
    <n v="1684620"/>
    <x v="0"/>
    <s v="Health; Social Science"/>
    <s v="9781118418925"/>
    <s v=",1,2,3"/>
    <n v="3"/>
    <m/>
    <m/>
    <s v="No"/>
    <x v="1"/>
    <m/>
    <m/>
    <s v="137.21.7.121"/>
    <s v="RA971 -- .S56 2014eb"/>
    <n v="362.10680000000002"/>
    <d v="2014-04-30T00:00:00"/>
  </r>
  <r>
    <x v="8551"/>
    <d v="1899-12-30T00:01:07"/>
    <x v="714"/>
    <x v="12"/>
    <s v="potsdam"/>
    <x v="713"/>
    <n v="565082"/>
    <x v="0"/>
    <s v="Education"/>
    <s v="9781118041567"/>
    <s v=",1,2,3,2,3,1,34,35,34,35,36,32,33,37,36,33,38,37,38,39,39,40,40,2,41,41"/>
    <n v="13"/>
    <m/>
    <m/>
    <s v="No"/>
    <x v="0"/>
    <d v="2015-09-01T12:55:48"/>
    <n v="7"/>
    <s v="137.143.104.94"/>
    <s v="LB1775 .P25 2010"/>
    <s v="371.1; 371.102"/>
    <d v="2010-06-08T00:00:00"/>
  </r>
  <r>
    <x v="8552"/>
    <d v="1899-12-30T00:00:00"/>
    <x v="13"/>
    <x v="0"/>
    <s v="Buffalo"/>
    <x v="552"/>
    <n v="1294909"/>
    <x v="3"/>
    <s v="Economics; Business/Management"/>
    <s v="9780520956797"/>
    <m/>
    <n v="0"/>
    <m/>
    <m/>
    <s v="Yes"/>
    <x v="0"/>
    <d v="2015-08-31T19:34:21"/>
    <n v="7"/>
    <s v="128.205.114.91"/>
    <s v="HC110.P6 -- I25 2013eb"/>
    <s v="339.4/60973"/>
    <d v="2013-08-01T00:00:00"/>
  </r>
  <r>
    <x v="8553"/>
    <d v="1899-12-30T00:05:32"/>
    <x v="13"/>
    <x v="0"/>
    <s v="Buffalo"/>
    <x v="552"/>
    <n v="1294909"/>
    <x v="3"/>
    <s v="Economics; Business/Management"/>
    <s v="9780520956797"/>
    <s v=",11,15,21,23,26,27,28,29,30"/>
    <n v="9"/>
    <m/>
    <m/>
    <s v="Yes"/>
    <x v="0"/>
    <d v="2015-08-31T19:34:21"/>
    <n v="7"/>
    <s v="128.205.114.91"/>
    <s v="HC110.P6 -- I25 2013eb"/>
    <s v="339.4/60973"/>
    <d v="2013-08-01T00:00:00"/>
  </r>
  <r>
    <x v="8554"/>
    <d v="1899-12-30T00:00:04"/>
    <x v="13"/>
    <x v="0"/>
    <s v="Buffalo"/>
    <x v="552"/>
    <n v="1294909"/>
    <x v="3"/>
    <s v="Economics; Business/Management"/>
    <s v="9780520956797"/>
    <s v=",1,2,3"/>
    <n v="3"/>
    <m/>
    <m/>
    <s v="No"/>
    <x v="0"/>
    <d v="2015-08-31T19:34:21"/>
    <n v="7"/>
    <s v="128.205.114.91"/>
    <s v="HC110.P6 -- I25 2013eb"/>
    <s v="339.4/60973"/>
    <d v="2013-08-01T00:00:00"/>
  </r>
  <r>
    <x v="8555"/>
    <d v="1899-12-30T00:00:00"/>
    <x v="13"/>
    <x v="0"/>
    <s v="Buffalo"/>
    <x v="552"/>
    <n v="1294909"/>
    <x v="3"/>
    <s v="Economics; Business/Management"/>
    <s v="9780520956797"/>
    <m/>
    <n v="0"/>
    <m/>
    <m/>
    <s v="Yes"/>
    <x v="0"/>
    <d v="2015-08-31T19:34:21"/>
    <n v="7"/>
    <s v="128.205.114.91"/>
    <s v="HC110.P6 -- I25 2013eb"/>
    <s v="339.4/60973"/>
    <d v="2013-08-01T00:00:00"/>
  </r>
  <r>
    <x v="8556"/>
    <d v="1899-12-30T00:00:37"/>
    <x v="13"/>
    <x v="0"/>
    <s v="Buffalo"/>
    <x v="552"/>
    <n v="1294909"/>
    <x v="3"/>
    <s v="Economics; Business/Management"/>
    <s v="9780520956797"/>
    <s v=",18,10"/>
    <n v="2"/>
    <m/>
    <m/>
    <s v="Yes"/>
    <x v="0"/>
    <d v="2015-08-31T19:34:21"/>
    <n v="7"/>
    <s v="128.205.114.91"/>
    <s v="HC110.P6 -- I25 2013eb"/>
    <s v="339.4/60973"/>
    <d v="2013-08-01T00:00:00"/>
  </r>
  <r>
    <x v="8557"/>
    <d v="1899-12-30T00:00:06"/>
    <x v="13"/>
    <x v="0"/>
    <s v="Buffalo"/>
    <x v="552"/>
    <n v="1294909"/>
    <x v="3"/>
    <s v="Economics; Business/Management"/>
    <s v="9780520956797"/>
    <s v=",1,2,3"/>
    <n v="3"/>
    <m/>
    <m/>
    <s v="No"/>
    <x v="0"/>
    <d v="2015-08-31T19:34:21"/>
    <n v="7"/>
    <s v="128.205.114.91"/>
    <s v="HC110.P6 -- I25 2013eb"/>
    <s v="339.4/60973"/>
    <d v="2013-08-01T00:00:00"/>
  </r>
  <r>
    <x v="8558"/>
    <d v="1899-12-30T00:41:56"/>
    <x v="634"/>
    <x v="11"/>
    <s v="cobleskill"/>
    <x v="11"/>
    <n v="693176"/>
    <x v="0"/>
    <s v="Engineering: Manufacturing; General Works/Reference; Engineering"/>
    <s v="9781118017746"/>
    <s v=",1,2,3,20,21,22,18,19,65,67,64,63,66,68,69,70"/>
    <n v="16"/>
    <m/>
    <m/>
    <s v="No"/>
    <x v="0"/>
    <d v="2015-09-01T16:52:51"/>
    <n v="7"/>
    <s v="137.36.32.34"/>
    <s v="Z246 -- .M43 2012eb"/>
    <s v="686.2/209"/>
    <d v="2011-10-19T00:00:00"/>
  </r>
  <r>
    <x v="8559"/>
    <d v="1899-12-30T00:00:00"/>
    <x v="1744"/>
    <x v="0"/>
    <s v="Buffalo"/>
    <x v="552"/>
    <n v="1294909"/>
    <x v="3"/>
    <s v="Economics; Business/Management"/>
    <s v="9780520956797"/>
    <m/>
    <n v="0"/>
    <m/>
    <m/>
    <s v="Yes"/>
    <x v="0"/>
    <d v="2015-09-01T19:35:16"/>
    <n v="7"/>
    <s v="128.205.114.91"/>
    <s v="HC110.P6 -- I25 2013eb"/>
    <s v="339.4/60973"/>
    <d v="2013-08-01T00:00:00"/>
  </r>
  <r>
    <x v="8560"/>
    <d v="1899-12-30T00:00:07"/>
    <x v="1744"/>
    <x v="0"/>
    <s v="Buffalo"/>
    <x v="552"/>
    <n v="1294909"/>
    <x v="3"/>
    <s v="Economics; Business/Management"/>
    <s v="9780520956797"/>
    <s v=",1,3,1,3,2,2"/>
    <n v="3"/>
    <m/>
    <m/>
    <s v="Yes"/>
    <x v="0"/>
    <d v="2015-09-01T19:35:16"/>
    <n v="7"/>
    <s v="128.205.114.91"/>
    <s v="HC110.P6 -- I25 2013eb"/>
    <s v="339.4/60973"/>
    <d v="2013-08-01T00:00:00"/>
  </r>
  <r>
    <x v="8560"/>
    <d v="1899-12-30T00:00:00"/>
    <x v="1744"/>
    <x v="0"/>
    <s v="Buffalo"/>
    <x v="552"/>
    <n v="1294909"/>
    <x v="3"/>
    <s v="Economics; Business/Management"/>
    <s v="9780520956797"/>
    <m/>
    <n v="0"/>
    <m/>
    <m/>
    <s v="No"/>
    <x v="0"/>
    <d v="2015-09-01T19:35:16"/>
    <n v="7"/>
    <s v="128.205.114.91"/>
    <s v="HC110.P6 -- I25 2013eb"/>
    <s v="339.4/60973"/>
    <d v="2013-08-01T00:00:00"/>
  </r>
  <r>
    <x v="8561"/>
    <d v="1899-12-30T00:00:21"/>
    <x v="1744"/>
    <x v="0"/>
    <s v="Buffalo"/>
    <x v="552"/>
    <n v="1294909"/>
    <x v="3"/>
    <s v="Economics; Business/Management"/>
    <s v="9780520956797"/>
    <s v=",1,2,1,2,3,3,16,17,18,16,18,14,17,15,15,19,19"/>
    <n v="9"/>
    <m/>
    <m/>
    <s v="No"/>
    <x v="1"/>
    <m/>
    <m/>
    <s v="128.205.114.91"/>
    <s v="HC110.P6 -- I25 2013eb"/>
    <s v="339.4/60973"/>
    <d v="2013-08-01T00:00:00"/>
  </r>
  <r>
    <x v="8562"/>
    <d v="1899-12-30T00:00:40"/>
    <x v="1744"/>
    <x v="0"/>
    <s v="Buffalo"/>
    <x v="552"/>
    <n v="1294909"/>
    <x v="3"/>
    <s v="Economics; Business/Management"/>
    <s v="9780520956797"/>
    <s v=",1,2,3,4,16,17,18,19,20,21,22,23,24,25,26,27,28,14,15"/>
    <n v="19"/>
    <m/>
    <m/>
    <s v="No"/>
    <x v="1"/>
    <m/>
    <m/>
    <s v="128.205.114.91"/>
    <s v="HC110.P6 -- I25 2013eb"/>
    <s v="339.4/60973"/>
    <d v="2013-08-01T00:00:00"/>
  </r>
  <r>
    <x v="8563"/>
    <d v="1899-12-30T00:00:03"/>
    <x v="1882"/>
    <x v="13"/>
    <s v="buffalostate"/>
    <x v="1740"/>
    <n v="1969434"/>
    <x v="1"/>
    <s v="Science; Science: Anatomy/Physiology"/>
    <s v="9781472448279"/>
    <s v=",1,2,3"/>
    <n v="3"/>
    <m/>
    <m/>
    <s v="No"/>
    <x v="3"/>
    <m/>
    <m/>
    <s v="136.183.11.43"/>
    <s v="QM11 -- .S533 2015eb"/>
    <n v="611.00945999999999"/>
    <d v="2015-03-28T00:00:00"/>
  </r>
  <r>
    <x v="8564"/>
    <d v="1899-12-30T00:00:00"/>
    <x v="59"/>
    <x v="0"/>
    <s v="Buffalo"/>
    <x v="73"/>
    <n v="1119505"/>
    <x v="0"/>
    <s v="Science: Chemistry; Science"/>
    <s v="9781118355015"/>
    <m/>
    <n v="0"/>
    <m/>
    <m/>
    <s v="No"/>
    <x v="0"/>
    <d v="2015-09-01T18:16:24"/>
    <n v="7"/>
    <s v="128.205.114.91"/>
    <s v="QD251.3 -- .S38 2013eb"/>
    <s v="547/.128"/>
    <d v="2013-01-28T00:00:00"/>
  </r>
  <r>
    <x v="8565"/>
    <d v="1899-12-30T00:00:43"/>
    <x v="59"/>
    <x v="0"/>
    <s v="Buffalo"/>
    <x v="73"/>
    <n v="1119505"/>
    <x v="0"/>
    <s v="Science: Chemistry; Science"/>
    <s v="9781118355015"/>
    <s v=",1,2,3,4,5,6,7,8,9,10,28,43,29,11"/>
    <n v="14"/>
    <m/>
    <m/>
    <s v="No"/>
    <x v="1"/>
    <m/>
    <m/>
    <s v="128.205.114.91"/>
    <s v="QD251.3 -- .S38 2013eb"/>
    <s v="547/.128"/>
    <d v="2013-01-28T00:00:00"/>
  </r>
  <r>
    <x v="8566"/>
    <d v="1899-12-30T00:05:26"/>
    <x v="13"/>
    <x v="0"/>
    <s v="Buffalo"/>
    <x v="500"/>
    <n v="699744"/>
    <x v="0"/>
    <s v="Engineering; Engineering: Electrical; Engineering: Civil"/>
    <s v="9781118585818"/>
    <s v=",1,2,3,4,2,25,41"/>
    <n v="6"/>
    <m/>
    <m/>
    <s v="No"/>
    <x v="1"/>
    <m/>
    <m/>
    <s v="128.205.114.91"/>
    <s v="TA1520 -- .S24 2007eb"/>
    <n v="621.36"/>
    <d v="2013-02-05T00:00:00"/>
  </r>
  <r>
    <x v="8567"/>
    <d v="1899-12-30T00:03:11"/>
    <x v="1854"/>
    <x v="0"/>
    <s v="Buffalo"/>
    <x v="161"/>
    <n v="821663"/>
    <x v="0"/>
    <s v="Architecture"/>
    <s v="9781118168479"/>
    <s v=",1,1,2,2,3,3,4,4,5,5,6,6,1,2,2,6"/>
    <n v="6"/>
    <m/>
    <m/>
    <s v="No"/>
    <x v="1"/>
    <m/>
    <m/>
    <s v="128.205.114.91"/>
    <s v="NA2547 -- .S74 2012eb"/>
    <n v="729"/>
    <d v="2012-03-05T00:00:00"/>
  </r>
  <r>
    <x v="8568"/>
    <d v="1899-12-30T00:20:20"/>
    <x v="634"/>
    <x v="11"/>
    <s v="cobleskill"/>
    <x v="11"/>
    <n v="693176"/>
    <x v="0"/>
    <s v="Engineering: Manufacturing; General Works/Reference; Engineering"/>
    <s v="9781118017746"/>
    <s v=",1,2,3,446,447,444,445,448,279,280,277,25,26,27,23,24,52,54,51,50,53,31,32,33,30,29,34,35,36,31,28,31,30,31,37,28,13,19,51,34,34,37,35,36,34,38,39,40,41,42,36,28,29,30,26,27"/>
    <n v="38"/>
    <m/>
    <m/>
    <s v="No"/>
    <x v="0"/>
    <d v="2015-09-01T16:52:51"/>
    <n v="7"/>
    <s v="137.36.32.34"/>
    <s v="Z246 -- .M43 2012eb"/>
    <s v="686.2/209"/>
    <d v="2011-10-19T00:00:00"/>
  </r>
  <r>
    <x v="8569"/>
    <d v="1899-12-30T00:00:00"/>
    <x v="973"/>
    <x v="0"/>
    <s v="Buffalo"/>
    <x v="161"/>
    <n v="821663"/>
    <x v="0"/>
    <s v="Architecture"/>
    <s v="9781118168479"/>
    <m/>
    <n v="0"/>
    <m/>
    <m/>
    <s v="No"/>
    <x v="0"/>
    <d v="2015-09-01T17:12:58"/>
    <n v="7"/>
    <s v="128.205.114.91"/>
    <s v="NA2547 -- .S74 2012eb"/>
    <n v="729"/>
    <d v="2012-03-05T00:00:00"/>
  </r>
  <r>
    <x v="8570"/>
    <d v="1899-12-30T00:00:44"/>
    <x v="973"/>
    <x v="0"/>
    <s v="Buffalo"/>
    <x v="161"/>
    <n v="821663"/>
    <x v="0"/>
    <s v="Architecture"/>
    <s v="9781118168479"/>
    <s v=",1,2,3,4,5,6,7,8,9,10,11,12,13,14,15,16,17,18,19,23,40,20"/>
    <n v="22"/>
    <m/>
    <m/>
    <s v="No"/>
    <x v="1"/>
    <m/>
    <m/>
    <s v="128.205.114.91"/>
    <s v="NA2547 -- .S74 2012eb"/>
    <n v="729"/>
    <d v="2012-03-05T00:00:00"/>
  </r>
  <r>
    <x v="8571"/>
    <d v="1899-12-30T00:04:43"/>
    <x v="634"/>
    <x v="11"/>
    <s v="cobleskill"/>
    <x v="11"/>
    <n v="693176"/>
    <x v="0"/>
    <s v="Engineering: Manufacturing; General Works/Reference; Engineering"/>
    <s v="9781118017746"/>
    <s v=",602,603,604,600,601,591,7,8,9,5,6,10,11,160,161,162,158,159,163,164,165,166,192,193,156,157,154,155,167,168,166"/>
    <n v="30"/>
    <m/>
    <m/>
    <s v="No"/>
    <x v="0"/>
    <d v="2015-09-01T16:52:51"/>
    <n v="7"/>
    <s v="137.36.32.34"/>
    <s v="Z246 -- .M43 2012eb"/>
    <s v="686.2/209"/>
    <d v="2011-10-19T00:00:00"/>
  </r>
  <r>
    <x v="8572"/>
    <d v="1899-12-30T00:00:00"/>
    <x v="910"/>
    <x v="0"/>
    <s v="Buffalo"/>
    <x v="161"/>
    <n v="821663"/>
    <x v="0"/>
    <s v="Architecture"/>
    <s v="9781118168479"/>
    <m/>
    <n v="0"/>
    <m/>
    <m/>
    <s v="No"/>
    <x v="0"/>
    <d v="2015-09-01T16:44:41"/>
    <n v="7"/>
    <s v="128.205.114.91"/>
    <s v="NA2547 -- .S74 2012eb"/>
    <n v="729"/>
    <d v="2012-03-05T00:00:00"/>
  </r>
  <r>
    <x v="8573"/>
    <d v="1899-12-30T00:00:25"/>
    <x v="910"/>
    <x v="0"/>
    <s v="Buffalo"/>
    <x v="161"/>
    <n v="821663"/>
    <x v="0"/>
    <s v="Architecture"/>
    <s v="9781118168479"/>
    <s v=",1,2,3,67"/>
    <n v="4"/>
    <m/>
    <m/>
    <s v="No"/>
    <x v="1"/>
    <m/>
    <m/>
    <s v="128.205.114.91"/>
    <s v="NA2547 -- .S74 2012eb"/>
    <n v="729"/>
    <d v="2012-03-05T00:00:00"/>
  </r>
  <r>
    <x v="8574"/>
    <d v="1899-12-30T00:13:49"/>
    <x v="634"/>
    <x v="11"/>
    <s v="cobleskill"/>
    <x v="11"/>
    <n v="693176"/>
    <x v="0"/>
    <s v="Engineering: Manufacturing; General Works/Reference; Engineering"/>
    <s v="9781118017746"/>
    <s v=",1,2,3"/>
    <n v="3"/>
    <m/>
    <m/>
    <s v="No"/>
    <x v="1"/>
    <m/>
    <m/>
    <s v="137.36.32.34"/>
    <s v="Z246 -- .M43 2012eb"/>
    <s v="686.2/209"/>
    <d v="2011-10-19T00:00:00"/>
  </r>
  <r>
    <x v="8575"/>
    <d v="1899-12-30T00:00:21"/>
    <x v="1883"/>
    <x v="0"/>
    <s v="Buffalo"/>
    <x v="1171"/>
    <n v="1991216"/>
    <x v="4"/>
    <s v="Medicine"/>
    <s v="9781462521029"/>
    <s v=",1,383,384,385,381,382,2"/>
    <n v="7"/>
    <m/>
    <m/>
    <s v="No"/>
    <x v="2"/>
    <d v="2015-09-01T16:19:38"/>
    <n v="1"/>
    <s v="128.205.114.91"/>
    <s v="RC480.7 .M68 2015"/>
    <n v="616.89"/>
    <d v="2015-06-15T00:00:00"/>
  </r>
  <r>
    <x v="8576"/>
    <d v="1899-12-30T00:00:39"/>
    <x v="13"/>
    <x v="0"/>
    <s v="Buffalo"/>
    <x v="1741"/>
    <n v="1760738"/>
    <x v="4"/>
    <s v="Business/Management; Economics"/>
    <s v="9781462519644"/>
    <s v=",20,26,24,22,23,27,25"/>
    <n v="7"/>
    <m/>
    <m/>
    <s v="No"/>
    <x v="2"/>
    <d v="2015-09-01T16:20:16"/>
    <n v="1"/>
    <s v="128.205.114.91"/>
    <s v="HD2321 -- .D53 2015eb"/>
    <s v="338.09/051"/>
    <d v="2014-12-19T00:00:00"/>
  </r>
  <r>
    <x v="8577"/>
    <d v="1899-12-30T00:00:00"/>
    <x v="1883"/>
    <x v="0"/>
    <s v="Buffalo"/>
    <x v="1171"/>
    <n v="1991216"/>
    <x v="4"/>
    <s v="Medicine"/>
    <s v="9781462521029"/>
    <m/>
    <n v="0"/>
    <m/>
    <m/>
    <s v="Yes"/>
    <x v="2"/>
    <d v="2015-09-01T16:19:38"/>
    <n v="1"/>
    <s v="128.205.114.91"/>
    <s v="RC480.7 .M68 2015"/>
    <n v="616.89"/>
    <d v="2015-06-15T00:00:00"/>
  </r>
  <r>
    <x v="8578"/>
    <d v="1899-12-30T00:00:00"/>
    <x v="1883"/>
    <x v="0"/>
    <s v="Buffalo"/>
    <x v="1171"/>
    <n v="1991216"/>
    <x v="4"/>
    <s v="Medicine"/>
    <s v="9781462521029"/>
    <m/>
    <n v="0"/>
    <s v=",383"/>
    <m/>
    <s v="No"/>
    <x v="2"/>
    <d v="2015-09-01T16:19:38"/>
    <n v="1"/>
    <s v="128.205.114.91"/>
    <s v="RC480.7 .M68 2015"/>
    <n v="616.89"/>
    <d v="2015-06-15T00:00:00"/>
  </r>
  <r>
    <x v="8579"/>
    <d v="1899-12-30T00:01:36"/>
    <x v="1883"/>
    <x v="0"/>
    <s v="Buffalo"/>
    <x v="1171"/>
    <n v="1991216"/>
    <x v="4"/>
    <s v="Medicine"/>
    <s v="9781462521029"/>
    <s v=",1,2,3,383,384,385,381,382"/>
    <n v="8"/>
    <m/>
    <m/>
    <s v="No"/>
    <x v="3"/>
    <m/>
    <m/>
    <s v="128.205.114.91"/>
    <s v="RC480.7 .M68 2015"/>
    <n v="616.89"/>
    <d v="2015-06-15T00:00:00"/>
  </r>
  <r>
    <x v="8580"/>
    <d v="1899-12-30T00:06:29"/>
    <x v="13"/>
    <x v="0"/>
    <s v="Buffalo"/>
    <x v="1741"/>
    <n v="1760738"/>
    <x v="4"/>
    <s v="Business/Management; Economics"/>
    <s v="9781462519644"/>
    <s v=",1,2,3,4,5,6,7,8,9,10,11,12,13,14,15,16,17,19"/>
    <n v="18"/>
    <m/>
    <m/>
    <s v="No"/>
    <x v="3"/>
    <m/>
    <m/>
    <s v="128.205.114.91"/>
    <s v="HD2321 -- .D53 2015eb"/>
    <s v="338.09/051"/>
    <d v="2014-12-19T00:00:00"/>
  </r>
  <r>
    <x v="8581"/>
    <d v="1899-12-30T00:00:10"/>
    <x v="824"/>
    <x v="0"/>
    <s v="Buffalo"/>
    <x v="161"/>
    <n v="821663"/>
    <x v="0"/>
    <s v="Architecture"/>
    <s v="9781118168479"/>
    <s v=",1,2,3,4,5"/>
    <n v="5"/>
    <m/>
    <m/>
    <s v="No"/>
    <x v="1"/>
    <m/>
    <m/>
    <s v="128.205.114.91"/>
    <s v="NA2547 -- .S74 2012eb"/>
    <n v="729"/>
    <d v="2012-03-05T00:00:00"/>
  </r>
  <r>
    <x v="8582"/>
    <d v="1899-12-30T00:00:50"/>
    <x v="1884"/>
    <x v="5"/>
    <s v="erie"/>
    <x v="1742"/>
    <n v="902988"/>
    <x v="6"/>
    <s v="Philosophy"/>
    <s v="9781438138862"/>
    <s v=",1,2,3,11,8,5,1,2,3,4,5,6,7,8,9,10,11,12,13,14,15,16,17,18"/>
    <n v="18"/>
    <m/>
    <m/>
    <s v="No"/>
    <x v="1"/>
    <m/>
    <m/>
    <s v="199.29.6.54"/>
    <s v="B72 -- .B66 2012eb"/>
    <n v="190"/>
    <d v="2012-03-01T00:00:00"/>
  </r>
  <r>
    <x v="8583"/>
    <d v="1899-12-30T00:00:00"/>
    <x v="798"/>
    <x v="0"/>
    <s v="Buffalo"/>
    <x v="161"/>
    <n v="821663"/>
    <x v="0"/>
    <s v="Architecture"/>
    <s v="9781118168479"/>
    <m/>
    <n v="0"/>
    <m/>
    <m/>
    <s v="Yes"/>
    <x v="0"/>
    <d v="2015-09-01T15:41:37"/>
    <n v="7"/>
    <s v="128.205.114.91"/>
    <s v="NA2547 -- .S74 2012eb"/>
    <n v="729"/>
    <d v="2012-03-05T00:00:00"/>
  </r>
  <r>
    <x v="8584"/>
    <d v="1899-12-30T00:00:29"/>
    <x v="798"/>
    <x v="0"/>
    <s v="Buffalo"/>
    <x v="161"/>
    <n v="821663"/>
    <x v="0"/>
    <s v="Architecture"/>
    <s v="9781118168479"/>
    <s v=",7,8,9,5,6,10,11,12,13"/>
    <n v="9"/>
    <s v=",11"/>
    <m/>
    <s v="No"/>
    <x v="0"/>
    <d v="2015-09-01T15:41:37"/>
    <n v="7"/>
    <s v="128.205.114.91"/>
    <s v="NA2547 -- .S74 2012eb"/>
    <n v="729"/>
    <d v="2012-03-05T00:00:00"/>
  </r>
  <r>
    <x v="8585"/>
    <d v="1899-12-30T00:00:11"/>
    <x v="798"/>
    <x v="0"/>
    <s v="Buffalo"/>
    <x v="161"/>
    <n v="821663"/>
    <x v="0"/>
    <s v="Architecture"/>
    <s v="9781118168479"/>
    <s v=",1,3,2"/>
    <n v="3"/>
    <m/>
    <m/>
    <s v="No"/>
    <x v="1"/>
    <m/>
    <m/>
    <s v="128.205.114.91"/>
    <s v="NA2547 -- .S74 2012eb"/>
    <n v="729"/>
    <d v="2012-03-05T00:00:00"/>
  </r>
  <r>
    <x v="8586"/>
    <d v="1899-12-30T00:00:00"/>
    <x v="1598"/>
    <x v="1"/>
    <s v="brockport"/>
    <x v="1"/>
    <n v="1684620"/>
    <x v="0"/>
    <s v="Health; Social Science"/>
    <s v="9781118418925"/>
    <m/>
    <n v="0"/>
    <m/>
    <m/>
    <s v="Yes"/>
    <x v="0"/>
    <d v="2015-09-01T15:27:58"/>
    <n v="7"/>
    <s v="137.21.7.121"/>
    <s v="RA971 -- .S56 2014eb"/>
    <n v="362.10680000000002"/>
    <d v="2014-04-30T00:00:00"/>
  </r>
  <r>
    <x v="8587"/>
    <d v="1899-12-30T00:00:00"/>
    <x v="1598"/>
    <x v="1"/>
    <s v="brockport"/>
    <x v="1"/>
    <n v="1684620"/>
    <x v="0"/>
    <s v="Health; Social Science"/>
    <s v="9781118418925"/>
    <m/>
    <n v="0"/>
    <m/>
    <m/>
    <s v="Yes"/>
    <x v="0"/>
    <d v="2015-09-01T15:27:58"/>
    <n v="7"/>
    <s v="137.21.7.121"/>
    <s v="RA971 -- .S56 2014eb"/>
    <n v="362.10680000000002"/>
    <d v="2014-04-30T00:00:00"/>
  </r>
  <r>
    <x v="8588"/>
    <d v="1899-12-30T00:00:00"/>
    <x v="1598"/>
    <x v="1"/>
    <s v="brockport"/>
    <x v="1"/>
    <n v="1684620"/>
    <x v="0"/>
    <s v="Health; Social Science"/>
    <s v="9781118418925"/>
    <m/>
    <n v="0"/>
    <m/>
    <m/>
    <s v="Yes"/>
    <x v="0"/>
    <d v="2015-09-01T15:27:58"/>
    <n v="7"/>
    <s v="137.21.7.121"/>
    <s v="RA971 -- .S56 2014eb"/>
    <n v="362.10680000000002"/>
    <d v="2014-04-30T00:00:00"/>
  </r>
  <r>
    <x v="8589"/>
    <d v="1899-12-30T00:00:47"/>
    <x v="1598"/>
    <x v="1"/>
    <s v="brockport"/>
    <x v="1"/>
    <n v="1684620"/>
    <x v="0"/>
    <s v="Health; Social Science"/>
    <s v="9781118418925"/>
    <s v=",4,4,5,5,3,25,13,26,31"/>
    <n v="7"/>
    <m/>
    <m/>
    <s v="Yes"/>
    <x v="0"/>
    <d v="2015-09-01T15:27:58"/>
    <n v="7"/>
    <s v="137.21.7.121"/>
    <s v="RA971 -- .S56 2014eb"/>
    <n v="362.10680000000002"/>
    <d v="2014-04-30T00:00:00"/>
  </r>
  <r>
    <x v="8590"/>
    <d v="1899-12-30T00:00:06"/>
    <x v="1598"/>
    <x v="1"/>
    <s v="brockport"/>
    <x v="1"/>
    <n v="1684620"/>
    <x v="0"/>
    <s v="Health; Social Science"/>
    <s v="9781118418925"/>
    <s v=",2,2"/>
    <n v="1"/>
    <m/>
    <m/>
    <s v="Yes"/>
    <x v="0"/>
    <d v="2015-09-01T15:27:58"/>
    <n v="7"/>
    <s v="137.21.7.121"/>
    <s v="RA971 -- .S56 2014eb"/>
    <n v="362.10680000000002"/>
    <d v="2014-04-30T00:00:00"/>
  </r>
  <r>
    <x v="8590"/>
    <d v="1899-12-30T00:00:00"/>
    <x v="1598"/>
    <x v="1"/>
    <s v="brockport"/>
    <x v="1"/>
    <n v="1684620"/>
    <x v="0"/>
    <s v="Health; Social Science"/>
    <s v="9781118418925"/>
    <m/>
    <n v="0"/>
    <m/>
    <m/>
    <s v="No"/>
    <x v="0"/>
    <d v="2015-09-01T15:27:58"/>
    <n v="7"/>
    <s v="137.21.7.121"/>
    <s v="RA971 -- .S56 2014eb"/>
    <n v="362.10680000000002"/>
    <d v="2014-04-30T00:00:00"/>
  </r>
  <r>
    <x v="8591"/>
    <d v="1899-12-30T00:00:16"/>
    <x v="1598"/>
    <x v="1"/>
    <s v="brockport"/>
    <x v="1"/>
    <n v="1684620"/>
    <x v="0"/>
    <s v="Health; Social Science"/>
    <s v="9781118418925"/>
    <s v=",1,2,2,1,3,3"/>
    <n v="3"/>
    <m/>
    <m/>
    <s v="No"/>
    <x v="1"/>
    <m/>
    <m/>
    <s v="137.21.7.121"/>
    <s v="RA971 -- .S56 2014eb"/>
    <n v="362.10680000000002"/>
    <d v="2014-04-30T00:00:00"/>
  </r>
  <r>
    <x v="8592"/>
    <d v="1899-12-30T00:02:00"/>
    <x v="1885"/>
    <x v="5"/>
    <s v="erie"/>
    <x v="796"/>
    <n v="1318206"/>
    <x v="0"/>
    <s v="Computer Science/IT; Social Science"/>
    <s v="9781118363560"/>
    <s v=",1,2,3,4,19,20,21,17,18,22,2,23,24,25,26,27,22,21,26,27,28,29,30,31,32,33,34,35,36,37,41,42,43,39,40,44,45,46,29,30,31,27,28,32,33,34,35"/>
    <n v="33"/>
    <m/>
    <m/>
    <s v="No"/>
    <x v="1"/>
    <m/>
    <m/>
    <s v="199.29.6.54"/>
    <s v="HA32 -- .M4994 2013eb"/>
    <s v="005.5/5"/>
    <d v="2013-07-15T00:00:00"/>
  </r>
  <r>
    <x v="8593"/>
    <d v="1899-12-30T00:24:16"/>
    <x v="13"/>
    <x v="0"/>
    <s v="Buffalo"/>
    <x v="161"/>
    <n v="821663"/>
    <x v="0"/>
    <s v="Architecture"/>
    <s v="9781118168479"/>
    <s v=",87,88,89,85,86,90,91,92,93,93,94,95,96,97,100,100,111,111,112,113,112,109,110,110,115,116,117,114,118,118,119,119,120,120,179,179,181,181,177,178,178,184,184,185,185,182,182,186,186,187,187,185,201,201,199,200,200,180,181,180,182,178,179,183,183,184,185"/>
    <n v="40"/>
    <m/>
    <m/>
    <s v="No"/>
    <x v="0"/>
    <d v="2015-09-01T14:51:35"/>
    <n v="7"/>
    <s v="128.205.114.91"/>
    <s v="NA2547 -- .S74 2012eb"/>
    <n v="729"/>
    <d v="2012-03-05T00:00:00"/>
  </r>
  <r>
    <x v="8594"/>
    <d v="1899-12-30T00:10:32"/>
    <x v="13"/>
    <x v="0"/>
    <s v="Buffalo"/>
    <x v="161"/>
    <n v="821663"/>
    <x v="0"/>
    <s v="Architecture"/>
    <s v="9781118168479"/>
    <s v=",1,2,2,1,3,3,2,2,87,87,88,88,89,89,85,86,86,90,90,91,91,115,115,116,116,113,114,114,158,158,159,159,155,156,156,115,116,117,113,117,157,158,157,159,155,156,160,160,87,88,89,85,86,90,91,92,92,94,94,95,95,96,96,97,97,115,116,117,113,114"/>
    <n v="26"/>
    <m/>
    <m/>
    <s v="No"/>
    <x v="1"/>
    <m/>
    <m/>
    <s v="128.205.114.91"/>
    <s v="NA2547 -- .S74 2012eb"/>
    <n v="729"/>
    <d v="2012-03-05T00:00:00"/>
  </r>
  <r>
    <x v="8595"/>
    <d v="1899-12-30T00:00:10"/>
    <x v="198"/>
    <x v="0"/>
    <s v="Buffalo"/>
    <x v="1743"/>
    <n v="817722"/>
    <x v="0"/>
    <s v="Computer Science/IT"/>
    <s v="9781118197417"/>
    <s v=",1,2,3,47,48,49,45,46"/>
    <n v="8"/>
    <m/>
    <m/>
    <s v="No"/>
    <x v="1"/>
    <m/>
    <m/>
    <s v="128.205.114.91"/>
    <s v="QA76.76.O63 -- S5884584 2012eb"/>
    <n v="5.4320000000000004"/>
    <d v="2012-03-16T00:00:00"/>
  </r>
  <r>
    <x v="8596"/>
    <d v="1899-12-30T00:00:11"/>
    <x v="13"/>
    <x v="0"/>
    <s v="Buffalo"/>
    <x v="796"/>
    <n v="1318206"/>
    <x v="0"/>
    <s v="Computer Science/IT; Social Science"/>
    <s v="9781118363560"/>
    <s v=",2,2"/>
    <n v="1"/>
    <m/>
    <m/>
    <s v="Yes"/>
    <x v="0"/>
    <d v="2015-09-01T13:33:02"/>
    <n v="7"/>
    <s v="128.205.114.91"/>
    <s v="HA32 -- .M4994 2013eb"/>
    <s v="005.5/5"/>
    <d v="2013-07-15T00:00:00"/>
  </r>
  <r>
    <x v="8596"/>
    <d v="1899-12-30T00:00:00"/>
    <x v="13"/>
    <x v="0"/>
    <s v="Buffalo"/>
    <x v="796"/>
    <n v="1318206"/>
    <x v="0"/>
    <s v="Computer Science/IT; Social Science"/>
    <s v="9781118363560"/>
    <m/>
    <n v="0"/>
    <m/>
    <m/>
    <s v="No"/>
    <x v="0"/>
    <d v="2015-09-01T13:33:02"/>
    <n v="7"/>
    <s v="128.205.114.91"/>
    <s v="HA32 -- .M4994 2013eb"/>
    <s v="005.5/5"/>
    <d v="2013-07-15T00:00:00"/>
  </r>
  <r>
    <x v="8597"/>
    <d v="1899-12-30T00:00:11"/>
    <x v="13"/>
    <x v="0"/>
    <s v="Buffalo"/>
    <x v="796"/>
    <n v="1318206"/>
    <x v="0"/>
    <s v="Computer Science/IT; Social Science"/>
    <s v="9781118363560"/>
    <s v=",1,3,3,1,2,2"/>
    <n v="3"/>
    <m/>
    <m/>
    <s v="No"/>
    <x v="1"/>
    <m/>
    <m/>
    <s v="128.205.114.91"/>
    <s v="HA32 -- .M4994 2013eb"/>
    <s v="005.5/5"/>
    <d v="2013-07-15T00:00:00"/>
  </r>
  <r>
    <x v="8598"/>
    <d v="1899-12-30T00:04:07"/>
    <x v="588"/>
    <x v="1"/>
    <s v="brockport"/>
    <x v="1"/>
    <n v="1684620"/>
    <x v="0"/>
    <s v="Health; Social Science"/>
    <s v="9781118418925"/>
    <s v=",1,2,3,13,14,15,11,12,16,17,18,19,25,26,27,28,24,29,30,31,32,33,34,15,26,27,28,24,25,23,11,12"/>
    <n v="24"/>
    <m/>
    <m/>
    <s v="No"/>
    <x v="1"/>
    <m/>
    <m/>
    <s v="137.21.7.121"/>
    <s v="RA971 -- .S56 2014eb"/>
    <n v="362.10680000000002"/>
    <d v="2014-04-30T00:00:00"/>
  </r>
  <r>
    <x v="8599"/>
    <d v="1899-12-30T00:02:19"/>
    <x v="714"/>
    <x v="12"/>
    <s v="potsdam"/>
    <x v="713"/>
    <n v="565082"/>
    <x v="0"/>
    <s v="Education"/>
    <s v="9781118041567"/>
    <s v=",39,39,40,40"/>
    <n v="2"/>
    <m/>
    <m/>
    <s v="No"/>
    <x v="0"/>
    <d v="2015-09-01T12:55:48"/>
    <n v="7"/>
    <s v="137.143.104.94"/>
    <s v="LB1775 .P25 2010"/>
    <s v="371.1; 371.102"/>
    <d v="2010-06-08T00:00:00"/>
  </r>
  <r>
    <x v="8600"/>
    <d v="1899-12-30T00:10:42"/>
    <x v="714"/>
    <x v="12"/>
    <s v="potsdam"/>
    <x v="713"/>
    <n v="565082"/>
    <x v="0"/>
    <s v="Education"/>
    <s v="9781118041567"/>
    <s v=",1,2,1,2,3,3,2,2,4,4,5,5,6,6,7,7,8,8,9,9,10,10,34,34,36,35,32,35,33,33,36,34,35,36,35,32,36,33,33,34,37,37,38,38"/>
    <n v="17"/>
    <m/>
    <m/>
    <s v="No"/>
    <x v="1"/>
    <m/>
    <m/>
    <s v="137.143.104.94"/>
    <s v="LB1775 .P25 2010"/>
    <s v="371.1; 371.102"/>
    <d v="2010-06-08T00:00:00"/>
  </r>
  <r>
    <x v="8601"/>
    <d v="1899-12-30T00:01:00"/>
    <x v="88"/>
    <x v="0"/>
    <s v="Buffalo"/>
    <x v="1383"/>
    <n v="1062012"/>
    <x v="11"/>
    <s v="Literature"/>
    <s v="9780226924182"/>
    <s v=",1,148,149,150,146,147,2,151,152,153,154,155,156,93,91,92,94"/>
    <n v="17"/>
    <m/>
    <m/>
    <s v="No"/>
    <x v="3"/>
    <m/>
    <m/>
    <s v="128.205.114.91"/>
    <s v="PR3044"/>
    <s v="822.3/3"/>
    <d v="2013-01-02T00:00:00"/>
  </r>
  <r>
    <x v="8602"/>
    <d v="1899-12-30T00:04:57"/>
    <x v="1484"/>
    <x v="0"/>
    <s v="Buffalo"/>
    <x v="552"/>
    <n v="1294909"/>
    <x v="3"/>
    <s v="Economics; Business/Management"/>
    <s v="9780520956797"/>
    <s v=",1,2,3,4,5,6,7,8,9,10,11,12,13,14,15,16,17,18,19,20,21"/>
    <n v="21"/>
    <m/>
    <m/>
    <s v="No"/>
    <x v="0"/>
    <d v="2015-08-31T18:43:05"/>
    <n v="7"/>
    <s v="128.205.114.91"/>
    <s v="HC110.P6 -- I25 2013eb"/>
    <s v="339.4/60973"/>
    <d v="2013-08-01T00:00:00"/>
  </r>
  <r>
    <x v="8603"/>
    <d v="1899-12-30T00:04:26"/>
    <x v="88"/>
    <x v="0"/>
    <s v="Buffalo"/>
    <x v="1744"/>
    <n v="1331834"/>
    <x v="11"/>
    <s v="Political Science"/>
    <s v="9780226041285"/>
    <s v=",1,255,256,253,257,254,2,258,259,260,261,262,263,264,265,266,267,268,269,270,271,272,273,274,275,276,277,279,278,280,281,282,283,284,285,286,287,288,289,290,291,292"/>
    <n v="42"/>
    <m/>
    <m/>
    <s v="No"/>
    <x v="3"/>
    <m/>
    <m/>
    <s v="128.205.114.91"/>
    <s v="JC319"/>
    <s v="320.1/2"/>
    <d v="2013-09-09T00:00:00"/>
  </r>
  <r>
    <x v="8604"/>
    <d v="1899-12-30T00:02:59"/>
    <x v="1886"/>
    <x v="5"/>
    <s v="erie"/>
    <x v="1574"/>
    <n v="1204057"/>
    <x v="0"/>
    <s v="Engineering; Engineering: Chemical"/>
    <s v="9781118598122"/>
    <s v=",1,2,3,4,6,5,7,8,9,10,11,12,13,14,15,16,58,59,60,56,57,587,588,589,585,586,583,584,348,350,346,347,351"/>
    <n v="33"/>
    <m/>
    <m/>
    <s v="No"/>
    <x v="1"/>
    <m/>
    <m/>
    <s v="199.29.6.54"/>
    <s v="TP568 -- .B68 2013eb"/>
    <s v="663/.3"/>
    <d v="2013-05-20T00:00:00"/>
  </r>
  <r>
    <x v="8605"/>
    <d v="1899-12-30T00:03:19"/>
    <x v="1862"/>
    <x v="0"/>
    <s v="Buffalo"/>
    <x v="552"/>
    <n v="1294909"/>
    <x v="3"/>
    <s v="Economics; Business/Management"/>
    <s v="9780520956797"/>
    <s v=",1,2,3,4,5,6,4,26,37,27,26,27,28,24,29,25,26,27,28,26,24,25,29,16,17,18,14,19,20,21,22,23,15,13"/>
    <n v="24"/>
    <s v=",26"/>
    <m/>
    <s v="No"/>
    <x v="0"/>
    <d v="2015-08-31T23:30:49"/>
    <n v="7"/>
    <s v="128.205.114.91"/>
    <s v="HC110.P6 -- I25 2013eb"/>
    <s v="339.4/60973"/>
    <d v="2013-08-01T00:00:00"/>
  </r>
  <r>
    <x v="8606"/>
    <d v="1899-12-30T00:00:12"/>
    <x v="512"/>
    <x v="0"/>
    <s v="Buffalo"/>
    <x v="552"/>
    <n v="1294909"/>
    <x v="3"/>
    <s v="Economics; Business/Management"/>
    <s v="9780520956797"/>
    <s v=",1,2,3,4,5,76,77,78,74,75"/>
    <n v="10"/>
    <m/>
    <m/>
    <s v="No"/>
    <x v="1"/>
    <m/>
    <m/>
    <s v="128.205.114.91"/>
    <s v="HC110.P6 -- I25 2013eb"/>
    <s v="339.4/60973"/>
    <d v="2013-08-01T00:00:00"/>
  </r>
  <r>
    <x v="8607"/>
    <d v="1899-12-30T00:03:19"/>
    <x v="1862"/>
    <x v="0"/>
    <s v="Buffalo"/>
    <x v="552"/>
    <n v="1294909"/>
    <x v="3"/>
    <s v="Economics; Business/Management"/>
    <s v="9780520956797"/>
    <s v=",1,2,3,4,5,6,7,8,9,10,11,12,13,14,15,16,26,27,28,24,25,29,22,23,20,21,19,17,18"/>
    <n v="29"/>
    <s v=",27,27,26"/>
    <s v=",1,2,3,16,17,18,19,20,21,22,23,24,25,20"/>
    <s v="No"/>
    <x v="0"/>
    <d v="2015-08-31T23:30:49"/>
    <n v="7"/>
    <s v="128.205.114.91"/>
    <s v="HC110.P6 -- I25 2013eb"/>
    <s v="339.4/60973"/>
    <d v="2013-08-01T00:00:00"/>
  </r>
  <r>
    <x v="8608"/>
    <d v="1899-12-30T00:00:00"/>
    <x v="1862"/>
    <x v="0"/>
    <s v="Buffalo"/>
    <x v="552"/>
    <n v="1294909"/>
    <x v="3"/>
    <s v="Economics; Business/Management"/>
    <s v="9780520956797"/>
    <m/>
    <n v="0"/>
    <m/>
    <s v=",1,2,3,4,8,9,16,17,18,19,20,21,22,23,24,25,26,27,28,29,30,31,32,33,34,35,36,37,38,39,40,41,42,43,44,45,46,47,48,49,50,51,52,53,1,2,3,8,9,16,17,18,19,20,21,22,23,24,25,26,27,28,29,30,31,32,33,34,35,36,37,38,39,40,41,42,43,44,45,46,47,48,49,50,51,52,53,1,2,3,8,9,16,17,18,19,20,21,22,23,24,25,26,27,28,29,30,31,32,33,34,35,36,37,38,39,40,41,42,43,44,45,46,47,48,49,50,51,52,53,1,2,3,8,9,26,27,28,29,30,31,32,33,34,35,36,37,38,39,40,41,42,43,44,45,46,47,48,49,50,51,52,53,1,2,3,8,9,26,27,28,29,30,31,32,33,34,35,36,37,38,39,40,41,42,43,44,45,46,47,48,49,50,51,52,53"/>
    <s v="No"/>
    <x v="0"/>
    <d v="2015-08-31T23:30:49"/>
    <n v="7"/>
    <s v="128.205.114.91"/>
    <s v="HC110.P6 -- I25 2013eb"/>
    <s v="339.4/60973"/>
    <d v="2013-08-01T00:00:00"/>
  </r>
  <r>
    <x v="8609"/>
    <d v="1899-12-30T00:00:10"/>
    <x v="1862"/>
    <x v="0"/>
    <s v="Buffalo"/>
    <x v="552"/>
    <n v="1294909"/>
    <x v="3"/>
    <s v="Economics; Business/Management"/>
    <s v="9780520956797"/>
    <s v=",1,2,3,4"/>
    <n v="4"/>
    <m/>
    <m/>
    <s v="No"/>
    <x v="1"/>
    <m/>
    <m/>
    <s v="128.205.114.91"/>
    <s v="HC110.P6 -- I25 2013eb"/>
    <s v="339.4/60973"/>
    <d v="2013-08-01T00:00:00"/>
  </r>
  <r>
    <x v="8610"/>
    <d v="1899-12-30T00:01:28"/>
    <x v="1887"/>
    <x v="0"/>
    <s v="Buffalo"/>
    <x v="552"/>
    <n v="1294909"/>
    <x v="3"/>
    <s v="Economics; Business/Management"/>
    <s v="9780520956797"/>
    <s v=",16,17,18,16,17,18,14,17,18"/>
    <n v="4"/>
    <m/>
    <s v=",16,17,18,19,20,21,22,23,24,25"/>
    <s v="Yes"/>
    <x v="0"/>
    <d v="2015-08-31T23:28:48"/>
    <n v="7"/>
    <s v="128.205.114.91"/>
    <s v="HC110.P6 -- I25 2013eb"/>
    <s v="339.4/60973"/>
    <d v="2013-08-01T00:00:00"/>
  </r>
  <r>
    <x v="8611"/>
    <d v="1899-12-30T00:00:40"/>
    <x v="1887"/>
    <x v="0"/>
    <s v="Buffalo"/>
    <x v="552"/>
    <n v="1294909"/>
    <x v="3"/>
    <s v="Economics; Business/Management"/>
    <s v="9780520956797"/>
    <s v=",19"/>
    <n v="1"/>
    <m/>
    <s v=",16,17,18,19,20,21,22,23,24,25,16,17,18,19,20,21,22,23,24,25"/>
    <s v="No"/>
    <x v="0"/>
    <d v="2015-08-31T23:28:48"/>
    <n v="7"/>
    <s v="128.205.114.91"/>
    <s v="HC110.P6 -- I25 2013eb"/>
    <s v="339.4/60973"/>
    <d v="2013-08-01T00:00:00"/>
  </r>
  <r>
    <x v="8612"/>
    <d v="1899-12-30T00:00:29"/>
    <x v="1887"/>
    <x v="0"/>
    <s v="Buffalo"/>
    <x v="552"/>
    <n v="1294909"/>
    <x v="3"/>
    <s v="Economics; Business/Management"/>
    <s v="9780520956797"/>
    <s v=",1,2,3,16,17,18,14,15,16"/>
    <n v="8"/>
    <m/>
    <m/>
    <s v="No"/>
    <x v="1"/>
    <m/>
    <m/>
    <s v="128.205.114.91"/>
    <s v="HC110.P6 -- I25 2013eb"/>
    <s v="339.4/60973"/>
    <d v="2013-08-01T00:00:00"/>
  </r>
  <r>
    <x v="8613"/>
    <d v="1899-12-30T00:00:00"/>
    <x v="1888"/>
    <x v="0"/>
    <s v="Buffalo"/>
    <x v="552"/>
    <n v="1294909"/>
    <x v="3"/>
    <s v="Economics; Business/Management"/>
    <s v="9780520956797"/>
    <m/>
    <n v="0"/>
    <m/>
    <s v=",25,26,27,28,29,30,31,32,33,34,35,36,37,38,39,40,41,42,43,44,45,46,47,48,49,50,1,2,3,8,9,16,17,18,19,20,21,22,23,24,25,26,27,28,29,30,31,32,33,34,35,36,1,2,3,8,9,16,17,18,19,20,21,22,23,24,25,26,27,28,29,30,31,32,33,34,35,36,37,38,39,40,41,42,43,44,45,46,47,48,49,50,51,52,53"/>
    <s v="No"/>
    <x v="0"/>
    <d v="2015-08-31T20:40:16"/>
    <n v="7"/>
    <s v="128.205.114.91"/>
    <s v="HC110.P6 -- I25 2013eb"/>
    <s v="339.4/60973"/>
    <d v="2013-08-01T00:00:00"/>
  </r>
  <r>
    <x v="8614"/>
    <d v="1899-12-30T00:00:40"/>
    <x v="1889"/>
    <x v="0"/>
    <s v="Buffalo"/>
    <x v="552"/>
    <n v="1294909"/>
    <x v="3"/>
    <s v="Economics; Business/Management"/>
    <s v="9780520956797"/>
    <s v=",1,2,3,16,17,18,14,15,35,4,5,6,7,8,9,10,11,12,13"/>
    <n v="19"/>
    <m/>
    <s v=",16,17,18,19,20,21,22,23,24,25"/>
    <s v="No"/>
    <x v="0"/>
    <d v="2015-08-31T20:24:52"/>
    <n v="7"/>
    <s v="128.205.114.91"/>
    <s v="HC110.P6 -- I25 2013eb"/>
    <s v="339.4/60973"/>
    <d v="2013-08-01T00:00:00"/>
  </r>
  <r>
    <x v="8615"/>
    <d v="1899-12-30T00:00:51"/>
    <x v="1888"/>
    <x v="0"/>
    <s v="Buffalo"/>
    <x v="552"/>
    <n v="1294909"/>
    <x v="3"/>
    <s v="Economics; Business/Management"/>
    <s v="9780520956797"/>
    <s v=",1,2,3,4,5,6,7,8,9,10,11,12,13,14,16,17,18,15,26,27,28,24,25"/>
    <n v="23"/>
    <m/>
    <m/>
    <s v="No"/>
    <x v="1"/>
    <m/>
    <m/>
    <s v="128.205.114.91"/>
    <s v="HC110.P6 -- I25 2013eb"/>
    <s v="339.4/60973"/>
    <d v="2013-08-01T00:00:00"/>
  </r>
  <r>
    <x v="8616"/>
    <d v="1899-12-30T00:00:21"/>
    <x v="1889"/>
    <x v="0"/>
    <s v="Buffalo"/>
    <x v="552"/>
    <n v="1294909"/>
    <x v="3"/>
    <s v="Economics; Business/Management"/>
    <s v="9780520956797"/>
    <s v=",1,2,3,76,77,78,74,75,73"/>
    <n v="9"/>
    <m/>
    <m/>
    <s v="No"/>
    <x v="0"/>
    <d v="2015-08-31T20:24:52"/>
    <n v="7"/>
    <s v="128.205.114.91"/>
    <s v="HC110.P6 -- I25 2013eb"/>
    <s v="339.4/60973"/>
    <d v="2013-08-01T00:00:00"/>
  </r>
  <r>
    <x v="8617"/>
    <d v="1899-12-30T00:01:37"/>
    <x v="1889"/>
    <x v="0"/>
    <s v="Buffalo"/>
    <x v="552"/>
    <n v="1294909"/>
    <x v="3"/>
    <s v="Economics; Business/Management"/>
    <s v="9780520956797"/>
    <s v=",16,17,18,14,15,19,20,21,22,13,1,3"/>
    <n v="12"/>
    <m/>
    <s v=",16,17,18,19,20,21,22,23,24,25,26,27,28,29,30,31,32,33,34,35,36,54,55,56,57,58,59,60,61,62,63,64,65,66,67,68,69,70,71,72,73,74,75"/>
    <s v="No"/>
    <x v="0"/>
    <d v="2015-08-31T20:24:52"/>
    <n v="7"/>
    <s v="128.205.114.91"/>
    <s v="HC110.P6 -- I25 2013eb"/>
    <s v="339.4/60973"/>
    <d v="2013-08-01T00:00:00"/>
  </r>
  <r>
    <x v="8618"/>
    <d v="1899-12-30T00:01:26"/>
    <x v="1889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8619"/>
    <d v="1899-12-30T00:00:04"/>
    <x v="13"/>
    <x v="0"/>
    <s v="Buffalo"/>
    <x v="552"/>
    <n v="1294909"/>
    <x v="3"/>
    <s v="Economics; Business/Management"/>
    <s v="9780520956797"/>
    <s v=",2,2"/>
    <n v="1"/>
    <m/>
    <m/>
    <s v="Yes"/>
    <x v="0"/>
    <d v="2015-08-31T19:34:21"/>
    <n v="7"/>
    <s v="128.205.114.91"/>
    <s v="HC110.P6 -- I25 2013eb"/>
    <s v="339.4/60973"/>
    <d v="2013-08-01T00:00:00"/>
  </r>
  <r>
    <x v="8619"/>
    <d v="1899-12-30T00:00:00"/>
    <x v="13"/>
    <x v="0"/>
    <s v="Buffalo"/>
    <x v="552"/>
    <n v="1294909"/>
    <x v="3"/>
    <s v="Economics; Business/Management"/>
    <s v="9780520956797"/>
    <m/>
    <n v="0"/>
    <m/>
    <m/>
    <s v="No"/>
    <x v="0"/>
    <d v="2015-08-31T19:34:21"/>
    <n v="7"/>
    <s v="128.205.114.91"/>
    <s v="HC110.P6 -- I25 2013eb"/>
    <s v="339.4/60973"/>
    <d v="2013-08-01T00:00:00"/>
  </r>
  <r>
    <x v="8620"/>
    <d v="1899-12-30T00:00:18"/>
    <x v="13"/>
    <x v="0"/>
    <s v="Buffalo"/>
    <x v="552"/>
    <n v="1294909"/>
    <x v="3"/>
    <s v="Economics; Business/Management"/>
    <s v="9780520956797"/>
    <s v=",1,1,2,2,3,3"/>
    <n v="3"/>
    <m/>
    <m/>
    <s v="No"/>
    <x v="1"/>
    <m/>
    <m/>
    <s v="128.205.114.91"/>
    <s v="HC110.P6 -- I25 2013eb"/>
    <s v="339.4/60973"/>
    <d v="2013-08-01T00:00:00"/>
  </r>
  <r>
    <x v="8621"/>
    <d v="1899-12-30T00:00:03"/>
    <x v="1890"/>
    <x v="7"/>
    <s v="oneonta"/>
    <x v="1745"/>
    <n v="1776262"/>
    <x v="11"/>
    <s v="Science: General; Science: Biology/Natural History; Science"/>
    <s v="9780226079837"/>
    <s v=",1,2,3"/>
    <n v="3"/>
    <m/>
    <m/>
    <s v="No"/>
    <x v="3"/>
    <m/>
    <m/>
    <s v="137.141.13.2"/>
    <s v="QH70"/>
    <s v="508.074/73"/>
    <d v="2014-10-03T00:00:00"/>
  </r>
  <r>
    <x v="8622"/>
    <d v="1899-12-30T00:00:03"/>
    <x v="1862"/>
    <x v="0"/>
    <s v="Buffalo"/>
    <x v="552"/>
    <n v="1294909"/>
    <x v="3"/>
    <s v="Economics; Business/Management"/>
    <s v="9780520956797"/>
    <s v=",1,2,3"/>
    <n v="3"/>
    <m/>
    <m/>
    <s v="No"/>
    <x v="1"/>
    <m/>
    <m/>
    <s v="128.205.114.91"/>
    <s v="HC110.P6 -- I25 2013eb"/>
    <s v="339.4/60973"/>
    <d v="2013-08-01T00:00:00"/>
  </r>
  <r>
    <x v="8623"/>
    <d v="1899-12-30T00:00:04"/>
    <x v="13"/>
    <x v="0"/>
    <s v="Buffalo"/>
    <x v="559"/>
    <n v="1217954"/>
    <x v="1"/>
    <s v="Engineering; Engineering: General"/>
    <s v="9781409457558"/>
    <s v=",1,2,2,3,1,3"/>
    <n v="3"/>
    <m/>
    <m/>
    <s v="No"/>
    <x v="1"/>
    <m/>
    <m/>
    <s v="128.205.114.91"/>
    <s v="T59.7 -- .S73 2013eb"/>
    <s v="620.8/2"/>
    <d v="2013-10-28T00:00:00"/>
  </r>
  <r>
    <x v="8624"/>
    <d v="1899-12-30T00:00:00"/>
    <x v="1484"/>
    <x v="0"/>
    <s v="Buffalo"/>
    <x v="552"/>
    <n v="1294909"/>
    <x v="3"/>
    <s v="Economics; Business/Management"/>
    <s v="9780520956797"/>
    <m/>
    <n v="0"/>
    <m/>
    <s v=",16,17,18,19,26,27,28,29,30,31,32,33,34,35,36,54,55,56,57,58,59,60,61,62,63,64,65,66,67,68,69,70,71,72,73,74,75"/>
    <s v="No"/>
    <x v="0"/>
    <d v="2015-08-31T18:43:05"/>
    <n v="7"/>
    <s v="128.205.114.91"/>
    <s v="HC110.P6 -- I25 2013eb"/>
    <s v="339.4/60973"/>
    <d v="2013-08-01T00:00:00"/>
  </r>
  <r>
    <x v="8625"/>
    <d v="1899-12-30T00:00:49"/>
    <x v="1484"/>
    <x v="0"/>
    <s v="Buffalo"/>
    <x v="552"/>
    <n v="1294909"/>
    <x v="3"/>
    <s v="Economics; Business/Management"/>
    <s v="9780520956797"/>
    <s v=",1,2,3,5,6,7,8,9,10,16,17,18,14,15,19,20,21"/>
    <n v="17"/>
    <m/>
    <m/>
    <s v="No"/>
    <x v="1"/>
    <m/>
    <m/>
    <s v="128.205.114.91"/>
    <s v="HC110.P6 -- I25 2013eb"/>
    <s v="339.4/60973"/>
    <d v="2013-08-01T00:00:00"/>
  </r>
  <r>
    <x v="8626"/>
    <d v="1899-12-30T00:01:51"/>
    <x v="1891"/>
    <x v="0"/>
    <s v="Buffalo"/>
    <x v="3"/>
    <n v="822040"/>
    <x v="0"/>
    <s v="Literature; Psychology"/>
    <s v="9781118289099"/>
    <s v=",1,2,3,4,5,6,7,8,9,10,11,12,13,14,15,16,17,18,19,20,202,203,204,200,201"/>
    <n v="25"/>
    <m/>
    <m/>
    <s v="No"/>
    <x v="0"/>
    <d v="2015-08-31T16:54:52"/>
    <n v="7"/>
    <s v="128.205.114.91"/>
    <s v="BF76.7 -- .B447 2012eb"/>
    <s v="808.06/615"/>
    <d v="2012-03-22T00:00:00"/>
  </r>
  <r>
    <x v="8627"/>
    <d v="1899-12-30T00:00:00"/>
    <x v="1891"/>
    <x v="0"/>
    <s v="Buffalo"/>
    <x v="3"/>
    <n v="822040"/>
    <x v="0"/>
    <s v="Literature; Psychology"/>
    <s v="9781118289099"/>
    <m/>
    <n v="0"/>
    <s v=",1"/>
    <m/>
    <s v="No"/>
    <x v="0"/>
    <d v="2015-08-31T16:54:52"/>
    <n v="7"/>
    <s v="128.205.114.91"/>
    <s v="BF76.7 -- .B447 2012eb"/>
    <s v="808.06/615"/>
    <d v="2012-03-22T00:00:00"/>
  </r>
  <r>
    <x v="8628"/>
    <d v="1899-12-30T00:00:24"/>
    <x v="1891"/>
    <x v="0"/>
    <s v="Buffalo"/>
    <x v="3"/>
    <n v="822040"/>
    <x v="0"/>
    <s v="Literature; Psychology"/>
    <s v="9781118289099"/>
    <s v=",1,2,3"/>
    <n v="3"/>
    <m/>
    <m/>
    <s v="No"/>
    <x v="1"/>
    <m/>
    <m/>
    <s v="128.205.114.91"/>
    <s v="BF76.7 -- .B447 2012eb"/>
    <s v="808.06/615"/>
    <d v="2012-03-22T00:00:00"/>
  </r>
  <r>
    <x v="8629"/>
    <d v="1899-12-30T00:01:27"/>
    <x v="1891"/>
    <x v="0"/>
    <s v="Buffalo"/>
    <x v="3"/>
    <n v="822040"/>
    <x v="0"/>
    <s v="Literature; Psychology"/>
    <s v="9781118289099"/>
    <s v=",1,2,3,4,5,6,7,8,6"/>
    <n v="8"/>
    <m/>
    <m/>
    <s v="No"/>
    <x v="1"/>
    <m/>
    <m/>
    <s v="128.205.114.91"/>
    <s v="BF76.7 -- .B447 2012eb"/>
    <s v="808.06/615"/>
    <d v="2012-03-22T00:00:00"/>
  </r>
  <r>
    <x v="8630"/>
    <d v="1899-12-30T00:04:36"/>
    <x v="13"/>
    <x v="0"/>
    <s v="Buffalo"/>
    <x v="873"/>
    <n v="1760725"/>
    <x v="4"/>
    <s v="Medicine"/>
    <s v="9781462517992"/>
    <s v=",77,78,29,30,50,51,52,48,49,53,54,56"/>
    <n v="12"/>
    <m/>
    <s v=",139,140,141,142,143,144,145,146,147,148,149,150,151,152,153,154,155,156,157,158,159,160,161,162,163"/>
    <s v="No"/>
    <x v="2"/>
    <d v="2015-08-31T15:28:09"/>
    <n v="1"/>
    <s v="128.205.114.91"/>
    <s v="RC489.C63 -- .W675 2015eb"/>
    <s v="616.89/142"/>
    <d v="2014-11-10T00:00:00"/>
  </r>
  <r>
    <x v="8631"/>
    <d v="1899-12-30T00:04:01"/>
    <x v="13"/>
    <x v="0"/>
    <s v="Buffalo"/>
    <x v="873"/>
    <n v="1760725"/>
    <x v="4"/>
    <s v="Medicine"/>
    <s v="9781462517992"/>
    <s v=",1,2,3,27,28,29,30,31,32,33,34,35,37,36,38,39,50,51,52,48,53,101,103,104,100,139,140,137,138,193,194,195,257,258,259,255,256,328,329,330,326,351,374,375,399,400,352,353,349,350,141,142,143,144,145,164,165,163,161,162"/>
    <n v="60"/>
    <m/>
    <m/>
    <s v="No"/>
    <x v="3"/>
    <m/>
    <m/>
    <s v="128.205.114.91"/>
    <s v="RC489.C63 -- .W675 2015eb"/>
    <s v="616.89/142"/>
    <d v="2014-11-10T00:00:00"/>
  </r>
  <r>
    <x v="8632"/>
    <d v="1899-12-30T00:00:00"/>
    <x v="1892"/>
    <x v="0"/>
    <s v="Buffalo"/>
    <x v="1746"/>
    <n v="2004807"/>
    <x v="1"/>
    <s v="Social Science"/>
    <s v="9781472429612"/>
    <m/>
    <n v="0"/>
    <m/>
    <s v=",194,195,196,197,198,199,200,201,202,203,204,205,206,207,208,209,210,211,212,213,214,215,216,217"/>
    <s v="No"/>
    <x v="2"/>
    <d v="2015-08-31T15:13:08"/>
    <n v="1"/>
    <s v="128.205.114.91"/>
    <s v="HQ1075 -- .M366 2015eb"/>
    <n v="305.3"/>
    <d v="2015-04-28T00:00:00"/>
  </r>
  <r>
    <x v="8633"/>
    <d v="1899-12-30T00:01:24"/>
    <x v="1892"/>
    <x v="0"/>
    <s v="Buffalo"/>
    <x v="1746"/>
    <n v="2004807"/>
    <x v="1"/>
    <s v="Social Science"/>
    <s v="9781472429612"/>
    <s v=",1,2,3,194,195,196,192,193,197,198,199,200,201,202,203,204,205,207,208,209,210,211,213,214,216,217,218,219,212"/>
    <n v="29"/>
    <m/>
    <m/>
    <s v="No"/>
    <x v="3"/>
    <m/>
    <m/>
    <s v="128.205.114.91"/>
    <s v="HQ1075 -- .M366 2015eb"/>
    <n v="305.3"/>
    <d v="2015-04-28T00:00:00"/>
  </r>
  <r>
    <x v="8634"/>
    <d v="1899-12-30T00:00:26"/>
    <x v="13"/>
    <x v="0"/>
    <s v="Buffalo"/>
    <x v="1726"/>
    <n v="848520"/>
    <x v="0"/>
    <s v="Mathematics"/>
    <s v="9781118274422"/>
    <s v=",2,2,3,3,1,1,39,40,39,36,40,37,37,2,41,41"/>
    <n v="8"/>
    <m/>
    <m/>
    <s v="No"/>
    <x v="1"/>
    <m/>
    <m/>
    <s v="128.205.114.91"/>
    <s v="QA278.2 -- .S4 2003eb"/>
    <s v="519.5/36"/>
    <d v="2012-01-20T00:00:00"/>
  </r>
  <r>
    <x v="8635"/>
    <d v="1899-12-30T00:00:06"/>
    <x v="13"/>
    <x v="0"/>
    <s v="Buffalo"/>
    <x v="1747"/>
    <n v="1812459"/>
    <x v="0"/>
    <s v="Engineering; Engineering: Electrical; Business/Management"/>
    <s v="9781118932216"/>
    <s v=",2,2"/>
    <n v="1"/>
    <m/>
    <m/>
    <s v="Yes"/>
    <x v="0"/>
    <d v="2015-08-31T13:30:34"/>
    <n v="7"/>
    <s v="128.205.114.91"/>
    <s v="TK6570.M6 -- .M344 2014eb"/>
    <n v="384.53"/>
    <d v="2014-10-06T00:00:00"/>
  </r>
  <r>
    <x v="8635"/>
    <d v="1899-12-30T00:00:00"/>
    <x v="13"/>
    <x v="0"/>
    <s v="Buffalo"/>
    <x v="1747"/>
    <n v="1812459"/>
    <x v="0"/>
    <s v="Engineering; Engineering: Electrical; Business/Management"/>
    <s v="9781118932216"/>
    <m/>
    <n v="0"/>
    <m/>
    <m/>
    <s v="No"/>
    <x v="0"/>
    <d v="2015-08-31T13:30:34"/>
    <n v="7"/>
    <s v="128.205.114.91"/>
    <s v="TK6570.M6 -- .M344 2014eb"/>
    <n v="384.53"/>
    <d v="2014-10-06T00:00:00"/>
  </r>
  <r>
    <x v="8636"/>
    <d v="1899-12-30T00:00:16"/>
    <x v="13"/>
    <x v="0"/>
    <s v="Buffalo"/>
    <x v="1747"/>
    <n v="1812459"/>
    <x v="0"/>
    <s v="Engineering; Engineering: Electrical; Business/Management"/>
    <s v="9781118932216"/>
    <s v=",1,1,2,2,3,3,4,4"/>
    <n v="4"/>
    <m/>
    <m/>
    <s v="No"/>
    <x v="1"/>
    <m/>
    <m/>
    <s v="128.205.114.91"/>
    <s v="TK6570.M6 -- .M344 2014eb"/>
    <n v="384.53"/>
    <d v="2014-10-06T00:00:00"/>
  </r>
  <r>
    <x v="8637"/>
    <d v="1899-12-30T00:00:07"/>
    <x v="13"/>
    <x v="0"/>
    <s v="Buffalo"/>
    <x v="935"/>
    <n v="1718748"/>
    <x v="0"/>
    <s v="Mathematics"/>
    <s v="9781118791080"/>
    <s v=",2,2"/>
    <n v="1"/>
    <m/>
    <m/>
    <s v="Yes"/>
    <x v="0"/>
    <d v="2015-08-31T13:29:01"/>
    <n v="7"/>
    <s v="128.205.114.91"/>
    <s v="QA303 -- .R936 2014eb"/>
    <n v="515"/>
    <d v="2014-06-23T00:00:00"/>
  </r>
  <r>
    <x v="8637"/>
    <d v="1899-12-30T00:00:00"/>
    <x v="13"/>
    <x v="0"/>
    <s v="Buffalo"/>
    <x v="935"/>
    <n v="1718748"/>
    <x v="0"/>
    <s v="Mathematics"/>
    <s v="9781118791080"/>
    <m/>
    <n v="0"/>
    <m/>
    <m/>
    <s v="No"/>
    <x v="0"/>
    <d v="2015-08-31T13:29:01"/>
    <n v="7"/>
    <s v="128.205.114.91"/>
    <s v="QA303 -- .R936 2014eb"/>
    <n v="515"/>
    <d v="2014-06-23T00:00:00"/>
  </r>
  <r>
    <x v="8638"/>
    <d v="1899-12-30T00:00:14"/>
    <x v="13"/>
    <x v="0"/>
    <s v="Buffalo"/>
    <x v="935"/>
    <n v="1718748"/>
    <x v="0"/>
    <s v="Mathematics"/>
    <s v="9781118791080"/>
    <s v=",1,2,3,1,3,2"/>
    <n v="3"/>
    <m/>
    <m/>
    <s v="No"/>
    <x v="1"/>
    <m/>
    <m/>
    <s v="128.205.114.91"/>
    <s v="QA303 -- .R936 2014eb"/>
    <n v="515"/>
    <d v="2014-06-23T00:00:00"/>
  </r>
  <r>
    <x v="8639"/>
    <d v="1899-12-30T00:00:03"/>
    <x v="13"/>
    <x v="0"/>
    <s v="Buffalo"/>
    <x v="572"/>
    <n v="1662670"/>
    <x v="0"/>
    <s v="Mathematics; Engineering; Engineering: Civil"/>
    <s v="9781118821251"/>
    <s v=",2,2"/>
    <n v="1"/>
    <m/>
    <m/>
    <s v="Yes"/>
    <x v="0"/>
    <d v="2015-08-31T13:26:19"/>
    <n v="7"/>
    <s v="128.205.114.91"/>
    <s v="TA345.5.M38 M34 2014"/>
    <s v="510.285/53; 510.28553"/>
    <d v="2014-03-26T00:00:00"/>
  </r>
  <r>
    <x v="8639"/>
    <d v="1899-12-30T00:00:00"/>
    <x v="13"/>
    <x v="0"/>
    <s v="Buffalo"/>
    <x v="572"/>
    <n v="1662670"/>
    <x v="0"/>
    <s v="Mathematics; Engineering; Engineering: Civil"/>
    <s v="9781118821251"/>
    <m/>
    <n v="0"/>
    <m/>
    <m/>
    <s v="No"/>
    <x v="0"/>
    <d v="2015-08-31T13:26:19"/>
    <n v="7"/>
    <s v="128.205.114.91"/>
    <s v="TA345.5.M38 M34 2014"/>
    <s v="510.285/53; 510.28553"/>
    <d v="2014-03-26T00:00:00"/>
  </r>
  <r>
    <x v="8640"/>
    <d v="1899-12-30T00:00:19"/>
    <x v="13"/>
    <x v="0"/>
    <s v="Buffalo"/>
    <x v="572"/>
    <n v="1662670"/>
    <x v="0"/>
    <s v="Mathematics; Engineering; Engineering: Civil"/>
    <s v="9781118821251"/>
    <s v=",1,2,2,3,3,1,4,4"/>
    <n v="4"/>
    <m/>
    <m/>
    <s v="No"/>
    <x v="1"/>
    <m/>
    <m/>
    <s v="128.205.114.91"/>
    <s v="TA345.5.M38 M34 2014"/>
    <s v="510.285/53; 510.28553"/>
    <d v="2014-03-26T00:00:00"/>
  </r>
  <r>
    <x v="8641"/>
    <d v="1899-12-30T00:05:38"/>
    <x v="1893"/>
    <x v="0"/>
    <s v="Buffalo"/>
    <x v="958"/>
    <n v="817384"/>
    <x v="0"/>
    <s v="Medicine; Pharmacy; Health"/>
    <s v="9781118160114"/>
    <s v=",33,34,36,37,205,206,207,204,203"/>
    <n v="9"/>
    <m/>
    <m/>
    <s v="No"/>
    <x v="0"/>
    <d v="2015-08-31T00:06:32"/>
    <n v="7"/>
    <s v="128.205.114.91"/>
    <s v="RM237.65 -- .C667 2012eb"/>
    <s v="613.2/82"/>
    <d v="2011-11-02T00:00:00"/>
  </r>
  <r>
    <x v="8642"/>
    <d v="1899-12-30T00:11:04"/>
    <x v="1893"/>
    <x v="0"/>
    <s v="Buffalo"/>
    <x v="958"/>
    <n v="817384"/>
    <x v="0"/>
    <s v="Medicine; Pharmacy; Health"/>
    <s v="9781118160114"/>
    <s v=",1,2,3,4,5,25,26,27,23,24,28,29,30,31,32"/>
    <n v="15"/>
    <m/>
    <m/>
    <s v="No"/>
    <x v="1"/>
    <m/>
    <m/>
    <s v="128.205.114.91"/>
    <s v="RM237.65 -- .C667 2012eb"/>
    <s v="613.2/82"/>
    <d v="2011-11-02T00:00:00"/>
  </r>
  <r>
    <x v="8643"/>
    <d v="1899-12-30T00:00:30"/>
    <x v="1730"/>
    <x v="1"/>
    <s v="brockport"/>
    <x v="1"/>
    <n v="1684620"/>
    <x v="0"/>
    <s v="Health; Social Science"/>
    <s v="9781118418925"/>
    <s v=",1,2,3,7,6,4,5,8,9,10,11,12,13,14,15"/>
    <n v="15"/>
    <m/>
    <m/>
    <s v="No"/>
    <x v="1"/>
    <m/>
    <m/>
    <s v="137.21.7.121"/>
    <s v="RA971 -- .S56 2014eb"/>
    <n v="362.10680000000002"/>
    <d v="2014-04-30T00:00:00"/>
  </r>
  <r>
    <x v="8644"/>
    <d v="1899-12-30T00:00:05"/>
    <x v="26"/>
    <x v="6"/>
    <s v="sjfc"/>
    <x v="1690"/>
    <n v="1760718"/>
    <x v="4"/>
    <s v="Medicine"/>
    <s v="9781462517848"/>
    <s v=",2"/>
    <n v="1"/>
    <s v=",272,2"/>
    <m/>
    <s v="No"/>
    <x v="0"/>
    <d v="2015-08-29T21:56:52"/>
    <n v="7"/>
    <s v="149.69.254.57"/>
    <s v="RJ496.A86 -- A883 2015eb"/>
    <n v="618.92849999999999"/>
    <d v="2015-01-15T00:00:00"/>
  </r>
  <r>
    <x v="8645"/>
    <d v="1899-12-30T00:00:19"/>
    <x v="26"/>
    <x v="6"/>
    <s v="sjfc"/>
    <x v="1690"/>
    <n v="1760718"/>
    <x v="4"/>
    <s v="Medicine"/>
    <s v="9781462517848"/>
    <s v=",1,272,273,274,270,271"/>
    <n v="6"/>
    <m/>
    <m/>
    <s v="No"/>
    <x v="1"/>
    <m/>
    <m/>
    <s v="149.69.254.57"/>
    <s v="RJ496.A86 -- A883 2015eb"/>
    <n v="618.92849999999999"/>
    <d v="2015-01-15T00:00:00"/>
  </r>
  <r>
    <x v="8646"/>
    <d v="1899-12-30T00:00:00"/>
    <x v="26"/>
    <x v="6"/>
    <s v="sjfc"/>
    <x v="1690"/>
    <n v="1760718"/>
    <x v="4"/>
    <s v="Medicine"/>
    <s v="9781462517848"/>
    <m/>
    <n v="0"/>
    <m/>
    <m/>
    <s v="No"/>
    <x v="1"/>
    <m/>
    <m/>
    <s v="149.69.254.57"/>
    <s v="RJ496.A86 -- A883 2015eb"/>
    <n v="618.92849999999999"/>
    <d v="2015-01-15T00:00:00"/>
  </r>
  <r>
    <x v="8647"/>
    <d v="1899-12-30T00:00:00"/>
    <x v="1368"/>
    <x v="0"/>
    <s v="Buffalo"/>
    <x v="31"/>
    <n v="1682559"/>
    <x v="4"/>
    <s v="Medicine"/>
    <s v="9781462515431"/>
    <m/>
    <n v="0"/>
    <m/>
    <m/>
    <s v="Yes"/>
    <x v="0"/>
    <d v="2015-08-29T20:42:55"/>
    <n v="7"/>
    <s v="128.205.114.91"/>
    <s v="RC469 -- .M677 2014eb"/>
    <n v="616.89"/>
    <d v="2014-05-10T00:00:00"/>
  </r>
  <r>
    <x v="8647"/>
    <d v="1899-12-30T00:00:00"/>
    <x v="1368"/>
    <x v="0"/>
    <s v="Buffalo"/>
    <x v="31"/>
    <n v="1682559"/>
    <x v="4"/>
    <s v="Medicine"/>
    <s v="9781462515431"/>
    <m/>
    <n v="0"/>
    <m/>
    <m/>
    <s v="No"/>
    <x v="0"/>
    <d v="2015-08-29T20:42:55"/>
    <n v="7"/>
    <s v="128.205.114.91"/>
    <s v="RC469 -- .M677 2014eb"/>
    <n v="616.89"/>
    <d v="2014-05-10T00:00:00"/>
  </r>
  <r>
    <x v="8648"/>
    <d v="1899-12-30T00:00:33"/>
    <x v="1368"/>
    <x v="0"/>
    <s v="Buffalo"/>
    <x v="31"/>
    <n v="1682559"/>
    <x v="4"/>
    <s v="Medicine"/>
    <s v="9781462515431"/>
    <s v=",1,2,3,9,19,4,5,6"/>
    <n v="8"/>
    <m/>
    <m/>
    <s v="No"/>
    <x v="1"/>
    <m/>
    <m/>
    <s v="128.205.114.91"/>
    <s v="RC469 -- .M677 2014eb"/>
    <n v="616.89"/>
    <d v="2014-05-10T00:00:00"/>
  </r>
  <r>
    <x v="8649"/>
    <d v="1899-12-30T00:00:24"/>
    <x v="1894"/>
    <x v="5"/>
    <s v="erie"/>
    <x v="58"/>
    <n v="822062"/>
    <x v="0"/>
    <s v="Political Science; Literature; Fiction"/>
    <s v="9780857083272"/>
    <s v=",2,1,3,4,33,34,35,31,32,36,7,8,9,5,6"/>
    <n v="15"/>
    <m/>
    <m/>
    <s v="No"/>
    <x v="1"/>
    <m/>
    <m/>
    <s v="199.29.6.54"/>
    <s v="PA4279 -- .R4 2012eb"/>
    <s v="321.07; 321/.07"/>
    <d v="2012-04-26T00:00:00"/>
  </r>
  <r>
    <x v="8650"/>
    <d v="1899-12-30T00:03:12"/>
    <x v="1895"/>
    <x v="0"/>
    <s v="Buffalo"/>
    <x v="1748"/>
    <n v="1777858"/>
    <x v="4"/>
    <s v="Psychology"/>
    <s v="9781462518722"/>
    <s v=",280,281,282,283,284,285,286,289,13,14,15,11,12,16"/>
    <n v="14"/>
    <m/>
    <m/>
    <s v="No"/>
    <x v="2"/>
    <d v="2015-08-29T15:10:54"/>
    <n v="1"/>
    <s v="128.205.114.91"/>
    <s v="BF575.A86 -- .A8195 2015eb"/>
    <n v="155.91999999999999"/>
    <d v="2015-02-23T00:00:00"/>
  </r>
  <r>
    <x v="8651"/>
    <d v="1899-12-30T00:05:06"/>
    <x v="1895"/>
    <x v="0"/>
    <s v="Buffalo"/>
    <x v="1748"/>
    <n v="1777858"/>
    <x v="4"/>
    <s v="Psychology"/>
    <s v="9781462518722"/>
    <s v=",1,2,3,275,276,277,273,274,278,279"/>
    <n v="10"/>
    <m/>
    <m/>
    <s v="No"/>
    <x v="3"/>
    <m/>
    <m/>
    <s v="128.205.114.91"/>
    <s v="BF575.A86 -- .A8195 2015eb"/>
    <n v="155.91999999999999"/>
    <d v="2015-02-23T00:00:00"/>
  </r>
  <r>
    <x v="8652"/>
    <d v="1899-12-30T00:01:13"/>
    <x v="986"/>
    <x v="0"/>
    <s v="Buffalo"/>
    <x v="73"/>
    <n v="1119505"/>
    <x v="0"/>
    <s v="Science: Chemistry; Science"/>
    <s v="9781118355015"/>
    <s v=",1,2,3,1,19"/>
    <n v="4"/>
    <m/>
    <m/>
    <s v="No"/>
    <x v="1"/>
    <m/>
    <m/>
    <s v="128.205.114.91"/>
    <s v="QD251.3 -- .S38 2013eb"/>
    <s v="547/.128"/>
    <d v="2013-01-28T00:00:00"/>
  </r>
  <r>
    <x v="8653"/>
    <d v="1899-12-30T00:01:24"/>
    <x v="986"/>
    <x v="0"/>
    <s v="Buffalo"/>
    <x v="73"/>
    <n v="1119505"/>
    <x v="0"/>
    <s v="Science: Chemistry; Science"/>
    <s v="9781118355015"/>
    <s v=",1,2,3,7,8,28,34,35,36,38,37,39,40,41,49,50,47,51,52,53,55,335,336,337"/>
    <n v="24"/>
    <m/>
    <m/>
    <s v="No"/>
    <x v="1"/>
    <m/>
    <m/>
    <s v="128.205.114.91"/>
    <s v="QD251.3 -- .S38 2013eb"/>
    <s v="547/.128"/>
    <d v="2013-01-28T00:00:00"/>
  </r>
  <r>
    <x v="8654"/>
    <d v="1899-12-30T00:00:51"/>
    <x v="30"/>
    <x v="0"/>
    <s v="Buffalo"/>
    <x v="1726"/>
    <n v="848520"/>
    <x v="0"/>
    <s v="Mathematics"/>
    <s v="9781118274422"/>
    <s v=",1,2,3,328,329,330,331,327,332,333,334,335,336,338"/>
    <n v="14"/>
    <m/>
    <m/>
    <s v="No"/>
    <x v="1"/>
    <m/>
    <m/>
    <s v="128.205.114.91"/>
    <s v="QA278.2 -- .S4 2003eb"/>
    <s v="519.5/36"/>
    <d v="2012-01-20T00:00:00"/>
  </r>
  <r>
    <x v="8655"/>
    <d v="1899-12-30T00:00:00"/>
    <x v="1896"/>
    <x v="0"/>
    <s v="Buffalo"/>
    <x v="41"/>
    <n v="945113"/>
    <x v="0"/>
    <s v="Mathematics"/>
    <s v="9781118359754"/>
    <s v=",311"/>
    <n v="1"/>
    <m/>
    <m/>
    <s v="No"/>
    <x v="0"/>
    <d v="2015-08-28T23:02:17"/>
    <n v="7"/>
    <s v="128.205.114.91"/>
    <s v="QA279.5 -- .L44 2012eb"/>
    <s v="519.5/42"/>
    <d v="2012-06-12T00:00:00"/>
  </r>
  <r>
    <x v="8656"/>
    <d v="1899-12-30T00:18:00"/>
    <x v="1896"/>
    <x v="0"/>
    <s v="Buffalo"/>
    <x v="41"/>
    <n v="945113"/>
    <x v="0"/>
    <s v="Mathematics"/>
    <s v="9781118359754"/>
    <s v=",1,2,3,1,307,307,308,309,305,310,306,103,104,105,101,102"/>
    <n v="14"/>
    <m/>
    <m/>
    <s v="No"/>
    <x v="1"/>
    <m/>
    <m/>
    <s v="128.205.114.91"/>
    <s v="QA279.5 -- .L44 2012eb"/>
    <s v="519.5/42"/>
    <d v="2012-06-12T00:00:00"/>
  </r>
  <r>
    <x v="8657"/>
    <d v="1899-12-30T00:02:08"/>
    <x v="1704"/>
    <x v="0"/>
    <s v="Buffalo"/>
    <x v="1628"/>
    <n v="1173637"/>
    <x v="17"/>
    <s v="Literature"/>
    <s v="9780748676446"/>
    <s v=",1,2,2,1,3,3,4,4,5,5,6,6,7,7,10,11,10,12,11,12,9,8,9,2,67,68,67,69,68,69,65,66,66,110,111,110,112,111,112,108,109,109,141,142,141,143,142,143,178,179,179,182,182,141,142,143,183,183,10,11,12,8,9"/>
    <n v="29"/>
    <m/>
    <m/>
    <s v="No"/>
    <x v="3"/>
    <m/>
    <m/>
    <s v="128.205.114.91"/>
    <s v="PR6045.O72 -- R93 2013eb"/>
    <n v="823.91200000000003"/>
    <d v="2013-03-17T00:00:00"/>
  </r>
  <r>
    <x v="8658"/>
    <d v="1899-12-30T00:03:26"/>
    <x v="242"/>
    <x v="0"/>
    <s v="Buffalo"/>
    <x v="1749"/>
    <n v="1774213"/>
    <x v="1"/>
    <s v="Social Science"/>
    <s v="9781409457282"/>
    <s v=",1,2,3,176,177,178,174,175,112,113,114,110,111,109,107,108,106,115"/>
    <n v="18"/>
    <m/>
    <m/>
    <s v="No"/>
    <x v="3"/>
    <m/>
    <m/>
    <s v="128.205.114.91"/>
    <s v="HT166 -- .E47 2014eb"/>
    <s v="307.1/216"/>
    <d v="2014-10-28T00:00:00"/>
  </r>
  <r>
    <x v="8659"/>
    <d v="1899-12-30T00:00:09"/>
    <x v="213"/>
    <x v="12"/>
    <s v="potsdam"/>
    <x v="1347"/>
    <n v="817838"/>
    <x v="0"/>
    <s v="Mathematics"/>
    <s v="9781118204245"/>
    <s v=",1,2,3"/>
    <n v="3"/>
    <m/>
    <m/>
    <s v="No"/>
    <x v="0"/>
    <d v="2015-08-28T18:12:16"/>
    <n v="7"/>
    <s v="137.143.104.94"/>
    <s v="QA303.2 -- .Z44 2012eb"/>
    <n v="515"/>
    <d v="2011-12-15T00:00:00"/>
  </r>
  <r>
    <x v="8660"/>
    <d v="1899-12-30T00:03:05"/>
    <x v="124"/>
    <x v="0"/>
    <s v="Buffalo"/>
    <x v="1750"/>
    <n v="1768752"/>
    <x v="4"/>
    <s v="Psychology"/>
    <s v="9781462517800"/>
    <s v=",1,2,3,307,308,309,305,306,310,311,312,313,314,315,319,321,322,323,324,318"/>
    <n v="20"/>
    <m/>
    <m/>
    <s v="No"/>
    <x v="1"/>
    <m/>
    <m/>
    <s v="128.205.114.91"/>
    <s v="BF39.2.F32 -- .B769 2015eb"/>
    <n v="150.15195"/>
    <d v="2015-01-02T00:00:00"/>
  </r>
  <r>
    <x v="8661"/>
    <d v="1899-12-30T00:00:04"/>
    <x v="1897"/>
    <x v="12"/>
    <s v="potsdam"/>
    <x v="666"/>
    <n v="817932"/>
    <x v="0"/>
    <s v="Computer Science/IT"/>
    <s v="9781118220146"/>
    <s v=",1,2,3"/>
    <n v="3"/>
    <m/>
    <m/>
    <s v="No"/>
    <x v="1"/>
    <m/>
    <m/>
    <s v="137.143.104.94"/>
    <s v="QA76.73.J38 -- B87 2012eb"/>
    <n v="5.133"/>
    <d v="2012-03-13T00:00:00"/>
  </r>
  <r>
    <x v="8662"/>
    <d v="1899-12-30T00:00:00"/>
    <x v="213"/>
    <x v="12"/>
    <s v="potsdam"/>
    <x v="1347"/>
    <n v="817838"/>
    <x v="0"/>
    <s v="Mathematics"/>
    <s v="9781118204245"/>
    <s v=",174"/>
    <n v="1"/>
    <m/>
    <m/>
    <s v="No"/>
    <x v="0"/>
    <d v="2015-08-28T18:12:16"/>
    <n v="7"/>
    <s v="137.143.104.94"/>
    <s v="QA303.2 -- .Z44 2012eb"/>
    <n v="515"/>
    <d v="2011-12-15T00:00:00"/>
  </r>
  <r>
    <x v="8663"/>
    <d v="1899-12-30T00:11:27"/>
    <x v="213"/>
    <x v="12"/>
    <s v="potsdam"/>
    <x v="1347"/>
    <n v="817838"/>
    <x v="0"/>
    <s v="Mathematics"/>
    <s v="9781118204245"/>
    <s v=",1,2,3,177,176,178,175,179,167,168,169,170,166,171,172,173,172,173"/>
    <n v="16"/>
    <m/>
    <m/>
    <s v="No"/>
    <x v="1"/>
    <m/>
    <m/>
    <s v="137.143.104.94"/>
    <s v="QA303.2 -- .Z44 2012eb"/>
    <n v="515"/>
    <d v="2011-12-15T00:00:00"/>
  </r>
  <r>
    <x v="8664"/>
    <d v="1899-12-30T00:05:22"/>
    <x v="13"/>
    <x v="0"/>
    <s v="Buffalo"/>
    <x v="41"/>
    <n v="945113"/>
    <x v="0"/>
    <s v="Mathematics"/>
    <s v="9781118359754"/>
    <s v=",1,2,3,4,317,318,319,315,316,320,312,313,308,305,309,310,304,1,305,304,306,302,307,309,2,308"/>
    <n v="20"/>
    <m/>
    <m/>
    <s v="No"/>
    <x v="1"/>
    <m/>
    <m/>
    <s v="128.205.114.91"/>
    <s v="QA279.5 -- .L44 2012eb"/>
    <s v="519.5/42"/>
    <d v="2012-06-12T00:00:00"/>
  </r>
  <r>
    <x v="8665"/>
    <d v="1899-12-30T00:00:13"/>
    <x v="13"/>
    <x v="0"/>
    <s v="Buffalo"/>
    <x v="559"/>
    <n v="1217954"/>
    <x v="1"/>
    <s v="Engineering; Engineering: General"/>
    <s v="9781409457558"/>
    <s v=",1,2,3,4,24,25,26,22,27,28,29"/>
    <n v="11"/>
    <m/>
    <m/>
    <s v="No"/>
    <x v="1"/>
    <m/>
    <m/>
    <s v="128.205.114.91"/>
    <s v="T59.7 -- .S73 2013eb"/>
    <s v="620.8/2"/>
    <d v="2013-10-28T00:00:00"/>
  </r>
  <r>
    <x v="8666"/>
    <d v="1899-12-30T00:00:25"/>
    <x v="920"/>
    <x v="0"/>
    <s v="Buffalo"/>
    <x v="111"/>
    <n v="1166322"/>
    <x v="0"/>
    <s v="Architecture"/>
    <s v="9781118418512"/>
    <s v=",1,2,3"/>
    <n v="3"/>
    <m/>
    <m/>
    <s v="No"/>
    <x v="1"/>
    <m/>
    <m/>
    <s v="128.205.114.91"/>
    <s v="NA2000 -- .G76 2013eb"/>
    <n v="720.072"/>
    <d v="2013-04-03T00:00:00"/>
  </r>
  <r>
    <x v="8667"/>
    <d v="1899-12-30T00:02:24"/>
    <x v="26"/>
    <x v="6"/>
    <s v="sjfc"/>
    <x v="839"/>
    <n v="1894285"/>
    <x v="4"/>
    <s v="Education"/>
    <s v="9781462520169"/>
    <s v=",1,2,3,4,5,27,28,29,25,26,30,31,32,33,34"/>
    <n v="15"/>
    <m/>
    <m/>
    <s v="No"/>
    <x v="3"/>
    <m/>
    <m/>
    <s v="149.69.254.57"/>
    <s v="LB1072  -- .H37 2015eb"/>
    <n v="370.15300000000002"/>
    <d v="2015-04-15T00:00:00"/>
  </r>
  <r>
    <x v="8668"/>
    <d v="1899-12-30T00:00:00"/>
    <x v="1861"/>
    <x v="0"/>
    <s v="Buffalo"/>
    <x v="552"/>
    <n v="1294909"/>
    <x v="3"/>
    <s v="Economics; Business/Management"/>
    <s v="9780520956797"/>
    <m/>
    <n v="0"/>
    <m/>
    <m/>
    <s v="Yes"/>
    <x v="0"/>
    <d v="2015-08-27T18:20:06"/>
    <n v="7"/>
    <s v="128.205.114.91"/>
    <s v="HC110.P6 -- I25 2013eb"/>
    <s v="339.4/60973"/>
    <d v="2013-08-01T00:00:00"/>
  </r>
  <r>
    <x v="8669"/>
    <d v="1899-12-30T00:00:05"/>
    <x v="1861"/>
    <x v="0"/>
    <s v="Buffalo"/>
    <x v="552"/>
    <n v="1294909"/>
    <x v="3"/>
    <s v="Economics; Business/Management"/>
    <s v="9780520956797"/>
    <s v=",1,2,2,1,3,3"/>
    <n v="3"/>
    <m/>
    <m/>
    <s v="No"/>
    <x v="0"/>
    <d v="2015-08-27T18:20:06"/>
    <n v="7"/>
    <s v="128.205.114.91"/>
    <s v="HC110.P6 -- I25 2013eb"/>
    <s v="339.4/60973"/>
    <d v="2013-08-01T00:00:00"/>
  </r>
  <r>
    <x v="8670"/>
    <d v="1899-12-30T00:00:00"/>
    <x v="1861"/>
    <x v="0"/>
    <s v="Buffalo"/>
    <x v="552"/>
    <n v="1294909"/>
    <x v="3"/>
    <s v="Economics; Business/Management"/>
    <s v="9780520956797"/>
    <m/>
    <n v="0"/>
    <m/>
    <m/>
    <s v="Yes"/>
    <x v="0"/>
    <d v="2015-08-27T18:20:06"/>
    <n v="7"/>
    <s v="128.205.114.91"/>
    <s v="HC110.P6 -- I25 2013eb"/>
    <s v="339.4/60973"/>
    <d v="2013-08-01T00:00:00"/>
  </r>
  <r>
    <x v="8671"/>
    <d v="1899-12-30T00:00:23"/>
    <x v="1861"/>
    <x v="0"/>
    <s v="Buffalo"/>
    <x v="552"/>
    <n v="1294909"/>
    <x v="3"/>
    <s v="Economics; Business/Management"/>
    <s v="9780520956797"/>
    <s v=",1,1,2,3,2,3,2,2"/>
    <n v="3"/>
    <m/>
    <m/>
    <s v="No"/>
    <x v="0"/>
    <d v="2015-08-27T18:20:06"/>
    <n v="7"/>
    <s v="128.205.114.91"/>
    <s v="HC110.P6 -- I25 2013eb"/>
    <s v="339.4/60973"/>
    <d v="2013-08-01T00:00:00"/>
  </r>
  <r>
    <x v="8672"/>
    <d v="1899-12-30T00:14:36"/>
    <x v="1861"/>
    <x v="0"/>
    <s v="Buffalo"/>
    <x v="552"/>
    <n v="1294909"/>
    <x v="3"/>
    <s v="Economics; Business/Management"/>
    <s v="9780520956797"/>
    <s v=",1,10,11,12,8,9,182,178,179,172,194,1,2,3"/>
    <n v="13"/>
    <m/>
    <s v=",1,2,3,16,17,18,19,20,21,22,23,24,25,26,27,28,29,30,31,32,33,34,35,36,37,38,39,40,41,42,43,44,45,46,47,48,49,50,51,52,53"/>
    <s v="No"/>
    <x v="0"/>
    <d v="2015-08-27T18:20:06"/>
    <n v="7"/>
    <s v="128.205.114.91"/>
    <s v="HC110.P6 -- I25 2013eb"/>
    <s v="339.4/60973"/>
    <d v="2013-08-01T00:00:00"/>
  </r>
  <r>
    <x v="8673"/>
    <d v="1899-12-30T00:01:22"/>
    <x v="1861"/>
    <x v="0"/>
    <s v="Buffalo"/>
    <x v="552"/>
    <n v="1294909"/>
    <x v="3"/>
    <s v="Economics; Business/Management"/>
    <s v="9780520956797"/>
    <s v=",1,4,5,6,2,3,7,8,9,26,27,28,24,29,30,31,32,25,16,15,14,13,11,12"/>
    <n v="24"/>
    <m/>
    <m/>
    <s v="No"/>
    <x v="1"/>
    <m/>
    <m/>
    <s v="128.205.114.91"/>
    <s v="HC110.P6 -- I25 2013eb"/>
    <s v="339.4/60973"/>
    <d v="2013-08-01T00:00:00"/>
  </r>
  <r>
    <x v="8674"/>
    <d v="1899-12-30T00:00:21"/>
    <x v="112"/>
    <x v="0"/>
    <s v="Buffalo"/>
    <x v="509"/>
    <n v="1115640"/>
    <x v="0"/>
    <s v="Engineering: Civil; Engineering: Construction; Engineering"/>
    <s v="9781118419090"/>
    <s v=",1,2,3,4,5,6,7,8,9,10,11,12"/>
    <n v="12"/>
    <m/>
    <m/>
    <s v="No"/>
    <x v="1"/>
    <m/>
    <m/>
    <s v="128.205.114.91"/>
    <s v="TH375 -- .S77 2013eb"/>
    <n v="624"/>
    <d v="2013-01-22T00:00:00"/>
  </r>
  <r>
    <x v="8675"/>
    <d v="1899-12-30T00:30:02"/>
    <x v="26"/>
    <x v="6"/>
    <s v="sjfc"/>
    <x v="997"/>
    <n v="1784948"/>
    <x v="0"/>
    <s v="History"/>
    <s v="9781119022336"/>
    <s v=",13,1,3,4,5,6,7,8,11,12,13,1,4,5,6,7,9,3,10,11,12,8,13,50,51,52,48,49,53"/>
    <n v="18"/>
    <m/>
    <m/>
    <s v="Yes"/>
    <x v="0"/>
    <d v="2015-08-26T20:11:18"/>
    <n v="7"/>
    <s v="149.69.254.57"/>
    <s v="DS835 -- .T686 2013eb"/>
    <n v="952"/>
    <d v="2014-09-11T00:00:00"/>
  </r>
  <r>
    <x v="8675"/>
    <d v="1899-12-30T00:00:00"/>
    <x v="26"/>
    <x v="6"/>
    <s v="sjfc"/>
    <x v="997"/>
    <n v="1784948"/>
    <x v="0"/>
    <s v="History"/>
    <s v="9781119022336"/>
    <m/>
    <n v="0"/>
    <m/>
    <m/>
    <s v="No"/>
    <x v="0"/>
    <d v="2015-08-26T20:11:18"/>
    <n v="7"/>
    <s v="149.69.254.57"/>
    <s v="DS835 -- .T686 2013eb"/>
    <n v="952"/>
    <d v="2014-09-11T00:00:00"/>
  </r>
  <r>
    <x v="8676"/>
    <d v="1899-12-30T00:01:01"/>
    <x v="26"/>
    <x v="6"/>
    <s v="sjfc"/>
    <x v="997"/>
    <n v="1784948"/>
    <x v="0"/>
    <s v="History"/>
    <s v="9781119022336"/>
    <s v=",1,2,3,9,10,8"/>
    <n v="6"/>
    <m/>
    <m/>
    <s v="No"/>
    <x v="1"/>
    <m/>
    <m/>
    <s v="149.69.254.57"/>
    <s v="DS835 -- .T686 2013eb"/>
    <n v="952"/>
    <d v="2014-09-11T00:00:00"/>
  </r>
  <r>
    <x v="8677"/>
    <d v="1899-12-30T00:01:12"/>
    <x v="26"/>
    <x v="6"/>
    <s v="sjfc"/>
    <x v="1399"/>
    <n v="1655942"/>
    <x v="4"/>
    <s v="Medicine"/>
    <s v="9781462513888"/>
    <s v=",1,2,3,4,5,6,7,8,9,10,11,12,13,14,15,16,17,18,19,13"/>
    <n v="19"/>
    <m/>
    <m/>
    <s v="No"/>
    <x v="1"/>
    <m/>
    <m/>
    <s v="149.69.254.57"/>
    <s v="RC557 -- .P756 2014eb"/>
    <n v="616.85830599999997"/>
    <d v="2014-05-14T00:00:00"/>
  </r>
  <r>
    <x v="8678"/>
    <d v="1899-12-30T00:01:04"/>
    <x v="1598"/>
    <x v="1"/>
    <s v="brockport"/>
    <x v="1"/>
    <n v="1684620"/>
    <x v="0"/>
    <s v="Health; Social Science"/>
    <s v="9781118418925"/>
    <s v=",1,2,2,1,3,3,1,4,4,2,2,4,5,5,6,6,7,7,8,8,3,2,1"/>
    <n v="8"/>
    <m/>
    <m/>
    <s v="No"/>
    <x v="1"/>
    <m/>
    <m/>
    <s v="137.21.7.121"/>
    <s v="RA971 -- .S56 2014eb"/>
    <n v="362.10680000000002"/>
    <d v="2014-04-30T00:00:00"/>
  </r>
  <r>
    <x v="8679"/>
    <d v="1899-12-30T00:02:45"/>
    <x v="1898"/>
    <x v="0"/>
    <s v="Buffalo"/>
    <x v="1751"/>
    <n v="832616"/>
    <x v="0"/>
    <s v="Computer Science/IT"/>
    <s v="9781118333532"/>
    <s v=",1,2,3,4,4,5,6,7,8,9,10,11,205,206,207,203,204,208,208,209,210,211,212,19,20,21,18,17,22"/>
    <n v="27"/>
    <m/>
    <m/>
    <s v="No"/>
    <x v="1"/>
    <m/>
    <m/>
    <s v="128.205.114.91"/>
    <s v="QA76.7 -- .A44 2012eb"/>
    <s v="005.369; 005.54"/>
    <d v="2012-05-09T00:00:00"/>
  </r>
  <r>
    <x v="8680"/>
    <d v="1899-12-30T00:00:00"/>
    <x v="1899"/>
    <x v="1"/>
    <s v="brockport"/>
    <x v="207"/>
    <n v="979950"/>
    <x v="14"/>
    <s v="Literature"/>
    <s v="9781476600321"/>
    <m/>
    <n v="0"/>
    <m/>
    <s v=",208,209,210,211,212,213,214,215,216,217"/>
    <s v="No"/>
    <x v="0"/>
    <d v="2015-08-26T15:08:05"/>
    <n v="7"/>
    <s v="137.21.7.121"/>
    <s v="PS3603.O4558 -- Z84 2012eb"/>
    <s v="813/.6"/>
    <d v="2012-07-10T00:00:00"/>
  </r>
  <r>
    <x v="8681"/>
    <d v="1899-12-30T00:00:23"/>
    <x v="1900"/>
    <x v="3"/>
    <s v="canton"/>
    <x v="1752"/>
    <n v="1818242"/>
    <x v="0"/>
    <s v="Computer Science/IT"/>
    <s v="9781118991220"/>
    <s v=",1,2,1,2,3,3,1,30,30,31,31,2,28,29,29"/>
    <n v="7"/>
    <m/>
    <m/>
    <s v="No"/>
    <x v="1"/>
    <m/>
    <m/>
    <s v="137.37.33.33"/>
    <s v="QA76.774"/>
    <n v="5.4459999999999997"/>
    <d v="2014-10-15T00:00:00"/>
  </r>
  <r>
    <x v="8682"/>
    <d v="1899-12-30T00:08:55"/>
    <x v="1899"/>
    <x v="1"/>
    <s v="brockport"/>
    <x v="207"/>
    <n v="979950"/>
    <x v="14"/>
    <s v="Literature"/>
    <s v="9781476600321"/>
    <s v=",1,2,3,4,5,6,208,209,210,207,206,211,199,212,213,214,215,216,217,218,219"/>
    <n v="21"/>
    <m/>
    <m/>
    <s v="No"/>
    <x v="1"/>
    <m/>
    <m/>
    <s v="137.21.7.121"/>
    <s v="PS3603.O4558 -- Z84 2012eb"/>
    <s v="813/.6"/>
    <d v="2012-07-10T00:00:00"/>
  </r>
  <r>
    <x v="8683"/>
    <d v="1899-12-30T01:39:20"/>
    <x v="990"/>
    <x v="0"/>
    <s v="Buffalo"/>
    <x v="74"/>
    <n v="768534"/>
    <x v="10"/>
    <s v="History; Geography/Travel"/>
    <s v="9781400839704"/>
    <s v=",1,2,3,242,243,244,240,241,245,246,247,248,249,250,251,252,253,254,255,256,257,258,259,261,262,263,264,266,268,1,268,269,266,270,267,265,264,263,2,271,272,273,274,275,276,278,279,280,281,282,283,284,285,286,287,288,289,290,291,292,293,294,295,296,297,299,300,301,1,301,302,303,300,298,299,297,296,295,294,2,293,304,305,306,307,308,309,310,311,312,313,314,315,317,318,319,320,321,322,323,324,325,326,327,328,329,330,331,332,333,334,335,336,279,272,266,16,18,14,15,19,20,21,346,348,350,351,352,353,354,356,357,358,359,360,361,362,363,365,366,368,367,364,370,371,372,373,1,373,372,371,370,374,369,368,367,2,375"/>
    <n v="131"/>
    <m/>
    <m/>
    <s v="No"/>
    <x v="1"/>
    <m/>
    <m/>
    <s v="128.205.114.91"/>
    <s v="E839 -- .B59 2012eb"/>
    <s v="909.82/7"/>
    <d v="2011-10-31T00:00:00"/>
  </r>
  <r>
    <x v="8684"/>
    <d v="1899-12-30T00:02:17"/>
    <x v="990"/>
    <x v="0"/>
    <s v="Buffalo"/>
    <x v="74"/>
    <n v="768534"/>
    <x v="10"/>
    <s v="History; Geography/Travel"/>
    <s v="9781400839704"/>
    <s v=",1,2,3,4,242,244,243,240,241,245,246"/>
    <n v="11"/>
    <m/>
    <m/>
    <s v="No"/>
    <x v="1"/>
    <m/>
    <m/>
    <s v="128.205.114.91"/>
    <s v="E839 -- .B59 2012eb"/>
    <s v="909.82/7"/>
    <d v="2011-10-31T00:00:00"/>
  </r>
  <r>
    <x v="8685"/>
    <d v="1899-12-30T00:01:23"/>
    <x v="714"/>
    <x v="12"/>
    <s v="potsdam"/>
    <x v="713"/>
    <n v="565082"/>
    <x v="0"/>
    <s v="Education"/>
    <s v="9781118041567"/>
    <s v=",1,2,3,4,5,6,7,8,9,10,11,12,13,14,15,16,17,19,18,27,29,28,25,26"/>
    <n v="24"/>
    <m/>
    <m/>
    <s v="No"/>
    <x v="1"/>
    <m/>
    <m/>
    <s v="137.143.104.94"/>
    <s v="LB1775 .P25 2010"/>
    <s v="371.1; 371.102"/>
    <d v="2010-06-08T00:00:00"/>
  </r>
  <r>
    <x v="8686"/>
    <d v="1899-12-30T00:02:55"/>
    <x v="714"/>
    <x v="12"/>
    <s v="potsdam"/>
    <x v="713"/>
    <n v="565082"/>
    <x v="0"/>
    <s v="Education"/>
    <s v="9781118041567"/>
    <s v=",1,2,3,4,5,7,1,2"/>
    <n v="6"/>
    <m/>
    <m/>
    <s v="No"/>
    <x v="1"/>
    <m/>
    <m/>
    <s v="137.143.104.94"/>
    <s v="LB1775 .P25 2010"/>
    <s v="371.1; 371.102"/>
    <d v="2010-06-08T00:00:00"/>
  </r>
  <r>
    <x v="8687"/>
    <d v="1899-12-30T00:00:00"/>
    <x v="1901"/>
    <x v="0"/>
    <s v="Buffalo"/>
    <x v="728"/>
    <n v="1872281"/>
    <x v="4"/>
    <s v="Education; Business/Management"/>
    <s v="9781462519606"/>
    <m/>
    <n v="0"/>
    <m/>
    <m/>
    <s v="Yes"/>
    <x v="0"/>
    <d v="2015-08-25T18:39:19"/>
    <n v="7"/>
    <s v="128.205.114.91"/>
    <s v="HD75 -- .P448 2015eb"/>
    <n v="378.101"/>
    <d v="2015-05-26T00:00:00"/>
  </r>
  <r>
    <x v="8688"/>
    <d v="1899-12-30T00:00:29"/>
    <x v="1901"/>
    <x v="0"/>
    <s v="Buffalo"/>
    <x v="728"/>
    <n v="1872281"/>
    <x v="4"/>
    <s v="Education; Business/Management"/>
    <s v="9781462519606"/>
    <s v=",4,5"/>
    <n v="2"/>
    <m/>
    <m/>
    <s v="No"/>
    <x v="0"/>
    <d v="2015-08-25T18:39:19"/>
    <n v="7"/>
    <s v="128.205.114.91"/>
    <s v="HD75 -- .P448 2015eb"/>
    <n v="378.101"/>
    <d v="2015-05-26T00:00:00"/>
  </r>
  <r>
    <x v="8689"/>
    <d v="1899-12-30T00:03:13"/>
    <x v="1901"/>
    <x v="0"/>
    <s v="Buffalo"/>
    <x v="728"/>
    <n v="1872281"/>
    <x v="4"/>
    <s v="Education; Business/Management"/>
    <s v="9781462519606"/>
    <s v=",1,2,3"/>
    <n v="3"/>
    <m/>
    <m/>
    <s v="No"/>
    <x v="3"/>
    <m/>
    <m/>
    <s v="128.205.114.91"/>
    <s v="HD75 -- .P448 2015eb"/>
    <n v="378.101"/>
    <d v="2015-05-26T00:00:00"/>
  </r>
  <r>
    <x v="8690"/>
    <d v="1899-12-30T00:05:40"/>
    <x v="13"/>
    <x v="0"/>
    <s v="Buffalo"/>
    <x v="669"/>
    <n v="1742841"/>
    <x v="4"/>
    <s v="Medicine"/>
    <s v="9781462516445"/>
    <s v=",548,550,546,547,551,551,1,552,553,549,550,2,555,556,557,559,560,561,61,62,63,59,60,64,65,66,67,68,69,70,71,72,73,74,75,76,77,78"/>
    <n v="36"/>
    <m/>
    <m/>
    <s v="No"/>
    <x v="0"/>
    <d v="2015-08-25T18:21:28"/>
    <n v="7"/>
    <s v="128.205.114.91"/>
    <s v="RC537 -- .H3376 2014eb"/>
    <n v="616.85270000000003"/>
    <d v="2014-10-22T00:00:00"/>
  </r>
  <r>
    <x v="8691"/>
    <d v="1899-12-30T00:02:10"/>
    <x v="1902"/>
    <x v="13"/>
    <s v="buffalostate"/>
    <x v="1753"/>
    <n v="1679072"/>
    <x v="11"/>
    <s v="Economics; Environmental Studies; Science; Science: Zoology"/>
    <s v="9780226107547"/>
    <s v=",1,3,2,7,9,4,5,6,8,10,11,12,13,14,15,16,17,18,19,20,21,22"/>
    <n v="22"/>
    <m/>
    <m/>
    <s v="No"/>
    <x v="3"/>
    <m/>
    <m/>
    <s v="136.183.11.43"/>
    <s v="QL737"/>
    <s v="333.95/97"/>
    <d v="2014-05-27T00:00:00"/>
  </r>
  <r>
    <x v="8692"/>
    <d v="1899-12-30T00:10:15"/>
    <x v="13"/>
    <x v="0"/>
    <s v="Buffalo"/>
    <x v="669"/>
    <n v="1742841"/>
    <x v="4"/>
    <s v="Medicine"/>
    <s v="9781462516445"/>
    <s v=",1,2,3,23,24,25,21,22,485,486,490,490,1,488,489,7,8,9,5,6,10,2,11,12,13,14,15,23,24,25,21,22,26,27,28,29,30,31,32,33,34,35,36,37,41,42,43,39,40,44,45,46,47,48,49,50,51,52,53,54,55,56,57,60,61,62,65,65,66,1,63,61,62,59,60,64,65,66,2,67,68,70,71,71,1,72,69,70,2,74,76,77,78,79,80,81,82,83,84,87,100,101,102,104,119,120,121,117,118,122,123,1,127,128,125,126,119,120,121,117,118,122,2,123,124,129,130,132,133,1,133,135,132,1,132,133,134,130,131,135,136,137,139,140,181,2,182,198,200,196,201,197,236,237,234,235,277,273,274,294,291,1,292,293,289,290,1,291,292,288,289,2"/>
    <n v="128"/>
    <m/>
    <m/>
    <s v="No"/>
    <x v="1"/>
    <m/>
    <m/>
    <s v="128.205.114.91"/>
    <s v="RC537 -- .H3376 2014eb"/>
    <n v="616.85270000000003"/>
    <d v="2014-10-22T00:00:00"/>
  </r>
  <r>
    <x v="8693"/>
    <d v="1899-12-30T00:00:22"/>
    <x v="1903"/>
    <x v="7"/>
    <s v="oneonta"/>
    <x v="1692"/>
    <n v="2064569"/>
    <x v="1"/>
    <s v="Architecture"/>
    <s v="9781472439024"/>
    <s v=",1,122,120,121,2"/>
    <n v="5"/>
    <m/>
    <m/>
    <s v="No"/>
    <x v="3"/>
    <m/>
    <m/>
    <s v="137.141.13.2"/>
    <s v="NA6690 .T384 2015"/>
    <s v="727.203774; 727''.6"/>
    <d v="2015-07-28T00:00:00"/>
  </r>
  <r>
    <x v="8694"/>
    <d v="1899-12-30T00:02:03"/>
    <x v="1904"/>
    <x v="0"/>
    <s v="Buffalo"/>
    <x v="1754"/>
    <n v="1404707"/>
    <x v="11"/>
    <s v="Philosophy"/>
    <s v="9780226081328"/>
    <s v=",1,2,3,31,32,33,29,30,34,35"/>
    <n v="10"/>
    <m/>
    <m/>
    <s v="No"/>
    <x v="3"/>
    <m/>
    <m/>
    <s v="128.205.114.91"/>
    <s v="BJ1533"/>
    <s v="179/.9"/>
    <d v="2013-10-18T00:00:00"/>
  </r>
  <r>
    <x v="8695"/>
    <d v="1899-12-30T00:04:32"/>
    <x v="700"/>
    <x v="1"/>
    <s v="brockport"/>
    <x v="207"/>
    <n v="979950"/>
    <x v="14"/>
    <s v="Literature"/>
    <s v="9781476600321"/>
    <s v=",1,242,244,243,240,244,243,241,242,241,1,245,245,2,2,148,149,150,148,146,150,147,149,147,151,151,167,168,167,168,169,165,169,166,166,170,170,208,209,210,209,208,206,210,207,207,211,211,212,212,213,213,208,207,207,1,209,208,205,208,206,206,209,207,1,204,202,203,2,2,242,243,244,242,240,243,241,244,241,245,245,246,246,212,213,214,214,215,215,216,216,217,217"/>
    <n v="37"/>
    <m/>
    <m/>
    <s v="No"/>
    <x v="1"/>
    <m/>
    <m/>
    <s v="137.21.7.121"/>
    <s v="PS3603.O4558 -- Z84 2012eb"/>
    <s v="813/.6"/>
    <d v="2012-07-10T00:00:00"/>
  </r>
  <r>
    <x v="8696"/>
    <d v="1899-12-30T00:00:00"/>
    <x v="609"/>
    <x v="0"/>
    <s v="Buffalo"/>
    <x v="477"/>
    <n v="1120279"/>
    <x v="0"/>
    <s v="Science: Biology/Natural History; Science"/>
    <s v="9781118537671"/>
    <m/>
    <n v="0"/>
    <m/>
    <s v=",7,8,9,10,11,12,13,14,5,6,7,8,9,10,11,12,13,14,15,16,17,16,17,18,19,20,21,22,21,22,23,24,25,26,27,28,29,30,31,30,31,32,33,34,33,34,33,34,35,36,37,38,39,40,41,42,41,42,43,44,43,44,45,46,47,48,49,50,51,52,53,52,53,54,55,56,5,6,7,8,9,10,11,12,13,14,15,16,17,16,17,18,19,20,21,22,21,22,23,24,25,26,27,28,29,30,31,30,31,32,33,34,33,34,33,34,35,36,37,38,39,40,41,42,41,42,43,44"/>
    <s v="No"/>
    <x v="0"/>
    <d v="2015-08-25T15:34:36"/>
    <n v="7"/>
    <s v="128.205.114.91"/>
    <s v="QH371 .K384 2012"/>
    <n v="599.93499999999995"/>
    <d v="2012-11-19T00:00:00"/>
  </r>
  <r>
    <x v="8697"/>
    <d v="1899-12-30T00:03:33"/>
    <x v="609"/>
    <x v="0"/>
    <s v="Buffalo"/>
    <x v="477"/>
    <n v="1120279"/>
    <x v="0"/>
    <s v="Science: Biology/Natural History; Science"/>
    <s v="9781118537671"/>
    <s v=",1,2,3,4,18,20,19"/>
    <n v="7"/>
    <m/>
    <m/>
    <s v="No"/>
    <x v="1"/>
    <m/>
    <m/>
    <s v="128.205.114.91"/>
    <s v="QH371 .K384 2012"/>
    <n v="599.93499999999995"/>
    <d v="2012-11-19T00:00:00"/>
  </r>
  <r>
    <x v="8698"/>
    <d v="1899-12-30T00:00:01"/>
    <x v="1905"/>
    <x v="0"/>
    <s v="Buffalo"/>
    <x v="694"/>
    <n v="697575"/>
    <x v="0"/>
    <s v="Social Science; Health"/>
    <s v="9781118115909"/>
    <s v=",40"/>
    <n v="1"/>
    <m/>
    <m/>
    <s v="No"/>
    <x v="0"/>
    <d v="2015-08-25T14:47:09"/>
    <n v="7"/>
    <s v="128.205.114.91"/>
    <s v="HV687.A2 -- H36 2012eb"/>
    <s v="362.1/0425"/>
    <d v="2011-10-13T00:00:00"/>
  </r>
  <r>
    <x v="8699"/>
    <d v="1899-12-30T00:11:35"/>
    <x v="1905"/>
    <x v="0"/>
    <s v="Buffalo"/>
    <x v="694"/>
    <n v="697575"/>
    <x v="0"/>
    <s v="Social Science; Health"/>
    <s v="9781118115909"/>
    <s v=",1,2,3,15,16,17,13,14,18,23,24,25,21,22,26,27,28,29,30,31,32,33,34,35,36,37,38,39"/>
    <n v="28"/>
    <m/>
    <m/>
    <s v="No"/>
    <x v="1"/>
    <m/>
    <m/>
    <s v="128.205.114.91"/>
    <s v="HV687.A2 -- H36 2012eb"/>
    <s v="362.1/0425"/>
    <d v="2011-10-13T00:00:00"/>
  </r>
  <r>
    <x v="8700"/>
    <d v="1899-12-30T00:00:17"/>
    <x v="1906"/>
    <x v="0"/>
    <s v="Buffalo"/>
    <x v="902"/>
    <n v="1572865"/>
    <x v="5"/>
    <s v="History; Social Science"/>
    <s v="9780814769331"/>
    <s v=",1,2,3,4,5,6,7"/>
    <n v="7"/>
    <m/>
    <m/>
    <s v="No"/>
    <x v="1"/>
    <m/>
    <m/>
    <s v="128.205.114.91"/>
    <s v="E184.A1 -- .R446 2014eb"/>
    <n v="305.800973"/>
    <d v="2014-01-20T00:00:00"/>
  </r>
  <r>
    <x v="8701"/>
    <d v="1899-12-30T00:00:05"/>
    <x v="26"/>
    <x v="6"/>
    <s v="sjfc"/>
    <x v="346"/>
    <n v="827065"/>
    <x v="0"/>
    <s v="Literature"/>
    <s v="9781118306291"/>
    <s v=",1,124,125,126,122,123"/>
    <n v="6"/>
    <m/>
    <m/>
    <s v="No"/>
    <x v="1"/>
    <m/>
    <m/>
    <s v="149.69.254.57"/>
    <s v="PN94 -- .E2 2008eb"/>
    <s v="801/.950904"/>
    <d v="2011-11-30T00:00:00"/>
  </r>
  <r>
    <x v="8702"/>
    <d v="1899-12-30T00:13:19"/>
    <x v="1907"/>
    <x v="0"/>
    <s v="Buffalo"/>
    <x v="1755"/>
    <n v="1742842"/>
    <x v="4"/>
    <s v="Education"/>
    <s v="9781462516810"/>
    <s v=",206,212,213,214,210,211,215,216,217,272,273,274,270,271,275,276,277,278,279,280,281,282,283,284,285,286,287,169,170,171,167,168,166,165,169,164,165,166,162,169,170,171,167,168,175,176,177,173,174,23,24,25,21,22"/>
    <n v="46"/>
    <m/>
    <m/>
    <s v="No"/>
    <x v="2"/>
    <d v="2015-08-24T21:35:06"/>
    <n v="1"/>
    <s v="128.205.114.91"/>
    <s v="LC4713.4 -- .D87 2014eb"/>
    <n v="371.93"/>
    <d v="2014-10-21T00:00:00"/>
  </r>
  <r>
    <x v="8703"/>
    <d v="1899-12-30T00:05:29"/>
    <x v="1907"/>
    <x v="0"/>
    <s v="Buffalo"/>
    <x v="1755"/>
    <n v="1742842"/>
    <x v="4"/>
    <s v="Education"/>
    <s v="9781462516810"/>
    <s v=",1,2,3,1,202,202,203,204,200,201,205"/>
    <n v="9"/>
    <m/>
    <m/>
    <s v="No"/>
    <x v="3"/>
    <m/>
    <m/>
    <s v="128.205.114.91"/>
    <s v="LC4713.4 -- .D87 2014eb"/>
    <n v="371.93"/>
    <d v="2014-10-21T00:00:00"/>
  </r>
  <r>
    <x v="8704"/>
    <d v="1899-12-30T00:05:43"/>
    <x v="1908"/>
    <x v="0"/>
    <s v="Buffalo"/>
    <x v="1321"/>
    <n v="1663561"/>
    <x v="12"/>
    <s v="Social Science"/>
    <s v="9781469617626"/>
    <s v=",1,2,3,10,11,12,8,9,13,14,15,16,17,18,19,20,21,22,23,24,25,26,48,49,47,45,46,50,51,52,422,419,424"/>
    <n v="33"/>
    <m/>
    <m/>
    <s v="No"/>
    <x v="1"/>
    <m/>
    <m/>
    <s v="128.205.114.91"/>
    <s v="GT2884 -- .P455 2014eb"/>
    <s v="394.1/3"/>
    <d v="2014-10-13T00:00:00"/>
  </r>
  <r>
    <x v="8705"/>
    <d v="1899-12-30T00:09:14"/>
    <x v="1908"/>
    <x v="0"/>
    <s v="Buffalo"/>
    <x v="87"/>
    <n v="1597004"/>
    <x v="3"/>
    <s v="Social Science"/>
    <s v="9780520958173"/>
    <s v=",1,18,20,17,2,22,23,24,19,15,13,14,21,25,26,27,28,29,113,114,115,111,112,116"/>
    <n v="24"/>
    <m/>
    <m/>
    <s v="No"/>
    <x v="1"/>
    <m/>
    <m/>
    <s v="128.205.114.91"/>
    <s v="GT2884 -- .D84 2014eb"/>
    <s v="394.1/3"/>
    <d v="2014-05-01T00:00:00"/>
  </r>
  <r>
    <x v="8706"/>
    <d v="1899-12-30T00:00:01"/>
    <x v="13"/>
    <x v="0"/>
    <s v="Buffalo"/>
    <x v="890"/>
    <n v="1784599"/>
    <x v="0"/>
    <s v="Mathematics"/>
    <s v="9781118941119"/>
    <s v=",317,317"/>
    <n v="1"/>
    <m/>
    <m/>
    <s v="No"/>
    <x v="0"/>
    <d v="2015-08-24T14:16:07"/>
    <n v="7"/>
    <s v="128.205.114.91"/>
    <s v="QA276.12 -- .C73 2014eb"/>
    <s v="519.50285/5133"/>
    <d v="2014-09-11T00:00:00"/>
  </r>
  <r>
    <x v="8707"/>
    <d v="1899-12-30T00:11:42"/>
    <x v="13"/>
    <x v="0"/>
    <s v="Buffalo"/>
    <x v="890"/>
    <n v="1784599"/>
    <x v="0"/>
    <s v="Mathematics"/>
    <s v="9781118941119"/>
    <s v=",1,2,2,3,3,1,2,2,313,313,314,315,311,315,312,312,314,308,309,310,309,310,306,308,313,314,315,311,312,308,309,310,306,307,311,312,313,314,315,316,316"/>
    <n v="14"/>
    <m/>
    <m/>
    <s v="No"/>
    <x v="1"/>
    <m/>
    <m/>
    <s v="128.205.114.91"/>
    <s v="QA276.12 -- .C73 2014eb"/>
    <s v="519.50285/5133"/>
    <d v="2014-09-11T00:00:00"/>
  </r>
  <r>
    <x v="8708"/>
    <d v="1899-12-30T00:00:16"/>
    <x v="112"/>
    <x v="0"/>
    <s v="Buffalo"/>
    <x v="509"/>
    <n v="1115640"/>
    <x v="0"/>
    <s v="Engineering: Civil; Engineering: Construction; Engineering"/>
    <s v="9781118419090"/>
    <s v=",1,2,3,4,5,6,7,8,9,10"/>
    <n v="10"/>
    <m/>
    <m/>
    <s v="No"/>
    <x v="1"/>
    <m/>
    <m/>
    <s v="128.205.114.91"/>
    <s v="TH375 -- .S77 2013eb"/>
    <n v="624"/>
    <d v="2013-01-22T00:00:00"/>
  </r>
  <r>
    <x v="8709"/>
    <d v="1899-12-30T01:51:40"/>
    <x v="990"/>
    <x v="0"/>
    <s v="Buffalo"/>
    <x v="74"/>
    <n v="768534"/>
    <x v="10"/>
    <s v="History; Geography/Travel"/>
    <s v="9781400839704"/>
    <s v=",1,2,3,138,139,135,136,134,133,1,133,134,135,131,132,137,138,139,136,2,140,141,142,143,144,145,146,147,148,149,150,151,152,153,154,155,156,157,158,159,160,161,162,163,164,165,166,167,168,169,170,171,172,173,174,175,176,177,178,179,180,181,182,183,185,186,187,188,189,190,191,184,180,179,178,177,176,175,174,173,172,171,170,169,168,167,166,165,164,163,162,161,160,159,158,157,156,155,154,153,152,151,150,149,148,147,146,145,144,143,142,141,140,192,193,194,195,196,197,198,199,200,201,202,203,204,205,206,207,208,209,211,212,213,214,215,216,217,218,219,220,221,222,223,224,225,226,227,228,229,230,231,232,233,234,235,236,237,238,239,240,241,242,243,244,245"/>
    <n v="117"/>
    <m/>
    <m/>
    <s v="No"/>
    <x v="1"/>
    <m/>
    <m/>
    <s v="128.205.114.91"/>
    <s v="E839 -- .B59 2012eb"/>
    <s v="909.82/7"/>
    <d v="2011-10-31T00:00:00"/>
  </r>
  <r>
    <x v="8710"/>
    <d v="1899-12-30T00:00:17"/>
    <x v="1902"/>
    <x v="13"/>
    <s v="buffalostate"/>
    <x v="1700"/>
    <n v="1816987"/>
    <x v="7"/>
    <s v="Science; Science: Biology/Natural History"/>
    <s v="9781780641652"/>
    <s v=",1,2,3,4,5,6,7"/>
    <n v="7"/>
    <m/>
    <m/>
    <s v="No"/>
    <x v="3"/>
    <m/>
    <m/>
    <s v="136.183.11.43"/>
    <s v="QH353 -- .Z575 2014eb"/>
    <s v="578.6/2"/>
    <d v="2014-08-29T00:00:00"/>
  </r>
  <r>
    <x v="8711"/>
    <d v="1899-12-30T00:00:01"/>
    <x v="1909"/>
    <x v="2"/>
    <s v="hilbert"/>
    <x v="1756"/>
    <n v="1590709"/>
    <x v="1"/>
    <s v="Law"/>
    <s v="9781472426024"/>
    <s v=",28,27"/>
    <n v="2"/>
    <m/>
    <m/>
    <s v="No"/>
    <x v="2"/>
    <d v="2015-08-24T02:06:51"/>
    <n v="1"/>
    <s v="72.45.217.43"/>
    <s v="K3791 -- .F477 2014eb"/>
    <s v="344/.1822094"/>
    <d v="2014-07-28T00:00:00"/>
  </r>
  <r>
    <x v="8712"/>
    <d v="1899-12-30T00:10:38"/>
    <x v="1909"/>
    <x v="2"/>
    <s v="hilbert"/>
    <x v="1756"/>
    <n v="1590709"/>
    <x v="1"/>
    <s v="Law"/>
    <s v="9781472426024"/>
    <s v=",1,3,2,32,33,34,35,36,31,30,29"/>
    <n v="11"/>
    <m/>
    <m/>
    <s v="No"/>
    <x v="3"/>
    <m/>
    <m/>
    <s v="72.45.217.43"/>
    <s v="K3791 -- .F477 2014eb"/>
    <s v="344/.1822094"/>
    <d v="2014-07-28T00:00:00"/>
  </r>
  <r>
    <x v="8713"/>
    <d v="1899-12-30T00:04:49"/>
    <x v="1910"/>
    <x v="0"/>
    <s v="Buffalo"/>
    <x v="161"/>
    <n v="821663"/>
    <x v="0"/>
    <s v="Architecture"/>
    <s v="9781118168479"/>
    <s v=",18,21,1,23,24,20,21,2,19,25"/>
    <n v="9"/>
    <m/>
    <m/>
    <s v="No"/>
    <x v="0"/>
    <d v="2015-08-23T22:16:45"/>
    <n v="7"/>
    <s v="128.205.114.91"/>
    <s v="NA2547 -- .S74 2012eb"/>
    <n v="729"/>
    <d v="2012-03-05T00:00:00"/>
  </r>
  <r>
    <x v="8714"/>
    <d v="1899-12-30T00:00:10"/>
    <x v="1373"/>
    <x v="0"/>
    <s v="Buffalo"/>
    <x v="572"/>
    <n v="1662670"/>
    <x v="0"/>
    <s v="Mathematics; Engineering; Engineering: Civil"/>
    <s v="9781118821251"/>
    <s v=",2,2"/>
    <n v="1"/>
    <m/>
    <m/>
    <s v="Yes"/>
    <x v="0"/>
    <d v="2015-08-23T22:04:03"/>
    <n v="7"/>
    <s v="128.205.114.91"/>
    <s v="TA345.5.M38 M34 2014"/>
    <s v="510.285/53; 510.28553"/>
    <d v="2014-03-26T00:00:00"/>
  </r>
  <r>
    <x v="8714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No"/>
    <x v="0"/>
    <d v="2015-08-23T22:04:03"/>
    <n v="7"/>
    <s v="128.205.114.91"/>
    <s v="TA345.5.M38 M34 2014"/>
    <s v="510.285/53; 510.28553"/>
    <d v="2014-03-26T00:00:00"/>
  </r>
  <r>
    <x v="8715"/>
    <d v="1899-12-30T00:12:50"/>
    <x v="1910"/>
    <x v="0"/>
    <s v="Buffalo"/>
    <x v="161"/>
    <n v="821663"/>
    <x v="0"/>
    <s v="Architecture"/>
    <s v="9781118168479"/>
    <s v=",1,2,3,13,15,17,14"/>
    <n v="7"/>
    <m/>
    <m/>
    <s v="No"/>
    <x v="1"/>
    <m/>
    <m/>
    <s v="128.205.114.91"/>
    <s v="NA2547 -- .S74 2012eb"/>
    <n v="729"/>
    <d v="2012-03-05T00:00:00"/>
  </r>
  <r>
    <x v="8716"/>
    <d v="1899-12-30T00:00:13"/>
    <x v="1373"/>
    <x v="0"/>
    <s v="Buffalo"/>
    <x v="572"/>
    <n v="1662670"/>
    <x v="0"/>
    <s v="Mathematics; Engineering; Engineering: Civil"/>
    <s v="9781118821251"/>
    <s v=",1,2,2,3,3,1"/>
    <n v="3"/>
    <m/>
    <m/>
    <s v="No"/>
    <x v="1"/>
    <m/>
    <m/>
    <s v="128.205.114.91"/>
    <s v="TA345.5.M38 M34 2014"/>
    <s v="510.285/53; 510.28553"/>
    <d v="2014-03-26T00:00:00"/>
  </r>
  <r>
    <x v="8717"/>
    <d v="1899-12-30T00:05:57"/>
    <x v="1627"/>
    <x v="0"/>
    <s v="Buffalo"/>
    <x v="1675"/>
    <n v="868340"/>
    <x v="3"/>
    <s v="Social Science; Business/Management; Health"/>
    <s v="9780520950436"/>
    <s v=",1,2,3,1,2,3,489,490,491,487,488,492,687,688,684"/>
    <n v="12"/>
    <m/>
    <m/>
    <s v="No"/>
    <x v="0"/>
    <d v="2015-08-22T20:03:24"/>
    <n v="7"/>
    <s v="128.205.114.91"/>
    <s v="HD9135 -- .P76 2011eb"/>
    <n v="362.29609729999999"/>
    <d v="2012-02-28T00:00:00"/>
  </r>
  <r>
    <x v="8718"/>
    <d v="1899-12-30T00:00:18"/>
    <x v="1911"/>
    <x v="2"/>
    <s v="hilbert"/>
    <x v="1756"/>
    <n v="1590709"/>
    <x v="1"/>
    <s v="Law"/>
    <s v="9781472426024"/>
    <s v=",1,2,3,4,5,6,7,8"/>
    <n v="8"/>
    <m/>
    <m/>
    <s v="No"/>
    <x v="3"/>
    <m/>
    <m/>
    <s v="72.45.217.43"/>
    <s v="K3791 -- .F477 2014eb"/>
    <s v="344/.1822094"/>
    <d v="2014-07-28T00:00:00"/>
  </r>
  <r>
    <x v="8719"/>
    <d v="1899-12-30T00:01:02"/>
    <x v="1912"/>
    <x v="0"/>
    <s v="Buffalo"/>
    <x v="1757"/>
    <n v="832296"/>
    <x v="0"/>
    <s v="Nursing"/>
    <s v="9781119979319"/>
    <s v=",1,2,3,483,484,485,481,482,486"/>
    <n v="9"/>
    <m/>
    <m/>
    <s v="No"/>
    <x v="0"/>
    <d v="2015-08-19T16:16:09"/>
    <n v="7"/>
    <s v="128.205.114.91"/>
    <s v="RT48.6 N67 2012"/>
    <n v="610.73"/>
    <d v="2014-02-05T00:00:00"/>
  </r>
  <r>
    <x v="8720"/>
    <d v="1899-12-30T00:00:21"/>
    <x v="1913"/>
    <x v="13"/>
    <s v="buffalostate"/>
    <x v="1758"/>
    <n v="2031461"/>
    <x v="3"/>
    <s v="History; Geography/Travel"/>
    <s v="9780520961166"/>
    <s v=",1,2,3,4,5"/>
    <n v="5"/>
    <m/>
    <m/>
    <s v="No"/>
    <x v="3"/>
    <m/>
    <m/>
    <s v="136.183.11.43"/>
    <s v="CB245 -- .W513 2015eb"/>
    <s v="909/.09821"/>
    <d v="2015-09-08T00:00:00"/>
  </r>
  <r>
    <x v="8721"/>
    <d v="1899-12-30T00:01:20"/>
    <x v="1914"/>
    <x v="2"/>
    <s v="hilbert"/>
    <x v="1759"/>
    <n v="818042"/>
    <x v="0"/>
    <s v="Business/Management; Computer Science/IT"/>
    <s v="9781118224106"/>
    <s v=",1,2,3,4,5,6,8,9,12,13,14,15,16,17,18,20,21,13,12,11,1"/>
    <n v="18"/>
    <m/>
    <m/>
    <s v="No"/>
    <x v="1"/>
    <m/>
    <m/>
    <s v="72.45.217.43"/>
    <s v="QA76.754 -- .S27 2012eb"/>
    <n v="650.11028499999998"/>
    <d v="2012-02-28T00:00:00"/>
  </r>
  <r>
    <x v="8722"/>
    <d v="1899-12-30T00:01:04"/>
    <x v="1915"/>
    <x v="0"/>
    <s v="Buffalo"/>
    <x v="1760"/>
    <n v="1719905"/>
    <x v="1"/>
    <s v="Psychology; Social Science"/>
    <s v="9781409460817"/>
    <s v=",1,3,4,5,6,7,8,25,26,27,2,23,24,102,103,104,101,100,105,106,107"/>
    <n v="21"/>
    <m/>
    <m/>
    <s v="No"/>
    <x v="3"/>
    <m/>
    <m/>
    <s v="128.205.114.91"/>
    <s v="BF175.5.L55 -- .T46 2014eb"/>
    <s v="302/.1"/>
    <d v="2014-08-28T00:00:00"/>
  </r>
  <r>
    <x v="8723"/>
    <d v="1899-12-30T00:23:30"/>
    <x v="1916"/>
    <x v="0"/>
    <s v="Buffalo"/>
    <x v="1761"/>
    <n v="1869454"/>
    <x v="4"/>
    <s v="Psychology"/>
    <s v="9781462520367"/>
    <s v=",30,31,32,33,34,35,36,37,38,39,40,41,42,43,44,45,46,47,48,49,50,51,52,53,54,55,56,57,58,59,60,61,62,63,64,65,66,67,68,69,70,71,72,73,74,75,76,77,78,79,80,83,84,85,81,82,86,87,88,89,90,91,92,93,94,95,96,97,98,99,100,101,121,122,123,119,120,124,125,126,145,146,147,143,148,144,149,150,151,152,153,154,155,156,157,158,159,160,161,162,163,164,165,166,167,176,177,178,174,175,179,180,181,182,183,184,211,212,213,209,210,214,215,216,217,218,219,220,221"/>
    <n v="129"/>
    <m/>
    <m/>
    <s v="No"/>
    <x v="2"/>
    <d v="2015-08-22T23:36:05"/>
    <n v="1"/>
    <s v="128.205.114.91"/>
    <s v="BF632.5 -- .F668 2015eb"/>
    <n v="158.19999999999999"/>
    <d v="2015-04-13T00:00:00"/>
  </r>
  <r>
    <x v="8724"/>
    <d v="1899-12-30T00:05:01"/>
    <x v="1916"/>
    <x v="0"/>
    <s v="Buffalo"/>
    <x v="1761"/>
    <n v="1869454"/>
    <x v="4"/>
    <s v="Psychology"/>
    <s v="9781462520367"/>
    <s v=",1,2,3,1,2,4,5,6,1,2,3,4,5,6,7,8,9,10,11,12,13,14,15,16,17,18,19,20,21,22,23,24,25,26,27,28,29"/>
    <n v="29"/>
    <m/>
    <m/>
    <s v="No"/>
    <x v="3"/>
    <m/>
    <m/>
    <s v="128.205.114.91"/>
    <s v="BF632.5 -- .F668 2015eb"/>
    <n v="158.19999999999999"/>
    <d v="2015-04-13T00:00:00"/>
  </r>
  <r>
    <x v="8725"/>
    <d v="1899-12-30T00:00:18"/>
    <x v="1916"/>
    <x v="0"/>
    <s v="Buffalo"/>
    <x v="1761"/>
    <n v="1869454"/>
    <x v="4"/>
    <s v="Psychology"/>
    <s v="9781462520367"/>
    <s v=",1,2,3,4,5,6,7,8,9,10,11,12,13"/>
    <n v="13"/>
    <m/>
    <m/>
    <s v="No"/>
    <x v="3"/>
    <m/>
    <m/>
    <s v="128.205.114.91"/>
    <s v="BF632.5 -- .F668 2015eb"/>
    <n v="158.19999999999999"/>
    <d v="2015-04-13T00:00:00"/>
  </r>
  <r>
    <x v="8726"/>
    <d v="1899-12-30T00:22:30"/>
    <x v="1627"/>
    <x v="0"/>
    <s v="Buffalo"/>
    <x v="1675"/>
    <n v="868340"/>
    <x v="3"/>
    <s v="Social Science; Business/Management; Health"/>
    <s v="9780520950436"/>
    <s v=",38,39,158,159,160,156,157,161,162,163,164,165,166,167,168,753,754,755,756,752,751,749,750,740,741,742,738,739,743,744,745,746,747,748,749,750,756,767,768,769,770,766,771,772,773,774,543,544,545,541,542,526,527,528,524,525,496,497,498,455,456,457,464,465,466,467,479,480,481,482,483,484,485,486,487,488,489,490,491,492,74,75,76,72,73,77,372,373,370,374,371,375,358,359,360,356,357"/>
    <n v="94"/>
    <m/>
    <m/>
    <s v="No"/>
    <x v="0"/>
    <d v="2015-08-22T20:03:24"/>
    <n v="7"/>
    <s v="128.205.114.91"/>
    <s v="HD9135 -- .P76 2011eb"/>
    <n v="362.29609729999999"/>
    <d v="2012-02-28T00:00:00"/>
  </r>
  <r>
    <x v="8727"/>
    <d v="1899-12-30T00:10:04"/>
    <x v="1627"/>
    <x v="0"/>
    <s v="Buffalo"/>
    <x v="1675"/>
    <n v="868340"/>
    <x v="3"/>
    <s v="Social Science; Business/Management; Health"/>
    <s v="9780520950436"/>
    <s v=",1,2,3,26,27,28,24,25,2,29,30,31,32,33,34,35,36,37"/>
    <n v="17"/>
    <m/>
    <m/>
    <s v="No"/>
    <x v="1"/>
    <m/>
    <m/>
    <s v="128.205.114.91"/>
    <s v="HD9135 -- .P76 2011eb"/>
    <n v="362.29609729999999"/>
    <d v="2012-02-28T00:00:00"/>
  </r>
  <r>
    <x v="8728"/>
    <d v="1899-12-30T00:04:04"/>
    <x v="133"/>
    <x v="1"/>
    <s v="brockport"/>
    <x v="1"/>
    <n v="1684620"/>
    <x v="0"/>
    <s v="Health; Social Science"/>
    <s v="9781118418925"/>
    <s v=",1,13,14,15,11,12,16,17,18,19,20,21,22,23,24,25,26,2,27,28,29,30,31,32,33,34,35,36,37,38,39,40,41,42,43,44,45,46,47,48,49,50,51,52,53,54,55,56,57,58,59,61,62,63,64,65,66,67,68,69,70,71,72,73,74,75,76,77,78,79,80,81,82,1,2,3,4,5,6,7,8,9,10,11,12"/>
    <n v="81"/>
    <m/>
    <m/>
    <s v="No"/>
    <x v="1"/>
    <m/>
    <m/>
    <s v="137.21.7.121"/>
    <s v="RA971 -- .S56 2014eb"/>
    <n v="362.10680000000002"/>
    <d v="2014-04-30T00:00:00"/>
  </r>
  <r>
    <x v="8729"/>
    <d v="1899-12-30T00:00:04"/>
    <x v="1917"/>
    <x v="0"/>
    <s v="Buffalo"/>
    <x v="23"/>
    <n v="1120063"/>
    <x v="0"/>
    <s v="Architecture"/>
    <s v="9781118418932"/>
    <s v=",1,2,3"/>
    <n v="3"/>
    <m/>
    <m/>
    <s v="No"/>
    <x v="1"/>
    <m/>
    <m/>
    <s v="128.205.114.91"/>
    <s v="NA2540.5 -- .L34 2013eb"/>
    <n v="720.28"/>
    <d v="2013-01-29T00:00:00"/>
  </r>
  <r>
    <x v="8730"/>
    <d v="1899-12-30T00:00:11"/>
    <x v="26"/>
    <x v="6"/>
    <s v="sjfc"/>
    <x v="1088"/>
    <n v="1809240"/>
    <x v="16"/>
    <s v="Social Science"/>
    <s v="9781137393630"/>
    <s v=",1,101,99"/>
    <n v="3"/>
    <m/>
    <m/>
    <s v="No"/>
    <x v="1"/>
    <m/>
    <m/>
    <s v="149.69.254.57"/>
    <s v="HM851 -- .W454 2014eb"/>
    <s v="302.23/1"/>
    <d v="2014-08-22T00:00:00"/>
  </r>
  <r>
    <x v="8731"/>
    <d v="1899-12-30T00:00:08"/>
    <x v="26"/>
    <x v="6"/>
    <s v="sjfc"/>
    <x v="1259"/>
    <n v="817347"/>
    <x v="0"/>
    <s v="Education"/>
    <s v="9781118132241"/>
    <s v=",1,36,38,37,34,35,39"/>
    <n v="7"/>
    <m/>
    <m/>
    <s v="No"/>
    <x v="1"/>
    <m/>
    <m/>
    <s v="149.69.254.57"/>
    <s v="LB2806 -- .L3854 2012eb"/>
    <n v="371.20097299999998"/>
    <d v="2011-10-21T00:00:00"/>
  </r>
  <r>
    <x v="8732"/>
    <d v="1899-12-30T00:06:03"/>
    <x v="1918"/>
    <x v="0"/>
    <s v="Buffalo"/>
    <x v="1762"/>
    <n v="793714"/>
    <x v="4"/>
    <s v="Social Science"/>
    <s v="9781609189709"/>
    <s v=",105,107,104,74,70,71,72,68,69,97,108"/>
    <n v="11"/>
    <m/>
    <s v=",98,99,100,101,102,103,104,105,106,107,108,109,110,111,112,113"/>
    <s v="Yes"/>
    <x v="0"/>
    <d v="2015-08-21T08:10:36"/>
    <n v="7"/>
    <s v="128.205.114.91"/>
    <s v="HV40 -- .H629 2012eb"/>
    <s v="361.3/22"/>
    <d v="2011-10-13T00:00:00"/>
  </r>
  <r>
    <x v="8732"/>
    <d v="1899-12-30T00:00:00"/>
    <x v="1918"/>
    <x v="0"/>
    <s v="Buffalo"/>
    <x v="1762"/>
    <n v="793714"/>
    <x v="4"/>
    <s v="Social Science"/>
    <s v="9781609189709"/>
    <m/>
    <n v="0"/>
    <m/>
    <m/>
    <s v="No"/>
    <x v="0"/>
    <d v="2015-08-21T08:10:36"/>
    <n v="7"/>
    <s v="128.205.114.91"/>
    <s v="HV40 -- .H629 2012eb"/>
    <s v="361.3/22"/>
    <d v="2011-10-13T00:00:00"/>
  </r>
  <r>
    <x v="8733"/>
    <d v="1899-12-30T00:01:38"/>
    <x v="1918"/>
    <x v="0"/>
    <s v="Buffalo"/>
    <x v="1762"/>
    <n v="793714"/>
    <x v="4"/>
    <s v="Social Science"/>
    <s v="9781609189709"/>
    <s v=",1,2,3,98,99,100,96,101,102,103"/>
    <n v="10"/>
    <m/>
    <m/>
    <s v="No"/>
    <x v="1"/>
    <m/>
    <m/>
    <s v="128.205.114.91"/>
    <s v="HV40 -- .H629 2012eb"/>
    <s v="361.3/22"/>
    <d v="2011-10-13T00:00:00"/>
  </r>
  <r>
    <x v="8734"/>
    <d v="1899-12-30T00:00:33"/>
    <x v="1919"/>
    <x v="0"/>
    <s v="Buffalo"/>
    <x v="3"/>
    <n v="822040"/>
    <x v="0"/>
    <s v="Literature; Psychology"/>
    <s v="9781118289099"/>
    <s v=",1,2,3,4,5,6,7,8,9,10,11,12,13,14,15,16,17,18,19,20,21,22,23,24"/>
    <n v="24"/>
    <m/>
    <m/>
    <s v="No"/>
    <x v="1"/>
    <m/>
    <m/>
    <s v="128.205.114.91"/>
    <s v="BF76.7 -- .B447 2012eb"/>
    <s v="808.06/615"/>
    <d v="2012-03-22T00:00:00"/>
  </r>
  <r>
    <x v="8735"/>
    <d v="1899-12-30T00:00:31"/>
    <x v="1920"/>
    <x v="12"/>
    <s v="potsdam"/>
    <x v="537"/>
    <n v="1710992"/>
    <x v="3"/>
    <s v="Social Science"/>
    <s v="9780520959125"/>
    <s v=",1,2,3,4,5,6,7,8,9,10,11,12,13,14"/>
    <n v="14"/>
    <m/>
    <m/>
    <s v="No"/>
    <x v="3"/>
    <m/>
    <m/>
    <s v="137.143.104.94"/>
    <s v="GR340 -- .F66 2015eb"/>
    <n v="398.209"/>
    <d v="2015-01-14T00:00:00"/>
  </r>
  <r>
    <x v="8736"/>
    <d v="1899-12-30T00:00:24"/>
    <x v="1921"/>
    <x v="13"/>
    <s v="buffalostate"/>
    <x v="1750"/>
    <n v="1768752"/>
    <x v="4"/>
    <s v="Psychology"/>
    <s v="9781462517800"/>
    <s v=",1,2,2,3,1,3,56,57,58,58,56,54,57,55,55,2,53"/>
    <n v="9"/>
    <m/>
    <m/>
    <s v="No"/>
    <x v="0"/>
    <d v="2015-08-20T17:43:20"/>
    <n v="7"/>
    <s v="136.183.11.43"/>
    <s v="BF39.2.F32 -- .B769 2015eb"/>
    <n v="150.15195"/>
    <d v="2015-01-02T00:00:00"/>
  </r>
  <r>
    <x v="8737"/>
    <d v="1899-12-30T00:02:38"/>
    <x v="1921"/>
    <x v="13"/>
    <s v="buffalostate"/>
    <x v="1750"/>
    <n v="1768752"/>
    <x v="4"/>
    <s v="Psychology"/>
    <s v="9781462517800"/>
    <s v=",166,165,170,171,172,173,174,169,168,167,166,165,170,171,172,173,174,175,176,177,178,179"/>
    <n v="15"/>
    <m/>
    <m/>
    <s v="No"/>
    <x v="0"/>
    <d v="2015-08-20T17:43:20"/>
    <n v="7"/>
    <s v="136.183.11.43"/>
    <s v="BF39.2.F32 -- .B769 2015eb"/>
    <n v="150.15195"/>
    <d v="2015-01-02T00:00:00"/>
  </r>
  <r>
    <x v="8738"/>
    <d v="1899-12-30T00:00:20"/>
    <x v="13"/>
    <x v="0"/>
    <s v="Buffalo"/>
    <x v="6"/>
    <n v="1635363"/>
    <x v="0"/>
    <s v="Law"/>
    <s v="9781118678206"/>
    <s v=",1,2,3,35,36,37,33,34,169"/>
    <n v="9"/>
    <m/>
    <m/>
    <s v="No"/>
    <x v="1"/>
    <m/>
    <m/>
    <s v="128.205.114.91"/>
    <s v="KF285.Z9 -- H38 2014eb"/>
    <n v="340.07600000000002"/>
    <d v="2014-02-14T00:00:00"/>
  </r>
  <r>
    <x v="8739"/>
    <d v="1899-12-30T00:10:01"/>
    <x v="1921"/>
    <x v="13"/>
    <s v="buffalostate"/>
    <x v="1750"/>
    <n v="1768752"/>
    <x v="4"/>
    <s v="Psychology"/>
    <s v="9781462517800"/>
    <s v=",1,1,2,2,3,3,4,4,5,5,6,6,2,2,177,177,178,179,178,179,175,176,176,180,180,181,181,182,182,183,183,178,183,178,177,176,175,174,173,174,175,176,177,178,179,180,175,180,181,182,177,176,175,174,173,172,171,170,169,166,167,167,165,169,170,168,168,171,172,173,174,175,176,177,178,179,180,181,182,183,178,177,176,175,180,181,182,183,178,177,176,175,180,181,182,183,178,176,177,175,174,173,172,170,171,169,168,167"/>
    <n v="25"/>
    <m/>
    <m/>
    <s v="No"/>
    <x v="1"/>
    <m/>
    <m/>
    <s v="136.183.11.43"/>
    <s v="BF39.2.F32 -- .B769 2015eb"/>
    <n v="150.15195"/>
    <d v="2015-01-02T00:00:00"/>
  </r>
  <r>
    <x v="8740"/>
    <d v="1899-12-30T00:00:18"/>
    <x v="1922"/>
    <x v="0"/>
    <s v="Buffalo"/>
    <x v="16"/>
    <n v="877717"/>
    <x v="6"/>
    <s v="Fine Arts"/>
    <s v="9781438139265"/>
    <s v=",1,2,3,4,5,6,7,8,9,10"/>
    <n v="10"/>
    <m/>
    <m/>
    <s v="No"/>
    <x v="1"/>
    <m/>
    <m/>
    <s v="128.205.114.91"/>
    <s v="PN1998.3.M577 -- L46 2012eb"/>
    <s v="791.4302/33092; B"/>
    <d v="2012-01-01T00:00:00"/>
  </r>
  <r>
    <x v="8741"/>
    <d v="1899-12-30T00:06:38"/>
    <x v="547"/>
    <x v="1"/>
    <s v="brockport"/>
    <x v="1"/>
    <n v="1684620"/>
    <x v="0"/>
    <s v="Health; Social Science"/>
    <s v="9781118418925"/>
    <s v=",44,45,46,47,48,49,50,51,52,53,55,56"/>
    <n v="12"/>
    <m/>
    <s v=",31,32,33,34,35,36,37,38,39,40,41,43,44,45,46,47,48,49,50,51,52,53"/>
    <s v="No"/>
    <x v="0"/>
    <d v="2015-08-19T21:37:31"/>
    <n v="7"/>
    <s v="137.21.7.121"/>
    <s v="RA971 -- .S56 2014eb"/>
    <n v="362.10680000000002"/>
    <d v="2014-04-30T00:00:00"/>
  </r>
  <r>
    <x v="8742"/>
    <d v="1899-12-30T00:00:53"/>
    <x v="547"/>
    <x v="1"/>
    <s v="brockport"/>
    <x v="1"/>
    <n v="1684620"/>
    <x v="0"/>
    <s v="Health; Social Science"/>
    <s v="9781118418925"/>
    <s v=",1,2,3,26,27,28,24,25,31,32,33,29,30,38,39,40,36,37,41,42,43,44"/>
    <n v="22"/>
    <m/>
    <m/>
    <s v="No"/>
    <x v="1"/>
    <m/>
    <m/>
    <s v="137.21.7.121"/>
    <s v="RA971 -- .S56 2014eb"/>
    <n v="362.10680000000002"/>
    <d v="2014-04-30T00:00:00"/>
  </r>
  <r>
    <x v="8743"/>
    <d v="1899-12-30T00:01:36"/>
    <x v="547"/>
    <x v="1"/>
    <s v="brockport"/>
    <x v="1"/>
    <n v="1684620"/>
    <x v="0"/>
    <s v="Health; Social Science"/>
    <s v="9781118418925"/>
    <s v=",1,1,2,3,2,3,4,4,5,5,6,6,2,2,7,7,8,8,9,9,10,10,11,11,12,12,13,14,13,14,15,15,16,11,16"/>
    <n v="16"/>
    <m/>
    <m/>
    <s v="No"/>
    <x v="1"/>
    <m/>
    <m/>
    <s v="137.21.7.121"/>
    <s v="RA971 -- .S56 2014eb"/>
    <n v="362.10680000000002"/>
    <d v="2014-04-30T00:00:00"/>
  </r>
  <r>
    <x v="8744"/>
    <d v="1899-12-30T00:01:04"/>
    <x v="1923"/>
    <x v="0"/>
    <s v="Buffalo"/>
    <x v="1259"/>
    <n v="817347"/>
    <x v="0"/>
    <s v="Education"/>
    <s v="9781118132241"/>
    <s v=",1,2,2,3,3,1,4,4,1,2,2,5,5,6,7,7,25,26,26"/>
    <n v="9"/>
    <m/>
    <m/>
    <s v="No"/>
    <x v="1"/>
    <m/>
    <m/>
    <s v="128.205.114.91"/>
    <s v="LB2806 -- .L3854 2012eb"/>
    <n v="371.20097299999998"/>
    <d v="2011-10-21T00:00:00"/>
  </r>
  <r>
    <x v="8745"/>
    <d v="1899-12-30T00:32:14"/>
    <x v="425"/>
    <x v="0"/>
    <s v="Buffalo"/>
    <x v="1609"/>
    <n v="1711036"/>
    <x v="3"/>
    <s v="Health; Home Economics"/>
    <s v="9780520959347"/>
    <s v=",1,2,3,301,302,303,304,300,305,306,307,308,309,310,311,312,313,314,315,316,317,318,319,320,321,322,323,324,325,326,301,303,299,300,302,145,146,147,143,144,167,168,169,165,166,164,145,147,143,144,365,366,367,363,364,368,369,370,371,372,373,374,375,376,377,378,379,380,381,382,383,384,385,386,387,388,389,390,384,390"/>
    <n v="70"/>
    <s v=",365,366,367,368,369,370,371,372,372,373,374,375,376,377,378,379,380,381,382,383,384,385"/>
    <s v=",1,2,3,7,145,146,147,148,149,150,151,152,153,154,155,156,157,158,159,160,161,162,163,164,165,166,301,302,303,304,305,306,307,308,309,310,311,312,313,314,315,316,317,318,319,320,321,322,323,324,325,1,2,3,7,26,27,28,29,30,31,32,33,34,35,36,37,38,39,40,41,42,43,145,146,147,148,149,150,151,152,153,154,155,156,157,158,159,160,161,162,163,164,165,166,301,302,303,304,305,306,307,308,309,310,311,312,313,314,315,316,317,318,319,320,321,322,323,324,325,386,387,388"/>
    <s v="No"/>
    <x v="2"/>
    <d v="2015-08-19T14:07:16"/>
    <n v="1"/>
    <s v="128.205.114.91"/>
    <s v="TX353 -- .F644 2014eb"/>
    <n v="641.29999999999995"/>
    <d v="2014-11-24T00:00:00"/>
  </r>
  <r>
    <x v="8746"/>
    <d v="1899-12-30T00:25:57"/>
    <x v="1912"/>
    <x v="0"/>
    <s v="Buffalo"/>
    <x v="1757"/>
    <n v="832296"/>
    <x v="0"/>
    <s v="Nursing"/>
    <s v="9781119979319"/>
    <s v=",1,2,3,483,481,482,483,483,486"/>
    <n v="7"/>
    <m/>
    <m/>
    <s v="No"/>
    <x v="0"/>
    <d v="2015-08-19T16:16:09"/>
    <n v="7"/>
    <s v="128.205.114.91"/>
    <s v="RT48.6 N67 2012"/>
    <n v="610.73"/>
    <d v="2014-02-05T00:00:00"/>
  </r>
  <r>
    <x v="8747"/>
    <d v="1899-12-30T00:02:07"/>
    <x v="1912"/>
    <x v="0"/>
    <s v="Buffalo"/>
    <x v="1757"/>
    <n v="832296"/>
    <x v="0"/>
    <s v="Nursing"/>
    <s v="9781119979319"/>
    <s v=",15,16,12,13,486"/>
    <n v="5"/>
    <m/>
    <m/>
    <s v="No"/>
    <x v="0"/>
    <d v="2015-08-19T16:16:09"/>
    <n v="7"/>
    <s v="128.205.114.91"/>
    <s v="RT48.6 N67 2012"/>
    <n v="610.73"/>
    <d v="2014-02-05T00:00:00"/>
  </r>
  <r>
    <x v="8748"/>
    <d v="1899-12-30T00:11:38"/>
    <x v="1912"/>
    <x v="0"/>
    <s v="Buffalo"/>
    <x v="1757"/>
    <n v="832296"/>
    <x v="0"/>
    <s v="Nursing"/>
    <s v="9781119979319"/>
    <s v=",1,2,3,483,485,481,482,484,487,486,480,541,542,543,539,540,538,537,536,541,544,884,886,885,882,883,881,879,880,878,876,877,875,480,478,479,526,527,528,524,525,522,523,521,526,529,756,758,757,754,755,568,569,570,566,567,14,15,16,12,13,483,486,192,193,191,194,190"/>
    <n v="63"/>
    <m/>
    <m/>
    <s v="No"/>
    <x v="1"/>
    <m/>
    <m/>
    <s v="128.205.114.91"/>
    <s v="RT48.6 N67 2012"/>
    <n v="610.73"/>
    <d v="2014-02-05T00:00:00"/>
  </r>
  <r>
    <x v="8749"/>
    <d v="1899-12-30T00:00:02"/>
    <x v="425"/>
    <x v="0"/>
    <s v="Buffalo"/>
    <x v="1609"/>
    <n v="1711036"/>
    <x v="3"/>
    <s v="Health; Home Economics"/>
    <s v="9780520959347"/>
    <s v=",301,302,303,299,300"/>
    <n v="5"/>
    <s v=",301"/>
    <m/>
    <s v="No"/>
    <x v="2"/>
    <d v="2015-08-19T14:07:16"/>
    <n v="1"/>
    <s v="128.205.114.91"/>
    <s v="TX353 -- .F644 2014eb"/>
    <n v="641.29999999999995"/>
    <d v="2014-11-24T00:00:00"/>
  </r>
  <r>
    <x v="8750"/>
    <d v="1899-12-30T00:07:24"/>
    <x v="425"/>
    <x v="0"/>
    <s v="Buffalo"/>
    <x v="1609"/>
    <n v="1711036"/>
    <x v="3"/>
    <s v="Health; Home Economics"/>
    <s v="9780520959347"/>
    <s v=",2,1,3"/>
    <n v="3"/>
    <m/>
    <m/>
    <s v="No"/>
    <x v="3"/>
    <m/>
    <m/>
    <s v="128.205.114.91"/>
    <s v="TX353 -- .F644 2014eb"/>
    <n v="641.29999999999995"/>
    <d v="2014-11-24T00:00:00"/>
  </r>
  <r>
    <x v="8751"/>
    <d v="1899-12-30T00:17:39"/>
    <x v="421"/>
    <x v="2"/>
    <s v="hilbert"/>
    <x v="1763"/>
    <n v="1887309"/>
    <x v="1"/>
    <s v="History"/>
    <s v="9781472430571"/>
    <s v=",1,2,3,4,5,6,7,8,9,10,12,14,15,17,18,19,20,21,22,23"/>
    <n v="20"/>
    <m/>
    <m/>
    <s v="No"/>
    <x v="2"/>
    <d v="2015-08-19T13:10:08"/>
    <n v="1"/>
    <s v="72.45.217.43"/>
    <s v="D511 -- .G373 2015eb"/>
    <s v="940.3/11"/>
    <d v="2015-02-28T00:00:00"/>
  </r>
  <r>
    <x v="8752"/>
    <d v="1899-12-30T00:00:02"/>
    <x v="421"/>
    <x v="2"/>
    <s v="hilbert"/>
    <x v="1763"/>
    <n v="1887309"/>
    <x v="1"/>
    <s v="History"/>
    <s v="9781472430571"/>
    <m/>
    <n v="0"/>
    <m/>
    <m/>
    <s v="No"/>
    <x v="3"/>
    <m/>
    <m/>
    <s v="72.45.217.43"/>
    <s v="D511 -- .G373 2015eb"/>
    <s v="940.3/11"/>
    <d v="2015-02-28T00:00:00"/>
  </r>
  <r>
    <x v="8753"/>
    <d v="1899-12-30T00:00:22"/>
    <x v="445"/>
    <x v="0"/>
    <s v="Buffalo"/>
    <x v="477"/>
    <n v="1120279"/>
    <x v="0"/>
    <s v="Science: Biology/Natural History; Science"/>
    <s v="9781118537671"/>
    <s v=",1,2,3,265,266,267,268,264"/>
    <n v="8"/>
    <m/>
    <m/>
    <s v="No"/>
    <x v="0"/>
    <d v="2015-08-12T21:56:05"/>
    <n v="7"/>
    <s v="128.205.114.91"/>
    <s v="QH371 .K384 2012"/>
    <n v="599.93499999999995"/>
    <d v="2012-11-19T00:00:00"/>
  </r>
  <r>
    <x v="8754"/>
    <d v="1899-12-30T00:00:03"/>
    <x v="445"/>
    <x v="0"/>
    <s v="Buffalo"/>
    <x v="477"/>
    <n v="1120279"/>
    <x v="0"/>
    <s v="Science: Biology/Natural History; Science"/>
    <s v="9781118537671"/>
    <s v=",1"/>
    <n v="1"/>
    <m/>
    <m/>
    <s v="No"/>
    <x v="0"/>
    <d v="2015-08-12T21:56:05"/>
    <n v="7"/>
    <s v="128.205.114.91"/>
    <s v="QH371 .K384 2012"/>
    <n v="599.93499999999995"/>
    <d v="2012-11-19T00:00:00"/>
  </r>
  <r>
    <x v="8755"/>
    <d v="1899-12-30T00:10:49"/>
    <x v="1924"/>
    <x v="1"/>
    <s v="brockport"/>
    <x v="11"/>
    <n v="693176"/>
    <x v="0"/>
    <s v="Engineering: Manufacturing; General Works/Reference; Engineering"/>
    <s v="9781118017746"/>
    <s v=",1,2,3,4,5,6,7,8,9,10,11,12,13,14,15,16,17,18,19,20,18,19,16,20,17,21,22,23,24,25,26,27"/>
    <n v="27"/>
    <m/>
    <m/>
    <s v="No"/>
    <x v="0"/>
    <d v="2015-08-18T23:24:51"/>
    <n v="7"/>
    <s v="137.21.7.121"/>
    <s v="Z246 -- .M43 2012eb"/>
    <s v="686.2/209"/>
    <d v="2011-10-19T00:00:00"/>
  </r>
  <r>
    <x v="8756"/>
    <d v="1899-12-30T00:00:25"/>
    <x v="1924"/>
    <x v="1"/>
    <s v="brockport"/>
    <x v="11"/>
    <n v="693176"/>
    <x v="0"/>
    <s v="Engineering: Manufacturing; General Works/Reference; Engineering"/>
    <s v="9781118017746"/>
    <s v=",1,2,3,7,8,9,5,6,10,11,12"/>
    <n v="11"/>
    <m/>
    <m/>
    <s v="No"/>
    <x v="0"/>
    <d v="2015-08-18T23:24:51"/>
    <n v="7"/>
    <s v="137.21.7.121"/>
    <s v="Z246 -- .M43 2012eb"/>
    <s v="686.2/209"/>
    <d v="2011-10-19T00:00:00"/>
  </r>
  <r>
    <x v="8757"/>
    <d v="1899-12-30T00:00:00"/>
    <x v="1924"/>
    <x v="1"/>
    <s v="brockport"/>
    <x v="11"/>
    <n v="693176"/>
    <x v="0"/>
    <s v="Engineering: Manufacturing; General Works/Reference; Engineering"/>
    <s v="9781118017746"/>
    <s v=",12"/>
    <n v="1"/>
    <m/>
    <m/>
    <s v="No"/>
    <x v="0"/>
    <d v="2015-08-18T23:24:51"/>
    <n v="7"/>
    <s v="137.21.7.121"/>
    <s v="Z246 -- .M43 2012eb"/>
    <s v="686.2/209"/>
    <d v="2011-10-19T00:00:00"/>
  </r>
  <r>
    <x v="8758"/>
    <d v="1899-12-30T00:09:56"/>
    <x v="1924"/>
    <x v="1"/>
    <s v="brockport"/>
    <x v="11"/>
    <n v="693176"/>
    <x v="0"/>
    <s v="Engineering: Manufacturing; General Works/Reference; Engineering"/>
    <s v="9781118017746"/>
    <s v=",1,2,3,1,2,3,4,5,6,7,8,9,10,8,9,10,6,7,8,8,11"/>
    <n v="11"/>
    <m/>
    <m/>
    <s v="No"/>
    <x v="1"/>
    <m/>
    <m/>
    <s v="137.21.7.121"/>
    <s v="Z246 -- .M43 2012eb"/>
    <s v="686.2/209"/>
    <d v="2011-10-19T00:00:00"/>
  </r>
  <r>
    <x v="8759"/>
    <d v="1899-12-30T00:00:50"/>
    <x v="1924"/>
    <x v="1"/>
    <s v="brockport"/>
    <x v="11"/>
    <n v="693176"/>
    <x v="0"/>
    <s v="Engineering: Manufacturing; General Works/Reference; Engineering"/>
    <s v="9781118017746"/>
    <s v=",1,3,3,2,2,1,4,4,2,2,4,5,5,7,6,7,1,6,2"/>
    <n v="7"/>
    <m/>
    <m/>
    <s v="No"/>
    <x v="1"/>
    <m/>
    <m/>
    <s v="137.21.7.121"/>
    <s v="Z246 -- .M43 2012eb"/>
    <s v="686.2/209"/>
    <d v="2011-10-19T00:00:00"/>
  </r>
  <r>
    <x v="8760"/>
    <d v="1899-12-30T00:00:20"/>
    <x v="1901"/>
    <x v="0"/>
    <s v="Buffalo"/>
    <x v="728"/>
    <n v="1872281"/>
    <x v="4"/>
    <s v="Education; Business/Management"/>
    <s v="9781462519606"/>
    <s v=",1,2,3,4,5,6,7"/>
    <n v="7"/>
    <m/>
    <m/>
    <s v="No"/>
    <x v="2"/>
    <d v="2015-08-18T14:55:55"/>
    <n v="1"/>
    <s v="128.205.114.91"/>
    <s v="HD75 -- .P448 2015eb"/>
    <n v="378.101"/>
    <d v="2015-05-26T00:00:00"/>
  </r>
  <r>
    <x v="8761"/>
    <d v="1899-12-30T00:02:23"/>
    <x v="1901"/>
    <x v="0"/>
    <s v="Buffalo"/>
    <x v="728"/>
    <n v="1872281"/>
    <x v="4"/>
    <s v="Education; Business/Management"/>
    <s v="9781462519606"/>
    <s v=",41,41"/>
    <n v="1"/>
    <m/>
    <s v=",13,14,15,16,17,18,19,20,21,22,23,24,25,26,27,28,29,30,31,32,33,34,35,36,37,38,39,40,41,42,43,44,45,46,47,48,49,50,51,52,53,54,55,56,57,58,59,60,61,62,61,62,63,64,65,66,67,68,69,70,71,72,73,74,75,76,77,78"/>
    <s v="Yes"/>
    <x v="2"/>
    <d v="2015-08-18T14:55:55"/>
    <n v="1"/>
    <s v="128.205.114.91"/>
    <s v="HD75 -- .P448 2015eb"/>
    <n v="378.101"/>
    <d v="2015-05-26T00:00:00"/>
  </r>
  <r>
    <x v="8762"/>
    <d v="1899-12-30T00:49:07"/>
    <x v="1925"/>
    <x v="16"/>
    <s v="monroecc"/>
    <x v="1764"/>
    <n v="1695950"/>
    <x v="7"/>
    <s v="Science: Biology/Natural History; Science"/>
    <s v="9781780644097"/>
    <s v=",86,87,88,89,90,91,92,93,94,95,96,97,98,99,100,101,103,104,105,108,107,109,110,30,31,28,29,33,34,35,36"/>
    <n v="31"/>
    <m/>
    <m/>
    <s v="No"/>
    <x v="2"/>
    <d v="2015-08-18T14:56:35"/>
    <n v="1"/>
    <s v="150.160.200.114"/>
    <s v="QR41.2 -- .H863 2014eb"/>
    <n v="579"/>
    <d v="2014-05-14T00:00:00"/>
  </r>
  <r>
    <x v="8763"/>
    <d v="1899-12-30T00:01:28"/>
    <x v="1901"/>
    <x v="0"/>
    <s v="Buffalo"/>
    <x v="728"/>
    <n v="1872281"/>
    <x v="4"/>
    <s v="Education; Business/Management"/>
    <s v="9781462519606"/>
    <s v=",1,1,17,17,41"/>
    <n v="3"/>
    <m/>
    <m/>
    <s v="No"/>
    <x v="2"/>
    <d v="2015-08-18T14:55:55"/>
    <n v="1"/>
    <s v="128.205.114.91"/>
    <s v="HD75 -- .P448 2015eb"/>
    <n v="378.101"/>
    <d v="2015-05-26T00:00:00"/>
  </r>
  <r>
    <x v="8764"/>
    <d v="1899-12-30T00:00:09"/>
    <x v="1901"/>
    <x v="0"/>
    <s v="Buffalo"/>
    <x v="728"/>
    <n v="1872281"/>
    <x v="4"/>
    <s v="Education; Business/Management"/>
    <s v="9781462519606"/>
    <s v=",1,2,3"/>
    <n v="3"/>
    <m/>
    <m/>
    <s v="No"/>
    <x v="3"/>
    <m/>
    <m/>
    <s v="128.205.114.91"/>
    <s v="HD75 -- .P448 2015eb"/>
    <n v="378.101"/>
    <d v="2015-05-26T00:00:00"/>
  </r>
  <r>
    <x v="8765"/>
    <d v="1899-12-30T00:10:04"/>
    <x v="1925"/>
    <x v="16"/>
    <s v="monroecc"/>
    <x v="1764"/>
    <n v="1695950"/>
    <x v="7"/>
    <s v="Science: Biology/Natural History; Science"/>
    <s v="9781780644097"/>
    <s v=",1,2,3,4,5,6,7,8,9,10,82,84,80,81,85"/>
    <n v="15"/>
    <m/>
    <m/>
    <s v="No"/>
    <x v="3"/>
    <m/>
    <m/>
    <s v="150.160.200.114"/>
    <s v="QR41.2 -- .H863 2014eb"/>
    <n v="579"/>
    <d v="2014-05-14T00:00:00"/>
  </r>
  <r>
    <x v="8766"/>
    <d v="1899-12-30T00:00:03"/>
    <x v="1926"/>
    <x v="13"/>
    <s v="buffalostate"/>
    <x v="1291"/>
    <n v="1274383"/>
    <x v="5"/>
    <s v="Social Science"/>
    <s v="9780814760239"/>
    <s v=",1,2,3"/>
    <n v="3"/>
    <m/>
    <m/>
    <s v="No"/>
    <x v="1"/>
    <m/>
    <m/>
    <s v="136.183.11.43"/>
    <s v="HQ799.2.V56 -- E26 2013eb"/>
    <n v="303.60834999999997"/>
    <d v="2013-08-19T00:00:00"/>
  </r>
  <r>
    <x v="8767"/>
    <d v="1899-12-30T00:31:32"/>
    <x v="421"/>
    <x v="2"/>
    <s v="hilbert"/>
    <x v="1763"/>
    <n v="1887309"/>
    <x v="1"/>
    <s v="History"/>
    <s v="9781472430571"/>
    <s v=",1,2,3,4,5,6,7,8,9,10,11,12,13,14,15,16,17,18,19,20,21,20,21,22"/>
    <n v="22"/>
    <m/>
    <m/>
    <s v="No"/>
    <x v="2"/>
    <d v="2015-08-17T19:47:26"/>
    <n v="1"/>
    <s v="72.45.217.43"/>
    <s v="D511 -- .G373 2015eb"/>
    <s v="940.3/11"/>
    <d v="2015-02-28T00:00:00"/>
  </r>
  <r>
    <x v="8768"/>
    <d v="1899-12-30T00:00:00"/>
    <x v="81"/>
    <x v="0"/>
    <s v="Buffalo"/>
    <x v="146"/>
    <n v="1757096"/>
    <x v="0"/>
    <s v="Economics; Business/Management"/>
    <s v="9781118745472"/>
    <m/>
    <n v="0"/>
    <m/>
    <m/>
    <s v="Yes"/>
    <x v="0"/>
    <d v="2015-08-18T01:05:52"/>
    <n v="7"/>
    <s v="128.205.114.91"/>
    <s v="HG4521 -- .P898 2014eb"/>
    <s v="332.64/2"/>
    <d v="2014-07-28T00:00:00"/>
  </r>
  <r>
    <x v="8768"/>
    <d v="1899-12-30T00:00:00"/>
    <x v="81"/>
    <x v="0"/>
    <s v="Buffalo"/>
    <x v="146"/>
    <n v="1757096"/>
    <x v="0"/>
    <s v="Economics; Business/Management"/>
    <s v="9781118745472"/>
    <m/>
    <n v="0"/>
    <m/>
    <m/>
    <s v="No"/>
    <x v="0"/>
    <d v="2015-08-18T01:05:52"/>
    <n v="7"/>
    <s v="128.205.114.91"/>
    <s v="HG4521 -- .P898 2014eb"/>
    <s v="332.64/2"/>
    <d v="2014-07-28T00:00:00"/>
  </r>
  <r>
    <x v="8769"/>
    <d v="1899-12-30T00:00:13"/>
    <x v="81"/>
    <x v="0"/>
    <s v="Buffalo"/>
    <x v="146"/>
    <n v="1757096"/>
    <x v="0"/>
    <s v="Economics; Business/Management"/>
    <s v="9781118745472"/>
    <s v=",1,2,3"/>
    <n v="3"/>
    <m/>
    <m/>
    <s v="No"/>
    <x v="1"/>
    <m/>
    <m/>
    <s v="128.205.114.91"/>
    <s v="HG4521 -- .P898 2014eb"/>
    <s v="332.64/2"/>
    <d v="2014-07-28T00:00:00"/>
  </r>
  <r>
    <x v="8770"/>
    <d v="1899-12-30T00:23:37"/>
    <x v="421"/>
    <x v="2"/>
    <s v="hilbert"/>
    <x v="1763"/>
    <n v="1887309"/>
    <x v="1"/>
    <s v="History"/>
    <s v="9781472430571"/>
    <s v=",10,11,12,13,7,6,197,284,281,282,279,280,273,274,260,261,262,258,259,257,256,263,255,222,215,208,198,194,180,138,124,53,13,11,10,9,8,6,7,5,11,12,13,14,15,16,17,18,19,20,21,22,23,24,6"/>
    <n v="46"/>
    <m/>
    <m/>
    <s v="No"/>
    <x v="2"/>
    <d v="2015-08-17T19:47:26"/>
    <n v="1"/>
    <s v="72.45.217.43"/>
    <s v="D511 -- .G373 2015eb"/>
    <s v="940.3/11"/>
    <d v="2015-02-28T00:00:00"/>
  </r>
  <r>
    <x v="8771"/>
    <d v="1899-12-30T00:08:19"/>
    <x v="421"/>
    <x v="2"/>
    <s v="hilbert"/>
    <x v="1763"/>
    <n v="1887309"/>
    <x v="1"/>
    <s v="History"/>
    <s v="9781472430571"/>
    <s v=",2,1,3,4,5,6,7,8,9"/>
    <n v="9"/>
    <m/>
    <m/>
    <s v="No"/>
    <x v="3"/>
    <m/>
    <m/>
    <s v="72.45.217.43"/>
    <s v="D511 -- .G373 2015eb"/>
    <s v="940.3/11"/>
    <d v="2015-02-28T00:00:00"/>
  </r>
  <r>
    <x v="8772"/>
    <d v="1899-12-30T00:00:00"/>
    <x v="1927"/>
    <x v="6"/>
    <s v="sjfc"/>
    <x v="654"/>
    <n v="1724876"/>
    <x v="0"/>
    <s v="Business/Management; Economics"/>
    <s v="9781118914113"/>
    <m/>
    <n v="0"/>
    <m/>
    <m/>
    <s v="Yes"/>
    <x v="0"/>
    <d v="2015-08-17T15:52:07"/>
    <n v="7"/>
    <s v="149.69.254.57"/>
    <s v="HG173 -- .G733 2014eb"/>
    <n v="332"/>
    <d v="2014-06-26T00:00:00"/>
  </r>
  <r>
    <x v="8773"/>
    <d v="1899-12-30T00:00:46"/>
    <x v="1927"/>
    <x v="6"/>
    <s v="sjfc"/>
    <x v="654"/>
    <n v="1724876"/>
    <x v="0"/>
    <s v="Business/Management; Economics"/>
    <s v="9781118914113"/>
    <s v=",1,2,3,4,8,9,10,11,12,13,14,15,18,19,20,16,26,27,28,24,25,78,79,80,76,137,138,139,188,189,190,186,787,788,839,843,844"/>
    <n v="37"/>
    <m/>
    <m/>
    <s v="No"/>
    <x v="0"/>
    <d v="2015-08-17T15:52:07"/>
    <n v="7"/>
    <s v="149.69.254.57"/>
    <s v="HG173 -- .G733 2014eb"/>
    <n v="332"/>
    <d v="2014-06-26T00:00:00"/>
  </r>
  <r>
    <x v="8774"/>
    <d v="1899-12-30T00:00:42"/>
    <x v="1927"/>
    <x v="6"/>
    <s v="sjfc"/>
    <x v="654"/>
    <n v="1724876"/>
    <x v="0"/>
    <s v="Business/Management; Economics"/>
    <s v="9781118914113"/>
    <s v=",1,1,1,2,3"/>
    <n v="3"/>
    <s v=",1"/>
    <m/>
    <s v="No"/>
    <x v="0"/>
    <d v="2015-08-17T15:52:07"/>
    <n v="7"/>
    <s v="149.69.254.57"/>
    <s v="HG173 -- .G733 2014eb"/>
    <n v="332"/>
    <d v="2014-06-26T00:00:00"/>
  </r>
  <r>
    <x v="8775"/>
    <d v="1899-12-30T00:00:22"/>
    <x v="1927"/>
    <x v="6"/>
    <s v="sjfc"/>
    <x v="654"/>
    <n v="1724876"/>
    <x v="0"/>
    <s v="Business/Management; Economics"/>
    <s v="9781118914113"/>
    <s v=",1,2,3,1"/>
    <n v="3"/>
    <m/>
    <m/>
    <s v="No"/>
    <x v="1"/>
    <m/>
    <m/>
    <s v="149.69.254.57"/>
    <s v="HG173 -- .G733 2014eb"/>
    <n v="332"/>
    <d v="2014-06-26T00:00:00"/>
  </r>
  <r>
    <x v="8776"/>
    <d v="1899-12-30T00:01:51"/>
    <x v="623"/>
    <x v="6"/>
    <s v="sjfc"/>
    <x v="1765"/>
    <n v="1752697"/>
    <x v="0"/>
    <s v="Health; Social Science"/>
    <s v="9781118448373"/>
    <s v=",1,7,8,9,5,6,2,10,11,12,261,262,263,259,264,260,265,266,267,268,269"/>
    <n v="21"/>
    <m/>
    <m/>
    <s v="No"/>
    <x v="1"/>
    <m/>
    <m/>
    <s v="149.69.254.57"/>
    <s v="RA441 -- .S537 2014eb"/>
    <n v="362.1"/>
    <d v="2014-07-22T00:00:00"/>
  </r>
  <r>
    <x v="8777"/>
    <d v="1899-12-30T00:05:41"/>
    <x v="623"/>
    <x v="6"/>
    <s v="sjfc"/>
    <x v="1765"/>
    <n v="1752697"/>
    <x v="0"/>
    <s v="Health; Social Science"/>
    <s v="9781118448373"/>
    <s v=",1,35,36,37,34,33,39,31,9,10,11,7,8,2,557,558,559,560,561,562,563,564,565,566,567,568,569,570,571,38,39,11,12,13,10,40,41,42,43,44,45,46,47,48,49,51,52,35,1,36,37,33,34"/>
    <n v="44"/>
    <m/>
    <m/>
    <s v="No"/>
    <x v="1"/>
    <m/>
    <m/>
    <s v="149.69.254.57"/>
    <s v="RA441 -- .S537 2014eb"/>
    <n v="362.1"/>
    <d v="2014-07-22T00:00:00"/>
  </r>
  <r>
    <x v="8778"/>
    <d v="1899-12-30T00:00:09"/>
    <x v="1928"/>
    <x v="1"/>
    <s v="brockport"/>
    <x v="1766"/>
    <n v="1596094"/>
    <x v="4"/>
    <s v="Medicine"/>
    <s v="9781462513840"/>
    <s v=",1,2,3,4"/>
    <n v="4"/>
    <m/>
    <m/>
    <s v="No"/>
    <x v="3"/>
    <m/>
    <m/>
    <s v="137.21.7.121"/>
    <s v="RC454 -- .P394 2014eb"/>
    <n v="616.89"/>
    <d v="2014-05-14T00:00:00"/>
  </r>
  <r>
    <x v="8779"/>
    <d v="1899-12-30T00:00:00"/>
    <x v="1929"/>
    <x v="0"/>
    <s v="Buffalo"/>
    <x v="1399"/>
    <n v="1655942"/>
    <x v="4"/>
    <s v="Medicine"/>
    <s v="9781462513888"/>
    <m/>
    <n v="0"/>
    <m/>
    <m/>
    <s v="Yes"/>
    <x v="0"/>
    <d v="2015-08-17T04:39:54"/>
    <n v="7"/>
    <s v="128.205.114.91"/>
    <s v="RC557 -- .P756 2014eb"/>
    <n v="616.85830599999997"/>
    <d v="2014-05-14T00:00:00"/>
  </r>
  <r>
    <x v="8780"/>
    <d v="1899-12-30T00:03:02"/>
    <x v="1929"/>
    <x v="0"/>
    <s v="Buffalo"/>
    <x v="1399"/>
    <n v="1655942"/>
    <x v="4"/>
    <s v="Medicine"/>
    <s v="9781462513888"/>
    <s v=",133,134,135,136,137,138,139,140,141,142,143,144,145,146,147,120,122,121,118,119"/>
    <n v="20"/>
    <m/>
    <m/>
    <s v="No"/>
    <x v="0"/>
    <d v="2015-08-17T04:39:54"/>
    <n v="7"/>
    <s v="128.205.114.91"/>
    <s v="RC557 -- .P756 2014eb"/>
    <n v="616.85830599999997"/>
    <d v="2014-05-14T00:00:00"/>
  </r>
  <r>
    <x v="8781"/>
    <d v="1899-12-30T00:10:46"/>
    <x v="1929"/>
    <x v="0"/>
    <s v="Buffalo"/>
    <x v="1399"/>
    <n v="1655942"/>
    <x v="4"/>
    <s v="Medicine"/>
    <s v="9781462513888"/>
    <s v=",1,2,3,130,131,132,156,158,157,154,155,128,129"/>
    <n v="13"/>
    <m/>
    <m/>
    <s v="No"/>
    <x v="3"/>
    <m/>
    <m/>
    <s v="128.205.114.91"/>
    <s v="RC557 -- .P756 2014eb"/>
    <n v="616.85830599999997"/>
    <d v="2014-05-14T00:00:00"/>
  </r>
  <r>
    <x v="8782"/>
    <d v="1899-12-30T00:00:58"/>
    <x v="1929"/>
    <x v="0"/>
    <s v="Buffalo"/>
    <x v="732"/>
    <n v="1909817"/>
    <x v="4"/>
    <s v="Medicine"/>
    <s v="9781462520602"/>
    <s v=",1,2,3,4,5,6,7,65,66,67,63,64,58,59,60,56,57,61,62"/>
    <n v="19"/>
    <m/>
    <m/>
    <s v="No"/>
    <x v="3"/>
    <m/>
    <m/>
    <s v="128.205.114.91"/>
    <s v="RC556 -- .W563 2015eb"/>
    <n v="616"/>
    <d v="2015-06-10T00:00:00"/>
  </r>
  <r>
    <x v="8783"/>
    <d v="1899-12-30T00:00:00"/>
    <x v="1040"/>
    <x v="16"/>
    <s v="monroecc"/>
    <x v="440"/>
    <n v="707971"/>
    <x v="0"/>
    <s v="Medicine"/>
    <s v="9781118293973"/>
    <m/>
    <n v="0"/>
    <m/>
    <m/>
    <s v="Yes"/>
    <x v="0"/>
    <d v="2015-08-16T22:48:53"/>
    <n v="7"/>
    <s v="150.160.200.114"/>
    <s v="RB145"/>
    <s v="616.1/5; 616.15"/>
    <d v="2011-11-21T00:00:00"/>
  </r>
  <r>
    <x v="8783"/>
    <d v="1899-12-30T00:00:00"/>
    <x v="1040"/>
    <x v="16"/>
    <s v="monroecc"/>
    <x v="440"/>
    <n v="707971"/>
    <x v="0"/>
    <s v="Medicine"/>
    <s v="9781118293973"/>
    <m/>
    <n v="0"/>
    <m/>
    <m/>
    <s v="No"/>
    <x v="0"/>
    <d v="2015-08-16T22:48:53"/>
    <n v="7"/>
    <s v="150.160.200.114"/>
    <s v="RB145"/>
    <s v="616.1/5; 616.15"/>
    <d v="2011-11-21T00:00:00"/>
  </r>
  <r>
    <x v="8784"/>
    <d v="1899-12-30T00:00:38"/>
    <x v="1040"/>
    <x v="16"/>
    <s v="monroecc"/>
    <x v="440"/>
    <n v="707971"/>
    <x v="0"/>
    <s v="Medicine"/>
    <s v="9781118293973"/>
    <s v=",1,2,3,2,3,1,2,2"/>
    <n v="3"/>
    <m/>
    <m/>
    <s v="No"/>
    <x v="1"/>
    <m/>
    <m/>
    <s v="150.160.200.114"/>
    <s v="RB145"/>
    <s v="616.1/5; 616.15"/>
    <d v="2011-11-21T00:00:00"/>
  </r>
  <r>
    <x v="8785"/>
    <d v="1899-12-30T00:00:00"/>
    <x v="1040"/>
    <x v="16"/>
    <s v="monroecc"/>
    <x v="1489"/>
    <n v="2039113"/>
    <x v="1"/>
    <s v="Philosophy"/>
    <s v="9781472447975"/>
    <m/>
    <n v="0"/>
    <m/>
    <m/>
    <s v="Yes"/>
    <x v="2"/>
    <d v="2015-08-16T22:45:30"/>
    <n v="1"/>
    <s v="150.160.200.114"/>
    <n v="2014042996"/>
    <n v="174.2"/>
    <d v="2015-06-01T00:00:00"/>
  </r>
  <r>
    <x v="8785"/>
    <d v="1899-12-30T00:00:00"/>
    <x v="1040"/>
    <x v="16"/>
    <s v="monroecc"/>
    <x v="1489"/>
    <n v="2039113"/>
    <x v="1"/>
    <s v="Philosophy"/>
    <s v="9781472447975"/>
    <m/>
    <n v="0"/>
    <m/>
    <m/>
    <s v="No"/>
    <x v="2"/>
    <d v="2015-08-16T22:45:30"/>
    <n v="1"/>
    <s v="150.160.200.114"/>
    <n v="2014042996"/>
    <n v="174.2"/>
    <d v="2015-06-01T00:00:00"/>
  </r>
  <r>
    <x v="8786"/>
    <d v="1899-12-30T00:01:33"/>
    <x v="1040"/>
    <x v="16"/>
    <s v="monroecc"/>
    <x v="1489"/>
    <n v="2039113"/>
    <x v="1"/>
    <s v="Philosophy"/>
    <s v="9781472447975"/>
    <s v=",1,2,2,1,3,3,2,2"/>
    <n v="3"/>
    <m/>
    <m/>
    <s v="No"/>
    <x v="3"/>
    <m/>
    <m/>
    <s v="150.160.200.114"/>
    <n v="2014042996"/>
    <n v="174.2"/>
    <d v="2015-06-01T00:00:00"/>
  </r>
  <r>
    <x v="8787"/>
    <d v="1899-12-30T00:00:05"/>
    <x v="1040"/>
    <x v="16"/>
    <s v="monroecc"/>
    <x v="1767"/>
    <n v="1711042"/>
    <x v="3"/>
    <s v="Medicine"/>
    <s v="9780520959149"/>
    <s v=",1,1,2,3,2,3"/>
    <n v="3"/>
    <m/>
    <m/>
    <s v="No"/>
    <x v="3"/>
    <m/>
    <m/>
    <s v="150.160.200.114"/>
    <s v="RJ216 -- .B375 2014eb"/>
    <n v="618.91999999999996"/>
    <d v="2014-09-19T00:00:00"/>
  </r>
  <r>
    <x v="8788"/>
    <d v="1899-12-30T00:00:07"/>
    <x v="1040"/>
    <x v="16"/>
    <s v="monroecc"/>
    <x v="792"/>
    <n v="1715303"/>
    <x v="4"/>
    <s v="Medicine; Psychology"/>
    <s v="9781462516131"/>
    <s v=",2,2"/>
    <n v="1"/>
    <m/>
    <m/>
    <s v="Yes"/>
    <x v="2"/>
    <d v="2015-08-16T22:39:36"/>
    <n v="1"/>
    <s v="150.160.200.114"/>
    <s v="BF698.5 -- .M858 2014eb"/>
    <n v="616.89"/>
    <d v="2014-09-03T00:00:00"/>
  </r>
  <r>
    <x v="8788"/>
    <d v="1899-12-30T00:00:00"/>
    <x v="1040"/>
    <x v="16"/>
    <s v="monroecc"/>
    <x v="792"/>
    <n v="1715303"/>
    <x v="4"/>
    <s v="Medicine; Psychology"/>
    <s v="9781462516131"/>
    <m/>
    <n v="0"/>
    <m/>
    <m/>
    <s v="No"/>
    <x v="2"/>
    <d v="2015-08-16T22:39:36"/>
    <n v="1"/>
    <s v="150.160.200.114"/>
    <s v="BF698.5 -- .M858 2014eb"/>
    <n v="616.89"/>
    <d v="2014-09-03T00:00:00"/>
  </r>
  <r>
    <x v="8789"/>
    <d v="1899-12-30T00:00:16"/>
    <x v="1040"/>
    <x v="16"/>
    <s v="monroecc"/>
    <x v="792"/>
    <n v="1715303"/>
    <x v="4"/>
    <s v="Medicine; Psychology"/>
    <s v="9781462516131"/>
    <s v=",1,2,3,2,3,1"/>
    <n v="3"/>
    <m/>
    <m/>
    <s v="No"/>
    <x v="3"/>
    <m/>
    <m/>
    <s v="150.160.200.114"/>
    <s v="BF698.5 -- .M858 2014eb"/>
    <n v="616.89"/>
    <d v="2014-09-03T00:00:00"/>
  </r>
  <r>
    <x v="8790"/>
    <d v="1899-12-30T00:00:00"/>
    <x v="1040"/>
    <x v="16"/>
    <s v="monroecc"/>
    <x v="1768"/>
    <n v="1678739"/>
    <x v="1"/>
    <s v="Social Science; Medicine; Health"/>
    <s v="9781409438588"/>
    <m/>
    <n v="0"/>
    <m/>
    <m/>
    <s v="Yes"/>
    <x v="2"/>
    <d v="2015-08-16T22:34:09"/>
    <n v="1"/>
    <s v="150.160.200.114"/>
    <s v="RA965.6 -- .P385 2014eb"/>
    <s v="610.28/9"/>
    <d v="2014-06-28T00:00:00"/>
  </r>
  <r>
    <x v="8790"/>
    <d v="1899-12-30T00:00:00"/>
    <x v="1040"/>
    <x v="16"/>
    <s v="monroecc"/>
    <x v="1768"/>
    <n v="1678739"/>
    <x v="1"/>
    <s v="Social Science; Medicine; Health"/>
    <s v="9781409438588"/>
    <m/>
    <n v="0"/>
    <m/>
    <m/>
    <s v="No"/>
    <x v="2"/>
    <d v="2015-08-16T22:34:09"/>
    <n v="1"/>
    <s v="150.160.200.114"/>
    <s v="RA965.6 -- .P385 2014eb"/>
    <s v="610.28/9"/>
    <d v="2014-06-28T00:00:00"/>
  </r>
  <r>
    <x v="8791"/>
    <d v="1899-12-30T00:01:23"/>
    <x v="1040"/>
    <x v="16"/>
    <s v="monroecc"/>
    <x v="1768"/>
    <n v="1678739"/>
    <x v="1"/>
    <s v="Social Science; Medicine; Health"/>
    <s v="9781409438588"/>
    <s v=",1,3,3,2,2,1,2,2"/>
    <n v="3"/>
    <m/>
    <m/>
    <s v="No"/>
    <x v="3"/>
    <m/>
    <m/>
    <s v="150.160.200.114"/>
    <s v="RA965.6 -- .P385 2014eb"/>
    <s v="610.28/9"/>
    <d v="2014-06-28T00:00:00"/>
  </r>
  <r>
    <x v="8792"/>
    <d v="1899-12-30T00:00:00"/>
    <x v="1040"/>
    <x v="16"/>
    <s v="monroecc"/>
    <x v="1757"/>
    <n v="832296"/>
    <x v="0"/>
    <s v="Nursing"/>
    <s v="9781119979319"/>
    <m/>
    <n v="0"/>
    <m/>
    <m/>
    <s v="Yes"/>
    <x v="0"/>
    <d v="2015-08-16T22:32:00"/>
    <n v="7"/>
    <s v="150.160.200.114"/>
    <s v="RT48.6 N67 2012"/>
    <n v="610.73"/>
    <d v="2014-02-05T00:00:00"/>
  </r>
  <r>
    <x v="8792"/>
    <d v="1899-12-30T00:00:00"/>
    <x v="1040"/>
    <x v="16"/>
    <s v="monroecc"/>
    <x v="1757"/>
    <n v="832296"/>
    <x v="0"/>
    <s v="Nursing"/>
    <s v="9781119979319"/>
    <m/>
    <n v="0"/>
    <m/>
    <m/>
    <s v="No"/>
    <x v="0"/>
    <d v="2015-08-16T22:32:00"/>
    <n v="7"/>
    <s v="150.160.200.114"/>
    <s v="RT48.6 N67 2012"/>
    <n v="610.73"/>
    <d v="2014-02-05T00:00:00"/>
  </r>
  <r>
    <x v="8793"/>
    <d v="1899-12-30T00:00:50"/>
    <x v="1040"/>
    <x v="16"/>
    <s v="monroecc"/>
    <x v="1757"/>
    <n v="832296"/>
    <x v="0"/>
    <s v="Nursing"/>
    <s v="9781119979319"/>
    <s v=",1,3,2,3,2,1,2,2"/>
    <n v="3"/>
    <m/>
    <m/>
    <s v="No"/>
    <x v="1"/>
    <m/>
    <m/>
    <s v="150.160.200.114"/>
    <s v="RT48.6 N67 2012"/>
    <n v="610.73"/>
    <d v="2014-02-05T00:00:00"/>
  </r>
  <r>
    <x v="8794"/>
    <d v="1899-12-30T00:00:59"/>
    <x v="1373"/>
    <x v="0"/>
    <s v="Buffalo"/>
    <x v="1769"/>
    <n v="1175201"/>
    <x v="0"/>
    <s v="Mathematics"/>
    <s v="9781118522202"/>
    <s v=",1,2,1,2,3,3,2,2,591,591,593,593,589,594,594,589,594,595,595,596,596,597,597,598,598,599,599"/>
    <n v="12"/>
    <m/>
    <m/>
    <s v="No"/>
    <x v="1"/>
    <m/>
    <m/>
    <s v="128.205.114.91"/>
    <s v="QA273 -- .G878 2014eb"/>
    <n v="519.5"/>
    <d v="2014-03-06T00:00:00"/>
  </r>
  <r>
    <x v="8795"/>
    <d v="1899-12-30T00:00:33"/>
    <x v="1373"/>
    <x v="0"/>
    <s v="Buffalo"/>
    <x v="890"/>
    <n v="1784599"/>
    <x v="0"/>
    <s v="Mathematics"/>
    <s v="9781118941119"/>
    <s v=",1,2,2,3,3,1,98,99,98,100,100,96,97,97,2,133,133,134,135,131,134,135,132,132,136,136,137,137,138,139,138,139"/>
    <n v="17"/>
    <m/>
    <m/>
    <s v="No"/>
    <x v="1"/>
    <m/>
    <m/>
    <s v="128.205.114.91"/>
    <s v="QA276.12 -- .C73 2014eb"/>
    <s v="519.50285/5133"/>
    <d v="2014-09-11T00:00:00"/>
  </r>
  <r>
    <x v="8796"/>
    <d v="1899-12-30T00:00:46"/>
    <x v="1373"/>
    <x v="0"/>
    <s v="Buffalo"/>
    <x v="1726"/>
    <n v="848520"/>
    <x v="0"/>
    <s v="Mathematics"/>
    <s v="9781118274422"/>
    <s v=",1,2,2,3,1,3,2,159,155,159,156,156,166,167,166,168,167,168,164,169,169,165,170,170,171,171"/>
    <n v="14"/>
    <m/>
    <m/>
    <s v="No"/>
    <x v="1"/>
    <m/>
    <m/>
    <s v="128.205.114.91"/>
    <s v="QA278.2 -- .S4 2003eb"/>
    <s v="519.5/36"/>
    <d v="2012-01-20T00:00:00"/>
  </r>
  <r>
    <x v="8797"/>
    <d v="1899-12-30T00:05:32"/>
    <x v="1373"/>
    <x v="0"/>
    <s v="Buffalo"/>
    <x v="796"/>
    <n v="1318206"/>
    <x v="0"/>
    <s v="Computer Science/IT; Social Science"/>
    <s v="9781118363560"/>
    <s v=",2,2,5,5,14,14,15,16,16,12,15,13,13,17,18,17,18,12,13,17,18,73,74,73,74,75,71,75,72,72,185,186,186,187,183,185,187,184,184,267,268,269,269,268,267,265,295,295,296,296,297,293,297,294,294,185,186,187,183,184,295,296,297,293,294,631,631,632,632,629"/>
    <n v="31"/>
    <m/>
    <s v=",185,186,187,188,189,190,191,192,193,194,195,196,197,198,199,200,201,202,203,204,205,206,207,208,209,210,211,212,213,214,215,216,217,218,219,220,221,222,223,224,225,226,227,228,229,230,231,232,233,234,235,236,237,238,239,240,241,242,243,244,245,246,247,248,249,250,251,252,253,254,255,256,257,258,259,260,261,262,263,264,265,266,267,268,269,270,271,272,273,274,275,276,277,278,279,280,281,282,283,284,285,286,287,288,289,290,291,292,293,294,295"/>
    <s v="Yes"/>
    <x v="0"/>
    <d v="2015-08-16T19:42:43"/>
    <n v="7"/>
    <s v="128.205.114.91"/>
    <s v="HA32 -- .M4994 2013eb"/>
    <s v="005.5/5"/>
    <d v="2013-07-15T00:00:00"/>
  </r>
  <r>
    <x v="8798"/>
    <d v="1899-12-30T00:00:00"/>
    <x v="1373"/>
    <x v="0"/>
    <s v="Buffalo"/>
    <x v="796"/>
    <n v="1318206"/>
    <x v="0"/>
    <s v="Computer Science/IT; Social Science"/>
    <s v="9781118363560"/>
    <m/>
    <n v="0"/>
    <m/>
    <m/>
    <s v="No"/>
    <x v="0"/>
    <d v="2015-08-16T19:42:43"/>
    <n v="7"/>
    <s v="128.205.114.91"/>
    <s v="HA32 -- .M4994 2013eb"/>
    <s v="005.5/5"/>
    <d v="2013-07-15T00:00:00"/>
  </r>
  <r>
    <x v="8799"/>
    <d v="1899-12-30T00:00:13"/>
    <x v="1373"/>
    <x v="0"/>
    <s v="Buffalo"/>
    <x v="796"/>
    <n v="1318206"/>
    <x v="0"/>
    <s v="Computer Science/IT; Social Science"/>
    <s v="9781118363560"/>
    <s v=",1,2,2,1,3,3,4,4"/>
    <n v="4"/>
    <m/>
    <m/>
    <s v="No"/>
    <x v="1"/>
    <m/>
    <m/>
    <s v="128.205.114.91"/>
    <s v="HA32 -- .M4994 2013eb"/>
    <s v="005.5/5"/>
    <d v="2013-07-15T00:00:00"/>
  </r>
  <r>
    <x v="8800"/>
    <d v="1899-12-30T00:05:36"/>
    <x v="1930"/>
    <x v="5"/>
    <s v="erie"/>
    <x v="822"/>
    <n v="1034770"/>
    <x v="4"/>
    <s v="Medicine"/>
    <s v="9781462507566"/>
    <s v=",37,38,33,32,31,39,40,41,42,43,44"/>
    <n v="11"/>
    <m/>
    <m/>
    <s v="No"/>
    <x v="0"/>
    <d v="2015-08-16T18:25:22"/>
    <n v="7"/>
    <s v="199.29.6.54"/>
    <s v="RC533 -- .M56 2012eb"/>
    <n v="616.85839999999996"/>
    <d v="2013-10-20T00:00:00"/>
  </r>
  <r>
    <x v="8801"/>
    <d v="1899-12-30T00:03:40"/>
    <x v="1931"/>
    <x v="12"/>
    <s v="potsdam"/>
    <x v="713"/>
    <n v="565082"/>
    <x v="0"/>
    <s v="Education"/>
    <s v="9781118041567"/>
    <s v=",1,2,3,4,5,6,7,8,9,10,11,12,13,14,15,16,17,18,19,20,21,22,23,24,25,26,27,28,29,30,31,32,33,34,35,36"/>
    <n v="36"/>
    <m/>
    <m/>
    <s v="No"/>
    <x v="1"/>
    <m/>
    <m/>
    <s v="137.143.104.94"/>
    <s v="LB1775 .P25 2010"/>
    <s v="371.1; 371.102"/>
    <d v="2010-06-08T00:00:00"/>
  </r>
  <r>
    <x v="8802"/>
    <d v="1899-12-30T00:12:05"/>
    <x v="1930"/>
    <x v="5"/>
    <s v="erie"/>
    <x v="822"/>
    <n v="1034770"/>
    <x v="4"/>
    <s v="Medicine"/>
    <s v="9781462507566"/>
    <s v=",1,2,3,30,31,32,28,29,33,34,35,36"/>
    <n v="12"/>
    <m/>
    <m/>
    <s v="No"/>
    <x v="1"/>
    <m/>
    <m/>
    <s v="199.29.6.54"/>
    <s v="RC533 -- .M56 2012eb"/>
    <n v="616.85839999999996"/>
    <d v="2013-10-20T00:00:00"/>
  </r>
  <r>
    <x v="8803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Yes"/>
    <x v="0"/>
    <d v="2015-08-16T12:26:21"/>
    <n v="7"/>
    <s v="128.205.114.91"/>
    <s v="TA345.5.M38 M34 2014"/>
    <s v="510.285/53; 510.28553"/>
    <d v="2014-03-26T00:00:00"/>
  </r>
  <r>
    <x v="8804"/>
    <d v="1899-12-30T00:00:06"/>
    <x v="1373"/>
    <x v="0"/>
    <s v="Buffalo"/>
    <x v="572"/>
    <n v="1662670"/>
    <x v="0"/>
    <s v="Mathematics; Engineering; Engineering: Civil"/>
    <s v="9781118821251"/>
    <s v=",2,2"/>
    <n v="1"/>
    <m/>
    <m/>
    <s v="Yes"/>
    <x v="0"/>
    <d v="2015-08-16T12:26:21"/>
    <n v="7"/>
    <s v="128.205.114.91"/>
    <s v="TA345.5.M38 M34 2014"/>
    <s v="510.285/53; 510.28553"/>
    <d v="2014-03-26T00:00:00"/>
  </r>
  <r>
    <x v="8804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No"/>
    <x v="0"/>
    <d v="2015-08-16T12:26:21"/>
    <n v="7"/>
    <s v="128.205.114.91"/>
    <s v="TA345.5.M38 M34 2014"/>
    <s v="510.285/53; 510.28553"/>
    <d v="2014-03-26T00:00:00"/>
  </r>
  <r>
    <x v="8805"/>
    <d v="1899-12-30T00:00:16"/>
    <x v="1373"/>
    <x v="0"/>
    <s v="Buffalo"/>
    <x v="572"/>
    <n v="1662670"/>
    <x v="0"/>
    <s v="Mathematics; Engineering; Engineering: Civil"/>
    <s v="9781118821251"/>
    <s v=",1,2,2,3,3,1"/>
    <n v="3"/>
    <m/>
    <m/>
    <s v="No"/>
    <x v="1"/>
    <m/>
    <m/>
    <s v="128.205.114.91"/>
    <s v="TA345.5.M38 M34 2014"/>
    <s v="510.285/53; 510.28553"/>
    <d v="2014-03-26T00:00:00"/>
  </r>
  <r>
    <x v="8806"/>
    <d v="1899-12-30T00:03:13"/>
    <x v="1930"/>
    <x v="5"/>
    <s v="erie"/>
    <x v="822"/>
    <n v="1034770"/>
    <x v="4"/>
    <s v="Medicine"/>
    <s v="9781462507566"/>
    <s v=",1,2,3,4,5,6,17,18,19,15,16,20,21,22,23,24,25,26,27,28,29"/>
    <n v="21"/>
    <m/>
    <m/>
    <s v="No"/>
    <x v="1"/>
    <m/>
    <m/>
    <s v="199.29.6.54"/>
    <s v="RC533 -- .M56 2012eb"/>
    <n v="616.85839999999996"/>
    <d v="2013-10-20T00:00:00"/>
  </r>
  <r>
    <x v="8807"/>
    <d v="1899-12-30T00:00:18"/>
    <x v="1910"/>
    <x v="0"/>
    <s v="Buffalo"/>
    <x v="161"/>
    <n v="821663"/>
    <x v="0"/>
    <s v="Architecture"/>
    <s v="9781118168479"/>
    <s v=",1,2,3,4,12"/>
    <n v="5"/>
    <m/>
    <m/>
    <s v="No"/>
    <x v="1"/>
    <m/>
    <m/>
    <s v="128.205.114.91"/>
    <s v="NA2547 -- .S74 2012eb"/>
    <n v="729"/>
    <d v="2012-03-05T00:00:00"/>
  </r>
  <r>
    <x v="8808"/>
    <d v="1899-12-30T00:02:35"/>
    <x v="1932"/>
    <x v="0"/>
    <s v="Buffalo"/>
    <x v="1770"/>
    <n v="1695951"/>
    <x v="7"/>
    <s v="Social Science; Health"/>
    <s v="9781780643809"/>
    <s v=",1,2,3,4,5,6,7,8,9,10,11,12,13,14,42,48,49,50,47,46,45,51,52,53,54,70,71,67,385,387,386,388,384,383,391"/>
    <n v="35"/>
    <m/>
    <m/>
    <s v="No"/>
    <x v="3"/>
    <m/>
    <m/>
    <s v="128.205.114.91"/>
    <s v="RA645.N87 -- .I477 2014eb"/>
    <n v="362.19639000000001"/>
    <d v="2014-04-30T00:00:00"/>
  </r>
  <r>
    <x v="8809"/>
    <d v="1899-12-30T00:34:22"/>
    <x v="1811"/>
    <x v="0"/>
    <s v="Buffalo"/>
    <x v="1283"/>
    <n v="1220625"/>
    <x v="12"/>
    <s v="Social Science; Health"/>
    <s v="9781469612751"/>
    <s v=",23,24,25,26,27,28,29,30,31,32,33,34"/>
    <n v="12"/>
    <m/>
    <m/>
    <s v="No"/>
    <x v="2"/>
    <d v="2015-08-14T23:41:52"/>
    <n v="1"/>
    <s v="128.205.114.91"/>
    <s v="GT2855 -- .V45 2013eb"/>
    <n v="362.1"/>
    <d v="2013-08-01T00:00:00"/>
  </r>
  <r>
    <x v="8810"/>
    <d v="1899-12-30T00:06:06"/>
    <x v="1811"/>
    <x v="0"/>
    <s v="Buffalo"/>
    <x v="1283"/>
    <n v="1220625"/>
    <x v="12"/>
    <s v="Social Science; Health"/>
    <s v="9781469612751"/>
    <s v=",1,2,3,4,5,6,7,8,9,10,11,12,13,14,15,16,17,18,19,20,21,22"/>
    <n v="22"/>
    <m/>
    <m/>
    <s v="No"/>
    <x v="3"/>
    <m/>
    <m/>
    <s v="128.205.114.91"/>
    <s v="GT2855 -- .V45 2013eb"/>
    <n v="362.1"/>
    <d v="2013-08-01T00:00:00"/>
  </r>
  <r>
    <x v="8811"/>
    <d v="1899-12-30T00:02:15"/>
    <x v="1933"/>
    <x v="0"/>
    <s v="Buffalo"/>
    <x v="519"/>
    <n v="822662"/>
    <x v="0"/>
    <s v="History"/>
    <s v="9781444355130"/>
    <s v=",1,2,3,323,324,325,321,322,326,327,328,329,330,331,332,333"/>
    <n v="16"/>
    <m/>
    <m/>
    <s v="No"/>
    <x v="1"/>
    <m/>
    <m/>
    <s v="128.205.114.91"/>
    <s v="DT20 -- .R45 2012eb"/>
    <n v="960.3"/>
    <d v="2011-11-11T00:00:00"/>
  </r>
  <r>
    <x v="8812"/>
    <d v="1899-12-30T00:06:32"/>
    <x v="1934"/>
    <x v="0"/>
    <s v="Buffalo"/>
    <x v="1771"/>
    <n v="1610020"/>
    <x v="1"/>
    <s v="Social Science"/>
    <s v="9781472417961"/>
    <s v=",1,2,3,4,5,6,7,8,9,10,11,12,13,14,15,16,17,18,19,20,21,22,23,24,25,26,27,2,28,29,30,31,32,33,34,35,36,37,38,39,40,41"/>
    <n v="41"/>
    <m/>
    <m/>
    <s v="No"/>
    <x v="2"/>
    <d v="2015-08-14T14:50:08"/>
    <n v="1"/>
    <s v="128.205.114.91"/>
    <s v="HV40 -- .G563 2014eb"/>
    <n v="361.3"/>
    <d v="2014-03-28T00:00:00"/>
  </r>
  <r>
    <x v="8813"/>
    <d v="1899-12-30T00:02:21"/>
    <x v="1934"/>
    <x v="0"/>
    <s v="Buffalo"/>
    <x v="1771"/>
    <n v="1610020"/>
    <x v="1"/>
    <s v="Social Science"/>
    <s v="9781472417961"/>
    <s v=",9,10,11,12,13,14,15,211,212,220,221,218,16,17,18,19,20,21,22,23,24,25,26,27,28,29,30,31,32,33,34,35,36"/>
    <n v="33"/>
    <m/>
    <m/>
    <s v="No"/>
    <x v="2"/>
    <d v="2015-08-14T14:50:08"/>
    <n v="1"/>
    <s v="128.205.114.91"/>
    <s v="HV40 -- .G563 2014eb"/>
    <n v="361.3"/>
    <d v="2014-03-28T00:00:00"/>
  </r>
  <r>
    <x v="8814"/>
    <d v="1899-12-30T00:05:36"/>
    <x v="1934"/>
    <x v="0"/>
    <s v="Buffalo"/>
    <x v="1771"/>
    <n v="1610020"/>
    <x v="1"/>
    <s v="Social Science"/>
    <s v="9781472417961"/>
    <s v=",1,2,3,4,5,6,7,8"/>
    <n v="8"/>
    <m/>
    <m/>
    <s v="No"/>
    <x v="3"/>
    <m/>
    <m/>
    <s v="128.205.114.91"/>
    <s v="HV40 -- .G563 2014eb"/>
    <n v="361.3"/>
    <d v="2014-03-28T00:00:00"/>
  </r>
  <r>
    <x v="8815"/>
    <d v="1899-12-30T00:00:04"/>
    <x v="964"/>
    <x v="12"/>
    <s v="potsdam"/>
    <x v="1772"/>
    <n v="2007651"/>
    <x v="11"/>
    <s v="Education"/>
    <s v="9780226259512"/>
    <s v=",1,2,3"/>
    <n v="3"/>
    <m/>
    <m/>
    <s v="No"/>
    <x v="3"/>
    <m/>
    <m/>
    <s v="137.143.104.94"/>
    <s v="LB2324"/>
    <n v="378.00099999999998"/>
    <d v="2015-05-07T00:00:00"/>
  </r>
  <r>
    <x v="8816"/>
    <d v="1899-12-30T00:00:00"/>
    <x v="1683"/>
    <x v="9"/>
    <s v="trocaire"/>
    <x v="1773"/>
    <n v="2077487"/>
    <x v="11"/>
    <s v="Military Science"/>
    <s v="9780226264530"/>
    <m/>
    <n v="0"/>
    <m/>
    <m/>
    <s v="Yes"/>
    <x v="2"/>
    <d v="2015-08-13T19:19:57"/>
    <n v="1"/>
    <s v="173.225.62.67"/>
    <s v="UH100"/>
    <s v="355.4/24"/>
    <d v="2015-08-03T00:00:00"/>
  </r>
  <r>
    <x v="8816"/>
    <d v="1899-12-30T00:00:00"/>
    <x v="1683"/>
    <x v="9"/>
    <s v="trocaire"/>
    <x v="1773"/>
    <n v="2077487"/>
    <x v="11"/>
    <s v="Military Science"/>
    <s v="9780226264530"/>
    <m/>
    <n v="0"/>
    <m/>
    <m/>
    <s v="No"/>
    <x v="2"/>
    <d v="2015-08-13T19:19:57"/>
    <n v="1"/>
    <s v="173.225.62.67"/>
    <s v="UH100"/>
    <s v="355.4/24"/>
    <d v="2015-08-03T00:00:00"/>
  </r>
  <r>
    <x v="8817"/>
    <d v="1899-12-30T00:02:33"/>
    <x v="1683"/>
    <x v="9"/>
    <s v="trocaire"/>
    <x v="1773"/>
    <n v="2077487"/>
    <x v="11"/>
    <s v="Military Science"/>
    <s v="9780226264530"/>
    <s v=",1,3,2"/>
    <n v="3"/>
    <m/>
    <m/>
    <s v="No"/>
    <x v="3"/>
    <m/>
    <m/>
    <s v="173.225.62.67"/>
    <s v="UH100"/>
    <s v="355.4/24"/>
    <d v="2015-08-03T00:00:00"/>
  </r>
  <r>
    <x v="8818"/>
    <d v="1899-12-30T00:00:00"/>
    <x v="1683"/>
    <x v="9"/>
    <s v="trocaire"/>
    <x v="251"/>
    <n v="2058072"/>
    <x v="1"/>
    <s v="Political Science; Social Science"/>
    <s v="9781472440501"/>
    <m/>
    <n v="0"/>
    <m/>
    <m/>
    <s v="Yes"/>
    <x v="2"/>
    <d v="2015-08-13T18:00:07"/>
    <n v="1"/>
    <s v="173.225.62.67"/>
    <s v="JV6013.5 .M53 2015"/>
    <n v="304.80720000000002"/>
    <d v="2015-07-28T00:00:00"/>
  </r>
  <r>
    <x v="8818"/>
    <d v="1899-12-30T00:00:00"/>
    <x v="1683"/>
    <x v="9"/>
    <s v="trocaire"/>
    <x v="251"/>
    <n v="2058072"/>
    <x v="1"/>
    <s v="Political Science; Social Science"/>
    <s v="9781472440501"/>
    <m/>
    <n v="0"/>
    <m/>
    <m/>
    <s v="No"/>
    <x v="2"/>
    <d v="2015-08-13T18:00:07"/>
    <n v="1"/>
    <s v="173.225.62.67"/>
    <s v="JV6013.5 .M53 2015"/>
    <n v="304.80720000000002"/>
    <d v="2015-07-28T00:00:00"/>
  </r>
  <r>
    <x v="8819"/>
    <d v="1899-12-30T00:01:16"/>
    <x v="1683"/>
    <x v="9"/>
    <s v="trocaire"/>
    <x v="251"/>
    <n v="2058072"/>
    <x v="1"/>
    <s v="Political Science; Social Science"/>
    <s v="9781472440501"/>
    <s v=",1,2,3"/>
    <n v="3"/>
    <m/>
    <m/>
    <s v="No"/>
    <x v="3"/>
    <m/>
    <m/>
    <s v="173.225.62.67"/>
    <s v="JV6013.5 .M53 2015"/>
    <n v="304.80720000000002"/>
    <d v="2015-07-28T00:00:00"/>
  </r>
  <r>
    <x v="8820"/>
    <d v="1899-12-30T00:00:00"/>
    <x v="1683"/>
    <x v="9"/>
    <s v="trocaire"/>
    <x v="1774"/>
    <n v="2058086"/>
    <x v="1"/>
    <s v="Social Science; Business/Management"/>
    <s v="9781472452474"/>
    <m/>
    <n v="0"/>
    <m/>
    <m/>
    <s v="Yes"/>
    <x v="2"/>
    <d v="2015-08-13T17:57:00"/>
    <n v="1"/>
    <s v="173.225.62.67"/>
    <s v="HB1952 .S55 2015"/>
    <n v="304.8"/>
    <d v="2015-07-28T00:00:00"/>
  </r>
  <r>
    <x v="8820"/>
    <d v="1899-12-30T00:00:00"/>
    <x v="1683"/>
    <x v="9"/>
    <s v="trocaire"/>
    <x v="1774"/>
    <n v="2058086"/>
    <x v="1"/>
    <s v="Social Science; Business/Management"/>
    <s v="9781472452474"/>
    <m/>
    <n v="0"/>
    <m/>
    <m/>
    <s v="No"/>
    <x v="2"/>
    <d v="2015-08-13T17:57:00"/>
    <n v="1"/>
    <s v="173.225.62.67"/>
    <s v="HB1952 .S55 2015"/>
    <n v="304.8"/>
    <d v="2015-07-28T00:00:00"/>
  </r>
  <r>
    <x v="8821"/>
    <d v="1899-12-30T00:00:34"/>
    <x v="1683"/>
    <x v="9"/>
    <s v="trocaire"/>
    <x v="1774"/>
    <n v="2058086"/>
    <x v="1"/>
    <s v="Social Science; Business/Management"/>
    <s v="9781472452474"/>
    <s v=",1,2,3"/>
    <n v="3"/>
    <m/>
    <m/>
    <s v="No"/>
    <x v="3"/>
    <m/>
    <m/>
    <s v="173.225.62.67"/>
    <s v="HB1952 .S55 2015"/>
    <n v="304.8"/>
    <d v="2015-07-28T00:00:00"/>
  </r>
  <r>
    <x v="8822"/>
    <d v="1899-12-30T00:00:00"/>
    <x v="1683"/>
    <x v="9"/>
    <s v="trocaire"/>
    <x v="1775"/>
    <n v="1742944"/>
    <x v="3"/>
    <s v="Fine Arts"/>
    <s v="9780520960947"/>
    <m/>
    <n v="0"/>
    <m/>
    <m/>
    <s v="Yes"/>
    <x v="2"/>
    <d v="2015-08-13T17:43:32"/>
    <n v="1"/>
    <s v="173.225.62.67"/>
    <s v="PN1994.H53 -- .H583 1997eb"/>
    <n v="791.43023309199998"/>
    <d v="2015-01-10T00:00:00"/>
  </r>
  <r>
    <x v="8823"/>
    <d v="1899-12-30T00:00:14"/>
    <x v="1683"/>
    <x v="9"/>
    <s v="trocaire"/>
    <x v="1775"/>
    <n v="1742944"/>
    <x v="3"/>
    <s v="Fine Arts"/>
    <s v="9780520960947"/>
    <s v=",1,2,3"/>
    <n v="3"/>
    <m/>
    <m/>
    <s v="No"/>
    <x v="2"/>
    <d v="2015-08-13T17:43:32"/>
    <n v="1"/>
    <s v="173.225.62.67"/>
    <s v="PN1994.H53 -- .H583 1997eb"/>
    <n v="791.43023309199998"/>
    <d v="2015-01-10T00:00:00"/>
  </r>
  <r>
    <x v="8824"/>
    <d v="1899-12-30T00:00:00"/>
    <x v="1683"/>
    <x v="9"/>
    <s v="trocaire"/>
    <x v="1776"/>
    <n v="1826903"/>
    <x v="3"/>
    <s v="Fine Arts"/>
    <s v="9780520960398"/>
    <m/>
    <n v="0"/>
    <m/>
    <m/>
    <s v="Yes"/>
    <x v="2"/>
    <d v="2015-08-13T17:46:52"/>
    <n v="1"/>
    <s v="173.225.62.67"/>
    <s v="PN1998.3.H58 -- .H583 2015eb"/>
    <n v="791.43023309199998"/>
    <d v="2014-12-10T00:00:00"/>
  </r>
  <r>
    <x v="8824"/>
    <d v="1899-12-30T00:00:00"/>
    <x v="1683"/>
    <x v="9"/>
    <s v="trocaire"/>
    <x v="1776"/>
    <n v="1826903"/>
    <x v="3"/>
    <s v="Fine Arts"/>
    <s v="9780520960398"/>
    <m/>
    <n v="0"/>
    <m/>
    <m/>
    <s v="No"/>
    <x v="2"/>
    <d v="2015-08-13T17:46:52"/>
    <n v="1"/>
    <s v="173.225.62.67"/>
    <s v="PN1998.3.H58 -- .H583 2015eb"/>
    <n v="791.43023309199998"/>
    <d v="2014-12-10T00:00:00"/>
  </r>
  <r>
    <x v="8825"/>
    <d v="1899-12-30T00:00:35"/>
    <x v="1683"/>
    <x v="9"/>
    <s v="trocaire"/>
    <x v="1776"/>
    <n v="1826903"/>
    <x v="3"/>
    <s v="Fine Arts"/>
    <s v="9780520960398"/>
    <s v=",1,2,3"/>
    <n v="3"/>
    <m/>
    <m/>
    <s v="No"/>
    <x v="3"/>
    <m/>
    <m/>
    <s v="173.225.62.67"/>
    <s v="PN1998.3.H58 -- .H583 2015eb"/>
    <n v="791.43023309199998"/>
    <d v="2014-12-10T00:00:00"/>
  </r>
  <r>
    <x v="8826"/>
    <d v="1899-12-30T00:00:00"/>
    <x v="1683"/>
    <x v="9"/>
    <s v="trocaire"/>
    <x v="1775"/>
    <n v="1742944"/>
    <x v="3"/>
    <s v="Fine Arts"/>
    <s v="9780520960947"/>
    <m/>
    <n v="0"/>
    <m/>
    <m/>
    <s v="Yes"/>
    <x v="2"/>
    <d v="2015-08-13T17:43:32"/>
    <n v="1"/>
    <s v="173.225.62.67"/>
    <s v="PN1994.H53 -- .H583 1997eb"/>
    <n v="791.43023309199998"/>
    <d v="2015-01-10T00:00:00"/>
  </r>
  <r>
    <x v="8826"/>
    <d v="1899-12-30T00:00:00"/>
    <x v="1683"/>
    <x v="9"/>
    <s v="trocaire"/>
    <x v="1775"/>
    <n v="1742944"/>
    <x v="3"/>
    <s v="Fine Arts"/>
    <s v="9780520960947"/>
    <m/>
    <n v="0"/>
    <m/>
    <m/>
    <s v="No"/>
    <x v="2"/>
    <d v="2015-08-13T17:43:32"/>
    <n v="1"/>
    <s v="173.225.62.67"/>
    <s v="PN1994.H53 -- .H583 1997eb"/>
    <n v="791.43023309199998"/>
    <d v="2015-01-10T00:00:00"/>
  </r>
  <r>
    <x v="8827"/>
    <d v="1899-12-30T00:00:49"/>
    <x v="1683"/>
    <x v="9"/>
    <s v="trocaire"/>
    <x v="1775"/>
    <n v="1742944"/>
    <x v="3"/>
    <s v="Fine Arts"/>
    <s v="9780520960947"/>
    <s v=",1,2,3"/>
    <n v="3"/>
    <m/>
    <m/>
    <s v="No"/>
    <x v="3"/>
    <m/>
    <m/>
    <s v="173.225.62.67"/>
    <s v="PN1994.H53 -- .H583 1997eb"/>
    <n v="791.43023309199998"/>
    <d v="2015-01-10T00:00:00"/>
  </r>
  <r>
    <x v="8828"/>
    <d v="1899-12-30T00:00:00"/>
    <x v="1683"/>
    <x v="9"/>
    <s v="trocaire"/>
    <x v="1777"/>
    <n v="1887318"/>
    <x v="1"/>
    <s v="Social Science; Political Science"/>
    <s v="9781409438649"/>
    <m/>
    <n v="0"/>
    <m/>
    <m/>
    <s v="Yes"/>
    <x v="2"/>
    <d v="2015-08-13T17:25:51"/>
    <n v="1"/>
    <s v="173.225.62.67"/>
    <s v="JC251.A74 -- .W357 2015eb"/>
    <n v="301.01"/>
    <d v="2015-02-28T00:00:00"/>
  </r>
  <r>
    <x v="8828"/>
    <d v="1899-12-30T00:00:00"/>
    <x v="1683"/>
    <x v="9"/>
    <s v="trocaire"/>
    <x v="1777"/>
    <n v="1887318"/>
    <x v="1"/>
    <s v="Social Science; Political Science"/>
    <s v="9781409438649"/>
    <m/>
    <n v="0"/>
    <m/>
    <m/>
    <s v="No"/>
    <x v="2"/>
    <d v="2015-08-13T17:25:51"/>
    <n v="1"/>
    <s v="173.225.62.67"/>
    <s v="JC251.A74 -- .W357 2015eb"/>
    <n v="301.01"/>
    <d v="2015-02-28T00:00:00"/>
  </r>
  <r>
    <x v="8829"/>
    <d v="1899-12-30T00:00:44"/>
    <x v="1683"/>
    <x v="9"/>
    <s v="trocaire"/>
    <x v="1777"/>
    <n v="1887318"/>
    <x v="1"/>
    <s v="Social Science; Political Science"/>
    <s v="9781409438649"/>
    <s v=",1,2,3"/>
    <n v="3"/>
    <m/>
    <m/>
    <s v="No"/>
    <x v="3"/>
    <m/>
    <m/>
    <s v="173.225.62.67"/>
    <s v="JC251.A74 -- .W357 2015eb"/>
    <n v="301.01"/>
    <d v="2015-02-28T00:00:00"/>
  </r>
  <r>
    <x v="8830"/>
    <d v="1899-12-30T00:04:53"/>
    <x v="1935"/>
    <x v="0"/>
    <s v="Buffalo"/>
    <x v="1690"/>
    <n v="1760718"/>
    <x v="4"/>
    <s v="Medicine"/>
    <s v="9781462517848"/>
    <s v=",1,2,3,67,68,69,65,66,2,70,71,97,98,99,95,96,100,101,102,527,528,529,525,526,530,682,683,684,680,681"/>
    <n v="29"/>
    <m/>
    <m/>
    <s v="No"/>
    <x v="1"/>
    <m/>
    <m/>
    <s v="128.205.114.91"/>
    <s v="RJ496.A86 -- A883 2015eb"/>
    <n v="618.92849999999999"/>
    <d v="2015-01-15T00:00:00"/>
  </r>
  <r>
    <x v="8831"/>
    <d v="1899-12-30T00:00:00"/>
    <x v="1683"/>
    <x v="9"/>
    <s v="trocaire"/>
    <x v="728"/>
    <n v="1872281"/>
    <x v="4"/>
    <s v="Education; Business/Management"/>
    <s v="9781462519606"/>
    <m/>
    <n v="0"/>
    <m/>
    <m/>
    <s v="Yes"/>
    <x v="2"/>
    <d v="2015-08-13T16:55:35"/>
    <n v="1"/>
    <s v="173.225.62.67"/>
    <s v="HD75 -- .P448 2015eb"/>
    <n v="378.101"/>
    <d v="2015-05-26T00:00:00"/>
  </r>
  <r>
    <x v="8831"/>
    <d v="1899-12-30T00:00:00"/>
    <x v="1683"/>
    <x v="9"/>
    <s v="trocaire"/>
    <x v="728"/>
    <n v="1872281"/>
    <x v="4"/>
    <s v="Education; Business/Management"/>
    <s v="9781462519606"/>
    <m/>
    <n v="0"/>
    <m/>
    <m/>
    <s v="No"/>
    <x v="2"/>
    <d v="2015-08-13T16:55:35"/>
    <n v="1"/>
    <s v="173.225.62.67"/>
    <s v="HD75 -- .P448 2015eb"/>
    <n v="378.101"/>
    <d v="2015-05-26T00:00:00"/>
  </r>
  <r>
    <x v="8832"/>
    <d v="1899-12-30T00:01:05"/>
    <x v="1683"/>
    <x v="9"/>
    <s v="trocaire"/>
    <x v="728"/>
    <n v="1872281"/>
    <x v="4"/>
    <s v="Education; Business/Management"/>
    <s v="9781462519606"/>
    <s v=",1,2,3"/>
    <n v="3"/>
    <m/>
    <m/>
    <s v="No"/>
    <x v="3"/>
    <m/>
    <m/>
    <s v="173.225.62.67"/>
    <s v="HD75 -- .P448 2015eb"/>
    <n v="378.101"/>
    <d v="2015-05-26T00:00:00"/>
  </r>
  <r>
    <x v="8833"/>
    <d v="1899-12-30T00:00:03"/>
    <x v="344"/>
    <x v="12"/>
    <s v="potsdam"/>
    <x v="1778"/>
    <n v="2004810"/>
    <x v="1"/>
    <s v="Social Science"/>
    <s v="9781472445551"/>
    <s v=",1,2,3"/>
    <n v="3"/>
    <m/>
    <m/>
    <s v="No"/>
    <x v="3"/>
    <m/>
    <m/>
    <s v="137.143.104.94"/>
    <s v="HQ756 -- .G733 2015eb"/>
    <s v="306.874/2"/>
    <d v="2015-04-28T00:00:00"/>
  </r>
  <r>
    <x v="8834"/>
    <d v="1899-12-30T00:01:30"/>
    <x v="1935"/>
    <x v="0"/>
    <s v="Buffalo"/>
    <x v="1395"/>
    <n v="1938147"/>
    <x v="4"/>
    <s v="Medicine"/>
    <s v="9781462520695"/>
    <s v=",1,2,3,23,21,22,20,25,26,27,28"/>
    <n v="11"/>
    <m/>
    <m/>
    <s v="No"/>
    <x v="3"/>
    <m/>
    <m/>
    <s v="128.205.114.91"/>
    <s v="RC552.E18 -- .C374 2015eb"/>
    <n v="616.85260600000004"/>
    <d v="2015-01-01T00:00:00"/>
  </r>
  <r>
    <x v="8835"/>
    <d v="1899-12-30T00:06:55"/>
    <x v="1936"/>
    <x v="13"/>
    <s v="buffalostate"/>
    <x v="127"/>
    <n v="1166311"/>
    <x v="0"/>
    <s v="Military Science"/>
    <s v="9781118525616"/>
    <s v=",3,3,4,1,2,5,6,8,9,11,13,16,17,14,20,18"/>
    <n v="15"/>
    <m/>
    <m/>
    <s v="No"/>
    <x v="1"/>
    <m/>
    <m/>
    <s v="136.183.11.43"/>
    <s v="U408.5 .P384 2013"/>
    <n v="355.00700000000001"/>
    <d v="2013-04-02T00:00:00"/>
  </r>
  <r>
    <x v="8836"/>
    <d v="1899-12-30T00:00:21"/>
    <x v="445"/>
    <x v="0"/>
    <s v="Buffalo"/>
    <x v="477"/>
    <n v="1120279"/>
    <x v="0"/>
    <s v="Science: Biology/Natural History; Science"/>
    <s v="9781118537671"/>
    <s v=",14,15,16,17"/>
    <n v="4"/>
    <m/>
    <m/>
    <s v="No"/>
    <x v="0"/>
    <d v="2015-08-12T21:56:05"/>
    <n v="7"/>
    <s v="128.205.114.91"/>
    <s v="QH371 .K384 2012"/>
    <n v="599.93499999999995"/>
    <d v="2012-11-19T00:00:00"/>
  </r>
  <r>
    <x v="8837"/>
    <d v="1899-12-30T00:14:05"/>
    <x v="445"/>
    <x v="0"/>
    <s v="Buffalo"/>
    <x v="477"/>
    <n v="1120279"/>
    <x v="0"/>
    <s v="Science: Biology/Natural History; Science"/>
    <s v="9781118537671"/>
    <s v=",1,2,3,4,5,6,7,8,9,10,11,12,13"/>
    <n v="13"/>
    <m/>
    <m/>
    <s v="No"/>
    <x v="1"/>
    <m/>
    <m/>
    <s v="128.205.114.91"/>
    <s v="QH371 .K384 2012"/>
    <n v="599.93499999999995"/>
    <d v="2012-11-19T00:00:00"/>
  </r>
  <r>
    <x v="8838"/>
    <d v="1899-12-30T00:21:46"/>
    <x v="1907"/>
    <x v="0"/>
    <s v="Buffalo"/>
    <x v="1755"/>
    <n v="1742842"/>
    <x v="4"/>
    <s v="Education"/>
    <s v="9781462516810"/>
    <s v=",54,55,56,57,58,59,60,61,62,63,64,138,139,140,136,137,141,142,143,144,145,163,164,165,161,162"/>
    <n v="26"/>
    <m/>
    <m/>
    <s v="No"/>
    <x v="2"/>
    <d v="2015-08-12T19:35:35"/>
    <n v="1"/>
    <s v="128.205.114.91"/>
    <s v="LC4713.4 -- .D87 2014eb"/>
    <n v="371.93"/>
    <d v="2014-10-21T00:00:00"/>
  </r>
  <r>
    <x v="8839"/>
    <d v="1899-12-30T00:09:51"/>
    <x v="1907"/>
    <x v="0"/>
    <s v="Buffalo"/>
    <x v="1755"/>
    <n v="1742842"/>
    <x v="4"/>
    <s v="Education"/>
    <s v="9781462516810"/>
    <s v=",1,2,3,50,51,52,48,49,53"/>
    <n v="9"/>
    <m/>
    <m/>
    <s v="No"/>
    <x v="3"/>
    <m/>
    <m/>
    <s v="128.205.114.91"/>
    <s v="LC4713.4 -- .D87 2014eb"/>
    <n v="371.93"/>
    <d v="2014-10-21T00:00:00"/>
  </r>
  <r>
    <x v="8840"/>
    <d v="1899-12-30T00:03:36"/>
    <x v="1540"/>
    <x v="9"/>
    <s v="trocaire"/>
    <x v="835"/>
    <n v="1823006"/>
    <x v="4"/>
    <s v="Science; General Works/Reference"/>
    <s v="9781462519095"/>
    <s v=",1,2,3,4"/>
    <n v="4"/>
    <m/>
    <m/>
    <s v="No"/>
    <x v="1"/>
    <m/>
    <m/>
    <s v="173.225.62.67"/>
    <s v="Q180.55.E4 -- .R655 2015eb"/>
    <n v="1.4028499999999999"/>
    <d v="2015-01-07T00:00:00"/>
  </r>
  <r>
    <x v="8841"/>
    <d v="1899-12-30T00:00:25"/>
    <x v="1937"/>
    <x v="0"/>
    <s v="Buffalo"/>
    <x v="1779"/>
    <n v="1873962"/>
    <x v="16"/>
    <s v="Education"/>
    <s v="9781137502445"/>
    <s v=",1,2,3,112,109"/>
    <n v="5"/>
    <m/>
    <m/>
    <s v="No"/>
    <x v="1"/>
    <m/>
    <m/>
    <s v="128.205.114.91"/>
    <s v="LC4231 -- .O85 2015eb"/>
    <n v="371.90474"/>
    <d v="2014-11-28T00:00:00"/>
  </r>
  <r>
    <x v="8842"/>
    <d v="1899-12-30T00:00:03"/>
    <x v="1938"/>
    <x v="5"/>
    <s v="erie"/>
    <x v="1780"/>
    <n v="1834784"/>
    <x v="0"/>
    <s v="Business/Management; Economics"/>
    <s v="9781118892992"/>
    <s v=",1,2,3"/>
    <n v="3"/>
    <m/>
    <m/>
    <s v="No"/>
    <x v="1"/>
    <m/>
    <m/>
    <s v="199.29.6.54"/>
    <s v="HG4521 -- .K278 2014eb"/>
    <n v="332.6"/>
    <d v="2014-11-05T00:00:00"/>
  </r>
  <r>
    <x v="8843"/>
    <d v="1899-12-30T00:08:31"/>
    <x v="1939"/>
    <x v="0"/>
    <s v="Buffalo"/>
    <x v="533"/>
    <n v="1760720"/>
    <x v="4"/>
    <s v="Medicine"/>
    <s v="9781462517459"/>
    <s v=",1,2,3,4,29,30,31,27,28,69,70,71,68,67,51,53,52,49,50,193,195,194,191,192,352,353,354,350,351,355,497,498,495,496,500,501,453,454,455,451,452,456,457,458,459"/>
    <n v="45"/>
    <m/>
    <m/>
    <s v="No"/>
    <x v="1"/>
    <m/>
    <m/>
    <s v="128.205.114.91"/>
    <s v="RC489.D48 -- L56 2015eb"/>
    <n v="616.89142000000004"/>
    <d v="2014-12-23T00:00:00"/>
  </r>
  <r>
    <x v="8844"/>
    <d v="1899-12-30T00:03:55"/>
    <x v="1540"/>
    <x v="9"/>
    <s v="trocaire"/>
    <x v="462"/>
    <n v="1092959"/>
    <x v="3"/>
    <s v="Social Science"/>
    <s v="9780520955097"/>
    <s v=",1,84,85,86,82,83,2,87,88,89,90"/>
    <n v="11"/>
    <m/>
    <m/>
    <s v="No"/>
    <x v="1"/>
    <m/>
    <m/>
    <s v="173.225.62.67"/>
    <s v="HQ536 -- .F388 2013eb"/>
    <n v="306.85097300000001"/>
    <d v="2013-03-01T00:00:00"/>
  </r>
  <r>
    <x v="8845"/>
    <d v="1899-12-30T00:00:05"/>
    <x v="337"/>
    <x v="1"/>
    <s v="brockport"/>
    <x v="1781"/>
    <n v="1323167"/>
    <x v="3"/>
    <s v="Literature"/>
    <s v="9780520957022"/>
    <s v=",1,2,3"/>
    <n v="3"/>
    <m/>
    <m/>
    <s v="No"/>
    <x v="3"/>
    <m/>
    <m/>
    <s v="137.21.7.121"/>
    <s v="PA3086 -- .W55 2013eb"/>
    <s v="880.9/001"/>
    <d v="2013-08-03T00:00:00"/>
  </r>
  <r>
    <x v="8846"/>
    <d v="1899-12-30T00:00:16"/>
    <x v="1540"/>
    <x v="9"/>
    <s v="trocaire"/>
    <x v="1782"/>
    <n v="1832728"/>
    <x v="0"/>
    <s v="Computer Science/IT"/>
    <s v="9781118991367"/>
    <s v=",1"/>
    <n v="1"/>
    <m/>
    <m/>
    <s v="No"/>
    <x v="1"/>
    <m/>
    <m/>
    <s v="173.225.62.67"/>
    <s v="QA76.774.M33 -- M34 2014eb"/>
    <n v="5.4459999999999997"/>
    <d v="2014-11-03T00:00:00"/>
  </r>
  <r>
    <x v="8847"/>
    <d v="1899-12-30T00:00:00"/>
    <x v="1940"/>
    <x v="0"/>
    <s v="Buffalo"/>
    <x v="1783"/>
    <n v="1710981"/>
    <x v="3"/>
    <s v="Literature"/>
    <s v="9780520957428"/>
    <m/>
    <n v="0"/>
    <m/>
    <m/>
    <s v="Yes"/>
    <x v="2"/>
    <d v="2015-08-11T17:19:42"/>
    <n v="1"/>
    <s v="128.205.114.91"/>
    <s v="PA3015.D64 -- .F731 2014eb"/>
    <s v="880.9/3522"/>
    <d v="2014-09-26T00:00:00"/>
  </r>
  <r>
    <x v="8848"/>
    <d v="1899-12-30T00:10:47"/>
    <x v="1940"/>
    <x v="0"/>
    <s v="Buffalo"/>
    <x v="1783"/>
    <n v="1710981"/>
    <x v="3"/>
    <s v="Literature"/>
    <s v="9780520957428"/>
    <s v=",170,171,172,173,267,268,269,270,271,272,284,284,285,192,175,178,175,178,178,178,175,192"/>
    <n v="15"/>
    <m/>
    <m/>
    <s v="No"/>
    <x v="2"/>
    <d v="2015-08-11T17:19:42"/>
    <n v="1"/>
    <s v="128.205.114.91"/>
    <s v="PA3015.D64 -- .F731 2014eb"/>
    <s v="880.9/3522"/>
    <d v="2014-09-26T00:00:00"/>
  </r>
  <r>
    <x v="8849"/>
    <d v="1899-12-30T00:00:16"/>
    <x v="1941"/>
    <x v="0"/>
    <s v="Buffalo"/>
    <x v="1784"/>
    <n v="2039115"/>
    <x v="1"/>
    <s v="Sport &amp; Recreation"/>
    <s v="9781472448217"/>
    <s v=",1,2,3,4,5,6,7,8,178,204"/>
    <n v="10"/>
    <m/>
    <m/>
    <s v="No"/>
    <x v="3"/>
    <m/>
    <m/>
    <s v="128.205.114.91"/>
    <s v="GV944.4 .J44 2015"/>
    <s v="796.04''56"/>
    <d v="2015-06-28T00:00:00"/>
  </r>
  <r>
    <x v="8850"/>
    <d v="1899-12-30T00:08:47"/>
    <x v="1940"/>
    <x v="0"/>
    <s v="Buffalo"/>
    <x v="1783"/>
    <n v="1710981"/>
    <x v="3"/>
    <s v="Literature"/>
    <s v="9780520957428"/>
    <s v=",1,2,3,169,170,171,167,168,169,170"/>
    <n v="8"/>
    <m/>
    <m/>
    <s v="No"/>
    <x v="3"/>
    <m/>
    <m/>
    <s v="128.205.114.91"/>
    <s v="PA3015.D64 -- .F731 2014eb"/>
    <s v="880.9/3522"/>
    <d v="2014-09-26T00:00:00"/>
  </r>
  <r>
    <x v="8851"/>
    <d v="1899-12-30T00:00:02"/>
    <x v="1941"/>
    <x v="0"/>
    <s v="Buffalo"/>
    <x v="1784"/>
    <n v="2039115"/>
    <x v="1"/>
    <s v="Sport &amp; Recreation"/>
    <s v="9781472448217"/>
    <s v=",1,2,3"/>
    <n v="3"/>
    <m/>
    <m/>
    <s v="No"/>
    <x v="3"/>
    <m/>
    <m/>
    <s v="128.205.114.91"/>
    <s v="GV944.4 .J44 2015"/>
    <s v="796.04''56"/>
    <d v="2015-06-28T00:00:00"/>
  </r>
  <r>
    <x v="8852"/>
    <d v="1899-12-30T00:00:03"/>
    <x v="1941"/>
    <x v="0"/>
    <s v="Buffalo"/>
    <x v="1784"/>
    <n v="2039115"/>
    <x v="1"/>
    <s v="Sport &amp; Recreation"/>
    <s v="9781472448217"/>
    <s v=",1,2,3"/>
    <n v="3"/>
    <m/>
    <m/>
    <s v="No"/>
    <x v="3"/>
    <m/>
    <m/>
    <s v="128.205.114.91"/>
    <s v="GV944.4 .J44 2015"/>
    <s v="796.04''56"/>
    <d v="2015-06-28T00:00:00"/>
  </r>
  <r>
    <x v="8853"/>
    <d v="1899-12-30T00:00:00"/>
    <x v="1040"/>
    <x v="16"/>
    <s v="monroecc"/>
    <x v="1785"/>
    <n v="818431"/>
    <x v="0"/>
    <s v="Science: Biology/Natural History; Science: Anatomy/Physiology; Science"/>
    <s v="9781118089774"/>
    <m/>
    <n v="0"/>
    <m/>
    <m/>
    <s v="Yes"/>
    <x v="0"/>
    <d v="2015-08-11T11:47:29"/>
    <n v="7"/>
    <s v="150.160.200.114"/>
    <s v="QP772.V56 -- R43 2012eb"/>
    <n v="612.399"/>
    <d v="2011-10-18T00:00:00"/>
  </r>
  <r>
    <x v="8853"/>
    <d v="1899-12-30T00:00:00"/>
    <x v="1040"/>
    <x v="16"/>
    <s v="monroecc"/>
    <x v="1785"/>
    <n v="818431"/>
    <x v="0"/>
    <s v="Science: Biology/Natural History; Science: Anatomy/Physiology; Science"/>
    <s v="9781118089774"/>
    <m/>
    <n v="0"/>
    <m/>
    <m/>
    <s v="No"/>
    <x v="0"/>
    <d v="2015-08-11T11:47:29"/>
    <n v="7"/>
    <s v="150.160.200.114"/>
    <s v="QP772.V56 -- R43 2012eb"/>
    <n v="612.399"/>
    <d v="2011-10-18T00:00:00"/>
  </r>
  <r>
    <x v="8854"/>
    <d v="1899-12-30T00:13:57"/>
    <x v="1040"/>
    <x v="16"/>
    <s v="monroecc"/>
    <x v="1785"/>
    <n v="818431"/>
    <x v="0"/>
    <s v="Science: Biology/Natural History; Science: Anatomy/Physiology; Science"/>
    <s v="9781118089774"/>
    <s v=",1,2,3"/>
    <n v="3"/>
    <m/>
    <m/>
    <s v="No"/>
    <x v="1"/>
    <m/>
    <m/>
    <s v="150.160.200.114"/>
    <s v="QP772.V56 -- R43 2012eb"/>
    <n v="612.399"/>
    <d v="2011-10-18T00:00:00"/>
  </r>
  <r>
    <x v="8855"/>
    <d v="1899-12-30T00:00:00"/>
    <x v="1040"/>
    <x v="16"/>
    <s v="monroecc"/>
    <x v="407"/>
    <n v="822491"/>
    <x v="0"/>
    <s v="Science; Science: Biology/Natural History; Science: Anatomy/Physiology"/>
    <s v="9781118276273"/>
    <m/>
    <n v="0"/>
    <m/>
    <m/>
    <s v="Yes"/>
    <x v="0"/>
    <d v="2015-08-11T11:12:35"/>
    <n v="7"/>
    <s v="150.160.200.114"/>
    <s v="QP34.5 .F862 2011"/>
    <n v="612"/>
    <d v="2011-11-21T00:00:00"/>
  </r>
  <r>
    <x v="8855"/>
    <d v="1899-12-30T00:00:00"/>
    <x v="1040"/>
    <x v="16"/>
    <s v="monroecc"/>
    <x v="407"/>
    <n v="822491"/>
    <x v="0"/>
    <s v="Science; Science: Biology/Natural History; Science: Anatomy/Physiology"/>
    <s v="9781118276273"/>
    <m/>
    <n v="0"/>
    <m/>
    <m/>
    <s v="No"/>
    <x v="0"/>
    <d v="2015-08-11T11:12:35"/>
    <n v="7"/>
    <s v="150.160.200.114"/>
    <s v="QP34.5 .F862 2011"/>
    <n v="612"/>
    <d v="2011-11-21T00:00:00"/>
  </r>
  <r>
    <x v="8856"/>
    <d v="1899-12-30T00:00:46"/>
    <x v="1040"/>
    <x v="16"/>
    <s v="monroecc"/>
    <x v="407"/>
    <n v="822491"/>
    <x v="0"/>
    <s v="Science; Science: Biology/Natural History; Science: Anatomy/Physiology"/>
    <s v="9781118276273"/>
    <s v=",1,2,3"/>
    <n v="3"/>
    <m/>
    <m/>
    <s v="No"/>
    <x v="1"/>
    <m/>
    <m/>
    <s v="150.160.200.114"/>
    <s v="QP34.5 .F862 2011"/>
    <n v="612"/>
    <d v="2011-11-21T00:00:00"/>
  </r>
  <r>
    <x v="8857"/>
    <d v="1899-12-30T00:02:06"/>
    <x v="1942"/>
    <x v="1"/>
    <s v="brockport"/>
    <x v="1786"/>
    <n v="1342614"/>
    <x v="3"/>
    <s v="Philosophy"/>
    <s v="9780520957343"/>
    <s v=",1,2,3,14,15,16,12,13,17,18,19,20,21,23"/>
    <n v="14"/>
    <m/>
    <s v=",14,14,15,16,17,18,19,20,21"/>
    <s v="No"/>
    <x v="2"/>
    <d v="2015-08-10T20:55:54"/>
    <n v="1"/>
    <s v="137.21.7.121"/>
    <s v="BJ1475 -- .N63 2013eb"/>
    <n v="170"/>
    <d v="2013-09-14T00:00:00"/>
  </r>
  <r>
    <x v="8858"/>
    <d v="1899-12-30T00:03:03"/>
    <x v="1943"/>
    <x v="0"/>
    <s v="Buffalo"/>
    <x v="957"/>
    <n v="1168529"/>
    <x v="0"/>
    <s v="Mathematics"/>
    <s v="9781118710944"/>
    <s v=",1,2,3,723,724,725,721,722,726,729,730,731,727,728,732,733,734,256,257,254,255,259"/>
    <n v="22"/>
    <m/>
    <m/>
    <s v="No"/>
    <x v="1"/>
    <m/>
    <m/>
    <s v="128.205.114.91"/>
    <s v="QA278 .A353 2013"/>
    <s v="519.5; 519.535"/>
    <d v="2013-04-08T00:00:00"/>
  </r>
  <r>
    <x v="8859"/>
    <d v="1899-12-30T00:08:30"/>
    <x v="1942"/>
    <x v="1"/>
    <s v="brockport"/>
    <x v="1786"/>
    <n v="1342614"/>
    <x v="3"/>
    <s v="Philosophy"/>
    <s v="9780520957343"/>
    <s v=",19,19,20,20,21,21,22,22,23,23,24,24,25,25,222,222,223,223,220,221,221,225,225,226,226,221,226,227,227,228,228,229,229,230,230,231,231,232,232,233,233,234,234,236,236,237,237,244,244,245,245,248,248,247,247"/>
    <n v="27"/>
    <m/>
    <m/>
    <s v="No"/>
    <x v="2"/>
    <d v="2015-08-10T20:55:54"/>
    <n v="1"/>
    <s v="137.21.7.121"/>
    <s v="BJ1475 -- .N63 2013eb"/>
    <n v="170"/>
    <d v="2013-09-14T00:00:00"/>
  </r>
  <r>
    <x v="8860"/>
    <d v="1899-12-30T00:06:07"/>
    <x v="1942"/>
    <x v="1"/>
    <s v="brockport"/>
    <x v="1786"/>
    <n v="1342614"/>
    <x v="3"/>
    <s v="Philosophy"/>
    <s v="9780520957343"/>
    <s v=",1,1,1,2,3,2,3,4,4,5,5,2,2,6,6,7,7,2,1,4,6,7,8,5,8,9,9,10,10,11,11,12,12,14,14,15,16,15,16,13,13,17,17,18,18"/>
    <n v="18"/>
    <m/>
    <m/>
    <s v="No"/>
    <x v="3"/>
    <m/>
    <m/>
    <s v="137.21.7.121"/>
    <s v="BJ1475 -- .N63 2013eb"/>
    <n v="170"/>
    <d v="2013-09-14T00:00:00"/>
  </r>
  <r>
    <x v="8861"/>
    <d v="1899-12-30T00:04:22"/>
    <x v="1944"/>
    <x v="10"/>
    <s v="daemen"/>
    <x v="1787"/>
    <n v="2008479"/>
    <x v="4"/>
    <s v="General Works/Reference; Social Science"/>
    <s v="9781462521388"/>
    <s v=",1,2,3,362,359,360,365,366,367,364,407,408,404,402,403,401,400,38,39,51,52,53,50,43,41,40,37,35,36,42,43,87"/>
    <n v="31"/>
    <m/>
    <m/>
    <s v="No"/>
    <x v="3"/>
    <m/>
    <m/>
    <s v="108.183.82.89"/>
    <s v="H62 .Y57 2015"/>
    <n v="1.4"/>
    <d v="2015-06-23T00:00:00"/>
  </r>
  <r>
    <x v="8862"/>
    <d v="1899-12-30T00:02:28"/>
    <x v="1945"/>
    <x v="1"/>
    <s v="brockport"/>
    <x v="24"/>
    <n v="849909"/>
    <x v="0"/>
    <s v="Social Science; History; Psychology"/>
    <s v="9781118319451"/>
    <s v=",1,2,3,169,170,171,167,168,173,174,175,172,176,177,178,179"/>
    <n v="16"/>
    <m/>
    <m/>
    <s v="No"/>
    <x v="1"/>
    <m/>
    <m/>
    <s v="137.21.7.121"/>
    <s v="BF411 .T39"/>
    <s v="306; 920.02"/>
    <d v="2012-01-24T00:00:00"/>
  </r>
  <r>
    <x v="8863"/>
    <d v="1899-12-30T00:00:37"/>
    <x v="1945"/>
    <x v="1"/>
    <s v="brockport"/>
    <x v="24"/>
    <n v="849909"/>
    <x v="0"/>
    <s v="Social Science; History; Psychology"/>
    <s v="9781118319451"/>
    <s v=",1,2,3,2,3,1,2,2,169,170,171,167,168,169,171,168,170"/>
    <n v="8"/>
    <m/>
    <m/>
    <s v="No"/>
    <x v="1"/>
    <m/>
    <m/>
    <s v="137.21.7.121"/>
    <s v="BF411 .T39"/>
    <s v="306; 920.02"/>
    <d v="2012-01-24T00:00:00"/>
  </r>
  <r>
    <x v="8864"/>
    <d v="1899-12-30T00:26:41"/>
    <x v="1946"/>
    <x v="6"/>
    <s v="sjfc"/>
    <x v="1788"/>
    <n v="1661286"/>
    <x v="17"/>
    <s v="History"/>
    <s v="9780748678297"/>
    <s v=",212,213,214,178,175,174,1,174,175,176,172,177,178,2,173"/>
    <n v="12"/>
    <m/>
    <m/>
    <s v="No"/>
    <x v="2"/>
    <d v="2015-08-09T22:23:32"/>
    <n v="1"/>
    <s v="149.69.254.57"/>
    <s v="DP99 -- .H58 2014eb"/>
    <n v="946.02088297"/>
    <d v="2014-02-28T00:00:00"/>
  </r>
  <r>
    <x v="8865"/>
    <d v="1899-12-30T00:14:14"/>
    <x v="1946"/>
    <x v="6"/>
    <s v="sjfc"/>
    <x v="1788"/>
    <n v="1661286"/>
    <x v="17"/>
    <s v="History"/>
    <s v="9780748678297"/>
    <s v=",1,2,3,206,207,208,204,205,209,210,211"/>
    <n v="11"/>
    <m/>
    <m/>
    <s v="No"/>
    <x v="3"/>
    <m/>
    <m/>
    <s v="149.69.254.57"/>
    <s v="DP99 -- .H58 2014eb"/>
    <n v="946.02088297"/>
    <d v="2014-02-28T00:00:00"/>
  </r>
  <r>
    <x v="8866"/>
    <d v="1899-12-30T00:00:02"/>
    <x v="1947"/>
    <x v="13"/>
    <s v="buffalostate"/>
    <x v="1789"/>
    <n v="1566072"/>
    <x v="1"/>
    <s v="Social Science; Law"/>
    <s v="9781409470724"/>
    <s v=",290"/>
    <n v="1"/>
    <m/>
    <m/>
    <s v="No"/>
    <x v="2"/>
    <d v="2015-08-09T21:01:10"/>
    <n v="1"/>
    <s v="136.183.11.43"/>
    <s v="K5250 -- .R43 2013eb"/>
    <s v="364.6/8"/>
    <d v="2014-01-28T00:00:00"/>
  </r>
  <r>
    <x v="8867"/>
    <d v="1899-12-30T00:10:54"/>
    <x v="1947"/>
    <x v="13"/>
    <s v="buffalostate"/>
    <x v="1789"/>
    <n v="1566072"/>
    <x v="1"/>
    <s v="Social Science; Law"/>
    <s v="9781409470724"/>
    <s v=",1,2,3,290,291,292,293,288,289,294,295,296,297,298,299,302"/>
    <n v="16"/>
    <m/>
    <m/>
    <s v="No"/>
    <x v="3"/>
    <m/>
    <m/>
    <s v="136.183.11.43"/>
    <s v="K5250 -- .R43 2013eb"/>
    <s v="364.6/8"/>
    <d v="2014-01-28T00:00:00"/>
  </r>
  <r>
    <x v="8868"/>
    <d v="1899-12-30T00:00:14"/>
    <x v="112"/>
    <x v="0"/>
    <s v="Buffalo"/>
    <x v="509"/>
    <n v="1115640"/>
    <x v="0"/>
    <s v="Engineering: Civil; Engineering: Construction; Engineering"/>
    <s v="9781118419090"/>
    <s v=",1,2,3,4,5,6,7,8"/>
    <n v="8"/>
    <m/>
    <m/>
    <s v="No"/>
    <x v="1"/>
    <m/>
    <m/>
    <s v="128.205.114.91"/>
    <s v="TH375 -- .S77 2013eb"/>
    <n v="624"/>
    <d v="2013-01-22T00:00:00"/>
  </r>
  <r>
    <x v="8869"/>
    <d v="1899-12-30T00:00:24"/>
    <x v="112"/>
    <x v="0"/>
    <s v="Buffalo"/>
    <x v="509"/>
    <n v="1115640"/>
    <x v="0"/>
    <s v="Engineering: Civil; Engineering: Construction; Engineering"/>
    <s v="9781118419090"/>
    <s v=",1,2,3,4,5,6,7,8,9,10,11,12,13,14"/>
    <n v="14"/>
    <m/>
    <m/>
    <s v="No"/>
    <x v="1"/>
    <m/>
    <m/>
    <s v="128.205.114.91"/>
    <s v="TH375 -- .S77 2013eb"/>
    <n v="624"/>
    <d v="2013-01-22T00:00:00"/>
  </r>
  <r>
    <x v="8870"/>
    <d v="1899-12-30T00:00:22"/>
    <x v="1945"/>
    <x v="1"/>
    <s v="brockport"/>
    <x v="24"/>
    <n v="849909"/>
    <x v="0"/>
    <s v="Social Science; History; Psychology"/>
    <s v="9781118319451"/>
    <s v=",1,1,2,3,2,3,169,169,170,170,171,171,167,168,168,2"/>
    <n v="8"/>
    <m/>
    <m/>
    <s v="No"/>
    <x v="1"/>
    <m/>
    <m/>
    <s v="137.21.7.121"/>
    <s v="BF411 .T39"/>
    <s v="306; 920.02"/>
    <d v="2012-01-24T00:00:00"/>
  </r>
  <r>
    <x v="8871"/>
    <d v="1899-12-30T00:00:52"/>
    <x v="1948"/>
    <x v="13"/>
    <s v="buffalostate"/>
    <x v="1790"/>
    <n v="2004781"/>
    <x v="1"/>
    <s v="Psychology"/>
    <s v="9781472417299"/>
    <s v=",1,2,3,20,21,22,18,19,23,24,25,26,27,28,29,30,31,32,33,34,35,36"/>
    <n v="22"/>
    <m/>
    <m/>
    <s v="No"/>
    <x v="3"/>
    <m/>
    <m/>
    <s v="136.183.11.43"/>
    <s v="BF408 -- .R445 2015eb"/>
    <n v="153.30000000000001"/>
    <d v="2015-04-28T00:00:00"/>
  </r>
  <r>
    <x v="8872"/>
    <d v="1899-12-30T00:02:55"/>
    <x v="1949"/>
    <x v="0"/>
    <s v="Buffalo"/>
    <x v="404"/>
    <n v="1732123"/>
    <x v="0"/>
    <s v="Economics; Business/Management"/>
    <s v="9781118884942"/>
    <s v=",1,2,3,4,5,6,7,22,23,24,20,21,25,26,27,28"/>
    <n v="16"/>
    <m/>
    <m/>
    <s v="No"/>
    <x v="1"/>
    <m/>
    <m/>
    <s v="128.205.114.91"/>
    <s v="HG179 -- .T976 2014eb"/>
    <n v="332.024"/>
    <d v="2014-07-07T00:00:00"/>
  </r>
  <r>
    <x v="8873"/>
    <d v="1899-12-30T00:00:15"/>
    <x v="133"/>
    <x v="1"/>
    <s v="brockport"/>
    <x v="1"/>
    <n v="1684620"/>
    <x v="0"/>
    <s v="Health; Social Science"/>
    <s v="9781118418925"/>
    <s v=",16,17,18,19,20,21,22,23,24,25,26,27,28,29"/>
    <n v="14"/>
    <m/>
    <m/>
    <s v="No"/>
    <x v="0"/>
    <d v="2015-08-07T14:26:47"/>
    <n v="7"/>
    <s v="137.21.7.121"/>
    <s v="RA971 -- .S56 2014eb"/>
    <n v="362.10680000000002"/>
    <d v="2014-04-30T00:00:00"/>
  </r>
  <r>
    <x v="8874"/>
    <d v="1899-12-30T00:13:22"/>
    <x v="133"/>
    <x v="1"/>
    <s v="brockport"/>
    <x v="1"/>
    <n v="1684620"/>
    <x v="0"/>
    <s v="Health; Social Science"/>
    <s v="9781118418925"/>
    <s v=",1,2,3,4,5,6,7,8,9,10,11,12,13,14,15"/>
    <n v="15"/>
    <m/>
    <m/>
    <s v="No"/>
    <x v="1"/>
    <m/>
    <m/>
    <s v="137.21.7.121"/>
    <s v="RA971 -- .S56 2014eb"/>
    <n v="362.10680000000002"/>
    <d v="2014-04-30T00:00:00"/>
  </r>
  <r>
    <x v="8875"/>
    <d v="1899-12-30T00:00:49"/>
    <x v="1950"/>
    <x v="0"/>
    <s v="Buffalo"/>
    <x v="780"/>
    <n v="1681156"/>
    <x v="7"/>
    <s v="Social Science; Health"/>
    <s v="9781845939205"/>
    <s v=",1,2,3,168,169,166,167"/>
    <n v="7"/>
    <m/>
    <m/>
    <s v="No"/>
    <x v="3"/>
    <m/>
    <m/>
    <s v="128.205.114.91"/>
    <s v="RA566.27 -- .E947 2014eb"/>
    <s v="362.1969/8"/>
    <d v="2014-04-22T00:00:00"/>
  </r>
  <r>
    <x v="8876"/>
    <d v="1899-12-30T00:00:00"/>
    <x v="539"/>
    <x v="9"/>
    <s v="trocaire"/>
    <x v="1742"/>
    <n v="902988"/>
    <x v="6"/>
    <s v="Philosophy"/>
    <s v="9781438138862"/>
    <m/>
    <n v="0"/>
    <m/>
    <m/>
    <s v="Yes"/>
    <x v="0"/>
    <d v="2015-08-07T13:45:42"/>
    <n v="7"/>
    <s v="173.225.62.67"/>
    <s v="B72 -- .B66 2012eb"/>
    <n v="190"/>
    <d v="2012-03-01T00:00:00"/>
  </r>
  <r>
    <x v="8876"/>
    <d v="1899-12-30T00:00:00"/>
    <x v="539"/>
    <x v="9"/>
    <s v="trocaire"/>
    <x v="1742"/>
    <n v="902988"/>
    <x v="6"/>
    <s v="Philosophy"/>
    <s v="9781438138862"/>
    <m/>
    <n v="0"/>
    <m/>
    <m/>
    <s v="No"/>
    <x v="0"/>
    <d v="2015-08-07T13:45:42"/>
    <n v="7"/>
    <s v="173.225.62.67"/>
    <s v="B72 -- .B66 2012eb"/>
    <n v="190"/>
    <d v="2012-03-01T00:00:00"/>
  </r>
  <r>
    <x v="8877"/>
    <d v="1899-12-30T00:00:32"/>
    <x v="539"/>
    <x v="9"/>
    <s v="trocaire"/>
    <x v="1742"/>
    <n v="902988"/>
    <x v="6"/>
    <s v="Philosophy"/>
    <s v="9781438138862"/>
    <s v=",1,2,2,1,3,3,2,2"/>
    <n v="3"/>
    <m/>
    <m/>
    <s v="No"/>
    <x v="1"/>
    <m/>
    <m/>
    <s v="173.225.62.67"/>
    <s v="B72 -- .B66 2012eb"/>
    <n v="190"/>
    <d v="2012-03-01T00:00:00"/>
  </r>
  <r>
    <x v="8878"/>
    <d v="1899-12-30T00:00:00"/>
    <x v="1040"/>
    <x v="16"/>
    <s v="monroecc"/>
    <x v="1791"/>
    <n v="1173657"/>
    <x v="7"/>
    <s v="Agriculture; Engineering: Chemical; Engineering"/>
    <s v="9781845939755"/>
    <m/>
    <n v="0"/>
    <m/>
    <m/>
    <s v="Yes"/>
    <x v="2"/>
    <d v="2015-08-07T05:19:49"/>
    <n v="1"/>
    <s v="150.160.200.114"/>
    <s v="SB386.R3 -- R36 2013eb"/>
    <s v="664/.804711"/>
    <d v="2013-01-01T00:00:00"/>
  </r>
  <r>
    <x v="8878"/>
    <d v="1899-12-30T00:00:00"/>
    <x v="1040"/>
    <x v="16"/>
    <s v="monroecc"/>
    <x v="1791"/>
    <n v="1173657"/>
    <x v="7"/>
    <s v="Agriculture; Engineering: Chemical; Engineering"/>
    <s v="9781845939755"/>
    <m/>
    <n v="0"/>
    <m/>
    <m/>
    <s v="No"/>
    <x v="2"/>
    <d v="2015-08-07T05:19:49"/>
    <n v="1"/>
    <s v="150.160.200.114"/>
    <s v="SB386.R3 -- R36 2013eb"/>
    <s v="664/.804711"/>
    <d v="2013-01-01T00:00:00"/>
  </r>
  <r>
    <x v="8879"/>
    <d v="1899-12-30T00:00:09"/>
    <x v="1040"/>
    <x v="16"/>
    <s v="monroecc"/>
    <x v="1791"/>
    <n v="1173657"/>
    <x v="7"/>
    <s v="Agriculture; Engineering: Chemical; Engineering"/>
    <s v="9781845939755"/>
    <s v=",1,2,3"/>
    <n v="3"/>
    <m/>
    <m/>
    <s v="No"/>
    <x v="3"/>
    <m/>
    <m/>
    <s v="150.160.200.114"/>
    <s v="SB386.R3 -- R36 2013eb"/>
    <s v="664/.804711"/>
    <d v="2013-01-01T00:00:00"/>
  </r>
  <r>
    <x v="8880"/>
    <d v="1899-12-30T00:00:00"/>
    <x v="1040"/>
    <x v="16"/>
    <s v="monroecc"/>
    <x v="861"/>
    <n v="2038001"/>
    <x v="3"/>
    <s v="Engineering; Home Economics; Engineering: Chemical"/>
    <s v="9780520961296"/>
    <m/>
    <n v="0"/>
    <m/>
    <m/>
    <s v="Yes"/>
    <x v="2"/>
    <d v="2015-08-07T05:19:19"/>
    <n v="1"/>
    <s v="150.160.200.114"/>
    <s v="TP548.2 .W384 2015"/>
    <n v="641.87199999999996"/>
    <d v="2015-09-08T00:00:00"/>
  </r>
  <r>
    <x v="8880"/>
    <d v="1899-12-30T00:00:00"/>
    <x v="1040"/>
    <x v="16"/>
    <s v="monroecc"/>
    <x v="861"/>
    <n v="2038001"/>
    <x v="3"/>
    <s v="Engineering; Home Economics; Engineering: Chemical"/>
    <s v="9780520961296"/>
    <m/>
    <n v="0"/>
    <m/>
    <m/>
    <s v="No"/>
    <x v="2"/>
    <d v="2015-08-07T05:19:19"/>
    <n v="1"/>
    <s v="150.160.200.114"/>
    <s v="TP548.2 .W384 2015"/>
    <n v="641.87199999999996"/>
    <d v="2015-09-08T00:00:00"/>
  </r>
  <r>
    <x v="8881"/>
    <d v="1899-12-30T00:00:09"/>
    <x v="1040"/>
    <x v="16"/>
    <s v="monroecc"/>
    <x v="861"/>
    <n v="2038001"/>
    <x v="3"/>
    <s v="Engineering; Home Economics; Engineering: Chemical"/>
    <s v="9780520961296"/>
    <s v=",1,3,2"/>
    <n v="3"/>
    <m/>
    <m/>
    <s v="No"/>
    <x v="3"/>
    <m/>
    <m/>
    <s v="150.160.200.114"/>
    <s v="TP548.2 .W384 2015"/>
    <n v="641.87199999999996"/>
    <d v="2015-09-08T00:00:00"/>
  </r>
  <r>
    <x v="8882"/>
    <d v="1899-12-30T00:00:00"/>
    <x v="1040"/>
    <x v="16"/>
    <s v="monroecc"/>
    <x v="1655"/>
    <n v="1637201"/>
    <x v="7"/>
    <s v="Science; Science: Botany"/>
    <s v="9781780641843"/>
    <m/>
    <n v="0"/>
    <m/>
    <m/>
    <s v="Yes"/>
    <x v="2"/>
    <d v="2015-08-07T05:06:38"/>
    <n v="1"/>
    <s v="150.160.200.114"/>
    <s v="QK661 -- .S428 2014eb"/>
    <s v="581.4/67"/>
    <d v="2013-01-01T00:00:00"/>
  </r>
  <r>
    <x v="8882"/>
    <d v="1899-12-30T00:00:00"/>
    <x v="1040"/>
    <x v="16"/>
    <s v="monroecc"/>
    <x v="1655"/>
    <n v="1637201"/>
    <x v="7"/>
    <s v="Science; Science: Botany"/>
    <s v="9781780641843"/>
    <m/>
    <n v="0"/>
    <m/>
    <m/>
    <s v="No"/>
    <x v="2"/>
    <d v="2015-08-07T05:06:38"/>
    <n v="1"/>
    <s v="150.160.200.114"/>
    <s v="QK661 -- .S428 2014eb"/>
    <s v="581.4/67"/>
    <d v="2013-01-01T00:00:00"/>
  </r>
  <r>
    <x v="8883"/>
    <d v="1899-12-30T00:00:40"/>
    <x v="1040"/>
    <x v="16"/>
    <s v="monroecc"/>
    <x v="1655"/>
    <n v="1637201"/>
    <x v="7"/>
    <s v="Science; Science: Botany"/>
    <s v="9781780641843"/>
    <s v=",1,2,3,7,8,9,5,6,10,12,11,14,13"/>
    <n v="13"/>
    <m/>
    <m/>
    <s v="No"/>
    <x v="3"/>
    <m/>
    <m/>
    <s v="150.160.200.114"/>
    <s v="QK661 -- .S428 2014eb"/>
    <s v="581.4/67"/>
    <d v="2013-01-01T00:00:00"/>
  </r>
  <r>
    <x v="8884"/>
    <d v="1899-12-30T00:06:34"/>
    <x v="1951"/>
    <x v="0"/>
    <s v="Buffalo"/>
    <x v="1792"/>
    <n v="1120309"/>
    <x v="0"/>
    <s v="Computer Science/IT"/>
    <s v="9781118425152"/>
    <s v=",1,2,3,4,5,6,7,8,9,10,11,12,13,14,15,16,222,223,224,220,221,219,218,217,216,215,211,193,192,187,188,183,182,181,179,178,173,172,174,170,171,169,175,176,177,180,184,185,186,189,190,191,194,195,196,198,199,200,201,203,204,205,206,207,197"/>
    <n v="65"/>
    <m/>
    <m/>
    <s v="No"/>
    <x v="1"/>
    <m/>
    <m/>
    <s v="128.205.114.91"/>
    <s v="QA76.76.H94 .L384 2012"/>
    <n v="6.74"/>
    <d v="2012-11-21T00:00:00"/>
  </r>
  <r>
    <x v="8885"/>
    <d v="1899-12-30T00:07:51"/>
    <x v="1951"/>
    <x v="0"/>
    <s v="Buffalo"/>
    <x v="1256"/>
    <n v="1120310"/>
    <x v="0"/>
    <s v="Computer Science/IT"/>
    <s v="9781118432693"/>
    <s v=",1,2,3,4,5,6,7,8,9,10,11,12,13,14,15,16,17,18,19,20,21,22,23,89,90,88,87,85,86,84,82,83,81,80,79,77,78,76,75,74,73,72,71,70,69,91,93,92,94,95,96,97,98,99,100,101,102,103,104,105,106,107,108,109,110,111,112,114,113,115,116,117,119,120,121,127,118,182,183,185,184,181,186,187,188,193,194,195,196,192,190,191,189,197,198,199,200,201,202,226,216,203,205,204,206,207,208,209,211,210,212,213,214,215,217,218,219,220,221,222,223,224,225,227,228,229,230,231,232,233,234,235,236,237,238,239,240,241,242,243,244,245,246,247,248,249,250,251,252,253,254,255,256,257,258,259,260,262,261,263,264,265,266,267,268,269,270,276,277,279,280,281,278,282,283,284,285,286,287,288,289,290,291,299,300,301,302,298,297,303,304"/>
    <n v="191"/>
    <m/>
    <m/>
    <s v="No"/>
    <x v="1"/>
    <m/>
    <m/>
    <s v="128.205.114.91"/>
    <s v="QA76.76.H94 .H371 2012"/>
    <n v="6.74"/>
    <d v="2012-11-19T00:00:00"/>
  </r>
  <r>
    <x v="8886"/>
    <d v="1899-12-30T00:00:04"/>
    <x v="1540"/>
    <x v="9"/>
    <s v="trocaire"/>
    <x v="1793"/>
    <n v="1595186"/>
    <x v="0"/>
    <s v="Education"/>
    <s v="9781118720516"/>
    <s v=",63,1,64,65,61,62"/>
    <n v="6"/>
    <m/>
    <m/>
    <s v="No"/>
    <x v="1"/>
    <m/>
    <m/>
    <s v="173.225.62.67"/>
    <s v="LB2341 -- .R476 2014eb"/>
    <s v="378.1/11"/>
    <d v="2014-01-14T00:00:00"/>
  </r>
  <r>
    <x v="8887"/>
    <d v="1899-12-30T00:00:07"/>
    <x v="1540"/>
    <x v="9"/>
    <s v="trocaire"/>
    <x v="902"/>
    <n v="1572865"/>
    <x v="5"/>
    <s v="History; Social Science"/>
    <s v="9780814769331"/>
    <s v=",1,66,67,68,64,65,62,63"/>
    <n v="8"/>
    <m/>
    <m/>
    <s v="No"/>
    <x v="1"/>
    <m/>
    <m/>
    <s v="173.225.62.67"/>
    <s v="E184.A1 -- .R446 2014eb"/>
    <n v="305.800973"/>
    <d v="2014-01-20T00:00:00"/>
  </r>
  <r>
    <x v="8888"/>
    <d v="1899-12-30T00:01:48"/>
    <x v="1952"/>
    <x v="0"/>
    <s v="Buffalo"/>
    <x v="548"/>
    <n v="771134"/>
    <x v="18"/>
    <s v="Social Science"/>
    <s v="9781608706426"/>
    <s v=",1,2,3,76,77,78,74,75,96,97,98,94,42,43,44,40,41"/>
    <n v="17"/>
    <m/>
    <m/>
    <s v="No"/>
    <x v="1"/>
    <m/>
    <m/>
    <s v="128.205.114.91"/>
    <s v="HQ1034.U5"/>
    <n v="306.84800000000001"/>
    <d v="2012-01-01T00:00:00"/>
  </r>
  <r>
    <x v="8889"/>
    <d v="1899-12-30T00:03:01"/>
    <x v="474"/>
    <x v="13"/>
    <s v="buffalostate"/>
    <x v="1794"/>
    <n v="1825733"/>
    <x v="1"/>
    <s v="Science: Zoology; Science"/>
    <s v="9781472427793"/>
    <s v=",4,5,6,7"/>
    <n v="4"/>
    <m/>
    <s v=",1"/>
    <s v="No"/>
    <x v="2"/>
    <d v="2015-08-06T15:57:58"/>
    <n v="1"/>
    <s v="136.183.11.43"/>
    <s v="QL67 -- .C65 2014eb"/>
    <s v="590.75/2"/>
    <d v="2014-12-28T00:00:00"/>
  </r>
  <r>
    <x v="8890"/>
    <d v="1899-12-30T00:00:07"/>
    <x v="474"/>
    <x v="13"/>
    <s v="buffalostate"/>
    <x v="1794"/>
    <n v="1825733"/>
    <x v="1"/>
    <s v="Science: Zoology; Science"/>
    <s v="9781472427793"/>
    <s v=",1,2,3"/>
    <n v="3"/>
    <m/>
    <m/>
    <s v="No"/>
    <x v="3"/>
    <m/>
    <m/>
    <s v="136.183.11.43"/>
    <s v="QL67 -- .C65 2014eb"/>
    <s v="590.75/2"/>
    <d v="2014-12-28T00:00:00"/>
  </r>
  <r>
    <x v="8891"/>
    <d v="1899-12-30T00:48:11"/>
    <x v="223"/>
    <x v="0"/>
    <s v="Buffalo"/>
    <x v="28"/>
    <n v="817313"/>
    <x v="0"/>
    <s v="Education"/>
    <s v="9781118136829"/>
    <s v=",1,2,3,343,344,341,345,342,346,347,348,327,328,329,325,326,330,331,349,350,351,352"/>
    <n v="22"/>
    <m/>
    <m/>
    <s v="No"/>
    <x v="0"/>
    <d v="2015-08-04T17:29:38"/>
    <n v="7"/>
    <s v="128.205.114.91"/>
    <s v="LB2367.4 -- .W65 2012eb"/>
    <n v="378.16640000000001"/>
    <d v="2012-01-10T00:00:00"/>
  </r>
  <r>
    <x v="8892"/>
    <d v="1899-12-30T00:00:00"/>
    <x v="51"/>
    <x v="0"/>
    <s v="Buffalo"/>
    <x v="1795"/>
    <n v="1589690"/>
    <x v="1"/>
    <s v="History; Social Science"/>
    <s v="9781409464464"/>
    <m/>
    <n v="0"/>
    <m/>
    <m/>
    <s v="Yes"/>
    <x v="2"/>
    <d v="2015-08-05T22:43:57"/>
    <n v="1"/>
    <s v="128.205.114.91"/>
    <s v="CC72.4 -- .P37 2014eb"/>
    <n v="303.39999999999998"/>
    <d v="2014-05-28T00:00:00"/>
  </r>
  <r>
    <x v="8892"/>
    <d v="1899-12-30T00:00:00"/>
    <x v="51"/>
    <x v="0"/>
    <s v="Buffalo"/>
    <x v="1795"/>
    <n v="1589690"/>
    <x v="1"/>
    <s v="History; Social Science"/>
    <s v="9781409464464"/>
    <m/>
    <n v="0"/>
    <m/>
    <m/>
    <s v="No"/>
    <x v="2"/>
    <d v="2015-08-05T22:43:57"/>
    <n v="1"/>
    <s v="128.205.114.91"/>
    <s v="CC72.4 -- .P37 2014eb"/>
    <n v="303.39999999999998"/>
    <d v="2014-05-28T00:00:00"/>
  </r>
  <r>
    <x v="8893"/>
    <d v="1899-12-30T00:01:23"/>
    <x v="51"/>
    <x v="0"/>
    <s v="Buffalo"/>
    <x v="1795"/>
    <n v="1589690"/>
    <x v="1"/>
    <s v="History; Social Science"/>
    <s v="9781409464464"/>
    <s v=",1,2,3,93,94,96,92,97,98,99,100,102"/>
    <n v="12"/>
    <m/>
    <m/>
    <s v="No"/>
    <x v="3"/>
    <m/>
    <m/>
    <s v="128.205.114.91"/>
    <s v="CC72.4 -- .P37 2014eb"/>
    <n v="303.39999999999998"/>
    <d v="2014-05-28T00:00:00"/>
  </r>
  <r>
    <x v="8894"/>
    <d v="1899-12-30T00:01:16"/>
    <x v="1528"/>
    <x v="0"/>
    <s v="Buffalo"/>
    <x v="537"/>
    <n v="1710992"/>
    <x v="3"/>
    <s v="Social Science"/>
    <s v="9780520959125"/>
    <s v=",1,2,3,6,7,8,4,5,9,15,16,17,13,14,25,26,27,23,24,28,29,30,54,55,56,52,53"/>
    <n v="27"/>
    <m/>
    <m/>
    <s v="No"/>
    <x v="3"/>
    <m/>
    <m/>
    <s v="128.205.114.91"/>
    <s v="GR340 -- .F66 2015eb"/>
    <n v="398.209"/>
    <d v="2015-01-14T00:00:00"/>
  </r>
  <r>
    <x v="8895"/>
    <d v="1899-12-30T02:24:45"/>
    <x v="223"/>
    <x v="0"/>
    <s v="Buffalo"/>
    <x v="28"/>
    <n v="817313"/>
    <x v="0"/>
    <s v="Education"/>
    <s v="9781118136829"/>
    <s v=",1,2,3,321,322,323,319,325,326,324,327,328,322,321,320,319,326,327,328,329,330,331,331,332,332,333,335,336,337,334,337,338,339,334,333,332,331,330,329,339,340,342,343,341,338,337,336"/>
    <n v="28"/>
    <m/>
    <m/>
    <s v="No"/>
    <x v="0"/>
    <d v="2015-08-04T17:29:38"/>
    <n v="7"/>
    <s v="128.205.114.91"/>
    <s v="LB2367.4 -- .W65 2012eb"/>
    <n v="378.16640000000001"/>
    <d v="2012-01-10T00:00:00"/>
  </r>
  <r>
    <x v="8896"/>
    <d v="1899-12-30T00:00:22"/>
    <x v="223"/>
    <x v="0"/>
    <s v="Buffalo"/>
    <x v="28"/>
    <n v="817313"/>
    <x v="0"/>
    <s v="Education"/>
    <s v="9781118136829"/>
    <s v=",1,2,3,320,321,322,318,319"/>
    <n v="8"/>
    <m/>
    <m/>
    <s v="No"/>
    <x v="0"/>
    <d v="2015-08-04T17:29:38"/>
    <n v="7"/>
    <s v="128.205.114.91"/>
    <s v="LB2367.4 -- .W65 2012eb"/>
    <n v="378.16640000000001"/>
    <d v="2012-01-10T00:00:00"/>
  </r>
  <r>
    <x v="8897"/>
    <d v="1899-12-30T00:03:59"/>
    <x v="223"/>
    <x v="0"/>
    <s v="Buffalo"/>
    <x v="28"/>
    <n v="817313"/>
    <x v="0"/>
    <s v="Education"/>
    <s v="9781118136829"/>
    <s v=",1,2,3,315,317,313,314,318,319"/>
    <n v="9"/>
    <m/>
    <m/>
    <s v="No"/>
    <x v="0"/>
    <d v="2015-08-04T17:29:38"/>
    <n v="7"/>
    <s v="128.205.114.91"/>
    <s v="LB2367.4 -- .W65 2012eb"/>
    <n v="378.16640000000001"/>
    <d v="2012-01-10T00:00:00"/>
  </r>
  <r>
    <x v="8898"/>
    <d v="1899-12-30T00:09:30"/>
    <x v="1540"/>
    <x v="9"/>
    <s v="trocaire"/>
    <x v="534"/>
    <n v="1753378"/>
    <x v="0"/>
    <s v="Business/Management"/>
    <s v="9781118883570"/>
    <s v=",1,32,33,30,2,28,29"/>
    <n v="7"/>
    <m/>
    <m/>
    <s v="No"/>
    <x v="1"/>
    <m/>
    <m/>
    <s v="173.225.62.67"/>
    <s v="HF5415 -- .R5666 2014eb"/>
    <s v="658.8/02"/>
    <d v="2014-07-23T00:00:00"/>
  </r>
  <r>
    <x v="8899"/>
    <d v="1899-12-30T00:27:48"/>
    <x v="223"/>
    <x v="0"/>
    <s v="Buffalo"/>
    <x v="28"/>
    <n v="817313"/>
    <x v="0"/>
    <s v="Education"/>
    <s v="9781118136829"/>
    <s v=",1,2,3,285,286,287,283,284,288,289,305,306,307,303,304,308,290,291,309,292,293,294,310,311,312,301,302,303,304,300,305,299,295,296,297,293,294,298,310,311,312,308,309,313,301,302,303,299,300,304,314"/>
    <n v="35"/>
    <m/>
    <m/>
    <s v="No"/>
    <x v="0"/>
    <d v="2015-08-04T17:29:38"/>
    <n v="7"/>
    <s v="128.205.114.91"/>
    <s v="LB2367.4 -- .W65 2012eb"/>
    <n v="378.16640000000001"/>
    <d v="2012-01-10T00:00:00"/>
  </r>
  <r>
    <x v="8900"/>
    <d v="1899-12-30T00:00:00"/>
    <x v="201"/>
    <x v="0"/>
    <s v="Buffalo"/>
    <x v="1796"/>
    <n v="1635755"/>
    <x v="11"/>
    <s v="Religion"/>
    <s v="9780226117577"/>
    <m/>
    <n v="0"/>
    <m/>
    <m/>
    <s v="No"/>
    <x v="2"/>
    <d v="2015-08-04T19:30:05"/>
    <n v="1"/>
    <s v="128.205.114.91"/>
    <s v="BL2463"/>
    <s v="200.9171/241"/>
    <d v="2014-03-19T00:00:00"/>
  </r>
  <r>
    <x v="8901"/>
    <d v="1899-12-30T00:02:48"/>
    <x v="201"/>
    <x v="0"/>
    <s v="Buffalo"/>
    <x v="1796"/>
    <n v="1635755"/>
    <x v="11"/>
    <s v="Religion"/>
    <s v="9780226117577"/>
    <s v=",1,22,1,23,22,24,23,24,20,21,21,2,2,25,25,26,26,27,27,28,28,29,29"/>
    <n v="12"/>
    <m/>
    <m/>
    <s v="No"/>
    <x v="3"/>
    <m/>
    <m/>
    <s v="128.205.114.91"/>
    <s v="BL2463"/>
    <s v="200.9171/241"/>
    <d v="2014-03-19T00:00:00"/>
  </r>
  <r>
    <x v="8902"/>
    <d v="1899-12-30T01:54:51"/>
    <x v="223"/>
    <x v="0"/>
    <s v="Buffalo"/>
    <x v="28"/>
    <n v="817313"/>
    <x v="0"/>
    <s v="Education"/>
    <s v="9781118136829"/>
    <s v=",288,290,291,292,287,286,285,284,283,282,281,280,279,277,278,290,294,295,293,296,296,297,298,300,301,299,302,303,304,305,306,306"/>
    <n v="29"/>
    <m/>
    <m/>
    <s v="No"/>
    <x v="0"/>
    <d v="2015-08-04T17:29:38"/>
    <n v="7"/>
    <s v="128.205.114.91"/>
    <s v="LB2367.4 -- .W65 2012eb"/>
    <n v="378.16640000000001"/>
    <d v="2012-01-10T00:00:00"/>
  </r>
  <r>
    <x v="8903"/>
    <d v="1899-12-30T00:10:49"/>
    <x v="223"/>
    <x v="0"/>
    <s v="Buffalo"/>
    <x v="28"/>
    <n v="817313"/>
    <x v="0"/>
    <s v="Education"/>
    <s v="9781118136829"/>
    <s v=",1,2,3,285,286,287,283,284,289,291,292"/>
    <n v="11"/>
    <m/>
    <m/>
    <s v="No"/>
    <x v="1"/>
    <m/>
    <m/>
    <s v="128.205.114.91"/>
    <s v="LB2367.4 -- .W65 2012eb"/>
    <n v="378.16640000000001"/>
    <d v="2012-01-10T00:00:00"/>
  </r>
  <r>
    <x v="8904"/>
    <d v="1899-12-30T00:00:28"/>
    <x v="480"/>
    <x v="0"/>
    <s v="Buffalo"/>
    <x v="524"/>
    <n v="1742625"/>
    <x v="11"/>
    <s v="Social Science; Business/Management"/>
    <s v="9780226135250"/>
    <s v=",2,2,16,17,16,17,14,15,15,18,18,19,19"/>
    <n v="7"/>
    <s v=",1,17"/>
    <m/>
    <s v="No"/>
    <x v="2"/>
    <d v="2015-08-04T17:12:09"/>
    <n v="1"/>
    <s v="128.205.114.91"/>
    <s v="HD268"/>
    <s v="363.5/99960730759381"/>
    <d v="2014-08-25T00:00:00"/>
  </r>
  <r>
    <x v="8905"/>
    <d v="1899-12-30T00:00:19"/>
    <x v="480"/>
    <x v="0"/>
    <s v="Buffalo"/>
    <x v="524"/>
    <n v="1742625"/>
    <x v="11"/>
    <s v="Social Science; Business/Management"/>
    <s v="9780226135250"/>
    <s v=",1,2,2,3,3,1,7,7,5,5,4,4,3,2,1"/>
    <n v="6"/>
    <m/>
    <m/>
    <s v="No"/>
    <x v="3"/>
    <m/>
    <m/>
    <s v="128.205.114.91"/>
    <s v="HD268"/>
    <s v="363.5/99960730759381"/>
    <d v="2014-08-25T00:00:00"/>
  </r>
  <r>
    <x v="8906"/>
    <d v="1899-12-30T00:00:42"/>
    <x v="480"/>
    <x v="0"/>
    <s v="Buffalo"/>
    <x v="524"/>
    <n v="1742625"/>
    <x v="11"/>
    <s v="Social Science; Business/Management"/>
    <s v="9780226135250"/>
    <s v=",1,2,2,3,1,3,10,10,11,11,8,12,9,9,12,6,7,7,292,292,293,293,294,294,290,291,291,2,292,306,292"/>
    <n v="16"/>
    <m/>
    <m/>
    <s v="No"/>
    <x v="3"/>
    <m/>
    <m/>
    <s v="128.205.114.91"/>
    <s v="HD268"/>
    <s v="363.5/99960730759381"/>
    <d v="2014-08-25T00:00:00"/>
  </r>
  <r>
    <x v="8907"/>
    <d v="1899-12-30T00:00:02"/>
    <x v="1953"/>
    <x v="13"/>
    <s v="buffalostate"/>
    <x v="3"/>
    <n v="822040"/>
    <x v="0"/>
    <s v="Literature; Psychology"/>
    <s v="9781118289099"/>
    <s v=",1,2,3"/>
    <n v="3"/>
    <m/>
    <m/>
    <s v="No"/>
    <x v="1"/>
    <m/>
    <m/>
    <s v="136.183.11.43"/>
    <s v="BF76.7 -- .B447 2012eb"/>
    <s v="808.06/615"/>
    <d v="2012-03-22T00:00:00"/>
  </r>
  <r>
    <x v="8908"/>
    <d v="1899-12-30T01:35:39"/>
    <x v="71"/>
    <x v="0"/>
    <s v="Buffalo"/>
    <x v="1797"/>
    <n v="817895"/>
    <x v="0"/>
    <s v="Computer Science/IT; Business/Management"/>
    <s v="9781118217047"/>
    <s v=",18,21,21,22,22,23,23,24,24,25,25,26,26,27,27,28,28,29,29,30,30,25,30,31,31,32,32,33,33,34,34,35,35,36,36,37,37,38,38,39,39,34,33,40,40,37,41,41,36,41,42,42,35,36,37,34,39,40,40,1,40,41,42,38,41,42,1,39,39,2,37,2,36,41,42,43,43,44,44,45,45,46,46,47,47,48,48,49,49,50,50,51,51,1,51,52,51,1,52,53,53,49,50,50,54,54,55,55,50,49,54,55,56,56,57,57,52,51,50,49,54,55"/>
    <n v="40"/>
    <m/>
    <m/>
    <s v="No"/>
    <x v="0"/>
    <d v="2015-08-03T19:54:33"/>
    <n v="7"/>
    <s v="128.205.114.91"/>
    <s v="QA76.76.A65 -- M87 2012eb"/>
    <s v="005.1; 658.11"/>
    <d v="2012-02-24T00:00:00"/>
  </r>
  <r>
    <x v="8909"/>
    <d v="1899-12-30T00:28:22"/>
    <x v="71"/>
    <x v="0"/>
    <s v="Buffalo"/>
    <x v="1797"/>
    <n v="817895"/>
    <x v="0"/>
    <s v="Computer Science/IT; Business/Management"/>
    <s v="9781118217047"/>
    <s v=",1,2,3,2,1,3,4,4,5,5,2,2,6,6,7,7,8,8,9,9,10,10,11,11,12,12,13,13,14,14,15,15,16,17,16,17,18,18,19,19,20,20"/>
    <n v="20"/>
    <m/>
    <m/>
    <s v="No"/>
    <x v="1"/>
    <m/>
    <m/>
    <s v="128.205.114.91"/>
    <s v="QA76.76.A65 -- M87 2012eb"/>
    <s v="005.1; 658.11"/>
    <d v="2012-02-24T00:00:00"/>
  </r>
  <r>
    <x v="8910"/>
    <d v="1899-12-30T00:00:02"/>
    <x v="434"/>
    <x v="0"/>
    <s v="Buffalo"/>
    <x v="1798"/>
    <n v="1218806"/>
    <x v="11"/>
    <s v="Philosophy; Religion"/>
    <s v="9780226068510"/>
    <s v=",1,2,3"/>
    <n v="3"/>
    <m/>
    <m/>
    <s v="No"/>
    <x v="3"/>
    <m/>
    <m/>
    <s v="128.205.114.91"/>
    <s v="BT83"/>
    <s v="177/.7"/>
    <d v="2013-07-12T00:00:00"/>
  </r>
  <r>
    <x v="8911"/>
    <d v="1899-12-30T00:00:03"/>
    <x v="434"/>
    <x v="0"/>
    <s v="Buffalo"/>
    <x v="1402"/>
    <n v="1969392"/>
    <x v="1"/>
    <s v="Architecture"/>
    <s v="9781409445388"/>
    <s v=",1,2,3"/>
    <n v="3"/>
    <m/>
    <m/>
    <s v="No"/>
    <x v="3"/>
    <m/>
    <m/>
    <s v="128.205.114.91"/>
    <s v="NA2543.S6 -- .A234 2015eb"/>
    <s v="728.0962/16"/>
    <d v="2015-03-28T00:00:00"/>
  </r>
  <r>
    <x v="8912"/>
    <d v="1899-12-30T00:00:55"/>
    <x v="557"/>
    <x v="9"/>
    <s v="trocaire"/>
    <x v="1799"/>
    <n v="947857"/>
    <x v="0"/>
    <s v="Medicine"/>
    <s v="9781118286838"/>
    <s v=",1,2,3,7,8,9,5,6,23,24,25,21,22,10,30,51,52,53,49,50,48,47"/>
    <n v="22"/>
    <m/>
    <m/>
    <s v="No"/>
    <x v="1"/>
    <m/>
    <m/>
    <s v="173.225.62.67"/>
    <s v="RJ506.A9 -- .H363 2014eb"/>
    <s v="618.92/85882"/>
    <d v="2014-02-19T00:00:00"/>
  </r>
  <r>
    <x v="8913"/>
    <d v="1899-12-30T00:00:03"/>
    <x v="1954"/>
    <x v="1"/>
    <s v="brockport"/>
    <x v="1799"/>
    <n v="947857"/>
    <x v="0"/>
    <s v="Medicine"/>
    <s v="9781118286838"/>
    <s v=",1,2,3"/>
    <n v="3"/>
    <m/>
    <m/>
    <s v="No"/>
    <x v="1"/>
    <m/>
    <m/>
    <s v="137.21.7.121"/>
    <s v="RJ506.A9 -- .H363 2014eb"/>
    <s v="618.92/85882"/>
    <d v="2014-02-19T00:00:00"/>
  </r>
  <r>
    <x v="8914"/>
    <d v="1899-12-30T00:00:28"/>
    <x v="40"/>
    <x v="0"/>
    <s v="Buffalo"/>
    <x v="161"/>
    <n v="821663"/>
    <x v="0"/>
    <s v="Architecture"/>
    <s v="9781118168479"/>
    <s v=",201,202,203,199,200,54,55,56,57,58,59,60,61,62,63,64,50,51,52,48,49,46,47"/>
    <n v="23"/>
    <m/>
    <m/>
    <s v="No"/>
    <x v="0"/>
    <d v="2015-08-03T14:02:28"/>
    <n v="7"/>
    <s v="128.205.114.91"/>
    <s v="NA2547 -- .S74 2012eb"/>
    <n v="729"/>
    <d v="2012-03-05T00:00:00"/>
  </r>
  <r>
    <x v="8915"/>
    <d v="1899-12-30T00:14:20"/>
    <x v="40"/>
    <x v="0"/>
    <s v="Buffalo"/>
    <x v="161"/>
    <n v="821663"/>
    <x v="0"/>
    <s v="Architecture"/>
    <s v="9781118168479"/>
    <s v=",1,2,3,243,244,245,241,242,246,247,248,249,250,251,252,253,254,255,256,257,258,259,260,261,262,263,264,265,266"/>
    <n v="29"/>
    <m/>
    <m/>
    <s v="No"/>
    <x v="1"/>
    <m/>
    <m/>
    <s v="128.205.114.91"/>
    <s v="NA2547 -- .S74 2012eb"/>
    <n v="729"/>
    <d v="2012-03-05T00:00:00"/>
  </r>
  <r>
    <x v="8916"/>
    <d v="1899-12-30T00:02:04"/>
    <x v="480"/>
    <x v="0"/>
    <s v="Buffalo"/>
    <x v="1800"/>
    <n v="1663560"/>
    <x v="12"/>
    <s v="Political Science; History"/>
    <s v="9781469615547"/>
    <s v=",1,2,2,1,3,3,11,11,12,12,13,13,9,10,10,2,16,17,17,18,18,16,14,15,15,19,19,20,20"/>
    <n v="15"/>
    <m/>
    <m/>
    <s v="No"/>
    <x v="3"/>
    <m/>
    <m/>
    <s v="128.205.114.91"/>
    <s v="F128.9.P85 -- .L44 2014eb"/>
    <s v="323.1168/729507471"/>
    <d v="2014-05-26T00:00:00"/>
  </r>
  <r>
    <x v="8917"/>
    <d v="1899-12-30T00:00:00"/>
    <x v="45"/>
    <x v="0"/>
    <s v="Buffalo"/>
    <x v="1801"/>
    <n v="1126595"/>
    <x v="17"/>
    <s v="Literature"/>
    <s v="9780748655700"/>
    <m/>
    <n v="0"/>
    <m/>
    <m/>
    <s v="Yes"/>
    <x v="2"/>
    <d v="2015-08-02T13:34:55"/>
    <n v="1"/>
    <s v="128.205.114.91"/>
    <s v="PJ7572.N67 -- O99 2013eb"/>
    <n v="892.73509000000001"/>
    <d v="2013-01-21T00:00:00"/>
  </r>
  <r>
    <x v="8917"/>
    <d v="1899-12-30T00:00:00"/>
    <x v="45"/>
    <x v="0"/>
    <s v="Buffalo"/>
    <x v="1801"/>
    <n v="1126595"/>
    <x v="17"/>
    <s v="Literature"/>
    <s v="9780748655700"/>
    <m/>
    <n v="0"/>
    <m/>
    <m/>
    <s v="No"/>
    <x v="2"/>
    <d v="2015-08-02T13:34:55"/>
    <n v="1"/>
    <s v="128.205.114.91"/>
    <s v="PJ7572.N67 -- O99 2013eb"/>
    <n v="892.73509000000001"/>
    <d v="2013-01-21T00:00:00"/>
  </r>
  <r>
    <x v="8918"/>
    <d v="1899-12-30T00:00:22"/>
    <x v="45"/>
    <x v="0"/>
    <s v="Buffalo"/>
    <x v="1801"/>
    <n v="1126595"/>
    <x v="17"/>
    <s v="Literature"/>
    <s v="9780748655700"/>
    <s v=",1,2,3"/>
    <n v="3"/>
    <m/>
    <m/>
    <s v="No"/>
    <x v="3"/>
    <m/>
    <m/>
    <s v="128.205.114.91"/>
    <s v="PJ7572.N67 -- O99 2013eb"/>
    <n v="892.73509000000001"/>
    <d v="2013-01-21T00:00:00"/>
  </r>
  <r>
    <x v="8919"/>
    <d v="1899-12-30T00:00:00"/>
    <x v="45"/>
    <x v="0"/>
    <s v="Buffalo"/>
    <x v="1802"/>
    <n v="1126589"/>
    <x v="17"/>
    <s v="Literature"/>
    <s v="9780748677153"/>
    <m/>
    <n v="0"/>
    <m/>
    <m/>
    <s v="Yes"/>
    <x v="2"/>
    <d v="2015-08-02T13:33:19"/>
    <n v="1"/>
    <s v="128.205.114.91"/>
    <s v="PS3569.P47 -- Z713 2013eb"/>
    <n v="811.00935266399995"/>
    <d v="2013-01-17T00:00:00"/>
  </r>
  <r>
    <x v="8919"/>
    <d v="1899-12-30T00:00:00"/>
    <x v="45"/>
    <x v="0"/>
    <s v="Buffalo"/>
    <x v="1802"/>
    <n v="1126589"/>
    <x v="17"/>
    <s v="Literature"/>
    <s v="9780748677153"/>
    <m/>
    <n v="0"/>
    <m/>
    <m/>
    <s v="No"/>
    <x v="2"/>
    <d v="2015-08-02T13:33:19"/>
    <n v="1"/>
    <s v="128.205.114.91"/>
    <s v="PS3569.P47 -- Z713 2013eb"/>
    <n v="811.00935266399995"/>
    <d v="2013-01-17T00:00:00"/>
  </r>
  <r>
    <x v="8920"/>
    <d v="1899-12-30T00:00:16"/>
    <x v="45"/>
    <x v="0"/>
    <s v="Buffalo"/>
    <x v="1802"/>
    <n v="1126589"/>
    <x v="17"/>
    <s v="Literature"/>
    <s v="9780748677153"/>
    <s v=",1,2,3"/>
    <n v="3"/>
    <m/>
    <m/>
    <s v="No"/>
    <x v="3"/>
    <m/>
    <m/>
    <s v="128.205.114.91"/>
    <s v="PS3569.P47 -- Z713 2013eb"/>
    <n v="811.00935266399995"/>
    <d v="2013-01-17T00:00:00"/>
  </r>
  <r>
    <x v="8921"/>
    <d v="1899-12-30T00:00:00"/>
    <x v="45"/>
    <x v="0"/>
    <s v="Buffalo"/>
    <x v="1803"/>
    <n v="1126587"/>
    <x v="17"/>
    <s v="Literature"/>
    <s v="9780748676309"/>
    <m/>
    <n v="0"/>
    <m/>
    <m/>
    <s v="Yes"/>
    <x v="2"/>
    <d v="2015-08-02T13:30:16"/>
    <n v="1"/>
    <s v="128.205.114.91"/>
    <s v="PN212 -- .C87 2013eb"/>
    <n v="801.3"/>
    <d v="2013-01-17T00:00:00"/>
  </r>
  <r>
    <x v="8921"/>
    <d v="1899-12-30T00:00:00"/>
    <x v="45"/>
    <x v="0"/>
    <s v="Buffalo"/>
    <x v="1803"/>
    <n v="1126587"/>
    <x v="17"/>
    <s v="Literature"/>
    <s v="9780748676309"/>
    <m/>
    <n v="0"/>
    <m/>
    <m/>
    <s v="No"/>
    <x v="2"/>
    <d v="2015-08-02T13:30:16"/>
    <n v="1"/>
    <s v="128.205.114.91"/>
    <s v="PN212 -- .C87 2013eb"/>
    <n v="801.3"/>
    <d v="2013-01-17T00:00:00"/>
  </r>
  <r>
    <x v="8922"/>
    <d v="1899-12-30T00:00:13"/>
    <x v="45"/>
    <x v="0"/>
    <s v="Buffalo"/>
    <x v="1803"/>
    <n v="1126587"/>
    <x v="17"/>
    <s v="Literature"/>
    <s v="9780748676309"/>
    <s v=",1,2,3"/>
    <n v="3"/>
    <m/>
    <m/>
    <s v="No"/>
    <x v="3"/>
    <m/>
    <m/>
    <s v="128.205.114.91"/>
    <s v="PN212 -- .C87 2013eb"/>
    <n v="801.3"/>
    <d v="2013-01-17T00:00:00"/>
  </r>
  <r>
    <x v="8923"/>
    <d v="1899-12-30T00:00:00"/>
    <x v="45"/>
    <x v="0"/>
    <s v="Buffalo"/>
    <x v="1804"/>
    <n v="1126586"/>
    <x v="17"/>
    <s v="Literature"/>
    <s v="9780748670543"/>
    <m/>
    <n v="0"/>
    <m/>
    <m/>
    <s v="Yes"/>
    <x v="2"/>
    <d v="2015-08-02T13:28:51"/>
    <n v="1"/>
    <s v="128.205.114.91"/>
    <s v="PS3535.U4 -- Z633 2013eb"/>
    <n v="811.52"/>
    <d v="2013-01-04T00:00:00"/>
  </r>
  <r>
    <x v="8923"/>
    <d v="1899-12-30T00:00:00"/>
    <x v="45"/>
    <x v="0"/>
    <s v="Buffalo"/>
    <x v="1804"/>
    <n v="1126586"/>
    <x v="17"/>
    <s v="Literature"/>
    <s v="9780748670543"/>
    <m/>
    <n v="0"/>
    <m/>
    <m/>
    <s v="No"/>
    <x v="2"/>
    <d v="2015-08-02T13:28:51"/>
    <n v="1"/>
    <s v="128.205.114.91"/>
    <s v="PS3535.U4 -- Z633 2013eb"/>
    <n v="811.52"/>
    <d v="2013-01-04T00:00:00"/>
  </r>
  <r>
    <x v="8924"/>
    <d v="1899-12-30T00:00:24"/>
    <x v="45"/>
    <x v="0"/>
    <s v="Buffalo"/>
    <x v="1804"/>
    <n v="1126586"/>
    <x v="17"/>
    <s v="Literature"/>
    <s v="9780748670543"/>
    <s v=",1,2,3"/>
    <n v="3"/>
    <m/>
    <m/>
    <s v="No"/>
    <x v="3"/>
    <m/>
    <m/>
    <s v="128.205.114.91"/>
    <s v="PS3535.U4 -- Z633 2013eb"/>
    <n v="811.52"/>
    <d v="2013-01-04T00:00:00"/>
  </r>
  <r>
    <x v="8925"/>
    <d v="1899-12-30T00:00:00"/>
    <x v="45"/>
    <x v="0"/>
    <s v="Buffalo"/>
    <x v="1805"/>
    <n v="1126582"/>
    <x v="17"/>
    <s v="Law"/>
    <s v="9780748668182"/>
    <m/>
    <n v="0"/>
    <m/>
    <m/>
    <s v="Yes"/>
    <x v="2"/>
    <d v="2015-08-02T13:27:00"/>
    <n v="1"/>
    <s v="128.205.114.91"/>
    <s v="KJA147 .F384 2013"/>
    <n v="340.54"/>
    <d v="2013-01-21T00:00:00"/>
  </r>
  <r>
    <x v="8925"/>
    <d v="1899-12-30T00:00:00"/>
    <x v="45"/>
    <x v="0"/>
    <s v="Buffalo"/>
    <x v="1805"/>
    <n v="1126582"/>
    <x v="17"/>
    <s v="Law"/>
    <s v="9780748668182"/>
    <m/>
    <n v="0"/>
    <m/>
    <m/>
    <s v="No"/>
    <x v="2"/>
    <d v="2015-08-02T13:27:00"/>
    <n v="1"/>
    <s v="128.205.114.91"/>
    <s v="KJA147 .F384 2013"/>
    <n v="340.54"/>
    <d v="2013-01-21T00:00:00"/>
  </r>
  <r>
    <x v="8926"/>
    <d v="1899-12-30T00:00:28"/>
    <x v="45"/>
    <x v="0"/>
    <s v="Buffalo"/>
    <x v="1805"/>
    <n v="1126582"/>
    <x v="17"/>
    <s v="Law"/>
    <s v="9780748668182"/>
    <s v=",1,2,3"/>
    <n v="3"/>
    <m/>
    <m/>
    <s v="No"/>
    <x v="3"/>
    <m/>
    <m/>
    <s v="128.205.114.91"/>
    <s v="KJA147 .F384 2013"/>
    <n v="340.54"/>
    <d v="2013-01-21T00:00:00"/>
  </r>
  <r>
    <x v="8927"/>
    <d v="1899-12-30T00:00:00"/>
    <x v="45"/>
    <x v="0"/>
    <s v="Buffalo"/>
    <x v="1806"/>
    <n v="1120970"/>
    <x v="3"/>
    <s v="Economics; Business/Management"/>
    <s v="9780520955301"/>
    <m/>
    <n v="0"/>
    <m/>
    <m/>
    <s v="Yes"/>
    <x v="2"/>
    <d v="2015-08-02T13:25:03"/>
    <n v="1"/>
    <s v="128.205.114.91"/>
    <s v="HD6073.A432 -- T54 2013eb"/>
    <n v="331.76138773999998"/>
    <d v="2013-03-12T00:00:00"/>
  </r>
  <r>
    <x v="8927"/>
    <d v="1899-12-30T00:00:00"/>
    <x v="45"/>
    <x v="0"/>
    <s v="Buffalo"/>
    <x v="1806"/>
    <n v="1120970"/>
    <x v="3"/>
    <s v="Economics; Business/Management"/>
    <s v="9780520955301"/>
    <m/>
    <n v="0"/>
    <m/>
    <m/>
    <s v="No"/>
    <x v="2"/>
    <d v="2015-08-02T13:25:03"/>
    <n v="1"/>
    <s v="128.205.114.91"/>
    <s v="HD6073.A432 -- T54 2013eb"/>
    <n v="331.76138773999998"/>
    <d v="2013-03-12T00:00:00"/>
  </r>
  <r>
    <x v="8928"/>
    <d v="1899-12-30T00:00:14"/>
    <x v="45"/>
    <x v="0"/>
    <s v="Buffalo"/>
    <x v="1806"/>
    <n v="1120970"/>
    <x v="3"/>
    <s v="Economics; Business/Management"/>
    <s v="9780520955301"/>
    <s v=",1,2,3"/>
    <n v="3"/>
    <m/>
    <m/>
    <s v="No"/>
    <x v="3"/>
    <m/>
    <m/>
    <s v="128.205.114.91"/>
    <s v="HD6073.A432 -- T54 2013eb"/>
    <n v="331.76138773999998"/>
    <d v="2013-03-12T00:00:00"/>
  </r>
  <r>
    <x v="8929"/>
    <d v="1899-12-30T00:00:00"/>
    <x v="45"/>
    <x v="0"/>
    <s v="Buffalo"/>
    <x v="1807"/>
    <n v="1120965"/>
    <x v="3"/>
    <s v="Home Economics"/>
    <s v="9780520954465"/>
    <m/>
    <n v="0"/>
    <m/>
    <m/>
    <s v="Yes"/>
    <x v="2"/>
    <d v="2015-08-02T13:23:18"/>
    <n v="1"/>
    <s v="128.205.114.91"/>
    <s v="TX723.5.G8 -- B28 2013eb"/>
    <n v="641.59495000000004"/>
    <d v="2013-03-26T00:00:00"/>
  </r>
  <r>
    <x v="8929"/>
    <d v="1899-12-30T00:00:00"/>
    <x v="45"/>
    <x v="0"/>
    <s v="Buffalo"/>
    <x v="1807"/>
    <n v="1120965"/>
    <x v="3"/>
    <s v="Home Economics"/>
    <s v="9780520954465"/>
    <m/>
    <n v="0"/>
    <m/>
    <m/>
    <s v="No"/>
    <x v="2"/>
    <d v="2015-08-02T13:23:18"/>
    <n v="1"/>
    <s v="128.205.114.91"/>
    <s v="TX723.5.G8 -- B28 2013eb"/>
    <n v="641.59495000000004"/>
    <d v="2013-03-26T00:00:00"/>
  </r>
  <r>
    <x v="8930"/>
    <d v="1899-12-30T00:00:10"/>
    <x v="45"/>
    <x v="0"/>
    <s v="Buffalo"/>
    <x v="1807"/>
    <n v="1120965"/>
    <x v="3"/>
    <s v="Home Economics"/>
    <s v="9780520954465"/>
    <s v=",1,2,3"/>
    <n v="3"/>
    <m/>
    <m/>
    <s v="No"/>
    <x v="3"/>
    <m/>
    <m/>
    <s v="128.205.114.91"/>
    <s v="TX723.5.G8 -- B28 2013eb"/>
    <n v="641.59495000000004"/>
    <d v="2013-03-26T00:00:00"/>
  </r>
  <r>
    <x v="8931"/>
    <d v="1899-12-30T00:00:00"/>
    <x v="45"/>
    <x v="0"/>
    <s v="Buffalo"/>
    <x v="725"/>
    <n v="1046302"/>
    <x v="3"/>
    <s v="Political Science; History"/>
    <s v="9780520953543"/>
    <m/>
    <n v="0"/>
    <m/>
    <m/>
    <s v="Yes"/>
    <x v="0"/>
    <d v="2015-08-02T13:19:29"/>
    <n v="7"/>
    <s v="128.205.114.91"/>
    <s v="E185.615 -- .B5574 2012eb"/>
    <n v="322.420973"/>
    <d v="2013-01-14T00:00:00"/>
  </r>
  <r>
    <x v="8931"/>
    <d v="1899-12-30T00:00:00"/>
    <x v="45"/>
    <x v="0"/>
    <s v="Buffalo"/>
    <x v="725"/>
    <n v="1046302"/>
    <x v="3"/>
    <s v="Political Science; History"/>
    <s v="9780520953543"/>
    <m/>
    <n v="0"/>
    <m/>
    <m/>
    <s v="No"/>
    <x v="0"/>
    <d v="2015-08-02T13:19:29"/>
    <n v="7"/>
    <s v="128.205.114.91"/>
    <s v="E185.615 -- .B5574 2012eb"/>
    <n v="322.420973"/>
    <d v="2013-01-14T00:00:00"/>
  </r>
  <r>
    <x v="8932"/>
    <d v="1899-12-30T00:00:17"/>
    <x v="45"/>
    <x v="0"/>
    <s v="Buffalo"/>
    <x v="725"/>
    <n v="1046302"/>
    <x v="3"/>
    <s v="Political Science; History"/>
    <s v="9780520953543"/>
    <s v=",1,2,3"/>
    <n v="3"/>
    <m/>
    <m/>
    <s v="No"/>
    <x v="1"/>
    <m/>
    <m/>
    <s v="128.205.114.91"/>
    <s v="E185.615 -- .B5574 2012eb"/>
    <n v="322.420973"/>
    <d v="2013-01-14T00:00:00"/>
  </r>
  <r>
    <x v="8933"/>
    <d v="1899-12-30T00:00:00"/>
    <x v="1373"/>
    <x v="0"/>
    <s v="Buffalo"/>
    <x v="796"/>
    <n v="1318206"/>
    <x v="0"/>
    <s v="Computer Science/IT; Social Science"/>
    <s v="9781118363560"/>
    <m/>
    <n v="0"/>
    <m/>
    <m/>
    <s v="Yes"/>
    <x v="0"/>
    <d v="2015-08-02T11:38:19"/>
    <n v="7"/>
    <s v="128.205.114.91"/>
    <s v="HA32 -- .M4994 2013eb"/>
    <s v="005.5/5"/>
    <d v="2013-07-15T00:00:00"/>
  </r>
  <r>
    <x v="8933"/>
    <d v="1899-12-30T00:00:00"/>
    <x v="1373"/>
    <x v="0"/>
    <s v="Buffalo"/>
    <x v="796"/>
    <n v="1318206"/>
    <x v="0"/>
    <s v="Computer Science/IT; Social Science"/>
    <s v="9781118363560"/>
    <m/>
    <n v="0"/>
    <m/>
    <m/>
    <s v="No"/>
    <x v="0"/>
    <d v="2015-08-02T11:38:19"/>
    <n v="7"/>
    <s v="128.205.114.91"/>
    <s v="HA32 -- .M4994 2013eb"/>
    <s v="005.5/5"/>
    <d v="2013-07-15T00:00:00"/>
  </r>
  <r>
    <x v="8934"/>
    <d v="1899-12-30T00:00:12"/>
    <x v="1373"/>
    <x v="0"/>
    <s v="Buffalo"/>
    <x v="796"/>
    <n v="1318206"/>
    <x v="0"/>
    <s v="Computer Science/IT; Social Science"/>
    <s v="9781118363560"/>
    <s v=",1,2,3"/>
    <n v="3"/>
    <m/>
    <m/>
    <s v="No"/>
    <x v="1"/>
    <m/>
    <m/>
    <s v="128.205.114.91"/>
    <s v="HA32 -- .M4994 2013eb"/>
    <s v="005.5/5"/>
    <d v="2013-07-15T00:00:00"/>
  </r>
  <r>
    <x v="8935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Yes"/>
    <x v="0"/>
    <d v="2015-08-02T11:36:32"/>
    <n v="7"/>
    <s v="128.205.114.91"/>
    <s v="TA345.5.M38 M34 2014"/>
    <s v="510.285/53; 510.28553"/>
    <d v="2014-03-26T00:00:00"/>
  </r>
  <r>
    <x v="8935"/>
    <d v="1899-12-30T00:00:00"/>
    <x v="1373"/>
    <x v="0"/>
    <s v="Buffalo"/>
    <x v="572"/>
    <n v="1662670"/>
    <x v="0"/>
    <s v="Mathematics; Engineering; Engineering: Civil"/>
    <s v="9781118821251"/>
    <m/>
    <n v="0"/>
    <m/>
    <m/>
    <s v="No"/>
    <x v="0"/>
    <d v="2015-08-02T11:36:32"/>
    <n v="7"/>
    <s v="128.205.114.91"/>
    <s v="TA345.5.M38 M34 2014"/>
    <s v="510.285/53; 510.28553"/>
    <d v="2014-03-26T00:00:00"/>
  </r>
  <r>
    <x v="8936"/>
    <d v="1899-12-30T00:00:19"/>
    <x v="1373"/>
    <x v="0"/>
    <s v="Buffalo"/>
    <x v="572"/>
    <n v="1662670"/>
    <x v="0"/>
    <s v="Mathematics; Engineering; Engineering: Civil"/>
    <s v="9781118821251"/>
    <s v=",1,2,3"/>
    <n v="3"/>
    <m/>
    <m/>
    <s v="No"/>
    <x v="1"/>
    <m/>
    <m/>
    <s v="128.205.114.91"/>
    <s v="TA345.5.M38 M34 2014"/>
    <s v="510.285/53; 510.28553"/>
    <d v="2014-03-26T00:00:00"/>
  </r>
  <r>
    <x v="8937"/>
    <d v="1899-12-30T00:00:01"/>
    <x v="1196"/>
    <x v="0"/>
    <s v="Buffalo"/>
    <x v="975"/>
    <n v="817871"/>
    <x v="0"/>
    <s v="Computer Science/IT"/>
    <s v="9781118206911"/>
    <s v=",1,2,3"/>
    <n v="3"/>
    <m/>
    <m/>
    <s v="No"/>
    <x v="0"/>
    <d v="2015-08-01T23:32:55"/>
    <n v="7"/>
    <s v="128.205.114.91"/>
    <s v="QA76.76.H94"/>
    <n v="6.74"/>
    <d v="2011-12-20T00:00:00"/>
  </r>
  <r>
    <x v="8938"/>
    <d v="1899-12-30T00:31:53"/>
    <x v="1196"/>
    <x v="0"/>
    <s v="Buffalo"/>
    <x v="975"/>
    <n v="817871"/>
    <x v="0"/>
    <s v="Computer Science/IT"/>
    <s v="9781118206911"/>
    <s v=",1,2,3,4,5,6,7,8,9,1,2,3"/>
    <n v="9"/>
    <m/>
    <m/>
    <s v="No"/>
    <x v="1"/>
    <m/>
    <m/>
    <s v="128.205.114.91"/>
    <s v="QA76.76.H94"/>
    <n v="6.74"/>
    <d v="2011-12-20T00:00:00"/>
  </r>
  <r>
    <x v="8939"/>
    <d v="1899-12-30T00:33:37"/>
    <x v="1955"/>
    <x v="1"/>
    <s v="brockport"/>
    <x v="1808"/>
    <n v="1675476"/>
    <x v="4"/>
    <s v="Social Science"/>
    <s v="9781462514434"/>
    <s v=",141,142,143,144,145,146"/>
    <n v="6"/>
    <m/>
    <m/>
    <s v="No"/>
    <x v="0"/>
    <d v="2015-08-01T22:51:57"/>
    <n v="7"/>
    <s v="137.21.7.121"/>
    <s v="HM1033 -- .D83 2014eb"/>
    <n v="302"/>
    <d v="2014-07-10T00:00:00"/>
  </r>
  <r>
    <x v="8940"/>
    <d v="1899-12-30T00:10:55"/>
    <x v="1955"/>
    <x v="1"/>
    <s v="brockport"/>
    <x v="1808"/>
    <n v="1675476"/>
    <x v="4"/>
    <s v="Social Science"/>
    <s v="9781462514434"/>
    <s v=",1,1,2,2,3,3,4,4,5,5,6,6,7,7,8,8,9,9,7,7,8,2,8,9,2,9,10,10,11,11,12,12,13,13,14,14,15,15,16,16,17,17,18,18,19,19,20,20,21,21,22,22,23,23,28,28,29,29,25,26,26,139,139,140,140,141,141,137,138,138,142,142,137,139,140"/>
    <n v="33"/>
    <m/>
    <m/>
    <s v="No"/>
    <x v="1"/>
    <m/>
    <m/>
    <s v="137.21.7.121"/>
    <s v="HM1033 -- .D83 2014eb"/>
    <n v="302"/>
    <d v="2014-07-10T00:00:00"/>
  </r>
  <r>
    <x v="8941"/>
    <d v="1899-12-30T00:00:54"/>
    <x v="223"/>
    <x v="0"/>
    <s v="Buffalo"/>
    <x v="28"/>
    <n v="817313"/>
    <x v="0"/>
    <s v="Education"/>
    <s v="9781118136829"/>
    <s v=",1,2,3,305,307,303,304,217,218,219,215,216,220"/>
    <n v="13"/>
    <m/>
    <m/>
    <s v="No"/>
    <x v="0"/>
    <d v="2015-07-27T13:00:32"/>
    <n v="7"/>
    <s v="128.205.114.91"/>
    <s v="LB2367.4 -- .W65 2012eb"/>
    <n v="378.16640000000001"/>
    <d v="2012-01-10T00:00:00"/>
  </r>
  <r>
    <x v="8942"/>
    <d v="1899-12-30T00:00:20"/>
    <x v="223"/>
    <x v="0"/>
    <s v="Buffalo"/>
    <x v="28"/>
    <n v="817313"/>
    <x v="0"/>
    <s v="Education"/>
    <s v="9781118136829"/>
    <s v=",1,2,3,283,284,285,281,282,286"/>
    <n v="9"/>
    <m/>
    <m/>
    <s v="No"/>
    <x v="0"/>
    <d v="2015-07-27T13:00:32"/>
    <n v="7"/>
    <s v="128.205.114.91"/>
    <s v="LB2367.4 -- .W65 2012eb"/>
    <n v="378.16640000000001"/>
    <d v="2012-01-10T00:00:00"/>
  </r>
  <r>
    <x v="8943"/>
    <d v="1899-12-30T00:02:03"/>
    <x v="223"/>
    <x v="0"/>
    <s v="Buffalo"/>
    <x v="28"/>
    <n v="817313"/>
    <x v="0"/>
    <s v="Education"/>
    <s v="9781118136829"/>
    <s v=",1,2,3,279,280,281,277,278,282,283,284,285"/>
    <n v="12"/>
    <m/>
    <m/>
    <s v="No"/>
    <x v="0"/>
    <d v="2015-07-27T13:00:32"/>
    <n v="7"/>
    <s v="128.205.114.91"/>
    <s v="LB2367.4 -- .W65 2012eb"/>
    <n v="378.16640000000001"/>
    <d v="2012-01-10T00:00:00"/>
  </r>
  <r>
    <x v="8944"/>
    <d v="1899-12-30T00:00:07"/>
    <x v="1956"/>
    <x v="1"/>
    <s v="brockport"/>
    <x v="270"/>
    <n v="1637652"/>
    <x v="3"/>
    <s v="Education"/>
    <s v="9780520958449"/>
    <s v=",1,2,3"/>
    <n v="3"/>
    <m/>
    <m/>
    <s v="No"/>
    <x v="1"/>
    <m/>
    <m/>
    <s v="137.21.7.121"/>
    <s v="LB2340.2 -- .B478 2014eb"/>
    <s v="378.3/62"/>
    <d v="2014-05-02T00:00:00"/>
  </r>
  <r>
    <x v="8945"/>
    <d v="1899-12-30T00:10:11"/>
    <x v="223"/>
    <x v="0"/>
    <s v="Buffalo"/>
    <x v="28"/>
    <n v="817313"/>
    <x v="0"/>
    <s v="Education"/>
    <s v="9781118136829"/>
    <s v=",1,2,3,95,96,97,93,94,98,99,100,101,102,103,104,105,106,107"/>
    <n v="18"/>
    <m/>
    <m/>
    <s v="No"/>
    <x v="0"/>
    <d v="2015-07-27T13:00:32"/>
    <n v="7"/>
    <s v="128.205.114.91"/>
    <s v="LB2367.4 -- .W65 2012eb"/>
    <n v="378.16640000000001"/>
    <d v="2012-01-10T00:00:00"/>
  </r>
  <r>
    <x v="8946"/>
    <d v="1899-12-30T00:00:00"/>
    <x v="81"/>
    <x v="0"/>
    <s v="Buffalo"/>
    <x v="1210"/>
    <n v="1810518"/>
    <x v="0"/>
    <s v="Business/Management; Economics"/>
    <s v="9781118996560"/>
    <m/>
    <n v="0"/>
    <m/>
    <m/>
    <s v="Yes"/>
    <x v="0"/>
    <d v="2015-08-01T00:42:05"/>
    <n v="7"/>
    <s v="128.205.114.91"/>
    <s v="HG4910 -- .D394 2014eb"/>
    <n v="332.6"/>
    <d v="2014-09-30T00:00:00"/>
  </r>
  <r>
    <x v="8946"/>
    <d v="1899-12-30T00:00:00"/>
    <x v="81"/>
    <x v="0"/>
    <s v="Buffalo"/>
    <x v="1210"/>
    <n v="1810518"/>
    <x v="0"/>
    <s v="Business/Management; Economics"/>
    <s v="9781118996560"/>
    <m/>
    <n v="0"/>
    <m/>
    <m/>
    <s v="No"/>
    <x v="0"/>
    <d v="2015-08-01T00:42:05"/>
    <n v="7"/>
    <s v="128.205.114.91"/>
    <s v="HG4910 -- .D394 2014eb"/>
    <n v="332.6"/>
    <d v="2014-09-30T00:00:00"/>
  </r>
  <r>
    <x v="8947"/>
    <d v="1899-12-30T00:00:14"/>
    <x v="81"/>
    <x v="0"/>
    <s v="Buffalo"/>
    <x v="1210"/>
    <n v="1810518"/>
    <x v="0"/>
    <s v="Business/Management; Economics"/>
    <s v="9781118996560"/>
    <s v=",1,2,3"/>
    <n v="3"/>
    <m/>
    <m/>
    <s v="No"/>
    <x v="1"/>
    <m/>
    <m/>
    <s v="128.205.114.91"/>
    <s v="HG4910 -- .D394 2014eb"/>
    <n v="332.6"/>
    <d v="2014-09-30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Title">
  <location ref="A3:B1813" firstHeaderRow="1" firstDataRow="1" firstDataCol="1" rowPageCount="1" colPageCount="1"/>
  <pivotFields count="22">
    <pivotField numFmtId="22" showAll="0"/>
    <pivotField numFmtId="21" showAll="0"/>
    <pivotField showAll="0"/>
    <pivotField showAll="0"/>
    <pivotField showAll="0"/>
    <pivotField axis="axisRow" showAll="0">
      <items count="1810">
        <item x="360"/>
        <item x="724"/>
        <item x="1471"/>
        <item x="313"/>
        <item x="1035"/>
        <item x="1479"/>
        <item x="289"/>
        <item x="1751"/>
        <item x="1128"/>
        <item x="1488"/>
        <item x="249"/>
        <item x="318"/>
        <item x="320"/>
        <item x="1390"/>
        <item x="1173"/>
        <item x="395"/>
        <item x="612"/>
        <item x="1707"/>
        <item x="1468"/>
        <item x="741"/>
        <item x="566"/>
        <item x="97"/>
        <item x="468"/>
        <item x="491"/>
        <item x="341"/>
        <item x="506"/>
        <item x="281"/>
        <item x="1318"/>
        <item x="816"/>
        <item x="19"/>
        <item x="418"/>
        <item x="798"/>
        <item x="253"/>
        <item x="56"/>
        <item x="764"/>
        <item x="683"/>
        <item x="76"/>
        <item x="1274"/>
        <item x="1240"/>
        <item x="304"/>
        <item x="413"/>
        <item x="524"/>
        <item x="79"/>
        <item x="1276"/>
        <item x="557"/>
        <item x="872"/>
        <item x="1322"/>
        <item x="451"/>
        <item x="475"/>
        <item x="987"/>
        <item x="503"/>
        <item x="1000"/>
        <item x="92"/>
        <item x="802"/>
        <item x="954"/>
        <item x="46"/>
        <item x="1491"/>
        <item x="1755"/>
        <item x="5"/>
        <item x="409"/>
        <item x="96"/>
        <item x="1686"/>
        <item x="1469"/>
        <item x="1063"/>
        <item x="1255"/>
        <item x="1022"/>
        <item x="231"/>
        <item x="1540"/>
        <item x="1381"/>
        <item x="1778"/>
        <item x="693"/>
        <item x="783"/>
        <item x="1419"/>
        <item x="1270"/>
        <item x="1052"/>
        <item x="1046"/>
        <item x="923"/>
        <item x="838"/>
        <item x="882"/>
        <item x="1494"/>
        <item x="1109"/>
        <item x="1344"/>
        <item x="18"/>
        <item x="1680"/>
        <item x="635"/>
        <item x="201"/>
        <item x="1321"/>
        <item x="624"/>
        <item x="499"/>
        <item x="498"/>
        <item x="607"/>
        <item x="1343"/>
        <item x="964"/>
        <item x="1611"/>
        <item x="1573"/>
        <item x="160"/>
        <item x="394"/>
        <item x="1356"/>
        <item x="593"/>
        <item x="1523"/>
        <item x="809"/>
        <item x="611"/>
        <item x="572"/>
        <item x="1500"/>
        <item x="1546"/>
        <item x="241"/>
        <item x="518"/>
        <item x="1107"/>
        <item x="425"/>
        <item x="1740"/>
        <item x="1426"/>
        <item x="1582"/>
        <item x="605"/>
        <item x="554"/>
        <item x="899"/>
        <item x="424"/>
        <item x="348"/>
        <item x="1359"/>
        <item x="183"/>
        <item x="1735"/>
        <item x="21"/>
        <item x="1379"/>
        <item x="1138"/>
        <item x="1200"/>
        <item x="3"/>
        <item x="1797"/>
        <item x="1059"/>
        <item x="40"/>
        <item x="930"/>
        <item x="381"/>
        <item x="237"/>
        <item x="1085"/>
        <item x="835"/>
        <item x="660"/>
        <item x="192"/>
        <item x="830"/>
        <item x="245"/>
        <item x="1539"/>
        <item x="220"/>
        <item x="111"/>
        <item x="1402"/>
        <item x="1028"/>
        <item x="1777"/>
        <item x="1226"/>
        <item x="422"/>
        <item x="765"/>
        <item x="984"/>
        <item x="1362"/>
        <item x="1249"/>
        <item x="443"/>
        <item x="1097"/>
        <item x="536"/>
        <item x="1029"/>
        <item x="426"/>
        <item x="1119"/>
        <item x="1415"/>
        <item x="601"/>
        <item x="411"/>
        <item x="393"/>
        <item x="492"/>
        <item x="916"/>
        <item x="124"/>
        <item x="408"/>
        <item x="316"/>
        <item x="127"/>
        <item x="1024"/>
        <item x="1748"/>
        <item x="1690"/>
        <item x="781"/>
        <item x="551"/>
        <item x="944"/>
        <item x="30"/>
        <item x="1084"/>
        <item x="1039"/>
        <item x="1615"/>
        <item x="569"/>
        <item x="1644"/>
        <item x="538"/>
        <item x="1364"/>
        <item x="115"/>
        <item x="1437"/>
        <item x="1453"/>
        <item x="460"/>
        <item x="488"/>
        <item x="1272"/>
        <item x="387"/>
        <item x="1531"/>
        <item x="1194"/>
        <item x="1182"/>
        <item x="1330"/>
        <item x="41"/>
        <item x="983"/>
        <item x="497"/>
        <item x="1096"/>
        <item x="1133"/>
        <item x="1312"/>
        <item x="1669"/>
        <item x="666"/>
        <item x="293"/>
        <item x="1412"/>
        <item x="1210"/>
        <item x="102"/>
        <item x="1683"/>
        <item x="173"/>
        <item x="897"/>
        <item x="1081"/>
        <item x="1080"/>
        <item x="1303"/>
        <item x="1756"/>
        <item x="1167"/>
        <item x="1781"/>
        <item x="1567"/>
        <item x="100"/>
        <item x="1710"/>
        <item x="1512"/>
        <item x="643"/>
        <item x="521"/>
        <item x="482"/>
        <item x="1442"/>
        <item x="531"/>
        <item x="224"/>
        <item x="606"/>
        <item x="725"/>
        <item x="604"/>
        <item x="507"/>
        <item x="1258"/>
        <item x="143"/>
        <item x="330"/>
        <item x="564"/>
        <item x="1071"/>
        <item x="218"/>
        <item x="1163"/>
        <item x="1535"/>
        <item x="989"/>
        <item x="657"/>
        <item x="1248"/>
        <item x="1227"/>
        <item x="874"/>
        <item x="334"/>
        <item x="1706"/>
        <item x="493"/>
        <item x="1382"/>
        <item x="739"/>
        <item x="1403"/>
        <item x="38"/>
        <item x="236"/>
        <item x="808"/>
        <item x="1800"/>
        <item x="714"/>
        <item x="1439"/>
        <item x="446"/>
        <item x="464"/>
        <item x="1320"/>
        <item x="542"/>
        <item x="1057"/>
        <item x="684"/>
        <item x="721"/>
        <item x="125"/>
        <item x="1146"/>
        <item x="967"/>
        <item x="1243"/>
        <item x="711"/>
        <item x="1385"/>
        <item x="1262"/>
        <item x="935"/>
        <item x="1347"/>
        <item x="1643"/>
        <item x="1067"/>
        <item x="1042"/>
        <item x="628"/>
        <item x="619"/>
        <item x="1497"/>
        <item x="1786"/>
        <item x="803"/>
        <item x="1095"/>
        <item x="1395"/>
        <item x="957"/>
        <item x="505"/>
        <item x="202"/>
        <item x="233"/>
        <item x="1448"/>
        <item x="710"/>
        <item x="982"/>
        <item x="797"/>
        <item x="1354"/>
        <item x="648"/>
        <item x="1293"/>
        <item x="1098"/>
        <item x="1134"/>
        <item x="83"/>
        <item x="122"/>
        <item x="515"/>
        <item x="811"/>
        <item x="1224"/>
        <item x="1555"/>
        <item x="276"/>
        <item x="1156"/>
        <item x="613"/>
        <item x="814"/>
        <item x="1103"/>
        <item x="1564"/>
        <item x="1682"/>
        <item x="383"/>
        <item x="1490"/>
        <item x="1515"/>
        <item x="514"/>
        <item x="248"/>
        <item x="36"/>
        <item x="1547"/>
        <item x="1603"/>
        <item x="708"/>
        <item x="1511"/>
        <item x="908"/>
        <item x="1725"/>
        <item x="1053"/>
        <item x="998"/>
        <item x="1375"/>
        <item x="459"/>
        <item x="527"/>
        <item x="578"/>
        <item x="574"/>
        <item x="848"/>
        <item x="448"/>
        <item x="1485"/>
        <item x="1196"/>
        <item x="1077"/>
        <item x="1140"/>
        <item x="502"/>
        <item x="511"/>
        <item x="449"/>
        <item x="427"/>
        <item x="410"/>
        <item x="806"/>
        <item x="568"/>
        <item x="1414"/>
        <item x="244"/>
        <item x="953"/>
        <item x="933"/>
        <item x="386"/>
        <item x="800"/>
        <item x="707"/>
        <item x="35"/>
        <item x="924"/>
        <item x="1037"/>
        <item x="1188"/>
        <item x="701"/>
        <item x="901"/>
        <item x="108"/>
        <item x="812"/>
        <item x="109"/>
        <item x="600"/>
        <item x="561"/>
        <item x="860"/>
        <item x="520"/>
        <item x="323"/>
        <item x="1006"/>
        <item x="1236"/>
        <item x="1784"/>
        <item x="1141"/>
        <item x="587"/>
        <item x="372"/>
        <item x="590"/>
        <item x="1246"/>
        <item x="1373"/>
        <item x="219"/>
        <item x="1206"/>
        <item x="1738"/>
        <item x="1160"/>
        <item x="771"/>
        <item x="1635"/>
        <item x="1580"/>
        <item x="1386"/>
        <item x="1166"/>
        <item x="570"/>
        <item x="1750"/>
        <item x="84"/>
        <item x="1433"/>
        <item x="1429"/>
        <item x="589"/>
        <item x="166"/>
        <item x="1389"/>
        <item x="1694"/>
        <item x="1001"/>
        <item x="1143"/>
        <item x="512"/>
        <item x="350"/>
        <item x="1677"/>
        <item x="1186"/>
        <item x="57"/>
        <item x="151"/>
        <item x="13"/>
        <item x="550"/>
        <item x="713"/>
        <item x="131"/>
        <item x="1058"/>
        <item x="326"/>
        <item x="1721"/>
        <item x="291"/>
        <item x="1099"/>
        <item x="197"/>
        <item x="385"/>
        <item x="889"/>
        <item x="342"/>
        <item x="239"/>
        <item x="1587"/>
        <item x="677"/>
        <item x="1501"/>
        <item x="618"/>
        <item x="1513"/>
        <item x="969"/>
        <item x="1653"/>
        <item x="1030"/>
        <item x="1614"/>
        <item x="1048"/>
        <item x="727"/>
        <item x="1792"/>
        <item x="1685"/>
        <item x="1117"/>
        <item x="467"/>
        <item x="1284"/>
        <item x="217"/>
        <item x="1123"/>
        <item x="167"/>
        <item x="232"/>
        <item x="736"/>
        <item x="1245"/>
        <item x="1357"/>
        <item x="354"/>
        <item x="731"/>
        <item x="737"/>
        <item x="1498"/>
        <item x="370"/>
        <item x="157"/>
        <item x="706"/>
        <item x="1732"/>
        <item x="1352"/>
        <item x="80"/>
        <item x="223"/>
        <item x="779"/>
        <item x="533"/>
        <item x="504"/>
        <item x="1350"/>
        <item x="1061"/>
        <item x="592"/>
        <item x="616"/>
        <item x="128"/>
        <item x="1266"/>
        <item x="121"/>
        <item x="1640"/>
        <item x="484"/>
        <item x="1355"/>
        <item x="950"/>
        <item x="165"/>
        <item x="285"/>
        <item x="1584"/>
        <item x="831"/>
        <item x="966"/>
        <item x="614"/>
        <item x="996"/>
        <item x="1231"/>
        <item x="388"/>
        <item x="1088"/>
        <item x="1565"/>
        <item x="14"/>
        <item x="1674"/>
        <item x="784"/>
        <item x="314"/>
        <item x="55"/>
        <item x="1779"/>
        <item x="785"/>
        <item x="844"/>
        <item x="229"/>
        <item x="349"/>
        <item x="903"/>
        <item x="898"/>
        <item x="1662"/>
        <item x="463"/>
        <item x="1578"/>
        <item x="510"/>
        <item x="656"/>
        <item x="1528"/>
        <item x="1302"/>
        <item x="768"/>
        <item x="1110"/>
        <item x="1566"/>
        <item x="1780"/>
        <item x="260"/>
        <item x="1114"/>
        <item x="840"/>
        <item x="688"/>
        <item x="937"/>
        <item x="676"/>
        <item x="583"/>
        <item x="1041"/>
        <item x="719"/>
        <item x="986"/>
        <item x="722"/>
        <item x="726"/>
        <item x="87"/>
        <item x="862"/>
        <item x="631"/>
        <item x="107"/>
        <item x="31"/>
        <item x="981"/>
        <item x="1808"/>
        <item x="205"/>
        <item x="1201"/>
        <item x="644"/>
        <item x="1639"/>
        <item x="717"/>
        <item x="1244"/>
        <item x="1533"/>
        <item x="149"/>
        <item x="1536"/>
        <item x="135"/>
        <item x="1045"/>
        <item x="1209"/>
        <item x="596"/>
        <item x="598"/>
        <item x="1137"/>
        <item x="823"/>
        <item x="591"/>
        <item x="2"/>
        <item x="1678"/>
        <item x="1031"/>
        <item x="1271"/>
        <item x="1291"/>
        <item x="356"/>
        <item x="652"/>
        <item x="671"/>
        <item x="455"/>
        <item x="858"/>
        <item x="73"/>
        <item x="1329"/>
        <item x="452"/>
        <item x="1773"/>
        <item x="1681"/>
        <item x="1425"/>
        <item x="297"/>
        <item x="1749"/>
        <item x="1505"/>
        <item x="185"/>
        <item x="850"/>
        <item x="1796"/>
        <item x="1624"/>
        <item x="1696"/>
        <item x="1054"/>
        <item x="1335"/>
        <item x="1574"/>
        <item x="626"/>
        <item x="445"/>
        <item x="636"/>
        <item x="0"/>
        <item x="955"/>
        <item x="1470"/>
        <item x="815"/>
        <item x="697"/>
        <item x="1436"/>
        <item x="1514"/>
        <item x="1275"/>
        <item x="1021"/>
        <item x="1187"/>
        <item x="846"/>
        <item x="1091"/>
        <item x="913"/>
        <item x="791"/>
        <item x="257"/>
        <item x="175"/>
        <item x="282"/>
        <item x="1181"/>
        <item x="1070"/>
        <item x="1506"/>
        <item x="1132"/>
        <item x="440"/>
        <item x="887"/>
        <item x="1229"/>
        <item x="1165"/>
        <item x="347"/>
        <item x="1424"/>
        <item x="20"/>
        <item x="961"/>
        <item x="709"/>
        <item x="1554"/>
        <item x="1489"/>
        <item x="1598"/>
        <item x="1616"/>
        <item x="1623"/>
        <item x="647"/>
        <item x="1521"/>
        <item x="994"/>
        <item x="1759"/>
        <item x="1238"/>
        <item x="94"/>
        <item x="1282"/>
        <item x="1504"/>
        <item x="1481"/>
        <item x="1480"/>
        <item x="1482"/>
        <item x="1083"/>
        <item x="1483"/>
        <item x="581"/>
        <item x="137"/>
        <item x="884"/>
        <item x="1627"/>
        <item x="1538"/>
        <item x="1766"/>
        <item x="1179"/>
        <item x="526"/>
        <item x="1154"/>
        <item x="22"/>
        <item x="663"/>
        <item x="1079"/>
        <item x="949"/>
        <item x="793"/>
        <item x="1458"/>
        <item x="494"/>
        <item x="828"/>
        <item x="622"/>
        <item x="876"/>
        <item x="1666"/>
        <item x="1223"/>
        <item x="1763"/>
        <item x="1585"/>
        <item x="1126"/>
        <item x="1559"/>
        <item x="787"/>
        <item x="988"/>
        <item x="462"/>
        <item x="878"/>
        <item x="301"/>
        <item x="1702"/>
        <item x="1411"/>
        <item x="1116"/>
        <item x="912"/>
        <item x="116"/>
        <item x="1298"/>
        <item x="1446"/>
        <item x="1654"/>
        <item x="101"/>
        <item x="579"/>
        <item x="235"/>
        <item x="1044"/>
        <item x="934"/>
        <item x="1222"/>
        <item x="193"/>
        <item x="1130"/>
        <item x="1712"/>
        <item x="1162"/>
        <item x="734"/>
        <item x="357"/>
        <item x="72"/>
        <item x="307"/>
        <item x="1609"/>
        <item x="430"/>
        <item x="1199"/>
        <item x="1012"/>
        <item x="12"/>
        <item x="907"/>
        <item x="203"/>
        <item x="716"/>
        <item x="1197"/>
        <item x="69"/>
        <item x="702"/>
        <item x="951"/>
        <item x="748"/>
        <item x="1169"/>
        <item x="679"/>
        <item x="1659"/>
        <item x="1577"/>
        <item x="1634"/>
        <item x="196"/>
        <item x="1409"/>
        <item x="472"/>
        <item x="416"/>
        <item x="691"/>
        <item x="1333"/>
        <item x="680"/>
        <item x="453"/>
        <item x="1689"/>
        <item x="1413"/>
        <item x="1719"/>
        <item x="1393"/>
        <item x="1647"/>
        <item x="396"/>
        <item x="50"/>
        <item x="163"/>
        <item x="53"/>
        <item x="407"/>
        <item x="1072"/>
        <item x="130"/>
        <item x="1327"/>
        <item x="1492"/>
        <item x="943"/>
        <item x="1068"/>
        <item x="489"/>
        <item x="1428"/>
        <item x="500"/>
        <item x="17"/>
        <item x="1517"/>
        <item x="1316"/>
        <item x="603"/>
        <item x="695"/>
        <item x="885"/>
        <item x="82"/>
        <item x="1613"/>
        <item x="444"/>
        <item x="15"/>
        <item x="277"/>
        <item x="278"/>
        <item x="1183"/>
        <item x="1003"/>
        <item x="1015"/>
        <item x="258"/>
        <item x="904"/>
        <item x="1597"/>
        <item x="971"/>
        <item x="487"/>
        <item x="1034"/>
        <item x="755"/>
        <item x="1427"/>
        <item x="1571"/>
        <item x="181"/>
        <item x="1431"/>
        <item x="1368"/>
        <item x="403"/>
        <item x="470"/>
        <item x="384"/>
        <item x="1618"/>
        <item x="1593"/>
        <item x="1145"/>
        <item x="637"/>
        <item x="556"/>
        <item x="686"/>
        <item x="1741"/>
        <item x="1771"/>
        <item x="630"/>
        <item x="625"/>
        <item x="1078"/>
        <item x="528"/>
        <item x="1241"/>
        <item x="1675"/>
        <item x="868"/>
        <item x="738"/>
        <item x="545"/>
        <item x="1548"/>
        <item x="287"/>
        <item x="28"/>
        <item x="27"/>
        <item x="915"/>
        <item x="1277"/>
        <item x="1144"/>
        <item x="1212"/>
        <item x="705"/>
        <item x="1657"/>
        <item x="742"/>
        <item x="1423"/>
        <item x="1687"/>
        <item x="230"/>
        <item x="456"/>
        <item x="767"/>
        <item x="1529"/>
        <item x="1595"/>
        <item x="89"/>
        <item x="1292"/>
        <item x="1658"/>
        <item x="298"/>
        <item x="696"/>
        <item x="1450"/>
        <item x="1189"/>
        <item x="703"/>
        <item x="141"/>
        <item x="483"/>
        <item x="1799"/>
        <item x="655"/>
        <item x="1400"/>
        <item x="669"/>
        <item x="1586"/>
        <item x="42"/>
        <item x="694"/>
        <item x="61"/>
        <item x="1118"/>
        <item x="63"/>
        <item x="789"/>
        <item x="595"/>
        <item x="752"/>
        <item x="344"/>
        <item x="290"/>
        <item x="1177"/>
        <item x="839"/>
        <item x="283"/>
        <item x="1510"/>
        <item x="1221"/>
        <item x="16"/>
        <item x="332"/>
        <item x="1404"/>
        <item x="1637"/>
        <item x="308"/>
        <item x="44"/>
        <item x="668"/>
        <item x="172"/>
        <item x="93"/>
        <item x="940"/>
        <item x="198"/>
        <item x="929"/>
        <item x="1108"/>
        <item x="1542"/>
        <item x="1251"/>
        <item x="1372"/>
        <item x="997"/>
        <item x="519"/>
        <item x="280"/>
        <item x="1367"/>
        <item x="1742"/>
        <item x="1775"/>
        <item x="1776"/>
        <item x="959"/>
        <item x="1253"/>
        <item x="980"/>
        <item x="1807"/>
        <item x="1360"/>
        <item x="1203"/>
        <item x="322"/>
        <item x="914"/>
        <item x="112"/>
        <item x="1730"/>
        <item x="608"/>
        <item x="837"/>
        <item x="1693"/>
        <item x="400"/>
        <item x="1340"/>
        <item x="146"/>
        <item x="1530"/>
        <item x="1435"/>
        <item x="255"/>
        <item x="352"/>
        <item x="1552"/>
        <item x="1172"/>
        <item x="975"/>
        <item x="995"/>
        <item x="1256"/>
        <item x="674"/>
        <item x="179"/>
        <item x="559"/>
        <item x="477"/>
        <item x="1684"/>
        <item x="380"/>
        <item x="1764"/>
        <item x="1605"/>
        <item x="821"/>
        <item x="936"/>
        <item x="331"/>
        <item x="1440"/>
        <item x="1190"/>
        <item x="1363"/>
        <item x="1094"/>
        <item x="7"/>
        <item x="1115"/>
        <item x="252"/>
        <item x="1770"/>
        <item x="880"/>
        <item x="788"/>
        <item x="1139"/>
        <item x="1376"/>
        <item x="361"/>
        <item x="580"/>
        <item x="633"/>
        <item x="743"/>
        <item x="43"/>
        <item x="1062"/>
        <item x="309"/>
        <item x="804"/>
        <item x="640"/>
        <item x="180"/>
        <item x="922"/>
        <item x="777"/>
        <item x="1646"/>
        <item x="1484"/>
        <item x="362"/>
        <item x="1142"/>
        <item x="1774"/>
        <item x="1397"/>
        <item x="261"/>
        <item x="859"/>
        <item x="406"/>
        <item x="305"/>
        <item x="29"/>
        <item x="1765"/>
        <item x="60"/>
        <item x="1324"/>
        <item x="240"/>
        <item x="855"/>
        <item x="638"/>
        <item x="363"/>
        <item x="1447"/>
        <item x="225"/>
        <item x="138"/>
        <item x="95"/>
        <item x="476"/>
        <item x="1219"/>
        <item x="1661"/>
        <item x="327"/>
        <item x="1287"/>
        <item x="856"/>
        <item x="1326"/>
        <item x="64"/>
        <item x="1700"/>
        <item x="843"/>
        <item x="1767"/>
        <item x="678"/>
        <item x="404"/>
        <item x="1761"/>
        <item x="1157"/>
        <item x="1525"/>
        <item x="1747"/>
        <item x="1155"/>
        <item x="1561"/>
        <item x="1111"/>
        <item x="1235"/>
        <item x="1405"/>
        <item x="928"/>
        <item x="184"/>
        <item x="340"/>
        <item x="268"/>
        <item x="250"/>
        <item x="1562"/>
        <item x="295"/>
        <item x="1127"/>
        <item x="1532"/>
        <item x="1601"/>
        <item x="1319"/>
        <item x="1007"/>
        <item x="1164"/>
        <item x="1676"/>
        <item x="1228"/>
        <item x="761"/>
        <item x="575"/>
        <item x="153"/>
        <item x="985"/>
        <item x="338"/>
        <item x="1023"/>
        <item x="870"/>
        <item x="1193"/>
        <item x="1438"/>
        <item x="1464"/>
        <item x="584"/>
        <item x="1455"/>
        <item x="1192"/>
        <item x="1036"/>
        <item x="398"/>
        <item x="496"/>
        <item x="156"/>
        <item x="359"/>
        <item x="1056"/>
        <item x="1444"/>
        <item x="1456"/>
        <item x="1131"/>
        <item x="1753"/>
        <item x="428"/>
        <item x="852"/>
        <item x="968"/>
        <item x="1592"/>
        <item x="1"/>
        <item x="1195"/>
        <item x="978"/>
        <item x="1009"/>
        <item x="1401"/>
        <item x="9"/>
        <item x="1699"/>
        <item x="869"/>
        <item x="54"/>
        <item x="1346"/>
        <item x="1069"/>
        <item x="1074"/>
        <item x="1408"/>
        <item x="1239"/>
        <item x="1651"/>
        <item x="1026"/>
        <item x="730"/>
        <item x="1013"/>
        <item x="845"/>
        <item x="227"/>
        <item x="1745"/>
        <item x="392"/>
        <item x="266"/>
        <item x="1760"/>
        <item x="610"/>
        <item x="1726"/>
        <item x="1259"/>
        <item x="1743"/>
        <item x="99"/>
        <item x="1273"/>
        <item x="315"/>
        <item x="346"/>
        <item x="615"/>
        <item x="1576"/>
        <item x="339"/>
        <item x="1082"/>
        <item x="194"/>
        <item x="571"/>
        <item x="976"/>
        <item x="1665"/>
        <item x="162"/>
        <item x="1121"/>
        <item x="1524"/>
        <item x="558"/>
        <item x="6"/>
        <item x="329"/>
        <item x="687"/>
        <item x="159"/>
        <item x="311"/>
        <item x="1717"/>
        <item x="1300"/>
        <item x="433"/>
        <item x="1301"/>
        <item x="1299"/>
        <item x="88"/>
        <item x="178"/>
        <item x="1278"/>
        <item x="1650"/>
        <item x="1459"/>
        <item x="963"/>
        <item x="1280"/>
        <item x="1417"/>
        <item x="1147"/>
        <item x="1711"/>
        <item x="415"/>
        <item x="1715"/>
        <item x="1746"/>
        <item x="1663"/>
        <item x="1570"/>
        <item x="1388"/>
        <item x="534"/>
        <item x="437"/>
        <item x="535"/>
        <item x="324"/>
        <item x="1191"/>
        <item x="294"/>
        <item x="68"/>
        <item x="1218"/>
        <item x="1175"/>
        <item x="1722"/>
        <item x="1380"/>
        <item x="373"/>
        <item x="134"/>
        <item x="336"/>
        <item x="746"/>
        <item x="623"/>
        <item x="1495"/>
        <item x="1358"/>
        <item x="1508"/>
        <item x="1049"/>
        <item x="1093"/>
        <item x="1158"/>
        <item x="11"/>
        <item x="1027"/>
        <item x="758"/>
        <item x="1371"/>
        <item x="1394"/>
        <item x="1642"/>
        <item x="199"/>
        <item x="182"/>
        <item x="204"/>
        <item x="310"/>
        <item x="210"/>
        <item x="650"/>
        <item x="529"/>
        <item x="1261"/>
        <item x="251"/>
        <item x="263"/>
        <item x="441"/>
        <item x="1339"/>
        <item x="1392"/>
        <item x="152"/>
        <item x="1184"/>
        <item x="1008"/>
        <item x="1391"/>
        <item x="1185"/>
        <item x="1176"/>
        <item x="1135"/>
        <item x="1607"/>
        <item x="118"/>
        <item x="1443"/>
        <item x="920"/>
        <item x="1087"/>
        <item x="854"/>
        <item x="1060"/>
        <item x="1621"/>
        <item x="1729"/>
        <item x="104"/>
        <item x="1283"/>
        <item x="1040"/>
        <item x="429"/>
        <item x="208"/>
        <item x="508"/>
        <item x="434"/>
        <item x="834"/>
        <item x="1233"/>
        <item x="962"/>
        <item x="1370"/>
        <item x="750"/>
        <item x="212"/>
        <item x="1762"/>
        <item x="1171"/>
        <item x="822"/>
        <item x="1307"/>
        <item x="621"/>
        <item x="1518"/>
        <item x="931"/>
        <item x="378"/>
        <item x="792"/>
        <item x="432"/>
        <item x="158"/>
        <item x="1804"/>
        <item x="1713"/>
        <item x="1692"/>
        <item x="1728"/>
        <item x="1714"/>
        <item x="71"/>
        <item x="391"/>
        <item x="582"/>
        <item x="1016"/>
        <item x="670"/>
        <item x="1214"/>
        <item x="896"/>
        <item x="1788"/>
        <item x="629"/>
        <item x="1556"/>
        <item x="105"/>
        <item x="168"/>
        <item x="1599"/>
        <item x="1055"/>
        <item x="1230"/>
        <item x="780"/>
        <item x="1463"/>
        <item x="1092"/>
        <item x="48"/>
        <item x="1667"/>
        <item x="1407"/>
        <item x="1652"/>
        <item x="853"/>
        <item x="645"/>
        <item x="866"/>
        <item x="1310"/>
        <item x="956"/>
        <item x="321"/>
        <item x="1688"/>
        <item x="1805"/>
        <item x="851"/>
        <item x="932"/>
        <item x="147"/>
        <item x="1630"/>
        <item x="1534"/>
        <item x="66"/>
        <item x="1486"/>
        <item x="1297"/>
        <item x="1731"/>
        <item x="573"/>
        <item x="1509"/>
        <item x="369"/>
        <item x="1451"/>
        <item x="1757"/>
        <item x="1076"/>
        <item x="941"/>
        <item x="1120"/>
        <item x="207"/>
        <item x="466"/>
        <item x="1641"/>
        <item x="335"/>
        <item x="654"/>
        <item x="1633"/>
        <item x="1457"/>
        <item x="1178"/>
        <item x="1416"/>
        <item x="480"/>
        <item x="1526"/>
        <item x="945"/>
        <item x="431"/>
        <item x="67"/>
        <item x="1499"/>
        <item x="627"/>
        <item x="215"/>
        <item x="1125"/>
        <item x="1032"/>
        <item x="867"/>
        <item x="1308"/>
        <item x="1752"/>
        <item x="562"/>
        <item x="810"/>
        <item x="553"/>
        <item x="991"/>
        <item x="958"/>
        <item x="925"/>
        <item x="946"/>
        <item x="367"/>
        <item x="875"/>
        <item x="1445"/>
        <item x="681"/>
        <item x="382"/>
        <item x="1795"/>
        <item x="1250"/>
        <item x="1768"/>
        <item x="1550"/>
        <item x="4"/>
        <item x="602"/>
        <item x="312"/>
        <item x="397"/>
        <item x="247"/>
        <item x="1005"/>
        <item x="302"/>
        <item x="242"/>
        <item x="796"/>
        <item x="328"/>
        <item x="366"/>
        <item x="1617"/>
        <item x="1569"/>
        <item x="1232"/>
        <item x="1720"/>
        <item x="1649"/>
        <item x="888"/>
        <item x="1625"/>
        <item x="865"/>
        <item x="999"/>
        <item x="1441"/>
        <item x="1378"/>
        <item x="1290"/>
        <item x="1217"/>
        <item x="375"/>
        <item x="91"/>
        <item x="1288"/>
        <item x="1563"/>
        <item x="905"/>
        <item x="148"/>
        <item x="1065"/>
        <item x="238"/>
        <item x="465"/>
        <item x="1806"/>
        <item x="1579"/>
        <item x="144"/>
        <item x="1349"/>
        <item x="1351"/>
        <item x="1496"/>
        <item x="1802"/>
        <item x="1664"/>
        <item x="190"/>
        <item x="970"/>
        <item x="1626"/>
        <item x="774"/>
        <item x="1801"/>
        <item x="469"/>
        <item x="547"/>
        <item x="1648"/>
        <item x="26"/>
        <item x="672"/>
        <item x="665"/>
        <item x="195"/>
        <item x="552"/>
        <item x="1361"/>
        <item x="1591"/>
        <item x="972"/>
        <item x="417"/>
        <item x="641"/>
        <item x="1323"/>
        <item x="481"/>
        <item x="827"/>
        <item x="546"/>
        <item x="1399"/>
        <item x="438"/>
        <item x="132"/>
        <item x="1043"/>
        <item x="1315"/>
        <item x="1342"/>
        <item x="139"/>
        <item x="389"/>
        <item x="1460"/>
        <item x="539"/>
        <item x="174"/>
        <item x="85"/>
        <item x="1421"/>
        <item x="759"/>
        <item x="960"/>
        <item x="1384"/>
        <item x="1348"/>
        <item x="1487"/>
        <item x="1522"/>
        <item x="98"/>
        <item x="942"/>
        <item x="1153"/>
        <item x="939"/>
        <item x="123"/>
        <item x="544"/>
        <item x="1328"/>
        <item x="609"/>
        <item x="1787"/>
        <item x="757"/>
        <item x="209"/>
        <item x="90"/>
        <item x="390"/>
        <item x="893"/>
        <item x="191"/>
        <item x="1551"/>
        <item x="1237"/>
        <item x="1334"/>
        <item x="906"/>
        <item x="1010"/>
        <item x="594"/>
        <item x="1519"/>
        <item x="639"/>
        <item x="1294"/>
        <item x="1462"/>
        <item x="1791"/>
        <item x="216"/>
        <item x="1205"/>
        <item x="286"/>
        <item x="1737"/>
        <item x="1701"/>
        <item x="813"/>
        <item x="86"/>
        <item x="65"/>
        <item x="540"/>
        <item x="1295"/>
        <item x="1612"/>
        <item x="576"/>
        <item x="948"/>
        <item x="1789"/>
        <item x="25"/>
        <item x="1560"/>
        <item x="1790"/>
        <item x="662"/>
        <item x="799"/>
        <item x="819"/>
        <item x="126"/>
        <item x="832"/>
        <item x="32"/>
        <item x="979"/>
        <item x="1075"/>
        <item x="176"/>
        <item x="689"/>
        <item x="177"/>
        <item x="1102"/>
        <item x="673"/>
        <item x="284"/>
        <item x="723"/>
        <item x="1697"/>
        <item x="902"/>
        <item x="420"/>
        <item x="58"/>
        <item x="213"/>
        <item x="555"/>
        <item x="1638"/>
        <item x="1502"/>
        <item x="1198"/>
        <item x="947"/>
        <item x="1234"/>
        <item x="1793"/>
        <item x="782"/>
        <item x="744"/>
        <item x="272"/>
        <item x="303"/>
        <item x="1387"/>
        <item x="1705"/>
        <item x="78"/>
        <item x="585"/>
        <item x="485"/>
        <item x="1724"/>
        <item x="1430"/>
        <item x="353"/>
        <item x="841"/>
        <item x="39"/>
        <item x="1317"/>
        <item x="1050"/>
        <item x="1296"/>
        <item x="993"/>
        <item x="548"/>
        <item x="1541"/>
        <item x="1695"/>
        <item x="154"/>
        <item x="794"/>
        <item x="1150"/>
        <item x="1159"/>
        <item x="864"/>
        <item x="1691"/>
        <item x="1216"/>
        <item x="62"/>
        <item x="264"/>
        <item x="1213"/>
        <item x="620"/>
        <item x="461"/>
        <item x="1002"/>
        <item x="33"/>
        <item x="206"/>
        <item x="824"/>
        <item x="1754"/>
        <item x="1589"/>
        <item x="273"/>
        <item x="1655"/>
        <item x="1709"/>
        <item x="1225"/>
        <item x="8"/>
        <item x="1493"/>
        <item x="560"/>
        <item x="1148"/>
        <item x="1168"/>
        <item x="1606"/>
        <item x="1113"/>
        <item x="1305"/>
        <item x="1306"/>
        <item x="1604"/>
        <item x="685"/>
        <item x="732"/>
        <item x="1018"/>
        <item x="1736"/>
        <item x="1783"/>
        <item x="849"/>
        <item x="770"/>
        <item x="1051"/>
        <item x="1660"/>
        <item x="145"/>
        <item x="1723"/>
        <item x="458"/>
        <item x="952"/>
        <item x="114"/>
        <item x="23"/>
        <item x="509"/>
        <item x="269"/>
        <item x="34"/>
        <item x="1215"/>
        <item x="881"/>
        <item x="733"/>
        <item x="288"/>
        <item x="1254"/>
        <item x="1716"/>
        <item x="1461"/>
        <item x="1671"/>
        <item x="1017"/>
        <item x="1336"/>
        <item x="170"/>
        <item x="1422"/>
        <item x="1337"/>
        <item x="1020"/>
        <item x="917"/>
        <item x="1374"/>
        <item x="1286"/>
        <item x="265"/>
        <item x="720"/>
        <item x="1594"/>
        <item x="136"/>
        <item x="682"/>
        <item x="829"/>
        <item x="818"/>
        <item x="421"/>
        <item x="1656"/>
        <item x="47"/>
        <item x="1466"/>
        <item x="1465"/>
        <item x="1325"/>
        <item x="863"/>
        <item x="228"/>
        <item x="364"/>
        <item x="333"/>
        <item x="214"/>
        <item x="1418"/>
        <item x="1708"/>
        <item x="1279"/>
        <item x="927"/>
        <item x="1366"/>
        <item x="1704"/>
        <item x="525"/>
        <item x="343"/>
        <item x="772"/>
        <item x="1575"/>
        <item x="1025"/>
        <item x="825"/>
        <item x="900"/>
        <item x="1537"/>
        <item x="1544"/>
        <item x="1543"/>
        <item x="275"/>
        <item x="164"/>
        <item x="890"/>
        <item x="1769"/>
        <item x="1727"/>
        <item x="221"/>
        <item x="379"/>
        <item x="1047"/>
        <item x="1309"/>
        <item x="1345"/>
        <item x="857"/>
        <item x="1161"/>
        <item x="664"/>
        <item x="358"/>
        <item x="129"/>
        <item x="454"/>
        <item x="1406"/>
        <item x="270"/>
        <item x="563"/>
        <item x="1112"/>
        <item x="279"/>
        <item x="910"/>
        <item x="795"/>
        <item x="523"/>
        <item x="541"/>
        <item x="886"/>
        <item x="1202"/>
        <item x="1432"/>
        <item x="374"/>
        <item x="1572"/>
        <item x="651"/>
        <item x="718"/>
        <item x="1304"/>
        <item x="1014"/>
        <item x="513"/>
        <item x="1289"/>
        <item x="1454"/>
        <item x="1073"/>
        <item x="842"/>
        <item x="377"/>
        <item x="1553"/>
        <item x="807"/>
        <item x="1608"/>
        <item x="754"/>
        <item x="894"/>
        <item x="1311"/>
        <item x="871"/>
        <item x="1782"/>
        <item x="435"/>
        <item x="769"/>
        <item x="1269"/>
        <item x="704"/>
        <item x="1636"/>
        <item x="319"/>
        <item x="1520"/>
        <item x="1668"/>
        <item x="292"/>
        <item x="1314"/>
        <item x="965"/>
        <item x="1136"/>
        <item x="833"/>
        <item x="355"/>
        <item x="325"/>
        <item x="892"/>
        <item x="1341"/>
        <item x="879"/>
        <item x="52"/>
        <item x="1503"/>
        <item x="1516"/>
        <item x="565"/>
        <item x="577"/>
        <item x="442"/>
        <item x="74"/>
        <item x="1383"/>
        <item x="501"/>
        <item x="296"/>
        <item x="692"/>
        <item x="1772"/>
        <item x="617"/>
        <item x="698"/>
        <item x="457"/>
        <item x="423"/>
        <item x="921"/>
        <item x="414"/>
        <item x="1645"/>
        <item x="776"/>
        <item x="766"/>
        <item x="1472"/>
        <item x="729"/>
        <item x="1744"/>
        <item x="530"/>
        <item x="376"/>
        <item x="537"/>
        <item x="1449"/>
        <item x="1180"/>
        <item x="1452"/>
        <item x="1122"/>
        <item x="117"/>
        <item x="599"/>
        <item x="24"/>
        <item x="1679"/>
        <item x="938"/>
        <item x="412"/>
        <item x="447"/>
        <item x="299"/>
        <item x="1089"/>
        <item x="256"/>
        <item x="1619"/>
        <item x="642"/>
        <item x="1033"/>
        <item x="1257"/>
        <item x="1739"/>
        <item x="973"/>
        <item x="990"/>
        <item x="790"/>
        <item x="826"/>
        <item x="10"/>
        <item x="1558"/>
        <item x="306"/>
        <item x="522"/>
        <item x="150"/>
        <item x="1588"/>
        <item x="926"/>
        <item x="549"/>
        <item x="1252"/>
        <item x="243"/>
        <item x="1410"/>
        <item x="119"/>
        <item x="1596"/>
        <item x="1527"/>
        <item x="234"/>
        <item x="77"/>
        <item x="479"/>
        <item x="1670"/>
        <item x="543"/>
        <item x="1798"/>
        <item x="715"/>
        <item x="597"/>
        <item x="740"/>
        <item x="735"/>
        <item x="1631"/>
        <item x="1174"/>
        <item x="450"/>
        <item x="749"/>
        <item x="1207"/>
        <item x="775"/>
        <item x="1285"/>
        <item x="1220"/>
        <item x="659"/>
        <item x="1170"/>
        <item x="847"/>
        <item x="246"/>
        <item x="1622"/>
        <item x="1038"/>
        <item x="155"/>
        <item x="1420"/>
        <item x="419"/>
        <item x="786"/>
        <item x="653"/>
        <item x="365"/>
        <item x="1004"/>
        <item x="762"/>
        <item x="909"/>
        <item x="478"/>
        <item x="345"/>
        <item x="402"/>
        <item x="401"/>
        <item x="267"/>
        <item x="49"/>
        <item x="1434"/>
        <item x="399"/>
        <item x="171"/>
        <item x="745"/>
        <item x="516"/>
        <item x="113"/>
        <item x="140"/>
        <item x="474"/>
        <item x="1019"/>
        <item x="405"/>
        <item x="473"/>
        <item x="861"/>
        <item x="439"/>
        <item x="51"/>
        <item x="751"/>
        <item x="1313"/>
        <item x="495"/>
        <item x="1124"/>
        <item x="728"/>
        <item x="1260"/>
        <item x="1581"/>
        <item x="1066"/>
        <item x="106"/>
        <item x="588"/>
        <item x="646"/>
        <item x="690"/>
        <item x="817"/>
        <item x="254"/>
        <item x="805"/>
        <item x="1332"/>
        <item x="1265"/>
        <item x="1703"/>
        <item x="747"/>
        <item x="1365"/>
        <item x="1590"/>
        <item x="661"/>
        <item x="1268"/>
        <item x="1583"/>
        <item x="271"/>
        <item x="368"/>
        <item x="1011"/>
        <item x="133"/>
        <item x="911"/>
        <item x="274"/>
        <item x="1698"/>
        <item x="763"/>
        <item x="222"/>
        <item x="675"/>
        <item x="1568"/>
        <item x="59"/>
        <item x="300"/>
        <item x="667"/>
        <item x="1557"/>
        <item x="1629"/>
        <item x="1549"/>
        <item x="974"/>
        <item x="1718"/>
        <item x="142"/>
        <item x="1242"/>
        <item x="1090"/>
        <item x="1545"/>
        <item x="1338"/>
        <item x="1152"/>
        <item x="1803"/>
        <item x="37"/>
        <item x="161"/>
        <item x="351"/>
        <item x="490"/>
        <item x="1247"/>
        <item x="753"/>
        <item x="371"/>
        <item x="634"/>
        <item x="103"/>
        <item x="649"/>
        <item x="1129"/>
        <item x="471"/>
        <item x="211"/>
        <item x="1208"/>
        <item x="1734"/>
        <item x="1377"/>
        <item x="317"/>
        <item x="200"/>
        <item x="919"/>
        <item x="337"/>
        <item x="1628"/>
        <item x="1632"/>
        <item x="1398"/>
        <item x="1100"/>
        <item x="992"/>
        <item x="1672"/>
        <item x="1785"/>
        <item x="169"/>
        <item x="1064"/>
        <item x="836"/>
        <item x="567"/>
        <item x="81"/>
        <item x="1086"/>
        <item x="1733"/>
        <item x="1151"/>
        <item x="883"/>
        <item x="517"/>
        <item x="1264"/>
        <item x="1104"/>
        <item x="1263"/>
        <item x="977"/>
        <item x="532"/>
        <item x="756"/>
        <item x="1620"/>
        <item x="1600"/>
        <item x="1149"/>
        <item x="259"/>
        <item x="1758"/>
        <item x="700"/>
        <item x="1204"/>
        <item x="1369"/>
        <item x="1602"/>
        <item x="226"/>
        <item x="1794"/>
        <item x="1673"/>
        <item x="891"/>
        <item x="632"/>
        <item x="1476"/>
        <item x="658"/>
        <item x="895"/>
        <item x="120"/>
        <item x="70"/>
        <item x="189"/>
        <item x="1477"/>
        <item x="75"/>
        <item x="1474"/>
        <item x="1475"/>
        <item x="188"/>
        <item x="186"/>
        <item x="187"/>
        <item x="1478"/>
        <item x="1473"/>
        <item x="1281"/>
        <item x="1467"/>
        <item x="110"/>
        <item x="778"/>
        <item x="918"/>
        <item x="1396"/>
        <item x="1211"/>
        <item x="1507"/>
        <item x="820"/>
        <item x="760"/>
        <item x="1353"/>
        <item x="436"/>
        <item x="801"/>
        <item x="773"/>
        <item x="1610"/>
        <item x="1106"/>
        <item x="1105"/>
        <item x="873"/>
        <item x="712"/>
        <item x="1101"/>
        <item x="1267"/>
        <item x="877"/>
        <item x="262"/>
        <item x="45"/>
        <item x="1331"/>
        <item x="699"/>
        <item x="586"/>
        <item x="4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Type of Usage" axis="axisPage" dataField="1" showAll="0">
      <items count="5">
        <item x="1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"/>
  </rowFields>
  <rowItems count="18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 t="grand">
      <x/>
    </i>
  </rowItems>
  <colItems count="1">
    <i/>
  </colItems>
  <pageFields count="1">
    <pageField fld="15" hier="-1"/>
  </pageFields>
  <dataFields count="1">
    <dataField name="Total" fld="15" subtotal="count" baseField="0" baseItem="0"/>
  </dataFields>
  <formats count="8">
    <format dxfId="115">
      <pivotArea field="15" type="button" dataOnly="0" labelOnly="1" outline="0" axis="axisPage" fieldPosition="0"/>
    </format>
    <format dxfId="114">
      <pivotArea dataOnly="0" labelOnly="1" outline="0" fieldPosition="0">
        <references count="1">
          <reference field="15" count="0"/>
        </references>
      </pivotArea>
    </format>
    <format dxfId="113">
      <pivotArea field="5" type="button" dataOnly="0" labelOnly="1" outline="0" axis="axisRow" fieldPosition="0"/>
    </format>
    <format dxfId="112">
      <pivotArea dataOnly="0" labelOnly="1" outline="0" axis="axisValues" fieldPosition="0"/>
    </format>
    <format dxfId="111">
      <pivotArea field="5" type="button" dataOnly="0" labelOnly="1" outline="0" axis="axisRow" fieldPosition="0"/>
    </format>
    <format dxfId="110">
      <pivotArea dataOnly="0" labelOnly="1" outline="0" axis="axisValues" fieldPosition="0"/>
    </format>
    <format dxfId="109">
      <pivotArea grandRow="1" outline="0" collapsedLevelsAreSubtotals="1" fieldPosition="0"/>
    </format>
    <format dxfId="10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Library">
  <location ref="A3:B21" firstHeaderRow="1" firstDataRow="1" firstDataCol="1" rowPageCount="1" colPageCount="1"/>
  <pivotFields count="22">
    <pivotField numFmtId="22" showAll="0"/>
    <pivotField numFmtId="21" showAll="0"/>
    <pivotField showAll="0"/>
    <pivotField axis="axisRow" showAll="0">
      <items count="18">
        <item x="13"/>
        <item x="1"/>
        <item x="10"/>
        <item x="5"/>
        <item x="2"/>
        <item x="14"/>
        <item x="4"/>
        <item x="16"/>
        <item x="15"/>
        <item x="8"/>
        <item x="6"/>
        <item x="3"/>
        <item x="11"/>
        <item x="7"/>
        <item x="12"/>
        <item x="9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Type of Usage" axis="axisPage" dataField="1" showAll="0">
      <items count="5">
        <item x="1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15" hier="-1"/>
  </pageFields>
  <dataFields count="1">
    <dataField name="Total" fld="15" subtotal="count" baseField="0" baseItem="0"/>
  </dataFields>
  <formats count="8">
    <format dxfId="107">
      <pivotArea field="15" type="button" dataOnly="0" labelOnly="1" outline="0" axis="axisPage" fieldPosition="0"/>
    </format>
    <format dxfId="106">
      <pivotArea dataOnly="0" labelOnly="1" outline="0" fieldPosition="0">
        <references count="1">
          <reference field="15" count="0"/>
        </references>
      </pivotArea>
    </format>
    <format dxfId="105">
      <pivotArea field="3" type="button" dataOnly="0" labelOnly="1" outline="0" axis="axisRow" fieldPosition="0"/>
    </format>
    <format dxfId="104">
      <pivotArea dataOnly="0" labelOnly="1" outline="0" axis="axisValues" fieldPosition="0"/>
    </format>
    <format dxfId="103">
      <pivotArea field="3" type="button" dataOnly="0" labelOnly="1" outline="0" axis="axisRow" fieldPosition="0"/>
    </format>
    <format dxfId="102">
      <pivotArea dataOnly="0" labelOnly="1" outline="0" axis="axisValues" fieldPosition="0"/>
    </format>
    <format dxfId="101">
      <pivotArea grandRow="1" outline="0" collapsedLevelsAreSubtotals="1" fieldPosition="0"/>
    </format>
    <format dxfId="10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Library">
  <location ref="A3:B2342" firstHeaderRow="1" firstDataRow="1" firstDataCol="1" rowPageCount="1" colPageCount="1"/>
  <pivotFields count="22">
    <pivotField numFmtId="22" showAll="0"/>
    <pivotField numFmtId="21" showAll="0"/>
    <pivotField showAll="0"/>
    <pivotField axis="axisRow" showAll="0">
      <items count="18">
        <item x="13"/>
        <item x="1"/>
        <item x="10"/>
        <item x="5"/>
        <item x="2"/>
        <item x="14"/>
        <item x="4"/>
        <item x="16"/>
        <item x="15"/>
        <item x="8"/>
        <item x="6"/>
        <item x="3"/>
        <item x="11"/>
        <item x="7"/>
        <item x="12"/>
        <item x="9"/>
        <item x="0"/>
        <item t="default"/>
      </items>
    </pivotField>
    <pivotField showAll="0"/>
    <pivotField axis="axisRow" showAll="0">
      <items count="1810">
        <item x="360"/>
        <item x="724"/>
        <item x="1471"/>
        <item x="313"/>
        <item x="1035"/>
        <item x="1479"/>
        <item x="289"/>
        <item x="1751"/>
        <item x="1128"/>
        <item x="1488"/>
        <item x="249"/>
        <item x="318"/>
        <item x="320"/>
        <item x="1390"/>
        <item x="1173"/>
        <item x="395"/>
        <item x="612"/>
        <item x="1707"/>
        <item x="1468"/>
        <item x="741"/>
        <item x="566"/>
        <item x="97"/>
        <item x="468"/>
        <item x="491"/>
        <item x="341"/>
        <item x="506"/>
        <item x="281"/>
        <item x="1318"/>
        <item x="816"/>
        <item x="19"/>
        <item x="418"/>
        <item x="798"/>
        <item x="253"/>
        <item x="56"/>
        <item x="764"/>
        <item x="683"/>
        <item x="76"/>
        <item x="1274"/>
        <item x="1240"/>
        <item x="304"/>
        <item x="413"/>
        <item x="524"/>
        <item x="79"/>
        <item x="1276"/>
        <item x="557"/>
        <item x="872"/>
        <item x="1322"/>
        <item x="451"/>
        <item x="475"/>
        <item x="987"/>
        <item x="503"/>
        <item x="1000"/>
        <item x="92"/>
        <item x="802"/>
        <item x="954"/>
        <item x="46"/>
        <item x="1491"/>
        <item x="1755"/>
        <item x="5"/>
        <item x="409"/>
        <item x="96"/>
        <item x="1686"/>
        <item x="1469"/>
        <item x="1063"/>
        <item x="1255"/>
        <item x="1022"/>
        <item x="231"/>
        <item x="1540"/>
        <item x="1381"/>
        <item x="1778"/>
        <item x="693"/>
        <item x="783"/>
        <item x="1419"/>
        <item x="1270"/>
        <item x="1052"/>
        <item x="1046"/>
        <item x="923"/>
        <item x="838"/>
        <item x="882"/>
        <item x="1494"/>
        <item x="1109"/>
        <item x="1344"/>
        <item x="18"/>
        <item x="1680"/>
        <item x="635"/>
        <item x="201"/>
        <item x="1321"/>
        <item x="624"/>
        <item x="499"/>
        <item x="498"/>
        <item x="607"/>
        <item x="1343"/>
        <item x="964"/>
        <item x="1611"/>
        <item x="1573"/>
        <item x="160"/>
        <item x="394"/>
        <item x="1356"/>
        <item x="593"/>
        <item x="1523"/>
        <item x="809"/>
        <item x="611"/>
        <item x="572"/>
        <item x="1500"/>
        <item x="1546"/>
        <item x="241"/>
        <item x="518"/>
        <item x="1107"/>
        <item x="425"/>
        <item x="1740"/>
        <item x="1426"/>
        <item x="1582"/>
        <item x="605"/>
        <item x="554"/>
        <item x="899"/>
        <item x="424"/>
        <item x="348"/>
        <item x="1359"/>
        <item x="183"/>
        <item x="1735"/>
        <item x="21"/>
        <item x="1379"/>
        <item x="1138"/>
        <item x="1200"/>
        <item x="3"/>
        <item x="1797"/>
        <item x="1059"/>
        <item x="40"/>
        <item x="930"/>
        <item x="381"/>
        <item x="237"/>
        <item x="1085"/>
        <item x="835"/>
        <item x="660"/>
        <item x="192"/>
        <item x="830"/>
        <item x="245"/>
        <item x="1539"/>
        <item x="220"/>
        <item x="111"/>
        <item x="1402"/>
        <item x="1028"/>
        <item x="1777"/>
        <item x="1226"/>
        <item x="422"/>
        <item x="765"/>
        <item x="984"/>
        <item x="1362"/>
        <item x="1249"/>
        <item x="443"/>
        <item x="1097"/>
        <item x="536"/>
        <item x="1029"/>
        <item x="426"/>
        <item x="1119"/>
        <item x="1415"/>
        <item x="601"/>
        <item x="411"/>
        <item x="393"/>
        <item x="492"/>
        <item x="916"/>
        <item x="124"/>
        <item x="408"/>
        <item x="316"/>
        <item x="127"/>
        <item x="1024"/>
        <item x="1748"/>
        <item x="1690"/>
        <item x="781"/>
        <item x="551"/>
        <item x="944"/>
        <item x="30"/>
        <item x="1084"/>
        <item x="1039"/>
        <item x="1615"/>
        <item x="569"/>
        <item x="1644"/>
        <item x="538"/>
        <item x="1364"/>
        <item x="115"/>
        <item x="1437"/>
        <item x="1453"/>
        <item x="460"/>
        <item x="488"/>
        <item x="1272"/>
        <item x="387"/>
        <item x="1531"/>
        <item x="1194"/>
        <item x="1182"/>
        <item x="1330"/>
        <item x="41"/>
        <item x="983"/>
        <item x="497"/>
        <item x="1096"/>
        <item x="1133"/>
        <item x="1312"/>
        <item x="1669"/>
        <item x="666"/>
        <item x="293"/>
        <item x="1412"/>
        <item x="1210"/>
        <item x="102"/>
        <item x="1683"/>
        <item x="173"/>
        <item x="897"/>
        <item x="1081"/>
        <item x="1080"/>
        <item x="1303"/>
        <item x="1756"/>
        <item x="1167"/>
        <item x="1781"/>
        <item x="1567"/>
        <item x="100"/>
        <item x="1710"/>
        <item x="1512"/>
        <item x="643"/>
        <item x="521"/>
        <item x="482"/>
        <item x="1442"/>
        <item x="531"/>
        <item x="224"/>
        <item x="606"/>
        <item x="725"/>
        <item x="604"/>
        <item x="507"/>
        <item x="1258"/>
        <item x="143"/>
        <item x="330"/>
        <item x="564"/>
        <item x="1071"/>
        <item x="218"/>
        <item x="1163"/>
        <item x="1535"/>
        <item x="989"/>
        <item x="657"/>
        <item x="1248"/>
        <item x="1227"/>
        <item x="874"/>
        <item x="334"/>
        <item x="1706"/>
        <item x="493"/>
        <item x="1382"/>
        <item x="739"/>
        <item x="1403"/>
        <item x="38"/>
        <item x="236"/>
        <item x="808"/>
        <item x="1800"/>
        <item x="714"/>
        <item x="1439"/>
        <item x="446"/>
        <item x="464"/>
        <item x="1320"/>
        <item x="542"/>
        <item x="1057"/>
        <item x="684"/>
        <item x="721"/>
        <item x="125"/>
        <item x="1146"/>
        <item x="967"/>
        <item x="1243"/>
        <item x="711"/>
        <item x="1385"/>
        <item x="1262"/>
        <item x="935"/>
        <item x="1347"/>
        <item x="1643"/>
        <item x="1067"/>
        <item x="1042"/>
        <item x="628"/>
        <item x="619"/>
        <item x="1497"/>
        <item x="1786"/>
        <item x="803"/>
        <item x="1095"/>
        <item x="1395"/>
        <item x="957"/>
        <item x="505"/>
        <item x="202"/>
        <item x="233"/>
        <item x="1448"/>
        <item x="710"/>
        <item x="982"/>
        <item x="797"/>
        <item x="1354"/>
        <item x="648"/>
        <item x="1293"/>
        <item x="1098"/>
        <item x="1134"/>
        <item x="83"/>
        <item x="122"/>
        <item x="515"/>
        <item x="811"/>
        <item x="1224"/>
        <item x="1555"/>
        <item x="276"/>
        <item x="1156"/>
        <item x="613"/>
        <item x="814"/>
        <item x="1103"/>
        <item x="1564"/>
        <item x="1682"/>
        <item x="383"/>
        <item x="1490"/>
        <item x="1515"/>
        <item x="514"/>
        <item x="248"/>
        <item x="36"/>
        <item x="1547"/>
        <item x="1603"/>
        <item x="708"/>
        <item x="1511"/>
        <item x="908"/>
        <item x="1725"/>
        <item x="1053"/>
        <item x="998"/>
        <item x="1375"/>
        <item x="459"/>
        <item x="527"/>
        <item x="578"/>
        <item x="574"/>
        <item x="848"/>
        <item x="448"/>
        <item x="1485"/>
        <item x="1196"/>
        <item x="1077"/>
        <item x="1140"/>
        <item x="502"/>
        <item x="511"/>
        <item x="449"/>
        <item x="427"/>
        <item x="410"/>
        <item x="806"/>
        <item x="568"/>
        <item x="1414"/>
        <item x="244"/>
        <item x="953"/>
        <item x="933"/>
        <item x="386"/>
        <item x="800"/>
        <item x="707"/>
        <item x="35"/>
        <item x="924"/>
        <item x="1037"/>
        <item x="1188"/>
        <item x="701"/>
        <item x="901"/>
        <item x="108"/>
        <item x="812"/>
        <item x="109"/>
        <item x="600"/>
        <item x="561"/>
        <item x="860"/>
        <item x="520"/>
        <item x="323"/>
        <item x="1006"/>
        <item x="1236"/>
        <item x="1784"/>
        <item x="1141"/>
        <item x="587"/>
        <item x="372"/>
        <item x="590"/>
        <item x="1246"/>
        <item x="1373"/>
        <item x="219"/>
        <item x="1206"/>
        <item x="1738"/>
        <item x="1160"/>
        <item x="771"/>
        <item x="1635"/>
        <item x="1580"/>
        <item x="1386"/>
        <item x="1166"/>
        <item x="570"/>
        <item x="1750"/>
        <item x="84"/>
        <item x="1433"/>
        <item x="1429"/>
        <item x="589"/>
        <item x="166"/>
        <item x="1389"/>
        <item x="1694"/>
        <item x="1001"/>
        <item x="1143"/>
        <item x="512"/>
        <item x="350"/>
        <item x="1677"/>
        <item x="1186"/>
        <item x="57"/>
        <item x="151"/>
        <item x="13"/>
        <item x="550"/>
        <item x="713"/>
        <item x="131"/>
        <item x="1058"/>
        <item x="326"/>
        <item x="1721"/>
        <item x="291"/>
        <item x="1099"/>
        <item x="197"/>
        <item x="385"/>
        <item x="889"/>
        <item x="342"/>
        <item x="239"/>
        <item x="1587"/>
        <item x="677"/>
        <item x="1501"/>
        <item x="618"/>
        <item x="1513"/>
        <item x="969"/>
        <item x="1653"/>
        <item x="1030"/>
        <item x="1614"/>
        <item x="1048"/>
        <item x="727"/>
        <item x="1792"/>
        <item x="1685"/>
        <item x="1117"/>
        <item x="467"/>
        <item x="1284"/>
        <item x="217"/>
        <item x="1123"/>
        <item x="167"/>
        <item x="232"/>
        <item x="736"/>
        <item x="1245"/>
        <item x="1357"/>
        <item x="354"/>
        <item x="731"/>
        <item x="737"/>
        <item x="1498"/>
        <item x="370"/>
        <item x="157"/>
        <item x="706"/>
        <item x="1732"/>
        <item x="1352"/>
        <item x="80"/>
        <item x="223"/>
        <item x="779"/>
        <item x="533"/>
        <item x="504"/>
        <item x="1350"/>
        <item x="1061"/>
        <item x="592"/>
        <item x="616"/>
        <item x="128"/>
        <item x="1266"/>
        <item x="121"/>
        <item x="1640"/>
        <item x="484"/>
        <item x="1355"/>
        <item x="950"/>
        <item x="165"/>
        <item x="285"/>
        <item x="1584"/>
        <item x="831"/>
        <item x="966"/>
        <item x="614"/>
        <item x="996"/>
        <item x="1231"/>
        <item x="388"/>
        <item x="1088"/>
        <item x="1565"/>
        <item x="14"/>
        <item x="1674"/>
        <item x="784"/>
        <item x="314"/>
        <item x="55"/>
        <item x="1779"/>
        <item x="785"/>
        <item x="844"/>
        <item x="229"/>
        <item x="349"/>
        <item x="903"/>
        <item x="898"/>
        <item x="1662"/>
        <item x="463"/>
        <item x="1578"/>
        <item x="510"/>
        <item x="656"/>
        <item x="1528"/>
        <item x="1302"/>
        <item x="768"/>
        <item x="1110"/>
        <item x="1566"/>
        <item x="1780"/>
        <item x="260"/>
        <item x="1114"/>
        <item x="840"/>
        <item x="688"/>
        <item x="937"/>
        <item x="676"/>
        <item x="583"/>
        <item x="1041"/>
        <item x="719"/>
        <item x="986"/>
        <item x="722"/>
        <item x="726"/>
        <item x="87"/>
        <item x="862"/>
        <item x="631"/>
        <item x="107"/>
        <item x="31"/>
        <item x="981"/>
        <item x="1808"/>
        <item x="205"/>
        <item x="1201"/>
        <item x="644"/>
        <item x="1639"/>
        <item x="717"/>
        <item x="1244"/>
        <item x="1533"/>
        <item x="149"/>
        <item x="1536"/>
        <item x="135"/>
        <item x="1045"/>
        <item x="1209"/>
        <item x="596"/>
        <item x="598"/>
        <item x="1137"/>
        <item x="823"/>
        <item x="591"/>
        <item x="2"/>
        <item x="1678"/>
        <item x="1031"/>
        <item x="1271"/>
        <item x="1291"/>
        <item x="356"/>
        <item x="652"/>
        <item x="671"/>
        <item x="455"/>
        <item x="858"/>
        <item x="73"/>
        <item x="1329"/>
        <item x="452"/>
        <item x="1773"/>
        <item x="1681"/>
        <item x="1425"/>
        <item x="297"/>
        <item x="1749"/>
        <item x="1505"/>
        <item x="185"/>
        <item x="850"/>
        <item x="1796"/>
        <item x="1624"/>
        <item x="1696"/>
        <item x="1054"/>
        <item x="1335"/>
        <item x="1574"/>
        <item x="626"/>
        <item x="445"/>
        <item x="636"/>
        <item x="0"/>
        <item x="955"/>
        <item x="1470"/>
        <item x="815"/>
        <item x="697"/>
        <item x="1436"/>
        <item x="1514"/>
        <item x="1275"/>
        <item x="1021"/>
        <item x="1187"/>
        <item x="846"/>
        <item x="1091"/>
        <item x="913"/>
        <item x="791"/>
        <item x="257"/>
        <item x="175"/>
        <item x="282"/>
        <item x="1181"/>
        <item x="1070"/>
        <item x="1506"/>
        <item x="1132"/>
        <item x="440"/>
        <item x="887"/>
        <item x="1229"/>
        <item x="1165"/>
        <item x="347"/>
        <item x="1424"/>
        <item x="20"/>
        <item x="961"/>
        <item x="709"/>
        <item x="1554"/>
        <item x="1489"/>
        <item x="1598"/>
        <item x="1616"/>
        <item x="1623"/>
        <item x="647"/>
        <item x="1521"/>
        <item x="994"/>
        <item x="1759"/>
        <item x="1238"/>
        <item x="94"/>
        <item x="1282"/>
        <item x="1504"/>
        <item x="1481"/>
        <item x="1480"/>
        <item x="1482"/>
        <item x="1083"/>
        <item x="1483"/>
        <item x="581"/>
        <item x="137"/>
        <item x="884"/>
        <item x="1627"/>
        <item x="1538"/>
        <item x="1766"/>
        <item x="1179"/>
        <item x="526"/>
        <item x="1154"/>
        <item x="22"/>
        <item x="663"/>
        <item x="1079"/>
        <item x="949"/>
        <item x="793"/>
        <item x="1458"/>
        <item x="494"/>
        <item x="828"/>
        <item x="622"/>
        <item x="876"/>
        <item x="1666"/>
        <item x="1223"/>
        <item x="1763"/>
        <item x="1585"/>
        <item x="1126"/>
        <item x="1559"/>
        <item x="787"/>
        <item x="988"/>
        <item x="462"/>
        <item x="878"/>
        <item x="301"/>
        <item x="1702"/>
        <item x="1411"/>
        <item x="1116"/>
        <item x="912"/>
        <item x="116"/>
        <item x="1298"/>
        <item x="1446"/>
        <item x="1654"/>
        <item x="101"/>
        <item x="579"/>
        <item x="235"/>
        <item x="1044"/>
        <item x="934"/>
        <item x="1222"/>
        <item x="193"/>
        <item x="1130"/>
        <item x="1712"/>
        <item x="1162"/>
        <item x="734"/>
        <item x="357"/>
        <item x="72"/>
        <item x="307"/>
        <item x="1609"/>
        <item x="430"/>
        <item x="1199"/>
        <item x="1012"/>
        <item x="12"/>
        <item x="907"/>
        <item x="203"/>
        <item x="716"/>
        <item x="1197"/>
        <item x="69"/>
        <item x="702"/>
        <item x="951"/>
        <item x="748"/>
        <item x="1169"/>
        <item x="679"/>
        <item x="1659"/>
        <item x="1577"/>
        <item x="1634"/>
        <item x="196"/>
        <item x="1409"/>
        <item x="472"/>
        <item x="416"/>
        <item x="691"/>
        <item x="1333"/>
        <item x="680"/>
        <item x="453"/>
        <item x="1689"/>
        <item x="1413"/>
        <item x="1719"/>
        <item x="1393"/>
        <item x="1647"/>
        <item x="396"/>
        <item x="50"/>
        <item x="163"/>
        <item x="53"/>
        <item x="407"/>
        <item x="1072"/>
        <item x="130"/>
        <item x="1327"/>
        <item x="1492"/>
        <item x="943"/>
        <item x="1068"/>
        <item x="489"/>
        <item x="1428"/>
        <item x="500"/>
        <item x="17"/>
        <item x="1517"/>
        <item x="1316"/>
        <item x="603"/>
        <item x="695"/>
        <item x="885"/>
        <item x="82"/>
        <item x="1613"/>
        <item x="444"/>
        <item x="15"/>
        <item x="277"/>
        <item x="278"/>
        <item x="1183"/>
        <item x="1003"/>
        <item x="1015"/>
        <item x="258"/>
        <item x="904"/>
        <item x="1597"/>
        <item x="971"/>
        <item x="487"/>
        <item x="1034"/>
        <item x="755"/>
        <item x="1427"/>
        <item x="1571"/>
        <item x="181"/>
        <item x="1431"/>
        <item x="1368"/>
        <item x="403"/>
        <item x="470"/>
        <item x="384"/>
        <item x="1618"/>
        <item x="1593"/>
        <item x="1145"/>
        <item x="637"/>
        <item x="556"/>
        <item x="686"/>
        <item x="1741"/>
        <item x="1771"/>
        <item x="630"/>
        <item x="625"/>
        <item x="1078"/>
        <item x="528"/>
        <item x="1241"/>
        <item x="1675"/>
        <item x="868"/>
        <item x="738"/>
        <item x="545"/>
        <item x="1548"/>
        <item x="287"/>
        <item x="28"/>
        <item x="27"/>
        <item x="915"/>
        <item x="1277"/>
        <item x="1144"/>
        <item x="1212"/>
        <item x="705"/>
        <item x="1657"/>
        <item x="742"/>
        <item x="1423"/>
        <item x="1687"/>
        <item x="230"/>
        <item x="456"/>
        <item x="767"/>
        <item x="1529"/>
        <item x="1595"/>
        <item x="89"/>
        <item x="1292"/>
        <item x="1658"/>
        <item x="298"/>
        <item x="696"/>
        <item x="1450"/>
        <item x="1189"/>
        <item x="703"/>
        <item x="141"/>
        <item x="483"/>
        <item x="1799"/>
        <item x="655"/>
        <item x="1400"/>
        <item x="669"/>
        <item x="1586"/>
        <item x="42"/>
        <item x="694"/>
        <item x="61"/>
        <item x="1118"/>
        <item x="63"/>
        <item x="789"/>
        <item x="595"/>
        <item x="752"/>
        <item x="344"/>
        <item x="290"/>
        <item x="1177"/>
        <item x="839"/>
        <item x="283"/>
        <item x="1510"/>
        <item x="1221"/>
        <item x="16"/>
        <item x="332"/>
        <item x="1404"/>
        <item x="1637"/>
        <item x="308"/>
        <item x="44"/>
        <item x="668"/>
        <item x="172"/>
        <item x="93"/>
        <item x="940"/>
        <item x="198"/>
        <item x="929"/>
        <item x="1108"/>
        <item x="1542"/>
        <item x="1251"/>
        <item x="1372"/>
        <item x="997"/>
        <item x="519"/>
        <item x="280"/>
        <item x="1367"/>
        <item x="1742"/>
        <item x="1775"/>
        <item x="1776"/>
        <item x="959"/>
        <item x="1253"/>
        <item x="980"/>
        <item x="1807"/>
        <item x="1360"/>
        <item x="1203"/>
        <item x="322"/>
        <item x="914"/>
        <item x="112"/>
        <item x="1730"/>
        <item x="608"/>
        <item x="837"/>
        <item x="1693"/>
        <item x="400"/>
        <item x="1340"/>
        <item x="146"/>
        <item x="1530"/>
        <item x="1435"/>
        <item x="255"/>
        <item x="352"/>
        <item x="1552"/>
        <item x="1172"/>
        <item x="975"/>
        <item x="995"/>
        <item x="1256"/>
        <item x="674"/>
        <item x="179"/>
        <item x="559"/>
        <item x="477"/>
        <item x="1684"/>
        <item x="380"/>
        <item x="1764"/>
        <item x="1605"/>
        <item x="821"/>
        <item x="936"/>
        <item x="331"/>
        <item x="1440"/>
        <item x="1190"/>
        <item x="1363"/>
        <item x="1094"/>
        <item x="7"/>
        <item x="1115"/>
        <item x="252"/>
        <item x="1770"/>
        <item x="880"/>
        <item x="788"/>
        <item x="1139"/>
        <item x="1376"/>
        <item x="361"/>
        <item x="580"/>
        <item x="633"/>
        <item x="743"/>
        <item x="43"/>
        <item x="1062"/>
        <item x="309"/>
        <item x="804"/>
        <item x="640"/>
        <item x="180"/>
        <item x="922"/>
        <item x="777"/>
        <item x="1646"/>
        <item x="1484"/>
        <item x="362"/>
        <item x="1142"/>
        <item x="1774"/>
        <item x="1397"/>
        <item x="261"/>
        <item x="859"/>
        <item x="406"/>
        <item x="305"/>
        <item x="29"/>
        <item x="1765"/>
        <item x="60"/>
        <item x="1324"/>
        <item x="240"/>
        <item x="855"/>
        <item x="638"/>
        <item x="363"/>
        <item x="1447"/>
        <item x="225"/>
        <item x="138"/>
        <item x="95"/>
        <item x="476"/>
        <item x="1219"/>
        <item x="1661"/>
        <item x="327"/>
        <item x="1287"/>
        <item x="856"/>
        <item x="1326"/>
        <item x="64"/>
        <item x="1700"/>
        <item x="843"/>
        <item x="1767"/>
        <item x="678"/>
        <item x="404"/>
        <item x="1761"/>
        <item x="1157"/>
        <item x="1525"/>
        <item x="1747"/>
        <item x="1155"/>
        <item x="1561"/>
        <item x="1111"/>
        <item x="1235"/>
        <item x="1405"/>
        <item x="928"/>
        <item x="184"/>
        <item x="340"/>
        <item x="268"/>
        <item x="250"/>
        <item x="1562"/>
        <item x="295"/>
        <item x="1127"/>
        <item x="1532"/>
        <item x="1601"/>
        <item x="1319"/>
        <item x="1007"/>
        <item x="1164"/>
        <item x="1676"/>
        <item x="1228"/>
        <item x="761"/>
        <item x="575"/>
        <item x="153"/>
        <item x="985"/>
        <item x="338"/>
        <item x="1023"/>
        <item x="870"/>
        <item x="1193"/>
        <item x="1438"/>
        <item x="1464"/>
        <item x="584"/>
        <item x="1455"/>
        <item x="1192"/>
        <item x="1036"/>
        <item x="398"/>
        <item x="496"/>
        <item x="156"/>
        <item x="359"/>
        <item x="1056"/>
        <item x="1444"/>
        <item x="1456"/>
        <item x="1131"/>
        <item x="1753"/>
        <item x="428"/>
        <item x="852"/>
        <item x="968"/>
        <item x="1592"/>
        <item x="1"/>
        <item x="1195"/>
        <item x="978"/>
        <item x="1009"/>
        <item x="1401"/>
        <item x="9"/>
        <item x="1699"/>
        <item x="869"/>
        <item x="54"/>
        <item x="1346"/>
        <item x="1069"/>
        <item x="1074"/>
        <item x="1408"/>
        <item x="1239"/>
        <item x="1651"/>
        <item x="1026"/>
        <item x="730"/>
        <item x="1013"/>
        <item x="845"/>
        <item x="227"/>
        <item x="1745"/>
        <item x="392"/>
        <item x="266"/>
        <item x="1760"/>
        <item x="610"/>
        <item x="1726"/>
        <item x="1259"/>
        <item x="1743"/>
        <item x="99"/>
        <item x="1273"/>
        <item x="315"/>
        <item x="346"/>
        <item x="615"/>
        <item x="1576"/>
        <item x="339"/>
        <item x="1082"/>
        <item x="194"/>
        <item x="571"/>
        <item x="976"/>
        <item x="1665"/>
        <item x="162"/>
        <item x="1121"/>
        <item x="1524"/>
        <item x="558"/>
        <item x="6"/>
        <item x="329"/>
        <item x="687"/>
        <item x="159"/>
        <item x="311"/>
        <item x="1717"/>
        <item x="1300"/>
        <item x="433"/>
        <item x="1301"/>
        <item x="1299"/>
        <item x="88"/>
        <item x="178"/>
        <item x="1278"/>
        <item x="1650"/>
        <item x="1459"/>
        <item x="963"/>
        <item x="1280"/>
        <item x="1417"/>
        <item x="1147"/>
        <item x="1711"/>
        <item x="415"/>
        <item x="1715"/>
        <item x="1746"/>
        <item x="1663"/>
        <item x="1570"/>
        <item x="1388"/>
        <item x="534"/>
        <item x="437"/>
        <item x="535"/>
        <item x="324"/>
        <item x="1191"/>
        <item x="294"/>
        <item x="68"/>
        <item x="1218"/>
        <item x="1175"/>
        <item x="1722"/>
        <item x="1380"/>
        <item x="373"/>
        <item x="134"/>
        <item x="336"/>
        <item x="746"/>
        <item x="623"/>
        <item x="1495"/>
        <item x="1358"/>
        <item x="1508"/>
        <item x="1049"/>
        <item x="1093"/>
        <item x="1158"/>
        <item x="11"/>
        <item x="1027"/>
        <item x="758"/>
        <item x="1371"/>
        <item x="1394"/>
        <item x="1642"/>
        <item x="199"/>
        <item x="182"/>
        <item x="204"/>
        <item x="310"/>
        <item x="210"/>
        <item x="650"/>
        <item x="529"/>
        <item x="1261"/>
        <item x="251"/>
        <item x="263"/>
        <item x="441"/>
        <item x="1339"/>
        <item x="1392"/>
        <item x="152"/>
        <item x="1184"/>
        <item x="1008"/>
        <item x="1391"/>
        <item x="1185"/>
        <item x="1176"/>
        <item x="1135"/>
        <item x="1607"/>
        <item x="118"/>
        <item x="1443"/>
        <item x="920"/>
        <item x="1087"/>
        <item x="854"/>
        <item x="1060"/>
        <item x="1621"/>
        <item x="1729"/>
        <item x="104"/>
        <item x="1283"/>
        <item x="1040"/>
        <item x="429"/>
        <item x="208"/>
        <item x="508"/>
        <item x="434"/>
        <item x="834"/>
        <item x="1233"/>
        <item x="962"/>
        <item x="1370"/>
        <item x="750"/>
        <item x="212"/>
        <item x="1762"/>
        <item x="1171"/>
        <item x="822"/>
        <item x="1307"/>
        <item x="621"/>
        <item x="1518"/>
        <item x="931"/>
        <item x="378"/>
        <item x="792"/>
        <item x="432"/>
        <item x="158"/>
        <item x="1804"/>
        <item x="1713"/>
        <item x="1692"/>
        <item x="1728"/>
        <item x="1714"/>
        <item x="71"/>
        <item x="391"/>
        <item x="582"/>
        <item x="1016"/>
        <item x="670"/>
        <item x="1214"/>
        <item x="896"/>
        <item x="1788"/>
        <item x="629"/>
        <item x="1556"/>
        <item x="105"/>
        <item x="168"/>
        <item x="1599"/>
        <item x="1055"/>
        <item x="1230"/>
        <item x="780"/>
        <item x="1463"/>
        <item x="1092"/>
        <item x="48"/>
        <item x="1667"/>
        <item x="1407"/>
        <item x="1652"/>
        <item x="853"/>
        <item x="645"/>
        <item x="866"/>
        <item x="1310"/>
        <item x="956"/>
        <item x="321"/>
        <item x="1688"/>
        <item x="1805"/>
        <item x="851"/>
        <item x="932"/>
        <item x="147"/>
        <item x="1630"/>
        <item x="1534"/>
        <item x="66"/>
        <item x="1486"/>
        <item x="1297"/>
        <item x="1731"/>
        <item x="573"/>
        <item x="1509"/>
        <item x="369"/>
        <item x="1451"/>
        <item x="1757"/>
        <item x="1076"/>
        <item x="941"/>
        <item x="1120"/>
        <item x="207"/>
        <item x="466"/>
        <item x="1641"/>
        <item x="335"/>
        <item x="654"/>
        <item x="1633"/>
        <item x="1457"/>
        <item x="1178"/>
        <item x="1416"/>
        <item x="480"/>
        <item x="1526"/>
        <item x="945"/>
        <item x="431"/>
        <item x="67"/>
        <item x="1499"/>
        <item x="627"/>
        <item x="215"/>
        <item x="1125"/>
        <item x="1032"/>
        <item x="867"/>
        <item x="1308"/>
        <item x="1752"/>
        <item x="562"/>
        <item x="810"/>
        <item x="553"/>
        <item x="991"/>
        <item x="958"/>
        <item x="925"/>
        <item x="946"/>
        <item x="367"/>
        <item x="875"/>
        <item x="1445"/>
        <item x="681"/>
        <item x="382"/>
        <item x="1795"/>
        <item x="1250"/>
        <item x="1768"/>
        <item x="1550"/>
        <item x="4"/>
        <item x="602"/>
        <item x="312"/>
        <item x="397"/>
        <item x="247"/>
        <item x="1005"/>
        <item x="302"/>
        <item x="242"/>
        <item x="796"/>
        <item x="328"/>
        <item x="366"/>
        <item x="1617"/>
        <item x="1569"/>
        <item x="1232"/>
        <item x="1720"/>
        <item x="1649"/>
        <item x="888"/>
        <item x="1625"/>
        <item x="865"/>
        <item x="999"/>
        <item x="1441"/>
        <item x="1378"/>
        <item x="1290"/>
        <item x="1217"/>
        <item x="375"/>
        <item x="91"/>
        <item x="1288"/>
        <item x="1563"/>
        <item x="905"/>
        <item x="148"/>
        <item x="1065"/>
        <item x="238"/>
        <item x="465"/>
        <item x="1806"/>
        <item x="1579"/>
        <item x="144"/>
        <item x="1349"/>
        <item x="1351"/>
        <item x="1496"/>
        <item x="1802"/>
        <item x="1664"/>
        <item x="190"/>
        <item x="970"/>
        <item x="1626"/>
        <item x="774"/>
        <item x="1801"/>
        <item x="469"/>
        <item x="547"/>
        <item x="1648"/>
        <item x="26"/>
        <item x="672"/>
        <item x="665"/>
        <item x="195"/>
        <item x="552"/>
        <item x="1361"/>
        <item x="1591"/>
        <item x="972"/>
        <item x="417"/>
        <item x="641"/>
        <item x="1323"/>
        <item x="481"/>
        <item x="827"/>
        <item x="546"/>
        <item x="1399"/>
        <item x="438"/>
        <item x="132"/>
        <item x="1043"/>
        <item x="1315"/>
        <item x="1342"/>
        <item x="139"/>
        <item x="389"/>
        <item x="1460"/>
        <item x="539"/>
        <item x="174"/>
        <item x="85"/>
        <item x="1421"/>
        <item x="759"/>
        <item x="960"/>
        <item x="1384"/>
        <item x="1348"/>
        <item x="1487"/>
        <item x="1522"/>
        <item x="98"/>
        <item x="942"/>
        <item x="1153"/>
        <item x="939"/>
        <item x="123"/>
        <item x="544"/>
        <item x="1328"/>
        <item x="609"/>
        <item x="1787"/>
        <item x="757"/>
        <item x="209"/>
        <item x="90"/>
        <item x="390"/>
        <item x="893"/>
        <item x="191"/>
        <item x="1551"/>
        <item x="1237"/>
        <item x="1334"/>
        <item x="906"/>
        <item x="1010"/>
        <item x="594"/>
        <item x="1519"/>
        <item x="639"/>
        <item x="1294"/>
        <item x="1462"/>
        <item x="1791"/>
        <item x="216"/>
        <item x="1205"/>
        <item x="286"/>
        <item x="1737"/>
        <item x="1701"/>
        <item x="813"/>
        <item x="86"/>
        <item x="65"/>
        <item x="540"/>
        <item x="1295"/>
        <item x="1612"/>
        <item x="576"/>
        <item x="948"/>
        <item x="1789"/>
        <item x="25"/>
        <item x="1560"/>
        <item x="1790"/>
        <item x="662"/>
        <item x="799"/>
        <item x="819"/>
        <item x="126"/>
        <item x="832"/>
        <item x="32"/>
        <item x="979"/>
        <item x="1075"/>
        <item x="176"/>
        <item x="689"/>
        <item x="177"/>
        <item x="1102"/>
        <item x="673"/>
        <item x="284"/>
        <item x="723"/>
        <item x="1697"/>
        <item x="902"/>
        <item x="420"/>
        <item x="58"/>
        <item x="213"/>
        <item x="555"/>
        <item x="1638"/>
        <item x="1502"/>
        <item x="1198"/>
        <item x="947"/>
        <item x="1234"/>
        <item x="1793"/>
        <item x="782"/>
        <item x="744"/>
        <item x="272"/>
        <item x="303"/>
        <item x="1387"/>
        <item x="1705"/>
        <item x="78"/>
        <item x="585"/>
        <item x="485"/>
        <item x="1724"/>
        <item x="1430"/>
        <item x="353"/>
        <item x="841"/>
        <item x="39"/>
        <item x="1317"/>
        <item x="1050"/>
        <item x="1296"/>
        <item x="993"/>
        <item x="548"/>
        <item x="1541"/>
        <item x="1695"/>
        <item x="154"/>
        <item x="794"/>
        <item x="1150"/>
        <item x="1159"/>
        <item x="864"/>
        <item x="1691"/>
        <item x="1216"/>
        <item x="62"/>
        <item x="264"/>
        <item x="1213"/>
        <item x="620"/>
        <item x="461"/>
        <item x="1002"/>
        <item x="33"/>
        <item x="206"/>
        <item x="824"/>
        <item x="1754"/>
        <item x="1589"/>
        <item x="273"/>
        <item x="1655"/>
        <item x="1709"/>
        <item x="1225"/>
        <item x="8"/>
        <item x="1493"/>
        <item x="560"/>
        <item x="1148"/>
        <item x="1168"/>
        <item x="1606"/>
        <item x="1113"/>
        <item x="1305"/>
        <item x="1306"/>
        <item x="1604"/>
        <item x="685"/>
        <item x="732"/>
        <item x="1018"/>
        <item x="1736"/>
        <item x="1783"/>
        <item x="849"/>
        <item x="770"/>
        <item x="1051"/>
        <item x="1660"/>
        <item x="145"/>
        <item x="1723"/>
        <item x="458"/>
        <item x="952"/>
        <item x="114"/>
        <item x="23"/>
        <item x="509"/>
        <item x="269"/>
        <item x="34"/>
        <item x="1215"/>
        <item x="881"/>
        <item x="733"/>
        <item x="288"/>
        <item x="1254"/>
        <item x="1716"/>
        <item x="1461"/>
        <item x="1671"/>
        <item x="1017"/>
        <item x="1336"/>
        <item x="170"/>
        <item x="1422"/>
        <item x="1337"/>
        <item x="1020"/>
        <item x="917"/>
        <item x="1374"/>
        <item x="1286"/>
        <item x="265"/>
        <item x="720"/>
        <item x="1594"/>
        <item x="136"/>
        <item x="682"/>
        <item x="829"/>
        <item x="818"/>
        <item x="421"/>
        <item x="1656"/>
        <item x="47"/>
        <item x="1466"/>
        <item x="1465"/>
        <item x="1325"/>
        <item x="863"/>
        <item x="228"/>
        <item x="364"/>
        <item x="333"/>
        <item x="214"/>
        <item x="1418"/>
        <item x="1708"/>
        <item x="1279"/>
        <item x="927"/>
        <item x="1366"/>
        <item x="1704"/>
        <item x="525"/>
        <item x="343"/>
        <item x="772"/>
        <item x="1575"/>
        <item x="1025"/>
        <item x="825"/>
        <item x="900"/>
        <item x="1537"/>
        <item x="1544"/>
        <item x="1543"/>
        <item x="275"/>
        <item x="164"/>
        <item x="890"/>
        <item x="1769"/>
        <item x="1727"/>
        <item x="221"/>
        <item x="379"/>
        <item x="1047"/>
        <item x="1309"/>
        <item x="1345"/>
        <item x="857"/>
        <item x="1161"/>
        <item x="664"/>
        <item x="358"/>
        <item x="129"/>
        <item x="454"/>
        <item x="1406"/>
        <item x="270"/>
        <item x="563"/>
        <item x="1112"/>
        <item x="279"/>
        <item x="910"/>
        <item x="795"/>
        <item x="523"/>
        <item x="541"/>
        <item x="886"/>
        <item x="1202"/>
        <item x="1432"/>
        <item x="374"/>
        <item x="1572"/>
        <item x="651"/>
        <item x="718"/>
        <item x="1304"/>
        <item x="1014"/>
        <item x="513"/>
        <item x="1289"/>
        <item x="1454"/>
        <item x="1073"/>
        <item x="842"/>
        <item x="377"/>
        <item x="1553"/>
        <item x="807"/>
        <item x="1608"/>
        <item x="754"/>
        <item x="894"/>
        <item x="1311"/>
        <item x="871"/>
        <item x="1782"/>
        <item x="435"/>
        <item x="769"/>
        <item x="1269"/>
        <item x="704"/>
        <item x="1636"/>
        <item x="319"/>
        <item x="1520"/>
        <item x="1668"/>
        <item x="292"/>
        <item x="1314"/>
        <item x="965"/>
        <item x="1136"/>
        <item x="833"/>
        <item x="355"/>
        <item x="325"/>
        <item x="892"/>
        <item x="1341"/>
        <item x="879"/>
        <item x="52"/>
        <item x="1503"/>
        <item x="1516"/>
        <item x="565"/>
        <item x="577"/>
        <item x="442"/>
        <item x="74"/>
        <item x="1383"/>
        <item x="501"/>
        <item x="296"/>
        <item x="692"/>
        <item x="1772"/>
        <item x="617"/>
        <item x="698"/>
        <item x="457"/>
        <item x="423"/>
        <item x="921"/>
        <item x="414"/>
        <item x="1645"/>
        <item x="776"/>
        <item x="766"/>
        <item x="1472"/>
        <item x="729"/>
        <item x="1744"/>
        <item x="530"/>
        <item x="376"/>
        <item x="537"/>
        <item x="1449"/>
        <item x="1180"/>
        <item x="1452"/>
        <item x="1122"/>
        <item x="117"/>
        <item x="599"/>
        <item x="24"/>
        <item x="1679"/>
        <item x="938"/>
        <item x="412"/>
        <item x="447"/>
        <item x="299"/>
        <item x="1089"/>
        <item x="256"/>
        <item x="1619"/>
        <item x="642"/>
        <item x="1033"/>
        <item x="1257"/>
        <item x="1739"/>
        <item x="973"/>
        <item x="990"/>
        <item x="790"/>
        <item x="826"/>
        <item x="10"/>
        <item x="1558"/>
        <item x="306"/>
        <item x="522"/>
        <item x="150"/>
        <item x="1588"/>
        <item x="926"/>
        <item x="549"/>
        <item x="1252"/>
        <item x="243"/>
        <item x="1410"/>
        <item x="119"/>
        <item x="1596"/>
        <item x="1527"/>
        <item x="234"/>
        <item x="77"/>
        <item x="479"/>
        <item x="1670"/>
        <item x="543"/>
        <item x="1798"/>
        <item x="715"/>
        <item x="597"/>
        <item x="740"/>
        <item x="735"/>
        <item x="1631"/>
        <item x="1174"/>
        <item x="450"/>
        <item x="749"/>
        <item x="1207"/>
        <item x="775"/>
        <item x="1285"/>
        <item x="1220"/>
        <item x="659"/>
        <item x="1170"/>
        <item x="847"/>
        <item x="246"/>
        <item x="1622"/>
        <item x="1038"/>
        <item x="155"/>
        <item x="1420"/>
        <item x="419"/>
        <item x="786"/>
        <item x="653"/>
        <item x="365"/>
        <item x="1004"/>
        <item x="762"/>
        <item x="909"/>
        <item x="478"/>
        <item x="345"/>
        <item x="402"/>
        <item x="401"/>
        <item x="267"/>
        <item x="49"/>
        <item x="1434"/>
        <item x="399"/>
        <item x="171"/>
        <item x="745"/>
        <item x="516"/>
        <item x="113"/>
        <item x="140"/>
        <item x="474"/>
        <item x="1019"/>
        <item x="405"/>
        <item x="473"/>
        <item x="861"/>
        <item x="439"/>
        <item x="51"/>
        <item x="751"/>
        <item x="1313"/>
        <item x="495"/>
        <item x="1124"/>
        <item x="728"/>
        <item x="1260"/>
        <item x="1581"/>
        <item x="1066"/>
        <item x="106"/>
        <item x="588"/>
        <item x="646"/>
        <item x="690"/>
        <item x="817"/>
        <item x="254"/>
        <item x="805"/>
        <item x="1332"/>
        <item x="1265"/>
        <item x="1703"/>
        <item x="747"/>
        <item x="1365"/>
        <item x="1590"/>
        <item x="661"/>
        <item x="1268"/>
        <item x="1583"/>
        <item x="271"/>
        <item x="368"/>
        <item x="1011"/>
        <item x="133"/>
        <item x="911"/>
        <item x="274"/>
        <item x="1698"/>
        <item x="763"/>
        <item x="222"/>
        <item x="675"/>
        <item x="1568"/>
        <item x="59"/>
        <item x="300"/>
        <item x="667"/>
        <item x="1557"/>
        <item x="1629"/>
        <item x="1549"/>
        <item x="974"/>
        <item x="1718"/>
        <item x="142"/>
        <item x="1242"/>
        <item x="1090"/>
        <item x="1545"/>
        <item x="1338"/>
        <item x="1152"/>
        <item x="1803"/>
        <item x="37"/>
        <item x="161"/>
        <item x="351"/>
        <item x="490"/>
        <item x="1247"/>
        <item x="753"/>
        <item x="371"/>
        <item x="634"/>
        <item x="103"/>
        <item x="649"/>
        <item x="1129"/>
        <item x="471"/>
        <item x="211"/>
        <item x="1208"/>
        <item x="1734"/>
        <item x="1377"/>
        <item x="317"/>
        <item x="200"/>
        <item x="919"/>
        <item x="337"/>
        <item x="1628"/>
        <item x="1632"/>
        <item x="1398"/>
        <item x="1100"/>
        <item x="992"/>
        <item x="1672"/>
        <item x="1785"/>
        <item x="169"/>
        <item x="1064"/>
        <item x="836"/>
        <item x="567"/>
        <item x="81"/>
        <item x="1086"/>
        <item x="1733"/>
        <item x="1151"/>
        <item x="883"/>
        <item x="517"/>
        <item x="1264"/>
        <item x="1104"/>
        <item x="1263"/>
        <item x="977"/>
        <item x="532"/>
        <item x="756"/>
        <item x="1620"/>
        <item x="1600"/>
        <item x="1149"/>
        <item x="259"/>
        <item x="1758"/>
        <item x="700"/>
        <item x="1204"/>
        <item x="1369"/>
        <item x="1602"/>
        <item x="226"/>
        <item x="1794"/>
        <item x="1673"/>
        <item x="891"/>
        <item x="632"/>
        <item x="1476"/>
        <item x="658"/>
        <item x="895"/>
        <item x="120"/>
        <item x="70"/>
        <item x="189"/>
        <item x="1477"/>
        <item x="75"/>
        <item x="1474"/>
        <item x="1475"/>
        <item x="188"/>
        <item x="186"/>
        <item x="187"/>
        <item x="1478"/>
        <item x="1473"/>
        <item x="1281"/>
        <item x="1467"/>
        <item x="110"/>
        <item x="778"/>
        <item x="918"/>
        <item x="1396"/>
        <item x="1211"/>
        <item x="1507"/>
        <item x="820"/>
        <item x="760"/>
        <item x="1353"/>
        <item x="436"/>
        <item x="801"/>
        <item x="773"/>
        <item x="1610"/>
        <item x="1106"/>
        <item x="1105"/>
        <item x="873"/>
        <item x="712"/>
        <item x="1101"/>
        <item x="1267"/>
        <item x="877"/>
        <item x="262"/>
        <item x="45"/>
        <item x="1331"/>
        <item x="699"/>
        <item x="586"/>
        <item x="4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Type of Usage" axis="axisPage" dataField="1" showAll="0">
      <items count="5">
        <item x="1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3"/>
    <field x="5"/>
  </rowFields>
  <rowItems count="2339">
    <i>
      <x/>
    </i>
    <i r="1">
      <x v="64"/>
    </i>
    <i r="1">
      <x v="72"/>
    </i>
    <i r="1">
      <x v="75"/>
    </i>
    <i r="1">
      <x v="77"/>
    </i>
    <i r="1">
      <x v="88"/>
    </i>
    <i r="1">
      <x v="100"/>
    </i>
    <i r="1">
      <x v="109"/>
    </i>
    <i r="1">
      <x v="124"/>
    </i>
    <i r="1">
      <x v="129"/>
    </i>
    <i r="1">
      <x v="138"/>
    </i>
    <i r="1">
      <x v="151"/>
    </i>
    <i r="1">
      <x v="156"/>
    </i>
    <i r="1">
      <x v="160"/>
    </i>
    <i r="1">
      <x v="164"/>
    </i>
    <i r="1">
      <x v="196"/>
    </i>
    <i r="1">
      <x v="222"/>
    </i>
    <i r="1">
      <x v="225"/>
    </i>
    <i r="1">
      <x v="228"/>
    </i>
    <i r="1">
      <x v="255"/>
    </i>
    <i r="1">
      <x v="263"/>
    </i>
    <i r="1">
      <x v="269"/>
    </i>
    <i r="1">
      <x v="280"/>
    </i>
    <i r="1">
      <x v="334"/>
    </i>
    <i r="1">
      <x v="343"/>
    </i>
    <i r="1">
      <x v="350"/>
    </i>
    <i r="1">
      <x v="356"/>
    </i>
    <i r="1">
      <x v="360"/>
    </i>
    <i r="1">
      <x v="366"/>
    </i>
    <i r="1">
      <x v="368"/>
    </i>
    <i r="1">
      <x v="374"/>
    </i>
    <i r="1">
      <x v="381"/>
    </i>
    <i r="1">
      <x v="389"/>
    </i>
    <i r="1">
      <x v="423"/>
    </i>
    <i r="1">
      <x v="452"/>
    </i>
    <i r="1">
      <x v="453"/>
    </i>
    <i r="1">
      <x v="466"/>
    </i>
    <i r="1">
      <x v="473"/>
    </i>
    <i r="1">
      <x v="478"/>
    </i>
    <i r="1">
      <x v="498"/>
    </i>
    <i r="1">
      <x v="500"/>
    </i>
    <i r="1">
      <x v="507"/>
    </i>
    <i r="1">
      <x v="508"/>
    </i>
    <i r="1">
      <x v="526"/>
    </i>
    <i r="1">
      <x v="612"/>
    </i>
    <i r="1">
      <x v="619"/>
    </i>
    <i r="1">
      <x v="627"/>
    </i>
    <i r="1">
      <x v="632"/>
    </i>
    <i r="1">
      <x v="647"/>
    </i>
    <i r="1">
      <x v="654"/>
    </i>
    <i r="1">
      <x v="666"/>
    </i>
    <i r="1">
      <x v="700"/>
    </i>
    <i r="1">
      <x v="718"/>
    </i>
    <i r="1">
      <x v="735"/>
    </i>
    <i r="1">
      <x v="736"/>
    </i>
    <i r="1">
      <x v="741"/>
    </i>
    <i r="1">
      <x v="746"/>
    </i>
    <i r="1">
      <x v="792"/>
    </i>
    <i r="1">
      <x v="802"/>
    </i>
    <i r="1">
      <x v="809"/>
    </i>
    <i r="1">
      <x v="829"/>
    </i>
    <i r="1">
      <x v="840"/>
    </i>
    <i r="1">
      <x v="855"/>
    </i>
    <i r="1">
      <x v="881"/>
    </i>
    <i r="1">
      <x v="882"/>
    </i>
    <i r="1">
      <x v="905"/>
    </i>
    <i r="1">
      <x v="909"/>
    </i>
    <i r="1">
      <x v="922"/>
    </i>
    <i r="1">
      <x v="955"/>
    </i>
    <i r="1">
      <x v="956"/>
    </i>
    <i r="1">
      <x v="959"/>
    </i>
    <i r="1">
      <x v="963"/>
    </i>
    <i r="1">
      <x v="980"/>
    </i>
    <i r="1">
      <x v="990"/>
    </i>
    <i r="1">
      <x v="999"/>
    </i>
    <i r="1">
      <x v="1009"/>
    </i>
    <i r="1">
      <x v="1032"/>
    </i>
    <i r="1">
      <x v="1046"/>
    </i>
    <i r="1">
      <x v="1058"/>
    </i>
    <i r="1">
      <x v="1064"/>
    </i>
    <i r="1">
      <x v="1123"/>
    </i>
    <i r="1">
      <x v="1125"/>
    </i>
    <i r="1">
      <x v="1138"/>
    </i>
    <i r="1">
      <x v="1167"/>
    </i>
    <i r="1">
      <x v="1168"/>
    </i>
    <i r="1">
      <x v="1179"/>
    </i>
    <i r="1">
      <x v="1188"/>
    </i>
    <i r="1">
      <x v="1228"/>
    </i>
    <i r="1">
      <x v="1246"/>
    </i>
    <i r="1">
      <x v="1252"/>
    </i>
    <i r="1">
      <x v="1255"/>
    </i>
    <i r="1">
      <x v="1259"/>
    </i>
    <i r="1">
      <x v="1264"/>
    </i>
    <i r="1">
      <x v="1312"/>
    </i>
    <i r="1">
      <x v="1313"/>
    </i>
    <i r="1">
      <x v="1323"/>
    </i>
    <i r="1">
      <x v="1326"/>
    </i>
    <i r="1">
      <x v="1339"/>
    </i>
    <i r="1">
      <x v="1343"/>
    </i>
    <i r="1">
      <x v="1344"/>
    </i>
    <i r="1">
      <x v="1347"/>
    </i>
    <i r="1">
      <x v="1384"/>
    </i>
    <i r="1">
      <x v="1387"/>
    </i>
    <i r="1">
      <x v="1390"/>
    </i>
    <i r="1">
      <x v="1425"/>
    </i>
    <i r="1">
      <x v="1477"/>
    </i>
    <i r="1">
      <x v="1482"/>
    </i>
    <i r="1">
      <x v="1488"/>
    </i>
    <i r="1">
      <x v="1493"/>
    </i>
    <i r="1">
      <x v="1519"/>
    </i>
    <i r="1">
      <x v="1531"/>
    </i>
    <i r="1">
      <x v="1532"/>
    </i>
    <i r="1">
      <x v="1558"/>
    </i>
    <i r="1">
      <x v="1584"/>
    </i>
    <i r="1">
      <x v="1622"/>
    </i>
    <i r="1">
      <x v="1627"/>
    </i>
    <i r="1">
      <x v="1632"/>
    </i>
    <i r="1">
      <x v="1649"/>
    </i>
    <i r="1">
      <x v="1676"/>
    </i>
    <i r="1">
      <x v="1677"/>
    </i>
    <i r="1">
      <x v="1714"/>
    </i>
    <i r="1">
      <x v="1719"/>
    </i>
    <i r="1">
      <x v="1738"/>
    </i>
    <i r="1">
      <x v="1742"/>
    </i>
    <i r="1">
      <x v="1745"/>
    </i>
    <i r="1">
      <x v="1756"/>
    </i>
    <i r="1">
      <x v="1762"/>
    </i>
    <i r="1">
      <x v="1786"/>
    </i>
    <i>
      <x v="1"/>
    </i>
    <i r="1">
      <x v="1"/>
    </i>
    <i r="1">
      <x v="22"/>
    </i>
    <i r="1">
      <x v="24"/>
    </i>
    <i r="1">
      <x v="25"/>
    </i>
    <i r="1">
      <x v="26"/>
    </i>
    <i r="1">
      <x v="28"/>
    </i>
    <i r="1">
      <x v="30"/>
    </i>
    <i r="1">
      <x v="34"/>
    </i>
    <i r="1">
      <x v="35"/>
    </i>
    <i r="1">
      <x v="40"/>
    </i>
    <i r="1">
      <x v="42"/>
    </i>
    <i r="1">
      <x v="58"/>
    </i>
    <i r="1">
      <x v="66"/>
    </i>
    <i r="1">
      <x v="70"/>
    </i>
    <i r="1">
      <x v="77"/>
    </i>
    <i r="1">
      <x v="88"/>
    </i>
    <i r="1">
      <x v="95"/>
    </i>
    <i r="1">
      <x v="106"/>
    </i>
    <i r="1">
      <x v="113"/>
    </i>
    <i r="1">
      <x v="118"/>
    </i>
    <i r="1">
      <x v="123"/>
    </i>
    <i r="1">
      <x v="126"/>
    </i>
    <i r="1">
      <x v="135"/>
    </i>
    <i r="1">
      <x v="138"/>
    </i>
    <i r="1">
      <x v="143"/>
    </i>
    <i r="1">
      <x v="145"/>
    </i>
    <i r="1">
      <x v="148"/>
    </i>
    <i r="1">
      <x v="151"/>
    </i>
    <i r="1">
      <x v="175"/>
    </i>
    <i r="1">
      <x v="183"/>
    </i>
    <i r="1">
      <x v="201"/>
    </i>
    <i r="1">
      <x v="204"/>
    </i>
    <i r="1">
      <x v="206"/>
    </i>
    <i r="1">
      <x v="210"/>
    </i>
    <i r="1">
      <x v="217"/>
    </i>
    <i r="1">
      <x v="221"/>
    </i>
    <i r="1">
      <x v="222"/>
    </i>
    <i r="1">
      <x v="224"/>
    </i>
    <i r="1">
      <x v="230"/>
    </i>
    <i r="1">
      <x v="235"/>
    </i>
    <i r="1">
      <x v="239"/>
    </i>
    <i r="1">
      <x v="242"/>
    </i>
    <i r="1">
      <x v="246"/>
    </i>
    <i r="1">
      <x v="250"/>
    </i>
    <i r="1">
      <x v="252"/>
    </i>
    <i r="1">
      <x v="253"/>
    </i>
    <i r="1">
      <x v="256"/>
    </i>
    <i r="1">
      <x v="259"/>
    </i>
    <i r="1">
      <x v="262"/>
    </i>
    <i r="1">
      <x v="263"/>
    </i>
    <i r="1">
      <x v="269"/>
    </i>
    <i r="1">
      <x v="272"/>
    </i>
    <i r="1">
      <x v="278"/>
    </i>
    <i r="1">
      <x v="283"/>
    </i>
    <i r="1">
      <x v="285"/>
    </i>
    <i r="1">
      <x v="291"/>
    </i>
    <i r="1">
      <x v="292"/>
    </i>
    <i r="1">
      <x v="298"/>
    </i>
    <i r="1">
      <x v="315"/>
    </i>
    <i r="1">
      <x v="316"/>
    </i>
    <i r="1">
      <x v="319"/>
    </i>
    <i r="1">
      <x v="320"/>
    </i>
    <i r="1">
      <x v="325"/>
    </i>
    <i r="1">
      <x v="326"/>
    </i>
    <i r="1">
      <x v="329"/>
    </i>
    <i r="1">
      <x v="331"/>
    </i>
    <i r="1">
      <x v="335"/>
    </i>
    <i r="1">
      <x v="336"/>
    </i>
    <i r="1">
      <x v="339"/>
    </i>
    <i r="1">
      <x v="345"/>
    </i>
    <i r="1">
      <x v="346"/>
    </i>
    <i r="1">
      <x v="352"/>
    </i>
    <i r="1">
      <x v="353"/>
    </i>
    <i r="1">
      <x v="355"/>
    </i>
    <i r="1">
      <x v="358"/>
    </i>
    <i r="1">
      <x v="359"/>
    </i>
    <i r="1">
      <x v="360"/>
    </i>
    <i r="1">
      <x v="361"/>
    </i>
    <i r="1">
      <x v="384"/>
    </i>
    <i r="1">
      <x v="389"/>
    </i>
    <i r="1">
      <x v="390"/>
    </i>
    <i r="1">
      <x v="397"/>
    </i>
    <i r="1">
      <x v="402"/>
    </i>
    <i r="1">
      <x v="414"/>
    </i>
    <i r="1">
      <x v="416"/>
    </i>
    <i r="1">
      <x v="422"/>
    </i>
    <i r="1">
      <x v="423"/>
    </i>
    <i r="1">
      <x v="424"/>
    </i>
    <i r="1">
      <x v="427"/>
    </i>
    <i r="1">
      <x v="435"/>
    </i>
    <i r="1">
      <x v="440"/>
    </i>
    <i r="1">
      <x v="442"/>
    </i>
    <i r="1">
      <x v="444"/>
    </i>
    <i r="1">
      <x v="448"/>
    </i>
    <i r="1">
      <x v="449"/>
    </i>
    <i r="1">
      <x v="453"/>
    </i>
    <i r="1">
      <x v="455"/>
    </i>
    <i r="1">
      <x v="467"/>
    </i>
    <i r="1">
      <x v="472"/>
    </i>
    <i r="1">
      <x v="474"/>
    </i>
    <i r="1">
      <x v="478"/>
    </i>
    <i r="1">
      <x v="482"/>
    </i>
    <i r="1">
      <x v="483"/>
    </i>
    <i r="1">
      <x v="496"/>
    </i>
    <i r="1">
      <x v="497"/>
    </i>
    <i r="1">
      <x v="503"/>
    </i>
    <i r="1">
      <x v="504"/>
    </i>
    <i r="1">
      <x v="509"/>
    </i>
    <i r="1">
      <x v="523"/>
    </i>
    <i r="1">
      <x v="529"/>
    </i>
    <i r="1">
      <x v="546"/>
    </i>
    <i r="1">
      <x v="549"/>
    </i>
    <i r="1">
      <x v="555"/>
    </i>
    <i r="1">
      <x v="563"/>
    </i>
    <i r="1">
      <x v="569"/>
    </i>
    <i r="1">
      <x v="574"/>
    </i>
    <i r="1">
      <x v="587"/>
    </i>
    <i r="1">
      <x v="589"/>
    </i>
    <i r="1">
      <x v="602"/>
    </i>
    <i r="1">
      <x v="605"/>
    </i>
    <i r="1">
      <x v="610"/>
    </i>
    <i r="1">
      <x v="611"/>
    </i>
    <i r="1">
      <x v="616"/>
    </i>
    <i r="1">
      <x v="617"/>
    </i>
    <i r="1">
      <x v="620"/>
    </i>
    <i r="1">
      <x v="625"/>
    </i>
    <i r="1">
      <x v="628"/>
    </i>
    <i r="1">
      <x v="629"/>
    </i>
    <i r="1">
      <x v="633"/>
    </i>
    <i r="1">
      <x v="640"/>
    </i>
    <i r="1">
      <x v="652"/>
    </i>
    <i r="1">
      <x v="655"/>
    </i>
    <i r="1">
      <x v="657"/>
    </i>
    <i r="1">
      <x v="660"/>
    </i>
    <i r="1">
      <x v="663"/>
    </i>
    <i r="1">
      <x v="664"/>
    </i>
    <i r="1">
      <x v="672"/>
    </i>
    <i r="1">
      <x v="685"/>
    </i>
    <i r="1">
      <x v="687"/>
    </i>
    <i r="1">
      <x v="696"/>
    </i>
    <i r="1">
      <x v="702"/>
    </i>
    <i r="1">
      <x v="703"/>
    </i>
    <i r="1">
      <x v="705"/>
    </i>
    <i r="1">
      <x v="707"/>
    </i>
    <i r="1">
      <x v="709"/>
    </i>
    <i r="1">
      <x v="715"/>
    </i>
    <i r="1">
      <x v="716"/>
    </i>
    <i r="1">
      <x v="718"/>
    </i>
    <i r="1">
      <x v="723"/>
    </i>
    <i r="1">
      <x v="725"/>
    </i>
    <i r="1">
      <x v="731"/>
    </i>
    <i r="1">
      <x v="735"/>
    </i>
    <i r="1">
      <x v="736"/>
    </i>
    <i r="1">
      <x v="738"/>
    </i>
    <i r="1">
      <x v="741"/>
    </i>
    <i r="1">
      <x v="742"/>
    </i>
    <i r="1">
      <x v="746"/>
    </i>
    <i r="1">
      <x v="749"/>
    </i>
    <i r="1">
      <x v="754"/>
    </i>
    <i r="1">
      <x v="759"/>
    </i>
    <i r="1">
      <x v="771"/>
    </i>
    <i r="1">
      <x v="772"/>
    </i>
    <i r="1">
      <x v="780"/>
    </i>
    <i r="1">
      <x v="781"/>
    </i>
    <i r="1">
      <x v="784"/>
    </i>
    <i r="1">
      <x v="788"/>
    </i>
    <i r="1">
      <x v="803"/>
    </i>
    <i r="1">
      <x v="809"/>
    </i>
    <i r="1">
      <x v="821"/>
    </i>
    <i r="1">
      <x v="837"/>
    </i>
    <i r="1">
      <x v="840"/>
    </i>
    <i r="1">
      <x v="845"/>
    </i>
    <i r="1">
      <x v="847"/>
    </i>
    <i r="1">
      <x v="848"/>
    </i>
    <i r="1">
      <x v="860"/>
    </i>
    <i r="1">
      <x v="864"/>
    </i>
    <i r="1">
      <x v="866"/>
    </i>
    <i r="1">
      <x v="890"/>
    </i>
    <i r="1">
      <x v="891"/>
    </i>
    <i r="1">
      <x v="896"/>
    </i>
    <i r="1">
      <x v="902"/>
    </i>
    <i r="1">
      <x v="914"/>
    </i>
    <i r="1">
      <x v="917"/>
    </i>
    <i r="1">
      <x v="929"/>
    </i>
    <i r="1">
      <x v="932"/>
    </i>
    <i r="1">
      <x v="933"/>
    </i>
    <i r="1">
      <x v="935"/>
    </i>
    <i r="1">
      <x v="938"/>
    </i>
    <i r="1">
      <x v="940"/>
    </i>
    <i r="1">
      <x v="952"/>
    </i>
    <i r="1">
      <x v="958"/>
    </i>
    <i r="1">
      <x v="961"/>
    </i>
    <i r="1">
      <x v="970"/>
    </i>
    <i r="1">
      <x v="977"/>
    </i>
    <i r="1">
      <x v="979"/>
    </i>
    <i r="1">
      <x v="985"/>
    </i>
    <i r="1">
      <x v="987"/>
    </i>
    <i r="1">
      <x v="998"/>
    </i>
    <i r="1">
      <x v="1001"/>
    </i>
    <i r="1">
      <x v="1015"/>
    </i>
    <i r="1">
      <x v="1023"/>
    </i>
    <i r="1">
      <x v="1024"/>
    </i>
    <i r="1">
      <x v="1030"/>
    </i>
    <i r="1">
      <x v="1032"/>
    </i>
    <i r="1">
      <x v="1033"/>
    </i>
    <i r="1">
      <x v="1036"/>
    </i>
    <i r="1">
      <x v="1038"/>
    </i>
    <i r="1">
      <x v="1053"/>
    </i>
    <i r="1">
      <x v="1059"/>
    </i>
    <i r="1">
      <x v="1061"/>
    </i>
    <i r="1">
      <x v="1068"/>
    </i>
    <i r="1">
      <x v="1071"/>
    </i>
    <i r="1">
      <x v="1073"/>
    </i>
    <i r="1">
      <x v="1075"/>
    </i>
    <i r="1">
      <x v="1076"/>
    </i>
    <i r="1">
      <x v="1084"/>
    </i>
    <i r="1">
      <x v="1099"/>
    </i>
    <i r="1">
      <x v="1121"/>
    </i>
    <i r="1">
      <x v="1139"/>
    </i>
    <i r="1">
      <x v="1147"/>
    </i>
    <i r="1">
      <x v="1158"/>
    </i>
    <i r="1">
      <x v="1164"/>
    </i>
    <i r="1">
      <x v="1175"/>
    </i>
    <i r="1">
      <x v="1186"/>
    </i>
    <i r="1">
      <x v="1196"/>
    </i>
    <i r="1">
      <x v="1203"/>
    </i>
    <i r="1">
      <x v="1204"/>
    </i>
    <i r="1">
      <x v="1218"/>
    </i>
    <i r="1">
      <x v="1248"/>
    </i>
    <i r="1">
      <x v="1270"/>
    </i>
    <i r="1">
      <x v="1274"/>
    </i>
    <i r="1">
      <x v="1278"/>
    </i>
    <i r="1">
      <x v="1280"/>
    </i>
    <i r="1">
      <x v="1286"/>
    </i>
    <i r="1">
      <x v="1289"/>
    </i>
    <i r="1">
      <x v="1290"/>
    </i>
    <i r="1">
      <x v="1291"/>
    </i>
    <i r="1">
      <x v="1300"/>
    </i>
    <i r="1">
      <x v="1304"/>
    </i>
    <i r="1">
      <x v="1315"/>
    </i>
    <i r="1">
      <x v="1318"/>
    </i>
    <i r="1">
      <x v="1322"/>
    </i>
    <i r="1">
      <x v="1325"/>
    </i>
    <i r="1">
      <x v="1328"/>
    </i>
    <i r="1">
      <x v="1329"/>
    </i>
    <i r="1">
      <x v="1333"/>
    </i>
    <i r="1">
      <x v="1340"/>
    </i>
    <i r="1">
      <x v="1345"/>
    </i>
    <i r="1">
      <x v="1354"/>
    </i>
    <i r="1">
      <x v="1355"/>
    </i>
    <i r="1">
      <x v="1359"/>
    </i>
    <i r="1">
      <x v="1361"/>
    </i>
    <i r="1">
      <x v="1371"/>
    </i>
    <i r="1">
      <x v="1375"/>
    </i>
    <i r="1">
      <x v="1376"/>
    </i>
    <i r="1">
      <x v="1379"/>
    </i>
    <i r="1">
      <x v="1385"/>
    </i>
    <i r="1">
      <x v="1412"/>
    </i>
    <i r="1">
      <x v="1427"/>
    </i>
    <i r="1">
      <x v="1437"/>
    </i>
    <i r="1">
      <x v="1438"/>
    </i>
    <i r="1">
      <x v="1439"/>
    </i>
    <i r="1">
      <x v="1441"/>
    </i>
    <i r="1">
      <x v="1443"/>
    </i>
    <i r="1">
      <x v="1446"/>
    </i>
    <i r="1">
      <x v="1455"/>
    </i>
    <i r="1">
      <x v="1456"/>
    </i>
    <i r="1">
      <x v="1466"/>
    </i>
    <i r="1">
      <x v="1470"/>
    </i>
    <i r="1">
      <x v="1476"/>
    </i>
    <i r="1">
      <x v="1477"/>
    </i>
    <i r="1">
      <x v="1485"/>
    </i>
    <i r="1">
      <x v="1486"/>
    </i>
    <i r="1">
      <x v="1493"/>
    </i>
    <i r="1">
      <x v="1494"/>
    </i>
    <i r="1">
      <x v="1498"/>
    </i>
    <i r="1">
      <x v="1500"/>
    </i>
    <i r="1">
      <x v="1501"/>
    </i>
    <i r="1">
      <x v="1504"/>
    </i>
    <i r="1">
      <x v="1505"/>
    </i>
    <i r="1">
      <x v="1507"/>
    </i>
    <i r="1">
      <x v="1511"/>
    </i>
    <i r="1">
      <x v="1514"/>
    </i>
    <i r="1">
      <x v="1515"/>
    </i>
    <i r="1">
      <x v="1525"/>
    </i>
    <i r="1">
      <x v="1527"/>
    </i>
    <i r="1">
      <x v="1529"/>
    </i>
    <i r="1">
      <x v="1532"/>
    </i>
    <i r="1">
      <x v="1533"/>
    </i>
    <i r="1">
      <x v="1534"/>
    </i>
    <i r="1">
      <x v="1535"/>
    </i>
    <i r="1">
      <x v="1552"/>
    </i>
    <i r="1">
      <x v="1554"/>
    </i>
    <i r="1">
      <x v="1555"/>
    </i>
    <i r="1">
      <x v="1556"/>
    </i>
    <i r="1">
      <x v="1557"/>
    </i>
    <i r="1">
      <x v="1559"/>
    </i>
    <i r="1">
      <x v="1567"/>
    </i>
    <i r="1">
      <x v="1574"/>
    </i>
    <i r="1">
      <x v="1575"/>
    </i>
    <i r="1">
      <x v="1577"/>
    </i>
    <i r="1">
      <x v="1579"/>
    </i>
    <i r="1">
      <x v="1580"/>
    </i>
    <i r="1">
      <x v="1582"/>
    </i>
    <i r="1">
      <x v="1584"/>
    </i>
    <i r="1">
      <x v="1590"/>
    </i>
    <i r="1">
      <x v="1591"/>
    </i>
    <i r="1">
      <x v="1596"/>
    </i>
    <i r="1">
      <x v="1598"/>
    </i>
    <i r="1">
      <x v="1600"/>
    </i>
    <i r="1">
      <x v="1601"/>
    </i>
    <i r="1">
      <x v="1612"/>
    </i>
    <i r="1">
      <x v="1614"/>
    </i>
    <i r="1">
      <x v="1618"/>
    </i>
    <i r="1">
      <x v="1619"/>
    </i>
    <i r="1">
      <x v="1620"/>
    </i>
    <i r="1">
      <x v="1634"/>
    </i>
    <i r="1">
      <x v="1637"/>
    </i>
    <i r="1">
      <x v="1638"/>
    </i>
    <i r="1">
      <x v="1647"/>
    </i>
    <i r="1">
      <x v="1648"/>
    </i>
    <i r="1">
      <x v="1659"/>
    </i>
    <i r="1">
      <x v="1675"/>
    </i>
    <i r="1">
      <x v="1687"/>
    </i>
    <i r="1">
      <x v="1688"/>
    </i>
    <i r="1">
      <x v="1690"/>
    </i>
    <i r="1">
      <x v="1692"/>
    </i>
    <i r="1">
      <x v="1696"/>
    </i>
    <i r="1">
      <x v="1706"/>
    </i>
    <i r="1">
      <x v="1711"/>
    </i>
    <i r="1">
      <x v="1714"/>
    </i>
    <i r="1">
      <x v="1721"/>
    </i>
    <i r="1">
      <x v="1726"/>
    </i>
    <i r="1">
      <x v="1736"/>
    </i>
    <i r="1">
      <x v="1743"/>
    </i>
    <i r="1">
      <x v="1745"/>
    </i>
    <i r="1">
      <x v="1746"/>
    </i>
    <i r="1">
      <x v="1750"/>
    </i>
    <i r="1">
      <x v="1761"/>
    </i>
    <i r="1">
      <x v="1764"/>
    </i>
    <i r="1">
      <x v="1765"/>
    </i>
    <i r="1">
      <x v="1789"/>
    </i>
    <i r="1">
      <x v="1794"/>
    </i>
    <i r="1">
      <x v="1799"/>
    </i>
    <i r="1">
      <x v="1802"/>
    </i>
    <i r="1">
      <x v="1803"/>
    </i>
    <i r="1">
      <x v="1804"/>
    </i>
    <i r="1">
      <x v="1806"/>
    </i>
    <i r="1">
      <x v="1807"/>
    </i>
    <i>
      <x v="2"/>
    </i>
    <i r="1">
      <x v="220"/>
    </i>
    <i r="1">
      <x v="258"/>
    </i>
    <i r="1">
      <x v="400"/>
    </i>
    <i r="1">
      <x v="726"/>
    </i>
    <i r="1">
      <x v="1292"/>
    </i>
    <i r="1">
      <x v="1382"/>
    </i>
    <i r="1">
      <x v="1528"/>
    </i>
    <i>
      <x v="3"/>
    </i>
    <i r="1">
      <x v="4"/>
    </i>
    <i r="1">
      <x v="16"/>
    </i>
    <i r="1">
      <x v="23"/>
    </i>
    <i r="1">
      <x v="42"/>
    </i>
    <i r="1">
      <x v="46"/>
    </i>
    <i r="1">
      <x v="51"/>
    </i>
    <i r="1">
      <x v="54"/>
    </i>
    <i r="1">
      <x v="76"/>
    </i>
    <i r="1">
      <x v="83"/>
    </i>
    <i r="1">
      <x v="91"/>
    </i>
    <i r="1">
      <x v="98"/>
    </i>
    <i r="1">
      <x v="101"/>
    </i>
    <i r="1">
      <x v="107"/>
    </i>
    <i r="1">
      <x v="122"/>
    </i>
    <i r="1">
      <x v="124"/>
    </i>
    <i r="1">
      <x v="141"/>
    </i>
    <i r="1">
      <x v="151"/>
    </i>
    <i r="1">
      <x v="197"/>
    </i>
    <i r="1">
      <x v="200"/>
    </i>
    <i r="1">
      <x v="206"/>
    </i>
    <i r="1">
      <x v="231"/>
    </i>
    <i r="1">
      <x v="237"/>
    </i>
    <i r="1">
      <x v="255"/>
    </i>
    <i r="1">
      <x v="264"/>
    </i>
    <i r="1">
      <x v="286"/>
    </i>
    <i r="1">
      <x v="306"/>
    </i>
    <i r="1">
      <x v="332"/>
    </i>
    <i r="1">
      <x v="335"/>
    </i>
    <i r="1">
      <x v="364"/>
    </i>
    <i r="1">
      <x v="379"/>
    </i>
    <i r="1">
      <x v="380"/>
    </i>
    <i r="1">
      <x v="386"/>
    </i>
    <i r="1">
      <x v="394"/>
    </i>
    <i r="1">
      <x v="423"/>
    </i>
    <i r="1">
      <x v="436"/>
    </i>
    <i r="1">
      <x v="440"/>
    </i>
    <i r="1">
      <x v="457"/>
    </i>
    <i r="1">
      <x v="458"/>
    </i>
    <i r="1">
      <x v="459"/>
    </i>
    <i r="1">
      <x v="485"/>
    </i>
    <i r="1">
      <x v="494"/>
    </i>
    <i r="1">
      <x v="495"/>
    </i>
    <i r="1">
      <x v="502"/>
    </i>
    <i r="1">
      <x v="526"/>
    </i>
    <i r="1">
      <x v="532"/>
    </i>
    <i r="1">
      <x v="548"/>
    </i>
    <i r="1">
      <x v="567"/>
    </i>
    <i r="1">
      <x v="612"/>
    </i>
    <i r="1">
      <x v="615"/>
    </i>
    <i r="1">
      <x v="662"/>
    </i>
    <i r="1">
      <x v="694"/>
    </i>
    <i r="1">
      <x v="697"/>
    </i>
    <i r="1">
      <x v="716"/>
    </i>
    <i r="1">
      <x v="735"/>
    </i>
    <i r="1">
      <x v="736"/>
    </i>
    <i r="1">
      <x v="740"/>
    </i>
    <i r="1">
      <x v="748"/>
    </i>
    <i r="1">
      <x v="778"/>
    </i>
    <i r="1">
      <x v="783"/>
    </i>
    <i r="1">
      <x v="785"/>
    </i>
    <i r="1">
      <x v="808"/>
    </i>
    <i r="1">
      <x v="812"/>
    </i>
    <i r="1">
      <x v="845"/>
    </i>
    <i r="1">
      <x v="855"/>
    </i>
    <i r="1">
      <x v="962"/>
    </i>
    <i r="1">
      <x v="965"/>
    </i>
    <i r="1">
      <x v="975"/>
    </i>
    <i r="1">
      <x v="978"/>
    </i>
    <i r="1">
      <x v="993"/>
    </i>
    <i r="1">
      <x v="1031"/>
    </i>
    <i r="1">
      <x v="1032"/>
    </i>
    <i r="1">
      <x v="1043"/>
    </i>
    <i r="1">
      <x v="1103"/>
    </i>
    <i r="1">
      <x v="1126"/>
    </i>
    <i r="1">
      <x v="1131"/>
    </i>
    <i r="1">
      <x v="1135"/>
    </i>
    <i r="1">
      <x v="1181"/>
    </i>
    <i r="1">
      <x v="1210"/>
    </i>
    <i r="1">
      <x v="1217"/>
    </i>
    <i r="1">
      <x v="1345"/>
    </i>
    <i r="1">
      <x v="1372"/>
    </i>
    <i r="1">
      <x v="1395"/>
    </i>
    <i r="1">
      <x v="1396"/>
    </i>
    <i r="1">
      <x v="1413"/>
    </i>
    <i r="1">
      <x v="1447"/>
    </i>
    <i r="1">
      <x v="1448"/>
    </i>
    <i r="1">
      <x v="1477"/>
    </i>
    <i r="1">
      <x v="1490"/>
    </i>
    <i r="1">
      <x v="1493"/>
    </i>
    <i r="1">
      <x v="1509"/>
    </i>
    <i r="1">
      <x v="1519"/>
    </i>
    <i r="1">
      <x v="1545"/>
    </i>
    <i r="1">
      <x v="1559"/>
    </i>
    <i r="1">
      <x v="1584"/>
    </i>
    <i r="1">
      <x v="1629"/>
    </i>
    <i r="1">
      <x v="1685"/>
    </i>
    <i r="1">
      <x v="1696"/>
    </i>
    <i r="1">
      <x v="1697"/>
    </i>
    <i r="1">
      <x v="1712"/>
    </i>
    <i r="1">
      <x v="1723"/>
    </i>
    <i r="1">
      <x v="1764"/>
    </i>
    <i>
      <x v="4"/>
    </i>
    <i r="1">
      <x v="10"/>
    </i>
    <i r="1">
      <x v="98"/>
    </i>
    <i r="1">
      <x v="208"/>
    </i>
    <i r="1">
      <x v="264"/>
    </i>
    <i r="1">
      <x v="277"/>
    </i>
    <i r="1">
      <x v="322"/>
    </i>
    <i r="1">
      <x v="342"/>
    </i>
    <i r="1">
      <x v="393"/>
    </i>
    <i r="1">
      <x v="405"/>
    </i>
    <i r="1">
      <x v="579"/>
    </i>
    <i r="1">
      <x v="590"/>
    </i>
    <i r="1">
      <x v="621"/>
    </i>
    <i r="1">
      <x v="656"/>
    </i>
    <i r="1">
      <x v="658"/>
    </i>
    <i r="1">
      <x v="662"/>
    </i>
    <i r="1">
      <x v="784"/>
    </i>
    <i r="1">
      <x v="801"/>
    </i>
    <i r="1">
      <x v="821"/>
    </i>
    <i r="1">
      <x v="822"/>
    </i>
    <i r="1">
      <x v="908"/>
    </i>
    <i r="1">
      <x v="919"/>
    </i>
    <i r="1">
      <x v="1107"/>
    </i>
    <i r="1">
      <x v="1191"/>
    </i>
    <i r="1">
      <x v="1314"/>
    </i>
    <i r="1">
      <x v="1320"/>
    </i>
    <i r="1">
      <x v="1321"/>
    </i>
    <i r="1">
      <x v="1463"/>
    </i>
    <i r="1">
      <x v="1489"/>
    </i>
    <i r="1">
      <x v="1497"/>
    </i>
    <i r="1">
      <x v="1514"/>
    </i>
    <i r="1">
      <x v="1670"/>
    </i>
    <i r="1">
      <x v="1805"/>
    </i>
    <i>
      <x v="5"/>
    </i>
    <i r="1">
      <x v="138"/>
    </i>
    <i r="1">
      <x v="231"/>
    </i>
    <i r="1">
      <x v="279"/>
    </i>
    <i r="1">
      <x v="306"/>
    </i>
    <i r="1">
      <x v="335"/>
    </i>
    <i r="1">
      <x v="549"/>
    </i>
    <i r="1">
      <x v="668"/>
    </i>
    <i r="1">
      <x v="805"/>
    </i>
    <i r="1">
      <x v="1164"/>
    </i>
    <i r="1">
      <x v="1381"/>
    </i>
    <i r="1">
      <x v="1791"/>
    </i>
    <i>
      <x v="6"/>
    </i>
    <i r="1">
      <x v="55"/>
    </i>
    <i r="1">
      <x v="66"/>
    </i>
    <i r="1">
      <x v="89"/>
    </i>
    <i r="1">
      <x v="116"/>
    </i>
    <i r="1">
      <x v="123"/>
    </i>
    <i r="1">
      <x v="164"/>
    </i>
    <i r="1">
      <x v="165"/>
    </i>
    <i r="1">
      <x v="189"/>
    </i>
    <i r="1">
      <x v="212"/>
    </i>
    <i r="1">
      <x v="230"/>
    </i>
    <i r="1">
      <x v="248"/>
    </i>
    <i r="1">
      <x v="364"/>
    </i>
    <i r="1">
      <x v="420"/>
    </i>
    <i r="1">
      <x v="423"/>
    </i>
    <i r="1">
      <x v="541"/>
    </i>
    <i r="1">
      <x v="612"/>
    </i>
    <i r="1">
      <x v="627"/>
    </i>
    <i r="1">
      <x v="671"/>
    </i>
    <i r="1">
      <x v="716"/>
    </i>
    <i r="1">
      <x v="792"/>
    </i>
    <i r="1">
      <x v="868"/>
    </i>
    <i r="1">
      <x v="958"/>
    </i>
    <i r="1">
      <x v="989"/>
    </i>
    <i r="1">
      <x v="1080"/>
    </i>
    <i r="1">
      <x v="1119"/>
    </i>
    <i r="1">
      <x v="1164"/>
    </i>
    <i r="1">
      <x v="1181"/>
    </i>
    <i r="1">
      <x v="1227"/>
    </i>
    <i r="1">
      <x v="1264"/>
    </i>
    <i r="1">
      <x v="1288"/>
    </i>
    <i r="1">
      <x v="1295"/>
    </i>
    <i r="1">
      <x v="1362"/>
    </i>
    <i r="1">
      <x v="1413"/>
    </i>
    <i r="1">
      <x v="1456"/>
    </i>
    <i r="1">
      <x v="1655"/>
    </i>
    <i r="1">
      <x v="1740"/>
    </i>
    <i r="1">
      <x v="1751"/>
    </i>
    <i>
      <x v="7"/>
    </i>
    <i r="1">
      <x v="2"/>
    </i>
    <i r="1">
      <x v="5"/>
    </i>
    <i r="1">
      <x v="6"/>
    </i>
    <i r="1">
      <x v="9"/>
    </i>
    <i r="1">
      <x v="14"/>
    </i>
    <i r="1">
      <x v="18"/>
    </i>
    <i r="1">
      <x v="52"/>
    </i>
    <i r="1">
      <x v="53"/>
    </i>
    <i r="1">
      <x v="56"/>
    </i>
    <i r="1">
      <x v="61"/>
    </i>
    <i r="1">
      <x v="62"/>
    </i>
    <i r="1">
      <x v="79"/>
    </i>
    <i r="1">
      <x v="97"/>
    </i>
    <i r="1">
      <x v="103"/>
    </i>
    <i r="1">
      <x v="110"/>
    </i>
    <i r="1">
      <x v="117"/>
    </i>
    <i r="1">
      <x v="173"/>
    </i>
    <i r="1">
      <x v="180"/>
    </i>
    <i r="1">
      <x v="181"/>
    </i>
    <i r="1">
      <x v="186"/>
    </i>
    <i r="1">
      <x v="187"/>
    </i>
    <i r="1">
      <x v="188"/>
    </i>
    <i r="1">
      <x v="195"/>
    </i>
    <i r="1">
      <x v="207"/>
    </i>
    <i r="1">
      <x v="215"/>
    </i>
    <i r="1">
      <x v="229"/>
    </i>
    <i r="1">
      <x v="232"/>
    </i>
    <i r="1">
      <x v="233"/>
    </i>
    <i r="1">
      <x v="243"/>
    </i>
    <i r="1">
      <x v="249"/>
    </i>
    <i r="1">
      <x v="267"/>
    </i>
    <i r="1">
      <x v="270"/>
    </i>
    <i r="1">
      <x v="271"/>
    </i>
    <i r="1">
      <x v="303"/>
    </i>
    <i r="1">
      <x v="304"/>
    </i>
    <i r="1">
      <x v="308"/>
    </i>
    <i r="1">
      <x v="323"/>
    </i>
    <i r="1">
      <x v="325"/>
    </i>
    <i r="1">
      <x v="376"/>
    </i>
    <i r="1">
      <x v="377"/>
    </i>
    <i r="1">
      <x v="378"/>
    </i>
    <i r="1">
      <x v="387"/>
    </i>
    <i r="1">
      <x v="406"/>
    </i>
    <i r="1">
      <x v="407"/>
    </i>
    <i r="1">
      <x v="409"/>
    </i>
    <i r="1">
      <x v="426"/>
    </i>
    <i r="1">
      <x v="430"/>
    </i>
    <i r="1">
      <x v="450"/>
    </i>
    <i r="1">
      <x v="480"/>
    </i>
    <i r="1">
      <x v="481"/>
    </i>
    <i r="1">
      <x v="491"/>
    </i>
    <i r="1">
      <x v="503"/>
    </i>
    <i r="1">
      <x v="511"/>
    </i>
    <i r="1">
      <x v="513"/>
    </i>
    <i r="1">
      <x v="537"/>
    </i>
    <i r="1">
      <x v="538"/>
    </i>
    <i r="1">
      <x v="540"/>
    </i>
    <i r="1">
      <x v="553"/>
    </i>
    <i r="1">
      <x v="554"/>
    </i>
    <i r="1">
      <x v="557"/>
    </i>
    <i r="1">
      <x v="558"/>
    </i>
    <i r="1">
      <x v="570"/>
    </i>
    <i r="1">
      <x v="571"/>
    </i>
    <i r="1">
      <x v="573"/>
    </i>
    <i r="1">
      <x v="578"/>
    </i>
    <i r="1">
      <x v="583"/>
    </i>
    <i r="1">
      <x v="588"/>
    </i>
    <i r="1">
      <x v="594"/>
    </i>
    <i r="1">
      <x v="595"/>
    </i>
    <i r="1">
      <x v="596"/>
    </i>
    <i r="1">
      <x v="597"/>
    </i>
    <i r="1">
      <x v="599"/>
    </i>
    <i r="1">
      <x v="606"/>
    </i>
    <i r="1">
      <x v="614"/>
    </i>
    <i r="1">
      <x v="635"/>
    </i>
    <i r="1">
      <x v="687"/>
    </i>
    <i r="1">
      <x v="688"/>
    </i>
    <i r="1">
      <x v="690"/>
    </i>
    <i r="1">
      <x v="691"/>
    </i>
    <i r="1">
      <x v="693"/>
    </i>
    <i r="1">
      <x v="694"/>
    </i>
    <i r="1">
      <x v="695"/>
    </i>
    <i r="1">
      <x v="698"/>
    </i>
    <i r="1">
      <x v="699"/>
    </i>
    <i r="1">
      <x v="719"/>
    </i>
    <i r="1">
      <x v="722"/>
    </i>
    <i r="1">
      <x v="752"/>
    </i>
    <i r="1">
      <x v="755"/>
    </i>
    <i r="1">
      <x v="760"/>
    </i>
    <i r="1">
      <x v="767"/>
    </i>
    <i r="1">
      <x v="768"/>
    </i>
    <i r="1">
      <x v="787"/>
    </i>
    <i r="1">
      <x v="797"/>
    </i>
    <i r="1">
      <x v="819"/>
    </i>
    <i r="1">
      <x v="831"/>
    </i>
    <i r="1">
      <x v="832"/>
    </i>
    <i r="1">
      <x v="834"/>
    </i>
    <i r="1">
      <x v="836"/>
    </i>
    <i r="1">
      <x v="846"/>
    </i>
    <i r="1">
      <x v="852"/>
    </i>
    <i r="1">
      <x v="876"/>
    </i>
    <i r="1">
      <x v="877"/>
    </i>
    <i r="1">
      <x v="907"/>
    </i>
    <i r="1">
      <x v="912"/>
    </i>
    <i r="1">
      <x v="927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53"/>
    </i>
    <i r="1">
      <x v="954"/>
    </i>
    <i r="1">
      <x v="967"/>
    </i>
    <i r="1">
      <x v="971"/>
    </i>
    <i r="1">
      <x v="972"/>
    </i>
    <i r="1">
      <x v="976"/>
    </i>
    <i r="1">
      <x v="1011"/>
    </i>
    <i r="1">
      <x v="1013"/>
    </i>
    <i r="1">
      <x v="1014"/>
    </i>
    <i r="1">
      <x v="1018"/>
    </i>
    <i r="1">
      <x v="1019"/>
    </i>
    <i r="1">
      <x v="1025"/>
    </i>
    <i r="1">
      <x v="1035"/>
    </i>
    <i r="1">
      <x v="1039"/>
    </i>
    <i r="1">
      <x v="1043"/>
    </i>
    <i r="1">
      <x v="1047"/>
    </i>
    <i r="1">
      <x v="1048"/>
    </i>
    <i r="1">
      <x v="1049"/>
    </i>
    <i r="1">
      <x v="1077"/>
    </i>
    <i r="1">
      <x v="1085"/>
    </i>
    <i r="1">
      <x v="1090"/>
    </i>
    <i r="1">
      <x v="1104"/>
    </i>
    <i r="1">
      <x v="1105"/>
    </i>
    <i r="1">
      <x v="1106"/>
    </i>
    <i r="1">
      <x v="1109"/>
    </i>
    <i r="1">
      <x v="1133"/>
    </i>
    <i r="1">
      <x v="1142"/>
    </i>
    <i r="1">
      <x v="1143"/>
    </i>
    <i r="1">
      <x v="1151"/>
    </i>
    <i r="1">
      <x v="1153"/>
    </i>
    <i r="1">
      <x v="1154"/>
    </i>
    <i r="1">
      <x v="1157"/>
    </i>
    <i r="1">
      <x v="1158"/>
    </i>
    <i r="1">
      <x v="1159"/>
    </i>
    <i r="1">
      <x v="1160"/>
    </i>
    <i r="1">
      <x v="1161"/>
    </i>
    <i r="1">
      <x v="1166"/>
    </i>
    <i r="1">
      <x v="1170"/>
    </i>
    <i r="1">
      <x v="1171"/>
    </i>
    <i r="1">
      <x v="1178"/>
    </i>
    <i r="1">
      <x v="1183"/>
    </i>
    <i r="1">
      <x v="1184"/>
    </i>
    <i r="1">
      <x v="1199"/>
    </i>
    <i r="1">
      <x v="1200"/>
    </i>
    <i r="1">
      <x v="1232"/>
    </i>
    <i r="1">
      <x v="1240"/>
    </i>
    <i r="1">
      <x v="1256"/>
    </i>
    <i r="1">
      <x v="1260"/>
    </i>
    <i r="1">
      <x v="1263"/>
    </i>
    <i r="1">
      <x v="1269"/>
    </i>
    <i r="1">
      <x v="1273"/>
    </i>
    <i r="1">
      <x v="1277"/>
    </i>
    <i r="1">
      <x v="1282"/>
    </i>
    <i r="1">
      <x v="1305"/>
    </i>
    <i r="1">
      <x v="1308"/>
    </i>
    <i r="1">
      <x v="1309"/>
    </i>
    <i r="1">
      <x v="1319"/>
    </i>
    <i r="1">
      <x v="1349"/>
    </i>
    <i r="1">
      <x v="1364"/>
    </i>
    <i r="1">
      <x v="1368"/>
    </i>
    <i r="1">
      <x v="1370"/>
    </i>
    <i r="1">
      <x v="1383"/>
    </i>
    <i r="1">
      <x v="1394"/>
    </i>
    <i r="1">
      <x v="1398"/>
    </i>
    <i r="1">
      <x v="1404"/>
    </i>
    <i r="1">
      <x v="1405"/>
    </i>
    <i r="1">
      <x v="1418"/>
    </i>
    <i r="1">
      <x v="1431"/>
    </i>
    <i r="1">
      <x v="1436"/>
    </i>
    <i r="1">
      <x v="1452"/>
    </i>
    <i r="1">
      <x v="1453"/>
    </i>
    <i r="1">
      <x v="1473"/>
    </i>
    <i r="1">
      <x v="1483"/>
    </i>
    <i r="1">
      <x v="1484"/>
    </i>
    <i r="1">
      <x v="1503"/>
    </i>
    <i r="1">
      <x v="1508"/>
    </i>
    <i r="1">
      <x v="1512"/>
    </i>
    <i r="1">
      <x v="1513"/>
    </i>
    <i r="1">
      <x v="1521"/>
    </i>
    <i r="1">
      <x v="1530"/>
    </i>
    <i r="1">
      <x v="1533"/>
    </i>
    <i r="1">
      <x v="1543"/>
    </i>
    <i r="1">
      <x v="1544"/>
    </i>
    <i r="1">
      <x v="1555"/>
    </i>
    <i r="1">
      <x v="1563"/>
    </i>
    <i r="1">
      <x v="1569"/>
    </i>
    <i r="1">
      <x v="1570"/>
    </i>
    <i r="1">
      <x v="1571"/>
    </i>
    <i r="1">
      <x v="1581"/>
    </i>
    <i r="1">
      <x v="1598"/>
    </i>
    <i r="1">
      <x v="1617"/>
    </i>
    <i r="1">
      <x v="1631"/>
    </i>
    <i r="1">
      <x v="1645"/>
    </i>
    <i r="1">
      <x v="1656"/>
    </i>
    <i r="1">
      <x v="1660"/>
    </i>
    <i r="1">
      <x v="1664"/>
    </i>
    <i r="1">
      <x v="1677"/>
    </i>
    <i r="1">
      <x v="1720"/>
    </i>
    <i r="1">
      <x v="1735"/>
    </i>
    <i r="1">
      <x v="1749"/>
    </i>
    <i r="1">
      <x v="1766"/>
    </i>
    <i r="1">
      <x v="1772"/>
    </i>
    <i r="1">
      <x v="1773"/>
    </i>
    <i r="1">
      <x v="1774"/>
    </i>
    <i r="1">
      <x v="1775"/>
    </i>
    <i r="1">
      <x v="1779"/>
    </i>
    <i r="1">
      <x v="1780"/>
    </i>
    <i r="1">
      <x v="1782"/>
    </i>
    <i r="1">
      <x v="1788"/>
    </i>
    <i>
      <x v="8"/>
    </i>
    <i r="1">
      <x v="37"/>
    </i>
    <i r="1">
      <x v="96"/>
    </i>
    <i r="1">
      <x v="121"/>
    </i>
    <i r="1">
      <x v="172"/>
    </i>
    <i r="1">
      <x v="176"/>
    </i>
    <i r="1">
      <x v="223"/>
    </i>
    <i r="1">
      <x v="241"/>
    </i>
    <i r="1">
      <x v="257"/>
    </i>
    <i r="1">
      <x v="260"/>
    </i>
    <i r="1">
      <x v="261"/>
    </i>
    <i r="1">
      <x v="269"/>
    </i>
    <i r="1">
      <x v="283"/>
    </i>
    <i r="1">
      <x v="318"/>
    </i>
    <i r="1">
      <x v="371"/>
    </i>
    <i r="1">
      <x v="461"/>
    </i>
    <i r="1">
      <x v="477"/>
    </i>
    <i r="1">
      <x v="491"/>
    </i>
    <i r="1">
      <x v="493"/>
    </i>
    <i r="1">
      <x v="518"/>
    </i>
    <i r="1">
      <x v="560"/>
    </i>
    <i r="1">
      <x v="564"/>
    </i>
    <i r="1">
      <x v="565"/>
    </i>
    <i r="1">
      <x v="604"/>
    </i>
    <i r="1">
      <x v="646"/>
    </i>
    <i r="1">
      <x v="704"/>
    </i>
    <i r="1">
      <x v="742"/>
    </i>
    <i r="1">
      <x v="751"/>
    </i>
    <i r="1">
      <x v="790"/>
    </i>
    <i r="1">
      <x v="871"/>
    </i>
    <i r="1">
      <x v="880"/>
    </i>
    <i r="1">
      <x v="901"/>
    </i>
    <i r="1">
      <x v="1120"/>
    </i>
    <i r="1">
      <x v="1189"/>
    </i>
    <i r="1">
      <x v="1221"/>
    </i>
    <i r="1">
      <x v="1281"/>
    </i>
    <i r="1">
      <x v="1306"/>
    </i>
    <i r="1">
      <x v="1438"/>
    </i>
    <i r="1">
      <x v="1462"/>
    </i>
    <i r="1">
      <x v="1541"/>
    </i>
    <i r="1">
      <x v="1551"/>
    </i>
    <i r="1">
      <x v="1559"/>
    </i>
    <i r="1">
      <x v="1633"/>
    </i>
    <i r="1">
      <x v="1646"/>
    </i>
    <i r="1">
      <x v="1707"/>
    </i>
    <i r="1">
      <x v="1724"/>
    </i>
    <i r="1">
      <x v="1731"/>
    </i>
    <i r="1">
      <x v="1744"/>
    </i>
    <i r="1">
      <x v="1763"/>
    </i>
    <i>
      <x v="9"/>
    </i>
    <i r="1">
      <x v="42"/>
    </i>
    <i r="1">
      <x v="50"/>
    </i>
    <i r="1">
      <x v="55"/>
    </i>
    <i r="1">
      <x v="73"/>
    </i>
    <i r="1">
      <x v="84"/>
    </i>
    <i r="1">
      <x v="198"/>
    </i>
    <i r="1">
      <x v="241"/>
    </i>
    <i r="1">
      <x v="254"/>
    </i>
    <i r="1">
      <x v="268"/>
    </i>
    <i r="1">
      <x v="318"/>
    </i>
    <i r="1">
      <x v="326"/>
    </i>
    <i r="1">
      <x v="370"/>
    </i>
    <i r="1">
      <x v="489"/>
    </i>
    <i r="1">
      <x v="493"/>
    </i>
    <i r="1">
      <x v="498"/>
    </i>
    <i r="1">
      <x v="500"/>
    </i>
    <i r="1">
      <x v="506"/>
    </i>
    <i r="1">
      <x v="551"/>
    </i>
    <i r="1">
      <x v="562"/>
    </i>
    <i r="1">
      <x v="644"/>
    </i>
    <i r="1">
      <x v="659"/>
    </i>
    <i r="1">
      <x v="687"/>
    </i>
    <i r="1">
      <x v="716"/>
    </i>
    <i r="1">
      <x v="766"/>
    </i>
    <i r="1">
      <x v="792"/>
    </i>
    <i r="1">
      <x v="809"/>
    </i>
    <i r="1">
      <x v="843"/>
    </i>
    <i r="1">
      <x v="849"/>
    </i>
    <i r="1">
      <x v="861"/>
    </i>
    <i r="1">
      <x v="881"/>
    </i>
    <i r="1">
      <x v="883"/>
    </i>
    <i r="1">
      <x v="999"/>
    </i>
    <i r="1">
      <x v="1007"/>
    </i>
    <i r="1">
      <x v="1089"/>
    </i>
    <i r="1">
      <x v="1226"/>
    </i>
    <i r="1">
      <x v="1236"/>
    </i>
    <i r="1">
      <x v="1302"/>
    </i>
    <i r="1">
      <x v="1429"/>
    </i>
    <i r="1">
      <x v="1471"/>
    </i>
    <i r="1">
      <x v="1472"/>
    </i>
    <i r="1">
      <x v="1487"/>
    </i>
    <i r="1">
      <x v="1502"/>
    </i>
    <i r="1">
      <x v="1550"/>
    </i>
    <i r="1">
      <x v="1626"/>
    </i>
    <i r="1">
      <x v="1661"/>
    </i>
    <i r="1">
      <x v="1668"/>
    </i>
    <i r="1">
      <x v="1672"/>
    </i>
    <i r="1">
      <x v="1673"/>
    </i>
    <i r="1">
      <x v="1696"/>
    </i>
    <i r="1">
      <x v="1716"/>
    </i>
    <i r="1">
      <x v="1770"/>
    </i>
    <i>
      <x v="10"/>
    </i>
    <i r="1">
      <x v="6"/>
    </i>
    <i r="1">
      <x v="11"/>
    </i>
    <i r="1">
      <x v="27"/>
    </i>
    <i r="1">
      <x v="44"/>
    </i>
    <i r="1">
      <x v="45"/>
    </i>
    <i r="1">
      <x v="46"/>
    </i>
    <i r="1">
      <x v="49"/>
    </i>
    <i r="1">
      <x v="59"/>
    </i>
    <i r="1">
      <x v="98"/>
    </i>
    <i r="1">
      <x v="111"/>
    </i>
    <i r="1">
      <x v="124"/>
    </i>
    <i r="1">
      <x v="129"/>
    </i>
    <i r="1">
      <x v="132"/>
    </i>
    <i r="1">
      <x v="137"/>
    </i>
    <i r="1">
      <x v="165"/>
    </i>
    <i r="1">
      <x v="167"/>
    </i>
    <i r="1">
      <x v="184"/>
    </i>
    <i r="1">
      <x v="194"/>
    </i>
    <i r="1">
      <x v="198"/>
    </i>
    <i r="1">
      <x v="236"/>
    </i>
    <i r="1">
      <x v="248"/>
    </i>
    <i r="1">
      <x v="266"/>
    </i>
    <i r="1">
      <x v="269"/>
    </i>
    <i r="1">
      <x v="291"/>
    </i>
    <i r="1">
      <x v="335"/>
    </i>
    <i r="1">
      <x v="346"/>
    </i>
    <i r="1">
      <x v="348"/>
    </i>
    <i r="1">
      <x v="367"/>
    </i>
    <i r="1">
      <x v="383"/>
    </i>
    <i r="1">
      <x v="392"/>
    </i>
    <i r="1">
      <x v="404"/>
    </i>
    <i r="1">
      <x v="413"/>
    </i>
    <i r="1">
      <x v="421"/>
    </i>
    <i r="1">
      <x v="432"/>
    </i>
    <i r="1">
      <x v="438"/>
    </i>
    <i r="1">
      <x v="439"/>
    </i>
    <i r="1">
      <x v="441"/>
    </i>
    <i r="1">
      <x v="451"/>
    </i>
    <i r="1">
      <x v="461"/>
    </i>
    <i r="1">
      <x v="466"/>
    </i>
    <i r="1">
      <x v="471"/>
    </i>
    <i r="1">
      <x v="472"/>
    </i>
    <i r="1">
      <x v="478"/>
    </i>
    <i r="1">
      <x v="500"/>
    </i>
    <i r="1">
      <x v="505"/>
    </i>
    <i r="1">
      <x v="514"/>
    </i>
    <i r="1">
      <x v="515"/>
    </i>
    <i r="1">
      <x v="519"/>
    </i>
    <i r="1">
      <x v="520"/>
    </i>
    <i r="1">
      <x v="547"/>
    </i>
    <i r="1">
      <x v="559"/>
    </i>
    <i r="1">
      <x v="581"/>
    </i>
    <i r="1">
      <x v="629"/>
    </i>
    <i r="1">
      <x v="641"/>
    </i>
    <i r="1">
      <x v="645"/>
    </i>
    <i r="1">
      <x v="648"/>
    </i>
    <i r="1">
      <x v="656"/>
    </i>
    <i r="1">
      <x v="658"/>
    </i>
    <i r="1">
      <x v="669"/>
    </i>
    <i r="1">
      <x v="681"/>
    </i>
    <i r="1">
      <x v="692"/>
    </i>
    <i r="1">
      <x v="696"/>
    </i>
    <i r="1">
      <x v="707"/>
    </i>
    <i r="1">
      <x v="712"/>
    </i>
    <i r="1">
      <x v="713"/>
    </i>
    <i r="1">
      <x v="720"/>
    </i>
    <i r="1">
      <x v="752"/>
    </i>
    <i r="1">
      <x v="773"/>
    </i>
    <i r="1">
      <x v="779"/>
    </i>
    <i r="1">
      <x v="788"/>
    </i>
    <i r="1">
      <x v="789"/>
    </i>
    <i r="1">
      <x v="794"/>
    </i>
    <i r="1">
      <x v="798"/>
    </i>
    <i r="1">
      <x v="804"/>
    </i>
    <i r="1">
      <x v="808"/>
    </i>
    <i r="1">
      <x v="811"/>
    </i>
    <i r="1">
      <x v="815"/>
    </i>
    <i r="1">
      <x v="886"/>
    </i>
    <i r="1">
      <x v="896"/>
    </i>
    <i r="1">
      <x v="903"/>
    </i>
    <i r="1">
      <x v="909"/>
    </i>
    <i r="1">
      <x v="923"/>
    </i>
    <i r="1">
      <x v="936"/>
    </i>
    <i r="1">
      <x v="937"/>
    </i>
    <i r="1">
      <x v="950"/>
    </i>
    <i r="1">
      <x v="987"/>
    </i>
    <i r="1">
      <x v="992"/>
    </i>
    <i r="1">
      <x v="1000"/>
    </i>
    <i r="1">
      <x v="1002"/>
    </i>
    <i r="1">
      <x v="1029"/>
    </i>
    <i r="1">
      <x v="1032"/>
    </i>
    <i r="1">
      <x v="1037"/>
    </i>
    <i r="1">
      <x v="1041"/>
    </i>
    <i r="1">
      <x v="1050"/>
    </i>
    <i r="1">
      <x v="1060"/>
    </i>
    <i r="1">
      <x v="1070"/>
    </i>
    <i r="1">
      <x v="1103"/>
    </i>
    <i r="1">
      <x v="1124"/>
    </i>
    <i r="1">
      <x v="1156"/>
    </i>
    <i r="1">
      <x v="1165"/>
    </i>
    <i r="1">
      <x v="1168"/>
    </i>
    <i r="1">
      <x v="1180"/>
    </i>
    <i r="1">
      <x v="1197"/>
    </i>
    <i r="1">
      <x v="1214"/>
    </i>
    <i r="1">
      <x v="1224"/>
    </i>
    <i r="1">
      <x v="1230"/>
    </i>
    <i r="1">
      <x v="1231"/>
    </i>
    <i r="1">
      <x v="1251"/>
    </i>
    <i r="1">
      <x v="1265"/>
    </i>
    <i r="1">
      <x v="1269"/>
    </i>
    <i r="1">
      <x v="1283"/>
    </i>
    <i r="1">
      <x v="1287"/>
    </i>
    <i r="1">
      <x v="1297"/>
    </i>
    <i r="1">
      <x v="1311"/>
    </i>
    <i r="1">
      <x v="1327"/>
    </i>
    <i r="1">
      <x v="1352"/>
    </i>
    <i r="1">
      <x v="1369"/>
    </i>
    <i r="1">
      <x v="1373"/>
    </i>
    <i r="1">
      <x v="1396"/>
    </i>
    <i r="1">
      <x v="1399"/>
    </i>
    <i r="1">
      <x v="1409"/>
    </i>
    <i r="1">
      <x v="1414"/>
    </i>
    <i r="1">
      <x v="1449"/>
    </i>
    <i r="1">
      <x v="1474"/>
    </i>
    <i r="1">
      <x v="1475"/>
    </i>
    <i r="1">
      <x v="1483"/>
    </i>
    <i r="1">
      <x v="1492"/>
    </i>
    <i r="1">
      <x v="1496"/>
    </i>
    <i r="1">
      <x v="1515"/>
    </i>
    <i r="1">
      <x v="1522"/>
    </i>
    <i r="1">
      <x v="1548"/>
    </i>
    <i r="1">
      <x v="1572"/>
    </i>
    <i r="1">
      <x v="1578"/>
    </i>
    <i r="1">
      <x v="1608"/>
    </i>
    <i r="1">
      <x v="1613"/>
    </i>
    <i r="1">
      <x v="1623"/>
    </i>
    <i r="1">
      <x v="1639"/>
    </i>
    <i r="1">
      <x v="1640"/>
    </i>
    <i r="1">
      <x v="1641"/>
    </i>
    <i r="1">
      <x v="1642"/>
    </i>
    <i r="1">
      <x v="1653"/>
    </i>
    <i r="1">
      <x v="1656"/>
    </i>
    <i r="1">
      <x v="1663"/>
    </i>
    <i r="1">
      <x v="1665"/>
    </i>
    <i r="1">
      <x v="1674"/>
    </i>
    <i r="1">
      <x v="1698"/>
    </i>
    <i r="1">
      <x v="1699"/>
    </i>
    <i r="1">
      <x v="1705"/>
    </i>
    <i r="1">
      <x v="1714"/>
    </i>
    <i r="1">
      <x v="1745"/>
    </i>
    <i r="1">
      <x v="1767"/>
    </i>
    <i r="1">
      <x v="1768"/>
    </i>
    <i r="1">
      <x v="1769"/>
    </i>
    <i r="1">
      <x v="1770"/>
    </i>
    <i r="1">
      <x v="1771"/>
    </i>
    <i r="1">
      <x v="1773"/>
    </i>
    <i r="1">
      <x v="1776"/>
    </i>
    <i r="1">
      <x v="1777"/>
    </i>
    <i r="1">
      <x v="1778"/>
    </i>
    <i>
      <x v="11"/>
    </i>
    <i r="1">
      <x v="17"/>
    </i>
    <i r="1">
      <x v="93"/>
    </i>
    <i r="1">
      <x v="119"/>
    </i>
    <i r="1">
      <x v="164"/>
    </i>
    <i r="1">
      <x v="284"/>
    </i>
    <i r="1">
      <x v="313"/>
    </i>
    <i r="1">
      <x v="363"/>
    </i>
    <i r="1">
      <x v="461"/>
    </i>
    <i r="1">
      <x v="498"/>
    </i>
    <i r="1">
      <x v="501"/>
    </i>
    <i r="1">
      <x v="679"/>
    </i>
    <i r="1">
      <x v="990"/>
    </i>
    <i r="1">
      <x v="1053"/>
    </i>
    <i r="1">
      <x v="1103"/>
    </i>
    <i r="1">
      <x v="1169"/>
    </i>
    <i r="1">
      <x v="1173"/>
    </i>
    <i r="1">
      <x v="1185"/>
    </i>
    <i r="1">
      <x v="1188"/>
    </i>
    <i r="1">
      <x v="1301"/>
    </i>
    <i r="1">
      <x v="1360"/>
    </i>
    <i r="1">
      <x v="1365"/>
    </i>
    <i r="1">
      <x v="1573"/>
    </i>
    <i r="1">
      <x v="1575"/>
    </i>
    <i r="1">
      <x v="1596"/>
    </i>
    <i r="1">
      <x v="1603"/>
    </i>
    <i>
      <x v="12"/>
    </i>
    <i r="1">
      <x v="11"/>
    </i>
    <i r="1">
      <x v="141"/>
    </i>
    <i r="1">
      <x v="255"/>
    </i>
    <i r="1">
      <x v="268"/>
    </i>
    <i r="1">
      <x v="1053"/>
    </i>
    <i r="1">
      <x v="1190"/>
    </i>
    <i r="1">
      <x v="1545"/>
    </i>
    <i r="1">
      <x v="1559"/>
    </i>
    <i r="1">
      <x v="1575"/>
    </i>
    <i>
      <x v="13"/>
    </i>
    <i r="1">
      <x v="88"/>
    </i>
    <i r="1">
      <x v="89"/>
    </i>
    <i r="1">
      <x v="90"/>
    </i>
    <i r="1">
      <x v="98"/>
    </i>
    <i r="1">
      <x v="101"/>
    </i>
    <i r="1">
      <x v="124"/>
    </i>
    <i r="1">
      <x v="130"/>
    </i>
    <i r="1">
      <x v="131"/>
    </i>
    <i r="1">
      <x v="169"/>
    </i>
    <i r="1">
      <x v="214"/>
    </i>
    <i r="1">
      <x v="296"/>
    </i>
    <i r="1">
      <x v="297"/>
    </i>
    <i r="1">
      <x v="317"/>
    </i>
    <i r="1">
      <x v="324"/>
    </i>
    <i r="1">
      <x v="330"/>
    </i>
    <i r="1">
      <x v="335"/>
    </i>
    <i r="1">
      <x v="365"/>
    </i>
    <i r="1">
      <x v="384"/>
    </i>
    <i r="1">
      <x v="391"/>
    </i>
    <i r="1">
      <x v="411"/>
    </i>
    <i r="1">
      <x v="423"/>
    </i>
    <i r="1">
      <x v="425"/>
    </i>
    <i r="1">
      <x v="428"/>
    </i>
    <i r="1">
      <x v="429"/>
    </i>
    <i r="1">
      <x v="446"/>
    </i>
    <i r="1">
      <x v="456"/>
    </i>
    <i r="1">
      <x v="465"/>
    </i>
    <i r="1">
      <x v="469"/>
    </i>
    <i r="1">
      <x v="476"/>
    </i>
    <i r="1">
      <x v="484"/>
    </i>
    <i r="1">
      <x v="516"/>
    </i>
    <i r="1">
      <x v="517"/>
    </i>
    <i r="1">
      <x v="521"/>
    </i>
    <i r="1">
      <x v="531"/>
    </i>
    <i r="1">
      <x v="549"/>
    </i>
    <i r="1">
      <x v="556"/>
    </i>
    <i r="1">
      <x v="561"/>
    </i>
    <i r="1">
      <x v="566"/>
    </i>
    <i r="1">
      <x v="572"/>
    </i>
    <i r="1">
      <x v="607"/>
    </i>
    <i r="1">
      <x v="624"/>
    </i>
    <i r="1">
      <x v="665"/>
    </i>
    <i r="1">
      <x v="672"/>
    </i>
    <i r="1">
      <x v="678"/>
    </i>
    <i r="1">
      <x v="712"/>
    </i>
    <i r="1">
      <x v="715"/>
    </i>
    <i r="1">
      <x v="747"/>
    </i>
    <i r="1">
      <x v="748"/>
    </i>
    <i r="1">
      <x v="777"/>
    </i>
    <i r="1">
      <x v="810"/>
    </i>
    <i r="1">
      <x v="823"/>
    </i>
    <i r="1">
      <x v="898"/>
    </i>
    <i r="1">
      <x v="949"/>
    </i>
    <i r="1">
      <x v="958"/>
    </i>
    <i r="1">
      <x v="969"/>
    </i>
    <i r="1">
      <x v="981"/>
    </i>
    <i r="1">
      <x v="1065"/>
    </i>
    <i r="1">
      <x v="1114"/>
    </i>
    <i r="1">
      <x v="1131"/>
    </i>
    <i r="1">
      <x v="1148"/>
    </i>
    <i r="1">
      <x v="1150"/>
    </i>
    <i r="1">
      <x v="1173"/>
    </i>
    <i r="1">
      <x v="1174"/>
    </i>
    <i r="1">
      <x v="1187"/>
    </i>
    <i r="1">
      <x v="1190"/>
    </i>
    <i r="1">
      <x v="1215"/>
    </i>
    <i r="1">
      <x v="1234"/>
    </i>
    <i r="1">
      <x v="1244"/>
    </i>
    <i r="1">
      <x v="1298"/>
    </i>
    <i r="1">
      <x v="1334"/>
    </i>
    <i r="1">
      <x v="1366"/>
    </i>
    <i r="1">
      <x v="1381"/>
    </i>
    <i r="1">
      <x v="1407"/>
    </i>
    <i r="1">
      <x v="1418"/>
    </i>
    <i r="1">
      <x v="1419"/>
    </i>
    <i r="1">
      <x v="1424"/>
    </i>
    <i r="1">
      <x v="1451"/>
    </i>
    <i r="1">
      <x v="1488"/>
    </i>
    <i r="1">
      <x v="1510"/>
    </i>
    <i r="1">
      <x v="1517"/>
    </i>
    <i r="1">
      <x v="1518"/>
    </i>
    <i r="1">
      <x v="1534"/>
    </i>
    <i r="1">
      <x v="1540"/>
    </i>
    <i r="1">
      <x v="1559"/>
    </i>
    <i r="1">
      <x v="1595"/>
    </i>
    <i r="1">
      <x v="1598"/>
    </i>
    <i r="1">
      <x v="1599"/>
    </i>
    <i r="1">
      <x v="1610"/>
    </i>
    <i r="1">
      <x v="1624"/>
    </i>
    <i r="1">
      <x v="1633"/>
    </i>
    <i r="1">
      <x v="1652"/>
    </i>
    <i r="1">
      <x v="1787"/>
    </i>
    <i r="1">
      <x v="1790"/>
    </i>
    <i r="1">
      <x v="1795"/>
    </i>
    <i>
      <x v="14"/>
    </i>
    <i r="1">
      <x/>
    </i>
    <i r="1">
      <x v="8"/>
    </i>
    <i r="1">
      <x v="13"/>
    </i>
    <i r="1">
      <x v="19"/>
    </i>
    <i r="1">
      <x v="42"/>
    </i>
    <i r="1">
      <x v="43"/>
    </i>
    <i r="1">
      <x v="63"/>
    </i>
    <i r="1">
      <x v="67"/>
    </i>
    <i r="1">
      <x v="68"/>
    </i>
    <i r="1">
      <x v="69"/>
    </i>
    <i r="1">
      <x v="80"/>
    </i>
    <i r="1">
      <x v="81"/>
    </i>
    <i r="1">
      <x v="87"/>
    </i>
    <i r="1">
      <x v="88"/>
    </i>
    <i r="1">
      <x v="99"/>
    </i>
    <i r="1">
      <x v="104"/>
    </i>
    <i r="1">
      <x v="106"/>
    </i>
    <i r="1">
      <x v="124"/>
    </i>
    <i r="1">
      <x v="128"/>
    </i>
    <i r="1">
      <x v="133"/>
    </i>
    <i r="1">
      <x v="146"/>
    </i>
    <i r="1">
      <x v="150"/>
    </i>
    <i r="1">
      <x v="152"/>
    </i>
    <i r="1">
      <x v="155"/>
    </i>
    <i r="1">
      <x v="165"/>
    </i>
    <i r="1">
      <x v="191"/>
    </i>
    <i r="1">
      <x v="193"/>
    </i>
    <i r="1">
      <x v="197"/>
    </i>
    <i r="1">
      <x v="209"/>
    </i>
    <i r="1">
      <x v="216"/>
    </i>
    <i r="1">
      <x v="218"/>
    </i>
    <i r="1">
      <x v="219"/>
    </i>
    <i r="1">
      <x v="265"/>
    </i>
    <i r="1">
      <x v="269"/>
    </i>
    <i r="1">
      <x v="273"/>
    </i>
    <i r="1">
      <x v="274"/>
    </i>
    <i r="1">
      <x v="281"/>
    </i>
    <i r="1">
      <x v="282"/>
    </i>
    <i r="1">
      <x v="287"/>
    </i>
    <i r="1">
      <x v="290"/>
    </i>
    <i r="1">
      <x v="293"/>
    </i>
    <i r="1">
      <x v="298"/>
    </i>
    <i r="1">
      <x v="299"/>
    </i>
    <i r="1">
      <x v="300"/>
    </i>
    <i r="1">
      <x v="312"/>
    </i>
    <i r="1">
      <x v="318"/>
    </i>
    <i r="1">
      <x v="335"/>
    </i>
    <i r="1">
      <x v="344"/>
    </i>
    <i r="1">
      <x v="355"/>
    </i>
    <i r="1">
      <x v="361"/>
    </i>
    <i r="1">
      <x v="372"/>
    </i>
    <i r="1">
      <x v="378"/>
    </i>
    <i r="1">
      <x v="392"/>
    </i>
    <i r="1">
      <x v="394"/>
    </i>
    <i r="1">
      <x v="398"/>
    </i>
    <i r="1">
      <x v="399"/>
    </i>
    <i r="1">
      <x v="401"/>
    </i>
    <i r="1">
      <x v="408"/>
    </i>
    <i r="1">
      <x v="417"/>
    </i>
    <i r="1">
      <x v="447"/>
    </i>
    <i r="1">
      <x v="487"/>
    </i>
    <i r="1">
      <x v="490"/>
    </i>
    <i r="1">
      <x v="493"/>
    </i>
    <i r="1">
      <x v="494"/>
    </i>
    <i r="1">
      <x v="499"/>
    </i>
    <i r="1">
      <x v="500"/>
    </i>
    <i r="1">
      <x v="510"/>
    </i>
    <i r="1">
      <x v="517"/>
    </i>
    <i r="1">
      <x v="524"/>
    </i>
    <i r="1">
      <x v="525"/>
    </i>
    <i r="1">
      <x v="533"/>
    </i>
    <i r="1">
      <x v="567"/>
    </i>
    <i r="1">
      <x v="575"/>
    </i>
    <i r="1">
      <x v="576"/>
    </i>
    <i r="1">
      <x v="577"/>
    </i>
    <i r="1">
      <x v="580"/>
    </i>
    <i r="1">
      <x v="593"/>
    </i>
    <i r="1">
      <x v="613"/>
    </i>
    <i r="1">
      <x v="623"/>
    </i>
    <i r="1">
      <x v="626"/>
    </i>
    <i r="1">
      <x v="628"/>
    </i>
    <i r="1">
      <x v="631"/>
    </i>
    <i r="1">
      <x v="636"/>
    </i>
    <i r="1">
      <x v="642"/>
    </i>
    <i r="1">
      <x v="644"/>
    </i>
    <i r="1">
      <x v="648"/>
    </i>
    <i r="1">
      <x v="670"/>
    </i>
    <i r="1">
      <x v="676"/>
    </i>
    <i r="1">
      <x v="690"/>
    </i>
    <i r="1">
      <x v="697"/>
    </i>
    <i r="1">
      <x v="711"/>
    </i>
    <i r="1">
      <x v="717"/>
    </i>
    <i r="1">
      <x v="725"/>
    </i>
    <i r="1">
      <x v="729"/>
    </i>
    <i r="1">
      <x v="732"/>
    </i>
    <i r="1">
      <x v="735"/>
    </i>
    <i r="1">
      <x v="737"/>
    </i>
    <i r="1">
      <x v="750"/>
    </i>
    <i r="1">
      <x v="758"/>
    </i>
    <i r="1">
      <x v="766"/>
    </i>
    <i r="1">
      <x v="783"/>
    </i>
    <i r="1">
      <x v="788"/>
    </i>
    <i r="1">
      <x v="791"/>
    </i>
    <i r="1">
      <x v="792"/>
    </i>
    <i r="1">
      <x v="806"/>
    </i>
    <i r="1">
      <x v="810"/>
    </i>
    <i r="1">
      <x v="851"/>
    </i>
    <i r="1">
      <x v="854"/>
    </i>
    <i r="1">
      <x v="856"/>
    </i>
    <i r="1">
      <x v="863"/>
    </i>
    <i r="1">
      <x v="865"/>
    </i>
    <i r="1">
      <x v="873"/>
    </i>
    <i r="1">
      <x v="877"/>
    </i>
    <i r="1">
      <x v="878"/>
    </i>
    <i r="1">
      <x v="885"/>
    </i>
    <i r="1">
      <x v="888"/>
    </i>
    <i r="1">
      <x v="892"/>
    </i>
    <i r="1">
      <x v="893"/>
    </i>
    <i r="1">
      <x v="894"/>
    </i>
    <i r="1">
      <x v="896"/>
    </i>
    <i r="1">
      <x v="903"/>
    </i>
    <i r="1">
      <x v="906"/>
    </i>
    <i r="1">
      <x v="915"/>
    </i>
    <i r="1">
      <x v="918"/>
    </i>
    <i r="1">
      <x v="926"/>
    </i>
    <i r="1">
      <x v="930"/>
    </i>
    <i r="1">
      <x v="934"/>
    </i>
    <i r="1">
      <x v="947"/>
    </i>
    <i r="1">
      <x v="953"/>
    </i>
    <i r="1">
      <x v="964"/>
    </i>
    <i r="1">
      <x v="968"/>
    </i>
    <i r="1">
      <x v="976"/>
    </i>
    <i r="1">
      <x v="996"/>
    </i>
    <i r="1">
      <x v="1003"/>
    </i>
    <i r="1">
      <x v="1017"/>
    </i>
    <i r="1">
      <x v="1022"/>
    </i>
    <i r="1">
      <x v="1045"/>
    </i>
    <i r="1">
      <x v="1051"/>
    </i>
    <i r="1">
      <x v="1063"/>
    </i>
    <i r="1">
      <x v="1074"/>
    </i>
    <i r="1">
      <x v="1081"/>
    </i>
    <i r="1">
      <x v="1082"/>
    </i>
    <i r="1">
      <x v="1083"/>
    </i>
    <i r="1">
      <x v="1085"/>
    </i>
    <i r="1">
      <x v="1096"/>
    </i>
    <i r="1">
      <x v="1097"/>
    </i>
    <i r="1">
      <x v="1110"/>
    </i>
    <i r="1">
      <x v="1117"/>
    </i>
    <i r="1">
      <x v="1122"/>
    </i>
    <i r="1">
      <x v="1134"/>
    </i>
    <i r="1">
      <x v="1141"/>
    </i>
    <i r="1">
      <x v="1156"/>
    </i>
    <i r="1">
      <x v="1158"/>
    </i>
    <i r="1">
      <x v="1182"/>
    </i>
    <i r="1">
      <x v="1183"/>
    </i>
    <i r="1">
      <x v="1193"/>
    </i>
    <i r="1">
      <x v="1195"/>
    </i>
    <i r="1">
      <x v="1212"/>
    </i>
    <i r="1">
      <x v="1220"/>
    </i>
    <i r="1">
      <x v="1225"/>
    </i>
    <i r="1">
      <x v="1250"/>
    </i>
    <i r="1">
      <x v="1251"/>
    </i>
    <i r="1">
      <x v="1254"/>
    </i>
    <i r="1">
      <x v="1258"/>
    </i>
    <i r="1">
      <x v="1268"/>
    </i>
    <i r="1">
      <x v="1285"/>
    </i>
    <i r="1">
      <x v="1327"/>
    </i>
    <i r="1">
      <x v="1341"/>
    </i>
    <i r="1">
      <x v="1358"/>
    </i>
    <i r="1">
      <x v="1377"/>
    </i>
    <i r="1">
      <x v="1380"/>
    </i>
    <i r="1">
      <x v="1397"/>
    </i>
    <i r="1">
      <x v="1400"/>
    </i>
    <i r="1">
      <x v="1401"/>
    </i>
    <i r="1">
      <x v="1403"/>
    </i>
    <i r="1">
      <x v="1426"/>
    </i>
    <i r="1">
      <x v="1432"/>
    </i>
    <i r="1">
      <x v="1447"/>
    </i>
    <i r="1">
      <x v="1454"/>
    </i>
    <i r="1">
      <x v="1457"/>
    </i>
    <i r="1">
      <x v="1460"/>
    </i>
    <i r="1">
      <x v="1468"/>
    </i>
    <i r="1">
      <x v="1493"/>
    </i>
    <i r="1">
      <x v="1495"/>
    </i>
    <i r="1">
      <x v="1506"/>
    </i>
    <i r="1">
      <x v="1539"/>
    </i>
    <i r="1">
      <x v="1553"/>
    </i>
    <i r="1">
      <x v="1562"/>
    </i>
    <i r="1">
      <x v="1568"/>
    </i>
    <i r="1">
      <x v="1596"/>
    </i>
    <i r="1">
      <x v="1602"/>
    </i>
    <i r="1">
      <x v="1605"/>
    </i>
    <i r="1">
      <x v="1609"/>
    </i>
    <i r="1">
      <x v="1615"/>
    </i>
    <i r="1">
      <x v="1625"/>
    </i>
    <i r="1">
      <x v="1635"/>
    </i>
    <i r="1">
      <x v="1662"/>
    </i>
    <i r="1">
      <x v="1669"/>
    </i>
    <i r="1">
      <x v="1671"/>
    </i>
    <i r="1">
      <x v="1672"/>
    </i>
    <i r="1">
      <x v="1680"/>
    </i>
    <i r="1">
      <x v="1683"/>
    </i>
    <i r="1">
      <x v="1704"/>
    </i>
    <i r="1">
      <x v="1714"/>
    </i>
    <i r="1">
      <x v="1721"/>
    </i>
    <i r="1">
      <x v="1727"/>
    </i>
    <i r="1">
      <x v="1732"/>
    </i>
    <i r="1">
      <x v="1733"/>
    </i>
    <i r="1">
      <x v="1737"/>
    </i>
    <i r="1">
      <x v="1739"/>
    </i>
    <i r="1">
      <x v="1741"/>
    </i>
    <i r="1">
      <x v="1745"/>
    </i>
    <i r="1">
      <x v="1748"/>
    </i>
    <i r="1">
      <x v="1750"/>
    </i>
    <i r="1">
      <x v="1754"/>
    </i>
    <i r="1">
      <x v="1761"/>
    </i>
    <i r="1">
      <x v="1785"/>
    </i>
    <i r="1">
      <x v="1790"/>
    </i>
    <i r="1">
      <x v="1793"/>
    </i>
    <i r="1">
      <x v="1797"/>
    </i>
    <i r="1">
      <x v="1800"/>
    </i>
    <i>
      <x v="15"/>
    </i>
    <i r="1">
      <x v="19"/>
    </i>
    <i r="1">
      <x v="42"/>
    </i>
    <i r="1">
      <x v="44"/>
    </i>
    <i r="1">
      <x v="53"/>
    </i>
    <i r="1">
      <x v="71"/>
    </i>
    <i r="1">
      <x v="112"/>
    </i>
    <i r="1">
      <x v="124"/>
    </i>
    <i r="1">
      <x v="132"/>
    </i>
    <i r="1">
      <x v="142"/>
    </i>
    <i r="1">
      <x v="174"/>
    </i>
    <i r="1">
      <x v="189"/>
    </i>
    <i r="1">
      <x v="197"/>
    </i>
    <i r="1">
      <x v="202"/>
    </i>
    <i r="1">
      <x v="254"/>
    </i>
    <i r="1">
      <x v="255"/>
    </i>
    <i r="1">
      <x v="288"/>
    </i>
    <i r="1">
      <x v="294"/>
    </i>
    <i r="1">
      <x v="309"/>
    </i>
    <i r="1">
      <x v="311"/>
    </i>
    <i r="1">
      <x v="326"/>
    </i>
    <i r="1">
      <x v="333"/>
    </i>
    <i r="1">
      <x v="335"/>
    </i>
    <i r="1">
      <x v="367"/>
    </i>
    <i r="1">
      <x v="378"/>
    </i>
    <i r="1">
      <x v="412"/>
    </i>
    <i r="1">
      <x v="419"/>
    </i>
    <i r="1">
      <x v="423"/>
    </i>
    <i r="1">
      <x v="475"/>
    </i>
    <i r="1">
      <x v="535"/>
    </i>
    <i r="1">
      <x v="544"/>
    </i>
    <i r="1">
      <x v="572"/>
    </i>
    <i r="1">
      <x v="573"/>
    </i>
    <i r="1">
      <x v="584"/>
    </i>
    <i r="1">
      <x v="585"/>
    </i>
    <i r="1">
      <x v="586"/>
    </i>
    <i r="1">
      <x v="603"/>
    </i>
    <i r="1">
      <x v="627"/>
    </i>
    <i r="1">
      <x v="637"/>
    </i>
    <i r="1">
      <x v="667"/>
    </i>
    <i r="1">
      <x v="670"/>
    </i>
    <i r="1">
      <x v="687"/>
    </i>
    <i r="1">
      <x v="700"/>
    </i>
    <i r="1">
      <x v="714"/>
    </i>
    <i r="1">
      <x v="727"/>
    </i>
    <i r="1">
      <x v="728"/>
    </i>
    <i r="1">
      <x v="753"/>
    </i>
    <i r="1">
      <x v="761"/>
    </i>
    <i r="1">
      <x v="763"/>
    </i>
    <i r="1">
      <x v="764"/>
    </i>
    <i r="1">
      <x v="766"/>
    </i>
    <i r="1">
      <x v="772"/>
    </i>
    <i r="1">
      <x v="775"/>
    </i>
    <i r="1">
      <x v="776"/>
    </i>
    <i r="1">
      <x v="783"/>
    </i>
    <i r="1">
      <x v="795"/>
    </i>
    <i r="1">
      <x v="806"/>
    </i>
    <i r="1">
      <x v="807"/>
    </i>
    <i r="1">
      <x v="812"/>
    </i>
    <i r="1">
      <x v="813"/>
    </i>
    <i r="1">
      <x v="814"/>
    </i>
    <i r="1">
      <x v="824"/>
    </i>
    <i r="1">
      <x v="840"/>
    </i>
    <i r="1">
      <x v="844"/>
    </i>
    <i r="1">
      <x v="879"/>
    </i>
    <i r="1">
      <x v="899"/>
    </i>
    <i r="1">
      <x v="912"/>
    </i>
    <i r="1">
      <x v="928"/>
    </i>
    <i r="1">
      <x v="960"/>
    </i>
    <i r="1">
      <x v="990"/>
    </i>
    <i r="1">
      <x v="1028"/>
    </i>
    <i r="1">
      <x v="1031"/>
    </i>
    <i r="1">
      <x v="1038"/>
    </i>
    <i r="1">
      <x v="1047"/>
    </i>
    <i r="1">
      <x v="1056"/>
    </i>
    <i r="1">
      <x v="1057"/>
    </i>
    <i r="1">
      <x v="1067"/>
    </i>
    <i r="1">
      <x v="1086"/>
    </i>
    <i r="1">
      <x v="1087"/>
    </i>
    <i r="1">
      <x v="1095"/>
    </i>
    <i r="1">
      <x v="1098"/>
    </i>
    <i r="1">
      <x v="1115"/>
    </i>
    <i r="1">
      <x v="1129"/>
    </i>
    <i r="1">
      <x v="1136"/>
    </i>
    <i r="1">
      <x v="1140"/>
    </i>
    <i r="1">
      <x v="1155"/>
    </i>
    <i r="1">
      <x v="1156"/>
    </i>
    <i r="1">
      <x v="1199"/>
    </i>
    <i r="1">
      <x v="1213"/>
    </i>
    <i r="1">
      <x v="1219"/>
    </i>
    <i r="1">
      <x v="1222"/>
    </i>
    <i r="1">
      <x v="1237"/>
    </i>
    <i r="1">
      <x v="1242"/>
    </i>
    <i r="1">
      <x v="1245"/>
    </i>
    <i r="1">
      <x v="1253"/>
    </i>
    <i r="1">
      <x v="1257"/>
    </i>
    <i r="1">
      <x v="1275"/>
    </i>
    <i r="1">
      <x v="1305"/>
    </i>
    <i r="1">
      <x v="1307"/>
    </i>
    <i r="1">
      <x v="1343"/>
    </i>
    <i r="1">
      <x v="1345"/>
    </i>
    <i r="1">
      <x v="1348"/>
    </i>
    <i r="1">
      <x v="1353"/>
    </i>
    <i r="1">
      <x v="1378"/>
    </i>
    <i r="1">
      <x v="1392"/>
    </i>
    <i r="1">
      <x v="1394"/>
    </i>
    <i r="1">
      <x v="1406"/>
    </i>
    <i r="1">
      <x v="1410"/>
    </i>
    <i r="1">
      <x v="1415"/>
    </i>
    <i r="1">
      <x v="1434"/>
    </i>
    <i r="1">
      <x v="1435"/>
    </i>
    <i r="1">
      <x v="1444"/>
    </i>
    <i r="1">
      <x v="1448"/>
    </i>
    <i r="1">
      <x v="1449"/>
    </i>
    <i r="1">
      <x v="1450"/>
    </i>
    <i r="1">
      <x v="1523"/>
    </i>
    <i r="1">
      <x v="1526"/>
    </i>
    <i r="1">
      <x v="1542"/>
    </i>
    <i r="1">
      <x v="1546"/>
    </i>
    <i r="1">
      <x v="1560"/>
    </i>
    <i r="1">
      <x v="1561"/>
    </i>
    <i r="1">
      <x v="1583"/>
    </i>
    <i r="1">
      <x v="1585"/>
    </i>
    <i r="1">
      <x v="1597"/>
    </i>
    <i r="1">
      <x v="1604"/>
    </i>
    <i r="1">
      <x v="1616"/>
    </i>
    <i r="1">
      <x v="1621"/>
    </i>
    <i r="1">
      <x v="1628"/>
    </i>
    <i r="1">
      <x v="1651"/>
    </i>
    <i r="1">
      <x v="1663"/>
    </i>
    <i r="1">
      <x v="1665"/>
    </i>
    <i r="1">
      <x v="1668"/>
    </i>
    <i r="1">
      <x v="1669"/>
    </i>
    <i r="1">
      <x v="1679"/>
    </i>
    <i r="1">
      <x v="1682"/>
    </i>
    <i r="1">
      <x v="1689"/>
    </i>
    <i r="1">
      <x v="1696"/>
    </i>
    <i r="1">
      <x v="1730"/>
    </i>
    <i r="1">
      <x v="1747"/>
    </i>
    <i r="1">
      <x v="1752"/>
    </i>
    <i r="1">
      <x v="1753"/>
    </i>
    <i r="1">
      <x v="1754"/>
    </i>
    <i r="1">
      <x v="1759"/>
    </i>
    <i r="1">
      <x v="1760"/>
    </i>
    <i r="1">
      <x v="1784"/>
    </i>
    <i r="1">
      <x v="1796"/>
    </i>
    <i>
      <x v="16"/>
    </i>
    <i r="1">
      <x v="3"/>
    </i>
    <i r="1">
      <x v="7"/>
    </i>
    <i r="1">
      <x v="11"/>
    </i>
    <i r="1">
      <x v="12"/>
    </i>
    <i r="1">
      <x v="15"/>
    </i>
    <i r="1">
      <x v="20"/>
    </i>
    <i r="1">
      <x v="21"/>
    </i>
    <i r="1">
      <x v="26"/>
    </i>
    <i r="1">
      <x v="29"/>
    </i>
    <i r="1">
      <x v="31"/>
    </i>
    <i r="1">
      <x v="32"/>
    </i>
    <i r="1">
      <x v="33"/>
    </i>
    <i r="1">
      <x v="36"/>
    </i>
    <i r="1">
      <x v="38"/>
    </i>
    <i r="1">
      <x v="39"/>
    </i>
    <i r="1">
      <x v="41"/>
    </i>
    <i r="1">
      <x v="42"/>
    </i>
    <i r="1">
      <x v="46"/>
    </i>
    <i r="1">
      <x v="47"/>
    </i>
    <i r="1">
      <x v="48"/>
    </i>
    <i r="1">
      <x v="52"/>
    </i>
    <i r="1">
      <x v="55"/>
    </i>
    <i r="1">
      <x v="57"/>
    </i>
    <i r="1">
      <x v="60"/>
    </i>
    <i r="1">
      <x v="65"/>
    </i>
    <i r="1">
      <x v="73"/>
    </i>
    <i r="1">
      <x v="74"/>
    </i>
    <i r="1">
      <x v="78"/>
    </i>
    <i r="1">
      <x v="82"/>
    </i>
    <i r="1">
      <x v="85"/>
    </i>
    <i r="1">
      <x v="86"/>
    </i>
    <i r="1">
      <x v="87"/>
    </i>
    <i r="1">
      <x v="88"/>
    </i>
    <i r="1">
      <x v="89"/>
    </i>
    <i r="1">
      <x v="92"/>
    </i>
    <i r="1">
      <x v="94"/>
    </i>
    <i r="1">
      <x v="101"/>
    </i>
    <i r="1">
      <x v="102"/>
    </i>
    <i r="1">
      <x v="105"/>
    </i>
    <i r="1">
      <x v="108"/>
    </i>
    <i r="1">
      <x v="112"/>
    </i>
    <i r="1">
      <x v="114"/>
    </i>
    <i r="1">
      <x v="115"/>
    </i>
    <i r="1">
      <x v="120"/>
    </i>
    <i r="1">
      <x v="124"/>
    </i>
    <i r="1">
      <x v="125"/>
    </i>
    <i r="1">
      <x v="127"/>
    </i>
    <i r="1">
      <x v="129"/>
    </i>
    <i r="1">
      <x v="132"/>
    </i>
    <i r="1">
      <x v="134"/>
    </i>
    <i r="1">
      <x v="136"/>
    </i>
    <i r="1">
      <x v="139"/>
    </i>
    <i r="1">
      <x v="140"/>
    </i>
    <i r="1">
      <x v="141"/>
    </i>
    <i r="1">
      <x v="143"/>
    </i>
    <i r="1">
      <x v="144"/>
    </i>
    <i r="1">
      <x v="147"/>
    </i>
    <i r="1">
      <x v="149"/>
    </i>
    <i r="1">
      <x v="151"/>
    </i>
    <i r="1">
      <x v="153"/>
    </i>
    <i r="1">
      <x v="154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6"/>
    </i>
    <i r="1">
      <x v="167"/>
    </i>
    <i r="1">
      <x v="168"/>
    </i>
    <i r="1">
      <x v="170"/>
    </i>
    <i r="1">
      <x v="171"/>
    </i>
    <i r="1">
      <x v="177"/>
    </i>
    <i r="1">
      <x v="178"/>
    </i>
    <i r="1">
      <x v="179"/>
    </i>
    <i r="1">
      <x v="182"/>
    </i>
    <i r="1">
      <x v="185"/>
    </i>
    <i r="1">
      <x v="190"/>
    </i>
    <i r="1">
      <x v="192"/>
    </i>
    <i r="1">
      <x v="194"/>
    </i>
    <i r="1">
      <x v="197"/>
    </i>
    <i r="1">
      <x v="198"/>
    </i>
    <i r="1">
      <x v="199"/>
    </i>
    <i r="1">
      <x v="200"/>
    </i>
    <i r="1">
      <x v="203"/>
    </i>
    <i r="1">
      <x v="205"/>
    </i>
    <i r="1">
      <x v="206"/>
    </i>
    <i r="1">
      <x v="211"/>
    </i>
    <i r="1">
      <x v="213"/>
    </i>
    <i r="1">
      <x v="215"/>
    </i>
    <i r="1">
      <x v="222"/>
    </i>
    <i r="1">
      <x v="226"/>
    </i>
    <i r="1">
      <x v="227"/>
    </i>
    <i r="1">
      <x v="231"/>
    </i>
    <i r="1">
      <x v="234"/>
    </i>
    <i r="1">
      <x v="237"/>
    </i>
    <i r="1">
      <x v="238"/>
    </i>
    <i r="1">
      <x v="240"/>
    </i>
    <i r="1">
      <x v="244"/>
    </i>
    <i r="1">
      <x v="245"/>
    </i>
    <i r="1">
      <x v="247"/>
    </i>
    <i r="1">
      <x v="251"/>
    </i>
    <i r="1">
      <x v="255"/>
    </i>
    <i r="1">
      <x v="257"/>
    </i>
    <i r="1">
      <x v="264"/>
    </i>
    <i r="1">
      <x v="265"/>
    </i>
    <i r="1">
      <x v="269"/>
    </i>
    <i r="1">
      <x v="270"/>
    </i>
    <i r="1">
      <x v="275"/>
    </i>
    <i r="1">
      <x v="276"/>
    </i>
    <i r="1">
      <x v="278"/>
    </i>
    <i r="1">
      <x v="279"/>
    </i>
    <i r="1">
      <x v="285"/>
    </i>
    <i r="1">
      <x v="288"/>
    </i>
    <i r="1">
      <x v="289"/>
    </i>
    <i r="1">
      <x v="290"/>
    </i>
    <i r="1">
      <x v="295"/>
    </i>
    <i r="1">
      <x v="301"/>
    </i>
    <i r="1">
      <x v="302"/>
    </i>
    <i r="1">
      <x v="305"/>
    </i>
    <i r="1">
      <x v="307"/>
    </i>
    <i r="1">
      <x v="310"/>
    </i>
    <i r="1">
      <x v="314"/>
    </i>
    <i r="1">
      <x v="321"/>
    </i>
    <i r="1">
      <x v="326"/>
    </i>
    <i r="1">
      <x v="327"/>
    </i>
    <i r="1">
      <x v="328"/>
    </i>
    <i r="1">
      <x v="330"/>
    </i>
    <i r="1">
      <x v="333"/>
    </i>
    <i r="1">
      <x v="335"/>
    </i>
    <i r="1">
      <x v="337"/>
    </i>
    <i r="1">
      <x v="338"/>
    </i>
    <i r="1">
      <x v="340"/>
    </i>
    <i r="1">
      <x v="341"/>
    </i>
    <i r="1">
      <x v="343"/>
    </i>
    <i r="1">
      <x v="346"/>
    </i>
    <i r="1">
      <x v="347"/>
    </i>
    <i r="1">
      <x v="349"/>
    </i>
    <i r="1">
      <x v="351"/>
    </i>
    <i r="1">
      <x v="354"/>
    </i>
    <i r="1">
      <x v="355"/>
    </i>
    <i r="1">
      <x v="357"/>
    </i>
    <i r="1">
      <x v="360"/>
    </i>
    <i r="1">
      <x v="361"/>
    </i>
    <i r="1">
      <x v="362"/>
    </i>
    <i r="1">
      <x v="369"/>
    </i>
    <i r="1">
      <x v="373"/>
    </i>
    <i r="1">
      <x v="374"/>
    </i>
    <i r="1">
      <x v="375"/>
    </i>
    <i r="1">
      <x v="379"/>
    </i>
    <i r="1">
      <x v="382"/>
    </i>
    <i r="1">
      <x v="385"/>
    </i>
    <i r="1">
      <x v="388"/>
    </i>
    <i r="1">
      <x v="389"/>
    </i>
    <i r="1">
      <x v="391"/>
    </i>
    <i r="1">
      <x v="395"/>
    </i>
    <i r="1">
      <x v="396"/>
    </i>
    <i r="1">
      <x v="401"/>
    </i>
    <i r="1">
      <x v="403"/>
    </i>
    <i r="1">
      <x v="407"/>
    </i>
    <i r="1">
      <x v="410"/>
    </i>
    <i r="1">
      <x v="415"/>
    </i>
    <i r="1">
      <x v="418"/>
    </i>
    <i r="1">
      <x v="422"/>
    </i>
    <i r="1">
      <x v="423"/>
    </i>
    <i r="1">
      <x v="431"/>
    </i>
    <i r="1">
      <x v="433"/>
    </i>
    <i r="1">
      <x v="434"/>
    </i>
    <i r="1">
      <x v="436"/>
    </i>
    <i r="1">
      <x v="437"/>
    </i>
    <i r="1">
      <x v="439"/>
    </i>
    <i r="1">
      <x v="443"/>
    </i>
    <i r="1">
      <x v="445"/>
    </i>
    <i r="1">
      <x v="447"/>
    </i>
    <i r="1">
      <x v="452"/>
    </i>
    <i r="1">
      <x v="453"/>
    </i>
    <i r="1">
      <x v="454"/>
    </i>
    <i r="1">
      <x v="460"/>
    </i>
    <i r="1">
      <x v="462"/>
    </i>
    <i r="1">
      <x v="463"/>
    </i>
    <i r="1">
      <x v="464"/>
    </i>
    <i r="1">
      <x v="465"/>
    </i>
    <i r="1">
      <x v="466"/>
    </i>
    <i r="1">
      <x v="468"/>
    </i>
    <i r="1">
      <x v="469"/>
    </i>
    <i r="1">
      <x v="470"/>
    </i>
    <i r="1">
      <x v="471"/>
    </i>
    <i r="1">
      <x v="478"/>
    </i>
    <i r="1">
      <x v="479"/>
    </i>
    <i r="1">
      <x v="482"/>
    </i>
    <i r="1">
      <x v="484"/>
    </i>
    <i r="1">
      <x v="486"/>
    </i>
    <i r="1">
      <x v="488"/>
    </i>
    <i r="1">
      <x v="492"/>
    </i>
    <i r="1">
      <x v="494"/>
    </i>
    <i r="1">
      <x v="495"/>
    </i>
    <i r="1">
      <x v="498"/>
    </i>
    <i r="1">
      <x v="502"/>
    </i>
    <i r="1">
      <x v="512"/>
    </i>
    <i r="1">
      <x v="522"/>
    </i>
    <i r="1">
      <x v="527"/>
    </i>
    <i r="1">
      <x v="528"/>
    </i>
    <i r="1">
      <x v="530"/>
    </i>
    <i r="1">
      <x v="532"/>
    </i>
    <i r="1">
      <x v="534"/>
    </i>
    <i r="1">
      <x v="536"/>
    </i>
    <i r="1">
      <x v="538"/>
    </i>
    <i r="1">
      <x v="539"/>
    </i>
    <i r="1">
      <x v="541"/>
    </i>
    <i r="1">
      <x v="542"/>
    </i>
    <i r="1">
      <x v="543"/>
    </i>
    <i r="1">
      <x v="545"/>
    </i>
    <i r="1">
      <x v="550"/>
    </i>
    <i r="1">
      <x v="552"/>
    </i>
    <i r="1">
      <x v="567"/>
    </i>
    <i r="1">
      <x v="568"/>
    </i>
    <i r="1">
      <x v="573"/>
    </i>
    <i r="1">
      <x v="577"/>
    </i>
    <i r="1">
      <x v="579"/>
    </i>
    <i r="1">
      <x v="582"/>
    </i>
    <i r="1">
      <x v="591"/>
    </i>
    <i r="1">
      <x v="592"/>
    </i>
    <i r="1">
      <x v="598"/>
    </i>
    <i r="1">
      <x v="600"/>
    </i>
    <i r="1">
      <x v="601"/>
    </i>
    <i r="1">
      <x v="608"/>
    </i>
    <i r="1">
      <x v="609"/>
    </i>
    <i r="1">
      <x v="613"/>
    </i>
    <i r="1">
      <x v="615"/>
    </i>
    <i r="1">
      <x v="616"/>
    </i>
    <i r="1">
      <x v="617"/>
    </i>
    <i r="1">
      <x v="618"/>
    </i>
    <i r="1">
      <x v="622"/>
    </i>
    <i r="1">
      <x v="629"/>
    </i>
    <i r="1">
      <x v="630"/>
    </i>
    <i r="1">
      <x v="634"/>
    </i>
    <i r="1">
      <x v="638"/>
    </i>
    <i r="1">
      <x v="639"/>
    </i>
    <i r="1">
      <x v="640"/>
    </i>
    <i r="1">
      <x v="643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61"/>
    </i>
    <i r="1">
      <x v="662"/>
    </i>
    <i r="1">
      <x v="673"/>
    </i>
    <i r="1">
      <x v="674"/>
    </i>
    <i r="1">
      <x v="675"/>
    </i>
    <i r="1">
      <x v="677"/>
    </i>
    <i r="1">
      <x v="680"/>
    </i>
    <i r="1">
      <x v="682"/>
    </i>
    <i r="1">
      <x v="683"/>
    </i>
    <i r="1">
      <x v="684"/>
    </i>
    <i r="1">
      <x v="686"/>
    </i>
    <i r="1">
      <x v="689"/>
    </i>
    <i r="1">
      <x v="690"/>
    </i>
    <i r="1">
      <x v="696"/>
    </i>
    <i r="1">
      <x v="697"/>
    </i>
    <i r="1">
      <x v="701"/>
    </i>
    <i r="1">
      <x v="705"/>
    </i>
    <i r="1">
      <x v="706"/>
    </i>
    <i r="1">
      <x v="707"/>
    </i>
    <i r="1">
      <x v="708"/>
    </i>
    <i r="1">
      <x v="710"/>
    </i>
    <i r="1">
      <x v="721"/>
    </i>
    <i r="1">
      <x v="723"/>
    </i>
    <i r="1">
      <x v="724"/>
    </i>
    <i r="1">
      <x v="730"/>
    </i>
    <i r="1">
      <x v="733"/>
    </i>
    <i r="1">
      <x v="734"/>
    </i>
    <i r="1">
      <x v="735"/>
    </i>
    <i r="1">
      <x v="736"/>
    </i>
    <i r="1">
      <x v="739"/>
    </i>
    <i r="1">
      <x v="740"/>
    </i>
    <i r="1">
      <x v="743"/>
    </i>
    <i r="1">
      <x v="744"/>
    </i>
    <i r="1">
      <x v="745"/>
    </i>
    <i r="1">
      <x v="746"/>
    </i>
    <i r="1">
      <x v="747"/>
    </i>
    <i r="1">
      <x v="756"/>
    </i>
    <i r="1">
      <x v="757"/>
    </i>
    <i r="1">
      <x v="758"/>
    </i>
    <i r="1">
      <x v="762"/>
    </i>
    <i r="1">
      <x v="765"/>
    </i>
    <i r="1">
      <x v="769"/>
    </i>
    <i r="1">
      <x v="770"/>
    </i>
    <i r="1">
      <x v="773"/>
    </i>
    <i r="1">
      <x v="774"/>
    </i>
    <i r="1">
      <x v="775"/>
    </i>
    <i r="1">
      <x v="777"/>
    </i>
    <i r="1">
      <x v="778"/>
    </i>
    <i r="1">
      <x v="779"/>
    </i>
    <i r="1">
      <x v="780"/>
    </i>
    <i r="1">
      <x v="782"/>
    </i>
    <i r="1">
      <x v="785"/>
    </i>
    <i r="1">
      <x v="786"/>
    </i>
    <i r="1">
      <x v="787"/>
    </i>
    <i r="1">
      <x v="789"/>
    </i>
    <i r="1">
      <x v="792"/>
    </i>
    <i r="1">
      <x v="793"/>
    </i>
    <i r="1">
      <x v="796"/>
    </i>
    <i r="1">
      <x v="797"/>
    </i>
    <i r="1">
      <x v="799"/>
    </i>
    <i r="1">
      <x v="800"/>
    </i>
    <i r="1">
      <x v="809"/>
    </i>
    <i r="1">
      <x v="810"/>
    </i>
    <i r="1">
      <x v="816"/>
    </i>
    <i r="1">
      <x v="817"/>
    </i>
    <i r="1">
      <x v="818"/>
    </i>
    <i r="1">
      <x v="820"/>
    </i>
    <i r="1">
      <x v="823"/>
    </i>
    <i r="1">
      <x v="825"/>
    </i>
    <i r="1">
      <x v="826"/>
    </i>
    <i r="1">
      <x v="827"/>
    </i>
    <i r="1">
      <x v="828"/>
    </i>
    <i r="1">
      <x v="830"/>
    </i>
    <i r="1">
      <x v="833"/>
    </i>
    <i r="1">
      <x v="834"/>
    </i>
    <i r="1">
      <x v="835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50"/>
    </i>
    <i r="1">
      <x v="853"/>
    </i>
    <i r="1">
      <x v="855"/>
    </i>
    <i r="1">
      <x v="857"/>
    </i>
    <i r="1">
      <x v="858"/>
    </i>
    <i r="1">
      <x v="859"/>
    </i>
    <i r="1">
      <x v="862"/>
    </i>
    <i r="1">
      <x v="867"/>
    </i>
    <i r="1">
      <x v="869"/>
    </i>
    <i r="1">
      <x v="870"/>
    </i>
    <i r="1">
      <x v="872"/>
    </i>
    <i r="1">
      <x v="874"/>
    </i>
    <i r="1">
      <x v="875"/>
    </i>
    <i r="1">
      <x v="881"/>
    </i>
    <i r="1">
      <x v="883"/>
    </i>
    <i r="1">
      <x v="884"/>
    </i>
    <i r="1">
      <x v="885"/>
    </i>
    <i r="1">
      <x v="887"/>
    </i>
    <i r="1">
      <x v="889"/>
    </i>
    <i r="1">
      <x v="894"/>
    </i>
    <i r="1">
      <x v="895"/>
    </i>
    <i r="1">
      <x v="897"/>
    </i>
    <i r="1">
      <x v="898"/>
    </i>
    <i r="1">
      <x v="900"/>
    </i>
    <i r="1">
      <x v="904"/>
    </i>
    <i r="1">
      <x v="905"/>
    </i>
    <i r="1">
      <x v="906"/>
    </i>
    <i r="1">
      <x v="909"/>
    </i>
    <i r="1">
      <x v="910"/>
    </i>
    <i r="1">
      <x v="911"/>
    </i>
    <i r="1">
      <x v="913"/>
    </i>
    <i r="1">
      <x v="916"/>
    </i>
    <i r="1">
      <x v="920"/>
    </i>
    <i r="1">
      <x v="921"/>
    </i>
    <i r="1">
      <x v="924"/>
    </i>
    <i r="1">
      <x v="925"/>
    </i>
    <i r="1">
      <x v="931"/>
    </i>
    <i r="1">
      <x v="936"/>
    </i>
    <i r="1">
      <x v="939"/>
    </i>
    <i r="1">
      <x v="944"/>
    </i>
    <i r="1">
      <x v="948"/>
    </i>
    <i r="1">
      <x v="949"/>
    </i>
    <i r="1">
      <x v="951"/>
    </i>
    <i r="1">
      <x v="957"/>
    </i>
    <i r="1">
      <x v="961"/>
    </i>
    <i r="1">
      <x v="966"/>
    </i>
    <i r="1">
      <x v="967"/>
    </i>
    <i r="1">
      <x v="973"/>
    </i>
    <i r="1">
      <x v="974"/>
    </i>
    <i r="1">
      <x v="979"/>
    </i>
    <i r="1">
      <x v="980"/>
    </i>
    <i r="1">
      <x v="982"/>
    </i>
    <i r="1">
      <x v="983"/>
    </i>
    <i r="1">
      <x v="984"/>
    </i>
    <i r="1">
      <x v="986"/>
    </i>
    <i r="1">
      <x v="987"/>
    </i>
    <i r="1">
      <x v="988"/>
    </i>
    <i r="1">
      <x v="991"/>
    </i>
    <i r="1">
      <x v="992"/>
    </i>
    <i r="1">
      <x v="994"/>
    </i>
    <i r="1">
      <x v="995"/>
    </i>
    <i r="1">
      <x v="997"/>
    </i>
    <i r="1">
      <x v="1004"/>
    </i>
    <i r="1">
      <x v="1005"/>
    </i>
    <i r="1">
      <x v="1006"/>
    </i>
    <i r="1">
      <x v="1008"/>
    </i>
    <i r="1">
      <x v="1010"/>
    </i>
    <i r="1">
      <x v="1012"/>
    </i>
    <i r="1">
      <x v="1016"/>
    </i>
    <i r="1">
      <x v="1020"/>
    </i>
    <i r="1">
      <x v="1021"/>
    </i>
    <i r="1">
      <x v="1025"/>
    </i>
    <i r="1">
      <x v="1026"/>
    </i>
    <i r="1">
      <x v="1027"/>
    </i>
    <i r="1">
      <x v="1032"/>
    </i>
    <i r="1">
      <x v="1034"/>
    </i>
    <i r="1">
      <x v="1037"/>
    </i>
    <i r="1">
      <x v="1040"/>
    </i>
    <i r="1">
      <x v="1042"/>
    </i>
    <i r="1">
      <x v="1043"/>
    </i>
    <i r="1">
      <x v="1044"/>
    </i>
    <i r="1">
      <x v="1052"/>
    </i>
    <i r="1">
      <x v="1054"/>
    </i>
    <i r="1">
      <x v="1055"/>
    </i>
    <i r="1">
      <x v="1062"/>
    </i>
    <i r="1">
      <x v="1064"/>
    </i>
    <i r="1">
      <x v="1066"/>
    </i>
    <i r="1">
      <x v="1067"/>
    </i>
    <i r="1">
      <x v="1068"/>
    </i>
    <i r="1">
      <x v="1069"/>
    </i>
    <i r="1">
      <x v="1072"/>
    </i>
    <i r="1">
      <x v="1078"/>
    </i>
    <i r="1">
      <x v="1079"/>
    </i>
    <i r="1">
      <x v="1088"/>
    </i>
    <i r="1">
      <x v="1089"/>
    </i>
    <i r="1">
      <x v="1091"/>
    </i>
    <i r="1">
      <x v="1092"/>
    </i>
    <i r="1">
      <x v="1093"/>
    </i>
    <i r="1">
      <x v="1094"/>
    </i>
    <i r="1">
      <x v="1100"/>
    </i>
    <i r="1">
      <x v="1101"/>
    </i>
    <i r="1">
      <x v="1102"/>
    </i>
    <i r="1">
      <x v="1105"/>
    </i>
    <i r="1">
      <x v="1108"/>
    </i>
    <i r="1">
      <x v="1109"/>
    </i>
    <i r="1">
      <x v="1110"/>
    </i>
    <i r="1">
      <x v="1111"/>
    </i>
    <i r="1">
      <x v="1112"/>
    </i>
    <i r="1">
      <x v="1113"/>
    </i>
    <i r="1">
      <x v="1114"/>
    </i>
    <i r="1">
      <x v="1116"/>
    </i>
    <i r="1">
      <x v="1117"/>
    </i>
    <i r="1">
      <x v="1118"/>
    </i>
    <i r="1">
      <x v="1119"/>
    </i>
    <i r="1">
      <x v="1127"/>
    </i>
    <i r="1">
      <x v="1128"/>
    </i>
    <i r="1">
      <x v="1130"/>
    </i>
    <i r="1">
      <x v="1132"/>
    </i>
    <i r="1">
      <x v="1137"/>
    </i>
    <i r="1">
      <x v="1140"/>
    </i>
    <i r="1">
      <x v="1144"/>
    </i>
    <i r="1">
      <x v="1145"/>
    </i>
    <i r="1">
      <x v="1146"/>
    </i>
    <i r="1">
      <x v="1149"/>
    </i>
    <i r="1">
      <x v="1152"/>
    </i>
    <i r="1">
      <x v="1160"/>
    </i>
    <i r="1">
      <x v="1162"/>
    </i>
    <i r="1">
      <x v="1163"/>
    </i>
    <i r="1">
      <x v="1167"/>
    </i>
    <i r="1">
      <x v="1168"/>
    </i>
    <i r="1">
      <x v="1172"/>
    </i>
    <i r="1">
      <x v="1176"/>
    </i>
    <i r="1">
      <x v="1177"/>
    </i>
    <i r="1">
      <x v="1179"/>
    </i>
    <i r="1">
      <x v="1180"/>
    </i>
    <i r="1">
      <x v="1190"/>
    </i>
    <i r="1">
      <x v="1192"/>
    </i>
    <i r="1">
      <x v="1194"/>
    </i>
    <i r="1">
      <x v="1198"/>
    </i>
    <i r="1">
      <x v="1201"/>
    </i>
    <i r="1">
      <x v="1202"/>
    </i>
    <i r="1">
      <x v="1205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6"/>
    </i>
    <i r="1">
      <x v="1223"/>
    </i>
    <i r="1">
      <x v="1229"/>
    </i>
    <i r="1">
      <x v="1231"/>
    </i>
    <i r="1">
      <x v="1233"/>
    </i>
    <i r="1">
      <x v="1234"/>
    </i>
    <i r="1">
      <x v="1235"/>
    </i>
    <i r="1">
      <x v="1237"/>
    </i>
    <i r="1">
      <x v="1238"/>
    </i>
    <i r="1">
      <x v="1239"/>
    </i>
    <i r="1">
      <x v="1241"/>
    </i>
    <i r="1">
      <x v="1243"/>
    </i>
    <i r="1">
      <x v="1247"/>
    </i>
    <i r="1">
      <x v="1249"/>
    </i>
    <i r="1">
      <x v="1253"/>
    </i>
    <i r="1">
      <x v="1255"/>
    </i>
    <i r="1">
      <x v="1260"/>
    </i>
    <i r="1">
      <x v="1261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71"/>
    </i>
    <i r="1">
      <x v="1272"/>
    </i>
    <i r="1">
      <x v="1276"/>
    </i>
    <i r="1">
      <x v="1279"/>
    </i>
    <i r="1">
      <x v="1284"/>
    </i>
    <i r="1">
      <x v="1290"/>
    </i>
    <i r="1">
      <x v="1293"/>
    </i>
    <i r="1">
      <x v="1294"/>
    </i>
    <i r="1">
      <x v="1296"/>
    </i>
    <i r="1">
      <x v="1299"/>
    </i>
    <i r="1">
      <x v="1303"/>
    </i>
    <i r="1">
      <x v="1310"/>
    </i>
    <i r="1">
      <x v="1316"/>
    </i>
    <i r="1">
      <x v="1317"/>
    </i>
    <i r="1">
      <x v="1324"/>
    </i>
    <i r="1">
      <x v="1328"/>
    </i>
    <i r="1">
      <x v="1330"/>
    </i>
    <i r="1">
      <x v="1331"/>
    </i>
    <i r="1">
      <x v="1332"/>
    </i>
    <i r="1">
      <x v="1335"/>
    </i>
    <i r="1">
      <x v="1336"/>
    </i>
    <i r="1">
      <x v="1337"/>
    </i>
    <i r="1">
      <x v="1338"/>
    </i>
    <i r="1">
      <x v="1339"/>
    </i>
    <i r="1">
      <x v="1342"/>
    </i>
    <i r="1">
      <x v="1343"/>
    </i>
    <i r="1">
      <x v="1345"/>
    </i>
    <i r="1">
      <x v="1346"/>
    </i>
    <i r="1">
      <x v="1347"/>
    </i>
    <i r="1">
      <x v="1350"/>
    </i>
    <i r="1">
      <x v="1351"/>
    </i>
    <i r="1">
      <x v="1356"/>
    </i>
    <i r="1">
      <x v="1357"/>
    </i>
    <i r="1">
      <x v="1362"/>
    </i>
    <i r="1">
      <x v="1363"/>
    </i>
    <i r="1">
      <x v="1365"/>
    </i>
    <i r="1">
      <x v="1367"/>
    </i>
    <i r="1">
      <x v="1372"/>
    </i>
    <i r="1">
      <x v="1373"/>
    </i>
    <i r="1">
      <x v="1374"/>
    </i>
    <i r="1">
      <x v="1375"/>
    </i>
    <i r="1">
      <x v="1383"/>
    </i>
    <i r="1">
      <x v="1386"/>
    </i>
    <i r="1">
      <x v="1388"/>
    </i>
    <i r="1">
      <x v="1389"/>
    </i>
    <i r="1">
      <x v="1390"/>
    </i>
    <i r="1">
      <x v="1391"/>
    </i>
    <i r="1">
      <x v="1393"/>
    </i>
    <i r="1">
      <x v="1397"/>
    </i>
    <i r="1">
      <x v="1402"/>
    </i>
    <i r="1">
      <x v="1408"/>
    </i>
    <i r="1">
      <x v="1411"/>
    </i>
    <i r="1">
      <x v="1416"/>
    </i>
    <i r="1">
      <x v="1417"/>
    </i>
    <i r="1">
      <x v="1420"/>
    </i>
    <i r="1">
      <x v="1421"/>
    </i>
    <i r="1">
      <x v="1422"/>
    </i>
    <i r="1">
      <x v="1423"/>
    </i>
    <i r="1">
      <x v="1428"/>
    </i>
    <i r="1">
      <x v="1430"/>
    </i>
    <i r="1">
      <x v="1433"/>
    </i>
    <i r="1">
      <x v="1440"/>
    </i>
    <i r="1">
      <x v="1442"/>
    </i>
    <i r="1">
      <x v="1445"/>
    </i>
    <i r="1">
      <x v="1447"/>
    </i>
    <i r="1">
      <x v="1458"/>
    </i>
    <i r="1">
      <x v="1459"/>
    </i>
    <i r="1">
      <x v="1461"/>
    </i>
    <i r="1">
      <x v="1464"/>
    </i>
    <i r="1">
      <x v="1465"/>
    </i>
    <i r="1">
      <x v="1467"/>
    </i>
    <i r="1">
      <x v="1468"/>
    </i>
    <i r="1">
      <x v="1469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90"/>
    </i>
    <i r="1">
      <x v="1491"/>
    </i>
    <i r="1">
      <x v="1493"/>
    </i>
    <i r="1">
      <x v="1499"/>
    </i>
    <i r="1">
      <x v="1516"/>
    </i>
    <i r="1">
      <x v="1519"/>
    </i>
    <i r="1">
      <x v="1520"/>
    </i>
    <i r="1">
      <x v="1524"/>
    </i>
    <i r="1">
      <x v="1536"/>
    </i>
    <i r="1">
      <x v="1537"/>
    </i>
    <i r="1">
      <x v="1538"/>
    </i>
    <i r="1">
      <x v="1547"/>
    </i>
    <i r="1">
      <x v="1548"/>
    </i>
    <i r="1">
      <x v="1549"/>
    </i>
    <i r="1">
      <x v="1551"/>
    </i>
    <i r="1">
      <x v="1556"/>
    </i>
    <i r="1">
      <x v="1559"/>
    </i>
    <i r="1">
      <x v="1564"/>
    </i>
    <i r="1">
      <x v="1565"/>
    </i>
    <i r="1">
      <x v="1566"/>
    </i>
    <i r="1">
      <x v="1568"/>
    </i>
    <i r="1">
      <x v="1576"/>
    </i>
    <i r="1">
      <x v="1584"/>
    </i>
    <i r="1">
      <x v="1586"/>
    </i>
    <i r="1">
      <x v="1587"/>
    </i>
    <i r="1">
      <x v="1588"/>
    </i>
    <i r="1">
      <x v="1589"/>
    </i>
    <i r="1">
      <x v="1592"/>
    </i>
    <i r="1">
      <x v="1593"/>
    </i>
    <i r="1">
      <x v="1594"/>
    </i>
    <i r="1">
      <x v="1596"/>
    </i>
    <i r="1">
      <x v="1601"/>
    </i>
    <i r="1">
      <x v="1606"/>
    </i>
    <i r="1">
      <x v="1607"/>
    </i>
    <i r="1">
      <x v="1611"/>
    </i>
    <i r="1">
      <x v="1624"/>
    </i>
    <i r="1">
      <x v="1627"/>
    </i>
    <i r="1">
      <x v="1630"/>
    </i>
    <i r="1">
      <x v="1636"/>
    </i>
    <i r="1">
      <x v="1640"/>
    </i>
    <i r="1">
      <x v="1641"/>
    </i>
    <i r="1">
      <x v="1642"/>
    </i>
    <i r="1">
      <x v="1643"/>
    </i>
    <i r="1">
      <x v="1644"/>
    </i>
    <i r="1">
      <x v="1646"/>
    </i>
    <i r="1">
      <x v="1647"/>
    </i>
    <i r="1">
      <x v="1649"/>
    </i>
    <i r="1">
      <x v="1650"/>
    </i>
    <i r="1">
      <x v="1651"/>
    </i>
    <i r="1">
      <x v="1654"/>
    </i>
    <i r="1">
      <x v="1655"/>
    </i>
    <i r="1">
      <x v="1657"/>
    </i>
    <i r="1">
      <x v="1658"/>
    </i>
    <i r="1">
      <x v="1663"/>
    </i>
    <i r="1">
      <x v="1666"/>
    </i>
    <i r="1">
      <x v="1667"/>
    </i>
    <i r="1">
      <x v="1669"/>
    </i>
    <i r="1">
      <x v="1671"/>
    </i>
    <i r="1">
      <x v="1677"/>
    </i>
    <i r="1">
      <x v="1678"/>
    </i>
    <i r="1">
      <x v="1681"/>
    </i>
    <i r="1">
      <x v="1684"/>
    </i>
    <i r="1">
      <x v="1686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700"/>
    </i>
    <i r="1">
      <x v="1701"/>
    </i>
    <i r="1">
      <x v="1702"/>
    </i>
    <i r="1">
      <x v="1703"/>
    </i>
    <i r="1">
      <x v="1704"/>
    </i>
    <i r="1">
      <x v="1708"/>
    </i>
    <i r="1">
      <x v="1709"/>
    </i>
    <i r="1">
      <x v="1710"/>
    </i>
    <i r="1">
      <x v="1711"/>
    </i>
    <i r="1">
      <x v="1713"/>
    </i>
    <i r="1">
      <x v="1715"/>
    </i>
    <i r="1">
      <x v="1717"/>
    </i>
    <i r="1">
      <x v="1718"/>
    </i>
    <i r="1">
      <x v="1720"/>
    </i>
    <i r="1">
      <x v="1722"/>
    </i>
    <i r="1">
      <x v="1725"/>
    </i>
    <i r="1">
      <x v="1726"/>
    </i>
    <i r="1">
      <x v="1728"/>
    </i>
    <i r="1">
      <x v="1729"/>
    </i>
    <i r="1">
      <x v="1734"/>
    </i>
    <i r="1">
      <x v="1745"/>
    </i>
    <i r="1">
      <x v="1755"/>
    </i>
    <i r="1">
      <x v="1757"/>
    </i>
    <i r="1">
      <x v="1758"/>
    </i>
    <i r="1">
      <x v="1769"/>
    </i>
    <i r="1">
      <x v="1770"/>
    </i>
    <i r="1">
      <x v="1781"/>
    </i>
    <i r="1">
      <x v="1783"/>
    </i>
    <i r="1">
      <x v="1784"/>
    </i>
    <i r="1">
      <x v="1792"/>
    </i>
    <i r="1">
      <x v="1798"/>
    </i>
    <i r="1">
      <x v="1801"/>
    </i>
    <i r="1">
      <x v="1808"/>
    </i>
    <i t="grand">
      <x/>
    </i>
  </rowItems>
  <colItems count="1">
    <i/>
  </colItems>
  <pageFields count="1">
    <pageField fld="15" hier="-1"/>
  </pageFields>
  <dataFields count="1">
    <dataField name="Total" fld="15" subtotal="count" baseField="0" baseItem="0"/>
  </dataFields>
  <formats count="42">
    <format dxfId="99">
      <pivotArea dataOnly="0" labelOnly="1" outline="0" fieldPosition="0">
        <references count="1">
          <reference field="15" count="0"/>
        </references>
      </pivotArea>
    </format>
    <format dxfId="98">
      <pivotArea field="15" type="button" dataOnly="0" labelOnly="1" outline="0" axis="axisPage" fieldPosition="0"/>
    </format>
    <format dxfId="97">
      <pivotArea field="3" type="button" dataOnly="0" labelOnly="1" outline="0" axis="axisRow" fieldPosition="0"/>
    </format>
    <format dxfId="96">
      <pivotArea dataOnly="0" labelOnly="1" outline="0" axis="axisValues" fieldPosition="0"/>
    </format>
    <format dxfId="95">
      <pivotArea field="3" type="button" dataOnly="0" labelOnly="1" outline="0" axis="axisRow" fieldPosition="0"/>
    </format>
    <format dxfId="94">
      <pivotArea dataOnly="0" labelOnly="1" outline="0" axis="axisValues" fieldPosition="0"/>
    </format>
    <format dxfId="93">
      <pivotArea collapsedLevelsAreSubtotals="1" fieldPosition="0">
        <references count="1">
          <reference field="3" count="1">
            <x v="0"/>
          </reference>
        </references>
      </pivotArea>
    </format>
    <format dxfId="92">
      <pivotArea dataOnly="0" labelOnly="1" fieldPosition="0">
        <references count="1">
          <reference field="3" count="1">
            <x v="0"/>
          </reference>
        </references>
      </pivotArea>
    </format>
    <format dxfId="91">
      <pivotArea collapsedLevelsAreSubtotals="1" fieldPosition="0">
        <references count="1">
          <reference field="3" count="1">
            <x v="1"/>
          </reference>
        </references>
      </pivotArea>
    </format>
    <format dxfId="90">
      <pivotArea dataOnly="0" labelOnly="1" fieldPosition="0">
        <references count="1">
          <reference field="3" count="1">
            <x v="1"/>
          </reference>
        </references>
      </pivotArea>
    </format>
    <format dxfId="89">
      <pivotArea collapsedLevelsAreSubtotals="1" fieldPosition="0">
        <references count="1">
          <reference field="3" count="1">
            <x v="2"/>
          </reference>
        </references>
      </pivotArea>
    </format>
    <format dxfId="88">
      <pivotArea dataOnly="0" labelOnly="1" fieldPosition="0">
        <references count="1">
          <reference field="3" count="1">
            <x v="2"/>
          </reference>
        </references>
      </pivotArea>
    </format>
    <format dxfId="87">
      <pivotArea collapsedLevelsAreSubtotals="1" fieldPosition="0">
        <references count="1">
          <reference field="3" count="1">
            <x v="3"/>
          </reference>
        </references>
      </pivotArea>
    </format>
    <format dxfId="86">
      <pivotArea dataOnly="0" labelOnly="1" fieldPosition="0">
        <references count="1">
          <reference field="3" count="1">
            <x v="3"/>
          </reference>
        </references>
      </pivotArea>
    </format>
    <format dxfId="85">
      <pivotArea collapsedLevelsAreSubtotals="1" fieldPosition="0">
        <references count="1">
          <reference field="3" count="1">
            <x v="4"/>
          </reference>
        </references>
      </pivotArea>
    </format>
    <format dxfId="84">
      <pivotArea dataOnly="0" labelOnly="1" fieldPosition="0">
        <references count="1">
          <reference field="3" count="1">
            <x v="4"/>
          </reference>
        </references>
      </pivotArea>
    </format>
    <format dxfId="83">
      <pivotArea collapsedLevelsAreSubtotals="1" fieldPosition="0">
        <references count="1">
          <reference field="3" count="1">
            <x v="5"/>
          </reference>
        </references>
      </pivotArea>
    </format>
    <format dxfId="82">
      <pivotArea dataOnly="0" labelOnly="1" fieldPosition="0">
        <references count="1">
          <reference field="3" count="1">
            <x v="5"/>
          </reference>
        </references>
      </pivotArea>
    </format>
    <format dxfId="81">
      <pivotArea collapsedLevelsAreSubtotals="1" fieldPosition="0">
        <references count="1">
          <reference field="3" count="1">
            <x v="6"/>
          </reference>
        </references>
      </pivotArea>
    </format>
    <format dxfId="80">
      <pivotArea dataOnly="0" labelOnly="1" fieldPosition="0">
        <references count="1">
          <reference field="3" count="1">
            <x v="6"/>
          </reference>
        </references>
      </pivotArea>
    </format>
    <format dxfId="79">
      <pivotArea collapsedLevelsAreSubtotals="1" fieldPosition="0">
        <references count="1">
          <reference field="3" count="1">
            <x v="7"/>
          </reference>
        </references>
      </pivotArea>
    </format>
    <format dxfId="78">
      <pivotArea dataOnly="0" labelOnly="1" fieldPosition="0">
        <references count="1">
          <reference field="3" count="1">
            <x v="7"/>
          </reference>
        </references>
      </pivotArea>
    </format>
    <format dxfId="77">
      <pivotArea collapsedLevelsAreSubtotals="1" fieldPosition="0">
        <references count="1">
          <reference field="3" count="1">
            <x v="8"/>
          </reference>
        </references>
      </pivotArea>
    </format>
    <format dxfId="76">
      <pivotArea dataOnly="0" labelOnly="1" fieldPosition="0">
        <references count="1">
          <reference field="3" count="1">
            <x v="8"/>
          </reference>
        </references>
      </pivotArea>
    </format>
    <format dxfId="75">
      <pivotArea collapsedLevelsAreSubtotals="1" fieldPosition="0">
        <references count="1">
          <reference field="3" count="1">
            <x v="9"/>
          </reference>
        </references>
      </pivotArea>
    </format>
    <format dxfId="74">
      <pivotArea dataOnly="0" labelOnly="1" fieldPosition="0">
        <references count="1">
          <reference field="3" count="1">
            <x v="9"/>
          </reference>
        </references>
      </pivotArea>
    </format>
    <format dxfId="73">
      <pivotArea collapsedLevelsAreSubtotals="1" fieldPosition="0">
        <references count="1">
          <reference field="3" count="1">
            <x v="10"/>
          </reference>
        </references>
      </pivotArea>
    </format>
    <format dxfId="72">
      <pivotArea dataOnly="0" labelOnly="1" fieldPosition="0">
        <references count="1">
          <reference field="3" count="1">
            <x v="10"/>
          </reference>
        </references>
      </pivotArea>
    </format>
    <format dxfId="71">
      <pivotArea collapsedLevelsAreSubtotals="1" fieldPosition="0">
        <references count="1">
          <reference field="3" count="1">
            <x v="11"/>
          </reference>
        </references>
      </pivotArea>
    </format>
    <format dxfId="70">
      <pivotArea dataOnly="0" labelOnly="1" fieldPosition="0">
        <references count="1">
          <reference field="3" count="1">
            <x v="11"/>
          </reference>
        </references>
      </pivotArea>
    </format>
    <format dxfId="69">
      <pivotArea collapsedLevelsAreSubtotals="1" fieldPosition="0">
        <references count="1">
          <reference field="3" count="1">
            <x v="12"/>
          </reference>
        </references>
      </pivotArea>
    </format>
    <format dxfId="68">
      <pivotArea dataOnly="0" labelOnly="1" fieldPosition="0">
        <references count="1">
          <reference field="3" count="1">
            <x v="12"/>
          </reference>
        </references>
      </pivotArea>
    </format>
    <format dxfId="67">
      <pivotArea collapsedLevelsAreSubtotals="1" fieldPosition="0">
        <references count="1">
          <reference field="3" count="1">
            <x v="13"/>
          </reference>
        </references>
      </pivotArea>
    </format>
    <format dxfId="66">
      <pivotArea dataOnly="0" labelOnly="1" fieldPosition="0">
        <references count="1">
          <reference field="3" count="1">
            <x v="13"/>
          </reference>
        </references>
      </pivotArea>
    </format>
    <format dxfId="65">
      <pivotArea collapsedLevelsAreSubtotals="1" fieldPosition="0">
        <references count="1">
          <reference field="3" count="1">
            <x v="14"/>
          </reference>
        </references>
      </pivotArea>
    </format>
    <format dxfId="64">
      <pivotArea dataOnly="0" labelOnly="1" fieldPosition="0">
        <references count="1">
          <reference field="3" count="1">
            <x v="14"/>
          </reference>
        </references>
      </pivotArea>
    </format>
    <format dxfId="63">
      <pivotArea collapsedLevelsAreSubtotals="1" fieldPosition="0">
        <references count="1">
          <reference field="3" count="1">
            <x v="15"/>
          </reference>
        </references>
      </pivotArea>
    </format>
    <format dxfId="62">
      <pivotArea dataOnly="0" labelOnly="1" fieldPosition="0">
        <references count="1">
          <reference field="3" count="1">
            <x v="15"/>
          </reference>
        </references>
      </pivotArea>
    </format>
    <format dxfId="61">
      <pivotArea collapsedLevelsAreSubtotals="1" fieldPosition="0">
        <references count="1">
          <reference field="3" count="1">
            <x v="16"/>
          </reference>
        </references>
      </pivotArea>
    </format>
    <format dxfId="60">
      <pivotArea dataOnly="0" labelOnly="1" fieldPosition="0">
        <references count="1">
          <reference field="3" count="1">
            <x v="16"/>
          </reference>
        </references>
      </pivotArea>
    </format>
    <format dxfId="59">
      <pivotArea grandRow="1" outline="0" collapsedLevelsAreSubtotals="1" fieldPosition="0"/>
    </format>
    <format dxfId="5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Publisher">
  <location ref="A3:B25" firstHeaderRow="1" firstDataRow="1" firstDataCol="1" rowPageCount="1" colPageCount="1"/>
  <pivotFields count="22">
    <pivotField numFmtId="22" showAll="0"/>
    <pivotField numFmtId="21" showAll="0"/>
    <pivotField showAll="0"/>
    <pivotField showAll="0"/>
    <pivotField showAll="0"/>
    <pivotField showAll="0"/>
    <pivotField showAll="0"/>
    <pivotField axis="axisRow" showAll="0">
      <items count="22">
        <item x="1"/>
        <item x="15"/>
        <item x="7"/>
        <item x="17"/>
        <item x="4"/>
        <item x="6"/>
        <item x="9"/>
        <item x="19"/>
        <item x="13"/>
        <item x="20"/>
        <item x="18"/>
        <item x="14"/>
        <item x="5"/>
        <item x="16"/>
        <item x="10"/>
        <item x="2"/>
        <item x="12"/>
        <item x="3"/>
        <item x="11"/>
        <item x="0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Type of Usage" axis="axisPage" dataField="1" showAll="0">
      <items count="5">
        <item x="1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7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1">
    <pageField fld="15" hier="-1"/>
  </pageFields>
  <dataFields count="1">
    <dataField name="Total" fld="15" subtotal="count" baseField="0" baseItem="0"/>
  </dataFields>
  <formats count="8">
    <format dxfId="57">
      <pivotArea field="15" type="button" dataOnly="0" labelOnly="1" outline="0" axis="axisPage" fieldPosition="0"/>
    </format>
    <format dxfId="56">
      <pivotArea dataOnly="0" labelOnly="1" outline="0" fieldPosition="0">
        <references count="1">
          <reference field="15" count="0"/>
        </references>
      </pivotArea>
    </format>
    <format dxfId="55">
      <pivotArea field="7" type="button" dataOnly="0" labelOnly="1" outline="0" axis="axisRow" fieldPosition="0"/>
    </format>
    <format dxfId="54">
      <pivotArea dataOnly="0" labelOnly="1" outline="0" axis="axisValues" fieldPosition="0"/>
    </format>
    <format dxfId="53">
      <pivotArea field="7" type="button" dataOnly="0" labelOnly="1" outline="0" axis="axisRow" fieldPosition="0"/>
    </format>
    <format dxfId="52">
      <pivotArea dataOnly="0" labelOnly="1" outline="0" axis="axisValues" fieldPosition="0"/>
    </format>
    <format dxfId="51">
      <pivotArea grandRow="1" outline="0" collapsedLevelsAreSubtotals="1" fieldPosition="0"/>
    </format>
    <format dxfId="5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Date">
  <location ref="A3:B8952" firstHeaderRow="1" firstDataRow="1" firstDataCol="1" rowPageCount="1" colPageCount="1"/>
  <pivotFields count="22">
    <pivotField axis="axisRow" numFmtId="22" showAll="0">
      <items count="8949">
        <item x="8947"/>
        <item x="8946"/>
        <item x="8945"/>
        <item x="8944"/>
        <item x="8943"/>
        <item x="8942"/>
        <item x="8941"/>
        <item x="8940"/>
        <item x="8939"/>
        <item x="8938"/>
        <item x="8937"/>
        <item x="8936"/>
        <item x="8935"/>
        <item x="8934"/>
        <item x="8933"/>
        <item x="8932"/>
        <item x="8931"/>
        <item x="8930"/>
        <item x="8929"/>
        <item x="8928"/>
        <item x="8927"/>
        <item x="8926"/>
        <item x="8925"/>
        <item x="8924"/>
        <item x="8923"/>
        <item x="8922"/>
        <item x="8921"/>
        <item x="8920"/>
        <item x="8919"/>
        <item x="8918"/>
        <item x="8917"/>
        <item x="8916"/>
        <item x="8915"/>
        <item x="8914"/>
        <item x="8913"/>
        <item x="8912"/>
        <item x="8911"/>
        <item x="8910"/>
        <item x="8909"/>
        <item x="8908"/>
        <item x="8907"/>
        <item x="8906"/>
        <item x="8905"/>
        <item x="8904"/>
        <item x="8903"/>
        <item x="8902"/>
        <item x="8901"/>
        <item x="8900"/>
        <item x="8899"/>
        <item x="8898"/>
        <item x="8897"/>
        <item x="8896"/>
        <item x="8895"/>
        <item x="8894"/>
        <item x="8893"/>
        <item x="8892"/>
        <item x="8891"/>
        <item x="8890"/>
        <item x="8889"/>
        <item x="8888"/>
        <item x="8887"/>
        <item x="8886"/>
        <item x="8885"/>
        <item x="8884"/>
        <item x="8883"/>
        <item x="8882"/>
        <item x="8881"/>
        <item x="8880"/>
        <item x="8879"/>
        <item x="8878"/>
        <item x="8877"/>
        <item x="8876"/>
        <item x="8875"/>
        <item x="8874"/>
        <item x="8873"/>
        <item x="8872"/>
        <item x="8871"/>
        <item x="8870"/>
        <item x="8869"/>
        <item x="8868"/>
        <item x="8867"/>
        <item x="8866"/>
        <item x="8865"/>
        <item x="8864"/>
        <item x="8863"/>
        <item x="8862"/>
        <item x="8861"/>
        <item x="8860"/>
        <item x="8859"/>
        <item x="8858"/>
        <item x="8857"/>
        <item x="8856"/>
        <item x="8855"/>
        <item x="8854"/>
        <item x="8853"/>
        <item x="8852"/>
        <item x="8851"/>
        <item x="8850"/>
        <item x="8849"/>
        <item x="8848"/>
        <item x="8847"/>
        <item x="8846"/>
        <item x="8845"/>
        <item x="8844"/>
        <item x="8843"/>
        <item x="8842"/>
        <item x="8841"/>
        <item x="8840"/>
        <item x="8839"/>
        <item x="8838"/>
        <item x="8837"/>
        <item x="8836"/>
        <item x="8835"/>
        <item x="8834"/>
        <item x="8833"/>
        <item x="8832"/>
        <item x="8831"/>
        <item x="8830"/>
        <item x="8829"/>
        <item x="8828"/>
        <item x="8827"/>
        <item x="8826"/>
        <item x="8825"/>
        <item x="8824"/>
        <item x="8823"/>
        <item x="8822"/>
        <item x="8821"/>
        <item x="8820"/>
        <item x="8819"/>
        <item x="8818"/>
        <item x="8817"/>
        <item x="8816"/>
        <item x="8815"/>
        <item x="8814"/>
        <item x="8813"/>
        <item x="8812"/>
        <item x="8811"/>
        <item x="8810"/>
        <item x="8809"/>
        <item x="8808"/>
        <item x="8807"/>
        <item x="8806"/>
        <item x="8805"/>
        <item x="8804"/>
        <item x="8803"/>
        <item x="8802"/>
        <item x="8801"/>
        <item x="8800"/>
        <item x="8799"/>
        <item x="8798"/>
        <item x="8797"/>
        <item x="8796"/>
        <item x="8795"/>
        <item x="8794"/>
        <item x="8793"/>
        <item x="8792"/>
        <item x="8791"/>
        <item x="8790"/>
        <item x="8789"/>
        <item x="8788"/>
        <item x="8787"/>
        <item x="8786"/>
        <item x="8785"/>
        <item x="8784"/>
        <item x="8783"/>
        <item x="8782"/>
        <item x="8781"/>
        <item x="8780"/>
        <item x="8779"/>
        <item x="8778"/>
        <item x="8777"/>
        <item x="8776"/>
        <item x="8775"/>
        <item x="8774"/>
        <item x="8773"/>
        <item x="8772"/>
        <item x="8771"/>
        <item x="8770"/>
        <item x="8769"/>
        <item x="8768"/>
        <item x="8767"/>
        <item x="8766"/>
        <item x="8765"/>
        <item x="8764"/>
        <item x="8763"/>
        <item x="8762"/>
        <item x="8761"/>
        <item x="8760"/>
        <item x="8759"/>
        <item x="8758"/>
        <item x="8757"/>
        <item x="8756"/>
        <item x="8755"/>
        <item x="8754"/>
        <item x="8753"/>
        <item x="8752"/>
        <item x="8751"/>
        <item x="8750"/>
        <item x="8749"/>
        <item x="8748"/>
        <item x="8747"/>
        <item x="8746"/>
        <item x="8745"/>
        <item x="8744"/>
        <item x="8743"/>
        <item x="8742"/>
        <item x="8741"/>
        <item x="8740"/>
        <item x="8739"/>
        <item x="8738"/>
        <item x="8737"/>
        <item x="8736"/>
        <item x="8735"/>
        <item x="8734"/>
        <item x="8733"/>
        <item x="8732"/>
        <item x="8731"/>
        <item x="8730"/>
        <item x="8729"/>
        <item x="8728"/>
        <item x="8727"/>
        <item x="8726"/>
        <item x="8725"/>
        <item x="8724"/>
        <item x="8723"/>
        <item x="8722"/>
        <item x="8721"/>
        <item x="8720"/>
        <item x="8719"/>
        <item x="8718"/>
        <item x="8717"/>
        <item x="8716"/>
        <item x="8715"/>
        <item x="8714"/>
        <item x="8713"/>
        <item x="8712"/>
        <item x="8711"/>
        <item x="8710"/>
        <item x="8709"/>
        <item x="8708"/>
        <item x="8707"/>
        <item x="8706"/>
        <item x="8705"/>
        <item x="8704"/>
        <item x="8703"/>
        <item x="8702"/>
        <item x="8701"/>
        <item x="8700"/>
        <item x="8699"/>
        <item x="8698"/>
        <item x="8697"/>
        <item x="8696"/>
        <item x="8695"/>
        <item x="8694"/>
        <item x="8693"/>
        <item x="8692"/>
        <item x="8691"/>
        <item x="8690"/>
        <item x="8689"/>
        <item x="8688"/>
        <item x="8687"/>
        <item x="8686"/>
        <item x="8685"/>
        <item x="8684"/>
        <item x="8683"/>
        <item x="8682"/>
        <item x="8681"/>
        <item x="8680"/>
        <item x="8679"/>
        <item x="8678"/>
        <item x="8677"/>
        <item x="8676"/>
        <item x="8675"/>
        <item x="8674"/>
        <item x="8673"/>
        <item x="8672"/>
        <item x="8671"/>
        <item x="8670"/>
        <item x="8669"/>
        <item x="8668"/>
        <item x="8667"/>
        <item x="8666"/>
        <item x="8665"/>
        <item x="8664"/>
        <item x="8663"/>
        <item x="8662"/>
        <item x="8661"/>
        <item x="8660"/>
        <item x="8659"/>
        <item x="8658"/>
        <item x="8657"/>
        <item x="8656"/>
        <item x="8655"/>
        <item x="8654"/>
        <item x="8653"/>
        <item x="8652"/>
        <item x="8651"/>
        <item x="8650"/>
        <item x="8649"/>
        <item x="8648"/>
        <item x="8647"/>
        <item x="8646"/>
        <item x="8645"/>
        <item x="8644"/>
        <item x="8643"/>
        <item x="8642"/>
        <item x="8641"/>
        <item x="8640"/>
        <item x="8639"/>
        <item x="8638"/>
        <item x="8637"/>
        <item x="8636"/>
        <item x="8635"/>
        <item x="8634"/>
        <item x="8633"/>
        <item x="8632"/>
        <item x="8631"/>
        <item x="8630"/>
        <item x="8629"/>
        <item x="8628"/>
        <item x="8627"/>
        <item x="8626"/>
        <item x="8625"/>
        <item x="8624"/>
        <item x="8623"/>
        <item x="8622"/>
        <item x="8621"/>
        <item x="8620"/>
        <item x="8619"/>
        <item x="8618"/>
        <item x="8617"/>
        <item x="8616"/>
        <item x="8615"/>
        <item x="8614"/>
        <item x="8613"/>
        <item x="8612"/>
        <item x="8611"/>
        <item x="8610"/>
        <item x="8609"/>
        <item x="8608"/>
        <item x="8607"/>
        <item x="8606"/>
        <item x="8605"/>
        <item x="8604"/>
        <item x="8603"/>
        <item x="8602"/>
        <item x="8601"/>
        <item x="8600"/>
        <item x="8599"/>
        <item x="8598"/>
        <item x="8597"/>
        <item x="8596"/>
        <item x="8595"/>
        <item x="8594"/>
        <item x="8593"/>
        <item x="8592"/>
        <item x="8591"/>
        <item x="8590"/>
        <item x="8589"/>
        <item x="8588"/>
        <item x="8587"/>
        <item x="8586"/>
        <item x="8585"/>
        <item x="8584"/>
        <item x="8583"/>
        <item x="8582"/>
        <item x="8581"/>
        <item x="8580"/>
        <item x="8579"/>
        <item x="8578"/>
        <item x="8577"/>
        <item x="8576"/>
        <item x="8575"/>
        <item x="8574"/>
        <item x="8573"/>
        <item x="8572"/>
        <item x="8571"/>
        <item x="8570"/>
        <item x="8569"/>
        <item x="8568"/>
        <item x="8567"/>
        <item x="8566"/>
        <item x="8565"/>
        <item x="8564"/>
        <item x="8563"/>
        <item x="8562"/>
        <item x="8561"/>
        <item x="8560"/>
        <item x="8559"/>
        <item x="8558"/>
        <item x="8557"/>
        <item x="8556"/>
        <item x="8555"/>
        <item x="8554"/>
        <item x="8553"/>
        <item x="8552"/>
        <item x="8551"/>
        <item x="8550"/>
        <item x="8549"/>
        <item x="8548"/>
        <item x="8547"/>
        <item x="8546"/>
        <item x="8545"/>
        <item x="8544"/>
        <item x="8543"/>
        <item x="8542"/>
        <item x="8541"/>
        <item x="8540"/>
        <item x="8539"/>
        <item x="8538"/>
        <item x="8537"/>
        <item x="8536"/>
        <item x="8535"/>
        <item x="8534"/>
        <item x="8533"/>
        <item x="8532"/>
        <item x="8531"/>
        <item x="8530"/>
        <item x="8529"/>
        <item x="8528"/>
        <item x="8527"/>
        <item x="8526"/>
        <item x="8525"/>
        <item x="8524"/>
        <item x="8523"/>
        <item x="8522"/>
        <item x="8521"/>
        <item x="8520"/>
        <item x="8519"/>
        <item x="8518"/>
        <item x="8517"/>
        <item x="8516"/>
        <item x="8515"/>
        <item x="8514"/>
        <item x="8513"/>
        <item x="8512"/>
        <item x="8511"/>
        <item x="8510"/>
        <item x="8509"/>
        <item x="8508"/>
        <item x="8507"/>
        <item x="8506"/>
        <item x="8505"/>
        <item x="8504"/>
        <item x="8503"/>
        <item x="8502"/>
        <item x="8501"/>
        <item x="8500"/>
        <item x="8499"/>
        <item x="8498"/>
        <item x="8497"/>
        <item x="8496"/>
        <item x="8495"/>
        <item x="8494"/>
        <item x="8493"/>
        <item x="8492"/>
        <item x="8491"/>
        <item x="8490"/>
        <item x="8489"/>
        <item x="8488"/>
        <item x="8487"/>
        <item x="8486"/>
        <item x="8485"/>
        <item x="8484"/>
        <item x="8483"/>
        <item x="8482"/>
        <item x="8481"/>
        <item x="8480"/>
        <item x="8479"/>
        <item x="8478"/>
        <item x="8477"/>
        <item x="8476"/>
        <item x="8475"/>
        <item x="8474"/>
        <item x="8473"/>
        <item x="8472"/>
        <item x="8471"/>
        <item x="8470"/>
        <item x="8469"/>
        <item x="8468"/>
        <item x="8467"/>
        <item x="8466"/>
        <item x="8465"/>
        <item x="8464"/>
        <item x="8463"/>
        <item x="8462"/>
        <item x="8461"/>
        <item x="8460"/>
        <item x="8459"/>
        <item x="8458"/>
        <item x="8457"/>
        <item x="8456"/>
        <item x="8455"/>
        <item x="8454"/>
        <item x="8453"/>
        <item x="8452"/>
        <item x="8451"/>
        <item x="8450"/>
        <item x="8449"/>
        <item x="8448"/>
        <item x="8447"/>
        <item x="8446"/>
        <item x="8445"/>
        <item x="8444"/>
        <item x="8443"/>
        <item x="8442"/>
        <item x="8441"/>
        <item x="8440"/>
        <item x="8439"/>
        <item x="8438"/>
        <item x="8437"/>
        <item x="8436"/>
        <item x="8435"/>
        <item x="8434"/>
        <item x="8433"/>
        <item x="8432"/>
        <item x="8431"/>
        <item x="8430"/>
        <item x="8429"/>
        <item x="8428"/>
        <item x="8427"/>
        <item x="8426"/>
        <item x="8425"/>
        <item x="8424"/>
        <item x="8423"/>
        <item x="8422"/>
        <item x="8421"/>
        <item x="8420"/>
        <item x="8419"/>
        <item x="8418"/>
        <item x="8417"/>
        <item x="8416"/>
        <item x="8415"/>
        <item x="8414"/>
        <item x="8413"/>
        <item x="8412"/>
        <item x="8411"/>
        <item x="8410"/>
        <item x="8409"/>
        <item x="8408"/>
        <item x="8407"/>
        <item x="8406"/>
        <item x="8405"/>
        <item x="8404"/>
        <item x="8403"/>
        <item x="8402"/>
        <item x="8401"/>
        <item x="8400"/>
        <item x="8399"/>
        <item x="8398"/>
        <item x="8397"/>
        <item x="8396"/>
        <item x="8395"/>
        <item x="8394"/>
        <item x="8393"/>
        <item x="8392"/>
        <item x="8391"/>
        <item x="8390"/>
        <item x="8389"/>
        <item x="8388"/>
        <item x="8387"/>
        <item x="8386"/>
        <item x="8385"/>
        <item x="8384"/>
        <item x="8383"/>
        <item x="8382"/>
        <item x="8381"/>
        <item x="8380"/>
        <item x="8379"/>
        <item x="8378"/>
        <item x="8377"/>
        <item x="8376"/>
        <item x="8375"/>
        <item x="8374"/>
        <item x="8373"/>
        <item x="8372"/>
        <item x="8371"/>
        <item x="8370"/>
        <item x="8369"/>
        <item x="8368"/>
        <item x="8367"/>
        <item x="8366"/>
        <item x="8365"/>
        <item x="8364"/>
        <item x="8363"/>
        <item x="8362"/>
        <item x="8361"/>
        <item x="8360"/>
        <item x="8359"/>
        <item x="8358"/>
        <item x="8357"/>
        <item x="8356"/>
        <item x="8355"/>
        <item x="8354"/>
        <item x="8353"/>
        <item x="8352"/>
        <item x="8351"/>
        <item x="8350"/>
        <item x="8349"/>
        <item x="8348"/>
        <item x="8347"/>
        <item x="8346"/>
        <item x="8345"/>
        <item x="8344"/>
        <item x="8343"/>
        <item x="8342"/>
        <item x="8341"/>
        <item x="8340"/>
        <item x="8339"/>
        <item x="8338"/>
        <item x="8337"/>
        <item x="8336"/>
        <item x="8335"/>
        <item x="8334"/>
        <item x="8333"/>
        <item x="8332"/>
        <item x="8331"/>
        <item x="8330"/>
        <item x="8329"/>
        <item x="8328"/>
        <item x="8327"/>
        <item x="8326"/>
        <item x="8325"/>
        <item x="8324"/>
        <item x="8323"/>
        <item x="8322"/>
        <item x="8321"/>
        <item x="8320"/>
        <item x="8319"/>
        <item x="8318"/>
        <item x="8317"/>
        <item x="8316"/>
        <item x="8315"/>
        <item x="8314"/>
        <item x="8313"/>
        <item x="8312"/>
        <item x="8311"/>
        <item x="8310"/>
        <item x="8309"/>
        <item x="8308"/>
        <item x="8307"/>
        <item x="8306"/>
        <item x="8305"/>
        <item x="8304"/>
        <item x="8303"/>
        <item x="8302"/>
        <item x="8301"/>
        <item x="8300"/>
        <item x="8299"/>
        <item x="8298"/>
        <item x="8297"/>
        <item x="8296"/>
        <item x="8295"/>
        <item x="8294"/>
        <item x="8293"/>
        <item x="8292"/>
        <item x="8291"/>
        <item x="8290"/>
        <item x="8289"/>
        <item x="8288"/>
        <item x="8287"/>
        <item x="8286"/>
        <item x="8285"/>
        <item x="8284"/>
        <item x="8283"/>
        <item x="8282"/>
        <item x="8281"/>
        <item x="8280"/>
        <item x="8279"/>
        <item x="8278"/>
        <item x="8277"/>
        <item x="8276"/>
        <item x="8275"/>
        <item x="8274"/>
        <item x="8273"/>
        <item x="8272"/>
        <item x="8271"/>
        <item x="8270"/>
        <item x="8269"/>
        <item x="8268"/>
        <item x="8267"/>
        <item x="8266"/>
        <item x="8265"/>
        <item x="8264"/>
        <item x="8263"/>
        <item x="8262"/>
        <item x="8261"/>
        <item x="8260"/>
        <item x="8259"/>
        <item x="8258"/>
        <item x="8257"/>
        <item x="8256"/>
        <item x="8255"/>
        <item x="8254"/>
        <item x="8253"/>
        <item x="8252"/>
        <item x="8251"/>
        <item x="8250"/>
        <item x="8249"/>
        <item x="8248"/>
        <item x="8247"/>
        <item x="8246"/>
        <item x="8245"/>
        <item x="8244"/>
        <item x="8243"/>
        <item x="8242"/>
        <item x="8241"/>
        <item x="8240"/>
        <item x="8239"/>
        <item x="8238"/>
        <item x="8237"/>
        <item x="8236"/>
        <item x="8235"/>
        <item x="8234"/>
        <item x="8233"/>
        <item x="8232"/>
        <item x="8231"/>
        <item x="8230"/>
        <item x="8229"/>
        <item x="8228"/>
        <item x="8227"/>
        <item x="8226"/>
        <item x="8225"/>
        <item x="8224"/>
        <item x="8223"/>
        <item x="8222"/>
        <item x="8221"/>
        <item x="8220"/>
        <item x="8219"/>
        <item x="8218"/>
        <item x="8217"/>
        <item x="8216"/>
        <item x="8215"/>
        <item x="8214"/>
        <item x="8213"/>
        <item x="8212"/>
        <item x="8211"/>
        <item x="8210"/>
        <item x="8209"/>
        <item x="8208"/>
        <item x="8207"/>
        <item x="8206"/>
        <item x="8205"/>
        <item x="8204"/>
        <item x="8203"/>
        <item x="8202"/>
        <item x="8201"/>
        <item x="8200"/>
        <item x="8199"/>
        <item x="8198"/>
        <item x="8197"/>
        <item x="8196"/>
        <item x="8195"/>
        <item x="8194"/>
        <item x="8193"/>
        <item x="8192"/>
        <item x="8191"/>
        <item x="8190"/>
        <item x="8189"/>
        <item x="8188"/>
        <item x="8187"/>
        <item x="8186"/>
        <item x="8185"/>
        <item x="8184"/>
        <item x="8183"/>
        <item x="8182"/>
        <item x="8181"/>
        <item x="8180"/>
        <item x="8179"/>
        <item x="8178"/>
        <item x="8177"/>
        <item x="8176"/>
        <item x="8175"/>
        <item x="8174"/>
        <item x="8173"/>
        <item x="8172"/>
        <item x="8171"/>
        <item x="8170"/>
        <item x="8169"/>
        <item x="8168"/>
        <item x="8167"/>
        <item x="8166"/>
        <item x="8165"/>
        <item x="8164"/>
        <item x="8163"/>
        <item x="8162"/>
        <item x="8161"/>
        <item x="8160"/>
        <item x="8159"/>
        <item x="8158"/>
        <item x="8157"/>
        <item x="8156"/>
        <item x="8155"/>
        <item x="8154"/>
        <item x="8153"/>
        <item x="8152"/>
        <item x="8151"/>
        <item x="8150"/>
        <item x="8149"/>
        <item x="8148"/>
        <item x="8147"/>
        <item x="8146"/>
        <item x="8145"/>
        <item x="8144"/>
        <item x="8143"/>
        <item x="8142"/>
        <item x="8141"/>
        <item x="8140"/>
        <item x="8139"/>
        <item x="8138"/>
        <item x="8137"/>
        <item x="8136"/>
        <item x="8135"/>
        <item x="8134"/>
        <item x="8133"/>
        <item x="8132"/>
        <item x="8131"/>
        <item x="8130"/>
        <item x="8129"/>
        <item x="8128"/>
        <item x="8127"/>
        <item x="8126"/>
        <item x="8125"/>
        <item x="8124"/>
        <item x="8123"/>
        <item x="8122"/>
        <item x="8121"/>
        <item x="8120"/>
        <item x="8119"/>
        <item x="8118"/>
        <item x="8117"/>
        <item x="8116"/>
        <item x="8115"/>
        <item x="8114"/>
        <item x="8113"/>
        <item x="8112"/>
        <item x="8111"/>
        <item x="8110"/>
        <item x="8109"/>
        <item x="8108"/>
        <item x="8107"/>
        <item x="8106"/>
        <item x="8105"/>
        <item x="8104"/>
        <item x="8103"/>
        <item x="8102"/>
        <item x="8101"/>
        <item x="8100"/>
        <item x="8099"/>
        <item x="8098"/>
        <item x="8097"/>
        <item x="8096"/>
        <item x="8095"/>
        <item x="8094"/>
        <item x="8093"/>
        <item x="8092"/>
        <item x="8091"/>
        <item x="8090"/>
        <item x="8089"/>
        <item x="8088"/>
        <item x="8087"/>
        <item x="8086"/>
        <item x="8085"/>
        <item x="8084"/>
        <item x="8083"/>
        <item x="8082"/>
        <item x="8081"/>
        <item x="8080"/>
        <item x="8079"/>
        <item x="8078"/>
        <item x="8077"/>
        <item x="8076"/>
        <item x="8075"/>
        <item x="8074"/>
        <item x="8073"/>
        <item x="8072"/>
        <item x="8071"/>
        <item x="8070"/>
        <item x="8069"/>
        <item x="8068"/>
        <item x="8067"/>
        <item x="8066"/>
        <item x="8065"/>
        <item x="8064"/>
        <item x="8063"/>
        <item x="8062"/>
        <item x="8061"/>
        <item x="8060"/>
        <item x="8059"/>
        <item x="8058"/>
        <item x="8057"/>
        <item x="8056"/>
        <item x="8055"/>
        <item x="8054"/>
        <item x="8053"/>
        <item x="8052"/>
        <item x="8051"/>
        <item x="8050"/>
        <item x="8049"/>
        <item x="8048"/>
        <item x="8047"/>
        <item x="8046"/>
        <item x="8045"/>
        <item x="8044"/>
        <item x="8043"/>
        <item x="8042"/>
        <item x="8041"/>
        <item x="8040"/>
        <item x="8039"/>
        <item x="8038"/>
        <item x="8037"/>
        <item x="8036"/>
        <item x="8035"/>
        <item x="8034"/>
        <item x="8033"/>
        <item x="8032"/>
        <item x="8031"/>
        <item x="8030"/>
        <item x="8029"/>
        <item x="8028"/>
        <item x="8027"/>
        <item x="8026"/>
        <item x="8025"/>
        <item x="8024"/>
        <item x="8023"/>
        <item x="8022"/>
        <item x="8021"/>
        <item x="8020"/>
        <item x="8019"/>
        <item x="8018"/>
        <item x="8017"/>
        <item x="8016"/>
        <item x="8015"/>
        <item x="8014"/>
        <item x="8013"/>
        <item x="8012"/>
        <item x="8011"/>
        <item x="8010"/>
        <item x="8009"/>
        <item x="8008"/>
        <item x="8007"/>
        <item x="8006"/>
        <item x="8005"/>
        <item x="8004"/>
        <item x="8003"/>
        <item x="8002"/>
        <item x="8001"/>
        <item x="8000"/>
        <item x="7999"/>
        <item x="7998"/>
        <item x="7997"/>
        <item x="7996"/>
        <item x="7995"/>
        <item x="7994"/>
        <item x="7993"/>
        <item x="7992"/>
        <item x="7991"/>
        <item x="7990"/>
        <item x="7989"/>
        <item x="7988"/>
        <item x="7987"/>
        <item x="7986"/>
        <item x="7985"/>
        <item x="7984"/>
        <item x="7983"/>
        <item x="7982"/>
        <item x="7981"/>
        <item x="7980"/>
        <item x="7979"/>
        <item x="7978"/>
        <item x="7977"/>
        <item x="7976"/>
        <item x="7975"/>
        <item x="7974"/>
        <item x="7973"/>
        <item x="7972"/>
        <item x="7971"/>
        <item x="7970"/>
        <item x="7969"/>
        <item x="7968"/>
        <item x="7967"/>
        <item x="7966"/>
        <item x="7965"/>
        <item x="7964"/>
        <item x="7963"/>
        <item x="7962"/>
        <item x="7961"/>
        <item x="7960"/>
        <item x="7959"/>
        <item x="7958"/>
        <item x="7957"/>
        <item x="7956"/>
        <item x="7955"/>
        <item x="7954"/>
        <item x="7953"/>
        <item x="7952"/>
        <item x="7951"/>
        <item x="7950"/>
        <item x="7949"/>
        <item x="7948"/>
        <item x="7947"/>
        <item x="7946"/>
        <item x="7945"/>
        <item x="7944"/>
        <item x="7943"/>
        <item x="7942"/>
        <item x="7941"/>
        <item x="7940"/>
        <item x="7939"/>
        <item x="7938"/>
        <item x="7937"/>
        <item x="7936"/>
        <item x="7935"/>
        <item x="7934"/>
        <item x="7933"/>
        <item x="7932"/>
        <item x="7931"/>
        <item x="7930"/>
        <item x="7929"/>
        <item x="7928"/>
        <item x="7927"/>
        <item x="7926"/>
        <item x="7925"/>
        <item x="7924"/>
        <item x="7923"/>
        <item x="7922"/>
        <item x="7921"/>
        <item x="7920"/>
        <item x="7919"/>
        <item x="7918"/>
        <item x="7917"/>
        <item x="7916"/>
        <item x="7915"/>
        <item x="7914"/>
        <item x="7913"/>
        <item x="7912"/>
        <item x="7911"/>
        <item x="7910"/>
        <item x="7909"/>
        <item x="7908"/>
        <item x="7907"/>
        <item x="7906"/>
        <item x="7905"/>
        <item x="7904"/>
        <item x="7903"/>
        <item x="7902"/>
        <item x="7901"/>
        <item x="7900"/>
        <item x="7899"/>
        <item x="7898"/>
        <item x="7897"/>
        <item x="7896"/>
        <item x="7895"/>
        <item x="7894"/>
        <item x="7893"/>
        <item x="7892"/>
        <item x="7891"/>
        <item x="7890"/>
        <item x="7889"/>
        <item x="7888"/>
        <item x="7887"/>
        <item x="7886"/>
        <item x="7885"/>
        <item x="7884"/>
        <item x="7883"/>
        <item x="7882"/>
        <item x="7881"/>
        <item x="7880"/>
        <item x="7879"/>
        <item x="7878"/>
        <item x="7877"/>
        <item x="7876"/>
        <item x="7875"/>
        <item x="7874"/>
        <item x="7873"/>
        <item x="7872"/>
        <item x="7871"/>
        <item x="7870"/>
        <item x="7869"/>
        <item x="7868"/>
        <item x="7867"/>
        <item x="7866"/>
        <item x="7865"/>
        <item x="7864"/>
        <item x="7863"/>
        <item x="7862"/>
        <item x="7861"/>
        <item x="7860"/>
        <item x="7859"/>
        <item x="7858"/>
        <item x="7857"/>
        <item x="7856"/>
        <item x="7855"/>
        <item x="7854"/>
        <item x="7853"/>
        <item x="7852"/>
        <item x="7851"/>
        <item x="7850"/>
        <item x="7849"/>
        <item x="7848"/>
        <item x="7847"/>
        <item x="7846"/>
        <item x="7845"/>
        <item x="7844"/>
        <item x="7843"/>
        <item x="7842"/>
        <item x="7841"/>
        <item x="7840"/>
        <item x="7839"/>
        <item x="7838"/>
        <item x="7837"/>
        <item x="7836"/>
        <item x="7835"/>
        <item x="7834"/>
        <item x="7833"/>
        <item x="7832"/>
        <item x="7831"/>
        <item x="7830"/>
        <item x="7829"/>
        <item x="7828"/>
        <item x="7827"/>
        <item x="7826"/>
        <item x="7825"/>
        <item x="7824"/>
        <item x="7823"/>
        <item x="7822"/>
        <item x="7821"/>
        <item x="7820"/>
        <item x="7819"/>
        <item x="7818"/>
        <item x="7817"/>
        <item x="7816"/>
        <item x="7815"/>
        <item x="7814"/>
        <item x="7813"/>
        <item x="7812"/>
        <item x="7811"/>
        <item x="7810"/>
        <item x="7809"/>
        <item x="7808"/>
        <item x="7807"/>
        <item x="7806"/>
        <item x="7805"/>
        <item x="7804"/>
        <item x="7803"/>
        <item x="7802"/>
        <item x="7801"/>
        <item x="7800"/>
        <item x="7799"/>
        <item x="7798"/>
        <item x="7797"/>
        <item x="7796"/>
        <item x="7795"/>
        <item x="7794"/>
        <item x="7793"/>
        <item x="7792"/>
        <item x="7791"/>
        <item x="7790"/>
        <item x="7789"/>
        <item x="7788"/>
        <item x="7787"/>
        <item x="7786"/>
        <item x="7785"/>
        <item x="7784"/>
        <item x="7783"/>
        <item x="7782"/>
        <item x="7781"/>
        <item x="7780"/>
        <item x="7779"/>
        <item x="7778"/>
        <item x="7777"/>
        <item x="7776"/>
        <item x="7775"/>
        <item x="7774"/>
        <item x="7773"/>
        <item x="7772"/>
        <item x="7771"/>
        <item x="7770"/>
        <item x="7769"/>
        <item x="7768"/>
        <item x="7767"/>
        <item x="7766"/>
        <item x="7765"/>
        <item x="7764"/>
        <item x="7763"/>
        <item x="7762"/>
        <item x="7761"/>
        <item x="7760"/>
        <item x="7759"/>
        <item x="7758"/>
        <item x="7757"/>
        <item x="7756"/>
        <item x="7755"/>
        <item x="7754"/>
        <item x="7753"/>
        <item x="7752"/>
        <item x="7751"/>
        <item x="7750"/>
        <item x="7749"/>
        <item x="7748"/>
        <item x="7747"/>
        <item x="7746"/>
        <item x="7745"/>
        <item x="7744"/>
        <item x="7743"/>
        <item x="7742"/>
        <item x="7741"/>
        <item x="7740"/>
        <item x="7739"/>
        <item x="7738"/>
        <item x="7737"/>
        <item x="7736"/>
        <item x="7735"/>
        <item x="7734"/>
        <item x="7733"/>
        <item x="7732"/>
        <item x="7731"/>
        <item x="7730"/>
        <item x="7729"/>
        <item x="7728"/>
        <item x="7727"/>
        <item x="7726"/>
        <item x="7725"/>
        <item x="7724"/>
        <item x="7723"/>
        <item x="7722"/>
        <item x="7721"/>
        <item x="7720"/>
        <item x="7719"/>
        <item x="7718"/>
        <item x="7717"/>
        <item x="7716"/>
        <item x="7715"/>
        <item x="7714"/>
        <item x="7713"/>
        <item x="7712"/>
        <item x="7711"/>
        <item x="7710"/>
        <item x="7709"/>
        <item x="7708"/>
        <item x="7707"/>
        <item x="7706"/>
        <item x="7705"/>
        <item x="7704"/>
        <item x="7703"/>
        <item x="7702"/>
        <item x="7701"/>
        <item x="7700"/>
        <item x="7699"/>
        <item x="7698"/>
        <item x="7697"/>
        <item x="7696"/>
        <item x="7695"/>
        <item x="7694"/>
        <item x="7693"/>
        <item x="7692"/>
        <item x="7691"/>
        <item x="7690"/>
        <item x="7689"/>
        <item x="7688"/>
        <item x="7687"/>
        <item x="7686"/>
        <item x="7685"/>
        <item x="7684"/>
        <item x="7683"/>
        <item x="7682"/>
        <item x="7681"/>
        <item x="7680"/>
        <item x="7679"/>
        <item x="7678"/>
        <item x="7677"/>
        <item x="7676"/>
        <item x="7675"/>
        <item x="7674"/>
        <item x="7673"/>
        <item x="7672"/>
        <item x="7671"/>
        <item x="7670"/>
        <item x="7669"/>
        <item x="7668"/>
        <item x="7667"/>
        <item x="7666"/>
        <item x="7665"/>
        <item x="7664"/>
        <item x="7663"/>
        <item x="7662"/>
        <item x="7661"/>
        <item x="7660"/>
        <item x="7659"/>
        <item x="7658"/>
        <item x="7657"/>
        <item x="7656"/>
        <item x="7655"/>
        <item x="7654"/>
        <item x="7653"/>
        <item x="7652"/>
        <item x="7651"/>
        <item x="7650"/>
        <item x="7649"/>
        <item x="7648"/>
        <item x="7647"/>
        <item x="7646"/>
        <item x="7645"/>
        <item x="7644"/>
        <item x="7643"/>
        <item x="7642"/>
        <item x="7641"/>
        <item x="7640"/>
        <item x="7639"/>
        <item x="7638"/>
        <item x="7637"/>
        <item x="7636"/>
        <item x="7635"/>
        <item x="7634"/>
        <item x="7633"/>
        <item x="7632"/>
        <item x="7631"/>
        <item x="7630"/>
        <item x="7629"/>
        <item x="7628"/>
        <item x="7627"/>
        <item x="7626"/>
        <item x="7625"/>
        <item x="7624"/>
        <item x="7623"/>
        <item x="7622"/>
        <item x="7621"/>
        <item x="7620"/>
        <item x="7619"/>
        <item x="7618"/>
        <item x="7617"/>
        <item x="7616"/>
        <item x="7615"/>
        <item x="7614"/>
        <item x="7613"/>
        <item x="7612"/>
        <item x="7611"/>
        <item x="7610"/>
        <item x="7609"/>
        <item x="7608"/>
        <item x="7607"/>
        <item x="7606"/>
        <item x="7605"/>
        <item x="7604"/>
        <item x="7603"/>
        <item x="7602"/>
        <item x="7601"/>
        <item x="7600"/>
        <item x="7599"/>
        <item x="7598"/>
        <item x="7597"/>
        <item x="7596"/>
        <item x="7595"/>
        <item x="7594"/>
        <item x="7593"/>
        <item x="7592"/>
        <item x="7591"/>
        <item x="7590"/>
        <item x="7589"/>
        <item x="7588"/>
        <item x="7587"/>
        <item x="7586"/>
        <item x="7585"/>
        <item x="7584"/>
        <item x="7583"/>
        <item x="7582"/>
        <item x="7581"/>
        <item x="7580"/>
        <item x="7579"/>
        <item x="7578"/>
        <item x="7577"/>
        <item x="7576"/>
        <item x="7575"/>
        <item x="7574"/>
        <item x="7573"/>
        <item x="7572"/>
        <item x="7571"/>
        <item x="7570"/>
        <item x="7569"/>
        <item x="7568"/>
        <item x="7567"/>
        <item x="7566"/>
        <item x="7565"/>
        <item x="7564"/>
        <item x="7563"/>
        <item x="7562"/>
        <item x="7561"/>
        <item x="7560"/>
        <item x="7559"/>
        <item x="7558"/>
        <item x="7557"/>
        <item x="7556"/>
        <item x="7555"/>
        <item x="7554"/>
        <item x="7553"/>
        <item x="7552"/>
        <item x="7551"/>
        <item x="7550"/>
        <item x="7549"/>
        <item x="7548"/>
        <item x="7547"/>
        <item x="7546"/>
        <item x="7545"/>
        <item x="7544"/>
        <item x="7543"/>
        <item x="7542"/>
        <item x="7541"/>
        <item x="7540"/>
        <item x="7539"/>
        <item x="7538"/>
        <item x="7537"/>
        <item x="7536"/>
        <item x="7535"/>
        <item x="7534"/>
        <item x="7533"/>
        <item x="7532"/>
        <item x="7531"/>
        <item x="7530"/>
        <item x="7529"/>
        <item x="7528"/>
        <item x="7527"/>
        <item x="7526"/>
        <item x="7525"/>
        <item x="7524"/>
        <item x="7523"/>
        <item x="7522"/>
        <item x="7521"/>
        <item x="7520"/>
        <item x="7519"/>
        <item x="7518"/>
        <item x="7517"/>
        <item x="7516"/>
        <item x="7515"/>
        <item x="7514"/>
        <item x="7513"/>
        <item x="7512"/>
        <item x="7511"/>
        <item x="7510"/>
        <item x="7509"/>
        <item x="7508"/>
        <item x="7507"/>
        <item x="7506"/>
        <item x="7505"/>
        <item x="7504"/>
        <item x="7503"/>
        <item x="7502"/>
        <item x="7501"/>
        <item x="7500"/>
        <item x="7499"/>
        <item x="7498"/>
        <item x="7497"/>
        <item x="7496"/>
        <item x="7495"/>
        <item x="7494"/>
        <item x="7493"/>
        <item x="7492"/>
        <item x="7491"/>
        <item x="7490"/>
        <item x="7489"/>
        <item x="7488"/>
        <item x="7487"/>
        <item x="7486"/>
        <item x="7485"/>
        <item x="7484"/>
        <item x="7483"/>
        <item x="7482"/>
        <item x="7481"/>
        <item x="7480"/>
        <item x="7479"/>
        <item x="7478"/>
        <item x="7477"/>
        <item x="7476"/>
        <item x="7475"/>
        <item x="7474"/>
        <item x="7473"/>
        <item x="7472"/>
        <item x="7471"/>
        <item x="7470"/>
        <item x="7469"/>
        <item x="7468"/>
        <item x="7467"/>
        <item x="7466"/>
        <item x="7465"/>
        <item x="7464"/>
        <item x="7463"/>
        <item x="7462"/>
        <item x="7461"/>
        <item x="7460"/>
        <item x="7459"/>
        <item x="7458"/>
        <item x="7457"/>
        <item x="7456"/>
        <item x="7455"/>
        <item x="7454"/>
        <item x="7453"/>
        <item x="7452"/>
        <item x="7451"/>
        <item x="7450"/>
        <item x="7449"/>
        <item x="7448"/>
        <item x="7447"/>
        <item x="7446"/>
        <item x="7445"/>
        <item x="7444"/>
        <item x="7443"/>
        <item x="7442"/>
        <item x="7441"/>
        <item x="7440"/>
        <item x="7439"/>
        <item x="7438"/>
        <item x="7437"/>
        <item x="7436"/>
        <item x="7435"/>
        <item x="7434"/>
        <item x="7433"/>
        <item x="7432"/>
        <item x="7431"/>
        <item x="7430"/>
        <item x="7429"/>
        <item x="7428"/>
        <item x="7427"/>
        <item x="7426"/>
        <item x="7425"/>
        <item x="7424"/>
        <item x="7423"/>
        <item x="7422"/>
        <item x="7421"/>
        <item x="7420"/>
        <item x="7419"/>
        <item x="7418"/>
        <item x="7417"/>
        <item x="7416"/>
        <item x="7415"/>
        <item x="7414"/>
        <item x="7413"/>
        <item x="7412"/>
        <item x="7411"/>
        <item x="7410"/>
        <item x="7409"/>
        <item x="7408"/>
        <item x="7407"/>
        <item x="7406"/>
        <item x="7405"/>
        <item x="7404"/>
        <item x="7403"/>
        <item x="7402"/>
        <item x="7401"/>
        <item x="7400"/>
        <item x="7399"/>
        <item x="7398"/>
        <item x="7397"/>
        <item x="7396"/>
        <item x="7395"/>
        <item x="7394"/>
        <item x="7393"/>
        <item x="7392"/>
        <item x="7391"/>
        <item x="7390"/>
        <item x="7389"/>
        <item x="7388"/>
        <item x="7387"/>
        <item x="7386"/>
        <item x="7385"/>
        <item x="7384"/>
        <item x="7383"/>
        <item x="7382"/>
        <item x="7381"/>
        <item x="7380"/>
        <item x="7379"/>
        <item x="7378"/>
        <item x="7377"/>
        <item x="7376"/>
        <item x="7375"/>
        <item x="7374"/>
        <item x="7373"/>
        <item x="7372"/>
        <item x="7371"/>
        <item x="7370"/>
        <item x="7369"/>
        <item x="7368"/>
        <item x="7367"/>
        <item x="7366"/>
        <item x="7365"/>
        <item x="7364"/>
        <item x="7363"/>
        <item x="7362"/>
        <item x="7361"/>
        <item x="7360"/>
        <item x="7359"/>
        <item x="7358"/>
        <item x="7357"/>
        <item x="7356"/>
        <item x="7355"/>
        <item x="7354"/>
        <item x="7353"/>
        <item x="7352"/>
        <item x="7351"/>
        <item x="7350"/>
        <item x="7349"/>
        <item x="7348"/>
        <item x="7347"/>
        <item x="7346"/>
        <item x="7345"/>
        <item x="7344"/>
        <item x="7343"/>
        <item x="7342"/>
        <item x="7341"/>
        <item x="7340"/>
        <item x="7339"/>
        <item x="7338"/>
        <item x="7337"/>
        <item x="7336"/>
        <item x="7335"/>
        <item x="7334"/>
        <item x="7333"/>
        <item x="7332"/>
        <item x="7331"/>
        <item x="7330"/>
        <item x="7329"/>
        <item x="7328"/>
        <item x="7327"/>
        <item x="7326"/>
        <item x="7325"/>
        <item x="7324"/>
        <item x="7323"/>
        <item x="7322"/>
        <item x="7321"/>
        <item x="7320"/>
        <item x="7319"/>
        <item x="7318"/>
        <item x="7317"/>
        <item x="7316"/>
        <item x="7315"/>
        <item x="7314"/>
        <item x="7313"/>
        <item x="7312"/>
        <item x="7311"/>
        <item x="7310"/>
        <item x="7309"/>
        <item x="7308"/>
        <item x="7307"/>
        <item x="7306"/>
        <item x="7305"/>
        <item x="7304"/>
        <item x="7303"/>
        <item x="7302"/>
        <item x="7301"/>
        <item x="7300"/>
        <item x="7299"/>
        <item x="7298"/>
        <item x="7297"/>
        <item x="7296"/>
        <item x="7295"/>
        <item x="7294"/>
        <item x="7293"/>
        <item x="7292"/>
        <item x="7291"/>
        <item x="7290"/>
        <item x="7289"/>
        <item x="7288"/>
        <item x="7287"/>
        <item x="7286"/>
        <item x="7285"/>
        <item x="7284"/>
        <item x="7283"/>
        <item x="7282"/>
        <item x="7281"/>
        <item x="7280"/>
        <item x="7279"/>
        <item x="7278"/>
        <item x="7277"/>
        <item x="7276"/>
        <item x="7275"/>
        <item x="7274"/>
        <item x="7273"/>
        <item x="7272"/>
        <item x="7271"/>
        <item x="7270"/>
        <item x="7269"/>
        <item x="7268"/>
        <item x="7267"/>
        <item x="7266"/>
        <item x="7265"/>
        <item x="7264"/>
        <item x="7263"/>
        <item x="7262"/>
        <item x="7261"/>
        <item x="7260"/>
        <item x="7259"/>
        <item x="7258"/>
        <item x="7257"/>
        <item x="7256"/>
        <item x="7255"/>
        <item x="7254"/>
        <item x="7253"/>
        <item x="7252"/>
        <item x="7251"/>
        <item x="7250"/>
        <item x="7249"/>
        <item x="7248"/>
        <item x="7247"/>
        <item x="7246"/>
        <item x="7245"/>
        <item x="7244"/>
        <item x="7243"/>
        <item x="7242"/>
        <item x="7241"/>
        <item x="7240"/>
        <item x="7239"/>
        <item x="7238"/>
        <item x="7237"/>
        <item x="7236"/>
        <item x="7235"/>
        <item x="7234"/>
        <item x="7233"/>
        <item x="7232"/>
        <item x="7231"/>
        <item x="7230"/>
        <item x="7229"/>
        <item x="7228"/>
        <item x="7227"/>
        <item x="7226"/>
        <item x="7225"/>
        <item x="7224"/>
        <item x="7223"/>
        <item x="7222"/>
        <item x="7221"/>
        <item x="7220"/>
        <item x="7219"/>
        <item x="7218"/>
        <item x="7217"/>
        <item x="7216"/>
        <item x="7215"/>
        <item x="7214"/>
        <item x="7213"/>
        <item x="7212"/>
        <item x="7211"/>
        <item x="7210"/>
        <item x="7209"/>
        <item x="7208"/>
        <item x="7207"/>
        <item x="7206"/>
        <item x="7205"/>
        <item x="7204"/>
        <item x="7203"/>
        <item x="7202"/>
        <item x="7201"/>
        <item x="7200"/>
        <item x="7199"/>
        <item x="7198"/>
        <item x="7197"/>
        <item x="7196"/>
        <item x="7195"/>
        <item x="7194"/>
        <item x="7193"/>
        <item x="7192"/>
        <item x="7191"/>
        <item x="7190"/>
        <item x="7189"/>
        <item x="7188"/>
        <item x="7187"/>
        <item x="7186"/>
        <item x="7185"/>
        <item x="7184"/>
        <item x="7183"/>
        <item x="7182"/>
        <item x="7181"/>
        <item x="7180"/>
        <item x="7179"/>
        <item x="7178"/>
        <item x="7177"/>
        <item x="7176"/>
        <item x="7175"/>
        <item x="7174"/>
        <item x="7173"/>
        <item x="7172"/>
        <item x="7171"/>
        <item x="7170"/>
        <item x="7169"/>
        <item x="7168"/>
        <item x="7167"/>
        <item x="7166"/>
        <item x="7165"/>
        <item x="7164"/>
        <item x="7163"/>
        <item x="7162"/>
        <item x="7161"/>
        <item x="7160"/>
        <item x="7159"/>
        <item x="7158"/>
        <item x="7157"/>
        <item x="7156"/>
        <item x="7155"/>
        <item x="7154"/>
        <item x="7153"/>
        <item x="7152"/>
        <item x="7151"/>
        <item x="7150"/>
        <item x="7149"/>
        <item x="7148"/>
        <item x="7147"/>
        <item x="7146"/>
        <item x="7145"/>
        <item x="7144"/>
        <item x="7143"/>
        <item x="7142"/>
        <item x="7141"/>
        <item x="7140"/>
        <item x="7139"/>
        <item x="7138"/>
        <item x="7137"/>
        <item x="7136"/>
        <item x="7135"/>
        <item x="7134"/>
        <item x="7133"/>
        <item x="7132"/>
        <item x="7131"/>
        <item x="7130"/>
        <item x="7129"/>
        <item x="7128"/>
        <item x="7127"/>
        <item x="7126"/>
        <item x="7125"/>
        <item x="7124"/>
        <item x="7123"/>
        <item x="7122"/>
        <item x="7121"/>
        <item x="7120"/>
        <item x="7119"/>
        <item x="7118"/>
        <item x="7117"/>
        <item x="7116"/>
        <item x="7115"/>
        <item x="7114"/>
        <item x="7113"/>
        <item x="7112"/>
        <item x="7111"/>
        <item x="7110"/>
        <item x="7109"/>
        <item x="7108"/>
        <item x="7107"/>
        <item x="7106"/>
        <item x="7105"/>
        <item x="7104"/>
        <item x="7103"/>
        <item x="7102"/>
        <item x="7101"/>
        <item x="7100"/>
        <item x="7099"/>
        <item x="7098"/>
        <item x="7097"/>
        <item x="7096"/>
        <item x="7095"/>
        <item x="7094"/>
        <item x="7093"/>
        <item x="7092"/>
        <item x="7091"/>
        <item x="7090"/>
        <item x="7089"/>
        <item x="7088"/>
        <item x="7087"/>
        <item x="7086"/>
        <item x="7085"/>
        <item x="7084"/>
        <item x="7083"/>
        <item x="7082"/>
        <item x="7081"/>
        <item x="7080"/>
        <item x="7079"/>
        <item x="7078"/>
        <item x="7077"/>
        <item x="7076"/>
        <item x="7075"/>
        <item x="7074"/>
        <item x="7073"/>
        <item x="7072"/>
        <item x="7071"/>
        <item x="7070"/>
        <item x="7069"/>
        <item x="7068"/>
        <item x="7067"/>
        <item x="7066"/>
        <item x="7065"/>
        <item x="7064"/>
        <item x="7063"/>
        <item x="7062"/>
        <item x="7061"/>
        <item x="7060"/>
        <item x="7059"/>
        <item x="7058"/>
        <item x="7057"/>
        <item x="7056"/>
        <item x="7055"/>
        <item x="7054"/>
        <item x="7053"/>
        <item x="7052"/>
        <item x="7051"/>
        <item x="7050"/>
        <item x="7049"/>
        <item x="7048"/>
        <item x="7047"/>
        <item x="7046"/>
        <item x="7045"/>
        <item x="7044"/>
        <item x="7043"/>
        <item x="7042"/>
        <item x="7041"/>
        <item x="7040"/>
        <item x="7039"/>
        <item x="7038"/>
        <item x="7037"/>
        <item x="7036"/>
        <item x="7035"/>
        <item x="7034"/>
        <item x="7033"/>
        <item x="7032"/>
        <item x="7031"/>
        <item x="7030"/>
        <item x="7029"/>
        <item x="7028"/>
        <item x="7027"/>
        <item x="7026"/>
        <item x="7025"/>
        <item x="7024"/>
        <item x="7023"/>
        <item x="7022"/>
        <item x="7021"/>
        <item x="7020"/>
        <item x="7019"/>
        <item x="7018"/>
        <item x="7017"/>
        <item x="7016"/>
        <item x="7015"/>
        <item x="7014"/>
        <item x="7013"/>
        <item x="7012"/>
        <item x="7011"/>
        <item x="7010"/>
        <item x="7009"/>
        <item x="7008"/>
        <item x="7007"/>
        <item x="7006"/>
        <item x="7005"/>
        <item x="7004"/>
        <item x="7003"/>
        <item x="7002"/>
        <item x="7001"/>
        <item x="7000"/>
        <item x="6999"/>
        <item x="6998"/>
        <item x="6997"/>
        <item x="6996"/>
        <item x="6995"/>
        <item x="6994"/>
        <item x="6993"/>
        <item x="6992"/>
        <item x="6991"/>
        <item x="6990"/>
        <item x="6989"/>
        <item x="6988"/>
        <item x="6987"/>
        <item x="6986"/>
        <item x="6985"/>
        <item x="6984"/>
        <item x="6983"/>
        <item x="6982"/>
        <item x="6981"/>
        <item x="6980"/>
        <item x="6979"/>
        <item x="6978"/>
        <item x="6977"/>
        <item x="6976"/>
        <item x="6975"/>
        <item x="6974"/>
        <item x="6973"/>
        <item x="6972"/>
        <item x="6971"/>
        <item x="6970"/>
        <item x="6969"/>
        <item x="6968"/>
        <item x="6967"/>
        <item x="6966"/>
        <item x="6965"/>
        <item x="6964"/>
        <item x="6963"/>
        <item x="6962"/>
        <item x="6961"/>
        <item x="6960"/>
        <item x="6959"/>
        <item x="6958"/>
        <item x="6957"/>
        <item x="6956"/>
        <item x="6955"/>
        <item x="6954"/>
        <item x="6953"/>
        <item x="6952"/>
        <item x="6951"/>
        <item x="6950"/>
        <item x="6949"/>
        <item x="6948"/>
        <item x="6947"/>
        <item x="6946"/>
        <item x="6945"/>
        <item x="6944"/>
        <item x="6943"/>
        <item x="6942"/>
        <item x="6941"/>
        <item x="6940"/>
        <item x="6939"/>
        <item x="6938"/>
        <item x="6937"/>
        <item x="6936"/>
        <item x="6935"/>
        <item x="6934"/>
        <item x="6933"/>
        <item x="6932"/>
        <item x="6931"/>
        <item x="6930"/>
        <item x="6929"/>
        <item x="6928"/>
        <item x="6927"/>
        <item x="6926"/>
        <item x="6925"/>
        <item x="6924"/>
        <item x="6923"/>
        <item x="6922"/>
        <item x="6921"/>
        <item x="6920"/>
        <item x="6919"/>
        <item x="6918"/>
        <item x="6917"/>
        <item x="6916"/>
        <item x="6915"/>
        <item x="6914"/>
        <item x="6913"/>
        <item x="6912"/>
        <item x="6911"/>
        <item x="6910"/>
        <item x="6909"/>
        <item x="6908"/>
        <item x="6907"/>
        <item x="6906"/>
        <item x="6905"/>
        <item x="6904"/>
        <item x="6903"/>
        <item x="6902"/>
        <item x="6901"/>
        <item x="6900"/>
        <item x="6899"/>
        <item x="6898"/>
        <item x="6897"/>
        <item x="6896"/>
        <item x="6895"/>
        <item x="6894"/>
        <item x="6893"/>
        <item x="6892"/>
        <item x="6891"/>
        <item x="6890"/>
        <item x="6889"/>
        <item x="6888"/>
        <item x="6887"/>
        <item x="6886"/>
        <item x="6885"/>
        <item x="6884"/>
        <item x="6883"/>
        <item x="6882"/>
        <item x="6881"/>
        <item x="6880"/>
        <item x="6879"/>
        <item x="6878"/>
        <item x="6877"/>
        <item x="6876"/>
        <item x="6875"/>
        <item x="6874"/>
        <item x="6873"/>
        <item x="6872"/>
        <item x="6871"/>
        <item x="6870"/>
        <item x="6869"/>
        <item x="6868"/>
        <item x="6867"/>
        <item x="6866"/>
        <item x="6865"/>
        <item x="6864"/>
        <item x="6863"/>
        <item x="6862"/>
        <item x="6861"/>
        <item x="6860"/>
        <item x="6859"/>
        <item x="6858"/>
        <item x="6857"/>
        <item x="6856"/>
        <item x="6855"/>
        <item x="6854"/>
        <item x="6853"/>
        <item x="6852"/>
        <item x="6851"/>
        <item x="6850"/>
        <item x="6849"/>
        <item x="6848"/>
        <item x="6847"/>
        <item x="6846"/>
        <item x="6845"/>
        <item x="6844"/>
        <item x="6843"/>
        <item x="6842"/>
        <item x="6841"/>
        <item x="6840"/>
        <item x="6839"/>
        <item x="6838"/>
        <item x="6837"/>
        <item x="6836"/>
        <item x="6835"/>
        <item x="6834"/>
        <item x="6833"/>
        <item x="6832"/>
        <item x="6831"/>
        <item x="6830"/>
        <item x="6829"/>
        <item x="6828"/>
        <item x="6827"/>
        <item x="6826"/>
        <item x="6825"/>
        <item x="6824"/>
        <item x="6823"/>
        <item x="6822"/>
        <item x="6821"/>
        <item x="6820"/>
        <item x="6819"/>
        <item x="6818"/>
        <item x="6817"/>
        <item x="6816"/>
        <item x="6815"/>
        <item x="6814"/>
        <item x="6813"/>
        <item x="6812"/>
        <item x="6811"/>
        <item x="6810"/>
        <item x="6809"/>
        <item x="6808"/>
        <item x="6807"/>
        <item x="6806"/>
        <item x="6805"/>
        <item x="6804"/>
        <item x="6803"/>
        <item x="6802"/>
        <item x="6801"/>
        <item x="6800"/>
        <item x="6799"/>
        <item x="6798"/>
        <item x="6797"/>
        <item x="6796"/>
        <item x="6795"/>
        <item x="6794"/>
        <item x="6793"/>
        <item x="6792"/>
        <item x="6791"/>
        <item x="6790"/>
        <item x="6789"/>
        <item x="6788"/>
        <item x="6787"/>
        <item x="6786"/>
        <item x="6785"/>
        <item x="6784"/>
        <item x="6783"/>
        <item x="6782"/>
        <item x="6781"/>
        <item x="6780"/>
        <item x="6779"/>
        <item x="6778"/>
        <item x="6777"/>
        <item x="6776"/>
        <item x="6775"/>
        <item x="6774"/>
        <item x="6773"/>
        <item x="6772"/>
        <item x="6771"/>
        <item x="6770"/>
        <item x="6769"/>
        <item x="6768"/>
        <item x="6767"/>
        <item x="6766"/>
        <item x="6765"/>
        <item x="6764"/>
        <item x="6763"/>
        <item x="6762"/>
        <item x="6761"/>
        <item x="6760"/>
        <item x="6759"/>
        <item x="6758"/>
        <item x="6757"/>
        <item x="6756"/>
        <item x="6755"/>
        <item x="6754"/>
        <item x="6753"/>
        <item x="6752"/>
        <item x="6751"/>
        <item x="6750"/>
        <item x="6749"/>
        <item x="6748"/>
        <item x="6747"/>
        <item x="6746"/>
        <item x="6745"/>
        <item x="6744"/>
        <item x="6743"/>
        <item x="6742"/>
        <item x="6741"/>
        <item x="6740"/>
        <item x="6739"/>
        <item x="6738"/>
        <item x="6737"/>
        <item x="6736"/>
        <item x="6735"/>
        <item x="6734"/>
        <item x="6733"/>
        <item x="6732"/>
        <item x="6731"/>
        <item x="6730"/>
        <item x="6729"/>
        <item x="6728"/>
        <item x="6727"/>
        <item x="6726"/>
        <item x="6725"/>
        <item x="6724"/>
        <item x="6723"/>
        <item x="6722"/>
        <item x="6721"/>
        <item x="6720"/>
        <item x="6719"/>
        <item x="6718"/>
        <item x="6717"/>
        <item x="6716"/>
        <item x="6715"/>
        <item x="6714"/>
        <item x="6713"/>
        <item x="6712"/>
        <item x="6711"/>
        <item x="6710"/>
        <item x="6709"/>
        <item x="6708"/>
        <item x="6707"/>
        <item x="6706"/>
        <item x="6705"/>
        <item x="6704"/>
        <item x="6703"/>
        <item x="6702"/>
        <item x="6701"/>
        <item x="6700"/>
        <item x="6699"/>
        <item x="6698"/>
        <item x="6697"/>
        <item x="6696"/>
        <item x="6695"/>
        <item x="6694"/>
        <item x="6693"/>
        <item x="6692"/>
        <item x="6691"/>
        <item x="6690"/>
        <item x="6689"/>
        <item x="6688"/>
        <item x="6687"/>
        <item x="6686"/>
        <item x="6685"/>
        <item x="6684"/>
        <item x="6683"/>
        <item x="6682"/>
        <item x="6681"/>
        <item x="6680"/>
        <item x="6679"/>
        <item x="6678"/>
        <item x="6677"/>
        <item x="6676"/>
        <item x="6675"/>
        <item x="6674"/>
        <item x="6673"/>
        <item x="6672"/>
        <item x="6671"/>
        <item x="6670"/>
        <item x="6669"/>
        <item x="6668"/>
        <item x="6667"/>
        <item x="6666"/>
        <item x="6665"/>
        <item x="6664"/>
        <item x="6663"/>
        <item x="6662"/>
        <item x="6661"/>
        <item x="6660"/>
        <item x="6659"/>
        <item x="6658"/>
        <item x="6657"/>
        <item x="6656"/>
        <item x="6655"/>
        <item x="6654"/>
        <item x="6653"/>
        <item x="6652"/>
        <item x="6651"/>
        <item x="6650"/>
        <item x="6649"/>
        <item x="6648"/>
        <item x="6647"/>
        <item x="6646"/>
        <item x="6645"/>
        <item x="6644"/>
        <item x="6643"/>
        <item x="6642"/>
        <item x="6641"/>
        <item x="6640"/>
        <item x="6639"/>
        <item x="6638"/>
        <item x="6637"/>
        <item x="6636"/>
        <item x="6635"/>
        <item x="6634"/>
        <item x="6633"/>
        <item x="6632"/>
        <item x="6631"/>
        <item x="6630"/>
        <item x="6629"/>
        <item x="6628"/>
        <item x="6627"/>
        <item x="6626"/>
        <item x="6625"/>
        <item x="6624"/>
        <item x="6623"/>
        <item x="6622"/>
        <item x="6621"/>
        <item x="6620"/>
        <item x="6619"/>
        <item x="6618"/>
        <item x="6617"/>
        <item x="6616"/>
        <item x="6615"/>
        <item x="6614"/>
        <item x="6613"/>
        <item x="6612"/>
        <item x="6611"/>
        <item x="6610"/>
        <item x="6609"/>
        <item x="6608"/>
        <item x="6607"/>
        <item x="6606"/>
        <item x="6605"/>
        <item x="6604"/>
        <item x="6603"/>
        <item x="6602"/>
        <item x="6601"/>
        <item x="6600"/>
        <item x="6599"/>
        <item x="6598"/>
        <item x="6597"/>
        <item x="6596"/>
        <item x="6595"/>
        <item x="6594"/>
        <item x="6593"/>
        <item x="6592"/>
        <item x="6591"/>
        <item x="6590"/>
        <item x="6589"/>
        <item x="6588"/>
        <item x="6587"/>
        <item x="6586"/>
        <item x="6585"/>
        <item x="6584"/>
        <item x="6583"/>
        <item x="6582"/>
        <item x="6581"/>
        <item x="6580"/>
        <item x="6579"/>
        <item x="6578"/>
        <item x="6577"/>
        <item x="6576"/>
        <item x="6575"/>
        <item x="6574"/>
        <item x="6573"/>
        <item x="6572"/>
        <item x="6571"/>
        <item x="6570"/>
        <item x="6569"/>
        <item x="6568"/>
        <item x="6567"/>
        <item x="6566"/>
        <item x="6565"/>
        <item x="6564"/>
        <item x="6563"/>
        <item x="6562"/>
        <item x="6561"/>
        <item x="6560"/>
        <item x="6559"/>
        <item x="6558"/>
        <item x="6557"/>
        <item x="6556"/>
        <item x="6555"/>
        <item x="6554"/>
        <item x="6553"/>
        <item x="6552"/>
        <item x="6551"/>
        <item x="6550"/>
        <item x="6549"/>
        <item x="6548"/>
        <item x="6547"/>
        <item x="6546"/>
        <item x="6545"/>
        <item x="6544"/>
        <item x="6543"/>
        <item x="6542"/>
        <item x="6541"/>
        <item x="6540"/>
        <item x="6539"/>
        <item x="6538"/>
        <item x="6537"/>
        <item x="6536"/>
        <item x="6535"/>
        <item x="6534"/>
        <item x="6533"/>
        <item x="6532"/>
        <item x="6531"/>
        <item x="6530"/>
        <item x="6529"/>
        <item x="6528"/>
        <item x="6527"/>
        <item x="6526"/>
        <item x="6525"/>
        <item x="6524"/>
        <item x="6523"/>
        <item x="6522"/>
        <item x="6521"/>
        <item x="6520"/>
        <item x="6519"/>
        <item x="6518"/>
        <item x="6517"/>
        <item x="6516"/>
        <item x="6515"/>
        <item x="6514"/>
        <item x="6513"/>
        <item x="6512"/>
        <item x="6511"/>
        <item x="6510"/>
        <item x="6509"/>
        <item x="6508"/>
        <item x="6507"/>
        <item x="6506"/>
        <item x="6505"/>
        <item x="6504"/>
        <item x="6503"/>
        <item x="6502"/>
        <item x="6501"/>
        <item x="6500"/>
        <item x="6499"/>
        <item x="6498"/>
        <item x="6497"/>
        <item x="6496"/>
        <item x="6495"/>
        <item x="6494"/>
        <item x="6493"/>
        <item x="6492"/>
        <item x="6491"/>
        <item x="6490"/>
        <item x="6489"/>
        <item x="6488"/>
        <item x="6487"/>
        <item x="6486"/>
        <item x="6485"/>
        <item x="6484"/>
        <item x="6483"/>
        <item x="6482"/>
        <item x="6481"/>
        <item x="6480"/>
        <item x="6479"/>
        <item x="6478"/>
        <item x="6477"/>
        <item x="6476"/>
        <item x="6475"/>
        <item x="6474"/>
        <item x="6473"/>
        <item x="6472"/>
        <item x="6471"/>
        <item x="6470"/>
        <item x="6469"/>
        <item x="6468"/>
        <item x="6467"/>
        <item x="6466"/>
        <item x="6465"/>
        <item x="6464"/>
        <item x="6463"/>
        <item x="6462"/>
        <item x="6461"/>
        <item x="6460"/>
        <item x="6459"/>
        <item x="6458"/>
        <item x="6457"/>
        <item x="6456"/>
        <item x="6455"/>
        <item x="6454"/>
        <item x="6453"/>
        <item x="6452"/>
        <item x="6451"/>
        <item x="6450"/>
        <item x="6449"/>
        <item x="6448"/>
        <item x="6447"/>
        <item x="6446"/>
        <item x="6445"/>
        <item x="6444"/>
        <item x="6443"/>
        <item x="6442"/>
        <item x="6441"/>
        <item x="6440"/>
        <item x="6439"/>
        <item x="6438"/>
        <item x="6437"/>
        <item x="6436"/>
        <item x="6435"/>
        <item x="6434"/>
        <item x="6433"/>
        <item x="6432"/>
        <item x="6431"/>
        <item x="6430"/>
        <item x="6429"/>
        <item x="6428"/>
        <item x="6427"/>
        <item x="6426"/>
        <item x="6425"/>
        <item x="6424"/>
        <item x="6423"/>
        <item x="6422"/>
        <item x="6421"/>
        <item x="6420"/>
        <item x="6419"/>
        <item x="6418"/>
        <item x="6417"/>
        <item x="6416"/>
        <item x="6415"/>
        <item x="6414"/>
        <item x="6413"/>
        <item x="6412"/>
        <item x="6411"/>
        <item x="6410"/>
        <item x="6409"/>
        <item x="6408"/>
        <item x="6407"/>
        <item x="6406"/>
        <item x="6405"/>
        <item x="6404"/>
        <item x="6403"/>
        <item x="6402"/>
        <item x="6401"/>
        <item x="6400"/>
        <item x="6399"/>
        <item x="6398"/>
        <item x="6397"/>
        <item x="6396"/>
        <item x="6395"/>
        <item x="6394"/>
        <item x="6393"/>
        <item x="6392"/>
        <item x="6391"/>
        <item x="6390"/>
        <item x="6389"/>
        <item x="6388"/>
        <item x="6387"/>
        <item x="6386"/>
        <item x="6385"/>
        <item x="6384"/>
        <item x="6383"/>
        <item x="6382"/>
        <item x="6381"/>
        <item x="6380"/>
        <item x="6379"/>
        <item x="6378"/>
        <item x="6377"/>
        <item x="6376"/>
        <item x="6375"/>
        <item x="6374"/>
        <item x="6373"/>
        <item x="6372"/>
        <item x="6371"/>
        <item x="6370"/>
        <item x="6369"/>
        <item x="6368"/>
        <item x="6367"/>
        <item x="6366"/>
        <item x="6365"/>
        <item x="6364"/>
        <item x="6363"/>
        <item x="6362"/>
        <item x="6361"/>
        <item x="6360"/>
        <item x="6359"/>
        <item x="6358"/>
        <item x="6357"/>
        <item x="6356"/>
        <item x="6355"/>
        <item x="6354"/>
        <item x="6353"/>
        <item x="6352"/>
        <item x="6351"/>
        <item x="6350"/>
        <item x="6349"/>
        <item x="6348"/>
        <item x="6347"/>
        <item x="6346"/>
        <item x="6345"/>
        <item x="6344"/>
        <item x="6343"/>
        <item x="6342"/>
        <item x="6341"/>
        <item x="6340"/>
        <item x="6339"/>
        <item x="6338"/>
        <item x="6337"/>
        <item x="6336"/>
        <item x="6335"/>
        <item x="6334"/>
        <item x="6333"/>
        <item x="6332"/>
        <item x="6331"/>
        <item x="6330"/>
        <item x="6329"/>
        <item x="6328"/>
        <item x="6327"/>
        <item x="6326"/>
        <item x="6325"/>
        <item x="6324"/>
        <item x="6323"/>
        <item x="6322"/>
        <item x="6321"/>
        <item x="6320"/>
        <item x="6319"/>
        <item x="6318"/>
        <item x="6317"/>
        <item x="6316"/>
        <item x="6315"/>
        <item x="6314"/>
        <item x="6313"/>
        <item x="6312"/>
        <item x="6311"/>
        <item x="6310"/>
        <item x="6309"/>
        <item x="6308"/>
        <item x="6307"/>
        <item x="6306"/>
        <item x="6305"/>
        <item x="6304"/>
        <item x="6303"/>
        <item x="6302"/>
        <item x="6301"/>
        <item x="6300"/>
        <item x="6299"/>
        <item x="6298"/>
        <item x="6297"/>
        <item x="6296"/>
        <item x="6295"/>
        <item x="6294"/>
        <item x="6293"/>
        <item x="6292"/>
        <item x="6291"/>
        <item x="6290"/>
        <item x="6289"/>
        <item x="6288"/>
        <item x="6287"/>
        <item x="6286"/>
        <item x="6285"/>
        <item x="6284"/>
        <item x="6283"/>
        <item x="6282"/>
        <item x="6281"/>
        <item x="6280"/>
        <item x="6279"/>
        <item x="6278"/>
        <item x="6277"/>
        <item x="6276"/>
        <item x="6275"/>
        <item x="6274"/>
        <item x="6273"/>
        <item x="6272"/>
        <item x="6271"/>
        <item x="6270"/>
        <item x="6269"/>
        <item x="6268"/>
        <item x="6267"/>
        <item x="6266"/>
        <item x="6265"/>
        <item x="6264"/>
        <item x="6263"/>
        <item x="6262"/>
        <item x="6261"/>
        <item x="6260"/>
        <item x="6259"/>
        <item x="6258"/>
        <item x="6257"/>
        <item x="6256"/>
        <item x="6255"/>
        <item x="6254"/>
        <item x="6253"/>
        <item x="6252"/>
        <item x="6251"/>
        <item x="6250"/>
        <item x="6249"/>
        <item x="6248"/>
        <item x="6247"/>
        <item x="6246"/>
        <item x="6245"/>
        <item x="6244"/>
        <item x="6243"/>
        <item x="6242"/>
        <item x="6241"/>
        <item x="6240"/>
        <item x="6239"/>
        <item x="6238"/>
        <item x="6237"/>
        <item x="6236"/>
        <item x="6235"/>
        <item x="6234"/>
        <item x="6233"/>
        <item x="6232"/>
        <item x="6231"/>
        <item x="6230"/>
        <item x="6229"/>
        <item x="6228"/>
        <item x="6227"/>
        <item x="6226"/>
        <item x="6225"/>
        <item x="6224"/>
        <item x="6223"/>
        <item x="6222"/>
        <item x="6221"/>
        <item x="6220"/>
        <item x="6219"/>
        <item x="6218"/>
        <item x="6217"/>
        <item x="6216"/>
        <item x="6215"/>
        <item x="6214"/>
        <item x="6213"/>
        <item x="6212"/>
        <item x="6211"/>
        <item x="6210"/>
        <item x="6209"/>
        <item x="6208"/>
        <item x="6207"/>
        <item x="6206"/>
        <item x="6205"/>
        <item x="6204"/>
        <item x="6203"/>
        <item x="6202"/>
        <item x="6201"/>
        <item x="6200"/>
        <item x="6199"/>
        <item x="6198"/>
        <item x="6197"/>
        <item x="6196"/>
        <item x="6195"/>
        <item x="6194"/>
        <item x="6193"/>
        <item x="6192"/>
        <item x="6191"/>
        <item x="6190"/>
        <item x="6189"/>
        <item x="6188"/>
        <item x="6187"/>
        <item x="6186"/>
        <item x="6185"/>
        <item x="6184"/>
        <item x="6183"/>
        <item x="6182"/>
        <item x="6181"/>
        <item x="6180"/>
        <item x="6179"/>
        <item x="6178"/>
        <item x="6177"/>
        <item x="6176"/>
        <item x="6175"/>
        <item x="6174"/>
        <item x="6173"/>
        <item x="6172"/>
        <item x="6171"/>
        <item x="6170"/>
        <item x="6169"/>
        <item x="6168"/>
        <item x="6167"/>
        <item x="6166"/>
        <item x="6165"/>
        <item x="6164"/>
        <item x="6163"/>
        <item x="6162"/>
        <item x="6161"/>
        <item x="6160"/>
        <item x="6159"/>
        <item x="6158"/>
        <item x="6157"/>
        <item x="6156"/>
        <item x="6155"/>
        <item x="6154"/>
        <item x="6153"/>
        <item x="6152"/>
        <item x="6151"/>
        <item x="6150"/>
        <item x="6149"/>
        <item x="6148"/>
        <item x="6147"/>
        <item x="6146"/>
        <item x="6145"/>
        <item x="6144"/>
        <item x="6143"/>
        <item x="6142"/>
        <item x="6141"/>
        <item x="6140"/>
        <item x="6139"/>
        <item x="6138"/>
        <item x="6137"/>
        <item x="6136"/>
        <item x="6135"/>
        <item x="6134"/>
        <item x="6133"/>
        <item x="6132"/>
        <item x="6131"/>
        <item x="6130"/>
        <item x="6129"/>
        <item x="6128"/>
        <item x="6127"/>
        <item x="6126"/>
        <item x="6125"/>
        <item x="6124"/>
        <item x="6123"/>
        <item x="6122"/>
        <item x="6121"/>
        <item x="6120"/>
        <item x="6119"/>
        <item x="6118"/>
        <item x="6117"/>
        <item x="6116"/>
        <item x="6115"/>
        <item x="6114"/>
        <item x="6113"/>
        <item x="6112"/>
        <item x="6111"/>
        <item x="6110"/>
        <item x="6109"/>
        <item x="6108"/>
        <item x="6107"/>
        <item x="6106"/>
        <item x="6105"/>
        <item x="6104"/>
        <item x="6103"/>
        <item x="6102"/>
        <item x="6101"/>
        <item x="6100"/>
        <item x="6099"/>
        <item x="6098"/>
        <item x="6097"/>
        <item x="6096"/>
        <item x="6095"/>
        <item x="6094"/>
        <item x="6093"/>
        <item x="6092"/>
        <item x="6091"/>
        <item x="6090"/>
        <item x="6089"/>
        <item x="6088"/>
        <item x="6087"/>
        <item x="6086"/>
        <item x="6085"/>
        <item x="6084"/>
        <item x="6083"/>
        <item x="6082"/>
        <item x="6081"/>
        <item x="6080"/>
        <item x="6079"/>
        <item x="6078"/>
        <item x="6077"/>
        <item x="6076"/>
        <item x="6075"/>
        <item x="6074"/>
        <item x="6073"/>
        <item x="6072"/>
        <item x="6071"/>
        <item x="6070"/>
        <item x="6069"/>
        <item x="6068"/>
        <item x="6067"/>
        <item x="6066"/>
        <item x="6065"/>
        <item x="6064"/>
        <item x="6063"/>
        <item x="6062"/>
        <item x="6061"/>
        <item x="6060"/>
        <item x="6059"/>
        <item x="6058"/>
        <item x="6057"/>
        <item x="6056"/>
        <item x="6055"/>
        <item x="6054"/>
        <item x="6053"/>
        <item x="6052"/>
        <item x="6051"/>
        <item x="6050"/>
        <item x="6049"/>
        <item x="6048"/>
        <item x="6047"/>
        <item x="6046"/>
        <item x="6045"/>
        <item x="6044"/>
        <item x="6043"/>
        <item x="6042"/>
        <item x="6041"/>
        <item x="6040"/>
        <item x="6039"/>
        <item x="6038"/>
        <item x="6037"/>
        <item x="6036"/>
        <item x="6035"/>
        <item x="6034"/>
        <item x="6033"/>
        <item x="6032"/>
        <item x="6031"/>
        <item x="6030"/>
        <item x="6029"/>
        <item x="6028"/>
        <item x="6027"/>
        <item x="6026"/>
        <item x="6025"/>
        <item x="6024"/>
        <item x="6023"/>
        <item x="6022"/>
        <item x="6021"/>
        <item x="6020"/>
        <item x="6019"/>
        <item x="6018"/>
        <item x="6017"/>
        <item x="6016"/>
        <item x="6015"/>
        <item x="6014"/>
        <item x="6013"/>
        <item x="6012"/>
        <item x="6011"/>
        <item x="6010"/>
        <item x="6009"/>
        <item x="6008"/>
        <item x="6007"/>
        <item x="6006"/>
        <item x="6005"/>
        <item x="6004"/>
        <item x="6003"/>
        <item x="6002"/>
        <item x="6001"/>
        <item x="6000"/>
        <item x="5999"/>
        <item x="5998"/>
        <item x="5997"/>
        <item x="5996"/>
        <item x="5995"/>
        <item x="5994"/>
        <item x="5993"/>
        <item x="5992"/>
        <item x="5991"/>
        <item x="5990"/>
        <item x="5989"/>
        <item x="5988"/>
        <item x="5987"/>
        <item x="5986"/>
        <item x="5985"/>
        <item x="5984"/>
        <item x="5983"/>
        <item x="5982"/>
        <item x="5981"/>
        <item x="5980"/>
        <item x="5979"/>
        <item x="5978"/>
        <item x="5977"/>
        <item x="5976"/>
        <item x="5975"/>
        <item x="5974"/>
        <item x="5973"/>
        <item x="5972"/>
        <item x="5971"/>
        <item x="5970"/>
        <item x="5969"/>
        <item x="5968"/>
        <item x="5967"/>
        <item x="5966"/>
        <item x="5965"/>
        <item x="5964"/>
        <item x="5963"/>
        <item x="5962"/>
        <item x="5961"/>
        <item x="5960"/>
        <item x="5959"/>
        <item x="5958"/>
        <item x="5957"/>
        <item x="5956"/>
        <item x="5955"/>
        <item x="5954"/>
        <item x="5953"/>
        <item x="5952"/>
        <item x="5951"/>
        <item x="5950"/>
        <item x="5949"/>
        <item x="5948"/>
        <item x="5947"/>
        <item x="5946"/>
        <item x="5945"/>
        <item x="5944"/>
        <item x="5943"/>
        <item x="5942"/>
        <item x="5941"/>
        <item x="5940"/>
        <item x="5939"/>
        <item x="5938"/>
        <item x="5937"/>
        <item x="5936"/>
        <item x="5935"/>
        <item x="5934"/>
        <item x="5933"/>
        <item x="5932"/>
        <item x="5931"/>
        <item x="5930"/>
        <item x="5929"/>
        <item x="5928"/>
        <item x="5927"/>
        <item x="5926"/>
        <item x="5925"/>
        <item x="5924"/>
        <item x="5923"/>
        <item x="5922"/>
        <item x="5921"/>
        <item x="5920"/>
        <item x="5919"/>
        <item x="5918"/>
        <item x="5917"/>
        <item x="5916"/>
        <item x="5915"/>
        <item x="5914"/>
        <item x="5913"/>
        <item x="5912"/>
        <item x="5911"/>
        <item x="5910"/>
        <item x="5909"/>
        <item x="5908"/>
        <item x="5907"/>
        <item x="5906"/>
        <item x="5905"/>
        <item x="5904"/>
        <item x="5903"/>
        <item x="5902"/>
        <item x="5901"/>
        <item x="5900"/>
        <item x="5899"/>
        <item x="5898"/>
        <item x="5897"/>
        <item x="5896"/>
        <item x="5895"/>
        <item x="5894"/>
        <item x="5893"/>
        <item x="5892"/>
        <item x="5891"/>
        <item x="5890"/>
        <item x="5889"/>
        <item x="5888"/>
        <item x="5887"/>
        <item x="5886"/>
        <item x="5885"/>
        <item x="5884"/>
        <item x="5883"/>
        <item x="5882"/>
        <item x="5881"/>
        <item x="5880"/>
        <item x="5879"/>
        <item x="5878"/>
        <item x="5877"/>
        <item x="5876"/>
        <item x="5875"/>
        <item x="5874"/>
        <item x="5873"/>
        <item x="5872"/>
        <item x="5871"/>
        <item x="5870"/>
        <item x="5869"/>
        <item x="5868"/>
        <item x="5867"/>
        <item x="5866"/>
        <item x="5865"/>
        <item x="5864"/>
        <item x="5863"/>
        <item x="5862"/>
        <item x="5861"/>
        <item x="5860"/>
        <item x="5859"/>
        <item x="5858"/>
        <item x="5857"/>
        <item x="5856"/>
        <item x="5855"/>
        <item x="5854"/>
        <item x="5853"/>
        <item x="5852"/>
        <item x="5851"/>
        <item x="5850"/>
        <item x="5849"/>
        <item x="5848"/>
        <item x="5847"/>
        <item x="5846"/>
        <item x="5845"/>
        <item x="5844"/>
        <item x="5843"/>
        <item x="5842"/>
        <item x="5841"/>
        <item x="5840"/>
        <item x="5839"/>
        <item x="5838"/>
        <item x="5837"/>
        <item x="5836"/>
        <item x="5835"/>
        <item x="5834"/>
        <item x="5833"/>
        <item x="5832"/>
        <item x="5831"/>
        <item x="5830"/>
        <item x="5829"/>
        <item x="5828"/>
        <item x="5827"/>
        <item x="5826"/>
        <item x="5825"/>
        <item x="5824"/>
        <item x="5823"/>
        <item x="5822"/>
        <item x="5821"/>
        <item x="5820"/>
        <item x="5819"/>
        <item x="5818"/>
        <item x="5817"/>
        <item x="5816"/>
        <item x="5815"/>
        <item x="5814"/>
        <item x="5813"/>
        <item x="5812"/>
        <item x="5811"/>
        <item x="5810"/>
        <item x="5809"/>
        <item x="5808"/>
        <item x="5807"/>
        <item x="5806"/>
        <item x="5805"/>
        <item x="5804"/>
        <item x="5803"/>
        <item x="5802"/>
        <item x="5801"/>
        <item x="5800"/>
        <item x="5799"/>
        <item x="5798"/>
        <item x="5797"/>
        <item x="5796"/>
        <item x="5795"/>
        <item x="5794"/>
        <item x="5793"/>
        <item x="5792"/>
        <item x="5791"/>
        <item x="5790"/>
        <item x="5789"/>
        <item x="5788"/>
        <item x="5787"/>
        <item x="5786"/>
        <item x="5785"/>
        <item x="5784"/>
        <item x="5783"/>
        <item x="5782"/>
        <item x="5781"/>
        <item x="5780"/>
        <item x="5779"/>
        <item x="5778"/>
        <item x="5777"/>
        <item x="5776"/>
        <item x="5775"/>
        <item x="5774"/>
        <item x="5773"/>
        <item x="5772"/>
        <item x="5771"/>
        <item x="5770"/>
        <item x="5769"/>
        <item x="5768"/>
        <item x="5767"/>
        <item x="5766"/>
        <item x="5765"/>
        <item x="5764"/>
        <item x="5763"/>
        <item x="5762"/>
        <item x="5761"/>
        <item x="5760"/>
        <item x="5759"/>
        <item x="5758"/>
        <item x="5757"/>
        <item x="5756"/>
        <item x="5755"/>
        <item x="5754"/>
        <item x="5753"/>
        <item x="5752"/>
        <item x="5751"/>
        <item x="5750"/>
        <item x="5749"/>
        <item x="5748"/>
        <item x="5747"/>
        <item x="5746"/>
        <item x="5745"/>
        <item x="5744"/>
        <item x="5743"/>
        <item x="5742"/>
        <item x="5741"/>
        <item x="5740"/>
        <item x="5739"/>
        <item x="5738"/>
        <item x="5737"/>
        <item x="5736"/>
        <item x="5735"/>
        <item x="5734"/>
        <item x="5733"/>
        <item x="5732"/>
        <item x="5731"/>
        <item x="5730"/>
        <item x="5729"/>
        <item x="5728"/>
        <item x="5727"/>
        <item x="5726"/>
        <item x="5725"/>
        <item x="5724"/>
        <item x="5723"/>
        <item x="5722"/>
        <item x="5721"/>
        <item x="5720"/>
        <item x="5719"/>
        <item x="5718"/>
        <item x="5717"/>
        <item x="5716"/>
        <item x="5715"/>
        <item x="5714"/>
        <item x="5713"/>
        <item x="5712"/>
        <item x="5711"/>
        <item x="5710"/>
        <item x="5709"/>
        <item x="5708"/>
        <item x="5707"/>
        <item x="5706"/>
        <item x="5705"/>
        <item x="5704"/>
        <item x="5703"/>
        <item x="5702"/>
        <item x="5701"/>
        <item x="5700"/>
        <item x="5699"/>
        <item x="5698"/>
        <item x="5697"/>
        <item x="5696"/>
        <item x="5695"/>
        <item x="5694"/>
        <item x="5693"/>
        <item x="5692"/>
        <item x="5691"/>
        <item x="5690"/>
        <item x="5689"/>
        <item x="5688"/>
        <item x="5687"/>
        <item x="5686"/>
        <item x="5685"/>
        <item x="5684"/>
        <item x="5683"/>
        <item x="5682"/>
        <item x="5681"/>
        <item x="5680"/>
        <item x="5679"/>
        <item x="5678"/>
        <item x="5677"/>
        <item x="5676"/>
        <item x="5675"/>
        <item x="5674"/>
        <item x="5673"/>
        <item x="5672"/>
        <item x="5671"/>
        <item x="5670"/>
        <item x="5669"/>
        <item x="5668"/>
        <item x="5667"/>
        <item x="5666"/>
        <item x="5665"/>
        <item x="5664"/>
        <item x="5663"/>
        <item x="5662"/>
        <item x="5661"/>
        <item x="5660"/>
        <item x="5659"/>
        <item x="5658"/>
        <item x="5657"/>
        <item x="5656"/>
        <item x="5655"/>
        <item x="5654"/>
        <item x="5653"/>
        <item x="5652"/>
        <item x="5651"/>
        <item x="5650"/>
        <item x="5649"/>
        <item x="5648"/>
        <item x="5647"/>
        <item x="5646"/>
        <item x="5645"/>
        <item x="5644"/>
        <item x="5643"/>
        <item x="5642"/>
        <item x="5641"/>
        <item x="5640"/>
        <item x="5639"/>
        <item x="5638"/>
        <item x="5637"/>
        <item x="5636"/>
        <item x="5635"/>
        <item x="5634"/>
        <item x="5633"/>
        <item x="5632"/>
        <item x="5631"/>
        <item x="5630"/>
        <item x="5629"/>
        <item x="5628"/>
        <item x="5627"/>
        <item x="5626"/>
        <item x="5625"/>
        <item x="5624"/>
        <item x="5623"/>
        <item x="5622"/>
        <item x="5621"/>
        <item x="5620"/>
        <item x="5619"/>
        <item x="5618"/>
        <item x="5617"/>
        <item x="5616"/>
        <item x="5615"/>
        <item x="5614"/>
        <item x="5613"/>
        <item x="5612"/>
        <item x="5611"/>
        <item x="5610"/>
        <item x="5609"/>
        <item x="5608"/>
        <item x="5607"/>
        <item x="5606"/>
        <item x="5605"/>
        <item x="5604"/>
        <item x="5603"/>
        <item x="5602"/>
        <item x="5601"/>
        <item x="5600"/>
        <item x="5599"/>
        <item x="5598"/>
        <item x="5597"/>
        <item x="5596"/>
        <item x="5595"/>
        <item x="5594"/>
        <item x="5593"/>
        <item x="5592"/>
        <item x="5591"/>
        <item x="5590"/>
        <item x="5589"/>
        <item x="5588"/>
        <item x="5587"/>
        <item x="5586"/>
        <item x="5585"/>
        <item x="5584"/>
        <item x="5583"/>
        <item x="5582"/>
        <item x="5581"/>
        <item x="5580"/>
        <item x="5579"/>
        <item x="5578"/>
        <item x="5577"/>
        <item x="5576"/>
        <item x="5575"/>
        <item x="5574"/>
        <item x="5573"/>
        <item x="5572"/>
        <item x="5571"/>
        <item x="5570"/>
        <item x="5569"/>
        <item x="5568"/>
        <item x="5567"/>
        <item x="5566"/>
        <item x="5565"/>
        <item x="5564"/>
        <item x="5563"/>
        <item x="5562"/>
        <item x="5561"/>
        <item x="5560"/>
        <item x="5559"/>
        <item x="5558"/>
        <item x="5557"/>
        <item x="5556"/>
        <item x="5555"/>
        <item x="5554"/>
        <item x="5553"/>
        <item x="5552"/>
        <item x="5551"/>
        <item x="5550"/>
        <item x="5549"/>
        <item x="5548"/>
        <item x="5547"/>
        <item x="5546"/>
        <item x="5545"/>
        <item x="5544"/>
        <item x="5543"/>
        <item x="5542"/>
        <item x="5541"/>
        <item x="5540"/>
        <item x="5539"/>
        <item x="5538"/>
        <item x="5537"/>
        <item x="5536"/>
        <item x="5535"/>
        <item x="5534"/>
        <item x="5533"/>
        <item x="5532"/>
        <item x="5531"/>
        <item x="5530"/>
        <item x="5529"/>
        <item x="5528"/>
        <item x="5527"/>
        <item x="5526"/>
        <item x="5525"/>
        <item x="5524"/>
        <item x="5523"/>
        <item x="5522"/>
        <item x="5521"/>
        <item x="5520"/>
        <item x="5519"/>
        <item x="5518"/>
        <item x="5517"/>
        <item x="5516"/>
        <item x="5515"/>
        <item x="5514"/>
        <item x="5513"/>
        <item x="5512"/>
        <item x="5511"/>
        <item x="5510"/>
        <item x="5509"/>
        <item x="5508"/>
        <item x="5507"/>
        <item x="5506"/>
        <item x="5505"/>
        <item x="5504"/>
        <item x="5503"/>
        <item x="5502"/>
        <item x="5501"/>
        <item x="5500"/>
        <item x="5499"/>
        <item x="5498"/>
        <item x="5497"/>
        <item x="5496"/>
        <item x="5495"/>
        <item x="5494"/>
        <item x="5493"/>
        <item x="5492"/>
        <item x="5491"/>
        <item x="5490"/>
        <item x="5489"/>
        <item x="5488"/>
        <item x="5487"/>
        <item x="5486"/>
        <item x="5485"/>
        <item x="5484"/>
        <item x="5483"/>
        <item x="5482"/>
        <item x="5481"/>
        <item x="5480"/>
        <item x="5479"/>
        <item x="5478"/>
        <item x="5477"/>
        <item x="5476"/>
        <item x="5475"/>
        <item x="5474"/>
        <item x="5473"/>
        <item x="5472"/>
        <item x="5471"/>
        <item x="5470"/>
        <item x="5469"/>
        <item x="5468"/>
        <item x="5467"/>
        <item x="5466"/>
        <item x="5465"/>
        <item x="5464"/>
        <item x="5463"/>
        <item x="5462"/>
        <item x="5461"/>
        <item x="5460"/>
        <item x="5459"/>
        <item x="5458"/>
        <item x="5457"/>
        <item x="5456"/>
        <item x="5455"/>
        <item x="5454"/>
        <item x="5453"/>
        <item x="5452"/>
        <item x="5451"/>
        <item x="5450"/>
        <item x="5449"/>
        <item x="5448"/>
        <item x="5447"/>
        <item x="5446"/>
        <item x="5445"/>
        <item x="5444"/>
        <item x="5443"/>
        <item x="5442"/>
        <item x="5441"/>
        <item x="5440"/>
        <item x="5439"/>
        <item x="5438"/>
        <item x="5437"/>
        <item x="5436"/>
        <item x="5435"/>
        <item x="5434"/>
        <item x="5433"/>
        <item x="5432"/>
        <item x="5431"/>
        <item x="5430"/>
        <item x="5429"/>
        <item x="5428"/>
        <item x="5427"/>
        <item x="5426"/>
        <item x="5425"/>
        <item x="5424"/>
        <item x="5423"/>
        <item x="5422"/>
        <item x="5421"/>
        <item x="5420"/>
        <item x="5419"/>
        <item x="5418"/>
        <item x="5417"/>
        <item x="5416"/>
        <item x="5415"/>
        <item x="5414"/>
        <item x="5413"/>
        <item x="5412"/>
        <item x="5411"/>
        <item x="5410"/>
        <item x="5409"/>
        <item x="5408"/>
        <item x="5407"/>
        <item x="5406"/>
        <item x="5405"/>
        <item x="5404"/>
        <item x="5403"/>
        <item x="5402"/>
        <item x="5401"/>
        <item x="5400"/>
        <item x="5399"/>
        <item x="5398"/>
        <item x="5397"/>
        <item x="5396"/>
        <item x="5395"/>
        <item x="5394"/>
        <item x="5393"/>
        <item x="5392"/>
        <item x="5391"/>
        <item x="5390"/>
        <item x="5389"/>
        <item x="5388"/>
        <item x="5387"/>
        <item x="5386"/>
        <item x="5385"/>
        <item x="5384"/>
        <item x="5383"/>
        <item x="5382"/>
        <item x="5381"/>
        <item x="5380"/>
        <item x="5379"/>
        <item x="5378"/>
        <item x="5377"/>
        <item x="5376"/>
        <item x="5375"/>
        <item x="5374"/>
        <item x="5373"/>
        <item x="5372"/>
        <item x="5371"/>
        <item x="5370"/>
        <item x="5369"/>
        <item x="5368"/>
        <item x="5367"/>
        <item x="5366"/>
        <item x="5365"/>
        <item x="5364"/>
        <item x="5363"/>
        <item x="5362"/>
        <item x="5361"/>
        <item x="5360"/>
        <item x="5359"/>
        <item x="5358"/>
        <item x="5357"/>
        <item x="5356"/>
        <item x="5355"/>
        <item x="5354"/>
        <item x="5353"/>
        <item x="5352"/>
        <item x="5351"/>
        <item x="5350"/>
        <item x="5349"/>
        <item x="5348"/>
        <item x="5347"/>
        <item x="5346"/>
        <item x="5345"/>
        <item x="5344"/>
        <item x="5343"/>
        <item x="5342"/>
        <item x="5341"/>
        <item x="5340"/>
        <item x="5339"/>
        <item x="5338"/>
        <item x="5337"/>
        <item x="5336"/>
        <item x="5335"/>
        <item x="5334"/>
        <item x="5333"/>
        <item x="5332"/>
        <item x="5331"/>
        <item x="5330"/>
        <item x="5329"/>
        <item x="5328"/>
        <item x="5327"/>
        <item x="5326"/>
        <item x="5325"/>
        <item x="5324"/>
        <item x="5323"/>
        <item x="5322"/>
        <item x="5321"/>
        <item x="5320"/>
        <item x="5319"/>
        <item x="5318"/>
        <item x="5317"/>
        <item x="5316"/>
        <item x="5315"/>
        <item x="5314"/>
        <item x="5313"/>
        <item x="5312"/>
        <item x="5311"/>
        <item x="5310"/>
        <item x="5309"/>
        <item x="5308"/>
        <item x="5307"/>
        <item x="5306"/>
        <item x="5305"/>
        <item x="5304"/>
        <item x="5303"/>
        <item x="5302"/>
        <item x="5301"/>
        <item x="5300"/>
        <item x="5299"/>
        <item x="5298"/>
        <item x="5297"/>
        <item x="5296"/>
        <item x="5295"/>
        <item x="5294"/>
        <item x="5293"/>
        <item x="5292"/>
        <item x="5291"/>
        <item x="5290"/>
        <item x="5289"/>
        <item x="5288"/>
        <item x="5287"/>
        <item x="5286"/>
        <item x="5285"/>
        <item x="5284"/>
        <item x="5283"/>
        <item x="5282"/>
        <item x="5281"/>
        <item x="5280"/>
        <item x="5279"/>
        <item x="5278"/>
        <item x="5277"/>
        <item x="5276"/>
        <item x="5275"/>
        <item x="5274"/>
        <item x="5273"/>
        <item x="5272"/>
        <item x="5271"/>
        <item x="5270"/>
        <item x="5269"/>
        <item x="5268"/>
        <item x="5267"/>
        <item x="5266"/>
        <item x="5265"/>
        <item x="5264"/>
        <item x="5263"/>
        <item x="5262"/>
        <item x="5261"/>
        <item x="5260"/>
        <item x="5259"/>
        <item x="5258"/>
        <item x="5257"/>
        <item x="5256"/>
        <item x="5255"/>
        <item x="5254"/>
        <item x="5253"/>
        <item x="5252"/>
        <item x="5251"/>
        <item x="5250"/>
        <item x="5249"/>
        <item x="5248"/>
        <item x="5247"/>
        <item x="5246"/>
        <item x="5245"/>
        <item x="5244"/>
        <item x="5243"/>
        <item x="5242"/>
        <item x="5241"/>
        <item x="5240"/>
        <item x="5239"/>
        <item x="5238"/>
        <item x="5237"/>
        <item x="5236"/>
        <item x="5235"/>
        <item x="5234"/>
        <item x="5233"/>
        <item x="5232"/>
        <item x="5231"/>
        <item x="5230"/>
        <item x="5229"/>
        <item x="5228"/>
        <item x="5227"/>
        <item x="5226"/>
        <item x="5225"/>
        <item x="5224"/>
        <item x="5223"/>
        <item x="5222"/>
        <item x="5221"/>
        <item x="5220"/>
        <item x="5219"/>
        <item x="5218"/>
        <item x="5217"/>
        <item x="5216"/>
        <item x="5215"/>
        <item x="5214"/>
        <item x="5213"/>
        <item x="5212"/>
        <item x="5211"/>
        <item x="5210"/>
        <item x="5209"/>
        <item x="5208"/>
        <item x="5207"/>
        <item x="5206"/>
        <item x="5205"/>
        <item x="5204"/>
        <item x="5203"/>
        <item x="5202"/>
        <item x="5201"/>
        <item x="5200"/>
        <item x="5199"/>
        <item x="5198"/>
        <item x="5197"/>
        <item x="5196"/>
        <item x="5195"/>
        <item x="5194"/>
        <item x="5193"/>
        <item x="5192"/>
        <item x="5191"/>
        <item x="5190"/>
        <item x="5189"/>
        <item x="5188"/>
        <item x="5187"/>
        <item x="5186"/>
        <item x="5185"/>
        <item x="5184"/>
        <item x="5183"/>
        <item x="5182"/>
        <item x="5181"/>
        <item x="5180"/>
        <item x="5179"/>
        <item x="5178"/>
        <item x="5177"/>
        <item x="5176"/>
        <item x="5175"/>
        <item x="5174"/>
        <item x="5173"/>
        <item x="5172"/>
        <item x="5171"/>
        <item x="5170"/>
        <item x="5169"/>
        <item x="5168"/>
        <item x="5167"/>
        <item x="5166"/>
        <item x="5165"/>
        <item x="5164"/>
        <item x="5163"/>
        <item x="5162"/>
        <item x="5161"/>
        <item x="5160"/>
        <item x="5159"/>
        <item x="5158"/>
        <item x="5157"/>
        <item x="5156"/>
        <item x="5155"/>
        <item x="5154"/>
        <item x="5153"/>
        <item x="5152"/>
        <item x="5151"/>
        <item x="5150"/>
        <item x="5149"/>
        <item x="5148"/>
        <item x="5147"/>
        <item x="5146"/>
        <item x="5145"/>
        <item x="5144"/>
        <item x="5143"/>
        <item x="5142"/>
        <item x="5141"/>
        <item x="5140"/>
        <item x="5139"/>
        <item x="5138"/>
        <item x="5137"/>
        <item x="5136"/>
        <item x="5135"/>
        <item x="5134"/>
        <item x="5133"/>
        <item x="5132"/>
        <item x="5131"/>
        <item x="5130"/>
        <item x="5129"/>
        <item x="5128"/>
        <item x="5127"/>
        <item x="5126"/>
        <item x="5125"/>
        <item x="5124"/>
        <item x="5123"/>
        <item x="5122"/>
        <item x="5121"/>
        <item x="5120"/>
        <item x="5119"/>
        <item x="5118"/>
        <item x="5117"/>
        <item x="5116"/>
        <item x="5115"/>
        <item x="5114"/>
        <item x="5113"/>
        <item x="5112"/>
        <item x="5111"/>
        <item x="5110"/>
        <item x="5109"/>
        <item x="5108"/>
        <item x="5107"/>
        <item x="5106"/>
        <item x="5105"/>
        <item x="5104"/>
        <item x="5103"/>
        <item x="5102"/>
        <item x="5101"/>
        <item x="5100"/>
        <item x="5099"/>
        <item x="5098"/>
        <item x="5097"/>
        <item x="5096"/>
        <item x="5095"/>
        <item x="5094"/>
        <item x="5093"/>
        <item x="5092"/>
        <item x="5091"/>
        <item x="5090"/>
        <item x="5089"/>
        <item x="5088"/>
        <item x="5087"/>
        <item x="5086"/>
        <item x="5085"/>
        <item x="5084"/>
        <item x="5083"/>
        <item x="5082"/>
        <item x="5081"/>
        <item x="5080"/>
        <item x="5079"/>
        <item x="5078"/>
        <item x="5077"/>
        <item x="5076"/>
        <item x="5075"/>
        <item x="5074"/>
        <item x="5073"/>
        <item x="5072"/>
        <item x="5071"/>
        <item x="5070"/>
        <item x="5069"/>
        <item x="5068"/>
        <item x="5067"/>
        <item x="5066"/>
        <item x="5065"/>
        <item x="5064"/>
        <item x="5063"/>
        <item x="5062"/>
        <item x="5061"/>
        <item x="5060"/>
        <item x="5059"/>
        <item x="5058"/>
        <item x="5057"/>
        <item x="5056"/>
        <item x="5055"/>
        <item x="5054"/>
        <item x="5053"/>
        <item x="5052"/>
        <item x="5051"/>
        <item x="5050"/>
        <item x="5049"/>
        <item x="5048"/>
        <item x="5047"/>
        <item x="5046"/>
        <item x="5045"/>
        <item x="5044"/>
        <item x="5043"/>
        <item x="5042"/>
        <item x="5041"/>
        <item x="5040"/>
        <item x="5039"/>
        <item x="5038"/>
        <item x="5037"/>
        <item x="5036"/>
        <item x="5035"/>
        <item x="5034"/>
        <item x="5033"/>
        <item x="5032"/>
        <item x="5031"/>
        <item x="5030"/>
        <item x="5029"/>
        <item x="5028"/>
        <item x="5027"/>
        <item x="5026"/>
        <item x="5025"/>
        <item x="5024"/>
        <item x="5023"/>
        <item x="5022"/>
        <item x="5021"/>
        <item x="5020"/>
        <item x="5019"/>
        <item x="5018"/>
        <item x="5017"/>
        <item x="5016"/>
        <item x="5015"/>
        <item x="5014"/>
        <item x="5013"/>
        <item x="5012"/>
        <item x="5011"/>
        <item x="5010"/>
        <item x="5009"/>
        <item x="5008"/>
        <item x="5007"/>
        <item x="5006"/>
        <item x="5005"/>
        <item x="5004"/>
        <item x="5003"/>
        <item x="5002"/>
        <item x="5001"/>
        <item x="5000"/>
        <item x="4999"/>
        <item x="4998"/>
        <item x="4997"/>
        <item x="4996"/>
        <item x="4995"/>
        <item x="4994"/>
        <item x="4993"/>
        <item x="4992"/>
        <item x="4991"/>
        <item x="4990"/>
        <item x="4989"/>
        <item x="4988"/>
        <item x="4987"/>
        <item x="4986"/>
        <item x="4985"/>
        <item x="4984"/>
        <item x="4983"/>
        <item x="4982"/>
        <item x="4981"/>
        <item x="4980"/>
        <item x="4979"/>
        <item x="4978"/>
        <item x="4977"/>
        <item x="4976"/>
        <item x="4975"/>
        <item x="4974"/>
        <item x="4973"/>
        <item x="4972"/>
        <item x="4971"/>
        <item x="4970"/>
        <item x="4969"/>
        <item x="4968"/>
        <item x="4967"/>
        <item x="4966"/>
        <item x="4965"/>
        <item x="4964"/>
        <item x="4963"/>
        <item x="4962"/>
        <item x="4961"/>
        <item x="4960"/>
        <item x="4959"/>
        <item x="4958"/>
        <item x="4957"/>
        <item x="4956"/>
        <item x="4955"/>
        <item x="4954"/>
        <item x="4953"/>
        <item x="4952"/>
        <item x="4951"/>
        <item x="4950"/>
        <item x="4949"/>
        <item x="4948"/>
        <item x="4947"/>
        <item x="4946"/>
        <item x="4945"/>
        <item x="4944"/>
        <item x="4943"/>
        <item x="4942"/>
        <item x="4941"/>
        <item x="4940"/>
        <item x="4939"/>
        <item x="4938"/>
        <item x="4937"/>
        <item x="4936"/>
        <item x="4935"/>
        <item x="4934"/>
        <item x="4933"/>
        <item x="4932"/>
        <item x="4931"/>
        <item x="4930"/>
        <item x="4929"/>
        <item x="4928"/>
        <item x="4927"/>
        <item x="4926"/>
        <item x="4925"/>
        <item x="4924"/>
        <item x="4923"/>
        <item x="4922"/>
        <item x="4921"/>
        <item x="4920"/>
        <item x="4919"/>
        <item x="4918"/>
        <item x="4917"/>
        <item x="4916"/>
        <item x="4915"/>
        <item x="4914"/>
        <item x="4913"/>
        <item x="4912"/>
        <item x="4911"/>
        <item x="4910"/>
        <item x="4909"/>
        <item x="4908"/>
        <item x="4907"/>
        <item x="4906"/>
        <item x="4905"/>
        <item x="4904"/>
        <item x="4903"/>
        <item x="4902"/>
        <item x="4901"/>
        <item x="4900"/>
        <item x="4899"/>
        <item x="4898"/>
        <item x="4897"/>
        <item x="4896"/>
        <item x="4895"/>
        <item x="4894"/>
        <item x="4893"/>
        <item x="4892"/>
        <item x="4891"/>
        <item x="4890"/>
        <item x="4889"/>
        <item x="4888"/>
        <item x="4887"/>
        <item x="4886"/>
        <item x="4885"/>
        <item x="4884"/>
        <item x="4883"/>
        <item x="4882"/>
        <item x="4881"/>
        <item x="4880"/>
        <item x="4879"/>
        <item x="4878"/>
        <item x="4877"/>
        <item x="4876"/>
        <item x="4875"/>
        <item x="4874"/>
        <item x="4873"/>
        <item x="4872"/>
        <item x="4871"/>
        <item x="4870"/>
        <item x="4869"/>
        <item x="4868"/>
        <item x="4867"/>
        <item x="4866"/>
        <item x="4865"/>
        <item x="4864"/>
        <item x="4863"/>
        <item x="4862"/>
        <item x="4861"/>
        <item x="4860"/>
        <item x="4859"/>
        <item x="4858"/>
        <item x="4857"/>
        <item x="4856"/>
        <item x="4855"/>
        <item x="4854"/>
        <item x="4853"/>
        <item x="4852"/>
        <item x="4851"/>
        <item x="4850"/>
        <item x="4849"/>
        <item x="4848"/>
        <item x="4847"/>
        <item x="4846"/>
        <item x="4845"/>
        <item x="4844"/>
        <item x="4843"/>
        <item x="4842"/>
        <item x="4841"/>
        <item x="4840"/>
        <item x="4839"/>
        <item x="4838"/>
        <item x="4837"/>
        <item x="4836"/>
        <item x="4835"/>
        <item x="4834"/>
        <item x="4833"/>
        <item x="4832"/>
        <item x="4831"/>
        <item x="4830"/>
        <item x="4829"/>
        <item x="4828"/>
        <item x="4827"/>
        <item x="4826"/>
        <item x="4825"/>
        <item x="4824"/>
        <item x="4823"/>
        <item x="4822"/>
        <item x="4821"/>
        <item x="4820"/>
        <item x="4819"/>
        <item x="4818"/>
        <item x="4817"/>
        <item x="4816"/>
        <item x="4815"/>
        <item x="4814"/>
        <item x="4813"/>
        <item x="4812"/>
        <item x="4811"/>
        <item x="4810"/>
        <item x="4809"/>
        <item x="4808"/>
        <item x="4807"/>
        <item x="4806"/>
        <item x="4805"/>
        <item x="4804"/>
        <item x="4803"/>
        <item x="4802"/>
        <item x="4801"/>
        <item x="4800"/>
        <item x="4799"/>
        <item x="4798"/>
        <item x="4797"/>
        <item x="4796"/>
        <item x="4795"/>
        <item x="4794"/>
        <item x="4793"/>
        <item x="4792"/>
        <item x="4791"/>
        <item x="4790"/>
        <item x="4789"/>
        <item x="4788"/>
        <item x="4787"/>
        <item x="4786"/>
        <item x="4785"/>
        <item x="4784"/>
        <item x="4783"/>
        <item x="4782"/>
        <item x="4781"/>
        <item x="4780"/>
        <item x="4779"/>
        <item x="4778"/>
        <item x="4777"/>
        <item x="4776"/>
        <item x="4775"/>
        <item x="4774"/>
        <item x="4773"/>
        <item x="4772"/>
        <item x="4771"/>
        <item x="4770"/>
        <item x="4769"/>
        <item x="4768"/>
        <item x="4767"/>
        <item x="4766"/>
        <item x="4765"/>
        <item x="4764"/>
        <item x="4763"/>
        <item x="4762"/>
        <item x="4761"/>
        <item x="4760"/>
        <item x="4759"/>
        <item x="4758"/>
        <item x="4757"/>
        <item x="4756"/>
        <item x="4755"/>
        <item x="4754"/>
        <item x="4753"/>
        <item x="4752"/>
        <item x="4751"/>
        <item x="4750"/>
        <item x="4749"/>
        <item x="4748"/>
        <item x="4747"/>
        <item x="4746"/>
        <item x="4745"/>
        <item x="4744"/>
        <item x="4743"/>
        <item x="4742"/>
        <item x="4741"/>
        <item x="4740"/>
        <item x="4739"/>
        <item x="4738"/>
        <item x="4737"/>
        <item x="4736"/>
        <item x="4735"/>
        <item x="4734"/>
        <item x="4733"/>
        <item x="4732"/>
        <item x="4731"/>
        <item x="4730"/>
        <item x="4729"/>
        <item x="4728"/>
        <item x="4727"/>
        <item x="4726"/>
        <item x="4725"/>
        <item x="4724"/>
        <item x="4723"/>
        <item x="4722"/>
        <item x="4721"/>
        <item x="4720"/>
        <item x="4719"/>
        <item x="4718"/>
        <item x="4717"/>
        <item x="4716"/>
        <item x="4715"/>
        <item x="4714"/>
        <item x="4713"/>
        <item x="4712"/>
        <item x="4711"/>
        <item x="4710"/>
        <item x="4709"/>
        <item x="4708"/>
        <item x="4707"/>
        <item x="4706"/>
        <item x="4705"/>
        <item x="4704"/>
        <item x="4703"/>
        <item x="4702"/>
        <item x="4701"/>
        <item x="4700"/>
        <item x="4699"/>
        <item x="4698"/>
        <item x="4697"/>
        <item x="4696"/>
        <item x="4695"/>
        <item x="4694"/>
        <item x="4693"/>
        <item x="4692"/>
        <item x="4691"/>
        <item x="4690"/>
        <item x="4689"/>
        <item x="4688"/>
        <item x="4687"/>
        <item x="4686"/>
        <item x="4685"/>
        <item x="4684"/>
        <item x="4683"/>
        <item x="4682"/>
        <item x="4681"/>
        <item x="4680"/>
        <item x="4679"/>
        <item x="4678"/>
        <item x="4677"/>
        <item x="4676"/>
        <item x="4675"/>
        <item x="4674"/>
        <item x="4673"/>
        <item x="4672"/>
        <item x="4671"/>
        <item x="4670"/>
        <item x="4669"/>
        <item x="4668"/>
        <item x="4667"/>
        <item x="4666"/>
        <item x="4665"/>
        <item x="4664"/>
        <item x="4663"/>
        <item x="4662"/>
        <item x="4661"/>
        <item x="4660"/>
        <item x="4659"/>
        <item x="4658"/>
        <item x="4657"/>
        <item x="4656"/>
        <item x="4655"/>
        <item x="4654"/>
        <item x="4653"/>
        <item x="4652"/>
        <item x="4651"/>
        <item x="4650"/>
        <item x="4649"/>
        <item x="4648"/>
        <item x="4647"/>
        <item x="4646"/>
        <item x="4645"/>
        <item x="4644"/>
        <item x="4643"/>
        <item x="4642"/>
        <item x="4641"/>
        <item x="4640"/>
        <item x="4639"/>
        <item x="4638"/>
        <item x="4637"/>
        <item x="4636"/>
        <item x="4635"/>
        <item x="4634"/>
        <item x="4633"/>
        <item x="4632"/>
        <item x="4631"/>
        <item x="4630"/>
        <item x="4629"/>
        <item x="4628"/>
        <item x="4627"/>
        <item x="4626"/>
        <item x="4625"/>
        <item x="4624"/>
        <item x="4623"/>
        <item x="4622"/>
        <item x="4621"/>
        <item x="4620"/>
        <item x="4619"/>
        <item x="4618"/>
        <item x="4617"/>
        <item x="4616"/>
        <item x="4615"/>
        <item x="4614"/>
        <item x="4613"/>
        <item x="4612"/>
        <item x="4611"/>
        <item x="4610"/>
        <item x="4609"/>
        <item x="4608"/>
        <item x="4607"/>
        <item x="4606"/>
        <item x="4605"/>
        <item x="4604"/>
        <item x="4603"/>
        <item x="4602"/>
        <item x="4601"/>
        <item x="4600"/>
        <item x="4599"/>
        <item x="4598"/>
        <item x="4597"/>
        <item x="4596"/>
        <item x="4595"/>
        <item x="4594"/>
        <item x="4593"/>
        <item x="4592"/>
        <item x="4591"/>
        <item x="4590"/>
        <item x="4589"/>
        <item x="4588"/>
        <item x="4587"/>
        <item x="4586"/>
        <item x="4585"/>
        <item x="4584"/>
        <item x="4583"/>
        <item x="4582"/>
        <item x="4581"/>
        <item x="4580"/>
        <item x="4579"/>
        <item x="4578"/>
        <item x="4577"/>
        <item x="4576"/>
        <item x="4575"/>
        <item x="4574"/>
        <item x="4573"/>
        <item x="4572"/>
        <item x="4571"/>
        <item x="4570"/>
        <item x="4569"/>
        <item x="4568"/>
        <item x="4567"/>
        <item x="4566"/>
        <item x="4565"/>
        <item x="4564"/>
        <item x="4563"/>
        <item x="4562"/>
        <item x="4561"/>
        <item x="4560"/>
        <item x="4559"/>
        <item x="4558"/>
        <item x="4557"/>
        <item x="4556"/>
        <item x="4555"/>
        <item x="4554"/>
        <item x="4553"/>
        <item x="4552"/>
        <item x="4551"/>
        <item x="4550"/>
        <item x="4549"/>
        <item x="4548"/>
        <item x="4547"/>
        <item x="4546"/>
        <item x="4545"/>
        <item x="4544"/>
        <item x="4543"/>
        <item x="4542"/>
        <item x="4541"/>
        <item x="4540"/>
        <item x="4539"/>
        <item x="4538"/>
        <item x="4537"/>
        <item x="4536"/>
        <item x="4535"/>
        <item x="4534"/>
        <item x="4533"/>
        <item x="4532"/>
        <item x="4531"/>
        <item x="4530"/>
        <item x="4529"/>
        <item x="4528"/>
        <item x="4527"/>
        <item x="4526"/>
        <item x="4525"/>
        <item x="4524"/>
        <item x="4523"/>
        <item x="4522"/>
        <item x="4521"/>
        <item x="4520"/>
        <item x="4519"/>
        <item x="4518"/>
        <item x="4517"/>
        <item x="4516"/>
        <item x="4515"/>
        <item x="4514"/>
        <item x="4513"/>
        <item x="4512"/>
        <item x="4511"/>
        <item x="4510"/>
        <item x="4509"/>
        <item x="4508"/>
        <item x="4507"/>
        <item x="4506"/>
        <item x="4505"/>
        <item x="4504"/>
        <item x="4503"/>
        <item x="4502"/>
        <item x="4501"/>
        <item x="4500"/>
        <item x="4499"/>
        <item x="4498"/>
        <item x="4497"/>
        <item x="4496"/>
        <item x="4495"/>
        <item x="4494"/>
        <item x="4493"/>
        <item x="4492"/>
        <item x="4491"/>
        <item x="4490"/>
        <item x="4489"/>
        <item x="4488"/>
        <item x="4487"/>
        <item x="4486"/>
        <item x="4485"/>
        <item x="4484"/>
        <item x="4483"/>
        <item x="4482"/>
        <item x="4481"/>
        <item x="4480"/>
        <item x="4479"/>
        <item x="4478"/>
        <item x="4477"/>
        <item x="4476"/>
        <item x="4475"/>
        <item x="4474"/>
        <item x="4473"/>
        <item x="4472"/>
        <item x="4471"/>
        <item x="4470"/>
        <item x="4469"/>
        <item x="4468"/>
        <item x="4467"/>
        <item x="4466"/>
        <item x="4465"/>
        <item x="4464"/>
        <item x="4463"/>
        <item x="4462"/>
        <item x="4461"/>
        <item x="4460"/>
        <item x="4459"/>
        <item x="4458"/>
        <item x="4457"/>
        <item x="4456"/>
        <item x="4455"/>
        <item x="4454"/>
        <item x="4453"/>
        <item x="4452"/>
        <item x="4451"/>
        <item x="4450"/>
        <item x="4449"/>
        <item x="4448"/>
        <item x="4447"/>
        <item x="4446"/>
        <item x="4445"/>
        <item x="4444"/>
        <item x="4443"/>
        <item x="4442"/>
        <item x="4441"/>
        <item x="4440"/>
        <item x="4439"/>
        <item x="4438"/>
        <item x="4437"/>
        <item x="4436"/>
        <item x="4435"/>
        <item x="4434"/>
        <item x="4433"/>
        <item x="4432"/>
        <item x="4431"/>
        <item x="4430"/>
        <item x="4429"/>
        <item x="4428"/>
        <item x="4427"/>
        <item x="4426"/>
        <item x="4425"/>
        <item x="4424"/>
        <item x="4423"/>
        <item x="4422"/>
        <item x="4421"/>
        <item x="4420"/>
        <item x="4419"/>
        <item x="4418"/>
        <item x="4417"/>
        <item x="4416"/>
        <item x="4415"/>
        <item x="4414"/>
        <item x="4413"/>
        <item x="4412"/>
        <item x="4411"/>
        <item x="4410"/>
        <item x="4409"/>
        <item x="4408"/>
        <item x="4407"/>
        <item x="4406"/>
        <item x="4405"/>
        <item x="4404"/>
        <item x="4403"/>
        <item x="4402"/>
        <item x="4401"/>
        <item x="4400"/>
        <item x="4399"/>
        <item x="4398"/>
        <item x="4397"/>
        <item x="4396"/>
        <item x="4395"/>
        <item x="4394"/>
        <item x="4393"/>
        <item x="4392"/>
        <item x="4391"/>
        <item x="4390"/>
        <item x="4389"/>
        <item x="4388"/>
        <item x="4387"/>
        <item x="4386"/>
        <item x="4385"/>
        <item x="4384"/>
        <item x="4383"/>
        <item x="4382"/>
        <item x="4381"/>
        <item x="4380"/>
        <item x="4379"/>
        <item x="4378"/>
        <item x="4377"/>
        <item x="4376"/>
        <item x="4375"/>
        <item x="4374"/>
        <item x="4373"/>
        <item x="4372"/>
        <item x="4371"/>
        <item x="4370"/>
        <item x="4369"/>
        <item x="4368"/>
        <item x="4367"/>
        <item x="4366"/>
        <item x="4365"/>
        <item x="4364"/>
        <item x="4363"/>
        <item x="4362"/>
        <item x="4361"/>
        <item x="4360"/>
        <item x="4359"/>
        <item x="4358"/>
        <item x="4357"/>
        <item x="4356"/>
        <item x="4355"/>
        <item x="4354"/>
        <item x="4353"/>
        <item x="4352"/>
        <item x="4351"/>
        <item x="4350"/>
        <item x="4349"/>
        <item x="4348"/>
        <item x="4347"/>
        <item x="4346"/>
        <item x="4345"/>
        <item x="4344"/>
        <item x="4343"/>
        <item x="4342"/>
        <item x="4341"/>
        <item x="4340"/>
        <item x="4339"/>
        <item x="4338"/>
        <item x="4337"/>
        <item x="4336"/>
        <item x="4335"/>
        <item x="4334"/>
        <item x="4333"/>
        <item x="4332"/>
        <item x="4331"/>
        <item x="4330"/>
        <item x="4329"/>
        <item x="4328"/>
        <item x="4327"/>
        <item x="4326"/>
        <item x="4325"/>
        <item x="4324"/>
        <item x="4323"/>
        <item x="4322"/>
        <item x="4321"/>
        <item x="4320"/>
        <item x="4319"/>
        <item x="4318"/>
        <item x="4317"/>
        <item x="4316"/>
        <item x="4315"/>
        <item x="4314"/>
        <item x="4313"/>
        <item x="4312"/>
        <item x="4311"/>
        <item x="4310"/>
        <item x="4309"/>
        <item x="4308"/>
        <item x="4307"/>
        <item x="4306"/>
        <item x="4305"/>
        <item x="4304"/>
        <item x="4303"/>
        <item x="4302"/>
        <item x="4301"/>
        <item x="4300"/>
        <item x="4299"/>
        <item x="4298"/>
        <item x="4297"/>
        <item x="4296"/>
        <item x="4295"/>
        <item x="4294"/>
        <item x="4293"/>
        <item x="4292"/>
        <item x="4291"/>
        <item x="4290"/>
        <item x="4289"/>
        <item x="4288"/>
        <item x="4287"/>
        <item x="4286"/>
        <item x="4285"/>
        <item x="4284"/>
        <item x="4283"/>
        <item x="4282"/>
        <item x="4281"/>
        <item x="4280"/>
        <item x="4279"/>
        <item x="4278"/>
        <item x="4277"/>
        <item x="4276"/>
        <item x="4275"/>
        <item x="4274"/>
        <item x="4273"/>
        <item x="4272"/>
        <item x="4271"/>
        <item x="4270"/>
        <item x="4269"/>
        <item x="4268"/>
        <item x="4267"/>
        <item x="4266"/>
        <item x="4265"/>
        <item x="4264"/>
        <item x="4263"/>
        <item x="4262"/>
        <item x="4261"/>
        <item x="4260"/>
        <item x="4259"/>
        <item x="4258"/>
        <item x="4257"/>
        <item x="4256"/>
        <item x="4255"/>
        <item x="4254"/>
        <item x="4253"/>
        <item x="4252"/>
        <item x="4251"/>
        <item x="4250"/>
        <item x="4249"/>
        <item x="4248"/>
        <item x="4247"/>
        <item x="4246"/>
        <item x="4245"/>
        <item x="4244"/>
        <item x="4243"/>
        <item x="4242"/>
        <item x="4241"/>
        <item x="4240"/>
        <item x="4239"/>
        <item x="4238"/>
        <item x="4237"/>
        <item x="4236"/>
        <item x="4235"/>
        <item x="4234"/>
        <item x="4233"/>
        <item x="4232"/>
        <item x="4231"/>
        <item x="4230"/>
        <item x="4229"/>
        <item x="4228"/>
        <item x="4227"/>
        <item x="4226"/>
        <item x="4225"/>
        <item x="4224"/>
        <item x="4223"/>
        <item x="4222"/>
        <item x="4221"/>
        <item x="4220"/>
        <item x="4219"/>
        <item x="4218"/>
        <item x="4217"/>
        <item x="4216"/>
        <item x="4215"/>
        <item x="4214"/>
        <item x="4213"/>
        <item x="4212"/>
        <item x="4211"/>
        <item x="4210"/>
        <item x="4209"/>
        <item x="4208"/>
        <item x="4207"/>
        <item x="4206"/>
        <item x="4205"/>
        <item x="4204"/>
        <item x="4203"/>
        <item x="4202"/>
        <item x="4201"/>
        <item x="4200"/>
        <item x="4199"/>
        <item x="4198"/>
        <item x="4197"/>
        <item x="4196"/>
        <item x="4195"/>
        <item x="4194"/>
        <item x="4193"/>
        <item x="4192"/>
        <item x="4191"/>
        <item x="4190"/>
        <item x="4189"/>
        <item x="4188"/>
        <item x="4187"/>
        <item x="4186"/>
        <item x="4185"/>
        <item x="4184"/>
        <item x="4183"/>
        <item x="4182"/>
        <item x="4181"/>
        <item x="4180"/>
        <item x="4179"/>
        <item x="4178"/>
        <item x="4177"/>
        <item x="4176"/>
        <item x="4175"/>
        <item x="4174"/>
        <item x="4173"/>
        <item x="4172"/>
        <item x="4171"/>
        <item x="4170"/>
        <item x="4169"/>
        <item x="4168"/>
        <item x="4167"/>
        <item x="4166"/>
        <item x="4165"/>
        <item x="4164"/>
        <item x="4163"/>
        <item x="4162"/>
        <item x="4161"/>
        <item x="4160"/>
        <item x="4159"/>
        <item x="4158"/>
        <item x="4157"/>
        <item x="4156"/>
        <item x="4155"/>
        <item x="4154"/>
        <item x="4153"/>
        <item x="4152"/>
        <item x="4151"/>
        <item x="4150"/>
        <item x="4149"/>
        <item x="4148"/>
        <item x="4147"/>
        <item x="4146"/>
        <item x="4145"/>
        <item x="4144"/>
        <item x="4143"/>
        <item x="4142"/>
        <item x="4141"/>
        <item x="4140"/>
        <item x="4139"/>
        <item x="4138"/>
        <item x="4137"/>
        <item x="4136"/>
        <item x="4135"/>
        <item x="4134"/>
        <item x="4133"/>
        <item x="4132"/>
        <item x="4131"/>
        <item x="4130"/>
        <item x="4129"/>
        <item x="4128"/>
        <item x="4127"/>
        <item x="4126"/>
        <item x="4125"/>
        <item x="4124"/>
        <item x="4123"/>
        <item x="4122"/>
        <item x="4121"/>
        <item x="4120"/>
        <item x="4119"/>
        <item x="4118"/>
        <item x="4117"/>
        <item x="4116"/>
        <item x="4115"/>
        <item x="4114"/>
        <item x="4113"/>
        <item x="4112"/>
        <item x="4111"/>
        <item x="4110"/>
        <item x="4109"/>
        <item x="4108"/>
        <item x="4107"/>
        <item x="4106"/>
        <item x="4105"/>
        <item x="4104"/>
        <item x="4103"/>
        <item x="4102"/>
        <item x="4101"/>
        <item x="4100"/>
        <item x="4099"/>
        <item x="4098"/>
        <item x="4097"/>
        <item x="4096"/>
        <item x="4095"/>
        <item x="4094"/>
        <item x="4093"/>
        <item x="4092"/>
        <item x="4091"/>
        <item x="4090"/>
        <item x="4089"/>
        <item x="4088"/>
        <item x="4087"/>
        <item x="4086"/>
        <item x="4085"/>
        <item x="4084"/>
        <item x="4083"/>
        <item x="4082"/>
        <item x="4081"/>
        <item x="4080"/>
        <item x="4079"/>
        <item x="4078"/>
        <item x="4077"/>
        <item x="4076"/>
        <item x="4075"/>
        <item x="4074"/>
        <item x="4073"/>
        <item x="4072"/>
        <item x="4071"/>
        <item x="4070"/>
        <item x="4069"/>
        <item x="4068"/>
        <item x="4067"/>
        <item x="4066"/>
        <item x="4065"/>
        <item x="4064"/>
        <item x="4063"/>
        <item x="4062"/>
        <item x="4061"/>
        <item x="4060"/>
        <item x="4059"/>
        <item x="4058"/>
        <item x="4057"/>
        <item x="4056"/>
        <item x="4055"/>
        <item x="4054"/>
        <item x="4053"/>
        <item x="4052"/>
        <item x="4051"/>
        <item x="4050"/>
        <item x="4049"/>
        <item x="4048"/>
        <item x="4047"/>
        <item x="4046"/>
        <item x="4045"/>
        <item x="4044"/>
        <item x="4043"/>
        <item x="4042"/>
        <item x="4041"/>
        <item x="4040"/>
        <item x="4039"/>
        <item x="4038"/>
        <item x="4037"/>
        <item x="4036"/>
        <item x="4035"/>
        <item x="4034"/>
        <item x="4033"/>
        <item x="4032"/>
        <item x="4031"/>
        <item x="4030"/>
        <item x="4029"/>
        <item x="4028"/>
        <item x="4027"/>
        <item x="4026"/>
        <item x="4025"/>
        <item x="4024"/>
        <item x="4023"/>
        <item x="4022"/>
        <item x="4021"/>
        <item x="4020"/>
        <item x="4019"/>
        <item x="4018"/>
        <item x="4017"/>
        <item x="4016"/>
        <item x="4015"/>
        <item x="4014"/>
        <item x="4013"/>
        <item x="4012"/>
        <item x="4011"/>
        <item x="4010"/>
        <item x="4009"/>
        <item x="4008"/>
        <item x="4007"/>
        <item x="4006"/>
        <item x="4005"/>
        <item x="4004"/>
        <item x="4003"/>
        <item x="4002"/>
        <item x="4001"/>
        <item x="4000"/>
        <item x="3999"/>
        <item x="3998"/>
        <item x="3997"/>
        <item x="3996"/>
        <item x="3995"/>
        <item x="3994"/>
        <item x="3993"/>
        <item x="3992"/>
        <item x="3991"/>
        <item x="3990"/>
        <item x="3989"/>
        <item x="3988"/>
        <item x="3987"/>
        <item x="3986"/>
        <item x="3985"/>
        <item x="3984"/>
        <item x="3983"/>
        <item x="3982"/>
        <item x="3981"/>
        <item x="3980"/>
        <item x="3979"/>
        <item x="3978"/>
        <item x="3977"/>
        <item x="3976"/>
        <item x="3975"/>
        <item x="3974"/>
        <item x="3973"/>
        <item x="3972"/>
        <item x="3971"/>
        <item x="3970"/>
        <item x="3969"/>
        <item x="3968"/>
        <item x="3967"/>
        <item x="3966"/>
        <item x="3965"/>
        <item x="3964"/>
        <item x="3963"/>
        <item x="3962"/>
        <item x="3961"/>
        <item x="3960"/>
        <item x="3959"/>
        <item x="3958"/>
        <item x="3957"/>
        <item x="3956"/>
        <item x="3955"/>
        <item x="3954"/>
        <item x="3953"/>
        <item x="3952"/>
        <item x="3951"/>
        <item x="3950"/>
        <item x="3949"/>
        <item x="3948"/>
        <item x="3947"/>
        <item x="3946"/>
        <item x="3945"/>
        <item x="3944"/>
        <item x="3943"/>
        <item x="3942"/>
        <item x="3941"/>
        <item x="3940"/>
        <item x="3939"/>
        <item x="3938"/>
        <item x="3937"/>
        <item x="3936"/>
        <item x="3935"/>
        <item x="3934"/>
        <item x="3933"/>
        <item x="3932"/>
        <item x="3931"/>
        <item x="3930"/>
        <item x="3929"/>
        <item x="3928"/>
        <item x="3927"/>
        <item x="3926"/>
        <item x="3925"/>
        <item x="3924"/>
        <item x="3923"/>
        <item x="3922"/>
        <item x="3921"/>
        <item x="3920"/>
        <item x="3919"/>
        <item x="3918"/>
        <item x="3917"/>
        <item x="3916"/>
        <item x="3915"/>
        <item x="3914"/>
        <item x="3913"/>
        <item x="3912"/>
        <item x="3911"/>
        <item x="3910"/>
        <item x="3909"/>
        <item x="3908"/>
        <item x="3907"/>
        <item x="3906"/>
        <item x="3905"/>
        <item x="3904"/>
        <item x="3903"/>
        <item x="3902"/>
        <item x="3901"/>
        <item x="3900"/>
        <item x="3899"/>
        <item x="3898"/>
        <item x="3897"/>
        <item x="3896"/>
        <item x="3895"/>
        <item x="3894"/>
        <item x="3893"/>
        <item x="3892"/>
        <item x="3891"/>
        <item x="3890"/>
        <item x="3889"/>
        <item x="3888"/>
        <item x="3887"/>
        <item x="3886"/>
        <item x="3885"/>
        <item x="3884"/>
        <item x="3883"/>
        <item x="3882"/>
        <item x="3881"/>
        <item x="3880"/>
        <item x="3879"/>
        <item x="3878"/>
        <item x="3877"/>
        <item x="3876"/>
        <item x="3875"/>
        <item x="3874"/>
        <item x="3873"/>
        <item x="3872"/>
        <item x="3871"/>
        <item x="3870"/>
        <item x="3869"/>
        <item x="3868"/>
        <item x="3867"/>
        <item x="3866"/>
        <item x="3865"/>
        <item x="3864"/>
        <item x="3863"/>
        <item x="3862"/>
        <item x="3861"/>
        <item x="3860"/>
        <item x="3859"/>
        <item x="3858"/>
        <item x="3857"/>
        <item x="3856"/>
        <item x="3855"/>
        <item x="3854"/>
        <item x="3853"/>
        <item x="3852"/>
        <item x="3851"/>
        <item x="3850"/>
        <item x="3849"/>
        <item x="3848"/>
        <item x="3847"/>
        <item x="3846"/>
        <item x="3845"/>
        <item x="3844"/>
        <item x="3843"/>
        <item x="3842"/>
        <item x="3841"/>
        <item x="3840"/>
        <item x="3839"/>
        <item x="3838"/>
        <item x="3837"/>
        <item x="3836"/>
        <item x="3835"/>
        <item x="3834"/>
        <item x="3833"/>
        <item x="3832"/>
        <item x="3831"/>
        <item x="3830"/>
        <item x="3829"/>
        <item x="3828"/>
        <item x="3827"/>
        <item x="3826"/>
        <item x="3825"/>
        <item x="3824"/>
        <item x="3823"/>
        <item x="3822"/>
        <item x="3821"/>
        <item x="3820"/>
        <item x="3819"/>
        <item x="3818"/>
        <item x="3817"/>
        <item x="3816"/>
        <item x="3815"/>
        <item x="3814"/>
        <item x="3813"/>
        <item x="3812"/>
        <item x="3811"/>
        <item x="3810"/>
        <item x="3809"/>
        <item x="3808"/>
        <item x="3807"/>
        <item x="3806"/>
        <item x="3805"/>
        <item x="3804"/>
        <item x="3803"/>
        <item x="3802"/>
        <item x="3801"/>
        <item x="3800"/>
        <item x="3799"/>
        <item x="3798"/>
        <item x="3797"/>
        <item x="3796"/>
        <item x="3795"/>
        <item x="3794"/>
        <item x="3793"/>
        <item x="3792"/>
        <item x="3791"/>
        <item x="3790"/>
        <item x="3789"/>
        <item x="3788"/>
        <item x="3787"/>
        <item x="3786"/>
        <item x="3785"/>
        <item x="3784"/>
        <item x="3783"/>
        <item x="3782"/>
        <item x="3781"/>
        <item x="3780"/>
        <item x="3779"/>
        <item x="3778"/>
        <item x="3777"/>
        <item x="3776"/>
        <item x="3775"/>
        <item x="3774"/>
        <item x="3773"/>
        <item x="3772"/>
        <item x="3771"/>
        <item x="3770"/>
        <item x="3769"/>
        <item x="3768"/>
        <item x="3767"/>
        <item x="3766"/>
        <item x="3765"/>
        <item x="3764"/>
        <item x="3763"/>
        <item x="3762"/>
        <item x="3761"/>
        <item x="3760"/>
        <item x="3759"/>
        <item x="3758"/>
        <item x="3757"/>
        <item x="3756"/>
        <item x="3755"/>
        <item x="3754"/>
        <item x="3753"/>
        <item x="3752"/>
        <item x="3751"/>
        <item x="3750"/>
        <item x="3749"/>
        <item x="3748"/>
        <item x="3747"/>
        <item x="3746"/>
        <item x="3745"/>
        <item x="3744"/>
        <item x="3743"/>
        <item x="3742"/>
        <item x="3741"/>
        <item x="3740"/>
        <item x="3739"/>
        <item x="3738"/>
        <item x="3737"/>
        <item x="3736"/>
        <item x="3735"/>
        <item x="3734"/>
        <item x="3733"/>
        <item x="3732"/>
        <item x="3731"/>
        <item x="3730"/>
        <item x="3729"/>
        <item x="3728"/>
        <item x="3727"/>
        <item x="3726"/>
        <item x="3725"/>
        <item x="3724"/>
        <item x="3723"/>
        <item x="3722"/>
        <item x="3721"/>
        <item x="3720"/>
        <item x="3719"/>
        <item x="3718"/>
        <item x="3717"/>
        <item x="3716"/>
        <item x="3715"/>
        <item x="3714"/>
        <item x="3713"/>
        <item x="3712"/>
        <item x="3711"/>
        <item x="3710"/>
        <item x="3709"/>
        <item x="3708"/>
        <item x="3707"/>
        <item x="3706"/>
        <item x="3705"/>
        <item x="3704"/>
        <item x="3703"/>
        <item x="3702"/>
        <item x="3701"/>
        <item x="3700"/>
        <item x="3699"/>
        <item x="3698"/>
        <item x="3697"/>
        <item x="3696"/>
        <item x="3695"/>
        <item x="3694"/>
        <item x="3693"/>
        <item x="3692"/>
        <item x="3691"/>
        <item x="3690"/>
        <item x="3689"/>
        <item x="3688"/>
        <item x="3687"/>
        <item x="3686"/>
        <item x="3685"/>
        <item x="3684"/>
        <item x="3683"/>
        <item x="3682"/>
        <item x="3681"/>
        <item x="3680"/>
        <item x="3679"/>
        <item x="3678"/>
        <item x="3677"/>
        <item x="3676"/>
        <item x="3675"/>
        <item x="3674"/>
        <item x="3673"/>
        <item x="3672"/>
        <item x="3671"/>
        <item x="3670"/>
        <item x="3669"/>
        <item x="3668"/>
        <item x="3667"/>
        <item x="3666"/>
        <item x="3665"/>
        <item x="3664"/>
        <item x="3663"/>
        <item x="3662"/>
        <item x="3661"/>
        <item x="3660"/>
        <item x="3659"/>
        <item x="3658"/>
        <item x="3657"/>
        <item x="3656"/>
        <item x="3655"/>
        <item x="3654"/>
        <item x="3653"/>
        <item x="3652"/>
        <item x="3651"/>
        <item x="3650"/>
        <item x="3649"/>
        <item x="3648"/>
        <item x="3647"/>
        <item x="3646"/>
        <item x="3645"/>
        <item x="3644"/>
        <item x="3643"/>
        <item x="3642"/>
        <item x="3641"/>
        <item x="3640"/>
        <item x="3639"/>
        <item x="3638"/>
        <item x="3637"/>
        <item x="3636"/>
        <item x="3635"/>
        <item x="3634"/>
        <item x="3633"/>
        <item x="3632"/>
        <item x="3631"/>
        <item x="3630"/>
        <item x="3629"/>
        <item x="3628"/>
        <item x="3627"/>
        <item x="3626"/>
        <item x="3625"/>
        <item x="3624"/>
        <item x="3623"/>
        <item x="3622"/>
        <item x="3621"/>
        <item x="3620"/>
        <item x="3619"/>
        <item x="3618"/>
        <item x="3617"/>
        <item x="3616"/>
        <item x="3615"/>
        <item x="3614"/>
        <item x="3613"/>
        <item x="3612"/>
        <item x="3611"/>
        <item x="3610"/>
        <item x="3609"/>
        <item x="3608"/>
        <item x="3607"/>
        <item x="3606"/>
        <item x="3605"/>
        <item x="3604"/>
        <item x="3603"/>
        <item x="3602"/>
        <item x="3601"/>
        <item x="3600"/>
        <item x="3599"/>
        <item x="3598"/>
        <item x="3597"/>
        <item x="3596"/>
        <item x="3595"/>
        <item x="3594"/>
        <item x="3593"/>
        <item x="3592"/>
        <item x="3591"/>
        <item x="3590"/>
        <item x="3589"/>
        <item x="3588"/>
        <item x="3587"/>
        <item x="3586"/>
        <item x="3585"/>
        <item x="3584"/>
        <item x="3583"/>
        <item x="3582"/>
        <item x="3581"/>
        <item x="3580"/>
        <item x="3579"/>
        <item x="3578"/>
        <item x="3577"/>
        <item x="3576"/>
        <item x="3575"/>
        <item x="3574"/>
        <item x="3573"/>
        <item x="3572"/>
        <item x="3571"/>
        <item x="3570"/>
        <item x="3569"/>
        <item x="3568"/>
        <item x="3567"/>
        <item x="3566"/>
        <item x="3565"/>
        <item x="3564"/>
        <item x="3563"/>
        <item x="3562"/>
        <item x="3561"/>
        <item x="3560"/>
        <item x="3559"/>
        <item x="3558"/>
        <item x="3557"/>
        <item x="3556"/>
        <item x="3555"/>
        <item x="3554"/>
        <item x="3553"/>
        <item x="3552"/>
        <item x="3551"/>
        <item x="3550"/>
        <item x="3549"/>
        <item x="3548"/>
        <item x="3547"/>
        <item x="3546"/>
        <item x="3545"/>
        <item x="3544"/>
        <item x="3543"/>
        <item x="3542"/>
        <item x="3541"/>
        <item x="3540"/>
        <item x="3539"/>
        <item x="3538"/>
        <item x="3537"/>
        <item x="3536"/>
        <item x="3535"/>
        <item x="3534"/>
        <item x="3533"/>
        <item x="3532"/>
        <item x="3531"/>
        <item x="3530"/>
        <item x="3529"/>
        <item x="3528"/>
        <item x="3527"/>
        <item x="3526"/>
        <item x="3525"/>
        <item x="3524"/>
        <item x="3523"/>
        <item x="3522"/>
        <item x="3521"/>
        <item x="3520"/>
        <item x="3519"/>
        <item x="3518"/>
        <item x="3517"/>
        <item x="3516"/>
        <item x="3515"/>
        <item x="3514"/>
        <item x="3513"/>
        <item x="3512"/>
        <item x="3511"/>
        <item x="3510"/>
        <item x="3509"/>
        <item x="3508"/>
        <item x="3507"/>
        <item x="3506"/>
        <item x="3505"/>
        <item x="3504"/>
        <item x="3503"/>
        <item x="3502"/>
        <item x="3501"/>
        <item x="3500"/>
        <item x="3499"/>
        <item x="3498"/>
        <item x="3497"/>
        <item x="3496"/>
        <item x="3495"/>
        <item x="3494"/>
        <item x="3493"/>
        <item x="3492"/>
        <item x="3491"/>
        <item x="3490"/>
        <item x="3489"/>
        <item x="3488"/>
        <item x="3487"/>
        <item x="3486"/>
        <item x="3485"/>
        <item x="3484"/>
        <item x="3483"/>
        <item x="3482"/>
        <item x="3481"/>
        <item x="3480"/>
        <item x="3479"/>
        <item x="3478"/>
        <item x="3477"/>
        <item x="3476"/>
        <item x="3475"/>
        <item x="3474"/>
        <item x="3473"/>
        <item x="3472"/>
        <item x="3471"/>
        <item x="3470"/>
        <item x="3469"/>
        <item x="3468"/>
        <item x="3467"/>
        <item x="3466"/>
        <item x="3465"/>
        <item x="3464"/>
        <item x="3463"/>
        <item x="3462"/>
        <item x="3461"/>
        <item x="3460"/>
        <item x="3459"/>
        <item x="3458"/>
        <item x="3457"/>
        <item x="3456"/>
        <item x="3455"/>
        <item x="3454"/>
        <item x="3453"/>
        <item x="3452"/>
        <item x="3451"/>
        <item x="3450"/>
        <item x="3449"/>
        <item x="3448"/>
        <item x="3447"/>
        <item x="3446"/>
        <item x="3445"/>
        <item x="3444"/>
        <item x="3443"/>
        <item x="3442"/>
        <item x="3441"/>
        <item x="3440"/>
        <item x="3439"/>
        <item x="3438"/>
        <item x="3437"/>
        <item x="3436"/>
        <item x="3435"/>
        <item x="3434"/>
        <item x="3433"/>
        <item x="3432"/>
        <item x="3431"/>
        <item x="3430"/>
        <item x="3429"/>
        <item x="3428"/>
        <item x="3427"/>
        <item x="3426"/>
        <item x="3425"/>
        <item x="3424"/>
        <item x="3423"/>
        <item x="3422"/>
        <item x="3421"/>
        <item x="3420"/>
        <item x="3419"/>
        <item x="3418"/>
        <item x="3417"/>
        <item x="3416"/>
        <item x="3415"/>
        <item x="3414"/>
        <item x="3413"/>
        <item x="3412"/>
        <item x="3411"/>
        <item x="3410"/>
        <item x="3409"/>
        <item x="3408"/>
        <item x="3407"/>
        <item x="3406"/>
        <item x="3405"/>
        <item x="3404"/>
        <item x="3403"/>
        <item x="3402"/>
        <item x="3401"/>
        <item x="3400"/>
        <item x="3399"/>
        <item x="3398"/>
        <item x="3397"/>
        <item x="3396"/>
        <item x="3395"/>
        <item x="3394"/>
        <item x="3393"/>
        <item x="3392"/>
        <item x="3391"/>
        <item x="3390"/>
        <item x="3389"/>
        <item x="3388"/>
        <item x="3387"/>
        <item x="3386"/>
        <item x="3385"/>
        <item x="3384"/>
        <item x="3383"/>
        <item x="3382"/>
        <item x="3381"/>
        <item x="3380"/>
        <item x="3379"/>
        <item x="3378"/>
        <item x="3377"/>
        <item x="3376"/>
        <item x="3375"/>
        <item x="3374"/>
        <item x="3373"/>
        <item x="3372"/>
        <item x="3371"/>
        <item x="3370"/>
        <item x="3369"/>
        <item x="3368"/>
        <item x="3367"/>
        <item x="3366"/>
        <item x="3365"/>
        <item x="3364"/>
        <item x="3363"/>
        <item x="3362"/>
        <item x="3361"/>
        <item x="3360"/>
        <item x="3359"/>
        <item x="3358"/>
        <item x="3357"/>
        <item x="3356"/>
        <item x="3355"/>
        <item x="3354"/>
        <item x="3353"/>
        <item x="3352"/>
        <item x="3351"/>
        <item x="3350"/>
        <item x="3349"/>
        <item x="3348"/>
        <item x="3347"/>
        <item x="3346"/>
        <item x="3345"/>
        <item x="3344"/>
        <item x="3343"/>
        <item x="3342"/>
        <item x="3341"/>
        <item x="3340"/>
        <item x="3339"/>
        <item x="3338"/>
        <item x="3337"/>
        <item x="3336"/>
        <item x="3335"/>
        <item x="3334"/>
        <item x="3333"/>
        <item x="3332"/>
        <item x="3331"/>
        <item x="3330"/>
        <item x="3329"/>
        <item x="3328"/>
        <item x="3327"/>
        <item x="3326"/>
        <item x="3325"/>
        <item x="3324"/>
        <item x="3323"/>
        <item x="3322"/>
        <item x="3321"/>
        <item x="3320"/>
        <item x="3319"/>
        <item x="3318"/>
        <item x="3317"/>
        <item x="3316"/>
        <item x="3315"/>
        <item x="3314"/>
        <item x="3313"/>
        <item x="3312"/>
        <item x="3311"/>
        <item x="3310"/>
        <item x="3309"/>
        <item x="3308"/>
        <item x="3307"/>
        <item x="3306"/>
        <item x="3305"/>
        <item x="3304"/>
        <item x="3303"/>
        <item x="3302"/>
        <item x="3301"/>
        <item x="3300"/>
        <item x="3299"/>
        <item x="3298"/>
        <item x="3297"/>
        <item x="3296"/>
        <item x="3295"/>
        <item x="3294"/>
        <item x="3293"/>
        <item x="3292"/>
        <item x="3291"/>
        <item x="3290"/>
        <item x="3289"/>
        <item x="3288"/>
        <item x="3287"/>
        <item x="3286"/>
        <item x="3285"/>
        <item x="3284"/>
        <item x="3283"/>
        <item x="3282"/>
        <item x="3281"/>
        <item x="3280"/>
        <item x="3279"/>
        <item x="3278"/>
        <item x="3277"/>
        <item x="3276"/>
        <item x="3275"/>
        <item x="3274"/>
        <item x="3273"/>
        <item x="3272"/>
        <item x="3271"/>
        <item x="3270"/>
        <item x="3269"/>
        <item x="3268"/>
        <item x="3267"/>
        <item x="3266"/>
        <item x="3265"/>
        <item x="3264"/>
        <item x="3263"/>
        <item x="3262"/>
        <item x="3261"/>
        <item x="3260"/>
        <item x="3259"/>
        <item x="3258"/>
        <item x="3257"/>
        <item x="3256"/>
        <item x="3255"/>
        <item x="3254"/>
        <item x="3253"/>
        <item x="3252"/>
        <item x="3251"/>
        <item x="3250"/>
        <item x="3249"/>
        <item x="3248"/>
        <item x="3247"/>
        <item x="3246"/>
        <item x="3245"/>
        <item x="3244"/>
        <item x="3243"/>
        <item x="3242"/>
        <item x="3241"/>
        <item x="3240"/>
        <item x="3239"/>
        <item x="3238"/>
        <item x="3237"/>
        <item x="3236"/>
        <item x="3235"/>
        <item x="3234"/>
        <item x="3233"/>
        <item x="3232"/>
        <item x="3231"/>
        <item x="3230"/>
        <item x="3229"/>
        <item x="3228"/>
        <item x="3227"/>
        <item x="3226"/>
        <item x="3225"/>
        <item x="3224"/>
        <item x="3223"/>
        <item x="3222"/>
        <item x="3221"/>
        <item x="3220"/>
        <item x="3219"/>
        <item x="3218"/>
        <item x="3217"/>
        <item x="3216"/>
        <item x="3215"/>
        <item x="3214"/>
        <item x="3213"/>
        <item x="3212"/>
        <item x="3211"/>
        <item x="3210"/>
        <item x="3209"/>
        <item x="3208"/>
        <item x="3207"/>
        <item x="3206"/>
        <item x="3205"/>
        <item x="3204"/>
        <item x="3203"/>
        <item x="3202"/>
        <item x="3201"/>
        <item x="3200"/>
        <item x="3199"/>
        <item x="3198"/>
        <item x="3197"/>
        <item x="3196"/>
        <item x="3195"/>
        <item x="3194"/>
        <item x="3193"/>
        <item x="3192"/>
        <item x="3191"/>
        <item x="3190"/>
        <item x="3189"/>
        <item x="3188"/>
        <item x="3187"/>
        <item x="3186"/>
        <item x="3185"/>
        <item x="3184"/>
        <item x="3183"/>
        <item x="3182"/>
        <item x="3181"/>
        <item x="3180"/>
        <item x="3179"/>
        <item x="3178"/>
        <item x="3177"/>
        <item x="3176"/>
        <item x="3175"/>
        <item x="3174"/>
        <item x="3173"/>
        <item x="3172"/>
        <item x="3171"/>
        <item x="3170"/>
        <item x="3169"/>
        <item x="3168"/>
        <item x="3167"/>
        <item x="3166"/>
        <item x="3165"/>
        <item x="3164"/>
        <item x="3163"/>
        <item x="3162"/>
        <item x="3161"/>
        <item x="3160"/>
        <item x="3159"/>
        <item x="3158"/>
        <item x="3157"/>
        <item x="3156"/>
        <item x="3155"/>
        <item x="3154"/>
        <item x="3153"/>
        <item x="3152"/>
        <item x="3151"/>
        <item x="3150"/>
        <item x="3149"/>
        <item x="3148"/>
        <item x="3147"/>
        <item x="3146"/>
        <item x="3145"/>
        <item x="3144"/>
        <item x="3143"/>
        <item x="3142"/>
        <item x="3141"/>
        <item x="3140"/>
        <item x="3139"/>
        <item x="3138"/>
        <item x="3137"/>
        <item x="3136"/>
        <item x="3135"/>
        <item x="3134"/>
        <item x="3133"/>
        <item x="3132"/>
        <item x="3131"/>
        <item x="3130"/>
        <item x="3129"/>
        <item x="3128"/>
        <item x="3127"/>
        <item x="3126"/>
        <item x="3125"/>
        <item x="3124"/>
        <item x="3123"/>
        <item x="3122"/>
        <item x="3121"/>
        <item x="3120"/>
        <item x="3119"/>
        <item x="3118"/>
        <item x="3117"/>
        <item x="3116"/>
        <item x="3115"/>
        <item x="3114"/>
        <item x="3113"/>
        <item x="3112"/>
        <item x="3111"/>
        <item x="3110"/>
        <item x="3109"/>
        <item x="3108"/>
        <item x="3107"/>
        <item x="3106"/>
        <item x="3105"/>
        <item x="3104"/>
        <item x="3103"/>
        <item x="3102"/>
        <item x="3101"/>
        <item x="3100"/>
        <item x="3099"/>
        <item x="3098"/>
        <item x="3097"/>
        <item x="3096"/>
        <item x="3095"/>
        <item x="3094"/>
        <item x="3093"/>
        <item x="3092"/>
        <item x="3091"/>
        <item x="3090"/>
        <item x="3089"/>
        <item x="3088"/>
        <item x="3087"/>
        <item x="3086"/>
        <item x="3085"/>
        <item x="3084"/>
        <item x="3083"/>
        <item x="3082"/>
        <item x="3081"/>
        <item x="3080"/>
        <item x="3079"/>
        <item x="3078"/>
        <item x="3077"/>
        <item x="3076"/>
        <item x="3075"/>
        <item x="3074"/>
        <item x="3073"/>
        <item x="3072"/>
        <item x="3071"/>
        <item x="3070"/>
        <item x="3069"/>
        <item x="3068"/>
        <item x="3067"/>
        <item x="3066"/>
        <item x="3065"/>
        <item x="3064"/>
        <item x="3063"/>
        <item x="3062"/>
        <item x="3061"/>
        <item x="3060"/>
        <item x="3059"/>
        <item x="3058"/>
        <item x="3057"/>
        <item x="3056"/>
        <item x="3055"/>
        <item x="3054"/>
        <item x="3053"/>
        <item x="3052"/>
        <item x="3051"/>
        <item x="3050"/>
        <item x="3049"/>
        <item x="3048"/>
        <item x="3047"/>
        <item x="3046"/>
        <item x="3045"/>
        <item x="3044"/>
        <item x="3043"/>
        <item x="3042"/>
        <item x="3041"/>
        <item x="3040"/>
        <item x="3039"/>
        <item x="3038"/>
        <item x="3037"/>
        <item x="3036"/>
        <item x="3035"/>
        <item x="3034"/>
        <item x="3033"/>
        <item x="3032"/>
        <item x="3031"/>
        <item x="3030"/>
        <item x="3029"/>
        <item x="3028"/>
        <item x="3027"/>
        <item x="3026"/>
        <item x="3025"/>
        <item x="3024"/>
        <item x="3023"/>
        <item x="3022"/>
        <item x="3021"/>
        <item x="3020"/>
        <item x="3019"/>
        <item x="3018"/>
        <item x="3017"/>
        <item x="3016"/>
        <item x="3015"/>
        <item x="3014"/>
        <item x="3013"/>
        <item x="3012"/>
        <item x="3011"/>
        <item x="3010"/>
        <item x="3009"/>
        <item x="3008"/>
        <item x="3007"/>
        <item x="3006"/>
        <item x="3005"/>
        <item x="3004"/>
        <item x="3003"/>
        <item x="3002"/>
        <item x="3001"/>
        <item x="3000"/>
        <item x="2999"/>
        <item x="2998"/>
        <item x="2997"/>
        <item x="2996"/>
        <item x="2995"/>
        <item x="2994"/>
        <item x="2993"/>
        <item x="2992"/>
        <item x="2991"/>
        <item x="2990"/>
        <item x="2989"/>
        <item x="2988"/>
        <item x="2987"/>
        <item x="2986"/>
        <item x="2985"/>
        <item x="2984"/>
        <item x="2983"/>
        <item x="2982"/>
        <item x="2981"/>
        <item x="2980"/>
        <item x="2979"/>
        <item x="2978"/>
        <item x="2977"/>
        <item x="2976"/>
        <item x="2975"/>
        <item x="2974"/>
        <item x="2973"/>
        <item x="2972"/>
        <item x="2971"/>
        <item x="2970"/>
        <item x="2969"/>
        <item x="2968"/>
        <item x="2967"/>
        <item x="2966"/>
        <item x="2965"/>
        <item x="2964"/>
        <item x="2963"/>
        <item x="2962"/>
        <item x="2961"/>
        <item x="2960"/>
        <item x="2959"/>
        <item x="2958"/>
        <item x="2957"/>
        <item x="2956"/>
        <item x="2955"/>
        <item x="2954"/>
        <item x="2953"/>
        <item x="2952"/>
        <item x="2951"/>
        <item x="2950"/>
        <item x="2949"/>
        <item x="2948"/>
        <item x="2947"/>
        <item x="2946"/>
        <item x="2945"/>
        <item x="2944"/>
        <item x="2943"/>
        <item x="2942"/>
        <item x="2941"/>
        <item x="2940"/>
        <item x="2939"/>
        <item x="2938"/>
        <item x="2937"/>
        <item x="2936"/>
        <item x="2935"/>
        <item x="2934"/>
        <item x="2933"/>
        <item x="2932"/>
        <item x="2931"/>
        <item x="2930"/>
        <item x="2929"/>
        <item x="2928"/>
        <item x="2927"/>
        <item x="2926"/>
        <item x="2925"/>
        <item x="2924"/>
        <item x="2923"/>
        <item x="2922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2909"/>
        <item x="2908"/>
        <item x="2907"/>
        <item x="2906"/>
        <item x="2905"/>
        <item x="2904"/>
        <item x="2903"/>
        <item x="2902"/>
        <item x="2901"/>
        <item x="2900"/>
        <item x="2899"/>
        <item x="2898"/>
        <item x="2897"/>
        <item x="2896"/>
        <item x="2895"/>
        <item x="2894"/>
        <item x="2893"/>
        <item x="2892"/>
        <item x="2891"/>
        <item x="2890"/>
        <item x="2889"/>
        <item x="2888"/>
        <item x="2887"/>
        <item x="2886"/>
        <item x="2885"/>
        <item x="2884"/>
        <item x="2883"/>
        <item x="2882"/>
        <item x="2881"/>
        <item x="2880"/>
        <item x="2879"/>
        <item x="2878"/>
        <item x="2877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65"/>
        <item x="2864"/>
        <item x="2863"/>
        <item x="2862"/>
        <item x="2861"/>
        <item x="2860"/>
        <item x="2859"/>
        <item x="2858"/>
        <item x="2857"/>
        <item x="2856"/>
        <item x="2855"/>
        <item x="2854"/>
        <item x="2853"/>
        <item x="2852"/>
        <item x="2851"/>
        <item x="2850"/>
        <item x="2849"/>
        <item x="2848"/>
        <item x="2847"/>
        <item x="2846"/>
        <item x="2845"/>
        <item x="2844"/>
        <item x="2843"/>
        <item x="2842"/>
        <item x="2841"/>
        <item x="2840"/>
        <item x="2839"/>
        <item x="2838"/>
        <item x="2837"/>
        <item x="2836"/>
        <item x="2835"/>
        <item x="2834"/>
        <item x="2833"/>
        <item x="2832"/>
        <item x="2831"/>
        <item x="2830"/>
        <item x="2829"/>
        <item x="2828"/>
        <item x="2827"/>
        <item x="2826"/>
        <item x="2825"/>
        <item x="2824"/>
        <item x="2823"/>
        <item x="2822"/>
        <item x="2821"/>
        <item x="2820"/>
        <item x="2819"/>
        <item x="2818"/>
        <item x="2817"/>
        <item x="2816"/>
        <item x="2815"/>
        <item x="2814"/>
        <item x="2813"/>
        <item x="2812"/>
        <item x="2811"/>
        <item x="2810"/>
        <item x="2809"/>
        <item x="2808"/>
        <item x="2807"/>
        <item x="2806"/>
        <item x="2805"/>
        <item x="2804"/>
        <item x="2803"/>
        <item x="2802"/>
        <item x="2801"/>
        <item x="2800"/>
        <item x="2799"/>
        <item x="2798"/>
        <item x="2797"/>
        <item x="2796"/>
        <item x="2795"/>
        <item x="2794"/>
        <item x="2793"/>
        <item x="2792"/>
        <item x="2791"/>
        <item x="2790"/>
        <item x="2789"/>
        <item x="2788"/>
        <item x="2787"/>
        <item x="2786"/>
        <item x="2785"/>
        <item x="2784"/>
        <item x="2783"/>
        <item x="2782"/>
        <item x="2781"/>
        <item x="2780"/>
        <item x="2779"/>
        <item x="2778"/>
        <item x="2777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2702"/>
        <item x="2701"/>
        <item x="2700"/>
        <item x="2699"/>
        <item x="2698"/>
        <item x="2697"/>
        <item x="2696"/>
        <item x="2695"/>
        <item x="2694"/>
        <item x="2693"/>
        <item x="2692"/>
        <item x="2691"/>
        <item x="2690"/>
        <item x="2689"/>
        <item x="2688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2676"/>
        <item x="2675"/>
        <item x="2674"/>
        <item x="2673"/>
        <item x="2672"/>
        <item x="2671"/>
        <item x="2670"/>
        <item x="2669"/>
        <item x="2668"/>
        <item x="2667"/>
        <item x="2666"/>
        <item x="2665"/>
        <item x="2664"/>
        <item x="2663"/>
        <item x="2662"/>
        <item x="2661"/>
        <item x="2660"/>
        <item x="2659"/>
        <item x="2658"/>
        <item x="2657"/>
        <item x="2656"/>
        <item x="2655"/>
        <item x="2654"/>
        <item x="2653"/>
        <item x="2652"/>
        <item x="2651"/>
        <item x="2650"/>
        <item x="2649"/>
        <item x="2648"/>
        <item x="2647"/>
        <item x="2646"/>
        <item x="2645"/>
        <item x="2644"/>
        <item x="2643"/>
        <item x="2642"/>
        <item x="2641"/>
        <item x="2640"/>
        <item x="2639"/>
        <item x="2638"/>
        <item x="2637"/>
        <item x="2636"/>
        <item x="2635"/>
        <item x="2634"/>
        <item x="2633"/>
        <item x="2632"/>
        <item x="2631"/>
        <item x="2630"/>
        <item x="2629"/>
        <item x="2628"/>
        <item x="2627"/>
        <item x="2626"/>
        <item x="2625"/>
        <item x="2624"/>
        <item x="2623"/>
        <item x="2622"/>
        <item x="2621"/>
        <item x="2620"/>
        <item x="2619"/>
        <item x="2618"/>
        <item x="2617"/>
        <item x="2616"/>
        <item x="2615"/>
        <item x="2614"/>
        <item x="2613"/>
        <item x="2612"/>
        <item x="2611"/>
        <item x="2610"/>
        <item x="2609"/>
        <item x="2608"/>
        <item x="2607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2586"/>
        <item x="2585"/>
        <item x="2584"/>
        <item x="2583"/>
        <item x="2582"/>
        <item x="2581"/>
        <item x="2580"/>
        <item x="2579"/>
        <item x="2578"/>
        <item x="2577"/>
        <item x="2576"/>
        <item x="2575"/>
        <item x="2574"/>
        <item x="2573"/>
        <item x="2572"/>
        <item x="2571"/>
        <item x="2570"/>
        <item x="2569"/>
        <item x="2568"/>
        <item x="2567"/>
        <item x="2566"/>
        <item x="2565"/>
        <item x="2564"/>
        <item x="2563"/>
        <item x="2562"/>
        <item x="2561"/>
        <item x="2560"/>
        <item x="2559"/>
        <item x="2558"/>
        <item x="2557"/>
        <item x="2556"/>
        <item x="2555"/>
        <item x="2554"/>
        <item x="2553"/>
        <item x="2552"/>
        <item x="2551"/>
        <item x="2550"/>
        <item x="2549"/>
        <item x="2548"/>
        <item x="2547"/>
        <item x="2546"/>
        <item x="2545"/>
        <item x="2544"/>
        <item x="2543"/>
        <item x="2542"/>
        <item x="2541"/>
        <item x="2540"/>
        <item x="2539"/>
        <item x="253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18"/>
        <item x="2517"/>
        <item x="2516"/>
        <item x="2515"/>
        <item x="2514"/>
        <item x="2513"/>
        <item x="2512"/>
        <item x="2511"/>
        <item x="2510"/>
        <item x="2509"/>
        <item x="2508"/>
        <item x="2507"/>
        <item x="2506"/>
        <item x="2505"/>
        <item x="2504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2492"/>
        <item x="2491"/>
        <item x="2490"/>
        <item x="2489"/>
        <item x="2488"/>
        <item x="2487"/>
        <item x="2486"/>
        <item x="2485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2469"/>
        <item x="2468"/>
        <item x="2467"/>
        <item x="2466"/>
        <item x="2465"/>
        <item x="2464"/>
        <item x="2463"/>
        <item x="2462"/>
        <item x="2461"/>
        <item x="2460"/>
        <item x="2459"/>
        <item x="2458"/>
        <item x="2457"/>
        <item x="2456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40"/>
        <item x="2439"/>
        <item x="2438"/>
        <item x="2437"/>
        <item x="2436"/>
        <item x="2435"/>
        <item x="2434"/>
        <item x="2433"/>
        <item x="2432"/>
        <item x="2431"/>
        <item x="2430"/>
        <item x="2429"/>
        <item x="2428"/>
        <item x="2427"/>
        <item x="2426"/>
        <item x="2425"/>
        <item x="2424"/>
        <item x="2423"/>
        <item x="2422"/>
        <item x="2421"/>
        <item x="2420"/>
        <item x="2419"/>
        <item x="2418"/>
        <item x="2417"/>
        <item x="2416"/>
        <item x="2415"/>
        <item x="2414"/>
        <item x="2413"/>
        <item x="2412"/>
        <item x="2411"/>
        <item x="2410"/>
        <item x="2409"/>
        <item x="2408"/>
        <item x="2407"/>
        <item x="2406"/>
        <item x="2405"/>
        <item x="2404"/>
        <item x="2403"/>
        <item x="2402"/>
        <item x="2401"/>
        <item x="2400"/>
        <item x="2399"/>
        <item x="2398"/>
        <item x="2397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2384"/>
        <item x="2383"/>
        <item x="2382"/>
        <item x="2381"/>
        <item x="2380"/>
        <item x="2379"/>
        <item x="2378"/>
        <item x="2377"/>
        <item x="2376"/>
        <item x="2375"/>
        <item x="2374"/>
        <item x="2373"/>
        <item x="2372"/>
        <item x="2371"/>
        <item x="2370"/>
        <item x="2369"/>
        <item x="2368"/>
        <item x="2367"/>
        <item x="2366"/>
        <item x="2365"/>
        <item x="2364"/>
        <item x="2363"/>
        <item x="2362"/>
        <item x="2361"/>
        <item x="2360"/>
        <item x="2359"/>
        <item x="2358"/>
        <item x="2357"/>
        <item x="2356"/>
        <item x="2355"/>
        <item x="2354"/>
        <item x="2353"/>
        <item x="2352"/>
        <item x="2351"/>
        <item x="2350"/>
        <item x="2349"/>
        <item x="2348"/>
        <item x="2347"/>
        <item x="2346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2334"/>
        <item x="2333"/>
        <item x="2332"/>
        <item x="2331"/>
        <item x="2330"/>
        <item x="2329"/>
        <item x="2328"/>
        <item x="2327"/>
        <item x="2326"/>
        <item x="2325"/>
        <item x="2324"/>
        <item x="2323"/>
        <item x="2322"/>
        <item x="2321"/>
        <item x="2320"/>
        <item x="2319"/>
        <item x="2318"/>
        <item x="2317"/>
        <item x="2316"/>
        <item x="2315"/>
        <item x="2314"/>
        <item x="2313"/>
        <item x="2312"/>
        <item x="2311"/>
        <item x="2310"/>
        <item x="2309"/>
        <item x="2308"/>
        <item x="2307"/>
        <item x="2306"/>
        <item x="2305"/>
        <item x="2304"/>
        <item x="2303"/>
        <item x="2302"/>
        <item x="2301"/>
        <item x="2300"/>
        <item x="2299"/>
        <item x="2298"/>
        <item x="2297"/>
        <item x="2296"/>
        <item x="2295"/>
        <item x="2294"/>
        <item x="2293"/>
        <item x="2292"/>
        <item x="2291"/>
        <item x="2290"/>
        <item x="2289"/>
        <item x="2288"/>
        <item x="2287"/>
        <item x="2286"/>
        <item x="2285"/>
        <item x="2284"/>
        <item x="2283"/>
        <item x="2282"/>
        <item x="2281"/>
        <item x="2280"/>
        <item x="2279"/>
        <item x="2278"/>
        <item x="2277"/>
        <item x="2276"/>
        <item x="2275"/>
        <item x="2274"/>
        <item x="2273"/>
        <item x="2272"/>
        <item x="2271"/>
        <item x="2270"/>
        <item x="2269"/>
        <item x="2268"/>
        <item x="2267"/>
        <item x="2266"/>
        <item x="2265"/>
        <item x="2264"/>
        <item x="2263"/>
        <item x="2262"/>
        <item x="2261"/>
        <item x="2260"/>
        <item x="2259"/>
        <item x="2258"/>
        <item x="2257"/>
        <item x="2256"/>
        <item x="2255"/>
        <item x="2254"/>
        <item x="2253"/>
        <item x="2252"/>
        <item x="2251"/>
        <item x="2250"/>
        <item x="2249"/>
        <item x="2248"/>
        <item x="2247"/>
        <item x="2246"/>
        <item x="2245"/>
        <item x="2244"/>
        <item x="2243"/>
        <item x="2242"/>
        <item x="2241"/>
        <item x="2240"/>
        <item x="2239"/>
        <item x="2238"/>
        <item x="2237"/>
        <item x="2236"/>
        <item x="2235"/>
        <item x="2234"/>
        <item x="2233"/>
        <item x="2232"/>
        <item x="2231"/>
        <item x="2230"/>
        <item x="2229"/>
        <item x="2228"/>
        <item x="2227"/>
        <item x="2226"/>
        <item x="2225"/>
        <item x="2224"/>
        <item x="2223"/>
        <item x="2222"/>
        <item x="2221"/>
        <item x="2220"/>
        <item x="2219"/>
        <item x="2218"/>
        <item x="2217"/>
        <item x="2216"/>
        <item x="2215"/>
        <item x="2214"/>
        <item x="2213"/>
        <item x="2212"/>
        <item x="2211"/>
        <item x="2210"/>
        <item x="2209"/>
        <item x="2208"/>
        <item x="2207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2195"/>
        <item x="2194"/>
        <item x="2193"/>
        <item x="2192"/>
        <item x="2191"/>
        <item x="2190"/>
        <item x="2189"/>
        <item x="2188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2147"/>
        <item x="2146"/>
        <item x="2145"/>
        <item x="2144"/>
        <item x="2143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2124"/>
        <item x="2123"/>
        <item x="2122"/>
        <item x="2121"/>
        <item x="2120"/>
        <item x="2119"/>
        <item x="2118"/>
        <item x="2117"/>
        <item x="2116"/>
        <item x="2115"/>
        <item x="2114"/>
        <item x="2113"/>
        <item x="2112"/>
        <item x="2111"/>
        <item x="2110"/>
        <item x="2109"/>
        <item x="2108"/>
        <item x="2107"/>
        <item x="2106"/>
        <item x="2105"/>
        <item x="2104"/>
        <item x="2103"/>
        <item x="2102"/>
        <item x="210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2085"/>
        <item x="2084"/>
        <item x="2083"/>
        <item x="2082"/>
        <item x="2081"/>
        <item x="2080"/>
        <item x="2079"/>
        <item x="2078"/>
        <item x="2077"/>
        <item x="2076"/>
        <item x="2075"/>
        <item x="2074"/>
        <item x="2073"/>
        <item x="2072"/>
        <item x="2071"/>
        <item x="2070"/>
        <item x="2069"/>
        <item x="2068"/>
        <item x="2067"/>
        <item x="2066"/>
        <item x="2065"/>
        <item x="2064"/>
        <item x="2063"/>
        <item x="2062"/>
        <item x="2061"/>
        <item x="2060"/>
        <item x="2059"/>
        <item x="2058"/>
        <item x="2057"/>
        <item x="2056"/>
        <item x="2055"/>
        <item x="2054"/>
        <item x="2053"/>
        <item x="2052"/>
        <item x="2051"/>
        <item x="2050"/>
        <item x="2049"/>
        <item x="2048"/>
        <item x="2047"/>
        <item x="2046"/>
        <item x="2045"/>
        <item x="2044"/>
        <item x="2043"/>
        <item x="2042"/>
        <item x="2041"/>
        <item x="2040"/>
        <item x="2039"/>
        <item x="2038"/>
        <item x="2037"/>
        <item x="2036"/>
        <item x="2035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2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Type of Usage" axis="axisPage" dataField="1" showAll="0">
      <items count="5">
        <item x="1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0"/>
  </rowFields>
  <rowItems count="89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 t="grand">
      <x/>
    </i>
  </rowItems>
  <colItems count="1">
    <i/>
  </colItems>
  <pageFields count="1">
    <pageField fld="15" hier="-1"/>
  </pageFields>
  <dataFields count="1">
    <dataField name="Total" fld="15" subtotal="count" baseField="0" baseItem="0"/>
  </dataFields>
  <formats count="8">
    <format dxfId="49">
      <pivotArea field="15" type="button" dataOnly="0" labelOnly="1" outline="0" axis="axisPage" fieldPosition="0"/>
    </format>
    <format dxfId="48">
      <pivotArea dataOnly="0" labelOnly="1" outline="0" fieldPosition="0">
        <references count="1">
          <reference field="15" count="0"/>
        </references>
      </pivotArea>
    </format>
    <format dxfId="47">
      <pivotArea field="0" type="button" dataOnly="0" labelOnly="1" outline="0" axis="axisRow" fieldPosition="0"/>
    </format>
    <format dxfId="46">
      <pivotArea dataOnly="0" labelOnly="1" outline="0" axis="axisValues" fieldPosition="0"/>
    </format>
    <format dxfId="45">
      <pivotArea field="0" type="button" dataOnly="0" labelOnly="1" outline="0" axis="axisRow" fieldPosition="0"/>
    </format>
    <format dxfId="44">
      <pivotArea dataOnly="0" labelOnly="1" outline="0" axis="axisValues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UserID">
  <location ref="A3:B1978" firstHeaderRow="1" firstDataRow="1" firstDataCol="1" rowPageCount="1" colPageCount="1"/>
  <pivotFields count="22">
    <pivotField numFmtId="22" showAll="0"/>
    <pivotField numFmtId="21" showAll="0"/>
    <pivotField axis="axisRow" showAll="0">
      <items count="1958">
        <item x="1512"/>
        <item x="64"/>
        <item x="1217"/>
        <item x="915"/>
        <item x="1273"/>
        <item x="1333"/>
        <item x="1087"/>
        <item x="1128"/>
        <item x="549"/>
        <item x="210"/>
        <item x="1250"/>
        <item x="1922"/>
        <item x="348"/>
        <item x="99"/>
        <item x="1506"/>
        <item x="1831"/>
        <item x="216"/>
        <item x="1589"/>
        <item x="608"/>
        <item x="17"/>
        <item x="774"/>
        <item x="1387"/>
        <item x="1934"/>
        <item x="1197"/>
        <item x="167"/>
        <item x="137"/>
        <item x="1099"/>
        <item x="1941"/>
        <item x="85"/>
        <item x="154"/>
        <item x="1719"/>
        <item x="1935"/>
        <item x="1488"/>
        <item x="848"/>
        <item x="80"/>
        <item x="506"/>
        <item x="1819"/>
        <item x="373"/>
        <item x="1923"/>
        <item x="1648"/>
        <item x="1408"/>
        <item x="284"/>
        <item x="317"/>
        <item x="754"/>
        <item x="53"/>
        <item x="1172"/>
        <item x="375"/>
        <item x="685"/>
        <item x="1297"/>
        <item x="1535"/>
        <item x="971"/>
        <item x="1125"/>
        <item x="298"/>
        <item x="303"/>
        <item x="345"/>
        <item x="1772"/>
        <item x="103"/>
        <item x="1679"/>
        <item x="1794"/>
        <item x="97"/>
        <item x="1780"/>
        <item x="432"/>
        <item x="1311"/>
        <item x="1791"/>
        <item x="778"/>
        <item x="692"/>
        <item x="118"/>
        <item x="111"/>
        <item x="1623"/>
        <item x="1554"/>
        <item x="1009"/>
        <item x="261"/>
        <item x="1151"/>
        <item x="1239"/>
        <item x="402"/>
        <item x="1666"/>
        <item x="1449"/>
        <item x="760"/>
        <item x="986"/>
        <item x="580"/>
        <item x="1524"/>
        <item x="912"/>
        <item x="1316"/>
        <item x="907"/>
        <item x="1870"/>
        <item x="914"/>
        <item x="1003"/>
        <item x="1279"/>
        <item x="1334"/>
        <item x="1937"/>
        <item x="214"/>
        <item x="1525"/>
        <item x="1830"/>
        <item x="1289"/>
        <item x="1284"/>
        <item x="656"/>
        <item x="302"/>
        <item x="1147"/>
        <item x="1181"/>
        <item x="55"/>
        <item x="1708"/>
        <item x="1067"/>
        <item x="704"/>
        <item x="296"/>
        <item x="1424"/>
        <item x="1447"/>
        <item x="333"/>
        <item x="1116"/>
        <item x="1326"/>
        <item x="1081"/>
        <item x="1875"/>
        <item x="1909"/>
        <item x="1029"/>
        <item x="766"/>
        <item x="466"/>
        <item x="540"/>
        <item x="741"/>
        <item x="1723"/>
        <item x="1209"/>
        <item x="1812"/>
        <item x="1080"/>
        <item x="1350"/>
        <item x="712"/>
        <item x="1779"/>
        <item x="1770"/>
        <item x="1355"/>
        <item x="1682"/>
        <item x="324"/>
        <item x="688"/>
        <item x="1270"/>
        <item x="910"/>
        <item x="169"/>
        <item x="1641"/>
        <item x="1236"/>
        <item x="1628"/>
        <item x="579"/>
        <item x="337"/>
        <item x="1665"/>
        <item x="1465"/>
        <item x="943"/>
        <item x="142"/>
        <item x="935"/>
        <item x="1475"/>
        <item x="202"/>
        <item x="738"/>
        <item x="52"/>
        <item x="1843"/>
        <item x="1383"/>
        <item x="1615"/>
        <item x="1559"/>
        <item x="436"/>
        <item x="93"/>
        <item x="578"/>
        <item x="1193"/>
        <item x="591"/>
        <item x="194"/>
        <item x="1148"/>
        <item x="74"/>
        <item x="1155"/>
        <item x="821"/>
        <item x="763"/>
        <item x="1581"/>
        <item x="1903"/>
        <item x="646"/>
        <item x="588"/>
        <item x="1367"/>
        <item x="1865"/>
        <item x="1089"/>
        <item x="1671"/>
        <item x="633"/>
        <item x="928"/>
        <item x="904"/>
        <item x="1632"/>
        <item x="939"/>
        <item x="1131"/>
        <item x="1605"/>
        <item x="809"/>
        <item x="40"/>
        <item x="807"/>
        <item x="885"/>
        <item x="459"/>
        <item x="933"/>
        <item x="146"/>
        <item x="1206"/>
        <item x="1391"/>
        <item x="1474"/>
        <item x="468"/>
        <item x="1301"/>
        <item x="1873"/>
        <item x="79"/>
        <item x="1359"/>
        <item x="1127"/>
        <item x="1260"/>
        <item x="628"/>
        <item x="605"/>
        <item x="1182"/>
        <item x="379"/>
        <item x="1556"/>
        <item x="977"/>
        <item x="1288"/>
        <item x="1825"/>
        <item x="1585"/>
        <item x="687"/>
        <item x="1282"/>
        <item x="693"/>
        <item x="1611"/>
        <item x="224"/>
        <item x="1247"/>
        <item x="1245"/>
        <item x="449"/>
        <item x="925"/>
        <item x="1134"/>
        <item x="1204"/>
        <item x="255"/>
        <item x="1799"/>
        <item x="1044"/>
        <item x="1476"/>
        <item x="1618"/>
        <item x="1411"/>
        <item x="381"/>
        <item x="1319"/>
        <item x="590"/>
        <item x="711"/>
        <item x="1730"/>
        <item x="643"/>
        <item x="433"/>
        <item x="709"/>
        <item x="1450"/>
        <item x="1954"/>
        <item x="1023"/>
        <item x="1251"/>
        <item x="1769"/>
        <item x="1415"/>
        <item x="624"/>
        <item x="1538"/>
        <item x="845"/>
        <item x="463"/>
        <item x="1165"/>
        <item x="1720"/>
        <item x="773"/>
        <item x="1372"/>
        <item x="968"/>
        <item x="1166"/>
        <item x="501"/>
        <item x="1112"/>
        <item x="954"/>
        <item x="1860"/>
        <item x="1021"/>
        <item x="970"/>
        <item x="354"/>
        <item x="1722"/>
        <item x="1144"/>
        <item x="1369"/>
        <item x="1332"/>
        <item x="1584"/>
        <item x="1701"/>
        <item x="1364"/>
        <item x="989"/>
        <item x="1737"/>
        <item x="898"/>
        <item x="1774"/>
        <item x="1639"/>
        <item x="1852"/>
        <item x="1409"/>
        <item x="237"/>
        <item x="708"/>
        <item x="1055"/>
        <item x="430"/>
        <item x="705"/>
        <item x="1659"/>
        <item x="415"/>
        <item x="1438"/>
        <item x="1269"/>
        <item x="1093"/>
        <item x="1302"/>
        <item x="491"/>
        <item x="1117"/>
        <item x="1158"/>
        <item x="861"/>
        <item x="1228"/>
        <item x="1519"/>
        <item x="1389"/>
        <item x="330"/>
        <item x="23"/>
        <item x="1673"/>
        <item x="1622"/>
        <item x="1020"/>
        <item x="1471"/>
        <item x="1653"/>
        <item x="1609"/>
        <item x="1300"/>
        <item x="497"/>
        <item x="1642"/>
        <item x="979"/>
        <item x="232"/>
        <item x="1572"/>
        <item x="1478"/>
        <item x="358"/>
        <item x="1052"/>
        <item x="1276"/>
        <item x="1244"/>
        <item x="681"/>
        <item x="1599"/>
        <item x="1552"/>
        <item x="403"/>
        <item x="158"/>
        <item x="1782"/>
        <item x="273"/>
        <item x="1788"/>
        <item x="1945"/>
        <item x="548"/>
        <item x="1655"/>
        <item x="1606"/>
        <item x="1406"/>
        <item x="887"/>
        <item x="299"/>
        <item x="863"/>
        <item x="575"/>
        <item x="396"/>
        <item x="1491"/>
        <item x="621"/>
        <item x="1305"/>
        <item x="267"/>
        <item x="714"/>
        <item x="721"/>
        <item x="327"/>
        <item x="1681"/>
        <item x="1747"/>
        <item x="664"/>
        <item x="1337"/>
        <item x="1180"/>
        <item x="242"/>
        <item x="739"/>
        <item x="1006"/>
        <item x="1899"/>
        <item x="35"/>
        <item x="1396"/>
        <item x="1353"/>
        <item x="1741"/>
        <item x="565"/>
        <item x="822"/>
        <item x="843"/>
        <item x="1494"/>
        <item x="297"/>
        <item x="686"/>
        <item x="923"/>
        <item x="271"/>
        <item x="722"/>
        <item x="464"/>
        <item x="522"/>
        <item x="58"/>
        <item x="272"/>
        <item x="1374"/>
        <item x="1768"/>
        <item x="161"/>
        <item x="1177"/>
        <item x="823"/>
        <item x="1859"/>
        <item x="1307"/>
        <item x="1579"/>
        <item x="812"/>
        <item x="718"/>
        <item x="637"/>
        <item x="1569"/>
        <item x="364"/>
        <item x="727"/>
        <item x="211"/>
        <item x="1075"/>
        <item x="329"/>
        <item x="1548"/>
        <item x="1360"/>
        <item x="1729"/>
        <item x="1515"/>
        <item x="582"/>
        <item x="528"/>
        <item x="227"/>
        <item x="1157"/>
        <item x="586"/>
        <item x="551"/>
        <item x="340"/>
        <item x="1616"/>
        <item x="666"/>
        <item x="1035"/>
        <item x="684"/>
        <item x="343"/>
        <item x="1299"/>
        <item x="1674"/>
        <item x="1578"/>
        <item x="931"/>
        <item x="256"/>
        <item x="1357"/>
        <item x="1160"/>
        <item x="905"/>
        <item x="11"/>
        <item x="84"/>
        <item x="119"/>
        <item x="1874"/>
        <item x="926"/>
        <item x="1178"/>
        <item x="529"/>
        <item x="276"/>
        <item x="245"/>
        <item x="181"/>
        <item x="500"/>
        <item x="527"/>
        <item x="1304"/>
        <item x="1315"/>
        <item x="356"/>
        <item x="798"/>
        <item x="770"/>
        <item x="252"/>
        <item x="1223"/>
        <item x="532"/>
        <item x="1951"/>
        <item x="19"/>
        <item x="1061"/>
        <item x="1516"/>
        <item x="450"/>
        <item x="219"/>
        <item x="1633"/>
        <item x="701"/>
        <item x="1517"/>
        <item x="1344"/>
        <item x="126"/>
        <item x="1064"/>
        <item x="61"/>
        <item x="1132"/>
        <item x="1174"/>
        <item x="767"/>
        <item x="282"/>
        <item x="1102"/>
        <item x="1939"/>
        <item x="421"/>
        <item x="1705"/>
        <item x="263"/>
        <item x="280"/>
        <item x="72"/>
        <item x="1827"/>
        <item x="1057"/>
        <item x="888"/>
        <item x="177"/>
        <item x="1249"/>
        <item x="318"/>
        <item x="1624"/>
        <item x="1445"/>
        <item x="740"/>
        <item x="1254"/>
        <item x="934"/>
        <item x="174"/>
        <item x="1175"/>
        <item x="920"/>
        <item x="1027"/>
        <item x="1028"/>
        <item x="1694"/>
        <item x="1101"/>
        <item x="1272"/>
        <item x="627"/>
        <item x="620"/>
        <item x="1271"/>
        <item x="57"/>
        <item x="47"/>
        <item x="850"/>
        <item x="238"/>
        <item x="123"/>
        <item x="12"/>
        <item x="65"/>
        <item x="1079"/>
        <item x="1784"/>
        <item x="919"/>
        <item x="393"/>
        <item x="1329"/>
        <item x="1718"/>
        <item x="1066"/>
        <item x="313"/>
        <item x="1051"/>
        <item x="290"/>
        <item x="574"/>
        <item x="987"/>
        <item x="1106"/>
        <item x="1036"/>
        <item x="30"/>
        <item x="1185"/>
        <item x="1400"/>
        <item x="1728"/>
        <item x="1867"/>
        <item x="585"/>
        <item x="697"/>
        <item x="525"/>
        <item x="106"/>
        <item x="1707"/>
        <item x="1621"/>
        <item x="225"/>
        <item x="1401"/>
        <item x="1047"/>
        <item x="250"/>
        <item x="1187"/>
        <item x="1759"/>
        <item x="571"/>
        <item x="479"/>
        <item x="36"/>
        <item x="1757"/>
        <item x="253"/>
        <item x="1690"/>
        <item x="376"/>
        <item x="797"/>
        <item x="1781"/>
        <item x="1196"/>
        <item x="683"/>
        <item x="100"/>
        <item x="1014"/>
        <item x="1878"/>
        <item x="759"/>
        <item x="635"/>
        <item x="512"/>
        <item x="1717"/>
        <item x="1285"/>
        <item x="1523"/>
        <item x="828"/>
        <item x="659"/>
        <item x="947"/>
        <item x="1929"/>
        <item x="854"/>
        <item x="1570"/>
        <item x="353"/>
        <item x="102"/>
        <item x="1944"/>
        <item x="1541"/>
        <item x="1811"/>
        <item x="1397"/>
        <item x="386"/>
        <item x="896"/>
        <item x="647"/>
        <item x="305"/>
        <item x="611"/>
        <item x="1637"/>
        <item x="1625"/>
        <item x="981"/>
        <item x="1220"/>
        <item x="870"/>
        <item x="1915"/>
        <item x="1600"/>
        <item x="762"/>
        <item x="349"/>
        <item x="1511"/>
        <item x="1202"/>
        <item x="301"/>
        <item x="616"/>
        <item x="1088"/>
        <item x="1176"/>
        <item x="1876"/>
        <item x="1654"/>
        <item x="105"/>
        <item x="413"/>
        <item x="291"/>
        <item x="524"/>
        <item x="1745"/>
        <item x="1109"/>
        <item x="1001"/>
        <item x="391"/>
        <item x="231"/>
        <item x="648"/>
        <item x="1343"/>
        <item x="1235"/>
        <item x="983"/>
        <item x="1378"/>
        <item x="1082"/>
        <item x="1805"/>
        <item x="1436"/>
        <item x="1627"/>
        <item x="1742"/>
        <item x="124"/>
        <item x="1394"/>
        <item x="481"/>
        <item x="1048"/>
        <item x="1689"/>
        <item x="1230"/>
        <item x="521"/>
        <item x="1386"/>
        <item x="1649"/>
        <item x="1191"/>
        <item x="112"/>
        <item x="325"/>
        <item x="1455"/>
        <item x="1486"/>
        <item x="1481"/>
        <item x="1345"/>
        <item x="183"/>
        <item x="1898"/>
        <item x="1663"/>
        <item x="993"/>
        <item x="233"/>
        <item x="1586"/>
        <item x="311"/>
        <item x="1241"/>
        <item x="152"/>
        <item x="1390"/>
        <item x="891"/>
        <item x="1278"/>
        <item x="1115"/>
        <item x="1111"/>
        <item x="632"/>
        <item x="1456"/>
        <item x="1058"/>
        <item x="599"/>
        <item x="1034"/>
        <item x="1154"/>
        <item x="1161"/>
        <item x="465"/>
        <item x="128"/>
        <item x="1484"/>
        <item x="69"/>
        <item x="556"/>
        <item x="1669"/>
        <item x="790"/>
        <item x="1577"/>
        <item x="352"/>
        <item x="1662"/>
        <item x="655"/>
        <item x="1738"/>
        <item x="523"/>
        <item x="460"/>
        <item x="176"/>
        <item x="289"/>
        <item x="22"/>
        <item x="561"/>
        <item x="678"/>
        <item x="1263"/>
        <item x="1398"/>
        <item x="201"/>
        <item x="162"/>
        <item x="1199"/>
        <item x="1920"/>
        <item x="1528"/>
        <item x="1365"/>
        <item x="1294"/>
        <item x="559"/>
        <item x="1483"/>
        <item x="600"/>
        <item x="1510"/>
        <item x="764"/>
        <item x="1610"/>
        <item x="1544"/>
        <item x="300"/>
        <item x="82"/>
        <item x="957"/>
        <item x="31"/>
        <item x="129"/>
        <item x="542"/>
        <item x="133"/>
        <item x="89"/>
        <item x="440"/>
        <item x="1108"/>
        <item x="1287"/>
        <item x="636"/>
        <item x="1532"/>
        <item x="179"/>
        <item x="1507"/>
        <item x="1778"/>
        <item x="1826"/>
        <item x="1882"/>
        <item x="1603"/>
        <item x="1696"/>
        <item x="220"/>
        <item x="1697"/>
        <item x="894"/>
        <item x="24"/>
        <item x="185"/>
        <item x="1549"/>
        <item x="1647"/>
        <item x="406"/>
        <item x="308"/>
        <item x="10"/>
        <item x="976"/>
        <item x="629"/>
        <item x="699"/>
        <item x="1795"/>
        <item x="121"/>
        <item x="875"/>
        <item x="1733"/>
        <item x="537"/>
        <item x="602"/>
        <item x="365"/>
        <item x="1124"/>
        <item x="1664"/>
        <item x="20"/>
        <item x="1340"/>
        <item x="900"/>
        <item x="1468"/>
        <item x="965"/>
        <item x="663"/>
        <item x="368"/>
        <item x="1419"/>
        <item x="438"/>
        <item x="458"/>
        <item x="867"/>
        <item x="1595"/>
        <item x="598"/>
        <item x="1817"/>
        <item x="1295"/>
        <item x="1527"/>
        <item x="1062"/>
        <item x="1493"/>
        <item x="508"/>
        <item x="1685"/>
        <item x="1760"/>
        <item x="1031"/>
        <item x="603"/>
        <item x="1740"/>
        <item x="32"/>
        <item x="1458"/>
        <item x="1919"/>
        <item x="1864"/>
        <item x="1752"/>
        <item x="1807"/>
        <item x="941"/>
        <item x="1871"/>
        <item x="1565"/>
        <item x="160"/>
        <item x="877"/>
        <item x="1137"/>
        <item x="1844"/>
        <item x="319"/>
        <item x="315"/>
        <item x="258"/>
        <item x="1676"/>
        <item x="1832"/>
        <item x="1054"/>
        <item x="1105"/>
        <item x="695"/>
        <item x="1074"/>
        <item x="18"/>
        <item x="560"/>
        <item x="1094"/>
        <item x="1000"/>
        <item x="804"/>
        <item x="929"/>
        <item x="1806"/>
        <item x="841"/>
        <item x="630"/>
        <item x="134"/>
        <item x="872"/>
        <item x="362"/>
        <item x="745"/>
        <item x="794"/>
        <item x="893"/>
        <item x="1402"/>
        <item x="1423"/>
        <item x="1643"/>
        <item x="1384"/>
        <item x="1261"/>
        <item x="1123"/>
        <item x="1863"/>
        <item x="292"/>
        <item x="756"/>
        <item x="462"/>
        <item x="776"/>
        <item x="860"/>
        <item x="625"/>
        <item x="1755"/>
        <item x="1675"/>
        <item x="958"/>
        <item x="1417"/>
        <item x="307"/>
        <item x="1913"/>
        <item x="1403"/>
        <item x="1638"/>
        <item x="1714"/>
        <item x="473"/>
        <item x="425"/>
        <item x="366"/>
        <item x="1687"/>
        <item x="117"/>
        <item x="1947"/>
        <item x="519"/>
        <item x="649"/>
        <item x="81"/>
        <item x="761"/>
        <item x="999"/>
        <item x="543"/>
        <item x="411"/>
        <item x="1700"/>
        <item x="502"/>
        <item x="1756"/>
        <item x="1677"/>
        <item x="1466"/>
        <item x="347"/>
        <item x="204"/>
        <item x="420"/>
        <item x="1703"/>
        <item x="95"/>
        <item x="316"/>
        <item x="1896"/>
        <item x="1490"/>
        <item x="1214"/>
        <item x="1833"/>
        <item x="1798"/>
        <item x="1335"/>
        <item x="530"/>
        <item x="803"/>
        <item x="1555"/>
        <item x="1910"/>
        <item x="1363"/>
        <item x="1469"/>
        <item x="1053"/>
        <item x="853"/>
        <item x="1842"/>
        <item x="844"/>
        <item x="446"/>
        <item x="388"/>
        <item x="1444"/>
        <item x="702"/>
        <item x="1492"/>
        <item x="488"/>
        <item x="937"/>
        <item x="314"/>
        <item x="836"/>
        <item x="1210"/>
        <item x="801"/>
        <item x="1114"/>
        <item x="594"/>
        <item x="1509"/>
        <item x="1892"/>
        <item x="724"/>
        <item x="1231"/>
        <item x="1451"/>
        <item x="1726"/>
        <item x="427"/>
        <item x="1800"/>
        <item x="1890"/>
        <item x="789"/>
        <item x="1414"/>
        <item x="703"/>
        <item x="346"/>
        <item x="1153"/>
        <item x="1567"/>
        <item x="730"/>
        <item x="1050"/>
        <item x="1783"/>
        <item x="1019"/>
        <item x="996"/>
        <item x="1658"/>
        <item x="1420"/>
        <item x="839"/>
        <item x="849"/>
        <item x="1912"/>
        <item x="1879"/>
        <item x="1908"/>
        <item x="1828"/>
        <item x="230"/>
        <item x="234"/>
        <item x="882"/>
        <item x="1095"/>
        <item x="1635"/>
        <item x="1587"/>
        <item x="881"/>
        <item x="1262"/>
        <item x="961"/>
        <item x="371"/>
        <item x="568"/>
        <item x="1489"/>
        <item x="1013"/>
        <item x="1479"/>
        <item x="658"/>
        <item x="510"/>
        <item x="592"/>
        <item x="1405"/>
        <item x="1410"/>
        <item x="1853"/>
        <item x="698"/>
        <item x="1667"/>
        <item x="552"/>
        <item x="1460"/>
        <item x="68"/>
        <item x="1862"/>
        <item x="1459"/>
        <item x="1545"/>
        <item x="700"/>
        <item x="1145"/>
        <item x="1126"/>
        <item x="1848"/>
        <item x="748"/>
        <item x="1010"/>
        <item x="149"/>
        <item x="1327"/>
        <item x="772"/>
        <item x="1049"/>
        <item x="509"/>
        <item x="254"/>
        <item x="792"/>
        <item x="1869"/>
        <item x="689"/>
        <item x="16"/>
        <item x="472"/>
        <item x="274"/>
        <item x="351"/>
        <item x="1727"/>
        <item x="713"/>
        <item x="1392"/>
        <item x="437"/>
        <item x="49"/>
        <item x="715"/>
        <item x="1480"/>
        <item x="1854"/>
        <item x="768"/>
        <item x="397"/>
        <item x="236"/>
        <item x="660"/>
        <item x="451"/>
        <item x="691"/>
        <item x="902"/>
        <item x="1601"/>
        <item x="1267"/>
        <item x="1904"/>
        <item x="1290"/>
        <item x="936"/>
        <item x="942"/>
        <item x="493"/>
        <item x="8"/>
        <item x="1017"/>
        <item x="1835"/>
        <item x="416"/>
        <item x="901"/>
        <item x="539"/>
        <item x="193"/>
        <item x="913"/>
        <item x="1810"/>
        <item x="1804"/>
        <item x="673"/>
        <item x="140"/>
        <item x="168"/>
        <item x="1040"/>
        <item x="1368"/>
        <item x="1932"/>
        <item x="78"/>
        <item x="41"/>
        <item x="1746"/>
        <item x="1129"/>
        <item x="63"/>
        <item x="906"/>
        <item x="876"/>
        <item x="975"/>
        <item x="511"/>
        <item x="422"/>
        <item x="1850"/>
        <item x="213"/>
        <item x="1138"/>
        <item x="758"/>
        <item x="1688"/>
        <item x="1564"/>
        <item x="567"/>
        <item x="541"/>
        <item x="669"/>
        <item x="1133"/>
        <item x="728"/>
        <item x="1906"/>
        <item x="408"/>
        <item x="1847"/>
        <item x="1773"/>
        <item x="151"/>
        <item x="587"/>
        <item x="56"/>
        <item x="1366"/>
        <item x="1298"/>
        <item x="141"/>
        <item x="665"/>
        <item x="122"/>
        <item x="1136"/>
        <item x="1351"/>
        <item x="1203"/>
        <item x="564"/>
        <item x="359"/>
        <item x="423"/>
        <item x="321"/>
        <item x="1713"/>
        <item x="1071"/>
        <item x="1497"/>
        <item x="191"/>
        <item x="275"/>
        <item x="959"/>
        <item x="1766"/>
        <item x="1399"/>
        <item x="77"/>
        <item x="1631"/>
        <item x="155"/>
        <item x="1508"/>
        <item x="441"/>
        <item x="1645"/>
        <item x="1140"/>
        <item x="1007"/>
        <item x="370"/>
        <item x="1861"/>
        <item x="1222"/>
        <item x="1139"/>
        <item x="1379"/>
        <item x="1771"/>
        <item x="286"/>
        <item x="897"/>
        <item x="15"/>
        <item x="1634"/>
        <item x="434"/>
        <item x="690"/>
        <item x="429"/>
        <item x="899"/>
        <item x="847"/>
        <item x="3"/>
        <item x="1857"/>
        <item x="1318"/>
        <item x="476"/>
        <item x="1246"/>
        <item x="86"/>
        <item x="1227"/>
        <item x="83"/>
        <item x="54"/>
        <item x="706"/>
        <item x="283"/>
        <item x="101"/>
        <item x="215"/>
        <item x="1097"/>
        <item x="1331"/>
        <item x="1557"/>
        <item x="1680"/>
        <item x="1274"/>
        <item x="984"/>
        <item x="251"/>
        <item x="259"/>
        <item x="618"/>
        <item x="1473"/>
        <item x="66"/>
        <item x="682"/>
        <item x="838"/>
        <item x="1602"/>
        <item x="808"/>
        <item x="874"/>
        <item x="380"/>
        <item x="164"/>
        <item x="1237"/>
        <item x="1238"/>
        <item x="1439"/>
        <item x="448"/>
        <item x="1370"/>
        <item x="536"/>
        <item x="1015"/>
        <item x="1073"/>
        <item x="1500"/>
        <item x="786"/>
        <item x="614"/>
        <item x="60"/>
        <item x="1888"/>
        <item x="1016"/>
        <item x="67"/>
        <item x="911"/>
        <item x="908"/>
        <item x="719"/>
        <item x="344"/>
        <item x="278"/>
        <item x="1264"/>
        <item x="733"/>
        <item x="1215"/>
        <item x="1775"/>
        <item x="1467"/>
        <item x="1428"/>
        <item x="1103"/>
        <item x="1120"/>
        <item x="1213"/>
        <item x="70"/>
        <item x="357"/>
        <item x="1914"/>
        <item x="886"/>
        <item x="127"/>
        <item x="1943"/>
        <item x="435"/>
        <item x="668"/>
        <item x="793"/>
        <item x="166"/>
        <item x="1443"/>
        <item x="827"/>
        <item x="1435"/>
        <item x="1167"/>
        <item x="1933"/>
        <item x="985"/>
        <item x="1429"/>
        <item x="490"/>
        <item x="1431"/>
        <item x="455"/>
        <item x="1084"/>
        <item x="480"/>
        <item x="1539"/>
        <item x="1461"/>
        <item x="1142"/>
        <item x="50"/>
        <item x="150"/>
        <item x="94"/>
        <item x="1849"/>
        <item x="46"/>
        <item x="1162"/>
        <item x="1695"/>
        <item x="1542"/>
        <item x="963"/>
        <item x="816"/>
        <item x="1526"/>
        <item x="534"/>
        <item x="746"/>
        <item x="1211"/>
        <item x="338"/>
        <item x="1218"/>
        <item x="1427"/>
        <item x="610"/>
        <item x="1942"/>
        <item x="144"/>
        <item x="606"/>
        <item x="1715"/>
        <item x="1607"/>
        <item x="5"/>
        <item x="494"/>
        <item x="98"/>
        <item x="895"/>
        <item x="387"/>
        <item x="38"/>
        <item x="1096"/>
        <item x="547"/>
        <item x="1668"/>
        <item x="1259"/>
        <item x="1393"/>
        <item x="946"/>
        <item x="87"/>
        <item x="1927"/>
        <item x="1354"/>
        <item x="1583"/>
        <item x="819"/>
        <item x="878"/>
        <item x="1754"/>
        <item x="1691"/>
        <item x="499"/>
        <item x="583"/>
        <item x="1413"/>
        <item x="736"/>
        <item x="264"/>
        <item x="45"/>
        <item x="744"/>
        <item x="1194"/>
        <item x="27"/>
        <item x="675"/>
        <item x="477"/>
        <item x="1152"/>
        <item x="1706"/>
        <item x="1815"/>
        <item x="810"/>
        <item x="545"/>
        <item x="596"/>
        <item x="312"/>
        <item x="725"/>
        <item x="249"/>
        <item x="1596"/>
        <item x="1268"/>
        <item x="1308"/>
        <item x="1858"/>
        <item x="6"/>
        <item x="467"/>
        <item x="1440"/>
        <item x="369"/>
        <item x="1902"/>
        <item x="726"/>
        <item x="306"/>
        <item x="1314"/>
        <item x="1829"/>
        <item x="948"/>
        <item x="1704"/>
        <item x="1785"/>
        <item x="1041"/>
        <item x="1588"/>
        <item x="482"/>
        <item x="966"/>
        <item x="1593"/>
        <item x="1346"/>
        <item x="59"/>
        <item x="1724"/>
        <item x="518"/>
        <item x="1582"/>
        <item x="1894"/>
        <item x="1884"/>
        <item x="390"/>
        <item x="734"/>
        <item x="208"/>
        <item x="1462"/>
        <item x="1513"/>
        <item x="1382"/>
        <item x="1753"/>
        <item x="1293"/>
        <item x="1463"/>
        <item x="615"/>
        <item x="1558"/>
        <item x="1657"/>
        <item x="670"/>
        <item x="641"/>
        <item x="535"/>
        <item x="1416"/>
        <item x="1063"/>
        <item x="654"/>
        <item x="1801"/>
        <item x="257"/>
        <item x="1931"/>
        <item x="108"/>
        <item x="788"/>
        <item x="1918"/>
        <item x="791"/>
        <item x="453"/>
        <item x="143"/>
        <item x="1953"/>
        <item x="439"/>
        <item x="248"/>
        <item x="175"/>
        <item x="1121"/>
        <item x="513"/>
        <item x="503"/>
        <item x="982"/>
        <item x="1198"/>
        <item x="135"/>
        <item x="304"/>
        <item x="1793"/>
        <item x="1743"/>
        <item x="1887"/>
        <item x="1060"/>
        <item x="474"/>
        <item x="1626"/>
        <item x="336"/>
        <item x="1514"/>
        <item x="1442"/>
        <item x="1721"/>
        <item x="1692"/>
        <item x="674"/>
        <item x="938"/>
        <item x="207"/>
        <item x="991"/>
        <item x="1575"/>
        <item x="1936"/>
        <item x="485"/>
        <item x="1598"/>
        <item x="1840"/>
        <item x="1568"/>
        <item x="199"/>
        <item x="377"/>
        <item x="505"/>
        <item x="412"/>
        <item x="287"/>
        <item x="44"/>
        <item x="1412"/>
        <item x="389"/>
        <item x="1758"/>
        <item x="1122"/>
        <item x="1433"/>
        <item x="554"/>
        <item x="445"/>
        <item x="39"/>
        <item x="1651"/>
        <item x="1257"/>
        <item x="1281"/>
        <item x="1672"/>
        <item x="309"/>
        <item x="785"/>
        <item x="1566"/>
        <item x="1612"/>
        <item x="1283"/>
        <item x="339"/>
        <item x="824"/>
        <item x="563"/>
        <item x="820"/>
        <item x="1789"/>
        <item x="1376"/>
        <item x="825"/>
        <item x="182"/>
        <item x="662"/>
        <item x="1546"/>
        <item x="753"/>
        <item x="1"/>
        <item x="1229"/>
        <item x="538"/>
        <item x="1809"/>
        <item x="131"/>
        <item x="638"/>
        <item x="374"/>
        <item x="1225"/>
        <item x="1324"/>
        <item x="1530"/>
        <item x="1150"/>
        <item x="842"/>
        <item x="852"/>
        <item x="799"/>
        <item x="1660"/>
        <item x="21"/>
        <item x="558"/>
        <item x="192"/>
        <item x="859"/>
        <item x="1946"/>
        <item x="43"/>
        <item x="1032"/>
        <item x="964"/>
        <item x="623"/>
        <item x="1522"/>
        <item x="1371"/>
        <item x="750"/>
        <item x="573"/>
        <item x="562"/>
        <item x="447"/>
        <item x="879"/>
        <item x="260"/>
        <item x="1736"/>
        <item x="1437"/>
        <item x="672"/>
        <item x="757"/>
        <item x="569"/>
        <item x="802"/>
        <item x="953"/>
        <item x="826"/>
        <item x="1911"/>
        <item x="1948"/>
        <item x="617"/>
        <item x="504"/>
        <item x="28"/>
        <item x="1846"/>
        <item x="868"/>
        <item x="395"/>
        <item x="916"/>
        <item x="1786"/>
        <item x="1252"/>
        <item x="892"/>
        <item x="1591"/>
        <item x="195"/>
        <item x="1916"/>
        <item x="1189"/>
        <item x="1183"/>
        <item x="125"/>
        <item x="426"/>
        <item x="1373"/>
        <item x="851"/>
        <item x="737"/>
        <item x="1377"/>
        <item x="1192"/>
        <item x="577"/>
        <item x="988"/>
        <item x="1925"/>
        <item x="1808"/>
        <item x="1207"/>
        <item x="323"/>
        <item x="475"/>
        <item x="517"/>
        <item x="334"/>
        <item x="378"/>
        <item x="498"/>
        <item x="783"/>
        <item x="1310"/>
        <item x="1604"/>
        <item x="279"/>
        <item x="1504"/>
        <item x="1534"/>
        <item x="1454"/>
        <item x="1457"/>
        <item x="1243"/>
        <item x="1765"/>
        <item x="651"/>
        <item x="34"/>
        <item x="1868"/>
        <item x="1042"/>
        <item x="1614"/>
        <item x="1823"/>
        <item x="1330"/>
        <item x="1712"/>
        <item x="969"/>
        <item x="294"/>
        <item x="1022"/>
        <item x="1749"/>
        <item x="1711"/>
        <item x="1430"/>
        <item x="1046"/>
        <item x="392"/>
        <item x="1253"/>
        <item x="355"/>
        <item x="531"/>
        <item x="1496"/>
        <item x="634"/>
        <item x="0"/>
        <item x="1309"/>
        <item x="293"/>
        <item x="871"/>
        <item x="1086"/>
        <item x="1495"/>
        <item x="223"/>
        <item x="1255"/>
        <item x="1930"/>
        <item x="172"/>
        <item x="1156"/>
        <item x="546"/>
        <item x="156"/>
        <item x="833"/>
        <item x="1200"/>
        <item x="1432"/>
        <item x="723"/>
        <item x="1018"/>
        <item x="1098"/>
        <item x="1205"/>
        <item x="1821"/>
        <item x="1563"/>
        <item x="1291"/>
        <item x="1503"/>
        <item x="1328"/>
        <item x="1594"/>
        <item x="268"/>
        <item x="631"/>
        <item x="716"/>
        <item x="405"/>
        <item x="328"/>
        <item x="927"/>
        <item x="165"/>
        <item x="1407"/>
        <item x="1574"/>
        <item x="1841"/>
        <item x="1242"/>
        <item x="553"/>
        <item x="288"/>
        <item x="1171"/>
        <item x="622"/>
        <item x="1518"/>
        <item x="1004"/>
        <item x="717"/>
        <item x="1652"/>
        <item x="550"/>
        <item x="409"/>
        <item x="755"/>
        <item x="241"/>
        <item x="720"/>
        <item x="1686"/>
        <item x="1824"/>
        <item x="856"/>
        <item x="1296"/>
        <item x="407"/>
        <item x="1731"/>
        <item x="1065"/>
        <item x="132"/>
        <item x="1818"/>
        <item x="1576"/>
        <item x="1790"/>
        <item x="735"/>
        <item x="428"/>
        <item x="1325"/>
        <item x="1797"/>
        <item x="1763"/>
        <item x="360"/>
        <item x="361"/>
        <item x="855"/>
        <item x="1698"/>
        <item x="247"/>
        <item x="1224"/>
        <item x="1448"/>
        <item x="1856"/>
        <item x="469"/>
        <item x="218"/>
        <item x="116"/>
        <item x="107"/>
        <item x="110"/>
        <item x="557"/>
        <item x="650"/>
        <item x="1885"/>
        <item x="92"/>
        <item x="1043"/>
        <item x="1529"/>
        <item x="835"/>
        <item x="1630"/>
        <item x="277"/>
        <item x="950"/>
        <item x="1640"/>
        <item x="781"/>
        <item x="619"/>
        <item x="14"/>
        <item x="815"/>
        <item x="771"/>
        <item x="33"/>
        <item x="1083"/>
        <item x="1118"/>
        <item x="212"/>
        <item x="62"/>
        <item x="784"/>
        <item x="680"/>
        <item x="696"/>
        <item x="1748"/>
        <item x="880"/>
        <item x="456"/>
        <item x="1426"/>
        <item x="461"/>
        <item x="240"/>
        <item x="1072"/>
        <item x="76"/>
        <item x="1356"/>
        <item x="243"/>
        <item x="26"/>
        <item x="1629"/>
        <item x="1531"/>
        <item x="492"/>
        <item x="1078"/>
        <item x="332"/>
        <item x="980"/>
        <item x="1216"/>
        <item x="1179"/>
        <item x="1141"/>
        <item x="1321"/>
        <item x="1477"/>
        <item x="604"/>
        <item x="1560"/>
        <item x="1453"/>
        <item x="1375"/>
        <item x="576"/>
        <item x="410"/>
        <item x="873"/>
        <item x="171"/>
        <item x="1005"/>
        <item x="818"/>
        <item x="1956"/>
        <item x="956"/>
        <item x="115"/>
        <item x="952"/>
        <item x="203"/>
        <item x="1163"/>
        <item x="1470"/>
        <item x="1085"/>
        <item x="1792"/>
        <item x="331"/>
        <item x="1434"/>
        <item x="136"/>
        <item x="1339"/>
        <item x="795"/>
        <item x="335"/>
        <item x="732"/>
        <item x="1917"/>
        <item x="159"/>
        <item x="1068"/>
        <item x="1787"/>
        <item x="91"/>
        <item x="1441"/>
        <item x="1342"/>
        <item x="924"/>
        <item x="1891"/>
        <item x="1636"/>
        <item x="1292"/>
        <item x="743"/>
        <item x="884"/>
        <item x="1505"/>
        <item x="1012"/>
        <item x="1889"/>
        <item x="228"/>
        <item x="1159"/>
        <item x="1169"/>
        <item x="1212"/>
        <item x="869"/>
        <item x="2"/>
        <item x="96"/>
        <item x="1039"/>
        <item x="780"/>
        <item x="1739"/>
        <item x="1119"/>
        <item x="226"/>
        <item x="1234"/>
        <item x="998"/>
        <item x="978"/>
        <item x="639"/>
        <item x="1233"/>
        <item x="951"/>
        <item x="1851"/>
        <item x="1683"/>
        <item x="1893"/>
        <item x="457"/>
        <item x="170"/>
        <item x="1143"/>
        <item x="1543"/>
        <item x="997"/>
        <item x="1038"/>
        <item x="640"/>
        <item x="478"/>
        <item x="1323"/>
        <item x="222"/>
        <item x="341"/>
        <item x="1059"/>
        <item x="1897"/>
        <item x="1070"/>
        <item x="1938"/>
        <item x="1077"/>
        <item x="526"/>
        <item x="1113"/>
        <item x="363"/>
        <item x="487"/>
        <item x="173"/>
        <item x="145"/>
        <item x="1446"/>
        <item x="1901"/>
        <item x="1699"/>
        <item x="1024"/>
        <item x="960"/>
        <item x="944"/>
        <item x="385"/>
        <item x="990"/>
        <item x="71"/>
        <item x="1312"/>
        <item x="1744"/>
        <item x="749"/>
        <item x="1813"/>
        <item x="1226"/>
        <item x="1709"/>
        <item x="1562"/>
        <item x="1540"/>
        <item x="139"/>
        <item x="612"/>
        <item x="1425"/>
        <item x="419"/>
        <item x="484"/>
        <item x="570"/>
        <item x="1186"/>
        <item x="1907"/>
        <item x="1949"/>
        <item x="652"/>
        <item x="148"/>
        <item x="442"/>
        <item x="1422"/>
        <item x="1900"/>
        <item x="1104"/>
        <item x="1619"/>
        <item x="1258"/>
        <item x="1776"/>
        <item x="1320"/>
        <item x="496"/>
        <item x="657"/>
        <item x="677"/>
        <item x="404"/>
        <item x="593"/>
        <item x="949"/>
        <item x="903"/>
        <item x="1306"/>
        <item x="1880"/>
        <item x="114"/>
        <item x="1734"/>
        <item x="707"/>
        <item x="932"/>
        <item x="1872"/>
        <item x="1955"/>
        <item x="401"/>
        <item x="1130"/>
        <item x="862"/>
        <item x="51"/>
        <item x="644"/>
        <item x="1597"/>
        <item x="751"/>
        <item x="372"/>
        <item x="811"/>
        <item x="1361"/>
        <item x="796"/>
        <item x="205"/>
        <item x="1573"/>
        <item x="940"/>
        <item x="1322"/>
        <item x="806"/>
        <item x="1551"/>
        <item x="544"/>
        <item x="865"/>
        <item x="930"/>
        <item x="1385"/>
        <item x="1265"/>
        <item x="1348"/>
        <item x="239"/>
        <item x="747"/>
        <item x="507"/>
        <item x="1764"/>
        <item x="1550"/>
        <item x="1358"/>
        <item x="1836"/>
        <item x="777"/>
        <item x="765"/>
        <item x="742"/>
        <item x="1091"/>
        <item x="787"/>
        <item x="1275"/>
        <item x="217"/>
        <item x="88"/>
        <item x="972"/>
        <item x="113"/>
        <item x="1045"/>
        <item x="138"/>
        <item x="1219"/>
        <item x="326"/>
        <item x="609"/>
        <item x="962"/>
        <item x="1716"/>
        <item x="1533"/>
        <item x="1883"/>
        <item x="1352"/>
        <item x="200"/>
        <item x="180"/>
        <item x="1661"/>
        <item x="1895"/>
        <item x="1702"/>
        <item x="1762"/>
        <item x="520"/>
        <item x="1487"/>
        <item x="1608"/>
        <item x="1008"/>
        <item x="581"/>
        <item x="104"/>
        <item x="1536"/>
        <item x="1620"/>
        <item x="832"/>
        <item x="967"/>
        <item x="37"/>
        <item x="1404"/>
        <item x="1313"/>
        <item x="671"/>
        <item x="831"/>
        <item x="196"/>
        <item x="1924"/>
        <item x="1149"/>
        <item x="190"/>
        <item x="1280"/>
        <item x="310"/>
        <item x="189"/>
        <item x="1464"/>
        <item x="607"/>
        <item x="400"/>
        <item x="184"/>
        <item x="974"/>
        <item x="130"/>
        <item x="889"/>
        <item x="1814"/>
        <item x="244"/>
        <item x="483"/>
        <item x="1881"/>
        <item x="1725"/>
        <item x="555"/>
        <item x="1796"/>
        <item x="645"/>
        <item x="731"/>
        <item x="840"/>
        <item x="1855"/>
        <item x="866"/>
        <item x="295"/>
        <item x="1030"/>
        <item x="1886"/>
        <item x="157"/>
        <item x="800"/>
        <item x="1266"/>
        <item x="1646"/>
        <item x="270"/>
        <item x="1011"/>
        <item x="417"/>
        <item x="1940"/>
        <item x="1286"/>
        <item x="1240"/>
        <item x="25"/>
        <item x="1803"/>
        <item x="1069"/>
        <item x="1485"/>
        <item x="1107"/>
        <item x="4"/>
        <item x="1816"/>
        <item x="320"/>
        <item x="589"/>
        <item x="198"/>
        <item x="515"/>
        <item x="883"/>
        <item x="1735"/>
        <item x="817"/>
        <item x="398"/>
        <item x="163"/>
        <item x="858"/>
        <item x="857"/>
        <item x="1421"/>
        <item x="1950"/>
        <item x="470"/>
        <item x="1921"/>
        <item x="694"/>
        <item x="601"/>
        <item x="1845"/>
        <item x="752"/>
        <item x="1750"/>
        <item x="1184"/>
        <item x="1347"/>
        <item x="394"/>
        <item x="1537"/>
        <item x="1684"/>
        <item x="864"/>
        <item x="1201"/>
        <item x="384"/>
        <item x="890"/>
        <item x="1188"/>
        <item x="13"/>
        <item x="197"/>
        <item x="1498"/>
        <item x="834"/>
        <item x="955"/>
        <item x="90"/>
        <item x="1033"/>
        <item x="516"/>
        <item x="1732"/>
        <item x="120"/>
        <item x="909"/>
        <item x="1110"/>
        <item x="846"/>
        <item x="1571"/>
        <item x="1656"/>
        <item x="1767"/>
        <item x="994"/>
        <item x="1090"/>
        <item x="1349"/>
        <item x="813"/>
        <item x="246"/>
        <item x="48"/>
        <item x="443"/>
        <item x="265"/>
        <item x="1100"/>
        <item x="489"/>
        <item x="1678"/>
        <item x="1613"/>
        <item x="779"/>
        <item x="262"/>
        <item x="153"/>
        <item x="830"/>
        <item x="186"/>
        <item x="399"/>
        <item x="814"/>
        <item x="584"/>
        <item x="729"/>
        <item x="471"/>
        <item x="1026"/>
        <item x="1482"/>
        <item x="1341"/>
        <item x="667"/>
        <item x="454"/>
        <item x="281"/>
        <item x="229"/>
        <item x="1146"/>
        <item x="418"/>
        <item x="486"/>
        <item x="206"/>
        <item x="1336"/>
        <item x="661"/>
        <item x="1561"/>
        <item x="188"/>
        <item x="322"/>
        <item x="837"/>
        <item x="383"/>
        <item x="653"/>
        <item x="1905"/>
        <item x="1056"/>
        <item x="992"/>
        <item x="9"/>
        <item x="1499"/>
        <item x="1761"/>
        <item x="1076"/>
        <item x="367"/>
        <item x="382"/>
        <item x="269"/>
        <item x="572"/>
        <item x="922"/>
        <item x="1502"/>
        <item x="7"/>
        <item x="42"/>
        <item x="1710"/>
        <item x="805"/>
        <item x="1338"/>
        <item x="782"/>
        <item x="1002"/>
        <item x="769"/>
        <item x="595"/>
        <item x="1173"/>
        <item x="679"/>
        <item x="1777"/>
        <item x="533"/>
        <item x="1617"/>
        <item x="1452"/>
        <item x="1208"/>
        <item x="1232"/>
        <item x="424"/>
        <item x="285"/>
        <item x="514"/>
        <item x="1190"/>
        <item x="613"/>
        <item x="1256"/>
        <item x="945"/>
        <item x="1928"/>
        <item x="995"/>
        <item x="1834"/>
        <item x="921"/>
        <item x="1952"/>
        <item x="178"/>
        <item x="1837"/>
        <item x="1838"/>
        <item x="1037"/>
        <item x="147"/>
        <item x="73"/>
        <item x="1644"/>
        <item x="1670"/>
        <item x="444"/>
        <item x="1395"/>
        <item x="1135"/>
        <item x="917"/>
        <item x="1221"/>
        <item x="775"/>
        <item x="1092"/>
        <item x="431"/>
        <item x="452"/>
        <item x="1380"/>
        <item x="1590"/>
        <item x="1025"/>
        <item x="1693"/>
        <item x="1248"/>
        <item x="1547"/>
        <item x="642"/>
        <item x="676"/>
        <item x="710"/>
        <item x="1839"/>
        <item x="187"/>
        <item x="1802"/>
        <item x="1926"/>
        <item x="342"/>
        <item x="75"/>
        <item x="1650"/>
        <item x="1553"/>
        <item x="566"/>
        <item x="829"/>
        <item x="1418"/>
        <item x="29"/>
        <item x="1580"/>
        <item x="1277"/>
        <item x="1751"/>
        <item x="1195"/>
        <item x="1303"/>
        <item x="1592"/>
        <item x="1521"/>
        <item x="1472"/>
        <item x="1170"/>
        <item x="1388"/>
        <item x="1866"/>
        <item x="209"/>
        <item x="918"/>
        <item x="1317"/>
        <item x="414"/>
        <item x="626"/>
        <item x="221"/>
        <item x="973"/>
        <item x="1362"/>
        <item x="1822"/>
        <item x="1381"/>
        <item x="235"/>
        <item x="1164"/>
        <item x="1877"/>
        <item x="495"/>
        <item x="597"/>
        <item x="266"/>
        <item x="1520"/>
        <item x="1501"/>
        <item x="1820"/>
        <item x="1168"/>
        <item x="350"/>
        <item x="109"/>
        <item t="default"/>
      </items>
    </pivotField>
    <pivotField axis="axisRow" showAll="0">
      <items count="18">
        <item x="13"/>
        <item x="1"/>
        <item x="10"/>
        <item x="5"/>
        <item x="2"/>
        <item x="14"/>
        <item x="4"/>
        <item x="16"/>
        <item x="15"/>
        <item x="8"/>
        <item x="6"/>
        <item x="3"/>
        <item x="11"/>
        <item x="7"/>
        <item x="12"/>
        <item x="9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Type of Usage" axis="axisPage" dataField="1" showAll="0">
      <items count="5">
        <item x="1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3"/>
    <field x="2"/>
  </rowFields>
  <rowItems count="1975">
    <i>
      <x/>
    </i>
    <i r="1">
      <x v="10"/>
    </i>
    <i r="1">
      <x v="58"/>
    </i>
    <i r="1">
      <x v="76"/>
    </i>
    <i r="1">
      <x v="82"/>
    </i>
    <i r="1">
      <x v="87"/>
    </i>
    <i r="1">
      <x v="92"/>
    </i>
    <i r="1">
      <x v="93"/>
    </i>
    <i r="1">
      <x v="96"/>
    </i>
    <i r="1">
      <x v="110"/>
    </i>
    <i r="1">
      <x v="125"/>
    </i>
    <i r="1">
      <x v="144"/>
    </i>
    <i r="1">
      <x v="148"/>
    </i>
    <i r="1">
      <x v="159"/>
    </i>
    <i r="1">
      <x v="175"/>
    </i>
    <i r="1">
      <x v="179"/>
    </i>
    <i r="1">
      <x v="211"/>
    </i>
    <i r="1">
      <x v="212"/>
    </i>
    <i r="1">
      <x v="215"/>
    </i>
    <i r="1">
      <x v="216"/>
    </i>
    <i r="1">
      <x v="221"/>
    </i>
    <i r="1">
      <x v="222"/>
    </i>
    <i r="1">
      <x v="226"/>
    </i>
    <i r="1">
      <x v="234"/>
    </i>
    <i r="1">
      <x v="235"/>
    </i>
    <i r="1">
      <x v="253"/>
    </i>
    <i r="1">
      <x v="268"/>
    </i>
    <i r="1">
      <x v="272"/>
    </i>
    <i r="1">
      <x v="296"/>
    </i>
    <i r="1">
      <x v="307"/>
    </i>
    <i r="1">
      <x v="319"/>
    </i>
    <i r="1">
      <x v="324"/>
    </i>
    <i r="1">
      <x v="332"/>
    </i>
    <i r="1">
      <x v="340"/>
    </i>
    <i r="1">
      <x v="342"/>
    </i>
    <i r="1">
      <x v="362"/>
    </i>
    <i r="1">
      <x v="369"/>
    </i>
    <i r="1">
      <x v="382"/>
    </i>
    <i r="1">
      <x v="401"/>
    </i>
    <i r="1">
      <x v="412"/>
    </i>
    <i r="1">
      <x v="421"/>
    </i>
    <i r="1">
      <x v="456"/>
    </i>
    <i r="1">
      <x v="468"/>
    </i>
    <i r="1">
      <x v="469"/>
    </i>
    <i r="1">
      <x v="482"/>
    </i>
    <i r="1">
      <x v="493"/>
    </i>
    <i r="1">
      <x v="510"/>
    </i>
    <i r="1">
      <x v="532"/>
    </i>
    <i r="1">
      <x v="538"/>
    </i>
    <i r="1">
      <x v="555"/>
    </i>
    <i r="1">
      <x v="557"/>
    </i>
    <i r="1">
      <x v="558"/>
    </i>
    <i r="1">
      <x v="560"/>
    </i>
    <i r="1">
      <x v="576"/>
    </i>
    <i r="1">
      <x v="604"/>
    </i>
    <i r="1">
      <x v="641"/>
    </i>
    <i r="1">
      <x v="653"/>
    </i>
    <i r="1">
      <x v="659"/>
    </i>
    <i r="1">
      <x v="661"/>
    </i>
    <i r="1">
      <x v="667"/>
    </i>
    <i r="1">
      <x v="675"/>
    </i>
    <i r="1">
      <x v="694"/>
    </i>
    <i r="1">
      <x v="696"/>
    </i>
    <i r="1">
      <x v="699"/>
    </i>
    <i r="1">
      <x v="714"/>
    </i>
    <i r="1">
      <x v="721"/>
    </i>
    <i r="1">
      <x v="729"/>
    </i>
    <i r="1">
      <x v="733"/>
    </i>
    <i r="1">
      <x v="743"/>
    </i>
    <i r="1">
      <x v="744"/>
    </i>
    <i r="1">
      <x v="763"/>
    </i>
    <i r="1">
      <x v="772"/>
    </i>
    <i r="1">
      <x v="796"/>
    </i>
    <i r="1">
      <x v="806"/>
    </i>
    <i r="1">
      <x v="819"/>
    </i>
    <i r="1">
      <x v="825"/>
    </i>
    <i r="1">
      <x v="855"/>
    </i>
    <i r="1">
      <x v="860"/>
    </i>
    <i r="1">
      <x v="861"/>
    </i>
    <i r="1">
      <x v="867"/>
    </i>
    <i r="1">
      <x v="875"/>
    </i>
    <i r="1">
      <x v="879"/>
    </i>
    <i r="1">
      <x v="908"/>
    </i>
    <i r="1">
      <x v="961"/>
    </i>
    <i r="1">
      <x v="975"/>
    </i>
    <i r="1">
      <x v="979"/>
    </i>
    <i r="1">
      <x v="980"/>
    </i>
    <i r="1">
      <x v="1005"/>
    </i>
    <i r="1">
      <x v="1010"/>
    </i>
    <i r="1">
      <x v="1016"/>
    </i>
    <i r="1">
      <x v="1020"/>
    </i>
    <i r="1">
      <x v="1025"/>
    </i>
    <i r="1">
      <x v="1043"/>
    </i>
    <i r="1">
      <x v="1058"/>
    </i>
    <i r="1">
      <x v="1092"/>
    </i>
    <i r="1">
      <x v="1096"/>
    </i>
    <i r="1">
      <x v="1098"/>
    </i>
    <i r="1">
      <x v="1101"/>
    </i>
    <i r="1">
      <x v="1134"/>
    </i>
    <i r="1">
      <x v="1160"/>
    </i>
    <i r="1">
      <x v="1175"/>
    </i>
    <i r="1">
      <x v="1189"/>
    </i>
    <i r="1">
      <x v="1190"/>
    </i>
    <i r="1">
      <x v="1199"/>
    </i>
    <i r="1">
      <x v="1207"/>
    </i>
    <i r="1">
      <x v="1218"/>
    </i>
    <i r="1">
      <x v="1221"/>
    </i>
    <i r="1">
      <x v="1222"/>
    </i>
    <i r="1">
      <x v="1234"/>
    </i>
    <i r="1">
      <x v="1271"/>
    </i>
    <i r="1">
      <x v="1274"/>
    </i>
    <i r="1">
      <x v="1281"/>
    </i>
    <i r="1">
      <x v="1298"/>
    </i>
    <i r="1">
      <x v="1308"/>
    </i>
    <i r="1">
      <x v="1309"/>
    </i>
    <i r="1">
      <x v="1314"/>
    </i>
    <i r="1">
      <x v="1323"/>
    </i>
    <i r="1">
      <x v="1346"/>
    </i>
    <i r="1">
      <x v="1357"/>
    </i>
    <i r="1">
      <x v="1360"/>
    </i>
    <i r="1">
      <x v="1377"/>
    </i>
    <i r="1">
      <x v="1384"/>
    </i>
    <i r="1">
      <x v="1386"/>
    </i>
    <i r="1">
      <x v="1393"/>
    </i>
    <i r="1">
      <x v="1396"/>
    </i>
    <i r="1">
      <x v="1397"/>
    </i>
    <i r="1">
      <x v="1402"/>
    </i>
    <i r="1">
      <x v="1422"/>
    </i>
    <i r="1">
      <x v="1437"/>
    </i>
    <i r="1">
      <x v="1482"/>
    </i>
    <i r="1">
      <x v="1498"/>
    </i>
    <i r="1">
      <x v="1503"/>
    </i>
    <i r="1">
      <x v="1522"/>
    </i>
    <i r="1">
      <x v="1547"/>
    </i>
    <i r="1">
      <x v="1548"/>
    </i>
    <i r="1">
      <x v="1560"/>
    </i>
    <i r="1">
      <x v="1571"/>
    </i>
    <i r="1">
      <x v="1607"/>
    </i>
    <i r="1">
      <x v="1624"/>
    </i>
    <i r="1">
      <x v="1630"/>
    </i>
    <i r="1">
      <x v="1644"/>
    </i>
    <i r="1">
      <x v="1654"/>
    </i>
    <i r="1">
      <x v="1661"/>
    </i>
    <i r="1">
      <x v="1675"/>
    </i>
    <i r="1">
      <x v="1727"/>
    </i>
    <i r="1">
      <x v="1742"/>
    </i>
    <i r="1">
      <x v="1756"/>
    </i>
    <i r="1">
      <x v="1766"/>
    </i>
    <i r="1">
      <x v="1771"/>
    </i>
    <i r="1">
      <x v="1789"/>
    </i>
    <i r="1">
      <x v="1795"/>
    </i>
    <i r="1">
      <x v="1826"/>
    </i>
    <i r="1">
      <x v="1830"/>
    </i>
    <i r="1">
      <x v="1841"/>
    </i>
    <i r="1">
      <x v="1848"/>
    </i>
    <i r="1">
      <x v="1856"/>
    </i>
    <i r="1">
      <x v="1862"/>
    </i>
    <i r="1">
      <x v="1869"/>
    </i>
    <i r="1">
      <x v="1876"/>
    </i>
    <i r="1">
      <x v="1879"/>
    </i>
    <i r="1">
      <x v="1899"/>
    </i>
    <i r="1">
      <x v="1907"/>
    </i>
    <i r="1">
      <x v="1908"/>
    </i>
    <i r="1">
      <x v="1913"/>
    </i>
    <i r="1">
      <x v="1915"/>
    </i>
    <i r="1">
      <x v="1928"/>
    </i>
    <i r="1">
      <x v="1936"/>
    </i>
    <i r="1">
      <x v="1943"/>
    </i>
    <i r="1">
      <x v="1952"/>
    </i>
    <i r="1">
      <x v="1954"/>
    </i>
    <i>
      <x v="1"/>
    </i>
    <i r="1">
      <x v="5"/>
    </i>
    <i r="1">
      <x v="7"/>
    </i>
    <i r="1">
      <x v="9"/>
    </i>
    <i r="1">
      <x v="14"/>
    </i>
    <i r="1">
      <x v="21"/>
    </i>
    <i r="1">
      <x v="23"/>
    </i>
    <i r="1">
      <x v="29"/>
    </i>
    <i r="1">
      <x v="47"/>
    </i>
    <i r="1">
      <x v="48"/>
    </i>
    <i r="1">
      <x v="53"/>
    </i>
    <i r="1">
      <x v="72"/>
    </i>
    <i r="1">
      <x v="73"/>
    </i>
    <i r="1">
      <x v="84"/>
    </i>
    <i r="1">
      <x v="98"/>
    </i>
    <i r="1">
      <x v="102"/>
    </i>
    <i r="1">
      <x v="108"/>
    </i>
    <i r="1">
      <x v="114"/>
    </i>
    <i r="1">
      <x v="115"/>
    </i>
    <i r="1">
      <x v="122"/>
    </i>
    <i r="1">
      <x v="128"/>
    </i>
    <i r="1">
      <x v="131"/>
    </i>
    <i r="1">
      <x v="135"/>
    </i>
    <i r="1">
      <x v="136"/>
    </i>
    <i r="1">
      <x v="138"/>
    </i>
    <i r="1">
      <x v="150"/>
    </i>
    <i r="1">
      <x v="151"/>
    </i>
    <i r="1">
      <x v="164"/>
    </i>
    <i r="1">
      <x v="166"/>
    </i>
    <i r="1">
      <x v="167"/>
    </i>
    <i r="1">
      <x v="169"/>
    </i>
    <i r="1">
      <x v="195"/>
    </i>
    <i r="1">
      <x v="198"/>
    </i>
    <i r="1">
      <x v="199"/>
    </i>
    <i r="1">
      <x v="204"/>
    </i>
    <i r="1">
      <x v="207"/>
    </i>
    <i r="1">
      <x v="209"/>
    </i>
    <i r="1">
      <x v="210"/>
    </i>
    <i r="1">
      <x v="223"/>
    </i>
    <i r="1">
      <x v="228"/>
    </i>
    <i r="1">
      <x v="231"/>
    </i>
    <i r="1">
      <x v="236"/>
    </i>
    <i r="1">
      <x v="240"/>
    </i>
    <i r="1">
      <x v="243"/>
    </i>
    <i r="1">
      <x v="245"/>
    </i>
    <i r="1">
      <x v="252"/>
    </i>
    <i r="1">
      <x v="257"/>
    </i>
    <i r="1">
      <x v="258"/>
    </i>
    <i r="1">
      <x v="259"/>
    </i>
    <i r="1">
      <x v="265"/>
    </i>
    <i r="1">
      <x v="267"/>
    </i>
    <i r="1">
      <x v="276"/>
    </i>
    <i r="1">
      <x v="282"/>
    </i>
    <i r="1">
      <x v="283"/>
    </i>
    <i r="1">
      <x v="291"/>
    </i>
    <i r="1">
      <x v="294"/>
    </i>
    <i r="1">
      <x v="297"/>
    </i>
    <i r="1">
      <x v="298"/>
    </i>
    <i r="1">
      <x v="299"/>
    </i>
    <i r="1">
      <x v="301"/>
    </i>
    <i r="1">
      <x v="308"/>
    </i>
    <i r="1">
      <x v="309"/>
    </i>
    <i r="1">
      <x v="310"/>
    </i>
    <i r="1">
      <x v="312"/>
    </i>
    <i r="1">
      <x v="313"/>
    </i>
    <i r="1">
      <x v="315"/>
    </i>
    <i r="1">
      <x v="316"/>
    </i>
    <i r="1">
      <x v="321"/>
    </i>
    <i r="1">
      <x v="328"/>
    </i>
    <i r="1">
      <x v="334"/>
    </i>
    <i r="1">
      <x v="336"/>
    </i>
    <i r="1">
      <x v="344"/>
    </i>
    <i r="1">
      <x v="347"/>
    </i>
    <i r="1">
      <x v="348"/>
    </i>
    <i r="1">
      <x v="349"/>
    </i>
    <i r="1">
      <x v="350"/>
    </i>
    <i r="1">
      <x v="351"/>
    </i>
    <i r="1">
      <x v="353"/>
    </i>
    <i r="1">
      <x v="371"/>
    </i>
    <i r="1">
      <x v="381"/>
    </i>
    <i r="1">
      <x v="389"/>
    </i>
    <i r="1">
      <x v="392"/>
    </i>
    <i r="1">
      <x v="393"/>
    </i>
    <i r="1">
      <x v="394"/>
    </i>
    <i r="1">
      <x v="395"/>
    </i>
    <i r="1">
      <x v="399"/>
    </i>
    <i r="1">
      <x v="403"/>
    </i>
    <i r="1">
      <x v="406"/>
    </i>
    <i r="1">
      <x v="420"/>
    </i>
    <i r="1">
      <x v="422"/>
    </i>
    <i r="1">
      <x v="424"/>
    </i>
    <i r="1">
      <x v="429"/>
    </i>
    <i r="1">
      <x v="434"/>
    </i>
    <i r="1">
      <x v="435"/>
    </i>
    <i r="1">
      <x v="438"/>
    </i>
    <i r="1">
      <x v="439"/>
    </i>
    <i r="1">
      <x v="447"/>
    </i>
    <i r="1">
      <x v="451"/>
    </i>
    <i r="1">
      <x v="453"/>
    </i>
    <i r="1">
      <x v="454"/>
    </i>
    <i r="1">
      <x v="457"/>
    </i>
    <i r="1">
      <x v="464"/>
    </i>
    <i r="1">
      <x v="470"/>
    </i>
    <i r="1">
      <x v="472"/>
    </i>
    <i r="1">
      <x v="478"/>
    </i>
    <i r="1">
      <x v="479"/>
    </i>
    <i r="1">
      <x v="483"/>
    </i>
    <i r="1">
      <x v="484"/>
    </i>
    <i r="1">
      <x v="490"/>
    </i>
    <i r="1">
      <x v="492"/>
    </i>
    <i r="1">
      <x v="494"/>
    </i>
    <i r="1">
      <x v="496"/>
    </i>
    <i r="1">
      <x v="497"/>
    </i>
    <i r="1">
      <x v="507"/>
    </i>
    <i r="1">
      <x v="511"/>
    </i>
    <i r="1">
      <x v="512"/>
    </i>
    <i r="1">
      <x v="516"/>
    </i>
    <i r="1">
      <x v="518"/>
    </i>
    <i r="1">
      <x v="523"/>
    </i>
    <i r="1">
      <x v="524"/>
    </i>
    <i r="1">
      <x v="529"/>
    </i>
    <i r="1">
      <x v="530"/>
    </i>
    <i r="1">
      <x v="531"/>
    </i>
    <i r="1">
      <x v="542"/>
    </i>
    <i r="1">
      <x v="544"/>
    </i>
    <i r="1">
      <x v="546"/>
    </i>
    <i r="1">
      <x v="548"/>
    </i>
    <i r="1">
      <x v="553"/>
    </i>
    <i r="1">
      <x v="561"/>
    </i>
    <i r="1">
      <x v="572"/>
    </i>
    <i r="1">
      <x v="577"/>
    </i>
    <i r="1">
      <x v="584"/>
    </i>
    <i r="1">
      <x v="596"/>
    </i>
    <i r="1">
      <x v="603"/>
    </i>
    <i r="1">
      <x v="608"/>
    </i>
    <i r="1">
      <x v="611"/>
    </i>
    <i r="1">
      <x v="613"/>
    </i>
    <i r="1">
      <x v="626"/>
    </i>
    <i r="1">
      <x v="639"/>
    </i>
    <i r="1">
      <x v="644"/>
    </i>
    <i r="1">
      <x v="647"/>
    </i>
    <i r="1">
      <x v="648"/>
    </i>
    <i r="1">
      <x v="664"/>
    </i>
    <i r="1">
      <x v="680"/>
    </i>
    <i r="1">
      <x v="685"/>
    </i>
    <i r="1">
      <x v="686"/>
    </i>
    <i r="1">
      <x v="687"/>
    </i>
    <i r="1">
      <x v="688"/>
    </i>
    <i r="1">
      <x v="689"/>
    </i>
    <i r="1">
      <x v="691"/>
    </i>
    <i r="1">
      <x v="706"/>
    </i>
    <i r="1">
      <x v="725"/>
    </i>
    <i r="1">
      <x v="727"/>
    </i>
    <i r="1">
      <x v="731"/>
    </i>
    <i r="1">
      <x v="735"/>
    </i>
    <i r="1">
      <x v="740"/>
    </i>
    <i r="1">
      <x v="742"/>
    </i>
    <i r="1">
      <x v="748"/>
    </i>
    <i r="1">
      <x v="751"/>
    </i>
    <i r="1">
      <x v="753"/>
    </i>
    <i r="1">
      <x v="755"/>
    </i>
    <i r="1">
      <x v="762"/>
    </i>
    <i r="1">
      <x v="766"/>
    </i>
    <i r="1">
      <x v="781"/>
    </i>
    <i r="1">
      <x v="786"/>
    </i>
    <i r="1">
      <x v="797"/>
    </i>
    <i r="1">
      <x v="798"/>
    </i>
    <i r="1">
      <x v="803"/>
    </i>
    <i r="1">
      <x v="810"/>
    </i>
    <i r="1">
      <x v="816"/>
    </i>
    <i r="1">
      <x v="818"/>
    </i>
    <i r="1">
      <x v="820"/>
    </i>
    <i r="1">
      <x v="833"/>
    </i>
    <i r="1">
      <x v="835"/>
    </i>
    <i r="1">
      <x v="849"/>
    </i>
    <i r="1">
      <x v="854"/>
    </i>
    <i r="1">
      <x v="859"/>
    </i>
    <i r="1">
      <x v="864"/>
    </i>
    <i r="1">
      <x v="868"/>
    </i>
    <i r="1">
      <x v="876"/>
    </i>
    <i r="1">
      <x v="878"/>
    </i>
    <i r="1">
      <x v="883"/>
    </i>
    <i r="1">
      <x v="890"/>
    </i>
    <i r="1">
      <x v="894"/>
    </i>
    <i r="1">
      <x v="895"/>
    </i>
    <i r="1">
      <x v="898"/>
    </i>
    <i r="1">
      <x v="907"/>
    </i>
    <i r="1">
      <x v="915"/>
    </i>
    <i r="1">
      <x v="923"/>
    </i>
    <i r="1">
      <x v="924"/>
    </i>
    <i r="1">
      <x v="934"/>
    </i>
    <i r="1">
      <x v="938"/>
    </i>
    <i r="1">
      <x v="949"/>
    </i>
    <i r="1">
      <x v="950"/>
    </i>
    <i r="1">
      <x v="951"/>
    </i>
    <i r="1">
      <x v="953"/>
    </i>
    <i r="1">
      <x v="958"/>
    </i>
    <i r="1">
      <x v="959"/>
    </i>
    <i r="1">
      <x v="966"/>
    </i>
    <i r="1">
      <x v="967"/>
    </i>
    <i r="1">
      <x v="969"/>
    </i>
    <i r="1">
      <x v="984"/>
    </i>
    <i r="1">
      <x v="996"/>
    </i>
    <i r="1">
      <x v="1000"/>
    </i>
    <i r="1">
      <x v="1007"/>
    </i>
    <i r="1">
      <x v="1013"/>
    </i>
    <i r="1">
      <x v="1014"/>
    </i>
    <i r="1">
      <x v="1033"/>
    </i>
    <i r="1">
      <x v="1038"/>
    </i>
    <i r="1">
      <x v="1040"/>
    </i>
    <i r="1">
      <x v="1044"/>
    </i>
    <i r="1">
      <x v="1046"/>
    </i>
    <i r="1">
      <x v="1052"/>
    </i>
    <i r="1">
      <x v="1055"/>
    </i>
    <i r="1">
      <x v="1057"/>
    </i>
    <i r="1">
      <x v="1065"/>
    </i>
    <i r="1">
      <x v="1070"/>
    </i>
    <i r="1">
      <x v="1079"/>
    </i>
    <i r="1">
      <x v="1080"/>
    </i>
    <i r="1">
      <x v="1082"/>
    </i>
    <i r="1">
      <x v="1089"/>
    </i>
    <i r="1">
      <x v="1093"/>
    </i>
    <i r="1">
      <x v="1107"/>
    </i>
    <i r="1">
      <x v="1110"/>
    </i>
    <i r="1">
      <x v="1115"/>
    </i>
    <i r="1">
      <x v="1116"/>
    </i>
    <i r="1">
      <x v="1119"/>
    </i>
    <i r="1">
      <x v="1135"/>
    </i>
    <i r="1">
      <x v="1136"/>
    </i>
    <i r="1">
      <x v="1139"/>
    </i>
    <i r="1">
      <x v="1147"/>
    </i>
    <i r="1">
      <x v="1148"/>
    </i>
    <i r="1">
      <x v="1156"/>
    </i>
    <i r="1">
      <x v="1157"/>
    </i>
    <i r="1">
      <x v="1181"/>
    </i>
    <i r="1">
      <x v="1182"/>
    </i>
    <i r="1">
      <x v="1183"/>
    </i>
    <i r="1">
      <x v="1185"/>
    </i>
    <i r="1">
      <x v="1202"/>
    </i>
    <i r="1">
      <x v="1205"/>
    </i>
    <i r="1">
      <x v="1212"/>
    </i>
    <i r="1">
      <x v="1217"/>
    </i>
    <i r="1">
      <x v="1235"/>
    </i>
    <i r="1">
      <x v="1236"/>
    </i>
    <i r="1">
      <x v="1241"/>
    </i>
    <i r="1">
      <x v="1247"/>
    </i>
    <i r="1">
      <x v="1255"/>
    </i>
    <i r="1">
      <x v="1257"/>
    </i>
    <i r="1">
      <x v="1259"/>
    </i>
    <i r="1">
      <x v="1267"/>
    </i>
    <i r="1">
      <x v="1273"/>
    </i>
    <i r="1">
      <x v="1277"/>
    </i>
    <i r="1">
      <x v="1278"/>
    </i>
    <i r="1">
      <x v="1280"/>
    </i>
    <i r="1">
      <x v="1282"/>
    </i>
    <i r="1">
      <x v="1283"/>
    </i>
    <i r="1">
      <x v="1284"/>
    </i>
    <i r="1">
      <x v="1285"/>
    </i>
    <i r="1">
      <x v="1289"/>
    </i>
    <i r="1">
      <x v="1291"/>
    </i>
    <i r="1">
      <x v="1299"/>
    </i>
    <i r="1">
      <x v="1302"/>
    </i>
    <i r="1">
      <x v="1305"/>
    </i>
    <i r="1">
      <x v="1312"/>
    </i>
    <i r="1">
      <x v="1316"/>
    </i>
    <i r="1">
      <x v="1320"/>
    </i>
    <i r="1">
      <x v="1321"/>
    </i>
    <i r="1">
      <x v="1328"/>
    </i>
    <i r="1">
      <x v="1333"/>
    </i>
    <i r="1">
      <x v="1337"/>
    </i>
    <i r="1">
      <x v="1343"/>
    </i>
    <i r="1">
      <x v="1344"/>
    </i>
    <i r="1">
      <x v="1348"/>
    </i>
    <i r="1">
      <x v="1354"/>
    </i>
    <i r="1">
      <x v="1364"/>
    </i>
    <i r="1">
      <x v="1365"/>
    </i>
    <i r="1">
      <x v="1373"/>
    </i>
    <i r="1">
      <x v="1381"/>
    </i>
    <i r="1">
      <x v="1382"/>
    </i>
    <i r="1">
      <x v="1390"/>
    </i>
    <i r="1">
      <x v="1395"/>
    </i>
    <i r="1">
      <x v="1401"/>
    </i>
    <i r="1">
      <x v="1406"/>
    </i>
    <i r="1">
      <x v="1410"/>
    </i>
    <i r="1">
      <x v="1411"/>
    </i>
    <i r="1">
      <x v="1412"/>
    </i>
    <i r="1">
      <x v="1415"/>
    </i>
    <i r="1">
      <x v="1417"/>
    </i>
    <i r="1">
      <x v="1424"/>
    </i>
    <i r="1">
      <x v="1428"/>
    </i>
    <i r="1">
      <x v="1431"/>
    </i>
    <i r="1">
      <x v="1436"/>
    </i>
    <i r="1">
      <x v="1442"/>
    </i>
    <i r="1">
      <x v="1447"/>
    </i>
    <i r="1">
      <x v="1457"/>
    </i>
    <i r="1">
      <x v="1464"/>
    </i>
    <i r="1">
      <x v="1466"/>
    </i>
    <i r="1">
      <x v="1471"/>
    </i>
    <i r="1">
      <x v="1477"/>
    </i>
    <i r="1">
      <x v="1483"/>
    </i>
    <i r="1">
      <x v="1494"/>
    </i>
    <i r="1">
      <x v="1495"/>
    </i>
    <i r="1">
      <x v="1497"/>
    </i>
    <i r="1">
      <x v="1499"/>
    </i>
    <i r="1">
      <x v="1508"/>
    </i>
    <i r="1">
      <x v="1514"/>
    </i>
    <i r="1">
      <x v="1517"/>
    </i>
    <i r="1">
      <x v="1520"/>
    </i>
    <i r="1">
      <x v="1529"/>
    </i>
    <i r="1">
      <x v="1534"/>
    </i>
    <i r="1">
      <x v="1535"/>
    </i>
    <i r="1">
      <x v="1544"/>
    </i>
    <i r="1">
      <x v="1553"/>
    </i>
    <i r="1">
      <x v="1554"/>
    </i>
    <i r="1">
      <x v="1575"/>
    </i>
    <i r="1">
      <x v="1582"/>
    </i>
    <i r="1">
      <x v="1585"/>
    </i>
    <i r="1">
      <x v="1586"/>
    </i>
    <i r="1">
      <x v="1616"/>
    </i>
    <i r="1">
      <x v="1622"/>
    </i>
    <i r="1">
      <x v="1623"/>
    </i>
    <i r="1">
      <x v="1625"/>
    </i>
    <i r="1">
      <x v="1631"/>
    </i>
    <i r="1">
      <x v="1632"/>
    </i>
    <i r="1">
      <x v="1637"/>
    </i>
    <i r="1">
      <x v="1639"/>
    </i>
    <i r="1">
      <x v="1647"/>
    </i>
    <i r="1">
      <x v="1650"/>
    </i>
    <i r="1">
      <x v="1655"/>
    </i>
    <i r="1">
      <x v="1658"/>
    </i>
    <i r="1">
      <x v="1659"/>
    </i>
    <i r="1">
      <x v="1671"/>
    </i>
    <i r="1">
      <x v="1674"/>
    </i>
    <i r="1">
      <x v="1686"/>
    </i>
    <i r="1">
      <x v="1689"/>
    </i>
    <i r="1">
      <x v="1694"/>
    </i>
    <i r="1">
      <x v="1696"/>
    </i>
    <i r="1">
      <x v="1700"/>
    </i>
    <i r="1">
      <x v="1703"/>
    </i>
    <i r="1">
      <x v="1712"/>
    </i>
    <i r="1">
      <x v="1714"/>
    </i>
    <i r="1">
      <x v="1717"/>
    </i>
    <i r="1">
      <x v="1719"/>
    </i>
    <i r="1">
      <x v="1724"/>
    </i>
    <i r="1">
      <x v="1730"/>
    </i>
    <i r="1">
      <x v="1733"/>
    </i>
    <i r="1">
      <x v="1734"/>
    </i>
    <i r="1">
      <x v="1748"/>
    </i>
    <i r="1">
      <x v="1750"/>
    </i>
    <i r="1">
      <x v="1753"/>
    </i>
    <i r="1">
      <x v="1755"/>
    </i>
    <i r="1">
      <x v="1758"/>
    </i>
    <i r="1">
      <x v="1761"/>
    </i>
    <i r="1">
      <x v="1762"/>
    </i>
    <i r="1">
      <x v="1765"/>
    </i>
    <i r="1">
      <x v="1768"/>
    </i>
    <i r="1">
      <x v="1774"/>
    </i>
    <i r="1">
      <x v="1775"/>
    </i>
    <i r="1">
      <x v="1781"/>
    </i>
    <i r="1">
      <x v="1788"/>
    </i>
    <i r="1">
      <x v="1790"/>
    </i>
    <i r="1">
      <x v="1791"/>
    </i>
    <i r="1">
      <x v="1798"/>
    </i>
    <i r="1">
      <x v="1799"/>
    </i>
    <i r="1">
      <x v="1807"/>
    </i>
    <i r="1">
      <x v="1813"/>
    </i>
    <i r="1">
      <x v="1816"/>
    </i>
    <i r="1">
      <x v="1824"/>
    </i>
    <i r="1">
      <x v="1833"/>
    </i>
    <i r="1">
      <x v="1834"/>
    </i>
    <i r="1">
      <x v="1839"/>
    </i>
    <i r="1">
      <x v="1840"/>
    </i>
    <i r="1">
      <x v="1850"/>
    </i>
    <i r="1">
      <x v="1853"/>
    </i>
    <i r="1">
      <x v="1861"/>
    </i>
    <i r="1">
      <x v="1867"/>
    </i>
    <i r="1">
      <x v="1868"/>
    </i>
    <i r="1">
      <x v="1881"/>
    </i>
    <i r="1">
      <x v="1884"/>
    </i>
    <i r="1">
      <x v="1886"/>
    </i>
    <i r="1">
      <x v="1891"/>
    </i>
    <i r="1">
      <x v="1896"/>
    </i>
    <i r="1">
      <x v="1912"/>
    </i>
    <i r="1">
      <x v="1939"/>
    </i>
    <i r="1">
      <x v="1944"/>
    </i>
    <i r="1">
      <x v="1945"/>
    </i>
    <i r="1">
      <x v="1948"/>
    </i>
    <i r="1">
      <x v="1955"/>
    </i>
    <i>
      <x v="2"/>
    </i>
    <i r="1">
      <x v="366"/>
    </i>
    <i r="1">
      <x v="459"/>
    </i>
    <i r="1">
      <x v="525"/>
    </i>
    <i r="1">
      <x v="1446"/>
    </i>
    <i r="1">
      <x v="1500"/>
    </i>
    <i>
      <x v="3"/>
    </i>
    <i r="1">
      <x v="44"/>
    </i>
    <i r="1">
      <x v="68"/>
    </i>
    <i r="1">
      <x v="188"/>
    </i>
    <i r="1">
      <x v="239"/>
    </i>
    <i r="1">
      <x v="255"/>
    </i>
    <i r="1">
      <x v="266"/>
    </i>
    <i r="1">
      <x v="273"/>
    </i>
    <i r="1">
      <x v="287"/>
    </i>
    <i r="1">
      <x v="414"/>
    </i>
    <i r="1">
      <x v="462"/>
    </i>
    <i r="1">
      <x v="485"/>
    </i>
    <i r="1">
      <x v="489"/>
    </i>
    <i r="1">
      <x v="498"/>
    </i>
    <i r="1">
      <x v="509"/>
    </i>
    <i r="1">
      <x v="528"/>
    </i>
    <i r="1">
      <x v="547"/>
    </i>
    <i r="1">
      <x v="563"/>
    </i>
    <i r="1">
      <x v="564"/>
    </i>
    <i r="1">
      <x v="582"/>
    </i>
    <i r="1">
      <x v="640"/>
    </i>
    <i r="1">
      <x v="657"/>
    </i>
    <i r="1">
      <x v="702"/>
    </i>
    <i r="1">
      <x v="726"/>
    </i>
    <i r="1">
      <x v="738"/>
    </i>
    <i r="1">
      <x v="746"/>
    </i>
    <i r="1">
      <x v="784"/>
    </i>
    <i r="1">
      <x v="793"/>
    </i>
    <i r="1">
      <x v="808"/>
    </i>
    <i r="1">
      <x v="809"/>
    </i>
    <i r="1">
      <x v="822"/>
    </i>
    <i r="1">
      <x v="834"/>
    </i>
    <i r="1">
      <x v="841"/>
    </i>
    <i r="1">
      <x v="843"/>
    </i>
    <i r="1">
      <x v="884"/>
    </i>
    <i r="1">
      <x v="896"/>
    </i>
    <i r="1">
      <x v="910"/>
    </i>
    <i r="1">
      <x v="926"/>
    </i>
    <i r="1">
      <x v="946"/>
    </i>
    <i r="1">
      <x v="968"/>
    </i>
    <i r="1">
      <x v="991"/>
    </i>
    <i r="1">
      <x v="1030"/>
    </i>
    <i r="1">
      <x v="1049"/>
    </i>
    <i r="1">
      <x v="1081"/>
    </i>
    <i r="1">
      <x v="1087"/>
    </i>
    <i r="1">
      <x v="1100"/>
    </i>
    <i r="1">
      <x v="1106"/>
    </i>
    <i r="1">
      <x v="1118"/>
    </i>
    <i r="1">
      <x v="1121"/>
    </i>
    <i r="1">
      <x v="1163"/>
    </i>
    <i r="1">
      <x v="1171"/>
    </i>
    <i r="1">
      <x v="1173"/>
    </i>
    <i r="1">
      <x v="1178"/>
    </i>
    <i r="1">
      <x v="1179"/>
    </i>
    <i r="1">
      <x v="1237"/>
    </i>
    <i r="1">
      <x v="1239"/>
    </i>
    <i r="1">
      <x v="1244"/>
    </i>
    <i r="1">
      <x v="1249"/>
    </i>
    <i r="1">
      <x v="1334"/>
    </i>
    <i r="1">
      <x v="1335"/>
    </i>
    <i r="1">
      <x v="1349"/>
    </i>
    <i r="1">
      <x v="1361"/>
    </i>
    <i r="1">
      <x v="1387"/>
    </i>
    <i r="1">
      <x v="1403"/>
    </i>
    <i r="1">
      <x v="1444"/>
    </i>
    <i r="1">
      <x v="1450"/>
    </i>
    <i r="1">
      <x v="1460"/>
    </i>
    <i r="1">
      <x v="1496"/>
    </i>
    <i r="1">
      <x v="1543"/>
    </i>
    <i r="1">
      <x v="1559"/>
    </i>
    <i r="1">
      <x v="1563"/>
    </i>
    <i r="1">
      <x v="1581"/>
    </i>
    <i r="1">
      <x v="1595"/>
    </i>
    <i r="1">
      <x v="1715"/>
    </i>
    <i r="1">
      <x v="1739"/>
    </i>
    <i r="1">
      <x v="1805"/>
    </i>
    <i r="1">
      <x v="1806"/>
    </i>
    <i r="1">
      <x v="1828"/>
    </i>
    <i r="1">
      <x v="1829"/>
    </i>
    <i r="1">
      <x v="1832"/>
    </i>
    <i r="1">
      <x v="1889"/>
    </i>
    <i r="1">
      <x v="1946"/>
    </i>
    <i r="1">
      <x v="1949"/>
    </i>
    <i>
      <x v="4"/>
    </i>
    <i r="1">
      <x v="111"/>
    </i>
    <i r="1">
      <x v="397"/>
    </i>
    <i r="1">
      <x v="432"/>
    </i>
    <i r="1">
      <x v="607"/>
    </i>
    <i r="1">
      <x v="658"/>
    </i>
    <i r="1">
      <x v="739"/>
    </i>
    <i r="1">
      <x v="989"/>
    </i>
    <i r="1">
      <x v="997"/>
    </i>
    <i r="1">
      <x v="1066"/>
    </i>
    <i r="1">
      <x v="1230"/>
    </i>
    <i r="1">
      <x v="1301"/>
    </i>
    <i r="1">
      <x v="1313"/>
    </i>
    <i r="1">
      <x v="1577"/>
    </i>
    <i r="1">
      <x v="1591"/>
    </i>
    <i r="1">
      <x v="1594"/>
    </i>
    <i r="1">
      <x v="1663"/>
    </i>
    <i r="1">
      <x v="1705"/>
    </i>
    <i r="1">
      <x v="1909"/>
    </i>
    <i>
      <x v="5"/>
    </i>
    <i r="1">
      <x v="205"/>
    </i>
    <i r="1">
      <x v="286"/>
    </i>
    <i r="1">
      <x v="535"/>
    </i>
    <i r="1">
      <x v="591"/>
    </i>
    <i r="1">
      <x v="1154"/>
    </i>
    <i r="1">
      <x v="1188"/>
    </i>
    <i r="1">
      <x v="1570"/>
    </i>
    <i r="1">
      <x v="1629"/>
    </i>
    <i r="1">
      <x v="1865"/>
    </i>
    <i r="1">
      <x v="1940"/>
    </i>
    <i>
      <x v="6"/>
    </i>
    <i r="1">
      <x v="104"/>
    </i>
    <i r="1">
      <x v="360"/>
    </i>
    <i r="1">
      <x v="367"/>
    </i>
    <i r="1">
      <x v="402"/>
    </i>
    <i r="1">
      <x v="436"/>
    </i>
    <i r="1">
      <x v="461"/>
    </i>
    <i r="1">
      <x v="463"/>
    </i>
    <i r="1">
      <x v="625"/>
    </i>
    <i r="1">
      <x v="730"/>
    </i>
    <i r="1">
      <x v="771"/>
    </i>
    <i r="1">
      <x v="807"/>
    </i>
    <i r="1">
      <x v="1001"/>
    </i>
    <i r="1">
      <x v="1017"/>
    </i>
    <i r="1">
      <x v="1114"/>
    </i>
    <i r="1">
      <x v="1150"/>
    </i>
    <i r="1">
      <x v="1523"/>
    </i>
    <i r="1">
      <x v="1584"/>
    </i>
    <i r="1">
      <x v="1738"/>
    </i>
    <i>
      <x v="7"/>
    </i>
    <i r="1">
      <x v="120"/>
    </i>
    <i r="1">
      <x v="247"/>
    </i>
    <i r="1">
      <x v="271"/>
    </i>
    <i r="1">
      <x v="295"/>
    </i>
    <i r="1">
      <x v="329"/>
    </i>
    <i r="1">
      <x v="416"/>
    </i>
    <i r="1">
      <x v="426"/>
    </i>
    <i r="1">
      <x v="477"/>
    </i>
    <i r="1">
      <x v="505"/>
    </i>
    <i r="1">
      <x v="589"/>
    </i>
    <i r="1">
      <x v="656"/>
    </i>
    <i r="1">
      <x v="838"/>
    </i>
    <i r="1">
      <x v="930"/>
    </i>
    <i r="1">
      <x v="1104"/>
    </i>
    <i r="1">
      <x v="1306"/>
    </i>
    <i r="1">
      <x v="1338"/>
    </i>
    <i r="1">
      <x v="1339"/>
    </i>
    <i r="1">
      <x v="1430"/>
    </i>
    <i r="1">
      <x v="1592"/>
    </i>
    <i r="1">
      <x v="1656"/>
    </i>
    <i r="1">
      <x v="1793"/>
    </i>
    <i r="1">
      <x v="1838"/>
    </i>
    <i r="1">
      <x v="1927"/>
    </i>
    <i>
      <x v="8"/>
    </i>
    <i r="1">
      <x v="18"/>
    </i>
    <i r="1">
      <x v="63"/>
    </i>
    <i r="1">
      <x v="69"/>
    </i>
    <i r="1">
      <x v="124"/>
    </i>
    <i r="1">
      <x v="141"/>
    </i>
    <i r="1">
      <x v="185"/>
    </i>
    <i r="1">
      <x v="190"/>
    </i>
    <i r="1">
      <x v="359"/>
    </i>
    <i r="1">
      <x v="372"/>
    </i>
    <i r="1">
      <x v="385"/>
    </i>
    <i r="1">
      <x v="533"/>
    </i>
    <i r="1">
      <x v="541"/>
    </i>
    <i r="1">
      <x v="602"/>
    </i>
    <i r="1">
      <x v="750"/>
    </i>
    <i r="1">
      <x v="836"/>
    </i>
    <i r="1">
      <x v="850"/>
    </i>
    <i r="1">
      <x v="874"/>
    </i>
    <i r="1">
      <x v="956"/>
    </i>
    <i r="1">
      <x v="1039"/>
    </i>
    <i r="1">
      <x v="1042"/>
    </i>
    <i r="1">
      <x v="1074"/>
    </i>
    <i r="1">
      <x v="1099"/>
    </i>
    <i r="1">
      <x v="1159"/>
    </i>
    <i r="1">
      <x v="1193"/>
    </i>
    <i r="1">
      <x v="1223"/>
    </i>
    <i r="1">
      <x v="1272"/>
    </i>
    <i r="1">
      <x v="1336"/>
    </i>
    <i r="1">
      <x v="1438"/>
    </i>
    <i r="1">
      <x v="1488"/>
    </i>
    <i r="1">
      <x v="1573"/>
    </i>
    <i r="1">
      <x v="1618"/>
    </i>
    <i r="1">
      <x v="1649"/>
    </i>
    <i r="1">
      <x v="1752"/>
    </i>
    <i r="1">
      <x v="1785"/>
    </i>
    <i r="1">
      <x v="1854"/>
    </i>
    <i r="1">
      <x v="1910"/>
    </i>
    <i r="1">
      <x v="1920"/>
    </i>
    <i>
      <x v="9"/>
    </i>
    <i r="1">
      <x v="45"/>
    </i>
    <i r="1">
      <x v="88"/>
    </i>
    <i r="1">
      <x v="95"/>
    </i>
    <i r="1">
      <x v="112"/>
    </i>
    <i r="1">
      <x v="134"/>
    </i>
    <i r="1">
      <x v="194"/>
    </i>
    <i r="1">
      <x v="218"/>
    </i>
    <i r="1">
      <x v="275"/>
    </i>
    <i r="1">
      <x v="279"/>
    </i>
    <i r="1">
      <x v="337"/>
    </i>
    <i r="1">
      <x v="352"/>
    </i>
    <i r="1">
      <x v="357"/>
    </i>
    <i r="1">
      <x v="504"/>
    </i>
    <i r="1">
      <x v="615"/>
    </i>
    <i r="1">
      <x v="630"/>
    </i>
    <i r="1">
      <x v="673"/>
    </i>
    <i r="1">
      <x v="773"/>
    </i>
    <i r="1">
      <x v="815"/>
    </i>
    <i r="1">
      <x v="858"/>
    </i>
    <i r="1">
      <x v="943"/>
    </i>
    <i r="1">
      <x v="1059"/>
    </i>
    <i r="1">
      <x v="1097"/>
    </i>
    <i r="1">
      <x v="1146"/>
    </i>
    <i r="1">
      <x v="1167"/>
    </i>
    <i r="1">
      <x v="1245"/>
    </i>
    <i r="1">
      <x v="1322"/>
    </i>
    <i r="1">
      <x v="1459"/>
    </i>
    <i r="1">
      <x v="1473"/>
    </i>
    <i r="1">
      <x v="1480"/>
    </i>
    <i r="1">
      <x v="1502"/>
    </i>
    <i r="1">
      <x v="1536"/>
    </i>
    <i r="1">
      <x v="1537"/>
    </i>
    <i r="1">
      <x v="1540"/>
    </i>
    <i r="1">
      <x v="1567"/>
    </i>
    <i r="1">
      <x v="1627"/>
    </i>
    <i r="1">
      <x v="1669"/>
    </i>
    <i r="1">
      <x v="1837"/>
    </i>
    <i r="1">
      <x v="1842"/>
    </i>
    <i r="1">
      <x v="1858"/>
    </i>
    <i r="1">
      <x v="1873"/>
    </i>
    <i r="1">
      <x v="1900"/>
    </i>
    <i>
      <x v="10"/>
    </i>
    <i r="1">
      <x v="1"/>
    </i>
    <i r="1">
      <x v="64"/>
    </i>
    <i r="1">
      <x v="117"/>
    </i>
    <i r="1">
      <x v="129"/>
    </i>
    <i r="1">
      <x v="133"/>
    </i>
    <i r="1">
      <x v="147"/>
    </i>
    <i r="1">
      <x v="173"/>
    </i>
    <i r="1">
      <x v="184"/>
    </i>
    <i r="1">
      <x v="201"/>
    </i>
    <i r="1">
      <x v="217"/>
    </i>
    <i r="1">
      <x v="278"/>
    </i>
    <i r="1">
      <x v="281"/>
    </i>
    <i r="1">
      <x v="322"/>
    </i>
    <i r="1">
      <x v="326"/>
    </i>
    <i r="1">
      <x v="333"/>
    </i>
    <i r="1">
      <x v="388"/>
    </i>
    <i r="1">
      <x v="433"/>
    </i>
    <i r="1">
      <x v="440"/>
    </i>
    <i r="1">
      <x v="466"/>
    </i>
    <i r="1">
      <x v="475"/>
    </i>
    <i r="1">
      <x v="515"/>
    </i>
    <i r="1">
      <x v="556"/>
    </i>
    <i r="1">
      <x v="567"/>
    </i>
    <i r="1">
      <x v="594"/>
    </i>
    <i r="1">
      <x v="595"/>
    </i>
    <i r="1">
      <x v="619"/>
    </i>
    <i r="1">
      <x v="627"/>
    </i>
    <i r="1">
      <x v="638"/>
    </i>
    <i r="1">
      <x v="705"/>
    </i>
    <i r="1">
      <x v="734"/>
    </i>
    <i r="1">
      <x v="767"/>
    </i>
    <i r="1">
      <x v="829"/>
    </i>
    <i r="1">
      <x v="865"/>
    </i>
    <i r="1">
      <x v="872"/>
    </i>
    <i r="1">
      <x v="974"/>
    </i>
    <i r="1">
      <x v="1051"/>
    </i>
    <i r="1">
      <x v="1072"/>
    </i>
    <i r="1">
      <x v="1105"/>
    </i>
    <i r="1">
      <x v="1122"/>
    </i>
    <i r="1">
      <x v="1125"/>
    </i>
    <i r="1">
      <x v="1172"/>
    </i>
    <i r="1">
      <x v="1184"/>
    </i>
    <i r="1">
      <x v="1204"/>
    </i>
    <i r="1">
      <x v="1286"/>
    </i>
    <i r="1">
      <x v="1292"/>
    </i>
    <i r="1">
      <x v="1296"/>
    </i>
    <i r="1">
      <x v="1307"/>
    </i>
    <i r="1">
      <x v="1318"/>
    </i>
    <i r="1">
      <x v="1326"/>
    </i>
    <i r="1">
      <x v="1394"/>
    </i>
    <i r="1">
      <x v="1487"/>
    </i>
    <i r="1">
      <x v="1492"/>
    </i>
    <i r="1">
      <x v="1531"/>
    </i>
    <i r="1">
      <x v="1541"/>
    </i>
    <i r="1">
      <x v="1549"/>
    </i>
    <i r="1">
      <x v="1589"/>
    </i>
    <i r="1">
      <x v="1604"/>
    </i>
    <i r="1">
      <x v="1615"/>
    </i>
    <i r="1">
      <x v="1678"/>
    </i>
    <i r="1">
      <x v="1720"/>
    </i>
    <i r="1">
      <x v="1740"/>
    </i>
    <i r="1">
      <x v="1779"/>
    </i>
    <i r="1">
      <x v="1782"/>
    </i>
    <i r="1">
      <x v="1784"/>
    </i>
    <i r="1">
      <x v="1863"/>
    </i>
    <i r="1">
      <x v="1897"/>
    </i>
    <i r="1">
      <x v="1924"/>
    </i>
    <i>
      <x v="11"/>
    </i>
    <i r="1">
      <x v="32"/>
    </i>
    <i r="1">
      <x v="66"/>
    </i>
    <i r="1">
      <x v="149"/>
    </i>
    <i r="1">
      <x v="174"/>
    </i>
    <i r="1">
      <x v="227"/>
    </i>
    <i r="1">
      <x v="262"/>
    </i>
    <i r="1">
      <x v="571"/>
    </i>
    <i r="1">
      <x v="652"/>
    </i>
    <i r="1">
      <x v="891"/>
    </i>
    <i r="1">
      <x v="1011"/>
    </i>
    <i r="1">
      <x v="1022"/>
    </i>
    <i r="1">
      <x v="1064"/>
    </i>
    <i r="1">
      <x v="1068"/>
    </i>
    <i r="1">
      <x v="1076"/>
    </i>
    <i r="1">
      <x v="1226"/>
    </i>
    <i r="1">
      <x v="1448"/>
    </i>
    <i r="1">
      <x v="1455"/>
    </i>
    <i r="1">
      <x v="1524"/>
    </i>
    <i r="1">
      <x v="1600"/>
    </i>
    <i r="1">
      <x v="1602"/>
    </i>
    <i r="1">
      <x v="1619"/>
    </i>
    <i r="1">
      <x v="1707"/>
    </i>
    <i>
      <x v="12"/>
    </i>
    <i r="1">
      <x v="57"/>
    </i>
    <i r="1">
      <x v="183"/>
    </i>
    <i r="1">
      <x v="358"/>
    </i>
    <i r="1">
      <x v="679"/>
    </i>
    <i r="1">
      <x v="724"/>
    </i>
    <i r="1">
      <x v="1009"/>
    </i>
    <i r="1">
      <x v="1276"/>
    </i>
    <i r="1">
      <x v="1363"/>
    </i>
    <i r="1">
      <x v="1378"/>
    </i>
    <i r="1">
      <x v="1512"/>
    </i>
    <i r="1">
      <x v="1572"/>
    </i>
    <i r="1">
      <x v="1729"/>
    </i>
    <i>
      <x v="13"/>
    </i>
    <i r="1">
      <x v="20"/>
    </i>
    <i r="1">
      <x v="40"/>
    </i>
    <i r="1">
      <x v="70"/>
    </i>
    <i r="1">
      <x v="109"/>
    </i>
    <i r="1">
      <x v="113"/>
    </i>
    <i r="1">
      <x v="161"/>
    </i>
    <i r="1">
      <x v="162"/>
    </i>
    <i r="1">
      <x v="181"/>
    </i>
    <i r="1">
      <x v="187"/>
    </i>
    <i r="1">
      <x v="191"/>
    </i>
    <i r="1">
      <x v="197"/>
    </i>
    <i r="1">
      <x v="203"/>
    </i>
    <i r="1">
      <x v="208"/>
    </i>
    <i r="1">
      <x v="229"/>
    </i>
    <i r="1">
      <x v="230"/>
    </i>
    <i r="1">
      <x v="260"/>
    </i>
    <i r="1">
      <x v="300"/>
    </i>
    <i r="1">
      <x v="306"/>
    </i>
    <i r="1">
      <x v="341"/>
    </i>
    <i r="1">
      <x v="345"/>
    </i>
    <i r="1">
      <x v="356"/>
    </i>
    <i r="1">
      <x v="361"/>
    </i>
    <i r="1">
      <x v="363"/>
    </i>
    <i r="1">
      <x v="377"/>
    </i>
    <i r="1">
      <x v="411"/>
    </i>
    <i r="1">
      <x v="430"/>
    </i>
    <i r="1">
      <x v="476"/>
    </i>
    <i r="1">
      <x v="491"/>
    </i>
    <i r="1">
      <x v="522"/>
    </i>
    <i r="1">
      <x v="536"/>
    </i>
    <i r="1">
      <x v="543"/>
    </i>
    <i r="1">
      <x v="573"/>
    </i>
    <i r="1">
      <x v="586"/>
    </i>
    <i r="1">
      <x v="597"/>
    </i>
    <i r="1">
      <x v="620"/>
    </i>
    <i r="1">
      <x v="635"/>
    </i>
    <i r="1">
      <x v="728"/>
    </i>
    <i r="1">
      <x v="736"/>
    </i>
    <i r="1">
      <x v="760"/>
    </i>
    <i r="1">
      <x v="777"/>
    </i>
    <i r="1">
      <x v="812"/>
    </i>
    <i r="1">
      <x v="813"/>
    </i>
    <i r="1">
      <x v="828"/>
    </i>
    <i r="1">
      <x v="845"/>
    </i>
    <i r="1">
      <x v="880"/>
    </i>
    <i r="1">
      <x v="886"/>
    </i>
    <i r="1">
      <x v="892"/>
    </i>
    <i r="1">
      <x v="899"/>
    </i>
    <i r="1">
      <x v="941"/>
    </i>
    <i r="1">
      <x v="957"/>
    </i>
    <i r="1">
      <x v="985"/>
    </i>
    <i r="1">
      <x v="1008"/>
    </i>
    <i r="1">
      <x v="1035"/>
    </i>
    <i r="1">
      <x v="1036"/>
    </i>
    <i r="1">
      <x v="1117"/>
    </i>
    <i r="1">
      <x v="1128"/>
    </i>
    <i r="1">
      <x v="1153"/>
    </i>
    <i r="1">
      <x v="1168"/>
    </i>
    <i r="1">
      <x v="1170"/>
    </i>
    <i r="1">
      <x v="1195"/>
    </i>
    <i r="1">
      <x v="1208"/>
    </i>
    <i r="1">
      <x v="1213"/>
    </i>
    <i r="1">
      <x v="1214"/>
    </i>
    <i r="1">
      <x v="1215"/>
    </i>
    <i r="1">
      <x v="1261"/>
    </i>
    <i r="1">
      <x v="1265"/>
    </i>
    <i r="1">
      <x v="1268"/>
    </i>
    <i r="1">
      <x v="1270"/>
    </i>
    <i r="1">
      <x v="1293"/>
    </i>
    <i r="1">
      <x v="1319"/>
    </i>
    <i r="1">
      <x v="1331"/>
    </i>
    <i r="1">
      <x v="1350"/>
    </i>
    <i r="1">
      <x v="1356"/>
    </i>
    <i r="1">
      <x v="1358"/>
    </i>
    <i r="1">
      <x v="1435"/>
    </i>
    <i r="1">
      <x v="1449"/>
    </i>
    <i r="1">
      <x v="1474"/>
    </i>
    <i r="1">
      <x v="1574"/>
    </i>
    <i r="1">
      <x v="1603"/>
    </i>
    <i r="1">
      <x v="1640"/>
    </i>
    <i r="1">
      <x v="1670"/>
    </i>
    <i r="1">
      <x v="1680"/>
    </i>
    <i r="1">
      <x v="1682"/>
    </i>
    <i r="1">
      <x v="1708"/>
    </i>
    <i r="1">
      <x v="1709"/>
    </i>
    <i r="1">
      <x v="1745"/>
    </i>
    <i r="1">
      <x v="1767"/>
    </i>
    <i r="1">
      <x v="1822"/>
    </i>
    <i r="1">
      <x v="1823"/>
    </i>
    <i r="1">
      <x v="1825"/>
    </i>
    <i r="1">
      <x v="1827"/>
    </i>
    <i r="1">
      <x v="1836"/>
    </i>
    <i r="1">
      <x v="1872"/>
    </i>
    <i r="1">
      <x v="1901"/>
    </i>
    <i r="1">
      <x v="1903"/>
    </i>
    <i r="1">
      <x v="1906"/>
    </i>
    <i r="1">
      <x v="1911"/>
    </i>
    <i r="1">
      <x v="1922"/>
    </i>
    <i>
      <x v="14"/>
    </i>
    <i r="1">
      <x/>
    </i>
    <i r="1">
      <x v="6"/>
    </i>
    <i r="1">
      <x v="49"/>
    </i>
    <i r="1">
      <x v="50"/>
    </i>
    <i r="1">
      <x v="81"/>
    </i>
    <i r="1">
      <x v="83"/>
    </i>
    <i r="1">
      <x v="85"/>
    </i>
    <i r="1">
      <x v="86"/>
    </i>
    <i r="1">
      <x v="90"/>
    </i>
    <i r="1">
      <x v="91"/>
    </i>
    <i r="1">
      <x v="94"/>
    </i>
    <i r="1">
      <x v="97"/>
    </i>
    <i r="1">
      <x v="107"/>
    </i>
    <i r="1">
      <x v="118"/>
    </i>
    <i r="1">
      <x v="119"/>
    </i>
    <i r="1">
      <x v="142"/>
    </i>
    <i r="1">
      <x v="154"/>
    </i>
    <i r="1">
      <x v="156"/>
    </i>
    <i r="1">
      <x v="158"/>
    </i>
    <i r="1">
      <x v="163"/>
    </i>
    <i r="1">
      <x v="170"/>
    </i>
    <i r="1">
      <x v="202"/>
    </i>
    <i r="1">
      <x v="220"/>
    </i>
    <i r="1">
      <x v="237"/>
    </i>
    <i r="1">
      <x v="241"/>
    </i>
    <i r="1">
      <x v="242"/>
    </i>
    <i r="1">
      <x v="274"/>
    </i>
    <i r="1">
      <x v="277"/>
    </i>
    <i r="1">
      <x v="290"/>
    </i>
    <i r="1">
      <x v="303"/>
    </i>
    <i r="1">
      <x v="314"/>
    </i>
    <i r="1">
      <x v="323"/>
    </i>
    <i r="1">
      <x v="330"/>
    </i>
    <i r="1">
      <x v="338"/>
    </i>
    <i r="1">
      <x v="339"/>
    </i>
    <i r="1">
      <x v="355"/>
    </i>
    <i r="1">
      <x v="376"/>
    </i>
    <i r="1">
      <x v="384"/>
    </i>
    <i r="1">
      <x v="427"/>
    </i>
    <i r="1">
      <x v="428"/>
    </i>
    <i r="1">
      <x v="441"/>
    </i>
    <i r="1">
      <x v="449"/>
    </i>
    <i r="1">
      <x v="474"/>
    </i>
    <i r="1">
      <x v="481"/>
    </i>
    <i r="1">
      <x v="495"/>
    </i>
    <i r="1">
      <x v="519"/>
    </i>
    <i r="1">
      <x v="537"/>
    </i>
    <i r="1">
      <x v="565"/>
    </i>
    <i r="1">
      <x v="579"/>
    </i>
    <i r="1">
      <x v="585"/>
    </i>
    <i r="1">
      <x v="614"/>
    </i>
    <i r="1">
      <x v="631"/>
    </i>
    <i r="1">
      <x v="633"/>
    </i>
    <i r="1">
      <x v="651"/>
    </i>
    <i r="1">
      <x v="654"/>
    </i>
    <i r="1">
      <x v="666"/>
    </i>
    <i r="1">
      <x v="732"/>
    </i>
    <i r="1">
      <x v="756"/>
    </i>
    <i r="1">
      <x v="792"/>
    </i>
    <i r="1">
      <x v="811"/>
    </i>
    <i r="1">
      <x v="830"/>
    </i>
    <i r="1">
      <x v="856"/>
    </i>
    <i r="1">
      <x v="877"/>
    </i>
    <i r="1">
      <x v="900"/>
    </i>
    <i r="1">
      <x v="901"/>
    </i>
    <i r="1">
      <x v="903"/>
    </i>
    <i r="1">
      <x v="911"/>
    </i>
    <i r="1">
      <x v="916"/>
    </i>
    <i r="1">
      <x v="944"/>
    </i>
    <i r="1">
      <x v="948"/>
    </i>
    <i r="1">
      <x v="965"/>
    </i>
    <i r="1">
      <x v="992"/>
    </i>
    <i r="1">
      <x v="1019"/>
    </i>
    <i r="1">
      <x v="1024"/>
    </i>
    <i r="1">
      <x v="1037"/>
    </i>
    <i r="1">
      <x v="1053"/>
    </i>
    <i r="1">
      <x v="1056"/>
    </i>
    <i r="1">
      <x v="1060"/>
    </i>
    <i r="1">
      <x v="1077"/>
    </i>
    <i r="1">
      <x v="1084"/>
    </i>
    <i r="1">
      <x v="1086"/>
    </i>
    <i r="1">
      <x v="1094"/>
    </i>
    <i r="1">
      <x v="1108"/>
    </i>
    <i r="1">
      <x v="1111"/>
    </i>
    <i r="1">
      <x v="1123"/>
    </i>
    <i r="1">
      <x v="1126"/>
    </i>
    <i r="1">
      <x v="1127"/>
    </i>
    <i r="1">
      <x v="1132"/>
    </i>
    <i r="1">
      <x v="1142"/>
    </i>
    <i r="1">
      <x v="1197"/>
    </i>
    <i r="1">
      <x v="1200"/>
    </i>
    <i r="1">
      <x v="1238"/>
    </i>
    <i r="1">
      <x v="1254"/>
    </i>
    <i r="1">
      <x v="1275"/>
    </i>
    <i r="1">
      <x v="1295"/>
    </i>
    <i r="1">
      <x v="1300"/>
    </i>
    <i r="1">
      <x v="1329"/>
    </i>
    <i r="1">
      <x v="1341"/>
    </i>
    <i r="1">
      <x v="1372"/>
    </i>
    <i r="1">
      <x v="1374"/>
    </i>
    <i r="1">
      <x v="1389"/>
    </i>
    <i r="1">
      <x v="1413"/>
    </i>
    <i r="1">
      <x v="1419"/>
    </i>
    <i r="1">
      <x v="1426"/>
    </i>
    <i r="1">
      <x v="1432"/>
    </i>
    <i r="1">
      <x v="1461"/>
    </i>
    <i r="1">
      <x v="1467"/>
    </i>
    <i r="1">
      <x v="1470"/>
    </i>
    <i r="1">
      <x v="1475"/>
    </i>
    <i r="1">
      <x v="1501"/>
    </i>
    <i r="1">
      <x v="1504"/>
    </i>
    <i r="1">
      <x v="1515"/>
    </i>
    <i r="1">
      <x v="1521"/>
    </i>
    <i r="1">
      <x v="1526"/>
    </i>
    <i r="1">
      <x v="1532"/>
    </i>
    <i r="1">
      <x v="1542"/>
    </i>
    <i r="1">
      <x v="1550"/>
    </i>
    <i r="1">
      <x v="1556"/>
    </i>
    <i r="1">
      <x v="1579"/>
    </i>
    <i r="1">
      <x v="1598"/>
    </i>
    <i r="1">
      <x v="1610"/>
    </i>
    <i r="1">
      <x v="1612"/>
    </i>
    <i r="1">
      <x v="1633"/>
    </i>
    <i r="1">
      <x v="1636"/>
    </i>
    <i r="1">
      <x v="1641"/>
    </i>
    <i r="1">
      <x v="1657"/>
    </i>
    <i r="1">
      <x v="1662"/>
    </i>
    <i r="1">
      <x v="1673"/>
    </i>
    <i r="1">
      <x v="1702"/>
    </i>
    <i r="1">
      <x v="1732"/>
    </i>
    <i r="1">
      <x v="1736"/>
    </i>
    <i r="1">
      <x v="1777"/>
    </i>
    <i r="1">
      <x v="1778"/>
    </i>
    <i r="1">
      <x v="1783"/>
    </i>
    <i r="1">
      <x v="1800"/>
    </i>
    <i r="1">
      <x v="1802"/>
    </i>
    <i r="1">
      <x v="1846"/>
    </i>
    <i r="1">
      <x v="1895"/>
    </i>
    <i r="1">
      <x v="1904"/>
    </i>
    <i r="1">
      <x v="1921"/>
    </i>
    <i r="1">
      <x v="1951"/>
    </i>
    <i>
      <x v="15"/>
    </i>
    <i r="1">
      <x v="62"/>
    </i>
    <i r="1">
      <x v="105"/>
    </i>
    <i r="1">
      <x v="176"/>
    </i>
    <i r="1">
      <x v="302"/>
    </i>
    <i r="1">
      <x v="445"/>
    </i>
    <i r="1">
      <x v="460"/>
    </i>
    <i r="1">
      <x v="467"/>
    </i>
    <i r="1">
      <x v="486"/>
    </i>
    <i r="1">
      <x v="517"/>
    </i>
    <i r="1">
      <x v="618"/>
    </i>
    <i r="1">
      <x v="636"/>
    </i>
    <i r="1">
      <x v="747"/>
    </i>
    <i r="1">
      <x v="788"/>
    </i>
    <i r="1">
      <x v="922"/>
    </i>
    <i r="1">
      <x v="928"/>
    </i>
    <i r="1">
      <x v="1031"/>
    </i>
    <i r="1">
      <x v="1061"/>
    </i>
    <i r="1">
      <x v="1192"/>
    </i>
    <i r="1">
      <x v="1258"/>
    </i>
    <i r="1">
      <x v="1383"/>
    </i>
    <i r="1">
      <x v="1458"/>
    </i>
    <i r="1">
      <x v="1565"/>
    </i>
    <i r="1">
      <x v="1568"/>
    </i>
    <i r="1">
      <x v="1605"/>
    </i>
    <i r="1">
      <x v="1664"/>
    </i>
    <i r="1">
      <x v="1713"/>
    </i>
    <i>
      <x v="16"/>
    </i>
    <i r="1">
      <x v="2"/>
    </i>
    <i r="1">
      <x v="3"/>
    </i>
    <i r="1">
      <x v="4"/>
    </i>
    <i r="1">
      <x v="8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6"/>
    </i>
    <i r="1">
      <x v="51"/>
    </i>
    <i r="1">
      <x v="52"/>
    </i>
    <i r="1">
      <x v="54"/>
    </i>
    <i r="1">
      <x v="55"/>
    </i>
    <i r="1">
      <x v="56"/>
    </i>
    <i r="1">
      <x v="59"/>
    </i>
    <i r="1">
      <x v="60"/>
    </i>
    <i r="1">
      <x v="61"/>
    </i>
    <i r="1">
      <x v="65"/>
    </i>
    <i r="1">
      <x v="67"/>
    </i>
    <i r="1">
      <x v="71"/>
    </i>
    <i r="1">
      <x v="74"/>
    </i>
    <i r="1">
      <x v="75"/>
    </i>
    <i r="1">
      <x v="77"/>
    </i>
    <i r="1">
      <x v="78"/>
    </i>
    <i r="1">
      <x v="79"/>
    </i>
    <i r="1">
      <x v="80"/>
    </i>
    <i r="1">
      <x v="89"/>
    </i>
    <i r="1">
      <x v="99"/>
    </i>
    <i r="1">
      <x v="100"/>
    </i>
    <i r="1">
      <x v="101"/>
    </i>
    <i r="1">
      <x v="103"/>
    </i>
    <i r="1">
      <x v="106"/>
    </i>
    <i r="1">
      <x v="116"/>
    </i>
    <i r="1">
      <x v="121"/>
    </i>
    <i r="1">
      <x v="123"/>
    </i>
    <i r="1">
      <x v="126"/>
    </i>
    <i r="1">
      <x v="127"/>
    </i>
    <i r="1">
      <x v="130"/>
    </i>
    <i r="1">
      <x v="132"/>
    </i>
    <i r="1">
      <x v="137"/>
    </i>
    <i r="1">
      <x v="139"/>
    </i>
    <i r="1">
      <x v="140"/>
    </i>
    <i r="1">
      <x v="143"/>
    </i>
    <i r="1">
      <x v="145"/>
    </i>
    <i r="1">
      <x v="146"/>
    </i>
    <i r="1">
      <x v="152"/>
    </i>
    <i r="1">
      <x v="153"/>
    </i>
    <i r="1">
      <x v="155"/>
    </i>
    <i r="1">
      <x v="157"/>
    </i>
    <i r="1">
      <x v="160"/>
    </i>
    <i r="1">
      <x v="165"/>
    </i>
    <i r="1">
      <x v="168"/>
    </i>
    <i r="1">
      <x v="171"/>
    </i>
    <i r="1">
      <x v="172"/>
    </i>
    <i r="1">
      <x v="177"/>
    </i>
    <i r="1">
      <x v="178"/>
    </i>
    <i r="1">
      <x v="180"/>
    </i>
    <i r="1">
      <x v="182"/>
    </i>
    <i r="1">
      <x v="186"/>
    </i>
    <i r="1">
      <x v="189"/>
    </i>
    <i r="1">
      <x v="192"/>
    </i>
    <i r="1">
      <x v="193"/>
    </i>
    <i r="1">
      <x v="196"/>
    </i>
    <i r="1">
      <x v="200"/>
    </i>
    <i r="1">
      <x v="206"/>
    </i>
    <i r="1">
      <x v="213"/>
    </i>
    <i r="1">
      <x v="214"/>
    </i>
    <i r="1">
      <x v="219"/>
    </i>
    <i r="1">
      <x v="224"/>
    </i>
    <i r="1">
      <x v="225"/>
    </i>
    <i r="1">
      <x v="232"/>
    </i>
    <i r="1">
      <x v="233"/>
    </i>
    <i r="1">
      <x v="238"/>
    </i>
    <i r="1">
      <x v="244"/>
    </i>
    <i r="1">
      <x v="246"/>
    </i>
    <i r="1">
      <x v="248"/>
    </i>
    <i r="1">
      <x v="249"/>
    </i>
    <i r="1">
      <x v="250"/>
    </i>
    <i r="1">
      <x v="251"/>
    </i>
    <i r="1">
      <x v="254"/>
    </i>
    <i r="1">
      <x v="256"/>
    </i>
    <i r="1">
      <x v="261"/>
    </i>
    <i r="1">
      <x v="263"/>
    </i>
    <i r="1">
      <x v="264"/>
    </i>
    <i r="1">
      <x v="269"/>
    </i>
    <i r="1">
      <x v="270"/>
    </i>
    <i r="1">
      <x v="280"/>
    </i>
    <i r="1">
      <x v="284"/>
    </i>
    <i r="1">
      <x v="285"/>
    </i>
    <i r="1">
      <x v="288"/>
    </i>
    <i r="1">
      <x v="289"/>
    </i>
    <i r="1">
      <x v="292"/>
    </i>
    <i r="1">
      <x v="293"/>
    </i>
    <i r="1">
      <x v="304"/>
    </i>
    <i r="1">
      <x v="305"/>
    </i>
    <i r="1">
      <x v="311"/>
    </i>
    <i r="1">
      <x v="317"/>
    </i>
    <i r="1">
      <x v="318"/>
    </i>
    <i r="1">
      <x v="320"/>
    </i>
    <i r="1">
      <x v="325"/>
    </i>
    <i r="1">
      <x v="327"/>
    </i>
    <i r="1">
      <x v="331"/>
    </i>
    <i r="1">
      <x v="335"/>
    </i>
    <i r="1">
      <x v="343"/>
    </i>
    <i r="1">
      <x v="346"/>
    </i>
    <i r="1">
      <x v="354"/>
    </i>
    <i r="1">
      <x v="364"/>
    </i>
    <i r="1">
      <x v="365"/>
    </i>
    <i r="1">
      <x v="368"/>
    </i>
    <i r="1">
      <x v="370"/>
    </i>
    <i r="1">
      <x v="373"/>
    </i>
    <i r="1">
      <x v="374"/>
    </i>
    <i r="1">
      <x v="375"/>
    </i>
    <i r="1">
      <x v="378"/>
    </i>
    <i r="1">
      <x v="379"/>
    </i>
    <i r="1">
      <x v="380"/>
    </i>
    <i r="1">
      <x v="383"/>
    </i>
    <i r="1">
      <x v="386"/>
    </i>
    <i r="1">
      <x v="387"/>
    </i>
    <i r="1">
      <x v="390"/>
    </i>
    <i r="1">
      <x v="391"/>
    </i>
    <i r="1">
      <x v="396"/>
    </i>
    <i r="1">
      <x v="398"/>
    </i>
    <i r="1">
      <x v="400"/>
    </i>
    <i r="1">
      <x v="404"/>
    </i>
    <i r="1">
      <x v="405"/>
    </i>
    <i r="1">
      <x v="407"/>
    </i>
    <i r="1">
      <x v="408"/>
    </i>
    <i r="1">
      <x v="409"/>
    </i>
    <i r="1">
      <x v="410"/>
    </i>
    <i r="1">
      <x v="413"/>
    </i>
    <i r="1">
      <x v="415"/>
    </i>
    <i r="1">
      <x v="417"/>
    </i>
    <i r="1">
      <x v="418"/>
    </i>
    <i r="1">
      <x v="419"/>
    </i>
    <i r="1">
      <x v="423"/>
    </i>
    <i r="1">
      <x v="425"/>
    </i>
    <i r="1">
      <x v="431"/>
    </i>
    <i r="1">
      <x v="437"/>
    </i>
    <i r="1">
      <x v="442"/>
    </i>
    <i r="1">
      <x v="443"/>
    </i>
    <i r="1">
      <x v="444"/>
    </i>
    <i r="1">
      <x v="446"/>
    </i>
    <i r="1">
      <x v="448"/>
    </i>
    <i r="1">
      <x v="450"/>
    </i>
    <i r="1">
      <x v="452"/>
    </i>
    <i r="1">
      <x v="455"/>
    </i>
    <i r="1">
      <x v="458"/>
    </i>
    <i r="1">
      <x v="465"/>
    </i>
    <i r="1">
      <x v="471"/>
    </i>
    <i r="1">
      <x v="473"/>
    </i>
    <i r="1">
      <x v="480"/>
    </i>
    <i r="1">
      <x v="487"/>
    </i>
    <i r="1">
      <x v="488"/>
    </i>
    <i r="1">
      <x v="499"/>
    </i>
    <i r="1">
      <x v="500"/>
    </i>
    <i r="1">
      <x v="501"/>
    </i>
    <i r="1">
      <x v="502"/>
    </i>
    <i r="1">
      <x v="503"/>
    </i>
    <i r="1">
      <x v="506"/>
    </i>
    <i r="1">
      <x v="508"/>
    </i>
    <i r="1">
      <x v="513"/>
    </i>
    <i r="1">
      <x v="514"/>
    </i>
    <i r="1">
      <x v="520"/>
    </i>
    <i r="1">
      <x v="521"/>
    </i>
    <i r="1">
      <x v="526"/>
    </i>
    <i r="1">
      <x v="527"/>
    </i>
    <i r="1">
      <x v="534"/>
    </i>
    <i r="1">
      <x v="539"/>
    </i>
    <i r="1">
      <x v="540"/>
    </i>
    <i r="1">
      <x v="545"/>
    </i>
    <i r="1">
      <x v="549"/>
    </i>
    <i r="1">
      <x v="550"/>
    </i>
    <i r="1">
      <x v="551"/>
    </i>
    <i r="1">
      <x v="552"/>
    </i>
    <i r="1">
      <x v="554"/>
    </i>
    <i r="1">
      <x v="559"/>
    </i>
    <i r="1">
      <x v="562"/>
    </i>
    <i r="1">
      <x v="566"/>
    </i>
    <i r="1">
      <x v="568"/>
    </i>
    <i r="1">
      <x v="569"/>
    </i>
    <i r="1">
      <x v="570"/>
    </i>
    <i r="1">
      <x v="574"/>
    </i>
    <i r="1">
      <x v="575"/>
    </i>
    <i r="1">
      <x v="578"/>
    </i>
    <i r="1">
      <x v="580"/>
    </i>
    <i r="1">
      <x v="581"/>
    </i>
    <i r="1">
      <x v="583"/>
    </i>
    <i r="1">
      <x v="587"/>
    </i>
    <i r="1">
      <x v="588"/>
    </i>
    <i r="1">
      <x v="590"/>
    </i>
    <i r="1">
      <x v="592"/>
    </i>
    <i r="1">
      <x v="593"/>
    </i>
    <i r="1">
      <x v="598"/>
    </i>
    <i r="1">
      <x v="599"/>
    </i>
    <i r="1">
      <x v="600"/>
    </i>
    <i r="1">
      <x v="601"/>
    </i>
    <i r="1">
      <x v="605"/>
    </i>
    <i r="1">
      <x v="606"/>
    </i>
    <i r="1">
      <x v="609"/>
    </i>
    <i r="1">
      <x v="610"/>
    </i>
    <i r="1">
      <x v="612"/>
    </i>
    <i r="1">
      <x v="616"/>
    </i>
    <i r="1">
      <x v="617"/>
    </i>
    <i r="1">
      <x v="621"/>
    </i>
    <i r="1">
      <x v="622"/>
    </i>
    <i r="1">
      <x v="623"/>
    </i>
    <i r="1">
      <x v="624"/>
    </i>
    <i r="1">
      <x v="628"/>
    </i>
    <i r="1">
      <x v="629"/>
    </i>
    <i r="1">
      <x v="632"/>
    </i>
    <i r="1">
      <x v="634"/>
    </i>
    <i r="1">
      <x v="637"/>
    </i>
    <i r="1">
      <x v="642"/>
    </i>
    <i r="1">
      <x v="643"/>
    </i>
    <i r="1">
      <x v="645"/>
    </i>
    <i r="1">
      <x v="646"/>
    </i>
    <i r="1">
      <x v="649"/>
    </i>
    <i r="1">
      <x v="650"/>
    </i>
    <i r="1">
      <x v="655"/>
    </i>
    <i r="1">
      <x v="660"/>
    </i>
    <i r="1">
      <x v="662"/>
    </i>
    <i r="1">
      <x v="663"/>
    </i>
    <i r="1">
      <x v="665"/>
    </i>
    <i r="1">
      <x v="668"/>
    </i>
    <i r="1">
      <x v="669"/>
    </i>
    <i r="1">
      <x v="670"/>
    </i>
    <i r="1">
      <x v="671"/>
    </i>
    <i r="1">
      <x v="672"/>
    </i>
    <i r="1">
      <x v="674"/>
    </i>
    <i r="1">
      <x v="676"/>
    </i>
    <i r="1">
      <x v="677"/>
    </i>
    <i r="1">
      <x v="678"/>
    </i>
    <i r="1">
      <x v="681"/>
    </i>
    <i r="1">
      <x v="682"/>
    </i>
    <i r="1">
      <x v="683"/>
    </i>
    <i r="1">
      <x v="684"/>
    </i>
    <i r="1">
      <x v="690"/>
    </i>
    <i r="1">
      <x v="692"/>
    </i>
    <i r="1">
      <x v="693"/>
    </i>
    <i r="1">
      <x v="695"/>
    </i>
    <i r="1">
      <x v="697"/>
    </i>
    <i r="1">
      <x v="698"/>
    </i>
    <i r="1">
      <x v="700"/>
    </i>
    <i r="1">
      <x v="701"/>
    </i>
    <i r="1">
      <x v="703"/>
    </i>
    <i r="1">
      <x v="704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5"/>
    </i>
    <i r="1">
      <x v="716"/>
    </i>
    <i r="1">
      <x v="717"/>
    </i>
    <i r="1">
      <x v="718"/>
    </i>
    <i r="1">
      <x v="719"/>
    </i>
    <i r="1">
      <x v="720"/>
    </i>
    <i r="1">
      <x v="722"/>
    </i>
    <i r="1">
      <x v="723"/>
    </i>
    <i r="1">
      <x v="737"/>
    </i>
    <i r="1">
      <x v="741"/>
    </i>
    <i r="1">
      <x v="745"/>
    </i>
    <i r="1">
      <x v="749"/>
    </i>
    <i r="1">
      <x v="752"/>
    </i>
    <i r="1">
      <x v="754"/>
    </i>
    <i r="1">
      <x v="757"/>
    </i>
    <i r="1">
      <x v="758"/>
    </i>
    <i r="1">
      <x v="759"/>
    </i>
    <i r="1">
      <x v="761"/>
    </i>
    <i r="1">
      <x v="764"/>
    </i>
    <i r="1">
      <x v="765"/>
    </i>
    <i r="1">
      <x v="768"/>
    </i>
    <i r="1">
      <x v="769"/>
    </i>
    <i r="1">
      <x v="770"/>
    </i>
    <i r="1">
      <x v="774"/>
    </i>
    <i r="1">
      <x v="775"/>
    </i>
    <i r="1">
      <x v="776"/>
    </i>
    <i r="1">
      <x v="778"/>
    </i>
    <i r="1">
      <x v="779"/>
    </i>
    <i r="1">
      <x v="780"/>
    </i>
    <i r="1">
      <x v="782"/>
    </i>
    <i r="1">
      <x v="783"/>
    </i>
    <i r="1">
      <x v="785"/>
    </i>
    <i r="1">
      <x v="787"/>
    </i>
    <i r="1">
      <x v="789"/>
    </i>
    <i r="1">
      <x v="790"/>
    </i>
    <i r="1">
      <x v="791"/>
    </i>
    <i r="1">
      <x v="794"/>
    </i>
    <i r="1">
      <x v="795"/>
    </i>
    <i r="1">
      <x v="799"/>
    </i>
    <i r="1">
      <x v="800"/>
    </i>
    <i r="1">
      <x v="801"/>
    </i>
    <i r="1">
      <x v="802"/>
    </i>
    <i r="1">
      <x v="804"/>
    </i>
    <i r="1">
      <x v="805"/>
    </i>
    <i r="1">
      <x v="814"/>
    </i>
    <i r="1">
      <x v="817"/>
    </i>
    <i r="1">
      <x v="821"/>
    </i>
    <i r="1">
      <x v="823"/>
    </i>
    <i r="1">
      <x v="824"/>
    </i>
    <i r="1">
      <x v="826"/>
    </i>
    <i r="1">
      <x v="827"/>
    </i>
    <i r="1">
      <x v="831"/>
    </i>
    <i r="1">
      <x v="832"/>
    </i>
    <i r="1">
      <x v="837"/>
    </i>
    <i r="1">
      <x v="839"/>
    </i>
    <i r="1">
      <x v="840"/>
    </i>
    <i r="1">
      <x v="842"/>
    </i>
    <i r="1">
      <x v="844"/>
    </i>
    <i r="1">
      <x v="846"/>
    </i>
    <i r="1">
      <x v="847"/>
    </i>
    <i r="1">
      <x v="848"/>
    </i>
    <i r="1">
      <x v="851"/>
    </i>
    <i r="1">
      <x v="852"/>
    </i>
    <i r="1">
      <x v="853"/>
    </i>
    <i r="1">
      <x v="857"/>
    </i>
    <i r="1">
      <x v="862"/>
    </i>
    <i r="1">
      <x v="863"/>
    </i>
    <i r="1">
      <x v="866"/>
    </i>
    <i r="1">
      <x v="869"/>
    </i>
    <i r="1">
      <x v="870"/>
    </i>
    <i r="1">
      <x v="871"/>
    </i>
    <i r="1">
      <x v="873"/>
    </i>
    <i r="1">
      <x v="881"/>
    </i>
    <i r="1">
      <x v="882"/>
    </i>
    <i r="1">
      <x v="885"/>
    </i>
    <i r="1">
      <x v="887"/>
    </i>
    <i r="1">
      <x v="888"/>
    </i>
    <i r="1">
      <x v="889"/>
    </i>
    <i r="1">
      <x v="893"/>
    </i>
    <i r="1">
      <x v="897"/>
    </i>
    <i r="1">
      <x v="902"/>
    </i>
    <i r="1">
      <x v="904"/>
    </i>
    <i r="1">
      <x v="905"/>
    </i>
    <i r="1">
      <x v="906"/>
    </i>
    <i r="1">
      <x v="909"/>
    </i>
    <i r="1">
      <x v="912"/>
    </i>
    <i r="1">
      <x v="913"/>
    </i>
    <i r="1">
      <x v="914"/>
    </i>
    <i r="1">
      <x v="917"/>
    </i>
    <i r="1">
      <x v="918"/>
    </i>
    <i r="1">
      <x v="919"/>
    </i>
    <i r="1">
      <x v="920"/>
    </i>
    <i r="1">
      <x v="921"/>
    </i>
    <i r="1">
      <x v="925"/>
    </i>
    <i r="1">
      <x v="927"/>
    </i>
    <i r="1">
      <x v="929"/>
    </i>
    <i r="1">
      <x v="931"/>
    </i>
    <i r="1">
      <x v="932"/>
    </i>
    <i r="1">
      <x v="933"/>
    </i>
    <i r="1">
      <x v="935"/>
    </i>
    <i r="1">
      <x v="936"/>
    </i>
    <i r="1">
      <x v="937"/>
    </i>
    <i r="1">
      <x v="939"/>
    </i>
    <i r="1">
      <x v="940"/>
    </i>
    <i r="1">
      <x v="942"/>
    </i>
    <i r="1">
      <x v="945"/>
    </i>
    <i r="1">
      <x v="947"/>
    </i>
    <i r="1">
      <x v="952"/>
    </i>
    <i r="1">
      <x v="954"/>
    </i>
    <i r="1">
      <x v="955"/>
    </i>
    <i r="1">
      <x v="960"/>
    </i>
    <i r="1">
      <x v="962"/>
    </i>
    <i r="1">
      <x v="963"/>
    </i>
    <i r="1">
      <x v="964"/>
    </i>
    <i r="1">
      <x v="970"/>
    </i>
    <i r="1">
      <x v="971"/>
    </i>
    <i r="1">
      <x v="972"/>
    </i>
    <i r="1">
      <x v="973"/>
    </i>
    <i r="1">
      <x v="976"/>
    </i>
    <i r="1">
      <x v="977"/>
    </i>
    <i r="1">
      <x v="978"/>
    </i>
    <i r="1">
      <x v="981"/>
    </i>
    <i r="1">
      <x v="982"/>
    </i>
    <i r="1">
      <x v="983"/>
    </i>
    <i r="1">
      <x v="986"/>
    </i>
    <i r="1">
      <x v="987"/>
    </i>
    <i r="1">
      <x v="988"/>
    </i>
    <i r="1">
      <x v="990"/>
    </i>
    <i r="1">
      <x v="993"/>
    </i>
    <i r="1">
      <x v="994"/>
    </i>
    <i r="1">
      <x v="995"/>
    </i>
    <i r="1">
      <x v="998"/>
    </i>
    <i r="1">
      <x v="999"/>
    </i>
    <i r="1">
      <x v="1002"/>
    </i>
    <i r="1">
      <x v="1003"/>
    </i>
    <i r="1">
      <x v="1004"/>
    </i>
    <i r="1">
      <x v="1006"/>
    </i>
    <i r="1">
      <x v="1012"/>
    </i>
    <i r="1">
      <x v="1015"/>
    </i>
    <i r="1">
      <x v="1018"/>
    </i>
    <i r="1">
      <x v="1021"/>
    </i>
    <i r="1">
      <x v="1023"/>
    </i>
    <i r="1">
      <x v="1026"/>
    </i>
    <i r="1">
      <x v="1027"/>
    </i>
    <i r="1">
      <x v="1028"/>
    </i>
    <i r="1">
      <x v="1029"/>
    </i>
    <i r="1">
      <x v="1032"/>
    </i>
    <i r="1">
      <x v="1034"/>
    </i>
    <i r="1">
      <x v="1041"/>
    </i>
    <i r="1">
      <x v="1045"/>
    </i>
    <i r="1">
      <x v="1047"/>
    </i>
    <i r="1">
      <x v="1048"/>
    </i>
    <i r="1">
      <x v="1050"/>
    </i>
    <i r="1">
      <x v="1054"/>
    </i>
    <i r="1">
      <x v="1062"/>
    </i>
    <i r="1">
      <x v="1063"/>
    </i>
    <i r="1">
      <x v="1067"/>
    </i>
    <i r="1">
      <x v="1069"/>
    </i>
    <i r="1">
      <x v="1071"/>
    </i>
    <i r="1">
      <x v="1073"/>
    </i>
    <i r="1">
      <x v="1075"/>
    </i>
    <i r="1">
      <x v="1078"/>
    </i>
    <i r="1">
      <x v="1083"/>
    </i>
    <i r="1">
      <x v="1085"/>
    </i>
    <i r="1">
      <x v="1088"/>
    </i>
    <i r="1">
      <x v="1090"/>
    </i>
    <i r="1">
      <x v="1091"/>
    </i>
    <i r="1">
      <x v="1095"/>
    </i>
    <i r="1">
      <x v="1102"/>
    </i>
    <i r="1">
      <x v="1103"/>
    </i>
    <i r="1">
      <x v="1109"/>
    </i>
    <i r="1">
      <x v="1112"/>
    </i>
    <i r="1">
      <x v="1113"/>
    </i>
    <i r="1">
      <x v="1120"/>
    </i>
    <i r="1">
      <x v="1124"/>
    </i>
    <i r="1">
      <x v="1129"/>
    </i>
    <i r="1">
      <x v="1130"/>
    </i>
    <i r="1">
      <x v="1131"/>
    </i>
    <i r="1">
      <x v="1133"/>
    </i>
    <i r="1">
      <x v="1137"/>
    </i>
    <i r="1">
      <x v="1138"/>
    </i>
    <i r="1">
      <x v="1140"/>
    </i>
    <i r="1">
      <x v="1141"/>
    </i>
    <i r="1">
      <x v="1143"/>
    </i>
    <i r="1">
      <x v="1144"/>
    </i>
    <i r="1">
      <x v="1145"/>
    </i>
    <i r="1">
      <x v="1149"/>
    </i>
    <i r="1">
      <x v="1151"/>
    </i>
    <i r="1">
      <x v="1152"/>
    </i>
    <i r="1">
      <x v="1155"/>
    </i>
    <i r="1">
      <x v="1158"/>
    </i>
    <i r="1">
      <x v="1161"/>
    </i>
    <i r="1">
      <x v="1162"/>
    </i>
    <i r="1">
      <x v="1164"/>
    </i>
    <i r="1">
      <x v="1165"/>
    </i>
    <i r="1">
      <x v="1166"/>
    </i>
    <i r="1">
      <x v="1169"/>
    </i>
    <i r="1">
      <x v="1174"/>
    </i>
    <i r="1">
      <x v="1176"/>
    </i>
    <i r="1">
      <x v="1177"/>
    </i>
    <i r="1">
      <x v="1180"/>
    </i>
    <i r="1">
      <x v="1186"/>
    </i>
    <i r="1">
      <x v="1187"/>
    </i>
    <i r="1">
      <x v="1191"/>
    </i>
    <i r="1">
      <x v="1194"/>
    </i>
    <i r="1">
      <x v="1196"/>
    </i>
    <i r="1">
      <x v="1198"/>
    </i>
    <i r="1">
      <x v="1201"/>
    </i>
    <i r="1">
      <x v="1203"/>
    </i>
    <i r="1">
      <x v="1206"/>
    </i>
    <i r="1">
      <x v="1209"/>
    </i>
    <i r="1">
      <x v="1210"/>
    </i>
    <i r="1">
      <x v="1211"/>
    </i>
    <i r="1">
      <x v="1216"/>
    </i>
    <i r="1">
      <x v="1219"/>
    </i>
    <i r="1">
      <x v="1220"/>
    </i>
    <i r="1">
      <x v="1224"/>
    </i>
    <i r="1">
      <x v="1225"/>
    </i>
    <i r="1">
      <x v="1227"/>
    </i>
    <i r="1">
      <x v="1228"/>
    </i>
    <i r="1">
      <x v="1229"/>
    </i>
    <i r="1">
      <x v="1231"/>
    </i>
    <i r="1">
      <x v="1232"/>
    </i>
    <i r="1">
      <x v="1233"/>
    </i>
    <i r="1">
      <x v="1240"/>
    </i>
    <i r="1">
      <x v="1242"/>
    </i>
    <i r="1">
      <x v="1243"/>
    </i>
    <i r="1">
      <x v="1246"/>
    </i>
    <i r="1">
      <x v="1248"/>
    </i>
    <i r="1">
      <x v="1250"/>
    </i>
    <i r="1">
      <x v="1251"/>
    </i>
    <i r="1">
      <x v="1252"/>
    </i>
    <i r="1">
      <x v="1253"/>
    </i>
    <i r="1">
      <x v="1256"/>
    </i>
    <i r="1">
      <x v="1260"/>
    </i>
    <i r="1">
      <x v="1262"/>
    </i>
    <i r="1">
      <x v="1263"/>
    </i>
    <i r="1">
      <x v="1264"/>
    </i>
    <i r="1">
      <x v="1266"/>
    </i>
    <i r="1">
      <x v="1269"/>
    </i>
    <i r="1">
      <x v="1279"/>
    </i>
    <i r="1">
      <x v="1287"/>
    </i>
    <i r="1">
      <x v="1288"/>
    </i>
    <i r="1">
      <x v="1290"/>
    </i>
    <i r="1">
      <x v="1294"/>
    </i>
    <i r="1">
      <x v="1297"/>
    </i>
    <i r="1">
      <x v="1303"/>
    </i>
    <i r="1">
      <x v="1304"/>
    </i>
    <i r="1">
      <x v="1310"/>
    </i>
    <i r="1">
      <x v="1311"/>
    </i>
    <i r="1">
      <x v="1315"/>
    </i>
    <i r="1">
      <x v="1317"/>
    </i>
    <i r="1">
      <x v="1324"/>
    </i>
    <i r="1">
      <x v="1325"/>
    </i>
    <i r="1">
      <x v="1327"/>
    </i>
    <i r="1">
      <x v="1330"/>
    </i>
    <i r="1">
      <x v="1332"/>
    </i>
    <i r="1">
      <x v="1340"/>
    </i>
    <i r="1">
      <x v="1342"/>
    </i>
    <i r="1">
      <x v="1345"/>
    </i>
    <i r="1">
      <x v="1347"/>
    </i>
    <i r="1">
      <x v="1351"/>
    </i>
    <i r="1">
      <x v="1352"/>
    </i>
    <i r="1">
      <x v="1353"/>
    </i>
    <i r="1">
      <x v="1355"/>
    </i>
    <i r="1">
      <x v="1359"/>
    </i>
    <i r="1">
      <x v="1362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5"/>
    </i>
    <i r="1">
      <x v="1376"/>
    </i>
    <i r="1">
      <x v="1379"/>
    </i>
    <i r="1">
      <x v="1380"/>
    </i>
    <i r="1">
      <x v="1385"/>
    </i>
    <i r="1">
      <x v="1388"/>
    </i>
    <i r="1">
      <x v="1391"/>
    </i>
    <i r="1">
      <x v="1392"/>
    </i>
    <i r="1">
      <x v="1398"/>
    </i>
    <i r="1">
      <x v="1399"/>
    </i>
    <i r="1">
      <x v="1400"/>
    </i>
    <i r="1">
      <x v="1404"/>
    </i>
    <i r="1">
      <x v="1405"/>
    </i>
    <i r="1">
      <x v="1407"/>
    </i>
    <i r="1">
      <x v="1408"/>
    </i>
    <i r="1">
      <x v="1409"/>
    </i>
    <i r="1">
      <x v="1414"/>
    </i>
    <i r="1">
      <x v="1416"/>
    </i>
    <i r="1">
      <x v="1418"/>
    </i>
    <i r="1">
      <x v="1420"/>
    </i>
    <i r="1">
      <x v="1421"/>
    </i>
    <i r="1">
      <x v="1423"/>
    </i>
    <i r="1">
      <x v="1425"/>
    </i>
    <i r="1">
      <x v="1427"/>
    </i>
    <i r="1">
      <x v="1429"/>
    </i>
    <i r="1">
      <x v="1433"/>
    </i>
    <i r="1">
      <x v="1434"/>
    </i>
    <i r="1">
      <x v="1439"/>
    </i>
    <i r="1">
      <x v="1440"/>
    </i>
    <i r="1">
      <x v="1441"/>
    </i>
    <i r="1">
      <x v="1443"/>
    </i>
    <i r="1">
      <x v="1445"/>
    </i>
    <i r="1">
      <x v="1451"/>
    </i>
    <i r="1">
      <x v="1452"/>
    </i>
    <i r="1">
      <x v="1453"/>
    </i>
    <i r="1">
      <x v="1454"/>
    </i>
    <i r="1">
      <x v="1456"/>
    </i>
    <i r="1">
      <x v="1462"/>
    </i>
    <i r="1">
      <x v="1463"/>
    </i>
    <i r="1">
      <x v="1465"/>
    </i>
    <i r="1">
      <x v="1468"/>
    </i>
    <i r="1">
      <x v="1469"/>
    </i>
    <i r="1">
      <x v="1472"/>
    </i>
    <i r="1">
      <x v="1476"/>
    </i>
    <i r="1">
      <x v="1478"/>
    </i>
    <i r="1">
      <x v="1479"/>
    </i>
    <i r="1">
      <x v="1481"/>
    </i>
    <i r="1">
      <x v="1484"/>
    </i>
    <i r="1">
      <x v="1485"/>
    </i>
    <i r="1">
      <x v="1486"/>
    </i>
    <i r="1">
      <x v="1489"/>
    </i>
    <i r="1">
      <x v="1490"/>
    </i>
    <i r="1">
      <x v="1491"/>
    </i>
    <i r="1">
      <x v="1493"/>
    </i>
    <i r="1">
      <x v="1505"/>
    </i>
    <i r="1">
      <x v="1506"/>
    </i>
    <i r="1">
      <x v="1507"/>
    </i>
    <i r="1">
      <x v="1509"/>
    </i>
    <i r="1">
      <x v="1510"/>
    </i>
    <i r="1">
      <x v="1511"/>
    </i>
    <i r="1">
      <x v="1513"/>
    </i>
    <i r="1">
      <x v="1516"/>
    </i>
    <i r="1">
      <x v="1518"/>
    </i>
    <i r="1">
      <x v="1519"/>
    </i>
    <i r="1">
      <x v="1525"/>
    </i>
    <i r="1">
      <x v="1527"/>
    </i>
    <i r="1">
      <x v="1528"/>
    </i>
    <i r="1">
      <x v="1530"/>
    </i>
    <i r="1">
      <x v="1533"/>
    </i>
    <i r="1">
      <x v="1538"/>
    </i>
    <i r="1">
      <x v="1539"/>
    </i>
    <i r="1">
      <x v="1545"/>
    </i>
    <i r="1">
      <x v="1546"/>
    </i>
    <i r="1">
      <x v="1551"/>
    </i>
    <i r="1">
      <x v="1552"/>
    </i>
    <i r="1">
      <x v="1555"/>
    </i>
    <i r="1">
      <x v="1557"/>
    </i>
    <i r="1">
      <x v="1558"/>
    </i>
    <i r="1">
      <x v="1561"/>
    </i>
    <i r="1">
      <x v="1562"/>
    </i>
    <i r="1">
      <x v="1564"/>
    </i>
    <i r="1">
      <x v="1566"/>
    </i>
    <i r="1">
      <x v="1569"/>
    </i>
    <i r="1">
      <x v="1576"/>
    </i>
    <i r="1">
      <x v="1578"/>
    </i>
    <i r="1">
      <x v="1580"/>
    </i>
    <i r="1">
      <x v="1583"/>
    </i>
    <i r="1">
      <x v="1587"/>
    </i>
    <i r="1">
      <x v="1588"/>
    </i>
    <i r="1">
      <x v="1590"/>
    </i>
    <i r="1">
      <x v="1593"/>
    </i>
    <i r="1">
      <x v="1596"/>
    </i>
    <i r="1">
      <x v="1597"/>
    </i>
    <i r="1">
      <x v="1599"/>
    </i>
    <i r="1">
      <x v="1601"/>
    </i>
    <i r="1">
      <x v="1606"/>
    </i>
    <i r="1">
      <x v="1608"/>
    </i>
    <i r="1">
      <x v="1609"/>
    </i>
    <i r="1">
      <x v="1611"/>
    </i>
    <i r="1">
      <x v="1613"/>
    </i>
    <i r="1">
      <x v="1614"/>
    </i>
    <i r="1">
      <x v="1617"/>
    </i>
    <i r="1">
      <x v="1620"/>
    </i>
    <i r="1">
      <x v="1621"/>
    </i>
    <i r="1">
      <x v="1626"/>
    </i>
    <i r="1">
      <x v="1628"/>
    </i>
    <i r="1">
      <x v="1634"/>
    </i>
    <i r="1">
      <x v="1635"/>
    </i>
    <i r="1">
      <x v="1638"/>
    </i>
    <i r="1">
      <x v="1642"/>
    </i>
    <i r="1">
      <x v="1643"/>
    </i>
    <i r="1">
      <x v="1645"/>
    </i>
    <i r="1">
      <x v="1646"/>
    </i>
    <i r="1">
      <x v="1648"/>
    </i>
    <i r="1">
      <x v="1651"/>
    </i>
    <i r="1">
      <x v="1652"/>
    </i>
    <i r="1">
      <x v="1653"/>
    </i>
    <i r="1">
      <x v="1660"/>
    </i>
    <i r="1">
      <x v="1665"/>
    </i>
    <i r="1">
      <x v="1666"/>
    </i>
    <i r="1">
      <x v="1667"/>
    </i>
    <i r="1">
      <x v="1668"/>
    </i>
    <i r="1">
      <x v="1672"/>
    </i>
    <i r="1">
      <x v="1676"/>
    </i>
    <i r="1">
      <x v="1677"/>
    </i>
    <i r="1">
      <x v="1679"/>
    </i>
    <i r="1">
      <x v="1681"/>
    </i>
    <i r="1">
      <x v="1683"/>
    </i>
    <i r="1">
      <x v="1684"/>
    </i>
    <i r="1">
      <x v="1685"/>
    </i>
    <i r="1">
      <x v="1687"/>
    </i>
    <i r="1">
      <x v="1688"/>
    </i>
    <i r="1">
      <x v="1690"/>
    </i>
    <i r="1">
      <x v="1691"/>
    </i>
    <i r="1">
      <x v="1692"/>
    </i>
    <i r="1">
      <x v="1693"/>
    </i>
    <i r="1">
      <x v="1695"/>
    </i>
    <i r="1">
      <x v="1697"/>
    </i>
    <i r="1">
      <x v="1698"/>
    </i>
    <i r="1">
      <x v="1699"/>
    </i>
    <i r="1">
      <x v="1701"/>
    </i>
    <i r="1">
      <x v="1704"/>
    </i>
    <i r="1">
      <x v="1706"/>
    </i>
    <i r="1">
      <x v="1710"/>
    </i>
    <i r="1">
      <x v="1711"/>
    </i>
    <i r="1">
      <x v="1716"/>
    </i>
    <i r="1">
      <x v="1718"/>
    </i>
    <i r="1">
      <x v="1721"/>
    </i>
    <i r="1">
      <x v="1722"/>
    </i>
    <i r="1">
      <x v="1723"/>
    </i>
    <i r="1">
      <x v="1725"/>
    </i>
    <i r="1">
      <x v="1726"/>
    </i>
    <i r="1">
      <x v="1728"/>
    </i>
    <i r="1">
      <x v="1731"/>
    </i>
    <i r="1">
      <x v="1735"/>
    </i>
    <i r="1">
      <x v="1737"/>
    </i>
    <i r="1">
      <x v="1741"/>
    </i>
    <i r="1">
      <x v="1743"/>
    </i>
    <i r="1">
      <x v="1744"/>
    </i>
    <i r="1">
      <x v="1746"/>
    </i>
    <i r="1">
      <x v="1747"/>
    </i>
    <i r="1">
      <x v="1749"/>
    </i>
    <i r="1">
      <x v="1751"/>
    </i>
    <i r="1">
      <x v="1754"/>
    </i>
    <i r="1">
      <x v="1757"/>
    </i>
    <i r="1">
      <x v="1759"/>
    </i>
    <i r="1">
      <x v="1760"/>
    </i>
    <i r="1">
      <x v="1763"/>
    </i>
    <i r="1">
      <x v="1764"/>
    </i>
    <i r="1">
      <x v="1769"/>
    </i>
    <i r="1">
      <x v="1770"/>
    </i>
    <i r="1">
      <x v="1772"/>
    </i>
    <i r="1">
      <x v="1773"/>
    </i>
    <i r="1">
      <x v="1776"/>
    </i>
    <i r="1">
      <x v="1780"/>
    </i>
    <i r="1">
      <x v="1786"/>
    </i>
    <i r="1">
      <x v="1787"/>
    </i>
    <i r="1">
      <x v="1792"/>
    </i>
    <i r="1">
      <x v="1794"/>
    </i>
    <i r="1">
      <x v="1796"/>
    </i>
    <i r="1">
      <x v="1797"/>
    </i>
    <i r="1">
      <x v="1801"/>
    </i>
    <i r="1">
      <x v="1803"/>
    </i>
    <i r="1">
      <x v="1804"/>
    </i>
    <i r="1">
      <x v="1808"/>
    </i>
    <i r="1">
      <x v="1809"/>
    </i>
    <i r="1">
      <x v="1810"/>
    </i>
    <i r="1">
      <x v="1811"/>
    </i>
    <i r="1">
      <x v="1812"/>
    </i>
    <i r="1">
      <x v="1814"/>
    </i>
    <i r="1">
      <x v="1815"/>
    </i>
    <i r="1">
      <x v="1817"/>
    </i>
    <i r="1">
      <x v="1818"/>
    </i>
    <i r="1">
      <x v="1819"/>
    </i>
    <i r="1">
      <x v="1820"/>
    </i>
    <i r="1">
      <x v="1821"/>
    </i>
    <i r="1">
      <x v="1831"/>
    </i>
    <i r="1">
      <x v="1835"/>
    </i>
    <i r="1">
      <x v="1843"/>
    </i>
    <i r="1">
      <x v="1844"/>
    </i>
    <i r="1">
      <x v="1845"/>
    </i>
    <i r="1">
      <x v="1847"/>
    </i>
    <i r="1">
      <x v="1849"/>
    </i>
    <i r="1">
      <x v="1851"/>
    </i>
    <i r="1">
      <x v="1852"/>
    </i>
    <i r="1">
      <x v="1855"/>
    </i>
    <i r="1">
      <x v="1857"/>
    </i>
    <i r="1">
      <x v="1859"/>
    </i>
    <i r="1">
      <x v="1860"/>
    </i>
    <i r="1">
      <x v="1864"/>
    </i>
    <i r="1">
      <x v="1866"/>
    </i>
    <i r="1">
      <x v="1870"/>
    </i>
    <i r="1">
      <x v="1871"/>
    </i>
    <i r="1">
      <x v="1874"/>
    </i>
    <i r="1">
      <x v="1875"/>
    </i>
    <i r="1">
      <x v="1877"/>
    </i>
    <i r="1">
      <x v="1878"/>
    </i>
    <i r="1">
      <x v="1880"/>
    </i>
    <i r="1">
      <x v="1882"/>
    </i>
    <i r="1">
      <x v="1883"/>
    </i>
    <i r="1">
      <x v="1885"/>
    </i>
    <i r="1">
      <x v="1887"/>
    </i>
    <i r="1">
      <x v="1888"/>
    </i>
    <i r="1">
      <x v="1890"/>
    </i>
    <i r="1">
      <x v="1892"/>
    </i>
    <i r="1">
      <x v="1893"/>
    </i>
    <i r="1">
      <x v="1894"/>
    </i>
    <i r="1">
      <x v="1898"/>
    </i>
    <i r="1">
      <x v="1902"/>
    </i>
    <i r="1">
      <x v="1905"/>
    </i>
    <i r="1">
      <x v="1914"/>
    </i>
    <i r="1">
      <x v="1916"/>
    </i>
    <i r="1">
      <x v="1917"/>
    </i>
    <i r="1">
      <x v="1918"/>
    </i>
    <i r="1">
      <x v="1919"/>
    </i>
    <i r="1">
      <x v="1923"/>
    </i>
    <i r="1">
      <x v="1925"/>
    </i>
    <i r="1">
      <x v="1926"/>
    </i>
    <i r="1">
      <x v="1929"/>
    </i>
    <i r="1">
      <x v="1930"/>
    </i>
    <i r="1">
      <x v="1931"/>
    </i>
    <i r="1">
      <x v="1932"/>
    </i>
    <i r="1">
      <x v="1933"/>
    </i>
    <i r="1">
      <x v="1934"/>
    </i>
    <i r="1">
      <x v="1935"/>
    </i>
    <i r="1">
      <x v="1937"/>
    </i>
    <i r="1">
      <x v="1938"/>
    </i>
    <i r="1">
      <x v="1941"/>
    </i>
    <i r="1">
      <x v="1942"/>
    </i>
    <i r="1">
      <x v="1947"/>
    </i>
    <i r="1">
      <x v="1950"/>
    </i>
    <i r="1">
      <x v="1953"/>
    </i>
    <i r="1">
      <x v="1956"/>
    </i>
    <i t="grand">
      <x/>
    </i>
  </rowItems>
  <colItems count="1">
    <i/>
  </colItems>
  <pageFields count="1">
    <pageField fld="15" hier="-1"/>
  </pageFields>
  <dataFields count="1">
    <dataField name="Total" fld="15" subtotal="count" baseField="0" baseItem="0"/>
  </dataFields>
  <formats count="42">
    <format dxfId="41">
      <pivotArea field="15" type="button" dataOnly="0" labelOnly="1" outline="0" axis="axisPage" fieldPosition="0"/>
    </format>
    <format dxfId="40">
      <pivotArea dataOnly="0" labelOnly="1" outline="0" fieldPosition="0">
        <references count="1">
          <reference field="15" count="0"/>
        </references>
      </pivotArea>
    </format>
    <format dxfId="39">
      <pivotArea field="3" type="button" dataOnly="0" labelOnly="1" outline="0" axis="axisRow" fieldPosition="0"/>
    </format>
    <format dxfId="38">
      <pivotArea dataOnly="0" labelOnly="1" outline="0" axis="axisValues" fieldPosition="0"/>
    </format>
    <format dxfId="37">
      <pivotArea field="3" type="button" dataOnly="0" labelOnly="1" outline="0" axis="axisRow" fieldPosition="0"/>
    </format>
    <format dxfId="36">
      <pivotArea dataOnly="0" labelOnly="1" outline="0" axis="axisValues" fieldPosition="0"/>
    </format>
    <format dxfId="35">
      <pivotArea collapsedLevelsAreSubtotals="1" fieldPosition="0">
        <references count="1">
          <reference field="3" count="1">
            <x v="0"/>
          </reference>
        </references>
      </pivotArea>
    </format>
    <format dxfId="34">
      <pivotArea dataOnly="0" labelOnly="1" fieldPosition="0">
        <references count="1">
          <reference field="3" count="1">
            <x v="0"/>
          </reference>
        </references>
      </pivotArea>
    </format>
    <format dxfId="33">
      <pivotArea collapsedLevelsAreSubtotals="1" fieldPosition="0">
        <references count="1">
          <reference field="3" count="1">
            <x v="1"/>
          </reference>
        </references>
      </pivotArea>
    </format>
    <format dxfId="32">
      <pivotArea dataOnly="0" labelOnly="1" fieldPosition="0">
        <references count="1">
          <reference field="3" count="1">
            <x v="1"/>
          </reference>
        </references>
      </pivotArea>
    </format>
    <format dxfId="31">
      <pivotArea collapsedLevelsAreSubtotals="1" fieldPosition="0">
        <references count="1">
          <reference field="3" count="1">
            <x v="2"/>
          </reference>
        </references>
      </pivotArea>
    </format>
    <format dxfId="30">
      <pivotArea dataOnly="0" labelOnly="1" fieldPosition="0">
        <references count="1">
          <reference field="3" count="1">
            <x v="2"/>
          </reference>
        </references>
      </pivotArea>
    </format>
    <format dxfId="29">
      <pivotArea collapsedLevelsAreSubtotals="1" fieldPosition="0">
        <references count="1">
          <reference field="3" count="1">
            <x v="3"/>
          </reference>
        </references>
      </pivotArea>
    </format>
    <format dxfId="28">
      <pivotArea dataOnly="0" labelOnly="1" fieldPosition="0">
        <references count="1">
          <reference field="3" count="1">
            <x v="3"/>
          </reference>
        </references>
      </pivotArea>
    </format>
    <format dxfId="27">
      <pivotArea collapsedLevelsAreSubtotals="1" fieldPosition="0">
        <references count="1">
          <reference field="3" count="1">
            <x v="4"/>
          </reference>
        </references>
      </pivotArea>
    </format>
    <format dxfId="26">
      <pivotArea dataOnly="0" labelOnly="1" fieldPosition="0">
        <references count="1">
          <reference field="3" count="1">
            <x v="4"/>
          </reference>
        </references>
      </pivotArea>
    </format>
    <format dxfId="25">
      <pivotArea collapsedLevelsAreSubtotals="1" fieldPosition="0">
        <references count="1">
          <reference field="3" count="1">
            <x v="5"/>
          </reference>
        </references>
      </pivotArea>
    </format>
    <format dxfId="24">
      <pivotArea dataOnly="0" labelOnly="1" fieldPosition="0">
        <references count="1">
          <reference field="3" count="1">
            <x v="5"/>
          </reference>
        </references>
      </pivotArea>
    </format>
    <format dxfId="23">
      <pivotArea collapsedLevelsAreSubtotals="1" fieldPosition="0">
        <references count="1">
          <reference field="3" count="1">
            <x v="6"/>
          </reference>
        </references>
      </pivotArea>
    </format>
    <format dxfId="22">
      <pivotArea dataOnly="0" labelOnly="1" fieldPosition="0">
        <references count="1">
          <reference field="3" count="1">
            <x v="6"/>
          </reference>
        </references>
      </pivotArea>
    </format>
    <format dxfId="21">
      <pivotArea collapsedLevelsAreSubtotals="1" fieldPosition="0">
        <references count="1">
          <reference field="3" count="1">
            <x v="7"/>
          </reference>
        </references>
      </pivotArea>
    </format>
    <format dxfId="20">
      <pivotArea dataOnly="0" labelOnly="1" fieldPosition="0">
        <references count="1">
          <reference field="3" count="1">
            <x v="7"/>
          </reference>
        </references>
      </pivotArea>
    </format>
    <format dxfId="19">
      <pivotArea collapsedLevelsAreSubtotals="1" fieldPosition="0">
        <references count="1">
          <reference field="3" count="1">
            <x v="8"/>
          </reference>
        </references>
      </pivotArea>
    </format>
    <format dxfId="18">
      <pivotArea dataOnly="0" labelOnly="1" fieldPosition="0">
        <references count="1">
          <reference field="3" count="1">
            <x v="8"/>
          </reference>
        </references>
      </pivotArea>
    </format>
    <format dxfId="17">
      <pivotArea collapsedLevelsAreSubtotals="1" fieldPosition="0">
        <references count="1">
          <reference field="3" count="1">
            <x v="9"/>
          </reference>
        </references>
      </pivotArea>
    </format>
    <format dxfId="16">
      <pivotArea dataOnly="0" labelOnly="1" fieldPosition="0">
        <references count="1">
          <reference field="3" count="1">
            <x v="9"/>
          </reference>
        </references>
      </pivotArea>
    </format>
    <format dxfId="15">
      <pivotArea collapsedLevelsAreSubtotals="1" fieldPosition="0">
        <references count="1">
          <reference field="3" count="1">
            <x v="10"/>
          </reference>
        </references>
      </pivotArea>
    </format>
    <format dxfId="14">
      <pivotArea dataOnly="0" labelOnly="1" fieldPosition="0">
        <references count="1">
          <reference field="3" count="1">
            <x v="10"/>
          </reference>
        </references>
      </pivotArea>
    </format>
    <format dxfId="13">
      <pivotArea collapsedLevelsAreSubtotals="1" fieldPosition="0">
        <references count="1">
          <reference field="3" count="1">
            <x v="11"/>
          </reference>
        </references>
      </pivotArea>
    </format>
    <format dxfId="12">
      <pivotArea dataOnly="0" labelOnly="1" fieldPosition="0">
        <references count="1">
          <reference field="3" count="1">
            <x v="11"/>
          </reference>
        </references>
      </pivotArea>
    </format>
    <format dxfId="11">
      <pivotArea collapsedLevelsAreSubtotals="1" fieldPosition="0">
        <references count="1">
          <reference field="3" count="1">
            <x v="12"/>
          </reference>
        </references>
      </pivotArea>
    </format>
    <format dxfId="10">
      <pivotArea dataOnly="0" labelOnly="1" fieldPosition="0">
        <references count="1">
          <reference field="3" count="1">
            <x v="12"/>
          </reference>
        </references>
      </pivotArea>
    </format>
    <format dxfId="9">
      <pivotArea collapsedLevelsAreSubtotals="1" fieldPosition="0">
        <references count="1">
          <reference field="3" count="1">
            <x v="13"/>
          </reference>
        </references>
      </pivotArea>
    </format>
    <format dxfId="8">
      <pivotArea dataOnly="0" labelOnly="1" fieldPosition="0">
        <references count="1">
          <reference field="3" count="1">
            <x v="13"/>
          </reference>
        </references>
      </pivotArea>
    </format>
    <format dxfId="7">
      <pivotArea collapsedLevelsAreSubtotals="1" fieldPosition="0">
        <references count="1">
          <reference field="3" count="1">
            <x v="14"/>
          </reference>
        </references>
      </pivotArea>
    </format>
    <format dxfId="6">
      <pivotArea dataOnly="0" labelOnly="1" fieldPosition="0">
        <references count="1">
          <reference field="3" count="1">
            <x v="14"/>
          </reference>
        </references>
      </pivotArea>
    </format>
    <format dxfId="5">
      <pivotArea collapsedLevelsAreSubtotals="1" fieldPosition="0">
        <references count="1">
          <reference field="3" count="1">
            <x v="15"/>
          </reference>
        </references>
      </pivotArea>
    </format>
    <format dxfId="4">
      <pivotArea dataOnly="0" labelOnly="1" fieldPosition="0">
        <references count="1">
          <reference field="3" count="1">
            <x v="15"/>
          </reference>
        </references>
      </pivotArea>
    </format>
    <format dxfId="3">
      <pivotArea collapsedLevelsAreSubtotals="1" fieldPosition="0">
        <references count="1">
          <reference field="3" count="1">
            <x v="16"/>
          </reference>
        </references>
      </pivotArea>
    </format>
    <format dxfId="2">
      <pivotArea dataOnly="0" labelOnly="1" fieldPosition="0">
        <references count="1">
          <reference field="3" count="1">
            <x v="16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13"/>
  <sheetViews>
    <sheetView workbookViewId="0">
      <selection activeCell="D17" sqref="D17"/>
    </sheetView>
  </sheetViews>
  <sheetFormatPr defaultRowHeight="14.5" x14ac:dyDescent="0.35"/>
  <cols>
    <col min="1" max="1" width="95.7265625" customWidth="1"/>
    <col min="2" max="2" width="13.453125" bestFit="1" customWidth="1"/>
  </cols>
  <sheetData>
    <row r="1" spans="1:2" ht="15" x14ac:dyDescent="0.25">
      <c r="A1" s="6" t="s">
        <v>13113</v>
      </c>
      <c r="B1" s="6" t="s">
        <v>13110</v>
      </c>
    </row>
    <row r="2" spans="1:2" ht="15" x14ac:dyDescent="0.25">
      <c r="A2" s="8" t="s">
        <v>13112</v>
      </c>
      <c r="B2" s="7"/>
    </row>
    <row r="3" spans="1:2" ht="15" x14ac:dyDescent="0.25">
      <c r="A3" s="7" t="s">
        <v>5</v>
      </c>
      <c r="B3" s="7" t="s">
        <v>13114</v>
      </c>
    </row>
    <row r="4" spans="1:2" ht="15" x14ac:dyDescent="0.25">
      <c r="A4" s="4" t="s">
        <v>2318</v>
      </c>
      <c r="B4" s="5">
        <v>2</v>
      </c>
    </row>
    <row r="5" spans="1:2" x14ac:dyDescent="0.35">
      <c r="A5" s="4" t="s">
        <v>4564</v>
      </c>
      <c r="B5" s="5">
        <v>5</v>
      </c>
    </row>
    <row r="6" spans="1:2" ht="15" x14ac:dyDescent="0.25">
      <c r="A6" s="4" t="s">
        <v>10226</v>
      </c>
      <c r="B6" s="5">
        <v>3</v>
      </c>
    </row>
    <row r="7" spans="1:2" ht="15" x14ac:dyDescent="0.25">
      <c r="A7" s="4" t="s">
        <v>1993</v>
      </c>
      <c r="B7" s="5">
        <v>44</v>
      </c>
    </row>
    <row r="8" spans="1:2" ht="15" x14ac:dyDescent="0.25">
      <c r="A8" s="4" t="s">
        <v>7022</v>
      </c>
      <c r="B8" s="5">
        <v>1</v>
      </c>
    </row>
    <row r="9" spans="1:2" ht="15" x14ac:dyDescent="0.25">
      <c r="A9" s="4" t="s">
        <v>10243</v>
      </c>
      <c r="B9" s="5">
        <v>3</v>
      </c>
    </row>
    <row r="10" spans="1:2" ht="15" x14ac:dyDescent="0.25">
      <c r="A10" s="4" t="s">
        <v>1814</v>
      </c>
      <c r="B10" s="5">
        <v>4</v>
      </c>
    </row>
    <row r="11" spans="1:2" ht="15" x14ac:dyDescent="0.25">
      <c r="A11" s="4" t="s">
        <v>12748</v>
      </c>
      <c r="B11" s="5">
        <v>1</v>
      </c>
    </row>
    <row r="12" spans="1:2" ht="15" x14ac:dyDescent="0.25">
      <c r="A12" s="4" t="s">
        <v>7626</v>
      </c>
      <c r="B12" s="5">
        <v>1</v>
      </c>
    </row>
    <row r="13" spans="1:2" ht="15" x14ac:dyDescent="0.25">
      <c r="A13" s="4" t="s">
        <v>10287</v>
      </c>
      <c r="B13" s="5">
        <v>3</v>
      </c>
    </row>
    <row r="14" spans="1:2" ht="15" x14ac:dyDescent="0.25">
      <c r="A14" s="4" t="s">
        <v>1589</v>
      </c>
      <c r="B14" s="5">
        <v>1</v>
      </c>
    </row>
    <row r="15" spans="1:2" ht="15" x14ac:dyDescent="0.25">
      <c r="A15" s="4" t="s">
        <v>2023</v>
      </c>
      <c r="B15" s="5">
        <v>8</v>
      </c>
    </row>
    <row r="16" spans="1:2" ht="15" x14ac:dyDescent="0.25">
      <c r="A16" s="4" t="s">
        <v>2035</v>
      </c>
      <c r="B16" s="5">
        <v>4</v>
      </c>
    </row>
    <row r="17" spans="1:2" ht="15" x14ac:dyDescent="0.25">
      <c r="A17" s="4" t="s">
        <v>9746</v>
      </c>
      <c r="B17" s="5">
        <v>1</v>
      </c>
    </row>
    <row r="18" spans="1:2" ht="15" x14ac:dyDescent="0.25">
      <c r="A18" s="4" t="s">
        <v>7980</v>
      </c>
      <c r="B18" s="5">
        <v>3</v>
      </c>
    </row>
    <row r="19" spans="1:2" ht="15" x14ac:dyDescent="0.25">
      <c r="A19" s="4" t="s">
        <v>2526</v>
      </c>
      <c r="B19" s="5">
        <v>2</v>
      </c>
    </row>
    <row r="20" spans="1:2" ht="15" x14ac:dyDescent="0.25">
      <c r="A20" s="4" t="s">
        <v>3879</v>
      </c>
      <c r="B20" s="5">
        <v>1</v>
      </c>
    </row>
    <row r="21" spans="1:2" ht="15" x14ac:dyDescent="0.25">
      <c r="A21" s="4" t="s">
        <v>12277</v>
      </c>
      <c r="B21" s="5">
        <v>1</v>
      </c>
    </row>
    <row r="22" spans="1:2" x14ac:dyDescent="0.35">
      <c r="A22" s="4" t="s">
        <v>10218</v>
      </c>
      <c r="B22" s="5">
        <v>3</v>
      </c>
    </row>
    <row r="23" spans="1:2" x14ac:dyDescent="0.35">
      <c r="A23" s="4" t="s">
        <v>4694</v>
      </c>
      <c r="B23" s="5">
        <v>6</v>
      </c>
    </row>
    <row r="24" spans="1:2" x14ac:dyDescent="0.35">
      <c r="A24" s="4" t="s">
        <v>3608</v>
      </c>
      <c r="B24" s="5">
        <v>1</v>
      </c>
    </row>
    <row r="25" spans="1:2" x14ac:dyDescent="0.35">
      <c r="A25" s="4" t="s">
        <v>641</v>
      </c>
      <c r="B25" s="5">
        <v>2</v>
      </c>
    </row>
    <row r="26" spans="1:2" x14ac:dyDescent="0.35">
      <c r="A26" s="4" t="s">
        <v>3003</v>
      </c>
      <c r="B26" s="5">
        <v>4</v>
      </c>
    </row>
    <row r="27" spans="1:2" x14ac:dyDescent="0.35">
      <c r="A27" s="4" t="s">
        <v>3139</v>
      </c>
      <c r="B27" s="5">
        <v>1</v>
      </c>
    </row>
    <row r="28" spans="1:2" x14ac:dyDescent="0.35">
      <c r="A28" s="4" t="s">
        <v>2176</v>
      </c>
      <c r="B28" s="5">
        <v>1</v>
      </c>
    </row>
    <row r="29" spans="1:2" x14ac:dyDescent="0.35">
      <c r="A29" s="4" t="s">
        <v>3215</v>
      </c>
      <c r="B29" s="5">
        <v>3</v>
      </c>
    </row>
    <row r="30" spans="1:2" x14ac:dyDescent="0.35">
      <c r="A30" s="4" t="s">
        <v>1758</v>
      </c>
      <c r="B30" s="5">
        <v>10</v>
      </c>
    </row>
    <row r="31" spans="1:2" x14ac:dyDescent="0.35">
      <c r="A31" s="4" t="s">
        <v>9133</v>
      </c>
      <c r="B31" s="5">
        <v>3</v>
      </c>
    </row>
    <row r="32" spans="1:2" x14ac:dyDescent="0.35">
      <c r="A32" s="4" t="s">
        <v>5182</v>
      </c>
      <c r="B32" s="5">
        <v>1</v>
      </c>
    </row>
    <row r="33" spans="1:2" x14ac:dyDescent="0.35">
      <c r="A33" s="4" t="s">
        <v>171</v>
      </c>
      <c r="B33" s="5">
        <v>3</v>
      </c>
    </row>
    <row r="34" spans="1:2" x14ac:dyDescent="0.35">
      <c r="A34" s="4" t="s">
        <v>2675</v>
      </c>
      <c r="B34" s="5">
        <v>1</v>
      </c>
    </row>
    <row r="35" spans="1:2" x14ac:dyDescent="0.35">
      <c r="A35" s="4" t="s">
        <v>5050</v>
      </c>
      <c r="B35" s="5">
        <v>2</v>
      </c>
    </row>
    <row r="36" spans="1:2" x14ac:dyDescent="0.35">
      <c r="A36" s="4" t="s">
        <v>1613</v>
      </c>
      <c r="B36" s="5">
        <v>1</v>
      </c>
    </row>
    <row r="37" spans="1:2" x14ac:dyDescent="0.35">
      <c r="A37" s="4" t="s">
        <v>381</v>
      </c>
      <c r="B37" s="5">
        <v>3</v>
      </c>
    </row>
    <row r="38" spans="1:2" x14ac:dyDescent="0.35">
      <c r="A38" s="4" t="s">
        <v>4841</v>
      </c>
      <c r="B38" s="5">
        <v>1</v>
      </c>
    </row>
    <row r="39" spans="1:2" x14ac:dyDescent="0.35">
      <c r="A39" s="4" t="s">
        <v>4286</v>
      </c>
      <c r="B39" s="5">
        <v>1</v>
      </c>
    </row>
    <row r="40" spans="1:2" x14ac:dyDescent="0.35">
      <c r="A40" s="4" t="s">
        <v>502</v>
      </c>
      <c r="B40" s="5">
        <v>3</v>
      </c>
    </row>
    <row r="41" spans="1:2" x14ac:dyDescent="0.35">
      <c r="A41" s="4" t="s">
        <v>8834</v>
      </c>
      <c r="B41" s="5">
        <v>2</v>
      </c>
    </row>
    <row r="42" spans="1:2" x14ac:dyDescent="0.35">
      <c r="A42" s="4" t="s">
        <v>8494</v>
      </c>
      <c r="B42" s="5">
        <v>3</v>
      </c>
    </row>
    <row r="43" spans="1:2" x14ac:dyDescent="0.35">
      <c r="A43" s="4" t="s">
        <v>1916</v>
      </c>
      <c r="B43" s="5">
        <v>2</v>
      </c>
    </row>
    <row r="44" spans="1:2" x14ac:dyDescent="0.35">
      <c r="A44" s="4" t="s">
        <v>2644</v>
      </c>
      <c r="B44" s="5">
        <v>3</v>
      </c>
    </row>
    <row r="45" spans="1:2" x14ac:dyDescent="0.35">
      <c r="A45" s="4" t="s">
        <v>3298</v>
      </c>
      <c r="B45" s="5">
        <v>10</v>
      </c>
    </row>
    <row r="46" spans="1:2" x14ac:dyDescent="0.35">
      <c r="A46" s="4" t="s">
        <v>515</v>
      </c>
      <c r="B46" s="5">
        <v>29</v>
      </c>
    </row>
    <row r="47" spans="1:2" x14ac:dyDescent="0.35">
      <c r="A47" s="4" t="s">
        <v>8844</v>
      </c>
      <c r="B47" s="5">
        <v>1</v>
      </c>
    </row>
    <row r="48" spans="1:2" x14ac:dyDescent="0.35">
      <c r="A48" s="4" t="s">
        <v>3542</v>
      </c>
      <c r="B48" s="5">
        <v>3</v>
      </c>
    </row>
    <row r="49" spans="1:2" x14ac:dyDescent="0.35">
      <c r="A49" s="4" t="s">
        <v>5668</v>
      </c>
      <c r="B49" s="5">
        <v>1</v>
      </c>
    </row>
    <row r="50" spans="1:2" x14ac:dyDescent="0.35">
      <c r="A50" s="4" t="s">
        <v>9179</v>
      </c>
      <c r="B50" s="5">
        <v>4</v>
      </c>
    </row>
    <row r="51" spans="1:2" x14ac:dyDescent="0.35">
      <c r="A51" s="4" t="s">
        <v>2907</v>
      </c>
      <c r="B51" s="5">
        <v>1</v>
      </c>
    </row>
    <row r="52" spans="1:2" x14ac:dyDescent="0.35">
      <c r="A52" s="4" t="s">
        <v>3048</v>
      </c>
      <c r="B52" s="5">
        <v>1</v>
      </c>
    </row>
    <row r="53" spans="1:2" x14ac:dyDescent="0.35">
      <c r="A53" s="4" t="s">
        <v>6728</v>
      </c>
      <c r="B53" s="5">
        <v>1</v>
      </c>
    </row>
    <row r="54" spans="1:2" x14ac:dyDescent="0.35">
      <c r="A54" s="4" t="s">
        <v>3198</v>
      </c>
      <c r="B54" s="5">
        <v>1</v>
      </c>
    </row>
    <row r="55" spans="1:2" x14ac:dyDescent="0.35">
      <c r="A55" s="4" t="s">
        <v>6803</v>
      </c>
      <c r="B55" s="5">
        <v>1</v>
      </c>
    </row>
    <row r="56" spans="1:2" x14ac:dyDescent="0.35">
      <c r="A56" s="4" t="s">
        <v>604</v>
      </c>
      <c r="B56" s="5">
        <v>8</v>
      </c>
    </row>
    <row r="57" spans="1:2" x14ac:dyDescent="0.35">
      <c r="A57" s="4" t="s">
        <v>5083</v>
      </c>
      <c r="B57" s="5">
        <v>6</v>
      </c>
    </row>
    <row r="58" spans="1:2" x14ac:dyDescent="0.35">
      <c r="A58" s="4" t="s">
        <v>6377</v>
      </c>
      <c r="B58" s="5">
        <v>4</v>
      </c>
    </row>
    <row r="59" spans="1:2" x14ac:dyDescent="0.35">
      <c r="A59" s="4" t="s">
        <v>337</v>
      </c>
      <c r="B59" s="5">
        <v>3</v>
      </c>
    </row>
    <row r="60" spans="1:2" x14ac:dyDescent="0.35">
      <c r="A60" s="4" t="s">
        <v>10294</v>
      </c>
      <c r="B60" s="5">
        <v>1</v>
      </c>
    </row>
    <row r="61" spans="1:2" x14ac:dyDescent="0.35">
      <c r="A61" s="4" t="s">
        <v>12786</v>
      </c>
      <c r="B61" s="5">
        <v>4</v>
      </c>
    </row>
    <row r="62" spans="1:2" x14ac:dyDescent="0.35">
      <c r="A62" s="4" t="s">
        <v>67</v>
      </c>
      <c r="B62" s="5">
        <v>2</v>
      </c>
    </row>
    <row r="63" spans="1:2" x14ac:dyDescent="0.35">
      <c r="A63" s="4" t="s">
        <v>2620</v>
      </c>
      <c r="B63" s="5">
        <v>3</v>
      </c>
    </row>
    <row r="64" spans="1:2" x14ac:dyDescent="0.35">
      <c r="A64" s="4" t="s">
        <v>629</v>
      </c>
      <c r="B64" s="5">
        <v>2</v>
      </c>
    </row>
    <row r="65" spans="1:2" x14ac:dyDescent="0.35">
      <c r="A65" s="4" t="s">
        <v>11941</v>
      </c>
      <c r="B65" s="5">
        <v>1</v>
      </c>
    </row>
    <row r="66" spans="1:2" x14ac:dyDescent="0.35">
      <c r="A66" s="4" t="s">
        <v>10220</v>
      </c>
      <c r="B66" s="5">
        <v>3</v>
      </c>
    </row>
    <row r="67" spans="1:2" x14ac:dyDescent="0.35">
      <c r="A67" s="4" t="s">
        <v>7213</v>
      </c>
      <c r="B67" s="5">
        <v>1</v>
      </c>
    </row>
    <row r="68" spans="1:2" x14ac:dyDescent="0.35">
      <c r="A68" s="4" t="s">
        <v>8626</v>
      </c>
      <c r="B68" s="5">
        <v>3</v>
      </c>
    </row>
    <row r="69" spans="1:2" x14ac:dyDescent="0.35">
      <c r="A69" s="4" t="s">
        <v>6927</v>
      </c>
      <c r="B69" s="5">
        <v>1</v>
      </c>
    </row>
    <row r="70" spans="1:2" x14ac:dyDescent="0.35">
      <c r="A70" s="4" t="s">
        <v>1473</v>
      </c>
      <c r="B70" s="5">
        <v>3</v>
      </c>
    </row>
    <row r="71" spans="1:2" x14ac:dyDescent="0.35">
      <c r="A71" s="4" t="s">
        <v>10595</v>
      </c>
      <c r="B71" s="5">
        <v>1</v>
      </c>
    </row>
    <row r="72" spans="1:2" x14ac:dyDescent="0.35">
      <c r="A72" s="4" t="s">
        <v>9678</v>
      </c>
      <c r="B72" s="5">
        <v>3</v>
      </c>
    </row>
    <row r="73" spans="1:2" x14ac:dyDescent="0.35">
      <c r="A73" s="4" t="s">
        <v>12949</v>
      </c>
      <c r="B73" s="5">
        <v>1</v>
      </c>
    </row>
    <row r="74" spans="1:2" x14ac:dyDescent="0.35">
      <c r="A74" s="4" t="s">
        <v>4358</v>
      </c>
      <c r="B74" s="5">
        <v>1</v>
      </c>
    </row>
    <row r="75" spans="1:2" x14ac:dyDescent="0.35">
      <c r="A75" s="4" t="s">
        <v>4950</v>
      </c>
      <c r="B75" s="5">
        <v>6</v>
      </c>
    </row>
    <row r="76" spans="1:2" x14ac:dyDescent="0.35">
      <c r="A76" s="4" t="s">
        <v>10042</v>
      </c>
      <c r="B76" s="5">
        <v>2</v>
      </c>
    </row>
    <row r="77" spans="1:2" x14ac:dyDescent="0.35">
      <c r="A77" s="4" t="s">
        <v>8806</v>
      </c>
      <c r="B77" s="5">
        <v>2</v>
      </c>
    </row>
    <row r="78" spans="1:2" x14ac:dyDescent="0.35">
      <c r="A78" s="4" t="s">
        <v>7107</v>
      </c>
      <c r="B78" s="5">
        <v>2</v>
      </c>
    </row>
    <row r="79" spans="1:2" x14ac:dyDescent="0.35">
      <c r="A79" s="4" t="s">
        <v>7082</v>
      </c>
      <c r="B79" s="5">
        <v>1</v>
      </c>
    </row>
    <row r="80" spans="1:2" x14ac:dyDescent="0.35">
      <c r="A80" s="4" t="s">
        <v>6144</v>
      </c>
      <c r="B80" s="5">
        <v>1</v>
      </c>
    </row>
    <row r="81" spans="1:2" x14ac:dyDescent="0.35">
      <c r="A81" s="4" t="s">
        <v>5376</v>
      </c>
      <c r="B81" s="5">
        <v>5</v>
      </c>
    </row>
    <row r="82" spans="1:2" x14ac:dyDescent="0.35">
      <c r="A82" s="4" t="s">
        <v>5768</v>
      </c>
      <c r="B82" s="5">
        <v>1</v>
      </c>
    </row>
    <row r="83" spans="1:2" x14ac:dyDescent="0.35">
      <c r="A83" s="4" t="s">
        <v>10303</v>
      </c>
      <c r="B83" s="5">
        <v>3</v>
      </c>
    </row>
    <row r="84" spans="1:2" x14ac:dyDescent="0.35">
      <c r="A84" s="4" t="s">
        <v>7482</v>
      </c>
      <c r="B84" s="5">
        <v>1</v>
      </c>
    </row>
    <row r="85" spans="1:2" x14ac:dyDescent="0.35">
      <c r="A85" s="4" t="s">
        <v>9322</v>
      </c>
      <c r="B85" s="5">
        <v>1</v>
      </c>
    </row>
    <row r="86" spans="1:2" x14ac:dyDescent="0.35">
      <c r="A86" s="4" t="s">
        <v>166</v>
      </c>
      <c r="B86" s="5">
        <v>3</v>
      </c>
    </row>
    <row r="87" spans="1:2" x14ac:dyDescent="0.35">
      <c r="A87" s="4" t="s">
        <v>11904</v>
      </c>
      <c r="B87" s="5">
        <v>1</v>
      </c>
    </row>
    <row r="88" spans="1:2" x14ac:dyDescent="0.35">
      <c r="A88" s="4" t="s">
        <v>4018</v>
      </c>
      <c r="B88" s="5">
        <v>3</v>
      </c>
    </row>
    <row r="89" spans="1:2" x14ac:dyDescent="0.35">
      <c r="A89" s="4" t="s">
        <v>1245</v>
      </c>
      <c r="B89" s="5">
        <v>8</v>
      </c>
    </row>
    <row r="90" spans="1:2" x14ac:dyDescent="0.35">
      <c r="A90" s="4" t="s">
        <v>9164</v>
      </c>
      <c r="B90" s="5">
        <v>2</v>
      </c>
    </row>
    <row r="91" spans="1:2" x14ac:dyDescent="0.35">
      <c r="A91" s="4" t="s">
        <v>3939</v>
      </c>
      <c r="B91" s="5">
        <v>9</v>
      </c>
    </row>
    <row r="92" spans="1:2" x14ac:dyDescent="0.35">
      <c r="A92" s="4" t="s">
        <v>3179</v>
      </c>
      <c r="B92" s="5">
        <v>22</v>
      </c>
    </row>
    <row r="93" spans="1:2" x14ac:dyDescent="0.35">
      <c r="A93" s="4" t="s">
        <v>3175</v>
      </c>
      <c r="B93" s="5">
        <v>6</v>
      </c>
    </row>
    <row r="94" spans="1:2" x14ac:dyDescent="0.35">
      <c r="A94" s="4" t="s">
        <v>3839</v>
      </c>
      <c r="B94" s="5">
        <v>1</v>
      </c>
    </row>
    <row r="95" spans="1:2" x14ac:dyDescent="0.35">
      <c r="A95" s="4" t="s">
        <v>9313</v>
      </c>
      <c r="B95" s="5">
        <v>1</v>
      </c>
    </row>
    <row r="96" spans="1:2" x14ac:dyDescent="0.35">
      <c r="A96" s="4" t="s">
        <v>6505</v>
      </c>
      <c r="B96" s="5">
        <v>1</v>
      </c>
    </row>
    <row r="97" spans="1:2" x14ac:dyDescent="0.35">
      <c r="A97" s="4" t="s">
        <v>11289</v>
      </c>
      <c r="B97" s="5">
        <v>2</v>
      </c>
    </row>
    <row r="98" spans="1:2" x14ac:dyDescent="0.35">
      <c r="A98" s="4" t="s">
        <v>10861</v>
      </c>
      <c r="B98" s="5">
        <v>1</v>
      </c>
    </row>
    <row r="99" spans="1:2" x14ac:dyDescent="0.35">
      <c r="A99" s="4" t="s">
        <v>1046</v>
      </c>
      <c r="B99" s="5">
        <v>2</v>
      </c>
    </row>
    <row r="100" spans="1:2" x14ac:dyDescent="0.35">
      <c r="A100" s="4" t="s">
        <v>2521</v>
      </c>
      <c r="B100" s="5">
        <v>1</v>
      </c>
    </row>
    <row r="101" spans="1:2" x14ac:dyDescent="0.35">
      <c r="A101" s="4" t="s">
        <v>9479</v>
      </c>
      <c r="B101" s="5">
        <v>3</v>
      </c>
    </row>
    <row r="102" spans="1:2" x14ac:dyDescent="0.35">
      <c r="A102" s="4" t="s">
        <v>3762</v>
      </c>
      <c r="B102" s="5">
        <v>6</v>
      </c>
    </row>
    <row r="103" spans="1:2" x14ac:dyDescent="0.35">
      <c r="A103" s="4" t="s">
        <v>10448</v>
      </c>
      <c r="B103" s="5">
        <v>2</v>
      </c>
    </row>
    <row r="104" spans="1:2" x14ac:dyDescent="0.35">
      <c r="A104" s="4" t="s">
        <v>5133</v>
      </c>
      <c r="B104" s="5">
        <v>3</v>
      </c>
    </row>
    <row r="105" spans="1:2" x14ac:dyDescent="0.35">
      <c r="A105" s="4" t="s">
        <v>3875</v>
      </c>
      <c r="B105" s="5">
        <v>10</v>
      </c>
    </row>
    <row r="106" spans="1:2" x14ac:dyDescent="0.35">
      <c r="A106" s="4" t="s">
        <v>3640</v>
      </c>
      <c r="B106" s="5">
        <v>28</v>
      </c>
    </row>
    <row r="107" spans="1:2" x14ac:dyDescent="0.35">
      <c r="A107" s="4" t="s">
        <v>10325</v>
      </c>
      <c r="B107" s="5">
        <v>3</v>
      </c>
    </row>
    <row r="108" spans="1:2" x14ac:dyDescent="0.35">
      <c r="A108" s="4" t="s">
        <v>10650</v>
      </c>
      <c r="B108" s="5">
        <v>1</v>
      </c>
    </row>
    <row r="109" spans="1:2" x14ac:dyDescent="0.35">
      <c r="A109" s="4" t="s">
        <v>1535</v>
      </c>
      <c r="B109" s="5">
        <v>1</v>
      </c>
    </row>
    <row r="110" spans="1:2" x14ac:dyDescent="0.35">
      <c r="A110" s="4" t="s">
        <v>3271</v>
      </c>
      <c r="B110" s="5">
        <v>10</v>
      </c>
    </row>
    <row r="111" spans="1:2" x14ac:dyDescent="0.35">
      <c r="A111" s="4" t="s">
        <v>7475</v>
      </c>
      <c r="B111" s="5">
        <v>1</v>
      </c>
    </row>
    <row r="112" spans="1:2" x14ac:dyDescent="0.35">
      <c r="A112" s="4" t="s">
        <v>2715</v>
      </c>
      <c r="B112" s="5">
        <v>1</v>
      </c>
    </row>
    <row r="113" spans="1:2" x14ac:dyDescent="0.35">
      <c r="A113" s="4" t="s">
        <v>12626</v>
      </c>
      <c r="B113" s="5">
        <v>1</v>
      </c>
    </row>
    <row r="114" spans="1:2" x14ac:dyDescent="0.35">
      <c r="A114" s="4" t="s">
        <v>10070</v>
      </c>
      <c r="B114" s="5">
        <v>3</v>
      </c>
    </row>
    <row r="115" spans="1:2" x14ac:dyDescent="0.35">
      <c r="A115" s="4" t="s">
        <v>10936</v>
      </c>
      <c r="B115" s="5">
        <v>1</v>
      </c>
    </row>
    <row r="116" spans="1:2" x14ac:dyDescent="0.35">
      <c r="A116" s="4" t="s">
        <v>3830</v>
      </c>
      <c r="B116" s="5">
        <v>18</v>
      </c>
    </row>
    <row r="117" spans="1:2" x14ac:dyDescent="0.35">
      <c r="A117" s="4" t="s">
        <v>3503</v>
      </c>
      <c r="B117" s="5">
        <v>2</v>
      </c>
    </row>
    <row r="118" spans="1:2" x14ac:dyDescent="0.35">
      <c r="A118" s="4" t="s">
        <v>5931</v>
      </c>
      <c r="B118" s="5">
        <v>2</v>
      </c>
    </row>
    <row r="119" spans="1:2" x14ac:dyDescent="0.35">
      <c r="A119" s="4" t="s">
        <v>2708</v>
      </c>
      <c r="B119" s="5">
        <v>5</v>
      </c>
    </row>
    <row r="120" spans="1:2" x14ac:dyDescent="0.35">
      <c r="A120" s="4" t="s">
        <v>2227</v>
      </c>
      <c r="B120" s="5">
        <v>3</v>
      </c>
    </row>
    <row r="121" spans="1:2" x14ac:dyDescent="0.35">
      <c r="A121" s="4" t="s">
        <v>9489</v>
      </c>
      <c r="B121" s="5">
        <v>3</v>
      </c>
    </row>
    <row r="122" spans="1:2" x14ac:dyDescent="0.35">
      <c r="A122" s="4" t="s">
        <v>1154</v>
      </c>
      <c r="B122" s="5">
        <v>4</v>
      </c>
    </row>
    <row r="123" spans="1:2" x14ac:dyDescent="0.35">
      <c r="A123" s="4" t="s">
        <v>12523</v>
      </c>
      <c r="B123" s="5">
        <v>1</v>
      </c>
    </row>
    <row r="124" spans="1:2" x14ac:dyDescent="0.35">
      <c r="A124" s="4" t="s">
        <v>185</v>
      </c>
      <c r="B124" s="5">
        <v>1</v>
      </c>
    </row>
    <row r="125" spans="1:2" x14ac:dyDescent="0.35">
      <c r="A125" s="4" t="s">
        <v>9669</v>
      </c>
      <c r="B125" s="5">
        <v>4</v>
      </c>
    </row>
    <row r="126" spans="1:2" x14ac:dyDescent="0.35">
      <c r="A126" s="4" t="s">
        <v>7689</v>
      </c>
      <c r="B126" s="5">
        <v>1</v>
      </c>
    </row>
    <row r="127" spans="1:2" x14ac:dyDescent="0.35">
      <c r="A127" s="4" t="s">
        <v>8142</v>
      </c>
      <c r="B127" s="5">
        <v>2</v>
      </c>
    </row>
    <row r="128" spans="1:2" x14ac:dyDescent="0.35">
      <c r="A128" s="4" t="s">
        <v>52</v>
      </c>
      <c r="B128" s="5">
        <v>45</v>
      </c>
    </row>
    <row r="129" spans="1:2" x14ac:dyDescent="0.35">
      <c r="A129" s="4" t="s">
        <v>13066</v>
      </c>
      <c r="B129" s="5">
        <v>2</v>
      </c>
    </row>
    <row r="130" spans="1:2" x14ac:dyDescent="0.35">
      <c r="A130" s="4" t="s">
        <v>7161</v>
      </c>
      <c r="B130" s="5">
        <v>2</v>
      </c>
    </row>
    <row r="131" spans="1:2" x14ac:dyDescent="0.35">
      <c r="A131" s="4" t="s">
        <v>296</v>
      </c>
      <c r="B131" s="5">
        <v>2</v>
      </c>
    </row>
    <row r="132" spans="1:2" x14ac:dyDescent="0.35">
      <c r="A132" s="4" t="s">
        <v>6177</v>
      </c>
      <c r="B132" s="5">
        <v>2</v>
      </c>
    </row>
    <row r="133" spans="1:2" x14ac:dyDescent="0.35">
      <c r="A133" s="4" t="s">
        <v>2433</v>
      </c>
      <c r="B133" s="5">
        <v>12</v>
      </c>
    </row>
    <row r="134" spans="1:2" x14ac:dyDescent="0.35">
      <c r="A134" s="4" t="s">
        <v>1510</v>
      </c>
      <c r="B134" s="5">
        <v>1</v>
      </c>
    </row>
    <row r="135" spans="1:2" x14ac:dyDescent="0.35">
      <c r="A135" s="4" t="s">
        <v>7340</v>
      </c>
      <c r="B135" s="5">
        <v>1</v>
      </c>
    </row>
    <row r="136" spans="1:2" x14ac:dyDescent="0.35">
      <c r="A136" s="4" t="s">
        <v>5350</v>
      </c>
      <c r="B136" s="5">
        <v>6</v>
      </c>
    </row>
    <row r="137" spans="1:2" x14ac:dyDescent="0.35">
      <c r="A137" s="4" t="s">
        <v>4144</v>
      </c>
      <c r="B137" s="5">
        <v>2</v>
      </c>
    </row>
    <row r="138" spans="1:2" x14ac:dyDescent="0.35">
      <c r="A138" s="4" t="s">
        <v>1196</v>
      </c>
      <c r="B138" s="5">
        <v>1</v>
      </c>
    </row>
    <row r="139" spans="1:2" x14ac:dyDescent="0.35">
      <c r="A139" s="4" t="s">
        <v>5308</v>
      </c>
      <c r="B139" s="5">
        <v>5</v>
      </c>
    </row>
    <row r="140" spans="1:2" x14ac:dyDescent="0.35">
      <c r="A140" s="4" t="s">
        <v>1551</v>
      </c>
      <c r="B140" s="5">
        <v>1</v>
      </c>
    </row>
    <row r="141" spans="1:2" x14ac:dyDescent="0.35">
      <c r="A141" s="4" t="s">
        <v>10583</v>
      </c>
      <c r="B141" s="5">
        <v>1</v>
      </c>
    </row>
    <row r="142" spans="1:2" x14ac:dyDescent="0.35">
      <c r="A142" s="4" t="s">
        <v>1373</v>
      </c>
      <c r="B142" s="5">
        <v>20</v>
      </c>
    </row>
    <row r="143" spans="1:2" x14ac:dyDescent="0.35">
      <c r="A143" s="4" t="s">
        <v>745</v>
      </c>
      <c r="B143" s="5">
        <v>63</v>
      </c>
    </row>
    <row r="144" spans="1:2" x14ac:dyDescent="0.35">
      <c r="A144" s="4" t="s">
        <v>9868</v>
      </c>
      <c r="B144" s="5">
        <v>3</v>
      </c>
    </row>
    <row r="145" spans="1:2" x14ac:dyDescent="0.35">
      <c r="A145" s="4" t="s">
        <v>6985</v>
      </c>
      <c r="B145" s="5">
        <v>3</v>
      </c>
    </row>
    <row r="146" spans="1:2" x14ac:dyDescent="0.35">
      <c r="A146" s="4" t="s">
        <v>12945</v>
      </c>
      <c r="B146" s="5">
        <v>3</v>
      </c>
    </row>
    <row r="147" spans="1:2" x14ac:dyDescent="0.35">
      <c r="A147" s="4" t="s">
        <v>8367</v>
      </c>
      <c r="B147" s="5">
        <v>7</v>
      </c>
    </row>
    <row r="148" spans="1:2" x14ac:dyDescent="0.35">
      <c r="A148" s="4" t="s">
        <v>2698</v>
      </c>
      <c r="B148" s="5">
        <v>11</v>
      </c>
    </row>
    <row r="149" spans="1:2" x14ac:dyDescent="0.35">
      <c r="A149" s="4" t="s">
        <v>4846</v>
      </c>
      <c r="B149" s="5">
        <v>7</v>
      </c>
    </row>
    <row r="150" spans="1:2" x14ac:dyDescent="0.35">
      <c r="A150" s="4" t="s">
        <v>6712</v>
      </c>
      <c r="B150" s="5">
        <v>1</v>
      </c>
    </row>
    <row r="151" spans="1:2" x14ac:dyDescent="0.35">
      <c r="A151" s="4" t="s">
        <v>9501</v>
      </c>
      <c r="B151" s="5">
        <v>3</v>
      </c>
    </row>
    <row r="152" spans="1:2" x14ac:dyDescent="0.35">
      <c r="A152" s="4" t="s">
        <v>8556</v>
      </c>
      <c r="B152" s="5">
        <v>1</v>
      </c>
    </row>
    <row r="153" spans="1:2" x14ac:dyDescent="0.35">
      <c r="A153" s="4" t="s">
        <v>2862</v>
      </c>
      <c r="B153" s="5">
        <v>2</v>
      </c>
    </row>
    <row r="154" spans="1:2" x14ac:dyDescent="0.35">
      <c r="A154" s="4" t="s">
        <v>7404</v>
      </c>
      <c r="B154" s="5">
        <v>1</v>
      </c>
    </row>
    <row r="155" spans="1:2" x14ac:dyDescent="0.35">
      <c r="A155" s="4" t="s">
        <v>3366</v>
      </c>
      <c r="B155" s="5">
        <v>10</v>
      </c>
    </row>
    <row r="156" spans="1:2" x14ac:dyDescent="0.35">
      <c r="A156" s="4" t="s">
        <v>6989</v>
      </c>
      <c r="B156" s="5">
        <v>2</v>
      </c>
    </row>
    <row r="157" spans="1:2" x14ac:dyDescent="0.35">
      <c r="A157" s="4" t="s">
        <v>2718</v>
      </c>
      <c r="B157" s="5">
        <v>2</v>
      </c>
    </row>
    <row r="158" spans="1:2" x14ac:dyDescent="0.35">
      <c r="A158" s="4" t="s">
        <v>7562</v>
      </c>
      <c r="B158" s="5">
        <v>1</v>
      </c>
    </row>
    <row r="159" spans="1:2" x14ac:dyDescent="0.35">
      <c r="A159" s="4" t="s">
        <v>9999</v>
      </c>
      <c r="B159" s="5">
        <v>11</v>
      </c>
    </row>
    <row r="160" spans="1:2" x14ac:dyDescent="0.35">
      <c r="A160" s="4" t="s">
        <v>3808</v>
      </c>
      <c r="B160" s="5">
        <v>7</v>
      </c>
    </row>
    <row r="161" spans="1:2" x14ac:dyDescent="0.35">
      <c r="A161" s="4" t="s">
        <v>2634</v>
      </c>
      <c r="B161" s="5">
        <v>2</v>
      </c>
    </row>
    <row r="162" spans="1:2" x14ac:dyDescent="0.35">
      <c r="A162" s="4" t="s">
        <v>2512</v>
      </c>
      <c r="B162" s="5">
        <v>1</v>
      </c>
    </row>
    <row r="163" spans="1:2" x14ac:dyDescent="0.35">
      <c r="A163" s="4" t="s">
        <v>3146</v>
      </c>
      <c r="B163" s="5">
        <v>2</v>
      </c>
    </row>
    <row r="164" spans="1:2" x14ac:dyDescent="0.35">
      <c r="A164" s="4" t="s">
        <v>6082</v>
      </c>
      <c r="B164" s="5">
        <v>20</v>
      </c>
    </row>
    <row r="165" spans="1:2" x14ac:dyDescent="0.35">
      <c r="A165" s="4" t="s">
        <v>819</v>
      </c>
      <c r="B165" s="5">
        <v>3</v>
      </c>
    </row>
    <row r="166" spans="1:2" x14ac:dyDescent="0.35">
      <c r="A166" s="4" t="s">
        <v>2610</v>
      </c>
      <c r="B166" s="5">
        <v>5</v>
      </c>
    </row>
    <row r="167" spans="1:2" x14ac:dyDescent="0.35">
      <c r="A167" s="4" t="s">
        <v>2008</v>
      </c>
      <c r="B167" s="5">
        <v>3</v>
      </c>
    </row>
    <row r="168" spans="1:2" x14ac:dyDescent="0.35">
      <c r="A168" s="4" t="s">
        <v>840</v>
      </c>
      <c r="B168" s="5">
        <v>18</v>
      </c>
    </row>
    <row r="169" spans="1:2" x14ac:dyDescent="0.35">
      <c r="A169" s="4" t="s">
        <v>6937</v>
      </c>
      <c r="B169" s="5">
        <v>17</v>
      </c>
    </row>
    <row r="170" spans="1:2" x14ac:dyDescent="0.35">
      <c r="A170" s="4" t="s">
        <v>12716</v>
      </c>
      <c r="B170" s="5">
        <v>2</v>
      </c>
    </row>
    <row r="171" spans="1:2" x14ac:dyDescent="0.35">
      <c r="A171" s="4" t="s">
        <v>12045</v>
      </c>
      <c r="B171" s="5">
        <v>5</v>
      </c>
    </row>
    <row r="172" spans="1:2" x14ac:dyDescent="0.35">
      <c r="A172" s="4" t="s">
        <v>4937</v>
      </c>
      <c r="B172" s="5">
        <v>24</v>
      </c>
    </row>
    <row r="173" spans="1:2" x14ac:dyDescent="0.35">
      <c r="A173" s="4" t="s">
        <v>3484</v>
      </c>
      <c r="B173" s="5">
        <v>3</v>
      </c>
    </row>
    <row r="174" spans="1:2" x14ac:dyDescent="0.35">
      <c r="A174" s="4" t="s">
        <v>6268</v>
      </c>
      <c r="B174" s="5">
        <v>3</v>
      </c>
    </row>
    <row r="175" spans="1:2" x14ac:dyDescent="0.35">
      <c r="A175" s="4" t="s">
        <v>242</v>
      </c>
      <c r="B175" s="5">
        <v>1</v>
      </c>
    </row>
    <row r="176" spans="1:2" x14ac:dyDescent="0.35">
      <c r="A176" s="4" t="s">
        <v>7319</v>
      </c>
      <c r="B176" s="5">
        <v>2</v>
      </c>
    </row>
    <row r="177" spans="1:2" x14ac:dyDescent="0.35">
      <c r="A177" s="4" t="s">
        <v>7038</v>
      </c>
      <c r="B177" s="5">
        <v>3</v>
      </c>
    </row>
    <row r="178" spans="1:2" x14ac:dyDescent="0.35">
      <c r="A178" s="4" t="s">
        <v>11321</v>
      </c>
      <c r="B178" s="5">
        <v>3</v>
      </c>
    </row>
    <row r="179" spans="1:2" x14ac:dyDescent="0.35">
      <c r="A179" s="4" t="s">
        <v>3624</v>
      </c>
      <c r="B179" s="5">
        <v>1</v>
      </c>
    </row>
    <row r="180" spans="1:2" x14ac:dyDescent="0.35">
      <c r="A180" s="4" t="s">
        <v>11568</v>
      </c>
      <c r="B180" s="5">
        <v>1</v>
      </c>
    </row>
    <row r="181" spans="1:2" x14ac:dyDescent="0.35">
      <c r="A181" s="4" t="s">
        <v>3381</v>
      </c>
      <c r="B181" s="5">
        <v>2</v>
      </c>
    </row>
    <row r="182" spans="1:2" x14ac:dyDescent="0.35">
      <c r="A182" s="4" t="s">
        <v>9518</v>
      </c>
      <c r="B182" s="5">
        <v>3</v>
      </c>
    </row>
    <row r="183" spans="1:2" x14ac:dyDescent="0.35">
      <c r="A183" s="4" t="s">
        <v>763</v>
      </c>
      <c r="B183" s="5">
        <v>2</v>
      </c>
    </row>
    <row r="184" spans="1:2" x14ac:dyDescent="0.35">
      <c r="A184" s="4" t="s">
        <v>10110</v>
      </c>
      <c r="B184" s="5">
        <v>2</v>
      </c>
    </row>
    <row r="185" spans="1:2" x14ac:dyDescent="0.35">
      <c r="A185" s="4" t="s">
        <v>10169</v>
      </c>
      <c r="B185" s="5">
        <v>3</v>
      </c>
    </row>
    <row r="186" spans="1:2" x14ac:dyDescent="0.35">
      <c r="A186" s="4" t="s">
        <v>2949</v>
      </c>
      <c r="B186" s="5">
        <v>1</v>
      </c>
    </row>
    <row r="187" spans="1:2" x14ac:dyDescent="0.35">
      <c r="A187" s="4" t="s">
        <v>3128</v>
      </c>
      <c r="B187" s="5">
        <v>3</v>
      </c>
    </row>
    <row r="188" spans="1:2" x14ac:dyDescent="0.35">
      <c r="A188" s="4" t="s">
        <v>8825</v>
      </c>
      <c r="B188" s="5">
        <v>1</v>
      </c>
    </row>
    <row r="189" spans="1:2" x14ac:dyDescent="0.35">
      <c r="A189" s="4" t="s">
        <v>2463</v>
      </c>
      <c r="B189" s="5">
        <v>1</v>
      </c>
    </row>
    <row r="190" spans="1:2" x14ac:dyDescent="0.35">
      <c r="A190" s="4" t="s">
        <v>10522</v>
      </c>
      <c r="B190" s="5">
        <v>1</v>
      </c>
    </row>
    <row r="191" spans="1:2" x14ac:dyDescent="0.35">
      <c r="A191" s="4" t="s">
        <v>8090</v>
      </c>
      <c r="B191" s="5">
        <v>7</v>
      </c>
    </row>
    <row r="192" spans="1:2" x14ac:dyDescent="0.35">
      <c r="A192" s="4" t="s">
        <v>8019</v>
      </c>
      <c r="B192" s="5">
        <v>5</v>
      </c>
    </row>
    <row r="193" spans="1:2" x14ac:dyDescent="0.35">
      <c r="A193" s="4" t="s">
        <v>9223</v>
      </c>
      <c r="B193" s="5">
        <v>9</v>
      </c>
    </row>
    <row r="194" spans="1:2" x14ac:dyDescent="0.35">
      <c r="A194" s="4" t="s">
        <v>301</v>
      </c>
      <c r="B194" s="5">
        <v>5</v>
      </c>
    </row>
    <row r="195" spans="1:2" x14ac:dyDescent="0.35">
      <c r="A195" s="4" t="s">
        <v>6705</v>
      </c>
      <c r="B195" s="5">
        <v>4</v>
      </c>
    </row>
    <row r="196" spans="1:2" x14ac:dyDescent="0.35">
      <c r="A196" s="4" t="s">
        <v>3171</v>
      </c>
      <c r="B196" s="5">
        <v>11</v>
      </c>
    </row>
    <row r="197" spans="1:2" x14ac:dyDescent="0.35">
      <c r="A197" s="4" t="s">
        <v>7401</v>
      </c>
      <c r="B197" s="5">
        <v>1</v>
      </c>
    </row>
    <row r="198" spans="1:2" x14ac:dyDescent="0.35">
      <c r="A198" s="4" t="s">
        <v>7653</v>
      </c>
      <c r="B198" s="5">
        <v>2</v>
      </c>
    </row>
    <row r="199" spans="1:2" x14ac:dyDescent="0.35">
      <c r="A199" s="4" t="s">
        <v>9102</v>
      </c>
      <c r="B199" s="5">
        <v>3</v>
      </c>
    </row>
    <row r="200" spans="1:2" x14ac:dyDescent="0.35">
      <c r="A200" s="4" t="s">
        <v>11826</v>
      </c>
      <c r="B200" s="5">
        <v>2</v>
      </c>
    </row>
    <row r="201" spans="1:2" x14ac:dyDescent="0.35">
      <c r="A201" s="4" t="s">
        <v>4180</v>
      </c>
      <c r="B201" s="5">
        <v>13</v>
      </c>
    </row>
    <row r="202" spans="1:2" x14ac:dyDescent="0.35">
      <c r="A202" s="4" t="s">
        <v>1841</v>
      </c>
      <c r="B202" s="5">
        <v>3</v>
      </c>
    </row>
    <row r="203" spans="1:2" x14ac:dyDescent="0.35">
      <c r="A203" s="4" t="s">
        <v>9973</v>
      </c>
      <c r="B203" s="5">
        <v>2</v>
      </c>
    </row>
    <row r="204" spans="1:2" x14ac:dyDescent="0.35">
      <c r="A204" s="4" t="s">
        <v>8233</v>
      </c>
      <c r="B204" s="5">
        <v>4</v>
      </c>
    </row>
    <row r="205" spans="1:2" x14ac:dyDescent="0.35">
      <c r="A205" s="4" t="s">
        <v>691</v>
      </c>
      <c r="B205" s="5">
        <v>1</v>
      </c>
    </row>
    <row r="206" spans="1:2" x14ac:dyDescent="0.35">
      <c r="A206" s="4" t="s">
        <v>11927</v>
      </c>
      <c r="B206" s="5">
        <v>1</v>
      </c>
    </row>
    <row r="207" spans="1:2" x14ac:dyDescent="0.35">
      <c r="A207" s="4" t="s">
        <v>1111</v>
      </c>
      <c r="B207" s="5">
        <v>4</v>
      </c>
    </row>
    <row r="208" spans="1:2" x14ac:dyDescent="0.35">
      <c r="A208" s="4" t="s">
        <v>5919</v>
      </c>
      <c r="B208" s="5">
        <v>2</v>
      </c>
    </row>
    <row r="209" spans="1:2" x14ac:dyDescent="0.35">
      <c r="A209" s="4" t="s">
        <v>7300</v>
      </c>
      <c r="B209" s="5">
        <v>2</v>
      </c>
    </row>
    <row r="210" spans="1:2" x14ac:dyDescent="0.35">
      <c r="A210" s="4" t="s">
        <v>7292</v>
      </c>
      <c r="B210" s="5">
        <v>4</v>
      </c>
    </row>
    <row r="211" spans="1:2" x14ac:dyDescent="0.35">
      <c r="A211" s="4" t="s">
        <v>9077</v>
      </c>
      <c r="B211" s="5">
        <v>1</v>
      </c>
    </row>
    <row r="212" spans="1:2" x14ac:dyDescent="0.35">
      <c r="A212" s="4" t="s">
        <v>12800</v>
      </c>
      <c r="B212" s="5">
        <v>3</v>
      </c>
    </row>
    <row r="213" spans="1:2" x14ac:dyDescent="0.35">
      <c r="A213" s="4" t="s">
        <v>7938</v>
      </c>
      <c r="B213" s="5">
        <v>1</v>
      </c>
    </row>
    <row r="214" spans="1:2" x14ac:dyDescent="0.35">
      <c r="A214" s="4" t="s">
        <v>12968</v>
      </c>
      <c r="B214" s="5">
        <v>1</v>
      </c>
    </row>
    <row r="215" spans="1:2" x14ac:dyDescent="0.35">
      <c r="A215" s="4" t="s">
        <v>10821</v>
      </c>
      <c r="B215" s="5">
        <v>3</v>
      </c>
    </row>
    <row r="216" spans="1:2" x14ac:dyDescent="0.35">
      <c r="A216" s="4" t="s">
        <v>672</v>
      </c>
      <c r="B216" s="5">
        <v>1</v>
      </c>
    </row>
    <row r="217" spans="1:2" x14ac:dyDescent="0.35">
      <c r="A217" s="4" t="s">
        <v>12337</v>
      </c>
      <c r="B217" s="5">
        <v>1</v>
      </c>
    </row>
    <row r="218" spans="1:2" x14ac:dyDescent="0.35">
      <c r="A218" s="4" t="s">
        <v>10378</v>
      </c>
      <c r="B218" s="5">
        <v>1</v>
      </c>
    </row>
    <row r="219" spans="1:2" x14ac:dyDescent="0.35">
      <c r="A219" s="4" t="s">
        <v>4069</v>
      </c>
      <c r="B219" s="5">
        <v>4</v>
      </c>
    </row>
    <row r="220" spans="1:2" x14ac:dyDescent="0.35">
      <c r="A220" s="4" t="s">
        <v>3283</v>
      </c>
      <c r="B220" s="5">
        <v>1</v>
      </c>
    </row>
    <row r="221" spans="1:2" x14ac:dyDescent="0.35">
      <c r="A221" s="4" t="s">
        <v>3093</v>
      </c>
      <c r="B221" s="5">
        <v>4</v>
      </c>
    </row>
    <row r="222" spans="1:2" x14ac:dyDescent="0.35">
      <c r="A222" s="4" t="s">
        <v>10128</v>
      </c>
      <c r="B222" s="5">
        <v>3</v>
      </c>
    </row>
    <row r="223" spans="1:2" x14ac:dyDescent="0.35">
      <c r="A223" s="4" t="s">
        <v>3340</v>
      </c>
      <c r="B223" s="5">
        <v>1</v>
      </c>
    </row>
    <row r="224" spans="1:2" x14ac:dyDescent="0.35">
      <c r="A224" s="4" t="s">
        <v>1406</v>
      </c>
      <c r="B224" s="5">
        <v>4</v>
      </c>
    </row>
    <row r="225" spans="1:2" x14ac:dyDescent="0.35">
      <c r="A225" s="4" t="s">
        <v>3836</v>
      </c>
      <c r="B225" s="5">
        <v>2</v>
      </c>
    </row>
    <row r="226" spans="1:2" x14ac:dyDescent="0.35">
      <c r="A226" s="4" t="s">
        <v>4572</v>
      </c>
      <c r="B226" s="5">
        <v>13</v>
      </c>
    </row>
    <row r="227" spans="1:2" x14ac:dyDescent="0.35">
      <c r="A227" s="4" t="s">
        <v>3821</v>
      </c>
      <c r="B227" s="5">
        <v>1</v>
      </c>
    </row>
    <row r="228" spans="1:2" x14ac:dyDescent="0.35">
      <c r="A228" s="4" t="s">
        <v>3217</v>
      </c>
      <c r="B228" s="5">
        <v>2</v>
      </c>
    </row>
    <row r="229" spans="1:2" x14ac:dyDescent="0.35">
      <c r="A229" s="4" t="s">
        <v>8707</v>
      </c>
      <c r="B229" s="5">
        <v>4</v>
      </c>
    </row>
    <row r="230" spans="1:2" x14ac:dyDescent="0.35">
      <c r="A230" s="4" t="s">
        <v>947</v>
      </c>
      <c r="B230" s="5">
        <v>1</v>
      </c>
    </row>
    <row r="231" spans="1:2" x14ac:dyDescent="0.35">
      <c r="A231" s="4" t="s">
        <v>2102</v>
      </c>
      <c r="B231" s="5">
        <v>1</v>
      </c>
    </row>
    <row r="232" spans="1:2" x14ac:dyDescent="0.35">
      <c r="A232" s="4" t="s">
        <v>3584</v>
      </c>
      <c r="B232" s="5">
        <v>2</v>
      </c>
    </row>
    <row r="233" spans="1:2" x14ac:dyDescent="0.35">
      <c r="A233" s="4" t="s">
        <v>7241</v>
      </c>
      <c r="B233" s="5">
        <v>3</v>
      </c>
    </row>
    <row r="234" spans="1:2" x14ac:dyDescent="0.35">
      <c r="A234" s="4" t="s">
        <v>1353</v>
      </c>
      <c r="B234" s="5">
        <v>3</v>
      </c>
    </row>
    <row r="235" spans="1:2" x14ac:dyDescent="0.35">
      <c r="A235" s="4" t="s">
        <v>7867</v>
      </c>
      <c r="B235" s="5">
        <v>7</v>
      </c>
    </row>
    <row r="236" spans="1:2" x14ac:dyDescent="0.35">
      <c r="A236" s="4" t="s">
        <v>10537</v>
      </c>
      <c r="B236" s="5">
        <v>3</v>
      </c>
    </row>
    <row r="237" spans="1:2" x14ac:dyDescent="0.35">
      <c r="A237" s="4" t="s">
        <v>6745</v>
      </c>
      <c r="B237" s="5">
        <v>3</v>
      </c>
    </row>
    <row r="238" spans="1:2" x14ac:dyDescent="0.35">
      <c r="A238" s="4" t="s">
        <v>4136</v>
      </c>
      <c r="B238" s="5">
        <v>1</v>
      </c>
    </row>
    <row r="239" spans="1:2" x14ac:dyDescent="0.35">
      <c r="A239" s="4" t="s">
        <v>8546</v>
      </c>
      <c r="B239" s="5">
        <v>1</v>
      </c>
    </row>
    <row r="240" spans="1:2" x14ac:dyDescent="0.35">
      <c r="A240" s="4" t="s">
        <v>8378</v>
      </c>
      <c r="B240" s="5">
        <v>1</v>
      </c>
    </row>
    <row r="241" spans="1:2" x14ac:dyDescent="0.35">
      <c r="A241" s="4" t="s">
        <v>5681</v>
      </c>
      <c r="B241" s="5">
        <v>8</v>
      </c>
    </row>
    <row r="242" spans="1:2" x14ac:dyDescent="0.35">
      <c r="A242" s="4" t="s">
        <v>2127</v>
      </c>
      <c r="B242" s="5">
        <v>2</v>
      </c>
    </row>
    <row r="243" spans="1:2" x14ac:dyDescent="0.35">
      <c r="A243" s="4" t="s">
        <v>12268</v>
      </c>
      <c r="B243" s="5">
        <v>2</v>
      </c>
    </row>
    <row r="244" spans="1:2" x14ac:dyDescent="0.35">
      <c r="A244" s="4" t="s">
        <v>3151</v>
      </c>
      <c r="B244" s="5">
        <v>1</v>
      </c>
    </row>
    <row r="245" spans="1:2" x14ac:dyDescent="0.35">
      <c r="A245" s="4" t="s">
        <v>9686</v>
      </c>
      <c r="B245" s="5">
        <v>8</v>
      </c>
    </row>
    <row r="246" spans="1:2" x14ac:dyDescent="0.35">
      <c r="A246" s="4" t="s">
        <v>4668</v>
      </c>
      <c r="B246" s="5">
        <v>24</v>
      </c>
    </row>
    <row r="247" spans="1:2" x14ac:dyDescent="0.35">
      <c r="A247" s="4" t="s">
        <v>9877</v>
      </c>
      <c r="B247" s="5">
        <v>2</v>
      </c>
    </row>
    <row r="248" spans="1:2" x14ac:dyDescent="0.35">
      <c r="A248" s="4" t="s">
        <v>284</v>
      </c>
      <c r="B248" s="5">
        <v>2</v>
      </c>
    </row>
    <row r="249" spans="1:2" x14ac:dyDescent="0.35">
      <c r="A249" s="4" t="s">
        <v>1502</v>
      </c>
      <c r="B249" s="5">
        <v>1</v>
      </c>
    </row>
    <row r="250" spans="1:2" x14ac:dyDescent="0.35">
      <c r="A250" s="4" t="s">
        <v>5120</v>
      </c>
      <c r="B250" s="5">
        <v>12</v>
      </c>
    </row>
    <row r="251" spans="1:2" x14ac:dyDescent="0.35">
      <c r="A251" s="4" t="s">
        <v>13081</v>
      </c>
      <c r="B251" s="5">
        <v>1</v>
      </c>
    </row>
    <row r="252" spans="1:2" x14ac:dyDescent="0.35">
      <c r="A252" s="4" t="s">
        <v>4500</v>
      </c>
      <c r="B252" s="5">
        <v>7</v>
      </c>
    </row>
    <row r="253" spans="1:2" x14ac:dyDescent="0.35">
      <c r="A253" s="4" t="s">
        <v>10117</v>
      </c>
      <c r="B253" s="5">
        <v>3</v>
      </c>
    </row>
    <row r="254" spans="1:2" x14ac:dyDescent="0.35">
      <c r="A254" s="4" t="s">
        <v>2878</v>
      </c>
      <c r="B254" s="5">
        <v>1</v>
      </c>
    </row>
    <row r="255" spans="1:2" x14ac:dyDescent="0.35">
      <c r="A255" s="4" t="s">
        <v>2982</v>
      </c>
      <c r="B255" s="5">
        <v>1</v>
      </c>
    </row>
    <row r="256" spans="1:2" x14ac:dyDescent="0.35">
      <c r="A256" s="4" t="s">
        <v>9156</v>
      </c>
      <c r="B256" s="5">
        <v>1</v>
      </c>
    </row>
    <row r="257" spans="1:2" x14ac:dyDescent="0.35">
      <c r="A257" s="4" t="s">
        <v>3417</v>
      </c>
      <c r="B257" s="5">
        <v>2</v>
      </c>
    </row>
    <row r="258" spans="1:2" x14ac:dyDescent="0.35">
      <c r="A258" s="4" t="s">
        <v>7150</v>
      </c>
      <c r="B258" s="5">
        <v>27</v>
      </c>
    </row>
    <row r="259" spans="1:2" x14ac:dyDescent="0.35">
      <c r="A259" s="4" t="s">
        <v>4289</v>
      </c>
      <c r="B259" s="5">
        <v>63</v>
      </c>
    </row>
    <row r="260" spans="1:2" x14ac:dyDescent="0.35">
      <c r="A260" s="4" t="s">
        <v>4548</v>
      </c>
      <c r="B260" s="5">
        <v>2</v>
      </c>
    </row>
    <row r="261" spans="1:2" x14ac:dyDescent="0.35">
      <c r="A261" s="4" t="s">
        <v>823</v>
      </c>
      <c r="B261" s="5">
        <v>8</v>
      </c>
    </row>
    <row r="262" spans="1:2" x14ac:dyDescent="0.35">
      <c r="A262" s="4" t="s">
        <v>7739</v>
      </c>
      <c r="B262" s="5">
        <v>1</v>
      </c>
    </row>
    <row r="263" spans="1:2" x14ac:dyDescent="0.35">
      <c r="A263" s="4" t="s">
        <v>6538</v>
      </c>
      <c r="B263" s="5">
        <v>2</v>
      </c>
    </row>
    <row r="264" spans="1:2" x14ac:dyDescent="0.35">
      <c r="A264" s="4" t="s">
        <v>8511</v>
      </c>
      <c r="B264" s="5">
        <v>1</v>
      </c>
    </row>
    <row r="265" spans="1:2" x14ac:dyDescent="0.35">
      <c r="A265" s="4" t="s">
        <v>4484</v>
      </c>
      <c r="B265" s="5">
        <v>2</v>
      </c>
    </row>
    <row r="266" spans="1:2" x14ac:dyDescent="0.35">
      <c r="A266" s="4" t="s">
        <v>9702</v>
      </c>
      <c r="B266" s="5">
        <v>2</v>
      </c>
    </row>
    <row r="267" spans="1:2" x14ac:dyDescent="0.35">
      <c r="A267" s="4" t="s">
        <v>8763</v>
      </c>
      <c r="B267" s="5">
        <v>6</v>
      </c>
    </row>
    <row r="268" spans="1:2" x14ac:dyDescent="0.35">
      <c r="A268" s="4" t="s">
        <v>6215</v>
      </c>
      <c r="B268" s="5">
        <v>30</v>
      </c>
    </row>
    <row r="269" spans="1:2" x14ac:dyDescent="0.35">
      <c r="A269" s="4" t="s">
        <v>9365</v>
      </c>
      <c r="B269" s="5">
        <v>4</v>
      </c>
    </row>
    <row r="270" spans="1:2" x14ac:dyDescent="0.35">
      <c r="A270" s="4" t="s">
        <v>11550</v>
      </c>
      <c r="B270" s="5">
        <v>1</v>
      </c>
    </row>
    <row r="271" spans="1:2" x14ac:dyDescent="0.35">
      <c r="A271" s="4" t="s">
        <v>7232</v>
      </c>
      <c r="B271" s="5">
        <v>3</v>
      </c>
    </row>
    <row r="272" spans="1:2" x14ac:dyDescent="0.35">
      <c r="A272" s="4" t="s">
        <v>7058</v>
      </c>
      <c r="B272" s="5">
        <v>9</v>
      </c>
    </row>
    <row r="273" spans="1:2" x14ac:dyDescent="0.35">
      <c r="A273" s="4" t="s">
        <v>3961</v>
      </c>
      <c r="B273" s="5">
        <v>21</v>
      </c>
    </row>
    <row r="274" spans="1:2" x14ac:dyDescent="0.35">
      <c r="A274" s="4" t="s">
        <v>3912</v>
      </c>
      <c r="B274" s="5">
        <v>4</v>
      </c>
    </row>
    <row r="275" spans="1:2" x14ac:dyDescent="0.35">
      <c r="A275" s="4" t="s">
        <v>10312</v>
      </c>
      <c r="B275" s="5">
        <v>2</v>
      </c>
    </row>
    <row r="276" spans="1:2" x14ac:dyDescent="0.35">
      <c r="A276" s="4" t="s">
        <v>12988</v>
      </c>
      <c r="B276" s="5">
        <v>3</v>
      </c>
    </row>
    <row r="277" spans="1:2" x14ac:dyDescent="0.35">
      <c r="A277" s="4" t="s">
        <v>5089</v>
      </c>
      <c r="B277" s="5">
        <v>1</v>
      </c>
    </row>
    <row r="278" spans="1:2" x14ac:dyDescent="0.35">
      <c r="A278" s="4" t="s">
        <v>7399</v>
      </c>
      <c r="B278" s="5">
        <v>1</v>
      </c>
    </row>
    <row r="279" spans="1:2" x14ac:dyDescent="0.35">
      <c r="A279" s="4" t="s">
        <v>9791</v>
      </c>
      <c r="B279" s="5">
        <v>7</v>
      </c>
    </row>
    <row r="280" spans="1:2" x14ac:dyDescent="0.35">
      <c r="A280" s="4" t="s">
        <v>6418</v>
      </c>
      <c r="B280" s="5">
        <v>19</v>
      </c>
    </row>
    <row r="281" spans="1:2" x14ac:dyDescent="0.35">
      <c r="A281" s="4" t="s">
        <v>3209</v>
      </c>
      <c r="B281" s="5">
        <v>6</v>
      </c>
    </row>
    <row r="282" spans="1:2" x14ac:dyDescent="0.35">
      <c r="A282" s="4" t="s">
        <v>1254</v>
      </c>
      <c r="B282" s="5">
        <v>7</v>
      </c>
    </row>
    <row r="283" spans="1:2" x14ac:dyDescent="0.35">
      <c r="A283" s="4" t="s">
        <v>1484</v>
      </c>
      <c r="B283" s="5">
        <v>4</v>
      </c>
    </row>
    <row r="284" spans="1:2" x14ac:dyDescent="0.35">
      <c r="A284" s="4" t="s">
        <v>10148</v>
      </c>
      <c r="B284" s="5">
        <v>2</v>
      </c>
    </row>
    <row r="285" spans="1:2" x14ac:dyDescent="0.35">
      <c r="A285" s="4" t="s">
        <v>4472</v>
      </c>
      <c r="B285" s="5">
        <v>14</v>
      </c>
    </row>
    <row r="286" spans="1:2" x14ac:dyDescent="0.35">
      <c r="A286" s="4" t="s">
        <v>6699</v>
      </c>
      <c r="B286" s="5">
        <v>4</v>
      </c>
    </row>
    <row r="287" spans="1:2" x14ac:dyDescent="0.35">
      <c r="A287" s="4" t="s">
        <v>5048</v>
      </c>
      <c r="B287" s="5">
        <v>3</v>
      </c>
    </row>
    <row r="288" spans="1:2" x14ac:dyDescent="0.35">
      <c r="A288" s="4" t="s">
        <v>9459</v>
      </c>
      <c r="B288" s="5">
        <v>1</v>
      </c>
    </row>
    <row r="289" spans="1:2" x14ac:dyDescent="0.35">
      <c r="A289" s="4" t="s">
        <v>4087</v>
      </c>
      <c r="B289" s="5">
        <v>5</v>
      </c>
    </row>
    <row r="290" spans="1:2" x14ac:dyDescent="0.35">
      <c r="A290" s="4" t="s">
        <v>9051</v>
      </c>
      <c r="B290" s="5">
        <v>1</v>
      </c>
    </row>
    <row r="291" spans="1:2" x14ac:dyDescent="0.35">
      <c r="A291" s="4" t="s">
        <v>7410</v>
      </c>
      <c r="B291" s="5">
        <v>1</v>
      </c>
    </row>
    <row r="292" spans="1:2" x14ac:dyDescent="0.35">
      <c r="A292" s="4" t="s">
        <v>7657</v>
      </c>
      <c r="B292" s="5">
        <v>9</v>
      </c>
    </row>
    <row r="293" spans="1:2" x14ac:dyDescent="0.35">
      <c r="A293" s="4" t="s">
        <v>539</v>
      </c>
      <c r="B293" s="5">
        <v>2</v>
      </c>
    </row>
    <row r="294" spans="1:2" x14ac:dyDescent="0.35">
      <c r="A294" s="4" t="s">
        <v>806</v>
      </c>
      <c r="B294" s="5">
        <v>5</v>
      </c>
    </row>
    <row r="295" spans="1:2" x14ac:dyDescent="0.35">
      <c r="A295" s="4" t="s">
        <v>3259</v>
      </c>
      <c r="B295" s="5">
        <v>4</v>
      </c>
    </row>
    <row r="296" spans="1:2" x14ac:dyDescent="0.35">
      <c r="A296" s="4" t="s">
        <v>5149</v>
      </c>
      <c r="B296" s="5">
        <v>3</v>
      </c>
    </row>
    <row r="297" spans="1:2" x14ac:dyDescent="0.35">
      <c r="A297" s="4" t="s">
        <v>8348</v>
      </c>
      <c r="B297" s="5">
        <v>1</v>
      </c>
    </row>
    <row r="298" spans="1:2" x14ac:dyDescent="0.35">
      <c r="A298" s="4" t="s">
        <v>10717</v>
      </c>
      <c r="B298" s="5">
        <v>1</v>
      </c>
    </row>
    <row r="299" spans="1:2" x14ac:dyDescent="0.35">
      <c r="A299" s="4" t="s">
        <v>1736</v>
      </c>
      <c r="B299" s="5">
        <v>1</v>
      </c>
    </row>
    <row r="300" spans="1:2" x14ac:dyDescent="0.35">
      <c r="A300" s="4" t="s">
        <v>7826</v>
      </c>
      <c r="B300" s="5">
        <v>3</v>
      </c>
    </row>
    <row r="301" spans="1:2" x14ac:dyDescent="0.35">
      <c r="A301" s="4" t="s">
        <v>3885</v>
      </c>
      <c r="B301" s="5">
        <v>10</v>
      </c>
    </row>
    <row r="302" spans="1:2" x14ac:dyDescent="0.35">
      <c r="A302" s="4" t="s">
        <v>5171</v>
      </c>
      <c r="B302" s="5">
        <v>4</v>
      </c>
    </row>
    <row r="303" spans="1:2" x14ac:dyDescent="0.35">
      <c r="A303" s="4" t="s">
        <v>7443</v>
      </c>
      <c r="B303" s="5">
        <v>13</v>
      </c>
    </row>
    <row r="304" spans="1:2" x14ac:dyDescent="0.35">
      <c r="A304" s="4" t="s">
        <v>10777</v>
      </c>
      <c r="B304" s="5">
        <v>1</v>
      </c>
    </row>
    <row r="305" spans="1:2" x14ac:dyDescent="0.35">
      <c r="A305" s="4" t="s">
        <v>11924</v>
      </c>
      <c r="B305" s="5">
        <v>1</v>
      </c>
    </row>
    <row r="306" spans="1:2" x14ac:dyDescent="0.35">
      <c r="A306" s="4" t="s">
        <v>2448</v>
      </c>
      <c r="B306" s="5">
        <v>1</v>
      </c>
    </row>
    <row r="307" spans="1:2" x14ac:dyDescent="0.35">
      <c r="A307" s="4" t="s">
        <v>10291</v>
      </c>
      <c r="B307" s="5">
        <v>3</v>
      </c>
    </row>
    <row r="308" spans="1:2" x14ac:dyDescent="0.35">
      <c r="A308" s="4" t="s">
        <v>10400</v>
      </c>
      <c r="B308" s="5">
        <v>3</v>
      </c>
    </row>
    <row r="309" spans="1:2" x14ac:dyDescent="0.35">
      <c r="A309" s="4" t="s">
        <v>3253</v>
      </c>
      <c r="B309" s="5">
        <v>2</v>
      </c>
    </row>
    <row r="310" spans="1:2" x14ac:dyDescent="0.35">
      <c r="A310" s="4" t="s">
        <v>1584</v>
      </c>
      <c r="B310" s="5">
        <v>12</v>
      </c>
    </row>
    <row r="311" spans="1:2" x14ac:dyDescent="0.35">
      <c r="A311" s="4" t="s">
        <v>275</v>
      </c>
      <c r="B311" s="5">
        <v>4</v>
      </c>
    </row>
    <row r="312" spans="1:2" x14ac:dyDescent="0.35">
      <c r="A312" s="4" t="s">
        <v>10655</v>
      </c>
      <c r="B312" s="5">
        <v>2</v>
      </c>
    </row>
    <row r="313" spans="1:2" x14ac:dyDescent="0.35">
      <c r="A313" s="4" t="s">
        <v>11199</v>
      </c>
      <c r="B313" s="5">
        <v>3</v>
      </c>
    </row>
    <row r="314" spans="1:2" x14ac:dyDescent="0.35">
      <c r="A314" s="4" t="s">
        <v>4463</v>
      </c>
      <c r="B314" s="5">
        <v>3</v>
      </c>
    </row>
    <row r="315" spans="1:2" x14ac:dyDescent="0.35">
      <c r="A315" s="4" t="s">
        <v>10371</v>
      </c>
      <c r="B315" s="5">
        <v>1</v>
      </c>
    </row>
    <row r="316" spans="1:2" x14ac:dyDescent="0.35">
      <c r="A316" s="4" t="s">
        <v>6015</v>
      </c>
      <c r="B316" s="5">
        <v>1</v>
      </c>
    </row>
    <row r="317" spans="1:2" x14ac:dyDescent="0.35">
      <c r="A317" s="4" t="s">
        <v>12415</v>
      </c>
      <c r="B317" s="5">
        <v>1</v>
      </c>
    </row>
    <row r="318" spans="1:2" x14ac:dyDescent="0.35">
      <c r="A318" s="4" t="s">
        <v>7115</v>
      </c>
      <c r="B318" s="5">
        <v>9</v>
      </c>
    </row>
    <row r="319" spans="1:2" x14ac:dyDescent="0.35">
      <c r="A319" s="4" t="s">
        <v>6795</v>
      </c>
      <c r="B319" s="5">
        <v>1</v>
      </c>
    </row>
    <row r="320" spans="1:2" x14ac:dyDescent="0.35">
      <c r="A320" s="4" t="s">
        <v>9619</v>
      </c>
      <c r="B320" s="5">
        <v>3</v>
      </c>
    </row>
    <row r="321" spans="1:2" x14ac:dyDescent="0.35">
      <c r="A321" s="4" t="s">
        <v>2943</v>
      </c>
      <c r="B321" s="5">
        <v>1</v>
      </c>
    </row>
    <row r="322" spans="1:2" x14ac:dyDescent="0.35">
      <c r="A322" s="4" t="s">
        <v>3317</v>
      </c>
      <c r="B322" s="5">
        <v>5</v>
      </c>
    </row>
    <row r="323" spans="1:2" x14ac:dyDescent="0.35">
      <c r="A323" s="4" t="s">
        <v>3673</v>
      </c>
      <c r="B323" s="5">
        <v>12</v>
      </c>
    </row>
    <row r="324" spans="1:2" x14ac:dyDescent="0.35">
      <c r="A324" s="4" t="s">
        <v>3655</v>
      </c>
      <c r="B324" s="5">
        <v>2</v>
      </c>
    </row>
    <row r="325" spans="1:2" x14ac:dyDescent="0.35">
      <c r="A325" s="4" t="s">
        <v>5477</v>
      </c>
      <c r="B325" s="5">
        <v>3</v>
      </c>
    </row>
    <row r="326" spans="1:2" x14ac:dyDescent="0.35">
      <c r="A326" s="4" t="s">
        <v>2891</v>
      </c>
      <c r="B326" s="5">
        <v>2</v>
      </c>
    </row>
    <row r="327" spans="1:2" x14ac:dyDescent="0.35">
      <c r="A327" s="4" t="s">
        <v>10269</v>
      </c>
      <c r="B327" s="5">
        <v>3</v>
      </c>
    </row>
    <row r="328" spans="1:2" x14ac:dyDescent="0.35">
      <c r="A328" s="4" t="s">
        <v>8100</v>
      </c>
      <c r="B328" s="5">
        <v>2</v>
      </c>
    </row>
    <row r="329" spans="1:2" x14ac:dyDescent="0.35">
      <c r="A329" s="4" t="s">
        <v>7258</v>
      </c>
      <c r="B329" s="5">
        <v>2</v>
      </c>
    </row>
    <row r="330" spans="1:2" x14ac:dyDescent="0.35">
      <c r="A330" s="4" t="s">
        <v>7698</v>
      </c>
      <c r="B330" s="5">
        <v>7</v>
      </c>
    </row>
    <row r="331" spans="1:2" x14ac:dyDescent="0.35">
      <c r="A331" s="4" t="s">
        <v>3193</v>
      </c>
      <c r="B331" s="5">
        <v>8</v>
      </c>
    </row>
    <row r="332" spans="1:2" x14ac:dyDescent="0.35">
      <c r="A332" s="4" t="s">
        <v>3239</v>
      </c>
      <c r="B332" s="5">
        <v>3</v>
      </c>
    </row>
    <row r="333" spans="1:2" x14ac:dyDescent="0.35">
      <c r="A333" s="4" t="s">
        <v>2896</v>
      </c>
      <c r="B333" s="5">
        <v>1</v>
      </c>
    </row>
    <row r="334" spans="1:2" x14ac:dyDescent="0.35">
      <c r="A334" s="4" t="s">
        <v>2733</v>
      </c>
      <c r="B334" s="5">
        <v>2</v>
      </c>
    </row>
    <row r="335" spans="1:2" x14ac:dyDescent="0.35">
      <c r="A335" s="4" t="s">
        <v>2631</v>
      </c>
      <c r="B335" s="5">
        <v>1</v>
      </c>
    </row>
    <row r="336" spans="1:2" x14ac:dyDescent="0.35">
      <c r="A336" s="4" t="s">
        <v>5111</v>
      </c>
      <c r="B336" s="5">
        <v>1</v>
      </c>
    </row>
    <row r="337" spans="1:2" x14ac:dyDescent="0.35">
      <c r="A337" s="4" t="s">
        <v>3619</v>
      </c>
      <c r="B337" s="5">
        <v>3</v>
      </c>
    </row>
    <row r="338" spans="1:2" x14ac:dyDescent="0.35">
      <c r="A338" s="4" t="s">
        <v>9984</v>
      </c>
      <c r="B338" s="5">
        <v>3</v>
      </c>
    </row>
    <row r="339" spans="1:2" x14ac:dyDescent="0.35">
      <c r="A339" s="4" t="s">
        <v>1547</v>
      </c>
      <c r="B339" s="5">
        <v>36</v>
      </c>
    </row>
    <row r="340" spans="1:2" x14ac:dyDescent="0.35">
      <c r="A340" s="4" t="s">
        <v>6371</v>
      </c>
      <c r="B340" s="5">
        <v>5</v>
      </c>
    </row>
    <row r="341" spans="1:2" x14ac:dyDescent="0.35">
      <c r="A341" s="4" t="s">
        <v>6205</v>
      </c>
      <c r="B341" s="5">
        <v>1</v>
      </c>
    </row>
    <row r="342" spans="1:2" x14ac:dyDescent="0.35">
      <c r="A342" s="4" t="s">
        <v>2461</v>
      </c>
      <c r="B342" s="5">
        <v>1</v>
      </c>
    </row>
    <row r="343" spans="1:2" x14ac:dyDescent="0.35">
      <c r="A343" s="4" t="s">
        <v>5064</v>
      </c>
      <c r="B343" s="5">
        <v>1</v>
      </c>
    </row>
    <row r="344" spans="1:2" x14ac:dyDescent="0.35">
      <c r="A344" s="4" t="s">
        <v>4455</v>
      </c>
      <c r="B344" s="5">
        <v>4</v>
      </c>
    </row>
    <row r="345" spans="1:2" x14ac:dyDescent="0.35">
      <c r="A345" s="4" t="s">
        <v>266</v>
      </c>
      <c r="B345" s="5">
        <v>3</v>
      </c>
    </row>
    <row r="346" spans="1:2" x14ac:dyDescent="0.35">
      <c r="A346" s="4" t="s">
        <v>6149</v>
      </c>
      <c r="B346" s="5">
        <v>2</v>
      </c>
    </row>
    <row r="347" spans="1:2" x14ac:dyDescent="0.35">
      <c r="A347" s="4" t="s">
        <v>7029</v>
      </c>
      <c r="B347" s="5">
        <v>6</v>
      </c>
    </row>
    <row r="348" spans="1:2" x14ac:dyDescent="0.35">
      <c r="A348" s="4" t="s">
        <v>8064</v>
      </c>
      <c r="B348" s="5">
        <v>4</v>
      </c>
    </row>
    <row r="349" spans="1:2" x14ac:dyDescent="0.35">
      <c r="A349" s="4" t="s">
        <v>4399</v>
      </c>
      <c r="B349" s="5">
        <v>1</v>
      </c>
    </row>
    <row r="350" spans="1:2" x14ac:dyDescent="0.35">
      <c r="A350" s="4" t="s">
        <v>5954</v>
      </c>
      <c r="B350" s="5">
        <v>17</v>
      </c>
    </row>
    <row r="351" spans="1:2" x14ac:dyDescent="0.35">
      <c r="A351" s="4" t="s">
        <v>724</v>
      </c>
      <c r="B351" s="5">
        <v>2</v>
      </c>
    </row>
    <row r="352" spans="1:2" x14ac:dyDescent="0.35">
      <c r="A352" s="4" t="s">
        <v>5156</v>
      </c>
      <c r="B352" s="5">
        <v>5</v>
      </c>
    </row>
    <row r="353" spans="1:2" x14ac:dyDescent="0.35">
      <c r="A353" s="4" t="s">
        <v>728</v>
      </c>
      <c r="B353" s="5">
        <v>1</v>
      </c>
    </row>
    <row r="354" spans="1:2" x14ac:dyDescent="0.35">
      <c r="A354" s="4" t="s">
        <v>3801</v>
      </c>
      <c r="B354" s="5">
        <v>5</v>
      </c>
    </row>
    <row r="355" spans="1:2" x14ac:dyDescent="0.35">
      <c r="A355" s="4" t="s">
        <v>3568</v>
      </c>
      <c r="B355" s="5">
        <v>1</v>
      </c>
    </row>
    <row r="356" spans="1:2" x14ac:dyDescent="0.35">
      <c r="A356" s="4" t="s">
        <v>5583</v>
      </c>
      <c r="B356" s="5">
        <v>1</v>
      </c>
    </row>
    <row r="357" spans="1:2" x14ac:dyDescent="0.35">
      <c r="A357" s="4" t="s">
        <v>3279</v>
      </c>
      <c r="B357" s="5">
        <v>1</v>
      </c>
    </row>
    <row r="358" spans="1:2" x14ac:dyDescent="0.35">
      <c r="A358" s="4" t="s">
        <v>2053</v>
      </c>
      <c r="B358" s="5">
        <v>3</v>
      </c>
    </row>
    <row r="359" spans="1:2" x14ac:dyDescent="0.35">
      <c r="A359" s="4" t="s">
        <v>6837</v>
      </c>
      <c r="B359" s="5">
        <v>15</v>
      </c>
    </row>
    <row r="360" spans="1:2" x14ac:dyDescent="0.35">
      <c r="A360" s="4" t="s">
        <v>8462</v>
      </c>
      <c r="B360" s="5">
        <v>1</v>
      </c>
    </row>
    <row r="361" spans="1:2" x14ac:dyDescent="0.35">
      <c r="A361" s="4" t="s">
        <v>12979</v>
      </c>
      <c r="B361" s="5">
        <v>3</v>
      </c>
    </row>
    <row r="362" spans="1:2" x14ac:dyDescent="0.35">
      <c r="A362" s="4" t="s">
        <v>7711</v>
      </c>
      <c r="B362" s="5">
        <v>4</v>
      </c>
    </row>
    <row r="363" spans="1:2" x14ac:dyDescent="0.35">
      <c r="A363" s="4" t="s">
        <v>3726</v>
      </c>
      <c r="B363" s="5">
        <v>5</v>
      </c>
    </row>
    <row r="364" spans="1:2" x14ac:dyDescent="0.35">
      <c r="A364" s="4" t="s">
        <v>2369</v>
      </c>
      <c r="B364" s="5">
        <v>20</v>
      </c>
    </row>
    <row r="365" spans="1:2" x14ac:dyDescent="0.35">
      <c r="A365" s="4" t="s">
        <v>3741</v>
      </c>
      <c r="B365" s="5">
        <v>7</v>
      </c>
    </row>
    <row r="366" spans="1:2" x14ac:dyDescent="0.35">
      <c r="A366" s="4" t="s">
        <v>8530</v>
      </c>
      <c r="B366" s="5">
        <v>3</v>
      </c>
    </row>
    <row r="367" spans="1:2" x14ac:dyDescent="0.35">
      <c r="A367" s="4" t="s">
        <v>9602</v>
      </c>
      <c r="B367" s="5">
        <v>1</v>
      </c>
    </row>
    <row r="368" spans="1:2" x14ac:dyDescent="0.35">
      <c r="A368" s="4" t="s">
        <v>1364</v>
      </c>
      <c r="B368" s="5">
        <v>6</v>
      </c>
    </row>
    <row r="369" spans="1:2" x14ac:dyDescent="0.35">
      <c r="A369" s="4" t="s">
        <v>8187</v>
      </c>
      <c r="B369" s="5">
        <v>1</v>
      </c>
    </row>
    <row r="370" spans="1:2" x14ac:dyDescent="0.35">
      <c r="A370" s="4" t="s">
        <v>12589</v>
      </c>
      <c r="B370" s="5">
        <v>2</v>
      </c>
    </row>
    <row r="371" spans="1:2" x14ac:dyDescent="0.35">
      <c r="A371" s="4" t="s">
        <v>7850</v>
      </c>
      <c r="B371" s="5">
        <v>2</v>
      </c>
    </row>
    <row r="372" spans="1:2" x14ac:dyDescent="0.35">
      <c r="A372" s="4" t="s">
        <v>4877</v>
      </c>
      <c r="B372" s="5">
        <v>1</v>
      </c>
    </row>
    <row r="373" spans="1:2" x14ac:dyDescent="0.35">
      <c r="A373" s="4" t="s">
        <v>11459</v>
      </c>
      <c r="B373" s="5">
        <v>1</v>
      </c>
    </row>
    <row r="374" spans="1:2" x14ac:dyDescent="0.35">
      <c r="A374" s="4" t="s">
        <v>10898</v>
      </c>
      <c r="B374" s="5">
        <v>2</v>
      </c>
    </row>
    <row r="375" spans="1:2" x14ac:dyDescent="0.35">
      <c r="A375" s="4" t="s">
        <v>9719</v>
      </c>
      <c r="B375" s="5">
        <v>6</v>
      </c>
    </row>
    <row r="376" spans="1:2" x14ac:dyDescent="0.35">
      <c r="A376" s="4" t="s">
        <v>7930</v>
      </c>
      <c r="B376" s="5">
        <v>2</v>
      </c>
    </row>
    <row r="377" spans="1:2" x14ac:dyDescent="0.35">
      <c r="A377" s="4" t="s">
        <v>3630</v>
      </c>
      <c r="B377" s="5">
        <v>7</v>
      </c>
    </row>
    <row r="378" spans="1:2" x14ac:dyDescent="0.35">
      <c r="A378" s="4" t="s">
        <v>12730</v>
      </c>
      <c r="B378" s="5">
        <v>4</v>
      </c>
    </row>
    <row r="379" spans="1:2" x14ac:dyDescent="0.35">
      <c r="A379" s="4" t="s">
        <v>544</v>
      </c>
      <c r="B379" s="5">
        <v>46</v>
      </c>
    </row>
    <row r="380" spans="1:2" x14ac:dyDescent="0.35">
      <c r="A380" s="4" t="s">
        <v>10097</v>
      </c>
      <c r="B380" s="5">
        <v>4</v>
      </c>
    </row>
    <row r="381" spans="1:2" x14ac:dyDescent="0.35">
      <c r="A381" s="4" t="s">
        <v>10084</v>
      </c>
      <c r="B381" s="5">
        <v>3</v>
      </c>
    </row>
    <row r="382" spans="1:2" x14ac:dyDescent="0.35">
      <c r="A382" s="4" t="s">
        <v>3736</v>
      </c>
      <c r="B382" s="5">
        <v>13</v>
      </c>
    </row>
    <row r="383" spans="1:2" x14ac:dyDescent="0.35">
      <c r="A383" s="4" t="s">
        <v>1077</v>
      </c>
      <c r="B383" s="5">
        <v>4</v>
      </c>
    </row>
    <row r="384" spans="1:2" x14ac:dyDescent="0.35">
      <c r="A384" s="4" t="s">
        <v>9732</v>
      </c>
      <c r="B384" s="5">
        <v>1</v>
      </c>
    </row>
    <row r="385" spans="1:2" x14ac:dyDescent="0.35">
      <c r="A385" s="4" t="s">
        <v>12119</v>
      </c>
      <c r="B385" s="5">
        <v>2</v>
      </c>
    </row>
    <row r="386" spans="1:2" x14ac:dyDescent="0.35">
      <c r="A386" s="4" t="s">
        <v>6807</v>
      </c>
      <c r="B386" s="5">
        <v>4</v>
      </c>
    </row>
    <row r="387" spans="1:2" x14ac:dyDescent="0.35">
      <c r="A387" s="4" t="s">
        <v>7723</v>
      </c>
      <c r="B387" s="5">
        <v>1</v>
      </c>
    </row>
    <row r="388" spans="1:2" x14ac:dyDescent="0.35">
      <c r="A388" s="4" t="s">
        <v>3244</v>
      </c>
      <c r="B388" s="5">
        <v>4</v>
      </c>
    </row>
    <row r="389" spans="1:2" x14ac:dyDescent="0.35">
      <c r="A389" s="4" t="s">
        <v>2241</v>
      </c>
      <c r="B389" s="5">
        <v>3</v>
      </c>
    </row>
    <row r="390" spans="1:2" x14ac:dyDescent="0.35">
      <c r="A390" s="4" t="s">
        <v>11886</v>
      </c>
      <c r="B390" s="5">
        <v>1</v>
      </c>
    </row>
    <row r="391" spans="1:2" x14ac:dyDescent="0.35">
      <c r="A391" s="4" t="s">
        <v>8053</v>
      </c>
      <c r="B391" s="5">
        <v>3</v>
      </c>
    </row>
    <row r="392" spans="1:2" x14ac:dyDescent="0.35">
      <c r="A392" s="4" t="s">
        <v>385</v>
      </c>
      <c r="B392" s="5">
        <v>1</v>
      </c>
    </row>
    <row r="393" spans="1:2" x14ac:dyDescent="0.35">
      <c r="A393" s="4" t="s">
        <v>986</v>
      </c>
      <c r="B393" s="5">
        <v>151</v>
      </c>
    </row>
    <row r="394" spans="1:2" x14ac:dyDescent="0.35">
      <c r="A394" s="4" t="s">
        <v>129</v>
      </c>
      <c r="B394" s="5">
        <v>3</v>
      </c>
    </row>
    <row r="395" spans="1:2" x14ac:dyDescent="0.35">
      <c r="A395" s="4" t="s">
        <v>3479</v>
      </c>
      <c r="B395" s="5">
        <v>8</v>
      </c>
    </row>
    <row r="396" spans="1:2" x14ac:dyDescent="0.35">
      <c r="A396" s="4" t="s">
        <v>4494</v>
      </c>
      <c r="B396" s="5">
        <v>70</v>
      </c>
    </row>
    <row r="397" spans="1:2" x14ac:dyDescent="0.35">
      <c r="A397" s="4" t="s">
        <v>870</v>
      </c>
      <c r="B397" s="5">
        <v>1</v>
      </c>
    </row>
    <row r="398" spans="1:2" x14ac:dyDescent="0.35">
      <c r="A398" s="4" t="s">
        <v>7153</v>
      </c>
      <c r="B398" s="5">
        <v>2</v>
      </c>
    </row>
    <row r="399" spans="1:2" x14ac:dyDescent="0.35">
      <c r="A399" s="4" t="s">
        <v>2074</v>
      </c>
      <c r="B399" s="5">
        <v>7</v>
      </c>
    </row>
    <row r="400" spans="1:2" x14ac:dyDescent="0.35">
      <c r="A400" s="4" t="s">
        <v>12403</v>
      </c>
      <c r="B400" s="5">
        <v>3</v>
      </c>
    </row>
    <row r="401" spans="1:2" x14ac:dyDescent="0.35">
      <c r="A401" s="4" t="s">
        <v>1826</v>
      </c>
      <c r="B401" s="5">
        <v>1</v>
      </c>
    </row>
    <row r="402" spans="1:2" x14ac:dyDescent="0.35">
      <c r="A402" s="4" t="s">
        <v>7415</v>
      </c>
      <c r="B402" s="5">
        <v>1</v>
      </c>
    </row>
    <row r="403" spans="1:2" x14ac:dyDescent="0.35">
      <c r="A403" s="4" t="s">
        <v>1216</v>
      </c>
      <c r="B403" s="5">
        <v>2</v>
      </c>
    </row>
    <row r="404" spans="1:2" x14ac:dyDescent="0.35">
      <c r="A404" s="4" t="s">
        <v>2456</v>
      </c>
      <c r="B404" s="5">
        <v>4</v>
      </c>
    </row>
    <row r="405" spans="1:2" x14ac:dyDescent="0.35">
      <c r="A405" s="4" t="s">
        <v>5835</v>
      </c>
      <c r="B405" s="5">
        <v>2</v>
      </c>
    </row>
    <row r="406" spans="1:2" x14ac:dyDescent="0.35">
      <c r="A406" s="4" t="s">
        <v>2178</v>
      </c>
      <c r="B406" s="5">
        <v>1</v>
      </c>
    </row>
    <row r="407" spans="1:2" x14ac:dyDescent="0.35">
      <c r="A407" s="4" t="s">
        <v>1519</v>
      </c>
      <c r="B407" s="5">
        <v>1</v>
      </c>
    </row>
    <row r="408" spans="1:2" x14ac:dyDescent="0.35">
      <c r="A408" s="4" t="s">
        <v>11150</v>
      </c>
      <c r="B408" s="5">
        <v>3</v>
      </c>
    </row>
    <row r="409" spans="1:2" x14ac:dyDescent="0.35">
      <c r="A409" s="4" t="s">
        <v>4243</v>
      </c>
      <c r="B409" s="5">
        <v>2</v>
      </c>
    </row>
    <row r="410" spans="1:2" x14ac:dyDescent="0.35">
      <c r="A410" s="4" t="s">
        <v>10327</v>
      </c>
      <c r="B410" s="5">
        <v>1</v>
      </c>
    </row>
    <row r="411" spans="1:2" x14ac:dyDescent="0.35">
      <c r="A411" s="4" t="s">
        <v>3909</v>
      </c>
      <c r="B411" s="5">
        <v>4</v>
      </c>
    </row>
    <row r="412" spans="1:2" x14ac:dyDescent="0.35">
      <c r="A412" s="4" t="s">
        <v>10389</v>
      </c>
      <c r="B412" s="5">
        <v>2</v>
      </c>
    </row>
    <row r="413" spans="1:2" x14ac:dyDescent="0.35">
      <c r="A413" s="4" t="s">
        <v>6592</v>
      </c>
      <c r="B413" s="5">
        <v>2</v>
      </c>
    </row>
    <row r="414" spans="1:2" x14ac:dyDescent="0.35">
      <c r="A414" s="4" t="s">
        <v>11699</v>
      </c>
      <c r="B414" s="5">
        <v>2</v>
      </c>
    </row>
    <row r="415" spans="1:2" x14ac:dyDescent="0.35">
      <c r="A415" s="4" t="s">
        <v>6994</v>
      </c>
      <c r="B415" s="5">
        <v>3</v>
      </c>
    </row>
    <row r="416" spans="1:2" x14ac:dyDescent="0.35">
      <c r="A416" s="4" t="s">
        <v>11316</v>
      </c>
      <c r="B416" s="5">
        <v>1</v>
      </c>
    </row>
    <row r="417" spans="1:2" x14ac:dyDescent="0.35">
      <c r="A417" s="4" t="s">
        <v>7089</v>
      </c>
      <c r="B417" s="5">
        <v>1</v>
      </c>
    </row>
    <row r="418" spans="1:2" x14ac:dyDescent="0.35">
      <c r="A418" s="4" t="s">
        <v>4581</v>
      </c>
      <c r="B418" s="5">
        <v>1</v>
      </c>
    </row>
    <row r="419" spans="1:2" x14ac:dyDescent="0.35">
      <c r="A419" s="4" t="s">
        <v>13030</v>
      </c>
      <c r="B419" s="5">
        <v>1</v>
      </c>
    </row>
    <row r="420" spans="1:2" x14ac:dyDescent="0.35">
      <c r="A420" s="4" t="s">
        <v>11933</v>
      </c>
      <c r="B420" s="5">
        <v>2</v>
      </c>
    </row>
    <row r="421" spans="1:2" x14ac:dyDescent="0.35">
      <c r="A421" s="4" t="s">
        <v>7554</v>
      </c>
      <c r="B421" s="5">
        <v>1</v>
      </c>
    </row>
    <row r="422" spans="1:2" x14ac:dyDescent="0.35">
      <c r="A422" s="4" t="s">
        <v>2997</v>
      </c>
      <c r="B422" s="5">
        <v>3</v>
      </c>
    </row>
    <row r="423" spans="1:2" x14ac:dyDescent="0.35">
      <c r="A423" s="4" t="s">
        <v>8963</v>
      </c>
      <c r="B423" s="5">
        <v>1</v>
      </c>
    </row>
    <row r="424" spans="1:2" x14ac:dyDescent="0.35">
      <c r="A424" s="4" t="s">
        <v>1350</v>
      </c>
      <c r="B424" s="5">
        <v>1</v>
      </c>
    </row>
    <row r="425" spans="1:2" x14ac:dyDescent="0.35">
      <c r="A425" s="4" t="s">
        <v>7589</v>
      </c>
      <c r="B425" s="5">
        <v>4</v>
      </c>
    </row>
    <row r="426" spans="1:2" x14ac:dyDescent="0.35">
      <c r="A426" s="4" t="s">
        <v>1082</v>
      </c>
      <c r="B426" s="5">
        <v>14</v>
      </c>
    </row>
    <row r="427" spans="1:2" x14ac:dyDescent="0.35">
      <c r="A427" s="4" t="s">
        <v>1477</v>
      </c>
      <c r="B427" s="5">
        <v>28</v>
      </c>
    </row>
    <row r="428" spans="1:2" x14ac:dyDescent="0.35">
      <c r="A428" s="4" t="s">
        <v>4657</v>
      </c>
      <c r="B428" s="5">
        <v>1</v>
      </c>
    </row>
    <row r="429" spans="1:2" x14ac:dyDescent="0.35">
      <c r="A429" s="4" t="s">
        <v>8520</v>
      </c>
      <c r="B429" s="5">
        <v>10</v>
      </c>
    </row>
    <row r="430" spans="1:2" x14ac:dyDescent="0.35">
      <c r="A430" s="4" t="s">
        <v>9484</v>
      </c>
      <c r="B430" s="5">
        <v>4</v>
      </c>
    </row>
    <row r="431" spans="1:2" x14ac:dyDescent="0.35">
      <c r="A431" s="4" t="s">
        <v>2272</v>
      </c>
      <c r="B431" s="5">
        <v>2</v>
      </c>
    </row>
    <row r="432" spans="1:2" x14ac:dyDescent="0.35">
      <c r="A432" s="4" t="s">
        <v>4618</v>
      </c>
      <c r="B432" s="5">
        <v>1</v>
      </c>
    </row>
    <row r="433" spans="1:2" x14ac:dyDescent="0.35">
      <c r="A433" s="4" t="s">
        <v>4661</v>
      </c>
      <c r="B433" s="5">
        <v>1</v>
      </c>
    </row>
    <row r="434" spans="1:2" x14ac:dyDescent="0.35">
      <c r="A434" s="4" t="s">
        <v>10317</v>
      </c>
      <c r="B434" s="5">
        <v>1</v>
      </c>
    </row>
    <row r="435" spans="1:2" x14ac:dyDescent="0.35">
      <c r="A435" s="4" t="s">
        <v>2359</v>
      </c>
      <c r="B435" s="5">
        <v>2</v>
      </c>
    </row>
    <row r="436" spans="1:2" x14ac:dyDescent="0.35">
      <c r="A436" s="4" t="s">
        <v>1025</v>
      </c>
      <c r="B436" s="5">
        <v>1</v>
      </c>
    </row>
    <row r="437" spans="1:2" x14ac:dyDescent="0.35">
      <c r="A437" s="4" t="s">
        <v>4443</v>
      </c>
      <c r="B437" s="5">
        <v>9</v>
      </c>
    </row>
    <row r="438" spans="1:2" x14ac:dyDescent="0.35">
      <c r="A438" s="4" t="s">
        <v>12454</v>
      </c>
      <c r="B438" s="5">
        <v>7</v>
      </c>
    </row>
    <row r="439" spans="1:2" x14ac:dyDescent="0.35">
      <c r="A439" s="4" t="s">
        <v>9431</v>
      </c>
      <c r="B439" s="5">
        <v>1</v>
      </c>
    </row>
    <row r="440" spans="1:2" x14ac:dyDescent="0.35">
      <c r="A440" s="4" t="s">
        <v>521</v>
      </c>
      <c r="B440" s="5">
        <v>9</v>
      </c>
    </row>
    <row r="441" spans="1:2" x14ac:dyDescent="0.35">
      <c r="A441" s="4" t="s">
        <v>1394</v>
      </c>
      <c r="B441" s="5">
        <v>15</v>
      </c>
    </row>
    <row r="442" spans="1:2" x14ac:dyDescent="0.35">
      <c r="A442" s="4" t="s">
        <v>4926</v>
      </c>
      <c r="B442" s="5">
        <v>3</v>
      </c>
    </row>
    <row r="443" spans="1:2" x14ac:dyDescent="0.35">
      <c r="A443" s="4" t="s">
        <v>3351</v>
      </c>
      <c r="B443" s="5">
        <v>35</v>
      </c>
    </row>
    <row r="444" spans="1:2" x14ac:dyDescent="0.35">
      <c r="A444" s="4" t="s">
        <v>3204</v>
      </c>
      <c r="B444" s="5">
        <v>4</v>
      </c>
    </row>
    <row r="445" spans="1:2" x14ac:dyDescent="0.35">
      <c r="A445" s="4" t="s">
        <v>9398</v>
      </c>
      <c r="B445" s="5">
        <v>4</v>
      </c>
    </row>
    <row r="446" spans="1:2" x14ac:dyDescent="0.35">
      <c r="A446" s="4" t="s">
        <v>7188</v>
      </c>
      <c r="B446" s="5">
        <v>1</v>
      </c>
    </row>
    <row r="447" spans="1:2" x14ac:dyDescent="0.35">
      <c r="A447" s="4" t="s">
        <v>3758</v>
      </c>
      <c r="B447" s="5">
        <v>3</v>
      </c>
    </row>
    <row r="448" spans="1:2" x14ac:dyDescent="0.35">
      <c r="A448" s="4" t="s">
        <v>3899</v>
      </c>
      <c r="B448" s="5">
        <v>6</v>
      </c>
    </row>
    <row r="449" spans="1:2" x14ac:dyDescent="0.35">
      <c r="A449" s="4" t="s">
        <v>849</v>
      </c>
      <c r="B449" s="5">
        <v>3</v>
      </c>
    </row>
    <row r="450" spans="1:2" x14ac:dyDescent="0.35">
      <c r="A450" s="4" t="s">
        <v>8789</v>
      </c>
      <c r="B450" s="5">
        <v>2</v>
      </c>
    </row>
    <row r="451" spans="1:2" x14ac:dyDescent="0.35">
      <c r="A451" s="4" t="s">
        <v>799</v>
      </c>
      <c r="B451" s="5">
        <v>10</v>
      </c>
    </row>
    <row r="452" spans="1:2" x14ac:dyDescent="0.35">
      <c r="A452" s="4" t="s">
        <v>11510</v>
      </c>
      <c r="B452" s="5">
        <v>1</v>
      </c>
    </row>
    <row r="453" spans="1:2" x14ac:dyDescent="0.35">
      <c r="A453" s="4" t="s">
        <v>3102</v>
      </c>
      <c r="B453" s="5">
        <v>1</v>
      </c>
    </row>
    <row r="454" spans="1:2" x14ac:dyDescent="0.35">
      <c r="A454" s="4" t="s">
        <v>9472</v>
      </c>
      <c r="B454" s="5">
        <v>9</v>
      </c>
    </row>
    <row r="455" spans="1:2" x14ac:dyDescent="0.35">
      <c r="A455" s="4" t="s">
        <v>6341</v>
      </c>
      <c r="B455" s="5">
        <v>1</v>
      </c>
    </row>
    <row r="456" spans="1:2" x14ac:dyDescent="0.35">
      <c r="A456" s="4" t="s">
        <v>1072</v>
      </c>
      <c r="B456" s="5">
        <v>4</v>
      </c>
    </row>
    <row r="457" spans="1:2" x14ac:dyDescent="0.35">
      <c r="A457" s="4" t="s">
        <v>1787</v>
      </c>
      <c r="B457" s="5">
        <v>4</v>
      </c>
    </row>
    <row r="458" spans="1:2" x14ac:dyDescent="0.35">
      <c r="A458" s="4" t="s">
        <v>11005</v>
      </c>
      <c r="B458" s="5">
        <v>1</v>
      </c>
    </row>
    <row r="459" spans="1:2" x14ac:dyDescent="0.35">
      <c r="A459" s="4" t="s">
        <v>5319</v>
      </c>
      <c r="B459" s="5">
        <v>1</v>
      </c>
    </row>
    <row r="460" spans="1:2" x14ac:dyDescent="0.35">
      <c r="A460" s="4" t="s">
        <v>6533</v>
      </c>
      <c r="B460" s="5">
        <v>4</v>
      </c>
    </row>
    <row r="461" spans="1:2" x14ac:dyDescent="0.35">
      <c r="A461" s="4" t="s">
        <v>3888</v>
      </c>
      <c r="B461" s="5">
        <v>2</v>
      </c>
    </row>
    <row r="462" spans="1:2" x14ac:dyDescent="0.35">
      <c r="A462" s="4" t="s">
        <v>6783</v>
      </c>
      <c r="B462" s="5">
        <v>1</v>
      </c>
    </row>
    <row r="463" spans="1:2" x14ac:dyDescent="0.35">
      <c r="A463" s="4" t="s">
        <v>8408</v>
      </c>
      <c r="B463" s="5">
        <v>7</v>
      </c>
    </row>
    <row r="464" spans="1:2" x14ac:dyDescent="0.35">
      <c r="A464" s="4" t="s">
        <v>2471</v>
      </c>
      <c r="B464" s="5">
        <v>1</v>
      </c>
    </row>
    <row r="465" spans="1:2" x14ac:dyDescent="0.35">
      <c r="A465" s="4" t="s">
        <v>7364</v>
      </c>
      <c r="B465" s="5">
        <v>3</v>
      </c>
    </row>
    <row r="466" spans="1:2" x14ac:dyDescent="0.35">
      <c r="A466" s="4" t="s">
        <v>10807</v>
      </c>
      <c r="B466" s="5">
        <v>1</v>
      </c>
    </row>
    <row r="467" spans="1:2" x14ac:dyDescent="0.35">
      <c r="A467" s="4" t="s">
        <v>134</v>
      </c>
      <c r="B467" s="5">
        <v>3</v>
      </c>
    </row>
    <row r="468" spans="1:2" x14ac:dyDescent="0.35">
      <c r="A468" s="4" t="s">
        <v>11849</v>
      </c>
      <c r="B468" s="5">
        <v>2</v>
      </c>
    </row>
    <row r="469" spans="1:2" x14ac:dyDescent="0.35">
      <c r="A469" s="4" t="s">
        <v>4954</v>
      </c>
      <c r="B469" s="5">
        <v>4</v>
      </c>
    </row>
    <row r="470" spans="1:2" x14ac:dyDescent="0.35">
      <c r="A470" s="4" t="s">
        <v>2000</v>
      </c>
      <c r="B470" s="5">
        <v>5</v>
      </c>
    </row>
    <row r="471" spans="1:2" x14ac:dyDescent="0.35">
      <c r="A471" s="4" t="s">
        <v>377</v>
      </c>
      <c r="B471" s="5">
        <v>1</v>
      </c>
    </row>
    <row r="472" spans="1:2" x14ac:dyDescent="0.35">
      <c r="A472" s="4" t="s">
        <v>12959</v>
      </c>
      <c r="B472" s="5">
        <v>1</v>
      </c>
    </row>
    <row r="473" spans="1:2" x14ac:dyDescent="0.35">
      <c r="A473" s="4" t="s">
        <v>4959</v>
      </c>
      <c r="B473" s="5">
        <v>7</v>
      </c>
    </row>
    <row r="474" spans="1:2" x14ac:dyDescent="0.35">
      <c r="A474" s="4" t="s">
        <v>5449</v>
      </c>
      <c r="B474" s="5">
        <v>18</v>
      </c>
    </row>
    <row r="475" spans="1:2" x14ac:dyDescent="0.35">
      <c r="A475" s="4" t="s">
        <v>1460</v>
      </c>
      <c r="B475" s="5">
        <v>10</v>
      </c>
    </row>
    <row r="476" spans="1:2" x14ac:dyDescent="0.35">
      <c r="A476" s="4" t="s">
        <v>2233</v>
      </c>
      <c r="B476" s="5">
        <v>7</v>
      </c>
    </row>
    <row r="477" spans="1:2" x14ac:dyDescent="0.35">
      <c r="A477" s="4" t="s">
        <v>5983</v>
      </c>
      <c r="B477" s="5">
        <v>1</v>
      </c>
    </row>
    <row r="478" spans="1:2" x14ac:dyDescent="0.35">
      <c r="A478" s="4" t="s">
        <v>5925</v>
      </c>
      <c r="B478" s="5">
        <v>1</v>
      </c>
    </row>
    <row r="479" spans="1:2" x14ac:dyDescent="0.35">
      <c r="A479" s="4" t="s">
        <v>11738</v>
      </c>
      <c r="B479" s="5">
        <v>3</v>
      </c>
    </row>
    <row r="480" spans="1:2" x14ac:dyDescent="0.35">
      <c r="A480" s="4" t="s">
        <v>2968</v>
      </c>
      <c r="B480" s="5">
        <v>1</v>
      </c>
    </row>
    <row r="481" spans="1:2" x14ac:dyDescent="0.35">
      <c r="A481" s="4" t="s">
        <v>10886</v>
      </c>
      <c r="B481" s="5">
        <v>1</v>
      </c>
    </row>
    <row r="482" spans="1:2" x14ac:dyDescent="0.35">
      <c r="A482" s="4" t="s">
        <v>3232</v>
      </c>
      <c r="B482" s="5">
        <v>13</v>
      </c>
    </row>
    <row r="483" spans="1:2" x14ac:dyDescent="0.35">
      <c r="A483" s="4" t="s">
        <v>4130</v>
      </c>
      <c r="B483" s="5">
        <v>12</v>
      </c>
    </row>
    <row r="484" spans="1:2" x14ac:dyDescent="0.35">
      <c r="A484" s="4" t="s">
        <v>10513</v>
      </c>
      <c r="B484" s="5">
        <v>3</v>
      </c>
    </row>
    <row r="485" spans="1:2" x14ac:dyDescent="0.35">
      <c r="A485" s="4" t="s">
        <v>9075</v>
      </c>
      <c r="B485" s="5">
        <v>1</v>
      </c>
    </row>
    <row r="486" spans="1:2" x14ac:dyDescent="0.35">
      <c r="A486" s="4" t="s">
        <v>4863</v>
      </c>
      <c r="B486" s="5">
        <v>5</v>
      </c>
    </row>
    <row r="487" spans="1:2" x14ac:dyDescent="0.35">
      <c r="A487" s="4" t="s">
        <v>7494</v>
      </c>
      <c r="B487" s="5">
        <v>3</v>
      </c>
    </row>
    <row r="488" spans="1:2" x14ac:dyDescent="0.35">
      <c r="A488" s="4" t="s">
        <v>10815</v>
      </c>
      <c r="B488" s="5">
        <v>8</v>
      </c>
    </row>
    <row r="489" spans="1:2" x14ac:dyDescent="0.35">
      <c r="A489" s="4" t="s">
        <v>12963</v>
      </c>
      <c r="B489" s="5">
        <v>1</v>
      </c>
    </row>
    <row r="490" spans="1:2" x14ac:dyDescent="0.35">
      <c r="A490" s="4" t="s">
        <v>1649</v>
      </c>
      <c r="B490" s="5">
        <v>1</v>
      </c>
    </row>
    <row r="491" spans="1:2" x14ac:dyDescent="0.35">
      <c r="A491" s="4" t="s">
        <v>7533</v>
      </c>
      <c r="B491" s="5">
        <v>3</v>
      </c>
    </row>
    <row r="492" spans="1:2" x14ac:dyDescent="0.35">
      <c r="A492" s="4" t="s">
        <v>5405</v>
      </c>
      <c r="B492" s="5">
        <v>1</v>
      </c>
    </row>
    <row r="493" spans="1:2" x14ac:dyDescent="0.35">
      <c r="A493" s="4" t="s">
        <v>4329</v>
      </c>
      <c r="B493" s="5">
        <v>12</v>
      </c>
    </row>
    <row r="494" spans="1:2" x14ac:dyDescent="0.35">
      <c r="A494" s="4" t="s">
        <v>6224</v>
      </c>
      <c r="B494" s="5">
        <v>1</v>
      </c>
    </row>
    <row r="495" spans="1:2" x14ac:dyDescent="0.35">
      <c r="A495" s="4" t="s">
        <v>4234</v>
      </c>
      <c r="B495" s="5">
        <v>3</v>
      </c>
    </row>
    <row r="496" spans="1:2" x14ac:dyDescent="0.35">
      <c r="A496" s="4" t="s">
        <v>3709</v>
      </c>
      <c r="B496" s="5">
        <v>4</v>
      </c>
    </row>
    <row r="497" spans="1:2" x14ac:dyDescent="0.35">
      <c r="A497" s="4" t="s">
        <v>7052</v>
      </c>
      <c r="B497" s="5">
        <v>6</v>
      </c>
    </row>
    <row r="498" spans="1:2" x14ac:dyDescent="0.35">
      <c r="A498" s="4" t="s">
        <v>4526</v>
      </c>
      <c r="B498" s="5">
        <v>18</v>
      </c>
    </row>
    <row r="499" spans="1:2" x14ac:dyDescent="0.35">
      <c r="A499" s="4" t="s">
        <v>6721</v>
      </c>
      <c r="B499" s="5">
        <v>6</v>
      </c>
    </row>
    <row r="500" spans="1:2" x14ac:dyDescent="0.35">
      <c r="A500" s="4" t="s">
        <v>4552</v>
      </c>
      <c r="B500" s="5">
        <v>10</v>
      </c>
    </row>
    <row r="501" spans="1:2" x14ac:dyDescent="0.35">
      <c r="A501" s="4" t="s">
        <v>4576</v>
      </c>
      <c r="B501" s="5">
        <v>2</v>
      </c>
    </row>
    <row r="502" spans="1:2" x14ac:dyDescent="0.35">
      <c r="A502" s="4" t="s">
        <v>572</v>
      </c>
      <c r="B502" s="5">
        <v>8</v>
      </c>
    </row>
    <row r="503" spans="1:2" x14ac:dyDescent="0.35">
      <c r="A503" s="4" t="s">
        <v>5599</v>
      </c>
      <c r="B503" s="5">
        <v>1</v>
      </c>
    </row>
    <row r="504" spans="1:2" x14ac:dyDescent="0.35">
      <c r="A504" s="4" t="s">
        <v>3993</v>
      </c>
      <c r="B504" s="5">
        <v>25</v>
      </c>
    </row>
    <row r="505" spans="1:2" x14ac:dyDescent="0.35">
      <c r="A505" s="4" t="s">
        <v>720</v>
      </c>
      <c r="B505" s="5">
        <v>1</v>
      </c>
    </row>
    <row r="506" spans="1:2" x14ac:dyDescent="0.35">
      <c r="A506" s="4" t="s">
        <v>246</v>
      </c>
      <c r="B506" s="5">
        <v>41</v>
      </c>
    </row>
    <row r="507" spans="1:2" x14ac:dyDescent="0.35">
      <c r="A507" s="4" t="s">
        <v>6695</v>
      </c>
      <c r="B507" s="5">
        <v>2</v>
      </c>
    </row>
    <row r="508" spans="1:2" x14ac:dyDescent="0.35">
      <c r="A508" s="4" t="s">
        <v>13101</v>
      </c>
      <c r="B508" s="5">
        <v>2</v>
      </c>
    </row>
    <row r="509" spans="1:2" x14ac:dyDescent="0.35">
      <c r="A509" s="4" t="s">
        <v>1274</v>
      </c>
      <c r="B509" s="5">
        <v>5</v>
      </c>
    </row>
    <row r="510" spans="1:2" x14ac:dyDescent="0.35">
      <c r="A510" s="4" t="s">
        <v>8149</v>
      </c>
      <c r="B510" s="5">
        <v>2</v>
      </c>
    </row>
    <row r="511" spans="1:2" x14ac:dyDescent="0.35">
      <c r="A511" s="4" t="s">
        <v>4075</v>
      </c>
      <c r="B511" s="5">
        <v>1</v>
      </c>
    </row>
    <row r="512" spans="1:2" x14ac:dyDescent="0.35">
      <c r="A512" s="4" t="s">
        <v>11505</v>
      </c>
      <c r="B512" s="5">
        <v>1</v>
      </c>
    </row>
    <row r="513" spans="1:2" x14ac:dyDescent="0.35">
      <c r="A513" s="4" t="s">
        <v>4515</v>
      </c>
      <c r="B513" s="5">
        <v>1</v>
      </c>
    </row>
    <row r="514" spans="1:2" x14ac:dyDescent="0.35">
      <c r="A514" s="4" t="s">
        <v>8517</v>
      </c>
      <c r="B514" s="5">
        <v>4</v>
      </c>
    </row>
    <row r="515" spans="1:2" x14ac:dyDescent="0.35">
      <c r="A515" s="4" t="s">
        <v>10528</v>
      </c>
      <c r="B515" s="5">
        <v>3</v>
      </c>
    </row>
    <row r="516" spans="1:2" x14ac:dyDescent="0.35">
      <c r="A516" s="4" t="s">
        <v>977</v>
      </c>
      <c r="B516" s="5">
        <v>3</v>
      </c>
    </row>
    <row r="517" spans="1:2" x14ac:dyDescent="0.35">
      <c r="A517" s="4" t="s">
        <v>10541</v>
      </c>
      <c r="B517" s="5">
        <v>1</v>
      </c>
    </row>
    <row r="518" spans="1:2" x14ac:dyDescent="0.35">
      <c r="A518" s="4" t="s">
        <v>891</v>
      </c>
      <c r="B518" s="5">
        <v>5</v>
      </c>
    </row>
    <row r="519" spans="1:2" x14ac:dyDescent="0.35">
      <c r="A519" s="4" t="s">
        <v>7077</v>
      </c>
      <c r="B519" s="5">
        <v>2</v>
      </c>
    </row>
    <row r="520" spans="1:2" x14ac:dyDescent="0.35">
      <c r="A520" s="4" t="s">
        <v>8219</v>
      </c>
      <c r="B520" s="5">
        <v>1</v>
      </c>
    </row>
    <row r="521" spans="1:2" x14ac:dyDescent="0.35">
      <c r="A521" s="4" t="s">
        <v>3777</v>
      </c>
      <c r="B521" s="5">
        <v>3</v>
      </c>
    </row>
    <row r="522" spans="1:2" x14ac:dyDescent="0.35">
      <c r="A522" s="4" t="s">
        <v>3784</v>
      </c>
      <c r="B522" s="5">
        <v>5</v>
      </c>
    </row>
    <row r="523" spans="1:2" x14ac:dyDescent="0.35">
      <c r="A523" s="4" t="s">
        <v>7682</v>
      </c>
      <c r="B523" s="5">
        <v>8</v>
      </c>
    </row>
    <row r="524" spans="1:2" x14ac:dyDescent="0.35">
      <c r="A524" s="4" t="s">
        <v>5238</v>
      </c>
      <c r="B524" s="5">
        <v>2</v>
      </c>
    </row>
    <row r="525" spans="1:2" x14ac:dyDescent="0.35">
      <c r="A525" s="4" t="s">
        <v>3750</v>
      </c>
      <c r="B525" s="5">
        <v>2</v>
      </c>
    </row>
    <row r="526" spans="1:2" x14ac:dyDescent="0.35">
      <c r="A526" s="4" t="s">
        <v>44</v>
      </c>
      <c r="B526" s="5">
        <v>8</v>
      </c>
    </row>
    <row r="527" spans="1:2" x14ac:dyDescent="0.35">
      <c r="A527" s="4" t="s">
        <v>11893</v>
      </c>
      <c r="B527" s="5">
        <v>3</v>
      </c>
    </row>
    <row r="528" spans="1:2" x14ac:dyDescent="0.35">
      <c r="A528" s="4" t="s">
        <v>7001</v>
      </c>
      <c r="B528" s="5">
        <v>2</v>
      </c>
    </row>
    <row r="529" spans="1:2" x14ac:dyDescent="0.35">
      <c r="A529" s="4" t="s">
        <v>8821</v>
      </c>
      <c r="B529" s="5">
        <v>1</v>
      </c>
    </row>
    <row r="530" spans="1:2" x14ac:dyDescent="0.35">
      <c r="A530" s="4" t="s">
        <v>9044</v>
      </c>
      <c r="B530" s="5">
        <v>5</v>
      </c>
    </row>
    <row r="531" spans="1:2" x14ac:dyDescent="0.35">
      <c r="A531" s="4" t="s">
        <v>2283</v>
      </c>
      <c r="B531" s="5">
        <v>1</v>
      </c>
    </row>
    <row r="532" spans="1:2" x14ac:dyDescent="0.35">
      <c r="A532" s="4" t="s">
        <v>4105</v>
      </c>
      <c r="B532" s="5">
        <v>1</v>
      </c>
    </row>
    <row r="533" spans="1:2" x14ac:dyDescent="0.35">
      <c r="A533" s="4" t="s">
        <v>4209</v>
      </c>
      <c r="B533" s="5">
        <v>1</v>
      </c>
    </row>
    <row r="534" spans="1:2" x14ac:dyDescent="0.35">
      <c r="A534" s="4" t="s">
        <v>2916</v>
      </c>
      <c r="B534" s="5">
        <v>3</v>
      </c>
    </row>
    <row r="535" spans="1:2" x14ac:dyDescent="0.35">
      <c r="A535" s="4" t="s">
        <v>5574</v>
      </c>
      <c r="B535" s="5">
        <v>6</v>
      </c>
    </row>
    <row r="536" spans="1:2" x14ac:dyDescent="0.35">
      <c r="A536" s="4" t="s">
        <v>486</v>
      </c>
      <c r="B536" s="5">
        <v>335</v>
      </c>
    </row>
    <row r="537" spans="1:2" x14ac:dyDescent="0.35">
      <c r="A537" s="4" t="s">
        <v>9210</v>
      </c>
      <c r="B537" s="5">
        <v>3</v>
      </c>
    </row>
    <row r="538" spans="1:2" x14ac:dyDescent="0.35">
      <c r="A538" s="4" t="s">
        <v>2910</v>
      </c>
      <c r="B538" s="5">
        <v>1</v>
      </c>
    </row>
    <row r="539" spans="1:2" x14ac:dyDescent="0.35">
      <c r="A539" s="4" t="s">
        <v>12936</v>
      </c>
      <c r="B539" s="5">
        <v>3</v>
      </c>
    </row>
    <row r="540" spans="1:2" x14ac:dyDescent="0.35">
      <c r="A540" s="4" t="s">
        <v>11910</v>
      </c>
      <c r="B540" s="5">
        <v>2</v>
      </c>
    </row>
    <row r="541" spans="1:2" x14ac:dyDescent="0.35">
      <c r="A541" s="4" t="s">
        <v>10067</v>
      </c>
      <c r="B541" s="5">
        <v>2</v>
      </c>
    </row>
    <row r="542" spans="1:2" x14ac:dyDescent="0.35">
      <c r="A542" s="4" t="s">
        <v>1867</v>
      </c>
      <c r="B542" s="5">
        <v>5</v>
      </c>
    </row>
    <row r="543" spans="1:2" x14ac:dyDescent="0.35">
      <c r="A543" s="4" t="s">
        <v>12727</v>
      </c>
      <c r="B543" s="5">
        <v>1</v>
      </c>
    </row>
    <row r="544" spans="1:2" x14ac:dyDescent="0.35">
      <c r="A544" s="4" t="s">
        <v>10340</v>
      </c>
      <c r="B544" s="5">
        <v>1</v>
      </c>
    </row>
    <row r="545" spans="1:2" x14ac:dyDescent="0.35">
      <c r="A545" s="4" t="s">
        <v>1172</v>
      </c>
      <c r="B545" s="5">
        <v>6</v>
      </c>
    </row>
    <row r="546" spans="1:2" x14ac:dyDescent="0.35">
      <c r="A546" s="4" t="s">
        <v>5494</v>
      </c>
      <c r="B546" s="5">
        <v>30</v>
      </c>
    </row>
    <row r="547" spans="1:2" x14ac:dyDescent="0.35">
      <c r="A547" s="4" t="s">
        <v>13055</v>
      </c>
      <c r="B547" s="5">
        <v>2</v>
      </c>
    </row>
    <row r="548" spans="1:2" x14ac:dyDescent="0.35">
      <c r="A548" s="4" t="s">
        <v>11353</v>
      </c>
      <c r="B548" s="5">
        <v>3</v>
      </c>
    </row>
    <row r="549" spans="1:2" x14ac:dyDescent="0.35">
      <c r="A549" s="4" t="s">
        <v>12136</v>
      </c>
      <c r="B549" s="5">
        <v>3</v>
      </c>
    </row>
    <row r="550" spans="1:2" x14ac:dyDescent="0.35">
      <c r="A550" s="4" t="s">
        <v>7119</v>
      </c>
      <c r="B550" s="5">
        <v>1</v>
      </c>
    </row>
    <row r="551" spans="1:2" x14ac:dyDescent="0.35">
      <c r="A551" s="4" t="s">
        <v>9256</v>
      </c>
      <c r="B551" s="5">
        <v>1</v>
      </c>
    </row>
    <row r="552" spans="1:2" x14ac:dyDescent="0.35">
      <c r="A552" s="4" t="s">
        <v>10868</v>
      </c>
      <c r="B552" s="5">
        <v>5</v>
      </c>
    </row>
    <row r="553" spans="1:2" x14ac:dyDescent="0.35">
      <c r="A553" s="4" t="s">
        <v>3949</v>
      </c>
      <c r="B553" s="5">
        <v>13</v>
      </c>
    </row>
    <row r="554" spans="1:2" x14ac:dyDescent="0.35">
      <c r="A554" s="4" t="s">
        <v>2874</v>
      </c>
      <c r="B554" s="5">
        <v>1</v>
      </c>
    </row>
    <row r="555" spans="1:2" x14ac:dyDescent="0.35">
      <c r="A555" s="4" t="s">
        <v>4021</v>
      </c>
      <c r="B555" s="5">
        <v>1</v>
      </c>
    </row>
    <row r="556" spans="1:2" x14ac:dyDescent="0.35">
      <c r="A556" s="4" t="s">
        <v>25</v>
      </c>
      <c r="B556" s="5">
        <v>24</v>
      </c>
    </row>
    <row r="557" spans="1:2" x14ac:dyDescent="0.35">
      <c r="A557" s="4" t="s">
        <v>6398</v>
      </c>
      <c r="B557" s="5">
        <v>3</v>
      </c>
    </row>
    <row r="558" spans="1:2" x14ac:dyDescent="0.35">
      <c r="A558" s="4" t="s">
        <v>10223</v>
      </c>
      <c r="B558" s="5">
        <v>3</v>
      </c>
    </row>
    <row r="559" spans="1:2" x14ac:dyDescent="0.35">
      <c r="A559" s="4" t="s">
        <v>5180</v>
      </c>
      <c r="B559" s="5">
        <v>1</v>
      </c>
    </row>
    <row r="560" spans="1:2" x14ac:dyDescent="0.35">
      <c r="A560" s="4" t="s">
        <v>4380</v>
      </c>
      <c r="B560" s="5">
        <v>1</v>
      </c>
    </row>
    <row r="561" spans="1:2" x14ac:dyDescent="0.35">
      <c r="A561" s="4" t="s">
        <v>10108</v>
      </c>
      <c r="B561" s="5">
        <v>1</v>
      </c>
    </row>
    <row r="562" spans="1:2" x14ac:dyDescent="0.35">
      <c r="A562" s="4" t="s">
        <v>10396</v>
      </c>
      <c r="B562" s="5">
        <v>3</v>
      </c>
    </row>
    <row r="563" spans="1:2" x14ac:dyDescent="0.35">
      <c r="A563" s="4" t="s">
        <v>8837</v>
      </c>
      <c r="B563" s="5">
        <v>5</v>
      </c>
    </row>
    <row r="564" spans="1:2" x14ac:dyDescent="0.35">
      <c r="A564" s="4" t="s">
        <v>6924</v>
      </c>
      <c r="B564" s="5">
        <v>1</v>
      </c>
    </row>
    <row r="565" spans="1:2" x14ac:dyDescent="0.35">
      <c r="A565" s="4" t="s">
        <v>8057</v>
      </c>
      <c r="B565" s="5">
        <v>3</v>
      </c>
    </row>
    <row r="566" spans="1:2" x14ac:dyDescent="0.35">
      <c r="A566" s="4" t="s">
        <v>5468</v>
      </c>
      <c r="B566" s="5">
        <v>1</v>
      </c>
    </row>
    <row r="567" spans="1:2" x14ac:dyDescent="0.35">
      <c r="A567" s="4" t="s">
        <v>7380</v>
      </c>
      <c r="B567" s="5">
        <v>1</v>
      </c>
    </row>
    <row r="568" spans="1:2" x14ac:dyDescent="0.35">
      <c r="A568" s="4" t="s">
        <v>6059</v>
      </c>
      <c r="B568" s="5">
        <v>2</v>
      </c>
    </row>
    <row r="569" spans="1:2" x14ac:dyDescent="0.35">
      <c r="A569" s="4" t="s">
        <v>5001</v>
      </c>
      <c r="B569" s="5">
        <v>4</v>
      </c>
    </row>
    <row r="570" spans="1:2" x14ac:dyDescent="0.35">
      <c r="A570" s="4" t="s">
        <v>1633</v>
      </c>
      <c r="B570" s="5">
        <v>1</v>
      </c>
    </row>
    <row r="571" spans="1:2" x14ac:dyDescent="0.35">
      <c r="A571" s="4" t="s">
        <v>1121</v>
      </c>
      <c r="B571" s="5">
        <v>15</v>
      </c>
    </row>
    <row r="572" spans="1:2" x14ac:dyDescent="0.35">
      <c r="A572" s="4" t="s">
        <v>1761</v>
      </c>
      <c r="B572" s="5">
        <v>2</v>
      </c>
    </row>
    <row r="573" spans="1:2" x14ac:dyDescent="0.35">
      <c r="A573" s="4" t="s">
        <v>8016</v>
      </c>
      <c r="B573" s="5">
        <v>1</v>
      </c>
    </row>
    <row r="574" spans="1:2" x14ac:dyDescent="0.35">
      <c r="A574" s="4" t="s">
        <v>7239</v>
      </c>
      <c r="B574" s="5">
        <v>3</v>
      </c>
    </row>
    <row r="575" spans="1:2" x14ac:dyDescent="0.35">
      <c r="A575" s="4" t="s">
        <v>10343</v>
      </c>
      <c r="B575" s="5">
        <v>1</v>
      </c>
    </row>
    <row r="576" spans="1:2" x14ac:dyDescent="0.35">
      <c r="A576" s="4" t="s">
        <v>7650</v>
      </c>
      <c r="B576" s="5">
        <v>3</v>
      </c>
    </row>
    <row r="577" spans="1:2" x14ac:dyDescent="0.35">
      <c r="A577" s="4" t="s">
        <v>2827</v>
      </c>
      <c r="B577" s="5">
        <v>6</v>
      </c>
    </row>
    <row r="578" spans="1:2" x14ac:dyDescent="0.35">
      <c r="A578" s="4" t="s">
        <v>5821</v>
      </c>
      <c r="B578" s="5">
        <v>2</v>
      </c>
    </row>
    <row r="579" spans="1:2" x14ac:dyDescent="0.35">
      <c r="A579" s="4" t="s">
        <v>8391</v>
      </c>
      <c r="B579" s="5">
        <v>1</v>
      </c>
    </row>
    <row r="580" spans="1:2" x14ac:dyDescent="0.35">
      <c r="A580" s="4" t="s">
        <v>7882</v>
      </c>
      <c r="B580" s="5">
        <v>1</v>
      </c>
    </row>
    <row r="581" spans="1:2" x14ac:dyDescent="0.35">
      <c r="A581" s="4" t="s">
        <v>2220</v>
      </c>
      <c r="B581" s="5">
        <v>3</v>
      </c>
    </row>
    <row r="582" spans="1:2" x14ac:dyDescent="0.35">
      <c r="A582" s="4" t="s">
        <v>10064</v>
      </c>
      <c r="B582" s="5">
        <v>3</v>
      </c>
    </row>
    <row r="583" spans="1:2" x14ac:dyDescent="0.35">
      <c r="A583" s="4" t="s">
        <v>178</v>
      </c>
      <c r="B583" s="5">
        <v>4</v>
      </c>
    </row>
    <row r="584" spans="1:2" x14ac:dyDescent="0.35">
      <c r="A584" s="4" t="s">
        <v>6484</v>
      </c>
      <c r="B584" s="5">
        <v>3</v>
      </c>
    </row>
    <row r="585" spans="1:2" x14ac:dyDescent="0.35">
      <c r="A585" s="4" t="s">
        <v>4469</v>
      </c>
      <c r="B585" s="5">
        <v>1</v>
      </c>
    </row>
    <row r="586" spans="1:2" x14ac:dyDescent="0.35">
      <c r="A586" s="4" t="s">
        <v>10711</v>
      </c>
      <c r="B586" s="5">
        <v>3</v>
      </c>
    </row>
    <row r="587" spans="1:2" x14ac:dyDescent="0.35">
      <c r="A587" s="4" t="s">
        <v>10290</v>
      </c>
      <c r="B587" s="5">
        <v>4</v>
      </c>
    </row>
    <row r="588" spans="1:2" x14ac:dyDescent="0.35">
      <c r="A588" s="4" t="s">
        <v>11187</v>
      </c>
      <c r="B588" s="5">
        <v>4</v>
      </c>
    </row>
    <row r="589" spans="1:2" x14ac:dyDescent="0.35">
      <c r="A589" s="4" t="s">
        <v>11328</v>
      </c>
      <c r="B589" s="5">
        <v>1</v>
      </c>
    </row>
    <row r="590" spans="1:2" x14ac:dyDescent="0.35">
      <c r="A590" s="4" t="s">
        <v>11347</v>
      </c>
      <c r="B590" s="5">
        <v>3</v>
      </c>
    </row>
    <row r="591" spans="1:2" x14ac:dyDescent="0.35">
      <c r="A591" s="4" t="s">
        <v>4083</v>
      </c>
      <c r="B591" s="5">
        <v>1</v>
      </c>
    </row>
    <row r="592" spans="1:2" x14ac:dyDescent="0.35">
      <c r="A592" s="4" t="s">
        <v>10429</v>
      </c>
      <c r="B592" s="5">
        <v>3</v>
      </c>
    </row>
    <row r="593" spans="1:2" x14ac:dyDescent="0.35">
      <c r="A593" s="4" t="s">
        <v>6770</v>
      </c>
      <c r="B593" s="5">
        <v>2</v>
      </c>
    </row>
    <row r="594" spans="1:2" x14ac:dyDescent="0.35">
      <c r="A594" s="4" t="s">
        <v>12819</v>
      </c>
      <c r="B594" s="5">
        <v>1</v>
      </c>
    </row>
    <row r="595" spans="1:2" x14ac:dyDescent="0.35">
      <c r="A595" s="4" t="s">
        <v>8490</v>
      </c>
      <c r="B595" s="5">
        <v>3</v>
      </c>
    </row>
    <row r="596" spans="1:2" x14ac:dyDescent="0.35">
      <c r="A596" s="4" t="s">
        <v>618</v>
      </c>
      <c r="B596" s="5">
        <v>4</v>
      </c>
    </row>
    <row r="597" spans="1:2" x14ac:dyDescent="0.35">
      <c r="A597" s="4" t="s">
        <v>8952</v>
      </c>
      <c r="B597" s="5">
        <v>1</v>
      </c>
    </row>
    <row r="598" spans="1:2" x14ac:dyDescent="0.35">
      <c r="A598" s="4" t="s">
        <v>10337</v>
      </c>
      <c r="B598" s="5">
        <v>1</v>
      </c>
    </row>
    <row r="599" spans="1:2" x14ac:dyDescent="0.35">
      <c r="A599" s="4" t="s">
        <v>10247</v>
      </c>
      <c r="B599" s="5">
        <v>3</v>
      </c>
    </row>
    <row r="600" spans="1:2" x14ac:dyDescent="0.35">
      <c r="A600" s="4" t="s">
        <v>10245</v>
      </c>
      <c r="B600" s="5">
        <v>3</v>
      </c>
    </row>
    <row r="601" spans="1:2" x14ac:dyDescent="0.35">
      <c r="A601" s="4" t="s">
        <v>10250</v>
      </c>
      <c r="B601" s="5">
        <v>3</v>
      </c>
    </row>
    <row r="602" spans="1:2" x14ac:dyDescent="0.35">
      <c r="A602" s="4" t="s">
        <v>7314</v>
      </c>
      <c r="B602" s="5">
        <v>1</v>
      </c>
    </row>
    <row r="603" spans="1:2" x14ac:dyDescent="0.35">
      <c r="A603" s="4" t="s">
        <v>10253</v>
      </c>
      <c r="B603" s="5">
        <v>3</v>
      </c>
    </row>
    <row r="604" spans="1:2" x14ac:dyDescent="0.35">
      <c r="A604" s="4" t="s">
        <v>3692</v>
      </c>
      <c r="B604" s="5">
        <v>4</v>
      </c>
    </row>
    <row r="605" spans="1:2" x14ac:dyDescent="0.35">
      <c r="A605" s="4" t="s">
        <v>903</v>
      </c>
      <c r="B605" s="5">
        <v>6</v>
      </c>
    </row>
    <row r="606" spans="1:2" x14ac:dyDescent="0.35">
      <c r="A606" s="4" t="s">
        <v>5793</v>
      </c>
      <c r="B606" s="5">
        <v>1</v>
      </c>
    </row>
    <row r="607" spans="1:2" x14ac:dyDescent="0.35">
      <c r="A607" s="4" t="s">
        <v>11360</v>
      </c>
      <c r="B607" s="5">
        <v>3</v>
      </c>
    </row>
    <row r="608" spans="1:2" x14ac:dyDescent="0.35">
      <c r="A608" s="4" t="s">
        <v>10565</v>
      </c>
      <c r="B608" s="5">
        <v>1</v>
      </c>
    </row>
    <row r="609" spans="1:2" x14ac:dyDescent="0.35">
      <c r="A609" s="4" t="s">
        <v>12897</v>
      </c>
      <c r="B609" s="5">
        <v>1</v>
      </c>
    </row>
    <row r="610" spans="1:2" x14ac:dyDescent="0.35">
      <c r="A610" s="4" t="s">
        <v>7998</v>
      </c>
      <c r="B610" s="5">
        <v>3</v>
      </c>
    </row>
    <row r="611" spans="1:2" x14ac:dyDescent="0.35">
      <c r="A611" s="4" t="s">
        <v>3308</v>
      </c>
      <c r="B611" s="5">
        <v>1</v>
      </c>
    </row>
    <row r="612" spans="1:2" x14ac:dyDescent="0.35">
      <c r="A612" s="4" t="s">
        <v>7817</v>
      </c>
      <c r="B612" s="5">
        <v>10</v>
      </c>
    </row>
    <row r="613" spans="1:2" x14ac:dyDescent="0.35">
      <c r="A613" s="4" t="s">
        <v>189</v>
      </c>
      <c r="B613" s="5">
        <v>1</v>
      </c>
    </row>
    <row r="614" spans="1:2" x14ac:dyDescent="0.35">
      <c r="A614" s="4" t="s">
        <v>4157</v>
      </c>
      <c r="B614" s="5">
        <v>2</v>
      </c>
    </row>
    <row r="615" spans="1:2" x14ac:dyDescent="0.35">
      <c r="A615" s="4" t="s">
        <v>7268</v>
      </c>
      <c r="B615" s="5">
        <v>2</v>
      </c>
    </row>
    <row r="616" spans="1:2" x14ac:dyDescent="0.35">
      <c r="A616" s="4" t="s">
        <v>6325</v>
      </c>
      <c r="B616" s="5">
        <v>15</v>
      </c>
    </row>
    <row r="617" spans="1:2" x14ac:dyDescent="0.35">
      <c r="A617" s="4" t="s">
        <v>5015</v>
      </c>
      <c r="B617" s="5">
        <v>3</v>
      </c>
    </row>
    <row r="618" spans="1:2" x14ac:dyDescent="0.35">
      <c r="A618" s="4" t="s">
        <v>10186</v>
      </c>
      <c r="B618" s="5">
        <v>1</v>
      </c>
    </row>
    <row r="619" spans="1:2" x14ac:dyDescent="0.35">
      <c r="A619" s="4" t="s">
        <v>3159</v>
      </c>
      <c r="B619" s="5">
        <v>4</v>
      </c>
    </row>
    <row r="620" spans="1:2" x14ac:dyDescent="0.35">
      <c r="A620" s="4" t="s">
        <v>5297</v>
      </c>
      <c r="B620" s="5">
        <v>5</v>
      </c>
    </row>
    <row r="621" spans="1:2" x14ac:dyDescent="0.35">
      <c r="A621" s="4" t="s">
        <v>3930</v>
      </c>
      <c r="B621" s="5">
        <v>4</v>
      </c>
    </row>
    <row r="622" spans="1:2" x14ac:dyDescent="0.35">
      <c r="A622" s="4" t="s">
        <v>5698</v>
      </c>
      <c r="B622" s="5">
        <v>6</v>
      </c>
    </row>
    <row r="623" spans="1:2" x14ac:dyDescent="0.35">
      <c r="A623" s="4" t="s">
        <v>11774</v>
      </c>
      <c r="B623" s="5">
        <v>1</v>
      </c>
    </row>
    <row r="624" spans="1:2" x14ac:dyDescent="0.35">
      <c r="A624" s="4" t="s">
        <v>8335</v>
      </c>
      <c r="B624" s="5">
        <v>1</v>
      </c>
    </row>
    <row r="625" spans="1:2" x14ac:dyDescent="0.35">
      <c r="A625" s="4" t="s">
        <v>12867</v>
      </c>
      <c r="B625" s="5">
        <v>5</v>
      </c>
    </row>
    <row r="626" spans="1:2" x14ac:dyDescent="0.35">
      <c r="A626" s="4" t="s">
        <v>11080</v>
      </c>
      <c r="B626" s="5">
        <v>3</v>
      </c>
    </row>
    <row r="627" spans="1:2" x14ac:dyDescent="0.35">
      <c r="A627" s="4" t="s">
        <v>7615</v>
      </c>
      <c r="B627" s="5">
        <v>4</v>
      </c>
    </row>
    <row r="628" spans="1:2" x14ac:dyDescent="0.35">
      <c r="A628" s="4" t="s">
        <v>10745</v>
      </c>
      <c r="B628" s="5">
        <v>1</v>
      </c>
    </row>
    <row r="629" spans="1:2" x14ac:dyDescent="0.35">
      <c r="A629" s="4" t="s">
        <v>4975</v>
      </c>
      <c r="B629" s="5">
        <v>1</v>
      </c>
    </row>
    <row r="630" spans="1:2" x14ac:dyDescent="0.35">
      <c r="A630" s="4" t="s">
        <v>6736</v>
      </c>
      <c r="B630" s="5">
        <v>11</v>
      </c>
    </row>
    <row r="631" spans="1:2" x14ac:dyDescent="0.35">
      <c r="A631" s="4" t="s">
        <v>2959</v>
      </c>
      <c r="B631" s="5">
        <v>3</v>
      </c>
    </row>
    <row r="632" spans="1:2" x14ac:dyDescent="0.35">
      <c r="A632" s="4" t="s">
        <v>5723</v>
      </c>
      <c r="B632" s="5">
        <v>3</v>
      </c>
    </row>
    <row r="633" spans="1:2" x14ac:dyDescent="0.35">
      <c r="A633" s="4" t="s">
        <v>1886</v>
      </c>
      <c r="B633" s="5">
        <v>8</v>
      </c>
    </row>
    <row r="634" spans="1:2" x14ac:dyDescent="0.35">
      <c r="A634" s="4" t="s">
        <v>12227</v>
      </c>
      <c r="B634" s="5">
        <v>1</v>
      </c>
    </row>
    <row r="635" spans="1:2" x14ac:dyDescent="0.35">
      <c r="A635" s="4" t="s">
        <v>9960</v>
      </c>
      <c r="B635" s="5">
        <v>3</v>
      </c>
    </row>
    <row r="636" spans="1:2" x14ac:dyDescent="0.35">
      <c r="A636" s="4" t="s">
        <v>7549</v>
      </c>
      <c r="B636" s="5">
        <v>2</v>
      </c>
    </row>
    <row r="637" spans="1:2" x14ac:dyDescent="0.35">
      <c r="A637" s="4" t="s">
        <v>6052</v>
      </c>
      <c r="B637" s="5">
        <v>2</v>
      </c>
    </row>
    <row r="638" spans="1:2" x14ac:dyDescent="0.35">
      <c r="A638" s="4" t="s">
        <v>766</v>
      </c>
      <c r="B638" s="5">
        <v>1</v>
      </c>
    </row>
    <row r="639" spans="1:2" x14ac:dyDescent="0.35">
      <c r="A639" s="4" t="s">
        <v>9066</v>
      </c>
      <c r="B639" s="5">
        <v>3</v>
      </c>
    </row>
    <row r="640" spans="1:2" x14ac:dyDescent="0.35">
      <c r="A640" s="4" t="s">
        <v>10140</v>
      </c>
      <c r="B640" s="5">
        <v>1</v>
      </c>
    </row>
    <row r="641" spans="1:2" x14ac:dyDescent="0.35">
      <c r="A641" s="4" t="s">
        <v>11704</v>
      </c>
      <c r="B641" s="5">
        <v>4</v>
      </c>
    </row>
    <row r="642" spans="1:2" x14ac:dyDescent="0.35">
      <c r="A642" s="4" t="s">
        <v>678</v>
      </c>
      <c r="B642" s="5">
        <v>1</v>
      </c>
    </row>
    <row r="643" spans="1:2" x14ac:dyDescent="0.35">
      <c r="A643" s="4" t="s">
        <v>3679</v>
      </c>
      <c r="B643" s="5">
        <v>2</v>
      </c>
    </row>
    <row r="644" spans="1:2" x14ac:dyDescent="0.35">
      <c r="A644" s="4" t="s">
        <v>1497</v>
      </c>
      <c r="B644" s="5">
        <v>3</v>
      </c>
    </row>
    <row r="645" spans="1:2" x14ac:dyDescent="0.35">
      <c r="A645" s="4" t="s">
        <v>7075</v>
      </c>
      <c r="B645" s="5">
        <v>1</v>
      </c>
    </row>
    <row r="646" spans="1:2" x14ac:dyDescent="0.35">
      <c r="A646" s="4" t="s">
        <v>6210</v>
      </c>
      <c r="B646" s="5">
        <v>1</v>
      </c>
    </row>
    <row r="647" spans="1:2" x14ac:dyDescent="0.35">
      <c r="A647" s="4" t="s">
        <v>8324</v>
      </c>
      <c r="B647" s="5">
        <v>1</v>
      </c>
    </row>
    <row r="648" spans="1:2" x14ac:dyDescent="0.35">
      <c r="A648" s="4" t="s">
        <v>1200</v>
      </c>
      <c r="B648" s="5">
        <v>2</v>
      </c>
    </row>
    <row r="649" spans="1:2" x14ac:dyDescent="0.35">
      <c r="A649" s="4" t="s">
        <v>7636</v>
      </c>
      <c r="B649" s="5">
        <v>1</v>
      </c>
    </row>
    <row r="650" spans="1:2" x14ac:dyDescent="0.35">
      <c r="A650" s="4" t="s">
        <v>12352</v>
      </c>
      <c r="B650" s="5">
        <v>1</v>
      </c>
    </row>
    <row r="651" spans="1:2" x14ac:dyDescent="0.35">
      <c r="A651" s="4" t="s">
        <v>7865</v>
      </c>
      <c r="B651" s="5">
        <v>1</v>
      </c>
    </row>
    <row r="652" spans="1:2" x14ac:dyDescent="0.35">
      <c r="A652" s="4" t="s">
        <v>4637</v>
      </c>
      <c r="B652" s="5">
        <v>3</v>
      </c>
    </row>
    <row r="653" spans="1:2" x14ac:dyDescent="0.35">
      <c r="A653" s="4" t="s">
        <v>2292</v>
      </c>
      <c r="B653" s="5">
        <v>5</v>
      </c>
    </row>
    <row r="654" spans="1:2" x14ac:dyDescent="0.35">
      <c r="A654" s="4" t="s">
        <v>480</v>
      </c>
      <c r="B654" s="5">
        <v>2</v>
      </c>
    </row>
    <row r="655" spans="1:2" x14ac:dyDescent="0.35">
      <c r="A655" s="4" t="s">
        <v>1932</v>
      </c>
      <c r="B655" s="5">
        <v>4</v>
      </c>
    </row>
    <row r="656" spans="1:2" x14ac:dyDescent="0.35">
      <c r="A656" s="4" t="s">
        <v>11267</v>
      </c>
      <c r="B656" s="5">
        <v>5</v>
      </c>
    </row>
    <row r="657" spans="1:2" x14ac:dyDescent="0.35">
      <c r="A657" s="4" t="s">
        <v>2750</v>
      </c>
      <c r="B657" s="5">
        <v>1</v>
      </c>
    </row>
    <row r="658" spans="1:2" x14ac:dyDescent="0.35">
      <c r="A658" s="4" t="s">
        <v>8136</v>
      </c>
      <c r="B658" s="5">
        <v>15</v>
      </c>
    </row>
    <row r="659" spans="1:2" x14ac:dyDescent="0.35">
      <c r="A659" s="4" t="s">
        <v>6879</v>
      </c>
      <c r="B659" s="5">
        <v>1</v>
      </c>
    </row>
    <row r="660" spans="1:2" x14ac:dyDescent="0.35">
      <c r="A660" s="4" t="s">
        <v>119</v>
      </c>
      <c r="B660" s="5">
        <v>7</v>
      </c>
    </row>
    <row r="661" spans="1:2" x14ac:dyDescent="0.35">
      <c r="A661" s="4" t="s">
        <v>6010</v>
      </c>
      <c r="B661" s="5">
        <v>2</v>
      </c>
    </row>
    <row r="662" spans="1:2" x14ac:dyDescent="0.35">
      <c r="A662" s="4" t="s">
        <v>1259</v>
      </c>
      <c r="B662" s="5">
        <v>3</v>
      </c>
    </row>
    <row r="663" spans="1:2" x14ac:dyDescent="0.35">
      <c r="A663" s="4" t="s">
        <v>4509</v>
      </c>
      <c r="B663" s="5">
        <v>4</v>
      </c>
    </row>
    <row r="664" spans="1:2" x14ac:dyDescent="0.35">
      <c r="A664" s="4" t="s">
        <v>8107</v>
      </c>
      <c r="B664" s="5">
        <v>2</v>
      </c>
    </row>
    <row r="665" spans="1:2" x14ac:dyDescent="0.35">
      <c r="A665" s="4" t="s">
        <v>466</v>
      </c>
      <c r="B665" s="5">
        <v>1</v>
      </c>
    </row>
    <row r="666" spans="1:2" x14ac:dyDescent="0.35">
      <c r="A666" s="4" t="s">
        <v>4405</v>
      </c>
      <c r="B666" s="5">
        <v>24</v>
      </c>
    </row>
    <row r="667" spans="1:2" x14ac:dyDescent="0.35">
      <c r="A667" s="4" t="s">
        <v>6347</v>
      </c>
      <c r="B667" s="5">
        <v>2</v>
      </c>
    </row>
    <row r="668" spans="1:2" x14ac:dyDescent="0.35">
      <c r="A668" s="4" t="s">
        <v>4746</v>
      </c>
      <c r="B668" s="5">
        <v>2</v>
      </c>
    </row>
    <row r="669" spans="1:2" x14ac:dyDescent="0.35">
      <c r="A669" s="4" t="s">
        <v>7947</v>
      </c>
      <c r="B669" s="5">
        <v>2</v>
      </c>
    </row>
    <row r="670" spans="1:2" x14ac:dyDescent="0.35">
      <c r="A670" s="4" t="s">
        <v>4260</v>
      </c>
      <c r="B670" s="5">
        <v>2</v>
      </c>
    </row>
    <row r="671" spans="1:2" x14ac:dyDescent="0.35">
      <c r="A671" s="4" t="s">
        <v>11731</v>
      </c>
      <c r="B671" s="5">
        <v>3</v>
      </c>
    </row>
    <row r="672" spans="1:2" x14ac:dyDescent="0.35">
      <c r="A672" s="4" t="s">
        <v>10880</v>
      </c>
      <c r="B672" s="5">
        <v>1</v>
      </c>
    </row>
    <row r="673" spans="1:2" x14ac:dyDescent="0.35">
      <c r="A673" s="4" t="s">
        <v>11454</v>
      </c>
      <c r="B673" s="5">
        <v>2</v>
      </c>
    </row>
    <row r="674" spans="1:2" x14ac:dyDescent="0.35">
      <c r="A674" s="4" t="s">
        <v>1213</v>
      </c>
      <c r="B674" s="5">
        <v>4</v>
      </c>
    </row>
    <row r="675" spans="1:2" x14ac:dyDescent="0.35">
      <c r="A675" s="4" t="s">
        <v>9934</v>
      </c>
      <c r="B675" s="5">
        <v>1</v>
      </c>
    </row>
    <row r="676" spans="1:2" x14ac:dyDescent="0.35">
      <c r="A676" s="4" t="s">
        <v>3023</v>
      </c>
      <c r="B676" s="5">
        <v>2</v>
      </c>
    </row>
    <row r="677" spans="1:2" x14ac:dyDescent="0.35">
      <c r="A677" s="4" t="s">
        <v>2659</v>
      </c>
      <c r="B677" s="5">
        <v>3</v>
      </c>
    </row>
    <row r="678" spans="1:2" x14ac:dyDescent="0.35">
      <c r="A678" s="4" t="s">
        <v>4351</v>
      </c>
      <c r="B678" s="5">
        <v>3</v>
      </c>
    </row>
    <row r="679" spans="1:2" x14ac:dyDescent="0.35">
      <c r="A679" s="4" t="s">
        <v>9243</v>
      </c>
      <c r="B679" s="5">
        <v>2</v>
      </c>
    </row>
    <row r="680" spans="1:2" x14ac:dyDescent="0.35">
      <c r="A680" s="4" t="s">
        <v>4268</v>
      </c>
      <c r="B680" s="5">
        <v>1</v>
      </c>
    </row>
    <row r="681" spans="1:2" x14ac:dyDescent="0.35">
      <c r="A681" s="4" t="s">
        <v>2911</v>
      </c>
      <c r="B681" s="5">
        <v>1</v>
      </c>
    </row>
    <row r="682" spans="1:2" x14ac:dyDescent="0.35">
      <c r="A682" s="4" t="s">
        <v>12036</v>
      </c>
      <c r="B682" s="5">
        <v>1</v>
      </c>
    </row>
    <row r="683" spans="1:2" x14ac:dyDescent="0.35">
      <c r="A683" s="4" t="s">
        <v>9979</v>
      </c>
      <c r="B683" s="5">
        <v>1</v>
      </c>
    </row>
    <row r="684" spans="1:2" x14ac:dyDescent="0.35">
      <c r="A684" s="4" t="s">
        <v>12399</v>
      </c>
      <c r="B684" s="5">
        <v>3</v>
      </c>
    </row>
    <row r="685" spans="1:2" x14ac:dyDescent="0.35">
      <c r="A685" s="4" t="s">
        <v>9766</v>
      </c>
      <c r="B685" s="5">
        <v>6</v>
      </c>
    </row>
    <row r="686" spans="1:2" x14ac:dyDescent="0.35">
      <c r="A686" s="4" t="s">
        <v>11591</v>
      </c>
      <c r="B686" s="5">
        <v>2</v>
      </c>
    </row>
    <row r="687" spans="1:2" x14ac:dyDescent="0.35">
      <c r="A687" s="4" t="s">
        <v>2531</v>
      </c>
      <c r="B687" s="5">
        <v>7</v>
      </c>
    </row>
    <row r="688" spans="1:2" x14ac:dyDescent="0.35">
      <c r="A688" s="4" t="s">
        <v>352</v>
      </c>
      <c r="B688" s="5">
        <v>3</v>
      </c>
    </row>
    <row r="689" spans="1:2" x14ac:dyDescent="0.35">
      <c r="A689" s="4" t="s">
        <v>1060</v>
      </c>
      <c r="B689" s="5">
        <v>2</v>
      </c>
    </row>
    <row r="690" spans="1:2" x14ac:dyDescent="0.35">
      <c r="A690" s="4" t="s">
        <v>366</v>
      </c>
      <c r="B690" s="5">
        <v>3</v>
      </c>
    </row>
    <row r="691" spans="1:2" x14ac:dyDescent="0.35">
      <c r="A691" s="4" t="s">
        <v>2603</v>
      </c>
      <c r="B691" s="5">
        <v>7</v>
      </c>
    </row>
    <row r="692" spans="1:2" x14ac:dyDescent="0.35">
      <c r="A692" s="4" t="s">
        <v>7243</v>
      </c>
      <c r="B692" s="5">
        <v>3</v>
      </c>
    </row>
    <row r="693" spans="1:2" x14ac:dyDescent="0.35">
      <c r="A693" s="4" t="s">
        <v>861</v>
      </c>
      <c r="B693" s="5">
        <v>2</v>
      </c>
    </row>
    <row r="694" spans="1:2" x14ac:dyDescent="0.35">
      <c r="A694" s="4" t="s">
        <v>9202</v>
      </c>
      <c r="B694" s="5">
        <v>7</v>
      </c>
    </row>
    <row r="695" spans="1:2" x14ac:dyDescent="0.35">
      <c r="A695" s="4" t="s">
        <v>10296</v>
      </c>
      <c r="B695" s="5">
        <v>3</v>
      </c>
    </row>
    <row r="696" spans="1:2" x14ac:dyDescent="0.35">
      <c r="A696" s="4" t="s">
        <v>6262</v>
      </c>
      <c r="B696" s="5">
        <v>2</v>
      </c>
    </row>
    <row r="697" spans="1:2" x14ac:dyDescent="0.35">
      <c r="A697" s="4" t="s">
        <v>7233</v>
      </c>
      <c r="B697" s="5">
        <v>3</v>
      </c>
    </row>
    <row r="698" spans="1:2" x14ac:dyDescent="0.35">
      <c r="A698" s="4" t="s">
        <v>3133</v>
      </c>
      <c r="B698" s="5">
        <v>4</v>
      </c>
    </row>
    <row r="699" spans="1:2" x14ac:dyDescent="0.35">
      <c r="A699" s="4" t="s">
        <v>10077</v>
      </c>
      <c r="B699" s="5">
        <v>2</v>
      </c>
    </row>
    <row r="700" spans="1:2" x14ac:dyDescent="0.35">
      <c r="A700" s="4" t="s">
        <v>3186</v>
      </c>
      <c r="B700" s="5">
        <v>83</v>
      </c>
    </row>
    <row r="701" spans="1:2" x14ac:dyDescent="0.35">
      <c r="A701" s="4" t="s">
        <v>160</v>
      </c>
      <c r="B701" s="5">
        <v>13</v>
      </c>
    </row>
    <row r="702" spans="1:2" x14ac:dyDescent="0.35">
      <c r="A702" s="4" t="s">
        <v>10413</v>
      </c>
      <c r="B702" s="5">
        <v>3</v>
      </c>
    </row>
    <row r="703" spans="1:2" x14ac:dyDescent="0.35">
      <c r="A703" s="4" t="s">
        <v>9127</v>
      </c>
      <c r="B703" s="5">
        <v>3</v>
      </c>
    </row>
    <row r="704" spans="1:2" x14ac:dyDescent="0.35">
      <c r="A704" s="4" t="s">
        <v>3815</v>
      </c>
      <c r="B704" s="5">
        <v>4</v>
      </c>
    </row>
    <row r="705" spans="1:2" x14ac:dyDescent="0.35">
      <c r="A705" s="4" t="s">
        <v>4368</v>
      </c>
      <c r="B705" s="5">
        <v>2</v>
      </c>
    </row>
    <row r="706" spans="1:2" x14ac:dyDescent="0.35">
      <c r="A706" s="4" t="s">
        <v>5803</v>
      </c>
      <c r="B706" s="5">
        <v>1</v>
      </c>
    </row>
    <row r="707" spans="1:2" x14ac:dyDescent="0.35">
      <c r="A707" s="4" t="s">
        <v>532</v>
      </c>
      <c r="B707" s="5">
        <v>3</v>
      </c>
    </row>
    <row r="708" spans="1:2" x14ac:dyDescent="0.35">
      <c r="A708" s="4" t="s">
        <v>11300</v>
      </c>
      <c r="B708" s="5">
        <v>4</v>
      </c>
    </row>
    <row r="709" spans="1:2" x14ac:dyDescent="0.35">
      <c r="A709" s="4" t="s">
        <v>2870</v>
      </c>
      <c r="B709" s="5">
        <v>6</v>
      </c>
    </row>
    <row r="710" spans="1:2" x14ac:dyDescent="0.35">
      <c r="A710" s="4" t="s">
        <v>138</v>
      </c>
      <c r="B710" s="5">
        <v>4</v>
      </c>
    </row>
    <row r="711" spans="1:2" x14ac:dyDescent="0.35">
      <c r="A711" s="4" t="s">
        <v>1738</v>
      </c>
      <c r="B711" s="5">
        <v>5</v>
      </c>
    </row>
    <row r="712" spans="1:2" x14ac:dyDescent="0.35">
      <c r="A712" s="4" t="s">
        <v>1742</v>
      </c>
      <c r="B712" s="5">
        <v>1</v>
      </c>
    </row>
    <row r="713" spans="1:2" x14ac:dyDescent="0.35">
      <c r="A713" s="4" t="s">
        <v>8035</v>
      </c>
      <c r="B713" s="5">
        <v>2</v>
      </c>
    </row>
    <row r="714" spans="1:2" x14ac:dyDescent="0.35">
      <c r="A714" s="4" t="s">
        <v>6816</v>
      </c>
      <c r="B714" s="5">
        <v>1</v>
      </c>
    </row>
    <row r="715" spans="1:2" x14ac:dyDescent="0.35">
      <c r="A715" s="4" t="s">
        <v>6888</v>
      </c>
      <c r="B715" s="5">
        <v>1</v>
      </c>
    </row>
    <row r="716" spans="1:2" x14ac:dyDescent="0.35">
      <c r="A716" s="4" t="s">
        <v>1639</v>
      </c>
      <c r="B716" s="5">
        <v>9</v>
      </c>
    </row>
    <row r="717" spans="1:2" x14ac:dyDescent="0.35">
      <c r="A717" s="4" t="s">
        <v>5985</v>
      </c>
      <c r="B717" s="5">
        <v>1</v>
      </c>
    </row>
    <row r="718" spans="1:2" x14ac:dyDescent="0.35">
      <c r="A718" s="4" t="s">
        <v>11184</v>
      </c>
      <c r="B718" s="5">
        <v>7</v>
      </c>
    </row>
    <row r="719" spans="1:2" x14ac:dyDescent="0.35">
      <c r="A719" s="4" t="s">
        <v>6616</v>
      </c>
      <c r="B719" s="5">
        <v>2</v>
      </c>
    </row>
    <row r="720" spans="1:2" x14ac:dyDescent="0.35">
      <c r="A720" s="4" t="s">
        <v>3117</v>
      </c>
      <c r="B720" s="5">
        <v>12</v>
      </c>
    </row>
    <row r="721" spans="1:2" x14ac:dyDescent="0.35">
      <c r="A721" s="4" t="s">
        <v>7018</v>
      </c>
      <c r="B721" s="5">
        <v>2</v>
      </c>
    </row>
    <row r="722" spans="1:2" x14ac:dyDescent="0.35">
      <c r="A722" s="4" t="s">
        <v>4779</v>
      </c>
      <c r="B722" s="5">
        <v>5</v>
      </c>
    </row>
    <row r="723" spans="1:2" x14ac:dyDescent="0.35">
      <c r="A723" s="4" t="s">
        <v>10074</v>
      </c>
      <c r="B723" s="5">
        <v>3</v>
      </c>
    </row>
    <row r="724" spans="1:2" x14ac:dyDescent="0.35">
      <c r="A724" s="4" t="s">
        <v>10847</v>
      </c>
      <c r="B724" s="5">
        <v>1</v>
      </c>
    </row>
    <row r="725" spans="1:2" x14ac:dyDescent="0.35">
      <c r="A725" s="4" t="s">
        <v>1144</v>
      </c>
      <c r="B725" s="5">
        <v>1</v>
      </c>
    </row>
    <row r="726" spans="1:2" x14ac:dyDescent="0.35">
      <c r="A726" s="4" t="s">
        <v>10091</v>
      </c>
      <c r="B726" s="5">
        <v>1</v>
      </c>
    </row>
    <row r="727" spans="1:2" x14ac:dyDescent="0.35">
      <c r="A727" s="4" t="s">
        <v>9558</v>
      </c>
      <c r="B727" s="5">
        <v>8</v>
      </c>
    </row>
    <row r="728" spans="1:2" x14ac:dyDescent="0.35">
      <c r="A728" s="4" t="s">
        <v>2577</v>
      </c>
      <c r="B728" s="5">
        <v>24</v>
      </c>
    </row>
    <row r="729" spans="1:2" x14ac:dyDescent="0.35">
      <c r="A729" s="4" t="s">
        <v>3013</v>
      </c>
      <c r="B729" s="5">
        <v>2</v>
      </c>
    </row>
    <row r="730" spans="1:2" x14ac:dyDescent="0.35">
      <c r="A730" s="4" t="s">
        <v>2453</v>
      </c>
      <c r="B730" s="5">
        <v>6</v>
      </c>
    </row>
    <row r="731" spans="1:2" x14ac:dyDescent="0.35">
      <c r="A731" s="4" t="s">
        <v>11333</v>
      </c>
      <c r="B731" s="5">
        <v>3</v>
      </c>
    </row>
    <row r="732" spans="1:2" x14ac:dyDescent="0.35">
      <c r="A732" s="4" t="s">
        <v>11173</v>
      </c>
      <c r="B732" s="5">
        <v>1</v>
      </c>
    </row>
    <row r="733" spans="1:2" x14ac:dyDescent="0.35">
      <c r="A733" s="4" t="s">
        <v>7729</v>
      </c>
      <c r="B733" s="5">
        <v>1</v>
      </c>
    </row>
    <row r="734" spans="1:2" x14ac:dyDescent="0.35">
      <c r="A734" s="4" t="s">
        <v>4026</v>
      </c>
      <c r="B734" s="5">
        <v>3</v>
      </c>
    </row>
    <row r="735" spans="1:2" x14ac:dyDescent="0.35">
      <c r="A735" s="4" t="s">
        <v>3537</v>
      </c>
      <c r="B735" s="5">
        <v>2</v>
      </c>
    </row>
    <row r="736" spans="1:2" x14ac:dyDescent="0.35">
      <c r="A736" s="4" t="s">
        <v>4314</v>
      </c>
      <c r="B736" s="5">
        <v>1</v>
      </c>
    </row>
    <row r="737" spans="1:2" x14ac:dyDescent="0.35">
      <c r="A737" s="4" t="s">
        <v>12637</v>
      </c>
      <c r="B737" s="5">
        <v>2</v>
      </c>
    </row>
    <row r="738" spans="1:2" x14ac:dyDescent="0.35">
      <c r="A738" s="4" t="s">
        <v>12930</v>
      </c>
      <c r="B738" s="5">
        <v>3</v>
      </c>
    </row>
    <row r="739" spans="1:2" x14ac:dyDescent="0.35">
      <c r="A739" s="4" t="s">
        <v>3973</v>
      </c>
      <c r="B739" s="5">
        <v>41</v>
      </c>
    </row>
    <row r="740" spans="1:2" x14ac:dyDescent="0.35">
      <c r="A740" s="4" t="s">
        <v>3943</v>
      </c>
      <c r="B740" s="5">
        <v>23</v>
      </c>
    </row>
    <row r="741" spans="1:2" x14ac:dyDescent="0.35">
      <c r="A741" s="4" t="s">
        <v>7262</v>
      </c>
      <c r="B741" s="5">
        <v>12</v>
      </c>
    </row>
    <row r="742" spans="1:2" x14ac:dyDescent="0.35">
      <c r="A742" s="4" t="s">
        <v>3321</v>
      </c>
      <c r="B742" s="5">
        <v>4</v>
      </c>
    </row>
    <row r="743" spans="1:2" x14ac:dyDescent="0.35">
      <c r="A743" s="4" t="s">
        <v>8495</v>
      </c>
      <c r="B743" s="5">
        <v>3</v>
      </c>
    </row>
    <row r="744" spans="1:2" x14ac:dyDescent="0.35">
      <c r="A744" s="4" t="s">
        <v>11865</v>
      </c>
      <c r="B744" s="5">
        <v>5</v>
      </c>
    </row>
    <row r="745" spans="1:2" x14ac:dyDescent="0.35">
      <c r="A745" s="4" t="s">
        <v>5631</v>
      </c>
      <c r="B745" s="5">
        <v>11</v>
      </c>
    </row>
    <row r="746" spans="1:2" x14ac:dyDescent="0.35">
      <c r="A746" s="4" t="s">
        <v>4665</v>
      </c>
      <c r="B746" s="5">
        <v>4</v>
      </c>
    </row>
    <row r="747" spans="1:2" x14ac:dyDescent="0.35">
      <c r="A747" s="4" t="s">
        <v>3442</v>
      </c>
      <c r="B747" s="5">
        <v>13</v>
      </c>
    </row>
    <row r="748" spans="1:2" x14ac:dyDescent="0.35">
      <c r="A748" s="4" t="s">
        <v>10666</v>
      </c>
      <c r="B748" s="5">
        <v>5</v>
      </c>
    </row>
    <row r="749" spans="1:2" x14ac:dyDescent="0.35">
      <c r="A749" s="4" t="s">
        <v>1795</v>
      </c>
      <c r="B749" s="5">
        <v>2</v>
      </c>
    </row>
    <row r="750" spans="1:2" x14ac:dyDescent="0.35">
      <c r="A750" s="4" t="s">
        <v>226</v>
      </c>
      <c r="B750" s="5">
        <v>72</v>
      </c>
    </row>
    <row r="751" spans="1:2" x14ac:dyDescent="0.35">
      <c r="A751" s="4" t="s">
        <v>223</v>
      </c>
      <c r="B751" s="5">
        <v>13</v>
      </c>
    </row>
    <row r="752" spans="1:2" x14ac:dyDescent="0.35">
      <c r="A752" s="4" t="s">
        <v>6069</v>
      </c>
      <c r="B752" s="5">
        <v>8</v>
      </c>
    </row>
    <row r="753" spans="1:2" x14ac:dyDescent="0.35">
      <c r="A753" s="4" t="s">
        <v>8865</v>
      </c>
      <c r="B753" s="5">
        <v>2</v>
      </c>
    </row>
    <row r="754" spans="1:2" x14ac:dyDescent="0.35">
      <c r="A754" s="4" t="s">
        <v>7726</v>
      </c>
      <c r="B754" s="5">
        <v>1</v>
      </c>
    </row>
    <row r="755" spans="1:2" x14ac:dyDescent="0.35">
      <c r="A755" s="4" t="s">
        <v>8242</v>
      </c>
      <c r="B755" s="5">
        <v>1</v>
      </c>
    </row>
    <row r="756" spans="1:2" x14ac:dyDescent="0.35">
      <c r="A756" s="4" t="s">
        <v>4435</v>
      </c>
      <c r="B756" s="5">
        <v>8</v>
      </c>
    </row>
    <row r="757" spans="1:2" x14ac:dyDescent="0.35">
      <c r="A757" s="4" t="s">
        <v>11726</v>
      </c>
      <c r="B757" s="5">
        <v>3</v>
      </c>
    </row>
    <row r="758" spans="1:2" x14ac:dyDescent="0.35">
      <c r="A758" s="4" t="s">
        <v>4698</v>
      </c>
      <c r="B758" s="5">
        <v>2</v>
      </c>
    </row>
    <row r="759" spans="1:2" x14ac:dyDescent="0.35">
      <c r="A759" s="4" t="s">
        <v>10060</v>
      </c>
      <c r="B759" s="5">
        <v>3</v>
      </c>
    </row>
    <row r="760" spans="1:2" x14ac:dyDescent="0.35">
      <c r="A760" s="4" t="s">
        <v>11972</v>
      </c>
      <c r="B760" s="5">
        <v>3</v>
      </c>
    </row>
    <row r="761" spans="1:2" x14ac:dyDescent="0.35">
      <c r="A761" s="4" t="s">
        <v>1470</v>
      </c>
      <c r="B761" s="5">
        <v>1</v>
      </c>
    </row>
    <row r="762" spans="1:2" x14ac:dyDescent="0.35">
      <c r="A762" s="4" t="s">
        <v>2921</v>
      </c>
      <c r="B762" s="5">
        <v>4</v>
      </c>
    </row>
    <row r="763" spans="1:2" x14ac:dyDescent="0.35">
      <c r="A763" s="4" t="s">
        <v>4855</v>
      </c>
      <c r="B763" s="5">
        <v>2</v>
      </c>
    </row>
    <row r="764" spans="1:2" x14ac:dyDescent="0.35">
      <c r="A764" s="4" t="s">
        <v>10515</v>
      </c>
      <c r="B764" s="5">
        <v>2</v>
      </c>
    </row>
    <row r="765" spans="1:2" x14ac:dyDescent="0.35">
      <c r="A765" s="4" t="s">
        <v>11178</v>
      </c>
      <c r="B765" s="5">
        <v>3</v>
      </c>
    </row>
    <row r="766" spans="1:2" x14ac:dyDescent="0.35">
      <c r="A766" s="4" t="s">
        <v>585</v>
      </c>
      <c r="B766" s="5">
        <v>1</v>
      </c>
    </row>
    <row r="767" spans="1:2" x14ac:dyDescent="0.35">
      <c r="A767" s="4" t="s">
        <v>9047</v>
      </c>
      <c r="B767" s="5">
        <v>8</v>
      </c>
    </row>
    <row r="768" spans="1:2" x14ac:dyDescent="0.35">
      <c r="A768" s="4" t="s">
        <v>11729</v>
      </c>
      <c r="B768" s="5">
        <v>3</v>
      </c>
    </row>
    <row r="769" spans="1:2" x14ac:dyDescent="0.35">
      <c r="A769" s="4" t="s">
        <v>1871</v>
      </c>
      <c r="B769" s="5">
        <v>16</v>
      </c>
    </row>
    <row r="770" spans="1:2" x14ac:dyDescent="0.35">
      <c r="A770" s="4" t="s">
        <v>4376</v>
      </c>
      <c r="B770" s="5">
        <v>5</v>
      </c>
    </row>
    <row r="771" spans="1:2" x14ac:dyDescent="0.35">
      <c r="A771" s="4" t="s">
        <v>10159</v>
      </c>
      <c r="B771" s="5">
        <v>3</v>
      </c>
    </row>
    <row r="772" spans="1:2" x14ac:dyDescent="0.35">
      <c r="A772" s="4" t="s">
        <v>8073</v>
      </c>
      <c r="B772" s="5">
        <v>1</v>
      </c>
    </row>
    <row r="773" spans="1:2" x14ac:dyDescent="0.35">
      <c r="A773" s="4" t="s">
        <v>4411</v>
      </c>
      <c r="B773" s="5">
        <v>17</v>
      </c>
    </row>
    <row r="774" spans="1:2" x14ac:dyDescent="0.35">
      <c r="A774" s="4" t="s">
        <v>929</v>
      </c>
      <c r="B774" s="5">
        <v>1</v>
      </c>
    </row>
    <row r="775" spans="1:2" x14ac:dyDescent="0.35">
      <c r="A775" s="4" t="s">
        <v>3099</v>
      </c>
      <c r="B775" s="5">
        <v>3</v>
      </c>
    </row>
    <row r="776" spans="1:2" x14ac:dyDescent="0.35">
      <c r="A776" s="4" t="s">
        <v>13074</v>
      </c>
      <c r="B776" s="5">
        <v>2</v>
      </c>
    </row>
    <row r="777" spans="1:2" x14ac:dyDescent="0.35">
      <c r="A777" s="4" t="s">
        <v>4126</v>
      </c>
      <c r="B777" s="5">
        <v>2</v>
      </c>
    </row>
    <row r="778" spans="1:2" x14ac:dyDescent="0.35">
      <c r="A778" s="4" t="s">
        <v>9852</v>
      </c>
      <c r="B778" s="5">
        <v>1</v>
      </c>
    </row>
    <row r="779" spans="1:2" x14ac:dyDescent="0.35">
      <c r="A779" s="4" t="s">
        <v>4197</v>
      </c>
      <c r="B779" s="5">
        <v>32</v>
      </c>
    </row>
    <row r="780" spans="1:2" x14ac:dyDescent="0.35">
      <c r="A780" s="4" t="s">
        <v>11103</v>
      </c>
      <c r="B780" s="5">
        <v>1</v>
      </c>
    </row>
    <row r="781" spans="1:2" x14ac:dyDescent="0.35">
      <c r="A781" s="4" t="s">
        <v>304</v>
      </c>
      <c r="B781" s="5">
        <v>3</v>
      </c>
    </row>
    <row r="782" spans="1:2" x14ac:dyDescent="0.35">
      <c r="A782" s="4" t="s">
        <v>4363</v>
      </c>
      <c r="B782" s="5">
        <v>3</v>
      </c>
    </row>
    <row r="783" spans="1:2" x14ac:dyDescent="0.35">
      <c r="A783" s="4" t="s">
        <v>416</v>
      </c>
      <c r="B783" s="5">
        <v>9</v>
      </c>
    </row>
    <row r="784" spans="1:2" x14ac:dyDescent="0.35">
      <c r="A784" s="4" t="s">
        <v>7557</v>
      </c>
      <c r="B784" s="5">
        <v>4</v>
      </c>
    </row>
    <row r="785" spans="1:2" x14ac:dyDescent="0.35">
      <c r="A785" s="4" t="s">
        <v>434</v>
      </c>
      <c r="B785" s="5">
        <v>2</v>
      </c>
    </row>
    <row r="786" spans="1:2" x14ac:dyDescent="0.35">
      <c r="A786" s="4" t="s">
        <v>4984</v>
      </c>
      <c r="B786" s="5">
        <v>3</v>
      </c>
    </row>
    <row r="787" spans="1:2" x14ac:dyDescent="0.35">
      <c r="A787" s="4" t="s">
        <v>3774</v>
      </c>
      <c r="B787" s="5">
        <v>3</v>
      </c>
    </row>
    <row r="788" spans="1:2" x14ac:dyDescent="0.35">
      <c r="A788" s="4" t="s">
        <v>4767</v>
      </c>
      <c r="B788" s="5">
        <v>5</v>
      </c>
    </row>
    <row r="789" spans="1:2" x14ac:dyDescent="0.35">
      <c r="A789" s="4" t="s">
        <v>2191</v>
      </c>
      <c r="B789" s="5">
        <v>24</v>
      </c>
    </row>
    <row r="790" spans="1:2" x14ac:dyDescent="0.35">
      <c r="A790" s="4" t="s">
        <v>1821</v>
      </c>
      <c r="B790" s="5">
        <v>2</v>
      </c>
    </row>
    <row r="791" spans="1:2" x14ac:dyDescent="0.35">
      <c r="A791" s="4" t="s">
        <v>7993</v>
      </c>
      <c r="B791" s="5">
        <v>9</v>
      </c>
    </row>
    <row r="792" spans="1:2" x14ac:dyDescent="0.35">
      <c r="A792" s="4" t="s">
        <v>5397</v>
      </c>
      <c r="B792" s="5">
        <v>7</v>
      </c>
    </row>
    <row r="793" spans="1:2" x14ac:dyDescent="0.35">
      <c r="A793" s="4" t="s">
        <v>1773</v>
      </c>
      <c r="B793" s="5">
        <v>12</v>
      </c>
    </row>
    <row r="794" spans="1:2" x14ac:dyDescent="0.35">
      <c r="A794" s="4" t="s">
        <v>10364</v>
      </c>
      <c r="B794" s="5">
        <v>5</v>
      </c>
    </row>
    <row r="795" spans="1:2" x14ac:dyDescent="0.35">
      <c r="A795" s="4" t="s">
        <v>8308</v>
      </c>
      <c r="B795" s="5">
        <v>2</v>
      </c>
    </row>
    <row r="796" spans="1:2" x14ac:dyDescent="0.35">
      <c r="A796" s="4" t="s">
        <v>148</v>
      </c>
      <c r="B796" s="5">
        <v>45</v>
      </c>
    </row>
    <row r="797" spans="1:2" x14ac:dyDescent="0.35">
      <c r="A797" s="4" t="s">
        <v>2119</v>
      </c>
      <c r="B797" s="5">
        <v>1</v>
      </c>
    </row>
    <row r="798" spans="1:2" x14ac:dyDescent="0.35">
      <c r="A798" s="4" t="s">
        <v>9886</v>
      </c>
      <c r="B798" s="5">
        <v>1</v>
      </c>
    </row>
    <row r="799" spans="1:2" x14ac:dyDescent="0.35">
      <c r="A799" s="4" t="s">
        <v>11473</v>
      </c>
      <c r="B799" s="5">
        <v>1</v>
      </c>
    </row>
    <row r="800" spans="1:2" x14ac:dyDescent="0.35">
      <c r="A800" s="4" t="s">
        <v>1947</v>
      </c>
      <c r="B800" s="5">
        <v>1</v>
      </c>
    </row>
    <row r="801" spans="1:2" x14ac:dyDescent="0.35">
      <c r="A801" s="4" t="s">
        <v>321</v>
      </c>
      <c r="B801" s="5">
        <v>6</v>
      </c>
    </row>
    <row r="802" spans="1:2" x14ac:dyDescent="0.35">
      <c r="A802" s="4" t="s">
        <v>4192</v>
      </c>
      <c r="B802" s="5">
        <v>5</v>
      </c>
    </row>
    <row r="803" spans="1:2" x14ac:dyDescent="0.35">
      <c r="A803" s="4" t="s">
        <v>1108</v>
      </c>
      <c r="B803" s="5">
        <v>5</v>
      </c>
    </row>
    <row r="804" spans="1:2" x14ac:dyDescent="0.35">
      <c r="A804" s="4" t="s">
        <v>612</v>
      </c>
      <c r="B804" s="5">
        <v>2</v>
      </c>
    </row>
    <row r="805" spans="1:2" x14ac:dyDescent="0.35">
      <c r="A805" s="4" t="s">
        <v>6245</v>
      </c>
      <c r="B805" s="5">
        <v>1</v>
      </c>
    </row>
    <row r="806" spans="1:2" x14ac:dyDescent="0.35">
      <c r="A806" s="4" t="s">
        <v>1224</v>
      </c>
      <c r="B806" s="5">
        <v>2</v>
      </c>
    </row>
    <row r="807" spans="1:2" x14ac:dyDescent="0.35">
      <c r="A807" s="4" t="s">
        <v>6172</v>
      </c>
      <c r="B807" s="5">
        <v>5</v>
      </c>
    </row>
    <row r="808" spans="1:2" x14ac:dyDescent="0.35">
      <c r="A808" s="4" t="s">
        <v>7479</v>
      </c>
      <c r="B808" s="5">
        <v>1</v>
      </c>
    </row>
    <row r="809" spans="1:2" x14ac:dyDescent="0.35">
      <c r="A809" s="4" t="s">
        <v>10611</v>
      </c>
      <c r="B809" s="5">
        <v>3</v>
      </c>
    </row>
    <row r="810" spans="1:2" x14ac:dyDescent="0.35">
      <c r="A810" s="4" t="s">
        <v>8587</v>
      </c>
      <c r="B810" s="5">
        <v>4</v>
      </c>
    </row>
    <row r="811" spans="1:2" x14ac:dyDescent="0.35">
      <c r="A811" s="4" t="s">
        <v>9587</v>
      </c>
      <c r="B811" s="5">
        <v>7</v>
      </c>
    </row>
    <row r="812" spans="1:2" x14ac:dyDescent="0.35">
      <c r="A812" s="4" t="s">
        <v>6788</v>
      </c>
      <c r="B812" s="5">
        <v>4</v>
      </c>
    </row>
    <row r="813" spans="1:2" x14ac:dyDescent="0.35">
      <c r="A813" s="4" t="s">
        <v>3275</v>
      </c>
      <c r="B813" s="5">
        <v>52</v>
      </c>
    </row>
    <row r="814" spans="1:2" x14ac:dyDescent="0.35">
      <c r="A814" s="4" t="s">
        <v>1752</v>
      </c>
      <c r="B814" s="5">
        <v>5</v>
      </c>
    </row>
    <row r="815" spans="1:2" x14ac:dyDescent="0.35">
      <c r="A815" s="4" t="s">
        <v>9535</v>
      </c>
      <c r="B815" s="5">
        <v>1</v>
      </c>
    </row>
    <row r="816" spans="1:2" x14ac:dyDescent="0.35">
      <c r="A816" s="4" t="s">
        <v>12645</v>
      </c>
      <c r="B816" s="5">
        <v>4</v>
      </c>
    </row>
    <row r="817" spans="1:2" x14ac:dyDescent="0.35">
      <c r="A817" s="4" t="s">
        <v>12941</v>
      </c>
      <c r="B817" s="5">
        <v>5</v>
      </c>
    </row>
    <row r="818" spans="1:2" x14ac:dyDescent="0.35">
      <c r="A818" s="4" t="s">
        <v>12943</v>
      </c>
      <c r="B818" s="5">
        <v>3</v>
      </c>
    </row>
    <row r="819" spans="1:2" x14ac:dyDescent="0.35">
      <c r="A819" s="4" t="s">
        <v>6469</v>
      </c>
      <c r="B819" s="5">
        <v>5</v>
      </c>
    </row>
    <row r="820" spans="1:2" x14ac:dyDescent="0.35">
      <c r="A820" s="4" t="s">
        <v>8607</v>
      </c>
      <c r="B820" s="5">
        <v>5</v>
      </c>
    </row>
    <row r="821" spans="1:2" x14ac:dyDescent="0.35">
      <c r="A821" s="4" t="s">
        <v>6684</v>
      </c>
      <c r="B821" s="5">
        <v>1</v>
      </c>
    </row>
    <row r="822" spans="1:2" x14ac:dyDescent="0.35">
      <c r="A822" s="4" t="s">
        <v>13097</v>
      </c>
      <c r="B822" s="5">
        <v>3</v>
      </c>
    </row>
    <row r="823" spans="1:2" x14ac:dyDescent="0.35">
      <c r="A823" s="4" t="s">
        <v>9492</v>
      </c>
      <c r="B823" s="5">
        <v>3</v>
      </c>
    </row>
    <row r="824" spans="1:2" x14ac:dyDescent="0.35">
      <c r="A824" s="4" t="s">
        <v>8164</v>
      </c>
      <c r="B824" s="5">
        <v>2</v>
      </c>
    </row>
    <row r="825" spans="1:2" x14ac:dyDescent="0.35">
      <c r="A825" s="4" t="s">
        <v>2048</v>
      </c>
      <c r="B825" s="5">
        <v>7</v>
      </c>
    </row>
    <row r="826" spans="1:2" x14ac:dyDescent="0.35">
      <c r="A826" s="4" t="s">
        <v>6062</v>
      </c>
      <c r="B826" s="5">
        <v>2</v>
      </c>
    </row>
    <row r="827" spans="1:2" x14ac:dyDescent="0.35">
      <c r="A827" s="4" t="s">
        <v>749</v>
      </c>
      <c r="B827" s="5">
        <v>5</v>
      </c>
    </row>
    <row r="828" spans="1:2" x14ac:dyDescent="0.35">
      <c r="A828" s="4" t="s">
        <v>12435</v>
      </c>
      <c r="B828" s="5">
        <v>3</v>
      </c>
    </row>
    <row r="829" spans="1:2" x14ac:dyDescent="0.35">
      <c r="A829" s="4" t="s">
        <v>3845</v>
      </c>
      <c r="B829" s="5">
        <v>1</v>
      </c>
    </row>
    <row r="830" spans="1:2" x14ac:dyDescent="0.35">
      <c r="A830" s="4" t="s">
        <v>5369</v>
      </c>
      <c r="B830" s="5">
        <v>3</v>
      </c>
    </row>
    <row r="831" spans="1:2" x14ac:dyDescent="0.35">
      <c r="A831" s="4" t="s">
        <v>12087</v>
      </c>
      <c r="B831" s="5">
        <v>2</v>
      </c>
    </row>
    <row r="832" spans="1:2" x14ac:dyDescent="0.35">
      <c r="A832" s="4" t="s">
        <v>2561</v>
      </c>
      <c r="B832" s="5">
        <v>4</v>
      </c>
    </row>
    <row r="833" spans="1:2" x14ac:dyDescent="0.35">
      <c r="A833" s="4" t="s">
        <v>9292</v>
      </c>
      <c r="B833" s="5">
        <v>2</v>
      </c>
    </row>
    <row r="834" spans="1:2" x14ac:dyDescent="0.35">
      <c r="A834" s="4" t="s">
        <v>961</v>
      </c>
      <c r="B834" s="5">
        <v>6</v>
      </c>
    </row>
    <row r="835" spans="1:2" x14ac:dyDescent="0.35">
      <c r="A835" s="4" t="s">
        <v>10519</v>
      </c>
      <c r="B835" s="5">
        <v>1</v>
      </c>
    </row>
    <row r="836" spans="1:2" x14ac:dyDescent="0.35">
      <c r="A836" s="4" t="s">
        <v>10104</v>
      </c>
      <c r="B836" s="5">
        <v>1</v>
      </c>
    </row>
    <row r="837" spans="1:2" x14ac:dyDescent="0.35">
      <c r="A837" s="4" t="s">
        <v>1623</v>
      </c>
      <c r="B837" s="5">
        <v>1</v>
      </c>
    </row>
    <row r="838" spans="1:2" x14ac:dyDescent="0.35">
      <c r="A838" s="4" t="s">
        <v>2257</v>
      </c>
      <c r="B838" s="5">
        <v>4</v>
      </c>
    </row>
    <row r="839" spans="1:2" x14ac:dyDescent="0.35">
      <c r="A839" s="4" t="s">
        <v>10701</v>
      </c>
      <c r="B839" s="5">
        <v>2</v>
      </c>
    </row>
    <row r="840" spans="1:2" x14ac:dyDescent="0.35">
      <c r="A840" s="4" t="s">
        <v>7976</v>
      </c>
      <c r="B840" s="5">
        <v>3</v>
      </c>
    </row>
    <row r="841" spans="1:2" x14ac:dyDescent="0.35">
      <c r="A841" s="4" t="s">
        <v>6635</v>
      </c>
      <c r="B841" s="5">
        <v>27</v>
      </c>
    </row>
    <row r="842" spans="1:2" x14ac:dyDescent="0.35">
      <c r="A842" s="4" t="s">
        <v>6774</v>
      </c>
      <c r="B842" s="5">
        <v>2</v>
      </c>
    </row>
    <row r="843" spans="1:2" x14ac:dyDescent="0.35">
      <c r="A843" s="4" t="s">
        <v>8650</v>
      </c>
      <c r="B843" s="5">
        <v>3</v>
      </c>
    </row>
    <row r="844" spans="1:2" x14ac:dyDescent="0.35">
      <c r="A844" s="4" t="s">
        <v>4223</v>
      </c>
      <c r="B844" s="5">
        <v>24</v>
      </c>
    </row>
    <row r="845" spans="1:2" x14ac:dyDescent="0.35">
      <c r="A845" s="4" t="s">
        <v>1134</v>
      </c>
      <c r="B845" s="5">
        <v>2</v>
      </c>
    </row>
    <row r="846" spans="1:2" x14ac:dyDescent="0.35">
      <c r="A846" s="4" t="s">
        <v>3559</v>
      </c>
      <c r="B846" s="5">
        <v>78</v>
      </c>
    </row>
    <row r="847" spans="1:2" x14ac:dyDescent="0.35">
      <c r="A847" s="4" t="s">
        <v>3060</v>
      </c>
      <c r="B847" s="5">
        <v>110</v>
      </c>
    </row>
    <row r="848" spans="1:2" x14ac:dyDescent="0.35">
      <c r="A848" s="4" t="s">
        <v>11929</v>
      </c>
      <c r="B848" s="5">
        <v>3</v>
      </c>
    </row>
    <row r="849" spans="1:2" x14ac:dyDescent="0.35">
      <c r="A849" s="4" t="s">
        <v>2426</v>
      </c>
      <c r="B849" s="5">
        <v>4</v>
      </c>
    </row>
    <row r="850" spans="1:2" x14ac:dyDescent="0.35">
      <c r="A850" s="4" t="s">
        <v>12881</v>
      </c>
      <c r="B850" s="5">
        <v>2</v>
      </c>
    </row>
    <row r="851" spans="1:2" x14ac:dyDescent="0.35">
      <c r="A851" s="4" t="s">
        <v>11207</v>
      </c>
      <c r="B851" s="5">
        <v>1</v>
      </c>
    </row>
    <row r="852" spans="1:2" x14ac:dyDescent="0.35">
      <c r="A852" s="4" t="s">
        <v>5223</v>
      </c>
      <c r="B852" s="5">
        <v>5</v>
      </c>
    </row>
    <row r="853" spans="1:2" x14ac:dyDescent="0.35">
      <c r="A853" s="4" t="s">
        <v>6219</v>
      </c>
      <c r="B853" s="5">
        <v>1</v>
      </c>
    </row>
    <row r="854" spans="1:2" x14ac:dyDescent="0.35">
      <c r="A854" s="4" t="s">
        <v>2114</v>
      </c>
      <c r="B854" s="5">
        <v>1</v>
      </c>
    </row>
    <row r="855" spans="1:2" x14ac:dyDescent="0.35">
      <c r="A855" s="4" t="s">
        <v>10121</v>
      </c>
      <c r="B855" s="5">
        <v>3</v>
      </c>
    </row>
    <row r="856" spans="1:2" x14ac:dyDescent="0.35">
      <c r="A856" s="4" t="s">
        <v>8077</v>
      </c>
      <c r="B856" s="5">
        <v>3</v>
      </c>
    </row>
    <row r="857" spans="1:2" x14ac:dyDescent="0.35">
      <c r="A857" s="4" t="s">
        <v>9516</v>
      </c>
      <c r="B857" s="5">
        <v>3</v>
      </c>
    </row>
    <row r="858" spans="1:2" x14ac:dyDescent="0.35">
      <c r="A858" s="4" t="s">
        <v>7396</v>
      </c>
      <c r="B858" s="5">
        <v>1</v>
      </c>
    </row>
    <row r="859" spans="1:2" x14ac:dyDescent="0.35">
      <c r="A859" s="4" t="s">
        <v>83</v>
      </c>
      <c r="B859" s="5">
        <v>22</v>
      </c>
    </row>
    <row r="860" spans="1:2" x14ac:dyDescent="0.35">
      <c r="A860" s="4" t="s">
        <v>7542</v>
      </c>
      <c r="B860" s="5">
        <v>4</v>
      </c>
    </row>
    <row r="861" spans="1:2" x14ac:dyDescent="0.35">
      <c r="A861" s="4" t="s">
        <v>1607</v>
      </c>
      <c r="B861" s="5">
        <v>3</v>
      </c>
    </row>
    <row r="862" spans="1:2" x14ac:dyDescent="0.35">
      <c r="A862" s="4" t="s">
        <v>12923</v>
      </c>
      <c r="B862" s="5">
        <v>1</v>
      </c>
    </row>
    <row r="863" spans="1:2" x14ac:dyDescent="0.35">
      <c r="A863" s="4" t="s">
        <v>5747</v>
      </c>
      <c r="B863" s="5">
        <v>2</v>
      </c>
    </row>
    <row r="864" spans="1:2" x14ac:dyDescent="0.35">
      <c r="A864" s="4" t="s">
        <v>4979</v>
      </c>
      <c r="B864" s="5">
        <v>1</v>
      </c>
    </row>
    <row r="865" spans="1:2" x14ac:dyDescent="0.35">
      <c r="A865" s="4" t="s">
        <v>7694</v>
      </c>
      <c r="B865" s="5">
        <v>1</v>
      </c>
    </row>
    <row r="866" spans="1:2" x14ac:dyDescent="0.35">
      <c r="A866" s="4" t="s">
        <v>9626</v>
      </c>
      <c r="B866" s="5">
        <v>1</v>
      </c>
    </row>
    <row r="867" spans="1:2" x14ac:dyDescent="0.35">
      <c r="A867" s="4" t="s">
        <v>2326</v>
      </c>
      <c r="B867" s="5">
        <v>1</v>
      </c>
    </row>
    <row r="868" spans="1:2" x14ac:dyDescent="0.35">
      <c r="A868" s="4" t="s">
        <v>3685</v>
      </c>
      <c r="B868" s="5">
        <v>1</v>
      </c>
    </row>
    <row r="869" spans="1:2" x14ac:dyDescent="0.35">
      <c r="A869" s="4" t="s">
        <v>4007</v>
      </c>
      <c r="B869" s="5">
        <v>5</v>
      </c>
    </row>
    <row r="870" spans="1:2" x14ac:dyDescent="0.35">
      <c r="A870" s="4" t="s">
        <v>4702</v>
      </c>
      <c r="B870" s="5">
        <v>3</v>
      </c>
    </row>
    <row r="871" spans="1:2" x14ac:dyDescent="0.35">
      <c r="A871" s="4" t="s">
        <v>309</v>
      </c>
      <c r="B871" s="5">
        <v>3</v>
      </c>
    </row>
    <row r="872" spans="1:2" x14ac:dyDescent="0.35">
      <c r="A872" s="4" t="s">
        <v>7196</v>
      </c>
      <c r="B872" s="5">
        <v>1</v>
      </c>
    </row>
    <row r="873" spans="1:2" x14ac:dyDescent="0.35">
      <c r="A873" s="4" t="s">
        <v>1962</v>
      </c>
      <c r="B873" s="5">
        <v>2</v>
      </c>
    </row>
    <row r="874" spans="1:2" x14ac:dyDescent="0.35">
      <c r="A874" s="4" t="s">
        <v>5098</v>
      </c>
      <c r="B874" s="5">
        <v>1</v>
      </c>
    </row>
    <row r="875" spans="1:2" x14ac:dyDescent="0.35">
      <c r="A875" s="4" t="s">
        <v>4047</v>
      </c>
      <c r="B875" s="5">
        <v>1</v>
      </c>
    </row>
    <row r="876" spans="1:2" x14ac:dyDescent="0.35">
      <c r="A876" s="4" t="s">
        <v>1139</v>
      </c>
      <c r="B876" s="5">
        <v>3</v>
      </c>
    </row>
    <row r="877" spans="1:2" x14ac:dyDescent="0.35">
      <c r="A877" s="4" t="s">
        <v>6139</v>
      </c>
      <c r="B877" s="5">
        <v>7</v>
      </c>
    </row>
    <row r="878" spans="1:2" x14ac:dyDescent="0.35">
      <c r="A878" s="4" t="s">
        <v>4908</v>
      </c>
      <c r="B878" s="5">
        <v>5</v>
      </c>
    </row>
    <row r="879" spans="1:2" x14ac:dyDescent="0.35">
      <c r="A879" s="4" t="s">
        <v>11579</v>
      </c>
      <c r="B879" s="5">
        <v>2</v>
      </c>
    </row>
    <row r="880" spans="1:2" x14ac:dyDescent="0.35">
      <c r="A880" s="4" t="s">
        <v>10267</v>
      </c>
      <c r="B880" s="5">
        <v>3</v>
      </c>
    </row>
    <row r="881" spans="1:2" x14ac:dyDescent="0.35">
      <c r="A881" s="4" t="s">
        <v>2330</v>
      </c>
      <c r="B881" s="5">
        <v>4</v>
      </c>
    </row>
    <row r="882" spans="1:2" x14ac:dyDescent="0.35">
      <c r="A882" s="4" t="s">
        <v>7718</v>
      </c>
      <c r="B882" s="5">
        <v>2</v>
      </c>
    </row>
    <row r="883" spans="1:2" x14ac:dyDescent="0.35">
      <c r="A883" s="4" t="s">
        <v>12939</v>
      </c>
      <c r="B883" s="5">
        <v>3</v>
      </c>
    </row>
    <row r="884" spans="1:2" x14ac:dyDescent="0.35">
      <c r="A884" s="4" t="s">
        <v>9815</v>
      </c>
      <c r="B884" s="5">
        <v>1</v>
      </c>
    </row>
    <row r="885" spans="1:2" x14ac:dyDescent="0.35">
      <c r="A885" s="4" t="s">
        <v>1656</v>
      </c>
      <c r="B885" s="5">
        <v>5</v>
      </c>
    </row>
    <row r="886" spans="1:2" x14ac:dyDescent="0.35">
      <c r="A886" s="4" t="s">
        <v>5579</v>
      </c>
      <c r="B886" s="5">
        <v>1</v>
      </c>
    </row>
    <row r="887" spans="1:2" x14ac:dyDescent="0.35">
      <c r="A887" s="4" t="s">
        <v>2596</v>
      </c>
      <c r="B887" s="5">
        <v>20</v>
      </c>
    </row>
    <row r="888" spans="1:2" x14ac:dyDescent="0.35">
      <c r="A888" s="4" t="s">
        <v>1922</v>
      </c>
      <c r="B888" s="5">
        <v>10</v>
      </c>
    </row>
    <row r="889" spans="1:2" x14ac:dyDescent="0.35">
      <c r="A889" s="4" t="s">
        <v>235</v>
      </c>
      <c r="B889" s="5">
        <v>19</v>
      </c>
    </row>
    <row r="890" spans="1:2" x14ac:dyDescent="0.35">
      <c r="A890" s="4" t="s">
        <v>12892</v>
      </c>
      <c r="B890" s="5">
        <v>2</v>
      </c>
    </row>
    <row r="891" spans="1:2" x14ac:dyDescent="0.35">
      <c r="A891" s="4" t="s">
        <v>405</v>
      </c>
      <c r="B891" s="5">
        <v>4</v>
      </c>
    </row>
    <row r="892" spans="1:2" x14ac:dyDescent="0.35">
      <c r="A892" s="4" t="s">
        <v>9193</v>
      </c>
      <c r="B892" s="5">
        <v>1</v>
      </c>
    </row>
    <row r="893" spans="1:2" x14ac:dyDescent="0.35">
      <c r="A893" s="4" t="s">
        <v>1531</v>
      </c>
      <c r="B893" s="5">
        <v>1</v>
      </c>
    </row>
    <row r="894" spans="1:2" x14ac:dyDescent="0.35">
      <c r="A894" s="4" t="s">
        <v>5548</v>
      </c>
      <c r="B894" s="5">
        <v>1</v>
      </c>
    </row>
    <row r="895" spans="1:2" x14ac:dyDescent="0.35">
      <c r="A895" s="4" t="s">
        <v>4030</v>
      </c>
      <c r="B895" s="5">
        <v>1</v>
      </c>
    </row>
    <row r="896" spans="1:2" x14ac:dyDescent="0.35">
      <c r="A896" s="4" t="s">
        <v>2334</v>
      </c>
      <c r="B896" s="5">
        <v>1</v>
      </c>
    </row>
    <row r="897" spans="1:2" x14ac:dyDescent="0.35">
      <c r="A897" s="4" t="s">
        <v>10144</v>
      </c>
      <c r="B897" s="5">
        <v>1</v>
      </c>
    </row>
    <row r="898" spans="1:2" x14ac:dyDescent="0.35">
      <c r="A898" s="4" t="s">
        <v>1422</v>
      </c>
      <c r="B898" s="5">
        <v>5</v>
      </c>
    </row>
    <row r="899" spans="1:2" x14ac:dyDescent="0.35">
      <c r="A899" s="4" t="s">
        <v>907</v>
      </c>
      <c r="B899" s="5">
        <v>3</v>
      </c>
    </row>
    <row r="900" spans="1:2" x14ac:dyDescent="0.35">
      <c r="A900" s="4" t="s">
        <v>625</v>
      </c>
      <c r="B900" s="5">
        <v>26</v>
      </c>
    </row>
    <row r="901" spans="1:2" x14ac:dyDescent="0.35">
      <c r="A901" s="4" t="s">
        <v>3054</v>
      </c>
      <c r="B901" s="5">
        <v>2</v>
      </c>
    </row>
    <row r="902" spans="1:2" x14ac:dyDescent="0.35">
      <c r="A902" s="4" t="s">
        <v>8293</v>
      </c>
      <c r="B902" s="5">
        <v>2</v>
      </c>
    </row>
    <row r="903" spans="1:2" x14ac:dyDescent="0.35">
      <c r="A903" s="4" t="s">
        <v>11736</v>
      </c>
      <c r="B903" s="5">
        <v>3</v>
      </c>
    </row>
    <row r="904" spans="1:2" x14ac:dyDescent="0.35">
      <c r="A904" s="4" t="s">
        <v>2084</v>
      </c>
      <c r="B904" s="5">
        <v>3</v>
      </c>
    </row>
    <row r="905" spans="1:2" x14ac:dyDescent="0.35">
      <c r="A905" s="4" t="s">
        <v>8993</v>
      </c>
      <c r="B905" s="5">
        <v>2</v>
      </c>
    </row>
    <row r="906" spans="1:2" x14ac:dyDescent="0.35">
      <c r="A906" s="4" t="s">
        <v>5559</v>
      </c>
      <c r="B906" s="5">
        <v>2</v>
      </c>
    </row>
    <row r="907" spans="1:2" x14ac:dyDescent="0.35">
      <c r="A907" s="4" t="s">
        <v>9199</v>
      </c>
      <c r="B907" s="5">
        <v>2</v>
      </c>
    </row>
    <row r="908" spans="1:2" x14ac:dyDescent="0.35">
      <c r="A908" s="4" t="s">
        <v>439</v>
      </c>
      <c r="B908" s="5">
        <v>19</v>
      </c>
    </row>
    <row r="909" spans="1:2" x14ac:dyDescent="0.35">
      <c r="A909" s="4" t="s">
        <v>12192</v>
      </c>
      <c r="B909" s="5">
        <v>3</v>
      </c>
    </row>
    <row r="910" spans="1:2" x14ac:dyDescent="0.35">
      <c r="A910" s="4" t="s">
        <v>5432</v>
      </c>
      <c r="B910" s="5">
        <v>9</v>
      </c>
    </row>
    <row r="911" spans="1:2" x14ac:dyDescent="0.35">
      <c r="A911" s="4" t="s">
        <v>12903</v>
      </c>
      <c r="B911" s="5">
        <v>1</v>
      </c>
    </row>
    <row r="912" spans="1:2" x14ac:dyDescent="0.35">
      <c r="A912" s="4" t="s">
        <v>4249</v>
      </c>
      <c r="B912" s="5">
        <v>1</v>
      </c>
    </row>
    <row r="913" spans="1:2" x14ac:dyDescent="0.35">
      <c r="A913" s="4" t="s">
        <v>2583</v>
      </c>
      <c r="B913" s="5">
        <v>11</v>
      </c>
    </row>
    <row r="914" spans="1:2" x14ac:dyDescent="0.35">
      <c r="A914" s="4" t="s">
        <v>12828</v>
      </c>
      <c r="B914" s="5">
        <v>3</v>
      </c>
    </row>
    <row r="915" spans="1:2" x14ac:dyDescent="0.35">
      <c r="A915" s="4" t="s">
        <v>7832</v>
      </c>
      <c r="B915" s="5">
        <v>2</v>
      </c>
    </row>
    <row r="916" spans="1:2" x14ac:dyDescent="0.35">
      <c r="A916" s="4" t="s">
        <v>10476</v>
      </c>
      <c r="B916" s="5">
        <v>7</v>
      </c>
    </row>
    <row r="917" spans="1:2" x14ac:dyDescent="0.35">
      <c r="A917" s="4" t="s">
        <v>12702</v>
      </c>
      <c r="B917" s="5">
        <v>3</v>
      </c>
    </row>
    <row r="918" spans="1:2" x14ac:dyDescent="0.35">
      <c r="A918" s="4" t="s">
        <v>7820</v>
      </c>
      <c r="B918" s="5">
        <v>1</v>
      </c>
    </row>
    <row r="919" spans="1:2" x14ac:dyDescent="0.35">
      <c r="A919" s="4" t="s">
        <v>10761</v>
      </c>
      <c r="B919" s="5">
        <v>1</v>
      </c>
    </row>
    <row r="920" spans="1:2" x14ac:dyDescent="0.35">
      <c r="A920" s="4" t="s">
        <v>7503</v>
      </c>
      <c r="B920" s="5">
        <v>9</v>
      </c>
    </row>
    <row r="921" spans="1:2" x14ac:dyDescent="0.35">
      <c r="A921" s="4" t="s">
        <v>8458</v>
      </c>
      <c r="B921" s="5">
        <v>1</v>
      </c>
    </row>
    <row r="922" spans="1:2" x14ac:dyDescent="0.35">
      <c r="A922" s="4" t="s">
        <v>9899</v>
      </c>
      <c r="B922" s="5">
        <v>1</v>
      </c>
    </row>
    <row r="923" spans="1:2" x14ac:dyDescent="0.35">
      <c r="A923" s="4" t="s">
        <v>6167</v>
      </c>
      <c r="B923" s="5">
        <v>3</v>
      </c>
    </row>
    <row r="924" spans="1:2" x14ac:dyDescent="0.35">
      <c r="A924" s="4" t="s">
        <v>1161</v>
      </c>
      <c r="B924" s="5">
        <v>9</v>
      </c>
    </row>
    <row r="925" spans="1:2" x14ac:dyDescent="0.35">
      <c r="A925" s="4" t="s">
        <v>2171</v>
      </c>
      <c r="B925" s="5">
        <v>5</v>
      </c>
    </row>
    <row r="926" spans="1:2" x14ac:dyDescent="0.35">
      <c r="A926" s="4" t="s">
        <v>1690</v>
      </c>
      <c r="B926" s="5">
        <v>1</v>
      </c>
    </row>
    <row r="927" spans="1:2" x14ac:dyDescent="0.35">
      <c r="A927" s="4" t="s">
        <v>1592</v>
      </c>
      <c r="B927" s="5">
        <v>1</v>
      </c>
    </row>
    <row r="928" spans="1:2" x14ac:dyDescent="0.35">
      <c r="A928" s="4" t="s">
        <v>10772</v>
      </c>
      <c r="B928" s="5">
        <v>2</v>
      </c>
    </row>
    <row r="929" spans="1:2" x14ac:dyDescent="0.35">
      <c r="A929" s="4" t="s">
        <v>1855</v>
      </c>
      <c r="B929" s="5">
        <v>1</v>
      </c>
    </row>
    <row r="930" spans="1:2" x14ac:dyDescent="0.35">
      <c r="A930" s="4" t="s">
        <v>7622</v>
      </c>
      <c r="B930" s="5">
        <v>2</v>
      </c>
    </row>
    <row r="931" spans="1:2" x14ac:dyDescent="0.35">
      <c r="A931" s="4" t="s">
        <v>10526</v>
      </c>
      <c r="B931" s="5">
        <v>3</v>
      </c>
    </row>
    <row r="932" spans="1:2" x14ac:dyDescent="0.35">
      <c r="A932" s="4" t="s">
        <v>11195</v>
      </c>
      <c r="B932" s="5">
        <v>3</v>
      </c>
    </row>
    <row r="933" spans="1:2" x14ac:dyDescent="0.35">
      <c r="A933" s="4" t="s">
        <v>9138</v>
      </c>
      <c r="B933" s="5">
        <v>2</v>
      </c>
    </row>
    <row r="934" spans="1:2" x14ac:dyDescent="0.35">
      <c r="A934" s="4" t="s">
        <v>6853</v>
      </c>
      <c r="B934" s="5">
        <v>1</v>
      </c>
    </row>
    <row r="935" spans="1:2" x14ac:dyDescent="0.35">
      <c r="A935" s="4" t="s">
        <v>7872</v>
      </c>
      <c r="B935" s="5">
        <v>3</v>
      </c>
    </row>
    <row r="936" spans="1:2" x14ac:dyDescent="0.35">
      <c r="A936" s="4" t="s">
        <v>11877</v>
      </c>
      <c r="B936" s="5">
        <v>1</v>
      </c>
    </row>
    <row r="937" spans="1:2" x14ac:dyDescent="0.35">
      <c r="A937" s="4" t="s">
        <v>8386</v>
      </c>
      <c r="B937" s="5">
        <v>1</v>
      </c>
    </row>
    <row r="938" spans="1:2" x14ac:dyDescent="0.35">
      <c r="A938" s="4" t="s">
        <v>4824</v>
      </c>
      <c r="B938" s="5">
        <v>1</v>
      </c>
    </row>
    <row r="939" spans="1:2" x14ac:dyDescent="0.35">
      <c r="A939" s="4" t="s">
        <v>3660</v>
      </c>
      <c r="B939" s="5">
        <v>1</v>
      </c>
    </row>
    <row r="940" spans="1:2" x14ac:dyDescent="0.35">
      <c r="A940" s="4" t="s">
        <v>997</v>
      </c>
      <c r="B940" s="5">
        <v>2</v>
      </c>
    </row>
    <row r="941" spans="1:2" x14ac:dyDescent="0.35">
      <c r="A941" s="4" t="s">
        <v>6715</v>
      </c>
      <c r="B941" s="5">
        <v>2</v>
      </c>
    </row>
    <row r="942" spans="1:2" x14ac:dyDescent="0.35">
      <c r="A942" s="4" t="s">
        <v>2154</v>
      </c>
      <c r="B942" s="5">
        <v>4</v>
      </c>
    </row>
    <row r="943" spans="1:2" x14ac:dyDescent="0.35">
      <c r="A943" s="4" t="s">
        <v>6931</v>
      </c>
      <c r="B943" s="5">
        <v>1</v>
      </c>
    </row>
    <row r="944" spans="1:2" x14ac:dyDescent="0.35">
      <c r="A944" s="4" t="s">
        <v>5659</v>
      </c>
      <c r="B944" s="5">
        <v>2</v>
      </c>
    </row>
    <row r="945" spans="1:2" x14ac:dyDescent="0.35">
      <c r="A945" s="4" t="s">
        <v>8087</v>
      </c>
      <c r="B945" s="5">
        <v>3</v>
      </c>
    </row>
    <row r="946" spans="1:2" x14ac:dyDescent="0.35">
      <c r="A946" s="4" t="s">
        <v>10113</v>
      </c>
      <c r="B946" s="5">
        <v>5</v>
      </c>
    </row>
    <row r="947" spans="1:2" x14ac:dyDescent="0.35">
      <c r="A947" s="4" t="s">
        <v>10204</v>
      </c>
      <c r="B947" s="5">
        <v>1</v>
      </c>
    </row>
    <row r="948" spans="1:2" x14ac:dyDescent="0.35">
      <c r="A948" s="4" t="s">
        <v>3713</v>
      </c>
      <c r="B948" s="5">
        <v>4</v>
      </c>
    </row>
    <row r="949" spans="1:2" x14ac:dyDescent="0.35">
      <c r="A949" s="4" t="s">
        <v>10175</v>
      </c>
      <c r="B949" s="5">
        <v>3</v>
      </c>
    </row>
    <row r="950" spans="1:2" x14ac:dyDescent="0.35">
      <c r="A950" s="4" t="s">
        <v>8083</v>
      </c>
      <c r="B950" s="5">
        <v>6</v>
      </c>
    </row>
    <row r="951" spans="1:2" x14ac:dyDescent="0.35">
      <c r="A951" s="4" t="s">
        <v>7024</v>
      </c>
      <c r="B951" s="5">
        <v>1</v>
      </c>
    </row>
    <row r="952" spans="1:2" x14ac:dyDescent="0.35">
      <c r="A952" s="4" t="s">
        <v>2548</v>
      </c>
      <c r="B952" s="5">
        <v>1</v>
      </c>
    </row>
    <row r="953" spans="1:2" x14ac:dyDescent="0.35">
      <c r="A953" s="4" t="s">
        <v>3167</v>
      </c>
      <c r="B953" s="5">
        <v>2</v>
      </c>
    </row>
    <row r="954" spans="1:2" x14ac:dyDescent="0.35">
      <c r="A954" s="4" t="s">
        <v>1017</v>
      </c>
      <c r="B954" s="5">
        <v>2</v>
      </c>
    </row>
    <row r="955" spans="1:2" x14ac:dyDescent="0.35">
      <c r="A955" s="4" t="s">
        <v>2307</v>
      </c>
      <c r="B955" s="5">
        <v>2</v>
      </c>
    </row>
    <row r="956" spans="1:2" x14ac:dyDescent="0.35">
      <c r="A956" s="4" t="s">
        <v>7147</v>
      </c>
      <c r="B956" s="5">
        <v>1</v>
      </c>
    </row>
    <row r="957" spans="1:2" x14ac:dyDescent="0.35">
      <c r="A957" s="4" t="s">
        <v>10134</v>
      </c>
      <c r="B957" s="5">
        <v>4</v>
      </c>
    </row>
    <row r="958" spans="1:2" x14ac:dyDescent="0.35">
      <c r="A958" s="4" t="s">
        <v>10179</v>
      </c>
      <c r="B958" s="5">
        <v>3</v>
      </c>
    </row>
    <row r="959" spans="1:2" x14ac:dyDescent="0.35">
      <c r="A959" s="4" t="s">
        <v>7642</v>
      </c>
      <c r="B959" s="5">
        <v>1</v>
      </c>
    </row>
    <row r="960" spans="1:2" x14ac:dyDescent="0.35">
      <c r="A960" s="4" t="s">
        <v>12766</v>
      </c>
      <c r="B960" s="5">
        <v>1</v>
      </c>
    </row>
    <row r="961" spans="1:2" x14ac:dyDescent="0.35">
      <c r="A961" s="4" t="s">
        <v>2737</v>
      </c>
      <c r="B961" s="5">
        <v>3</v>
      </c>
    </row>
    <row r="962" spans="1:2" x14ac:dyDescent="0.35">
      <c r="A962" s="4" t="s">
        <v>5531</v>
      </c>
      <c r="B962" s="5">
        <v>11</v>
      </c>
    </row>
    <row r="963" spans="1:2" x14ac:dyDescent="0.35">
      <c r="A963" s="4" t="s">
        <v>6552</v>
      </c>
      <c r="B963" s="5">
        <v>1</v>
      </c>
    </row>
    <row r="964" spans="1:2" x14ac:dyDescent="0.35">
      <c r="A964" s="4" t="s">
        <v>11170</v>
      </c>
      <c r="B964" s="5">
        <v>3</v>
      </c>
    </row>
    <row r="965" spans="1:2" x14ac:dyDescent="0.35">
      <c r="A965" s="4" t="s">
        <v>37</v>
      </c>
      <c r="B965" s="5">
        <v>173</v>
      </c>
    </row>
    <row r="966" spans="1:2" x14ac:dyDescent="0.35">
      <c r="A966" s="4" t="s">
        <v>8094</v>
      </c>
      <c r="B966" s="5">
        <v>2</v>
      </c>
    </row>
    <row r="967" spans="1:2" x14ac:dyDescent="0.35">
      <c r="A967" s="4" t="s">
        <v>6671</v>
      </c>
      <c r="B967" s="5">
        <v>4</v>
      </c>
    </row>
    <row r="968" spans="1:2" x14ac:dyDescent="0.35">
      <c r="A968" s="4" t="s">
        <v>6859</v>
      </c>
      <c r="B968" s="5">
        <v>1</v>
      </c>
    </row>
    <row r="969" spans="1:2" x14ac:dyDescent="0.35">
      <c r="A969" s="4" t="s">
        <v>9857</v>
      </c>
      <c r="B969" s="5">
        <v>2</v>
      </c>
    </row>
    <row r="970" spans="1:2" x14ac:dyDescent="0.35">
      <c r="A970" s="4" t="s">
        <v>96</v>
      </c>
      <c r="B970" s="5">
        <v>1</v>
      </c>
    </row>
    <row r="971" spans="1:2" x14ac:dyDescent="0.35">
      <c r="A971" s="4" t="s">
        <v>12174</v>
      </c>
      <c r="B971" s="5">
        <v>3</v>
      </c>
    </row>
    <row r="972" spans="1:2" x14ac:dyDescent="0.35">
      <c r="A972" s="4" t="s">
        <v>5644</v>
      </c>
      <c r="B972" s="5">
        <v>2</v>
      </c>
    </row>
    <row r="973" spans="1:2" x14ac:dyDescent="0.35">
      <c r="A973" s="4" t="s">
        <v>371</v>
      </c>
      <c r="B973" s="5">
        <v>2</v>
      </c>
    </row>
    <row r="974" spans="1:2" x14ac:dyDescent="0.35">
      <c r="A974" s="4" t="s">
        <v>9359</v>
      </c>
      <c r="B974" s="5">
        <v>3</v>
      </c>
    </row>
    <row r="975" spans="1:2" x14ac:dyDescent="0.35">
      <c r="A975" s="4" t="s">
        <v>7237</v>
      </c>
      <c r="B975" s="5">
        <v>7</v>
      </c>
    </row>
    <row r="976" spans="1:2" x14ac:dyDescent="0.35">
      <c r="A976" s="4" t="s">
        <v>7248</v>
      </c>
      <c r="B976" s="5">
        <v>4</v>
      </c>
    </row>
    <row r="977" spans="1:2" x14ac:dyDescent="0.35">
      <c r="A977" s="4" t="s">
        <v>9923</v>
      </c>
      <c r="B977" s="5">
        <v>2</v>
      </c>
    </row>
    <row r="978" spans="1:2" x14ac:dyDescent="0.35">
      <c r="A978" s="4" t="s">
        <v>8492</v>
      </c>
      <c r="B978" s="5">
        <v>3</v>
      </c>
    </row>
    <row r="979" spans="1:2" x14ac:dyDescent="0.35">
      <c r="A979" s="4" t="s">
        <v>11667</v>
      </c>
      <c r="B979" s="5">
        <v>1</v>
      </c>
    </row>
    <row r="980" spans="1:2" x14ac:dyDescent="0.35">
      <c r="A980" s="4" t="s">
        <v>6960</v>
      </c>
      <c r="B980" s="5">
        <v>4</v>
      </c>
    </row>
    <row r="981" spans="1:2" x14ac:dyDescent="0.35">
      <c r="A981" s="4" t="s">
        <v>4612</v>
      </c>
      <c r="B981" s="5">
        <v>1</v>
      </c>
    </row>
    <row r="982" spans="1:2" x14ac:dyDescent="0.35">
      <c r="A982" s="4" t="s">
        <v>6882</v>
      </c>
      <c r="B982" s="5">
        <v>1</v>
      </c>
    </row>
    <row r="983" spans="1:2" x14ac:dyDescent="0.35">
      <c r="A983" s="4" t="s">
        <v>5454</v>
      </c>
      <c r="B983" s="5">
        <v>2</v>
      </c>
    </row>
    <row r="984" spans="1:2" x14ac:dyDescent="0.35">
      <c r="A984" s="4" t="s">
        <v>1440</v>
      </c>
      <c r="B984" s="5">
        <v>6</v>
      </c>
    </row>
    <row r="985" spans="1:2" x14ac:dyDescent="0.35">
      <c r="A985" s="4" t="s">
        <v>12684</v>
      </c>
      <c r="B985" s="5">
        <v>1</v>
      </c>
    </row>
    <row r="986" spans="1:2" x14ac:dyDescent="0.35">
      <c r="A986" s="4" t="s">
        <v>2507</v>
      </c>
      <c r="B986" s="5">
        <v>1</v>
      </c>
    </row>
    <row r="987" spans="1:2" x14ac:dyDescent="0.35">
      <c r="A987" s="4" t="s">
        <v>1671</v>
      </c>
      <c r="B987" s="5">
        <v>2</v>
      </c>
    </row>
    <row r="988" spans="1:2" x14ac:dyDescent="0.35">
      <c r="A988" s="4" t="s">
        <v>12823</v>
      </c>
      <c r="B988" s="5">
        <v>1</v>
      </c>
    </row>
    <row r="989" spans="1:2" x14ac:dyDescent="0.35">
      <c r="A989" s="4" t="s">
        <v>3862</v>
      </c>
      <c r="B989" s="5">
        <v>2</v>
      </c>
    </row>
    <row r="990" spans="1:2" x14ac:dyDescent="0.35">
      <c r="A990" s="4" t="s">
        <v>12420</v>
      </c>
      <c r="B990" s="5">
        <v>6</v>
      </c>
    </row>
    <row r="991" spans="1:2" x14ac:dyDescent="0.35">
      <c r="A991" s="4" t="s">
        <v>8714</v>
      </c>
      <c r="B991" s="5">
        <v>7</v>
      </c>
    </row>
    <row r="992" spans="1:2" x14ac:dyDescent="0.35">
      <c r="A992" s="4" t="s">
        <v>12654</v>
      </c>
      <c r="B992" s="5">
        <v>1</v>
      </c>
    </row>
    <row r="993" spans="1:2" x14ac:dyDescent="0.35">
      <c r="A993" s="4" t="s">
        <v>660</v>
      </c>
      <c r="B993" s="5">
        <v>1</v>
      </c>
    </row>
    <row r="994" spans="1:2" x14ac:dyDescent="0.35">
      <c r="A994" s="4" t="s">
        <v>8830</v>
      </c>
      <c r="B994" s="5">
        <v>12</v>
      </c>
    </row>
    <row r="995" spans="1:2" x14ac:dyDescent="0.35">
      <c r="A995" s="4" t="s">
        <v>2004</v>
      </c>
      <c r="B995" s="5">
        <v>1</v>
      </c>
    </row>
    <row r="996" spans="1:2" x14ac:dyDescent="0.35">
      <c r="A996" s="4" t="s">
        <v>2207</v>
      </c>
      <c r="B996" s="5">
        <v>4</v>
      </c>
    </row>
    <row r="997" spans="1:2" x14ac:dyDescent="0.35">
      <c r="A997" s="4" t="s">
        <v>3894</v>
      </c>
      <c r="B997" s="5">
        <v>2</v>
      </c>
    </row>
    <row r="998" spans="1:2" x14ac:dyDescent="0.35">
      <c r="A998" s="4" t="s">
        <v>10876</v>
      </c>
      <c r="B998" s="5">
        <v>3</v>
      </c>
    </row>
    <row r="999" spans="1:2" x14ac:dyDescent="0.35">
      <c r="A999" s="4" t="s">
        <v>2159</v>
      </c>
      <c r="B999" s="5">
        <v>1</v>
      </c>
    </row>
    <row r="1000" spans="1:2" x14ac:dyDescent="0.35">
      <c r="A1000" s="4" t="s">
        <v>7307</v>
      </c>
      <c r="B1000" s="5">
        <v>1</v>
      </c>
    </row>
    <row r="1001" spans="1:2" x14ac:dyDescent="0.35">
      <c r="A1001" s="4" t="s">
        <v>1205</v>
      </c>
      <c r="B1001" s="5">
        <v>2</v>
      </c>
    </row>
    <row r="1002" spans="1:2" x14ac:dyDescent="0.35">
      <c r="A1002" s="4" t="s">
        <v>3635</v>
      </c>
      <c r="B1002" s="5">
        <v>1</v>
      </c>
    </row>
    <row r="1003" spans="1:2" x14ac:dyDescent="0.35">
      <c r="A1003" s="4" t="s">
        <v>6641</v>
      </c>
      <c r="B1003" s="5">
        <v>4</v>
      </c>
    </row>
    <row r="1004" spans="1:2" x14ac:dyDescent="0.35">
      <c r="A1004" s="4" t="s">
        <v>11753</v>
      </c>
      <c r="B1004" s="5">
        <v>3</v>
      </c>
    </row>
    <row r="1005" spans="1:2" x14ac:dyDescent="0.35">
      <c r="A1005" s="4" t="s">
        <v>1055</v>
      </c>
      <c r="B1005" s="5">
        <v>2</v>
      </c>
    </row>
    <row r="1006" spans="1:2" x14ac:dyDescent="0.35">
      <c r="A1006" s="4" t="s">
        <v>7581</v>
      </c>
      <c r="B1006" s="5">
        <v>2</v>
      </c>
    </row>
    <row r="1007" spans="1:2" x14ac:dyDescent="0.35">
      <c r="A1007" s="4" t="s">
        <v>10472</v>
      </c>
      <c r="B1007" s="5">
        <v>2</v>
      </c>
    </row>
    <row r="1008" spans="1:2" x14ac:dyDescent="0.35">
      <c r="A1008" s="4" t="s">
        <v>3550</v>
      </c>
      <c r="B1008" s="5">
        <v>2</v>
      </c>
    </row>
    <row r="1009" spans="1:2" x14ac:dyDescent="0.35">
      <c r="A1009" s="4" t="s">
        <v>78</v>
      </c>
      <c r="B1009" s="5">
        <v>63</v>
      </c>
    </row>
    <row r="1010" spans="1:2" x14ac:dyDescent="0.35">
      <c r="A1010" s="4" t="s">
        <v>2096</v>
      </c>
      <c r="B1010" s="5">
        <v>2</v>
      </c>
    </row>
    <row r="1011" spans="1:2" x14ac:dyDescent="0.35">
      <c r="A1011" s="4" t="s">
        <v>4325</v>
      </c>
      <c r="B1011" s="5">
        <v>13</v>
      </c>
    </row>
    <row r="1012" spans="1:2" x14ac:dyDescent="0.35">
      <c r="A1012" s="4" t="s">
        <v>1038</v>
      </c>
      <c r="B1012" s="5">
        <v>2</v>
      </c>
    </row>
    <row r="1013" spans="1:2" x14ac:dyDescent="0.35">
      <c r="A1013" s="4" t="s">
        <v>1972</v>
      </c>
      <c r="B1013" s="5">
        <v>1</v>
      </c>
    </row>
    <row r="1014" spans="1:2" x14ac:dyDescent="0.35">
      <c r="A1014" s="4" t="s">
        <v>12394</v>
      </c>
      <c r="B1014" s="5">
        <v>3</v>
      </c>
    </row>
    <row r="1015" spans="1:2" x14ac:dyDescent="0.35">
      <c r="A1015" s="4" t="s">
        <v>9070</v>
      </c>
      <c r="B1015" s="5">
        <v>1</v>
      </c>
    </row>
    <row r="1016" spans="1:2" x14ac:dyDescent="0.35">
      <c r="A1016" s="4" t="s">
        <v>2775</v>
      </c>
      <c r="B1016" s="5">
        <v>1</v>
      </c>
    </row>
    <row r="1017" spans="1:2" x14ac:dyDescent="0.35">
      <c r="A1017" s="4" t="s">
        <v>9073</v>
      </c>
      <c r="B1017" s="5">
        <v>1</v>
      </c>
    </row>
    <row r="1018" spans="1:2" x14ac:dyDescent="0.35">
      <c r="A1018" s="4" t="s">
        <v>9068</v>
      </c>
      <c r="B1018" s="5">
        <v>1</v>
      </c>
    </row>
    <row r="1019" spans="1:2" x14ac:dyDescent="0.35">
      <c r="A1019" s="4" t="s">
        <v>577</v>
      </c>
      <c r="B1019" s="5">
        <v>1</v>
      </c>
    </row>
    <row r="1020" spans="1:2" x14ac:dyDescent="0.35">
      <c r="A1020" s="4" t="s">
        <v>1131</v>
      </c>
      <c r="B1020" s="5">
        <v>1</v>
      </c>
    </row>
    <row r="1021" spans="1:2" x14ac:dyDescent="0.35">
      <c r="A1021" s="4" t="s">
        <v>8874</v>
      </c>
      <c r="B1021" s="5">
        <v>2</v>
      </c>
    </row>
    <row r="1022" spans="1:2" x14ac:dyDescent="0.35">
      <c r="A1022" s="4" t="s">
        <v>11658</v>
      </c>
      <c r="B1022" s="5">
        <v>1</v>
      </c>
    </row>
    <row r="1023" spans="1:2" x14ac:dyDescent="0.35">
      <c r="A1023" s="4" t="s">
        <v>10190</v>
      </c>
      <c r="B1023" s="5">
        <v>1</v>
      </c>
    </row>
    <row r="1024" spans="1:2" x14ac:dyDescent="0.35">
      <c r="A1024" s="4" t="s">
        <v>6497</v>
      </c>
      <c r="B1024" s="5">
        <v>2</v>
      </c>
    </row>
    <row r="1025" spans="1:2" x14ac:dyDescent="0.35">
      <c r="A1025" s="4" t="s">
        <v>8913</v>
      </c>
      <c r="B1025" s="5">
        <v>1</v>
      </c>
    </row>
    <row r="1026" spans="1:2" x14ac:dyDescent="0.35">
      <c r="A1026" s="4" t="s">
        <v>10026</v>
      </c>
      <c r="B1026" s="5">
        <v>2</v>
      </c>
    </row>
    <row r="1027" spans="1:2" x14ac:dyDescent="0.35">
      <c r="A1027" s="4" t="s">
        <v>7751</v>
      </c>
      <c r="B1027" s="5">
        <v>3</v>
      </c>
    </row>
    <row r="1028" spans="1:2" x14ac:dyDescent="0.35">
      <c r="A1028" s="4" t="s">
        <v>12343</v>
      </c>
      <c r="B1028" s="5">
        <v>2</v>
      </c>
    </row>
    <row r="1029" spans="1:2" x14ac:dyDescent="0.35">
      <c r="A1029" s="4" t="s">
        <v>2654</v>
      </c>
      <c r="B1029" s="5">
        <v>5</v>
      </c>
    </row>
    <row r="1030" spans="1:2" x14ac:dyDescent="0.35">
      <c r="A1030" s="4" t="s">
        <v>12389</v>
      </c>
      <c r="B1030" s="5">
        <v>3</v>
      </c>
    </row>
    <row r="1031" spans="1:2" x14ac:dyDescent="0.35">
      <c r="A1031" s="4" t="s">
        <v>12697</v>
      </c>
      <c r="B1031" s="5">
        <v>2</v>
      </c>
    </row>
    <row r="1032" spans="1:2" x14ac:dyDescent="0.35">
      <c r="A1032" s="4" t="s">
        <v>11741</v>
      </c>
      <c r="B1032" s="5">
        <v>3</v>
      </c>
    </row>
    <row r="1033" spans="1:2" x14ac:dyDescent="0.35">
      <c r="A1033" s="4" t="s">
        <v>10838</v>
      </c>
      <c r="B1033" s="5">
        <v>5</v>
      </c>
    </row>
    <row r="1034" spans="1:2" x14ac:dyDescent="0.35">
      <c r="A1034" s="4" t="s">
        <v>9729</v>
      </c>
      <c r="B1034" s="5">
        <v>1</v>
      </c>
    </row>
    <row r="1035" spans="1:2" x14ac:dyDescent="0.35">
      <c r="A1035" s="4" t="s">
        <v>3357</v>
      </c>
      <c r="B1035" s="5">
        <v>3</v>
      </c>
    </row>
    <row r="1036" spans="1:2" x14ac:dyDescent="0.35">
      <c r="A1036" s="4" t="s">
        <v>2807</v>
      </c>
      <c r="B1036" s="5">
        <v>18</v>
      </c>
    </row>
    <row r="1037" spans="1:2" x14ac:dyDescent="0.35">
      <c r="A1037" s="4" t="s">
        <v>3363</v>
      </c>
      <c r="B1037" s="5">
        <v>4</v>
      </c>
    </row>
    <row r="1038" spans="1:2" x14ac:dyDescent="0.35">
      <c r="A1038" s="4" t="s">
        <v>2063</v>
      </c>
      <c r="B1038" s="5">
        <v>3</v>
      </c>
    </row>
    <row r="1039" spans="1:2" x14ac:dyDescent="0.35">
      <c r="A1039" s="4" t="s">
        <v>8080</v>
      </c>
      <c r="B1039" s="5">
        <v>3</v>
      </c>
    </row>
    <row r="1040" spans="1:2" x14ac:dyDescent="0.35">
      <c r="A1040" s="4" t="s">
        <v>1851</v>
      </c>
      <c r="B1040" s="5">
        <v>3</v>
      </c>
    </row>
    <row r="1041" spans="1:2" x14ac:dyDescent="0.35">
      <c r="A1041" s="4" t="s">
        <v>462</v>
      </c>
      <c r="B1041" s="5">
        <v>30</v>
      </c>
    </row>
    <row r="1042" spans="1:2" x14ac:dyDescent="0.35">
      <c r="A1042" s="4" t="s">
        <v>8287</v>
      </c>
      <c r="B1042" s="5">
        <v>2</v>
      </c>
    </row>
    <row r="1043" spans="1:2" x14ac:dyDescent="0.35">
      <c r="A1043" s="4" t="s">
        <v>7989</v>
      </c>
      <c r="B1043" s="5">
        <v>3</v>
      </c>
    </row>
    <row r="1044" spans="1:2" x14ac:dyDescent="0.35">
      <c r="A1044" s="4" t="s">
        <v>12405</v>
      </c>
      <c r="B1044" s="5">
        <v>3</v>
      </c>
    </row>
    <row r="1045" spans="1:2" x14ac:dyDescent="0.35">
      <c r="A1045" s="4" t="s">
        <v>9674</v>
      </c>
      <c r="B1045" s="5">
        <v>1</v>
      </c>
    </row>
    <row r="1046" spans="1:2" x14ac:dyDescent="0.35">
      <c r="A1046" s="4" t="s">
        <v>2375</v>
      </c>
      <c r="B1046" s="5">
        <v>2</v>
      </c>
    </row>
    <row r="1047" spans="1:2" x14ac:dyDescent="0.35">
      <c r="A1047" s="4" t="s">
        <v>887</v>
      </c>
      <c r="B1047" s="5">
        <v>7</v>
      </c>
    </row>
    <row r="1048" spans="1:2" x14ac:dyDescent="0.35">
      <c r="A1048" s="4" t="s">
        <v>2143</v>
      </c>
      <c r="B1048" s="5">
        <v>1</v>
      </c>
    </row>
    <row r="1049" spans="1:2" x14ac:dyDescent="0.35">
      <c r="A1049" s="4" t="s">
        <v>4733</v>
      </c>
      <c r="B1049" s="5">
        <v>1</v>
      </c>
    </row>
    <row r="1050" spans="1:2" x14ac:dyDescent="0.35">
      <c r="A1050" s="4" t="s">
        <v>3935</v>
      </c>
      <c r="B1050" s="5">
        <v>2</v>
      </c>
    </row>
    <row r="1051" spans="1:2" x14ac:dyDescent="0.35">
      <c r="A1051" s="4" t="s">
        <v>10305</v>
      </c>
      <c r="B1051" s="5">
        <v>4</v>
      </c>
    </row>
    <row r="1052" spans="1:2" x14ac:dyDescent="0.35">
      <c r="A1052" s="4" t="s">
        <v>9487</v>
      </c>
      <c r="B1052" s="5">
        <v>3</v>
      </c>
    </row>
    <row r="1053" spans="1:2" x14ac:dyDescent="0.35">
      <c r="A1053" s="4" t="s">
        <v>10352</v>
      </c>
      <c r="B1053" s="5">
        <v>3</v>
      </c>
    </row>
    <row r="1054" spans="1:2" x14ac:dyDescent="0.35">
      <c r="A1054" s="4" t="s">
        <v>7092</v>
      </c>
      <c r="B1054" s="5">
        <v>1</v>
      </c>
    </row>
    <row r="1055" spans="1:2" x14ac:dyDescent="0.35">
      <c r="A1055" s="4" t="s">
        <v>7393</v>
      </c>
      <c r="B1055" s="5">
        <v>1</v>
      </c>
    </row>
    <row r="1056" spans="1:2" x14ac:dyDescent="0.35">
      <c r="A1056" s="4" t="s">
        <v>7837</v>
      </c>
      <c r="B1056" s="5">
        <v>1</v>
      </c>
    </row>
    <row r="1057" spans="1:2" x14ac:dyDescent="0.35">
      <c r="A1057" s="4" t="s">
        <v>111</v>
      </c>
      <c r="B1057" s="5">
        <v>99</v>
      </c>
    </row>
    <row r="1058" spans="1:2" x14ac:dyDescent="0.35">
      <c r="A1058" s="4" t="s">
        <v>6962</v>
      </c>
      <c r="B1058" s="5">
        <v>2</v>
      </c>
    </row>
    <row r="1059" spans="1:2" x14ac:dyDescent="0.35">
      <c r="A1059" s="4" t="s">
        <v>4801</v>
      </c>
      <c r="B1059" s="5">
        <v>9</v>
      </c>
    </row>
    <row r="1060" spans="1:2" x14ac:dyDescent="0.35">
      <c r="A1060" s="4" t="s">
        <v>9582</v>
      </c>
      <c r="B1060" s="5">
        <v>10</v>
      </c>
    </row>
    <row r="1061" spans="1:2" x14ac:dyDescent="0.35">
      <c r="A1061" s="4" t="s">
        <v>9776</v>
      </c>
      <c r="B1061" s="5">
        <v>1</v>
      </c>
    </row>
    <row r="1062" spans="1:2" x14ac:dyDescent="0.35">
      <c r="A1062" s="4" t="s">
        <v>11539</v>
      </c>
      <c r="B1062" s="5">
        <v>1</v>
      </c>
    </row>
    <row r="1063" spans="1:2" x14ac:dyDescent="0.35">
      <c r="A1063" s="4" t="s">
        <v>1231</v>
      </c>
      <c r="B1063" s="5">
        <v>2</v>
      </c>
    </row>
    <row r="1064" spans="1:2" x14ac:dyDescent="0.35">
      <c r="A1064" s="4" t="s">
        <v>1148</v>
      </c>
      <c r="B1064" s="5">
        <v>3</v>
      </c>
    </row>
    <row r="1065" spans="1:2" x14ac:dyDescent="0.35">
      <c r="A1065" s="4" t="s">
        <v>1264</v>
      </c>
      <c r="B1065" s="5">
        <v>2</v>
      </c>
    </row>
    <row r="1066" spans="1:2" x14ac:dyDescent="0.35">
      <c r="A1066" s="4" t="s">
        <v>1966</v>
      </c>
      <c r="B1066" s="5">
        <v>1</v>
      </c>
    </row>
    <row r="1067" spans="1:2" x14ac:dyDescent="0.35">
      <c r="A1067" s="4" t="s">
        <v>1308</v>
      </c>
      <c r="B1067" s="5">
        <v>2</v>
      </c>
    </row>
    <row r="1068" spans="1:2" x14ac:dyDescent="0.35">
      <c r="A1068" s="4" t="s">
        <v>4095</v>
      </c>
      <c r="B1068" s="5">
        <v>3</v>
      </c>
    </row>
    <row r="1069" spans="1:2" x14ac:dyDescent="0.35">
      <c r="A1069" s="4" t="s">
        <v>3332</v>
      </c>
      <c r="B1069" s="5">
        <v>3</v>
      </c>
    </row>
    <row r="1070" spans="1:2" x14ac:dyDescent="0.35">
      <c r="A1070" s="4" t="s">
        <v>8758</v>
      </c>
      <c r="B1070" s="5">
        <v>1</v>
      </c>
    </row>
    <row r="1071" spans="1:2" x14ac:dyDescent="0.35">
      <c r="A1071" s="4" t="s">
        <v>1600</v>
      </c>
      <c r="B1071" s="5">
        <v>5</v>
      </c>
    </row>
    <row r="1072" spans="1:2" x14ac:dyDescent="0.35">
      <c r="A1072" s="4" t="s">
        <v>1662</v>
      </c>
      <c r="B1072" s="5">
        <v>8</v>
      </c>
    </row>
    <row r="1073" spans="1:2" x14ac:dyDescent="0.35">
      <c r="A1073" s="4" t="s">
        <v>2835</v>
      </c>
      <c r="B1073" s="5">
        <v>3</v>
      </c>
    </row>
    <row r="1074" spans="1:2" x14ac:dyDescent="0.35">
      <c r="A1074" s="4" t="s">
        <v>9288</v>
      </c>
      <c r="B1074" s="5">
        <v>2</v>
      </c>
    </row>
    <row r="1075" spans="1:2" x14ac:dyDescent="0.35">
      <c r="A1075" s="4" t="s">
        <v>9759</v>
      </c>
      <c r="B1075" s="5">
        <v>1</v>
      </c>
    </row>
    <row r="1076" spans="1:2" x14ac:dyDescent="0.35">
      <c r="A1076" s="4" t="s">
        <v>989</v>
      </c>
      <c r="B1076" s="5">
        <v>21</v>
      </c>
    </row>
    <row r="1077" spans="1:2" x14ac:dyDescent="0.35">
      <c r="A1077" s="4" t="s">
        <v>8039</v>
      </c>
      <c r="B1077" s="5">
        <v>2</v>
      </c>
    </row>
    <row r="1078" spans="1:2" x14ac:dyDescent="0.35">
      <c r="A1078" s="4" t="s">
        <v>6857</v>
      </c>
      <c r="B1078" s="5">
        <v>1</v>
      </c>
    </row>
    <row r="1079" spans="1:2" x14ac:dyDescent="0.35">
      <c r="A1079" s="4" t="s">
        <v>9755</v>
      </c>
      <c r="B1079" s="5">
        <v>1</v>
      </c>
    </row>
    <row r="1080" spans="1:2" x14ac:dyDescent="0.35">
      <c r="A1080" s="4" t="s">
        <v>8043</v>
      </c>
      <c r="B1080" s="5">
        <v>5</v>
      </c>
    </row>
    <row r="1081" spans="1:2" x14ac:dyDescent="0.35">
      <c r="A1081" s="4" t="s">
        <v>7991</v>
      </c>
      <c r="B1081" s="5">
        <v>3</v>
      </c>
    </row>
    <row r="1082" spans="1:2" x14ac:dyDescent="0.35">
      <c r="A1082" s="4" t="s">
        <v>7665</v>
      </c>
      <c r="B1082" s="5">
        <v>1</v>
      </c>
    </row>
    <row r="1083" spans="1:2" x14ac:dyDescent="0.35">
      <c r="A1083" s="4" t="s">
        <v>11252</v>
      </c>
      <c r="B1083" s="5">
        <v>1</v>
      </c>
    </row>
    <row r="1084" spans="1:2" x14ac:dyDescent="0.35">
      <c r="A1084" s="4" t="s">
        <v>775</v>
      </c>
      <c r="B1084" s="5">
        <v>15</v>
      </c>
    </row>
    <row r="1085" spans="1:2" x14ac:dyDescent="0.35">
      <c r="A1085" s="4" t="s">
        <v>10131</v>
      </c>
      <c r="B1085" s="5">
        <v>3</v>
      </c>
    </row>
    <row r="1086" spans="1:2" x14ac:dyDescent="0.35">
      <c r="A1086" s="4" t="s">
        <v>6123</v>
      </c>
      <c r="B1086" s="5">
        <v>1</v>
      </c>
    </row>
    <row r="1087" spans="1:2" x14ac:dyDescent="0.35">
      <c r="A1087" s="4" t="s">
        <v>7359</v>
      </c>
      <c r="B1087" s="5">
        <v>1</v>
      </c>
    </row>
    <row r="1088" spans="1:2" x14ac:dyDescent="0.35">
      <c r="A1088" s="4" t="s">
        <v>5546</v>
      </c>
      <c r="B1088" s="5">
        <v>1</v>
      </c>
    </row>
    <row r="1089" spans="1:2" x14ac:dyDescent="0.35">
      <c r="A1089" s="4" t="s">
        <v>7175</v>
      </c>
      <c r="B1089" s="5">
        <v>5</v>
      </c>
    </row>
    <row r="1090" spans="1:2" x14ac:dyDescent="0.35">
      <c r="A1090" s="4" t="s">
        <v>11341</v>
      </c>
      <c r="B1090" s="5">
        <v>5</v>
      </c>
    </row>
    <row r="1091" spans="1:2" x14ac:dyDescent="0.35">
      <c r="A1091" s="4" t="s">
        <v>12433</v>
      </c>
      <c r="B1091" s="5">
        <v>3</v>
      </c>
    </row>
    <row r="1092" spans="1:2" x14ac:dyDescent="0.35">
      <c r="A1092" s="4" t="s">
        <v>702</v>
      </c>
      <c r="B1092" s="5">
        <v>10</v>
      </c>
    </row>
    <row r="1093" spans="1:2" x14ac:dyDescent="0.35">
      <c r="A1093" s="4" t="s">
        <v>8960</v>
      </c>
      <c r="B1093" s="5">
        <v>8</v>
      </c>
    </row>
    <row r="1094" spans="1:2" x14ac:dyDescent="0.35">
      <c r="A1094" s="4" t="s">
        <v>7045</v>
      </c>
      <c r="B1094" s="5">
        <v>3</v>
      </c>
    </row>
    <row r="1095" spans="1:2" x14ac:dyDescent="0.35">
      <c r="A1095" s="4" t="s">
        <v>2743</v>
      </c>
      <c r="B1095" s="5">
        <v>6</v>
      </c>
    </row>
    <row r="1096" spans="1:2" x14ac:dyDescent="0.35">
      <c r="A1096" s="4" t="s">
        <v>1292</v>
      </c>
      <c r="B1096" s="5">
        <v>1</v>
      </c>
    </row>
    <row r="1097" spans="1:2" x14ac:dyDescent="0.35">
      <c r="A1097" s="4" t="s">
        <v>3224</v>
      </c>
      <c r="B1097" s="5">
        <v>35</v>
      </c>
    </row>
    <row r="1098" spans="1:2" x14ac:dyDescent="0.35">
      <c r="A1098" s="4" t="s">
        <v>2782</v>
      </c>
      <c r="B1098" s="5">
        <v>1</v>
      </c>
    </row>
    <row r="1099" spans="1:2" x14ac:dyDescent="0.35">
      <c r="A1099" s="4" t="s">
        <v>5333</v>
      </c>
      <c r="B1099" s="5">
        <v>10</v>
      </c>
    </row>
    <row r="1100" spans="1:2" x14ac:dyDescent="0.35">
      <c r="A1100" s="4" t="s">
        <v>8440</v>
      </c>
      <c r="B1100" s="5">
        <v>1</v>
      </c>
    </row>
    <row r="1101" spans="1:2" x14ac:dyDescent="0.35">
      <c r="A1101" s="4" t="s">
        <v>6491</v>
      </c>
      <c r="B1101" s="5">
        <v>1</v>
      </c>
    </row>
    <row r="1102" spans="1:2" x14ac:dyDescent="0.35">
      <c r="A1102" s="4" t="s">
        <v>9580</v>
      </c>
      <c r="B1102" s="5">
        <v>8</v>
      </c>
    </row>
    <row r="1103" spans="1:2" x14ac:dyDescent="0.35">
      <c r="A1103" s="4" t="s">
        <v>4760</v>
      </c>
      <c r="B1103" s="5">
        <v>1</v>
      </c>
    </row>
    <row r="1104" spans="1:2" x14ac:dyDescent="0.35">
      <c r="A1104" s="4" t="s">
        <v>1324</v>
      </c>
      <c r="B1104" s="5">
        <v>1</v>
      </c>
    </row>
    <row r="1105" spans="1:2" x14ac:dyDescent="0.35">
      <c r="A1105" s="4" t="s">
        <v>12839</v>
      </c>
      <c r="B1105" s="5">
        <v>3</v>
      </c>
    </row>
    <row r="1106" spans="1:2" x14ac:dyDescent="0.35">
      <c r="A1106" s="4" t="s">
        <v>7969</v>
      </c>
      <c r="B1106" s="5">
        <v>7</v>
      </c>
    </row>
    <row r="1107" spans="1:2" x14ac:dyDescent="0.35">
      <c r="A1107" s="4" t="s">
        <v>5228</v>
      </c>
      <c r="B1107" s="5">
        <v>19</v>
      </c>
    </row>
    <row r="1108" spans="1:2" x14ac:dyDescent="0.35">
      <c r="A1108" s="4" t="s">
        <v>9090</v>
      </c>
      <c r="B1108" s="5">
        <v>1</v>
      </c>
    </row>
    <row r="1109" spans="1:2" x14ac:dyDescent="0.35">
      <c r="A1109" s="4" t="s">
        <v>3925</v>
      </c>
      <c r="B1109" s="5">
        <v>4</v>
      </c>
    </row>
    <row r="1110" spans="1:2" x14ac:dyDescent="0.35">
      <c r="A1110" s="4" t="s">
        <v>10417</v>
      </c>
      <c r="B1110" s="5">
        <v>3</v>
      </c>
    </row>
    <row r="1111" spans="1:2" x14ac:dyDescent="0.35">
      <c r="A1111" s="4" t="s">
        <v>6180</v>
      </c>
      <c r="B1111" s="5">
        <v>10</v>
      </c>
    </row>
    <row r="1112" spans="1:2" x14ac:dyDescent="0.35">
      <c r="A1112" s="4" t="s">
        <v>2415</v>
      </c>
      <c r="B1112" s="5">
        <v>1</v>
      </c>
    </row>
    <row r="1113" spans="1:2" x14ac:dyDescent="0.35">
      <c r="A1113" s="4" t="s">
        <v>5007</v>
      </c>
      <c r="B1113" s="5">
        <v>5</v>
      </c>
    </row>
    <row r="1114" spans="1:2" x14ac:dyDescent="0.35">
      <c r="A1114" s="4" t="s">
        <v>2767</v>
      </c>
      <c r="B1114" s="5">
        <v>5</v>
      </c>
    </row>
    <row r="1115" spans="1:2" x14ac:dyDescent="0.35">
      <c r="A1115" s="4" t="s">
        <v>1032</v>
      </c>
      <c r="B1115" s="5">
        <v>2</v>
      </c>
    </row>
    <row r="1116" spans="1:2" x14ac:dyDescent="0.35">
      <c r="A1116" s="4" t="s">
        <v>13091</v>
      </c>
      <c r="B1116" s="5">
        <v>3</v>
      </c>
    </row>
    <row r="1117" spans="1:2" x14ac:dyDescent="0.35">
      <c r="A1117" s="4" t="s">
        <v>12378</v>
      </c>
      <c r="B1117" s="5">
        <v>1</v>
      </c>
    </row>
    <row r="1118" spans="1:2" x14ac:dyDescent="0.35">
      <c r="A1118" s="4" t="s">
        <v>12079</v>
      </c>
      <c r="B1118" s="5">
        <v>3</v>
      </c>
    </row>
    <row r="1119" spans="1:2" x14ac:dyDescent="0.35">
      <c r="A1119" s="4" t="s">
        <v>12430</v>
      </c>
      <c r="B1119" s="5">
        <v>3</v>
      </c>
    </row>
    <row r="1120" spans="1:2" x14ac:dyDescent="0.35">
      <c r="A1120" s="4" t="s">
        <v>12386</v>
      </c>
      <c r="B1120" s="5">
        <v>3</v>
      </c>
    </row>
    <row r="1121" spans="1:2" x14ac:dyDescent="0.35">
      <c r="A1121" s="4" t="s">
        <v>475</v>
      </c>
      <c r="B1121" s="5">
        <v>4</v>
      </c>
    </row>
    <row r="1122" spans="1:2" x14ac:dyDescent="0.35">
      <c r="A1122" s="4" t="s">
        <v>2495</v>
      </c>
      <c r="B1122" s="5">
        <v>2</v>
      </c>
    </row>
    <row r="1123" spans="1:2" x14ac:dyDescent="0.35">
      <c r="A1123" s="4" t="s">
        <v>3699</v>
      </c>
      <c r="B1123" s="5">
        <v>6</v>
      </c>
    </row>
    <row r="1124" spans="1:2" x14ac:dyDescent="0.35">
      <c r="A1124" s="4" t="s">
        <v>6896</v>
      </c>
      <c r="B1124" s="5">
        <v>1</v>
      </c>
    </row>
    <row r="1125" spans="1:2" x14ac:dyDescent="0.35">
      <c r="A1125" s="4" t="s">
        <v>4201</v>
      </c>
      <c r="B1125" s="5">
        <v>1</v>
      </c>
    </row>
    <row r="1126" spans="1:2" x14ac:dyDescent="0.35">
      <c r="A1126" s="4" t="s">
        <v>8260</v>
      </c>
      <c r="B1126" s="5">
        <v>2</v>
      </c>
    </row>
    <row r="1127" spans="1:2" x14ac:dyDescent="0.35">
      <c r="A1127" s="4" t="s">
        <v>5911</v>
      </c>
      <c r="B1127" s="5">
        <v>2</v>
      </c>
    </row>
    <row r="1128" spans="1:2" x14ac:dyDescent="0.35">
      <c r="A1128" s="4" t="s">
        <v>13005</v>
      </c>
      <c r="B1128" s="5">
        <v>2</v>
      </c>
    </row>
    <row r="1129" spans="1:2" x14ac:dyDescent="0.35">
      <c r="A1129" s="4" t="s">
        <v>3969</v>
      </c>
      <c r="B1129" s="5">
        <v>3</v>
      </c>
    </row>
    <row r="1130" spans="1:2" x14ac:dyDescent="0.35">
      <c r="A1130" s="4" t="s">
        <v>10724</v>
      </c>
      <c r="B1130" s="5">
        <v>1</v>
      </c>
    </row>
    <row r="1131" spans="1:2" x14ac:dyDescent="0.35">
      <c r="A1131" s="4" t="s">
        <v>707</v>
      </c>
      <c r="B1131" s="5">
        <v>2</v>
      </c>
    </row>
    <row r="1132" spans="1:2" x14ac:dyDescent="0.35">
      <c r="A1132" s="4" t="s">
        <v>1086</v>
      </c>
      <c r="B1132" s="5">
        <v>3</v>
      </c>
    </row>
    <row r="1133" spans="1:2" x14ac:dyDescent="0.35">
      <c r="A1133" s="4" t="s">
        <v>11189</v>
      </c>
      <c r="B1133" s="5">
        <v>3</v>
      </c>
    </row>
    <row r="1134" spans="1:2" x14ac:dyDescent="0.35">
      <c r="A1134" s="4" t="s">
        <v>7141</v>
      </c>
      <c r="B1134" s="5">
        <v>2</v>
      </c>
    </row>
    <row r="1135" spans="1:2" x14ac:dyDescent="0.35">
      <c r="A1135" s="4" t="s">
        <v>8399</v>
      </c>
      <c r="B1135" s="5">
        <v>3</v>
      </c>
    </row>
    <row r="1136" spans="1:2" x14ac:dyDescent="0.35">
      <c r="A1136" s="4" t="s">
        <v>4932</v>
      </c>
      <c r="B1136" s="5">
        <v>5</v>
      </c>
    </row>
    <row r="1137" spans="1:2" x14ac:dyDescent="0.35">
      <c r="A1137" s="4" t="s">
        <v>10202</v>
      </c>
      <c r="B1137" s="5">
        <v>1</v>
      </c>
    </row>
    <row r="1138" spans="1:2" x14ac:dyDescent="0.35">
      <c r="A1138" s="4" t="s">
        <v>7390</v>
      </c>
      <c r="B1138" s="5">
        <v>1</v>
      </c>
    </row>
    <row r="1139" spans="1:2" x14ac:dyDescent="0.35">
      <c r="A1139" s="4" t="s">
        <v>347</v>
      </c>
      <c r="B1139" s="5">
        <v>1</v>
      </c>
    </row>
    <row r="1140" spans="1:2" x14ac:dyDescent="0.35">
      <c r="A1140" s="4" t="s">
        <v>11795</v>
      </c>
      <c r="B1140" s="5">
        <v>2</v>
      </c>
    </row>
    <row r="1141" spans="1:2" x14ac:dyDescent="0.35">
      <c r="A1141" s="4" t="s">
        <v>9918</v>
      </c>
      <c r="B1141" s="5">
        <v>20</v>
      </c>
    </row>
    <row r="1142" spans="1:2" x14ac:dyDescent="0.35">
      <c r="A1142" s="4" t="s">
        <v>11686</v>
      </c>
      <c r="B1142" s="5">
        <v>1</v>
      </c>
    </row>
    <row r="1143" spans="1:2" x14ac:dyDescent="0.35">
      <c r="A1143" s="4" t="s">
        <v>5542</v>
      </c>
      <c r="B1143" s="5">
        <v>3</v>
      </c>
    </row>
    <row r="1144" spans="1:2" x14ac:dyDescent="0.35">
      <c r="A1144" s="4" t="s">
        <v>4079</v>
      </c>
      <c r="B1144" s="5">
        <v>5</v>
      </c>
    </row>
    <row r="1145" spans="1:2" x14ac:dyDescent="0.35">
      <c r="A1145" s="4" t="s">
        <v>5620</v>
      </c>
      <c r="B1145" s="5">
        <v>6</v>
      </c>
    </row>
    <row r="1146" spans="1:2" x14ac:dyDescent="0.35">
      <c r="A1146" s="4" t="s">
        <v>9096</v>
      </c>
      <c r="B1146" s="5">
        <v>3</v>
      </c>
    </row>
    <row r="1147" spans="1:2" x14ac:dyDescent="0.35">
      <c r="A1147" s="4" t="s">
        <v>6404</v>
      </c>
      <c r="B1147" s="5">
        <v>2</v>
      </c>
    </row>
    <row r="1148" spans="1:2" x14ac:dyDescent="0.35">
      <c r="A1148" s="4" t="s">
        <v>2041</v>
      </c>
      <c r="B1148" s="5">
        <v>6</v>
      </c>
    </row>
    <row r="1149" spans="1:2" x14ac:dyDescent="0.35">
      <c r="A1149" s="4" t="s">
        <v>12032</v>
      </c>
      <c r="B1149" s="5">
        <v>2</v>
      </c>
    </row>
    <row r="1150" spans="1:2" x14ac:dyDescent="0.35">
      <c r="A1150" s="4" t="s">
        <v>13093</v>
      </c>
      <c r="B1150" s="5">
        <v>3</v>
      </c>
    </row>
    <row r="1151" spans="1:2" x14ac:dyDescent="0.35">
      <c r="A1151" s="4" t="s">
        <v>5499</v>
      </c>
      <c r="B1151" s="5">
        <v>3</v>
      </c>
    </row>
    <row r="1152" spans="1:2" x14ac:dyDescent="0.35">
      <c r="A1152" s="4" t="s">
        <v>6187</v>
      </c>
      <c r="B1152" s="5">
        <v>2</v>
      </c>
    </row>
    <row r="1153" spans="1:2" x14ac:dyDescent="0.35">
      <c r="A1153" s="4" t="s">
        <v>964</v>
      </c>
      <c r="B1153" s="5">
        <v>18</v>
      </c>
    </row>
    <row r="1154" spans="1:2" x14ac:dyDescent="0.35">
      <c r="A1154" s="4" t="s">
        <v>11403</v>
      </c>
      <c r="B1154" s="5">
        <v>1</v>
      </c>
    </row>
    <row r="1155" spans="1:2" x14ac:dyDescent="0.35">
      <c r="A1155" s="4" t="s">
        <v>10533</v>
      </c>
      <c r="B1155" s="5">
        <v>1</v>
      </c>
    </row>
    <row r="1156" spans="1:2" x14ac:dyDescent="0.35">
      <c r="A1156" s="4" t="s">
        <v>449</v>
      </c>
      <c r="B1156" s="5">
        <v>4</v>
      </c>
    </row>
    <row r="1157" spans="1:2" x14ac:dyDescent="0.35">
      <c r="A1157" s="4" t="s">
        <v>10273</v>
      </c>
      <c r="B1157" s="5">
        <v>3</v>
      </c>
    </row>
    <row r="1158" spans="1:2" x14ac:dyDescent="0.35">
      <c r="A1158" s="4" t="s">
        <v>9063</v>
      </c>
      <c r="B1158" s="5">
        <v>2</v>
      </c>
    </row>
    <row r="1159" spans="1:2" x14ac:dyDescent="0.35">
      <c r="A1159" s="4" t="s">
        <v>12437</v>
      </c>
      <c r="B1159" s="5">
        <v>3</v>
      </c>
    </row>
    <row r="1160" spans="1:2" x14ac:dyDescent="0.35">
      <c r="A1160" s="4" t="s">
        <v>3650</v>
      </c>
      <c r="B1160" s="5">
        <v>5</v>
      </c>
    </row>
    <row r="1161" spans="1:2" x14ac:dyDescent="0.35">
      <c r="A1161" s="4" t="s">
        <v>10354</v>
      </c>
      <c r="B1161" s="5">
        <v>1</v>
      </c>
    </row>
    <row r="1162" spans="1:2" x14ac:dyDescent="0.35">
      <c r="A1162" s="4" t="s">
        <v>2354</v>
      </c>
      <c r="B1162" s="5">
        <v>6</v>
      </c>
    </row>
    <row r="1163" spans="1:2" x14ac:dyDescent="0.35">
      <c r="A1163" s="4" t="s">
        <v>10163</v>
      </c>
      <c r="B1163" s="5">
        <v>3</v>
      </c>
    </row>
    <row r="1164" spans="1:2" x14ac:dyDescent="0.35">
      <c r="A1164" s="4" t="s">
        <v>12811</v>
      </c>
      <c r="B1164" s="5">
        <v>7</v>
      </c>
    </row>
    <row r="1165" spans="1:2" x14ac:dyDescent="0.35">
      <c r="A1165" s="4" t="s">
        <v>7256</v>
      </c>
      <c r="B1165" s="5">
        <v>3</v>
      </c>
    </row>
    <row r="1166" spans="1:2" x14ac:dyDescent="0.35">
      <c r="A1166" s="4" t="s">
        <v>6252</v>
      </c>
      <c r="B1166" s="5">
        <v>1</v>
      </c>
    </row>
    <row r="1167" spans="1:2" x14ac:dyDescent="0.35">
      <c r="A1167" s="4" t="s">
        <v>7572</v>
      </c>
      <c r="B1167" s="5">
        <v>2</v>
      </c>
    </row>
    <row r="1168" spans="1:2" x14ac:dyDescent="0.35">
      <c r="A1168" s="4" t="s">
        <v>1285</v>
      </c>
      <c r="B1168" s="5">
        <v>32</v>
      </c>
    </row>
    <row r="1169" spans="1:2" x14ac:dyDescent="0.35">
      <c r="A1169" s="4" t="s">
        <v>2994</v>
      </c>
      <c r="B1169" s="5">
        <v>1</v>
      </c>
    </row>
    <row r="1170" spans="1:2" x14ac:dyDescent="0.35">
      <c r="A1170" s="4" t="s">
        <v>11523</v>
      </c>
      <c r="B1170" s="5">
        <v>1</v>
      </c>
    </row>
    <row r="1171" spans="1:2" x14ac:dyDescent="0.35">
      <c r="A1171" s="4" t="s">
        <v>2132</v>
      </c>
      <c r="B1171" s="5">
        <v>15</v>
      </c>
    </row>
    <row r="1172" spans="1:2" x14ac:dyDescent="0.35">
      <c r="A1172" s="4" t="s">
        <v>4117</v>
      </c>
      <c r="B1172" s="5">
        <v>18</v>
      </c>
    </row>
    <row r="1173" spans="1:2" x14ac:dyDescent="0.35">
      <c r="A1173" s="4" t="s">
        <v>11439</v>
      </c>
      <c r="B1173" s="5">
        <v>1</v>
      </c>
    </row>
    <row r="1174" spans="1:2" x14ac:dyDescent="0.35">
      <c r="A1174" s="4" t="s">
        <v>10183</v>
      </c>
      <c r="B1174" s="5">
        <v>3</v>
      </c>
    </row>
    <row r="1175" spans="1:2" x14ac:dyDescent="0.35">
      <c r="A1175" s="4" t="s">
        <v>7995</v>
      </c>
      <c r="B1175" s="5">
        <v>3</v>
      </c>
    </row>
    <row r="1176" spans="1:2" x14ac:dyDescent="0.35">
      <c r="A1176" s="4" t="s">
        <v>10008</v>
      </c>
      <c r="B1176" s="5">
        <v>1</v>
      </c>
    </row>
    <row r="1177" spans="1:2" x14ac:dyDescent="0.35">
      <c r="A1177" s="4" t="s">
        <v>3070</v>
      </c>
      <c r="B1177" s="5">
        <v>7</v>
      </c>
    </row>
    <row r="1178" spans="1:2" x14ac:dyDescent="0.35">
      <c r="A1178" s="4" t="s">
        <v>10486</v>
      </c>
      <c r="B1178" s="5">
        <v>2</v>
      </c>
    </row>
    <row r="1179" spans="1:2" x14ac:dyDescent="0.35">
      <c r="A1179" s="4" t="s">
        <v>6279</v>
      </c>
      <c r="B1179" s="5">
        <v>2</v>
      </c>
    </row>
    <row r="1180" spans="1:2" x14ac:dyDescent="0.35">
      <c r="A1180" s="4" t="s">
        <v>2761</v>
      </c>
      <c r="B1180" s="5">
        <v>2</v>
      </c>
    </row>
    <row r="1181" spans="1:2" x14ac:dyDescent="0.35">
      <c r="A1181" s="4" t="s">
        <v>456</v>
      </c>
      <c r="B1181" s="5">
        <v>2</v>
      </c>
    </row>
    <row r="1182" spans="1:2" x14ac:dyDescent="0.35">
      <c r="A1182" s="4" t="s">
        <v>10321</v>
      </c>
      <c r="B1182" s="5">
        <v>1</v>
      </c>
    </row>
    <row r="1183" spans="1:2" x14ac:dyDescent="0.35">
      <c r="A1183" s="4" t="s">
        <v>3953</v>
      </c>
      <c r="B1183" s="5">
        <v>5</v>
      </c>
    </row>
    <row r="1184" spans="1:2" x14ac:dyDescent="0.35">
      <c r="A1184" s="4" t="s">
        <v>1344</v>
      </c>
      <c r="B1184" s="5">
        <v>3</v>
      </c>
    </row>
    <row r="1185" spans="1:2" x14ac:dyDescent="0.35">
      <c r="A1185" s="4" t="s">
        <v>7610</v>
      </c>
      <c r="B1185" s="5">
        <v>2</v>
      </c>
    </row>
    <row r="1186" spans="1:2" x14ac:dyDescent="0.35">
      <c r="A1186" s="4" t="s">
        <v>7006</v>
      </c>
      <c r="B1186" s="5">
        <v>1</v>
      </c>
    </row>
    <row r="1187" spans="1:2" x14ac:dyDescent="0.35">
      <c r="A1187" s="4" t="s">
        <v>5627</v>
      </c>
      <c r="B1187" s="5">
        <v>5</v>
      </c>
    </row>
    <row r="1188" spans="1:2" x14ac:dyDescent="0.35">
      <c r="A1188" s="4" t="s">
        <v>9092</v>
      </c>
      <c r="B1188" s="5">
        <v>3</v>
      </c>
    </row>
    <row r="1189" spans="1:2" x14ac:dyDescent="0.35">
      <c r="A1189" s="4" t="s">
        <v>12755</v>
      </c>
      <c r="B1189" s="5">
        <v>1</v>
      </c>
    </row>
    <row r="1190" spans="1:2" x14ac:dyDescent="0.35">
      <c r="A1190" s="4" t="s">
        <v>3575</v>
      </c>
      <c r="B1190" s="5">
        <v>4</v>
      </c>
    </row>
    <row r="1191" spans="1:2" x14ac:dyDescent="0.35">
      <c r="A1191" s="4" t="s">
        <v>5142</v>
      </c>
      <c r="B1191" s="5">
        <v>2</v>
      </c>
    </row>
    <row r="1192" spans="1:2" x14ac:dyDescent="0.35">
      <c r="A1192" s="4" t="s">
        <v>3495</v>
      </c>
      <c r="B1192" s="5">
        <v>6</v>
      </c>
    </row>
    <row r="1193" spans="1:2" x14ac:dyDescent="0.35">
      <c r="A1193" s="4" t="s">
        <v>6754</v>
      </c>
      <c r="B1193" s="5">
        <v>10</v>
      </c>
    </row>
    <row r="1194" spans="1:2" x14ac:dyDescent="0.35">
      <c r="A1194" s="4" t="s">
        <v>6458</v>
      </c>
      <c r="B1194" s="5">
        <v>9</v>
      </c>
    </row>
    <row r="1195" spans="1:2" x14ac:dyDescent="0.35">
      <c r="A1195" s="4" t="s">
        <v>6153</v>
      </c>
      <c r="B1195" s="5">
        <v>1</v>
      </c>
    </row>
    <row r="1196" spans="1:2" x14ac:dyDescent="0.35">
      <c r="A1196" s="4" t="s">
        <v>6292</v>
      </c>
      <c r="B1196" s="5">
        <v>3</v>
      </c>
    </row>
    <row r="1197" spans="1:2" x14ac:dyDescent="0.35">
      <c r="A1197" s="4" t="s">
        <v>2347</v>
      </c>
      <c r="B1197" s="5">
        <v>2</v>
      </c>
    </row>
    <row r="1198" spans="1:2" x14ac:dyDescent="0.35">
      <c r="A1198" s="4" t="s">
        <v>5689</v>
      </c>
      <c r="B1198" s="5">
        <v>3</v>
      </c>
    </row>
    <row r="1199" spans="1:2" x14ac:dyDescent="0.35">
      <c r="A1199" s="4" t="s">
        <v>10137</v>
      </c>
      <c r="B1199" s="5">
        <v>3</v>
      </c>
    </row>
    <row r="1200" spans="1:2" x14ac:dyDescent="0.35">
      <c r="A1200" s="4" t="s">
        <v>4274</v>
      </c>
      <c r="B1200" s="5">
        <v>3</v>
      </c>
    </row>
    <row r="1201" spans="1:2" x14ac:dyDescent="0.35">
      <c r="A1201" s="4" t="s">
        <v>2438</v>
      </c>
      <c r="B1201" s="5">
        <v>9</v>
      </c>
    </row>
    <row r="1202" spans="1:2" x14ac:dyDescent="0.35">
      <c r="A1202" s="4" t="s">
        <v>13046</v>
      </c>
      <c r="B1202" s="5">
        <v>3</v>
      </c>
    </row>
    <row r="1203" spans="1:2" x14ac:dyDescent="0.35">
      <c r="A1203" s="4" t="s">
        <v>8581</v>
      </c>
      <c r="B1203" s="5">
        <v>6</v>
      </c>
    </row>
    <row r="1204" spans="1:2" x14ac:dyDescent="0.35">
      <c r="A1204" s="4" t="s">
        <v>12905</v>
      </c>
      <c r="B1204" s="5">
        <v>3</v>
      </c>
    </row>
    <row r="1205" spans="1:2" x14ac:dyDescent="0.35">
      <c r="A1205" s="4" t="s">
        <v>10677</v>
      </c>
      <c r="B1205" s="5">
        <v>2</v>
      </c>
    </row>
    <row r="1206" spans="1:2" x14ac:dyDescent="0.35">
      <c r="A1206" s="4" t="s">
        <v>61</v>
      </c>
      <c r="B1206" s="5">
        <v>69</v>
      </c>
    </row>
    <row r="1207" spans="1:2" x14ac:dyDescent="0.35">
      <c r="A1207" s="4" t="s">
        <v>3812</v>
      </c>
      <c r="B1207" s="5">
        <v>6</v>
      </c>
    </row>
    <row r="1208" spans="1:2" x14ac:dyDescent="0.35">
      <c r="A1208" s="4" t="s">
        <v>1987</v>
      </c>
      <c r="B1208" s="5">
        <v>2</v>
      </c>
    </row>
    <row r="1209" spans="1:2" x14ac:dyDescent="0.35">
      <c r="A1209" s="4" t="s">
        <v>2540</v>
      </c>
      <c r="B1209" s="5">
        <v>2</v>
      </c>
    </row>
    <row r="1210" spans="1:2" x14ac:dyDescent="0.35">
      <c r="A1210" s="4" t="s">
        <v>1579</v>
      </c>
      <c r="B1210" s="5">
        <v>22</v>
      </c>
    </row>
    <row r="1211" spans="1:2" x14ac:dyDescent="0.35">
      <c r="A1211" s="4" t="s">
        <v>6826</v>
      </c>
      <c r="B1211" s="5">
        <v>3</v>
      </c>
    </row>
    <row r="1212" spans="1:2" x14ac:dyDescent="0.35">
      <c r="A1212" s="4" t="s">
        <v>1896</v>
      </c>
      <c r="B1212" s="5">
        <v>3</v>
      </c>
    </row>
    <row r="1213" spans="1:2" x14ac:dyDescent="0.35">
      <c r="A1213" s="4" t="s">
        <v>1539</v>
      </c>
      <c r="B1213" s="5">
        <v>2</v>
      </c>
    </row>
    <row r="1214" spans="1:2" x14ac:dyDescent="0.35">
      <c r="A1214" s="4" t="s">
        <v>5036</v>
      </c>
      <c r="B1214" s="5">
        <v>31</v>
      </c>
    </row>
    <row r="1215" spans="1:2" x14ac:dyDescent="0.35">
      <c r="A1215" s="4" t="s">
        <v>2090</v>
      </c>
      <c r="B1215" s="5">
        <v>2</v>
      </c>
    </row>
    <row r="1216" spans="1:2" x14ac:dyDescent="0.35">
      <c r="A1216" s="4" t="s">
        <v>2344</v>
      </c>
      <c r="B1216" s="5">
        <v>1</v>
      </c>
    </row>
    <row r="1217" spans="1:2" x14ac:dyDescent="0.35">
      <c r="A1217" s="4" t="s">
        <v>11330</v>
      </c>
      <c r="B1217" s="5">
        <v>3</v>
      </c>
    </row>
    <row r="1218" spans="1:2" x14ac:dyDescent="0.35">
      <c r="A1218" s="4" t="s">
        <v>10833</v>
      </c>
      <c r="B1218" s="5">
        <v>1</v>
      </c>
    </row>
    <row r="1219" spans="1:2" x14ac:dyDescent="0.35">
      <c r="A1219" s="4" t="s">
        <v>8431</v>
      </c>
      <c r="B1219" s="5">
        <v>2</v>
      </c>
    </row>
    <row r="1220" spans="1:2" x14ac:dyDescent="0.35">
      <c r="A1220" s="4" t="s">
        <v>12401</v>
      </c>
      <c r="B1220" s="5">
        <v>3</v>
      </c>
    </row>
    <row r="1221" spans="1:2" x14ac:dyDescent="0.35">
      <c r="A1221" s="4" t="s">
        <v>11641</v>
      </c>
      <c r="B1221" s="5">
        <v>6</v>
      </c>
    </row>
    <row r="1222" spans="1:2" x14ac:dyDescent="0.35">
      <c r="A1222" s="4" t="s">
        <v>5828</v>
      </c>
      <c r="B1222" s="5">
        <v>3</v>
      </c>
    </row>
    <row r="1223" spans="1:2" x14ac:dyDescent="0.35">
      <c r="A1223" s="4" t="s">
        <v>11355</v>
      </c>
      <c r="B1223" s="5">
        <v>3</v>
      </c>
    </row>
    <row r="1224" spans="1:2" x14ac:dyDescent="0.35">
      <c r="A1224" s="4" t="s">
        <v>5617</v>
      </c>
      <c r="B1224" s="5">
        <v>4</v>
      </c>
    </row>
    <row r="1225" spans="1:2" x14ac:dyDescent="0.35">
      <c r="A1225" s="4" t="s">
        <v>6800</v>
      </c>
      <c r="B1225" s="5">
        <v>1</v>
      </c>
    </row>
    <row r="1226" spans="1:2" x14ac:dyDescent="0.35">
      <c r="A1226" s="4" t="s">
        <v>10123</v>
      </c>
      <c r="B1226" s="5">
        <v>4</v>
      </c>
    </row>
    <row r="1227" spans="1:2" x14ac:dyDescent="0.35">
      <c r="A1227" s="4" t="s">
        <v>9663</v>
      </c>
      <c r="B1227" s="5">
        <v>1</v>
      </c>
    </row>
    <row r="1228" spans="1:2" x14ac:dyDescent="0.35">
      <c r="A1228" s="4" t="s">
        <v>9036</v>
      </c>
      <c r="B1228" s="5">
        <v>2</v>
      </c>
    </row>
    <row r="1229" spans="1:2" x14ac:dyDescent="0.35">
      <c r="A1229" s="4" t="s">
        <v>8282</v>
      </c>
      <c r="B1229" s="5">
        <v>1</v>
      </c>
    </row>
    <row r="1230" spans="1:2" x14ac:dyDescent="0.35">
      <c r="A1230" s="4" t="s">
        <v>2392</v>
      </c>
      <c r="B1230" s="5">
        <v>1</v>
      </c>
    </row>
    <row r="1231" spans="1:2" x14ac:dyDescent="0.35">
      <c r="A1231" s="4" t="s">
        <v>593</v>
      </c>
      <c r="B1231" s="5">
        <v>1</v>
      </c>
    </row>
    <row r="1232" spans="1:2" x14ac:dyDescent="0.35">
      <c r="A1232" s="4" t="s">
        <v>9014</v>
      </c>
      <c r="B1232" s="5">
        <v>1</v>
      </c>
    </row>
    <row r="1233" spans="1:2" x14ac:dyDescent="0.35">
      <c r="A1233" s="4" t="s">
        <v>10774</v>
      </c>
      <c r="B1233" s="5">
        <v>1</v>
      </c>
    </row>
    <row r="1234" spans="1:2" x14ac:dyDescent="0.35">
      <c r="A1234" s="4" t="s">
        <v>5988</v>
      </c>
      <c r="B1234" s="5">
        <v>1</v>
      </c>
    </row>
    <row r="1235" spans="1:2" x14ac:dyDescent="0.35">
      <c r="A1235" s="4" t="s">
        <v>969</v>
      </c>
      <c r="B1235" s="5">
        <v>4</v>
      </c>
    </row>
    <row r="1236" spans="1:2" x14ac:dyDescent="0.35">
      <c r="A1236" s="4" t="s">
        <v>7224</v>
      </c>
      <c r="B1236" s="5">
        <v>3</v>
      </c>
    </row>
    <row r="1237" spans="1:2" x14ac:dyDescent="0.35">
      <c r="A1237" s="4" t="s">
        <v>1514</v>
      </c>
      <c r="B1237" s="5">
        <v>7</v>
      </c>
    </row>
    <row r="1238" spans="1:2" x14ac:dyDescent="0.35">
      <c r="A1238" s="4" t="s">
        <v>2986</v>
      </c>
      <c r="B1238" s="5">
        <v>3</v>
      </c>
    </row>
    <row r="1239" spans="1:2" x14ac:dyDescent="0.35">
      <c r="A1239" s="4" t="s">
        <v>13095</v>
      </c>
      <c r="B1239" s="5">
        <v>3</v>
      </c>
    </row>
    <row r="1240" spans="1:2" x14ac:dyDescent="0.35">
      <c r="A1240" s="4" t="s">
        <v>10893</v>
      </c>
      <c r="B1240" s="5">
        <v>2</v>
      </c>
    </row>
    <row r="1241" spans="1:2" x14ac:dyDescent="0.35">
      <c r="A1241" s="4" t="s">
        <v>955</v>
      </c>
      <c r="B1241" s="5">
        <v>3</v>
      </c>
    </row>
    <row r="1242" spans="1:2" x14ac:dyDescent="0.35">
      <c r="A1242" s="4" t="s">
        <v>9377</v>
      </c>
      <c r="B1242" s="5">
        <v>1</v>
      </c>
    </row>
    <row r="1243" spans="1:2" x14ac:dyDescent="0.35">
      <c r="A1243" s="4" t="s">
        <v>9407</v>
      </c>
      <c r="B1243" s="5">
        <v>1</v>
      </c>
    </row>
    <row r="1244" spans="1:2" x14ac:dyDescent="0.35">
      <c r="A1244" s="4" t="s">
        <v>10308</v>
      </c>
      <c r="B1244" s="5">
        <v>1</v>
      </c>
    </row>
    <row r="1245" spans="1:2" x14ac:dyDescent="0.35">
      <c r="A1245" s="4" t="s">
        <v>13087</v>
      </c>
      <c r="B1245" s="5">
        <v>3</v>
      </c>
    </row>
    <row r="1246" spans="1:2" x14ac:dyDescent="0.35">
      <c r="A1246" s="4" t="s">
        <v>11743</v>
      </c>
      <c r="B1246" s="5">
        <v>3</v>
      </c>
    </row>
    <row r="1247" spans="1:2" x14ac:dyDescent="0.35">
      <c r="A1247" s="4" t="s">
        <v>1187</v>
      </c>
      <c r="B1247" s="5">
        <v>1</v>
      </c>
    </row>
    <row r="1248" spans="1:2" x14ac:dyDescent="0.35">
      <c r="A1248" s="4" t="s">
        <v>6607</v>
      </c>
      <c r="B1248" s="5">
        <v>2</v>
      </c>
    </row>
    <row r="1249" spans="1:2" x14ac:dyDescent="0.35">
      <c r="A1249" s="4" t="s">
        <v>11357</v>
      </c>
      <c r="B1249" s="5">
        <v>4</v>
      </c>
    </row>
    <row r="1250" spans="1:2" x14ac:dyDescent="0.35">
      <c r="A1250" s="4" t="s">
        <v>4890</v>
      </c>
      <c r="B1250" s="5">
        <v>1</v>
      </c>
    </row>
    <row r="1251" spans="1:2" x14ac:dyDescent="0.35">
      <c r="A1251" s="4" t="s">
        <v>13085</v>
      </c>
      <c r="B1251" s="5">
        <v>3</v>
      </c>
    </row>
    <row r="1252" spans="1:2" x14ac:dyDescent="0.35">
      <c r="A1252" s="4" t="s">
        <v>3009</v>
      </c>
      <c r="B1252" s="5">
        <v>6</v>
      </c>
    </row>
    <row r="1253" spans="1:2" x14ac:dyDescent="0.35">
      <c r="A1253" s="4" t="s">
        <v>3458</v>
      </c>
      <c r="B1253" s="5">
        <v>3</v>
      </c>
    </row>
    <row r="1254" spans="1:2" x14ac:dyDescent="0.35">
      <c r="A1254" s="4" t="s">
        <v>11606</v>
      </c>
      <c r="B1254" s="5">
        <v>7</v>
      </c>
    </row>
    <row r="1255" spans="1:2" x14ac:dyDescent="0.35">
      <c r="A1255" s="4" t="s">
        <v>218</v>
      </c>
      <c r="B1255" s="5">
        <v>2</v>
      </c>
    </row>
    <row r="1256" spans="1:2" x14ac:dyDescent="0.35">
      <c r="A1256" s="4" t="s">
        <v>4214</v>
      </c>
      <c r="B1256" s="5">
        <v>1</v>
      </c>
    </row>
    <row r="1257" spans="1:2" x14ac:dyDescent="0.35">
      <c r="A1257" s="4" t="s">
        <v>4169</v>
      </c>
      <c r="B1257" s="5">
        <v>8</v>
      </c>
    </row>
    <row r="1258" spans="1:2" x14ac:dyDescent="0.35">
      <c r="A1258" s="4" t="s">
        <v>1210</v>
      </c>
      <c r="B1258" s="5">
        <v>1</v>
      </c>
    </row>
    <row r="1259" spans="1:2" x14ac:dyDescent="0.35">
      <c r="A1259" s="4" t="s">
        <v>3488</v>
      </c>
      <c r="B1259" s="5">
        <v>149</v>
      </c>
    </row>
    <row r="1260" spans="1:2" x14ac:dyDescent="0.35">
      <c r="A1260" s="4" t="s">
        <v>9495</v>
      </c>
      <c r="B1260" s="5">
        <v>3</v>
      </c>
    </row>
    <row r="1261" spans="1:2" x14ac:dyDescent="0.35">
      <c r="A1261" s="4" t="s">
        <v>11168</v>
      </c>
      <c r="B1261" s="5">
        <v>3</v>
      </c>
    </row>
    <row r="1262" spans="1:2" x14ac:dyDescent="0.35">
      <c r="A1262" s="4" t="s">
        <v>6620</v>
      </c>
      <c r="B1262" s="5">
        <v>1</v>
      </c>
    </row>
    <row r="1263" spans="1:2" x14ac:dyDescent="0.35">
      <c r="A1263" s="4" t="s">
        <v>2665</v>
      </c>
      <c r="B1263" s="5">
        <v>2</v>
      </c>
    </row>
    <row r="1264" spans="1:2" x14ac:dyDescent="0.35">
      <c r="A1264" s="4" t="s">
        <v>4048</v>
      </c>
      <c r="B1264" s="5">
        <v>4</v>
      </c>
    </row>
    <row r="1265" spans="1:2" x14ac:dyDescent="0.35">
      <c r="A1265" s="4" t="s">
        <v>9184</v>
      </c>
      <c r="B1265" s="5">
        <v>5</v>
      </c>
    </row>
    <row r="1266" spans="1:2" x14ac:dyDescent="0.35">
      <c r="A1266" s="4" t="s">
        <v>3088</v>
      </c>
      <c r="B1266" s="5">
        <v>19</v>
      </c>
    </row>
    <row r="1267" spans="1:2" x14ac:dyDescent="0.35">
      <c r="A1267" s="4" t="s">
        <v>5291</v>
      </c>
      <c r="B1267" s="5">
        <v>7</v>
      </c>
    </row>
    <row r="1268" spans="1:2" x14ac:dyDescent="0.35">
      <c r="A1268" s="4" t="s">
        <v>3449</v>
      </c>
      <c r="B1268" s="5">
        <v>21</v>
      </c>
    </row>
    <row r="1269" spans="1:2" x14ac:dyDescent="0.35">
      <c r="A1269" s="4" t="s">
        <v>9828</v>
      </c>
      <c r="B1269" s="5">
        <v>6</v>
      </c>
    </row>
    <row r="1270" spans="1:2" x14ac:dyDescent="0.35">
      <c r="A1270" s="4" t="s">
        <v>2811</v>
      </c>
      <c r="B1270" s="5">
        <v>3</v>
      </c>
    </row>
    <row r="1271" spans="1:2" x14ac:dyDescent="0.35">
      <c r="A1271" s="4" t="s">
        <v>875</v>
      </c>
      <c r="B1271" s="5">
        <v>2</v>
      </c>
    </row>
    <row r="1272" spans="1:2" x14ac:dyDescent="0.35">
      <c r="A1272" s="4" t="s">
        <v>7065</v>
      </c>
      <c r="B1272" s="5">
        <v>2</v>
      </c>
    </row>
    <row r="1273" spans="1:2" x14ac:dyDescent="0.35">
      <c r="A1273" s="4" t="s">
        <v>9125</v>
      </c>
      <c r="B1273" s="5">
        <v>4</v>
      </c>
    </row>
    <row r="1274" spans="1:2" x14ac:dyDescent="0.35">
      <c r="A1274" s="4" t="s">
        <v>9307</v>
      </c>
      <c r="B1274" s="5">
        <v>2</v>
      </c>
    </row>
    <row r="1275" spans="1:2" x14ac:dyDescent="0.35">
      <c r="A1275" s="4" t="s">
        <v>911</v>
      </c>
      <c r="B1275" s="5">
        <v>2</v>
      </c>
    </row>
    <row r="1276" spans="1:2" x14ac:dyDescent="0.35">
      <c r="A1276" s="4" t="s">
        <v>2486</v>
      </c>
      <c r="B1276" s="5">
        <v>2</v>
      </c>
    </row>
    <row r="1277" spans="1:2" x14ac:dyDescent="0.35">
      <c r="A1277" s="4" t="s">
        <v>10192</v>
      </c>
      <c r="B1277" s="5">
        <v>1</v>
      </c>
    </row>
    <row r="1278" spans="1:2" x14ac:dyDescent="0.35">
      <c r="A1278" s="4" t="s">
        <v>3392</v>
      </c>
      <c r="B1278" s="5">
        <v>2</v>
      </c>
    </row>
    <row r="1279" spans="1:2" x14ac:dyDescent="0.35">
      <c r="A1279" s="4" t="s">
        <v>1115</v>
      </c>
      <c r="B1279" s="5">
        <v>2</v>
      </c>
    </row>
    <row r="1280" spans="1:2" x14ac:dyDescent="0.35">
      <c r="A1280" s="4" t="s">
        <v>559</v>
      </c>
      <c r="B1280" s="5">
        <v>3</v>
      </c>
    </row>
    <row r="1281" spans="1:2" x14ac:dyDescent="0.35">
      <c r="A1281" s="4" t="s">
        <v>10052</v>
      </c>
      <c r="B1281" s="5">
        <v>1</v>
      </c>
    </row>
    <row r="1282" spans="1:2" x14ac:dyDescent="0.35">
      <c r="A1282" s="4" t="s">
        <v>4816</v>
      </c>
      <c r="B1282" s="5">
        <v>1</v>
      </c>
    </row>
    <row r="1283" spans="1:2" x14ac:dyDescent="0.35">
      <c r="A1283" s="4" t="s">
        <v>6477</v>
      </c>
      <c r="B1283" s="5">
        <v>3</v>
      </c>
    </row>
    <row r="1284" spans="1:2" x14ac:dyDescent="0.35">
      <c r="A1284" s="4" t="s">
        <v>9699</v>
      </c>
      <c r="B1284" s="5">
        <v>3</v>
      </c>
    </row>
    <row r="1285" spans="1:2" x14ac:dyDescent="0.35">
      <c r="A1285" s="4" t="s">
        <v>9369</v>
      </c>
      <c r="B1285" s="5">
        <v>3</v>
      </c>
    </row>
    <row r="1286" spans="1:2" x14ac:dyDescent="0.35">
      <c r="A1286" s="4" t="s">
        <v>10283</v>
      </c>
      <c r="B1286" s="5">
        <v>3</v>
      </c>
    </row>
    <row r="1287" spans="1:2" x14ac:dyDescent="0.35">
      <c r="A1287" s="4" t="s">
        <v>10437</v>
      </c>
      <c r="B1287" s="5">
        <v>1</v>
      </c>
    </row>
    <row r="1288" spans="1:2" x14ac:dyDescent="0.35">
      <c r="A1288" s="4" t="s">
        <v>652</v>
      </c>
      <c r="B1288" s="5">
        <v>8</v>
      </c>
    </row>
    <row r="1289" spans="1:2" x14ac:dyDescent="0.35">
      <c r="A1289" s="4" t="s">
        <v>219</v>
      </c>
      <c r="B1289" s="5">
        <v>1</v>
      </c>
    </row>
    <row r="1290" spans="1:2" x14ac:dyDescent="0.35">
      <c r="A1290" s="4" t="s">
        <v>7806</v>
      </c>
      <c r="B1290" s="5">
        <v>1</v>
      </c>
    </row>
    <row r="1291" spans="1:2" x14ac:dyDescent="0.35">
      <c r="A1291" s="4" t="s">
        <v>6239</v>
      </c>
      <c r="B1291" s="5">
        <v>1</v>
      </c>
    </row>
    <row r="1292" spans="1:2" x14ac:dyDescent="0.35">
      <c r="A1292" s="4" t="s">
        <v>810</v>
      </c>
      <c r="B1292" s="5">
        <v>7</v>
      </c>
    </row>
    <row r="1293" spans="1:2" x14ac:dyDescent="0.35">
      <c r="A1293" s="4" t="s">
        <v>3435</v>
      </c>
      <c r="B1293" s="5">
        <v>2</v>
      </c>
    </row>
    <row r="1294" spans="1:2" x14ac:dyDescent="0.35">
      <c r="A1294" s="4" t="s">
        <v>9205</v>
      </c>
      <c r="B1294" s="5">
        <v>7</v>
      </c>
    </row>
    <row r="1295" spans="1:2" x14ac:dyDescent="0.35">
      <c r="A1295" s="4" t="s">
        <v>3853</v>
      </c>
      <c r="B1295" s="5">
        <v>1</v>
      </c>
    </row>
    <row r="1296" spans="1:2" x14ac:dyDescent="0.35">
      <c r="A1296" s="4" t="s">
        <v>12997</v>
      </c>
      <c r="B1296" s="5">
        <v>1</v>
      </c>
    </row>
    <row r="1297" spans="1:2" x14ac:dyDescent="0.35">
      <c r="A1297" s="4" t="s">
        <v>4797</v>
      </c>
      <c r="B1297" s="5">
        <v>3</v>
      </c>
    </row>
    <row r="1298" spans="1:2" x14ac:dyDescent="0.35">
      <c r="A1298" s="4" t="s">
        <v>1301</v>
      </c>
      <c r="B1298" s="5">
        <v>1</v>
      </c>
    </row>
    <row r="1299" spans="1:2" x14ac:dyDescent="0.35">
      <c r="A1299" s="4" t="s">
        <v>590</v>
      </c>
      <c r="B1299" s="5">
        <v>1</v>
      </c>
    </row>
    <row r="1300" spans="1:2" x14ac:dyDescent="0.35">
      <c r="A1300" s="4" t="s">
        <v>2491</v>
      </c>
      <c r="B1300" s="5">
        <v>3</v>
      </c>
    </row>
    <row r="1301" spans="1:2" x14ac:dyDescent="0.35">
      <c r="A1301" s="4" t="s">
        <v>5872</v>
      </c>
      <c r="B1301" s="5">
        <v>8</v>
      </c>
    </row>
    <row r="1302" spans="1:2" x14ac:dyDescent="0.35">
      <c r="A1302" s="4" t="s">
        <v>1191</v>
      </c>
      <c r="B1302" s="5">
        <v>2</v>
      </c>
    </row>
    <row r="1303" spans="1:2" x14ac:dyDescent="0.35">
      <c r="A1303" s="4" t="s">
        <v>10689</v>
      </c>
      <c r="B1303" s="5">
        <v>15</v>
      </c>
    </row>
    <row r="1304" spans="1:2" x14ac:dyDescent="0.35">
      <c r="A1304" s="4" t="s">
        <v>8470</v>
      </c>
      <c r="B1304" s="5">
        <v>1</v>
      </c>
    </row>
    <row r="1305" spans="1:2" x14ac:dyDescent="0.35">
      <c r="A1305" s="4" t="s">
        <v>9251</v>
      </c>
      <c r="B1305" s="5">
        <v>8</v>
      </c>
    </row>
    <row r="1306" spans="1:2" x14ac:dyDescent="0.35">
      <c r="A1306" s="4" t="s">
        <v>5991</v>
      </c>
      <c r="B1306" s="5">
        <v>1</v>
      </c>
    </row>
    <row r="1307" spans="1:2" x14ac:dyDescent="0.35">
      <c r="A1307" s="4" t="s">
        <v>6866</v>
      </c>
      <c r="B1307" s="5">
        <v>2</v>
      </c>
    </row>
    <row r="1308" spans="1:2" x14ac:dyDescent="0.35">
      <c r="A1308" s="4" t="s">
        <v>3769</v>
      </c>
      <c r="B1308" s="5">
        <v>4</v>
      </c>
    </row>
    <row r="1309" spans="1:2" x14ac:dyDescent="0.35">
      <c r="A1309" s="4" t="s">
        <v>10421</v>
      </c>
      <c r="B1309" s="5">
        <v>7</v>
      </c>
    </row>
    <row r="1310" spans="1:2" x14ac:dyDescent="0.35">
      <c r="A1310" s="4" t="s">
        <v>4036</v>
      </c>
      <c r="B1310" s="5">
        <v>5</v>
      </c>
    </row>
    <row r="1311" spans="1:2" x14ac:dyDescent="0.35">
      <c r="A1311" s="4" t="s">
        <v>9055</v>
      </c>
      <c r="B1311" s="5">
        <v>3</v>
      </c>
    </row>
    <row r="1312" spans="1:2" x14ac:dyDescent="0.35">
      <c r="A1312" s="4" t="s">
        <v>10200</v>
      </c>
      <c r="B1312" s="5">
        <v>1</v>
      </c>
    </row>
    <row r="1313" spans="1:2" x14ac:dyDescent="0.35">
      <c r="A1313" s="4" t="s">
        <v>13024</v>
      </c>
      <c r="B1313" s="5">
        <v>3</v>
      </c>
    </row>
    <row r="1314" spans="1:2" x14ac:dyDescent="0.35">
      <c r="A1314" s="4" t="s">
        <v>1348</v>
      </c>
      <c r="B1314" s="5">
        <v>1</v>
      </c>
    </row>
    <row r="1315" spans="1:2" x14ac:dyDescent="0.35">
      <c r="A1315" s="4" t="s">
        <v>8180</v>
      </c>
      <c r="B1315" s="5">
        <v>2</v>
      </c>
    </row>
    <row r="1316" spans="1:2" x14ac:dyDescent="0.35">
      <c r="A1316" s="4" t="s">
        <v>1790</v>
      </c>
      <c r="B1316" s="5">
        <v>2</v>
      </c>
    </row>
    <row r="1317" spans="1:2" x14ac:dyDescent="0.35">
      <c r="A1317" s="4" t="s">
        <v>12586</v>
      </c>
      <c r="B1317" s="5">
        <v>1</v>
      </c>
    </row>
    <row r="1318" spans="1:2" x14ac:dyDescent="0.35">
      <c r="A1318" s="4" t="s">
        <v>12198</v>
      </c>
      <c r="B1318" s="5">
        <v>1</v>
      </c>
    </row>
    <row r="1319" spans="1:2" x14ac:dyDescent="0.35">
      <c r="A1319" s="4" t="s">
        <v>5166</v>
      </c>
      <c r="B1319" s="5">
        <v>1</v>
      </c>
    </row>
    <row r="1320" spans="1:2" x14ac:dyDescent="0.35">
      <c r="A1320" s="4" t="s">
        <v>565</v>
      </c>
      <c r="B1320" s="5">
        <v>2</v>
      </c>
    </row>
    <row r="1321" spans="1:2" x14ac:dyDescent="0.35">
      <c r="A1321" s="4" t="s">
        <v>444</v>
      </c>
      <c r="B1321" s="5">
        <v>1</v>
      </c>
    </row>
    <row r="1322" spans="1:2" x14ac:dyDescent="0.35">
      <c r="A1322" s="4" t="s">
        <v>3401</v>
      </c>
      <c r="B1322" s="5">
        <v>5</v>
      </c>
    </row>
    <row r="1323" spans="1:2" x14ac:dyDescent="0.35">
      <c r="A1323" s="4" t="s">
        <v>9057</v>
      </c>
      <c r="B1323" s="5">
        <v>2</v>
      </c>
    </row>
    <row r="1324" spans="1:2" x14ac:dyDescent="0.35">
      <c r="A1324" s="4" t="s">
        <v>11295</v>
      </c>
      <c r="B1324" s="5">
        <v>1</v>
      </c>
    </row>
    <row r="1325" spans="1:2" x14ac:dyDescent="0.35">
      <c r="A1325" s="4" t="s">
        <v>3664</v>
      </c>
      <c r="B1325" s="5">
        <v>1</v>
      </c>
    </row>
    <row r="1326" spans="1:2" x14ac:dyDescent="0.35">
      <c r="A1326" s="4" t="s">
        <v>6304</v>
      </c>
      <c r="B1326" s="5">
        <v>1</v>
      </c>
    </row>
    <row r="1327" spans="1:2" x14ac:dyDescent="0.35">
      <c r="A1327" s="4" t="s">
        <v>13010</v>
      </c>
      <c r="B1327" s="5">
        <v>2</v>
      </c>
    </row>
    <row r="1328" spans="1:2" x14ac:dyDescent="0.35">
      <c r="A1328" s="4" t="s">
        <v>215</v>
      </c>
      <c r="B1328" s="5">
        <v>2</v>
      </c>
    </row>
    <row r="1329" spans="1:2" x14ac:dyDescent="0.35">
      <c r="A1329" s="4" t="s">
        <v>10756</v>
      </c>
      <c r="B1329" s="5">
        <v>4</v>
      </c>
    </row>
    <row r="1330" spans="1:2" x14ac:dyDescent="0.35">
      <c r="A1330" s="4" t="s">
        <v>13017</v>
      </c>
      <c r="B1330" s="5">
        <v>1</v>
      </c>
    </row>
    <row r="1331" spans="1:2" x14ac:dyDescent="0.35">
      <c r="A1331" s="4" t="s">
        <v>4152</v>
      </c>
      <c r="B1331" s="5">
        <v>8</v>
      </c>
    </row>
    <row r="1332" spans="1:2" x14ac:dyDescent="0.35">
      <c r="A1332" s="4" t="s">
        <v>5056</v>
      </c>
      <c r="B1332" s="5">
        <v>5</v>
      </c>
    </row>
    <row r="1333" spans="1:2" x14ac:dyDescent="0.35">
      <c r="A1333" s="4" t="s">
        <v>5203</v>
      </c>
      <c r="B1333" s="5">
        <v>2</v>
      </c>
    </row>
    <row r="1334" spans="1:2" x14ac:dyDescent="0.35">
      <c r="A1334" s="4" t="s">
        <v>829</v>
      </c>
      <c r="B1334" s="5">
        <v>1</v>
      </c>
    </row>
    <row r="1335" spans="1:2" x14ac:dyDescent="0.35">
      <c r="A1335" s="4" t="s">
        <v>5322</v>
      </c>
      <c r="B1335" s="5">
        <v>1</v>
      </c>
    </row>
    <row r="1336" spans="1:2" x14ac:dyDescent="0.35">
      <c r="A1336" s="4" t="s">
        <v>251</v>
      </c>
      <c r="B1336" s="5">
        <v>1</v>
      </c>
    </row>
    <row r="1337" spans="1:2" x14ac:dyDescent="0.35">
      <c r="A1337" s="4" t="s">
        <v>6679</v>
      </c>
      <c r="B1337" s="5">
        <v>2</v>
      </c>
    </row>
    <row r="1338" spans="1:2" x14ac:dyDescent="0.35">
      <c r="A1338" s="4" t="s">
        <v>7252</v>
      </c>
      <c r="B1338" s="5">
        <v>2</v>
      </c>
    </row>
    <row r="1339" spans="1:2" x14ac:dyDescent="0.35">
      <c r="A1339" s="4" t="s">
        <v>1126</v>
      </c>
      <c r="B1339" s="5">
        <v>3</v>
      </c>
    </row>
    <row r="1340" spans="1:2" x14ac:dyDescent="0.35">
      <c r="A1340" s="4" t="s">
        <v>4338</v>
      </c>
      <c r="B1340" s="5">
        <v>2</v>
      </c>
    </row>
    <row r="1341" spans="1:2" x14ac:dyDescent="0.35">
      <c r="A1341" s="4" t="s">
        <v>1129</v>
      </c>
      <c r="B1341" s="5">
        <v>5</v>
      </c>
    </row>
    <row r="1342" spans="1:2" x14ac:dyDescent="0.35">
      <c r="A1342" s="4" t="s">
        <v>7438</v>
      </c>
      <c r="B1342" s="5">
        <v>1</v>
      </c>
    </row>
    <row r="1343" spans="1:2" x14ac:dyDescent="0.35">
      <c r="A1343" s="4" t="s">
        <v>4218</v>
      </c>
      <c r="B1343" s="5">
        <v>3</v>
      </c>
    </row>
    <row r="1344" spans="1:2" x14ac:dyDescent="0.35">
      <c r="A1344" s="4" t="s">
        <v>1781</v>
      </c>
      <c r="B1344" s="5">
        <v>1</v>
      </c>
    </row>
    <row r="1345" spans="1:2" x14ac:dyDescent="0.35">
      <c r="A1345" s="4" t="s">
        <v>4558</v>
      </c>
      <c r="B1345" s="5">
        <v>5</v>
      </c>
    </row>
    <row r="1346" spans="1:2" x14ac:dyDescent="0.35">
      <c r="A1346" s="4" t="s">
        <v>12151</v>
      </c>
      <c r="B1346" s="5">
        <v>4</v>
      </c>
    </row>
    <row r="1347" spans="1:2" x14ac:dyDescent="0.35">
      <c r="A1347" s="4" t="s">
        <v>5959</v>
      </c>
      <c r="B1347" s="5">
        <v>4</v>
      </c>
    </row>
    <row r="1348" spans="1:2" x14ac:dyDescent="0.35">
      <c r="A1348" s="4" t="s">
        <v>2685</v>
      </c>
      <c r="B1348" s="5">
        <v>1</v>
      </c>
    </row>
    <row r="1349" spans="1:2" x14ac:dyDescent="0.35">
      <c r="A1349" s="4" t="s">
        <v>389</v>
      </c>
      <c r="B1349" s="5">
        <v>9</v>
      </c>
    </row>
    <row r="1350" spans="1:2" x14ac:dyDescent="0.35">
      <c r="A1350" s="4" t="s">
        <v>1329</v>
      </c>
      <c r="B1350" s="5">
        <v>2</v>
      </c>
    </row>
    <row r="1351" spans="1:2" x14ac:dyDescent="0.35">
      <c r="A1351" s="4" t="s">
        <v>3530</v>
      </c>
      <c r="B1351" s="5">
        <v>2</v>
      </c>
    </row>
    <row r="1352" spans="1:2" x14ac:dyDescent="0.35">
      <c r="A1352" s="4" t="s">
        <v>11477</v>
      </c>
      <c r="B1352" s="5">
        <v>1</v>
      </c>
    </row>
    <row r="1353" spans="1:2" x14ac:dyDescent="0.35">
      <c r="A1353" s="4" t="s">
        <v>10331</v>
      </c>
      <c r="B1353" s="5">
        <v>1</v>
      </c>
    </row>
    <row r="1354" spans="1:2" x14ac:dyDescent="0.35">
      <c r="A1354" s="4" t="s">
        <v>8130</v>
      </c>
      <c r="B1354" s="5">
        <v>4</v>
      </c>
    </row>
    <row r="1355" spans="1:2" x14ac:dyDescent="0.35">
      <c r="A1355" s="4" t="s">
        <v>6294</v>
      </c>
      <c r="B1355" s="5">
        <v>3</v>
      </c>
    </row>
    <row r="1356" spans="1:2" x14ac:dyDescent="0.35">
      <c r="A1356" s="4" t="s">
        <v>8449</v>
      </c>
      <c r="B1356" s="5">
        <v>1</v>
      </c>
    </row>
    <row r="1357" spans="1:2" x14ac:dyDescent="0.35">
      <c r="A1357" s="4" t="s">
        <v>13034</v>
      </c>
      <c r="B1357" s="5">
        <v>1</v>
      </c>
    </row>
    <row r="1358" spans="1:2" x14ac:dyDescent="0.35">
      <c r="A1358" s="4" t="s">
        <v>4943</v>
      </c>
      <c r="B1358" s="5">
        <v>2</v>
      </c>
    </row>
    <row r="1359" spans="1:2" x14ac:dyDescent="0.35">
      <c r="A1359" s="4" t="s">
        <v>4709</v>
      </c>
      <c r="B1359" s="5">
        <v>2</v>
      </c>
    </row>
    <row r="1360" spans="1:2" x14ac:dyDescent="0.35">
      <c r="A1360" s="4" t="s">
        <v>1708</v>
      </c>
      <c r="B1360" s="5">
        <v>2</v>
      </c>
    </row>
    <row r="1361" spans="1:2" x14ac:dyDescent="0.35">
      <c r="A1361" s="4" t="s">
        <v>1912</v>
      </c>
      <c r="B1361" s="5">
        <v>1</v>
      </c>
    </row>
    <row r="1362" spans="1:2" x14ac:dyDescent="0.35">
      <c r="A1362" s="4" t="s">
        <v>9723</v>
      </c>
      <c r="B1362" s="5">
        <v>1</v>
      </c>
    </row>
    <row r="1363" spans="1:2" x14ac:dyDescent="0.35">
      <c r="A1363" s="4" t="s">
        <v>12243</v>
      </c>
      <c r="B1363" s="5">
        <v>2</v>
      </c>
    </row>
    <row r="1364" spans="1:2" x14ac:dyDescent="0.35">
      <c r="A1364" s="4" t="s">
        <v>510</v>
      </c>
      <c r="B1364" s="5">
        <v>1</v>
      </c>
    </row>
    <row r="1365" spans="1:2" x14ac:dyDescent="0.35">
      <c r="A1365" s="4" t="s">
        <v>3717</v>
      </c>
      <c r="B1365" s="5">
        <v>7</v>
      </c>
    </row>
    <row r="1366" spans="1:2" x14ac:dyDescent="0.35">
      <c r="A1366" s="4" t="s">
        <v>3106</v>
      </c>
      <c r="B1366" s="5">
        <v>2</v>
      </c>
    </row>
    <row r="1367" spans="1:2" x14ac:dyDescent="0.35">
      <c r="A1367" s="4" t="s">
        <v>12411</v>
      </c>
      <c r="B1367" s="5">
        <v>3</v>
      </c>
    </row>
    <row r="1368" spans="1:2" x14ac:dyDescent="0.35">
      <c r="A1368" s="4" t="s">
        <v>10086</v>
      </c>
      <c r="B1368" s="5">
        <v>1</v>
      </c>
    </row>
    <row r="1369" spans="1:2" x14ac:dyDescent="0.35">
      <c r="A1369" s="4" t="s">
        <v>2262</v>
      </c>
      <c r="B1369" s="5">
        <v>13</v>
      </c>
    </row>
    <row r="1370" spans="1:2" x14ac:dyDescent="0.35">
      <c r="A1370" s="4" t="s">
        <v>5416</v>
      </c>
      <c r="B1370" s="5">
        <v>1</v>
      </c>
    </row>
    <row r="1371" spans="1:2" x14ac:dyDescent="0.35">
      <c r="A1371" s="4" t="s">
        <v>290</v>
      </c>
      <c r="B1371" s="5">
        <v>5</v>
      </c>
    </row>
    <row r="1372" spans="1:2" x14ac:dyDescent="0.35">
      <c r="A1372" s="4" t="s">
        <v>9129</v>
      </c>
      <c r="B1372" s="5">
        <v>3</v>
      </c>
    </row>
    <row r="1373" spans="1:2" x14ac:dyDescent="0.35">
      <c r="A1373" s="4" t="s">
        <v>7096</v>
      </c>
      <c r="B1373" s="5">
        <v>1</v>
      </c>
    </row>
    <row r="1374" spans="1:2" x14ac:dyDescent="0.35">
      <c r="A1374" s="4" t="s">
        <v>9060</v>
      </c>
      <c r="B1374" s="5">
        <v>2</v>
      </c>
    </row>
    <row r="1375" spans="1:2" x14ac:dyDescent="0.35">
      <c r="A1375" s="4" t="s">
        <v>6764</v>
      </c>
      <c r="B1375" s="5">
        <v>1</v>
      </c>
    </row>
    <row r="1376" spans="1:2" x14ac:dyDescent="0.35">
      <c r="A1376" s="4" t="s">
        <v>3464</v>
      </c>
      <c r="B1376" s="5">
        <v>3</v>
      </c>
    </row>
    <row r="1377" spans="1:2" x14ac:dyDescent="0.35">
      <c r="A1377" s="4" t="s">
        <v>10606</v>
      </c>
      <c r="B1377" s="5">
        <v>6</v>
      </c>
    </row>
    <row r="1378" spans="1:2" x14ac:dyDescent="0.35">
      <c r="A1378" s="4" t="s">
        <v>12127</v>
      </c>
      <c r="B1378" s="5">
        <v>3</v>
      </c>
    </row>
    <row r="1379" spans="1:2" x14ac:dyDescent="0.35">
      <c r="A1379" s="4" t="s">
        <v>1006</v>
      </c>
      <c r="B1379" s="5">
        <v>4</v>
      </c>
    </row>
    <row r="1380" spans="1:2" x14ac:dyDescent="0.35">
      <c r="A1380" s="4" t="s">
        <v>5021</v>
      </c>
      <c r="B1380" s="5">
        <v>3</v>
      </c>
    </row>
    <row r="1381" spans="1:2" x14ac:dyDescent="0.35">
      <c r="A1381" s="4" t="s">
        <v>7769</v>
      </c>
      <c r="B1381" s="5">
        <v>2</v>
      </c>
    </row>
    <row r="1382" spans="1:2" x14ac:dyDescent="0.35">
      <c r="A1382" s="4" t="s">
        <v>7842</v>
      </c>
      <c r="B1382" s="5">
        <v>2</v>
      </c>
    </row>
    <row r="1383" spans="1:2" x14ac:dyDescent="0.35">
      <c r="A1383" s="4" t="s">
        <v>5610</v>
      </c>
      <c r="B1383" s="5">
        <v>2</v>
      </c>
    </row>
    <row r="1384" spans="1:2" x14ac:dyDescent="0.35">
      <c r="A1384" s="4" t="s">
        <v>12072</v>
      </c>
      <c r="B1384" s="5">
        <v>2</v>
      </c>
    </row>
    <row r="1385" spans="1:2" x14ac:dyDescent="0.35">
      <c r="A1385" s="4" t="s">
        <v>8274</v>
      </c>
      <c r="B1385" s="5">
        <v>4</v>
      </c>
    </row>
    <row r="1386" spans="1:2" x14ac:dyDescent="0.35">
      <c r="A1386" s="4" t="s">
        <v>425</v>
      </c>
      <c r="B1386" s="5">
        <v>1</v>
      </c>
    </row>
    <row r="1387" spans="1:2" x14ac:dyDescent="0.35">
      <c r="A1387" s="4" t="s">
        <v>1665</v>
      </c>
      <c r="B1387" s="5">
        <v>5</v>
      </c>
    </row>
    <row r="1388" spans="1:2" x14ac:dyDescent="0.35">
      <c r="A1388" s="4" t="s">
        <v>8253</v>
      </c>
      <c r="B1388" s="5">
        <v>3</v>
      </c>
    </row>
    <row r="1389" spans="1:2" x14ac:dyDescent="0.35">
      <c r="A1389" s="4" t="s">
        <v>3921</v>
      </c>
      <c r="B1389" s="5">
        <v>1</v>
      </c>
    </row>
    <row r="1390" spans="1:2" x14ac:dyDescent="0.35">
      <c r="A1390" s="4" t="s">
        <v>2952</v>
      </c>
      <c r="B1390" s="5">
        <v>1</v>
      </c>
    </row>
    <row r="1391" spans="1:2" x14ac:dyDescent="0.35">
      <c r="A1391" s="4" t="s">
        <v>6812</v>
      </c>
      <c r="B1391" s="5">
        <v>3</v>
      </c>
    </row>
    <row r="1392" spans="1:2" x14ac:dyDescent="0.35">
      <c r="A1392" s="4" t="s">
        <v>257</v>
      </c>
      <c r="B1392" s="5">
        <v>4</v>
      </c>
    </row>
    <row r="1393" spans="1:2" x14ac:dyDescent="0.35">
      <c r="A1393" s="4" t="s">
        <v>1281</v>
      </c>
      <c r="B1393" s="5">
        <v>1</v>
      </c>
    </row>
    <row r="1394" spans="1:2" x14ac:dyDescent="0.35">
      <c r="A1394" s="4" t="s">
        <v>5248</v>
      </c>
      <c r="B1394" s="5">
        <v>12</v>
      </c>
    </row>
    <row r="1395" spans="1:2" x14ac:dyDescent="0.35">
      <c r="A1395" s="4" t="s">
        <v>12775</v>
      </c>
      <c r="B1395" s="5">
        <v>1</v>
      </c>
    </row>
    <row r="1396" spans="1:2" x14ac:dyDescent="0.35">
      <c r="A1396" s="4" t="s">
        <v>11161</v>
      </c>
      <c r="B1396" s="5">
        <v>6</v>
      </c>
    </row>
    <row r="1397" spans="1:2" x14ac:dyDescent="0.35">
      <c r="A1397" s="4" t="s">
        <v>1714</v>
      </c>
      <c r="B1397" s="5">
        <v>3</v>
      </c>
    </row>
    <row r="1398" spans="1:2" x14ac:dyDescent="0.35">
      <c r="A1398" s="4" t="s">
        <v>11708</v>
      </c>
      <c r="B1398" s="5">
        <v>6</v>
      </c>
    </row>
    <row r="1399" spans="1:2" x14ac:dyDescent="0.35">
      <c r="A1399" s="4" t="s">
        <v>12300</v>
      </c>
      <c r="B1399" s="5">
        <v>1</v>
      </c>
    </row>
    <row r="1400" spans="1:2" x14ac:dyDescent="0.35">
      <c r="A1400" s="4" t="s">
        <v>8357</v>
      </c>
      <c r="B1400" s="5">
        <v>6</v>
      </c>
    </row>
    <row r="1401" spans="1:2" x14ac:dyDescent="0.35">
      <c r="A1401" s="4" t="s">
        <v>90</v>
      </c>
      <c r="B1401" s="5">
        <v>13</v>
      </c>
    </row>
    <row r="1402" spans="1:2" x14ac:dyDescent="0.35">
      <c r="A1402" s="4" t="s">
        <v>10297</v>
      </c>
      <c r="B1402" s="5">
        <v>3</v>
      </c>
    </row>
    <row r="1403" spans="1:2" x14ac:dyDescent="0.35">
      <c r="A1403" s="4" t="s">
        <v>3564</v>
      </c>
      <c r="B1403" s="5">
        <v>1</v>
      </c>
    </row>
    <row r="1404" spans="1:2" x14ac:dyDescent="0.35">
      <c r="A1404" s="4" t="s">
        <v>7762</v>
      </c>
      <c r="B1404" s="5">
        <v>1</v>
      </c>
    </row>
    <row r="1405" spans="1:2" x14ac:dyDescent="0.35">
      <c r="A1405" s="4" t="s">
        <v>7940</v>
      </c>
      <c r="B1405" s="5">
        <v>1</v>
      </c>
    </row>
    <row r="1406" spans="1:2" x14ac:dyDescent="0.35">
      <c r="A1406" s="4" t="s">
        <v>11213</v>
      </c>
      <c r="B1406" s="5">
        <v>1</v>
      </c>
    </row>
    <row r="1407" spans="1:2" x14ac:dyDescent="0.35">
      <c r="A1407" s="4" t="s">
        <v>7528</v>
      </c>
      <c r="B1407" s="5">
        <v>1</v>
      </c>
    </row>
    <row r="1408" spans="1:2" x14ac:dyDescent="0.35">
      <c r="A1408" s="4" t="s">
        <v>9084</v>
      </c>
      <c r="B1408" s="5">
        <v>1</v>
      </c>
    </row>
    <row r="1409" spans="1:2" x14ac:dyDescent="0.35">
      <c r="A1409" s="4" t="s">
        <v>9088</v>
      </c>
      <c r="B1409" s="5">
        <v>1</v>
      </c>
    </row>
    <row r="1410" spans="1:2" x14ac:dyDescent="0.35">
      <c r="A1410" s="4" t="s">
        <v>11202</v>
      </c>
      <c r="B1410" s="5">
        <v>3</v>
      </c>
    </row>
    <row r="1411" spans="1:2" x14ac:dyDescent="0.35">
      <c r="A1411" s="4" t="s">
        <v>4303</v>
      </c>
      <c r="B1411" s="5">
        <v>3</v>
      </c>
    </row>
    <row r="1412" spans="1:2" x14ac:dyDescent="0.35">
      <c r="A1412" s="4" t="s">
        <v>4624</v>
      </c>
      <c r="B1412" s="5">
        <v>7</v>
      </c>
    </row>
    <row r="1413" spans="1:2" x14ac:dyDescent="0.35">
      <c r="A1413" s="4" t="s">
        <v>6904</v>
      </c>
      <c r="B1413" s="5">
        <v>1</v>
      </c>
    </row>
    <row r="1414" spans="1:2" x14ac:dyDescent="0.35">
      <c r="A1414" s="4" t="s">
        <v>12535</v>
      </c>
      <c r="B1414" s="5">
        <v>1</v>
      </c>
    </row>
    <row r="1415" spans="1:2" x14ac:dyDescent="0.35">
      <c r="A1415" s="4" t="s">
        <v>12974</v>
      </c>
      <c r="B1415" s="5">
        <v>3</v>
      </c>
    </row>
    <row r="1416" spans="1:2" x14ac:dyDescent="0.35">
      <c r="A1416" s="4" t="s">
        <v>5490</v>
      </c>
      <c r="B1416" s="5">
        <v>1</v>
      </c>
    </row>
    <row r="1417" spans="1:2" x14ac:dyDescent="0.35">
      <c r="A1417" s="4" t="s">
        <v>4872</v>
      </c>
      <c r="B1417" s="5">
        <v>2</v>
      </c>
    </row>
    <row r="1418" spans="1:2" x14ac:dyDescent="0.35">
      <c r="A1418" s="4" t="s">
        <v>7098</v>
      </c>
      <c r="B1418" s="5">
        <v>1</v>
      </c>
    </row>
    <row r="1419" spans="1:2" x14ac:dyDescent="0.35">
      <c r="A1419" s="4" t="s">
        <v>11734</v>
      </c>
      <c r="B1419" s="5">
        <v>3</v>
      </c>
    </row>
    <row r="1420" spans="1:2" x14ac:dyDescent="0.35">
      <c r="A1420" s="4" t="s">
        <v>958</v>
      </c>
      <c r="B1420" s="5">
        <v>8</v>
      </c>
    </row>
    <row r="1421" spans="1:2" x14ac:dyDescent="0.35">
      <c r="A1421" s="4" t="s">
        <v>12408</v>
      </c>
      <c r="B1421" s="5">
        <v>3</v>
      </c>
    </row>
    <row r="1422" spans="1:2" x14ac:dyDescent="0.35">
      <c r="A1422" s="4" t="s">
        <v>2935</v>
      </c>
      <c r="B1422" s="5">
        <v>8</v>
      </c>
    </row>
    <row r="1423" spans="1:2" x14ac:dyDescent="0.35">
      <c r="A1423" s="4" t="s">
        <v>6364</v>
      </c>
      <c r="B1423" s="5">
        <v>2</v>
      </c>
    </row>
    <row r="1424" spans="1:2" x14ac:dyDescent="0.35">
      <c r="A1424" s="4" t="s">
        <v>760</v>
      </c>
      <c r="B1424" s="5">
        <v>1</v>
      </c>
    </row>
    <row r="1425" spans="1:2" x14ac:dyDescent="0.35">
      <c r="A1425" s="4" t="s">
        <v>199</v>
      </c>
      <c r="B1425" s="5">
        <v>7</v>
      </c>
    </row>
    <row r="1426" spans="1:2" x14ac:dyDescent="0.35">
      <c r="A1426" s="4" t="s">
        <v>3228</v>
      </c>
      <c r="B1426" s="5">
        <v>298</v>
      </c>
    </row>
    <row r="1427" spans="1:2" x14ac:dyDescent="0.35">
      <c r="A1427" s="4" t="s">
        <v>1695</v>
      </c>
      <c r="B1427" s="5">
        <v>1</v>
      </c>
    </row>
    <row r="1428" spans="1:2" x14ac:dyDescent="0.35">
      <c r="A1428" s="4" t="s">
        <v>263</v>
      </c>
      <c r="B1428" s="5">
        <v>1</v>
      </c>
    </row>
    <row r="1429" spans="1:2" x14ac:dyDescent="0.35">
      <c r="A1429" s="4" t="s">
        <v>8266</v>
      </c>
      <c r="B1429" s="5">
        <v>1</v>
      </c>
    </row>
    <row r="1430" spans="1:2" x14ac:dyDescent="0.35">
      <c r="A1430" s="4" t="s">
        <v>5751</v>
      </c>
      <c r="B1430" s="5">
        <v>1</v>
      </c>
    </row>
    <row r="1431" spans="1:2" x14ac:dyDescent="0.35">
      <c r="A1431" s="4" t="s">
        <v>4633</v>
      </c>
      <c r="B1431" s="5">
        <v>1</v>
      </c>
    </row>
    <row r="1432" spans="1:2" x14ac:dyDescent="0.35">
      <c r="A1432" s="4" t="s">
        <v>1802</v>
      </c>
      <c r="B1432" s="5">
        <v>2</v>
      </c>
    </row>
    <row r="1433" spans="1:2" x14ac:dyDescent="0.35">
      <c r="A1433" s="4" t="s">
        <v>8619</v>
      </c>
      <c r="B1433" s="5">
        <v>2</v>
      </c>
    </row>
    <row r="1434" spans="1:2" x14ac:dyDescent="0.35">
      <c r="A1434" s="4" t="s">
        <v>12391</v>
      </c>
      <c r="B1434" s="5">
        <v>3</v>
      </c>
    </row>
    <row r="1435" spans="1:2" x14ac:dyDescent="0.35">
      <c r="A1435" s="4" t="s">
        <v>10195</v>
      </c>
      <c r="B1435" s="5">
        <v>1</v>
      </c>
    </row>
    <row r="1436" spans="1:2" x14ac:dyDescent="0.35">
      <c r="A1436" s="4" t="s">
        <v>11835</v>
      </c>
      <c r="B1436" s="5">
        <v>1</v>
      </c>
    </row>
    <row r="1437" spans="1:2" x14ac:dyDescent="0.35">
      <c r="A1437" s="4" t="s">
        <v>6901</v>
      </c>
      <c r="B1437" s="5">
        <v>1</v>
      </c>
    </row>
    <row r="1438" spans="1:2" x14ac:dyDescent="0.35">
      <c r="A1438" s="4" t="s">
        <v>9262</v>
      </c>
      <c r="B1438" s="5">
        <v>8</v>
      </c>
    </row>
    <row r="1439" spans="1:2" x14ac:dyDescent="0.35">
      <c r="A1439" s="4" t="s">
        <v>1099</v>
      </c>
      <c r="B1439" s="5">
        <v>10</v>
      </c>
    </row>
    <row r="1440" spans="1:2" x14ac:dyDescent="0.35">
      <c r="A1440" s="4" t="s">
        <v>10056</v>
      </c>
      <c r="B1440" s="5">
        <v>1</v>
      </c>
    </row>
    <row r="1441" spans="1:2" x14ac:dyDescent="0.35">
      <c r="A1441" s="4" t="s">
        <v>9268</v>
      </c>
      <c r="B1441" s="5">
        <v>1</v>
      </c>
    </row>
    <row r="1442" spans="1:2" x14ac:dyDescent="0.35">
      <c r="A1442" s="4" t="s">
        <v>6918</v>
      </c>
      <c r="B1442" s="5">
        <v>6</v>
      </c>
    </row>
    <row r="1443" spans="1:2" x14ac:dyDescent="0.35">
      <c r="A1443" s="4" t="s">
        <v>6103</v>
      </c>
      <c r="B1443" s="5">
        <v>2</v>
      </c>
    </row>
    <row r="1444" spans="1:2" x14ac:dyDescent="0.35">
      <c r="A1444" s="4" t="s">
        <v>9614</v>
      </c>
      <c r="B1444" s="5">
        <v>2</v>
      </c>
    </row>
    <row r="1445" spans="1:2" x14ac:dyDescent="0.35">
      <c r="A1445" s="4" t="s">
        <v>8989</v>
      </c>
      <c r="B1445" s="5">
        <v>2</v>
      </c>
    </row>
    <row r="1446" spans="1:2" x14ac:dyDescent="0.35">
      <c r="A1446" s="4" t="s">
        <v>1668</v>
      </c>
      <c r="B1446" s="5">
        <v>1</v>
      </c>
    </row>
    <row r="1447" spans="1:2" x14ac:dyDescent="0.35">
      <c r="A1447" s="4" t="s">
        <v>4539</v>
      </c>
      <c r="B1447" s="5">
        <v>4</v>
      </c>
    </row>
    <row r="1448" spans="1:2" x14ac:dyDescent="0.35">
      <c r="A1448" s="4" t="s">
        <v>11176</v>
      </c>
      <c r="B1448" s="5">
        <v>3</v>
      </c>
    </row>
    <row r="1449" spans="1:2" x14ac:dyDescent="0.35">
      <c r="A1449" s="4" t="s">
        <v>898</v>
      </c>
      <c r="B1449" s="5">
        <v>1</v>
      </c>
    </row>
    <row r="1450" spans="1:2" x14ac:dyDescent="0.35">
      <c r="A1450" s="4" t="s">
        <v>4281</v>
      </c>
      <c r="B1450" s="5">
        <v>1</v>
      </c>
    </row>
    <row r="1451" spans="1:2" x14ac:dyDescent="0.35">
      <c r="A1451" s="4" t="s">
        <v>5301</v>
      </c>
      <c r="B1451" s="5">
        <v>9</v>
      </c>
    </row>
    <row r="1452" spans="1:2" x14ac:dyDescent="0.35">
      <c r="A1452" s="4" t="s">
        <v>5197</v>
      </c>
      <c r="B1452" s="5">
        <v>5</v>
      </c>
    </row>
    <row r="1453" spans="1:2" x14ac:dyDescent="0.35">
      <c r="A1453" s="4" t="s">
        <v>2692</v>
      </c>
      <c r="B1453" s="5">
        <v>6</v>
      </c>
    </row>
    <row r="1454" spans="1:2" x14ac:dyDescent="0.35">
      <c r="A1454" s="4" t="s">
        <v>11711</v>
      </c>
      <c r="B1454" s="5">
        <v>1</v>
      </c>
    </row>
    <row r="1455" spans="1:2" x14ac:dyDescent="0.35">
      <c r="A1455" s="4" t="s">
        <v>343</v>
      </c>
      <c r="B1455" s="5">
        <v>3</v>
      </c>
    </row>
    <row r="1456" spans="1:2" x14ac:dyDescent="0.35">
      <c r="A1456" s="4" t="s">
        <v>10211</v>
      </c>
      <c r="B1456" s="5">
        <v>1</v>
      </c>
    </row>
    <row r="1457" spans="1:2" x14ac:dyDescent="0.35">
      <c r="A1457" s="4" t="s">
        <v>10208</v>
      </c>
      <c r="B1457" s="5">
        <v>1</v>
      </c>
    </row>
    <row r="1458" spans="1:2" x14ac:dyDescent="0.35">
      <c r="A1458" s="4" t="s">
        <v>9196</v>
      </c>
      <c r="B1458" s="5">
        <v>1</v>
      </c>
    </row>
    <row r="1459" spans="1:2" x14ac:dyDescent="0.35">
      <c r="A1459" s="4" t="s">
        <v>5604</v>
      </c>
      <c r="B1459" s="5">
        <v>1</v>
      </c>
    </row>
    <row r="1460" spans="1:2" x14ac:dyDescent="0.35">
      <c r="A1460" s="4" t="s">
        <v>1443</v>
      </c>
      <c r="B1460" s="5">
        <v>8</v>
      </c>
    </row>
    <row r="1461" spans="1:2" x14ac:dyDescent="0.35">
      <c r="A1461" s="4" t="s">
        <v>2337</v>
      </c>
      <c r="B1461" s="5">
        <v>1</v>
      </c>
    </row>
    <row r="1462" spans="1:2" x14ac:dyDescent="0.35">
      <c r="A1462" s="4" t="s">
        <v>2122</v>
      </c>
      <c r="B1462" s="5">
        <v>2</v>
      </c>
    </row>
    <row r="1463" spans="1:2" x14ac:dyDescent="0.35">
      <c r="A1463" s="4" t="s">
        <v>1334</v>
      </c>
      <c r="B1463" s="5">
        <v>3</v>
      </c>
    </row>
    <row r="1464" spans="1:2" x14ac:dyDescent="0.35">
      <c r="A1464" s="4" t="s">
        <v>10030</v>
      </c>
      <c r="B1464" s="5">
        <v>1</v>
      </c>
    </row>
    <row r="1465" spans="1:2" x14ac:dyDescent="0.35">
      <c r="A1465" s="4" t="s">
        <v>12286</v>
      </c>
      <c r="B1465" s="5">
        <v>1</v>
      </c>
    </row>
    <row r="1466" spans="1:2" x14ac:dyDescent="0.35">
      <c r="A1466" s="4" t="s">
        <v>8903</v>
      </c>
      <c r="B1466" s="5">
        <v>3</v>
      </c>
    </row>
    <row r="1467" spans="1:2" x14ac:dyDescent="0.35">
      <c r="A1467" s="4" t="s">
        <v>6164</v>
      </c>
      <c r="B1467" s="5">
        <v>1</v>
      </c>
    </row>
    <row r="1468" spans="1:2" x14ac:dyDescent="0.35">
      <c r="A1468" s="4" t="s">
        <v>9526</v>
      </c>
      <c r="B1468" s="5">
        <v>2</v>
      </c>
    </row>
    <row r="1469" spans="1:2" x14ac:dyDescent="0.35">
      <c r="A1469" s="4" t="s">
        <v>12239</v>
      </c>
      <c r="B1469" s="5">
        <v>1</v>
      </c>
    </row>
    <row r="1470" spans="1:2" x14ac:dyDescent="0.35">
      <c r="A1470" s="4" t="s">
        <v>3304</v>
      </c>
      <c r="B1470" s="5">
        <v>1</v>
      </c>
    </row>
    <row r="1471" spans="1:2" x14ac:dyDescent="0.35">
      <c r="A1471" s="4" t="s">
        <v>2182</v>
      </c>
      <c r="B1471" s="5">
        <v>2</v>
      </c>
    </row>
    <row r="1472" spans="1:2" x14ac:dyDescent="0.35">
      <c r="A1472" s="4" t="s">
        <v>4881</v>
      </c>
      <c r="B1472" s="5">
        <v>6</v>
      </c>
    </row>
    <row r="1473" spans="1:2" x14ac:dyDescent="0.35">
      <c r="A1473" s="4" t="s">
        <v>10872</v>
      </c>
      <c r="B1473" s="5">
        <v>1</v>
      </c>
    </row>
    <row r="1474" spans="1:2" x14ac:dyDescent="0.35">
      <c r="A1474" s="4" t="s">
        <v>6950</v>
      </c>
      <c r="B1474" s="5">
        <v>2</v>
      </c>
    </row>
    <row r="1475" spans="1:2" x14ac:dyDescent="0.35">
      <c r="A1475" s="4" t="s">
        <v>5267</v>
      </c>
      <c r="B1475" s="5">
        <v>2</v>
      </c>
    </row>
    <row r="1476" spans="1:2" x14ac:dyDescent="0.35">
      <c r="A1476" s="4" t="s">
        <v>5945</v>
      </c>
      <c r="B1476" s="5">
        <v>1</v>
      </c>
    </row>
    <row r="1477" spans="1:2" x14ac:dyDescent="0.35">
      <c r="A1477" s="4" t="s">
        <v>10560</v>
      </c>
      <c r="B1477" s="5">
        <v>1</v>
      </c>
    </row>
    <row r="1478" spans="1:2" x14ac:dyDescent="0.35">
      <c r="A1478" s="4" t="s">
        <v>10617</v>
      </c>
      <c r="B1478" s="5">
        <v>3</v>
      </c>
    </row>
    <row r="1479" spans="1:2" x14ac:dyDescent="0.35">
      <c r="A1479" s="4" t="s">
        <v>10615</v>
      </c>
      <c r="B1479" s="5">
        <v>1</v>
      </c>
    </row>
    <row r="1480" spans="1:2" x14ac:dyDescent="0.35">
      <c r="A1480" s="4" t="s">
        <v>1729</v>
      </c>
      <c r="B1480" s="5">
        <v>3</v>
      </c>
    </row>
    <row r="1481" spans="1:2" x14ac:dyDescent="0.35">
      <c r="A1481" s="4" t="s">
        <v>1064</v>
      </c>
      <c r="B1481" s="5">
        <v>7</v>
      </c>
    </row>
    <row r="1482" spans="1:2" x14ac:dyDescent="0.35">
      <c r="A1482" s="4" t="s">
        <v>5838</v>
      </c>
      <c r="B1482" s="5">
        <v>4</v>
      </c>
    </row>
    <row r="1483" spans="1:2" x14ac:dyDescent="0.35">
      <c r="A1483" s="4" t="s">
        <v>12908</v>
      </c>
      <c r="B1483" s="5">
        <v>1</v>
      </c>
    </row>
    <row r="1484" spans="1:2" x14ac:dyDescent="0.35">
      <c r="A1484" s="4" t="s">
        <v>12424</v>
      </c>
      <c r="B1484" s="5">
        <v>1</v>
      </c>
    </row>
    <row r="1485" spans="1:2" x14ac:dyDescent="0.35">
      <c r="A1485" s="4" t="s">
        <v>1379</v>
      </c>
      <c r="B1485" s="5">
        <v>2</v>
      </c>
    </row>
    <row r="1486" spans="1:2" x14ac:dyDescent="0.35">
      <c r="A1486" s="4" t="s">
        <v>2419</v>
      </c>
      <c r="B1486" s="5">
        <v>12</v>
      </c>
    </row>
    <row r="1487" spans="1:2" x14ac:dyDescent="0.35">
      <c r="A1487" s="4" t="s">
        <v>7086</v>
      </c>
      <c r="B1487" s="5">
        <v>4</v>
      </c>
    </row>
    <row r="1488" spans="1:2" x14ac:dyDescent="0.35">
      <c r="A1488" s="4" t="s">
        <v>9094</v>
      </c>
      <c r="B1488" s="5">
        <v>3</v>
      </c>
    </row>
    <row r="1489" spans="1:2" x14ac:dyDescent="0.35">
      <c r="A1489" s="4" t="s">
        <v>9350</v>
      </c>
      <c r="B1489" s="5">
        <v>4</v>
      </c>
    </row>
    <row r="1490" spans="1:2" x14ac:dyDescent="0.35">
      <c r="A1490" s="4" t="s">
        <v>5565</v>
      </c>
      <c r="B1490" s="5">
        <v>2</v>
      </c>
    </row>
    <row r="1491" spans="1:2" x14ac:dyDescent="0.35">
      <c r="A1491" s="4" t="s">
        <v>7861</v>
      </c>
      <c r="B1491" s="5">
        <v>1</v>
      </c>
    </row>
    <row r="1492" spans="1:2" x14ac:dyDescent="0.35">
      <c r="A1492" s="4" t="s">
        <v>4162</v>
      </c>
      <c r="B1492" s="5">
        <v>5</v>
      </c>
    </row>
    <row r="1493" spans="1:2" x14ac:dyDescent="0.35">
      <c r="A1493" s="4" t="s">
        <v>2303</v>
      </c>
      <c r="B1493" s="5">
        <v>2</v>
      </c>
    </row>
    <row r="1494" spans="1:2" x14ac:dyDescent="0.35">
      <c r="A1494" s="4" t="s">
        <v>855</v>
      </c>
      <c r="B1494" s="5">
        <v>5</v>
      </c>
    </row>
    <row r="1495" spans="1:2" x14ac:dyDescent="0.35">
      <c r="A1495" s="4" t="s">
        <v>2913</v>
      </c>
      <c r="B1495" s="5">
        <v>1</v>
      </c>
    </row>
    <row r="1496" spans="1:2" x14ac:dyDescent="0.35">
      <c r="A1496" s="4" t="s">
        <v>9904</v>
      </c>
      <c r="B1496" s="5">
        <v>4</v>
      </c>
    </row>
    <row r="1497" spans="1:2" x14ac:dyDescent="0.35">
      <c r="A1497" s="4" t="s">
        <v>1698</v>
      </c>
      <c r="B1497" s="5">
        <v>30</v>
      </c>
    </row>
    <row r="1498" spans="1:2" x14ac:dyDescent="0.35">
      <c r="A1498" s="4" t="s">
        <v>3578</v>
      </c>
      <c r="B1498" s="5">
        <v>1</v>
      </c>
    </row>
    <row r="1499" spans="1:2" x14ac:dyDescent="0.35">
      <c r="A1499" s="4" t="s">
        <v>7516</v>
      </c>
      <c r="B1499" s="5">
        <v>1</v>
      </c>
    </row>
    <row r="1500" spans="1:2" x14ac:dyDescent="0.35">
      <c r="A1500" s="4" t="s">
        <v>1746</v>
      </c>
      <c r="B1500" s="5">
        <v>1</v>
      </c>
    </row>
    <row r="1501" spans="1:2" x14ac:dyDescent="0.35">
      <c r="A1501" s="4" t="s">
        <v>6037</v>
      </c>
      <c r="B1501" s="5">
        <v>5</v>
      </c>
    </row>
    <row r="1502" spans="1:2" x14ac:dyDescent="0.35">
      <c r="A1502" s="4" t="s">
        <v>5030</v>
      </c>
      <c r="B1502" s="5">
        <v>1</v>
      </c>
    </row>
    <row r="1503" spans="1:2" x14ac:dyDescent="0.35">
      <c r="A1503" s="4" t="s">
        <v>3291</v>
      </c>
      <c r="B1503" s="5">
        <v>1</v>
      </c>
    </row>
    <row r="1504" spans="1:2" x14ac:dyDescent="0.35">
      <c r="A1504" s="4" t="s">
        <v>3413</v>
      </c>
      <c r="B1504" s="5">
        <v>1</v>
      </c>
    </row>
    <row r="1505" spans="1:2" x14ac:dyDescent="0.35">
      <c r="A1505" s="4" t="s">
        <v>5812</v>
      </c>
      <c r="B1505" s="5">
        <v>1</v>
      </c>
    </row>
    <row r="1506" spans="1:2" x14ac:dyDescent="0.35">
      <c r="A1506" s="4" t="s">
        <v>8154</v>
      </c>
      <c r="B1506" s="5">
        <v>2</v>
      </c>
    </row>
    <row r="1507" spans="1:2" x14ac:dyDescent="0.35">
      <c r="A1507" s="4" t="s">
        <v>10094</v>
      </c>
      <c r="B1507" s="5">
        <v>4</v>
      </c>
    </row>
    <row r="1508" spans="1:2" x14ac:dyDescent="0.35">
      <c r="A1508" s="4" t="s">
        <v>2384</v>
      </c>
      <c r="B1508" s="5">
        <v>1</v>
      </c>
    </row>
    <row r="1509" spans="1:2" x14ac:dyDescent="0.35">
      <c r="A1509" s="4" t="s">
        <v>10857</v>
      </c>
      <c r="B1509" s="5">
        <v>3</v>
      </c>
    </row>
    <row r="1510" spans="1:2" x14ac:dyDescent="0.35">
      <c r="A1510" s="4" t="s">
        <v>4102</v>
      </c>
      <c r="B1510" s="5">
        <v>1</v>
      </c>
    </row>
    <row r="1511" spans="1:2" x14ac:dyDescent="0.35">
      <c r="A1511" s="4" t="s">
        <v>4522</v>
      </c>
      <c r="B1511" s="5">
        <v>3</v>
      </c>
    </row>
    <row r="1512" spans="1:2" x14ac:dyDescent="0.35">
      <c r="A1512" s="4" t="s">
        <v>9079</v>
      </c>
      <c r="B1512" s="5">
        <v>1</v>
      </c>
    </row>
    <row r="1513" spans="1:2" x14ac:dyDescent="0.35">
      <c r="A1513" s="4" t="s">
        <v>6884</v>
      </c>
      <c r="B1513" s="5">
        <v>1</v>
      </c>
    </row>
    <row r="1514" spans="1:2" x14ac:dyDescent="0.35">
      <c r="A1514" s="4" t="s">
        <v>3249</v>
      </c>
      <c r="B1514" s="5">
        <v>2</v>
      </c>
    </row>
    <row r="1515" spans="1:2" x14ac:dyDescent="0.35">
      <c r="A1515" s="4" t="s">
        <v>9023</v>
      </c>
      <c r="B1515" s="5">
        <v>1</v>
      </c>
    </row>
    <row r="1516" spans="1:2" x14ac:dyDescent="0.35">
      <c r="A1516" s="4" t="s">
        <v>10171</v>
      </c>
      <c r="B1516" s="5">
        <v>3</v>
      </c>
    </row>
    <row r="1517" spans="1:2" x14ac:dyDescent="0.35">
      <c r="A1517" s="4" t="s">
        <v>7245</v>
      </c>
      <c r="B1517" s="5">
        <v>3</v>
      </c>
    </row>
    <row r="1518" spans="1:2" x14ac:dyDescent="0.35">
      <c r="A1518" s="4" t="s">
        <v>5425</v>
      </c>
      <c r="B1518" s="5">
        <v>2</v>
      </c>
    </row>
    <row r="1519" spans="1:2" x14ac:dyDescent="0.35">
      <c r="A1519" s="4" t="s">
        <v>2410</v>
      </c>
      <c r="B1519" s="5">
        <v>7</v>
      </c>
    </row>
    <row r="1520" spans="1:2" x14ac:dyDescent="0.35">
      <c r="A1520" s="4" t="s">
        <v>10707</v>
      </c>
      <c r="B1520" s="5">
        <v>1</v>
      </c>
    </row>
    <row r="1521" spans="1:2" x14ac:dyDescent="0.35">
      <c r="A1521" s="4" t="s">
        <v>5115</v>
      </c>
      <c r="B1521" s="5">
        <v>1</v>
      </c>
    </row>
    <row r="1522" spans="1:2" x14ac:dyDescent="0.35">
      <c r="A1522" s="4" t="s">
        <v>11262</v>
      </c>
      <c r="B1522" s="5">
        <v>1</v>
      </c>
    </row>
    <row r="1523" spans="1:2" x14ac:dyDescent="0.35">
      <c r="A1523" s="4" t="s">
        <v>4773</v>
      </c>
      <c r="B1523" s="5">
        <v>9</v>
      </c>
    </row>
    <row r="1524" spans="1:2" x14ac:dyDescent="0.35">
      <c r="A1524" s="4" t="s">
        <v>5880</v>
      </c>
      <c r="B1524" s="5">
        <v>4</v>
      </c>
    </row>
    <row r="1525" spans="1:2" x14ac:dyDescent="0.35">
      <c r="A1525" s="4" t="s">
        <v>9099</v>
      </c>
      <c r="B1525" s="5">
        <v>3</v>
      </c>
    </row>
    <row r="1526" spans="1:2" x14ac:dyDescent="0.35">
      <c r="A1526" s="4" t="s">
        <v>5664</v>
      </c>
      <c r="B1526" s="5">
        <v>2</v>
      </c>
    </row>
    <row r="1527" spans="1:2" x14ac:dyDescent="0.35">
      <c r="A1527" s="4" t="s">
        <v>12971</v>
      </c>
      <c r="B1527" s="5">
        <v>1</v>
      </c>
    </row>
    <row r="1528" spans="1:2" x14ac:dyDescent="0.35">
      <c r="A1528" s="4" t="s">
        <v>2786</v>
      </c>
      <c r="B1528" s="5">
        <v>4</v>
      </c>
    </row>
    <row r="1529" spans="1:2" x14ac:dyDescent="0.35">
      <c r="A1529" s="4" t="s">
        <v>4867</v>
      </c>
      <c r="B1529" s="5">
        <v>1</v>
      </c>
    </row>
    <row r="1530" spans="1:2" x14ac:dyDescent="0.35">
      <c r="A1530" s="4" t="s">
        <v>8802</v>
      </c>
      <c r="B1530" s="5">
        <v>8</v>
      </c>
    </row>
    <row r="1531" spans="1:2" x14ac:dyDescent="0.35">
      <c r="A1531" s="4" t="s">
        <v>4419</v>
      </c>
      <c r="B1531" s="5">
        <v>2</v>
      </c>
    </row>
    <row r="1532" spans="1:2" x14ac:dyDescent="0.35">
      <c r="A1532" s="4" t="s">
        <v>11462</v>
      </c>
      <c r="B1532" s="5">
        <v>1</v>
      </c>
    </row>
    <row r="1533" spans="1:2" x14ac:dyDescent="0.35">
      <c r="A1533" s="4" t="s">
        <v>2026</v>
      </c>
      <c r="B1533" s="5">
        <v>4</v>
      </c>
    </row>
    <row r="1534" spans="1:2" x14ac:dyDescent="0.35">
      <c r="A1534" s="4" t="s">
        <v>10425</v>
      </c>
      <c r="B1534" s="5">
        <v>1</v>
      </c>
    </row>
    <row r="1535" spans="1:2" x14ac:dyDescent="0.35">
      <c r="A1535" s="4" t="s">
        <v>11820</v>
      </c>
      <c r="B1535" s="5">
        <v>14</v>
      </c>
    </row>
    <row r="1536" spans="1:2" x14ac:dyDescent="0.35">
      <c r="A1536" s="4" t="s">
        <v>1833</v>
      </c>
      <c r="B1536" s="5">
        <v>4</v>
      </c>
    </row>
    <row r="1537" spans="1:2" x14ac:dyDescent="0.35">
      <c r="A1537" s="4" t="s">
        <v>9107</v>
      </c>
      <c r="B1537" s="5">
        <v>5</v>
      </c>
    </row>
    <row r="1538" spans="1:2" x14ac:dyDescent="0.35">
      <c r="A1538" s="4" t="s">
        <v>6521</v>
      </c>
      <c r="B1538" s="5">
        <v>5</v>
      </c>
    </row>
    <row r="1539" spans="1:2" x14ac:dyDescent="0.35">
      <c r="A1539" s="4" t="s">
        <v>7672</v>
      </c>
      <c r="B1539" s="5">
        <v>2</v>
      </c>
    </row>
    <row r="1540" spans="1:2" x14ac:dyDescent="0.35">
      <c r="A1540" s="4" t="s">
        <v>5328</v>
      </c>
      <c r="B1540" s="5">
        <v>1</v>
      </c>
    </row>
    <row r="1541" spans="1:2" x14ac:dyDescent="0.35">
      <c r="A1541" s="4" t="s">
        <v>2280</v>
      </c>
      <c r="B1541" s="5">
        <v>3</v>
      </c>
    </row>
    <row r="1542" spans="1:2" x14ac:dyDescent="0.35">
      <c r="A1542" s="4" t="s">
        <v>2070</v>
      </c>
      <c r="B1542" s="5">
        <v>4</v>
      </c>
    </row>
    <row r="1543" spans="1:2" x14ac:dyDescent="0.35">
      <c r="A1543" s="4" t="s">
        <v>5868</v>
      </c>
      <c r="B1543" s="5">
        <v>2</v>
      </c>
    </row>
    <row r="1544" spans="1:2" x14ac:dyDescent="0.35">
      <c r="A1544" s="4" t="s">
        <v>9299</v>
      </c>
      <c r="B1544" s="5">
        <v>1</v>
      </c>
    </row>
    <row r="1545" spans="1:2" x14ac:dyDescent="0.35">
      <c r="A1545" s="4" t="s">
        <v>5729</v>
      </c>
      <c r="B1545" s="5">
        <v>1</v>
      </c>
    </row>
    <row r="1546" spans="1:2" x14ac:dyDescent="0.35">
      <c r="A1546" s="4" t="s">
        <v>362</v>
      </c>
      <c r="B1546" s="5">
        <v>1</v>
      </c>
    </row>
    <row r="1547" spans="1:2" x14ac:dyDescent="0.35">
      <c r="A1547" s="4" t="s">
        <v>10334</v>
      </c>
      <c r="B1547" s="5">
        <v>3</v>
      </c>
    </row>
    <row r="1548" spans="1:2" x14ac:dyDescent="0.35">
      <c r="A1548" s="4" t="s">
        <v>10406</v>
      </c>
      <c r="B1548" s="5">
        <v>3</v>
      </c>
    </row>
    <row r="1549" spans="1:2" x14ac:dyDescent="0.35">
      <c r="A1549" s="4" t="s">
        <v>3602</v>
      </c>
      <c r="B1549" s="5">
        <v>4</v>
      </c>
    </row>
    <row r="1550" spans="1:2" x14ac:dyDescent="0.35">
      <c r="A1550" s="4" t="s">
        <v>3668</v>
      </c>
      <c r="B1550" s="5">
        <v>1</v>
      </c>
    </row>
    <row r="1551" spans="1:2" x14ac:dyDescent="0.35">
      <c r="A1551" s="4" t="s">
        <v>2839</v>
      </c>
      <c r="B1551" s="5">
        <v>5</v>
      </c>
    </row>
    <row r="1552" spans="1:2" x14ac:dyDescent="0.35">
      <c r="A1552" s="4" t="s">
        <v>491</v>
      </c>
      <c r="B1552" s="5">
        <v>13</v>
      </c>
    </row>
    <row r="1553" spans="1:2" x14ac:dyDescent="0.35">
      <c r="A1553" s="4" t="s">
        <v>9694</v>
      </c>
      <c r="B1553" s="5">
        <v>11</v>
      </c>
    </row>
    <row r="1554" spans="1:2" x14ac:dyDescent="0.35">
      <c r="A1554" s="4" t="s">
        <v>3189</v>
      </c>
      <c r="B1554" s="5">
        <v>1</v>
      </c>
    </row>
    <row r="1555" spans="1:2" x14ac:dyDescent="0.35">
      <c r="A1555" s="4" t="s">
        <v>1862</v>
      </c>
      <c r="B1555" s="5">
        <v>4</v>
      </c>
    </row>
    <row r="1556" spans="1:2" x14ac:dyDescent="0.35">
      <c r="A1556" s="4" t="s">
        <v>4356</v>
      </c>
      <c r="B1556" s="5">
        <v>1</v>
      </c>
    </row>
    <row r="1557" spans="1:2" x14ac:dyDescent="0.35">
      <c r="A1557" s="4" t="s">
        <v>12934</v>
      </c>
      <c r="B1557" s="5">
        <v>1</v>
      </c>
    </row>
    <row r="1558" spans="1:2" x14ac:dyDescent="0.35">
      <c r="A1558" s="4" t="s">
        <v>3903</v>
      </c>
      <c r="B1558" s="5">
        <v>1</v>
      </c>
    </row>
    <row r="1559" spans="1:2" x14ac:dyDescent="0.35">
      <c r="A1559" s="4" t="s">
        <v>4387</v>
      </c>
      <c r="B1559" s="5">
        <v>4</v>
      </c>
    </row>
    <row r="1560" spans="1:2" x14ac:dyDescent="0.35">
      <c r="A1560" s="4" t="s">
        <v>2924</v>
      </c>
      <c r="B1560" s="5">
        <v>5</v>
      </c>
    </row>
    <row r="1561" spans="1:2" x14ac:dyDescent="0.35">
      <c r="A1561" s="4" t="s">
        <v>2702</v>
      </c>
      <c r="B1561" s="5">
        <v>1</v>
      </c>
    </row>
    <row r="1562" spans="1:2" x14ac:dyDescent="0.35">
      <c r="A1562" s="4" t="s">
        <v>6133</v>
      </c>
      <c r="B1562" s="5">
        <v>1</v>
      </c>
    </row>
    <row r="1563" spans="1:2" x14ac:dyDescent="0.35">
      <c r="A1563" s="4" t="s">
        <v>2649</v>
      </c>
      <c r="B1563" s="5">
        <v>34</v>
      </c>
    </row>
    <row r="1564" spans="1:2" x14ac:dyDescent="0.35">
      <c r="A1564" s="4" t="s">
        <v>11571</v>
      </c>
      <c r="B1564" s="5">
        <v>2</v>
      </c>
    </row>
    <row r="1565" spans="1:2" x14ac:dyDescent="0.35">
      <c r="A1565" s="4" t="s">
        <v>4903</v>
      </c>
      <c r="B1565" s="5">
        <v>2</v>
      </c>
    </row>
    <row r="1566" spans="1:2" x14ac:dyDescent="0.35">
      <c r="A1566" s="4" t="s">
        <v>4850</v>
      </c>
      <c r="B1566" s="5">
        <v>1</v>
      </c>
    </row>
    <row r="1567" spans="1:2" x14ac:dyDescent="0.35">
      <c r="A1567" s="4" t="s">
        <v>10228</v>
      </c>
      <c r="B1567" s="5">
        <v>2</v>
      </c>
    </row>
    <row r="1568" spans="1:2" x14ac:dyDescent="0.35">
      <c r="A1568" s="4" t="s">
        <v>4601</v>
      </c>
      <c r="B1568" s="5">
        <v>1</v>
      </c>
    </row>
    <row r="1569" spans="1:2" x14ac:dyDescent="0.35">
      <c r="A1569" s="4" t="s">
        <v>12660</v>
      </c>
      <c r="B1569" s="5">
        <v>1</v>
      </c>
    </row>
    <row r="1570" spans="1:2" x14ac:dyDescent="0.35">
      <c r="A1570" s="4" t="s">
        <v>3335</v>
      </c>
      <c r="B1570" s="5">
        <v>1</v>
      </c>
    </row>
    <row r="1571" spans="1:2" x14ac:dyDescent="0.35">
      <c r="A1571" s="4" t="s">
        <v>2402</v>
      </c>
      <c r="B1571" s="5">
        <v>2</v>
      </c>
    </row>
    <row r="1572" spans="1:2" x14ac:dyDescent="0.35">
      <c r="A1572" s="4" t="s">
        <v>3373</v>
      </c>
      <c r="B1572" s="5">
        <v>6</v>
      </c>
    </row>
    <row r="1573" spans="1:2" x14ac:dyDescent="0.35">
      <c r="A1573" s="4" t="s">
        <v>10156</v>
      </c>
      <c r="B1573" s="5">
        <v>3</v>
      </c>
    </row>
    <row r="1574" spans="1:2" x14ac:dyDescent="0.35">
      <c r="A1574" s="4" t="s">
        <v>8000</v>
      </c>
      <c r="B1574" s="5">
        <v>3</v>
      </c>
    </row>
    <row r="1575" spans="1:2" x14ac:dyDescent="0.35">
      <c r="A1575" s="4" t="s">
        <v>10166</v>
      </c>
      <c r="B1575" s="5">
        <v>3</v>
      </c>
    </row>
    <row r="1576" spans="1:2" x14ac:dyDescent="0.35">
      <c r="A1576" s="4" t="s">
        <v>7585</v>
      </c>
      <c r="B1576" s="5">
        <v>4</v>
      </c>
    </row>
    <row r="1577" spans="1:2" x14ac:dyDescent="0.35">
      <c r="A1577" s="4" t="s">
        <v>771</v>
      </c>
      <c r="B1577" s="5">
        <v>1</v>
      </c>
    </row>
    <row r="1578" spans="1:2" x14ac:dyDescent="0.35">
      <c r="A1578" s="4" t="s">
        <v>3792</v>
      </c>
      <c r="B1578" s="5">
        <v>2</v>
      </c>
    </row>
    <row r="1579" spans="1:2" x14ac:dyDescent="0.35">
      <c r="A1579" s="4" t="s">
        <v>205</v>
      </c>
      <c r="B1579" s="5">
        <v>5</v>
      </c>
    </row>
    <row r="1580" spans="1:2" x14ac:dyDescent="0.35">
      <c r="A1580" s="4" t="s">
        <v>11901</v>
      </c>
      <c r="B1580" s="5">
        <v>3</v>
      </c>
    </row>
    <row r="1581" spans="1:2" x14ac:dyDescent="0.35">
      <c r="A1581" s="4" t="s">
        <v>6229</v>
      </c>
      <c r="B1581" s="5">
        <v>2</v>
      </c>
    </row>
    <row r="1582" spans="1:2" x14ac:dyDescent="0.35">
      <c r="A1582" s="4" t="s">
        <v>2640</v>
      </c>
      <c r="B1582" s="5">
        <v>4</v>
      </c>
    </row>
    <row r="1583" spans="1:2" x14ac:dyDescent="0.35">
      <c r="A1583" s="4" t="s">
        <v>2886</v>
      </c>
      <c r="B1583" s="5">
        <v>2</v>
      </c>
    </row>
    <row r="1584" spans="1:2" x14ac:dyDescent="0.35">
      <c r="A1584" s="4" t="s">
        <v>1876</v>
      </c>
      <c r="B1584" s="5">
        <v>3</v>
      </c>
    </row>
    <row r="1585" spans="1:2" x14ac:dyDescent="0.35">
      <c r="A1585" s="4" t="s">
        <v>7370</v>
      </c>
      <c r="B1585" s="5">
        <v>1</v>
      </c>
    </row>
    <row r="1586" spans="1:2" x14ac:dyDescent="0.35">
      <c r="A1586" s="4" t="s">
        <v>1627</v>
      </c>
      <c r="B1586" s="5">
        <v>2</v>
      </c>
    </row>
    <row r="1587" spans="1:2" x14ac:dyDescent="0.35">
      <c r="A1587" s="4" t="s">
        <v>11336</v>
      </c>
      <c r="B1587" s="5">
        <v>3</v>
      </c>
    </row>
    <row r="1588" spans="1:2" x14ac:dyDescent="0.35">
      <c r="A1588" s="4" t="s">
        <v>4065</v>
      </c>
      <c r="B1588" s="5">
        <v>14</v>
      </c>
    </row>
    <row r="1589" spans="1:2" x14ac:dyDescent="0.35">
      <c r="A1589" s="4" t="s">
        <v>7014</v>
      </c>
      <c r="B1589" s="5">
        <v>1</v>
      </c>
    </row>
    <row r="1590" spans="1:2" x14ac:dyDescent="0.35">
      <c r="A1590" s="4" t="s">
        <v>8701</v>
      </c>
      <c r="B1590" s="5">
        <v>3</v>
      </c>
    </row>
    <row r="1591" spans="1:2" x14ac:dyDescent="0.35">
      <c r="A1591" s="4" t="s">
        <v>12601</v>
      </c>
      <c r="B1591" s="5">
        <v>2</v>
      </c>
    </row>
    <row r="1592" spans="1:2" x14ac:dyDescent="0.35">
      <c r="A1592" s="4" t="s">
        <v>6626</v>
      </c>
      <c r="B1592" s="5">
        <v>3</v>
      </c>
    </row>
    <row r="1593" spans="1:2" x14ac:dyDescent="0.35">
      <c r="A1593" s="4" t="s">
        <v>6748</v>
      </c>
      <c r="B1593" s="5">
        <v>2</v>
      </c>
    </row>
    <row r="1594" spans="1:2" x14ac:dyDescent="0.35">
      <c r="A1594" s="4" t="s">
        <v>4992</v>
      </c>
      <c r="B1594" s="5">
        <v>2</v>
      </c>
    </row>
    <row r="1595" spans="1:2" x14ac:dyDescent="0.35">
      <c r="A1595" s="4" t="s">
        <v>5283</v>
      </c>
      <c r="B1595" s="5">
        <v>1</v>
      </c>
    </row>
    <row r="1596" spans="1:2" x14ac:dyDescent="0.35">
      <c r="A1596" s="4" t="s">
        <v>107</v>
      </c>
      <c r="B1596" s="5">
        <v>2</v>
      </c>
    </row>
    <row r="1597" spans="1:2" x14ac:dyDescent="0.35">
      <c r="A1597" s="4" t="s">
        <v>10731</v>
      </c>
      <c r="B1597" s="5">
        <v>3</v>
      </c>
    </row>
    <row r="1598" spans="1:2" x14ac:dyDescent="0.35">
      <c r="A1598" s="4" t="s">
        <v>1926</v>
      </c>
      <c r="B1598" s="5">
        <v>2</v>
      </c>
    </row>
    <row r="1599" spans="1:2" x14ac:dyDescent="0.35">
      <c r="A1599" s="4" t="s">
        <v>3289</v>
      </c>
      <c r="B1599" s="5">
        <v>1</v>
      </c>
    </row>
    <row r="1600" spans="1:2" x14ac:dyDescent="0.35">
      <c r="A1600" s="4" t="s">
        <v>982</v>
      </c>
      <c r="B1600" s="5">
        <v>19</v>
      </c>
    </row>
    <row r="1601" spans="1:2" x14ac:dyDescent="0.35">
      <c r="A1601" s="4" t="s">
        <v>11158</v>
      </c>
      <c r="B1601" s="5">
        <v>3</v>
      </c>
    </row>
    <row r="1602" spans="1:2" x14ac:dyDescent="0.35">
      <c r="A1602" s="4" t="s">
        <v>6160</v>
      </c>
      <c r="B1602" s="5">
        <v>22</v>
      </c>
    </row>
    <row r="1603" spans="1:2" x14ac:dyDescent="0.35">
      <c r="A1603" s="4" t="s">
        <v>3472</v>
      </c>
      <c r="B1603" s="5">
        <v>1</v>
      </c>
    </row>
    <row r="1604" spans="1:2" x14ac:dyDescent="0.35">
      <c r="A1604" s="4" t="s">
        <v>8597</v>
      </c>
      <c r="B1604" s="5">
        <v>2</v>
      </c>
    </row>
    <row r="1605" spans="1:2" x14ac:dyDescent="0.35">
      <c r="A1605" s="4" t="s">
        <v>1544</v>
      </c>
      <c r="B1605" s="5">
        <v>3</v>
      </c>
    </row>
    <row r="1606" spans="1:2" x14ac:dyDescent="0.35">
      <c r="A1606" s="4" t="s">
        <v>9941</v>
      </c>
      <c r="B1606" s="5">
        <v>1</v>
      </c>
    </row>
    <row r="1607" spans="1:2" x14ac:dyDescent="0.35">
      <c r="A1607" s="4" t="s">
        <v>782</v>
      </c>
      <c r="B1607" s="5">
        <v>2</v>
      </c>
    </row>
    <row r="1608" spans="1:2" x14ac:dyDescent="0.35">
      <c r="A1608" s="4" t="s">
        <v>11180</v>
      </c>
      <c r="B1608" s="5">
        <v>3</v>
      </c>
    </row>
    <row r="1609" spans="1:2" x14ac:dyDescent="0.35">
      <c r="A1609" s="4" t="s">
        <v>10504</v>
      </c>
      <c r="B1609" s="5">
        <v>2</v>
      </c>
    </row>
    <row r="1610" spans="1:2" x14ac:dyDescent="0.35">
      <c r="A1610" s="4" t="s">
        <v>1492</v>
      </c>
      <c r="B1610" s="5">
        <v>2</v>
      </c>
    </row>
    <row r="1611" spans="1:2" x14ac:dyDescent="0.35">
      <c r="A1611" s="4" t="s">
        <v>504</v>
      </c>
      <c r="B1611" s="5">
        <v>3</v>
      </c>
    </row>
    <row r="1612" spans="1:2" x14ac:dyDescent="0.35">
      <c r="A1612" s="4" t="s">
        <v>3067</v>
      </c>
      <c r="B1612" s="5">
        <v>1</v>
      </c>
    </row>
    <row r="1613" spans="1:2" x14ac:dyDescent="0.35">
      <c r="A1613" s="4" t="s">
        <v>11831</v>
      </c>
      <c r="B1613" s="5">
        <v>1</v>
      </c>
    </row>
    <row r="1614" spans="1:2" x14ac:dyDescent="0.35">
      <c r="A1614" s="4" t="s">
        <v>3424</v>
      </c>
      <c r="B1614" s="5">
        <v>2</v>
      </c>
    </row>
    <row r="1615" spans="1:2" x14ac:dyDescent="0.35">
      <c r="A1615" s="4" t="s">
        <v>13071</v>
      </c>
      <c r="B1615" s="5">
        <v>1</v>
      </c>
    </row>
    <row r="1616" spans="1:2" x14ac:dyDescent="0.35">
      <c r="A1616" s="4" t="s">
        <v>4505</v>
      </c>
      <c r="B1616" s="5">
        <v>1</v>
      </c>
    </row>
    <row r="1617" spans="1:2" x14ac:dyDescent="0.35">
      <c r="A1617" s="4" t="s">
        <v>3781</v>
      </c>
      <c r="B1617" s="5">
        <v>1</v>
      </c>
    </row>
    <row r="1618" spans="1:2" x14ac:dyDescent="0.35">
      <c r="A1618" s="4" t="s">
        <v>4685</v>
      </c>
      <c r="B1618" s="5">
        <v>4</v>
      </c>
    </row>
    <row r="1619" spans="1:2" x14ac:dyDescent="0.35">
      <c r="A1619" s="4" t="s">
        <v>4652</v>
      </c>
      <c r="B1619" s="5">
        <v>1</v>
      </c>
    </row>
    <row r="1620" spans="1:2" x14ac:dyDescent="0.35">
      <c r="A1620" s="4" t="s">
        <v>11429</v>
      </c>
      <c r="B1620" s="5">
        <v>3</v>
      </c>
    </row>
    <row r="1621" spans="1:2" x14ac:dyDescent="0.35">
      <c r="A1621" s="4" t="s">
        <v>7983</v>
      </c>
      <c r="B1621" s="5">
        <v>3</v>
      </c>
    </row>
    <row r="1622" spans="1:2" x14ac:dyDescent="0.35">
      <c r="A1622" s="4" t="s">
        <v>2900</v>
      </c>
      <c r="B1622" s="5">
        <v>3</v>
      </c>
    </row>
    <row r="1623" spans="1:2" x14ac:dyDescent="0.35">
      <c r="A1623" s="4" t="s">
        <v>4752</v>
      </c>
      <c r="B1623" s="5">
        <v>5</v>
      </c>
    </row>
    <row r="1624" spans="1:2" x14ac:dyDescent="0.35">
      <c r="A1624" s="4" t="s">
        <v>8198</v>
      </c>
      <c r="B1624" s="5">
        <v>1</v>
      </c>
    </row>
    <row r="1625" spans="1:2" x14ac:dyDescent="0.35">
      <c r="A1625" s="4" t="s">
        <v>4897</v>
      </c>
      <c r="B1625" s="5">
        <v>2</v>
      </c>
    </row>
    <row r="1626" spans="1:2" x14ac:dyDescent="0.35">
      <c r="A1626" s="4" t="s">
        <v>8970</v>
      </c>
      <c r="B1626" s="5">
        <v>1</v>
      </c>
    </row>
    <row r="1627" spans="1:2" x14ac:dyDescent="0.35">
      <c r="A1627" s="4" t="s">
        <v>8301</v>
      </c>
      <c r="B1627" s="5">
        <v>1</v>
      </c>
    </row>
    <row r="1628" spans="1:2" x14ac:dyDescent="0.35">
      <c r="A1628" s="4" t="s">
        <v>4140</v>
      </c>
      <c r="B1628" s="5">
        <v>9</v>
      </c>
    </row>
    <row r="1629" spans="1:2" x14ac:dyDescent="0.35">
      <c r="A1629" s="4" t="s">
        <v>7955</v>
      </c>
      <c r="B1629" s="5">
        <v>3</v>
      </c>
    </row>
    <row r="1630" spans="1:2" x14ac:dyDescent="0.35">
      <c r="A1630" s="4" t="s">
        <v>5471</v>
      </c>
      <c r="B1630" s="5">
        <v>3</v>
      </c>
    </row>
    <row r="1631" spans="1:2" x14ac:dyDescent="0.35">
      <c r="A1631" s="4" t="s">
        <v>1571</v>
      </c>
      <c r="B1631" s="5">
        <v>22</v>
      </c>
    </row>
    <row r="1632" spans="1:2" x14ac:dyDescent="0.35">
      <c r="A1632" s="4" t="s">
        <v>11344</v>
      </c>
      <c r="B1632" s="5">
        <v>3</v>
      </c>
    </row>
    <row r="1633" spans="1:2" x14ac:dyDescent="0.35">
      <c r="A1633" s="4" t="s">
        <v>7036</v>
      </c>
      <c r="B1633" s="5">
        <v>1</v>
      </c>
    </row>
    <row r="1634" spans="1:2" x14ac:dyDescent="0.35">
      <c r="A1634" s="4" t="s">
        <v>1010</v>
      </c>
      <c r="B1634" s="5">
        <v>2</v>
      </c>
    </row>
    <row r="1635" spans="1:2" x14ac:dyDescent="0.35">
      <c r="A1635" s="4" t="s">
        <v>10049</v>
      </c>
      <c r="B1635" s="5">
        <v>1</v>
      </c>
    </row>
    <row r="1636" spans="1:2" x14ac:dyDescent="0.35">
      <c r="A1636" s="4" t="s">
        <v>2680</v>
      </c>
      <c r="B1636" s="5">
        <v>7</v>
      </c>
    </row>
    <row r="1637" spans="1:2" x14ac:dyDescent="0.35">
      <c r="A1637" s="4" t="s">
        <v>4967</v>
      </c>
      <c r="B1637" s="5">
        <v>4</v>
      </c>
    </row>
    <row r="1638" spans="1:2" x14ac:dyDescent="0.35">
      <c r="A1638" s="4" t="s">
        <v>4110</v>
      </c>
      <c r="B1638" s="5">
        <v>2</v>
      </c>
    </row>
    <row r="1639" spans="1:2" x14ac:dyDescent="0.35">
      <c r="A1639" s="4" t="s">
        <v>2341</v>
      </c>
      <c r="B1639" s="5">
        <v>1</v>
      </c>
    </row>
    <row r="1640" spans="1:2" x14ac:dyDescent="0.35">
      <c r="A1640" s="4" t="s">
        <v>6820</v>
      </c>
      <c r="B1640" s="5">
        <v>2</v>
      </c>
    </row>
    <row r="1641" spans="1:2" x14ac:dyDescent="0.35">
      <c r="A1641" s="4" t="s">
        <v>4829</v>
      </c>
      <c r="B1641" s="5">
        <v>1</v>
      </c>
    </row>
    <row r="1642" spans="1:2" x14ac:dyDescent="0.35">
      <c r="A1642" s="4" t="s">
        <v>6021</v>
      </c>
      <c r="B1642" s="5">
        <v>3</v>
      </c>
    </row>
    <row r="1643" spans="1:2" x14ac:dyDescent="0.35">
      <c r="A1643" s="4" t="s">
        <v>3064</v>
      </c>
      <c r="B1643" s="5">
        <v>1</v>
      </c>
    </row>
    <row r="1644" spans="1:2" x14ac:dyDescent="0.35">
      <c r="A1644" s="4" t="s">
        <v>2200</v>
      </c>
      <c r="B1644" s="5">
        <v>15</v>
      </c>
    </row>
    <row r="1645" spans="1:2" x14ac:dyDescent="0.35">
      <c r="A1645" s="4" t="s">
        <v>2572</v>
      </c>
      <c r="B1645" s="5">
        <v>3</v>
      </c>
    </row>
    <row r="1646" spans="1:2" x14ac:dyDescent="0.35">
      <c r="A1646" s="4" t="s">
        <v>2571</v>
      </c>
      <c r="B1646" s="5">
        <v>3</v>
      </c>
    </row>
    <row r="1647" spans="1:2" x14ac:dyDescent="0.35">
      <c r="A1647" s="4" t="s">
        <v>1676</v>
      </c>
      <c r="B1647" s="5">
        <v>1</v>
      </c>
    </row>
    <row r="1648" spans="1:2" x14ac:dyDescent="0.35">
      <c r="A1648" s="4" t="s">
        <v>350</v>
      </c>
      <c r="B1648" s="5">
        <v>3</v>
      </c>
    </row>
    <row r="1649" spans="1:2" x14ac:dyDescent="0.35">
      <c r="A1649" s="4" t="s">
        <v>10101</v>
      </c>
      <c r="B1649" s="5">
        <v>1</v>
      </c>
    </row>
    <row r="1650" spans="1:2" x14ac:dyDescent="0.35">
      <c r="A1650" s="4" t="s">
        <v>2557</v>
      </c>
      <c r="B1650" s="5">
        <v>2</v>
      </c>
    </row>
    <row r="1651" spans="1:2" x14ac:dyDescent="0.35">
      <c r="A1651" s="4" t="s">
        <v>1104</v>
      </c>
      <c r="B1651" s="5">
        <v>15</v>
      </c>
    </row>
    <row r="1652" spans="1:2" x14ac:dyDescent="0.35">
      <c r="A1652" s="4" t="s">
        <v>4721</v>
      </c>
      <c r="B1652" s="5">
        <v>1</v>
      </c>
    </row>
    <row r="1653" spans="1:2" x14ac:dyDescent="0.35">
      <c r="A1653" s="4" t="s">
        <v>3263</v>
      </c>
      <c r="B1653" s="5">
        <v>90</v>
      </c>
    </row>
    <row r="1654" spans="1:2" x14ac:dyDescent="0.35">
      <c r="A1654" s="4" t="s">
        <v>755</v>
      </c>
      <c r="B1654" s="5">
        <v>2</v>
      </c>
    </row>
    <row r="1655" spans="1:2" x14ac:dyDescent="0.35">
      <c r="A1655" s="4" t="s">
        <v>917</v>
      </c>
      <c r="B1655" s="5">
        <v>2</v>
      </c>
    </row>
    <row r="1656" spans="1:2" x14ac:dyDescent="0.35">
      <c r="A1656" s="4" t="s">
        <v>3041</v>
      </c>
      <c r="B1656" s="5">
        <v>2</v>
      </c>
    </row>
    <row r="1657" spans="1:2" x14ac:dyDescent="0.35">
      <c r="A1657" s="4" t="s">
        <v>6916</v>
      </c>
      <c r="B1657" s="5">
        <v>1</v>
      </c>
    </row>
    <row r="1658" spans="1:2" x14ac:dyDescent="0.35">
      <c r="A1658" s="4" t="s">
        <v>2588</v>
      </c>
      <c r="B1658" s="5">
        <v>2</v>
      </c>
    </row>
    <row r="1659" spans="1:2" x14ac:dyDescent="0.35">
      <c r="A1659" s="4" t="s">
        <v>3037</v>
      </c>
      <c r="B1659" s="5">
        <v>18</v>
      </c>
    </row>
    <row r="1660" spans="1:2" x14ac:dyDescent="0.35">
      <c r="A1660" s="4" t="s">
        <v>5595</v>
      </c>
      <c r="B1660" s="5">
        <v>9</v>
      </c>
    </row>
    <row r="1661" spans="1:2" x14ac:dyDescent="0.35">
      <c r="A1661" s="4" t="s">
        <v>2819</v>
      </c>
      <c r="B1661" s="5">
        <v>2</v>
      </c>
    </row>
    <row r="1662" spans="1:2" x14ac:dyDescent="0.35">
      <c r="A1662" s="4" t="s">
        <v>356</v>
      </c>
      <c r="B1662" s="5">
        <v>3</v>
      </c>
    </row>
    <row r="1663" spans="1:2" x14ac:dyDescent="0.35">
      <c r="A1663" s="4" t="s">
        <v>4763</v>
      </c>
      <c r="B1663" s="5">
        <v>3</v>
      </c>
    </row>
    <row r="1664" spans="1:2" x14ac:dyDescent="0.35">
      <c r="A1664" s="4" t="s">
        <v>9105</v>
      </c>
      <c r="B1664" s="5">
        <v>3</v>
      </c>
    </row>
    <row r="1665" spans="1:2" x14ac:dyDescent="0.35">
      <c r="A1665" s="4" t="s">
        <v>3163</v>
      </c>
      <c r="B1665" s="5">
        <v>3</v>
      </c>
    </row>
    <row r="1666" spans="1:2" x14ac:dyDescent="0.35">
      <c r="A1666" s="4" t="s">
        <v>7603</v>
      </c>
      <c r="B1666" s="5">
        <v>1</v>
      </c>
    </row>
    <row r="1667" spans="1:2" x14ac:dyDescent="0.35">
      <c r="A1667" s="4" t="s">
        <v>4594</v>
      </c>
      <c r="B1667" s="5">
        <v>59</v>
      </c>
    </row>
    <row r="1668" spans="1:2" x14ac:dyDescent="0.35">
      <c r="A1668" s="4" t="s">
        <v>8752</v>
      </c>
      <c r="B1668" s="5">
        <v>2</v>
      </c>
    </row>
    <row r="1669" spans="1:2" x14ac:dyDescent="0.35">
      <c r="A1669" s="4" t="s">
        <v>10926</v>
      </c>
      <c r="B1669" s="5">
        <v>2</v>
      </c>
    </row>
    <row r="1670" spans="1:2" x14ac:dyDescent="0.35">
      <c r="A1670" s="4" t="s">
        <v>7229</v>
      </c>
      <c r="B1670" s="5">
        <v>2</v>
      </c>
    </row>
    <row r="1671" spans="1:2" x14ac:dyDescent="0.35">
      <c r="A1671" s="4" t="s">
        <v>713</v>
      </c>
      <c r="B1671" s="5">
        <v>9</v>
      </c>
    </row>
    <row r="1672" spans="1:2" x14ac:dyDescent="0.35">
      <c r="A1672" s="4" t="s">
        <v>3732</v>
      </c>
      <c r="B1672" s="5">
        <v>14</v>
      </c>
    </row>
    <row r="1673" spans="1:2" x14ac:dyDescent="0.35">
      <c r="A1673" s="4" t="s">
        <v>4081</v>
      </c>
      <c r="B1673" s="5">
        <v>5</v>
      </c>
    </row>
    <row r="1674" spans="1:2" x14ac:dyDescent="0.35">
      <c r="A1674" s="4" t="s">
        <v>4346</v>
      </c>
      <c r="B1674" s="5">
        <v>1</v>
      </c>
    </row>
    <row r="1675" spans="1:2" x14ac:dyDescent="0.35">
      <c r="A1675" s="4" t="s">
        <v>5191</v>
      </c>
      <c r="B1675" s="5">
        <v>3</v>
      </c>
    </row>
    <row r="1676" spans="1:2" x14ac:dyDescent="0.35">
      <c r="A1676" s="4" t="s">
        <v>1618</v>
      </c>
      <c r="B1676" s="5">
        <v>5</v>
      </c>
    </row>
    <row r="1677" spans="1:2" x14ac:dyDescent="0.35">
      <c r="A1677" s="4" t="s">
        <v>5102</v>
      </c>
      <c r="B1677" s="5">
        <v>1</v>
      </c>
    </row>
    <row r="1678" spans="1:2" x14ac:dyDescent="0.35">
      <c r="A1678" s="4" t="s">
        <v>9235</v>
      </c>
      <c r="B1678" s="5">
        <v>3</v>
      </c>
    </row>
    <row r="1679" spans="1:2" x14ac:dyDescent="0.35">
      <c r="A1679" s="4" t="s">
        <v>8785</v>
      </c>
      <c r="B1679" s="5">
        <v>1</v>
      </c>
    </row>
    <row r="1680" spans="1:2" x14ac:dyDescent="0.35">
      <c r="A1680" s="4" t="s">
        <v>12234</v>
      </c>
      <c r="B1680" s="5">
        <v>1</v>
      </c>
    </row>
    <row r="1681" spans="1:2" x14ac:dyDescent="0.35">
      <c r="A1681" s="4" t="s">
        <v>4736</v>
      </c>
      <c r="B1681" s="5">
        <v>11</v>
      </c>
    </row>
    <row r="1682" spans="1:2" x14ac:dyDescent="0.35">
      <c r="A1682" s="4" t="s">
        <v>9521</v>
      </c>
      <c r="B1682" s="5">
        <v>3</v>
      </c>
    </row>
    <row r="1683" spans="1:2" x14ac:dyDescent="0.35">
      <c r="A1683" s="4" t="s">
        <v>11165</v>
      </c>
      <c r="B1683" s="5">
        <v>6</v>
      </c>
    </row>
    <row r="1684" spans="1:2" x14ac:dyDescent="0.35">
      <c r="A1684" s="4" t="s">
        <v>4148</v>
      </c>
      <c r="B1684" s="5">
        <v>1</v>
      </c>
    </row>
    <row r="1685" spans="1:2" x14ac:dyDescent="0.35">
      <c r="A1685" s="4" t="s">
        <v>8797</v>
      </c>
      <c r="B1685" s="5">
        <v>2</v>
      </c>
    </row>
    <row r="1686" spans="1:2" x14ac:dyDescent="0.35">
      <c r="A1686" s="4" t="s">
        <v>10958</v>
      </c>
      <c r="B1686" s="5">
        <v>4</v>
      </c>
    </row>
    <row r="1687" spans="1:2" x14ac:dyDescent="0.35">
      <c r="A1687" s="4" t="s">
        <v>1703</v>
      </c>
      <c r="B1687" s="5">
        <v>1</v>
      </c>
    </row>
    <row r="1688" spans="1:2" x14ac:dyDescent="0.35">
      <c r="A1688" s="4" t="s">
        <v>2349</v>
      </c>
      <c r="B1688" s="5">
        <v>2</v>
      </c>
    </row>
    <row r="1689" spans="1:2" x14ac:dyDescent="0.35">
      <c r="A1689" s="4" t="s">
        <v>6872</v>
      </c>
      <c r="B1689" s="5">
        <v>5</v>
      </c>
    </row>
    <row r="1690" spans="1:2" x14ac:dyDescent="0.35">
      <c r="A1690" s="4" t="s">
        <v>882</v>
      </c>
      <c r="B1690" s="5">
        <v>1</v>
      </c>
    </row>
    <row r="1691" spans="1:2" x14ac:dyDescent="0.35">
      <c r="A1691" s="4" t="s">
        <v>6048</v>
      </c>
      <c r="B1691" s="5">
        <v>1</v>
      </c>
    </row>
    <row r="1692" spans="1:2" x14ac:dyDescent="0.35">
      <c r="A1692" s="4" t="s">
        <v>1723</v>
      </c>
      <c r="B1692" s="5">
        <v>6</v>
      </c>
    </row>
    <row r="1693" spans="1:2" x14ac:dyDescent="0.35">
      <c r="A1693" s="4" t="s">
        <v>12168</v>
      </c>
      <c r="B1693" s="5">
        <v>1</v>
      </c>
    </row>
    <row r="1694" spans="1:2" x14ac:dyDescent="0.35">
      <c r="A1694" s="4" t="s">
        <v>4837</v>
      </c>
      <c r="B1694" s="5">
        <v>3</v>
      </c>
    </row>
    <row r="1695" spans="1:2" x14ac:dyDescent="0.35">
      <c r="A1695" s="4" t="s">
        <v>1383</v>
      </c>
      <c r="B1695" s="5">
        <v>3</v>
      </c>
    </row>
    <row r="1696" spans="1:2" x14ac:dyDescent="0.35">
      <c r="A1696" s="4" t="s">
        <v>4230</v>
      </c>
      <c r="B1696" s="5">
        <v>3</v>
      </c>
    </row>
    <row r="1697" spans="1:2" x14ac:dyDescent="0.35">
      <c r="A1697" s="4" t="s">
        <v>10827</v>
      </c>
      <c r="B1697" s="5">
        <v>1</v>
      </c>
    </row>
    <row r="1698" spans="1:2" x14ac:dyDescent="0.35">
      <c r="A1698" s="4" t="s">
        <v>396</v>
      </c>
      <c r="B1698" s="5">
        <v>1</v>
      </c>
    </row>
    <row r="1699" spans="1:2" x14ac:dyDescent="0.35">
      <c r="A1699" s="4" t="s">
        <v>1881</v>
      </c>
      <c r="B1699" s="5">
        <v>2</v>
      </c>
    </row>
    <row r="1700" spans="1:2" x14ac:dyDescent="0.35">
      <c r="A1700" s="4" t="s">
        <v>4184</v>
      </c>
      <c r="B1700" s="5">
        <v>10</v>
      </c>
    </row>
    <row r="1701" spans="1:2" x14ac:dyDescent="0.35">
      <c r="A1701" s="4" t="s">
        <v>10728</v>
      </c>
      <c r="B1701" s="5">
        <v>1</v>
      </c>
    </row>
    <row r="1702" spans="1:2" x14ac:dyDescent="0.35">
      <c r="A1702" s="4" t="s">
        <v>11369</v>
      </c>
      <c r="B1702" s="5">
        <v>2</v>
      </c>
    </row>
    <row r="1703" spans="1:2" x14ac:dyDescent="0.35">
      <c r="A1703" s="4" t="s">
        <v>10673</v>
      </c>
      <c r="B1703" s="5">
        <v>1</v>
      </c>
    </row>
    <row r="1704" spans="1:2" x14ac:dyDescent="0.35">
      <c r="A1704" s="4" t="s">
        <v>6632</v>
      </c>
      <c r="B1704" s="5">
        <v>1</v>
      </c>
    </row>
    <row r="1705" spans="1:2" x14ac:dyDescent="0.35">
      <c r="A1705" s="4" t="s">
        <v>12396</v>
      </c>
      <c r="B1705" s="5">
        <v>3</v>
      </c>
    </row>
    <row r="1706" spans="1:2" x14ac:dyDescent="0.35">
      <c r="A1706" s="4" t="s">
        <v>939</v>
      </c>
      <c r="B1706" s="5">
        <v>7</v>
      </c>
    </row>
    <row r="1707" spans="1:2" x14ac:dyDescent="0.35">
      <c r="A1707" s="4" t="s">
        <v>8497</v>
      </c>
      <c r="B1707" s="5">
        <v>3</v>
      </c>
    </row>
    <row r="1708" spans="1:2" x14ac:dyDescent="0.35">
      <c r="A1708" s="4" t="s">
        <v>7373</v>
      </c>
      <c r="B1708" s="5">
        <v>5</v>
      </c>
    </row>
    <row r="1709" spans="1:2" x14ac:dyDescent="0.35">
      <c r="A1709" s="4" t="s">
        <v>10623</v>
      </c>
      <c r="B1709" s="5">
        <v>2</v>
      </c>
    </row>
    <row r="1710" spans="1:2" x14ac:dyDescent="0.35">
      <c r="A1710" s="4" t="s">
        <v>9283</v>
      </c>
      <c r="B1710" s="5">
        <v>1</v>
      </c>
    </row>
    <row r="1711" spans="1:2" x14ac:dyDescent="0.35">
      <c r="A1711" s="4" t="s">
        <v>7797</v>
      </c>
      <c r="B1711" s="5">
        <v>1</v>
      </c>
    </row>
    <row r="1712" spans="1:2" x14ac:dyDescent="0.35">
      <c r="A1712" s="4" t="s">
        <v>13089</v>
      </c>
      <c r="B1712" s="5">
        <v>3</v>
      </c>
    </row>
    <row r="1713" spans="1:2" x14ac:dyDescent="0.35">
      <c r="A1713" s="4" t="s">
        <v>279</v>
      </c>
      <c r="B1713" s="5">
        <v>2</v>
      </c>
    </row>
    <row r="1714" spans="1:2" x14ac:dyDescent="0.35">
      <c r="A1714" s="4" t="s">
        <v>1051</v>
      </c>
      <c r="B1714" s="5">
        <v>238</v>
      </c>
    </row>
    <row r="1715" spans="1:2" x14ac:dyDescent="0.35">
      <c r="A1715" s="4" t="s">
        <v>2249</v>
      </c>
      <c r="B1715" s="5">
        <v>5</v>
      </c>
    </row>
    <row r="1716" spans="1:2" x14ac:dyDescent="0.35">
      <c r="A1716" s="4" t="s">
        <v>3136</v>
      </c>
      <c r="B1716" s="5">
        <v>1</v>
      </c>
    </row>
    <row r="1717" spans="1:2" x14ac:dyDescent="0.35">
      <c r="A1717" s="4" t="s">
        <v>8541</v>
      </c>
      <c r="B1717" s="5">
        <v>1</v>
      </c>
    </row>
    <row r="1718" spans="1:2" x14ac:dyDescent="0.35">
      <c r="A1718" s="4" t="s">
        <v>4770</v>
      </c>
      <c r="B1718" s="5">
        <v>14</v>
      </c>
    </row>
    <row r="1719" spans="1:2" x14ac:dyDescent="0.35">
      <c r="A1719" s="4" t="s">
        <v>2365</v>
      </c>
      <c r="B1719" s="5">
        <v>3</v>
      </c>
    </row>
    <row r="1720" spans="1:2" x14ac:dyDescent="0.35">
      <c r="A1720" s="4" t="s">
        <v>4014</v>
      </c>
      <c r="B1720" s="5">
        <v>1</v>
      </c>
    </row>
    <row r="1721" spans="1:2" x14ac:dyDescent="0.35">
      <c r="A1721" s="4" t="s">
        <v>698</v>
      </c>
      <c r="B1721" s="5">
        <v>14</v>
      </c>
    </row>
    <row r="1722" spans="1:2" x14ac:dyDescent="0.35">
      <c r="A1722" s="4" t="s">
        <v>4090</v>
      </c>
      <c r="B1722" s="5">
        <v>1</v>
      </c>
    </row>
    <row r="1723" spans="1:2" x14ac:dyDescent="0.35">
      <c r="A1723" s="4" t="s">
        <v>7631</v>
      </c>
      <c r="B1723" s="5">
        <v>2</v>
      </c>
    </row>
    <row r="1724" spans="1:2" x14ac:dyDescent="0.35">
      <c r="A1724" s="4" t="s">
        <v>3018</v>
      </c>
      <c r="B1724" s="5">
        <v>7</v>
      </c>
    </row>
    <row r="1725" spans="1:2" x14ac:dyDescent="0.35">
      <c r="A1725" s="4" t="s">
        <v>1316</v>
      </c>
      <c r="B1725" s="5">
        <v>11</v>
      </c>
    </row>
    <row r="1726" spans="1:2" x14ac:dyDescent="0.35">
      <c r="A1726" s="4" t="s">
        <v>8211</v>
      </c>
      <c r="B1726" s="5">
        <v>6</v>
      </c>
    </row>
    <row r="1727" spans="1:2" x14ac:dyDescent="0.35">
      <c r="A1727" s="4" t="s">
        <v>12520</v>
      </c>
      <c r="B1727" s="5">
        <v>2</v>
      </c>
    </row>
    <row r="1728" spans="1:2" x14ac:dyDescent="0.35">
      <c r="A1728" s="4" t="s">
        <v>9638</v>
      </c>
      <c r="B1728" s="5">
        <v>2</v>
      </c>
    </row>
    <row r="1729" spans="1:2" x14ac:dyDescent="0.35">
      <c r="A1729" s="4" t="s">
        <v>2015</v>
      </c>
      <c r="B1729" s="5">
        <v>5</v>
      </c>
    </row>
    <row r="1730" spans="1:2" x14ac:dyDescent="0.35">
      <c r="A1730" s="4" t="s">
        <v>1235</v>
      </c>
      <c r="B1730" s="5">
        <v>10</v>
      </c>
    </row>
    <row r="1731" spans="1:2" x14ac:dyDescent="0.35">
      <c r="A1731" s="4" t="s">
        <v>6115</v>
      </c>
      <c r="B1731" s="5">
        <v>5</v>
      </c>
    </row>
    <row r="1732" spans="1:2" x14ac:dyDescent="0.35">
      <c r="A1732" s="4" t="s">
        <v>2149</v>
      </c>
      <c r="B1732" s="5">
        <v>2</v>
      </c>
    </row>
    <row r="1733" spans="1:2" x14ac:dyDescent="0.35">
      <c r="A1733" s="4" t="s">
        <v>11363</v>
      </c>
      <c r="B1733" s="5">
        <v>5</v>
      </c>
    </row>
    <row r="1734" spans="1:2" x14ac:dyDescent="0.35">
      <c r="A1734" s="4" t="s">
        <v>11432</v>
      </c>
      <c r="B1734" s="5">
        <v>1</v>
      </c>
    </row>
    <row r="1735" spans="1:2" x14ac:dyDescent="0.35">
      <c r="A1735" s="4" t="s">
        <v>9820</v>
      </c>
      <c r="B1735" s="5">
        <v>2</v>
      </c>
    </row>
    <row r="1736" spans="1:2" x14ac:dyDescent="0.35">
      <c r="A1736" s="4" t="s">
        <v>7425</v>
      </c>
      <c r="B1736" s="5">
        <v>1</v>
      </c>
    </row>
    <row r="1737" spans="1:2" x14ac:dyDescent="0.35">
      <c r="A1737" s="4" t="s">
        <v>6759</v>
      </c>
      <c r="B1737" s="5">
        <v>1</v>
      </c>
    </row>
    <row r="1738" spans="1:2" x14ac:dyDescent="0.35">
      <c r="A1738" s="4" t="s">
        <v>11838</v>
      </c>
      <c r="B1738" s="5">
        <v>3</v>
      </c>
    </row>
    <row r="1739" spans="1:2" x14ac:dyDescent="0.35">
      <c r="A1739" s="4" t="s">
        <v>12984</v>
      </c>
      <c r="B1739" s="5">
        <v>3</v>
      </c>
    </row>
    <row r="1740" spans="1:2" x14ac:dyDescent="0.35">
      <c r="A1740" s="4" t="s">
        <v>1091</v>
      </c>
      <c r="B1740" s="5">
        <v>1</v>
      </c>
    </row>
    <row r="1741" spans="1:2" x14ac:dyDescent="0.35">
      <c r="A1741" s="4" t="s">
        <v>7216</v>
      </c>
      <c r="B1741" s="5">
        <v>1</v>
      </c>
    </row>
    <row r="1742" spans="1:2" x14ac:dyDescent="0.35">
      <c r="A1742" s="4" t="s">
        <v>5357</v>
      </c>
      <c r="B1742" s="5">
        <v>4</v>
      </c>
    </row>
    <row r="1743" spans="1:2" x14ac:dyDescent="0.35">
      <c r="A1743" s="4" t="s">
        <v>3614</v>
      </c>
      <c r="B1743" s="5">
        <v>1</v>
      </c>
    </row>
    <row r="1744" spans="1:2" x14ac:dyDescent="0.35">
      <c r="A1744" s="4" t="s">
        <v>525</v>
      </c>
      <c r="B1744" s="5">
        <v>2</v>
      </c>
    </row>
    <row r="1745" spans="1:2" x14ac:dyDescent="0.35">
      <c r="A1745" s="4" t="s">
        <v>7356</v>
      </c>
      <c r="B1745" s="5">
        <v>1</v>
      </c>
    </row>
    <row r="1746" spans="1:2" x14ac:dyDescent="0.35">
      <c r="A1746" s="4" t="s">
        <v>12458</v>
      </c>
      <c r="B1746" s="5">
        <v>5</v>
      </c>
    </row>
    <row r="1747" spans="1:2" x14ac:dyDescent="0.35">
      <c r="A1747" s="4" t="s">
        <v>7777</v>
      </c>
      <c r="B1747" s="5">
        <v>1</v>
      </c>
    </row>
    <row r="1748" spans="1:2" x14ac:dyDescent="0.35">
      <c r="A1748" s="4" t="s">
        <v>5788</v>
      </c>
      <c r="B1748" s="5">
        <v>1</v>
      </c>
    </row>
    <row r="1749" spans="1:2" x14ac:dyDescent="0.35">
      <c r="A1749" s="4" t="s">
        <v>3268</v>
      </c>
      <c r="B1749" s="5">
        <v>19</v>
      </c>
    </row>
    <row r="1750" spans="1:2" x14ac:dyDescent="0.35">
      <c r="A1750" s="4" t="s">
        <v>8776</v>
      </c>
      <c r="B1750" s="5">
        <v>1</v>
      </c>
    </row>
    <row r="1751" spans="1:2" x14ac:dyDescent="0.35">
      <c r="A1751" s="4" t="s">
        <v>7454</v>
      </c>
      <c r="B1751" s="5">
        <v>1</v>
      </c>
    </row>
    <row r="1752" spans="1:2" x14ac:dyDescent="0.35">
      <c r="A1752" s="4" t="s">
        <v>8768</v>
      </c>
      <c r="B1752" s="5">
        <v>2</v>
      </c>
    </row>
    <row r="1753" spans="1:2" x14ac:dyDescent="0.35">
      <c r="A1753" s="4" t="s">
        <v>6662</v>
      </c>
      <c r="B1753" s="5">
        <v>5</v>
      </c>
    </row>
    <row r="1754" spans="1:2" x14ac:dyDescent="0.35">
      <c r="A1754" s="4" t="s">
        <v>3344</v>
      </c>
      <c r="B1754" s="5">
        <v>5</v>
      </c>
    </row>
    <row r="1755" spans="1:2" x14ac:dyDescent="0.35">
      <c r="A1755" s="4" t="s">
        <v>4789</v>
      </c>
      <c r="B1755" s="5">
        <v>5</v>
      </c>
    </row>
    <row r="1756" spans="1:2" x14ac:dyDescent="0.35">
      <c r="A1756" s="4" t="s">
        <v>11339</v>
      </c>
      <c r="B1756" s="5">
        <v>3</v>
      </c>
    </row>
    <row r="1757" spans="1:2" x14ac:dyDescent="0.35">
      <c r="A1757" s="4" t="s">
        <v>11191</v>
      </c>
      <c r="B1757" s="5">
        <v>3</v>
      </c>
    </row>
    <row r="1758" spans="1:2" x14ac:dyDescent="0.35">
      <c r="A1758" s="4" t="s">
        <v>7765</v>
      </c>
      <c r="B1758" s="5">
        <v>4</v>
      </c>
    </row>
    <row r="1759" spans="1:2" x14ac:dyDescent="0.35">
      <c r="A1759" s="4" t="s">
        <v>1643</v>
      </c>
      <c r="B1759" s="5">
        <v>5</v>
      </c>
    </row>
    <row r="1760" spans="1:2" x14ac:dyDescent="0.35">
      <c r="A1760" s="4" t="s">
        <v>12815</v>
      </c>
      <c r="B1760" s="5">
        <v>1</v>
      </c>
    </row>
    <row r="1761" spans="1:2" x14ac:dyDescent="0.35">
      <c r="A1761" s="4" t="s">
        <v>4394</v>
      </c>
      <c r="B1761" s="5">
        <v>3</v>
      </c>
    </row>
    <row r="1762" spans="1:2" x14ac:dyDescent="0.35">
      <c r="A1762" s="4" t="s">
        <v>8171</v>
      </c>
      <c r="B1762" s="5">
        <v>2</v>
      </c>
    </row>
    <row r="1763" spans="1:2" x14ac:dyDescent="0.35">
      <c r="A1763" s="4" t="s">
        <v>9577</v>
      </c>
      <c r="B1763" s="5">
        <v>7</v>
      </c>
    </row>
    <row r="1764" spans="1:2" x14ac:dyDescent="0.35">
      <c r="A1764" s="4" t="s">
        <v>11197</v>
      </c>
      <c r="B1764" s="5">
        <v>3</v>
      </c>
    </row>
    <row r="1765" spans="1:2" x14ac:dyDescent="0.35">
      <c r="A1765" s="4" t="s">
        <v>1433</v>
      </c>
      <c r="B1765" s="5">
        <v>5</v>
      </c>
    </row>
    <row r="1766" spans="1:2" x14ac:dyDescent="0.35">
      <c r="A1766" s="4" t="s">
        <v>13041</v>
      </c>
      <c r="B1766" s="5">
        <v>2</v>
      </c>
    </row>
    <row r="1767" spans="1:2" x14ac:dyDescent="0.35">
      <c r="A1767" s="4" t="s">
        <v>11847</v>
      </c>
      <c r="B1767" s="5">
        <v>1</v>
      </c>
    </row>
    <row r="1768" spans="1:2" x14ac:dyDescent="0.35">
      <c r="A1768" s="4" t="s">
        <v>5847</v>
      </c>
      <c r="B1768" s="5">
        <v>3</v>
      </c>
    </row>
    <row r="1769" spans="1:2" x14ac:dyDescent="0.35">
      <c r="A1769" s="4" t="s">
        <v>3999</v>
      </c>
      <c r="B1769" s="5">
        <v>6</v>
      </c>
    </row>
    <row r="1770" spans="1:2" x14ac:dyDescent="0.35">
      <c r="A1770" s="4" t="s">
        <v>10235</v>
      </c>
      <c r="B1770" s="5">
        <v>1</v>
      </c>
    </row>
    <row r="1771" spans="1:2" x14ac:dyDescent="0.35">
      <c r="A1771" s="4" t="s">
        <v>4138</v>
      </c>
      <c r="B1771" s="5">
        <v>1</v>
      </c>
    </row>
    <row r="1772" spans="1:2" x14ac:dyDescent="0.35">
      <c r="A1772" s="4" t="s">
        <v>5883</v>
      </c>
      <c r="B1772" s="5">
        <v>1</v>
      </c>
    </row>
    <row r="1773" spans="1:2" x14ac:dyDescent="0.35">
      <c r="A1773" s="4" t="s">
        <v>796</v>
      </c>
      <c r="B1773" s="5">
        <v>7</v>
      </c>
    </row>
    <row r="1774" spans="1:2" x14ac:dyDescent="0.35">
      <c r="A1774" s="4" t="s">
        <v>472</v>
      </c>
      <c r="B1774" s="5">
        <v>7</v>
      </c>
    </row>
    <row r="1775" spans="1:2" x14ac:dyDescent="0.35">
      <c r="A1775" s="4" t="s">
        <v>1182</v>
      </c>
      <c r="B1775" s="5">
        <v>19</v>
      </c>
    </row>
    <row r="1776" spans="1:2" x14ac:dyDescent="0.35">
      <c r="A1776" s="4" t="s">
        <v>10237</v>
      </c>
      <c r="B1776" s="5">
        <v>3</v>
      </c>
    </row>
    <row r="1777" spans="1:2" x14ac:dyDescent="0.35">
      <c r="A1777" s="4" t="s">
        <v>497</v>
      </c>
      <c r="B1777" s="5">
        <v>52</v>
      </c>
    </row>
    <row r="1778" spans="1:2" x14ac:dyDescent="0.35">
      <c r="A1778" s="4" t="s">
        <v>10233</v>
      </c>
      <c r="B1778" s="5">
        <v>5</v>
      </c>
    </row>
    <row r="1779" spans="1:2" x14ac:dyDescent="0.35">
      <c r="A1779" s="4" t="s">
        <v>10234</v>
      </c>
      <c r="B1779" s="5">
        <v>5</v>
      </c>
    </row>
    <row r="1780" spans="1:2" x14ac:dyDescent="0.35">
      <c r="A1780" s="4" t="s">
        <v>1180</v>
      </c>
      <c r="B1780" s="5">
        <v>2</v>
      </c>
    </row>
    <row r="1781" spans="1:2" x14ac:dyDescent="0.35">
      <c r="A1781" s="4" t="s">
        <v>1177</v>
      </c>
      <c r="B1781" s="5">
        <v>6</v>
      </c>
    </row>
    <row r="1782" spans="1:2" x14ac:dyDescent="0.35">
      <c r="A1782" s="4" t="s">
        <v>1178</v>
      </c>
      <c r="B1782" s="5">
        <v>3</v>
      </c>
    </row>
    <row r="1783" spans="1:2" x14ac:dyDescent="0.35">
      <c r="A1783" s="4" t="s">
        <v>10239</v>
      </c>
      <c r="B1783" s="5">
        <v>3</v>
      </c>
    </row>
    <row r="1784" spans="1:2" x14ac:dyDescent="0.35">
      <c r="A1784" s="4" t="s">
        <v>10231</v>
      </c>
      <c r="B1784" s="5">
        <v>3</v>
      </c>
    </row>
    <row r="1785" spans="1:2" x14ac:dyDescent="0.35">
      <c r="A1785" s="4" t="s">
        <v>8923</v>
      </c>
      <c r="B1785" s="5">
        <v>1</v>
      </c>
    </row>
    <row r="1786" spans="1:2" x14ac:dyDescent="0.35">
      <c r="A1786" s="4" t="s">
        <v>10213</v>
      </c>
      <c r="B1786" s="5">
        <v>3</v>
      </c>
    </row>
    <row r="1787" spans="1:2" x14ac:dyDescent="0.35">
      <c r="A1787" s="4" t="s">
        <v>733</v>
      </c>
      <c r="B1787" s="5">
        <v>1</v>
      </c>
    </row>
    <row r="1788" spans="1:2" x14ac:dyDescent="0.35">
      <c r="A1788" s="4" t="s">
        <v>4922</v>
      </c>
      <c r="B1788" s="5">
        <v>4</v>
      </c>
    </row>
    <row r="1789" spans="1:2" x14ac:dyDescent="0.35">
      <c r="A1789" s="4" t="s">
        <v>6112</v>
      </c>
      <c r="B1789" s="5">
        <v>2</v>
      </c>
    </row>
    <row r="1790" spans="1:2" x14ac:dyDescent="0.35">
      <c r="A1790" s="4" t="s">
        <v>9810</v>
      </c>
      <c r="B1790" s="5">
        <v>1</v>
      </c>
    </row>
    <row r="1791" spans="1:2" x14ac:dyDescent="0.35">
      <c r="A1791" s="4" t="s">
        <v>8237</v>
      </c>
      <c r="B1791" s="5">
        <v>1</v>
      </c>
    </row>
    <row r="1792" spans="1:2" x14ac:dyDescent="0.35">
      <c r="A1792" s="4" t="s">
        <v>10348</v>
      </c>
      <c r="B1792" s="5">
        <v>1</v>
      </c>
    </row>
    <row r="1793" spans="1:2" x14ac:dyDescent="0.35">
      <c r="A1793" s="4" t="s">
        <v>5215</v>
      </c>
      <c r="B1793" s="5">
        <v>3</v>
      </c>
    </row>
    <row r="1794" spans="1:2" x14ac:dyDescent="0.35">
      <c r="A1794" s="4" t="s">
        <v>4821</v>
      </c>
      <c r="B1794" s="5">
        <v>22</v>
      </c>
    </row>
    <row r="1795" spans="1:2" x14ac:dyDescent="0.35">
      <c r="A1795" s="4" t="s">
        <v>9435</v>
      </c>
      <c r="B1795" s="5">
        <v>1</v>
      </c>
    </row>
    <row r="1796" spans="1:2" x14ac:dyDescent="0.35">
      <c r="A1796" s="4" t="s">
        <v>2794</v>
      </c>
      <c r="B1796" s="5">
        <v>6</v>
      </c>
    </row>
    <row r="1797" spans="1:2" x14ac:dyDescent="0.35">
      <c r="A1797" s="4" t="s">
        <v>5078</v>
      </c>
      <c r="B1797" s="5">
        <v>1</v>
      </c>
    </row>
    <row r="1798" spans="1:2" x14ac:dyDescent="0.35">
      <c r="A1798" s="4" t="s">
        <v>4885</v>
      </c>
      <c r="B1798" s="5">
        <v>1</v>
      </c>
    </row>
    <row r="1799" spans="1:2" x14ac:dyDescent="0.35">
      <c r="A1799" s="4" t="s">
        <v>11272</v>
      </c>
      <c r="B1799" s="5">
        <v>1</v>
      </c>
    </row>
    <row r="1800" spans="1:2" x14ac:dyDescent="0.35">
      <c r="A1800" s="4" t="s">
        <v>7472</v>
      </c>
      <c r="B1800" s="5">
        <v>1</v>
      </c>
    </row>
    <row r="1801" spans="1:2" x14ac:dyDescent="0.35">
      <c r="A1801" s="4" t="s">
        <v>7465</v>
      </c>
      <c r="B1801" s="5">
        <v>1</v>
      </c>
    </row>
    <row r="1802" spans="1:2" x14ac:dyDescent="0.35">
      <c r="A1802" s="4" t="s">
        <v>5676</v>
      </c>
      <c r="B1802" s="5">
        <v>9</v>
      </c>
    </row>
    <row r="1803" spans="1:2" x14ac:dyDescent="0.35">
      <c r="A1803" s="4" t="s">
        <v>4487</v>
      </c>
      <c r="B1803" s="5">
        <v>1</v>
      </c>
    </row>
    <row r="1804" spans="1:2" x14ac:dyDescent="0.35">
      <c r="A1804" s="4" t="s">
        <v>7428</v>
      </c>
      <c r="B1804" s="5">
        <v>1</v>
      </c>
    </row>
    <row r="1805" spans="1:2" x14ac:dyDescent="0.35">
      <c r="A1805" s="4" t="s">
        <v>8793</v>
      </c>
      <c r="B1805" s="5">
        <v>1</v>
      </c>
    </row>
    <row r="1806" spans="1:2" x14ac:dyDescent="0.35">
      <c r="A1806" s="4" t="s">
        <v>5716</v>
      </c>
      <c r="B1806" s="5">
        <v>3</v>
      </c>
    </row>
    <row r="1807" spans="1:2" x14ac:dyDescent="0.35">
      <c r="A1807" s="4" t="s">
        <v>1659</v>
      </c>
      <c r="B1807" s="5">
        <v>6</v>
      </c>
    </row>
    <row r="1808" spans="1:2" x14ac:dyDescent="0.35">
      <c r="A1808" s="4" t="s">
        <v>327</v>
      </c>
      <c r="B1808" s="5">
        <v>164</v>
      </c>
    </row>
    <row r="1809" spans="1:2" x14ac:dyDescent="0.35">
      <c r="A1809" s="4" t="s">
        <v>9231</v>
      </c>
      <c r="B1809" s="5">
        <v>1</v>
      </c>
    </row>
    <row r="1810" spans="1:2" x14ac:dyDescent="0.35">
      <c r="A1810" s="4" t="s">
        <v>4390</v>
      </c>
      <c r="B1810" s="5">
        <v>1</v>
      </c>
    </row>
    <row r="1811" spans="1:2" x14ac:dyDescent="0.35">
      <c r="A1811" s="4" t="s">
        <v>3721</v>
      </c>
      <c r="B1811" s="5">
        <v>1</v>
      </c>
    </row>
    <row r="1812" spans="1:2" x14ac:dyDescent="0.35">
      <c r="A1812" s="4" t="s">
        <v>3110</v>
      </c>
      <c r="B1812" s="5">
        <v>2</v>
      </c>
    </row>
    <row r="1813" spans="1:2" x14ac:dyDescent="0.35">
      <c r="A1813" s="9" t="s">
        <v>13111</v>
      </c>
      <c r="B1813" s="10">
        <v>9451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C13" sqref="C13"/>
    </sheetView>
  </sheetViews>
  <sheetFormatPr defaultRowHeight="14.5" x14ac:dyDescent="0.35"/>
  <cols>
    <col min="1" max="1" width="53.453125" customWidth="1"/>
    <col min="2" max="2" width="13.453125" bestFit="1" customWidth="1"/>
  </cols>
  <sheetData>
    <row r="1" spans="1:2" x14ac:dyDescent="0.25">
      <c r="A1" s="6" t="s">
        <v>13113</v>
      </c>
      <c r="B1" s="6" t="s">
        <v>13110</v>
      </c>
    </row>
    <row r="2" spans="1:2" x14ac:dyDescent="0.25">
      <c r="A2" s="8" t="s">
        <v>13112</v>
      </c>
      <c r="B2" s="7"/>
    </row>
    <row r="3" spans="1:2" x14ac:dyDescent="0.25">
      <c r="A3" s="7" t="s">
        <v>3</v>
      </c>
      <c r="B3" s="7" t="s">
        <v>13114</v>
      </c>
    </row>
    <row r="4" spans="1:2" x14ac:dyDescent="0.25">
      <c r="A4" s="4" t="s">
        <v>1222</v>
      </c>
      <c r="B4" s="5">
        <v>465</v>
      </c>
    </row>
    <row r="5" spans="1:2" x14ac:dyDescent="0.25">
      <c r="A5" s="4" t="s">
        <v>35</v>
      </c>
      <c r="B5" s="5">
        <v>1470</v>
      </c>
    </row>
    <row r="6" spans="1:2" x14ac:dyDescent="0.25">
      <c r="A6" s="4" t="s">
        <v>423</v>
      </c>
      <c r="B6" s="5">
        <v>18</v>
      </c>
    </row>
    <row r="7" spans="1:2" x14ac:dyDescent="0.25">
      <c r="A7" s="4" t="s">
        <v>158</v>
      </c>
      <c r="B7" s="5">
        <v>232</v>
      </c>
    </row>
    <row r="8" spans="1:2" x14ac:dyDescent="0.25">
      <c r="A8" s="4" t="s">
        <v>117</v>
      </c>
      <c r="B8" s="5">
        <v>80</v>
      </c>
    </row>
    <row r="9" spans="1:2" x14ac:dyDescent="0.25">
      <c r="A9" s="4" t="s">
        <v>1482</v>
      </c>
      <c r="B9" s="5">
        <v>29</v>
      </c>
    </row>
    <row r="10" spans="1:2" x14ac:dyDescent="0.25">
      <c r="A10" s="4" t="s">
        <v>146</v>
      </c>
      <c r="B10" s="5">
        <v>115</v>
      </c>
    </row>
    <row r="11" spans="1:2" x14ac:dyDescent="0.25">
      <c r="A11" s="4" t="s">
        <v>6396</v>
      </c>
      <c r="B11" s="5">
        <v>569</v>
      </c>
    </row>
    <row r="12" spans="1:2" x14ac:dyDescent="0.25">
      <c r="A12" s="4" t="s">
        <v>2519</v>
      </c>
      <c r="B12" s="5">
        <v>115</v>
      </c>
    </row>
    <row r="13" spans="1:2" x14ac:dyDescent="0.25">
      <c r="A13" s="4" t="s">
        <v>335</v>
      </c>
      <c r="B13" s="5">
        <v>143</v>
      </c>
    </row>
    <row r="14" spans="1:2" x14ac:dyDescent="0.25">
      <c r="A14" s="4" t="s">
        <v>211</v>
      </c>
      <c r="B14" s="5">
        <v>526</v>
      </c>
    </row>
    <row r="15" spans="1:2" x14ac:dyDescent="0.25">
      <c r="A15" s="4" t="s">
        <v>125</v>
      </c>
      <c r="B15" s="5">
        <v>59</v>
      </c>
    </row>
    <row r="16" spans="1:2" x14ac:dyDescent="0.25">
      <c r="A16" s="4" t="s">
        <v>597</v>
      </c>
      <c r="B16" s="5">
        <v>89</v>
      </c>
    </row>
    <row r="17" spans="1:2" x14ac:dyDescent="0.25">
      <c r="A17" s="4" t="s">
        <v>261</v>
      </c>
      <c r="B17" s="5">
        <v>252</v>
      </c>
    </row>
    <row r="18" spans="1:2" x14ac:dyDescent="0.25">
      <c r="A18" s="4" t="s">
        <v>623</v>
      </c>
      <c r="B18" s="5">
        <v>535</v>
      </c>
    </row>
    <row r="19" spans="1:2" x14ac:dyDescent="0.25">
      <c r="A19" s="4" t="s">
        <v>360</v>
      </c>
      <c r="B19" s="5">
        <v>501</v>
      </c>
    </row>
    <row r="20" spans="1:2" x14ac:dyDescent="0.25">
      <c r="A20" s="4" t="s">
        <v>23</v>
      </c>
      <c r="B20" s="5">
        <v>4253</v>
      </c>
    </row>
    <row r="21" spans="1:2" x14ac:dyDescent="0.25">
      <c r="A21" s="9" t="s">
        <v>13111</v>
      </c>
      <c r="B21" s="10">
        <v>9451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42"/>
  <sheetViews>
    <sheetView tabSelected="1" workbookViewId="0">
      <selection activeCell="A2" sqref="A2"/>
    </sheetView>
  </sheetViews>
  <sheetFormatPr defaultRowHeight="14.5" x14ac:dyDescent="0.35"/>
  <cols>
    <col min="1" max="1" width="105.54296875" customWidth="1"/>
    <col min="2" max="2" width="7.1796875" customWidth="1"/>
  </cols>
  <sheetData>
    <row r="1" spans="1:2" ht="15" x14ac:dyDescent="0.25">
      <c r="A1" s="6" t="s">
        <v>13113</v>
      </c>
      <c r="B1" s="6" t="s">
        <v>13110</v>
      </c>
    </row>
    <row r="2" spans="1:2" ht="15" x14ac:dyDescent="0.25">
      <c r="A2" s="8" t="s">
        <v>13112</v>
      </c>
      <c r="B2" s="7"/>
    </row>
    <row r="3" spans="1:2" ht="15" x14ac:dyDescent="0.25">
      <c r="A3" s="7" t="s">
        <v>3</v>
      </c>
      <c r="B3" s="7" t="s">
        <v>13114</v>
      </c>
    </row>
    <row r="4" spans="1:2" ht="15" x14ac:dyDescent="0.25">
      <c r="A4" s="12" t="s">
        <v>1222</v>
      </c>
      <c r="B4" s="13">
        <v>465</v>
      </c>
    </row>
    <row r="5" spans="1:2" ht="15" x14ac:dyDescent="0.25">
      <c r="A5" s="11" t="s">
        <v>8626</v>
      </c>
      <c r="B5" s="5">
        <v>3</v>
      </c>
    </row>
    <row r="6" spans="1:2" ht="15" x14ac:dyDescent="0.25">
      <c r="A6" s="11" t="s">
        <v>10042</v>
      </c>
      <c r="B6" s="5">
        <v>2</v>
      </c>
    </row>
    <row r="7" spans="1:2" ht="15" x14ac:dyDescent="0.25">
      <c r="A7" s="11" t="s">
        <v>7082</v>
      </c>
      <c r="B7" s="5">
        <v>1</v>
      </c>
    </row>
    <row r="8" spans="1:2" ht="15" x14ac:dyDescent="0.25">
      <c r="A8" s="11" t="s">
        <v>5376</v>
      </c>
      <c r="B8" s="5">
        <v>3</v>
      </c>
    </row>
    <row r="9" spans="1:2" ht="15" x14ac:dyDescent="0.25">
      <c r="A9" s="11" t="s">
        <v>3179</v>
      </c>
      <c r="B9" s="5">
        <v>10</v>
      </c>
    </row>
    <row r="10" spans="1:2" ht="15" x14ac:dyDescent="0.25">
      <c r="A10" s="11" t="s">
        <v>5133</v>
      </c>
      <c r="B10" s="5">
        <v>3</v>
      </c>
    </row>
    <row r="11" spans="1:2" ht="15" x14ac:dyDescent="0.25">
      <c r="A11" s="11" t="s">
        <v>12626</v>
      </c>
      <c r="B11" s="5">
        <v>1</v>
      </c>
    </row>
    <row r="12" spans="1:2" ht="15" x14ac:dyDescent="0.25">
      <c r="A12" s="11" t="s">
        <v>52</v>
      </c>
      <c r="B12" s="5">
        <v>2</v>
      </c>
    </row>
    <row r="13" spans="1:2" ht="15" x14ac:dyDescent="0.25">
      <c r="A13" s="11" t="s">
        <v>2433</v>
      </c>
      <c r="B13" s="5">
        <v>5</v>
      </c>
    </row>
    <row r="14" spans="1:2" ht="15" x14ac:dyDescent="0.25">
      <c r="A14" s="11" t="s">
        <v>1373</v>
      </c>
      <c r="B14" s="5">
        <v>1</v>
      </c>
    </row>
    <row r="15" spans="1:2" ht="15" x14ac:dyDescent="0.25">
      <c r="A15" s="11" t="s">
        <v>3366</v>
      </c>
      <c r="B15" s="5">
        <v>3</v>
      </c>
    </row>
    <row r="16" spans="1:2" ht="15" x14ac:dyDescent="0.25">
      <c r="A16" s="11" t="s">
        <v>3808</v>
      </c>
      <c r="B16" s="5">
        <v>3</v>
      </c>
    </row>
    <row r="17" spans="1:2" ht="15" x14ac:dyDescent="0.25">
      <c r="A17" s="11" t="s">
        <v>6082</v>
      </c>
      <c r="B17" s="5">
        <v>20</v>
      </c>
    </row>
    <row r="18" spans="1:2" ht="15" x14ac:dyDescent="0.25">
      <c r="A18" s="11" t="s">
        <v>840</v>
      </c>
      <c r="B18" s="5">
        <v>6</v>
      </c>
    </row>
    <row r="19" spans="1:2" ht="15" x14ac:dyDescent="0.25">
      <c r="A19" s="11" t="s">
        <v>11826</v>
      </c>
      <c r="B19" s="5">
        <v>2</v>
      </c>
    </row>
    <row r="20" spans="1:2" ht="15" x14ac:dyDescent="0.25">
      <c r="A20" s="11" t="s">
        <v>4572</v>
      </c>
      <c r="B20" s="5">
        <v>1</v>
      </c>
    </row>
    <row r="21" spans="1:2" ht="15" x14ac:dyDescent="0.25">
      <c r="A21" s="11" t="s">
        <v>8707</v>
      </c>
      <c r="B21" s="5">
        <v>4</v>
      </c>
    </row>
    <row r="22" spans="1:2" x14ac:dyDescent="0.35">
      <c r="A22" s="11" t="s">
        <v>3584</v>
      </c>
      <c r="B22" s="5">
        <v>2</v>
      </c>
    </row>
    <row r="23" spans="1:2" x14ac:dyDescent="0.35">
      <c r="A23" s="11" t="s">
        <v>4289</v>
      </c>
      <c r="B23" s="5">
        <v>31</v>
      </c>
    </row>
    <row r="24" spans="1:2" x14ac:dyDescent="0.35">
      <c r="A24" s="11" t="s">
        <v>8763</v>
      </c>
      <c r="B24" s="5">
        <v>3</v>
      </c>
    </row>
    <row r="25" spans="1:2" x14ac:dyDescent="0.35">
      <c r="A25" s="11" t="s">
        <v>3961</v>
      </c>
      <c r="B25" s="5">
        <v>2</v>
      </c>
    </row>
    <row r="26" spans="1:2" x14ac:dyDescent="0.35">
      <c r="A26" s="11" t="s">
        <v>10148</v>
      </c>
      <c r="B26" s="5">
        <v>2</v>
      </c>
    </row>
    <row r="27" spans="1:2" x14ac:dyDescent="0.35">
      <c r="A27" s="11" t="s">
        <v>9984</v>
      </c>
      <c r="B27" s="5">
        <v>3</v>
      </c>
    </row>
    <row r="28" spans="1:2" x14ac:dyDescent="0.35">
      <c r="A28" s="11" t="s">
        <v>7029</v>
      </c>
      <c r="B28" s="5">
        <v>4</v>
      </c>
    </row>
    <row r="29" spans="1:2" x14ac:dyDescent="0.35">
      <c r="A29" s="11" t="s">
        <v>3801</v>
      </c>
      <c r="B29" s="5">
        <v>5</v>
      </c>
    </row>
    <row r="30" spans="1:2" x14ac:dyDescent="0.35">
      <c r="A30" s="11" t="s">
        <v>8462</v>
      </c>
      <c r="B30" s="5">
        <v>1</v>
      </c>
    </row>
    <row r="31" spans="1:2" x14ac:dyDescent="0.35">
      <c r="A31" s="11" t="s">
        <v>2369</v>
      </c>
      <c r="B31" s="5">
        <v>1</v>
      </c>
    </row>
    <row r="32" spans="1:2" x14ac:dyDescent="0.35">
      <c r="A32" s="11" t="s">
        <v>12589</v>
      </c>
      <c r="B32" s="5">
        <v>2</v>
      </c>
    </row>
    <row r="33" spans="1:2" x14ac:dyDescent="0.35">
      <c r="A33" s="11" t="s">
        <v>4877</v>
      </c>
      <c r="B33" s="5">
        <v>1</v>
      </c>
    </row>
    <row r="34" spans="1:2" x14ac:dyDescent="0.35">
      <c r="A34" s="11" t="s">
        <v>12730</v>
      </c>
      <c r="B34" s="5">
        <v>3</v>
      </c>
    </row>
    <row r="35" spans="1:2" x14ac:dyDescent="0.35">
      <c r="A35" s="11" t="s">
        <v>12119</v>
      </c>
      <c r="B35" s="5">
        <v>2</v>
      </c>
    </row>
    <row r="36" spans="1:2" x14ac:dyDescent="0.35">
      <c r="A36" s="11" t="s">
        <v>986</v>
      </c>
      <c r="B36" s="5">
        <v>5</v>
      </c>
    </row>
    <row r="37" spans="1:2" x14ac:dyDescent="0.35">
      <c r="A37" s="11" t="s">
        <v>1477</v>
      </c>
      <c r="B37" s="5">
        <v>3</v>
      </c>
    </row>
    <row r="38" spans="1:2" x14ac:dyDescent="0.35">
      <c r="A38" s="11" t="s">
        <v>1072</v>
      </c>
      <c r="B38" s="5">
        <v>3</v>
      </c>
    </row>
    <row r="39" spans="1:2" x14ac:dyDescent="0.35">
      <c r="A39" s="11" t="s">
        <v>1787</v>
      </c>
      <c r="B39" s="5">
        <v>1</v>
      </c>
    </row>
    <row r="40" spans="1:2" x14ac:dyDescent="0.35">
      <c r="A40" s="11" t="s">
        <v>2000</v>
      </c>
      <c r="B40" s="5">
        <v>1</v>
      </c>
    </row>
    <row r="41" spans="1:2" x14ac:dyDescent="0.35">
      <c r="A41" s="11" t="s">
        <v>5983</v>
      </c>
      <c r="B41" s="5">
        <v>1</v>
      </c>
    </row>
    <row r="42" spans="1:2" x14ac:dyDescent="0.35">
      <c r="A42" s="11" t="s">
        <v>3232</v>
      </c>
      <c r="B42" s="5">
        <v>1</v>
      </c>
    </row>
    <row r="43" spans="1:2" x14ac:dyDescent="0.35">
      <c r="A43" s="11" t="s">
        <v>572</v>
      </c>
      <c r="B43" s="5">
        <v>1</v>
      </c>
    </row>
    <row r="44" spans="1:2" x14ac:dyDescent="0.35">
      <c r="A44" s="11" t="s">
        <v>3993</v>
      </c>
      <c r="B44" s="5">
        <v>7</v>
      </c>
    </row>
    <row r="45" spans="1:2" x14ac:dyDescent="0.35">
      <c r="A45" s="11" t="s">
        <v>4075</v>
      </c>
      <c r="B45" s="5">
        <v>1</v>
      </c>
    </row>
    <row r="46" spans="1:2" x14ac:dyDescent="0.35">
      <c r="A46" s="11" t="s">
        <v>11505</v>
      </c>
      <c r="B46" s="5">
        <v>1</v>
      </c>
    </row>
    <row r="47" spans="1:2" x14ac:dyDescent="0.35">
      <c r="A47" s="11" t="s">
        <v>9044</v>
      </c>
      <c r="B47" s="5">
        <v>4</v>
      </c>
    </row>
    <row r="48" spans="1:2" x14ac:dyDescent="0.35">
      <c r="A48" s="11" t="s">
        <v>6325</v>
      </c>
      <c r="B48" s="5">
        <v>13</v>
      </c>
    </row>
    <row r="49" spans="1:2" x14ac:dyDescent="0.35">
      <c r="A49" s="11" t="s">
        <v>11774</v>
      </c>
      <c r="B49" s="5">
        <v>1</v>
      </c>
    </row>
    <row r="50" spans="1:2" x14ac:dyDescent="0.35">
      <c r="A50" s="11" t="s">
        <v>2959</v>
      </c>
      <c r="B50" s="5">
        <v>1</v>
      </c>
    </row>
    <row r="51" spans="1:2" x14ac:dyDescent="0.35">
      <c r="A51" s="11" t="s">
        <v>7549</v>
      </c>
      <c r="B51" s="5">
        <v>2</v>
      </c>
    </row>
    <row r="52" spans="1:2" x14ac:dyDescent="0.35">
      <c r="A52" s="11" t="s">
        <v>7865</v>
      </c>
      <c r="B52" s="5">
        <v>1</v>
      </c>
    </row>
    <row r="53" spans="1:2" x14ac:dyDescent="0.35">
      <c r="A53" s="11" t="s">
        <v>8136</v>
      </c>
      <c r="B53" s="5">
        <v>8</v>
      </c>
    </row>
    <row r="54" spans="1:2" x14ac:dyDescent="0.35">
      <c r="A54" s="11" t="s">
        <v>4260</v>
      </c>
      <c r="B54" s="5">
        <v>2</v>
      </c>
    </row>
    <row r="55" spans="1:2" x14ac:dyDescent="0.35">
      <c r="A55" s="11" t="s">
        <v>3815</v>
      </c>
      <c r="B55" s="5">
        <v>3</v>
      </c>
    </row>
    <row r="56" spans="1:2" x14ac:dyDescent="0.35">
      <c r="A56" s="11" t="s">
        <v>4779</v>
      </c>
      <c r="B56" s="5">
        <v>3</v>
      </c>
    </row>
    <row r="57" spans="1:2" x14ac:dyDescent="0.35">
      <c r="A57" s="11" t="s">
        <v>3973</v>
      </c>
      <c r="B57" s="5">
        <v>2</v>
      </c>
    </row>
    <row r="58" spans="1:2" x14ac:dyDescent="0.35">
      <c r="A58" s="11" t="s">
        <v>3943</v>
      </c>
      <c r="B58" s="5">
        <v>2</v>
      </c>
    </row>
    <row r="59" spans="1:2" x14ac:dyDescent="0.35">
      <c r="A59" s="11" t="s">
        <v>5631</v>
      </c>
      <c r="B59" s="5">
        <v>8</v>
      </c>
    </row>
    <row r="60" spans="1:2" x14ac:dyDescent="0.35">
      <c r="A60" s="11" t="s">
        <v>226</v>
      </c>
      <c r="B60" s="5">
        <v>1</v>
      </c>
    </row>
    <row r="61" spans="1:2" x14ac:dyDescent="0.35">
      <c r="A61" s="11" t="s">
        <v>148</v>
      </c>
      <c r="B61" s="5">
        <v>1</v>
      </c>
    </row>
    <row r="62" spans="1:2" x14ac:dyDescent="0.35">
      <c r="A62" s="11" t="s">
        <v>1224</v>
      </c>
      <c r="B62" s="5">
        <v>2</v>
      </c>
    </row>
    <row r="63" spans="1:2" x14ac:dyDescent="0.35">
      <c r="A63" s="11" t="s">
        <v>3275</v>
      </c>
      <c r="B63" s="5">
        <v>1</v>
      </c>
    </row>
    <row r="64" spans="1:2" x14ac:dyDescent="0.35">
      <c r="A64" s="11" t="s">
        <v>9292</v>
      </c>
      <c r="B64" s="5">
        <v>2</v>
      </c>
    </row>
    <row r="65" spans="1:2" x14ac:dyDescent="0.35">
      <c r="A65" s="11" t="s">
        <v>4223</v>
      </c>
      <c r="B65" s="5">
        <v>4</v>
      </c>
    </row>
    <row r="66" spans="1:2" x14ac:dyDescent="0.35">
      <c r="A66" s="11" t="s">
        <v>83</v>
      </c>
      <c r="B66" s="5">
        <v>1</v>
      </c>
    </row>
    <row r="67" spans="1:2" x14ac:dyDescent="0.35">
      <c r="A67" s="11" t="s">
        <v>1656</v>
      </c>
      <c r="B67" s="5">
        <v>2</v>
      </c>
    </row>
    <row r="68" spans="1:2" x14ac:dyDescent="0.35">
      <c r="A68" s="11" t="s">
        <v>5579</v>
      </c>
      <c r="B68" s="5">
        <v>1</v>
      </c>
    </row>
    <row r="69" spans="1:2" x14ac:dyDescent="0.35">
      <c r="A69" s="11" t="s">
        <v>12192</v>
      </c>
      <c r="B69" s="5">
        <v>1</v>
      </c>
    </row>
    <row r="70" spans="1:2" x14ac:dyDescent="0.35">
      <c r="A70" s="11" t="s">
        <v>2583</v>
      </c>
      <c r="B70" s="5">
        <v>3</v>
      </c>
    </row>
    <row r="71" spans="1:2" x14ac:dyDescent="0.35">
      <c r="A71" s="11" t="s">
        <v>1690</v>
      </c>
      <c r="B71" s="5">
        <v>1</v>
      </c>
    </row>
    <row r="72" spans="1:2" x14ac:dyDescent="0.35">
      <c r="A72" s="11" t="s">
        <v>7642</v>
      </c>
      <c r="B72" s="5">
        <v>1</v>
      </c>
    </row>
    <row r="73" spans="1:2" x14ac:dyDescent="0.35">
      <c r="A73" s="11" t="s">
        <v>12766</v>
      </c>
      <c r="B73" s="5">
        <v>1</v>
      </c>
    </row>
    <row r="74" spans="1:2" x14ac:dyDescent="0.35">
      <c r="A74" s="11" t="s">
        <v>6552</v>
      </c>
      <c r="B74" s="5">
        <v>1</v>
      </c>
    </row>
    <row r="75" spans="1:2" x14ac:dyDescent="0.35">
      <c r="A75" s="11" t="s">
        <v>6671</v>
      </c>
      <c r="B75" s="5">
        <v>4</v>
      </c>
    </row>
    <row r="76" spans="1:2" x14ac:dyDescent="0.35">
      <c r="A76" s="11" t="s">
        <v>1440</v>
      </c>
      <c r="B76" s="5">
        <v>3</v>
      </c>
    </row>
    <row r="77" spans="1:2" x14ac:dyDescent="0.35">
      <c r="A77" s="11" t="s">
        <v>8830</v>
      </c>
      <c r="B77" s="5">
        <v>1</v>
      </c>
    </row>
    <row r="78" spans="1:2" x14ac:dyDescent="0.35">
      <c r="A78" s="11" t="s">
        <v>6641</v>
      </c>
      <c r="B78" s="5">
        <v>1</v>
      </c>
    </row>
    <row r="79" spans="1:2" x14ac:dyDescent="0.35">
      <c r="A79" s="11" t="s">
        <v>1972</v>
      </c>
      <c r="B79" s="5">
        <v>1</v>
      </c>
    </row>
    <row r="80" spans="1:2" x14ac:dyDescent="0.35">
      <c r="A80" s="11" t="s">
        <v>2807</v>
      </c>
      <c r="B80" s="5">
        <v>2</v>
      </c>
    </row>
    <row r="81" spans="1:2" x14ac:dyDescent="0.35">
      <c r="A81" s="11" t="s">
        <v>3935</v>
      </c>
      <c r="B81" s="5">
        <v>2</v>
      </c>
    </row>
    <row r="82" spans="1:2" x14ac:dyDescent="0.35">
      <c r="A82" s="11" t="s">
        <v>11539</v>
      </c>
      <c r="B82" s="5">
        <v>1</v>
      </c>
    </row>
    <row r="83" spans="1:2" x14ac:dyDescent="0.35">
      <c r="A83" s="11" t="s">
        <v>4095</v>
      </c>
      <c r="B83" s="5">
        <v>2</v>
      </c>
    </row>
    <row r="84" spans="1:2" x14ac:dyDescent="0.35">
      <c r="A84" s="11" t="s">
        <v>5911</v>
      </c>
      <c r="B84" s="5">
        <v>2</v>
      </c>
    </row>
    <row r="85" spans="1:2" x14ac:dyDescent="0.35">
      <c r="A85" s="11" t="s">
        <v>3969</v>
      </c>
      <c r="B85" s="5">
        <v>3</v>
      </c>
    </row>
    <row r="86" spans="1:2" x14ac:dyDescent="0.35">
      <c r="A86" s="11" t="s">
        <v>11686</v>
      </c>
      <c r="B86" s="5">
        <v>1</v>
      </c>
    </row>
    <row r="87" spans="1:2" x14ac:dyDescent="0.35">
      <c r="A87" s="11" t="s">
        <v>2132</v>
      </c>
      <c r="B87" s="5">
        <v>2</v>
      </c>
    </row>
    <row r="88" spans="1:2" x14ac:dyDescent="0.35">
      <c r="A88" s="11" t="s">
        <v>4117</v>
      </c>
      <c r="B88" s="5">
        <v>1</v>
      </c>
    </row>
    <row r="89" spans="1:2" x14ac:dyDescent="0.35">
      <c r="A89" s="11" t="s">
        <v>3953</v>
      </c>
      <c r="B89" s="5">
        <v>2</v>
      </c>
    </row>
    <row r="90" spans="1:2" x14ac:dyDescent="0.35">
      <c r="A90" s="11" t="s">
        <v>3495</v>
      </c>
      <c r="B90" s="5">
        <v>4</v>
      </c>
    </row>
    <row r="91" spans="1:2" x14ac:dyDescent="0.35">
      <c r="A91" s="11" t="s">
        <v>9014</v>
      </c>
      <c r="B91" s="5">
        <v>1</v>
      </c>
    </row>
    <row r="92" spans="1:2" x14ac:dyDescent="0.35">
      <c r="A92" s="11" t="s">
        <v>4890</v>
      </c>
      <c r="B92" s="5">
        <v>1</v>
      </c>
    </row>
    <row r="93" spans="1:2" x14ac:dyDescent="0.35">
      <c r="A93" s="11" t="s">
        <v>4214</v>
      </c>
      <c r="B93" s="5">
        <v>1</v>
      </c>
    </row>
    <row r="94" spans="1:2" x14ac:dyDescent="0.35">
      <c r="A94" s="11" t="s">
        <v>3488</v>
      </c>
      <c r="B94" s="5">
        <v>4</v>
      </c>
    </row>
    <row r="95" spans="1:2" x14ac:dyDescent="0.35">
      <c r="A95" s="11" t="s">
        <v>2665</v>
      </c>
      <c r="B95" s="5">
        <v>2</v>
      </c>
    </row>
    <row r="96" spans="1:2" x14ac:dyDescent="0.35">
      <c r="A96" s="11" t="s">
        <v>3449</v>
      </c>
      <c r="B96" s="5">
        <v>6</v>
      </c>
    </row>
    <row r="97" spans="1:2" x14ac:dyDescent="0.35">
      <c r="A97" s="11" t="s">
        <v>1790</v>
      </c>
      <c r="B97" s="5">
        <v>2</v>
      </c>
    </row>
    <row r="98" spans="1:2" x14ac:dyDescent="0.35">
      <c r="A98" s="11" t="s">
        <v>12586</v>
      </c>
      <c r="B98" s="5">
        <v>1</v>
      </c>
    </row>
    <row r="99" spans="1:2" x14ac:dyDescent="0.35">
      <c r="A99" s="11" t="s">
        <v>13010</v>
      </c>
      <c r="B99" s="5">
        <v>2</v>
      </c>
    </row>
    <row r="100" spans="1:2" x14ac:dyDescent="0.35">
      <c r="A100" s="11" t="s">
        <v>13017</v>
      </c>
      <c r="B100" s="5">
        <v>1</v>
      </c>
    </row>
    <row r="101" spans="1:2" x14ac:dyDescent="0.35">
      <c r="A101" s="11" t="s">
        <v>4218</v>
      </c>
      <c r="B101" s="5">
        <v>2</v>
      </c>
    </row>
    <row r="102" spans="1:2" x14ac:dyDescent="0.35">
      <c r="A102" s="11" t="s">
        <v>5959</v>
      </c>
      <c r="B102" s="5">
        <v>2</v>
      </c>
    </row>
    <row r="103" spans="1:2" x14ac:dyDescent="0.35">
      <c r="A103" s="11" t="s">
        <v>2685</v>
      </c>
      <c r="B103" s="5">
        <v>1</v>
      </c>
    </row>
    <row r="104" spans="1:2" x14ac:dyDescent="0.35">
      <c r="A104" s="11" t="s">
        <v>3530</v>
      </c>
      <c r="B104" s="5">
        <v>1</v>
      </c>
    </row>
    <row r="105" spans="1:2" x14ac:dyDescent="0.35">
      <c r="A105" s="11" t="s">
        <v>8253</v>
      </c>
      <c r="B105" s="5">
        <v>3</v>
      </c>
    </row>
    <row r="106" spans="1:2" x14ac:dyDescent="0.35">
      <c r="A106" s="11" t="s">
        <v>6812</v>
      </c>
      <c r="B106" s="5">
        <v>3</v>
      </c>
    </row>
    <row r="107" spans="1:2" x14ac:dyDescent="0.35">
      <c r="A107" s="11" t="s">
        <v>5248</v>
      </c>
      <c r="B107" s="5">
        <v>1</v>
      </c>
    </row>
    <row r="108" spans="1:2" x14ac:dyDescent="0.35">
      <c r="A108" s="11" t="s">
        <v>8266</v>
      </c>
      <c r="B108" s="5">
        <v>1</v>
      </c>
    </row>
    <row r="109" spans="1:2" x14ac:dyDescent="0.35">
      <c r="A109" s="11" t="s">
        <v>1064</v>
      </c>
      <c r="B109" s="5">
        <v>2</v>
      </c>
    </row>
    <row r="110" spans="1:2" x14ac:dyDescent="0.35">
      <c r="A110" s="11" t="s">
        <v>2419</v>
      </c>
      <c r="B110" s="5">
        <v>1</v>
      </c>
    </row>
    <row r="111" spans="1:2" x14ac:dyDescent="0.35">
      <c r="A111" s="11" t="s">
        <v>4162</v>
      </c>
      <c r="B111" s="5">
        <v>4</v>
      </c>
    </row>
    <row r="112" spans="1:2" x14ac:dyDescent="0.35">
      <c r="A112" s="11" t="s">
        <v>1698</v>
      </c>
      <c r="B112" s="5">
        <v>15</v>
      </c>
    </row>
    <row r="113" spans="1:2" x14ac:dyDescent="0.35">
      <c r="A113" s="11" t="s">
        <v>4773</v>
      </c>
      <c r="B113" s="5">
        <v>1</v>
      </c>
    </row>
    <row r="114" spans="1:2" x14ac:dyDescent="0.35">
      <c r="A114" s="11" t="s">
        <v>11820</v>
      </c>
      <c r="B114" s="5">
        <v>14</v>
      </c>
    </row>
    <row r="115" spans="1:2" x14ac:dyDescent="0.35">
      <c r="A115" s="11" t="s">
        <v>1833</v>
      </c>
      <c r="B115" s="5">
        <v>2</v>
      </c>
    </row>
    <row r="116" spans="1:2" x14ac:dyDescent="0.35">
      <c r="A116" s="11" t="s">
        <v>6133</v>
      </c>
      <c r="B116" s="5">
        <v>1</v>
      </c>
    </row>
    <row r="117" spans="1:2" x14ac:dyDescent="0.35">
      <c r="A117" s="11" t="s">
        <v>4065</v>
      </c>
      <c r="B117" s="5">
        <v>1</v>
      </c>
    </row>
    <row r="118" spans="1:2" x14ac:dyDescent="0.35">
      <c r="A118" s="11" t="s">
        <v>8970</v>
      </c>
      <c r="B118" s="5">
        <v>1</v>
      </c>
    </row>
    <row r="119" spans="1:2" x14ac:dyDescent="0.35">
      <c r="A119" s="11" t="s">
        <v>1571</v>
      </c>
      <c r="B119" s="5">
        <v>9</v>
      </c>
    </row>
    <row r="120" spans="1:2" x14ac:dyDescent="0.35">
      <c r="A120" s="11" t="s">
        <v>2680</v>
      </c>
      <c r="B120" s="5">
        <v>7</v>
      </c>
    </row>
    <row r="121" spans="1:2" x14ac:dyDescent="0.35">
      <c r="A121" s="11" t="s">
        <v>3263</v>
      </c>
      <c r="B121" s="5">
        <v>89</v>
      </c>
    </row>
    <row r="122" spans="1:2" x14ac:dyDescent="0.35">
      <c r="A122" s="11" t="s">
        <v>12234</v>
      </c>
      <c r="B122" s="5">
        <v>1</v>
      </c>
    </row>
    <row r="123" spans="1:2" x14ac:dyDescent="0.35">
      <c r="A123" s="11" t="s">
        <v>4736</v>
      </c>
      <c r="B123" s="5">
        <v>3</v>
      </c>
    </row>
    <row r="124" spans="1:2" x14ac:dyDescent="0.35">
      <c r="A124" s="11" t="s">
        <v>4770</v>
      </c>
      <c r="B124" s="5">
        <v>1</v>
      </c>
    </row>
    <row r="125" spans="1:2" x14ac:dyDescent="0.35">
      <c r="A125" s="11" t="s">
        <v>7631</v>
      </c>
      <c r="B125" s="5">
        <v>2</v>
      </c>
    </row>
    <row r="126" spans="1:2" x14ac:dyDescent="0.35">
      <c r="A126" s="11" t="s">
        <v>5357</v>
      </c>
      <c r="B126" s="5">
        <v>4</v>
      </c>
    </row>
    <row r="127" spans="1:2" x14ac:dyDescent="0.35">
      <c r="A127" s="11" t="s">
        <v>12458</v>
      </c>
      <c r="B127" s="5">
        <v>5</v>
      </c>
    </row>
    <row r="128" spans="1:2" x14ac:dyDescent="0.35">
      <c r="A128" s="11" t="s">
        <v>3268</v>
      </c>
      <c r="B128" s="5">
        <v>1</v>
      </c>
    </row>
    <row r="129" spans="1:2" x14ac:dyDescent="0.35">
      <c r="A129" s="11" t="s">
        <v>12815</v>
      </c>
      <c r="B129" s="5">
        <v>1</v>
      </c>
    </row>
    <row r="130" spans="1:2" x14ac:dyDescent="0.35">
      <c r="A130" s="11" t="s">
        <v>13041</v>
      </c>
      <c r="B130" s="5">
        <v>2</v>
      </c>
    </row>
    <row r="131" spans="1:2" x14ac:dyDescent="0.35">
      <c r="A131" s="11" t="s">
        <v>9810</v>
      </c>
      <c r="B131" s="5">
        <v>1</v>
      </c>
    </row>
    <row r="132" spans="1:2" x14ac:dyDescent="0.35">
      <c r="A132" s="12" t="s">
        <v>35</v>
      </c>
      <c r="B132" s="13">
        <v>1470</v>
      </c>
    </row>
    <row r="133" spans="1:2" x14ac:dyDescent="0.35">
      <c r="A133" s="11" t="s">
        <v>4564</v>
      </c>
      <c r="B133" s="5">
        <v>5</v>
      </c>
    </row>
    <row r="134" spans="1:2" x14ac:dyDescent="0.35">
      <c r="A134" s="11" t="s">
        <v>3003</v>
      </c>
      <c r="B134" s="5">
        <v>4</v>
      </c>
    </row>
    <row r="135" spans="1:2" x14ac:dyDescent="0.35">
      <c r="A135" s="11" t="s">
        <v>2176</v>
      </c>
      <c r="B135" s="5">
        <v>1</v>
      </c>
    </row>
    <row r="136" spans="1:2" x14ac:dyDescent="0.35">
      <c r="A136" s="11" t="s">
        <v>3215</v>
      </c>
      <c r="B136" s="5">
        <v>3</v>
      </c>
    </row>
    <row r="137" spans="1:2" x14ac:dyDescent="0.35">
      <c r="A137" s="11" t="s">
        <v>1758</v>
      </c>
      <c r="B137" s="5">
        <v>9</v>
      </c>
    </row>
    <row r="138" spans="1:2" x14ac:dyDescent="0.35">
      <c r="A138" s="11" t="s">
        <v>5182</v>
      </c>
      <c r="B138" s="5">
        <v>1</v>
      </c>
    </row>
    <row r="139" spans="1:2" x14ac:dyDescent="0.35">
      <c r="A139" s="11" t="s">
        <v>2675</v>
      </c>
      <c r="B139" s="5">
        <v>1</v>
      </c>
    </row>
    <row r="140" spans="1:2" x14ac:dyDescent="0.35">
      <c r="A140" s="11" t="s">
        <v>4841</v>
      </c>
      <c r="B140" s="5">
        <v>1</v>
      </c>
    </row>
    <row r="141" spans="1:2" x14ac:dyDescent="0.35">
      <c r="A141" s="11" t="s">
        <v>4286</v>
      </c>
      <c r="B141" s="5">
        <v>1</v>
      </c>
    </row>
    <row r="142" spans="1:2" x14ac:dyDescent="0.35">
      <c r="A142" s="11" t="s">
        <v>2644</v>
      </c>
      <c r="B142" s="5">
        <v>3</v>
      </c>
    </row>
    <row r="143" spans="1:2" x14ac:dyDescent="0.35">
      <c r="A143" s="11" t="s">
        <v>515</v>
      </c>
      <c r="B143" s="5">
        <v>2</v>
      </c>
    </row>
    <row r="144" spans="1:2" x14ac:dyDescent="0.35">
      <c r="A144" s="11" t="s">
        <v>67</v>
      </c>
      <c r="B144" s="5">
        <v>2</v>
      </c>
    </row>
    <row r="145" spans="1:2" x14ac:dyDescent="0.35">
      <c r="A145" s="11" t="s">
        <v>1473</v>
      </c>
      <c r="B145" s="5">
        <v>2</v>
      </c>
    </row>
    <row r="146" spans="1:2" x14ac:dyDescent="0.35">
      <c r="A146" s="11" t="s">
        <v>4358</v>
      </c>
      <c r="B146" s="5">
        <v>1</v>
      </c>
    </row>
    <row r="147" spans="1:2" x14ac:dyDescent="0.35">
      <c r="A147" s="11" t="s">
        <v>5376</v>
      </c>
      <c r="B147" s="5">
        <v>2</v>
      </c>
    </row>
    <row r="148" spans="1:2" x14ac:dyDescent="0.35">
      <c r="A148" s="11" t="s">
        <v>3179</v>
      </c>
      <c r="B148" s="5">
        <v>1</v>
      </c>
    </row>
    <row r="149" spans="1:2" x14ac:dyDescent="0.35">
      <c r="A149" s="11" t="s">
        <v>1046</v>
      </c>
      <c r="B149" s="5">
        <v>2</v>
      </c>
    </row>
    <row r="150" spans="1:2" x14ac:dyDescent="0.35">
      <c r="A150" s="11" t="s">
        <v>3271</v>
      </c>
      <c r="B150" s="5">
        <v>9</v>
      </c>
    </row>
    <row r="151" spans="1:2" x14ac:dyDescent="0.35">
      <c r="A151" s="11" t="s">
        <v>3503</v>
      </c>
      <c r="B151" s="5">
        <v>2</v>
      </c>
    </row>
    <row r="152" spans="1:2" x14ac:dyDescent="0.35">
      <c r="A152" s="11" t="s">
        <v>1154</v>
      </c>
      <c r="B152" s="5">
        <v>4</v>
      </c>
    </row>
    <row r="153" spans="1:2" x14ac:dyDescent="0.35">
      <c r="A153" s="11" t="s">
        <v>8142</v>
      </c>
      <c r="B153" s="5">
        <v>1</v>
      </c>
    </row>
    <row r="154" spans="1:2" x14ac:dyDescent="0.35">
      <c r="A154" s="11" t="s">
        <v>7161</v>
      </c>
      <c r="B154" s="5">
        <v>2</v>
      </c>
    </row>
    <row r="155" spans="1:2" x14ac:dyDescent="0.35">
      <c r="A155" s="11" t="s">
        <v>5308</v>
      </c>
      <c r="B155" s="5">
        <v>5</v>
      </c>
    </row>
    <row r="156" spans="1:2" x14ac:dyDescent="0.35">
      <c r="A156" s="11" t="s">
        <v>1373</v>
      </c>
      <c r="B156" s="5">
        <v>18</v>
      </c>
    </row>
    <row r="157" spans="1:2" x14ac:dyDescent="0.35">
      <c r="A157" s="11" t="s">
        <v>8367</v>
      </c>
      <c r="B157" s="5">
        <v>3</v>
      </c>
    </row>
    <row r="158" spans="1:2" x14ac:dyDescent="0.35">
      <c r="A158" s="11" t="s">
        <v>4846</v>
      </c>
      <c r="B158" s="5">
        <v>7</v>
      </c>
    </row>
    <row r="159" spans="1:2" x14ac:dyDescent="0.35">
      <c r="A159" s="11" t="s">
        <v>8556</v>
      </c>
      <c r="B159" s="5">
        <v>1</v>
      </c>
    </row>
    <row r="160" spans="1:2" x14ac:dyDescent="0.35">
      <c r="A160" s="11" t="s">
        <v>3366</v>
      </c>
      <c r="B160" s="5">
        <v>2</v>
      </c>
    </row>
    <row r="161" spans="1:2" x14ac:dyDescent="0.35">
      <c r="A161" s="11" t="s">
        <v>3624</v>
      </c>
      <c r="B161" s="5">
        <v>1</v>
      </c>
    </row>
    <row r="162" spans="1:2" x14ac:dyDescent="0.35">
      <c r="A162" s="11" t="s">
        <v>3128</v>
      </c>
      <c r="B162" s="5">
        <v>3</v>
      </c>
    </row>
    <row r="163" spans="1:2" x14ac:dyDescent="0.35">
      <c r="A163" s="11" t="s">
        <v>691</v>
      </c>
      <c r="B163" s="5">
        <v>1</v>
      </c>
    </row>
    <row r="164" spans="1:2" x14ac:dyDescent="0.35">
      <c r="A164" s="11" t="s">
        <v>5919</v>
      </c>
      <c r="B164" s="5">
        <v>2</v>
      </c>
    </row>
    <row r="165" spans="1:2" x14ac:dyDescent="0.35">
      <c r="A165" s="11" t="s">
        <v>7292</v>
      </c>
      <c r="B165" s="5">
        <v>1</v>
      </c>
    </row>
    <row r="166" spans="1:2" x14ac:dyDescent="0.35">
      <c r="A166" s="11" t="s">
        <v>12968</v>
      </c>
      <c r="B166" s="5">
        <v>1</v>
      </c>
    </row>
    <row r="167" spans="1:2" x14ac:dyDescent="0.35">
      <c r="A167" s="11" t="s">
        <v>3093</v>
      </c>
      <c r="B167" s="5">
        <v>4</v>
      </c>
    </row>
    <row r="168" spans="1:2" x14ac:dyDescent="0.35">
      <c r="A168" s="11" t="s">
        <v>3836</v>
      </c>
      <c r="B168" s="5">
        <v>2</v>
      </c>
    </row>
    <row r="169" spans="1:2" x14ac:dyDescent="0.35">
      <c r="A169" s="11" t="s">
        <v>4572</v>
      </c>
      <c r="B169" s="5">
        <v>9</v>
      </c>
    </row>
    <row r="170" spans="1:2" x14ac:dyDescent="0.35">
      <c r="A170" s="11" t="s">
        <v>3217</v>
      </c>
      <c r="B170" s="5">
        <v>2</v>
      </c>
    </row>
    <row r="171" spans="1:2" x14ac:dyDescent="0.35">
      <c r="A171" s="11" t="s">
        <v>1353</v>
      </c>
      <c r="B171" s="5">
        <v>2</v>
      </c>
    </row>
    <row r="172" spans="1:2" x14ac:dyDescent="0.35">
      <c r="A172" s="11" t="s">
        <v>8546</v>
      </c>
      <c r="B172" s="5">
        <v>1</v>
      </c>
    </row>
    <row r="173" spans="1:2" x14ac:dyDescent="0.35">
      <c r="A173" s="11" t="s">
        <v>12268</v>
      </c>
      <c r="B173" s="5">
        <v>2</v>
      </c>
    </row>
    <row r="174" spans="1:2" x14ac:dyDescent="0.35">
      <c r="A174" s="11" t="s">
        <v>4668</v>
      </c>
      <c r="B174" s="5">
        <v>24</v>
      </c>
    </row>
    <row r="175" spans="1:2" x14ac:dyDescent="0.35">
      <c r="A175" s="11" t="s">
        <v>5120</v>
      </c>
      <c r="B175" s="5">
        <v>12</v>
      </c>
    </row>
    <row r="176" spans="1:2" x14ac:dyDescent="0.35">
      <c r="A176" s="11" t="s">
        <v>2878</v>
      </c>
      <c r="B176" s="5">
        <v>1</v>
      </c>
    </row>
    <row r="177" spans="1:2" x14ac:dyDescent="0.35">
      <c r="A177" s="11" t="s">
        <v>9156</v>
      </c>
      <c r="B177" s="5">
        <v>1</v>
      </c>
    </row>
    <row r="178" spans="1:2" x14ac:dyDescent="0.35">
      <c r="A178" s="11" t="s">
        <v>3417</v>
      </c>
      <c r="B178" s="5">
        <v>2</v>
      </c>
    </row>
    <row r="179" spans="1:2" x14ac:dyDescent="0.35">
      <c r="A179" s="11" t="s">
        <v>4548</v>
      </c>
      <c r="B179" s="5">
        <v>2</v>
      </c>
    </row>
    <row r="180" spans="1:2" x14ac:dyDescent="0.35">
      <c r="A180" s="11" t="s">
        <v>6538</v>
      </c>
      <c r="B180" s="5">
        <v>2</v>
      </c>
    </row>
    <row r="181" spans="1:2" x14ac:dyDescent="0.35">
      <c r="A181" s="11" t="s">
        <v>9702</v>
      </c>
      <c r="B181" s="5">
        <v>2</v>
      </c>
    </row>
    <row r="182" spans="1:2" x14ac:dyDescent="0.35">
      <c r="A182" s="11" t="s">
        <v>8763</v>
      </c>
      <c r="B182" s="5">
        <v>3</v>
      </c>
    </row>
    <row r="183" spans="1:2" x14ac:dyDescent="0.35">
      <c r="A183" s="11" t="s">
        <v>3961</v>
      </c>
      <c r="B183" s="5">
        <v>1</v>
      </c>
    </row>
    <row r="184" spans="1:2" x14ac:dyDescent="0.35">
      <c r="A184" s="11" t="s">
        <v>12988</v>
      </c>
      <c r="B184" s="5">
        <v>3</v>
      </c>
    </row>
    <row r="185" spans="1:2" x14ac:dyDescent="0.35">
      <c r="A185" s="11" t="s">
        <v>1254</v>
      </c>
      <c r="B185" s="5">
        <v>4</v>
      </c>
    </row>
    <row r="186" spans="1:2" x14ac:dyDescent="0.35">
      <c r="A186" s="11" t="s">
        <v>5048</v>
      </c>
      <c r="B186" s="5">
        <v>2</v>
      </c>
    </row>
    <row r="187" spans="1:2" x14ac:dyDescent="0.35">
      <c r="A187" s="11" t="s">
        <v>4087</v>
      </c>
      <c r="B187" s="5">
        <v>1</v>
      </c>
    </row>
    <row r="188" spans="1:2" x14ac:dyDescent="0.35">
      <c r="A188" s="11" t="s">
        <v>3259</v>
      </c>
      <c r="B188" s="5">
        <v>3</v>
      </c>
    </row>
    <row r="189" spans="1:2" x14ac:dyDescent="0.35">
      <c r="A189" s="11" t="s">
        <v>5149</v>
      </c>
      <c r="B189" s="5">
        <v>3</v>
      </c>
    </row>
    <row r="190" spans="1:2" x14ac:dyDescent="0.35">
      <c r="A190" s="11" t="s">
        <v>5171</v>
      </c>
      <c r="B190" s="5">
        <v>3</v>
      </c>
    </row>
    <row r="191" spans="1:2" x14ac:dyDescent="0.35">
      <c r="A191" s="11" t="s">
        <v>6795</v>
      </c>
      <c r="B191" s="5">
        <v>1</v>
      </c>
    </row>
    <row r="192" spans="1:2" x14ac:dyDescent="0.35">
      <c r="A192" s="11" t="s">
        <v>9619</v>
      </c>
      <c r="B192" s="5">
        <v>3</v>
      </c>
    </row>
    <row r="193" spans="1:2" x14ac:dyDescent="0.35">
      <c r="A193" s="11" t="s">
        <v>3673</v>
      </c>
      <c r="B193" s="5">
        <v>12</v>
      </c>
    </row>
    <row r="194" spans="1:2" x14ac:dyDescent="0.35">
      <c r="A194" s="11" t="s">
        <v>3655</v>
      </c>
      <c r="B194" s="5">
        <v>2</v>
      </c>
    </row>
    <row r="195" spans="1:2" x14ac:dyDescent="0.35">
      <c r="A195" s="11" t="s">
        <v>7258</v>
      </c>
      <c r="B195" s="5">
        <v>1</v>
      </c>
    </row>
    <row r="196" spans="1:2" x14ac:dyDescent="0.35">
      <c r="A196" s="11" t="s">
        <v>7698</v>
      </c>
      <c r="B196" s="5">
        <v>1</v>
      </c>
    </row>
    <row r="197" spans="1:2" x14ac:dyDescent="0.35">
      <c r="A197" s="11" t="s">
        <v>2896</v>
      </c>
      <c r="B197" s="5">
        <v>1</v>
      </c>
    </row>
    <row r="198" spans="1:2" x14ac:dyDescent="0.35">
      <c r="A198" s="11" t="s">
        <v>2631</v>
      </c>
      <c r="B198" s="5">
        <v>1</v>
      </c>
    </row>
    <row r="199" spans="1:2" x14ac:dyDescent="0.35">
      <c r="A199" s="11" t="s">
        <v>1547</v>
      </c>
      <c r="B199" s="5">
        <v>1</v>
      </c>
    </row>
    <row r="200" spans="1:2" x14ac:dyDescent="0.35">
      <c r="A200" s="11" t="s">
        <v>6371</v>
      </c>
      <c r="B200" s="5">
        <v>5</v>
      </c>
    </row>
    <row r="201" spans="1:2" x14ac:dyDescent="0.35">
      <c r="A201" s="11" t="s">
        <v>5064</v>
      </c>
      <c r="B201" s="5">
        <v>1</v>
      </c>
    </row>
    <row r="202" spans="1:2" x14ac:dyDescent="0.35">
      <c r="A202" s="11" t="s">
        <v>4399</v>
      </c>
      <c r="B202" s="5">
        <v>1</v>
      </c>
    </row>
    <row r="203" spans="1:2" x14ac:dyDescent="0.35">
      <c r="A203" s="11" t="s">
        <v>5954</v>
      </c>
      <c r="B203" s="5">
        <v>3</v>
      </c>
    </row>
    <row r="204" spans="1:2" x14ac:dyDescent="0.35">
      <c r="A204" s="11" t="s">
        <v>5583</v>
      </c>
      <c r="B204" s="5">
        <v>1</v>
      </c>
    </row>
    <row r="205" spans="1:2" x14ac:dyDescent="0.35">
      <c r="A205" s="11" t="s">
        <v>3279</v>
      </c>
      <c r="B205" s="5">
        <v>1</v>
      </c>
    </row>
    <row r="206" spans="1:2" x14ac:dyDescent="0.35">
      <c r="A206" s="11" t="s">
        <v>6837</v>
      </c>
      <c r="B206" s="5">
        <v>2</v>
      </c>
    </row>
    <row r="207" spans="1:2" x14ac:dyDescent="0.35">
      <c r="A207" s="11" t="s">
        <v>7711</v>
      </c>
      <c r="B207" s="5">
        <v>4</v>
      </c>
    </row>
    <row r="208" spans="1:2" x14ac:dyDescent="0.35">
      <c r="A208" s="11" t="s">
        <v>3726</v>
      </c>
      <c r="B208" s="5">
        <v>5</v>
      </c>
    </row>
    <row r="209" spans="1:2" x14ac:dyDescent="0.35">
      <c r="A209" s="11" t="s">
        <v>2369</v>
      </c>
      <c r="B209" s="5">
        <v>18</v>
      </c>
    </row>
    <row r="210" spans="1:2" x14ac:dyDescent="0.35">
      <c r="A210" s="11" t="s">
        <v>3741</v>
      </c>
      <c r="B210" s="5">
        <v>4</v>
      </c>
    </row>
    <row r="211" spans="1:2" x14ac:dyDescent="0.35">
      <c r="A211" s="11" t="s">
        <v>3244</v>
      </c>
      <c r="B211" s="5">
        <v>3</v>
      </c>
    </row>
    <row r="212" spans="1:2" x14ac:dyDescent="0.35">
      <c r="A212" s="11" t="s">
        <v>986</v>
      </c>
      <c r="B212" s="5">
        <v>138</v>
      </c>
    </row>
    <row r="213" spans="1:2" x14ac:dyDescent="0.35">
      <c r="A213" s="11" t="s">
        <v>129</v>
      </c>
      <c r="B213" s="5">
        <v>3</v>
      </c>
    </row>
    <row r="214" spans="1:2" x14ac:dyDescent="0.35">
      <c r="A214" s="11" t="s">
        <v>1826</v>
      </c>
      <c r="B214" s="5">
        <v>1</v>
      </c>
    </row>
    <row r="215" spans="1:2" x14ac:dyDescent="0.35">
      <c r="A215" s="11" t="s">
        <v>2178</v>
      </c>
      <c r="B215" s="5">
        <v>1</v>
      </c>
    </row>
    <row r="216" spans="1:2" x14ac:dyDescent="0.35">
      <c r="A216" s="11" t="s">
        <v>4581</v>
      </c>
      <c r="B216" s="5">
        <v>1</v>
      </c>
    </row>
    <row r="217" spans="1:2" x14ac:dyDescent="0.35">
      <c r="A217" s="11" t="s">
        <v>11933</v>
      </c>
      <c r="B217" s="5">
        <v>2</v>
      </c>
    </row>
    <row r="218" spans="1:2" x14ac:dyDescent="0.35">
      <c r="A218" s="11" t="s">
        <v>1082</v>
      </c>
      <c r="B218" s="5">
        <v>2</v>
      </c>
    </row>
    <row r="219" spans="1:2" x14ac:dyDescent="0.35">
      <c r="A219" s="11" t="s">
        <v>1477</v>
      </c>
      <c r="B219" s="5">
        <v>3</v>
      </c>
    </row>
    <row r="220" spans="1:2" x14ac:dyDescent="0.35">
      <c r="A220" s="11" t="s">
        <v>4657</v>
      </c>
      <c r="B220" s="5">
        <v>1</v>
      </c>
    </row>
    <row r="221" spans="1:2" x14ac:dyDescent="0.35">
      <c r="A221" s="11" t="s">
        <v>2272</v>
      </c>
      <c r="B221" s="5">
        <v>2</v>
      </c>
    </row>
    <row r="222" spans="1:2" x14ac:dyDescent="0.35">
      <c r="A222" s="11" t="s">
        <v>9431</v>
      </c>
      <c r="B222" s="5">
        <v>1</v>
      </c>
    </row>
    <row r="223" spans="1:2" x14ac:dyDescent="0.35">
      <c r="A223" s="11" t="s">
        <v>3204</v>
      </c>
      <c r="B223" s="5">
        <v>2</v>
      </c>
    </row>
    <row r="224" spans="1:2" x14ac:dyDescent="0.35">
      <c r="A224" s="11" t="s">
        <v>7188</v>
      </c>
      <c r="B224" s="5">
        <v>1</v>
      </c>
    </row>
    <row r="225" spans="1:2" x14ac:dyDescent="0.35">
      <c r="A225" s="11" t="s">
        <v>3899</v>
      </c>
      <c r="B225" s="5">
        <v>6</v>
      </c>
    </row>
    <row r="226" spans="1:2" x14ac:dyDescent="0.35">
      <c r="A226" s="11" t="s">
        <v>11510</v>
      </c>
      <c r="B226" s="5">
        <v>1</v>
      </c>
    </row>
    <row r="227" spans="1:2" x14ac:dyDescent="0.35">
      <c r="A227" s="11" t="s">
        <v>3102</v>
      </c>
      <c r="B227" s="5">
        <v>1</v>
      </c>
    </row>
    <row r="228" spans="1:2" x14ac:dyDescent="0.35">
      <c r="A228" s="11" t="s">
        <v>1787</v>
      </c>
      <c r="B228" s="5">
        <v>1</v>
      </c>
    </row>
    <row r="229" spans="1:2" x14ac:dyDescent="0.35">
      <c r="A229" s="11" t="s">
        <v>5319</v>
      </c>
      <c r="B229" s="5">
        <v>1</v>
      </c>
    </row>
    <row r="230" spans="1:2" x14ac:dyDescent="0.35">
      <c r="A230" s="11" t="s">
        <v>377</v>
      </c>
      <c r="B230" s="5">
        <v>1</v>
      </c>
    </row>
    <row r="231" spans="1:2" x14ac:dyDescent="0.35">
      <c r="A231" s="11" t="s">
        <v>2233</v>
      </c>
      <c r="B231" s="5">
        <v>3</v>
      </c>
    </row>
    <row r="232" spans="1:2" x14ac:dyDescent="0.35">
      <c r="A232" s="11" t="s">
        <v>5925</v>
      </c>
      <c r="B232" s="5">
        <v>1</v>
      </c>
    </row>
    <row r="233" spans="1:2" x14ac:dyDescent="0.35">
      <c r="A233" s="11" t="s">
        <v>3232</v>
      </c>
      <c r="B233" s="5">
        <v>2</v>
      </c>
    </row>
    <row r="234" spans="1:2" x14ac:dyDescent="0.35">
      <c r="A234" s="11" t="s">
        <v>4863</v>
      </c>
      <c r="B234" s="5">
        <v>1</v>
      </c>
    </row>
    <row r="235" spans="1:2" x14ac:dyDescent="0.35">
      <c r="A235" s="11" t="s">
        <v>7494</v>
      </c>
      <c r="B235" s="5">
        <v>3</v>
      </c>
    </row>
    <row r="236" spans="1:2" x14ac:dyDescent="0.35">
      <c r="A236" s="11" t="s">
        <v>4552</v>
      </c>
      <c r="B236" s="5">
        <v>10</v>
      </c>
    </row>
    <row r="237" spans="1:2" x14ac:dyDescent="0.35">
      <c r="A237" s="11" t="s">
        <v>4576</v>
      </c>
      <c r="B237" s="5">
        <v>2</v>
      </c>
    </row>
    <row r="238" spans="1:2" x14ac:dyDescent="0.35">
      <c r="A238" s="11" t="s">
        <v>6695</v>
      </c>
      <c r="B238" s="5">
        <v>1</v>
      </c>
    </row>
    <row r="239" spans="1:2" x14ac:dyDescent="0.35">
      <c r="A239" s="11" t="s">
        <v>13101</v>
      </c>
      <c r="B239" s="5">
        <v>2</v>
      </c>
    </row>
    <row r="240" spans="1:2" x14ac:dyDescent="0.35">
      <c r="A240" s="11" t="s">
        <v>4515</v>
      </c>
      <c r="B240" s="5">
        <v>1</v>
      </c>
    </row>
    <row r="241" spans="1:2" x14ac:dyDescent="0.35">
      <c r="A241" s="11" t="s">
        <v>11893</v>
      </c>
      <c r="B241" s="5">
        <v>3</v>
      </c>
    </row>
    <row r="242" spans="1:2" x14ac:dyDescent="0.35">
      <c r="A242" s="11" t="s">
        <v>4209</v>
      </c>
      <c r="B242" s="5">
        <v>1</v>
      </c>
    </row>
    <row r="243" spans="1:2" x14ac:dyDescent="0.35">
      <c r="A243" s="11" t="s">
        <v>7119</v>
      </c>
      <c r="B243" s="5">
        <v>1</v>
      </c>
    </row>
    <row r="244" spans="1:2" x14ac:dyDescent="0.35">
      <c r="A244" s="11" t="s">
        <v>3949</v>
      </c>
      <c r="B244" s="5">
        <v>1</v>
      </c>
    </row>
    <row r="245" spans="1:2" x14ac:dyDescent="0.35">
      <c r="A245" s="11" t="s">
        <v>5180</v>
      </c>
      <c r="B245" s="5">
        <v>1</v>
      </c>
    </row>
    <row r="246" spans="1:2" x14ac:dyDescent="0.35">
      <c r="A246" s="11" t="s">
        <v>7380</v>
      </c>
      <c r="B246" s="5">
        <v>1</v>
      </c>
    </row>
    <row r="247" spans="1:2" x14ac:dyDescent="0.35">
      <c r="A247" s="11" t="s">
        <v>8016</v>
      </c>
      <c r="B247" s="5">
        <v>1</v>
      </c>
    </row>
    <row r="248" spans="1:2" x14ac:dyDescent="0.35">
      <c r="A248" s="11" t="s">
        <v>5821</v>
      </c>
      <c r="B248" s="5">
        <v>2</v>
      </c>
    </row>
    <row r="249" spans="1:2" x14ac:dyDescent="0.35">
      <c r="A249" s="11" t="s">
        <v>4083</v>
      </c>
      <c r="B249" s="5">
        <v>1</v>
      </c>
    </row>
    <row r="250" spans="1:2" x14ac:dyDescent="0.35">
      <c r="A250" s="11" t="s">
        <v>6770</v>
      </c>
      <c r="B250" s="5">
        <v>2</v>
      </c>
    </row>
    <row r="251" spans="1:2" x14ac:dyDescent="0.35">
      <c r="A251" s="11" t="s">
        <v>5793</v>
      </c>
      <c r="B251" s="5">
        <v>1</v>
      </c>
    </row>
    <row r="252" spans="1:2" x14ac:dyDescent="0.35">
      <c r="A252" s="11" t="s">
        <v>12897</v>
      </c>
      <c r="B252" s="5">
        <v>1</v>
      </c>
    </row>
    <row r="253" spans="1:2" x14ac:dyDescent="0.35">
      <c r="A253" s="11" t="s">
        <v>4157</v>
      </c>
      <c r="B253" s="5">
        <v>2</v>
      </c>
    </row>
    <row r="254" spans="1:2" x14ac:dyDescent="0.35">
      <c r="A254" s="11" t="s">
        <v>7268</v>
      </c>
      <c r="B254" s="5">
        <v>2</v>
      </c>
    </row>
    <row r="255" spans="1:2" x14ac:dyDescent="0.35">
      <c r="A255" s="11" t="s">
        <v>5297</v>
      </c>
      <c r="B255" s="5">
        <v>3</v>
      </c>
    </row>
    <row r="256" spans="1:2" x14ac:dyDescent="0.35">
      <c r="A256" s="11" t="s">
        <v>3930</v>
      </c>
      <c r="B256" s="5">
        <v>3</v>
      </c>
    </row>
    <row r="257" spans="1:2" x14ac:dyDescent="0.35">
      <c r="A257" s="11" t="s">
        <v>8335</v>
      </c>
      <c r="B257" s="5">
        <v>1</v>
      </c>
    </row>
    <row r="258" spans="1:2" x14ac:dyDescent="0.35">
      <c r="A258" s="11" t="s">
        <v>4975</v>
      </c>
      <c r="B258" s="5">
        <v>1</v>
      </c>
    </row>
    <row r="259" spans="1:2" x14ac:dyDescent="0.35">
      <c r="A259" s="11" t="s">
        <v>5723</v>
      </c>
      <c r="B259" s="5">
        <v>1</v>
      </c>
    </row>
    <row r="260" spans="1:2" x14ac:dyDescent="0.35">
      <c r="A260" s="11" t="s">
        <v>1886</v>
      </c>
      <c r="B260" s="5">
        <v>4</v>
      </c>
    </row>
    <row r="261" spans="1:2" x14ac:dyDescent="0.35">
      <c r="A261" s="11" t="s">
        <v>6052</v>
      </c>
      <c r="B261" s="5">
        <v>2</v>
      </c>
    </row>
    <row r="262" spans="1:2" x14ac:dyDescent="0.35">
      <c r="A262" s="11" t="s">
        <v>1497</v>
      </c>
      <c r="B262" s="5">
        <v>1</v>
      </c>
    </row>
    <row r="263" spans="1:2" x14ac:dyDescent="0.35">
      <c r="A263" s="11" t="s">
        <v>11267</v>
      </c>
      <c r="B263" s="5">
        <v>2</v>
      </c>
    </row>
    <row r="264" spans="1:2" x14ac:dyDescent="0.35">
      <c r="A264" s="11" t="s">
        <v>6879</v>
      </c>
      <c r="B264" s="5">
        <v>1</v>
      </c>
    </row>
    <row r="265" spans="1:2" x14ac:dyDescent="0.35">
      <c r="A265" s="11" t="s">
        <v>6010</v>
      </c>
      <c r="B265" s="5">
        <v>2</v>
      </c>
    </row>
    <row r="266" spans="1:2" x14ac:dyDescent="0.35">
      <c r="A266" s="11" t="s">
        <v>8107</v>
      </c>
      <c r="B266" s="5">
        <v>2</v>
      </c>
    </row>
    <row r="267" spans="1:2" x14ac:dyDescent="0.35">
      <c r="A267" s="11" t="s">
        <v>6347</v>
      </c>
      <c r="B267" s="5">
        <v>2</v>
      </c>
    </row>
    <row r="268" spans="1:2" x14ac:dyDescent="0.35">
      <c r="A268" s="11" t="s">
        <v>4746</v>
      </c>
      <c r="B268" s="5">
        <v>2</v>
      </c>
    </row>
    <row r="269" spans="1:2" x14ac:dyDescent="0.35">
      <c r="A269" s="11" t="s">
        <v>3023</v>
      </c>
      <c r="B269" s="5">
        <v>1</v>
      </c>
    </row>
    <row r="270" spans="1:2" x14ac:dyDescent="0.35">
      <c r="A270" s="11" t="s">
        <v>1060</v>
      </c>
      <c r="B270" s="5">
        <v>2</v>
      </c>
    </row>
    <row r="271" spans="1:2" x14ac:dyDescent="0.35">
      <c r="A271" s="11" t="s">
        <v>2603</v>
      </c>
      <c r="B271" s="5">
        <v>1</v>
      </c>
    </row>
    <row r="272" spans="1:2" x14ac:dyDescent="0.35">
      <c r="A272" s="11" t="s">
        <v>3186</v>
      </c>
      <c r="B272" s="5">
        <v>5</v>
      </c>
    </row>
    <row r="273" spans="1:2" x14ac:dyDescent="0.35">
      <c r="A273" s="11" t="s">
        <v>5803</v>
      </c>
      <c r="B273" s="5">
        <v>1</v>
      </c>
    </row>
    <row r="274" spans="1:2" x14ac:dyDescent="0.35">
      <c r="A274" s="11" t="s">
        <v>532</v>
      </c>
      <c r="B274" s="5">
        <v>3</v>
      </c>
    </row>
    <row r="275" spans="1:2" x14ac:dyDescent="0.35">
      <c r="A275" s="11" t="s">
        <v>2870</v>
      </c>
      <c r="B275" s="5">
        <v>5</v>
      </c>
    </row>
    <row r="276" spans="1:2" x14ac:dyDescent="0.35">
      <c r="A276" s="11" t="s">
        <v>1738</v>
      </c>
      <c r="B276" s="5">
        <v>1</v>
      </c>
    </row>
    <row r="277" spans="1:2" x14ac:dyDescent="0.35">
      <c r="A277" s="11" t="s">
        <v>8035</v>
      </c>
      <c r="B277" s="5">
        <v>2</v>
      </c>
    </row>
    <row r="278" spans="1:2" x14ac:dyDescent="0.35">
      <c r="A278" s="11" t="s">
        <v>6616</v>
      </c>
      <c r="B278" s="5">
        <v>1</v>
      </c>
    </row>
    <row r="279" spans="1:2" x14ac:dyDescent="0.35">
      <c r="A279" s="11" t="s">
        <v>3117</v>
      </c>
      <c r="B279" s="5">
        <v>1</v>
      </c>
    </row>
    <row r="280" spans="1:2" x14ac:dyDescent="0.35">
      <c r="A280" s="11" t="s">
        <v>4779</v>
      </c>
      <c r="B280" s="5">
        <v>2</v>
      </c>
    </row>
    <row r="281" spans="1:2" x14ac:dyDescent="0.35">
      <c r="A281" s="11" t="s">
        <v>9558</v>
      </c>
      <c r="B281" s="5">
        <v>4</v>
      </c>
    </row>
    <row r="282" spans="1:2" x14ac:dyDescent="0.35">
      <c r="A282" s="11" t="s">
        <v>3013</v>
      </c>
      <c r="B282" s="5">
        <v>1</v>
      </c>
    </row>
    <row r="283" spans="1:2" x14ac:dyDescent="0.35">
      <c r="A283" s="11" t="s">
        <v>3537</v>
      </c>
      <c r="B283" s="5">
        <v>2</v>
      </c>
    </row>
    <row r="284" spans="1:2" x14ac:dyDescent="0.35">
      <c r="A284" s="11" t="s">
        <v>3973</v>
      </c>
      <c r="B284" s="5">
        <v>5</v>
      </c>
    </row>
    <row r="285" spans="1:2" x14ac:dyDescent="0.35">
      <c r="A285" s="11" t="s">
        <v>3943</v>
      </c>
      <c r="B285" s="5">
        <v>12</v>
      </c>
    </row>
    <row r="286" spans="1:2" x14ac:dyDescent="0.35">
      <c r="A286" s="11" t="s">
        <v>3321</v>
      </c>
      <c r="B286" s="5">
        <v>4</v>
      </c>
    </row>
    <row r="287" spans="1:2" x14ac:dyDescent="0.35">
      <c r="A287" s="11" t="s">
        <v>5631</v>
      </c>
      <c r="B287" s="5">
        <v>3</v>
      </c>
    </row>
    <row r="288" spans="1:2" x14ac:dyDescent="0.35">
      <c r="A288" s="11" t="s">
        <v>4665</v>
      </c>
      <c r="B288" s="5">
        <v>2</v>
      </c>
    </row>
    <row r="289" spans="1:2" x14ac:dyDescent="0.35">
      <c r="A289" s="11" t="s">
        <v>226</v>
      </c>
      <c r="B289" s="5">
        <v>2</v>
      </c>
    </row>
    <row r="290" spans="1:2" x14ac:dyDescent="0.35">
      <c r="A290" s="11" t="s">
        <v>8865</v>
      </c>
      <c r="B290" s="5">
        <v>2</v>
      </c>
    </row>
    <row r="291" spans="1:2" x14ac:dyDescent="0.35">
      <c r="A291" s="11" t="s">
        <v>4698</v>
      </c>
      <c r="B291" s="5">
        <v>2</v>
      </c>
    </row>
    <row r="292" spans="1:2" x14ac:dyDescent="0.35">
      <c r="A292" s="11" t="s">
        <v>4855</v>
      </c>
      <c r="B292" s="5">
        <v>2</v>
      </c>
    </row>
    <row r="293" spans="1:2" x14ac:dyDescent="0.35">
      <c r="A293" s="11" t="s">
        <v>3099</v>
      </c>
      <c r="B293" s="5">
        <v>3</v>
      </c>
    </row>
    <row r="294" spans="1:2" x14ac:dyDescent="0.35">
      <c r="A294" s="11" t="s">
        <v>13074</v>
      </c>
      <c r="B294" s="5">
        <v>1</v>
      </c>
    </row>
    <row r="295" spans="1:2" x14ac:dyDescent="0.35">
      <c r="A295" s="11" t="s">
        <v>7557</v>
      </c>
      <c r="B295" s="5">
        <v>2</v>
      </c>
    </row>
    <row r="296" spans="1:2" x14ac:dyDescent="0.35">
      <c r="A296" s="11" t="s">
        <v>434</v>
      </c>
      <c r="B296" s="5">
        <v>2</v>
      </c>
    </row>
    <row r="297" spans="1:2" x14ac:dyDescent="0.35">
      <c r="A297" s="11" t="s">
        <v>4767</v>
      </c>
      <c r="B297" s="5">
        <v>2</v>
      </c>
    </row>
    <row r="298" spans="1:2" x14ac:dyDescent="0.35">
      <c r="A298" s="11" t="s">
        <v>5397</v>
      </c>
      <c r="B298" s="5">
        <v>1</v>
      </c>
    </row>
    <row r="299" spans="1:2" x14ac:dyDescent="0.35">
      <c r="A299" s="11" t="s">
        <v>6172</v>
      </c>
      <c r="B299" s="5">
        <v>5</v>
      </c>
    </row>
    <row r="300" spans="1:2" x14ac:dyDescent="0.35">
      <c r="A300" s="11" t="s">
        <v>3275</v>
      </c>
      <c r="B300" s="5">
        <v>49</v>
      </c>
    </row>
    <row r="301" spans="1:2" x14ac:dyDescent="0.35">
      <c r="A301" s="11" t="s">
        <v>2048</v>
      </c>
      <c r="B301" s="5">
        <v>1</v>
      </c>
    </row>
    <row r="302" spans="1:2" x14ac:dyDescent="0.35">
      <c r="A302" s="11" t="s">
        <v>6635</v>
      </c>
      <c r="B302" s="5">
        <v>4</v>
      </c>
    </row>
    <row r="303" spans="1:2" x14ac:dyDescent="0.35">
      <c r="A303" s="11" t="s">
        <v>4223</v>
      </c>
      <c r="B303" s="5">
        <v>13</v>
      </c>
    </row>
    <row r="304" spans="1:2" x14ac:dyDescent="0.35">
      <c r="A304" s="11" t="s">
        <v>2426</v>
      </c>
      <c r="B304" s="5">
        <v>2</v>
      </c>
    </row>
    <row r="305" spans="1:2" x14ac:dyDescent="0.35">
      <c r="A305" s="11" t="s">
        <v>11207</v>
      </c>
      <c r="B305" s="5">
        <v>1</v>
      </c>
    </row>
    <row r="306" spans="1:2" x14ac:dyDescent="0.35">
      <c r="A306" s="11" t="s">
        <v>5223</v>
      </c>
      <c r="B306" s="5">
        <v>5</v>
      </c>
    </row>
    <row r="307" spans="1:2" x14ac:dyDescent="0.35">
      <c r="A307" s="11" t="s">
        <v>4979</v>
      </c>
      <c r="B307" s="5">
        <v>1</v>
      </c>
    </row>
    <row r="308" spans="1:2" x14ac:dyDescent="0.35">
      <c r="A308" s="11" t="s">
        <v>3685</v>
      </c>
      <c r="B308" s="5">
        <v>1</v>
      </c>
    </row>
    <row r="309" spans="1:2" x14ac:dyDescent="0.35">
      <c r="A309" s="11" t="s">
        <v>4702</v>
      </c>
      <c r="B309" s="5">
        <v>3</v>
      </c>
    </row>
    <row r="310" spans="1:2" x14ac:dyDescent="0.35">
      <c r="A310" s="11" t="s">
        <v>5548</v>
      </c>
      <c r="B310" s="5">
        <v>1</v>
      </c>
    </row>
    <row r="311" spans="1:2" x14ac:dyDescent="0.35">
      <c r="A311" s="11" t="s">
        <v>4030</v>
      </c>
      <c r="B311" s="5">
        <v>1</v>
      </c>
    </row>
    <row r="312" spans="1:2" x14ac:dyDescent="0.35">
      <c r="A312" s="11" t="s">
        <v>625</v>
      </c>
      <c r="B312" s="5">
        <v>19</v>
      </c>
    </row>
    <row r="313" spans="1:2" x14ac:dyDescent="0.35">
      <c r="A313" s="11" t="s">
        <v>5559</v>
      </c>
      <c r="B313" s="5">
        <v>2</v>
      </c>
    </row>
    <row r="314" spans="1:2" x14ac:dyDescent="0.35">
      <c r="A314" s="11" t="s">
        <v>7820</v>
      </c>
      <c r="B314" s="5">
        <v>1</v>
      </c>
    </row>
    <row r="315" spans="1:2" x14ac:dyDescent="0.35">
      <c r="A315" s="11" t="s">
        <v>8458</v>
      </c>
      <c r="B315" s="5">
        <v>1</v>
      </c>
    </row>
    <row r="316" spans="1:2" x14ac:dyDescent="0.35">
      <c r="A316" s="11" t="s">
        <v>9138</v>
      </c>
      <c r="B316" s="5">
        <v>2</v>
      </c>
    </row>
    <row r="317" spans="1:2" x14ac:dyDescent="0.35">
      <c r="A317" s="11" t="s">
        <v>11877</v>
      </c>
      <c r="B317" s="5">
        <v>1</v>
      </c>
    </row>
    <row r="318" spans="1:2" x14ac:dyDescent="0.35">
      <c r="A318" s="11" t="s">
        <v>8386</v>
      </c>
      <c r="B318" s="5">
        <v>1</v>
      </c>
    </row>
    <row r="319" spans="1:2" x14ac:dyDescent="0.35">
      <c r="A319" s="11" t="s">
        <v>3660</v>
      </c>
      <c r="B319" s="5">
        <v>1</v>
      </c>
    </row>
    <row r="320" spans="1:2" x14ac:dyDescent="0.35">
      <c r="A320" s="11" t="s">
        <v>2154</v>
      </c>
      <c r="B320" s="5">
        <v>4</v>
      </c>
    </row>
    <row r="321" spans="1:2" x14ac:dyDescent="0.35">
      <c r="A321" s="11" t="s">
        <v>5659</v>
      </c>
      <c r="B321" s="5">
        <v>2</v>
      </c>
    </row>
    <row r="322" spans="1:2" x14ac:dyDescent="0.35">
      <c r="A322" s="11" t="s">
        <v>7147</v>
      </c>
      <c r="B322" s="5">
        <v>1</v>
      </c>
    </row>
    <row r="323" spans="1:2" x14ac:dyDescent="0.35">
      <c r="A323" s="11" t="s">
        <v>5531</v>
      </c>
      <c r="B323" s="5">
        <v>5</v>
      </c>
    </row>
    <row r="324" spans="1:2" x14ac:dyDescent="0.35">
      <c r="A324" s="11" t="s">
        <v>37</v>
      </c>
      <c r="B324" s="5">
        <v>172</v>
      </c>
    </row>
    <row r="325" spans="1:2" x14ac:dyDescent="0.35">
      <c r="A325" s="11" t="s">
        <v>9359</v>
      </c>
      <c r="B325" s="5">
        <v>3</v>
      </c>
    </row>
    <row r="326" spans="1:2" x14ac:dyDescent="0.35">
      <c r="A326" s="11" t="s">
        <v>4612</v>
      </c>
      <c r="B326" s="5">
        <v>1</v>
      </c>
    </row>
    <row r="327" spans="1:2" x14ac:dyDescent="0.35">
      <c r="A327" s="11" t="s">
        <v>5454</v>
      </c>
      <c r="B327" s="5">
        <v>1</v>
      </c>
    </row>
    <row r="328" spans="1:2" x14ac:dyDescent="0.35">
      <c r="A328" s="11" t="s">
        <v>3862</v>
      </c>
      <c r="B328" s="5">
        <v>2</v>
      </c>
    </row>
    <row r="329" spans="1:2" x14ac:dyDescent="0.35">
      <c r="A329" s="11" t="s">
        <v>8714</v>
      </c>
      <c r="B329" s="5">
        <v>2</v>
      </c>
    </row>
    <row r="330" spans="1:2" x14ac:dyDescent="0.35">
      <c r="A330" s="11" t="s">
        <v>3635</v>
      </c>
      <c r="B330" s="5">
        <v>1</v>
      </c>
    </row>
    <row r="331" spans="1:2" x14ac:dyDescent="0.35">
      <c r="A331" s="11" t="s">
        <v>1055</v>
      </c>
      <c r="B331" s="5">
        <v>2</v>
      </c>
    </row>
    <row r="332" spans="1:2" x14ac:dyDescent="0.35">
      <c r="A332" s="11" t="s">
        <v>577</v>
      </c>
      <c r="B332" s="5">
        <v>1</v>
      </c>
    </row>
    <row r="333" spans="1:2" x14ac:dyDescent="0.35">
      <c r="A333" s="11" t="s">
        <v>7751</v>
      </c>
      <c r="B333" s="5">
        <v>3</v>
      </c>
    </row>
    <row r="334" spans="1:2" x14ac:dyDescent="0.35">
      <c r="A334" s="11" t="s">
        <v>12343</v>
      </c>
      <c r="B334" s="5">
        <v>2</v>
      </c>
    </row>
    <row r="335" spans="1:2" x14ac:dyDescent="0.35">
      <c r="A335" s="11" t="s">
        <v>9729</v>
      </c>
      <c r="B335" s="5">
        <v>1</v>
      </c>
    </row>
    <row r="336" spans="1:2" x14ac:dyDescent="0.35">
      <c r="A336" s="11" t="s">
        <v>2807</v>
      </c>
      <c r="B336" s="5">
        <v>3</v>
      </c>
    </row>
    <row r="337" spans="1:2" x14ac:dyDescent="0.35">
      <c r="A337" s="11" t="s">
        <v>3363</v>
      </c>
      <c r="B337" s="5">
        <v>4</v>
      </c>
    </row>
    <row r="338" spans="1:2" x14ac:dyDescent="0.35">
      <c r="A338" s="11" t="s">
        <v>1851</v>
      </c>
      <c r="B338" s="5">
        <v>3</v>
      </c>
    </row>
    <row r="339" spans="1:2" x14ac:dyDescent="0.35">
      <c r="A339" s="11" t="s">
        <v>8287</v>
      </c>
      <c r="B339" s="5">
        <v>1</v>
      </c>
    </row>
    <row r="340" spans="1:2" x14ac:dyDescent="0.35">
      <c r="A340" s="11" t="s">
        <v>111</v>
      </c>
      <c r="B340" s="5">
        <v>27</v>
      </c>
    </row>
    <row r="341" spans="1:2" x14ac:dyDescent="0.35">
      <c r="A341" s="11" t="s">
        <v>1231</v>
      </c>
      <c r="B341" s="5">
        <v>2</v>
      </c>
    </row>
    <row r="342" spans="1:2" x14ac:dyDescent="0.35">
      <c r="A342" s="11" t="s">
        <v>1264</v>
      </c>
      <c r="B342" s="5">
        <v>2</v>
      </c>
    </row>
    <row r="343" spans="1:2" x14ac:dyDescent="0.35">
      <c r="A343" s="11" t="s">
        <v>1662</v>
      </c>
      <c r="B343" s="5">
        <v>5</v>
      </c>
    </row>
    <row r="344" spans="1:2" x14ac:dyDescent="0.35">
      <c r="A344" s="11" t="s">
        <v>9759</v>
      </c>
      <c r="B344" s="5">
        <v>1</v>
      </c>
    </row>
    <row r="345" spans="1:2" x14ac:dyDescent="0.35">
      <c r="A345" s="11" t="s">
        <v>8039</v>
      </c>
      <c r="B345" s="5">
        <v>2</v>
      </c>
    </row>
    <row r="346" spans="1:2" x14ac:dyDescent="0.35">
      <c r="A346" s="11" t="s">
        <v>9755</v>
      </c>
      <c r="B346" s="5">
        <v>1</v>
      </c>
    </row>
    <row r="347" spans="1:2" x14ac:dyDescent="0.35">
      <c r="A347" s="11" t="s">
        <v>8043</v>
      </c>
      <c r="B347" s="5">
        <v>5</v>
      </c>
    </row>
    <row r="348" spans="1:2" x14ac:dyDescent="0.35">
      <c r="A348" s="11" t="s">
        <v>5546</v>
      </c>
      <c r="B348" s="5">
        <v>1</v>
      </c>
    </row>
    <row r="349" spans="1:2" x14ac:dyDescent="0.35">
      <c r="A349" s="11" t="s">
        <v>4760</v>
      </c>
      <c r="B349" s="5">
        <v>1</v>
      </c>
    </row>
    <row r="350" spans="1:2" x14ac:dyDescent="0.35">
      <c r="A350" s="11" t="s">
        <v>4201</v>
      </c>
      <c r="B350" s="5">
        <v>1</v>
      </c>
    </row>
    <row r="351" spans="1:2" x14ac:dyDescent="0.35">
      <c r="A351" s="11" t="s">
        <v>5542</v>
      </c>
      <c r="B351" s="5">
        <v>3</v>
      </c>
    </row>
    <row r="352" spans="1:2" x14ac:dyDescent="0.35">
      <c r="A352" s="11" t="s">
        <v>5499</v>
      </c>
      <c r="B352" s="5">
        <v>3</v>
      </c>
    </row>
    <row r="353" spans="1:2" x14ac:dyDescent="0.35">
      <c r="A353" s="11" t="s">
        <v>2354</v>
      </c>
      <c r="B353" s="5">
        <v>1</v>
      </c>
    </row>
    <row r="354" spans="1:2" x14ac:dyDescent="0.35">
      <c r="A354" s="11" t="s">
        <v>1285</v>
      </c>
      <c r="B354" s="5">
        <v>30</v>
      </c>
    </row>
    <row r="355" spans="1:2" x14ac:dyDescent="0.35">
      <c r="A355" s="11" t="s">
        <v>6279</v>
      </c>
      <c r="B355" s="5">
        <v>2</v>
      </c>
    </row>
    <row r="356" spans="1:2" x14ac:dyDescent="0.35">
      <c r="A356" s="11" t="s">
        <v>3575</v>
      </c>
      <c r="B356" s="5">
        <v>4</v>
      </c>
    </row>
    <row r="357" spans="1:2" x14ac:dyDescent="0.35">
      <c r="A357" s="11" t="s">
        <v>4274</v>
      </c>
      <c r="B357" s="5">
        <v>3</v>
      </c>
    </row>
    <row r="358" spans="1:2" x14ac:dyDescent="0.35">
      <c r="A358" s="11" t="s">
        <v>3812</v>
      </c>
      <c r="B358" s="5">
        <v>6</v>
      </c>
    </row>
    <row r="359" spans="1:2" x14ac:dyDescent="0.35">
      <c r="A359" s="11" t="s">
        <v>1987</v>
      </c>
      <c r="B359" s="5">
        <v>2</v>
      </c>
    </row>
    <row r="360" spans="1:2" x14ac:dyDescent="0.35">
      <c r="A360" s="11" t="s">
        <v>5828</v>
      </c>
      <c r="B360" s="5">
        <v>3</v>
      </c>
    </row>
    <row r="361" spans="1:2" x14ac:dyDescent="0.35">
      <c r="A361" s="11" t="s">
        <v>3009</v>
      </c>
      <c r="B361" s="5">
        <v>6</v>
      </c>
    </row>
    <row r="362" spans="1:2" x14ac:dyDescent="0.35">
      <c r="A362" s="11" t="s">
        <v>9307</v>
      </c>
      <c r="B362" s="5">
        <v>2</v>
      </c>
    </row>
    <row r="363" spans="1:2" x14ac:dyDescent="0.35">
      <c r="A363" s="11" t="s">
        <v>3392</v>
      </c>
      <c r="B363" s="5">
        <v>2</v>
      </c>
    </row>
    <row r="364" spans="1:2" x14ac:dyDescent="0.35">
      <c r="A364" s="11" t="s">
        <v>4816</v>
      </c>
      <c r="B364" s="5">
        <v>1</v>
      </c>
    </row>
    <row r="365" spans="1:2" x14ac:dyDescent="0.35">
      <c r="A365" s="11" t="s">
        <v>9699</v>
      </c>
      <c r="B365" s="5">
        <v>3</v>
      </c>
    </row>
    <row r="366" spans="1:2" x14ac:dyDescent="0.35">
      <c r="A366" s="11" t="s">
        <v>7806</v>
      </c>
      <c r="B366" s="5">
        <v>1</v>
      </c>
    </row>
    <row r="367" spans="1:2" x14ac:dyDescent="0.35">
      <c r="A367" s="11" t="s">
        <v>3435</v>
      </c>
      <c r="B367" s="5">
        <v>2</v>
      </c>
    </row>
    <row r="368" spans="1:2" x14ac:dyDescent="0.35">
      <c r="A368" s="11" t="s">
        <v>9205</v>
      </c>
      <c r="B368" s="5">
        <v>3</v>
      </c>
    </row>
    <row r="369" spans="1:2" x14ac:dyDescent="0.35">
      <c r="A369" s="11" t="s">
        <v>3853</v>
      </c>
      <c r="B369" s="5">
        <v>1</v>
      </c>
    </row>
    <row r="370" spans="1:2" x14ac:dyDescent="0.35">
      <c r="A370" s="11" t="s">
        <v>8470</v>
      </c>
      <c r="B370" s="5">
        <v>1</v>
      </c>
    </row>
    <row r="371" spans="1:2" x14ac:dyDescent="0.35">
      <c r="A371" s="11" t="s">
        <v>3769</v>
      </c>
      <c r="B371" s="5">
        <v>4</v>
      </c>
    </row>
    <row r="372" spans="1:2" x14ac:dyDescent="0.35">
      <c r="A372" s="11" t="s">
        <v>5166</v>
      </c>
      <c r="B372" s="5">
        <v>1</v>
      </c>
    </row>
    <row r="373" spans="1:2" x14ac:dyDescent="0.35">
      <c r="A373" s="11" t="s">
        <v>3401</v>
      </c>
      <c r="B373" s="5">
        <v>5</v>
      </c>
    </row>
    <row r="374" spans="1:2" x14ac:dyDescent="0.35">
      <c r="A374" s="11" t="s">
        <v>6304</v>
      </c>
      <c r="B374" s="5">
        <v>1</v>
      </c>
    </row>
    <row r="375" spans="1:2" x14ac:dyDescent="0.35">
      <c r="A375" s="11" t="s">
        <v>10756</v>
      </c>
      <c r="B375" s="5">
        <v>4</v>
      </c>
    </row>
    <row r="376" spans="1:2" x14ac:dyDescent="0.35">
      <c r="A376" s="11" t="s">
        <v>5056</v>
      </c>
      <c r="B376" s="5">
        <v>2</v>
      </c>
    </row>
    <row r="377" spans="1:2" x14ac:dyDescent="0.35">
      <c r="A377" s="11" t="s">
        <v>5203</v>
      </c>
      <c r="B377" s="5">
        <v>2</v>
      </c>
    </row>
    <row r="378" spans="1:2" x14ac:dyDescent="0.35">
      <c r="A378" s="11" t="s">
        <v>6679</v>
      </c>
      <c r="B378" s="5">
        <v>2</v>
      </c>
    </row>
    <row r="379" spans="1:2" x14ac:dyDescent="0.35">
      <c r="A379" s="11" t="s">
        <v>1781</v>
      </c>
      <c r="B379" s="5">
        <v>1</v>
      </c>
    </row>
    <row r="380" spans="1:2" x14ac:dyDescent="0.35">
      <c r="A380" s="11" t="s">
        <v>389</v>
      </c>
      <c r="B380" s="5">
        <v>1</v>
      </c>
    </row>
    <row r="381" spans="1:2" x14ac:dyDescent="0.35">
      <c r="A381" s="11" t="s">
        <v>4943</v>
      </c>
      <c r="B381" s="5">
        <v>2</v>
      </c>
    </row>
    <row r="382" spans="1:2" x14ac:dyDescent="0.35">
      <c r="A382" s="11" t="s">
        <v>4709</v>
      </c>
      <c r="B382" s="5">
        <v>2</v>
      </c>
    </row>
    <row r="383" spans="1:2" x14ac:dyDescent="0.35">
      <c r="A383" s="11" t="s">
        <v>12243</v>
      </c>
      <c r="B383" s="5">
        <v>2</v>
      </c>
    </row>
    <row r="384" spans="1:2" x14ac:dyDescent="0.35">
      <c r="A384" s="11" t="s">
        <v>3717</v>
      </c>
      <c r="B384" s="5">
        <v>7</v>
      </c>
    </row>
    <row r="385" spans="1:2" x14ac:dyDescent="0.35">
      <c r="A385" s="11" t="s">
        <v>6764</v>
      </c>
      <c r="B385" s="5">
        <v>1</v>
      </c>
    </row>
    <row r="386" spans="1:2" x14ac:dyDescent="0.35">
      <c r="A386" s="11" t="s">
        <v>1006</v>
      </c>
      <c r="B386" s="5">
        <v>3</v>
      </c>
    </row>
    <row r="387" spans="1:2" x14ac:dyDescent="0.35">
      <c r="A387" s="11" t="s">
        <v>5021</v>
      </c>
      <c r="B387" s="5">
        <v>3</v>
      </c>
    </row>
    <row r="388" spans="1:2" x14ac:dyDescent="0.35">
      <c r="A388" s="11" t="s">
        <v>5610</v>
      </c>
      <c r="B388" s="5">
        <v>2</v>
      </c>
    </row>
    <row r="389" spans="1:2" x14ac:dyDescent="0.35">
      <c r="A389" s="11" t="s">
        <v>3921</v>
      </c>
      <c r="B389" s="5">
        <v>1</v>
      </c>
    </row>
    <row r="390" spans="1:2" x14ac:dyDescent="0.35">
      <c r="A390" s="11" t="s">
        <v>5490</v>
      </c>
      <c r="B390" s="5">
        <v>1</v>
      </c>
    </row>
    <row r="391" spans="1:2" x14ac:dyDescent="0.35">
      <c r="A391" s="11" t="s">
        <v>4633</v>
      </c>
      <c r="B391" s="5">
        <v>1</v>
      </c>
    </row>
    <row r="392" spans="1:2" x14ac:dyDescent="0.35">
      <c r="A392" s="11" t="s">
        <v>9268</v>
      </c>
      <c r="B392" s="5">
        <v>1</v>
      </c>
    </row>
    <row r="393" spans="1:2" x14ac:dyDescent="0.35">
      <c r="A393" s="11" t="s">
        <v>6918</v>
      </c>
      <c r="B393" s="5">
        <v>1</v>
      </c>
    </row>
    <row r="394" spans="1:2" x14ac:dyDescent="0.35">
      <c r="A394" s="11" t="s">
        <v>6103</v>
      </c>
      <c r="B394" s="5">
        <v>2</v>
      </c>
    </row>
    <row r="395" spans="1:2" x14ac:dyDescent="0.35">
      <c r="A395" s="11" t="s">
        <v>8989</v>
      </c>
      <c r="B395" s="5">
        <v>2</v>
      </c>
    </row>
    <row r="396" spans="1:2" x14ac:dyDescent="0.35">
      <c r="A396" s="11" t="s">
        <v>4539</v>
      </c>
      <c r="B396" s="5">
        <v>4</v>
      </c>
    </row>
    <row r="397" spans="1:2" x14ac:dyDescent="0.35">
      <c r="A397" s="11" t="s">
        <v>4281</v>
      </c>
      <c r="B397" s="5">
        <v>1</v>
      </c>
    </row>
    <row r="398" spans="1:2" x14ac:dyDescent="0.35">
      <c r="A398" s="11" t="s">
        <v>5604</v>
      </c>
      <c r="B398" s="5">
        <v>1</v>
      </c>
    </row>
    <row r="399" spans="1:2" x14ac:dyDescent="0.35">
      <c r="A399" s="11" t="s">
        <v>1443</v>
      </c>
      <c r="B399" s="5">
        <v>1</v>
      </c>
    </row>
    <row r="400" spans="1:2" x14ac:dyDescent="0.35">
      <c r="A400" s="11" t="s">
        <v>3304</v>
      </c>
      <c r="B400" s="5">
        <v>1</v>
      </c>
    </row>
    <row r="401" spans="1:2" x14ac:dyDescent="0.35">
      <c r="A401" s="11" t="s">
        <v>6950</v>
      </c>
      <c r="B401" s="5">
        <v>2</v>
      </c>
    </row>
    <row r="402" spans="1:2" x14ac:dyDescent="0.35">
      <c r="A402" s="11" t="s">
        <v>1729</v>
      </c>
      <c r="B402" s="5">
        <v>1</v>
      </c>
    </row>
    <row r="403" spans="1:2" x14ac:dyDescent="0.35">
      <c r="A403" s="11" t="s">
        <v>1064</v>
      </c>
      <c r="B403" s="5">
        <v>1</v>
      </c>
    </row>
    <row r="404" spans="1:2" x14ac:dyDescent="0.35">
      <c r="A404" s="11" t="s">
        <v>9350</v>
      </c>
      <c r="B404" s="5">
        <v>4</v>
      </c>
    </row>
    <row r="405" spans="1:2" x14ac:dyDescent="0.35">
      <c r="A405" s="11" t="s">
        <v>5565</v>
      </c>
      <c r="B405" s="5">
        <v>2</v>
      </c>
    </row>
    <row r="406" spans="1:2" x14ac:dyDescent="0.35">
      <c r="A406" s="11" t="s">
        <v>1698</v>
      </c>
      <c r="B406" s="5">
        <v>1</v>
      </c>
    </row>
    <row r="407" spans="1:2" x14ac:dyDescent="0.35">
      <c r="A407" s="11" t="s">
        <v>3578</v>
      </c>
      <c r="B407" s="5">
        <v>1</v>
      </c>
    </row>
    <row r="408" spans="1:2" x14ac:dyDescent="0.35">
      <c r="A408" s="11" t="s">
        <v>5030</v>
      </c>
      <c r="B408" s="5">
        <v>1</v>
      </c>
    </row>
    <row r="409" spans="1:2" x14ac:dyDescent="0.35">
      <c r="A409" s="11" t="s">
        <v>3413</v>
      </c>
      <c r="B409" s="5">
        <v>1</v>
      </c>
    </row>
    <row r="410" spans="1:2" x14ac:dyDescent="0.35">
      <c r="A410" s="11" t="s">
        <v>5812</v>
      </c>
      <c r="B410" s="5">
        <v>1</v>
      </c>
    </row>
    <row r="411" spans="1:2" x14ac:dyDescent="0.35">
      <c r="A411" s="11" t="s">
        <v>2384</v>
      </c>
      <c r="B411" s="5">
        <v>1</v>
      </c>
    </row>
    <row r="412" spans="1:2" x14ac:dyDescent="0.35">
      <c r="A412" s="11" t="s">
        <v>10857</v>
      </c>
      <c r="B412" s="5">
        <v>3</v>
      </c>
    </row>
    <row r="413" spans="1:2" x14ac:dyDescent="0.35">
      <c r="A413" s="11" t="s">
        <v>4522</v>
      </c>
      <c r="B413" s="5">
        <v>3</v>
      </c>
    </row>
    <row r="414" spans="1:2" x14ac:dyDescent="0.35">
      <c r="A414" s="11" t="s">
        <v>9023</v>
      </c>
      <c r="B414" s="5">
        <v>1</v>
      </c>
    </row>
    <row r="415" spans="1:2" x14ac:dyDescent="0.35">
      <c r="A415" s="11" t="s">
        <v>5425</v>
      </c>
      <c r="B415" s="5">
        <v>1</v>
      </c>
    </row>
    <row r="416" spans="1:2" x14ac:dyDescent="0.35">
      <c r="A416" s="11" t="s">
        <v>2410</v>
      </c>
      <c r="B416" s="5">
        <v>2</v>
      </c>
    </row>
    <row r="417" spans="1:2" x14ac:dyDescent="0.35">
      <c r="A417" s="11" t="s">
        <v>4867</v>
      </c>
      <c r="B417" s="5">
        <v>1</v>
      </c>
    </row>
    <row r="418" spans="1:2" x14ac:dyDescent="0.35">
      <c r="A418" s="11" t="s">
        <v>4419</v>
      </c>
      <c r="B418" s="5">
        <v>2</v>
      </c>
    </row>
    <row r="419" spans="1:2" x14ac:dyDescent="0.35">
      <c r="A419" s="11" t="s">
        <v>2026</v>
      </c>
      <c r="B419" s="5">
        <v>4</v>
      </c>
    </row>
    <row r="420" spans="1:2" x14ac:dyDescent="0.35">
      <c r="A420" s="11" t="s">
        <v>1833</v>
      </c>
      <c r="B420" s="5">
        <v>2</v>
      </c>
    </row>
    <row r="421" spans="1:2" x14ac:dyDescent="0.35">
      <c r="A421" s="11" t="s">
        <v>9107</v>
      </c>
      <c r="B421" s="5">
        <v>2</v>
      </c>
    </row>
    <row r="422" spans="1:2" x14ac:dyDescent="0.35">
      <c r="A422" s="11" t="s">
        <v>6521</v>
      </c>
      <c r="B422" s="5">
        <v>4</v>
      </c>
    </row>
    <row r="423" spans="1:2" x14ac:dyDescent="0.35">
      <c r="A423" s="11" t="s">
        <v>7672</v>
      </c>
      <c r="B423" s="5">
        <v>2</v>
      </c>
    </row>
    <row r="424" spans="1:2" x14ac:dyDescent="0.35">
      <c r="A424" s="11" t="s">
        <v>4356</v>
      </c>
      <c r="B424" s="5">
        <v>1</v>
      </c>
    </row>
    <row r="425" spans="1:2" x14ac:dyDescent="0.35">
      <c r="A425" s="11" t="s">
        <v>3903</v>
      </c>
      <c r="B425" s="5">
        <v>1</v>
      </c>
    </row>
    <row r="426" spans="1:2" x14ac:dyDescent="0.35">
      <c r="A426" s="11" t="s">
        <v>4387</v>
      </c>
      <c r="B426" s="5">
        <v>1</v>
      </c>
    </row>
    <row r="427" spans="1:2" x14ac:dyDescent="0.35">
      <c r="A427" s="11" t="s">
        <v>2924</v>
      </c>
      <c r="B427" s="5">
        <v>1</v>
      </c>
    </row>
    <row r="428" spans="1:2" x14ac:dyDescent="0.35">
      <c r="A428" s="11" t="s">
        <v>2702</v>
      </c>
      <c r="B428" s="5">
        <v>1</v>
      </c>
    </row>
    <row r="429" spans="1:2" x14ac:dyDescent="0.35">
      <c r="A429" s="11" t="s">
        <v>2649</v>
      </c>
      <c r="B429" s="5">
        <v>14</v>
      </c>
    </row>
    <row r="430" spans="1:2" x14ac:dyDescent="0.35">
      <c r="A430" s="11" t="s">
        <v>2402</v>
      </c>
      <c r="B430" s="5">
        <v>2</v>
      </c>
    </row>
    <row r="431" spans="1:2" x14ac:dyDescent="0.35">
      <c r="A431" s="11" t="s">
        <v>3792</v>
      </c>
      <c r="B431" s="5">
        <v>2</v>
      </c>
    </row>
    <row r="432" spans="1:2" x14ac:dyDescent="0.35">
      <c r="A432" s="11" t="s">
        <v>205</v>
      </c>
      <c r="B432" s="5">
        <v>3</v>
      </c>
    </row>
    <row r="433" spans="1:2" x14ac:dyDescent="0.35">
      <c r="A433" s="11" t="s">
        <v>6229</v>
      </c>
      <c r="B433" s="5">
        <v>2</v>
      </c>
    </row>
    <row r="434" spans="1:2" x14ac:dyDescent="0.35">
      <c r="A434" s="11" t="s">
        <v>2886</v>
      </c>
      <c r="B434" s="5">
        <v>2</v>
      </c>
    </row>
    <row r="435" spans="1:2" x14ac:dyDescent="0.35">
      <c r="A435" s="11" t="s">
        <v>1876</v>
      </c>
      <c r="B435" s="5">
        <v>3</v>
      </c>
    </row>
    <row r="436" spans="1:2" x14ac:dyDescent="0.35">
      <c r="A436" s="11" t="s">
        <v>1627</v>
      </c>
      <c r="B436" s="5">
        <v>2</v>
      </c>
    </row>
    <row r="437" spans="1:2" x14ac:dyDescent="0.35">
      <c r="A437" s="11" t="s">
        <v>4065</v>
      </c>
      <c r="B437" s="5">
        <v>3</v>
      </c>
    </row>
    <row r="438" spans="1:2" x14ac:dyDescent="0.35">
      <c r="A438" s="11" t="s">
        <v>4992</v>
      </c>
      <c r="B438" s="5">
        <v>2</v>
      </c>
    </row>
    <row r="439" spans="1:2" x14ac:dyDescent="0.35">
      <c r="A439" s="11" t="s">
        <v>5283</v>
      </c>
      <c r="B439" s="5">
        <v>1</v>
      </c>
    </row>
    <row r="440" spans="1:2" x14ac:dyDescent="0.35">
      <c r="A440" s="11" t="s">
        <v>982</v>
      </c>
      <c r="B440" s="5">
        <v>1</v>
      </c>
    </row>
    <row r="441" spans="1:2" x14ac:dyDescent="0.35">
      <c r="A441" s="11" t="s">
        <v>6160</v>
      </c>
      <c r="B441" s="5">
        <v>2</v>
      </c>
    </row>
    <row r="442" spans="1:2" x14ac:dyDescent="0.35">
      <c r="A442" s="11" t="s">
        <v>8597</v>
      </c>
      <c r="B442" s="5">
        <v>2</v>
      </c>
    </row>
    <row r="443" spans="1:2" x14ac:dyDescent="0.35">
      <c r="A443" s="11" t="s">
        <v>1544</v>
      </c>
      <c r="B443" s="5">
        <v>2</v>
      </c>
    </row>
    <row r="444" spans="1:2" x14ac:dyDescent="0.35">
      <c r="A444" s="11" t="s">
        <v>4505</v>
      </c>
      <c r="B444" s="5">
        <v>1</v>
      </c>
    </row>
    <row r="445" spans="1:2" x14ac:dyDescent="0.35">
      <c r="A445" s="11" t="s">
        <v>4685</v>
      </c>
      <c r="B445" s="5">
        <v>4</v>
      </c>
    </row>
    <row r="446" spans="1:2" x14ac:dyDescent="0.35">
      <c r="A446" s="11" t="s">
        <v>2900</v>
      </c>
      <c r="B446" s="5">
        <v>3</v>
      </c>
    </row>
    <row r="447" spans="1:2" x14ac:dyDescent="0.35">
      <c r="A447" s="11" t="s">
        <v>4752</v>
      </c>
      <c r="B447" s="5">
        <v>5</v>
      </c>
    </row>
    <row r="448" spans="1:2" x14ac:dyDescent="0.35">
      <c r="A448" s="11" t="s">
        <v>8198</v>
      </c>
      <c r="B448" s="5">
        <v>1</v>
      </c>
    </row>
    <row r="449" spans="1:2" x14ac:dyDescent="0.35">
      <c r="A449" s="11" t="s">
        <v>4110</v>
      </c>
      <c r="B449" s="5">
        <v>2</v>
      </c>
    </row>
    <row r="450" spans="1:2" x14ac:dyDescent="0.35">
      <c r="A450" s="11" t="s">
        <v>4829</v>
      </c>
      <c r="B450" s="5">
        <v>1</v>
      </c>
    </row>
    <row r="451" spans="1:2" x14ac:dyDescent="0.35">
      <c r="A451" s="11" t="s">
        <v>6021</v>
      </c>
      <c r="B451" s="5">
        <v>3</v>
      </c>
    </row>
    <row r="452" spans="1:2" x14ac:dyDescent="0.35">
      <c r="A452" s="11" t="s">
        <v>1104</v>
      </c>
      <c r="B452" s="5">
        <v>10</v>
      </c>
    </row>
    <row r="453" spans="1:2" x14ac:dyDescent="0.35">
      <c r="A453" s="11" t="s">
        <v>4721</v>
      </c>
      <c r="B453" s="5">
        <v>1</v>
      </c>
    </row>
    <row r="454" spans="1:2" x14ac:dyDescent="0.35">
      <c r="A454" s="11" t="s">
        <v>4763</v>
      </c>
      <c r="B454" s="5">
        <v>3</v>
      </c>
    </row>
    <row r="455" spans="1:2" x14ac:dyDescent="0.35">
      <c r="A455" s="11" t="s">
        <v>8785</v>
      </c>
      <c r="B455" s="5">
        <v>1</v>
      </c>
    </row>
    <row r="456" spans="1:2" x14ac:dyDescent="0.35">
      <c r="A456" s="11" t="s">
        <v>6048</v>
      </c>
      <c r="B456" s="5">
        <v>1</v>
      </c>
    </row>
    <row r="457" spans="1:2" x14ac:dyDescent="0.35">
      <c r="A457" s="11" t="s">
        <v>1723</v>
      </c>
      <c r="B457" s="5">
        <v>6</v>
      </c>
    </row>
    <row r="458" spans="1:2" x14ac:dyDescent="0.35">
      <c r="A458" s="11" t="s">
        <v>4837</v>
      </c>
      <c r="B458" s="5">
        <v>3</v>
      </c>
    </row>
    <row r="459" spans="1:2" x14ac:dyDescent="0.35">
      <c r="A459" s="11" t="s">
        <v>4230</v>
      </c>
      <c r="B459" s="5">
        <v>1</v>
      </c>
    </row>
    <row r="460" spans="1:2" x14ac:dyDescent="0.35">
      <c r="A460" s="11" t="s">
        <v>4184</v>
      </c>
      <c r="B460" s="5">
        <v>4</v>
      </c>
    </row>
    <row r="461" spans="1:2" x14ac:dyDescent="0.35">
      <c r="A461" s="11" t="s">
        <v>9283</v>
      </c>
      <c r="B461" s="5">
        <v>1</v>
      </c>
    </row>
    <row r="462" spans="1:2" x14ac:dyDescent="0.35">
      <c r="A462" s="11" t="s">
        <v>2249</v>
      </c>
      <c r="B462" s="5">
        <v>3</v>
      </c>
    </row>
    <row r="463" spans="1:2" x14ac:dyDescent="0.35">
      <c r="A463" s="11" t="s">
        <v>4770</v>
      </c>
      <c r="B463" s="5">
        <v>9</v>
      </c>
    </row>
    <row r="464" spans="1:2" x14ac:dyDescent="0.35">
      <c r="A464" s="11" t="s">
        <v>1316</v>
      </c>
      <c r="B464" s="5">
        <v>9</v>
      </c>
    </row>
    <row r="465" spans="1:2" x14ac:dyDescent="0.35">
      <c r="A465" s="11" t="s">
        <v>1235</v>
      </c>
      <c r="B465" s="5">
        <v>8</v>
      </c>
    </row>
    <row r="466" spans="1:2" x14ac:dyDescent="0.35">
      <c r="A466" s="11" t="s">
        <v>1091</v>
      </c>
      <c r="B466" s="5">
        <v>1</v>
      </c>
    </row>
    <row r="467" spans="1:2" x14ac:dyDescent="0.35">
      <c r="A467" s="11" t="s">
        <v>7777</v>
      </c>
      <c r="B467" s="5">
        <v>1</v>
      </c>
    </row>
    <row r="468" spans="1:2" x14ac:dyDescent="0.35">
      <c r="A468" s="11" t="s">
        <v>3268</v>
      </c>
      <c r="B468" s="5">
        <v>1</v>
      </c>
    </row>
    <row r="469" spans="1:2" x14ac:dyDescent="0.35">
      <c r="A469" s="11" t="s">
        <v>8776</v>
      </c>
      <c r="B469" s="5">
        <v>1</v>
      </c>
    </row>
    <row r="470" spans="1:2" x14ac:dyDescent="0.35">
      <c r="A470" s="11" t="s">
        <v>3344</v>
      </c>
      <c r="B470" s="5">
        <v>2</v>
      </c>
    </row>
    <row r="471" spans="1:2" x14ac:dyDescent="0.35">
      <c r="A471" s="11" t="s">
        <v>1433</v>
      </c>
      <c r="B471" s="5">
        <v>2</v>
      </c>
    </row>
    <row r="472" spans="1:2" x14ac:dyDescent="0.35">
      <c r="A472" s="11" t="s">
        <v>5847</v>
      </c>
      <c r="B472" s="5">
        <v>2</v>
      </c>
    </row>
    <row r="473" spans="1:2" x14ac:dyDescent="0.35">
      <c r="A473" s="11" t="s">
        <v>3999</v>
      </c>
      <c r="B473" s="5">
        <v>6</v>
      </c>
    </row>
    <row r="474" spans="1:2" x14ac:dyDescent="0.35">
      <c r="A474" s="11" t="s">
        <v>5215</v>
      </c>
      <c r="B474" s="5">
        <v>3</v>
      </c>
    </row>
    <row r="475" spans="1:2" x14ac:dyDescent="0.35">
      <c r="A475" s="11" t="s">
        <v>4885</v>
      </c>
      <c r="B475" s="5">
        <v>1</v>
      </c>
    </row>
    <row r="476" spans="1:2" x14ac:dyDescent="0.35">
      <c r="A476" s="11" t="s">
        <v>4487</v>
      </c>
      <c r="B476" s="5">
        <v>1</v>
      </c>
    </row>
    <row r="477" spans="1:2" x14ac:dyDescent="0.35">
      <c r="A477" s="11" t="s">
        <v>5716</v>
      </c>
      <c r="B477" s="5">
        <v>3</v>
      </c>
    </row>
    <row r="478" spans="1:2" x14ac:dyDescent="0.35">
      <c r="A478" s="11" t="s">
        <v>1659</v>
      </c>
      <c r="B478" s="5">
        <v>6</v>
      </c>
    </row>
    <row r="479" spans="1:2" x14ac:dyDescent="0.35">
      <c r="A479" s="11" t="s">
        <v>327</v>
      </c>
      <c r="B479" s="5">
        <v>164</v>
      </c>
    </row>
    <row r="480" spans="1:2" x14ac:dyDescent="0.35">
      <c r="A480" s="11" t="s">
        <v>4390</v>
      </c>
      <c r="B480" s="5">
        <v>1</v>
      </c>
    </row>
    <row r="481" spans="1:2" x14ac:dyDescent="0.35">
      <c r="A481" s="11" t="s">
        <v>3721</v>
      </c>
      <c r="B481" s="5">
        <v>1</v>
      </c>
    </row>
    <row r="482" spans="1:2" x14ac:dyDescent="0.35">
      <c r="A482" s="12" t="s">
        <v>423</v>
      </c>
      <c r="B482" s="13">
        <v>18</v>
      </c>
    </row>
    <row r="483" spans="1:2" x14ac:dyDescent="0.35">
      <c r="A483" s="11" t="s">
        <v>1406</v>
      </c>
      <c r="B483" s="5">
        <v>4</v>
      </c>
    </row>
    <row r="484" spans="1:2" x14ac:dyDescent="0.35">
      <c r="A484" s="11" t="s">
        <v>7739</v>
      </c>
      <c r="B484" s="5">
        <v>1</v>
      </c>
    </row>
    <row r="485" spans="1:2" x14ac:dyDescent="0.35">
      <c r="A485" s="11" t="s">
        <v>2456</v>
      </c>
      <c r="B485" s="5">
        <v>4</v>
      </c>
    </row>
    <row r="486" spans="1:2" x14ac:dyDescent="0.35">
      <c r="A486" s="11" t="s">
        <v>2453</v>
      </c>
      <c r="B486" s="5">
        <v>6</v>
      </c>
    </row>
    <row r="487" spans="1:2" x14ac:dyDescent="0.35">
      <c r="A487" s="11" t="s">
        <v>12997</v>
      </c>
      <c r="B487" s="5">
        <v>1</v>
      </c>
    </row>
    <row r="488" spans="1:2" x14ac:dyDescent="0.35">
      <c r="A488" s="11" t="s">
        <v>425</v>
      </c>
      <c r="B488" s="5">
        <v>1</v>
      </c>
    </row>
    <row r="489" spans="1:2" x14ac:dyDescent="0.35">
      <c r="A489" s="11" t="s">
        <v>11462</v>
      </c>
      <c r="B489" s="5">
        <v>1</v>
      </c>
    </row>
    <row r="490" spans="1:2" x14ac:dyDescent="0.35">
      <c r="A490" s="12" t="s">
        <v>158</v>
      </c>
      <c r="B490" s="13">
        <v>232</v>
      </c>
    </row>
    <row r="491" spans="1:2" x14ac:dyDescent="0.35">
      <c r="A491" s="11" t="s">
        <v>7022</v>
      </c>
      <c r="B491" s="5">
        <v>1</v>
      </c>
    </row>
    <row r="492" spans="1:2" x14ac:dyDescent="0.35">
      <c r="A492" s="11" t="s">
        <v>3879</v>
      </c>
      <c r="B492" s="5">
        <v>1</v>
      </c>
    </row>
    <row r="493" spans="1:2" x14ac:dyDescent="0.35">
      <c r="A493" s="11" t="s">
        <v>3139</v>
      </c>
      <c r="B493" s="5">
        <v>1</v>
      </c>
    </row>
    <row r="494" spans="1:2" x14ac:dyDescent="0.35">
      <c r="A494" s="11" t="s">
        <v>515</v>
      </c>
      <c r="B494" s="5">
        <v>2</v>
      </c>
    </row>
    <row r="495" spans="1:2" x14ac:dyDescent="0.35">
      <c r="A495" s="11" t="s">
        <v>9179</v>
      </c>
      <c r="B495" s="5">
        <v>1</v>
      </c>
    </row>
    <row r="496" spans="1:2" x14ac:dyDescent="0.35">
      <c r="A496" s="11" t="s">
        <v>6803</v>
      </c>
      <c r="B496" s="5">
        <v>1</v>
      </c>
    </row>
    <row r="497" spans="1:2" x14ac:dyDescent="0.35">
      <c r="A497" s="11" t="s">
        <v>6377</v>
      </c>
      <c r="B497" s="5">
        <v>4</v>
      </c>
    </row>
    <row r="498" spans="1:2" x14ac:dyDescent="0.35">
      <c r="A498" s="11" t="s">
        <v>6144</v>
      </c>
      <c r="B498" s="5">
        <v>1</v>
      </c>
    </row>
    <row r="499" spans="1:2" x14ac:dyDescent="0.35">
      <c r="A499" s="11" t="s">
        <v>11904</v>
      </c>
      <c r="B499" s="5">
        <v>1</v>
      </c>
    </row>
    <row r="500" spans="1:2" x14ac:dyDescent="0.35">
      <c r="A500" s="11" t="s">
        <v>9313</v>
      </c>
      <c r="B500" s="5">
        <v>1</v>
      </c>
    </row>
    <row r="501" spans="1:2" x14ac:dyDescent="0.35">
      <c r="A501" s="11" t="s">
        <v>3762</v>
      </c>
      <c r="B501" s="5">
        <v>2</v>
      </c>
    </row>
    <row r="502" spans="1:2" x14ac:dyDescent="0.35">
      <c r="A502" s="11" t="s">
        <v>3875</v>
      </c>
      <c r="B502" s="5">
        <v>2</v>
      </c>
    </row>
    <row r="503" spans="1:2" x14ac:dyDescent="0.35">
      <c r="A503" s="11" t="s">
        <v>7475</v>
      </c>
      <c r="B503" s="5">
        <v>1</v>
      </c>
    </row>
    <row r="504" spans="1:2" x14ac:dyDescent="0.35">
      <c r="A504" s="11" t="s">
        <v>7689</v>
      </c>
      <c r="B504" s="5">
        <v>1</v>
      </c>
    </row>
    <row r="505" spans="1:2" x14ac:dyDescent="0.35">
      <c r="A505" s="11" t="s">
        <v>52</v>
      </c>
      <c r="B505" s="5">
        <v>1</v>
      </c>
    </row>
    <row r="506" spans="1:2" x14ac:dyDescent="0.35">
      <c r="A506" s="11" t="s">
        <v>6985</v>
      </c>
      <c r="B506" s="5">
        <v>1</v>
      </c>
    </row>
    <row r="507" spans="1:2" x14ac:dyDescent="0.35">
      <c r="A507" s="11" t="s">
        <v>3366</v>
      </c>
      <c r="B507" s="5">
        <v>2</v>
      </c>
    </row>
    <row r="508" spans="1:2" x14ac:dyDescent="0.35">
      <c r="A508" s="11" t="s">
        <v>4180</v>
      </c>
      <c r="B508" s="5">
        <v>1</v>
      </c>
    </row>
    <row r="509" spans="1:2" x14ac:dyDescent="0.35">
      <c r="A509" s="11" t="s">
        <v>8233</v>
      </c>
      <c r="B509" s="5">
        <v>1</v>
      </c>
    </row>
    <row r="510" spans="1:2" x14ac:dyDescent="0.35">
      <c r="A510" s="11" t="s">
        <v>7292</v>
      </c>
      <c r="B510" s="5">
        <v>1</v>
      </c>
    </row>
    <row r="511" spans="1:2" x14ac:dyDescent="0.35">
      <c r="A511" s="11" t="s">
        <v>7867</v>
      </c>
      <c r="B511" s="5">
        <v>2</v>
      </c>
    </row>
    <row r="512" spans="1:2" x14ac:dyDescent="0.35">
      <c r="A512" s="11" t="s">
        <v>5681</v>
      </c>
      <c r="B512" s="5">
        <v>5</v>
      </c>
    </row>
    <row r="513" spans="1:2" x14ac:dyDescent="0.35">
      <c r="A513" s="11" t="s">
        <v>4289</v>
      </c>
      <c r="B513" s="5">
        <v>1</v>
      </c>
    </row>
    <row r="514" spans="1:2" x14ac:dyDescent="0.35">
      <c r="A514" s="11" t="s">
        <v>6215</v>
      </c>
      <c r="B514" s="5">
        <v>8</v>
      </c>
    </row>
    <row r="515" spans="1:2" x14ac:dyDescent="0.35">
      <c r="A515" s="11" t="s">
        <v>9051</v>
      </c>
      <c r="B515" s="5">
        <v>1</v>
      </c>
    </row>
    <row r="516" spans="1:2" x14ac:dyDescent="0.35">
      <c r="A516" s="11" t="s">
        <v>1584</v>
      </c>
      <c r="B516" s="5">
        <v>10</v>
      </c>
    </row>
    <row r="517" spans="1:2" x14ac:dyDescent="0.35">
      <c r="A517" s="11" t="s">
        <v>5111</v>
      </c>
      <c r="B517" s="5">
        <v>1</v>
      </c>
    </row>
    <row r="518" spans="1:2" x14ac:dyDescent="0.35">
      <c r="A518" s="11" t="s">
        <v>1547</v>
      </c>
      <c r="B518" s="5">
        <v>2</v>
      </c>
    </row>
    <row r="519" spans="1:2" x14ac:dyDescent="0.35">
      <c r="A519" s="11" t="s">
        <v>1364</v>
      </c>
      <c r="B519" s="5">
        <v>1</v>
      </c>
    </row>
    <row r="520" spans="1:2" x14ac:dyDescent="0.35">
      <c r="A520" s="11" t="s">
        <v>1077</v>
      </c>
      <c r="B520" s="5">
        <v>2</v>
      </c>
    </row>
    <row r="521" spans="1:2" x14ac:dyDescent="0.35">
      <c r="A521" s="11" t="s">
        <v>9732</v>
      </c>
      <c r="B521" s="5">
        <v>1</v>
      </c>
    </row>
    <row r="522" spans="1:2" x14ac:dyDescent="0.35">
      <c r="A522" s="11" t="s">
        <v>11886</v>
      </c>
      <c r="B522" s="5">
        <v>1</v>
      </c>
    </row>
    <row r="523" spans="1:2" x14ac:dyDescent="0.35">
      <c r="A523" s="11" t="s">
        <v>7153</v>
      </c>
      <c r="B523" s="5">
        <v>1</v>
      </c>
    </row>
    <row r="524" spans="1:2" x14ac:dyDescent="0.35">
      <c r="A524" s="11" t="s">
        <v>1477</v>
      </c>
      <c r="B524" s="5">
        <v>7</v>
      </c>
    </row>
    <row r="525" spans="1:2" x14ac:dyDescent="0.35">
      <c r="A525" s="11" t="s">
        <v>521</v>
      </c>
      <c r="B525" s="5">
        <v>6</v>
      </c>
    </row>
    <row r="526" spans="1:2" x14ac:dyDescent="0.35">
      <c r="A526" s="11" t="s">
        <v>3204</v>
      </c>
      <c r="B526" s="5">
        <v>2</v>
      </c>
    </row>
    <row r="527" spans="1:2" x14ac:dyDescent="0.35">
      <c r="A527" s="11" t="s">
        <v>3888</v>
      </c>
      <c r="B527" s="5">
        <v>2</v>
      </c>
    </row>
    <row r="528" spans="1:2" x14ac:dyDescent="0.35">
      <c r="A528" s="11" t="s">
        <v>6783</v>
      </c>
      <c r="B528" s="5">
        <v>1</v>
      </c>
    </row>
    <row r="529" spans="1:2" x14ac:dyDescent="0.35">
      <c r="A529" s="11" t="s">
        <v>8408</v>
      </c>
      <c r="B529" s="5">
        <v>7</v>
      </c>
    </row>
    <row r="530" spans="1:2" x14ac:dyDescent="0.35">
      <c r="A530" s="11" t="s">
        <v>12963</v>
      </c>
      <c r="B530" s="5">
        <v>1</v>
      </c>
    </row>
    <row r="531" spans="1:2" x14ac:dyDescent="0.35">
      <c r="A531" s="11" t="s">
        <v>4526</v>
      </c>
      <c r="B531" s="5">
        <v>1</v>
      </c>
    </row>
    <row r="532" spans="1:2" x14ac:dyDescent="0.35">
      <c r="A532" s="11" t="s">
        <v>6721</v>
      </c>
      <c r="B532" s="5">
        <v>4</v>
      </c>
    </row>
    <row r="533" spans="1:2" x14ac:dyDescent="0.35">
      <c r="A533" s="11" t="s">
        <v>246</v>
      </c>
      <c r="B533" s="5">
        <v>1</v>
      </c>
    </row>
    <row r="534" spans="1:2" x14ac:dyDescent="0.35">
      <c r="A534" s="11" t="s">
        <v>9044</v>
      </c>
      <c r="B534" s="5">
        <v>1</v>
      </c>
    </row>
    <row r="535" spans="1:2" x14ac:dyDescent="0.35">
      <c r="A535" s="11" t="s">
        <v>486</v>
      </c>
      <c r="B535" s="5">
        <v>1</v>
      </c>
    </row>
    <row r="536" spans="1:2" x14ac:dyDescent="0.35">
      <c r="A536" s="11" t="s">
        <v>10868</v>
      </c>
      <c r="B536" s="5">
        <v>5</v>
      </c>
    </row>
    <row r="537" spans="1:2" x14ac:dyDescent="0.35">
      <c r="A537" s="11" t="s">
        <v>1121</v>
      </c>
      <c r="B537" s="5">
        <v>1</v>
      </c>
    </row>
    <row r="538" spans="1:2" x14ac:dyDescent="0.35">
      <c r="A538" s="11" t="s">
        <v>6325</v>
      </c>
      <c r="B538" s="5">
        <v>1</v>
      </c>
    </row>
    <row r="539" spans="1:2" x14ac:dyDescent="0.35">
      <c r="A539" s="11" t="s">
        <v>3159</v>
      </c>
      <c r="B539" s="5">
        <v>3</v>
      </c>
    </row>
    <row r="540" spans="1:2" x14ac:dyDescent="0.35">
      <c r="A540" s="11" t="s">
        <v>4405</v>
      </c>
      <c r="B540" s="5">
        <v>11</v>
      </c>
    </row>
    <row r="541" spans="1:2" x14ac:dyDescent="0.35">
      <c r="A541" s="11" t="s">
        <v>3133</v>
      </c>
      <c r="B541" s="5">
        <v>1</v>
      </c>
    </row>
    <row r="542" spans="1:2" x14ac:dyDescent="0.35">
      <c r="A542" s="11" t="s">
        <v>160</v>
      </c>
      <c r="B542" s="5">
        <v>4</v>
      </c>
    </row>
    <row r="543" spans="1:2" x14ac:dyDescent="0.35">
      <c r="A543" s="11" t="s">
        <v>3117</v>
      </c>
      <c r="B543" s="5">
        <v>3</v>
      </c>
    </row>
    <row r="544" spans="1:2" x14ac:dyDescent="0.35">
      <c r="A544" s="11" t="s">
        <v>3973</v>
      </c>
      <c r="B544" s="5">
        <v>9</v>
      </c>
    </row>
    <row r="545" spans="1:2" x14ac:dyDescent="0.35">
      <c r="A545" s="11" t="s">
        <v>3943</v>
      </c>
      <c r="B545" s="5">
        <v>3</v>
      </c>
    </row>
    <row r="546" spans="1:2" x14ac:dyDescent="0.35">
      <c r="A546" s="11" t="s">
        <v>11865</v>
      </c>
      <c r="B546" s="5">
        <v>2</v>
      </c>
    </row>
    <row r="547" spans="1:2" x14ac:dyDescent="0.35">
      <c r="A547" s="11" t="s">
        <v>6069</v>
      </c>
      <c r="B547" s="5">
        <v>2</v>
      </c>
    </row>
    <row r="548" spans="1:2" x14ac:dyDescent="0.35">
      <c r="A548" s="11" t="s">
        <v>4363</v>
      </c>
      <c r="B548" s="5">
        <v>1</v>
      </c>
    </row>
    <row r="549" spans="1:2" x14ac:dyDescent="0.35">
      <c r="A549" s="11" t="s">
        <v>3774</v>
      </c>
      <c r="B549" s="5">
        <v>1</v>
      </c>
    </row>
    <row r="550" spans="1:2" x14ac:dyDescent="0.35">
      <c r="A550" s="11" t="s">
        <v>2191</v>
      </c>
      <c r="B550" s="5">
        <v>5</v>
      </c>
    </row>
    <row r="551" spans="1:2" x14ac:dyDescent="0.35">
      <c r="A551" s="11" t="s">
        <v>6788</v>
      </c>
      <c r="B551" s="5">
        <v>1</v>
      </c>
    </row>
    <row r="552" spans="1:2" x14ac:dyDescent="0.35">
      <c r="A552" s="11" t="s">
        <v>12645</v>
      </c>
      <c r="B552" s="5">
        <v>1</v>
      </c>
    </row>
    <row r="553" spans="1:2" x14ac:dyDescent="0.35">
      <c r="A553" s="11" t="s">
        <v>2426</v>
      </c>
      <c r="B553" s="5">
        <v>2</v>
      </c>
    </row>
    <row r="554" spans="1:2" x14ac:dyDescent="0.35">
      <c r="A554" s="11" t="s">
        <v>83</v>
      </c>
      <c r="B554" s="5">
        <v>1</v>
      </c>
    </row>
    <row r="555" spans="1:2" x14ac:dyDescent="0.35">
      <c r="A555" s="11" t="s">
        <v>8094</v>
      </c>
      <c r="B555" s="5">
        <v>2</v>
      </c>
    </row>
    <row r="556" spans="1:2" x14ac:dyDescent="0.35">
      <c r="A556" s="11" t="s">
        <v>9857</v>
      </c>
      <c r="B556" s="5">
        <v>2</v>
      </c>
    </row>
    <row r="557" spans="1:2" x14ac:dyDescent="0.35">
      <c r="A557" s="11" t="s">
        <v>11667</v>
      </c>
      <c r="B557" s="5">
        <v>1</v>
      </c>
    </row>
    <row r="558" spans="1:2" x14ac:dyDescent="0.35">
      <c r="A558" s="11" t="s">
        <v>6882</v>
      </c>
      <c r="B558" s="5">
        <v>1</v>
      </c>
    </row>
    <row r="559" spans="1:2" x14ac:dyDescent="0.35">
      <c r="A559" s="11" t="s">
        <v>3894</v>
      </c>
      <c r="B559" s="5">
        <v>2</v>
      </c>
    </row>
    <row r="560" spans="1:2" x14ac:dyDescent="0.35">
      <c r="A560" s="11" t="s">
        <v>3357</v>
      </c>
      <c r="B560" s="5">
        <v>2</v>
      </c>
    </row>
    <row r="561" spans="1:2" x14ac:dyDescent="0.35">
      <c r="A561" s="11" t="s">
        <v>2807</v>
      </c>
      <c r="B561" s="5">
        <v>8</v>
      </c>
    </row>
    <row r="562" spans="1:2" x14ac:dyDescent="0.35">
      <c r="A562" s="11" t="s">
        <v>887</v>
      </c>
      <c r="B562" s="5">
        <v>1</v>
      </c>
    </row>
    <row r="563" spans="1:2" x14ac:dyDescent="0.35">
      <c r="A563" s="11" t="s">
        <v>5228</v>
      </c>
      <c r="B563" s="5">
        <v>3</v>
      </c>
    </row>
    <row r="564" spans="1:2" x14ac:dyDescent="0.35">
      <c r="A564" s="11" t="s">
        <v>10724</v>
      </c>
      <c r="B564" s="5">
        <v>1</v>
      </c>
    </row>
    <row r="565" spans="1:2" x14ac:dyDescent="0.35">
      <c r="A565" s="11" t="s">
        <v>8399</v>
      </c>
      <c r="B565" s="5">
        <v>1</v>
      </c>
    </row>
    <row r="566" spans="1:2" x14ac:dyDescent="0.35">
      <c r="A566" s="11" t="s">
        <v>347</v>
      </c>
      <c r="B566" s="5">
        <v>1</v>
      </c>
    </row>
    <row r="567" spans="1:2" x14ac:dyDescent="0.35">
      <c r="A567" s="11" t="s">
        <v>7610</v>
      </c>
      <c r="B567" s="5">
        <v>1</v>
      </c>
    </row>
    <row r="568" spans="1:2" x14ac:dyDescent="0.35">
      <c r="A568" s="11" t="s">
        <v>5036</v>
      </c>
      <c r="B568" s="5">
        <v>1</v>
      </c>
    </row>
    <row r="569" spans="1:2" x14ac:dyDescent="0.35">
      <c r="A569" s="11" t="s">
        <v>11641</v>
      </c>
      <c r="B569" s="5">
        <v>6</v>
      </c>
    </row>
    <row r="570" spans="1:2" x14ac:dyDescent="0.35">
      <c r="A570" s="11" t="s">
        <v>389</v>
      </c>
      <c r="B570" s="5">
        <v>4</v>
      </c>
    </row>
    <row r="571" spans="1:2" x14ac:dyDescent="0.35">
      <c r="A571" s="11" t="s">
        <v>3464</v>
      </c>
      <c r="B571" s="5">
        <v>1</v>
      </c>
    </row>
    <row r="572" spans="1:2" x14ac:dyDescent="0.35">
      <c r="A572" s="11" t="s">
        <v>12300</v>
      </c>
      <c r="B572" s="5">
        <v>1</v>
      </c>
    </row>
    <row r="573" spans="1:2" x14ac:dyDescent="0.35">
      <c r="A573" s="11" t="s">
        <v>8357</v>
      </c>
      <c r="B573" s="5">
        <v>3</v>
      </c>
    </row>
    <row r="574" spans="1:2" x14ac:dyDescent="0.35">
      <c r="A574" s="11" t="s">
        <v>4872</v>
      </c>
      <c r="B574" s="5">
        <v>1</v>
      </c>
    </row>
    <row r="575" spans="1:2" x14ac:dyDescent="0.35">
      <c r="A575" s="11" t="s">
        <v>5301</v>
      </c>
      <c r="B575" s="5">
        <v>7</v>
      </c>
    </row>
    <row r="576" spans="1:2" x14ac:dyDescent="0.35">
      <c r="A576" s="11" t="s">
        <v>5197</v>
      </c>
      <c r="B576" s="5">
        <v>1</v>
      </c>
    </row>
    <row r="577" spans="1:2" x14ac:dyDescent="0.35">
      <c r="A577" s="11" t="s">
        <v>1064</v>
      </c>
      <c r="B577" s="5">
        <v>2</v>
      </c>
    </row>
    <row r="578" spans="1:2" x14ac:dyDescent="0.35">
      <c r="A578" s="11" t="s">
        <v>855</v>
      </c>
      <c r="B578" s="5">
        <v>1</v>
      </c>
    </row>
    <row r="579" spans="1:2" x14ac:dyDescent="0.35">
      <c r="A579" s="11" t="s">
        <v>1698</v>
      </c>
      <c r="B579" s="5">
        <v>1</v>
      </c>
    </row>
    <row r="580" spans="1:2" x14ac:dyDescent="0.35">
      <c r="A580" s="11" t="s">
        <v>6884</v>
      </c>
      <c r="B580" s="5">
        <v>1</v>
      </c>
    </row>
    <row r="581" spans="1:2" x14ac:dyDescent="0.35">
      <c r="A581" s="11" t="s">
        <v>4773</v>
      </c>
      <c r="B581" s="5">
        <v>3</v>
      </c>
    </row>
    <row r="582" spans="1:2" x14ac:dyDescent="0.35">
      <c r="A582" s="11" t="s">
        <v>3602</v>
      </c>
      <c r="B582" s="5">
        <v>2</v>
      </c>
    </row>
    <row r="583" spans="1:2" x14ac:dyDescent="0.35">
      <c r="A583" s="11" t="s">
        <v>2649</v>
      </c>
      <c r="B583" s="5">
        <v>1</v>
      </c>
    </row>
    <row r="584" spans="1:2" x14ac:dyDescent="0.35">
      <c r="A584" s="11" t="s">
        <v>4065</v>
      </c>
      <c r="B584" s="5">
        <v>4</v>
      </c>
    </row>
    <row r="585" spans="1:2" x14ac:dyDescent="0.35">
      <c r="A585" s="11" t="s">
        <v>7036</v>
      </c>
      <c r="B585" s="5">
        <v>1</v>
      </c>
    </row>
    <row r="586" spans="1:2" x14ac:dyDescent="0.35">
      <c r="A586" s="11" t="s">
        <v>6872</v>
      </c>
      <c r="B586" s="5">
        <v>5</v>
      </c>
    </row>
    <row r="587" spans="1:2" x14ac:dyDescent="0.35">
      <c r="A587" s="11" t="s">
        <v>4184</v>
      </c>
      <c r="B587" s="5">
        <v>1</v>
      </c>
    </row>
    <row r="588" spans="1:2" x14ac:dyDescent="0.35">
      <c r="A588" s="11" t="s">
        <v>10728</v>
      </c>
      <c r="B588" s="5">
        <v>1</v>
      </c>
    </row>
    <row r="589" spans="1:2" x14ac:dyDescent="0.35">
      <c r="A589" s="11" t="s">
        <v>3136</v>
      </c>
      <c r="B589" s="5">
        <v>1</v>
      </c>
    </row>
    <row r="590" spans="1:2" x14ac:dyDescent="0.35">
      <c r="A590" s="11" t="s">
        <v>12520</v>
      </c>
      <c r="B590" s="5">
        <v>2</v>
      </c>
    </row>
    <row r="591" spans="1:2" x14ac:dyDescent="0.35">
      <c r="A591" s="11" t="s">
        <v>5847</v>
      </c>
      <c r="B591" s="5">
        <v>1</v>
      </c>
    </row>
    <row r="592" spans="1:2" x14ac:dyDescent="0.35">
      <c r="A592" s="12" t="s">
        <v>117</v>
      </c>
      <c r="B592" s="13">
        <v>80</v>
      </c>
    </row>
    <row r="593" spans="1:2" x14ac:dyDescent="0.35">
      <c r="A593" s="11" t="s">
        <v>1589</v>
      </c>
      <c r="B593" s="5">
        <v>1</v>
      </c>
    </row>
    <row r="594" spans="1:2" x14ac:dyDescent="0.35">
      <c r="A594" s="11" t="s">
        <v>3762</v>
      </c>
      <c r="B594" s="5">
        <v>1</v>
      </c>
    </row>
    <row r="595" spans="1:2" x14ac:dyDescent="0.35">
      <c r="A595" s="11" t="s">
        <v>12800</v>
      </c>
      <c r="B595" s="5">
        <v>3</v>
      </c>
    </row>
    <row r="596" spans="1:2" x14ac:dyDescent="0.35">
      <c r="A596" s="11" t="s">
        <v>6215</v>
      </c>
      <c r="B596" s="5">
        <v>6</v>
      </c>
    </row>
    <row r="597" spans="1:2" x14ac:dyDescent="0.35">
      <c r="A597" s="11" t="s">
        <v>3209</v>
      </c>
      <c r="B597" s="5">
        <v>6</v>
      </c>
    </row>
    <row r="598" spans="1:2" x14ac:dyDescent="0.35">
      <c r="A598" s="11" t="s">
        <v>2891</v>
      </c>
      <c r="B598" s="5">
        <v>2</v>
      </c>
    </row>
    <row r="599" spans="1:2" x14ac:dyDescent="0.35">
      <c r="A599" s="11" t="s">
        <v>6149</v>
      </c>
      <c r="B599" s="5">
        <v>2</v>
      </c>
    </row>
    <row r="600" spans="1:2" x14ac:dyDescent="0.35">
      <c r="A600" s="11" t="s">
        <v>870</v>
      </c>
      <c r="B600" s="5">
        <v>1</v>
      </c>
    </row>
    <row r="601" spans="1:2" x14ac:dyDescent="0.35">
      <c r="A601" s="11" t="s">
        <v>4243</v>
      </c>
      <c r="B601" s="5">
        <v>2</v>
      </c>
    </row>
    <row r="602" spans="1:2" x14ac:dyDescent="0.35">
      <c r="A602" s="11" t="s">
        <v>178</v>
      </c>
      <c r="B602" s="5">
        <v>3</v>
      </c>
    </row>
    <row r="603" spans="1:2" x14ac:dyDescent="0.35">
      <c r="A603" s="11" t="s">
        <v>12819</v>
      </c>
      <c r="B603" s="5">
        <v>1</v>
      </c>
    </row>
    <row r="604" spans="1:2" x14ac:dyDescent="0.35">
      <c r="A604" s="11" t="s">
        <v>12867</v>
      </c>
      <c r="B604" s="5">
        <v>5</v>
      </c>
    </row>
    <row r="605" spans="1:2" x14ac:dyDescent="0.35">
      <c r="A605" s="11" t="s">
        <v>119</v>
      </c>
      <c r="B605" s="5">
        <v>1</v>
      </c>
    </row>
    <row r="606" spans="1:2" x14ac:dyDescent="0.35">
      <c r="A606" s="11" t="s">
        <v>1259</v>
      </c>
      <c r="B606" s="5">
        <v>2</v>
      </c>
    </row>
    <row r="607" spans="1:2" x14ac:dyDescent="0.35">
      <c r="A607" s="11" t="s">
        <v>4405</v>
      </c>
      <c r="B607" s="5">
        <v>3</v>
      </c>
    </row>
    <row r="608" spans="1:2" x14ac:dyDescent="0.35">
      <c r="A608" s="11" t="s">
        <v>4767</v>
      </c>
      <c r="B608" s="5">
        <v>3</v>
      </c>
    </row>
    <row r="609" spans="1:2" x14ac:dyDescent="0.35">
      <c r="A609" s="11" t="s">
        <v>6245</v>
      </c>
      <c r="B609" s="5">
        <v>1</v>
      </c>
    </row>
    <row r="610" spans="1:2" x14ac:dyDescent="0.35">
      <c r="A610" s="11" t="s">
        <v>2048</v>
      </c>
      <c r="B610" s="5">
        <v>6</v>
      </c>
    </row>
    <row r="611" spans="1:2" x14ac:dyDescent="0.35">
      <c r="A611" s="11" t="s">
        <v>6062</v>
      </c>
      <c r="B611" s="5">
        <v>2</v>
      </c>
    </row>
    <row r="612" spans="1:2" x14ac:dyDescent="0.35">
      <c r="A612" s="11" t="s">
        <v>4249</v>
      </c>
      <c r="B612" s="5">
        <v>1</v>
      </c>
    </row>
    <row r="613" spans="1:2" x14ac:dyDescent="0.35">
      <c r="A613" s="11" t="s">
        <v>6167</v>
      </c>
      <c r="B613" s="5">
        <v>3</v>
      </c>
    </row>
    <row r="614" spans="1:2" x14ac:dyDescent="0.35">
      <c r="A614" s="11" t="s">
        <v>6180</v>
      </c>
      <c r="B614" s="5">
        <v>10</v>
      </c>
    </row>
    <row r="615" spans="1:2" x14ac:dyDescent="0.35">
      <c r="A615" s="11" t="s">
        <v>6153</v>
      </c>
      <c r="B615" s="5">
        <v>1</v>
      </c>
    </row>
    <row r="616" spans="1:2" x14ac:dyDescent="0.35">
      <c r="A616" s="11" t="s">
        <v>12198</v>
      </c>
      <c r="B616" s="5">
        <v>1</v>
      </c>
    </row>
    <row r="617" spans="1:2" x14ac:dyDescent="0.35">
      <c r="A617" s="11" t="s">
        <v>11295</v>
      </c>
      <c r="B617" s="5">
        <v>1</v>
      </c>
    </row>
    <row r="618" spans="1:2" x14ac:dyDescent="0.35">
      <c r="A618" s="11" t="s">
        <v>3664</v>
      </c>
      <c r="B618" s="5">
        <v>1</v>
      </c>
    </row>
    <row r="619" spans="1:2" x14ac:dyDescent="0.35">
      <c r="A619" s="11" t="s">
        <v>6164</v>
      </c>
      <c r="B619" s="5">
        <v>1</v>
      </c>
    </row>
    <row r="620" spans="1:2" x14ac:dyDescent="0.35">
      <c r="A620" s="11" t="s">
        <v>2303</v>
      </c>
      <c r="B620" s="5">
        <v>2</v>
      </c>
    </row>
    <row r="621" spans="1:2" x14ac:dyDescent="0.35">
      <c r="A621" s="11" t="s">
        <v>6037</v>
      </c>
      <c r="B621" s="5">
        <v>5</v>
      </c>
    </row>
    <row r="622" spans="1:2" x14ac:dyDescent="0.35">
      <c r="A622" s="11" t="s">
        <v>5425</v>
      </c>
      <c r="B622" s="5">
        <v>1</v>
      </c>
    </row>
    <row r="623" spans="1:2" x14ac:dyDescent="0.35">
      <c r="A623" s="11" t="s">
        <v>4346</v>
      </c>
      <c r="B623" s="5">
        <v>1</v>
      </c>
    </row>
    <row r="624" spans="1:2" x14ac:dyDescent="0.35">
      <c r="A624" s="11" t="s">
        <v>9231</v>
      </c>
      <c r="B624" s="5">
        <v>1</v>
      </c>
    </row>
    <row r="625" spans="1:2" x14ac:dyDescent="0.35">
      <c r="A625" s="12" t="s">
        <v>1482</v>
      </c>
      <c r="B625" s="13">
        <v>29</v>
      </c>
    </row>
    <row r="626" spans="1:2" x14ac:dyDescent="0.35">
      <c r="A626" s="11" t="s">
        <v>1373</v>
      </c>
      <c r="B626" s="5">
        <v>1</v>
      </c>
    </row>
    <row r="627" spans="1:2" x14ac:dyDescent="0.35">
      <c r="A627" s="11" t="s">
        <v>7867</v>
      </c>
      <c r="B627" s="5">
        <v>2</v>
      </c>
    </row>
    <row r="628" spans="1:2" x14ac:dyDescent="0.35">
      <c r="A628" s="11" t="s">
        <v>1484</v>
      </c>
      <c r="B628" s="5">
        <v>1</v>
      </c>
    </row>
    <row r="629" spans="1:2" x14ac:dyDescent="0.35">
      <c r="A629" s="11" t="s">
        <v>1584</v>
      </c>
      <c r="B629" s="5">
        <v>2</v>
      </c>
    </row>
    <row r="630" spans="1:2" x14ac:dyDescent="0.35">
      <c r="A630" s="11" t="s">
        <v>1547</v>
      </c>
      <c r="B630" s="5">
        <v>4</v>
      </c>
    </row>
    <row r="631" spans="1:2" x14ac:dyDescent="0.35">
      <c r="A631" s="11" t="s">
        <v>3949</v>
      </c>
      <c r="B631" s="5">
        <v>11</v>
      </c>
    </row>
    <row r="632" spans="1:2" x14ac:dyDescent="0.35">
      <c r="A632" s="11" t="s">
        <v>10880</v>
      </c>
      <c r="B632" s="5">
        <v>1</v>
      </c>
    </row>
    <row r="633" spans="1:2" x14ac:dyDescent="0.35">
      <c r="A633" s="11" t="s">
        <v>10611</v>
      </c>
      <c r="B633" s="5">
        <v>3</v>
      </c>
    </row>
    <row r="634" spans="1:2" x14ac:dyDescent="0.35">
      <c r="A634" s="11" t="s">
        <v>1285</v>
      </c>
      <c r="B634" s="5">
        <v>1</v>
      </c>
    </row>
    <row r="635" spans="1:2" x14ac:dyDescent="0.35">
      <c r="A635" s="11" t="s">
        <v>8274</v>
      </c>
      <c r="B635" s="5">
        <v>2</v>
      </c>
    </row>
    <row r="636" spans="1:2" x14ac:dyDescent="0.35">
      <c r="A636" s="11" t="s">
        <v>9435</v>
      </c>
      <c r="B636" s="5">
        <v>1</v>
      </c>
    </row>
    <row r="637" spans="1:2" x14ac:dyDescent="0.35">
      <c r="A637" s="12" t="s">
        <v>146</v>
      </c>
      <c r="B637" s="13">
        <v>115</v>
      </c>
    </row>
    <row r="638" spans="1:2" x14ac:dyDescent="0.35">
      <c r="A638" s="11" t="s">
        <v>337</v>
      </c>
      <c r="B638" s="5">
        <v>1</v>
      </c>
    </row>
    <row r="639" spans="1:2" x14ac:dyDescent="0.35">
      <c r="A639" s="11" t="s">
        <v>1473</v>
      </c>
      <c r="B639" s="5">
        <v>1</v>
      </c>
    </row>
    <row r="640" spans="1:2" x14ac:dyDescent="0.35">
      <c r="A640" s="11" t="s">
        <v>3175</v>
      </c>
      <c r="B640" s="5">
        <v>1</v>
      </c>
    </row>
    <row r="641" spans="1:2" x14ac:dyDescent="0.35">
      <c r="A641" s="11" t="s">
        <v>2227</v>
      </c>
      <c r="B641" s="5">
        <v>3</v>
      </c>
    </row>
    <row r="642" spans="1:2" x14ac:dyDescent="0.35">
      <c r="A642" s="11" t="s">
        <v>8142</v>
      </c>
      <c r="B642" s="5">
        <v>1</v>
      </c>
    </row>
    <row r="643" spans="1:2" x14ac:dyDescent="0.35">
      <c r="A643" s="11" t="s">
        <v>840</v>
      </c>
      <c r="B643" s="5">
        <v>1</v>
      </c>
    </row>
    <row r="644" spans="1:2" x14ac:dyDescent="0.35">
      <c r="A644" s="11" t="s">
        <v>6937</v>
      </c>
      <c r="B644" s="5">
        <v>11</v>
      </c>
    </row>
    <row r="645" spans="1:2" x14ac:dyDescent="0.35">
      <c r="A645" s="11" t="s">
        <v>9223</v>
      </c>
      <c r="B645" s="5">
        <v>4</v>
      </c>
    </row>
    <row r="646" spans="1:2" x14ac:dyDescent="0.35">
      <c r="A646" s="11" t="s">
        <v>672</v>
      </c>
      <c r="B646" s="5">
        <v>1</v>
      </c>
    </row>
    <row r="647" spans="1:2" x14ac:dyDescent="0.35">
      <c r="A647" s="11" t="s">
        <v>1353</v>
      </c>
      <c r="B647" s="5">
        <v>1</v>
      </c>
    </row>
    <row r="648" spans="1:2" x14ac:dyDescent="0.35">
      <c r="A648" s="11" t="s">
        <v>4500</v>
      </c>
      <c r="B648" s="5">
        <v>5</v>
      </c>
    </row>
    <row r="649" spans="1:2" x14ac:dyDescent="0.35">
      <c r="A649" s="11" t="s">
        <v>1364</v>
      </c>
      <c r="B649" s="5">
        <v>5</v>
      </c>
    </row>
    <row r="650" spans="1:2" x14ac:dyDescent="0.35">
      <c r="A650" s="11" t="s">
        <v>1350</v>
      </c>
      <c r="B650" s="5">
        <v>1</v>
      </c>
    </row>
    <row r="651" spans="1:2" x14ac:dyDescent="0.35">
      <c r="A651" s="11" t="s">
        <v>1477</v>
      </c>
      <c r="B651" s="5">
        <v>1</v>
      </c>
    </row>
    <row r="652" spans="1:2" x14ac:dyDescent="0.35">
      <c r="A652" s="11" t="s">
        <v>1172</v>
      </c>
      <c r="B652" s="5">
        <v>4</v>
      </c>
    </row>
    <row r="653" spans="1:2" x14ac:dyDescent="0.35">
      <c r="A653" s="11" t="s">
        <v>6325</v>
      </c>
      <c r="B653" s="5">
        <v>1</v>
      </c>
    </row>
    <row r="654" spans="1:2" x14ac:dyDescent="0.35">
      <c r="A654" s="11" t="s">
        <v>2959</v>
      </c>
      <c r="B654" s="5">
        <v>1</v>
      </c>
    </row>
    <row r="655" spans="1:2" x14ac:dyDescent="0.35">
      <c r="A655" s="11" t="s">
        <v>9934</v>
      </c>
      <c r="B655" s="5">
        <v>1</v>
      </c>
    </row>
    <row r="656" spans="1:2" x14ac:dyDescent="0.35">
      <c r="A656" s="11" t="s">
        <v>3117</v>
      </c>
      <c r="B656" s="5">
        <v>5</v>
      </c>
    </row>
    <row r="657" spans="1:2" x14ac:dyDescent="0.35">
      <c r="A657" s="11" t="s">
        <v>148</v>
      </c>
      <c r="B657" s="5">
        <v>11</v>
      </c>
    </row>
    <row r="658" spans="1:2" x14ac:dyDescent="0.35">
      <c r="A658" s="11" t="s">
        <v>7196</v>
      </c>
      <c r="B658" s="5">
        <v>1</v>
      </c>
    </row>
    <row r="659" spans="1:2" x14ac:dyDescent="0.35">
      <c r="A659" s="11" t="s">
        <v>5531</v>
      </c>
      <c r="B659" s="5">
        <v>5</v>
      </c>
    </row>
    <row r="660" spans="1:2" x14ac:dyDescent="0.35">
      <c r="A660" s="11" t="s">
        <v>660</v>
      </c>
      <c r="B660" s="5">
        <v>1</v>
      </c>
    </row>
    <row r="661" spans="1:2" x14ac:dyDescent="0.35">
      <c r="A661" s="11" t="s">
        <v>775</v>
      </c>
      <c r="B661" s="5">
        <v>15</v>
      </c>
    </row>
    <row r="662" spans="1:2" x14ac:dyDescent="0.35">
      <c r="A662" s="11" t="s">
        <v>3699</v>
      </c>
      <c r="B662" s="5">
        <v>2</v>
      </c>
    </row>
    <row r="663" spans="1:2" x14ac:dyDescent="0.35">
      <c r="A663" s="11" t="s">
        <v>1285</v>
      </c>
      <c r="B663" s="5">
        <v>1</v>
      </c>
    </row>
    <row r="664" spans="1:2" x14ac:dyDescent="0.35">
      <c r="A664" s="11" t="s">
        <v>7610</v>
      </c>
      <c r="B664" s="5">
        <v>1</v>
      </c>
    </row>
    <row r="665" spans="1:2" x14ac:dyDescent="0.35">
      <c r="A665" s="11" t="s">
        <v>593</v>
      </c>
      <c r="B665" s="5">
        <v>1</v>
      </c>
    </row>
    <row r="666" spans="1:2" x14ac:dyDescent="0.35">
      <c r="A666" s="11" t="s">
        <v>3449</v>
      </c>
      <c r="B666" s="5">
        <v>3</v>
      </c>
    </row>
    <row r="667" spans="1:2" x14ac:dyDescent="0.35">
      <c r="A667" s="11" t="s">
        <v>810</v>
      </c>
      <c r="B667" s="5">
        <v>7</v>
      </c>
    </row>
    <row r="668" spans="1:2" x14ac:dyDescent="0.35">
      <c r="A668" s="11" t="s">
        <v>590</v>
      </c>
      <c r="B668" s="5">
        <v>1</v>
      </c>
    </row>
    <row r="669" spans="1:2" x14ac:dyDescent="0.35">
      <c r="A669" s="11" t="s">
        <v>3106</v>
      </c>
      <c r="B669" s="5">
        <v>1</v>
      </c>
    </row>
    <row r="670" spans="1:2" x14ac:dyDescent="0.35">
      <c r="A670" s="11" t="s">
        <v>4872</v>
      </c>
      <c r="B670" s="5">
        <v>1</v>
      </c>
    </row>
    <row r="671" spans="1:2" x14ac:dyDescent="0.35">
      <c r="A671" s="11" t="s">
        <v>1443</v>
      </c>
      <c r="B671" s="5">
        <v>7</v>
      </c>
    </row>
    <row r="672" spans="1:2" x14ac:dyDescent="0.35">
      <c r="A672" s="11" t="s">
        <v>3037</v>
      </c>
      <c r="B672" s="5">
        <v>1</v>
      </c>
    </row>
    <row r="673" spans="1:2" x14ac:dyDescent="0.35">
      <c r="A673" s="11" t="s">
        <v>525</v>
      </c>
      <c r="B673" s="5">
        <v>2</v>
      </c>
    </row>
    <row r="674" spans="1:2" x14ac:dyDescent="0.35">
      <c r="A674" s="11" t="s">
        <v>4789</v>
      </c>
      <c r="B674" s="5">
        <v>5</v>
      </c>
    </row>
    <row r="675" spans="1:2" x14ac:dyDescent="0.35">
      <c r="A675" s="12" t="s">
        <v>6396</v>
      </c>
      <c r="B675" s="13">
        <v>569</v>
      </c>
    </row>
    <row r="676" spans="1:2" x14ac:dyDescent="0.35">
      <c r="A676" s="11" t="s">
        <v>10226</v>
      </c>
      <c r="B676" s="5">
        <v>3</v>
      </c>
    </row>
    <row r="677" spans="1:2" x14ac:dyDescent="0.35">
      <c r="A677" s="11" t="s">
        <v>10243</v>
      </c>
      <c r="B677" s="5">
        <v>3</v>
      </c>
    </row>
    <row r="678" spans="1:2" x14ac:dyDescent="0.35">
      <c r="A678" s="11" t="s">
        <v>1814</v>
      </c>
      <c r="B678" s="5">
        <v>3</v>
      </c>
    </row>
    <row r="679" spans="1:2" x14ac:dyDescent="0.35">
      <c r="A679" s="11" t="s">
        <v>10287</v>
      </c>
      <c r="B679" s="5">
        <v>3</v>
      </c>
    </row>
    <row r="680" spans="1:2" x14ac:dyDescent="0.35">
      <c r="A680" s="11" t="s">
        <v>7980</v>
      </c>
      <c r="B680" s="5">
        <v>3</v>
      </c>
    </row>
    <row r="681" spans="1:2" x14ac:dyDescent="0.35">
      <c r="A681" s="11" t="s">
        <v>10218</v>
      </c>
      <c r="B681" s="5">
        <v>3</v>
      </c>
    </row>
    <row r="682" spans="1:2" x14ac:dyDescent="0.35">
      <c r="A682" s="11" t="s">
        <v>604</v>
      </c>
      <c r="B682" s="5">
        <v>3</v>
      </c>
    </row>
    <row r="683" spans="1:2" x14ac:dyDescent="0.35">
      <c r="A683" s="11" t="s">
        <v>5083</v>
      </c>
      <c r="B683" s="5">
        <v>5</v>
      </c>
    </row>
    <row r="684" spans="1:2" x14ac:dyDescent="0.35">
      <c r="A684" s="11" t="s">
        <v>10294</v>
      </c>
      <c r="B684" s="5">
        <v>1</v>
      </c>
    </row>
    <row r="685" spans="1:2" x14ac:dyDescent="0.35">
      <c r="A685" s="11" t="s">
        <v>11941</v>
      </c>
      <c r="B685" s="5">
        <v>1</v>
      </c>
    </row>
    <row r="686" spans="1:2" x14ac:dyDescent="0.35">
      <c r="A686" s="11" t="s">
        <v>10220</v>
      </c>
      <c r="B686" s="5">
        <v>3</v>
      </c>
    </row>
    <row r="687" spans="1:2" x14ac:dyDescent="0.35">
      <c r="A687" s="11" t="s">
        <v>10303</v>
      </c>
      <c r="B687" s="5">
        <v>3</v>
      </c>
    </row>
    <row r="688" spans="1:2" x14ac:dyDescent="0.35">
      <c r="A688" s="11" t="s">
        <v>9479</v>
      </c>
      <c r="B688" s="5">
        <v>3</v>
      </c>
    </row>
    <row r="689" spans="1:2" x14ac:dyDescent="0.35">
      <c r="A689" s="11" t="s">
        <v>10325</v>
      </c>
      <c r="B689" s="5">
        <v>3</v>
      </c>
    </row>
    <row r="690" spans="1:2" x14ac:dyDescent="0.35">
      <c r="A690" s="11" t="s">
        <v>10070</v>
      </c>
      <c r="B690" s="5">
        <v>3</v>
      </c>
    </row>
    <row r="691" spans="1:2" x14ac:dyDescent="0.35">
      <c r="A691" s="11" t="s">
        <v>9489</v>
      </c>
      <c r="B691" s="5">
        <v>3</v>
      </c>
    </row>
    <row r="692" spans="1:2" x14ac:dyDescent="0.35">
      <c r="A692" s="11" t="s">
        <v>7038</v>
      </c>
      <c r="B692" s="5">
        <v>3</v>
      </c>
    </row>
    <row r="693" spans="1:2" x14ac:dyDescent="0.35">
      <c r="A693" s="11" t="s">
        <v>10110</v>
      </c>
      <c r="B693" s="5">
        <v>2</v>
      </c>
    </row>
    <row r="694" spans="1:2" x14ac:dyDescent="0.35">
      <c r="A694" s="11" t="s">
        <v>10169</v>
      </c>
      <c r="B694" s="5">
        <v>3</v>
      </c>
    </row>
    <row r="695" spans="1:2" x14ac:dyDescent="0.35">
      <c r="A695" s="11" t="s">
        <v>10522</v>
      </c>
      <c r="B695" s="5">
        <v>1</v>
      </c>
    </row>
    <row r="696" spans="1:2" x14ac:dyDescent="0.35">
      <c r="A696" s="11" t="s">
        <v>8090</v>
      </c>
      <c r="B696" s="5">
        <v>7</v>
      </c>
    </row>
    <row r="697" spans="1:2" x14ac:dyDescent="0.35">
      <c r="A697" s="11" t="s">
        <v>8019</v>
      </c>
      <c r="B697" s="5">
        <v>5</v>
      </c>
    </row>
    <row r="698" spans="1:2" x14ac:dyDescent="0.35">
      <c r="A698" s="11" t="s">
        <v>9102</v>
      </c>
      <c r="B698" s="5">
        <v>3</v>
      </c>
    </row>
    <row r="699" spans="1:2" x14ac:dyDescent="0.35">
      <c r="A699" s="11" t="s">
        <v>9077</v>
      </c>
      <c r="B699" s="5">
        <v>1</v>
      </c>
    </row>
    <row r="700" spans="1:2" x14ac:dyDescent="0.35">
      <c r="A700" s="11" t="s">
        <v>4069</v>
      </c>
      <c r="B700" s="5">
        <v>3</v>
      </c>
    </row>
    <row r="701" spans="1:2" x14ac:dyDescent="0.35">
      <c r="A701" s="11" t="s">
        <v>7241</v>
      </c>
      <c r="B701" s="5">
        <v>3</v>
      </c>
    </row>
    <row r="702" spans="1:2" x14ac:dyDescent="0.35">
      <c r="A702" s="11" t="s">
        <v>10537</v>
      </c>
      <c r="B702" s="5">
        <v>3</v>
      </c>
    </row>
    <row r="703" spans="1:2" x14ac:dyDescent="0.35">
      <c r="A703" s="11" t="s">
        <v>6745</v>
      </c>
      <c r="B703" s="5">
        <v>3</v>
      </c>
    </row>
    <row r="704" spans="1:2" x14ac:dyDescent="0.35">
      <c r="A704" s="11" t="s">
        <v>9877</v>
      </c>
      <c r="B704" s="5">
        <v>2</v>
      </c>
    </row>
    <row r="705" spans="1:2" x14ac:dyDescent="0.35">
      <c r="A705" s="11" t="s">
        <v>10117</v>
      </c>
      <c r="B705" s="5">
        <v>3</v>
      </c>
    </row>
    <row r="706" spans="1:2" x14ac:dyDescent="0.35">
      <c r="A706" s="11" t="s">
        <v>7232</v>
      </c>
      <c r="B706" s="5">
        <v>3</v>
      </c>
    </row>
    <row r="707" spans="1:2" x14ac:dyDescent="0.35">
      <c r="A707" s="11" t="s">
        <v>3912</v>
      </c>
      <c r="B707" s="5">
        <v>3</v>
      </c>
    </row>
    <row r="708" spans="1:2" x14ac:dyDescent="0.35">
      <c r="A708" s="11" t="s">
        <v>10312</v>
      </c>
      <c r="B708" s="5">
        <v>2</v>
      </c>
    </row>
    <row r="709" spans="1:2" x14ac:dyDescent="0.35">
      <c r="A709" s="11" t="s">
        <v>10291</v>
      </c>
      <c r="B709" s="5">
        <v>3</v>
      </c>
    </row>
    <row r="710" spans="1:2" x14ac:dyDescent="0.35">
      <c r="A710" s="11" t="s">
        <v>10400</v>
      </c>
      <c r="B710" s="5">
        <v>3</v>
      </c>
    </row>
    <row r="711" spans="1:2" x14ac:dyDescent="0.35">
      <c r="A711" s="11" t="s">
        <v>10655</v>
      </c>
      <c r="B711" s="5">
        <v>2</v>
      </c>
    </row>
    <row r="712" spans="1:2" x14ac:dyDescent="0.35">
      <c r="A712" s="11" t="s">
        <v>10269</v>
      </c>
      <c r="B712" s="5">
        <v>3</v>
      </c>
    </row>
    <row r="713" spans="1:2" x14ac:dyDescent="0.35">
      <c r="A713" s="11" t="s">
        <v>7258</v>
      </c>
      <c r="B713" s="5">
        <v>1</v>
      </c>
    </row>
    <row r="714" spans="1:2" x14ac:dyDescent="0.35">
      <c r="A714" s="11" t="s">
        <v>10097</v>
      </c>
      <c r="B714" s="5">
        <v>4</v>
      </c>
    </row>
    <row r="715" spans="1:2" x14ac:dyDescent="0.35">
      <c r="A715" s="11" t="s">
        <v>10084</v>
      </c>
      <c r="B715" s="5">
        <v>3</v>
      </c>
    </row>
    <row r="716" spans="1:2" x14ac:dyDescent="0.35">
      <c r="A716" s="11" t="s">
        <v>3736</v>
      </c>
      <c r="B716" s="5">
        <v>3</v>
      </c>
    </row>
    <row r="717" spans="1:2" x14ac:dyDescent="0.35">
      <c r="A717" s="11" t="s">
        <v>8053</v>
      </c>
      <c r="B717" s="5">
        <v>3</v>
      </c>
    </row>
    <row r="718" spans="1:2" x14ac:dyDescent="0.35">
      <c r="A718" s="11" t="s">
        <v>10327</v>
      </c>
      <c r="B718" s="5">
        <v>1</v>
      </c>
    </row>
    <row r="719" spans="1:2" x14ac:dyDescent="0.35">
      <c r="A719" s="11" t="s">
        <v>3909</v>
      </c>
      <c r="B719" s="5">
        <v>3</v>
      </c>
    </row>
    <row r="720" spans="1:2" x14ac:dyDescent="0.35">
      <c r="A720" s="11" t="s">
        <v>6592</v>
      </c>
      <c r="B720" s="5">
        <v>2</v>
      </c>
    </row>
    <row r="721" spans="1:2" x14ac:dyDescent="0.35">
      <c r="A721" s="11" t="s">
        <v>9484</v>
      </c>
      <c r="B721" s="5">
        <v>4</v>
      </c>
    </row>
    <row r="722" spans="1:2" x14ac:dyDescent="0.35">
      <c r="A722" s="11" t="s">
        <v>10317</v>
      </c>
      <c r="B722" s="5">
        <v>1</v>
      </c>
    </row>
    <row r="723" spans="1:2" x14ac:dyDescent="0.35">
      <c r="A723" s="11" t="s">
        <v>9472</v>
      </c>
      <c r="B723" s="5">
        <v>9</v>
      </c>
    </row>
    <row r="724" spans="1:2" x14ac:dyDescent="0.35">
      <c r="A724" s="11" t="s">
        <v>10513</v>
      </c>
      <c r="B724" s="5">
        <v>3</v>
      </c>
    </row>
    <row r="725" spans="1:2" x14ac:dyDescent="0.35">
      <c r="A725" s="11" t="s">
        <v>9075</v>
      </c>
      <c r="B725" s="5">
        <v>1</v>
      </c>
    </row>
    <row r="726" spans="1:2" x14ac:dyDescent="0.35">
      <c r="A726" s="11" t="s">
        <v>4234</v>
      </c>
      <c r="B726" s="5">
        <v>1</v>
      </c>
    </row>
    <row r="727" spans="1:2" x14ac:dyDescent="0.35">
      <c r="A727" s="11" t="s">
        <v>6695</v>
      </c>
      <c r="B727" s="5">
        <v>1</v>
      </c>
    </row>
    <row r="728" spans="1:2" x14ac:dyDescent="0.35">
      <c r="A728" s="11" t="s">
        <v>10528</v>
      </c>
      <c r="B728" s="5">
        <v>3</v>
      </c>
    </row>
    <row r="729" spans="1:2" x14ac:dyDescent="0.35">
      <c r="A729" s="11" t="s">
        <v>10541</v>
      </c>
      <c r="B729" s="5">
        <v>1</v>
      </c>
    </row>
    <row r="730" spans="1:2" x14ac:dyDescent="0.35">
      <c r="A730" s="11" t="s">
        <v>10067</v>
      </c>
      <c r="B730" s="5">
        <v>2</v>
      </c>
    </row>
    <row r="731" spans="1:2" x14ac:dyDescent="0.35">
      <c r="A731" s="11" t="s">
        <v>1867</v>
      </c>
      <c r="B731" s="5">
        <v>3</v>
      </c>
    </row>
    <row r="732" spans="1:2" x14ac:dyDescent="0.35">
      <c r="A732" s="11" t="s">
        <v>10340</v>
      </c>
      <c r="B732" s="5">
        <v>1</v>
      </c>
    </row>
    <row r="733" spans="1:2" x14ac:dyDescent="0.35">
      <c r="A733" s="11" t="s">
        <v>6398</v>
      </c>
      <c r="B733" s="5">
        <v>3</v>
      </c>
    </row>
    <row r="734" spans="1:2" x14ac:dyDescent="0.35">
      <c r="A734" s="11" t="s">
        <v>10223</v>
      </c>
      <c r="B734" s="5">
        <v>3</v>
      </c>
    </row>
    <row r="735" spans="1:2" x14ac:dyDescent="0.35">
      <c r="A735" s="11" t="s">
        <v>10108</v>
      </c>
      <c r="B735" s="5">
        <v>1</v>
      </c>
    </row>
    <row r="736" spans="1:2" x14ac:dyDescent="0.35">
      <c r="A736" s="11" t="s">
        <v>10396</v>
      </c>
      <c r="B736" s="5">
        <v>3</v>
      </c>
    </row>
    <row r="737" spans="1:2" x14ac:dyDescent="0.35">
      <c r="A737" s="11" t="s">
        <v>7239</v>
      </c>
      <c r="B737" s="5">
        <v>3</v>
      </c>
    </row>
    <row r="738" spans="1:2" x14ac:dyDescent="0.35">
      <c r="A738" s="11" t="s">
        <v>10343</v>
      </c>
      <c r="B738" s="5">
        <v>1</v>
      </c>
    </row>
    <row r="739" spans="1:2" x14ac:dyDescent="0.35">
      <c r="A739" s="11" t="s">
        <v>2827</v>
      </c>
      <c r="B739" s="5">
        <v>3</v>
      </c>
    </row>
    <row r="740" spans="1:2" x14ac:dyDescent="0.35">
      <c r="A740" s="11" t="s">
        <v>10064</v>
      </c>
      <c r="B740" s="5">
        <v>3</v>
      </c>
    </row>
    <row r="741" spans="1:2" x14ac:dyDescent="0.35">
      <c r="A741" s="11" t="s">
        <v>10290</v>
      </c>
      <c r="B741" s="5">
        <v>4</v>
      </c>
    </row>
    <row r="742" spans="1:2" x14ac:dyDescent="0.35">
      <c r="A742" s="11" t="s">
        <v>10429</v>
      </c>
      <c r="B742" s="5">
        <v>3</v>
      </c>
    </row>
    <row r="743" spans="1:2" x14ac:dyDescent="0.35">
      <c r="A743" s="11" t="s">
        <v>10337</v>
      </c>
      <c r="B743" s="5">
        <v>1</v>
      </c>
    </row>
    <row r="744" spans="1:2" x14ac:dyDescent="0.35">
      <c r="A744" s="11" t="s">
        <v>10247</v>
      </c>
      <c r="B744" s="5">
        <v>3</v>
      </c>
    </row>
    <row r="745" spans="1:2" x14ac:dyDescent="0.35">
      <c r="A745" s="11" t="s">
        <v>10245</v>
      </c>
      <c r="B745" s="5">
        <v>3</v>
      </c>
    </row>
    <row r="746" spans="1:2" x14ac:dyDescent="0.35">
      <c r="A746" s="11" t="s">
        <v>10250</v>
      </c>
      <c r="B746" s="5">
        <v>3</v>
      </c>
    </row>
    <row r="747" spans="1:2" x14ac:dyDescent="0.35">
      <c r="A747" s="11" t="s">
        <v>10253</v>
      </c>
      <c r="B747" s="5">
        <v>3</v>
      </c>
    </row>
    <row r="748" spans="1:2" x14ac:dyDescent="0.35">
      <c r="A748" s="11" t="s">
        <v>7998</v>
      </c>
      <c r="B748" s="5">
        <v>3</v>
      </c>
    </row>
    <row r="749" spans="1:2" x14ac:dyDescent="0.35">
      <c r="A749" s="11" t="s">
        <v>10186</v>
      </c>
      <c r="B749" s="5">
        <v>1</v>
      </c>
    </row>
    <row r="750" spans="1:2" x14ac:dyDescent="0.35">
      <c r="A750" s="11" t="s">
        <v>9066</v>
      </c>
      <c r="B750" s="5">
        <v>3</v>
      </c>
    </row>
    <row r="751" spans="1:2" x14ac:dyDescent="0.35">
      <c r="A751" s="11" t="s">
        <v>2603</v>
      </c>
      <c r="B751" s="5">
        <v>3</v>
      </c>
    </row>
    <row r="752" spans="1:2" x14ac:dyDescent="0.35">
      <c r="A752" s="11" t="s">
        <v>7243</v>
      </c>
      <c r="B752" s="5">
        <v>3</v>
      </c>
    </row>
    <row r="753" spans="1:2" x14ac:dyDescent="0.35">
      <c r="A753" s="11" t="s">
        <v>9202</v>
      </c>
      <c r="B753" s="5">
        <v>3</v>
      </c>
    </row>
    <row r="754" spans="1:2" x14ac:dyDescent="0.35">
      <c r="A754" s="11" t="s">
        <v>10296</v>
      </c>
      <c r="B754" s="5">
        <v>3</v>
      </c>
    </row>
    <row r="755" spans="1:2" x14ac:dyDescent="0.35">
      <c r="A755" s="11" t="s">
        <v>7233</v>
      </c>
      <c r="B755" s="5">
        <v>3</v>
      </c>
    </row>
    <row r="756" spans="1:2" x14ac:dyDescent="0.35">
      <c r="A756" s="11" t="s">
        <v>3133</v>
      </c>
      <c r="B756" s="5">
        <v>3</v>
      </c>
    </row>
    <row r="757" spans="1:2" x14ac:dyDescent="0.35">
      <c r="A757" s="11" t="s">
        <v>10077</v>
      </c>
      <c r="B757" s="5">
        <v>2</v>
      </c>
    </row>
    <row r="758" spans="1:2" x14ac:dyDescent="0.35">
      <c r="A758" s="11" t="s">
        <v>10413</v>
      </c>
      <c r="B758" s="5">
        <v>3</v>
      </c>
    </row>
    <row r="759" spans="1:2" x14ac:dyDescent="0.35">
      <c r="A759" s="11" t="s">
        <v>9127</v>
      </c>
      <c r="B759" s="5">
        <v>3</v>
      </c>
    </row>
    <row r="760" spans="1:2" x14ac:dyDescent="0.35">
      <c r="A760" s="11" t="s">
        <v>10074</v>
      </c>
      <c r="B760" s="5">
        <v>3</v>
      </c>
    </row>
    <row r="761" spans="1:2" x14ac:dyDescent="0.35">
      <c r="A761" s="11" t="s">
        <v>10091</v>
      </c>
      <c r="B761" s="5">
        <v>1</v>
      </c>
    </row>
    <row r="762" spans="1:2" x14ac:dyDescent="0.35">
      <c r="A762" s="11" t="s">
        <v>4435</v>
      </c>
      <c r="B762" s="5">
        <v>2</v>
      </c>
    </row>
    <row r="763" spans="1:2" x14ac:dyDescent="0.35">
      <c r="A763" s="11" t="s">
        <v>10060</v>
      </c>
      <c r="B763" s="5">
        <v>3</v>
      </c>
    </row>
    <row r="764" spans="1:2" x14ac:dyDescent="0.35">
      <c r="A764" s="11" t="s">
        <v>10515</v>
      </c>
      <c r="B764" s="5">
        <v>2</v>
      </c>
    </row>
    <row r="765" spans="1:2" x14ac:dyDescent="0.35">
      <c r="A765" s="11" t="s">
        <v>10159</v>
      </c>
      <c r="B765" s="5">
        <v>3</v>
      </c>
    </row>
    <row r="766" spans="1:2" x14ac:dyDescent="0.35">
      <c r="A766" s="11" t="s">
        <v>8073</v>
      </c>
      <c r="B766" s="5">
        <v>1</v>
      </c>
    </row>
    <row r="767" spans="1:2" x14ac:dyDescent="0.35">
      <c r="A767" s="11" t="s">
        <v>7993</v>
      </c>
      <c r="B767" s="5">
        <v>3</v>
      </c>
    </row>
    <row r="768" spans="1:2" x14ac:dyDescent="0.35">
      <c r="A768" s="11" t="s">
        <v>321</v>
      </c>
      <c r="B768" s="5">
        <v>1</v>
      </c>
    </row>
    <row r="769" spans="1:2" x14ac:dyDescent="0.35">
      <c r="A769" s="11" t="s">
        <v>9492</v>
      </c>
      <c r="B769" s="5">
        <v>3</v>
      </c>
    </row>
    <row r="770" spans="1:2" x14ac:dyDescent="0.35">
      <c r="A770" s="11" t="s">
        <v>10519</v>
      </c>
      <c r="B770" s="5">
        <v>1</v>
      </c>
    </row>
    <row r="771" spans="1:2" x14ac:dyDescent="0.35">
      <c r="A771" s="11" t="s">
        <v>10104</v>
      </c>
      <c r="B771" s="5">
        <v>1</v>
      </c>
    </row>
    <row r="772" spans="1:2" x14ac:dyDescent="0.35">
      <c r="A772" s="11" t="s">
        <v>2257</v>
      </c>
      <c r="B772" s="5">
        <v>3</v>
      </c>
    </row>
    <row r="773" spans="1:2" x14ac:dyDescent="0.35">
      <c r="A773" s="11" t="s">
        <v>7976</v>
      </c>
      <c r="B773" s="5">
        <v>3</v>
      </c>
    </row>
    <row r="774" spans="1:2" x14ac:dyDescent="0.35">
      <c r="A774" s="11" t="s">
        <v>12881</v>
      </c>
      <c r="B774" s="5">
        <v>2</v>
      </c>
    </row>
    <row r="775" spans="1:2" x14ac:dyDescent="0.35">
      <c r="A775" s="11" t="s">
        <v>8077</v>
      </c>
      <c r="B775" s="5">
        <v>3</v>
      </c>
    </row>
    <row r="776" spans="1:2" x14ac:dyDescent="0.35">
      <c r="A776" s="11" t="s">
        <v>10267</v>
      </c>
      <c r="B776" s="5">
        <v>3</v>
      </c>
    </row>
    <row r="777" spans="1:2" x14ac:dyDescent="0.35">
      <c r="A777" s="11" t="s">
        <v>2330</v>
      </c>
      <c r="B777" s="5">
        <v>3</v>
      </c>
    </row>
    <row r="778" spans="1:2" x14ac:dyDescent="0.35">
      <c r="A778" s="11" t="s">
        <v>12903</v>
      </c>
      <c r="B778" s="5">
        <v>1</v>
      </c>
    </row>
    <row r="779" spans="1:2" x14ac:dyDescent="0.35">
      <c r="A779" s="11" t="s">
        <v>10476</v>
      </c>
      <c r="B779" s="5">
        <v>2</v>
      </c>
    </row>
    <row r="780" spans="1:2" x14ac:dyDescent="0.35">
      <c r="A780" s="11" t="s">
        <v>10526</v>
      </c>
      <c r="B780" s="5">
        <v>3</v>
      </c>
    </row>
    <row r="781" spans="1:2" x14ac:dyDescent="0.35">
      <c r="A781" s="11" t="s">
        <v>8087</v>
      </c>
      <c r="B781" s="5">
        <v>3</v>
      </c>
    </row>
    <row r="782" spans="1:2" x14ac:dyDescent="0.35">
      <c r="A782" s="11" t="s">
        <v>10113</v>
      </c>
      <c r="B782" s="5">
        <v>5</v>
      </c>
    </row>
    <row r="783" spans="1:2" x14ac:dyDescent="0.35">
      <c r="A783" s="11" t="s">
        <v>10204</v>
      </c>
      <c r="B783" s="5">
        <v>1</v>
      </c>
    </row>
    <row r="784" spans="1:2" x14ac:dyDescent="0.35">
      <c r="A784" s="11" t="s">
        <v>3713</v>
      </c>
      <c r="B784" s="5">
        <v>3</v>
      </c>
    </row>
    <row r="785" spans="1:2" x14ac:dyDescent="0.35">
      <c r="A785" s="11" t="s">
        <v>10175</v>
      </c>
      <c r="B785" s="5">
        <v>3</v>
      </c>
    </row>
    <row r="786" spans="1:2" x14ac:dyDescent="0.35">
      <c r="A786" s="11" t="s">
        <v>8083</v>
      </c>
      <c r="B786" s="5">
        <v>6</v>
      </c>
    </row>
    <row r="787" spans="1:2" x14ac:dyDescent="0.35">
      <c r="A787" s="11" t="s">
        <v>10134</v>
      </c>
      <c r="B787" s="5">
        <v>1</v>
      </c>
    </row>
    <row r="788" spans="1:2" x14ac:dyDescent="0.35">
      <c r="A788" s="11" t="s">
        <v>10179</v>
      </c>
      <c r="B788" s="5">
        <v>3</v>
      </c>
    </row>
    <row r="789" spans="1:2" x14ac:dyDescent="0.35">
      <c r="A789" s="11" t="s">
        <v>12174</v>
      </c>
      <c r="B789" s="5">
        <v>1</v>
      </c>
    </row>
    <row r="790" spans="1:2" x14ac:dyDescent="0.35">
      <c r="A790" s="11" t="s">
        <v>7237</v>
      </c>
      <c r="B790" s="5">
        <v>7</v>
      </c>
    </row>
    <row r="791" spans="1:2" x14ac:dyDescent="0.35">
      <c r="A791" s="11" t="s">
        <v>7248</v>
      </c>
      <c r="B791" s="5">
        <v>4</v>
      </c>
    </row>
    <row r="792" spans="1:2" x14ac:dyDescent="0.35">
      <c r="A792" s="11" t="s">
        <v>6960</v>
      </c>
      <c r="B792" s="5">
        <v>3</v>
      </c>
    </row>
    <row r="793" spans="1:2" x14ac:dyDescent="0.35">
      <c r="A793" s="11" t="s">
        <v>9070</v>
      </c>
      <c r="B793" s="5">
        <v>1</v>
      </c>
    </row>
    <row r="794" spans="1:2" x14ac:dyDescent="0.35">
      <c r="A794" s="11" t="s">
        <v>9073</v>
      </c>
      <c r="B794" s="5">
        <v>1</v>
      </c>
    </row>
    <row r="795" spans="1:2" x14ac:dyDescent="0.35">
      <c r="A795" s="11" t="s">
        <v>9068</v>
      </c>
      <c r="B795" s="5">
        <v>1</v>
      </c>
    </row>
    <row r="796" spans="1:2" x14ac:dyDescent="0.35">
      <c r="A796" s="11" t="s">
        <v>11658</v>
      </c>
      <c r="B796" s="5">
        <v>1</v>
      </c>
    </row>
    <row r="797" spans="1:2" x14ac:dyDescent="0.35">
      <c r="A797" s="11" t="s">
        <v>10190</v>
      </c>
      <c r="B797" s="5">
        <v>1</v>
      </c>
    </row>
    <row r="798" spans="1:2" x14ac:dyDescent="0.35">
      <c r="A798" s="11" t="s">
        <v>2654</v>
      </c>
      <c r="B798" s="5">
        <v>3</v>
      </c>
    </row>
    <row r="799" spans="1:2" x14ac:dyDescent="0.35">
      <c r="A799" s="11" t="s">
        <v>8080</v>
      </c>
      <c r="B799" s="5">
        <v>3</v>
      </c>
    </row>
    <row r="800" spans="1:2" x14ac:dyDescent="0.35">
      <c r="A800" s="11" t="s">
        <v>7989</v>
      </c>
      <c r="B800" s="5">
        <v>3</v>
      </c>
    </row>
    <row r="801" spans="1:2" x14ac:dyDescent="0.35">
      <c r="A801" s="11" t="s">
        <v>887</v>
      </c>
      <c r="B801" s="5">
        <v>3</v>
      </c>
    </row>
    <row r="802" spans="1:2" x14ac:dyDescent="0.35">
      <c r="A802" s="11" t="s">
        <v>10305</v>
      </c>
      <c r="B802" s="5">
        <v>3</v>
      </c>
    </row>
    <row r="803" spans="1:2" x14ac:dyDescent="0.35">
      <c r="A803" s="11" t="s">
        <v>9487</v>
      </c>
      <c r="B803" s="5">
        <v>3</v>
      </c>
    </row>
    <row r="804" spans="1:2" x14ac:dyDescent="0.35">
      <c r="A804" s="11" t="s">
        <v>10352</v>
      </c>
      <c r="B804" s="5">
        <v>3</v>
      </c>
    </row>
    <row r="805" spans="1:2" x14ac:dyDescent="0.35">
      <c r="A805" s="11" t="s">
        <v>7991</v>
      </c>
      <c r="B805" s="5">
        <v>3</v>
      </c>
    </row>
    <row r="806" spans="1:2" x14ac:dyDescent="0.35">
      <c r="A806" s="11" t="s">
        <v>7175</v>
      </c>
      <c r="B806" s="5">
        <v>3</v>
      </c>
    </row>
    <row r="807" spans="1:2" x14ac:dyDescent="0.35">
      <c r="A807" s="11" t="s">
        <v>7045</v>
      </c>
      <c r="B807" s="5">
        <v>3</v>
      </c>
    </row>
    <row r="808" spans="1:2" x14ac:dyDescent="0.35">
      <c r="A808" s="11" t="s">
        <v>9090</v>
      </c>
      <c r="B808" s="5">
        <v>1</v>
      </c>
    </row>
    <row r="809" spans="1:2" x14ac:dyDescent="0.35">
      <c r="A809" s="11" t="s">
        <v>3925</v>
      </c>
      <c r="B809" s="5">
        <v>3</v>
      </c>
    </row>
    <row r="810" spans="1:2" x14ac:dyDescent="0.35">
      <c r="A810" s="11" t="s">
        <v>10417</v>
      </c>
      <c r="B810" s="5">
        <v>3</v>
      </c>
    </row>
    <row r="811" spans="1:2" x14ac:dyDescent="0.35">
      <c r="A811" s="11" t="s">
        <v>5007</v>
      </c>
      <c r="B811" s="5">
        <v>3</v>
      </c>
    </row>
    <row r="812" spans="1:2" x14ac:dyDescent="0.35">
      <c r="A812" s="11" t="s">
        <v>10202</v>
      </c>
      <c r="B812" s="5">
        <v>1</v>
      </c>
    </row>
    <row r="813" spans="1:2" x14ac:dyDescent="0.35">
      <c r="A813" s="11" t="s">
        <v>9096</v>
      </c>
      <c r="B813" s="5">
        <v>3</v>
      </c>
    </row>
    <row r="814" spans="1:2" x14ac:dyDescent="0.35">
      <c r="A814" s="11" t="s">
        <v>6404</v>
      </c>
      <c r="B814" s="5">
        <v>2</v>
      </c>
    </row>
    <row r="815" spans="1:2" x14ac:dyDescent="0.35">
      <c r="A815" s="11" t="s">
        <v>10533</v>
      </c>
      <c r="B815" s="5">
        <v>1</v>
      </c>
    </row>
    <row r="816" spans="1:2" x14ac:dyDescent="0.35">
      <c r="A816" s="11" t="s">
        <v>10273</v>
      </c>
      <c r="B816" s="5">
        <v>3</v>
      </c>
    </row>
    <row r="817" spans="1:2" x14ac:dyDescent="0.35">
      <c r="A817" s="11" t="s">
        <v>9063</v>
      </c>
      <c r="B817" s="5">
        <v>2</v>
      </c>
    </row>
    <row r="818" spans="1:2" x14ac:dyDescent="0.35">
      <c r="A818" s="11" t="s">
        <v>10354</v>
      </c>
      <c r="B818" s="5">
        <v>1</v>
      </c>
    </row>
    <row r="819" spans="1:2" x14ac:dyDescent="0.35">
      <c r="A819" s="11" t="s">
        <v>2354</v>
      </c>
      <c r="B819" s="5">
        <v>3</v>
      </c>
    </row>
    <row r="820" spans="1:2" x14ac:dyDescent="0.35">
      <c r="A820" s="11" t="s">
        <v>10163</v>
      </c>
      <c r="B820" s="5">
        <v>3</v>
      </c>
    </row>
    <row r="821" spans="1:2" x14ac:dyDescent="0.35">
      <c r="A821" s="11" t="s">
        <v>12811</v>
      </c>
      <c r="B821" s="5">
        <v>3</v>
      </c>
    </row>
    <row r="822" spans="1:2" x14ac:dyDescent="0.35">
      <c r="A822" s="11" t="s">
        <v>7256</v>
      </c>
      <c r="B822" s="5">
        <v>3</v>
      </c>
    </row>
    <row r="823" spans="1:2" x14ac:dyDescent="0.35">
      <c r="A823" s="11" t="s">
        <v>11523</v>
      </c>
      <c r="B823" s="5">
        <v>1</v>
      </c>
    </row>
    <row r="824" spans="1:2" x14ac:dyDescent="0.35">
      <c r="A824" s="11" t="s">
        <v>10183</v>
      </c>
      <c r="B824" s="5">
        <v>3</v>
      </c>
    </row>
    <row r="825" spans="1:2" x14ac:dyDescent="0.35">
      <c r="A825" s="11" t="s">
        <v>7995</v>
      </c>
      <c r="B825" s="5">
        <v>3</v>
      </c>
    </row>
    <row r="826" spans="1:2" x14ac:dyDescent="0.35">
      <c r="A826" s="11" t="s">
        <v>10321</v>
      </c>
      <c r="B826" s="5">
        <v>1</v>
      </c>
    </row>
    <row r="827" spans="1:2" x14ac:dyDescent="0.35">
      <c r="A827" s="11" t="s">
        <v>5627</v>
      </c>
      <c r="B827" s="5">
        <v>3</v>
      </c>
    </row>
    <row r="828" spans="1:2" x14ac:dyDescent="0.35">
      <c r="A828" s="11" t="s">
        <v>9092</v>
      </c>
      <c r="B828" s="5">
        <v>3</v>
      </c>
    </row>
    <row r="829" spans="1:2" x14ac:dyDescent="0.35">
      <c r="A829" s="11" t="s">
        <v>8581</v>
      </c>
      <c r="B829" s="5">
        <v>1</v>
      </c>
    </row>
    <row r="830" spans="1:2" x14ac:dyDescent="0.35">
      <c r="A830" s="11" t="s">
        <v>12905</v>
      </c>
      <c r="B830" s="5">
        <v>3</v>
      </c>
    </row>
    <row r="831" spans="1:2" x14ac:dyDescent="0.35">
      <c r="A831" s="11" t="s">
        <v>7224</v>
      </c>
      <c r="B831" s="5">
        <v>3</v>
      </c>
    </row>
    <row r="832" spans="1:2" x14ac:dyDescent="0.35">
      <c r="A832" s="11" t="s">
        <v>10308</v>
      </c>
      <c r="B832" s="5">
        <v>1</v>
      </c>
    </row>
    <row r="833" spans="1:2" x14ac:dyDescent="0.35">
      <c r="A833" s="11" t="s">
        <v>9495</v>
      </c>
      <c r="B833" s="5">
        <v>3</v>
      </c>
    </row>
    <row r="834" spans="1:2" x14ac:dyDescent="0.35">
      <c r="A834" s="11" t="s">
        <v>4048</v>
      </c>
      <c r="B834" s="5">
        <v>3</v>
      </c>
    </row>
    <row r="835" spans="1:2" x14ac:dyDescent="0.35">
      <c r="A835" s="11" t="s">
        <v>5291</v>
      </c>
      <c r="B835" s="5">
        <v>1</v>
      </c>
    </row>
    <row r="836" spans="1:2" x14ac:dyDescent="0.35">
      <c r="A836" s="11" t="s">
        <v>9125</v>
      </c>
      <c r="B836" s="5">
        <v>3</v>
      </c>
    </row>
    <row r="837" spans="1:2" x14ac:dyDescent="0.35">
      <c r="A837" s="11" t="s">
        <v>10192</v>
      </c>
      <c r="B837" s="5">
        <v>1</v>
      </c>
    </row>
    <row r="838" spans="1:2" x14ac:dyDescent="0.35">
      <c r="A838" s="11" t="s">
        <v>10052</v>
      </c>
      <c r="B838" s="5">
        <v>1</v>
      </c>
    </row>
    <row r="839" spans="1:2" x14ac:dyDescent="0.35">
      <c r="A839" s="11" t="s">
        <v>10283</v>
      </c>
      <c r="B839" s="5">
        <v>3</v>
      </c>
    </row>
    <row r="840" spans="1:2" x14ac:dyDescent="0.35">
      <c r="A840" s="11" t="s">
        <v>10421</v>
      </c>
      <c r="B840" s="5">
        <v>3</v>
      </c>
    </row>
    <row r="841" spans="1:2" x14ac:dyDescent="0.35">
      <c r="A841" s="11" t="s">
        <v>10200</v>
      </c>
      <c r="B841" s="5">
        <v>1</v>
      </c>
    </row>
    <row r="842" spans="1:2" x14ac:dyDescent="0.35">
      <c r="A842" s="11" t="s">
        <v>13024</v>
      </c>
      <c r="B842" s="5">
        <v>3</v>
      </c>
    </row>
    <row r="843" spans="1:2" x14ac:dyDescent="0.35">
      <c r="A843" s="11" t="s">
        <v>9057</v>
      </c>
      <c r="B843" s="5">
        <v>2</v>
      </c>
    </row>
    <row r="844" spans="1:2" x14ac:dyDescent="0.35">
      <c r="A844" s="11" t="s">
        <v>10331</v>
      </c>
      <c r="B844" s="5">
        <v>1</v>
      </c>
    </row>
    <row r="845" spans="1:2" x14ac:dyDescent="0.35">
      <c r="A845" s="11" t="s">
        <v>10086</v>
      </c>
      <c r="B845" s="5">
        <v>1</v>
      </c>
    </row>
    <row r="846" spans="1:2" x14ac:dyDescent="0.35">
      <c r="A846" s="11" t="s">
        <v>9129</v>
      </c>
      <c r="B846" s="5">
        <v>3</v>
      </c>
    </row>
    <row r="847" spans="1:2" x14ac:dyDescent="0.35">
      <c r="A847" s="11" t="s">
        <v>9060</v>
      </c>
      <c r="B847" s="5">
        <v>2</v>
      </c>
    </row>
    <row r="848" spans="1:2" x14ac:dyDescent="0.35">
      <c r="A848" s="11" t="s">
        <v>1665</v>
      </c>
      <c r="B848" s="5">
        <v>3</v>
      </c>
    </row>
    <row r="849" spans="1:2" x14ac:dyDescent="0.35">
      <c r="A849" s="11" t="s">
        <v>11708</v>
      </c>
      <c r="B849" s="5">
        <v>3</v>
      </c>
    </row>
    <row r="850" spans="1:2" x14ac:dyDescent="0.35">
      <c r="A850" s="11" t="s">
        <v>10297</v>
      </c>
      <c r="B850" s="5">
        <v>3</v>
      </c>
    </row>
    <row r="851" spans="1:2" x14ac:dyDescent="0.35">
      <c r="A851" s="11" t="s">
        <v>9084</v>
      </c>
      <c r="B851" s="5">
        <v>1</v>
      </c>
    </row>
    <row r="852" spans="1:2" x14ac:dyDescent="0.35">
      <c r="A852" s="11" t="s">
        <v>9088</v>
      </c>
      <c r="B852" s="5">
        <v>1</v>
      </c>
    </row>
    <row r="853" spans="1:2" x14ac:dyDescent="0.35">
      <c r="A853" s="11" t="s">
        <v>2935</v>
      </c>
      <c r="B853" s="5">
        <v>3</v>
      </c>
    </row>
    <row r="854" spans="1:2" x14ac:dyDescent="0.35">
      <c r="A854" s="11" t="s">
        <v>10195</v>
      </c>
      <c r="B854" s="5">
        <v>1</v>
      </c>
    </row>
    <row r="855" spans="1:2" x14ac:dyDescent="0.35">
      <c r="A855" s="11" t="s">
        <v>10056</v>
      </c>
      <c r="B855" s="5">
        <v>1</v>
      </c>
    </row>
    <row r="856" spans="1:2" x14ac:dyDescent="0.35">
      <c r="A856" s="11" t="s">
        <v>10211</v>
      </c>
      <c r="B856" s="5">
        <v>1</v>
      </c>
    </row>
    <row r="857" spans="1:2" x14ac:dyDescent="0.35">
      <c r="A857" s="11" t="s">
        <v>10208</v>
      </c>
      <c r="B857" s="5">
        <v>1</v>
      </c>
    </row>
    <row r="858" spans="1:2" x14ac:dyDescent="0.35">
      <c r="A858" s="11" t="s">
        <v>10560</v>
      </c>
      <c r="B858" s="5">
        <v>1</v>
      </c>
    </row>
    <row r="859" spans="1:2" x14ac:dyDescent="0.35">
      <c r="A859" s="11" t="s">
        <v>7086</v>
      </c>
      <c r="B859" s="5">
        <v>3</v>
      </c>
    </row>
    <row r="860" spans="1:2" x14ac:dyDescent="0.35">
      <c r="A860" s="11" t="s">
        <v>9094</v>
      </c>
      <c r="B860" s="5">
        <v>3</v>
      </c>
    </row>
    <row r="861" spans="1:2" x14ac:dyDescent="0.35">
      <c r="A861" s="11" t="s">
        <v>10094</v>
      </c>
      <c r="B861" s="5">
        <v>4</v>
      </c>
    </row>
    <row r="862" spans="1:2" x14ac:dyDescent="0.35">
      <c r="A862" s="11" t="s">
        <v>9079</v>
      </c>
      <c r="B862" s="5">
        <v>1</v>
      </c>
    </row>
    <row r="863" spans="1:2" x14ac:dyDescent="0.35">
      <c r="A863" s="11" t="s">
        <v>10171</v>
      </c>
      <c r="B863" s="5">
        <v>3</v>
      </c>
    </row>
    <row r="864" spans="1:2" x14ac:dyDescent="0.35">
      <c r="A864" s="11" t="s">
        <v>7245</v>
      </c>
      <c r="B864" s="5">
        <v>3</v>
      </c>
    </row>
    <row r="865" spans="1:2" x14ac:dyDescent="0.35">
      <c r="A865" s="11" t="s">
        <v>9099</v>
      </c>
      <c r="B865" s="5">
        <v>3</v>
      </c>
    </row>
    <row r="866" spans="1:2" x14ac:dyDescent="0.35">
      <c r="A866" s="11" t="s">
        <v>10425</v>
      </c>
      <c r="B866" s="5">
        <v>1</v>
      </c>
    </row>
    <row r="867" spans="1:2" x14ac:dyDescent="0.35">
      <c r="A867" s="11" t="s">
        <v>9107</v>
      </c>
      <c r="B867" s="5">
        <v>3</v>
      </c>
    </row>
    <row r="868" spans="1:2" x14ac:dyDescent="0.35">
      <c r="A868" s="11" t="s">
        <v>10334</v>
      </c>
      <c r="B868" s="5">
        <v>3</v>
      </c>
    </row>
    <row r="869" spans="1:2" x14ac:dyDescent="0.35">
      <c r="A869" s="11" t="s">
        <v>10406</v>
      </c>
      <c r="B869" s="5">
        <v>3</v>
      </c>
    </row>
    <row r="870" spans="1:2" x14ac:dyDescent="0.35">
      <c r="A870" s="11" t="s">
        <v>4387</v>
      </c>
      <c r="B870" s="5">
        <v>3</v>
      </c>
    </row>
    <row r="871" spans="1:2" x14ac:dyDescent="0.35">
      <c r="A871" s="11" t="s">
        <v>10228</v>
      </c>
      <c r="B871" s="5">
        <v>2</v>
      </c>
    </row>
    <row r="872" spans="1:2" x14ac:dyDescent="0.35">
      <c r="A872" s="11" t="s">
        <v>10156</v>
      </c>
      <c r="B872" s="5">
        <v>3</v>
      </c>
    </row>
    <row r="873" spans="1:2" x14ac:dyDescent="0.35">
      <c r="A873" s="11" t="s">
        <v>8000</v>
      </c>
      <c r="B873" s="5">
        <v>3</v>
      </c>
    </row>
    <row r="874" spans="1:2" x14ac:dyDescent="0.35">
      <c r="A874" s="11" t="s">
        <v>10166</v>
      </c>
      <c r="B874" s="5">
        <v>3</v>
      </c>
    </row>
    <row r="875" spans="1:2" x14ac:dyDescent="0.35">
      <c r="A875" s="11" t="s">
        <v>7370</v>
      </c>
      <c r="B875" s="5">
        <v>1</v>
      </c>
    </row>
    <row r="876" spans="1:2" x14ac:dyDescent="0.35">
      <c r="A876" s="11" t="s">
        <v>6160</v>
      </c>
      <c r="B876" s="5">
        <v>3</v>
      </c>
    </row>
    <row r="877" spans="1:2" x14ac:dyDescent="0.35">
      <c r="A877" s="11" t="s">
        <v>7983</v>
      </c>
      <c r="B877" s="5">
        <v>3</v>
      </c>
    </row>
    <row r="878" spans="1:2" x14ac:dyDescent="0.35">
      <c r="A878" s="11" t="s">
        <v>10049</v>
      </c>
      <c r="B878" s="5">
        <v>1</v>
      </c>
    </row>
    <row r="879" spans="1:2" x14ac:dyDescent="0.35">
      <c r="A879" s="11" t="s">
        <v>10101</v>
      </c>
      <c r="B879" s="5">
        <v>1</v>
      </c>
    </row>
    <row r="880" spans="1:2" x14ac:dyDescent="0.35">
      <c r="A880" s="11" t="s">
        <v>5595</v>
      </c>
      <c r="B880" s="5">
        <v>6</v>
      </c>
    </row>
    <row r="881" spans="1:2" x14ac:dyDescent="0.35">
      <c r="A881" s="11" t="s">
        <v>9105</v>
      </c>
      <c r="B881" s="5">
        <v>3</v>
      </c>
    </row>
    <row r="882" spans="1:2" x14ac:dyDescent="0.35">
      <c r="A882" s="11" t="s">
        <v>8752</v>
      </c>
      <c r="B882" s="5">
        <v>2</v>
      </c>
    </row>
    <row r="883" spans="1:2" x14ac:dyDescent="0.35">
      <c r="A883" s="11" t="s">
        <v>4736</v>
      </c>
      <c r="B883" s="5">
        <v>5</v>
      </c>
    </row>
    <row r="884" spans="1:2" x14ac:dyDescent="0.35">
      <c r="A884" s="11" t="s">
        <v>3018</v>
      </c>
      <c r="B884" s="5">
        <v>6</v>
      </c>
    </row>
    <row r="885" spans="1:2" x14ac:dyDescent="0.35">
      <c r="A885" s="11" t="s">
        <v>12984</v>
      </c>
      <c r="B885" s="5">
        <v>3</v>
      </c>
    </row>
    <row r="886" spans="1:2" x14ac:dyDescent="0.35">
      <c r="A886" s="11" t="s">
        <v>6662</v>
      </c>
      <c r="B886" s="5">
        <v>5</v>
      </c>
    </row>
    <row r="887" spans="1:2" x14ac:dyDescent="0.35">
      <c r="A887" s="11" t="s">
        <v>10235</v>
      </c>
      <c r="B887" s="5">
        <v>1</v>
      </c>
    </row>
    <row r="888" spans="1:2" x14ac:dyDescent="0.35">
      <c r="A888" s="11" t="s">
        <v>10237</v>
      </c>
      <c r="B888" s="5">
        <v>3</v>
      </c>
    </row>
    <row r="889" spans="1:2" x14ac:dyDescent="0.35">
      <c r="A889" s="11" t="s">
        <v>497</v>
      </c>
      <c r="B889" s="5">
        <v>3</v>
      </c>
    </row>
    <row r="890" spans="1:2" x14ac:dyDescent="0.35">
      <c r="A890" s="11" t="s">
        <v>10233</v>
      </c>
      <c r="B890" s="5">
        <v>5</v>
      </c>
    </row>
    <row r="891" spans="1:2" x14ac:dyDescent="0.35">
      <c r="A891" s="11" t="s">
        <v>10234</v>
      </c>
      <c r="B891" s="5">
        <v>5</v>
      </c>
    </row>
    <row r="892" spans="1:2" x14ac:dyDescent="0.35">
      <c r="A892" s="11" t="s">
        <v>10239</v>
      </c>
      <c r="B892" s="5">
        <v>3</v>
      </c>
    </row>
    <row r="893" spans="1:2" x14ac:dyDescent="0.35">
      <c r="A893" s="11" t="s">
        <v>10231</v>
      </c>
      <c r="B893" s="5">
        <v>3</v>
      </c>
    </row>
    <row r="894" spans="1:2" x14ac:dyDescent="0.35">
      <c r="A894" s="11" t="s">
        <v>10213</v>
      </c>
      <c r="B894" s="5">
        <v>3</v>
      </c>
    </row>
    <row r="895" spans="1:2" x14ac:dyDescent="0.35">
      <c r="A895" s="11" t="s">
        <v>10348</v>
      </c>
      <c r="B895" s="5">
        <v>1</v>
      </c>
    </row>
    <row r="896" spans="1:2" x14ac:dyDescent="0.35">
      <c r="A896" s="12" t="s">
        <v>2519</v>
      </c>
      <c r="B896" s="13">
        <v>115</v>
      </c>
    </row>
    <row r="897" spans="1:2" x14ac:dyDescent="0.35">
      <c r="A897" s="11" t="s">
        <v>8834</v>
      </c>
      <c r="B897" s="5">
        <v>2</v>
      </c>
    </row>
    <row r="898" spans="1:2" x14ac:dyDescent="0.35">
      <c r="A898" s="11" t="s">
        <v>2521</v>
      </c>
      <c r="B898" s="5">
        <v>1</v>
      </c>
    </row>
    <row r="899" spans="1:2" x14ac:dyDescent="0.35">
      <c r="A899" s="11" t="s">
        <v>9669</v>
      </c>
      <c r="B899" s="5">
        <v>4</v>
      </c>
    </row>
    <row r="900" spans="1:2" x14ac:dyDescent="0.35">
      <c r="A900" s="11" t="s">
        <v>7319</v>
      </c>
      <c r="B900" s="5">
        <v>2</v>
      </c>
    </row>
    <row r="901" spans="1:2" x14ac:dyDescent="0.35">
      <c r="A901" s="11" t="s">
        <v>11568</v>
      </c>
      <c r="B901" s="5">
        <v>1</v>
      </c>
    </row>
    <row r="902" spans="1:2" x14ac:dyDescent="0.35">
      <c r="A902" s="11" t="s">
        <v>3821</v>
      </c>
      <c r="B902" s="5">
        <v>1</v>
      </c>
    </row>
    <row r="903" spans="1:2" x14ac:dyDescent="0.35">
      <c r="A903" s="11" t="s">
        <v>9686</v>
      </c>
      <c r="B903" s="5">
        <v>7</v>
      </c>
    </row>
    <row r="904" spans="1:2" x14ac:dyDescent="0.35">
      <c r="A904" s="11" t="s">
        <v>823</v>
      </c>
      <c r="B904" s="5">
        <v>6</v>
      </c>
    </row>
    <row r="905" spans="1:2" x14ac:dyDescent="0.35">
      <c r="A905" s="11" t="s">
        <v>8511</v>
      </c>
      <c r="B905" s="5">
        <v>1</v>
      </c>
    </row>
    <row r="906" spans="1:2" x14ac:dyDescent="0.35">
      <c r="A906" s="11" t="s">
        <v>4484</v>
      </c>
      <c r="B906" s="5">
        <v>2</v>
      </c>
    </row>
    <row r="907" spans="1:2" x14ac:dyDescent="0.35">
      <c r="A907" s="11" t="s">
        <v>3961</v>
      </c>
      <c r="B907" s="5">
        <v>1</v>
      </c>
    </row>
    <row r="908" spans="1:2" x14ac:dyDescent="0.35">
      <c r="A908" s="11" t="s">
        <v>5048</v>
      </c>
      <c r="B908" s="5">
        <v>1</v>
      </c>
    </row>
    <row r="909" spans="1:2" x14ac:dyDescent="0.35">
      <c r="A909" s="11" t="s">
        <v>3317</v>
      </c>
      <c r="B909" s="5">
        <v>1</v>
      </c>
    </row>
    <row r="910" spans="1:2" x14ac:dyDescent="0.35">
      <c r="A910" s="11" t="s">
        <v>9719</v>
      </c>
      <c r="B910" s="5">
        <v>6</v>
      </c>
    </row>
    <row r="911" spans="1:2" x14ac:dyDescent="0.35">
      <c r="A911" s="11" t="s">
        <v>7364</v>
      </c>
      <c r="B911" s="5">
        <v>1</v>
      </c>
    </row>
    <row r="912" spans="1:2" x14ac:dyDescent="0.35">
      <c r="A912" s="11" t="s">
        <v>10886</v>
      </c>
      <c r="B912" s="5">
        <v>1</v>
      </c>
    </row>
    <row r="913" spans="1:2" x14ac:dyDescent="0.35">
      <c r="A913" s="11" t="s">
        <v>4234</v>
      </c>
      <c r="B913" s="5">
        <v>2</v>
      </c>
    </row>
    <row r="914" spans="1:2" x14ac:dyDescent="0.35">
      <c r="A914" s="11" t="s">
        <v>7052</v>
      </c>
      <c r="B914" s="5">
        <v>1</v>
      </c>
    </row>
    <row r="915" spans="1:2" x14ac:dyDescent="0.35">
      <c r="A915" s="11" t="s">
        <v>3784</v>
      </c>
      <c r="B915" s="5">
        <v>5</v>
      </c>
    </row>
    <row r="916" spans="1:2" x14ac:dyDescent="0.35">
      <c r="A916" s="11" t="s">
        <v>6924</v>
      </c>
      <c r="B916" s="5">
        <v>1</v>
      </c>
    </row>
    <row r="917" spans="1:2" x14ac:dyDescent="0.35">
      <c r="A917" s="11" t="s">
        <v>6059</v>
      </c>
      <c r="B917" s="5">
        <v>2</v>
      </c>
    </row>
    <row r="918" spans="1:2" x14ac:dyDescent="0.35">
      <c r="A918" s="11" t="s">
        <v>5001</v>
      </c>
      <c r="B918" s="5">
        <v>4</v>
      </c>
    </row>
    <row r="919" spans="1:2" x14ac:dyDescent="0.35">
      <c r="A919" s="11" t="s">
        <v>10565</v>
      </c>
      <c r="B919" s="5">
        <v>1</v>
      </c>
    </row>
    <row r="920" spans="1:2" x14ac:dyDescent="0.35">
      <c r="A920" s="11" t="s">
        <v>12352</v>
      </c>
      <c r="B920" s="5">
        <v>1</v>
      </c>
    </row>
    <row r="921" spans="1:2" x14ac:dyDescent="0.35">
      <c r="A921" s="11" t="s">
        <v>11300</v>
      </c>
      <c r="B921" s="5">
        <v>4</v>
      </c>
    </row>
    <row r="922" spans="1:2" x14ac:dyDescent="0.35">
      <c r="A922" s="11" t="s">
        <v>4665</v>
      </c>
      <c r="B922" s="5">
        <v>2</v>
      </c>
    </row>
    <row r="923" spans="1:2" x14ac:dyDescent="0.35">
      <c r="A923" s="11" t="s">
        <v>8242</v>
      </c>
      <c r="B923" s="5">
        <v>1</v>
      </c>
    </row>
    <row r="924" spans="1:2" x14ac:dyDescent="0.35">
      <c r="A924" s="11" t="s">
        <v>10364</v>
      </c>
      <c r="B924" s="5">
        <v>5</v>
      </c>
    </row>
    <row r="925" spans="1:2" x14ac:dyDescent="0.35">
      <c r="A925" s="11" t="s">
        <v>4047</v>
      </c>
      <c r="B925" s="5">
        <v>1</v>
      </c>
    </row>
    <row r="926" spans="1:2" x14ac:dyDescent="0.35">
      <c r="A926" s="11" t="s">
        <v>9815</v>
      </c>
      <c r="B926" s="5">
        <v>1</v>
      </c>
    </row>
    <row r="927" spans="1:2" x14ac:dyDescent="0.35">
      <c r="A927" s="11" t="s">
        <v>8993</v>
      </c>
      <c r="B927" s="5">
        <v>2</v>
      </c>
    </row>
    <row r="928" spans="1:2" x14ac:dyDescent="0.35">
      <c r="A928" s="11" t="s">
        <v>6896</v>
      </c>
      <c r="B928" s="5">
        <v>1</v>
      </c>
    </row>
    <row r="929" spans="1:2" x14ac:dyDescent="0.35">
      <c r="A929" s="11" t="s">
        <v>6754</v>
      </c>
      <c r="B929" s="5">
        <v>10</v>
      </c>
    </row>
    <row r="930" spans="1:2" x14ac:dyDescent="0.35">
      <c r="A930" s="11" t="s">
        <v>6800</v>
      </c>
      <c r="B930" s="5">
        <v>1</v>
      </c>
    </row>
    <row r="931" spans="1:2" x14ac:dyDescent="0.35">
      <c r="A931" s="11" t="s">
        <v>9369</v>
      </c>
      <c r="B931" s="5">
        <v>3</v>
      </c>
    </row>
    <row r="932" spans="1:2" x14ac:dyDescent="0.35">
      <c r="A932" s="11" t="s">
        <v>4036</v>
      </c>
      <c r="B932" s="5">
        <v>5</v>
      </c>
    </row>
    <row r="933" spans="1:2" x14ac:dyDescent="0.35">
      <c r="A933" s="11" t="s">
        <v>6918</v>
      </c>
      <c r="B933" s="5">
        <v>5</v>
      </c>
    </row>
    <row r="934" spans="1:2" x14ac:dyDescent="0.35">
      <c r="A934" s="11" t="s">
        <v>8903</v>
      </c>
      <c r="B934" s="5">
        <v>3</v>
      </c>
    </row>
    <row r="935" spans="1:2" x14ac:dyDescent="0.35">
      <c r="A935" s="11" t="s">
        <v>5729</v>
      </c>
      <c r="B935" s="5">
        <v>1</v>
      </c>
    </row>
    <row r="936" spans="1:2" x14ac:dyDescent="0.35">
      <c r="A936" s="11" t="s">
        <v>1862</v>
      </c>
      <c r="B936" s="5">
        <v>3</v>
      </c>
    </row>
    <row r="937" spans="1:2" x14ac:dyDescent="0.35">
      <c r="A937" s="11" t="s">
        <v>2649</v>
      </c>
      <c r="B937" s="5">
        <v>2</v>
      </c>
    </row>
    <row r="938" spans="1:2" x14ac:dyDescent="0.35">
      <c r="A938" s="11" t="s">
        <v>4967</v>
      </c>
      <c r="B938" s="5">
        <v>2</v>
      </c>
    </row>
    <row r="939" spans="1:2" x14ac:dyDescent="0.35">
      <c r="A939" s="11" t="s">
        <v>2557</v>
      </c>
      <c r="B939" s="5">
        <v>1</v>
      </c>
    </row>
    <row r="940" spans="1:2" x14ac:dyDescent="0.35">
      <c r="A940" s="11" t="s">
        <v>7797</v>
      </c>
      <c r="B940" s="5">
        <v>1</v>
      </c>
    </row>
    <row r="941" spans="1:2" x14ac:dyDescent="0.35">
      <c r="A941" s="11" t="s">
        <v>9638</v>
      </c>
      <c r="B941" s="5">
        <v>2</v>
      </c>
    </row>
    <row r="942" spans="1:2" x14ac:dyDescent="0.35">
      <c r="A942" s="11" t="s">
        <v>9820</v>
      </c>
      <c r="B942" s="5">
        <v>2</v>
      </c>
    </row>
    <row r="943" spans="1:2" x14ac:dyDescent="0.35">
      <c r="A943" s="11" t="s">
        <v>5788</v>
      </c>
      <c r="B943" s="5">
        <v>1</v>
      </c>
    </row>
    <row r="944" spans="1:2" x14ac:dyDescent="0.35">
      <c r="A944" s="11" t="s">
        <v>11847</v>
      </c>
      <c r="B944" s="5">
        <v>1</v>
      </c>
    </row>
    <row r="945" spans="1:2" x14ac:dyDescent="0.35">
      <c r="A945" s="12" t="s">
        <v>335</v>
      </c>
      <c r="B945" s="13">
        <v>143</v>
      </c>
    </row>
    <row r="946" spans="1:2" x14ac:dyDescent="0.35">
      <c r="A946" s="11" t="s">
        <v>515</v>
      </c>
      <c r="B946" s="5">
        <v>4</v>
      </c>
    </row>
    <row r="947" spans="1:2" x14ac:dyDescent="0.35">
      <c r="A947" s="11" t="s">
        <v>3198</v>
      </c>
      <c r="B947" s="5">
        <v>1</v>
      </c>
    </row>
    <row r="948" spans="1:2" x14ac:dyDescent="0.35">
      <c r="A948" s="11" t="s">
        <v>337</v>
      </c>
      <c r="B948" s="5">
        <v>1</v>
      </c>
    </row>
    <row r="949" spans="1:2" x14ac:dyDescent="0.35">
      <c r="A949" s="11" t="s">
        <v>8806</v>
      </c>
      <c r="B949" s="5">
        <v>1</v>
      </c>
    </row>
    <row r="950" spans="1:2" x14ac:dyDescent="0.35">
      <c r="A950" s="11" t="s">
        <v>4018</v>
      </c>
      <c r="B950" s="5">
        <v>3</v>
      </c>
    </row>
    <row r="951" spans="1:2" x14ac:dyDescent="0.35">
      <c r="A951" s="11" t="s">
        <v>1841</v>
      </c>
      <c r="B951" s="5">
        <v>1</v>
      </c>
    </row>
    <row r="952" spans="1:2" x14ac:dyDescent="0.35">
      <c r="A952" s="11" t="s">
        <v>9686</v>
      </c>
      <c r="B952" s="5">
        <v>1</v>
      </c>
    </row>
    <row r="953" spans="1:2" x14ac:dyDescent="0.35">
      <c r="A953" s="11" t="s">
        <v>7150</v>
      </c>
      <c r="B953" s="5">
        <v>1</v>
      </c>
    </row>
    <row r="954" spans="1:2" x14ac:dyDescent="0.35">
      <c r="A954" s="11" t="s">
        <v>7058</v>
      </c>
      <c r="B954" s="5">
        <v>1</v>
      </c>
    </row>
    <row r="955" spans="1:2" x14ac:dyDescent="0.35">
      <c r="A955" s="11" t="s">
        <v>3317</v>
      </c>
      <c r="B955" s="5">
        <v>1</v>
      </c>
    </row>
    <row r="956" spans="1:2" x14ac:dyDescent="0.35">
      <c r="A956" s="11" t="s">
        <v>7698</v>
      </c>
      <c r="B956" s="5">
        <v>2</v>
      </c>
    </row>
    <row r="957" spans="1:2" x14ac:dyDescent="0.35">
      <c r="A957" s="11" t="s">
        <v>10898</v>
      </c>
      <c r="B957" s="5">
        <v>2</v>
      </c>
    </row>
    <row r="958" spans="1:2" x14ac:dyDescent="0.35">
      <c r="A958" s="11" t="s">
        <v>4329</v>
      </c>
      <c r="B958" s="5">
        <v>12</v>
      </c>
    </row>
    <row r="959" spans="1:2" x14ac:dyDescent="0.35">
      <c r="A959" s="11" t="s">
        <v>7052</v>
      </c>
      <c r="B959" s="5">
        <v>1</v>
      </c>
    </row>
    <row r="960" spans="1:2" x14ac:dyDescent="0.35">
      <c r="A960" s="11" t="s">
        <v>572</v>
      </c>
      <c r="B960" s="5">
        <v>4</v>
      </c>
    </row>
    <row r="961" spans="1:2" x14ac:dyDescent="0.35">
      <c r="A961" s="11" t="s">
        <v>3993</v>
      </c>
      <c r="B961" s="5">
        <v>1</v>
      </c>
    </row>
    <row r="962" spans="1:2" x14ac:dyDescent="0.35">
      <c r="A962" s="11" t="s">
        <v>8149</v>
      </c>
      <c r="B962" s="5">
        <v>2</v>
      </c>
    </row>
    <row r="963" spans="1:2" x14ac:dyDescent="0.35">
      <c r="A963" s="11" t="s">
        <v>4021</v>
      </c>
      <c r="B963" s="5">
        <v>1</v>
      </c>
    </row>
    <row r="964" spans="1:2" x14ac:dyDescent="0.35">
      <c r="A964" s="11" t="s">
        <v>5468</v>
      </c>
      <c r="B964" s="5">
        <v>1</v>
      </c>
    </row>
    <row r="965" spans="1:2" x14ac:dyDescent="0.35">
      <c r="A965" s="11" t="s">
        <v>1200</v>
      </c>
      <c r="B965" s="5">
        <v>1</v>
      </c>
    </row>
    <row r="966" spans="1:2" x14ac:dyDescent="0.35">
      <c r="A966" s="11" t="s">
        <v>4509</v>
      </c>
      <c r="B966" s="5">
        <v>4</v>
      </c>
    </row>
    <row r="967" spans="1:2" x14ac:dyDescent="0.35">
      <c r="A967" s="11" t="s">
        <v>2603</v>
      </c>
      <c r="B967" s="5">
        <v>2</v>
      </c>
    </row>
    <row r="968" spans="1:2" x14ac:dyDescent="0.35">
      <c r="A968" s="11" t="s">
        <v>3117</v>
      </c>
      <c r="B968" s="5">
        <v>3</v>
      </c>
    </row>
    <row r="969" spans="1:2" x14ac:dyDescent="0.35">
      <c r="A969" s="11" t="s">
        <v>4376</v>
      </c>
      <c r="B969" s="5">
        <v>3</v>
      </c>
    </row>
    <row r="970" spans="1:2" x14ac:dyDescent="0.35">
      <c r="A970" s="11" t="s">
        <v>148</v>
      </c>
      <c r="B970" s="5">
        <v>29</v>
      </c>
    </row>
    <row r="971" spans="1:2" x14ac:dyDescent="0.35">
      <c r="A971" s="11" t="s">
        <v>3275</v>
      </c>
      <c r="B971" s="5">
        <v>1</v>
      </c>
    </row>
    <row r="972" spans="1:2" x14ac:dyDescent="0.35">
      <c r="A972" s="11" t="s">
        <v>3060</v>
      </c>
      <c r="B972" s="5">
        <v>1</v>
      </c>
    </row>
    <row r="973" spans="1:2" x14ac:dyDescent="0.35">
      <c r="A973" s="11" t="s">
        <v>6219</v>
      </c>
      <c r="B973" s="5">
        <v>1</v>
      </c>
    </row>
    <row r="974" spans="1:2" x14ac:dyDescent="0.35">
      <c r="A974" s="11" t="s">
        <v>7694</v>
      </c>
      <c r="B974" s="5">
        <v>1</v>
      </c>
    </row>
    <row r="975" spans="1:2" x14ac:dyDescent="0.35">
      <c r="A975" s="11" t="s">
        <v>1656</v>
      </c>
      <c r="B975" s="5">
        <v>1</v>
      </c>
    </row>
    <row r="976" spans="1:2" x14ac:dyDescent="0.35">
      <c r="A976" s="11" t="s">
        <v>2596</v>
      </c>
      <c r="B976" s="5">
        <v>2</v>
      </c>
    </row>
    <row r="977" spans="1:2" x14ac:dyDescent="0.35">
      <c r="A977" s="11" t="s">
        <v>6641</v>
      </c>
      <c r="B977" s="5">
        <v>3</v>
      </c>
    </row>
    <row r="978" spans="1:2" x14ac:dyDescent="0.35">
      <c r="A978" s="11" t="s">
        <v>4325</v>
      </c>
      <c r="B978" s="5">
        <v>13</v>
      </c>
    </row>
    <row r="979" spans="1:2" x14ac:dyDescent="0.35">
      <c r="A979" s="11" t="s">
        <v>8960</v>
      </c>
      <c r="B979" s="5">
        <v>1</v>
      </c>
    </row>
    <row r="980" spans="1:2" x14ac:dyDescent="0.35">
      <c r="A980" s="11" t="s">
        <v>2392</v>
      </c>
      <c r="B980" s="5">
        <v>1</v>
      </c>
    </row>
    <row r="981" spans="1:2" x14ac:dyDescent="0.35">
      <c r="A981" s="11" t="s">
        <v>10893</v>
      </c>
      <c r="B981" s="5">
        <v>2</v>
      </c>
    </row>
    <row r="982" spans="1:2" x14ac:dyDescent="0.35">
      <c r="A982" s="11" t="s">
        <v>5991</v>
      </c>
      <c r="B982" s="5">
        <v>1</v>
      </c>
    </row>
    <row r="983" spans="1:2" x14ac:dyDescent="0.35">
      <c r="A983" s="11" t="s">
        <v>8619</v>
      </c>
      <c r="B983" s="5">
        <v>2</v>
      </c>
    </row>
    <row r="984" spans="1:2" x14ac:dyDescent="0.35">
      <c r="A984" s="11" t="s">
        <v>5267</v>
      </c>
      <c r="B984" s="5">
        <v>2</v>
      </c>
    </row>
    <row r="985" spans="1:2" x14ac:dyDescent="0.35">
      <c r="A985" s="11" t="s">
        <v>5945</v>
      </c>
      <c r="B985" s="5">
        <v>1</v>
      </c>
    </row>
    <row r="986" spans="1:2" x14ac:dyDescent="0.35">
      <c r="A986" s="11" t="s">
        <v>7861</v>
      </c>
      <c r="B986" s="5">
        <v>1</v>
      </c>
    </row>
    <row r="987" spans="1:2" x14ac:dyDescent="0.35">
      <c r="A987" s="11" t="s">
        <v>8154</v>
      </c>
      <c r="B987" s="5">
        <v>2</v>
      </c>
    </row>
    <row r="988" spans="1:2" x14ac:dyDescent="0.35">
      <c r="A988" s="11" t="s">
        <v>3189</v>
      </c>
      <c r="B988" s="5">
        <v>1</v>
      </c>
    </row>
    <row r="989" spans="1:2" x14ac:dyDescent="0.35">
      <c r="A989" s="11" t="s">
        <v>5471</v>
      </c>
      <c r="B989" s="5">
        <v>3</v>
      </c>
    </row>
    <row r="990" spans="1:2" x14ac:dyDescent="0.35">
      <c r="A990" s="11" t="s">
        <v>3163</v>
      </c>
      <c r="B990" s="5">
        <v>3</v>
      </c>
    </row>
    <row r="991" spans="1:2" x14ac:dyDescent="0.35">
      <c r="A991" s="11" t="s">
        <v>3732</v>
      </c>
      <c r="B991" s="5">
        <v>11</v>
      </c>
    </row>
    <row r="992" spans="1:2" x14ac:dyDescent="0.35">
      <c r="A992" s="11" t="s">
        <v>1618</v>
      </c>
      <c r="B992" s="5">
        <v>1</v>
      </c>
    </row>
    <row r="993" spans="1:2" x14ac:dyDescent="0.35">
      <c r="A993" s="11" t="s">
        <v>5102</v>
      </c>
      <c r="B993" s="5">
        <v>1</v>
      </c>
    </row>
    <row r="994" spans="1:2" x14ac:dyDescent="0.35">
      <c r="A994" s="11" t="s">
        <v>4184</v>
      </c>
      <c r="B994" s="5">
        <v>1</v>
      </c>
    </row>
    <row r="995" spans="1:2" x14ac:dyDescent="0.35">
      <c r="A995" s="11" t="s">
        <v>4014</v>
      </c>
      <c r="B995" s="5">
        <v>1</v>
      </c>
    </row>
    <row r="996" spans="1:2" x14ac:dyDescent="0.35">
      <c r="A996" s="11" t="s">
        <v>472</v>
      </c>
      <c r="B996" s="5">
        <v>2</v>
      </c>
    </row>
    <row r="997" spans="1:2" x14ac:dyDescent="0.35">
      <c r="A997" s="12" t="s">
        <v>211</v>
      </c>
      <c r="B997" s="13">
        <v>526</v>
      </c>
    </row>
    <row r="998" spans="1:2" x14ac:dyDescent="0.35">
      <c r="A998" s="11" t="s">
        <v>1814</v>
      </c>
      <c r="B998" s="5">
        <v>1</v>
      </c>
    </row>
    <row r="999" spans="1:2" x14ac:dyDescent="0.35">
      <c r="A999" s="11" t="s">
        <v>2023</v>
      </c>
      <c r="B999" s="5">
        <v>1</v>
      </c>
    </row>
    <row r="1000" spans="1:2" x14ac:dyDescent="0.35">
      <c r="A1000" s="11" t="s">
        <v>9133</v>
      </c>
      <c r="B1000" s="5">
        <v>3</v>
      </c>
    </row>
    <row r="1001" spans="1:2" x14ac:dyDescent="0.35">
      <c r="A1001" s="11" t="s">
        <v>3542</v>
      </c>
      <c r="B1001" s="5">
        <v>2</v>
      </c>
    </row>
    <row r="1002" spans="1:2" x14ac:dyDescent="0.35">
      <c r="A1002" s="11" t="s">
        <v>5668</v>
      </c>
      <c r="B1002" s="5">
        <v>1</v>
      </c>
    </row>
    <row r="1003" spans="1:2" x14ac:dyDescent="0.35">
      <c r="A1003" s="11" t="s">
        <v>9179</v>
      </c>
      <c r="B1003" s="5">
        <v>2</v>
      </c>
    </row>
    <row r="1004" spans="1:2" x14ac:dyDescent="0.35">
      <c r="A1004" s="11" t="s">
        <v>6728</v>
      </c>
      <c r="B1004" s="5">
        <v>1</v>
      </c>
    </row>
    <row r="1005" spans="1:2" x14ac:dyDescent="0.35">
      <c r="A1005" s="11" t="s">
        <v>2620</v>
      </c>
      <c r="B1005" s="5">
        <v>3</v>
      </c>
    </row>
    <row r="1006" spans="1:2" x14ac:dyDescent="0.35">
      <c r="A1006" s="11" t="s">
        <v>3762</v>
      </c>
      <c r="B1006" s="5">
        <v>1</v>
      </c>
    </row>
    <row r="1007" spans="1:2" x14ac:dyDescent="0.35">
      <c r="A1007" s="11" t="s">
        <v>10936</v>
      </c>
      <c r="B1007" s="5">
        <v>1</v>
      </c>
    </row>
    <row r="1008" spans="1:2" x14ac:dyDescent="0.35">
      <c r="A1008" s="11" t="s">
        <v>52</v>
      </c>
      <c r="B1008" s="5">
        <v>4</v>
      </c>
    </row>
    <row r="1009" spans="1:2" x14ac:dyDescent="0.35">
      <c r="A1009" s="11" t="s">
        <v>2433</v>
      </c>
      <c r="B1009" s="5">
        <v>2</v>
      </c>
    </row>
    <row r="1010" spans="1:2" x14ac:dyDescent="0.35">
      <c r="A1010" s="11" t="s">
        <v>5350</v>
      </c>
      <c r="B1010" s="5">
        <v>1</v>
      </c>
    </row>
    <row r="1011" spans="1:2" x14ac:dyDescent="0.35">
      <c r="A1011" s="11" t="s">
        <v>10583</v>
      </c>
      <c r="B1011" s="5">
        <v>1</v>
      </c>
    </row>
    <row r="1012" spans="1:2" x14ac:dyDescent="0.35">
      <c r="A1012" s="11" t="s">
        <v>6937</v>
      </c>
      <c r="B1012" s="5">
        <v>2</v>
      </c>
    </row>
    <row r="1013" spans="1:2" x14ac:dyDescent="0.35">
      <c r="A1013" s="11" t="s">
        <v>12045</v>
      </c>
      <c r="B1013" s="5">
        <v>3</v>
      </c>
    </row>
    <row r="1014" spans="1:2" x14ac:dyDescent="0.35">
      <c r="A1014" s="11" t="s">
        <v>8825</v>
      </c>
      <c r="B1014" s="5">
        <v>1</v>
      </c>
    </row>
    <row r="1015" spans="1:2" x14ac:dyDescent="0.35">
      <c r="A1015" s="11" t="s">
        <v>7653</v>
      </c>
      <c r="B1015" s="5">
        <v>1</v>
      </c>
    </row>
    <row r="1016" spans="1:2" x14ac:dyDescent="0.35">
      <c r="A1016" s="11" t="s">
        <v>1841</v>
      </c>
      <c r="B1016" s="5">
        <v>1</v>
      </c>
    </row>
    <row r="1017" spans="1:2" x14ac:dyDescent="0.35">
      <c r="A1017" s="11" t="s">
        <v>8378</v>
      </c>
      <c r="B1017" s="5">
        <v>1</v>
      </c>
    </row>
    <row r="1018" spans="1:2" x14ac:dyDescent="0.35">
      <c r="A1018" s="11" t="s">
        <v>4500</v>
      </c>
      <c r="B1018" s="5">
        <v>2</v>
      </c>
    </row>
    <row r="1019" spans="1:2" x14ac:dyDescent="0.35">
      <c r="A1019" s="11" t="s">
        <v>11550</v>
      </c>
      <c r="B1019" s="5">
        <v>1</v>
      </c>
    </row>
    <row r="1020" spans="1:2" x14ac:dyDescent="0.35">
      <c r="A1020" s="11" t="s">
        <v>3961</v>
      </c>
      <c r="B1020" s="5">
        <v>5</v>
      </c>
    </row>
    <row r="1021" spans="1:2" x14ac:dyDescent="0.35">
      <c r="A1021" s="11" t="s">
        <v>3259</v>
      </c>
      <c r="B1021" s="5">
        <v>1</v>
      </c>
    </row>
    <row r="1022" spans="1:2" x14ac:dyDescent="0.35">
      <c r="A1022" s="11" t="s">
        <v>1547</v>
      </c>
      <c r="B1022" s="5">
        <v>13</v>
      </c>
    </row>
    <row r="1023" spans="1:2" x14ac:dyDescent="0.35">
      <c r="A1023" s="11" t="s">
        <v>5954</v>
      </c>
      <c r="B1023" s="5">
        <v>1</v>
      </c>
    </row>
    <row r="1024" spans="1:2" x14ac:dyDescent="0.35">
      <c r="A1024" s="11" t="s">
        <v>5156</v>
      </c>
      <c r="B1024" s="5">
        <v>5</v>
      </c>
    </row>
    <row r="1025" spans="1:2" x14ac:dyDescent="0.35">
      <c r="A1025" s="11" t="s">
        <v>7850</v>
      </c>
      <c r="B1025" s="5">
        <v>1</v>
      </c>
    </row>
    <row r="1026" spans="1:2" x14ac:dyDescent="0.35">
      <c r="A1026" s="11" t="s">
        <v>7723</v>
      </c>
      <c r="B1026" s="5">
        <v>1</v>
      </c>
    </row>
    <row r="1027" spans="1:2" x14ac:dyDescent="0.35">
      <c r="A1027" s="11" t="s">
        <v>4494</v>
      </c>
      <c r="B1027" s="5">
        <v>31</v>
      </c>
    </row>
    <row r="1028" spans="1:2" x14ac:dyDescent="0.35">
      <c r="A1028" s="11" t="s">
        <v>11150</v>
      </c>
      <c r="B1028" s="5">
        <v>3</v>
      </c>
    </row>
    <row r="1029" spans="1:2" x14ac:dyDescent="0.35">
      <c r="A1029" s="11" t="s">
        <v>7089</v>
      </c>
      <c r="B1029" s="5">
        <v>1</v>
      </c>
    </row>
    <row r="1030" spans="1:2" x14ac:dyDescent="0.35">
      <c r="A1030" s="11" t="s">
        <v>7589</v>
      </c>
      <c r="B1030" s="5">
        <v>4</v>
      </c>
    </row>
    <row r="1031" spans="1:2" x14ac:dyDescent="0.35">
      <c r="A1031" s="11" t="s">
        <v>1025</v>
      </c>
      <c r="B1031" s="5">
        <v>1</v>
      </c>
    </row>
    <row r="1032" spans="1:2" x14ac:dyDescent="0.35">
      <c r="A1032" s="11" t="s">
        <v>4926</v>
      </c>
      <c r="B1032" s="5">
        <v>3</v>
      </c>
    </row>
    <row r="1033" spans="1:2" x14ac:dyDescent="0.35">
      <c r="A1033" s="11" t="s">
        <v>3351</v>
      </c>
      <c r="B1033" s="5">
        <v>2</v>
      </c>
    </row>
    <row r="1034" spans="1:2" x14ac:dyDescent="0.35">
      <c r="A1034" s="11" t="s">
        <v>9398</v>
      </c>
      <c r="B1034" s="5">
        <v>4</v>
      </c>
    </row>
    <row r="1035" spans="1:2" x14ac:dyDescent="0.35">
      <c r="A1035" s="11" t="s">
        <v>6341</v>
      </c>
      <c r="B1035" s="5">
        <v>1</v>
      </c>
    </row>
    <row r="1036" spans="1:2" x14ac:dyDescent="0.35">
      <c r="A1036" s="11" t="s">
        <v>7364</v>
      </c>
      <c r="B1036" s="5">
        <v>1</v>
      </c>
    </row>
    <row r="1037" spans="1:2" x14ac:dyDescent="0.35">
      <c r="A1037" s="11" t="s">
        <v>2000</v>
      </c>
      <c r="B1037" s="5">
        <v>2</v>
      </c>
    </row>
    <row r="1038" spans="1:2" x14ac:dyDescent="0.35">
      <c r="A1038" s="11" t="s">
        <v>1460</v>
      </c>
      <c r="B1038" s="5">
        <v>9</v>
      </c>
    </row>
    <row r="1039" spans="1:2" x14ac:dyDescent="0.35">
      <c r="A1039" s="11" t="s">
        <v>2233</v>
      </c>
      <c r="B1039" s="5">
        <v>4</v>
      </c>
    </row>
    <row r="1040" spans="1:2" x14ac:dyDescent="0.35">
      <c r="A1040" s="11" t="s">
        <v>3232</v>
      </c>
      <c r="B1040" s="5">
        <v>6</v>
      </c>
    </row>
    <row r="1041" spans="1:2" x14ac:dyDescent="0.35">
      <c r="A1041" s="11" t="s">
        <v>3993</v>
      </c>
      <c r="B1041" s="5">
        <v>11</v>
      </c>
    </row>
    <row r="1042" spans="1:2" x14ac:dyDescent="0.35">
      <c r="A1042" s="11" t="s">
        <v>1274</v>
      </c>
      <c r="B1042" s="5">
        <v>5</v>
      </c>
    </row>
    <row r="1043" spans="1:2" x14ac:dyDescent="0.35">
      <c r="A1043" s="11" t="s">
        <v>891</v>
      </c>
      <c r="B1043" s="5">
        <v>5</v>
      </c>
    </row>
    <row r="1044" spans="1:2" x14ac:dyDescent="0.35">
      <c r="A1044" s="11" t="s">
        <v>7077</v>
      </c>
      <c r="B1044" s="5">
        <v>2</v>
      </c>
    </row>
    <row r="1045" spans="1:2" x14ac:dyDescent="0.35">
      <c r="A1045" s="11" t="s">
        <v>7682</v>
      </c>
      <c r="B1045" s="5">
        <v>8</v>
      </c>
    </row>
    <row r="1046" spans="1:2" x14ac:dyDescent="0.35">
      <c r="A1046" s="11" t="s">
        <v>5238</v>
      </c>
      <c r="B1046" s="5">
        <v>2</v>
      </c>
    </row>
    <row r="1047" spans="1:2" x14ac:dyDescent="0.35">
      <c r="A1047" s="11" t="s">
        <v>9256</v>
      </c>
      <c r="B1047" s="5">
        <v>1</v>
      </c>
    </row>
    <row r="1048" spans="1:2" x14ac:dyDescent="0.35">
      <c r="A1048" s="11" t="s">
        <v>8837</v>
      </c>
      <c r="B1048" s="5">
        <v>5</v>
      </c>
    </row>
    <row r="1049" spans="1:2" x14ac:dyDescent="0.35">
      <c r="A1049" s="11" t="s">
        <v>4469</v>
      </c>
      <c r="B1049" s="5">
        <v>1</v>
      </c>
    </row>
    <row r="1050" spans="1:2" x14ac:dyDescent="0.35">
      <c r="A1050" s="11" t="s">
        <v>1886</v>
      </c>
      <c r="B1050" s="5">
        <v>3</v>
      </c>
    </row>
    <row r="1051" spans="1:2" x14ac:dyDescent="0.35">
      <c r="A1051" s="11" t="s">
        <v>7075</v>
      </c>
      <c r="B1051" s="5">
        <v>1</v>
      </c>
    </row>
    <row r="1052" spans="1:2" x14ac:dyDescent="0.35">
      <c r="A1052" s="11" t="s">
        <v>7636</v>
      </c>
      <c r="B1052" s="5">
        <v>1</v>
      </c>
    </row>
    <row r="1053" spans="1:2" x14ac:dyDescent="0.35">
      <c r="A1053" s="11" t="s">
        <v>4637</v>
      </c>
      <c r="B1053" s="5">
        <v>2</v>
      </c>
    </row>
    <row r="1054" spans="1:2" x14ac:dyDescent="0.35">
      <c r="A1054" s="11" t="s">
        <v>119</v>
      </c>
      <c r="B1054" s="5">
        <v>6</v>
      </c>
    </row>
    <row r="1055" spans="1:2" x14ac:dyDescent="0.35">
      <c r="A1055" s="11" t="s">
        <v>1259</v>
      </c>
      <c r="B1055" s="5">
        <v>1</v>
      </c>
    </row>
    <row r="1056" spans="1:2" x14ac:dyDescent="0.35">
      <c r="A1056" s="11" t="s">
        <v>11454</v>
      </c>
      <c r="B1056" s="5">
        <v>2</v>
      </c>
    </row>
    <row r="1057" spans="1:2" x14ac:dyDescent="0.35">
      <c r="A1057" s="11" t="s">
        <v>9766</v>
      </c>
      <c r="B1057" s="5">
        <v>6</v>
      </c>
    </row>
    <row r="1058" spans="1:2" x14ac:dyDescent="0.35">
      <c r="A1058" s="11" t="s">
        <v>6262</v>
      </c>
      <c r="B1058" s="5">
        <v>2</v>
      </c>
    </row>
    <row r="1059" spans="1:2" x14ac:dyDescent="0.35">
      <c r="A1059" s="11" t="s">
        <v>3186</v>
      </c>
      <c r="B1059" s="5">
        <v>1</v>
      </c>
    </row>
    <row r="1060" spans="1:2" x14ac:dyDescent="0.35">
      <c r="A1060" s="11" t="s">
        <v>1738</v>
      </c>
      <c r="B1060" s="5">
        <v>2</v>
      </c>
    </row>
    <row r="1061" spans="1:2" x14ac:dyDescent="0.35">
      <c r="A1061" s="11" t="s">
        <v>1639</v>
      </c>
      <c r="B1061" s="5">
        <v>4</v>
      </c>
    </row>
    <row r="1062" spans="1:2" x14ac:dyDescent="0.35">
      <c r="A1062" s="11" t="s">
        <v>5985</v>
      </c>
      <c r="B1062" s="5">
        <v>1</v>
      </c>
    </row>
    <row r="1063" spans="1:2" x14ac:dyDescent="0.35">
      <c r="A1063" s="11" t="s">
        <v>10847</v>
      </c>
      <c r="B1063" s="5">
        <v>1</v>
      </c>
    </row>
    <row r="1064" spans="1:2" x14ac:dyDescent="0.35">
      <c r="A1064" s="11" t="s">
        <v>4435</v>
      </c>
      <c r="B1064" s="5">
        <v>6</v>
      </c>
    </row>
    <row r="1065" spans="1:2" x14ac:dyDescent="0.35">
      <c r="A1065" s="11" t="s">
        <v>4126</v>
      </c>
      <c r="B1065" s="5">
        <v>1</v>
      </c>
    </row>
    <row r="1066" spans="1:2" x14ac:dyDescent="0.35">
      <c r="A1066" s="11" t="s">
        <v>416</v>
      </c>
      <c r="B1066" s="5">
        <v>1</v>
      </c>
    </row>
    <row r="1067" spans="1:2" x14ac:dyDescent="0.35">
      <c r="A1067" s="11" t="s">
        <v>5397</v>
      </c>
      <c r="B1067" s="5">
        <v>1</v>
      </c>
    </row>
    <row r="1068" spans="1:2" x14ac:dyDescent="0.35">
      <c r="A1068" s="11" t="s">
        <v>1773</v>
      </c>
      <c r="B1068" s="5">
        <v>7</v>
      </c>
    </row>
    <row r="1069" spans="1:2" x14ac:dyDescent="0.35">
      <c r="A1069" s="11" t="s">
        <v>9886</v>
      </c>
      <c r="B1069" s="5">
        <v>1</v>
      </c>
    </row>
    <row r="1070" spans="1:2" x14ac:dyDescent="0.35">
      <c r="A1070" s="11" t="s">
        <v>4192</v>
      </c>
      <c r="B1070" s="5">
        <v>5</v>
      </c>
    </row>
    <row r="1071" spans="1:2" x14ac:dyDescent="0.35">
      <c r="A1071" s="11" t="s">
        <v>7479</v>
      </c>
      <c r="B1071" s="5">
        <v>1</v>
      </c>
    </row>
    <row r="1072" spans="1:2" x14ac:dyDescent="0.35">
      <c r="A1072" s="11" t="s">
        <v>6788</v>
      </c>
      <c r="B1072" s="5">
        <v>3</v>
      </c>
    </row>
    <row r="1073" spans="1:2" x14ac:dyDescent="0.35">
      <c r="A1073" s="11" t="s">
        <v>9535</v>
      </c>
      <c r="B1073" s="5">
        <v>1</v>
      </c>
    </row>
    <row r="1074" spans="1:2" x14ac:dyDescent="0.35">
      <c r="A1074" s="11" t="s">
        <v>6469</v>
      </c>
      <c r="B1074" s="5">
        <v>5</v>
      </c>
    </row>
    <row r="1075" spans="1:2" x14ac:dyDescent="0.35">
      <c r="A1075" s="11" t="s">
        <v>12892</v>
      </c>
      <c r="B1075" s="5">
        <v>2</v>
      </c>
    </row>
    <row r="1076" spans="1:2" x14ac:dyDescent="0.35">
      <c r="A1076" s="11" t="s">
        <v>625</v>
      </c>
      <c r="B1076" s="5">
        <v>1</v>
      </c>
    </row>
    <row r="1077" spans="1:2" x14ac:dyDescent="0.35">
      <c r="A1077" s="11" t="s">
        <v>9199</v>
      </c>
      <c r="B1077" s="5">
        <v>1</v>
      </c>
    </row>
    <row r="1078" spans="1:2" x14ac:dyDescent="0.35">
      <c r="A1078" s="11" t="s">
        <v>2583</v>
      </c>
      <c r="B1078" s="5">
        <v>1</v>
      </c>
    </row>
    <row r="1079" spans="1:2" x14ac:dyDescent="0.35">
      <c r="A1079" s="11" t="s">
        <v>1592</v>
      </c>
      <c r="B1079" s="5">
        <v>1</v>
      </c>
    </row>
    <row r="1080" spans="1:2" x14ac:dyDescent="0.35">
      <c r="A1080" s="11" t="s">
        <v>997</v>
      </c>
      <c r="B1080" s="5">
        <v>1</v>
      </c>
    </row>
    <row r="1081" spans="1:2" x14ac:dyDescent="0.35">
      <c r="A1081" s="11" t="s">
        <v>6715</v>
      </c>
      <c r="B1081" s="5">
        <v>2</v>
      </c>
    </row>
    <row r="1082" spans="1:2" x14ac:dyDescent="0.35">
      <c r="A1082" s="11" t="s">
        <v>1017</v>
      </c>
      <c r="B1082" s="5">
        <v>2</v>
      </c>
    </row>
    <row r="1083" spans="1:2" x14ac:dyDescent="0.35">
      <c r="A1083" s="11" t="s">
        <v>8714</v>
      </c>
      <c r="B1083" s="5">
        <v>1</v>
      </c>
    </row>
    <row r="1084" spans="1:2" x14ac:dyDescent="0.35">
      <c r="A1084" s="11" t="s">
        <v>2207</v>
      </c>
      <c r="B1084" s="5">
        <v>1</v>
      </c>
    </row>
    <row r="1085" spans="1:2" x14ac:dyDescent="0.35">
      <c r="A1085" s="11" t="s">
        <v>11753</v>
      </c>
      <c r="B1085" s="5">
        <v>3</v>
      </c>
    </row>
    <row r="1086" spans="1:2" x14ac:dyDescent="0.35">
      <c r="A1086" s="11" t="s">
        <v>7581</v>
      </c>
      <c r="B1086" s="5">
        <v>2</v>
      </c>
    </row>
    <row r="1087" spans="1:2" x14ac:dyDescent="0.35">
      <c r="A1087" s="11" t="s">
        <v>10838</v>
      </c>
      <c r="B1087" s="5">
        <v>5</v>
      </c>
    </row>
    <row r="1088" spans="1:2" x14ac:dyDescent="0.35">
      <c r="A1088" s="11" t="s">
        <v>2807</v>
      </c>
      <c r="B1088" s="5">
        <v>1</v>
      </c>
    </row>
    <row r="1089" spans="1:2" x14ac:dyDescent="0.35">
      <c r="A1089" s="11" t="s">
        <v>462</v>
      </c>
      <c r="B1089" s="5">
        <v>28</v>
      </c>
    </row>
    <row r="1090" spans="1:2" x14ac:dyDescent="0.35">
      <c r="A1090" s="11" t="s">
        <v>9674</v>
      </c>
      <c r="B1090" s="5">
        <v>1</v>
      </c>
    </row>
    <row r="1091" spans="1:2" x14ac:dyDescent="0.35">
      <c r="A1091" s="11" t="s">
        <v>7092</v>
      </c>
      <c r="B1091" s="5">
        <v>1</v>
      </c>
    </row>
    <row r="1092" spans="1:2" x14ac:dyDescent="0.35">
      <c r="A1092" s="11" t="s">
        <v>1148</v>
      </c>
      <c r="B1092" s="5">
        <v>3</v>
      </c>
    </row>
    <row r="1093" spans="1:2" x14ac:dyDescent="0.35">
      <c r="A1093" s="11" t="s">
        <v>9288</v>
      </c>
      <c r="B1093" s="5">
        <v>2</v>
      </c>
    </row>
    <row r="1094" spans="1:2" x14ac:dyDescent="0.35">
      <c r="A1094" s="11" t="s">
        <v>5228</v>
      </c>
      <c r="B1094" s="5">
        <v>15</v>
      </c>
    </row>
    <row r="1095" spans="1:2" x14ac:dyDescent="0.35">
      <c r="A1095" s="11" t="s">
        <v>13005</v>
      </c>
      <c r="B1095" s="5">
        <v>2</v>
      </c>
    </row>
    <row r="1096" spans="1:2" x14ac:dyDescent="0.35">
      <c r="A1096" s="11" t="s">
        <v>3650</v>
      </c>
      <c r="B1096" s="5">
        <v>1</v>
      </c>
    </row>
    <row r="1097" spans="1:2" x14ac:dyDescent="0.35">
      <c r="A1097" s="11" t="s">
        <v>2994</v>
      </c>
      <c r="B1097" s="5">
        <v>1</v>
      </c>
    </row>
    <row r="1098" spans="1:2" x14ac:dyDescent="0.35">
      <c r="A1098" s="11" t="s">
        <v>4117</v>
      </c>
      <c r="B1098" s="5">
        <v>4</v>
      </c>
    </row>
    <row r="1099" spans="1:2" x14ac:dyDescent="0.35">
      <c r="A1099" s="11" t="s">
        <v>1344</v>
      </c>
      <c r="B1099" s="5">
        <v>2</v>
      </c>
    </row>
    <row r="1100" spans="1:2" x14ac:dyDescent="0.35">
      <c r="A1100" s="11" t="s">
        <v>2438</v>
      </c>
      <c r="B1100" s="5">
        <v>9</v>
      </c>
    </row>
    <row r="1101" spans="1:2" x14ac:dyDescent="0.35">
      <c r="A1101" s="11" t="s">
        <v>10833</v>
      </c>
      <c r="B1101" s="5">
        <v>1</v>
      </c>
    </row>
    <row r="1102" spans="1:2" x14ac:dyDescent="0.35">
      <c r="A1102" s="11" t="s">
        <v>9036</v>
      </c>
      <c r="B1102" s="5">
        <v>2</v>
      </c>
    </row>
    <row r="1103" spans="1:2" x14ac:dyDescent="0.35">
      <c r="A1103" s="11" t="s">
        <v>5988</v>
      </c>
      <c r="B1103" s="5">
        <v>1</v>
      </c>
    </row>
    <row r="1104" spans="1:2" x14ac:dyDescent="0.35">
      <c r="A1104" s="11" t="s">
        <v>969</v>
      </c>
      <c r="B1104" s="5">
        <v>1</v>
      </c>
    </row>
    <row r="1105" spans="1:2" x14ac:dyDescent="0.35">
      <c r="A1105" s="11" t="s">
        <v>218</v>
      </c>
      <c r="B1105" s="5">
        <v>1</v>
      </c>
    </row>
    <row r="1106" spans="1:2" x14ac:dyDescent="0.35">
      <c r="A1106" s="11" t="s">
        <v>9828</v>
      </c>
      <c r="B1106" s="5">
        <v>1</v>
      </c>
    </row>
    <row r="1107" spans="1:2" x14ac:dyDescent="0.35">
      <c r="A1107" s="11" t="s">
        <v>9125</v>
      </c>
      <c r="B1107" s="5">
        <v>1</v>
      </c>
    </row>
    <row r="1108" spans="1:2" x14ac:dyDescent="0.35">
      <c r="A1108" s="11" t="s">
        <v>10437</v>
      </c>
      <c r="B1108" s="5">
        <v>1</v>
      </c>
    </row>
    <row r="1109" spans="1:2" x14ac:dyDescent="0.35">
      <c r="A1109" s="11" t="s">
        <v>6239</v>
      </c>
      <c r="B1109" s="5">
        <v>1</v>
      </c>
    </row>
    <row r="1110" spans="1:2" x14ac:dyDescent="0.35">
      <c r="A1110" s="11" t="s">
        <v>5872</v>
      </c>
      <c r="B1110" s="5">
        <v>8</v>
      </c>
    </row>
    <row r="1111" spans="1:2" x14ac:dyDescent="0.35">
      <c r="A1111" s="11" t="s">
        <v>8180</v>
      </c>
      <c r="B1111" s="5">
        <v>2</v>
      </c>
    </row>
    <row r="1112" spans="1:2" x14ac:dyDescent="0.35">
      <c r="A1112" s="11" t="s">
        <v>4152</v>
      </c>
      <c r="B1112" s="5">
        <v>7</v>
      </c>
    </row>
    <row r="1113" spans="1:2" x14ac:dyDescent="0.35">
      <c r="A1113" s="11" t="s">
        <v>8449</v>
      </c>
      <c r="B1113" s="5">
        <v>1</v>
      </c>
    </row>
    <row r="1114" spans="1:2" x14ac:dyDescent="0.35">
      <c r="A1114" s="11" t="s">
        <v>7096</v>
      </c>
      <c r="B1114" s="5">
        <v>1</v>
      </c>
    </row>
    <row r="1115" spans="1:2" x14ac:dyDescent="0.35">
      <c r="A1115" s="11" t="s">
        <v>10606</v>
      </c>
      <c r="B1115" s="5">
        <v>3</v>
      </c>
    </row>
    <row r="1116" spans="1:2" x14ac:dyDescent="0.35">
      <c r="A1116" s="11" t="s">
        <v>8357</v>
      </c>
      <c r="B1116" s="5">
        <v>3</v>
      </c>
    </row>
    <row r="1117" spans="1:2" x14ac:dyDescent="0.35">
      <c r="A1117" s="11" t="s">
        <v>3564</v>
      </c>
      <c r="B1117" s="5">
        <v>1</v>
      </c>
    </row>
    <row r="1118" spans="1:2" x14ac:dyDescent="0.35">
      <c r="A1118" s="11" t="s">
        <v>6904</v>
      </c>
      <c r="B1118" s="5">
        <v>1</v>
      </c>
    </row>
    <row r="1119" spans="1:2" x14ac:dyDescent="0.35">
      <c r="A1119" s="11" t="s">
        <v>7098</v>
      </c>
      <c r="B1119" s="5">
        <v>1</v>
      </c>
    </row>
    <row r="1120" spans="1:2" x14ac:dyDescent="0.35">
      <c r="A1120" s="11" t="s">
        <v>2692</v>
      </c>
      <c r="B1120" s="5">
        <v>2</v>
      </c>
    </row>
    <row r="1121" spans="1:2" x14ac:dyDescent="0.35">
      <c r="A1121" s="11" t="s">
        <v>10617</v>
      </c>
      <c r="B1121" s="5">
        <v>3</v>
      </c>
    </row>
    <row r="1122" spans="1:2" x14ac:dyDescent="0.35">
      <c r="A1122" s="11" t="s">
        <v>10615</v>
      </c>
      <c r="B1122" s="5">
        <v>1</v>
      </c>
    </row>
    <row r="1123" spans="1:2" x14ac:dyDescent="0.35">
      <c r="A1123" s="11" t="s">
        <v>7086</v>
      </c>
      <c r="B1123" s="5">
        <v>1</v>
      </c>
    </row>
    <row r="1124" spans="1:2" x14ac:dyDescent="0.35">
      <c r="A1124" s="11" t="s">
        <v>9904</v>
      </c>
      <c r="B1124" s="5">
        <v>4</v>
      </c>
    </row>
    <row r="1125" spans="1:2" x14ac:dyDescent="0.35">
      <c r="A1125" s="11" t="s">
        <v>1746</v>
      </c>
      <c r="B1125" s="5">
        <v>1</v>
      </c>
    </row>
    <row r="1126" spans="1:2" x14ac:dyDescent="0.35">
      <c r="A1126" s="11" t="s">
        <v>2410</v>
      </c>
      <c r="B1126" s="5">
        <v>5</v>
      </c>
    </row>
    <row r="1127" spans="1:2" x14ac:dyDescent="0.35">
      <c r="A1127" s="11" t="s">
        <v>5664</v>
      </c>
      <c r="B1127" s="5">
        <v>2</v>
      </c>
    </row>
    <row r="1128" spans="1:2" x14ac:dyDescent="0.35">
      <c r="A1128" s="11" t="s">
        <v>491</v>
      </c>
      <c r="B1128" s="5">
        <v>8</v>
      </c>
    </row>
    <row r="1129" spans="1:2" x14ac:dyDescent="0.35">
      <c r="A1129" s="11" t="s">
        <v>7585</v>
      </c>
      <c r="B1129" s="5">
        <v>4</v>
      </c>
    </row>
    <row r="1130" spans="1:2" x14ac:dyDescent="0.35">
      <c r="A1130" s="11" t="s">
        <v>2640</v>
      </c>
      <c r="B1130" s="5">
        <v>4</v>
      </c>
    </row>
    <row r="1131" spans="1:2" x14ac:dyDescent="0.35">
      <c r="A1131" s="11" t="s">
        <v>3067</v>
      </c>
      <c r="B1131" s="5">
        <v>1</v>
      </c>
    </row>
    <row r="1132" spans="1:2" x14ac:dyDescent="0.35">
      <c r="A1132" s="11" t="s">
        <v>3781</v>
      </c>
      <c r="B1132" s="5">
        <v>1</v>
      </c>
    </row>
    <row r="1133" spans="1:2" x14ac:dyDescent="0.35">
      <c r="A1133" s="11" t="s">
        <v>8301</v>
      </c>
      <c r="B1133" s="5">
        <v>1</v>
      </c>
    </row>
    <row r="1134" spans="1:2" x14ac:dyDescent="0.35">
      <c r="A1134" s="11" t="s">
        <v>3064</v>
      </c>
      <c r="B1134" s="5">
        <v>1</v>
      </c>
    </row>
    <row r="1135" spans="1:2" x14ac:dyDescent="0.35">
      <c r="A1135" s="11" t="s">
        <v>2200</v>
      </c>
      <c r="B1135" s="5">
        <v>8</v>
      </c>
    </row>
    <row r="1136" spans="1:2" x14ac:dyDescent="0.35">
      <c r="A1136" s="11" t="s">
        <v>2572</v>
      </c>
      <c r="B1136" s="5">
        <v>2</v>
      </c>
    </row>
    <row r="1137" spans="1:2" x14ac:dyDescent="0.35">
      <c r="A1137" s="11" t="s">
        <v>2571</v>
      </c>
      <c r="B1137" s="5">
        <v>2</v>
      </c>
    </row>
    <row r="1138" spans="1:2" x14ac:dyDescent="0.35">
      <c r="A1138" s="11" t="s">
        <v>6916</v>
      </c>
      <c r="B1138" s="5">
        <v>1</v>
      </c>
    </row>
    <row r="1139" spans="1:2" x14ac:dyDescent="0.35">
      <c r="A1139" s="11" t="s">
        <v>5595</v>
      </c>
      <c r="B1139" s="5">
        <v>3</v>
      </c>
    </row>
    <row r="1140" spans="1:2" x14ac:dyDescent="0.35">
      <c r="A1140" s="11" t="s">
        <v>4594</v>
      </c>
      <c r="B1140" s="5">
        <v>1</v>
      </c>
    </row>
    <row r="1141" spans="1:2" x14ac:dyDescent="0.35">
      <c r="A1141" s="11" t="s">
        <v>10926</v>
      </c>
      <c r="B1141" s="5">
        <v>1</v>
      </c>
    </row>
    <row r="1142" spans="1:2" x14ac:dyDescent="0.35">
      <c r="A1142" s="11" t="s">
        <v>9235</v>
      </c>
      <c r="B1142" s="5">
        <v>3</v>
      </c>
    </row>
    <row r="1143" spans="1:2" x14ac:dyDescent="0.35">
      <c r="A1143" s="11" t="s">
        <v>11369</v>
      </c>
      <c r="B1143" s="5">
        <v>2</v>
      </c>
    </row>
    <row r="1144" spans="1:2" x14ac:dyDescent="0.35">
      <c r="A1144" s="11" t="s">
        <v>10673</v>
      </c>
      <c r="B1144" s="5">
        <v>1</v>
      </c>
    </row>
    <row r="1145" spans="1:2" x14ac:dyDescent="0.35">
      <c r="A1145" s="11" t="s">
        <v>10623</v>
      </c>
      <c r="B1145" s="5">
        <v>2</v>
      </c>
    </row>
    <row r="1146" spans="1:2" x14ac:dyDescent="0.35">
      <c r="A1146" s="11" t="s">
        <v>4770</v>
      </c>
      <c r="B1146" s="5">
        <v>1</v>
      </c>
    </row>
    <row r="1147" spans="1:2" x14ac:dyDescent="0.35">
      <c r="A1147" s="11" t="s">
        <v>3268</v>
      </c>
      <c r="B1147" s="5">
        <v>1</v>
      </c>
    </row>
    <row r="1148" spans="1:2" x14ac:dyDescent="0.35">
      <c r="A1148" s="11" t="s">
        <v>4138</v>
      </c>
      <c r="B1148" s="5">
        <v>1</v>
      </c>
    </row>
    <row r="1149" spans="1:2" x14ac:dyDescent="0.35">
      <c r="A1149" s="11" t="s">
        <v>5883</v>
      </c>
      <c r="B1149" s="5">
        <v>1</v>
      </c>
    </row>
    <row r="1150" spans="1:2" x14ac:dyDescent="0.35">
      <c r="A1150" s="11" t="s">
        <v>796</v>
      </c>
      <c r="B1150" s="5">
        <v>3</v>
      </c>
    </row>
    <row r="1151" spans="1:2" x14ac:dyDescent="0.35">
      <c r="A1151" s="11" t="s">
        <v>472</v>
      </c>
      <c r="B1151" s="5">
        <v>4</v>
      </c>
    </row>
    <row r="1152" spans="1:2" x14ac:dyDescent="0.35">
      <c r="A1152" s="11" t="s">
        <v>1182</v>
      </c>
      <c r="B1152" s="5">
        <v>19</v>
      </c>
    </row>
    <row r="1153" spans="1:2" x14ac:dyDescent="0.35">
      <c r="A1153" s="11" t="s">
        <v>497</v>
      </c>
      <c r="B1153" s="5">
        <v>49</v>
      </c>
    </row>
    <row r="1154" spans="1:2" x14ac:dyDescent="0.35">
      <c r="A1154" s="11" t="s">
        <v>1180</v>
      </c>
      <c r="B1154" s="5">
        <v>2</v>
      </c>
    </row>
    <row r="1155" spans="1:2" x14ac:dyDescent="0.35">
      <c r="A1155" s="11" t="s">
        <v>1177</v>
      </c>
      <c r="B1155" s="5">
        <v>6</v>
      </c>
    </row>
    <row r="1156" spans="1:2" x14ac:dyDescent="0.35">
      <c r="A1156" s="11" t="s">
        <v>1178</v>
      </c>
      <c r="B1156" s="5">
        <v>3</v>
      </c>
    </row>
    <row r="1157" spans="1:2" x14ac:dyDescent="0.35">
      <c r="A1157" s="12" t="s">
        <v>125</v>
      </c>
      <c r="B1157" s="13">
        <v>59</v>
      </c>
    </row>
    <row r="1158" spans="1:2" x14ac:dyDescent="0.35">
      <c r="A1158" s="11" t="s">
        <v>12277</v>
      </c>
      <c r="B1158" s="5">
        <v>1</v>
      </c>
    </row>
    <row r="1159" spans="1:2" x14ac:dyDescent="0.35">
      <c r="A1159" s="11" t="s">
        <v>11289</v>
      </c>
      <c r="B1159" s="5">
        <v>2</v>
      </c>
    </row>
    <row r="1160" spans="1:2" x14ac:dyDescent="0.35">
      <c r="A1160" s="11" t="s">
        <v>12523</v>
      </c>
      <c r="B1160" s="5">
        <v>1</v>
      </c>
    </row>
    <row r="1161" spans="1:2" x14ac:dyDescent="0.35">
      <c r="A1161" s="11" t="s">
        <v>840</v>
      </c>
      <c r="B1161" s="5">
        <v>1</v>
      </c>
    </row>
    <row r="1162" spans="1:2" x14ac:dyDescent="0.35">
      <c r="A1162" s="11" t="s">
        <v>9459</v>
      </c>
      <c r="B1162" s="5">
        <v>1</v>
      </c>
    </row>
    <row r="1163" spans="1:2" x14ac:dyDescent="0.35">
      <c r="A1163" s="11" t="s">
        <v>12415</v>
      </c>
      <c r="B1163" s="5">
        <v>1</v>
      </c>
    </row>
    <row r="1164" spans="1:2" x14ac:dyDescent="0.35">
      <c r="A1164" s="11" t="s">
        <v>9602</v>
      </c>
      <c r="B1164" s="5">
        <v>1</v>
      </c>
    </row>
    <row r="1165" spans="1:2" x14ac:dyDescent="0.35">
      <c r="A1165" s="11" t="s">
        <v>7364</v>
      </c>
      <c r="B1165" s="5">
        <v>1</v>
      </c>
    </row>
    <row r="1166" spans="1:2" x14ac:dyDescent="0.35">
      <c r="A1166" s="11" t="s">
        <v>572</v>
      </c>
      <c r="B1166" s="5">
        <v>2</v>
      </c>
    </row>
    <row r="1167" spans="1:2" x14ac:dyDescent="0.35">
      <c r="A1167" s="11" t="s">
        <v>720</v>
      </c>
      <c r="B1167" s="5">
        <v>1</v>
      </c>
    </row>
    <row r="1168" spans="1:2" x14ac:dyDescent="0.35">
      <c r="A1168" s="11" t="s">
        <v>9979</v>
      </c>
      <c r="B1168" s="5">
        <v>1</v>
      </c>
    </row>
    <row r="1169" spans="1:2" x14ac:dyDescent="0.35">
      <c r="A1169" s="11" t="s">
        <v>8830</v>
      </c>
      <c r="B1169" s="5">
        <v>10</v>
      </c>
    </row>
    <row r="1170" spans="1:2" x14ac:dyDescent="0.35">
      <c r="A1170" s="11" t="s">
        <v>111</v>
      </c>
      <c r="B1170" s="5">
        <v>3</v>
      </c>
    </row>
    <row r="1171" spans="1:2" x14ac:dyDescent="0.35">
      <c r="A1171" s="11" t="s">
        <v>5228</v>
      </c>
      <c r="B1171" s="5">
        <v>1</v>
      </c>
    </row>
    <row r="1172" spans="1:2" x14ac:dyDescent="0.35">
      <c r="A1172" s="11" t="s">
        <v>11439</v>
      </c>
      <c r="B1172" s="5">
        <v>1</v>
      </c>
    </row>
    <row r="1173" spans="1:2" x14ac:dyDescent="0.35">
      <c r="A1173" s="11" t="s">
        <v>3070</v>
      </c>
      <c r="B1173" s="5">
        <v>3</v>
      </c>
    </row>
    <row r="1174" spans="1:2" x14ac:dyDescent="0.35">
      <c r="A1174" s="11" t="s">
        <v>12755</v>
      </c>
      <c r="B1174" s="5">
        <v>1</v>
      </c>
    </row>
    <row r="1175" spans="1:2" x14ac:dyDescent="0.35">
      <c r="A1175" s="11" t="s">
        <v>3495</v>
      </c>
      <c r="B1175" s="5">
        <v>2</v>
      </c>
    </row>
    <row r="1176" spans="1:2" x14ac:dyDescent="0.35">
      <c r="A1176" s="11" t="s">
        <v>9251</v>
      </c>
      <c r="B1176" s="5">
        <v>8</v>
      </c>
    </row>
    <row r="1177" spans="1:2" x14ac:dyDescent="0.35">
      <c r="A1177" s="11" t="s">
        <v>510</v>
      </c>
      <c r="B1177" s="5">
        <v>1</v>
      </c>
    </row>
    <row r="1178" spans="1:2" x14ac:dyDescent="0.35">
      <c r="A1178" s="11" t="s">
        <v>2262</v>
      </c>
      <c r="B1178" s="5">
        <v>10</v>
      </c>
    </row>
    <row r="1179" spans="1:2" x14ac:dyDescent="0.35">
      <c r="A1179" s="11" t="s">
        <v>771</v>
      </c>
      <c r="B1179" s="5">
        <v>1</v>
      </c>
    </row>
    <row r="1180" spans="1:2" x14ac:dyDescent="0.35">
      <c r="A1180" s="11" t="s">
        <v>205</v>
      </c>
      <c r="B1180" s="5">
        <v>1</v>
      </c>
    </row>
    <row r="1181" spans="1:2" x14ac:dyDescent="0.35">
      <c r="A1181" s="11" t="s">
        <v>982</v>
      </c>
      <c r="B1181" s="5">
        <v>2</v>
      </c>
    </row>
    <row r="1182" spans="1:2" x14ac:dyDescent="0.35">
      <c r="A1182" s="11" t="s">
        <v>782</v>
      </c>
      <c r="B1182" s="5">
        <v>2</v>
      </c>
    </row>
    <row r="1183" spans="1:2" x14ac:dyDescent="0.35">
      <c r="A1183" s="12" t="s">
        <v>597</v>
      </c>
      <c r="B1183" s="13">
        <v>89</v>
      </c>
    </row>
    <row r="1184" spans="1:2" x14ac:dyDescent="0.35">
      <c r="A1184" s="11" t="s">
        <v>2023</v>
      </c>
      <c r="B1184" s="5">
        <v>2</v>
      </c>
    </row>
    <row r="1185" spans="1:2" x14ac:dyDescent="0.35">
      <c r="A1185" s="11" t="s">
        <v>6985</v>
      </c>
      <c r="B1185" s="5">
        <v>1</v>
      </c>
    </row>
    <row r="1186" spans="1:2" x14ac:dyDescent="0.35">
      <c r="A1186" s="11" t="s">
        <v>4289</v>
      </c>
      <c r="B1186" s="5">
        <v>1</v>
      </c>
    </row>
    <row r="1187" spans="1:2" x14ac:dyDescent="0.35">
      <c r="A1187" s="11" t="s">
        <v>7058</v>
      </c>
      <c r="B1187" s="5">
        <v>8</v>
      </c>
    </row>
    <row r="1188" spans="1:2" x14ac:dyDescent="0.35">
      <c r="A1188" s="11" t="s">
        <v>111</v>
      </c>
      <c r="B1188" s="5">
        <v>69</v>
      </c>
    </row>
    <row r="1189" spans="1:2" x14ac:dyDescent="0.35">
      <c r="A1189" s="11" t="s">
        <v>6458</v>
      </c>
      <c r="B1189" s="5">
        <v>1</v>
      </c>
    </row>
    <row r="1190" spans="1:2" x14ac:dyDescent="0.35">
      <c r="A1190" s="11" t="s">
        <v>3602</v>
      </c>
      <c r="B1190" s="5">
        <v>2</v>
      </c>
    </row>
    <row r="1191" spans="1:2" x14ac:dyDescent="0.35">
      <c r="A1191" s="11" t="s">
        <v>2649</v>
      </c>
      <c r="B1191" s="5">
        <v>4</v>
      </c>
    </row>
    <row r="1192" spans="1:2" x14ac:dyDescent="0.35">
      <c r="A1192" s="11" t="s">
        <v>205</v>
      </c>
      <c r="B1192" s="5">
        <v>1</v>
      </c>
    </row>
    <row r="1193" spans="1:2" x14ac:dyDescent="0.35">
      <c r="A1193" s="12" t="s">
        <v>261</v>
      </c>
      <c r="B1193" s="13">
        <v>252</v>
      </c>
    </row>
    <row r="1194" spans="1:2" x14ac:dyDescent="0.35">
      <c r="A1194" s="11" t="s">
        <v>3179</v>
      </c>
      <c r="B1194" s="5">
        <v>8</v>
      </c>
    </row>
    <row r="1195" spans="1:2" x14ac:dyDescent="0.35">
      <c r="A1195" s="11" t="s">
        <v>3175</v>
      </c>
      <c r="B1195" s="5">
        <v>2</v>
      </c>
    </row>
    <row r="1196" spans="1:2" x14ac:dyDescent="0.35">
      <c r="A1196" s="11" t="s">
        <v>3839</v>
      </c>
      <c r="B1196" s="5">
        <v>1</v>
      </c>
    </row>
    <row r="1197" spans="1:2" x14ac:dyDescent="0.35">
      <c r="A1197" s="11" t="s">
        <v>3762</v>
      </c>
      <c r="B1197" s="5">
        <v>2</v>
      </c>
    </row>
    <row r="1198" spans="1:2" x14ac:dyDescent="0.35">
      <c r="A1198" s="11" t="s">
        <v>3875</v>
      </c>
      <c r="B1198" s="5">
        <v>4</v>
      </c>
    </row>
    <row r="1199" spans="1:2" x14ac:dyDescent="0.35">
      <c r="A1199" s="11" t="s">
        <v>52</v>
      </c>
      <c r="B1199" s="5">
        <v>1</v>
      </c>
    </row>
    <row r="1200" spans="1:2" x14ac:dyDescent="0.35">
      <c r="A1200" s="11" t="s">
        <v>1510</v>
      </c>
      <c r="B1200" s="5">
        <v>1</v>
      </c>
    </row>
    <row r="1201" spans="1:2" x14ac:dyDescent="0.35">
      <c r="A1201" s="11" t="s">
        <v>7340</v>
      </c>
      <c r="B1201" s="5">
        <v>1</v>
      </c>
    </row>
    <row r="1202" spans="1:2" x14ac:dyDescent="0.35">
      <c r="A1202" s="11" t="s">
        <v>3484</v>
      </c>
      <c r="B1202" s="5">
        <v>3</v>
      </c>
    </row>
    <row r="1203" spans="1:2" x14ac:dyDescent="0.35">
      <c r="A1203" s="11" t="s">
        <v>10378</v>
      </c>
      <c r="B1203" s="5">
        <v>1</v>
      </c>
    </row>
    <row r="1204" spans="1:2" x14ac:dyDescent="0.35">
      <c r="A1204" s="11" t="s">
        <v>7826</v>
      </c>
      <c r="B1204" s="5">
        <v>3</v>
      </c>
    </row>
    <row r="1205" spans="1:2" x14ac:dyDescent="0.35">
      <c r="A1205" s="11" t="s">
        <v>3885</v>
      </c>
      <c r="B1205" s="5">
        <v>10</v>
      </c>
    </row>
    <row r="1206" spans="1:2" x14ac:dyDescent="0.35">
      <c r="A1206" s="11" t="s">
        <v>2943</v>
      </c>
      <c r="B1206" s="5">
        <v>1</v>
      </c>
    </row>
    <row r="1207" spans="1:2" x14ac:dyDescent="0.35">
      <c r="A1207" s="11" t="s">
        <v>8100</v>
      </c>
      <c r="B1207" s="5">
        <v>2</v>
      </c>
    </row>
    <row r="1208" spans="1:2" x14ac:dyDescent="0.35">
      <c r="A1208" s="11" t="s">
        <v>2733</v>
      </c>
      <c r="B1208" s="5">
        <v>1</v>
      </c>
    </row>
    <row r="1209" spans="1:2" x14ac:dyDescent="0.35">
      <c r="A1209" s="11" t="s">
        <v>1547</v>
      </c>
      <c r="B1209" s="5">
        <v>6</v>
      </c>
    </row>
    <row r="1210" spans="1:2" x14ac:dyDescent="0.35">
      <c r="A1210" s="11" t="s">
        <v>8187</v>
      </c>
      <c r="B1210" s="5">
        <v>1</v>
      </c>
    </row>
    <row r="1211" spans="1:2" x14ac:dyDescent="0.35">
      <c r="A1211" s="11" t="s">
        <v>3244</v>
      </c>
      <c r="B1211" s="5">
        <v>1</v>
      </c>
    </row>
    <row r="1212" spans="1:2" x14ac:dyDescent="0.35">
      <c r="A1212" s="11" t="s">
        <v>3479</v>
      </c>
      <c r="B1212" s="5">
        <v>4</v>
      </c>
    </row>
    <row r="1213" spans="1:2" x14ac:dyDescent="0.35">
      <c r="A1213" s="11" t="s">
        <v>6994</v>
      </c>
      <c r="B1213" s="5">
        <v>3</v>
      </c>
    </row>
    <row r="1214" spans="1:2" x14ac:dyDescent="0.35">
      <c r="A1214" s="11" t="s">
        <v>1477</v>
      </c>
      <c r="B1214" s="5">
        <v>4</v>
      </c>
    </row>
    <row r="1215" spans="1:2" x14ac:dyDescent="0.35">
      <c r="A1215" s="11" t="s">
        <v>8520</v>
      </c>
      <c r="B1215" s="5">
        <v>10</v>
      </c>
    </row>
    <row r="1216" spans="1:2" x14ac:dyDescent="0.35">
      <c r="A1216" s="11" t="s">
        <v>4618</v>
      </c>
      <c r="B1216" s="5">
        <v>1</v>
      </c>
    </row>
    <row r="1217" spans="1:2" x14ac:dyDescent="0.35">
      <c r="A1217" s="11" t="s">
        <v>4661</v>
      </c>
      <c r="B1217" s="5">
        <v>1</v>
      </c>
    </row>
    <row r="1218" spans="1:2" x14ac:dyDescent="0.35">
      <c r="A1218" s="11" t="s">
        <v>8789</v>
      </c>
      <c r="B1218" s="5">
        <v>2</v>
      </c>
    </row>
    <row r="1219" spans="1:2" x14ac:dyDescent="0.35">
      <c r="A1219" s="11" t="s">
        <v>6533</v>
      </c>
      <c r="B1219" s="5">
        <v>4</v>
      </c>
    </row>
    <row r="1220" spans="1:2" x14ac:dyDescent="0.35">
      <c r="A1220" s="11" t="s">
        <v>4954</v>
      </c>
      <c r="B1220" s="5">
        <v>2</v>
      </c>
    </row>
    <row r="1221" spans="1:2" x14ac:dyDescent="0.35">
      <c r="A1221" s="11" t="s">
        <v>4959</v>
      </c>
      <c r="B1221" s="5">
        <v>3</v>
      </c>
    </row>
    <row r="1222" spans="1:2" x14ac:dyDescent="0.35">
      <c r="A1222" s="11" t="s">
        <v>2968</v>
      </c>
      <c r="B1222" s="5">
        <v>1</v>
      </c>
    </row>
    <row r="1223" spans="1:2" x14ac:dyDescent="0.35">
      <c r="A1223" s="11" t="s">
        <v>10815</v>
      </c>
      <c r="B1223" s="5">
        <v>1</v>
      </c>
    </row>
    <row r="1224" spans="1:2" x14ac:dyDescent="0.35">
      <c r="A1224" s="11" t="s">
        <v>8219</v>
      </c>
      <c r="B1224" s="5">
        <v>1</v>
      </c>
    </row>
    <row r="1225" spans="1:2" x14ac:dyDescent="0.35">
      <c r="A1225" s="11" t="s">
        <v>3777</v>
      </c>
      <c r="B1225" s="5">
        <v>1</v>
      </c>
    </row>
    <row r="1226" spans="1:2" x14ac:dyDescent="0.35">
      <c r="A1226" s="11" t="s">
        <v>3750</v>
      </c>
      <c r="B1226" s="5">
        <v>2</v>
      </c>
    </row>
    <row r="1227" spans="1:2" x14ac:dyDescent="0.35">
      <c r="A1227" s="11" t="s">
        <v>5574</v>
      </c>
      <c r="B1227" s="5">
        <v>6</v>
      </c>
    </row>
    <row r="1228" spans="1:2" x14ac:dyDescent="0.35">
      <c r="A1228" s="11" t="s">
        <v>3949</v>
      </c>
      <c r="B1228" s="5">
        <v>1</v>
      </c>
    </row>
    <row r="1229" spans="1:2" x14ac:dyDescent="0.35">
      <c r="A1229" s="11" t="s">
        <v>4380</v>
      </c>
      <c r="B1229" s="5">
        <v>1</v>
      </c>
    </row>
    <row r="1230" spans="1:2" x14ac:dyDescent="0.35">
      <c r="A1230" s="11" t="s">
        <v>8057</v>
      </c>
      <c r="B1230" s="5">
        <v>3</v>
      </c>
    </row>
    <row r="1231" spans="1:2" x14ac:dyDescent="0.35">
      <c r="A1231" s="11" t="s">
        <v>1633</v>
      </c>
      <c r="B1231" s="5">
        <v>1</v>
      </c>
    </row>
    <row r="1232" spans="1:2" x14ac:dyDescent="0.35">
      <c r="A1232" s="11" t="s">
        <v>7650</v>
      </c>
      <c r="B1232" s="5">
        <v>2</v>
      </c>
    </row>
    <row r="1233" spans="1:2" x14ac:dyDescent="0.35">
      <c r="A1233" s="11" t="s">
        <v>3308</v>
      </c>
      <c r="B1233" s="5">
        <v>1</v>
      </c>
    </row>
    <row r="1234" spans="1:2" x14ac:dyDescent="0.35">
      <c r="A1234" s="11" t="s">
        <v>10745</v>
      </c>
      <c r="B1234" s="5">
        <v>1</v>
      </c>
    </row>
    <row r="1235" spans="1:2" x14ac:dyDescent="0.35">
      <c r="A1235" s="11" t="s">
        <v>7947</v>
      </c>
      <c r="B1235" s="5">
        <v>2</v>
      </c>
    </row>
    <row r="1236" spans="1:2" x14ac:dyDescent="0.35">
      <c r="A1236" s="11" t="s">
        <v>3023</v>
      </c>
      <c r="B1236" s="5">
        <v>1</v>
      </c>
    </row>
    <row r="1237" spans="1:2" x14ac:dyDescent="0.35">
      <c r="A1237" s="11" t="s">
        <v>12036</v>
      </c>
      <c r="B1237" s="5">
        <v>1</v>
      </c>
    </row>
    <row r="1238" spans="1:2" x14ac:dyDescent="0.35">
      <c r="A1238" s="11" t="s">
        <v>1639</v>
      </c>
      <c r="B1238" s="5">
        <v>5</v>
      </c>
    </row>
    <row r="1239" spans="1:2" x14ac:dyDescent="0.35">
      <c r="A1239" s="11" t="s">
        <v>6616</v>
      </c>
      <c r="B1239" s="5">
        <v>1</v>
      </c>
    </row>
    <row r="1240" spans="1:2" x14ac:dyDescent="0.35">
      <c r="A1240" s="11" t="s">
        <v>223</v>
      </c>
      <c r="B1240" s="5">
        <v>4</v>
      </c>
    </row>
    <row r="1241" spans="1:2" x14ac:dyDescent="0.35">
      <c r="A1241" s="11" t="s">
        <v>6069</v>
      </c>
      <c r="B1241" s="5">
        <v>6</v>
      </c>
    </row>
    <row r="1242" spans="1:2" x14ac:dyDescent="0.35">
      <c r="A1242" s="11" t="s">
        <v>304</v>
      </c>
      <c r="B1242" s="5">
        <v>2</v>
      </c>
    </row>
    <row r="1243" spans="1:2" x14ac:dyDescent="0.35">
      <c r="A1243" s="11" t="s">
        <v>1752</v>
      </c>
      <c r="B1243" s="5">
        <v>1</v>
      </c>
    </row>
    <row r="1244" spans="1:2" x14ac:dyDescent="0.35">
      <c r="A1244" s="11" t="s">
        <v>749</v>
      </c>
      <c r="B1244" s="5">
        <v>4</v>
      </c>
    </row>
    <row r="1245" spans="1:2" x14ac:dyDescent="0.35">
      <c r="A1245" s="11" t="s">
        <v>8293</v>
      </c>
      <c r="B1245" s="5">
        <v>1</v>
      </c>
    </row>
    <row r="1246" spans="1:2" x14ac:dyDescent="0.35">
      <c r="A1246" s="11" t="s">
        <v>3167</v>
      </c>
      <c r="B1246" s="5">
        <v>1</v>
      </c>
    </row>
    <row r="1247" spans="1:2" x14ac:dyDescent="0.35">
      <c r="A1247" s="11" t="s">
        <v>5531</v>
      </c>
      <c r="B1247" s="5">
        <v>1</v>
      </c>
    </row>
    <row r="1248" spans="1:2" x14ac:dyDescent="0.35">
      <c r="A1248" s="11" t="s">
        <v>371</v>
      </c>
      <c r="B1248" s="5">
        <v>2</v>
      </c>
    </row>
    <row r="1249" spans="1:2" x14ac:dyDescent="0.35">
      <c r="A1249" s="11" t="s">
        <v>12684</v>
      </c>
      <c r="B1249" s="5">
        <v>1</v>
      </c>
    </row>
    <row r="1250" spans="1:2" x14ac:dyDescent="0.35">
      <c r="A1250" s="11" t="s">
        <v>3332</v>
      </c>
      <c r="B1250" s="5">
        <v>3</v>
      </c>
    </row>
    <row r="1251" spans="1:2" x14ac:dyDescent="0.35">
      <c r="A1251" s="11" t="s">
        <v>12079</v>
      </c>
      <c r="B1251" s="5">
        <v>1</v>
      </c>
    </row>
    <row r="1252" spans="1:2" x14ac:dyDescent="0.35">
      <c r="A1252" s="11" t="s">
        <v>8399</v>
      </c>
      <c r="B1252" s="5">
        <v>2</v>
      </c>
    </row>
    <row r="1253" spans="1:2" x14ac:dyDescent="0.35">
      <c r="A1253" s="11" t="s">
        <v>6187</v>
      </c>
      <c r="B1253" s="5">
        <v>2</v>
      </c>
    </row>
    <row r="1254" spans="1:2" x14ac:dyDescent="0.35">
      <c r="A1254" s="11" t="s">
        <v>11403</v>
      </c>
      <c r="B1254" s="5">
        <v>1</v>
      </c>
    </row>
    <row r="1255" spans="1:2" x14ac:dyDescent="0.35">
      <c r="A1255" s="11" t="s">
        <v>3070</v>
      </c>
      <c r="B1255" s="5">
        <v>4</v>
      </c>
    </row>
    <row r="1256" spans="1:2" x14ac:dyDescent="0.35">
      <c r="A1256" s="11" t="s">
        <v>10486</v>
      </c>
      <c r="B1256" s="5">
        <v>2</v>
      </c>
    </row>
    <row r="1257" spans="1:2" x14ac:dyDescent="0.35">
      <c r="A1257" s="11" t="s">
        <v>5142</v>
      </c>
      <c r="B1257" s="5">
        <v>2</v>
      </c>
    </row>
    <row r="1258" spans="1:2" x14ac:dyDescent="0.35">
      <c r="A1258" s="11" t="s">
        <v>6458</v>
      </c>
      <c r="B1258" s="5">
        <v>3</v>
      </c>
    </row>
    <row r="1259" spans="1:2" x14ac:dyDescent="0.35">
      <c r="A1259" s="11" t="s">
        <v>8431</v>
      </c>
      <c r="B1259" s="5">
        <v>2</v>
      </c>
    </row>
    <row r="1260" spans="1:2" x14ac:dyDescent="0.35">
      <c r="A1260" s="11" t="s">
        <v>2986</v>
      </c>
      <c r="B1260" s="5">
        <v>1</v>
      </c>
    </row>
    <row r="1261" spans="1:2" x14ac:dyDescent="0.35">
      <c r="A1261" s="11" t="s">
        <v>6607</v>
      </c>
      <c r="B1261" s="5">
        <v>2</v>
      </c>
    </row>
    <row r="1262" spans="1:2" x14ac:dyDescent="0.35">
      <c r="A1262" s="11" t="s">
        <v>1191</v>
      </c>
      <c r="B1262" s="5">
        <v>2</v>
      </c>
    </row>
    <row r="1263" spans="1:2" x14ac:dyDescent="0.35">
      <c r="A1263" s="11" t="s">
        <v>7252</v>
      </c>
      <c r="B1263" s="5">
        <v>2</v>
      </c>
    </row>
    <row r="1264" spans="1:2" x14ac:dyDescent="0.35">
      <c r="A1264" s="11" t="s">
        <v>5416</v>
      </c>
      <c r="B1264" s="5">
        <v>1</v>
      </c>
    </row>
    <row r="1265" spans="1:2" x14ac:dyDescent="0.35">
      <c r="A1265" s="11" t="s">
        <v>8274</v>
      </c>
      <c r="B1265" s="5">
        <v>2</v>
      </c>
    </row>
    <row r="1266" spans="1:2" x14ac:dyDescent="0.35">
      <c r="A1266" s="11" t="s">
        <v>4303</v>
      </c>
      <c r="B1266" s="5">
        <v>3</v>
      </c>
    </row>
    <row r="1267" spans="1:2" x14ac:dyDescent="0.35">
      <c r="A1267" s="11" t="s">
        <v>2935</v>
      </c>
      <c r="B1267" s="5">
        <v>5</v>
      </c>
    </row>
    <row r="1268" spans="1:2" x14ac:dyDescent="0.35">
      <c r="A1268" s="11" t="s">
        <v>6364</v>
      </c>
      <c r="B1268" s="5">
        <v>2</v>
      </c>
    </row>
    <row r="1269" spans="1:2" x14ac:dyDescent="0.35">
      <c r="A1269" s="11" t="s">
        <v>263</v>
      </c>
      <c r="B1269" s="5">
        <v>1</v>
      </c>
    </row>
    <row r="1270" spans="1:2" x14ac:dyDescent="0.35">
      <c r="A1270" s="11" t="s">
        <v>343</v>
      </c>
      <c r="B1270" s="5">
        <v>3</v>
      </c>
    </row>
    <row r="1271" spans="1:2" x14ac:dyDescent="0.35">
      <c r="A1271" s="11" t="s">
        <v>4162</v>
      </c>
      <c r="B1271" s="5">
        <v>1</v>
      </c>
    </row>
    <row r="1272" spans="1:2" x14ac:dyDescent="0.35">
      <c r="A1272" s="11" t="s">
        <v>3249</v>
      </c>
      <c r="B1272" s="5">
        <v>2</v>
      </c>
    </row>
    <row r="1273" spans="1:2" x14ac:dyDescent="0.35">
      <c r="A1273" s="11" t="s">
        <v>5115</v>
      </c>
      <c r="B1273" s="5">
        <v>1</v>
      </c>
    </row>
    <row r="1274" spans="1:2" x14ac:dyDescent="0.35">
      <c r="A1274" s="11" t="s">
        <v>11262</v>
      </c>
      <c r="B1274" s="5">
        <v>1</v>
      </c>
    </row>
    <row r="1275" spans="1:2" x14ac:dyDescent="0.35">
      <c r="A1275" s="11" t="s">
        <v>6521</v>
      </c>
      <c r="B1275" s="5">
        <v>1</v>
      </c>
    </row>
    <row r="1276" spans="1:2" x14ac:dyDescent="0.35">
      <c r="A1276" s="11" t="s">
        <v>9299</v>
      </c>
      <c r="B1276" s="5">
        <v>1</v>
      </c>
    </row>
    <row r="1277" spans="1:2" x14ac:dyDescent="0.35">
      <c r="A1277" s="11" t="s">
        <v>2649</v>
      </c>
      <c r="B1277" s="5">
        <v>10</v>
      </c>
    </row>
    <row r="1278" spans="1:2" x14ac:dyDescent="0.35">
      <c r="A1278" s="11" t="s">
        <v>3289</v>
      </c>
      <c r="B1278" s="5">
        <v>1</v>
      </c>
    </row>
    <row r="1279" spans="1:2" x14ac:dyDescent="0.35">
      <c r="A1279" s="11" t="s">
        <v>6160</v>
      </c>
      <c r="B1279" s="5">
        <v>17</v>
      </c>
    </row>
    <row r="1280" spans="1:2" x14ac:dyDescent="0.35">
      <c r="A1280" s="11" t="s">
        <v>3472</v>
      </c>
      <c r="B1280" s="5">
        <v>1</v>
      </c>
    </row>
    <row r="1281" spans="1:2" x14ac:dyDescent="0.35">
      <c r="A1281" s="11" t="s">
        <v>3424</v>
      </c>
      <c r="B1281" s="5">
        <v>2</v>
      </c>
    </row>
    <row r="1282" spans="1:2" x14ac:dyDescent="0.35">
      <c r="A1282" s="11" t="s">
        <v>4140</v>
      </c>
      <c r="B1282" s="5">
        <v>5</v>
      </c>
    </row>
    <row r="1283" spans="1:2" x14ac:dyDescent="0.35">
      <c r="A1283" s="11" t="s">
        <v>4967</v>
      </c>
      <c r="B1283" s="5">
        <v>2</v>
      </c>
    </row>
    <row r="1284" spans="1:2" x14ac:dyDescent="0.35">
      <c r="A1284" s="11" t="s">
        <v>3041</v>
      </c>
      <c r="B1284" s="5">
        <v>2</v>
      </c>
    </row>
    <row r="1285" spans="1:2" x14ac:dyDescent="0.35">
      <c r="A1285" s="11" t="s">
        <v>8237</v>
      </c>
      <c r="B1285" s="5">
        <v>1</v>
      </c>
    </row>
    <row r="1286" spans="1:2" x14ac:dyDescent="0.35">
      <c r="A1286" s="11" t="s">
        <v>4821</v>
      </c>
      <c r="B1286" s="5">
        <v>19</v>
      </c>
    </row>
    <row r="1287" spans="1:2" x14ac:dyDescent="0.35">
      <c r="A1287" s="11" t="s">
        <v>11272</v>
      </c>
      <c r="B1287" s="5">
        <v>1</v>
      </c>
    </row>
    <row r="1288" spans="1:2" x14ac:dyDescent="0.35">
      <c r="A1288" s="12" t="s">
        <v>623</v>
      </c>
      <c r="B1288" s="13">
        <v>535</v>
      </c>
    </row>
    <row r="1289" spans="1:2" x14ac:dyDescent="0.35">
      <c r="A1289" s="11" t="s">
        <v>2318</v>
      </c>
      <c r="B1289" s="5">
        <v>2</v>
      </c>
    </row>
    <row r="1290" spans="1:2" x14ac:dyDescent="0.35">
      <c r="A1290" s="11" t="s">
        <v>7626</v>
      </c>
      <c r="B1290" s="5">
        <v>1</v>
      </c>
    </row>
    <row r="1291" spans="1:2" x14ac:dyDescent="0.35">
      <c r="A1291" s="11" t="s">
        <v>9746</v>
      </c>
      <c r="B1291" s="5">
        <v>1</v>
      </c>
    </row>
    <row r="1292" spans="1:2" x14ac:dyDescent="0.35">
      <c r="A1292" s="11" t="s">
        <v>4694</v>
      </c>
      <c r="B1292" s="5">
        <v>1</v>
      </c>
    </row>
    <row r="1293" spans="1:2" x14ac:dyDescent="0.35">
      <c r="A1293" s="11" t="s">
        <v>515</v>
      </c>
      <c r="B1293" s="5">
        <v>3</v>
      </c>
    </row>
    <row r="1294" spans="1:2" x14ac:dyDescent="0.35">
      <c r="A1294" s="11" t="s">
        <v>8844</v>
      </c>
      <c r="B1294" s="5">
        <v>1</v>
      </c>
    </row>
    <row r="1295" spans="1:2" x14ac:dyDescent="0.35">
      <c r="A1295" s="11" t="s">
        <v>7213</v>
      </c>
      <c r="B1295" s="5">
        <v>1</v>
      </c>
    </row>
    <row r="1296" spans="1:2" x14ac:dyDescent="0.35">
      <c r="A1296" s="11" t="s">
        <v>10595</v>
      </c>
      <c r="B1296" s="5">
        <v>1</v>
      </c>
    </row>
    <row r="1297" spans="1:2" x14ac:dyDescent="0.35">
      <c r="A1297" s="11" t="s">
        <v>9678</v>
      </c>
      <c r="B1297" s="5">
        <v>3</v>
      </c>
    </row>
    <row r="1298" spans="1:2" x14ac:dyDescent="0.35">
      <c r="A1298" s="11" t="s">
        <v>12949</v>
      </c>
      <c r="B1298" s="5">
        <v>1</v>
      </c>
    </row>
    <row r="1299" spans="1:2" x14ac:dyDescent="0.35">
      <c r="A1299" s="11" t="s">
        <v>7482</v>
      </c>
      <c r="B1299" s="5">
        <v>1</v>
      </c>
    </row>
    <row r="1300" spans="1:2" x14ac:dyDescent="0.35">
      <c r="A1300" s="11" t="s">
        <v>9322</v>
      </c>
      <c r="B1300" s="5">
        <v>1</v>
      </c>
    </row>
    <row r="1301" spans="1:2" x14ac:dyDescent="0.35">
      <c r="A1301" s="11" t="s">
        <v>3939</v>
      </c>
      <c r="B1301" s="5">
        <v>6</v>
      </c>
    </row>
    <row r="1302" spans="1:2" x14ac:dyDescent="0.35">
      <c r="A1302" s="11" t="s">
        <v>3179</v>
      </c>
      <c r="B1302" s="5">
        <v>1</v>
      </c>
    </row>
    <row r="1303" spans="1:2" x14ac:dyDescent="0.35">
      <c r="A1303" s="11" t="s">
        <v>10448</v>
      </c>
      <c r="B1303" s="5">
        <v>2</v>
      </c>
    </row>
    <row r="1304" spans="1:2" x14ac:dyDescent="0.35">
      <c r="A1304" s="11" t="s">
        <v>10650</v>
      </c>
      <c r="B1304" s="5">
        <v>1</v>
      </c>
    </row>
    <row r="1305" spans="1:2" x14ac:dyDescent="0.35">
      <c r="A1305" s="11" t="s">
        <v>3271</v>
      </c>
      <c r="B1305" s="5">
        <v>1</v>
      </c>
    </row>
    <row r="1306" spans="1:2" x14ac:dyDescent="0.35">
      <c r="A1306" s="11" t="s">
        <v>52</v>
      </c>
      <c r="B1306" s="5">
        <v>1</v>
      </c>
    </row>
    <row r="1307" spans="1:2" x14ac:dyDescent="0.35">
      <c r="A1307" s="11" t="s">
        <v>6177</v>
      </c>
      <c r="B1307" s="5">
        <v>2</v>
      </c>
    </row>
    <row r="1308" spans="1:2" x14ac:dyDescent="0.35">
      <c r="A1308" s="11" t="s">
        <v>4144</v>
      </c>
      <c r="B1308" s="5">
        <v>2</v>
      </c>
    </row>
    <row r="1309" spans="1:2" x14ac:dyDescent="0.35">
      <c r="A1309" s="11" t="s">
        <v>6712</v>
      </c>
      <c r="B1309" s="5">
        <v>1</v>
      </c>
    </row>
    <row r="1310" spans="1:2" x14ac:dyDescent="0.35">
      <c r="A1310" s="11" t="s">
        <v>7404</v>
      </c>
      <c r="B1310" s="5">
        <v>1</v>
      </c>
    </row>
    <row r="1311" spans="1:2" x14ac:dyDescent="0.35">
      <c r="A1311" s="11" t="s">
        <v>6989</v>
      </c>
      <c r="B1311" s="5">
        <v>2</v>
      </c>
    </row>
    <row r="1312" spans="1:2" x14ac:dyDescent="0.35">
      <c r="A1312" s="11" t="s">
        <v>9999</v>
      </c>
      <c r="B1312" s="5">
        <v>11</v>
      </c>
    </row>
    <row r="1313" spans="1:2" x14ac:dyDescent="0.35">
      <c r="A1313" s="11" t="s">
        <v>6937</v>
      </c>
      <c r="B1313" s="5">
        <v>4</v>
      </c>
    </row>
    <row r="1314" spans="1:2" x14ac:dyDescent="0.35">
      <c r="A1314" s="11" t="s">
        <v>6705</v>
      </c>
      <c r="B1314" s="5">
        <v>4</v>
      </c>
    </row>
    <row r="1315" spans="1:2" x14ac:dyDescent="0.35">
      <c r="A1315" s="11" t="s">
        <v>7401</v>
      </c>
      <c r="B1315" s="5">
        <v>1</v>
      </c>
    </row>
    <row r="1316" spans="1:2" x14ac:dyDescent="0.35">
      <c r="A1316" s="11" t="s">
        <v>4180</v>
      </c>
      <c r="B1316" s="5">
        <v>1</v>
      </c>
    </row>
    <row r="1317" spans="1:2" x14ac:dyDescent="0.35">
      <c r="A1317" s="11" t="s">
        <v>7938</v>
      </c>
      <c r="B1317" s="5">
        <v>1</v>
      </c>
    </row>
    <row r="1318" spans="1:2" x14ac:dyDescent="0.35">
      <c r="A1318" s="11" t="s">
        <v>3283</v>
      </c>
      <c r="B1318" s="5">
        <v>1</v>
      </c>
    </row>
    <row r="1319" spans="1:2" x14ac:dyDescent="0.35">
      <c r="A1319" s="11" t="s">
        <v>10128</v>
      </c>
      <c r="B1319" s="5">
        <v>3</v>
      </c>
    </row>
    <row r="1320" spans="1:2" x14ac:dyDescent="0.35">
      <c r="A1320" s="11" t="s">
        <v>3340</v>
      </c>
      <c r="B1320" s="5">
        <v>1</v>
      </c>
    </row>
    <row r="1321" spans="1:2" x14ac:dyDescent="0.35">
      <c r="A1321" s="11" t="s">
        <v>9365</v>
      </c>
      <c r="B1321" s="5">
        <v>3</v>
      </c>
    </row>
    <row r="1322" spans="1:2" x14ac:dyDescent="0.35">
      <c r="A1322" s="11" t="s">
        <v>3961</v>
      </c>
      <c r="B1322" s="5">
        <v>5</v>
      </c>
    </row>
    <row r="1323" spans="1:2" x14ac:dyDescent="0.35">
      <c r="A1323" s="11" t="s">
        <v>5089</v>
      </c>
      <c r="B1323" s="5">
        <v>1</v>
      </c>
    </row>
    <row r="1324" spans="1:2" x14ac:dyDescent="0.35">
      <c r="A1324" s="11" t="s">
        <v>7399</v>
      </c>
      <c r="B1324" s="5">
        <v>1</v>
      </c>
    </row>
    <row r="1325" spans="1:2" x14ac:dyDescent="0.35">
      <c r="A1325" s="11" t="s">
        <v>4472</v>
      </c>
      <c r="B1325" s="5">
        <v>14</v>
      </c>
    </row>
    <row r="1326" spans="1:2" x14ac:dyDescent="0.35">
      <c r="A1326" s="11" t="s">
        <v>6699</v>
      </c>
      <c r="B1326" s="5">
        <v>4</v>
      </c>
    </row>
    <row r="1327" spans="1:2" x14ac:dyDescent="0.35">
      <c r="A1327" s="11" t="s">
        <v>7410</v>
      </c>
      <c r="B1327" s="5">
        <v>1</v>
      </c>
    </row>
    <row r="1328" spans="1:2" x14ac:dyDescent="0.35">
      <c r="A1328" s="11" t="s">
        <v>806</v>
      </c>
      <c r="B1328" s="5">
        <v>4</v>
      </c>
    </row>
    <row r="1329" spans="1:2" x14ac:dyDescent="0.35">
      <c r="A1329" s="11" t="s">
        <v>8348</v>
      </c>
      <c r="B1329" s="5">
        <v>1</v>
      </c>
    </row>
    <row r="1330" spans="1:2" x14ac:dyDescent="0.35">
      <c r="A1330" s="11" t="s">
        <v>5171</v>
      </c>
      <c r="B1330" s="5">
        <v>1</v>
      </c>
    </row>
    <row r="1331" spans="1:2" x14ac:dyDescent="0.35">
      <c r="A1331" s="11" t="s">
        <v>7443</v>
      </c>
      <c r="B1331" s="5">
        <v>13</v>
      </c>
    </row>
    <row r="1332" spans="1:2" x14ac:dyDescent="0.35">
      <c r="A1332" s="11" t="s">
        <v>10777</v>
      </c>
      <c r="B1332" s="5">
        <v>1</v>
      </c>
    </row>
    <row r="1333" spans="1:2" x14ac:dyDescent="0.35">
      <c r="A1333" s="11" t="s">
        <v>6015</v>
      </c>
      <c r="B1333" s="5">
        <v>1</v>
      </c>
    </row>
    <row r="1334" spans="1:2" x14ac:dyDescent="0.35">
      <c r="A1334" s="11" t="s">
        <v>3317</v>
      </c>
      <c r="B1334" s="5">
        <v>3</v>
      </c>
    </row>
    <row r="1335" spans="1:2" x14ac:dyDescent="0.35">
      <c r="A1335" s="11" t="s">
        <v>1547</v>
      </c>
      <c r="B1335" s="5">
        <v>1</v>
      </c>
    </row>
    <row r="1336" spans="1:2" x14ac:dyDescent="0.35">
      <c r="A1336" s="11" t="s">
        <v>8064</v>
      </c>
      <c r="B1336" s="5">
        <v>4</v>
      </c>
    </row>
    <row r="1337" spans="1:2" x14ac:dyDescent="0.35">
      <c r="A1337" s="11" t="s">
        <v>6837</v>
      </c>
      <c r="B1337" s="5">
        <v>2</v>
      </c>
    </row>
    <row r="1338" spans="1:2" x14ac:dyDescent="0.35">
      <c r="A1338" s="11" t="s">
        <v>3741</v>
      </c>
      <c r="B1338" s="5">
        <v>2</v>
      </c>
    </row>
    <row r="1339" spans="1:2" x14ac:dyDescent="0.35">
      <c r="A1339" s="11" t="s">
        <v>7930</v>
      </c>
      <c r="B1339" s="5">
        <v>2</v>
      </c>
    </row>
    <row r="1340" spans="1:2" x14ac:dyDescent="0.35">
      <c r="A1340" s="11" t="s">
        <v>3736</v>
      </c>
      <c r="B1340" s="5">
        <v>7</v>
      </c>
    </row>
    <row r="1341" spans="1:2" x14ac:dyDescent="0.35">
      <c r="A1341" s="11" t="s">
        <v>4494</v>
      </c>
      <c r="B1341" s="5">
        <v>39</v>
      </c>
    </row>
    <row r="1342" spans="1:2" x14ac:dyDescent="0.35">
      <c r="A1342" s="11" t="s">
        <v>7153</v>
      </c>
      <c r="B1342" s="5">
        <v>1</v>
      </c>
    </row>
    <row r="1343" spans="1:2" x14ac:dyDescent="0.35">
      <c r="A1343" s="11" t="s">
        <v>7415</v>
      </c>
      <c r="B1343" s="5">
        <v>1</v>
      </c>
    </row>
    <row r="1344" spans="1:2" x14ac:dyDescent="0.35">
      <c r="A1344" s="11" t="s">
        <v>1216</v>
      </c>
      <c r="B1344" s="5">
        <v>2</v>
      </c>
    </row>
    <row r="1345" spans="1:2" x14ac:dyDescent="0.35">
      <c r="A1345" s="11" t="s">
        <v>5835</v>
      </c>
      <c r="B1345" s="5">
        <v>1</v>
      </c>
    </row>
    <row r="1346" spans="1:2" x14ac:dyDescent="0.35">
      <c r="A1346" s="11" t="s">
        <v>10389</v>
      </c>
      <c r="B1346" s="5">
        <v>2</v>
      </c>
    </row>
    <row r="1347" spans="1:2" x14ac:dyDescent="0.35">
      <c r="A1347" s="11" t="s">
        <v>7554</v>
      </c>
      <c r="B1347" s="5">
        <v>1</v>
      </c>
    </row>
    <row r="1348" spans="1:2" x14ac:dyDescent="0.35">
      <c r="A1348" s="11" t="s">
        <v>799</v>
      </c>
      <c r="B1348" s="5">
        <v>6</v>
      </c>
    </row>
    <row r="1349" spans="1:2" x14ac:dyDescent="0.35">
      <c r="A1349" s="11" t="s">
        <v>7533</v>
      </c>
      <c r="B1349" s="5">
        <v>3</v>
      </c>
    </row>
    <row r="1350" spans="1:2" x14ac:dyDescent="0.35">
      <c r="A1350" s="11" t="s">
        <v>6224</v>
      </c>
      <c r="B1350" s="5">
        <v>1</v>
      </c>
    </row>
    <row r="1351" spans="1:2" x14ac:dyDescent="0.35">
      <c r="A1351" s="11" t="s">
        <v>7052</v>
      </c>
      <c r="B1351" s="5">
        <v>4</v>
      </c>
    </row>
    <row r="1352" spans="1:2" x14ac:dyDescent="0.35">
      <c r="A1352" s="11" t="s">
        <v>4526</v>
      </c>
      <c r="B1352" s="5">
        <v>12</v>
      </c>
    </row>
    <row r="1353" spans="1:2" x14ac:dyDescent="0.35">
      <c r="A1353" s="11" t="s">
        <v>5599</v>
      </c>
      <c r="B1353" s="5">
        <v>1</v>
      </c>
    </row>
    <row r="1354" spans="1:2" x14ac:dyDescent="0.35">
      <c r="A1354" s="11" t="s">
        <v>3993</v>
      </c>
      <c r="B1354" s="5">
        <v>6</v>
      </c>
    </row>
    <row r="1355" spans="1:2" x14ac:dyDescent="0.35">
      <c r="A1355" s="11" t="s">
        <v>8517</v>
      </c>
      <c r="B1355" s="5">
        <v>4</v>
      </c>
    </row>
    <row r="1356" spans="1:2" x14ac:dyDescent="0.35">
      <c r="A1356" s="11" t="s">
        <v>3777</v>
      </c>
      <c r="B1356" s="5">
        <v>2</v>
      </c>
    </row>
    <row r="1357" spans="1:2" x14ac:dyDescent="0.35">
      <c r="A1357" s="11" t="s">
        <v>7001</v>
      </c>
      <c r="B1357" s="5">
        <v>2</v>
      </c>
    </row>
    <row r="1358" spans="1:2" x14ac:dyDescent="0.35">
      <c r="A1358" s="11" t="s">
        <v>8821</v>
      </c>
      <c r="B1358" s="5">
        <v>1</v>
      </c>
    </row>
    <row r="1359" spans="1:2" x14ac:dyDescent="0.35">
      <c r="A1359" s="11" t="s">
        <v>9210</v>
      </c>
      <c r="B1359" s="5">
        <v>3</v>
      </c>
    </row>
    <row r="1360" spans="1:2" x14ac:dyDescent="0.35">
      <c r="A1360" s="11" t="s">
        <v>1121</v>
      </c>
      <c r="B1360" s="5">
        <v>5</v>
      </c>
    </row>
    <row r="1361" spans="1:2" x14ac:dyDescent="0.35">
      <c r="A1361" s="11" t="s">
        <v>8391</v>
      </c>
      <c r="B1361" s="5">
        <v>1</v>
      </c>
    </row>
    <row r="1362" spans="1:2" x14ac:dyDescent="0.35">
      <c r="A1362" s="11" t="s">
        <v>7882</v>
      </c>
      <c r="B1362" s="5">
        <v>1</v>
      </c>
    </row>
    <row r="1363" spans="1:2" x14ac:dyDescent="0.35">
      <c r="A1363" s="11" t="s">
        <v>2220</v>
      </c>
      <c r="B1363" s="5">
        <v>2</v>
      </c>
    </row>
    <row r="1364" spans="1:2" x14ac:dyDescent="0.35">
      <c r="A1364" s="11" t="s">
        <v>6484</v>
      </c>
      <c r="B1364" s="5">
        <v>3</v>
      </c>
    </row>
    <row r="1365" spans="1:2" x14ac:dyDescent="0.35">
      <c r="A1365" s="11" t="s">
        <v>8952</v>
      </c>
      <c r="B1365" s="5">
        <v>1</v>
      </c>
    </row>
    <row r="1366" spans="1:2" x14ac:dyDescent="0.35">
      <c r="A1366" s="11" t="s">
        <v>5015</v>
      </c>
      <c r="B1366" s="5">
        <v>1</v>
      </c>
    </row>
    <row r="1367" spans="1:2" x14ac:dyDescent="0.35">
      <c r="A1367" s="11" t="s">
        <v>7615</v>
      </c>
      <c r="B1367" s="5">
        <v>4</v>
      </c>
    </row>
    <row r="1368" spans="1:2" x14ac:dyDescent="0.35">
      <c r="A1368" s="11" t="s">
        <v>6736</v>
      </c>
      <c r="B1368" s="5">
        <v>11</v>
      </c>
    </row>
    <row r="1369" spans="1:2" x14ac:dyDescent="0.35">
      <c r="A1369" s="11" t="s">
        <v>5723</v>
      </c>
      <c r="B1369" s="5">
        <v>2</v>
      </c>
    </row>
    <row r="1370" spans="1:2" x14ac:dyDescent="0.35">
      <c r="A1370" s="11" t="s">
        <v>9960</v>
      </c>
      <c r="B1370" s="5">
        <v>3</v>
      </c>
    </row>
    <row r="1371" spans="1:2" x14ac:dyDescent="0.35">
      <c r="A1371" s="11" t="s">
        <v>10140</v>
      </c>
      <c r="B1371" s="5">
        <v>1</v>
      </c>
    </row>
    <row r="1372" spans="1:2" x14ac:dyDescent="0.35">
      <c r="A1372" s="11" t="s">
        <v>6210</v>
      </c>
      <c r="B1372" s="5">
        <v>1</v>
      </c>
    </row>
    <row r="1373" spans="1:2" x14ac:dyDescent="0.35">
      <c r="A1373" s="11" t="s">
        <v>1200</v>
      </c>
      <c r="B1373" s="5">
        <v>1</v>
      </c>
    </row>
    <row r="1374" spans="1:2" x14ac:dyDescent="0.35">
      <c r="A1374" s="11" t="s">
        <v>4637</v>
      </c>
      <c r="B1374" s="5">
        <v>1</v>
      </c>
    </row>
    <row r="1375" spans="1:2" x14ac:dyDescent="0.35">
      <c r="A1375" s="11" t="s">
        <v>1213</v>
      </c>
      <c r="B1375" s="5">
        <v>1</v>
      </c>
    </row>
    <row r="1376" spans="1:2" x14ac:dyDescent="0.35">
      <c r="A1376" s="11" t="s">
        <v>4268</v>
      </c>
      <c r="B1376" s="5">
        <v>1</v>
      </c>
    </row>
    <row r="1377" spans="1:2" x14ac:dyDescent="0.35">
      <c r="A1377" s="11" t="s">
        <v>9202</v>
      </c>
      <c r="B1377" s="5">
        <v>1</v>
      </c>
    </row>
    <row r="1378" spans="1:2" x14ac:dyDescent="0.35">
      <c r="A1378" s="11" t="s">
        <v>160</v>
      </c>
      <c r="B1378" s="5">
        <v>1</v>
      </c>
    </row>
    <row r="1379" spans="1:2" x14ac:dyDescent="0.35">
      <c r="A1379" s="11" t="s">
        <v>6888</v>
      </c>
      <c r="B1379" s="5">
        <v>1</v>
      </c>
    </row>
    <row r="1380" spans="1:2" x14ac:dyDescent="0.35">
      <c r="A1380" s="11" t="s">
        <v>7018</v>
      </c>
      <c r="B1380" s="5">
        <v>2</v>
      </c>
    </row>
    <row r="1381" spans="1:2" x14ac:dyDescent="0.35">
      <c r="A1381" s="11" t="s">
        <v>3013</v>
      </c>
      <c r="B1381" s="5">
        <v>1</v>
      </c>
    </row>
    <row r="1382" spans="1:2" x14ac:dyDescent="0.35">
      <c r="A1382" s="11" t="s">
        <v>7729</v>
      </c>
      <c r="B1382" s="5">
        <v>1</v>
      </c>
    </row>
    <row r="1383" spans="1:2" x14ac:dyDescent="0.35">
      <c r="A1383" s="11" t="s">
        <v>4314</v>
      </c>
      <c r="B1383" s="5">
        <v>1</v>
      </c>
    </row>
    <row r="1384" spans="1:2" x14ac:dyDescent="0.35">
      <c r="A1384" s="11" t="s">
        <v>3973</v>
      </c>
      <c r="B1384" s="5">
        <v>1</v>
      </c>
    </row>
    <row r="1385" spans="1:2" x14ac:dyDescent="0.35">
      <c r="A1385" s="11" t="s">
        <v>7262</v>
      </c>
      <c r="B1385" s="5">
        <v>12</v>
      </c>
    </row>
    <row r="1386" spans="1:2" x14ac:dyDescent="0.35">
      <c r="A1386" s="11" t="s">
        <v>7726</v>
      </c>
      <c r="B1386" s="5">
        <v>1</v>
      </c>
    </row>
    <row r="1387" spans="1:2" x14ac:dyDescent="0.35">
      <c r="A1387" s="11" t="s">
        <v>2921</v>
      </c>
      <c r="B1387" s="5">
        <v>2</v>
      </c>
    </row>
    <row r="1388" spans="1:2" x14ac:dyDescent="0.35">
      <c r="A1388" s="11" t="s">
        <v>4376</v>
      </c>
      <c r="B1388" s="5">
        <v>1</v>
      </c>
    </row>
    <row r="1389" spans="1:2" x14ac:dyDescent="0.35">
      <c r="A1389" s="11" t="s">
        <v>3774</v>
      </c>
      <c r="B1389" s="5">
        <v>1</v>
      </c>
    </row>
    <row r="1390" spans="1:2" x14ac:dyDescent="0.35">
      <c r="A1390" s="11" t="s">
        <v>5397</v>
      </c>
      <c r="B1390" s="5">
        <v>5</v>
      </c>
    </row>
    <row r="1391" spans="1:2" x14ac:dyDescent="0.35">
      <c r="A1391" s="11" t="s">
        <v>8308</v>
      </c>
      <c r="B1391" s="5">
        <v>2</v>
      </c>
    </row>
    <row r="1392" spans="1:2" x14ac:dyDescent="0.35">
      <c r="A1392" s="11" t="s">
        <v>148</v>
      </c>
      <c r="B1392" s="5">
        <v>3</v>
      </c>
    </row>
    <row r="1393" spans="1:2" x14ac:dyDescent="0.35">
      <c r="A1393" s="11" t="s">
        <v>8587</v>
      </c>
      <c r="B1393" s="5">
        <v>1</v>
      </c>
    </row>
    <row r="1394" spans="1:2" x14ac:dyDescent="0.35">
      <c r="A1394" s="11" t="s">
        <v>1752</v>
      </c>
      <c r="B1394" s="5">
        <v>2</v>
      </c>
    </row>
    <row r="1395" spans="1:2" x14ac:dyDescent="0.35">
      <c r="A1395" s="11" t="s">
        <v>10121</v>
      </c>
      <c r="B1395" s="5">
        <v>3</v>
      </c>
    </row>
    <row r="1396" spans="1:2" x14ac:dyDescent="0.35">
      <c r="A1396" s="11" t="s">
        <v>7396</v>
      </c>
      <c r="B1396" s="5">
        <v>1</v>
      </c>
    </row>
    <row r="1397" spans="1:2" x14ac:dyDescent="0.35">
      <c r="A1397" s="11" t="s">
        <v>7542</v>
      </c>
      <c r="B1397" s="5">
        <v>4</v>
      </c>
    </row>
    <row r="1398" spans="1:2" x14ac:dyDescent="0.35">
      <c r="A1398" s="11" t="s">
        <v>2326</v>
      </c>
      <c r="B1398" s="5">
        <v>1</v>
      </c>
    </row>
    <row r="1399" spans="1:2" x14ac:dyDescent="0.35">
      <c r="A1399" s="11" t="s">
        <v>4007</v>
      </c>
      <c r="B1399" s="5">
        <v>5</v>
      </c>
    </row>
    <row r="1400" spans="1:2" x14ac:dyDescent="0.35">
      <c r="A1400" s="11" t="s">
        <v>6139</v>
      </c>
      <c r="B1400" s="5">
        <v>7</v>
      </c>
    </row>
    <row r="1401" spans="1:2" x14ac:dyDescent="0.35">
      <c r="A1401" s="11" t="s">
        <v>2330</v>
      </c>
      <c r="B1401" s="5">
        <v>1</v>
      </c>
    </row>
    <row r="1402" spans="1:2" x14ac:dyDescent="0.35">
      <c r="A1402" s="11" t="s">
        <v>7718</v>
      </c>
      <c r="B1402" s="5">
        <v>2</v>
      </c>
    </row>
    <row r="1403" spans="1:2" x14ac:dyDescent="0.35">
      <c r="A1403" s="11" t="s">
        <v>235</v>
      </c>
      <c r="B1403" s="5">
        <v>15</v>
      </c>
    </row>
    <row r="1404" spans="1:2" x14ac:dyDescent="0.35">
      <c r="A1404" s="11" t="s">
        <v>9193</v>
      </c>
      <c r="B1404" s="5">
        <v>1</v>
      </c>
    </row>
    <row r="1405" spans="1:2" x14ac:dyDescent="0.35">
      <c r="A1405" s="11" t="s">
        <v>2334</v>
      </c>
      <c r="B1405" s="5">
        <v>1</v>
      </c>
    </row>
    <row r="1406" spans="1:2" x14ac:dyDescent="0.35">
      <c r="A1406" s="11" t="s">
        <v>10144</v>
      </c>
      <c r="B1406" s="5">
        <v>1</v>
      </c>
    </row>
    <row r="1407" spans="1:2" x14ac:dyDescent="0.35">
      <c r="A1407" s="11" t="s">
        <v>1422</v>
      </c>
      <c r="B1407" s="5">
        <v>4</v>
      </c>
    </row>
    <row r="1408" spans="1:2" x14ac:dyDescent="0.35">
      <c r="A1408" s="11" t="s">
        <v>625</v>
      </c>
      <c r="B1408" s="5">
        <v>6</v>
      </c>
    </row>
    <row r="1409" spans="1:2" x14ac:dyDescent="0.35">
      <c r="A1409" s="11" t="s">
        <v>9199</v>
      </c>
      <c r="B1409" s="5">
        <v>1</v>
      </c>
    </row>
    <row r="1410" spans="1:2" x14ac:dyDescent="0.35">
      <c r="A1410" s="11" t="s">
        <v>5432</v>
      </c>
      <c r="B1410" s="5">
        <v>2</v>
      </c>
    </row>
    <row r="1411" spans="1:2" x14ac:dyDescent="0.35">
      <c r="A1411" s="11" t="s">
        <v>10761</v>
      </c>
      <c r="B1411" s="5">
        <v>1</v>
      </c>
    </row>
    <row r="1412" spans="1:2" x14ac:dyDescent="0.35">
      <c r="A1412" s="11" t="s">
        <v>9899</v>
      </c>
      <c r="B1412" s="5">
        <v>1</v>
      </c>
    </row>
    <row r="1413" spans="1:2" x14ac:dyDescent="0.35">
      <c r="A1413" s="11" t="s">
        <v>7622</v>
      </c>
      <c r="B1413" s="5">
        <v>2</v>
      </c>
    </row>
    <row r="1414" spans="1:2" x14ac:dyDescent="0.35">
      <c r="A1414" s="11" t="s">
        <v>6853</v>
      </c>
      <c r="B1414" s="5">
        <v>1</v>
      </c>
    </row>
    <row r="1415" spans="1:2" x14ac:dyDescent="0.35">
      <c r="A1415" s="11" t="s">
        <v>4824</v>
      </c>
      <c r="B1415" s="5">
        <v>1</v>
      </c>
    </row>
    <row r="1416" spans="1:2" x14ac:dyDescent="0.35">
      <c r="A1416" s="11" t="s">
        <v>7024</v>
      </c>
      <c r="B1416" s="5">
        <v>1</v>
      </c>
    </row>
    <row r="1417" spans="1:2" x14ac:dyDescent="0.35">
      <c r="A1417" s="11" t="s">
        <v>10134</v>
      </c>
      <c r="B1417" s="5">
        <v>3</v>
      </c>
    </row>
    <row r="1418" spans="1:2" x14ac:dyDescent="0.35">
      <c r="A1418" s="11" t="s">
        <v>6859</v>
      </c>
      <c r="B1418" s="5">
        <v>1</v>
      </c>
    </row>
    <row r="1419" spans="1:2" x14ac:dyDescent="0.35">
      <c r="A1419" s="11" t="s">
        <v>5644</v>
      </c>
      <c r="B1419" s="5">
        <v>2</v>
      </c>
    </row>
    <row r="1420" spans="1:2" x14ac:dyDescent="0.35">
      <c r="A1420" s="11" t="s">
        <v>6960</v>
      </c>
      <c r="B1420" s="5">
        <v>1</v>
      </c>
    </row>
    <row r="1421" spans="1:2" x14ac:dyDescent="0.35">
      <c r="A1421" s="11" t="s">
        <v>7307</v>
      </c>
      <c r="B1421" s="5">
        <v>1</v>
      </c>
    </row>
    <row r="1422" spans="1:2" x14ac:dyDescent="0.35">
      <c r="A1422" s="11" t="s">
        <v>10472</v>
      </c>
      <c r="B1422" s="5">
        <v>2</v>
      </c>
    </row>
    <row r="1423" spans="1:2" x14ac:dyDescent="0.35">
      <c r="A1423" s="11" t="s">
        <v>8874</v>
      </c>
      <c r="B1423" s="5">
        <v>2</v>
      </c>
    </row>
    <row r="1424" spans="1:2" x14ac:dyDescent="0.35">
      <c r="A1424" s="11" t="s">
        <v>10026</v>
      </c>
      <c r="B1424" s="5">
        <v>2</v>
      </c>
    </row>
    <row r="1425" spans="1:2" x14ac:dyDescent="0.35">
      <c r="A1425" s="11" t="s">
        <v>4733</v>
      </c>
      <c r="B1425" s="5">
        <v>1</v>
      </c>
    </row>
    <row r="1426" spans="1:2" x14ac:dyDescent="0.35">
      <c r="A1426" s="11" t="s">
        <v>7393</v>
      </c>
      <c r="B1426" s="5">
        <v>1</v>
      </c>
    </row>
    <row r="1427" spans="1:2" x14ac:dyDescent="0.35">
      <c r="A1427" s="11" t="s">
        <v>1308</v>
      </c>
      <c r="B1427" s="5">
        <v>2</v>
      </c>
    </row>
    <row r="1428" spans="1:2" x14ac:dyDescent="0.35">
      <c r="A1428" s="11" t="s">
        <v>6857</v>
      </c>
      <c r="B1428" s="5">
        <v>1</v>
      </c>
    </row>
    <row r="1429" spans="1:2" x14ac:dyDescent="0.35">
      <c r="A1429" s="11" t="s">
        <v>10131</v>
      </c>
      <c r="B1429" s="5">
        <v>3</v>
      </c>
    </row>
    <row r="1430" spans="1:2" x14ac:dyDescent="0.35">
      <c r="A1430" s="11" t="s">
        <v>6123</v>
      </c>
      <c r="B1430" s="5">
        <v>1</v>
      </c>
    </row>
    <row r="1431" spans="1:2" x14ac:dyDescent="0.35">
      <c r="A1431" s="11" t="s">
        <v>7359</v>
      </c>
      <c r="B1431" s="5">
        <v>1</v>
      </c>
    </row>
    <row r="1432" spans="1:2" x14ac:dyDescent="0.35">
      <c r="A1432" s="11" t="s">
        <v>7175</v>
      </c>
      <c r="B1432" s="5">
        <v>2</v>
      </c>
    </row>
    <row r="1433" spans="1:2" x14ac:dyDescent="0.35">
      <c r="A1433" s="11" t="s">
        <v>8440</v>
      </c>
      <c r="B1433" s="5">
        <v>1</v>
      </c>
    </row>
    <row r="1434" spans="1:2" x14ac:dyDescent="0.35">
      <c r="A1434" s="11" t="s">
        <v>6491</v>
      </c>
      <c r="B1434" s="5">
        <v>1</v>
      </c>
    </row>
    <row r="1435" spans="1:2" x14ac:dyDescent="0.35">
      <c r="A1435" s="11" t="s">
        <v>2767</v>
      </c>
      <c r="B1435" s="5">
        <v>2</v>
      </c>
    </row>
    <row r="1436" spans="1:2" x14ac:dyDescent="0.35">
      <c r="A1436" s="11" t="s">
        <v>475</v>
      </c>
      <c r="B1436" s="5">
        <v>1</v>
      </c>
    </row>
    <row r="1437" spans="1:2" x14ac:dyDescent="0.35">
      <c r="A1437" s="11" t="s">
        <v>8260</v>
      </c>
      <c r="B1437" s="5">
        <v>2</v>
      </c>
    </row>
    <row r="1438" spans="1:2" x14ac:dyDescent="0.35">
      <c r="A1438" s="11" t="s">
        <v>7390</v>
      </c>
      <c r="B1438" s="5">
        <v>1</v>
      </c>
    </row>
    <row r="1439" spans="1:2" x14ac:dyDescent="0.35">
      <c r="A1439" s="11" t="s">
        <v>5620</v>
      </c>
      <c r="B1439" s="5">
        <v>6</v>
      </c>
    </row>
    <row r="1440" spans="1:2" x14ac:dyDescent="0.35">
      <c r="A1440" s="11" t="s">
        <v>3650</v>
      </c>
      <c r="B1440" s="5">
        <v>1</v>
      </c>
    </row>
    <row r="1441" spans="1:2" x14ac:dyDescent="0.35">
      <c r="A1441" s="11" t="s">
        <v>2354</v>
      </c>
      <c r="B1441" s="5">
        <v>2</v>
      </c>
    </row>
    <row r="1442" spans="1:2" x14ac:dyDescent="0.35">
      <c r="A1442" s="11" t="s">
        <v>7006</v>
      </c>
      <c r="B1442" s="5">
        <v>1</v>
      </c>
    </row>
    <row r="1443" spans="1:2" x14ac:dyDescent="0.35">
      <c r="A1443" s="11" t="s">
        <v>5627</v>
      </c>
      <c r="B1443" s="5">
        <v>2</v>
      </c>
    </row>
    <row r="1444" spans="1:2" x14ac:dyDescent="0.35">
      <c r="A1444" s="11" t="s">
        <v>2347</v>
      </c>
      <c r="B1444" s="5">
        <v>2</v>
      </c>
    </row>
    <row r="1445" spans="1:2" x14ac:dyDescent="0.35">
      <c r="A1445" s="11" t="s">
        <v>10137</v>
      </c>
      <c r="B1445" s="5">
        <v>3</v>
      </c>
    </row>
    <row r="1446" spans="1:2" x14ac:dyDescent="0.35">
      <c r="A1446" s="11" t="s">
        <v>2344</v>
      </c>
      <c r="B1446" s="5">
        <v>1</v>
      </c>
    </row>
    <row r="1447" spans="1:2" x14ac:dyDescent="0.35">
      <c r="A1447" s="11" t="s">
        <v>5617</v>
      </c>
      <c r="B1447" s="5">
        <v>4</v>
      </c>
    </row>
    <row r="1448" spans="1:2" x14ac:dyDescent="0.35">
      <c r="A1448" s="11" t="s">
        <v>8282</v>
      </c>
      <c r="B1448" s="5">
        <v>1</v>
      </c>
    </row>
    <row r="1449" spans="1:2" x14ac:dyDescent="0.35">
      <c r="A1449" s="11" t="s">
        <v>11606</v>
      </c>
      <c r="B1449" s="5">
        <v>7</v>
      </c>
    </row>
    <row r="1450" spans="1:2" x14ac:dyDescent="0.35">
      <c r="A1450" s="11" t="s">
        <v>218</v>
      </c>
      <c r="B1450" s="5">
        <v>1</v>
      </c>
    </row>
    <row r="1451" spans="1:2" x14ac:dyDescent="0.35">
      <c r="A1451" s="11" t="s">
        <v>1210</v>
      </c>
      <c r="B1451" s="5">
        <v>1</v>
      </c>
    </row>
    <row r="1452" spans="1:2" x14ac:dyDescent="0.35">
      <c r="A1452" s="11" t="s">
        <v>6620</v>
      </c>
      <c r="B1452" s="5">
        <v>1</v>
      </c>
    </row>
    <row r="1453" spans="1:2" x14ac:dyDescent="0.35">
      <c r="A1453" s="11" t="s">
        <v>7065</v>
      </c>
      <c r="B1453" s="5">
        <v>2</v>
      </c>
    </row>
    <row r="1454" spans="1:2" x14ac:dyDescent="0.35">
      <c r="A1454" s="11" t="s">
        <v>219</v>
      </c>
      <c r="B1454" s="5">
        <v>1</v>
      </c>
    </row>
    <row r="1455" spans="1:2" x14ac:dyDescent="0.35">
      <c r="A1455" s="11" t="s">
        <v>4152</v>
      </c>
      <c r="B1455" s="5">
        <v>1</v>
      </c>
    </row>
    <row r="1456" spans="1:2" x14ac:dyDescent="0.35">
      <c r="A1456" s="11" t="s">
        <v>4558</v>
      </c>
      <c r="B1456" s="5">
        <v>5</v>
      </c>
    </row>
    <row r="1457" spans="1:2" x14ac:dyDescent="0.35">
      <c r="A1457" s="11" t="s">
        <v>9723</v>
      </c>
      <c r="B1457" s="5">
        <v>1</v>
      </c>
    </row>
    <row r="1458" spans="1:2" x14ac:dyDescent="0.35">
      <c r="A1458" s="11" t="s">
        <v>7769</v>
      </c>
      <c r="B1458" s="5">
        <v>2</v>
      </c>
    </row>
    <row r="1459" spans="1:2" x14ac:dyDescent="0.35">
      <c r="A1459" s="11" t="s">
        <v>12072</v>
      </c>
      <c r="B1459" s="5">
        <v>2</v>
      </c>
    </row>
    <row r="1460" spans="1:2" x14ac:dyDescent="0.35">
      <c r="A1460" s="11" t="s">
        <v>90</v>
      </c>
      <c r="B1460" s="5">
        <v>2</v>
      </c>
    </row>
    <row r="1461" spans="1:2" x14ac:dyDescent="0.35">
      <c r="A1461" s="11" t="s">
        <v>7762</v>
      </c>
      <c r="B1461" s="5">
        <v>1</v>
      </c>
    </row>
    <row r="1462" spans="1:2" x14ac:dyDescent="0.35">
      <c r="A1462" s="11" t="s">
        <v>7940</v>
      </c>
      <c r="B1462" s="5">
        <v>1</v>
      </c>
    </row>
    <row r="1463" spans="1:2" x14ac:dyDescent="0.35">
      <c r="A1463" s="11" t="s">
        <v>7528</v>
      </c>
      <c r="B1463" s="5">
        <v>1</v>
      </c>
    </row>
    <row r="1464" spans="1:2" x14ac:dyDescent="0.35">
      <c r="A1464" s="11" t="s">
        <v>5751</v>
      </c>
      <c r="B1464" s="5">
        <v>1</v>
      </c>
    </row>
    <row r="1465" spans="1:2" x14ac:dyDescent="0.35">
      <c r="A1465" s="11" t="s">
        <v>11835</v>
      </c>
      <c r="B1465" s="5">
        <v>1</v>
      </c>
    </row>
    <row r="1466" spans="1:2" x14ac:dyDescent="0.35">
      <c r="A1466" s="11" t="s">
        <v>5301</v>
      </c>
      <c r="B1466" s="5">
        <v>1</v>
      </c>
    </row>
    <row r="1467" spans="1:2" x14ac:dyDescent="0.35">
      <c r="A1467" s="11" t="s">
        <v>9196</v>
      </c>
      <c r="B1467" s="5">
        <v>1</v>
      </c>
    </row>
    <row r="1468" spans="1:2" x14ac:dyDescent="0.35">
      <c r="A1468" s="11" t="s">
        <v>2337</v>
      </c>
      <c r="B1468" s="5">
        <v>1</v>
      </c>
    </row>
    <row r="1469" spans="1:2" x14ac:dyDescent="0.35">
      <c r="A1469" s="11" t="s">
        <v>10030</v>
      </c>
      <c r="B1469" s="5">
        <v>1</v>
      </c>
    </row>
    <row r="1470" spans="1:2" x14ac:dyDescent="0.35">
      <c r="A1470" s="11" t="s">
        <v>4881</v>
      </c>
      <c r="B1470" s="5">
        <v>1</v>
      </c>
    </row>
    <row r="1471" spans="1:2" x14ac:dyDescent="0.35">
      <c r="A1471" s="11" t="s">
        <v>1698</v>
      </c>
      <c r="B1471" s="5">
        <v>11</v>
      </c>
    </row>
    <row r="1472" spans="1:2" x14ac:dyDescent="0.35">
      <c r="A1472" s="11" t="s">
        <v>7516</v>
      </c>
      <c r="B1472" s="5">
        <v>1</v>
      </c>
    </row>
    <row r="1473" spans="1:2" x14ac:dyDescent="0.35">
      <c r="A1473" s="11" t="s">
        <v>4102</v>
      </c>
      <c r="B1473" s="5">
        <v>1</v>
      </c>
    </row>
    <row r="1474" spans="1:2" x14ac:dyDescent="0.35">
      <c r="A1474" s="11" t="s">
        <v>5868</v>
      </c>
      <c r="B1474" s="5">
        <v>2</v>
      </c>
    </row>
    <row r="1475" spans="1:2" x14ac:dyDescent="0.35">
      <c r="A1475" s="11" t="s">
        <v>12934</v>
      </c>
      <c r="B1475" s="5">
        <v>1</v>
      </c>
    </row>
    <row r="1476" spans="1:2" x14ac:dyDescent="0.35">
      <c r="A1476" s="11" t="s">
        <v>4850</v>
      </c>
      <c r="B1476" s="5">
        <v>1</v>
      </c>
    </row>
    <row r="1477" spans="1:2" x14ac:dyDescent="0.35">
      <c r="A1477" s="11" t="s">
        <v>3373</v>
      </c>
      <c r="B1477" s="5">
        <v>3</v>
      </c>
    </row>
    <row r="1478" spans="1:2" x14ac:dyDescent="0.35">
      <c r="A1478" s="11" t="s">
        <v>982</v>
      </c>
      <c r="B1478" s="5">
        <v>1</v>
      </c>
    </row>
    <row r="1479" spans="1:2" x14ac:dyDescent="0.35">
      <c r="A1479" s="11" t="s">
        <v>9941</v>
      </c>
      <c r="B1479" s="5">
        <v>1</v>
      </c>
    </row>
    <row r="1480" spans="1:2" x14ac:dyDescent="0.35">
      <c r="A1480" s="11" t="s">
        <v>10504</v>
      </c>
      <c r="B1480" s="5">
        <v>2</v>
      </c>
    </row>
    <row r="1481" spans="1:2" x14ac:dyDescent="0.35">
      <c r="A1481" s="11" t="s">
        <v>11831</v>
      </c>
      <c r="B1481" s="5">
        <v>1</v>
      </c>
    </row>
    <row r="1482" spans="1:2" x14ac:dyDescent="0.35">
      <c r="A1482" s="11" t="s">
        <v>4652</v>
      </c>
      <c r="B1482" s="5">
        <v>1</v>
      </c>
    </row>
    <row r="1483" spans="1:2" x14ac:dyDescent="0.35">
      <c r="A1483" s="11" t="s">
        <v>7955</v>
      </c>
      <c r="B1483" s="5">
        <v>3</v>
      </c>
    </row>
    <row r="1484" spans="1:2" x14ac:dyDescent="0.35">
      <c r="A1484" s="11" t="s">
        <v>2341</v>
      </c>
      <c r="B1484" s="5">
        <v>1</v>
      </c>
    </row>
    <row r="1485" spans="1:2" x14ac:dyDescent="0.35">
      <c r="A1485" s="11" t="s">
        <v>7603</v>
      </c>
      <c r="B1485" s="5">
        <v>1</v>
      </c>
    </row>
    <row r="1486" spans="1:2" x14ac:dyDescent="0.35">
      <c r="A1486" s="11" t="s">
        <v>4081</v>
      </c>
      <c r="B1486" s="5">
        <v>1</v>
      </c>
    </row>
    <row r="1487" spans="1:2" x14ac:dyDescent="0.35">
      <c r="A1487" s="11" t="s">
        <v>5191</v>
      </c>
      <c r="B1487" s="5">
        <v>1</v>
      </c>
    </row>
    <row r="1488" spans="1:2" x14ac:dyDescent="0.35">
      <c r="A1488" s="11" t="s">
        <v>1618</v>
      </c>
      <c r="B1488" s="5">
        <v>4</v>
      </c>
    </row>
    <row r="1489" spans="1:2" x14ac:dyDescent="0.35">
      <c r="A1489" s="11" t="s">
        <v>4148</v>
      </c>
      <c r="B1489" s="5">
        <v>1</v>
      </c>
    </row>
    <row r="1490" spans="1:2" x14ac:dyDescent="0.35">
      <c r="A1490" s="11" t="s">
        <v>1703</v>
      </c>
      <c r="B1490" s="5">
        <v>1</v>
      </c>
    </row>
    <row r="1491" spans="1:2" x14ac:dyDescent="0.35">
      <c r="A1491" s="11" t="s">
        <v>7373</v>
      </c>
      <c r="B1491" s="5">
        <v>2</v>
      </c>
    </row>
    <row r="1492" spans="1:2" x14ac:dyDescent="0.35">
      <c r="A1492" s="11" t="s">
        <v>4770</v>
      </c>
      <c r="B1492" s="5">
        <v>3</v>
      </c>
    </row>
    <row r="1493" spans="1:2" x14ac:dyDescent="0.35">
      <c r="A1493" s="11" t="s">
        <v>1316</v>
      </c>
      <c r="B1493" s="5">
        <v>2</v>
      </c>
    </row>
    <row r="1494" spans="1:2" x14ac:dyDescent="0.35">
      <c r="A1494" s="11" t="s">
        <v>6115</v>
      </c>
      <c r="B1494" s="5">
        <v>5</v>
      </c>
    </row>
    <row r="1495" spans="1:2" x14ac:dyDescent="0.35">
      <c r="A1495" s="11" t="s">
        <v>7425</v>
      </c>
      <c r="B1495" s="5">
        <v>1</v>
      </c>
    </row>
    <row r="1496" spans="1:2" x14ac:dyDescent="0.35">
      <c r="A1496" s="11" t="s">
        <v>6759</v>
      </c>
      <c r="B1496" s="5">
        <v>1</v>
      </c>
    </row>
    <row r="1497" spans="1:2" x14ac:dyDescent="0.35">
      <c r="A1497" s="11" t="s">
        <v>7216</v>
      </c>
      <c r="B1497" s="5">
        <v>1</v>
      </c>
    </row>
    <row r="1498" spans="1:2" x14ac:dyDescent="0.35">
      <c r="A1498" s="11" t="s">
        <v>3614</v>
      </c>
      <c r="B1498" s="5">
        <v>1</v>
      </c>
    </row>
    <row r="1499" spans="1:2" x14ac:dyDescent="0.35">
      <c r="A1499" s="11" t="s">
        <v>7356</v>
      </c>
      <c r="B1499" s="5">
        <v>1</v>
      </c>
    </row>
    <row r="1500" spans="1:2" x14ac:dyDescent="0.35">
      <c r="A1500" s="11" t="s">
        <v>3268</v>
      </c>
      <c r="B1500" s="5">
        <v>1</v>
      </c>
    </row>
    <row r="1501" spans="1:2" x14ac:dyDescent="0.35">
      <c r="A1501" s="11" t="s">
        <v>8768</v>
      </c>
      <c r="B1501" s="5">
        <v>2</v>
      </c>
    </row>
    <row r="1502" spans="1:2" x14ac:dyDescent="0.35">
      <c r="A1502" s="11" t="s">
        <v>3344</v>
      </c>
      <c r="B1502" s="5">
        <v>3</v>
      </c>
    </row>
    <row r="1503" spans="1:2" x14ac:dyDescent="0.35">
      <c r="A1503" s="11" t="s">
        <v>7765</v>
      </c>
      <c r="B1503" s="5">
        <v>1</v>
      </c>
    </row>
    <row r="1504" spans="1:2" x14ac:dyDescent="0.35">
      <c r="A1504" s="11" t="s">
        <v>1433</v>
      </c>
      <c r="B1504" s="5">
        <v>3</v>
      </c>
    </row>
    <row r="1505" spans="1:2" x14ac:dyDescent="0.35">
      <c r="A1505" s="11" t="s">
        <v>6112</v>
      </c>
      <c r="B1505" s="5">
        <v>2</v>
      </c>
    </row>
    <row r="1506" spans="1:2" x14ac:dyDescent="0.35">
      <c r="A1506" s="11" t="s">
        <v>4821</v>
      </c>
      <c r="B1506" s="5">
        <v>3</v>
      </c>
    </row>
    <row r="1507" spans="1:2" x14ac:dyDescent="0.35">
      <c r="A1507" s="11" t="s">
        <v>5078</v>
      </c>
      <c r="B1507" s="5">
        <v>1</v>
      </c>
    </row>
    <row r="1508" spans="1:2" x14ac:dyDescent="0.35">
      <c r="A1508" s="11" t="s">
        <v>7465</v>
      </c>
      <c r="B1508" s="5">
        <v>1</v>
      </c>
    </row>
    <row r="1509" spans="1:2" x14ac:dyDescent="0.35">
      <c r="A1509" s="11" t="s">
        <v>7428</v>
      </c>
      <c r="B1509" s="5">
        <v>1</v>
      </c>
    </row>
    <row r="1510" spans="1:2" x14ac:dyDescent="0.35">
      <c r="A1510" s="12" t="s">
        <v>360</v>
      </c>
      <c r="B1510" s="13">
        <v>501</v>
      </c>
    </row>
    <row r="1511" spans="1:2" x14ac:dyDescent="0.35">
      <c r="A1511" s="11" t="s">
        <v>4694</v>
      </c>
      <c r="B1511" s="5">
        <v>5</v>
      </c>
    </row>
    <row r="1512" spans="1:2" x14ac:dyDescent="0.35">
      <c r="A1512" s="11" t="s">
        <v>515</v>
      </c>
      <c r="B1512" s="5">
        <v>17</v>
      </c>
    </row>
    <row r="1513" spans="1:2" x14ac:dyDescent="0.35">
      <c r="A1513" s="11" t="s">
        <v>3542</v>
      </c>
      <c r="B1513" s="5">
        <v>1</v>
      </c>
    </row>
    <row r="1514" spans="1:2" x14ac:dyDescent="0.35">
      <c r="A1514" s="11" t="s">
        <v>5083</v>
      </c>
      <c r="B1514" s="5">
        <v>1</v>
      </c>
    </row>
    <row r="1515" spans="1:2" x14ac:dyDescent="0.35">
      <c r="A1515" s="11" t="s">
        <v>4950</v>
      </c>
      <c r="B1515" s="5">
        <v>6</v>
      </c>
    </row>
    <row r="1516" spans="1:2" x14ac:dyDescent="0.35">
      <c r="A1516" s="11" t="s">
        <v>3830</v>
      </c>
      <c r="B1516" s="5">
        <v>3</v>
      </c>
    </row>
    <row r="1517" spans="1:2" x14ac:dyDescent="0.35">
      <c r="A1517" s="11" t="s">
        <v>52</v>
      </c>
      <c r="B1517" s="5">
        <v>1</v>
      </c>
    </row>
    <row r="1518" spans="1:2" x14ac:dyDescent="0.35">
      <c r="A1518" s="11" t="s">
        <v>5350</v>
      </c>
      <c r="B1518" s="5">
        <v>1</v>
      </c>
    </row>
    <row r="1519" spans="1:2" x14ac:dyDescent="0.35">
      <c r="A1519" s="11" t="s">
        <v>12945</v>
      </c>
      <c r="B1519" s="5">
        <v>3</v>
      </c>
    </row>
    <row r="1520" spans="1:2" x14ac:dyDescent="0.35">
      <c r="A1520" s="11" t="s">
        <v>11321</v>
      </c>
      <c r="B1520" s="5">
        <v>3</v>
      </c>
    </row>
    <row r="1521" spans="1:2" x14ac:dyDescent="0.35">
      <c r="A1521" s="11" t="s">
        <v>9223</v>
      </c>
      <c r="B1521" s="5">
        <v>5</v>
      </c>
    </row>
    <row r="1522" spans="1:2" x14ac:dyDescent="0.35">
      <c r="A1522" s="11" t="s">
        <v>4180</v>
      </c>
      <c r="B1522" s="5">
        <v>1</v>
      </c>
    </row>
    <row r="1523" spans="1:2" x14ac:dyDescent="0.35">
      <c r="A1523" s="11" t="s">
        <v>11927</v>
      </c>
      <c r="B1523" s="5">
        <v>1</v>
      </c>
    </row>
    <row r="1524" spans="1:2" x14ac:dyDescent="0.35">
      <c r="A1524" s="11" t="s">
        <v>7150</v>
      </c>
      <c r="B1524" s="5">
        <v>26</v>
      </c>
    </row>
    <row r="1525" spans="1:2" x14ac:dyDescent="0.35">
      <c r="A1525" s="11" t="s">
        <v>4289</v>
      </c>
      <c r="B1525" s="5">
        <v>22</v>
      </c>
    </row>
    <row r="1526" spans="1:2" x14ac:dyDescent="0.35">
      <c r="A1526" s="11" t="s">
        <v>7657</v>
      </c>
      <c r="B1526" s="5">
        <v>6</v>
      </c>
    </row>
    <row r="1527" spans="1:2" x14ac:dyDescent="0.35">
      <c r="A1527" s="11" t="s">
        <v>10717</v>
      </c>
      <c r="B1527" s="5">
        <v>1</v>
      </c>
    </row>
    <row r="1528" spans="1:2" x14ac:dyDescent="0.35">
      <c r="A1528" s="11" t="s">
        <v>11199</v>
      </c>
      <c r="B1528" s="5">
        <v>3</v>
      </c>
    </row>
    <row r="1529" spans="1:2" x14ac:dyDescent="0.35">
      <c r="A1529" s="11" t="s">
        <v>10371</v>
      </c>
      <c r="B1529" s="5">
        <v>1</v>
      </c>
    </row>
    <row r="1530" spans="1:2" x14ac:dyDescent="0.35">
      <c r="A1530" s="11" t="s">
        <v>7698</v>
      </c>
      <c r="B1530" s="5">
        <v>2</v>
      </c>
    </row>
    <row r="1531" spans="1:2" x14ac:dyDescent="0.35">
      <c r="A1531" s="11" t="s">
        <v>3619</v>
      </c>
      <c r="B1531" s="5">
        <v>1</v>
      </c>
    </row>
    <row r="1532" spans="1:2" x14ac:dyDescent="0.35">
      <c r="A1532" s="11" t="s">
        <v>1547</v>
      </c>
      <c r="B1532" s="5">
        <v>8</v>
      </c>
    </row>
    <row r="1533" spans="1:2" x14ac:dyDescent="0.35">
      <c r="A1533" s="11" t="s">
        <v>7850</v>
      </c>
      <c r="B1533" s="5">
        <v>1</v>
      </c>
    </row>
    <row r="1534" spans="1:2" x14ac:dyDescent="0.35">
      <c r="A1534" s="11" t="s">
        <v>3736</v>
      </c>
      <c r="B1534" s="5">
        <v>3</v>
      </c>
    </row>
    <row r="1535" spans="1:2" x14ac:dyDescent="0.35">
      <c r="A1535" s="11" t="s">
        <v>11316</v>
      </c>
      <c r="B1535" s="5">
        <v>1</v>
      </c>
    </row>
    <row r="1536" spans="1:2" x14ac:dyDescent="0.35">
      <c r="A1536" s="11" t="s">
        <v>8963</v>
      </c>
      <c r="B1536" s="5">
        <v>1</v>
      </c>
    </row>
    <row r="1537" spans="1:2" x14ac:dyDescent="0.35">
      <c r="A1537" s="11" t="s">
        <v>1477</v>
      </c>
      <c r="B1537" s="5">
        <v>7</v>
      </c>
    </row>
    <row r="1538" spans="1:2" x14ac:dyDescent="0.35">
      <c r="A1538" s="11" t="s">
        <v>11738</v>
      </c>
      <c r="B1538" s="5">
        <v>3</v>
      </c>
    </row>
    <row r="1539" spans="1:2" x14ac:dyDescent="0.35">
      <c r="A1539" s="11" t="s">
        <v>12936</v>
      </c>
      <c r="B1539" s="5">
        <v>3</v>
      </c>
    </row>
    <row r="1540" spans="1:2" x14ac:dyDescent="0.35">
      <c r="A1540" s="11" t="s">
        <v>11353</v>
      </c>
      <c r="B1540" s="5">
        <v>3</v>
      </c>
    </row>
    <row r="1541" spans="1:2" x14ac:dyDescent="0.35">
      <c r="A1541" s="11" t="s">
        <v>7650</v>
      </c>
      <c r="B1541" s="5">
        <v>1</v>
      </c>
    </row>
    <row r="1542" spans="1:2" x14ac:dyDescent="0.35">
      <c r="A1542" s="11" t="s">
        <v>2827</v>
      </c>
      <c r="B1542" s="5">
        <v>1</v>
      </c>
    </row>
    <row r="1543" spans="1:2" x14ac:dyDescent="0.35">
      <c r="A1543" s="11" t="s">
        <v>11187</v>
      </c>
      <c r="B1543" s="5">
        <v>4</v>
      </c>
    </row>
    <row r="1544" spans="1:2" x14ac:dyDescent="0.35">
      <c r="A1544" s="11" t="s">
        <v>11328</v>
      </c>
      <c r="B1544" s="5">
        <v>1</v>
      </c>
    </row>
    <row r="1545" spans="1:2" x14ac:dyDescent="0.35">
      <c r="A1545" s="11" t="s">
        <v>11347</v>
      </c>
      <c r="B1545" s="5">
        <v>3</v>
      </c>
    </row>
    <row r="1546" spans="1:2" x14ac:dyDescent="0.35">
      <c r="A1546" s="11" t="s">
        <v>11360</v>
      </c>
      <c r="B1546" s="5">
        <v>3</v>
      </c>
    </row>
    <row r="1547" spans="1:2" x14ac:dyDescent="0.35">
      <c r="A1547" s="11" t="s">
        <v>2959</v>
      </c>
      <c r="B1547" s="5">
        <v>1</v>
      </c>
    </row>
    <row r="1548" spans="1:2" x14ac:dyDescent="0.35">
      <c r="A1548" s="11" t="s">
        <v>11704</v>
      </c>
      <c r="B1548" s="5">
        <v>4</v>
      </c>
    </row>
    <row r="1549" spans="1:2" x14ac:dyDescent="0.35">
      <c r="A1549" s="11" t="s">
        <v>11731</v>
      </c>
      <c r="B1549" s="5">
        <v>3</v>
      </c>
    </row>
    <row r="1550" spans="1:2" x14ac:dyDescent="0.35">
      <c r="A1550" s="11" t="s">
        <v>1213</v>
      </c>
      <c r="B1550" s="5">
        <v>3</v>
      </c>
    </row>
    <row r="1551" spans="1:2" x14ac:dyDescent="0.35">
      <c r="A1551" s="11" t="s">
        <v>2603</v>
      </c>
      <c r="B1551" s="5">
        <v>1</v>
      </c>
    </row>
    <row r="1552" spans="1:2" x14ac:dyDescent="0.35">
      <c r="A1552" s="11" t="s">
        <v>3815</v>
      </c>
      <c r="B1552" s="5">
        <v>1</v>
      </c>
    </row>
    <row r="1553" spans="1:2" x14ac:dyDescent="0.35">
      <c r="A1553" s="11" t="s">
        <v>11184</v>
      </c>
      <c r="B1553" s="5">
        <v>7</v>
      </c>
    </row>
    <row r="1554" spans="1:2" x14ac:dyDescent="0.35">
      <c r="A1554" s="11" t="s">
        <v>11333</v>
      </c>
      <c r="B1554" s="5">
        <v>3</v>
      </c>
    </row>
    <row r="1555" spans="1:2" x14ac:dyDescent="0.35">
      <c r="A1555" s="11" t="s">
        <v>11173</v>
      </c>
      <c r="B1555" s="5">
        <v>1</v>
      </c>
    </row>
    <row r="1556" spans="1:2" x14ac:dyDescent="0.35">
      <c r="A1556" s="11" t="s">
        <v>11726</v>
      </c>
      <c r="B1556" s="5">
        <v>3</v>
      </c>
    </row>
    <row r="1557" spans="1:2" x14ac:dyDescent="0.35">
      <c r="A1557" s="11" t="s">
        <v>11178</v>
      </c>
      <c r="B1557" s="5">
        <v>3</v>
      </c>
    </row>
    <row r="1558" spans="1:2" x14ac:dyDescent="0.35">
      <c r="A1558" s="11" t="s">
        <v>9047</v>
      </c>
      <c r="B1558" s="5">
        <v>8</v>
      </c>
    </row>
    <row r="1559" spans="1:2" x14ac:dyDescent="0.35">
      <c r="A1559" s="11" t="s">
        <v>11729</v>
      </c>
      <c r="B1559" s="5">
        <v>3</v>
      </c>
    </row>
    <row r="1560" spans="1:2" x14ac:dyDescent="0.35">
      <c r="A1560" s="11" t="s">
        <v>4376</v>
      </c>
      <c r="B1560" s="5">
        <v>1</v>
      </c>
    </row>
    <row r="1561" spans="1:2" x14ac:dyDescent="0.35">
      <c r="A1561" s="11" t="s">
        <v>13074</v>
      </c>
      <c r="B1561" s="5">
        <v>1</v>
      </c>
    </row>
    <row r="1562" spans="1:2" x14ac:dyDescent="0.35">
      <c r="A1562" s="11" t="s">
        <v>4197</v>
      </c>
      <c r="B1562" s="5">
        <v>16</v>
      </c>
    </row>
    <row r="1563" spans="1:2" x14ac:dyDescent="0.35">
      <c r="A1563" s="11" t="s">
        <v>11103</v>
      </c>
      <c r="B1563" s="5">
        <v>1</v>
      </c>
    </row>
    <row r="1564" spans="1:2" x14ac:dyDescent="0.35">
      <c r="A1564" s="11" t="s">
        <v>3774</v>
      </c>
      <c r="B1564" s="5">
        <v>1</v>
      </c>
    </row>
    <row r="1565" spans="1:2" x14ac:dyDescent="0.35">
      <c r="A1565" s="11" t="s">
        <v>11473</v>
      </c>
      <c r="B1565" s="5">
        <v>1</v>
      </c>
    </row>
    <row r="1566" spans="1:2" x14ac:dyDescent="0.35">
      <c r="A1566" s="11" t="s">
        <v>8587</v>
      </c>
      <c r="B1566" s="5">
        <v>3</v>
      </c>
    </row>
    <row r="1567" spans="1:2" x14ac:dyDescent="0.35">
      <c r="A1567" s="11" t="s">
        <v>9587</v>
      </c>
      <c r="B1567" s="5">
        <v>7</v>
      </c>
    </row>
    <row r="1568" spans="1:2" x14ac:dyDescent="0.35">
      <c r="A1568" s="11" t="s">
        <v>12645</v>
      </c>
      <c r="B1568" s="5">
        <v>3</v>
      </c>
    </row>
    <row r="1569" spans="1:2" x14ac:dyDescent="0.35">
      <c r="A1569" s="11" t="s">
        <v>12941</v>
      </c>
      <c r="B1569" s="5">
        <v>5</v>
      </c>
    </row>
    <row r="1570" spans="1:2" x14ac:dyDescent="0.35">
      <c r="A1570" s="11" t="s">
        <v>12943</v>
      </c>
      <c r="B1570" s="5">
        <v>3</v>
      </c>
    </row>
    <row r="1571" spans="1:2" x14ac:dyDescent="0.35">
      <c r="A1571" s="11" t="s">
        <v>12435</v>
      </c>
      <c r="B1571" s="5">
        <v>3</v>
      </c>
    </row>
    <row r="1572" spans="1:2" x14ac:dyDescent="0.35">
      <c r="A1572" s="11" t="s">
        <v>4223</v>
      </c>
      <c r="B1572" s="5">
        <v>3</v>
      </c>
    </row>
    <row r="1573" spans="1:2" x14ac:dyDescent="0.35">
      <c r="A1573" s="11" t="s">
        <v>11929</v>
      </c>
      <c r="B1573" s="5">
        <v>3</v>
      </c>
    </row>
    <row r="1574" spans="1:2" x14ac:dyDescent="0.35">
      <c r="A1574" s="11" t="s">
        <v>12939</v>
      </c>
      <c r="B1574" s="5">
        <v>3</v>
      </c>
    </row>
    <row r="1575" spans="1:2" x14ac:dyDescent="0.35">
      <c r="A1575" s="11" t="s">
        <v>11736</v>
      </c>
      <c r="B1575" s="5">
        <v>3</v>
      </c>
    </row>
    <row r="1576" spans="1:2" x14ac:dyDescent="0.35">
      <c r="A1576" s="11" t="s">
        <v>10476</v>
      </c>
      <c r="B1576" s="5">
        <v>5</v>
      </c>
    </row>
    <row r="1577" spans="1:2" x14ac:dyDescent="0.35">
      <c r="A1577" s="11" t="s">
        <v>11195</v>
      </c>
      <c r="B1577" s="5">
        <v>3</v>
      </c>
    </row>
    <row r="1578" spans="1:2" x14ac:dyDescent="0.35">
      <c r="A1578" s="11" t="s">
        <v>11170</v>
      </c>
      <c r="B1578" s="5">
        <v>3</v>
      </c>
    </row>
    <row r="1579" spans="1:2" x14ac:dyDescent="0.35">
      <c r="A1579" s="11" t="s">
        <v>8830</v>
      </c>
      <c r="B1579" s="5">
        <v>1</v>
      </c>
    </row>
    <row r="1580" spans="1:2" x14ac:dyDescent="0.35">
      <c r="A1580" s="11" t="s">
        <v>11741</v>
      </c>
      <c r="B1580" s="5">
        <v>3</v>
      </c>
    </row>
    <row r="1581" spans="1:2" x14ac:dyDescent="0.35">
      <c r="A1581" s="11" t="s">
        <v>3357</v>
      </c>
      <c r="B1581" s="5">
        <v>1</v>
      </c>
    </row>
    <row r="1582" spans="1:2" x14ac:dyDescent="0.35">
      <c r="A1582" s="11" t="s">
        <v>8287</v>
      </c>
      <c r="B1582" s="5">
        <v>1</v>
      </c>
    </row>
    <row r="1583" spans="1:2" x14ac:dyDescent="0.35">
      <c r="A1583" s="11" t="s">
        <v>10305</v>
      </c>
      <c r="B1583" s="5">
        <v>1</v>
      </c>
    </row>
    <row r="1584" spans="1:2" x14ac:dyDescent="0.35">
      <c r="A1584" s="11" t="s">
        <v>9582</v>
      </c>
      <c r="B1584" s="5">
        <v>10</v>
      </c>
    </row>
    <row r="1585" spans="1:2" x14ac:dyDescent="0.35">
      <c r="A1585" s="11" t="s">
        <v>9776</v>
      </c>
      <c r="B1585" s="5">
        <v>1</v>
      </c>
    </row>
    <row r="1586" spans="1:2" x14ac:dyDescent="0.35">
      <c r="A1586" s="11" t="s">
        <v>1600</v>
      </c>
      <c r="B1586" s="5">
        <v>3</v>
      </c>
    </row>
    <row r="1587" spans="1:2" x14ac:dyDescent="0.35">
      <c r="A1587" s="11" t="s">
        <v>11341</v>
      </c>
      <c r="B1587" s="5">
        <v>5</v>
      </c>
    </row>
    <row r="1588" spans="1:2" x14ac:dyDescent="0.35">
      <c r="A1588" s="11" t="s">
        <v>12433</v>
      </c>
      <c r="B1588" s="5">
        <v>3</v>
      </c>
    </row>
    <row r="1589" spans="1:2" x14ac:dyDescent="0.35">
      <c r="A1589" s="11" t="s">
        <v>5333</v>
      </c>
      <c r="B1589" s="5">
        <v>10</v>
      </c>
    </row>
    <row r="1590" spans="1:2" x14ac:dyDescent="0.35">
      <c r="A1590" s="11" t="s">
        <v>9580</v>
      </c>
      <c r="B1590" s="5">
        <v>8</v>
      </c>
    </row>
    <row r="1591" spans="1:2" x14ac:dyDescent="0.35">
      <c r="A1591" s="11" t="s">
        <v>12430</v>
      </c>
      <c r="B1591" s="5">
        <v>3</v>
      </c>
    </row>
    <row r="1592" spans="1:2" x14ac:dyDescent="0.35">
      <c r="A1592" s="11" t="s">
        <v>11189</v>
      </c>
      <c r="B1592" s="5">
        <v>3</v>
      </c>
    </row>
    <row r="1593" spans="1:2" x14ac:dyDescent="0.35">
      <c r="A1593" s="11" t="s">
        <v>11795</v>
      </c>
      <c r="B1593" s="5">
        <v>2</v>
      </c>
    </row>
    <row r="1594" spans="1:2" x14ac:dyDescent="0.35">
      <c r="A1594" s="11" t="s">
        <v>4079</v>
      </c>
      <c r="B1594" s="5">
        <v>4</v>
      </c>
    </row>
    <row r="1595" spans="1:2" x14ac:dyDescent="0.35">
      <c r="A1595" s="11" t="s">
        <v>12437</v>
      </c>
      <c r="B1595" s="5">
        <v>3</v>
      </c>
    </row>
    <row r="1596" spans="1:2" x14ac:dyDescent="0.35">
      <c r="A1596" s="11" t="s">
        <v>3650</v>
      </c>
      <c r="B1596" s="5">
        <v>3</v>
      </c>
    </row>
    <row r="1597" spans="1:2" x14ac:dyDescent="0.35">
      <c r="A1597" s="11" t="s">
        <v>8581</v>
      </c>
      <c r="B1597" s="5">
        <v>5</v>
      </c>
    </row>
    <row r="1598" spans="1:2" x14ac:dyDescent="0.35">
      <c r="A1598" s="11" t="s">
        <v>11330</v>
      </c>
      <c r="B1598" s="5">
        <v>3</v>
      </c>
    </row>
    <row r="1599" spans="1:2" x14ac:dyDescent="0.35">
      <c r="A1599" s="11" t="s">
        <v>11355</v>
      </c>
      <c r="B1599" s="5">
        <v>3</v>
      </c>
    </row>
    <row r="1600" spans="1:2" x14ac:dyDescent="0.35">
      <c r="A1600" s="11" t="s">
        <v>10123</v>
      </c>
      <c r="B1600" s="5">
        <v>4</v>
      </c>
    </row>
    <row r="1601" spans="1:2" x14ac:dyDescent="0.35">
      <c r="A1601" s="11" t="s">
        <v>955</v>
      </c>
      <c r="B1601" s="5">
        <v>1</v>
      </c>
    </row>
    <row r="1602" spans="1:2" x14ac:dyDescent="0.35">
      <c r="A1602" s="11" t="s">
        <v>11743</v>
      </c>
      <c r="B1602" s="5">
        <v>3</v>
      </c>
    </row>
    <row r="1603" spans="1:2" x14ac:dyDescent="0.35">
      <c r="A1603" s="11" t="s">
        <v>11357</v>
      </c>
      <c r="B1603" s="5">
        <v>4</v>
      </c>
    </row>
    <row r="1604" spans="1:2" x14ac:dyDescent="0.35">
      <c r="A1604" s="11" t="s">
        <v>4169</v>
      </c>
      <c r="B1604" s="5">
        <v>6</v>
      </c>
    </row>
    <row r="1605" spans="1:2" x14ac:dyDescent="0.35">
      <c r="A1605" s="11" t="s">
        <v>11168</v>
      </c>
      <c r="B1605" s="5">
        <v>3</v>
      </c>
    </row>
    <row r="1606" spans="1:2" x14ac:dyDescent="0.35">
      <c r="A1606" s="11" t="s">
        <v>1115</v>
      </c>
      <c r="B1606" s="5">
        <v>2</v>
      </c>
    </row>
    <row r="1607" spans="1:2" x14ac:dyDescent="0.35">
      <c r="A1607" s="11" t="s">
        <v>10421</v>
      </c>
      <c r="B1607" s="5">
        <v>4</v>
      </c>
    </row>
    <row r="1608" spans="1:2" x14ac:dyDescent="0.35">
      <c r="A1608" s="11" t="s">
        <v>9055</v>
      </c>
      <c r="B1608" s="5">
        <v>3</v>
      </c>
    </row>
    <row r="1609" spans="1:2" x14ac:dyDescent="0.35">
      <c r="A1609" s="11" t="s">
        <v>5959</v>
      </c>
      <c r="B1609" s="5">
        <v>1</v>
      </c>
    </row>
    <row r="1610" spans="1:2" x14ac:dyDescent="0.35">
      <c r="A1610" s="11" t="s">
        <v>389</v>
      </c>
      <c r="B1610" s="5">
        <v>1</v>
      </c>
    </row>
    <row r="1611" spans="1:2" x14ac:dyDescent="0.35">
      <c r="A1611" s="11" t="s">
        <v>11477</v>
      </c>
      <c r="B1611" s="5">
        <v>1</v>
      </c>
    </row>
    <row r="1612" spans="1:2" x14ac:dyDescent="0.35">
      <c r="A1612" s="11" t="s">
        <v>13034</v>
      </c>
      <c r="B1612" s="5">
        <v>1</v>
      </c>
    </row>
    <row r="1613" spans="1:2" x14ac:dyDescent="0.35">
      <c r="A1613" s="11" t="s">
        <v>7842</v>
      </c>
      <c r="B1613" s="5">
        <v>2</v>
      </c>
    </row>
    <row r="1614" spans="1:2" x14ac:dyDescent="0.35">
      <c r="A1614" s="11" t="s">
        <v>11161</v>
      </c>
      <c r="B1614" s="5">
        <v>6</v>
      </c>
    </row>
    <row r="1615" spans="1:2" x14ac:dyDescent="0.35">
      <c r="A1615" s="11" t="s">
        <v>11708</v>
      </c>
      <c r="B1615" s="5">
        <v>3</v>
      </c>
    </row>
    <row r="1616" spans="1:2" x14ac:dyDescent="0.35">
      <c r="A1616" s="11" t="s">
        <v>11202</v>
      </c>
      <c r="B1616" s="5">
        <v>3</v>
      </c>
    </row>
    <row r="1617" spans="1:2" x14ac:dyDescent="0.35">
      <c r="A1617" s="11" t="s">
        <v>12535</v>
      </c>
      <c r="B1617" s="5">
        <v>1</v>
      </c>
    </row>
    <row r="1618" spans="1:2" x14ac:dyDescent="0.35">
      <c r="A1618" s="11" t="s">
        <v>11734</v>
      </c>
      <c r="B1618" s="5">
        <v>3</v>
      </c>
    </row>
    <row r="1619" spans="1:2" x14ac:dyDescent="0.35">
      <c r="A1619" s="11" t="s">
        <v>9262</v>
      </c>
      <c r="B1619" s="5">
        <v>8</v>
      </c>
    </row>
    <row r="1620" spans="1:2" x14ac:dyDescent="0.35">
      <c r="A1620" s="11" t="s">
        <v>1099</v>
      </c>
      <c r="B1620" s="5">
        <v>10</v>
      </c>
    </row>
    <row r="1621" spans="1:2" x14ac:dyDescent="0.35">
      <c r="A1621" s="11" t="s">
        <v>11176</v>
      </c>
      <c r="B1621" s="5">
        <v>3</v>
      </c>
    </row>
    <row r="1622" spans="1:2" x14ac:dyDescent="0.35">
      <c r="A1622" s="11" t="s">
        <v>5197</v>
      </c>
      <c r="B1622" s="5">
        <v>4</v>
      </c>
    </row>
    <row r="1623" spans="1:2" x14ac:dyDescent="0.35">
      <c r="A1623" s="11" t="s">
        <v>2692</v>
      </c>
      <c r="B1623" s="5">
        <v>4</v>
      </c>
    </row>
    <row r="1624" spans="1:2" x14ac:dyDescent="0.35">
      <c r="A1624" s="11" t="s">
        <v>11711</v>
      </c>
      <c r="B1624" s="5">
        <v>1</v>
      </c>
    </row>
    <row r="1625" spans="1:2" x14ac:dyDescent="0.35">
      <c r="A1625" s="11" t="s">
        <v>12971</v>
      </c>
      <c r="B1625" s="5">
        <v>1</v>
      </c>
    </row>
    <row r="1626" spans="1:2" x14ac:dyDescent="0.35">
      <c r="A1626" s="11" t="s">
        <v>8802</v>
      </c>
      <c r="B1626" s="5">
        <v>8</v>
      </c>
    </row>
    <row r="1627" spans="1:2" x14ac:dyDescent="0.35">
      <c r="A1627" s="11" t="s">
        <v>362</v>
      </c>
      <c r="B1627" s="5">
        <v>1</v>
      </c>
    </row>
    <row r="1628" spans="1:2" x14ac:dyDescent="0.35">
      <c r="A1628" s="11" t="s">
        <v>3668</v>
      </c>
      <c r="B1628" s="5">
        <v>1</v>
      </c>
    </row>
    <row r="1629" spans="1:2" x14ac:dyDescent="0.35">
      <c r="A1629" s="11" t="s">
        <v>11571</v>
      </c>
      <c r="B1629" s="5">
        <v>2</v>
      </c>
    </row>
    <row r="1630" spans="1:2" x14ac:dyDescent="0.35">
      <c r="A1630" s="11" t="s">
        <v>4903</v>
      </c>
      <c r="B1630" s="5">
        <v>2</v>
      </c>
    </row>
    <row r="1631" spans="1:2" x14ac:dyDescent="0.35">
      <c r="A1631" s="11" t="s">
        <v>11336</v>
      </c>
      <c r="B1631" s="5">
        <v>3</v>
      </c>
    </row>
    <row r="1632" spans="1:2" x14ac:dyDescent="0.35">
      <c r="A1632" s="11" t="s">
        <v>7014</v>
      </c>
      <c r="B1632" s="5">
        <v>1</v>
      </c>
    </row>
    <row r="1633" spans="1:2" x14ac:dyDescent="0.35">
      <c r="A1633" s="11" t="s">
        <v>11158</v>
      </c>
      <c r="B1633" s="5">
        <v>3</v>
      </c>
    </row>
    <row r="1634" spans="1:2" x14ac:dyDescent="0.35">
      <c r="A1634" s="11" t="s">
        <v>11180</v>
      </c>
      <c r="B1634" s="5">
        <v>3</v>
      </c>
    </row>
    <row r="1635" spans="1:2" x14ac:dyDescent="0.35">
      <c r="A1635" s="11" t="s">
        <v>11429</v>
      </c>
      <c r="B1635" s="5">
        <v>3</v>
      </c>
    </row>
    <row r="1636" spans="1:2" x14ac:dyDescent="0.35">
      <c r="A1636" s="11" t="s">
        <v>4897</v>
      </c>
      <c r="B1636" s="5">
        <v>2</v>
      </c>
    </row>
    <row r="1637" spans="1:2" x14ac:dyDescent="0.35">
      <c r="A1637" s="11" t="s">
        <v>11344</v>
      </c>
      <c r="B1637" s="5">
        <v>3</v>
      </c>
    </row>
    <row r="1638" spans="1:2" x14ac:dyDescent="0.35">
      <c r="A1638" s="11" t="s">
        <v>917</v>
      </c>
      <c r="B1638" s="5">
        <v>1</v>
      </c>
    </row>
    <row r="1639" spans="1:2" x14ac:dyDescent="0.35">
      <c r="A1639" s="11" t="s">
        <v>4594</v>
      </c>
      <c r="B1639" s="5">
        <v>3</v>
      </c>
    </row>
    <row r="1640" spans="1:2" x14ac:dyDescent="0.35">
      <c r="A1640" s="11" t="s">
        <v>10926</v>
      </c>
      <c r="B1640" s="5">
        <v>1</v>
      </c>
    </row>
    <row r="1641" spans="1:2" x14ac:dyDescent="0.35">
      <c r="A1641" s="11" t="s">
        <v>3732</v>
      </c>
      <c r="B1641" s="5">
        <v>3</v>
      </c>
    </row>
    <row r="1642" spans="1:2" x14ac:dyDescent="0.35">
      <c r="A1642" s="11" t="s">
        <v>4081</v>
      </c>
      <c r="B1642" s="5">
        <v>3</v>
      </c>
    </row>
    <row r="1643" spans="1:2" x14ac:dyDescent="0.35">
      <c r="A1643" s="11" t="s">
        <v>11165</v>
      </c>
      <c r="B1643" s="5">
        <v>6</v>
      </c>
    </row>
    <row r="1644" spans="1:2" x14ac:dyDescent="0.35">
      <c r="A1644" s="11" t="s">
        <v>10958</v>
      </c>
      <c r="B1644" s="5">
        <v>4</v>
      </c>
    </row>
    <row r="1645" spans="1:2" x14ac:dyDescent="0.35">
      <c r="A1645" s="11" t="s">
        <v>12168</v>
      </c>
      <c r="B1645" s="5">
        <v>1</v>
      </c>
    </row>
    <row r="1646" spans="1:2" x14ac:dyDescent="0.35">
      <c r="A1646" s="11" t="s">
        <v>4184</v>
      </c>
      <c r="B1646" s="5">
        <v>1</v>
      </c>
    </row>
    <row r="1647" spans="1:2" x14ac:dyDescent="0.35">
      <c r="A1647" s="11" t="s">
        <v>11432</v>
      </c>
      <c r="B1647" s="5">
        <v>1</v>
      </c>
    </row>
    <row r="1648" spans="1:2" x14ac:dyDescent="0.35">
      <c r="A1648" s="11" t="s">
        <v>7454</v>
      </c>
      <c r="B1648" s="5">
        <v>1</v>
      </c>
    </row>
    <row r="1649" spans="1:2" x14ac:dyDescent="0.35">
      <c r="A1649" s="11" t="s">
        <v>11339</v>
      </c>
      <c r="B1649" s="5">
        <v>3</v>
      </c>
    </row>
    <row r="1650" spans="1:2" x14ac:dyDescent="0.35">
      <c r="A1650" s="11" t="s">
        <v>11191</v>
      </c>
      <c r="B1650" s="5">
        <v>3</v>
      </c>
    </row>
    <row r="1651" spans="1:2" x14ac:dyDescent="0.35">
      <c r="A1651" s="11" t="s">
        <v>7765</v>
      </c>
      <c r="B1651" s="5">
        <v>3</v>
      </c>
    </row>
    <row r="1652" spans="1:2" x14ac:dyDescent="0.35">
      <c r="A1652" s="11" t="s">
        <v>9577</v>
      </c>
      <c r="B1652" s="5">
        <v>7</v>
      </c>
    </row>
    <row r="1653" spans="1:2" x14ac:dyDescent="0.35">
      <c r="A1653" s="11" t="s">
        <v>11197</v>
      </c>
      <c r="B1653" s="5">
        <v>3</v>
      </c>
    </row>
    <row r="1654" spans="1:2" x14ac:dyDescent="0.35">
      <c r="A1654" s="11" t="s">
        <v>4922</v>
      </c>
      <c r="B1654" s="5">
        <v>3</v>
      </c>
    </row>
    <row r="1655" spans="1:2" x14ac:dyDescent="0.35">
      <c r="A1655" s="11" t="s">
        <v>7472</v>
      </c>
      <c r="B1655" s="5">
        <v>1</v>
      </c>
    </row>
    <row r="1656" spans="1:2" x14ac:dyDescent="0.35">
      <c r="A1656" s="12" t="s">
        <v>23</v>
      </c>
      <c r="B1656" s="13">
        <v>4253</v>
      </c>
    </row>
    <row r="1657" spans="1:2" x14ac:dyDescent="0.35">
      <c r="A1657" s="11" t="s">
        <v>1993</v>
      </c>
      <c r="B1657" s="5">
        <v>44</v>
      </c>
    </row>
    <row r="1658" spans="1:2" x14ac:dyDescent="0.35">
      <c r="A1658" s="11" t="s">
        <v>12748</v>
      </c>
      <c r="B1658" s="5">
        <v>1</v>
      </c>
    </row>
    <row r="1659" spans="1:2" x14ac:dyDescent="0.35">
      <c r="A1659" s="11" t="s">
        <v>2023</v>
      </c>
      <c r="B1659" s="5">
        <v>5</v>
      </c>
    </row>
    <row r="1660" spans="1:2" x14ac:dyDescent="0.35">
      <c r="A1660" s="11" t="s">
        <v>2035</v>
      </c>
      <c r="B1660" s="5">
        <v>4</v>
      </c>
    </row>
    <row r="1661" spans="1:2" x14ac:dyDescent="0.35">
      <c r="A1661" s="11" t="s">
        <v>2526</v>
      </c>
      <c r="B1661" s="5">
        <v>2</v>
      </c>
    </row>
    <row r="1662" spans="1:2" x14ac:dyDescent="0.35">
      <c r="A1662" s="11" t="s">
        <v>3608</v>
      </c>
      <c r="B1662" s="5">
        <v>1</v>
      </c>
    </row>
    <row r="1663" spans="1:2" x14ac:dyDescent="0.35">
      <c r="A1663" s="11" t="s">
        <v>641</v>
      </c>
      <c r="B1663" s="5">
        <v>2</v>
      </c>
    </row>
    <row r="1664" spans="1:2" x14ac:dyDescent="0.35">
      <c r="A1664" s="11" t="s">
        <v>1758</v>
      </c>
      <c r="B1664" s="5">
        <v>1</v>
      </c>
    </row>
    <row r="1665" spans="1:2" x14ac:dyDescent="0.35">
      <c r="A1665" s="11" t="s">
        <v>171</v>
      </c>
      <c r="B1665" s="5">
        <v>3</v>
      </c>
    </row>
    <row r="1666" spans="1:2" x14ac:dyDescent="0.35">
      <c r="A1666" s="11" t="s">
        <v>5050</v>
      </c>
      <c r="B1666" s="5">
        <v>2</v>
      </c>
    </row>
    <row r="1667" spans="1:2" x14ac:dyDescent="0.35">
      <c r="A1667" s="11" t="s">
        <v>1613</v>
      </c>
      <c r="B1667" s="5">
        <v>1</v>
      </c>
    </row>
    <row r="1668" spans="1:2" x14ac:dyDescent="0.35">
      <c r="A1668" s="11" t="s">
        <v>381</v>
      </c>
      <c r="B1668" s="5">
        <v>3</v>
      </c>
    </row>
    <row r="1669" spans="1:2" x14ac:dyDescent="0.35">
      <c r="A1669" s="11" t="s">
        <v>502</v>
      </c>
      <c r="B1669" s="5">
        <v>3</v>
      </c>
    </row>
    <row r="1670" spans="1:2" x14ac:dyDescent="0.35">
      <c r="A1670" s="11" t="s">
        <v>8494</v>
      </c>
      <c r="B1670" s="5">
        <v>3</v>
      </c>
    </row>
    <row r="1671" spans="1:2" x14ac:dyDescent="0.35">
      <c r="A1671" s="11" t="s">
        <v>1916</v>
      </c>
      <c r="B1671" s="5">
        <v>2</v>
      </c>
    </row>
    <row r="1672" spans="1:2" x14ac:dyDescent="0.35">
      <c r="A1672" s="11" t="s">
        <v>3298</v>
      </c>
      <c r="B1672" s="5">
        <v>10</v>
      </c>
    </row>
    <row r="1673" spans="1:2" x14ac:dyDescent="0.35">
      <c r="A1673" s="11" t="s">
        <v>515</v>
      </c>
      <c r="B1673" s="5">
        <v>1</v>
      </c>
    </row>
    <row r="1674" spans="1:2" x14ac:dyDescent="0.35">
      <c r="A1674" s="11" t="s">
        <v>9179</v>
      </c>
      <c r="B1674" s="5">
        <v>1</v>
      </c>
    </row>
    <row r="1675" spans="1:2" x14ac:dyDescent="0.35">
      <c r="A1675" s="11" t="s">
        <v>2907</v>
      </c>
      <c r="B1675" s="5">
        <v>1</v>
      </c>
    </row>
    <row r="1676" spans="1:2" x14ac:dyDescent="0.35">
      <c r="A1676" s="11" t="s">
        <v>3048</v>
      </c>
      <c r="B1676" s="5">
        <v>1</v>
      </c>
    </row>
    <row r="1677" spans="1:2" x14ac:dyDescent="0.35">
      <c r="A1677" s="11" t="s">
        <v>604</v>
      </c>
      <c r="B1677" s="5">
        <v>5</v>
      </c>
    </row>
    <row r="1678" spans="1:2" x14ac:dyDescent="0.35">
      <c r="A1678" s="11" t="s">
        <v>337</v>
      </c>
      <c r="B1678" s="5">
        <v>1</v>
      </c>
    </row>
    <row r="1679" spans="1:2" x14ac:dyDescent="0.35">
      <c r="A1679" s="11" t="s">
        <v>12786</v>
      </c>
      <c r="B1679" s="5">
        <v>4</v>
      </c>
    </row>
    <row r="1680" spans="1:2" x14ac:dyDescent="0.35">
      <c r="A1680" s="11" t="s">
        <v>629</v>
      </c>
      <c r="B1680" s="5">
        <v>2</v>
      </c>
    </row>
    <row r="1681" spans="1:2" x14ac:dyDescent="0.35">
      <c r="A1681" s="11" t="s">
        <v>6927</v>
      </c>
      <c r="B1681" s="5">
        <v>1</v>
      </c>
    </row>
    <row r="1682" spans="1:2" x14ac:dyDescent="0.35">
      <c r="A1682" s="11" t="s">
        <v>8806</v>
      </c>
      <c r="B1682" s="5">
        <v>1</v>
      </c>
    </row>
    <row r="1683" spans="1:2" x14ac:dyDescent="0.35">
      <c r="A1683" s="11" t="s">
        <v>7107</v>
      </c>
      <c r="B1683" s="5">
        <v>2</v>
      </c>
    </row>
    <row r="1684" spans="1:2" x14ac:dyDescent="0.35">
      <c r="A1684" s="11" t="s">
        <v>5768</v>
      </c>
      <c r="B1684" s="5">
        <v>1</v>
      </c>
    </row>
    <row r="1685" spans="1:2" x14ac:dyDescent="0.35">
      <c r="A1685" s="11" t="s">
        <v>166</v>
      </c>
      <c r="B1685" s="5">
        <v>3</v>
      </c>
    </row>
    <row r="1686" spans="1:2" x14ac:dyDescent="0.35">
      <c r="A1686" s="11" t="s">
        <v>1245</v>
      </c>
      <c r="B1686" s="5">
        <v>8</v>
      </c>
    </row>
    <row r="1687" spans="1:2" x14ac:dyDescent="0.35">
      <c r="A1687" s="11" t="s">
        <v>9164</v>
      </c>
      <c r="B1687" s="5">
        <v>2</v>
      </c>
    </row>
    <row r="1688" spans="1:2" x14ac:dyDescent="0.35">
      <c r="A1688" s="11" t="s">
        <v>3939</v>
      </c>
      <c r="B1688" s="5">
        <v>3</v>
      </c>
    </row>
    <row r="1689" spans="1:2" x14ac:dyDescent="0.35">
      <c r="A1689" s="11" t="s">
        <v>3179</v>
      </c>
      <c r="B1689" s="5">
        <v>2</v>
      </c>
    </row>
    <row r="1690" spans="1:2" x14ac:dyDescent="0.35">
      <c r="A1690" s="11" t="s">
        <v>3175</v>
      </c>
      <c r="B1690" s="5">
        <v>3</v>
      </c>
    </row>
    <row r="1691" spans="1:2" x14ac:dyDescent="0.35">
      <c r="A1691" s="11" t="s">
        <v>6505</v>
      </c>
      <c r="B1691" s="5">
        <v>1</v>
      </c>
    </row>
    <row r="1692" spans="1:2" x14ac:dyDescent="0.35">
      <c r="A1692" s="11" t="s">
        <v>10861</v>
      </c>
      <c r="B1692" s="5">
        <v>1</v>
      </c>
    </row>
    <row r="1693" spans="1:2" x14ac:dyDescent="0.35">
      <c r="A1693" s="11" t="s">
        <v>3875</v>
      </c>
      <c r="B1693" s="5">
        <v>4</v>
      </c>
    </row>
    <row r="1694" spans="1:2" x14ac:dyDescent="0.35">
      <c r="A1694" s="11" t="s">
        <v>3640</v>
      </c>
      <c r="B1694" s="5">
        <v>28</v>
      </c>
    </row>
    <row r="1695" spans="1:2" x14ac:dyDescent="0.35">
      <c r="A1695" s="11" t="s">
        <v>1535</v>
      </c>
      <c r="B1695" s="5">
        <v>1</v>
      </c>
    </row>
    <row r="1696" spans="1:2" x14ac:dyDescent="0.35">
      <c r="A1696" s="11" t="s">
        <v>2715</v>
      </c>
      <c r="B1696" s="5">
        <v>1</v>
      </c>
    </row>
    <row r="1697" spans="1:2" x14ac:dyDescent="0.35">
      <c r="A1697" s="11" t="s">
        <v>3830</v>
      </c>
      <c r="B1697" s="5">
        <v>15</v>
      </c>
    </row>
    <row r="1698" spans="1:2" x14ac:dyDescent="0.35">
      <c r="A1698" s="11" t="s">
        <v>5931</v>
      </c>
      <c r="B1698" s="5">
        <v>2</v>
      </c>
    </row>
    <row r="1699" spans="1:2" x14ac:dyDescent="0.35">
      <c r="A1699" s="11" t="s">
        <v>2708</v>
      </c>
      <c r="B1699" s="5">
        <v>5</v>
      </c>
    </row>
    <row r="1700" spans="1:2" x14ac:dyDescent="0.35">
      <c r="A1700" s="11" t="s">
        <v>185</v>
      </c>
      <c r="B1700" s="5">
        <v>1</v>
      </c>
    </row>
    <row r="1701" spans="1:2" x14ac:dyDescent="0.35">
      <c r="A1701" s="11" t="s">
        <v>52</v>
      </c>
      <c r="B1701" s="5">
        <v>35</v>
      </c>
    </row>
    <row r="1702" spans="1:2" x14ac:dyDescent="0.35">
      <c r="A1702" s="11" t="s">
        <v>13066</v>
      </c>
      <c r="B1702" s="5">
        <v>2</v>
      </c>
    </row>
    <row r="1703" spans="1:2" x14ac:dyDescent="0.35">
      <c r="A1703" s="11" t="s">
        <v>296</v>
      </c>
      <c r="B1703" s="5">
        <v>2</v>
      </c>
    </row>
    <row r="1704" spans="1:2" x14ac:dyDescent="0.35">
      <c r="A1704" s="11" t="s">
        <v>2433</v>
      </c>
      <c r="B1704" s="5">
        <v>5</v>
      </c>
    </row>
    <row r="1705" spans="1:2" x14ac:dyDescent="0.35">
      <c r="A1705" s="11" t="s">
        <v>5350</v>
      </c>
      <c r="B1705" s="5">
        <v>4</v>
      </c>
    </row>
    <row r="1706" spans="1:2" x14ac:dyDescent="0.35">
      <c r="A1706" s="11" t="s">
        <v>1196</v>
      </c>
      <c r="B1706" s="5">
        <v>1</v>
      </c>
    </row>
    <row r="1707" spans="1:2" x14ac:dyDescent="0.35">
      <c r="A1707" s="11" t="s">
        <v>1551</v>
      </c>
      <c r="B1707" s="5">
        <v>1</v>
      </c>
    </row>
    <row r="1708" spans="1:2" x14ac:dyDescent="0.35">
      <c r="A1708" s="11" t="s">
        <v>745</v>
      </c>
      <c r="B1708" s="5">
        <v>63</v>
      </c>
    </row>
    <row r="1709" spans="1:2" x14ac:dyDescent="0.35">
      <c r="A1709" s="11" t="s">
        <v>9868</v>
      </c>
      <c r="B1709" s="5">
        <v>3</v>
      </c>
    </row>
    <row r="1710" spans="1:2" x14ac:dyDescent="0.35">
      <c r="A1710" s="11" t="s">
        <v>6985</v>
      </c>
      <c r="B1710" s="5">
        <v>1</v>
      </c>
    </row>
    <row r="1711" spans="1:2" x14ac:dyDescent="0.35">
      <c r="A1711" s="11" t="s">
        <v>8367</v>
      </c>
      <c r="B1711" s="5">
        <v>4</v>
      </c>
    </row>
    <row r="1712" spans="1:2" x14ac:dyDescent="0.35">
      <c r="A1712" s="11" t="s">
        <v>2698</v>
      </c>
      <c r="B1712" s="5">
        <v>11</v>
      </c>
    </row>
    <row r="1713" spans="1:2" x14ac:dyDescent="0.35">
      <c r="A1713" s="11" t="s">
        <v>9501</v>
      </c>
      <c r="B1713" s="5">
        <v>3</v>
      </c>
    </row>
    <row r="1714" spans="1:2" x14ac:dyDescent="0.35">
      <c r="A1714" s="11" t="s">
        <v>2862</v>
      </c>
      <c r="B1714" s="5">
        <v>2</v>
      </c>
    </row>
    <row r="1715" spans="1:2" x14ac:dyDescent="0.35">
      <c r="A1715" s="11" t="s">
        <v>3366</v>
      </c>
      <c r="B1715" s="5">
        <v>3</v>
      </c>
    </row>
    <row r="1716" spans="1:2" x14ac:dyDescent="0.35">
      <c r="A1716" s="11" t="s">
        <v>2718</v>
      </c>
      <c r="B1716" s="5">
        <v>2</v>
      </c>
    </row>
    <row r="1717" spans="1:2" x14ac:dyDescent="0.35">
      <c r="A1717" s="11" t="s">
        <v>7562</v>
      </c>
      <c r="B1717" s="5">
        <v>1</v>
      </c>
    </row>
    <row r="1718" spans="1:2" x14ac:dyDescent="0.35">
      <c r="A1718" s="11" t="s">
        <v>3808</v>
      </c>
      <c r="B1718" s="5">
        <v>4</v>
      </c>
    </row>
    <row r="1719" spans="1:2" x14ac:dyDescent="0.35">
      <c r="A1719" s="11" t="s">
        <v>2634</v>
      </c>
      <c r="B1719" s="5">
        <v>2</v>
      </c>
    </row>
    <row r="1720" spans="1:2" x14ac:dyDescent="0.35">
      <c r="A1720" s="11" t="s">
        <v>2512</v>
      </c>
      <c r="B1720" s="5">
        <v>1</v>
      </c>
    </row>
    <row r="1721" spans="1:2" x14ac:dyDescent="0.35">
      <c r="A1721" s="11" t="s">
        <v>3146</v>
      </c>
      <c r="B1721" s="5">
        <v>2</v>
      </c>
    </row>
    <row r="1722" spans="1:2" x14ac:dyDescent="0.35">
      <c r="A1722" s="11" t="s">
        <v>819</v>
      </c>
      <c r="B1722" s="5">
        <v>3</v>
      </c>
    </row>
    <row r="1723" spans="1:2" x14ac:dyDescent="0.35">
      <c r="A1723" s="11" t="s">
        <v>2610</v>
      </c>
      <c r="B1723" s="5">
        <v>5</v>
      </c>
    </row>
    <row r="1724" spans="1:2" x14ac:dyDescent="0.35">
      <c r="A1724" s="11" t="s">
        <v>2008</v>
      </c>
      <c r="B1724" s="5">
        <v>3</v>
      </c>
    </row>
    <row r="1725" spans="1:2" x14ac:dyDescent="0.35">
      <c r="A1725" s="11" t="s">
        <v>840</v>
      </c>
      <c r="B1725" s="5">
        <v>10</v>
      </c>
    </row>
    <row r="1726" spans="1:2" x14ac:dyDescent="0.35">
      <c r="A1726" s="11" t="s">
        <v>12716</v>
      </c>
      <c r="B1726" s="5">
        <v>2</v>
      </c>
    </row>
    <row r="1727" spans="1:2" x14ac:dyDescent="0.35">
      <c r="A1727" s="11" t="s">
        <v>12045</v>
      </c>
      <c r="B1727" s="5">
        <v>2</v>
      </c>
    </row>
    <row r="1728" spans="1:2" x14ac:dyDescent="0.35">
      <c r="A1728" s="11" t="s">
        <v>4937</v>
      </c>
      <c r="B1728" s="5">
        <v>24</v>
      </c>
    </row>
    <row r="1729" spans="1:2" x14ac:dyDescent="0.35">
      <c r="A1729" s="11" t="s">
        <v>6268</v>
      </c>
      <c r="B1729" s="5">
        <v>3</v>
      </c>
    </row>
    <row r="1730" spans="1:2" x14ac:dyDescent="0.35">
      <c r="A1730" s="11" t="s">
        <v>242</v>
      </c>
      <c r="B1730" s="5">
        <v>1</v>
      </c>
    </row>
    <row r="1731" spans="1:2" x14ac:dyDescent="0.35">
      <c r="A1731" s="11" t="s">
        <v>3381</v>
      </c>
      <c r="B1731" s="5">
        <v>2</v>
      </c>
    </row>
    <row r="1732" spans="1:2" x14ac:dyDescent="0.35">
      <c r="A1732" s="11" t="s">
        <v>9518</v>
      </c>
      <c r="B1732" s="5">
        <v>3</v>
      </c>
    </row>
    <row r="1733" spans="1:2" x14ac:dyDescent="0.35">
      <c r="A1733" s="11" t="s">
        <v>763</v>
      </c>
      <c r="B1733" s="5">
        <v>2</v>
      </c>
    </row>
    <row r="1734" spans="1:2" x14ac:dyDescent="0.35">
      <c r="A1734" s="11" t="s">
        <v>2949</v>
      </c>
      <c r="B1734" s="5">
        <v>1</v>
      </c>
    </row>
    <row r="1735" spans="1:2" x14ac:dyDescent="0.35">
      <c r="A1735" s="11" t="s">
        <v>2463</v>
      </c>
      <c r="B1735" s="5">
        <v>1</v>
      </c>
    </row>
    <row r="1736" spans="1:2" x14ac:dyDescent="0.35">
      <c r="A1736" s="11" t="s">
        <v>301</v>
      </c>
      <c r="B1736" s="5">
        <v>5</v>
      </c>
    </row>
    <row r="1737" spans="1:2" x14ac:dyDescent="0.35">
      <c r="A1737" s="11" t="s">
        <v>3171</v>
      </c>
      <c r="B1737" s="5">
        <v>11</v>
      </c>
    </row>
    <row r="1738" spans="1:2" x14ac:dyDescent="0.35">
      <c r="A1738" s="11" t="s">
        <v>7653</v>
      </c>
      <c r="B1738" s="5">
        <v>1</v>
      </c>
    </row>
    <row r="1739" spans="1:2" x14ac:dyDescent="0.35">
      <c r="A1739" s="11" t="s">
        <v>4180</v>
      </c>
      <c r="B1739" s="5">
        <v>10</v>
      </c>
    </row>
    <row r="1740" spans="1:2" x14ac:dyDescent="0.35">
      <c r="A1740" s="11" t="s">
        <v>1841</v>
      </c>
      <c r="B1740" s="5">
        <v>1</v>
      </c>
    </row>
    <row r="1741" spans="1:2" x14ac:dyDescent="0.35">
      <c r="A1741" s="11" t="s">
        <v>9973</v>
      </c>
      <c r="B1741" s="5">
        <v>2</v>
      </c>
    </row>
    <row r="1742" spans="1:2" x14ac:dyDescent="0.35">
      <c r="A1742" s="11" t="s">
        <v>8233</v>
      </c>
      <c r="B1742" s="5">
        <v>3</v>
      </c>
    </row>
    <row r="1743" spans="1:2" x14ac:dyDescent="0.35">
      <c r="A1743" s="11" t="s">
        <v>1111</v>
      </c>
      <c r="B1743" s="5">
        <v>4</v>
      </c>
    </row>
    <row r="1744" spans="1:2" x14ac:dyDescent="0.35">
      <c r="A1744" s="11" t="s">
        <v>7300</v>
      </c>
      <c r="B1744" s="5">
        <v>2</v>
      </c>
    </row>
    <row r="1745" spans="1:2" x14ac:dyDescent="0.35">
      <c r="A1745" s="11" t="s">
        <v>7292</v>
      </c>
      <c r="B1745" s="5">
        <v>2</v>
      </c>
    </row>
    <row r="1746" spans="1:2" x14ac:dyDescent="0.35">
      <c r="A1746" s="11" t="s">
        <v>10821</v>
      </c>
      <c r="B1746" s="5">
        <v>3</v>
      </c>
    </row>
    <row r="1747" spans="1:2" x14ac:dyDescent="0.35">
      <c r="A1747" s="11" t="s">
        <v>12337</v>
      </c>
      <c r="B1747" s="5">
        <v>1</v>
      </c>
    </row>
    <row r="1748" spans="1:2" x14ac:dyDescent="0.35">
      <c r="A1748" s="11" t="s">
        <v>4069</v>
      </c>
      <c r="B1748" s="5">
        <v>1</v>
      </c>
    </row>
    <row r="1749" spans="1:2" x14ac:dyDescent="0.35">
      <c r="A1749" s="11" t="s">
        <v>4572</v>
      </c>
      <c r="B1749" s="5">
        <v>3</v>
      </c>
    </row>
    <row r="1750" spans="1:2" x14ac:dyDescent="0.35">
      <c r="A1750" s="11" t="s">
        <v>947</v>
      </c>
      <c r="B1750" s="5">
        <v>1</v>
      </c>
    </row>
    <row r="1751" spans="1:2" x14ac:dyDescent="0.35">
      <c r="A1751" s="11" t="s">
        <v>2102</v>
      </c>
      <c r="B1751" s="5">
        <v>1</v>
      </c>
    </row>
    <row r="1752" spans="1:2" x14ac:dyDescent="0.35">
      <c r="A1752" s="11" t="s">
        <v>7867</v>
      </c>
      <c r="B1752" s="5">
        <v>3</v>
      </c>
    </row>
    <row r="1753" spans="1:2" x14ac:dyDescent="0.35">
      <c r="A1753" s="11" t="s">
        <v>4136</v>
      </c>
      <c r="B1753" s="5">
        <v>1</v>
      </c>
    </row>
    <row r="1754" spans="1:2" x14ac:dyDescent="0.35">
      <c r="A1754" s="11" t="s">
        <v>5681</v>
      </c>
      <c r="B1754" s="5">
        <v>3</v>
      </c>
    </row>
    <row r="1755" spans="1:2" x14ac:dyDescent="0.35">
      <c r="A1755" s="11" t="s">
        <v>2127</v>
      </c>
      <c r="B1755" s="5">
        <v>2</v>
      </c>
    </row>
    <row r="1756" spans="1:2" x14ac:dyDescent="0.35">
      <c r="A1756" s="11" t="s">
        <v>3151</v>
      </c>
      <c r="B1756" s="5">
        <v>1</v>
      </c>
    </row>
    <row r="1757" spans="1:2" x14ac:dyDescent="0.35">
      <c r="A1757" s="11" t="s">
        <v>284</v>
      </c>
      <c r="B1757" s="5">
        <v>2</v>
      </c>
    </row>
    <row r="1758" spans="1:2" x14ac:dyDescent="0.35">
      <c r="A1758" s="11" t="s">
        <v>1502</v>
      </c>
      <c r="B1758" s="5">
        <v>1</v>
      </c>
    </row>
    <row r="1759" spans="1:2" x14ac:dyDescent="0.35">
      <c r="A1759" s="11" t="s">
        <v>13081</v>
      </c>
      <c r="B1759" s="5">
        <v>1</v>
      </c>
    </row>
    <row r="1760" spans="1:2" x14ac:dyDescent="0.35">
      <c r="A1760" s="11" t="s">
        <v>2982</v>
      </c>
      <c r="B1760" s="5">
        <v>1</v>
      </c>
    </row>
    <row r="1761" spans="1:2" x14ac:dyDescent="0.35">
      <c r="A1761" s="11" t="s">
        <v>4289</v>
      </c>
      <c r="B1761" s="5">
        <v>8</v>
      </c>
    </row>
    <row r="1762" spans="1:2" x14ac:dyDescent="0.35">
      <c r="A1762" s="11" t="s">
        <v>823</v>
      </c>
      <c r="B1762" s="5">
        <v>2</v>
      </c>
    </row>
    <row r="1763" spans="1:2" x14ac:dyDescent="0.35">
      <c r="A1763" s="11" t="s">
        <v>6215</v>
      </c>
      <c r="B1763" s="5">
        <v>16</v>
      </c>
    </row>
    <row r="1764" spans="1:2" x14ac:dyDescent="0.35">
      <c r="A1764" s="11" t="s">
        <v>9365</v>
      </c>
      <c r="B1764" s="5">
        <v>1</v>
      </c>
    </row>
    <row r="1765" spans="1:2" x14ac:dyDescent="0.35">
      <c r="A1765" s="11" t="s">
        <v>3961</v>
      </c>
      <c r="B1765" s="5">
        <v>7</v>
      </c>
    </row>
    <row r="1766" spans="1:2" x14ac:dyDescent="0.35">
      <c r="A1766" s="11" t="s">
        <v>3912</v>
      </c>
      <c r="B1766" s="5">
        <v>1</v>
      </c>
    </row>
    <row r="1767" spans="1:2" x14ac:dyDescent="0.35">
      <c r="A1767" s="11" t="s">
        <v>9791</v>
      </c>
      <c r="B1767" s="5">
        <v>7</v>
      </c>
    </row>
    <row r="1768" spans="1:2" x14ac:dyDescent="0.35">
      <c r="A1768" s="11" t="s">
        <v>6418</v>
      </c>
      <c r="B1768" s="5">
        <v>19</v>
      </c>
    </row>
    <row r="1769" spans="1:2" x14ac:dyDescent="0.35">
      <c r="A1769" s="11" t="s">
        <v>1254</v>
      </c>
      <c r="B1769" s="5">
        <v>3</v>
      </c>
    </row>
    <row r="1770" spans="1:2" x14ac:dyDescent="0.35">
      <c r="A1770" s="11" t="s">
        <v>1484</v>
      </c>
      <c r="B1770" s="5">
        <v>3</v>
      </c>
    </row>
    <row r="1771" spans="1:2" x14ac:dyDescent="0.35">
      <c r="A1771" s="11" t="s">
        <v>4087</v>
      </c>
      <c r="B1771" s="5">
        <v>4</v>
      </c>
    </row>
    <row r="1772" spans="1:2" x14ac:dyDescent="0.35">
      <c r="A1772" s="11" t="s">
        <v>7657</v>
      </c>
      <c r="B1772" s="5">
        <v>3</v>
      </c>
    </row>
    <row r="1773" spans="1:2" x14ac:dyDescent="0.35">
      <c r="A1773" s="11" t="s">
        <v>539</v>
      </c>
      <c r="B1773" s="5">
        <v>2</v>
      </c>
    </row>
    <row r="1774" spans="1:2" x14ac:dyDescent="0.35">
      <c r="A1774" s="11" t="s">
        <v>806</v>
      </c>
      <c r="B1774" s="5">
        <v>1</v>
      </c>
    </row>
    <row r="1775" spans="1:2" x14ac:dyDescent="0.35">
      <c r="A1775" s="11" t="s">
        <v>1736</v>
      </c>
      <c r="B1775" s="5">
        <v>1</v>
      </c>
    </row>
    <row r="1776" spans="1:2" x14ac:dyDescent="0.35">
      <c r="A1776" s="11" t="s">
        <v>11924</v>
      </c>
      <c r="B1776" s="5">
        <v>1</v>
      </c>
    </row>
    <row r="1777" spans="1:2" x14ac:dyDescent="0.35">
      <c r="A1777" s="11" t="s">
        <v>2448</v>
      </c>
      <c r="B1777" s="5">
        <v>1</v>
      </c>
    </row>
    <row r="1778" spans="1:2" x14ac:dyDescent="0.35">
      <c r="A1778" s="11" t="s">
        <v>3253</v>
      </c>
      <c r="B1778" s="5">
        <v>2</v>
      </c>
    </row>
    <row r="1779" spans="1:2" x14ac:dyDescent="0.35">
      <c r="A1779" s="11" t="s">
        <v>275</v>
      </c>
      <c r="B1779" s="5">
        <v>4</v>
      </c>
    </row>
    <row r="1780" spans="1:2" x14ac:dyDescent="0.35">
      <c r="A1780" s="11" t="s">
        <v>4463</v>
      </c>
      <c r="B1780" s="5">
        <v>3</v>
      </c>
    </row>
    <row r="1781" spans="1:2" x14ac:dyDescent="0.35">
      <c r="A1781" s="11" t="s">
        <v>7115</v>
      </c>
      <c r="B1781" s="5">
        <v>9</v>
      </c>
    </row>
    <row r="1782" spans="1:2" x14ac:dyDescent="0.35">
      <c r="A1782" s="11" t="s">
        <v>5477</v>
      </c>
      <c r="B1782" s="5">
        <v>3</v>
      </c>
    </row>
    <row r="1783" spans="1:2" x14ac:dyDescent="0.35">
      <c r="A1783" s="11" t="s">
        <v>7698</v>
      </c>
      <c r="B1783" s="5">
        <v>2</v>
      </c>
    </row>
    <row r="1784" spans="1:2" x14ac:dyDescent="0.35">
      <c r="A1784" s="11" t="s">
        <v>3193</v>
      </c>
      <c r="B1784" s="5">
        <v>8</v>
      </c>
    </row>
    <row r="1785" spans="1:2" x14ac:dyDescent="0.35">
      <c r="A1785" s="11" t="s">
        <v>3239</v>
      </c>
      <c r="B1785" s="5">
        <v>3</v>
      </c>
    </row>
    <row r="1786" spans="1:2" x14ac:dyDescent="0.35">
      <c r="A1786" s="11" t="s">
        <v>2733</v>
      </c>
      <c r="B1786" s="5">
        <v>1</v>
      </c>
    </row>
    <row r="1787" spans="1:2" x14ac:dyDescent="0.35">
      <c r="A1787" s="11" t="s">
        <v>3619</v>
      </c>
      <c r="B1787" s="5">
        <v>2</v>
      </c>
    </row>
    <row r="1788" spans="1:2" x14ac:dyDescent="0.35">
      <c r="A1788" s="11" t="s">
        <v>1547</v>
      </c>
      <c r="B1788" s="5">
        <v>1</v>
      </c>
    </row>
    <row r="1789" spans="1:2" x14ac:dyDescent="0.35">
      <c r="A1789" s="11" t="s">
        <v>6205</v>
      </c>
      <c r="B1789" s="5">
        <v>1</v>
      </c>
    </row>
    <row r="1790" spans="1:2" x14ac:dyDescent="0.35">
      <c r="A1790" s="11" t="s">
        <v>2461</v>
      </c>
      <c r="B1790" s="5">
        <v>1</v>
      </c>
    </row>
    <row r="1791" spans="1:2" x14ac:dyDescent="0.35">
      <c r="A1791" s="11" t="s">
        <v>4455</v>
      </c>
      <c r="B1791" s="5">
        <v>4</v>
      </c>
    </row>
    <row r="1792" spans="1:2" x14ac:dyDescent="0.35">
      <c r="A1792" s="11" t="s">
        <v>266</v>
      </c>
      <c r="B1792" s="5">
        <v>3</v>
      </c>
    </row>
    <row r="1793" spans="1:2" x14ac:dyDescent="0.35">
      <c r="A1793" s="11" t="s">
        <v>7029</v>
      </c>
      <c r="B1793" s="5">
        <v>2</v>
      </c>
    </row>
    <row r="1794" spans="1:2" x14ac:dyDescent="0.35">
      <c r="A1794" s="11" t="s">
        <v>5954</v>
      </c>
      <c r="B1794" s="5">
        <v>13</v>
      </c>
    </row>
    <row r="1795" spans="1:2" x14ac:dyDescent="0.35">
      <c r="A1795" s="11" t="s">
        <v>724</v>
      </c>
      <c r="B1795" s="5">
        <v>2</v>
      </c>
    </row>
    <row r="1796" spans="1:2" x14ac:dyDescent="0.35">
      <c r="A1796" s="11" t="s">
        <v>728</v>
      </c>
      <c r="B1796" s="5">
        <v>1</v>
      </c>
    </row>
    <row r="1797" spans="1:2" x14ac:dyDescent="0.35">
      <c r="A1797" s="11" t="s">
        <v>3568</v>
      </c>
      <c r="B1797" s="5">
        <v>1</v>
      </c>
    </row>
    <row r="1798" spans="1:2" x14ac:dyDescent="0.35">
      <c r="A1798" s="11" t="s">
        <v>2053</v>
      </c>
      <c r="B1798" s="5">
        <v>3</v>
      </c>
    </row>
    <row r="1799" spans="1:2" x14ac:dyDescent="0.35">
      <c r="A1799" s="11" t="s">
        <v>6837</v>
      </c>
      <c r="B1799" s="5">
        <v>11</v>
      </c>
    </row>
    <row r="1800" spans="1:2" x14ac:dyDescent="0.35">
      <c r="A1800" s="11" t="s">
        <v>12979</v>
      </c>
      <c r="B1800" s="5">
        <v>3</v>
      </c>
    </row>
    <row r="1801" spans="1:2" x14ac:dyDescent="0.35">
      <c r="A1801" s="11" t="s">
        <v>2369</v>
      </c>
      <c r="B1801" s="5">
        <v>1</v>
      </c>
    </row>
    <row r="1802" spans="1:2" x14ac:dyDescent="0.35">
      <c r="A1802" s="11" t="s">
        <v>3741</v>
      </c>
      <c r="B1802" s="5">
        <v>1</v>
      </c>
    </row>
    <row r="1803" spans="1:2" x14ac:dyDescent="0.35">
      <c r="A1803" s="11" t="s">
        <v>8530</v>
      </c>
      <c r="B1803" s="5">
        <v>3</v>
      </c>
    </row>
    <row r="1804" spans="1:2" x14ac:dyDescent="0.35">
      <c r="A1804" s="11" t="s">
        <v>11459</v>
      </c>
      <c r="B1804" s="5">
        <v>1</v>
      </c>
    </row>
    <row r="1805" spans="1:2" x14ac:dyDescent="0.35">
      <c r="A1805" s="11" t="s">
        <v>3630</v>
      </c>
      <c r="B1805" s="5">
        <v>7</v>
      </c>
    </row>
    <row r="1806" spans="1:2" x14ac:dyDescent="0.35">
      <c r="A1806" s="11" t="s">
        <v>12730</v>
      </c>
      <c r="B1806" s="5">
        <v>1</v>
      </c>
    </row>
    <row r="1807" spans="1:2" x14ac:dyDescent="0.35">
      <c r="A1807" s="11" t="s">
        <v>544</v>
      </c>
      <c r="B1807" s="5">
        <v>46</v>
      </c>
    </row>
    <row r="1808" spans="1:2" x14ac:dyDescent="0.35">
      <c r="A1808" s="11" t="s">
        <v>1077</v>
      </c>
      <c r="B1808" s="5">
        <v>2</v>
      </c>
    </row>
    <row r="1809" spans="1:2" x14ac:dyDescent="0.35">
      <c r="A1809" s="11" t="s">
        <v>6807</v>
      </c>
      <c r="B1809" s="5">
        <v>4</v>
      </c>
    </row>
    <row r="1810" spans="1:2" x14ac:dyDescent="0.35">
      <c r="A1810" s="11" t="s">
        <v>2241</v>
      </c>
      <c r="B1810" s="5">
        <v>3</v>
      </c>
    </row>
    <row r="1811" spans="1:2" x14ac:dyDescent="0.35">
      <c r="A1811" s="11" t="s">
        <v>385</v>
      </c>
      <c r="B1811" s="5">
        <v>1</v>
      </c>
    </row>
    <row r="1812" spans="1:2" x14ac:dyDescent="0.35">
      <c r="A1812" s="11" t="s">
        <v>986</v>
      </c>
      <c r="B1812" s="5">
        <v>8</v>
      </c>
    </row>
    <row r="1813" spans="1:2" x14ac:dyDescent="0.35">
      <c r="A1813" s="11" t="s">
        <v>3479</v>
      </c>
      <c r="B1813" s="5">
        <v>4</v>
      </c>
    </row>
    <row r="1814" spans="1:2" x14ac:dyDescent="0.35">
      <c r="A1814" s="11" t="s">
        <v>2074</v>
      </c>
      <c r="B1814" s="5">
        <v>7</v>
      </c>
    </row>
    <row r="1815" spans="1:2" x14ac:dyDescent="0.35">
      <c r="A1815" s="11" t="s">
        <v>12403</v>
      </c>
      <c r="B1815" s="5">
        <v>3</v>
      </c>
    </row>
    <row r="1816" spans="1:2" x14ac:dyDescent="0.35">
      <c r="A1816" s="11" t="s">
        <v>5835</v>
      </c>
      <c r="B1816" s="5">
        <v>1</v>
      </c>
    </row>
    <row r="1817" spans="1:2" x14ac:dyDescent="0.35">
      <c r="A1817" s="11" t="s">
        <v>1519</v>
      </c>
      <c r="B1817" s="5">
        <v>1</v>
      </c>
    </row>
    <row r="1818" spans="1:2" x14ac:dyDescent="0.35">
      <c r="A1818" s="11" t="s">
        <v>3909</v>
      </c>
      <c r="B1818" s="5">
        <v>1</v>
      </c>
    </row>
    <row r="1819" spans="1:2" x14ac:dyDescent="0.35">
      <c r="A1819" s="11" t="s">
        <v>11699</v>
      </c>
      <c r="B1819" s="5">
        <v>2</v>
      </c>
    </row>
    <row r="1820" spans="1:2" x14ac:dyDescent="0.35">
      <c r="A1820" s="11" t="s">
        <v>13030</v>
      </c>
      <c r="B1820" s="5">
        <v>1</v>
      </c>
    </row>
    <row r="1821" spans="1:2" x14ac:dyDescent="0.35">
      <c r="A1821" s="11" t="s">
        <v>2997</v>
      </c>
      <c r="B1821" s="5">
        <v>3</v>
      </c>
    </row>
    <row r="1822" spans="1:2" x14ac:dyDescent="0.35">
      <c r="A1822" s="11" t="s">
        <v>1082</v>
      </c>
      <c r="B1822" s="5">
        <v>12</v>
      </c>
    </row>
    <row r="1823" spans="1:2" x14ac:dyDescent="0.35">
      <c r="A1823" s="11" t="s">
        <v>1477</v>
      </c>
      <c r="B1823" s="5">
        <v>3</v>
      </c>
    </row>
    <row r="1824" spans="1:2" x14ac:dyDescent="0.35">
      <c r="A1824" s="11" t="s">
        <v>2359</v>
      </c>
      <c r="B1824" s="5">
        <v>2</v>
      </c>
    </row>
    <row r="1825" spans="1:2" x14ac:dyDescent="0.35">
      <c r="A1825" s="11" t="s">
        <v>4443</v>
      </c>
      <c r="B1825" s="5">
        <v>9</v>
      </c>
    </row>
    <row r="1826" spans="1:2" x14ac:dyDescent="0.35">
      <c r="A1826" s="11" t="s">
        <v>12454</v>
      </c>
      <c r="B1826" s="5">
        <v>7</v>
      </c>
    </row>
    <row r="1827" spans="1:2" x14ac:dyDescent="0.35">
      <c r="A1827" s="11" t="s">
        <v>521</v>
      </c>
      <c r="B1827" s="5">
        <v>3</v>
      </c>
    </row>
    <row r="1828" spans="1:2" x14ac:dyDescent="0.35">
      <c r="A1828" s="11" t="s">
        <v>1394</v>
      </c>
      <c r="B1828" s="5">
        <v>15</v>
      </c>
    </row>
    <row r="1829" spans="1:2" x14ac:dyDescent="0.35">
      <c r="A1829" s="11" t="s">
        <v>3351</v>
      </c>
      <c r="B1829" s="5">
        <v>33</v>
      </c>
    </row>
    <row r="1830" spans="1:2" x14ac:dyDescent="0.35">
      <c r="A1830" s="11" t="s">
        <v>3758</v>
      </c>
      <c r="B1830" s="5">
        <v>3</v>
      </c>
    </row>
    <row r="1831" spans="1:2" x14ac:dyDescent="0.35">
      <c r="A1831" s="11" t="s">
        <v>849</v>
      </c>
      <c r="B1831" s="5">
        <v>3</v>
      </c>
    </row>
    <row r="1832" spans="1:2" x14ac:dyDescent="0.35">
      <c r="A1832" s="11" t="s">
        <v>799</v>
      </c>
      <c r="B1832" s="5">
        <v>4</v>
      </c>
    </row>
    <row r="1833" spans="1:2" x14ac:dyDescent="0.35">
      <c r="A1833" s="11" t="s">
        <v>1072</v>
      </c>
      <c r="B1833" s="5">
        <v>1</v>
      </c>
    </row>
    <row r="1834" spans="1:2" x14ac:dyDescent="0.35">
      <c r="A1834" s="11" t="s">
        <v>1787</v>
      </c>
      <c r="B1834" s="5">
        <v>2</v>
      </c>
    </row>
    <row r="1835" spans="1:2" x14ac:dyDescent="0.35">
      <c r="A1835" s="11" t="s">
        <v>11005</v>
      </c>
      <c r="B1835" s="5">
        <v>1</v>
      </c>
    </row>
    <row r="1836" spans="1:2" x14ac:dyDescent="0.35">
      <c r="A1836" s="11" t="s">
        <v>2471</v>
      </c>
      <c r="B1836" s="5">
        <v>1</v>
      </c>
    </row>
    <row r="1837" spans="1:2" x14ac:dyDescent="0.35">
      <c r="A1837" s="11" t="s">
        <v>10807</v>
      </c>
      <c r="B1837" s="5">
        <v>1</v>
      </c>
    </row>
    <row r="1838" spans="1:2" x14ac:dyDescent="0.35">
      <c r="A1838" s="11" t="s">
        <v>134</v>
      </c>
      <c r="B1838" s="5">
        <v>3</v>
      </c>
    </row>
    <row r="1839" spans="1:2" x14ac:dyDescent="0.35">
      <c r="A1839" s="11" t="s">
        <v>11849</v>
      </c>
      <c r="B1839" s="5">
        <v>2</v>
      </c>
    </row>
    <row r="1840" spans="1:2" x14ac:dyDescent="0.35">
      <c r="A1840" s="11" t="s">
        <v>4954</v>
      </c>
      <c r="B1840" s="5">
        <v>2</v>
      </c>
    </row>
    <row r="1841" spans="1:2" x14ac:dyDescent="0.35">
      <c r="A1841" s="11" t="s">
        <v>2000</v>
      </c>
      <c r="B1841" s="5">
        <v>2</v>
      </c>
    </row>
    <row r="1842" spans="1:2" x14ac:dyDescent="0.35">
      <c r="A1842" s="11" t="s">
        <v>12959</v>
      </c>
      <c r="B1842" s="5">
        <v>1</v>
      </c>
    </row>
    <row r="1843" spans="1:2" x14ac:dyDescent="0.35">
      <c r="A1843" s="11" t="s">
        <v>4959</v>
      </c>
      <c r="B1843" s="5">
        <v>4</v>
      </c>
    </row>
    <row r="1844" spans="1:2" x14ac:dyDescent="0.35">
      <c r="A1844" s="11" t="s">
        <v>5449</v>
      </c>
      <c r="B1844" s="5">
        <v>18</v>
      </c>
    </row>
    <row r="1845" spans="1:2" x14ac:dyDescent="0.35">
      <c r="A1845" s="11" t="s">
        <v>1460</v>
      </c>
      <c r="B1845" s="5">
        <v>1</v>
      </c>
    </row>
    <row r="1846" spans="1:2" x14ac:dyDescent="0.35">
      <c r="A1846" s="11" t="s">
        <v>3232</v>
      </c>
      <c r="B1846" s="5">
        <v>4</v>
      </c>
    </row>
    <row r="1847" spans="1:2" x14ac:dyDescent="0.35">
      <c r="A1847" s="11" t="s">
        <v>4130</v>
      </c>
      <c r="B1847" s="5">
        <v>12</v>
      </c>
    </row>
    <row r="1848" spans="1:2" x14ac:dyDescent="0.35">
      <c r="A1848" s="11" t="s">
        <v>4863</v>
      </c>
      <c r="B1848" s="5">
        <v>4</v>
      </c>
    </row>
    <row r="1849" spans="1:2" x14ac:dyDescent="0.35">
      <c r="A1849" s="11" t="s">
        <v>10815</v>
      </c>
      <c r="B1849" s="5">
        <v>7</v>
      </c>
    </row>
    <row r="1850" spans="1:2" x14ac:dyDescent="0.35">
      <c r="A1850" s="11" t="s">
        <v>1649</v>
      </c>
      <c r="B1850" s="5">
        <v>1</v>
      </c>
    </row>
    <row r="1851" spans="1:2" x14ac:dyDescent="0.35">
      <c r="A1851" s="11" t="s">
        <v>5405</v>
      </c>
      <c r="B1851" s="5">
        <v>1</v>
      </c>
    </row>
    <row r="1852" spans="1:2" x14ac:dyDescent="0.35">
      <c r="A1852" s="11" t="s">
        <v>3709</v>
      </c>
      <c r="B1852" s="5">
        <v>4</v>
      </c>
    </row>
    <row r="1853" spans="1:2" x14ac:dyDescent="0.35">
      <c r="A1853" s="11" t="s">
        <v>4526</v>
      </c>
      <c r="B1853" s="5">
        <v>5</v>
      </c>
    </row>
    <row r="1854" spans="1:2" x14ac:dyDescent="0.35">
      <c r="A1854" s="11" t="s">
        <v>6721</v>
      </c>
      <c r="B1854" s="5">
        <v>2</v>
      </c>
    </row>
    <row r="1855" spans="1:2" x14ac:dyDescent="0.35">
      <c r="A1855" s="11" t="s">
        <v>572</v>
      </c>
      <c r="B1855" s="5">
        <v>1</v>
      </c>
    </row>
    <row r="1856" spans="1:2" x14ac:dyDescent="0.35">
      <c r="A1856" s="11" t="s">
        <v>246</v>
      </c>
      <c r="B1856" s="5">
        <v>40</v>
      </c>
    </row>
    <row r="1857" spans="1:2" x14ac:dyDescent="0.35">
      <c r="A1857" s="11" t="s">
        <v>977</v>
      </c>
      <c r="B1857" s="5">
        <v>3</v>
      </c>
    </row>
    <row r="1858" spans="1:2" x14ac:dyDescent="0.35">
      <c r="A1858" s="11" t="s">
        <v>44</v>
      </c>
      <c r="B1858" s="5">
        <v>8</v>
      </c>
    </row>
    <row r="1859" spans="1:2" x14ac:dyDescent="0.35">
      <c r="A1859" s="11" t="s">
        <v>2283</v>
      </c>
      <c r="B1859" s="5">
        <v>1</v>
      </c>
    </row>
    <row r="1860" spans="1:2" x14ac:dyDescent="0.35">
      <c r="A1860" s="11" t="s">
        <v>4105</v>
      </c>
      <c r="B1860" s="5">
        <v>1</v>
      </c>
    </row>
    <row r="1861" spans="1:2" x14ac:dyDescent="0.35">
      <c r="A1861" s="11" t="s">
        <v>2916</v>
      </c>
      <c r="B1861" s="5">
        <v>3</v>
      </c>
    </row>
    <row r="1862" spans="1:2" x14ac:dyDescent="0.35">
      <c r="A1862" s="11" t="s">
        <v>486</v>
      </c>
      <c r="B1862" s="5">
        <v>334</v>
      </c>
    </row>
    <row r="1863" spans="1:2" x14ac:dyDescent="0.35">
      <c r="A1863" s="11" t="s">
        <v>2910</v>
      </c>
      <c r="B1863" s="5">
        <v>1</v>
      </c>
    </row>
    <row r="1864" spans="1:2" x14ac:dyDescent="0.35">
      <c r="A1864" s="11" t="s">
        <v>11910</v>
      </c>
      <c r="B1864" s="5">
        <v>2</v>
      </c>
    </row>
    <row r="1865" spans="1:2" x14ac:dyDescent="0.35">
      <c r="A1865" s="11" t="s">
        <v>1867</v>
      </c>
      <c r="B1865" s="5">
        <v>2</v>
      </c>
    </row>
    <row r="1866" spans="1:2" x14ac:dyDescent="0.35">
      <c r="A1866" s="11" t="s">
        <v>12727</v>
      </c>
      <c r="B1866" s="5">
        <v>1</v>
      </c>
    </row>
    <row r="1867" spans="1:2" x14ac:dyDescent="0.35">
      <c r="A1867" s="11" t="s">
        <v>1172</v>
      </c>
      <c r="B1867" s="5">
        <v>2</v>
      </c>
    </row>
    <row r="1868" spans="1:2" x14ac:dyDescent="0.35">
      <c r="A1868" s="11" t="s">
        <v>5494</v>
      </c>
      <c r="B1868" s="5">
        <v>30</v>
      </c>
    </row>
    <row r="1869" spans="1:2" x14ac:dyDescent="0.35">
      <c r="A1869" s="11" t="s">
        <v>13055</v>
      </c>
      <c r="B1869" s="5">
        <v>2</v>
      </c>
    </row>
    <row r="1870" spans="1:2" x14ac:dyDescent="0.35">
      <c r="A1870" s="11" t="s">
        <v>12136</v>
      </c>
      <c r="B1870" s="5">
        <v>3</v>
      </c>
    </row>
    <row r="1871" spans="1:2" x14ac:dyDescent="0.35">
      <c r="A1871" s="11" t="s">
        <v>2874</v>
      </c>
      <c r="B1871" s="5">
        <v>1</v>
      </c>
    </row>
    <row r="1872" spans="1:2" x14ac:dyDescent="0.35">
      <c r="A1872" s="11" t="s">
        <v>25</v>
      </c>
      <c r="B1872" s="5">
        <v>24</v>
      </c>
    </row>
    <row r="1873" spans="1:2" x14ac:dyDescent="0.35">
      <c r="A1873" s="11" t="s">
        <v>1121</v>
      </c>
      <c r="B1873" s="5">
        <v>9</v>
      </c>
    </row>
    <row r="1874" spans="1:2" x14ac:dyDescent="0.35">
      <c r="A1874" s="11" t="s">
        <v>1761</v>
      </c>
      <c r="B1874" s="5">
        <v>2</v>
      </c>
    </row>
    <row r="1875" spans="1:2" x14ac:dyDescent="0.35">
      <c r="A1875" s="11" t="s">
        <v>2827</v>
      </c>
      <c r="B1875" s="5">
        <v>2</v>
      </c>
    </row>
    <row r="1876" spans="1:2" x14ac:dyDescent="0.35">
      <c r="A1876" s="11" t="s">
        <v>2220</v>
      </c>
      <c r="B1876" s="5">
        <v>1</v>
      </c>
    </row>
    <row r="1877" spans="1:2" x14ac:dyDescent="0.35">
      <c r="A1877" s="11" t="s">
        <v>178</v>
      </c>
      <c r="B1877" s="5">
        <v>1</v>
      </c>
    </row>
    <row r="1878" spans="1:2" x14ac:dyDescent="0.35">
      <c r="A1878" s="11" t="s">
        <v>10711</v>
      </c>
      <c r="B1878" s="5">
        <v>3</v>
      </c>
    </row>
    <row r="1879" spans="1:2" x14ac:dyDescent="0.35">
      <c r="A1879" s="11" t="s">
        <v>8490</v>
      </c>
      <c r="B1879" s="5">
        <v>3</v>
      </c>
    </row>
    <row r="1880" spans="1:2" x14ac:dyDescent="0.35">
      <c r="A1880" s="11" t="s">
        <v>618</v>
      </c>
      <c r="B1880" s="5">
        <v>4</v>
      </c>
    </row>
    <row r="1881" spans="1:2" x14ac:dyDescent="0.35">
      <c r="A1881" s="11" t="s">
        <v>7314</v>
      </c>
      <c r="B1881" s="5">
        <v>1</v>
      </c>
    </row>
    <row r="1882" spans="1:2" x14ac:dyDescent="0.35">
      <c r="A1882" s="11" t="s">
        <v>3692</v>
      </c>
      <c r="B1882" s="5">
        <v>4</v>
      </c>
    </row>
    <row r="1883" spans="1:2" x14ac:dyDescent="0.35">
      <c r="A1883" s="11" t="s">
        <v>903</v>
      </c>
      <c r="B1883" s="5">
        <v>6</v>
      </c>
    </row>
    <row r="1884" spans="1:2" x14ac:dyDescent="0.35">
      <c r="A1884" s="11" t="s">
        <v>7817</v>
      </c>
      <c r="B1884" s="5">
        <v>10</v>
      </c>
    </row>
    <row r="1885" spans="1:2" x14ac:dyDescent="0.35">
      <c r="A1885" s="11" t="s">
        <v>189</v>
      </c>
      <c r="B1885" s="5">
        <v>1</v>
      </c>
    </row>
    <row r="1886" spans="1:2" x14ac:dyDescent="0.35">
      <c r="A1886" s="11" t="s">
        <v>5015</v>
      </c>
      <c r="B1886" s="5">
        <v>2</v>
      </c>
    </row>
    <row r="1887" spans="1:2" x14ac:dyDescent="0.35">
      <c r="A1887" s="11" t="s">
        <v>3159</v>
      </c>
      <c r="B1887" s="5">
        <v>1</v>
      </c>
    </row>
    <row r="1888" spans="1:2" x14ac:dyDescent="0.35">
      <c r="A1888" s="11" t="s">
        <v>5297</v>
      </c>
      <c r="B1888" s="5">
        <v>2</v>
      </c>
    </row>
    <row r="1889" spans="1:2" x14ac:dyDescent="0.35">
      <c r="A1889" s="11" t="s">
        <v>3930</v>
      </c>
      <c r="B1889" s="5">
        <v>1</v>
      </c>
    </row>
    <row r="1890" spans="1:2" x14ac:dyDescent="0.35">
      <c r="A1890" s="11" t="s">
        <v>5698</v>
      </c>
      <c r="B1890" s="5">
        <v>6</v>
      </c>
    </row>
    <row r="1891" spans="1:2" x14ac:dyDescent="0.35">
      <c r="A1891" s="11" t="s">
        <v>11080</v>
      </c>
      <c r="B1891" s="5">
        <v>3</v>
      </c>
    </row>
    <row r="1892" spans="1:2" x14ac:dyDescent="0.35">
      <c r="A1892" s="11" t="s">
        <v>1886</v>
      </c>
      <c r="B1892" s="5">
        <v>1</v>
      </c>
    </row>
    <row r="1893" spans="1:2" x14ac:dyDescent="0.35">
      <c r="A1893" s="11" t="s">
        <v>12227</v>
      </c>
      <c r="B1893" s="5">
        <v>1</v>
      </c>
    </row>
    <row r="1894" spans="1:2" x14ac:dyDescent="0.35">
      <c r="A1894" s="11" t="s">
        <v>766</v>
      </c>
      <c r="B1894" s="5">
        <v>1</v>
      </c>
    </row>
    <row r="1895" spans="1:2" x14ac:dyDescent="0.35">
      <c r="A1895" s="11" t="s">
        <v>678</v>
      </c>
      <c r="B1895" s="5">
        <v>1</v>
      </c>
    </row>
    <row r="1896" spans="1:2" x14ac:dyDescent="0.35">
      <c r="A1896" s="11" t="s">
        <v>3679</v>
      </c>
      <c r="B1896" s="5">
        <v>2</v>
      </c>
    </row>
    <row r="1897" spans="1:2" x14ac:dyDescent="0.35">
      <c r="A1897" s="11" t="s">
        <v>1497</v>
      </c>
      <c r="B1897" s="5">
        <v>2</v>
      </c>
    </row>
    <row r="1898" spans="1:2" x14ac:dyDescent="0.35">
      <c r="A1898" s="11" t="s">
        <v>8324</v>
      </c>
      <c r="B1898" s="5">
        <v>1</v>
      </c>
    </row>
    <row r="1899" spans="1:2" x14ac:dyDescent="0.35">
      <c r="A1899" s="11" t="s">
        <v>2292</v>
      </c>
      <c r="B1899" s="5">
        <v>5</v>
      </c>
    </row>
    <row r="1900" spans="1:2" x14ac:dyDescent="0.35">
      <c r="A1900" s="11" t="s">
        <v>480</v>
      </c>
      <c r="B1900" s="5">
        <v>2</v>
      </c>
    </row>
    <row r="1901" spans="1:2" x14ac:dyDescent="0.35">
      <c r="A1901" s="11" t="s">
        <v>1932</v>
      </c>
      <c r="B1901" s="5">
        <v>4</v>
      </c>
    </row>
    <row r="1902" spans="1:2" x14ac:dyDescent="0.35">
      <c r="A1902" s="11" t="s">
        <v>11267</v>
      </c>
      <c r="B1902" s="5">
        <v>3</v>
      </c>
    </row>
    <row r="1903" spans="1:2" x14ac:dyDescent="0.35">
      <c r="A1903" s="11" t="s">
        <v>2750</v>
      </c>
      <c r="B1903" s="5">
        <v>1</v>
      </c>
    </row>
    <row r="1904" spans="1:2" x14ac:dyDescent="0.35">
      <c r="A1904" s="11" t="s">
        <v>8136</v>
      </c>
      <c r="B1904" s="5">
        <v>7</v>
      </c>
    </row>
    <row r="1905" spans="1:2" x14ac:dyDescent="0.35">
      <c r="A1905" s="11" t="s">
        <v>466</v>
      </c>
      <c r="B1905" s="5">
        <v>1</v>
      </c>
    </row>
    <row r="1906" spans="1:2" x14ac:dyDescent="0.35">
      <c r="A1906" s="11" t="s">
        <v>4405</v>
      </c>
      <c r="B1906" s="5">
        <v>10</v>
      </c>
    </row>
    <row r="1907" spans="1:2" x14ac:dyDescent="0.35">
      <c r="A1907" s="11" t="s">
        <v>2659</v>
      </c>
      <c r="B1907" s="5">
        <v>3</v>
      </c>
    </row>
    <row r="1908" spans="1:2" x14ac:dyDescent="0.35">
      <c r="A1908" s="11" t="s">
        <v>4351</v>
      </c>
      <c r="B1908" s="5">
        <v>3</v>
      </c>
    </row>
    <row r="1909" spans="1:2" x14ac:dyDescent="0.35">
      <c r="A1909" s="11" t="s">
        <v>9243</v>
      </c>
      <c r="B1909" s="5">
        <v>2</v>
      </c>
    </row>
    <row r="1910" spans="1:2" x14ac:dyDescent="0.35">
      <c r="A1910" s="11" t="s">
        <v>2911</v>
      </c>
      <c r="B1910" s="5">
        <v>1</v>
      </c>
    </row>
    <row r="1911" spans="1:2" x14ac:dyDescent="0.35">
      <c r="A1911" s="11" t="s">
        <v>12399</v>
      </c>
      <c r="B1911" s="5">
        <v>3</v>
      </c>
    </row>
    <row r="1912" spans="1:2" x14ac:dyDescent="0.35">
      <c r="A1912" s="11" t="s">
        <v>11591</v>
      </c>
      <c r="B1912" s="5">
        <v>2</v>
      </c>
    </row>
    <row r="1913" spans="1:2" x14ac:dyDescent="0.35">
      <c r="A1913" s="11" t="s">
        <v>2531</v>
      </c>
      <c r="B1913" s="5">
        <v>7</v>
      </c>
    </row>
    <row r="1914" spans="1:2" x14ac:dyDescent="0.35">
      <c r="A1914" s="11" t="s">
        <v>352</v>
      </c>
      <c r="B1914" s="5">
        <v>3</v>
      </c>
    </row>
    <row r="1915" spans="1:2" x14ac:dyDescent="0.35">
      <c r="A1915" s="11" t="s">
        <v>366</v>
      </c>
      <c r="B1915" s="5">
        <v>3</v>
      </c>
    </row>
    <row r="1916" spans="1:2" x14ac:dyDescent="0.35">
      <c r="A1916" s="11" t="s">
        <v>861</v>
      </c>
      <c r="B1916" s="5">
        <v>2</v>
      </c>
    </row>
    <row r="1917" spans="1:2" x14ac:dyDescent="0.35">
      <c r="A1917" s="11" t="s">
        <v>9202</v>
      </c>
      <c r="B1917" s="5">
        <v>3</v>
      </c>
    </row>
    <row r="1918" spans="1:2" x14ac:dyDescent="0.35">
      <c r="A1918" s="11" t="s">
        <v>3186</v>
      </c>
      <c r="B1918" s="5">
        <v>77</v>
      </c>
    </row>
    <row r="1919" spans="1:2" x14ac:dyDescent="0.35">
      <c r="A1919" s="11" t="s">
        <v>160</v>
      </c>
      <c r="B1919" s="5">
        <v>8</v>
      </c>
    </row>
    <row r="1920" spans="1:2" x14ac:dyDescent="0.35">
      <c r="A1920" s="11" t="s">
        <v>4368</v>
      </c>
      <c r="B1920" s="5">
        <v>2</v>
      </c>
    </row>
    <row r="1921" spans="1:2" x14ac:dyDescent="0.35">
      <c r="A1921" s="11" t="s">
        <v>2870</v>
      </c>
      <c r="B1921" s="5">
        <v>1</v>
      </c>
    </row>
    <row r="1922" spans="1:2" x14ac:dyDescent="0.35">
      <c r="A1922" s="11" t="s">
        <v>138</v>
      </c>
      <c r="B1922" s="5">
        <v>4</v>
      </c>
    </row>
    <row r="1923" spans="1:2" x14ac:dyDescent="0.35">
      <c r="A1923" s="11" t="s">
        <v>1738</v>
      </c>
      <c r="B1923" s="5">
        <v>2</v>
      </c>
    </row>
    <row r="1924" spans="1:2" x14ac:dyDescent="0.35">
      <c r="A1924" s="11" t="s">
        <v>1742</v>
      </c>
      <c r="B1924" s="5">
        <v>1</v>
      </c>
    </row>
    <row r="1925" spans="1:2" x14ac:dyDescent="0.35">
      <c r="A1925" s="11" t="s">
        <v>6816</v>
      </c>
      <c r="B1925" s="5">
        <v>1</v>
      </c>
    </row>
    <row r="1926" spans="1:2" x14ac:dyDescent="0.35">
      <c r="A1926" s="11" t="s">
        <v>1144</v>
      </c>
      <c r="B1926" s="5">
        <v>1</v>
      </c>
    </row>
    <row r="1927" spans="1:2" x14ac:dyDescent="0.35">
      <c r="A1927" s="11" t="s">
        <v>9558</v>
      </c>
      <c r="B1927" s="5">
        <v>4</v>
      </c>
    </row>
    <row r="1928" spans="1:2" x14ac:dyDescent="0.35">
      <c r="A1928" s="11" t="s">
        <v>2577</v>
      </c>
      <c r="B1928" s="5">
        <v>24</v>
      </c>
    </row>
    <row r="1929" spans="1:2" x14ac:dyDescent="0.35">
      <c r="A1929" s="11" t="s">
        <v>4026</v>
      </c>
      <c r="B1929" s="5">
        <v>3</v>
      </c>
    </row>
    <row r="1930" spans="1:2" x14ac:dyDescent="0.35">
      <c r="A1930" s="11" t="s">
        <v>12637</v>
      </c>
      <c r="B1930" s="5">
        <v>2</v>
      </c>
    </row>
    <row r="1931" spans="1:2" x14ac:dyDescent="0.35">
      <c r="A1931" s="11" t="s">
        <v>12930</v>
      </c>
      <c r="B1931" s="5">
        <v>3</v>
      </c>
    </row>
    <row r="1932" spans="1:2" x14ac:dyDescent="0.35">
      <c r="A1932" s="11" t="s">
        <v>3973</v>
      </c>
      <c r="B1932" s="5">
        <v>24</v>
      </c>
    </row>
    <row r="1933" spans="1:2" x14ac:dyDescent="0.35">
      <c r="A1933" s="11" t="s">
        <v>3943</v>
      </c>
      <c r="B1933" s="5">
        <v>6</v>
      </c>
    </row>
    <row r="1934" spans="1:2" x14ac:dyDescent="0.35">
      <c r="A1934" s="11" t="s">
        <v>8495</v>
      </c>
      <c r="B1934" s="5">
        <v>3</v>
      </c>
    </row>
    <row r="1935" spans="1:2" x14ac:dyDescent="0.35">
      <c r="A1935" s="11" t="s">
        <v>11865</v>
      </c>
      <c r="B1935" s="5">
        <v>3</v>
      </c>
    </row>
    <row r="1936" spans="1:2" x14ac:dyDescent="0.35">
      <c r="A1936" s="11" t="s">
        <v>3442</v>
      </c>
      <c r="B1936" s="5">
        <v>13</v>
      </c>
    </row>
    <row r="1937" spans="1:2" x14ac:dyDescent="0.35">
      <c r="A1937" s="11" t="s">
        <v>10666</v>
      </c>
      <c r="B1937" s="5">
        <v>5</v>
      </c>
    </row>
    <row r="1938" spans="1:2" x14ac:dyDescent="0.35">
      <c r="A1938" s="11" t="s">
        <v>1795</v>
      </c>
      <c r="B1938" s="5">
        <v>2</v>
      </c>
    </row>
    <row r="1939" spans="1:2" x14ac:dyDescent="0.35">
      <c r="A1939" s="11" t="s">
        <v>226</v>
      </c>
      <c r="B1939" s="5">
        <v>69</v>
      </c>
    </row>
    <row r="1940" spans="1:2" x14ac:dyDescent="0.35">
      <c r="A1940" s="11" t="s">
        <v>223</v>
      </c>
      <c r="B1940" s="5">
        <v>9</v>
      </c>
    </row>
    <row r="1941" spans="1:2" x14ac:dyDescent="0.35">
      <c r="A1941" s="11" t="s">
        <v>11972</v>
      </c>
      <c r="B1941" s="5">
        <v>3</v>
      </c>
    </row>
    <row r="1942" spans="1:2" x14ac:dyDescent="0.35">
      <c r="A1942" s="11" t="s">
        <v>1470</v>
      </c>
      <c r="B1942" s="5">
        <v>1</v>
      </c>
    </row>
    <row r="1943" spans="1:2" x14ac:dyDescent="0.35">
      <c r="A1943" s="11" t="s">
        <v>2921</v>
      </c>
      <c r="B1943" s="5">
        <v>2</v>
      </c>
    </row>
    <row r="1944" spans="1:2" x14ac:dyDescent="0.35">
      <c r="A1944" s="11" t="s">
        <v>585</v>
      </c>
      <c r="B1944" s="5">
        <v>1</v>
      </c>
    </row>
    <row r="1945" spans="1:2" x14ac:dyDescent="0.35">
      <c r="A1945" s="11" t="s">
        <v>1871</v>
      </c>
      <c r="B1945" s="5">
        <v>16</v>
      </c>
    </row>
    <row r="1946" spans="1:2" x14ac:dyDescent="0.35">
      <c r="A1946" s="11" t="s">
        <v>4411</v>
      </c>
      <c r="B1946" s="5">
        <v>17</v>
      </c>
    </row>
    <row r="1947" spans="1:2" x14ac:dyDescent="0.35">
      <c r="A1947" s="11" t="s">
        <v>929</v>
      </c>
      <c r="B1947" s="5">
        <v>1</v>
      </c>
    </row>
    <row r="1948" spans="1:2" x14ac:dyDescent="0.35">
      <c r="A1948" s="11" t="s">
        <v>4126</v>
      </c>
      <c r="B1948" s="5">
        <v>1</v>
      </c>
    </row>
    <row r="1949" spans="1:2" x14ac:dyDescent="0.35">
      <c r="A1949" s="11" t="s">
        <v>9852</v>
      </c>
      <c r="B1949" s="5">
        <v>1</v>
      </c>
    </row>
    <row r="1950" spans="1:2" x14ac:dyDescent="0.35">
      <c r="A1950" s="11" t="s">
        <v>4197</v>
      </c>
      <c r="B1950" s="5">
        <v>16</v>
      </c>
    </row>
    <row r="1951" spans="1:2" x14ac:dyDescent="0.35">
      <c r="A1951" s="11" t="s">
        <v>304</v>
      </c>
      <c r="B1951" s="5">
        <v>1</v>
      </c>
    </row>
    <row r="1952" spans="1:2" x14ac:dyDescent="0.35">
      <c r="A1952" s="11" t="s">
        <v>4363</v>
      </c>
      <c r="B1952" s="5">
        <v>2</v>
      </c>
    </row>
    <row r="1953" spans="1:2" x14ac:dyDescent="0.35">
      <c r="A1953" s="11" t="s">
        <v>416</v>
      </c>
      <c r="B1953" s="5">
        <v>8</v>
      </c>
    </row>
    <row r="1954" spans="1:2" x14ac:dyDescent="0.35">
      <c r="A1954" s="11" t="s">
        <v>7557</v>
      </c>
      <c r="B1954" s="5">
        <v>2</v>
      </c>
    </row>
    <row r="1955" spans="1:2" x14ac:dyDescent="0.35">
      <c r="A1955" s="11" t="s">
        <v>4984</v>
      </c>
      <c r="B1955" s="5">
        <v>3</v>
      </c>
    </row>
    <row r="1956" spans="1:2" x14ac:dyDescent="0.35">
      <c r="A1956" s="11" t="s">
        <v>2191</v>
      </c>
      <c r="B1956" s="5">
        <v>19</v>
      </c>
    </row>
    <row r="1957" spans="1:2" x14ac:dyDescent="0.35">
      <c r="A1957" s="11" t="s">
        <v>1821</v>
      </c>
      <c r="B1957" s="5">
        <v>2</v>
      </c>
    </row>
    <row r="1958" spans="1:2" x14ac:dyDescent="0.35">
      <c r="A1958" s="11" t="s">
        <v>7993</v>
      </c>
      <c r="B1958" s="5">
        <v>6</v>
      </c>
    </row>
    <row r="1959" spans="1:2" x14ac:dyDescent="0.35">
      <c r="A1959" s="11" t="s">
        <v>1773</v>
      </c>
      <c r="B1959" s="5">
        <v>5</v>
      </c>
    </row>
    <row r="1960" spans="1:2" x14ac:dyDescent="0.35">
      <c r="A1960" s="11" t="s">
        <v>148</v>
      </c>
      <c r="B1960" s="5">
        <v>1</v>
      </c>
    </row>
    <row r="1961" spans="1:2" x14ac:dyDescent="0.35">
      <c r="A1961" s="11" t="s">
        <v>2119</v>
      </c>
      <c r="B1961" s="5">
        <v>1</v>
      </c>
    </row>
    <row r="1962" spans="1:2" x14ac:dyDescent="0.35">
      <c r="A1962" s="11" t="s">
        <v>1947</v>
      </c>
      <c r="B1962" s="5">
        <v>1</v>
      </c>
    </row>
    <row r="1963" spans="1:2" x14ac:dyDescent="0.35">
      <c r="A1963" s="11" t="s">
        <v>321</v>
      </c>
      <c r="B1963" s="5">
        <v>5</v>
      </c>
    </row>
    <row r="1964" spans="1:2" x14ac:dyDescent="0.35">
      <c r="A1964" s="11" t="s">
        <v>1108</v>
      </c>
      <c r="B1964" s="5">
        <v>5</v>
      </c>
    </row>
    <row r="1965" spans="1:2" x14ac:dyDescent="0.35">
      <c r="A1965" s="11" t="s">
        <v>612</v>
      </c>
      <c r="B1965" s="5">
        <v>2</v>
      </c>
    </row>
    <row r="1966" spans="1:2" x14ac:dyDescent="0.35">
      <c r="A1966" s="11" t="s">
        <v>3275</v>
      </c>
      <c r="B1966" s="5">
        <v>1</v>
      </c>
    </row>
    <row r="1967" spans="1:2" x14ac:dyDescent="0.35">
      <c r="A1967" s="11" t="s">
        <v>1752</v>
      </c>
      <c r="B1967" s="5">
        <v>2</v>
      </c>
    </row>
    <row r="1968" spans="1:2" x14ac:dyDescent="0.35">
      <c r="A1968" s="11" t="s">
        <v>8607</v>
      </c>
      <c r="B1968" s="5">
        <v>5</v>
      </c>
    </row>
    <row r="1969" spans="1:2" x14ac:dyDescent="0.35">
      <c r="A1969" s="11" t="s">
        <v>6684</v>
      </c>
      <c r="B1969" s="5">
        <v>1</v>
      </c>
    </row>
    <row r="1970" spans="1:2" x14ac:dyDescent="0.35">
      <c r="A1970" s="11" t="s">
        <v>13097</v>
      </c>
      <c r="B1970" s="5">
        <v>3</v>
      </c>
    </row>
    <row r="1971" spans="1:2" x14ac:dyDescent="0.35">
      <c r="A1971" s="11" t="s">
        <v>8164</v>
      </c>
      <c r="B1971" s="5">
        <v>2</v>
      </c>
    </row>
    <row r="1972" spans="1:2" x14ac:dyDescent="0.35">
      <c r="A1972" s="11" t="s">
        <v>749</v>
      </c>
      <c r="B1972" s="5">
        <v>1</v>
      </c>
    </row>
    <row r="1973" spans="1:2" x14ac:dyDescent="0.35">
      <c r="A1973" s="11" t="s">
        <v>3845</v>
      </c>
      <c r="B1973" s="5">
        <v>1</v>
      </c>
    </row>
    <row r="1974" spans="1:2" x14ac:dyDescent="0.35">
      <c r="A1974" s="11" t="s">
        <v>5369</v>
      </c>
      <c r="B1974" s="5">
        <v>3</v>
      </c>
    </row>
    <row r="1975" spans="1:2" x14ac:dyDescent="0.35">
      <c r="A1975" s="11" t="s">
        <v>12087</v>
      </c>
      <c r="B1975" s="5">
        <v>2</v>
      </c>
    </row>
    <row r="1976" spans="1:2" x14ac:dyDescent="0.35">
      <c r="A1976" s="11" t="s">
        <v>2561</v>
      </c>
      <c r="B1976" s="5">
        <v>4</v>
      </c>
    </row>
    <row r="1977" spans="1:2" x14ac:dyDescent="0.35">
      <c r="A1977" s="11" t="s">
        <v>961</v>
      </c>
      <c r="B1977" s="5">
        <v>6</v>
      </c>
    </row>
    <row r="1978" spans="1:2" x14ac:dyDescent="0.35">
      <c r="A1978" s="11" t="s">
        <v>1623</v>
      </c>
      <c r="B1978" s="5">
        <v>1</v>
      </c>
    </row>
    <row r="1979" spans="1:2" x14ac:dyDescent="0.35">
      <c r="A1979" s="11" t="s">
        <v>2257</v>
      </c>
      <c r="B1979" s="5">
        <v>1</v>
      </c>
    </row>
    <row r="1980" spans="1:2" x14ac:dyDescent="0.35">
      <c r="A1980" s="11" t="s">
        <v>10701</v>
      </c>
      <c r="B1980" s="5">
        <v>2</v>
      </c>
    </row>
    <row r="1981" spans="1:2" x14ac:dyDescent="0.35">
      <c r="A1981" s="11" t="s">
        <v>6635</v>
      </c>
      <c r="B1981" s="5">
        <v>23</v>
      </c>
    </row>
    <row r="1982" spans="1:2" x14ac:dyDescent="0.35">
      <c r="A1982" s="11" t="s">
        <v>6774</v>
      </c>
      <c r="B1982" s="5">
        <v>2</v>
      </c>
    </row>
    <row r="1983" spans="1:2" x14ac:dyDescent="0.35">
      <c r="A1983" s="11" t="s">
        <v>8650</v>
      </c>
      <c r="B1983" s="5">
        <v>3</v>
      </c>
    </row>
    <row r="1984" spans="1:2" x14ac:dyDescent="0.35">
      <c r="A1984" s="11" t="s">
        <v>4223</v>
      </c>
      <c r="B1984" s="5">
        <v>4</v>
      </c>
    </row>
    <row r="1985" spans="1:2" x14ac:dyDescent="0.35">
      <c r="A1985" s="11" t="s">
        <v>1134</v>
      </c>
      <c r="B1985" s="5">
        <v>2</v>
      </c>
    </row>
    <row r="1986" spans="1:2" x14ac:dyDescent="0.35">
      <c r="A1986" s="11" t="s">
        <v>3559</v>
      </c>
      <c r="B1986" s="5">
        <v>78</v>
      </c>
    </row>
    <row r="1987" spans="1:2" x14ac:dyDescent="0.35">
      <c r="A1987" s="11" t="s">
        <v>3060</v>
      </c>
      <c r="B1987" s="5">
        <v>109</v>
      </c>
    </row>
    <row r="1988" spans="1:2" x14ac:dyDescent="0.35">
      <c r="A1988" s="11" t="s">
        <v>2114</v>
      </c>
      <c r="B1988" s="5">
        <v>1</v>
      </c>
    </row>
    <row r="1989" spans="1:2" x14ac:dyDescent="0.35">
      <c r="A1989" s="11" t="s">
        <v>9516</v>
      </c>
      <c r="B1989" s="5">
        <v>3</v>
      </c>
    </row>
    <row r="1990" spans="1:2" x14ac:dyDescent="0.35">
      <c r="A1990" s="11" t="s">
        <v>83</v>
      </c>
      <c r="B1990" s="5">
        <v>20</v>
      </c>
    </row>
    <row r="1991" spans="1:2" x14ac:dyDescent="0.35">
      <c r="A1991" s="11" t="s">
        <v>1607</v>
      </c>
      <c r="B1991" s="5">
        <v>3</v>
      </c>
    </row>
    <row r="1992" spans="1:2" x14ac:dyDescent="0.35">
      <c r="A1992" s="11" t="s">
        <v>12923</v>
      </c>
      <c r="B1992" s="5">
        <v>1</v>
      </c>
    </row>
    <row r="1993" spans="1:2" x14ac:dyDescent="0.35">
      <c r="A1993" s="11" t="s">
        <v>5747</v>
      </c>
      <c r="B1993" s="5">
        <v>2</v>
      </c>
    </row>
    <row r="1994" spans="1:2" x14ac:dyDescent="0.35">
      <c r="A1994" s="11" t="s">
        <v>9626</v>
      </c>
      <c r="B1994" s="5">
        <v>1</v>
      </c>
    </row>
    <row r="1995" spans="1:2" x14ac:dyDescent="0.35">
      <c r="A1995" s="11" t="s">
        <v>309</v>
      </c>
      <c r="B1995" s="5">
        <v>3</v>
      </c>
    </row>
    <row r="1996" spans="1:2" x14ac:dyDescent="0.35">
      <c r="A1996" s="11" t="s">
        <v>1962</v>
      </c>
      <c r="B1996" s="5">
        <v>2</v>
      </c>
    </row>
    <row r="1997" spans="1:2" x14ac:dyDescent="0.35">
      <c r="A1997" s="11" t="s">
        <v>5098</v>
      </c>
      <c r="B1997" s="5">
        <v>1</v>
      </c>
    </row>
    <row r="1998" spans="1:2" x14ac:dyDescent="0.35">
      <c r="A1998" s="11" t="s">
        <v>1139</v>
      </c>
      <c r="B1998" s="5">
        <v>3</v>
      </c>
    </row>
    <row r="1999" spans="1:2" x14ac:dyDescent="0.35">
      <c r="A1999" s="11" t="s">
        <v>4908</v>
      </c>
      <c r="B1999" s="5">
        <v>5</v>
      </c>
    </row>
    <row r="2000" spans="1:2" x14ac:dyDescent="0.35">
      <c r="A2000" s="11" t="s">
        <v>11579</v>
      </c>
      <c r="B2000" s="5">
        <v>2</v>
      </c>
    </row>
    <row r="2001" spans="1:2" x14ac:dyDescent="0.35">
      <c r="A2001" s="11" t="s">
        <v>1656</v>
      </c>
      <c r="B2001" s="5">
        <v>2</v>
      </c>
    </row>
    <row r="2002" spans="1:2" x14ac:dyDescent="0.35">
      <c r="A2002" s="11" t="s">
        <v>2596</v>
      </c>
      <c r="B2002" s="5">
        <v>18</v>
      </c>
    </row>
    <row r="2003" spans="1:2" x14ac:dyDescent="0.35">
      <c r="A2003" s="11" t="s">
        <v>1922</v>
      </c>
      <c r="B2003" s="5">
        <v>10</v>
      </c>
    </row>
    <row r="2004" spans="1:2" x14ac:dyDescent="0.35">
      <c r="A2004" s="11" t="s">
        <v>235</v>
      </c>
      <c r="B2004" s="5">
        <v>4</v>
      </c>
    </row>
    <row r="2005" spans="1:2" x14ac:dyDescent="0.35">
      <c r="A2005" s="11" t="s">
        <v>405</v>
      </c>
      <c r="B2005" s="5">
        <v>4</v>
      </c>
    </row>
    <row r="2006" spans="1:2" x14ac:dyDescent="0.35">
      <c r="A2006" s="11" t="s">
        <v>1531</v>
      </c>
      <c r="B2006" s="5">
        <v>1</v>
      </c>
    </row>
    <row r="2007" spans="1:2" x14ac:dyDescent="0.35">
      <c r="A2007" s="11" t="s">
        <v>1422</v>
      </c>
      <c r="B2007" s="5">
        <v>1</v>
      </c>
    </row>
    <row r="2008" spans="1:2" x14ac:dyDescent="0.35">
      <c r="A2008" s="11" t="s">
        <v>907</v>
      </c>
      <c r="B2008" s="5">
        <v>3</v>
      </c>
    </row>
    <row r="2009" spans="1:2" x14ac:dyDescent="0.35">
      <c r="A2009" s="11" t="s">
        <v>3054</v>
      </c>
      <c r="B2009" s="5">
        <v>2</v>
      </c>
    </row>
    <row r="2010" spans="1:2" x14ac:dyDescent="0.35">
      <c r="A2010" s="11" t="s">
        <v>8293</v>
      </c>
      <c r="B2010" s="5">
        <v>1</v>
      </c>
    </row>
    <row r="2011" spans="1:2" x14ac:dyDescent="0.35">
      <c r="A2011" s="11" t="s">
        <v>2084</v>
      </c>
      <c r="B2011" s="5">
        <v>3</v>
      </c>
    </row>
    <row r="2012" spans="1:2" x14ac:dyDescent="0.35">
      <c r="A2012" s="11" t="s">
        <v>439</v>
      </c>
      <c r="B2012" s="5">
        <v>19</v>
      </c>
    </row>
    <row r="2013" spans="1:2" x14ac:dyDescent="0.35">
      <c r="A2013" s="11" t="s">
        <v>12192</v>
      </c>
      <c r="B2013" s="5">
        <v>2</v>
      </c>
    </row>
    <row r="2014" spans="1:2" x14ac:dyDescent="0.35">
      <c r="A2014" s="11" t="s">
        <v>5432</v>
      </c>
      <c r="B2014" s="5">
        <v>7</v>
      </c>
    </row>
    <row r="2015" spans="1:2" x14ac:dyDescent="0.35">
      <c r="A2015" s="11" t="s">
        <v>2583</v>
      </c>
      <c r="B2015" s="5">
        <v>7</v>
      </c>
    </row>
    <row r="2016" spans="1:2" x14ac:dyDescent="0.35">
      <c r="A2016" s="11" t="s">
        <v>12828</v>
      </c>
      <c r="B2016" s="5">
        <v>3</v>
      </c>
    </row>
    <row r="2017" spans="1:2" x14ac:dyDescent="0.35">
      <c r="A2017" s="11" t="s">
        <v>7832</v>
      </c>
      <c r="B2017" s="5">
        <v>2</v>
      </c>
    </row>
    <row r="2018" spans="1:2" x14ac:dyDescent="0.35">
      <c r="A2018" s="11" t="s">
        <v>12702</v>
      </c>
      <c r="B2018" s="5">
        <v>3</v>
      </c>
    </row>
    <row r="2019" spans="1:2" x14ac:dyDescent="0.35">
      <c r="A2019" s="11" t="s">
        <v>7503</v>
      </c>
      <c r="B2019" s="5">
        <v>9</v>
      </c>
    </row>
    <row r="2020" spans="1:2" x14ac:dyDescent="0.35">
      <c r="A2020" s="11" t="s">
        <v>1161</v>
      </c>
      <c r="B2020" s="5">
        <v>9</v>
      </c>
    </row>
    <row r="2021" spans="1:2" x14ac:dyDescent="0.35">
      <c r="A2021" s="11" t="s">
        <v>2171</v>
      </c>
      <c r="B2021" s="5">
        <v>5</v>
      </c>
    </row>
    <row r="2022" spans="1:2" x14ac:dyDescent="0.35">
      <c r="A2022" s="11" t="s">
        <v>10772</v>
      </c>
      <c r="B2022" s="5">
        <v>2</v>
      </c>
    </row>
    <row r="2023" spans="1:2" x14ac:dyDescent="0.35">
      <c r="A2023" s="11" t="s">
        <v>1855</v>
      </c>
      <c r="B2023" s="5">
        <v>1</v>
      </c>
    </row>
    <row r="2024" spans="1:2" x14ac:dyDescent="0.35">
      <c r="A2024" s="11" t="s">
        <v>7872</v>
      </c>
      <c r="B2024" s="5">
        <v>3</v>
      </c>
    </row>
    <row r="2025" spans="1:2" x14ac:dyDescent="0.35">
      <c r="A2025" s="11" t="s">
        <v>997</v>
      </c>
      <c r="B2025" s="5">
        <v>1</v>
      </c>
    </row>
    <row r="2026" spans="1:2" x14ac:dyDescent="0.35">
      <c r="A2026" s="11" t="s">
        <v>6931</v>
      </c>
      <c r="B2026" s="5">
        <v>1</v>
      </c>
    </row>
    <row r="2027" spans="1:2" x14ac:dyDescent="0.35">
      <c r="A2027" s="11" t="s">
        <v>3713</v>
      </c>
      <c r="B2027" s="5">
        <v>1</v>
      </c>
    </row>
    <row r="2028" spans="1:2" x14ac:dyDescent="0.35">
      <c r="A2028" s="11" t="s">
        <v>2548</v>
      </c>
      <c r="B2028" s="5">
        <v>1</v>
      </c>
    </row>
    <row r="2029" spans="1:2" x14ac:dyDescent="0.35">
      <c r="A2029" s="11" t="s">
        <v>3167</v>
      </c>
      <c r="B2029" s="5">
        <v>1</v>
      </c>
    </row>
    <row r="2030" spans="1:2" x14ac:dyDescent="0.35">
      <c r="A2030" s="11" t="s">
        <v>2307</v>
      </c>
      <c r="B2030" s="5">
        <v>2</v>
      </c>
    </row>
    <row r="2031" spans="1:2" x14ac:dyDescent="0.35">
      <c r="A2031" s="11" t="s">
        <v>2737</v>
      </c>
      <c r="B2031" s="5">
        <v>3</v>
      </c>
    </row>
    <row r="2032" spans="1:2" x14ac:dyDescent="0.35">
      <c r="A2032" s="11" t="s">
        <v>37</v>
      </c>
      <c r="B2032" s="5">
        <v>1</v>
      </c>
    </row>
    <row r="2033" spans="1:2" x14ac:dyDescent="0.35">
      <c r="A2033" s="11" t="s">
        <v>96</v>
      </c>
      <c r="B2033" s="5">
        <v>1</v>
      </c>
    </row>
    <row r="2034" spans="1:2" x14ac:dyDescent="0.35">
      <c r="A2034" s="11" t="s">
        <v>12174</v>
      </c>
      <c r="B2034" s="5">
        <v>2</v>
      </c>
    </row>
    <row r="2035" spans="1:2" x14ac:dyDescent="0.35">
      <c r="A2035" s="11" t="s">
        <v>9923</v>
      </c>
      <c r="B2035" s="5">
        <v>2</v>
      </c>
    </row>
    <row r="2036" spans="1:2" x14ac:dyDescent="0.35">
      <c r="A2036" s="11" t="s">
        <v>8492</v>
      </c>
      <c r="B2036" s="5">
        <v>3</v>
      </c>
    </row>
    <row r="2037" spans="1:2" x14ac:dyDescent="0.35">
      <c r="A2037" s="11" t="s">
        <v>5454</v>
      </c>
      <c r="B2037" s="5">
        <v>1</v>
      </c>
    </row>
    <row r="2038" spans="1:2" x14ac:dyDescent="0.35">
      <c r="A2038" s="11" t="s">
        <v>1440</v>
      </c>
      <c r="B2038" s="5">
        <v>3</v>
      </c>
    </row>
    <row r="2039" spans="1:2" x14ac:dyDescent="0.35">
      <c r="A2039" s="11" t="s">
        <v>2507</v>
      </c>
      <c r="B2039" s="5">
        <v>1</v>
      </c>
    </row>
    <row r="2040" spans="1:2" x14ac:dyDescent="0.35">
      <c r="A2040" s="11" t="s">
        <v>1671</v>
      </c>
      <c r="B2040" s="5">
        <v>2</v>
      </c>
    </row>
    <row r="2041" spans="1:2" x14ac:dyDescent="0.35">
      <c r="A2041" s="11" t="s">
        <v>12823</v>
      </c>
      <c r="B2041" s="5">
        <v>1</v>
      </c>
    </row>
    <row r="2042" spans="1:2" x14ac:dyDescent="0.35">
      <c r="A2042" s="11" t="s">
        <v>12420</v>
      </c>
      <c r="B2042" s="5">
        <v>6</v>
      </c>
    </row>
    <row r="2043" spans="1:2" x14ac:dyDescent="0.35">
      <c r="A2043" s="11" t="s">
        <v>8714</v>
      </c>
      <c r="B2043" s="5">
        <v>4</v>
      </c>
    </row>
    <row r="2044" spans="1:2" x14ac:dyDescent="0.35">
      <c r="A2044" s="11" t="s">
        <v>12654</v>
      </c>
      <c r="B2044" s="5">
        <v>1</v>
      </c>
    </row>
    <row r="2045" spans="1:2" x14ac:dyDescent="0.35">
      <c r="A2045" s="11" t="s">
        <v>2004</v>
      </c>
      <c r="B2045" s="5">
        <v>1</v>
      </c>
    </row>
    <row r="2046" spans="1:2" x14ac:dyDescent="0.35">
      <c r="A2046" s="11" t="s">
        <v>2207</v>
      </c>
      <c r="B2046" s="5">
        <v>3</v>
      </c>
    </row>
    <row r="2047" spans="1:2" x14ac:dyDescent="0.35">
      <c r="A2047" s="11" t="s">
        <v>10876</v>
      </c>
      <c r="B2047" s="5">
        <v>3</v>
      </c>
    </row>
    <row r="2048" spans="1:2" x14ac:dyDescent="0.35">
      <c r="A2048" s="11" t="s">
        <v>2159</v>
      </c>
      <c r="B2048" s="5">
        <v>1</v>
      </c>
    </row>
    <row r="2049" spans="1:2" x14ac:dyDescent="0.35">
      <c r="A2049" s="11" t="s">
        <v>1205</v>
      </c>
      <c r="B2049" s="5">
        <v>2</v>
      </c>
    </row>
    <row r="2050" spans="1:2" x14ac:dyDescent="0.35">
      <c r="A2050" s="11" t="s">
        <v>3550</v>
      </c>
      <c r="B2050" s="5">
        <v>2</v>
      </c>
    </row>
    <row r="2051" spans="1:2" x14ac:dyDescent="0.35">
      <c r="A2051" s="11" t="s">
        <v>78</v>
      </c>
      <c r="B2051" s="5">
        <v>63</v>
      </c>
    </row>
    <row r="2052" spans="1:2" x14ac:dyDescent="0.35">
      <c r="A2052" s="11" t="s">
        <v>2096</v>
      </c>
      <c r="B2052" s="5">
        <v>2</v>
      </c>
    </row>
    <row r="2053" spans="1:2" x14ac:dyDescent="0.35">
      <c r="A2053" s="11" t="s">
        <v>1038</v>
      </c>
      <c r="B2053" s="5">
        <v>2</v>
      </c>
    </row>
    <row r="2054" spans="1:2" x14ac:dyDescent="0.35">
      <c r="A2054" s="11" t="s">
        <v>12394</v>
      </c>
      <c r="B2054" s="5">
        <v>3</v>
      </c>
    </row>
    <row r="2055" spans="1:2" x14ac:dyDescent="0.35">
      <c r="A2055" s="11" t="s">
        <v>2775</v>
      </c>
      <c r="B2055" s="5">
        <v>1</v>
      </c>
    </row>
    <row r="2056" spans="1:2" x14ac:dyDescent="0.35">
      <c r="A2056" s="11" t="s">
        <v>1131</v>
      </c>
      <c r="B2056" s="5">
        <v>1</v>
      </c>
    </row>
    <row r="2057" spans="1:2" x14ac:dyDescent="0.35">
      <c r="A2057" s="11" t="s">
        <v>6497</v>
      </c>
      <c r="B2057" s="5">
        <v>2</v>
      </c>
    </row>
    <row r="2058" spans="1:2" x14ac:dyDescent="0.35">
      <c r="A2058" s="11" t="s">
        <v>8913</v>
      </c>
      <c r="B2058" s="5">
        <v>1</v>
      </c>
    </row>
    <row r="2059" spans="1:2" x14ac:dyDescent="0.35">
      <c r="A2059" s="11" t="s">
        <v>2654</v>
      </c>
      <c r="B2059" s="5">
        <v>2</v>
      </c>
    </row>
    <row r="2060" spans="1:2" x14ac:dyDescent="0.35">
      <c r="A2060" s="11" t="s">
        <v>12389</v>
      </c>
      <c r="B2060" s="5">
        <v>3</v>
      </c>
    </row>
    <row r="2061" spans="1:2" x14ac:dyDescent="0.35">
      <c r="A2061" s="11" t="s">
        <v>12697</v>
      </c>
      <c r="B2061" s="5">
        <v>2</v>
      </c>
    </row>
    <row r="2062" spans="1:2" x14ac:dyDescent="0.35">
      <c r="A2062" s="11" t="s">
        <v>2807</v>
      </c>
      <c r="B2062" s="5">
        <v>4</v>
      </c>
    </row>
    <row r="2063" spans="1:2" x14ac:dyDescent="0.35">
      <c r="A2063" s="11" t="s">
        <v>2063</v>
      </c>
      <c r="B2063" s="5">
        <v>3</v>
      </c>
    </row>
    <row r="2064" spans="1:2" x14ac:dyDescent="0.35">
      <c r="A2064" s="11" t="s">
        <v>462</v>
      </c>
      <c r="B2064" s="5">
        <v>2</v>
      </c>
    </row>
    <row r="2065" spans="1:2" x14ac:dyDescent="0.35">
      <c r="A2065" s="11" t="s">
        <v>12405</v>
      </c>
      <c r="B2065" s="5">
        <v>3</v>
      </c>
    </row>
    <row r="2066" spans="1:2" x14ac:dyDescent="0.35">
      <c r="A2066" s="11" t="s">
        <v>2375</v>
      </c>
      <c r="B2066" s="5">
        <v>2</v>
      </c>
    </row>
    <row r="2067" spans="1:2" x14ac:dyDescent="0.35">
      <c r="A2067" s="11" t="s">
        <v>887</v>
      </c>
      <c r="B2067" s="5">
        <v>3</v>
      </c>
    </row>
    <row r="2068" spans="1:2" x14ac:dyDescent="0.35">
      <c r="A2068" s="11" t="s">
        <v>2143</v>
      </c>
      <c r="B2068" s="5">
        <v>1</v>
      </c>
    </row>
    <row r="2069" spans="1:2" x14ac:dyDescent="0.35">
      <c r="A2069" s="11" t="s">
        <v>7837</v>
      </c>
      <c r="B2069" s="5">
        <v>1</v>
      </c>
    </row>
    <row r="2070" spans="1:2" x14ac:dyDescent="0.35">
      <c r="A2070" s="11" t="s">
        <v>6962</v>
      </c>
      <c r="B2070" s="5">
        <v>2</v>
      </c>
    </row>
    <row r="2071" spans="1:2" x14ac:dyDescent="0.35">
      <c r="A2071" s="11" t="s">
        <v>4801</v>
      </c>
      <c r="B2071" s="5">
        <v>9</v>
      </c>
    </row>
    <row r="2072" spans="1:2" x14ac:dyDescent="0.35">
      <c r="A2072" s="11" t="s">
        <v>1966</v>
      </c>
      <c r="B2072" s="5">
        <v>1</v>
      </c>
    </row>
    <row r="2073" spans="1:2" x14ac:dyDescent="0.35">
      <c r="A2073" s="11" t="s">
        <v>4095</v>
      </c>
      <c r="B2073" s="5">
        <v>1</v>
      </c>
    </row>
    <row r="2074" spans="1:2" x14ac:dyDescent="0.35">
      <c r="A2074" s="11" t="s">
        <v>8758</v>
      </c>
      <c r="B2074" s="5">
        <v>1</v>
      </c>
    </row>
    <row r="2075" spans="1:2" x14ac:dyDescent="0.35">
      <c r="A2075" s="11" t="s">
        <v>1600</v>
      </c>
      <c r="B2075" s="5">
        <v>2</v>
      </c>
    </row>
    <row r="2076" spans="1:2" x14ac:dyDescent="0.35">
      <c r="A2076" s="11" t="s">
        <v>1662</v>
      </c>
      <c r="B2076" s="5">
        <v>3</v>
      </c>
    </row>
    <row r="2077" spans="1:2" x14ac:dyDescent="0.35">
      <c r="A2077" s="11" t="s">
        <v>2835</v>
      </c>
      <c r="B2077" s="5">
        <v>3</v>
      </c>
    </row>
    <row r="2078" spans="1:2" x14ac:dyDescent="0.35">
      <c r="A2078" s="11" t="s">
        <v>989</v>
      </c>
      <c r="B2078" s="5">
        <v>21</v>
      </c>
    </row>
    <row r="2079" spans="1:2" x14ac:dyDescent="0.35">
      <c r="A2079" s="11" t="s">
        <v>7665</v>
      </c>
      <c r="B2079" s="5">
        <v>1</v>
      </c>
    </row>
    <row r="2080" spans="1:2" x14ac:dyDescent="0.35">
      <c r="A2080" s="11" t="s">
        <v>11252</v>
      </c>
      <c r="B2080" s="5">
        <v>1</v>
      </c>
    </row>
    <row r="2081" spans="1:2" x14ac:dyDescent="0.35">
      <c r="A2081" s="11" t="s">
        <v>702</v>
      </c>
      <c r="B2081" s="5">
        <v>10</v>
      </c>
    </row>
    <row r="2082" spans="1:2" x14ac:dyDescent="0.35">
      <c r="A2082" s="11" t="s">
        <v>8960</v>
      </c>
      <c r="B2082" s="5">
        <v>7</v>
      </c>
    </row>
    <row r="2083" spans="1:2" x14ac:dyDescent="0.35">
      <c r="A2083" s="11" t="s">
        <v>2743</v>
      </c>
      <c r="B2083" s="5">
        <v>6</v>
      </c>
    </row>
    <row r="2084" spans="1:2" x14ac:dyDescent="0.35">
      <c r="A2084" s="11" t="s">
        <v>1292</v>
      </c>
      <c r="B2084" s="5">
        <v>1</v>
      </c>
    </row>
    <row r="2085" spans="1:2" x14ac:dyDescent="0.35">
      <c r="A2085" s="11" t="s">
        <v>3224</v>
      </c>
      <c r="B2085" s="5">
        <v>35</v>
      </c>
    </row>
    <row r="2086" spans="1:2" x14ac:dyDescent="0.35">
      <c r="A2086" s="11" t="s">
        <v>2782</v>
      </c>
      <c r="B2086" s="5">
        <v>1</v>
      </c>
    </row>
    <row r="2087" spans="1:2" x14ac:dyDescent="0.35">
      <c r="A2087" s="11" t="s">
        <v>1324</v>
      </c>
      <c r="B2087" s="5">
        <v>1</v>
      </c>
    </row>
    <row r="2088" spans="1:2" x14ac:dyDescent="0.35">
      <c r="A2088" s="11" t="s">
        <v>12839</v>
      </c>
      <c r="B2088" s="5">
        <v>3</v>
      </c>
    </row>
    <row r="2089" spans="1:2" x14ac:dyDescent="0.35">
      <c r="A2089" s="11" t="s">
        <v>7969</v>
      </c>
      <c r="B2089" s="5">
        <v>7</v>
      </c>
    </row>
    <row r="2090" spans="1:2" x14ac:dyDescent="0.35">
      <c r="A2090" s="11" t="s">
        <v>3925</v>
      </c>
      <c r="B2090" s="5">
        <v>1</v>
      </c>
    </row>
    <row r="2091" spans="1:2" x14ac:dyDescent="0.35">
      <c r="A2091" s="11" t="s">
        <v>2415</v>
      </c>
      <c r="B2091" s="5">
        <v>1</v>
      </c>
    </row>
    <row r="2092" spans="1:2" x14ac:dyDescent="0.35">
      <c r="A2092" s="11" t="s">
        <v>5007</v>
      </c>
      <c r="B2092" s="5">
        <v>2</v>
      </c>
    </row>
    <row r="2093" spans="1:2" x14ac:dyDescent="0.35">
      <c r="A2093" s="11" t="s">
        <v>2767</v>
      </c>
      <c r="B2093" s="5">
        <v>3</v>
      </c>
    </row>
    <row r="2094" spans="1:2" x14ac:dyDescent="0.35">
      <c r="A2094" s="11" t="s">
        <v>1032</v>
      </c>
      <c r="B2094" s="5">
        <v>2</v>
      </c>
    </row>
    <row r="2095" spans="1:2" x14ac:dyDescent="0.35">
      <c r="A2095" s="11" t="s">
        <v>13091</v>
      </c>
      <c r="B2095" s="5">
        <v>3</v>
      </c>
    </row>
    <row r="2096" spans="1:2" x14ac:dyDescent="0.35">
      <c r="A2096" s="11" t="s">
        <v>12378</v>
      </c>
      <c r="B2096" s="5">
        <v>1</v>
      </c>
    </row>
    <row r="2097" spans="1:2" x14ac:dyDescent="0.35">
      <c r="A2097" s="11" t="s">
        <v>12079</v>
      </c>
      <c r="B2097" s="5">
        <v>2</v>
      </c>
    </row>
    <row r="2098" spans="1:2" x14ac:dyDescent="0.35">
      <c r="A2098" s="11" t="s">
        <v>12386</v>
      </c>
      <c r="B2098" s="5">
        <v>3</v>
      </c>
    </row>
    <row r="2099" spans="1:2" x14ac:dyDescent="0.35">
      <c r="A2099" s="11" t="s">
        <v>475</v>
      </c>
      <c r="B2099" s="5">
        <v>3</v>
      </c>
    </row>
    <row r="2100" spans="1:2" x14ac:dyDescent="0.35">
      <c r="A2100" s="11" t="s">
        <v>2495</v>
      </c>
      <c r="B2100" s="5">
        <v>2</v>
      </c>
    </row>
    <row r="2101" spans="1:2" x14ac:dyDescent="0.35">
      <c r="A2101" s="11" t="s">
        <v>3699</v>
      </c>
      <c r="B2101" s="5">
        <v>4</v>
      </c>
    </row>
    <row r="2102" spans="1:2" x14ac:dyDescent="0.35">
      <c r="A2102" s="11" t="s">
        <v>707</v>
      </c>
      <c r="B2102" s="5">
        <v>2</v>
      </c>
    </row>
    <row r="2103" spans="1:2" x14ac:dyDescent="0.35">
      <c r="A2103" s="11" t="s">
        <v>1086</v>
      </c>
      <c r="B2103" s="5">
        <v>3</v>
      </c>
    </row>
    <row r="2104" spans="1:2" x14ac:dyDescent="0.35">
      <c r="A2104" s="11" t="s">
        <v>7141</v>
      </c>
      <c r="B2104" s="5">
        <v>2</v>
      </c>
    </row>
    <row r="2105" spans="1:2" x14ac:dyDescent="0.35">
      <c r="A2105" s="11" t="s">
        <v>4932</v>
      </c>
      <c r="B2105" s="5">
        <v>5</v>
      </c>
    </row>
    <row r="2106" spans="1:2" x14ac:dyDescent="0.35">
      <c r="A2106" s="11" t="s">
        <v>9918</v>
      </c>
      <c r="B2106" s="5">
        <v>20</v>
      </c>
    </row>
    <row r="2107" spans="1:2" x14ac:dyDescent="0.35">
      <c r="A2107" s="11" t="s">
        <v>4079</v>
      </c>
      <c r="B2107" s="5">
        <v>1</v>
      </c>
    </row>
    <row r="2108" spans="1:2" x14ac:dyDescent="0.35">
      <c r="A2108" s="11" t="s">
        <v>2041</v>
      </c>
      <c r="B2108" s="5">
        <v>6</v>
      </c>
    </row>
    <row r="2109" spans="1:2" x14ac:dyDescent="0.35">
      <c r="A2109" s="11" t="s">
        <v>12032</v>
      </c>
      <c r="B2109" s="5">
        <v>2</v>
      </c>
    </row>
    <row r="2110" spans="1:2" x14ac:dyDescent="0.35">
      <c r="A2110" s="11" t="s">
        <v>13093</v>
      </c>
      <c r="B2110" s="5">
        <v>3</v>
      </c>
    </row>
    <row r="2111" spans="1:2" x14ac:dyDescent="0.35">
      <c r="A2111" s="11" t="s">
        <v>964</v>
      </c>
      <c r="B2111" s="5">
        <v>18</v>
      </c>
    </row>
    <row r="2112" spans="1:2" x14ac:dyDescent="0.35">
      <c r="A2112" s="11" t="s">
        <v>449</v>
      </c>
      <c r="B2112" s="5">
        <v>4</v>
      </c>
    </row>
    <row r="2113" spans="1:2" x14ac:dyDescent="0.35">
      <c r="A2113" s="11" t="s">
        <v>12811</v>
      </c>
      <c r="B2113" s="5">
        <v>4</v>
      </c>
    </row>
    <row r="2114" spans="1:2" x14ac:dyDescent="0.35">
      <c r="A2114" s="11" t="s">
        <v>6252</v>
      </c>
      <c r="B2114" s="5">
        <v>1</v>
      </c>
    </row>
    <row r="2115" spans="1:2" x14ac:dyDescent="0.35">
      <c r="A2115" s="11" t="s">
        <v>7572</v>
      </c>
      <c r="B2115" s="5">
        <v>2</v>
      </c>
    </row>
    <row r="2116" spans="1:2" x14ac:dyDescent="0.35">
      <c r="A2116" s="11" t="s">
        <v>2132</v>
      </c>
      <c r="B2116" s="5">
        <v>13</v>
      </c>
    </row>
    <row r="2117" spans="1:2" x14ac:dyDescent="0.35">
      <c r="A2117" s="11" t="s">
        <v>4117</v>
      </c>
      <c r="B2117" s="5">
        <v>13</v>
      </c>
    </row>
    <row r="2118" spans="1:2" x14ac:dyDescent="0.35">
      <c r="A2118" s="11" t="s">
        <v>10008</v>
      </c>
      <c r="B2118" s="5">
        <v>1</v>
      </c>
    </row>
    <row r="2119" spans="1:2" x14ac:dyDescent="0.35">
      <c r="A2119" s="11" t="s">
        <v>2761</v>
      </c>
      <c r="B2119" s="5">
        <v>2</v>
      </c>
    </row>
    <row r="2120" spans="1:2" x14ac:dyDescent="0.35">
      <c r="A2120" s="11" t="s">
        <v>456</v>
      </c>
      <c r="B2120" s="5">
        <v>2</v>
      </c>
    </row>
    <row r="2121" spans="1:2" x14ac:dyDescent="0.35">
      <c r="A2121" s="11" t="s">
        <v>3953</v>
      </c>
      <c r="B2121" s="5">
        <v>3</v>
      </c>
    </row>
    <row r="2122" spans="1:2" x14ac:dyDescent="0.35">
      <c r="A2122" s="11" t="s">
        <v>1344</v>
      </c>
      <c r="B2122" s="5">
        <v>1</v>
      </c>
    </row>
    <row r="2123" spans="1:2" x14ac:dyDescent="0.35">
      <c r="A2123" s="11" t="s">
        <v>6458</v>
      </c>
      <c r="B2123" s="5">
        <v>5</v>
      </c>
    </row>
    <row r="2124" spans="1:2" x14ac:dyDescent="0.35">
      <c r="A2124" s="11" t="s">
        <v>6292</v>
      </c>
      <c r="B2124" s="5">
        <v>3</v>
      </c>
    </row>
    <row r="2125" spans="1:2" x14ac:dyDescent="0.35">
      <c r="A2125" s="11" t="s">
        <v>5689</v>
      </c>
      <c r="B2125" s="5">
        <v>3</v>
      </c>
    </row>
    <row r="2126" spans="1:2" x14ac:dyDescent="0.35">
      <c r="A2126" s="11" t="s">
        <v>13046</v>
      </c>
      <c r="B2126" s="5">
        <v>3</v>
      </c>
    </row>
    <row r="2127" spans="1:2" x14ac:dyDescent="0.35">
      <c r="A2127" s="11" t="s">
        <v>10677</v>
      </c>
      <c r="B2127" s="5">
        <v>2</v>
      </c>
    </row>
    <row r="2128" spans="1:2" x14ac:dyDescent="0.35">
      <c r="A2128" s="11" t="s">
        <v>61</v>
      </c>
      <c r="B2128" s="5">
        <v>69</v>
      </c>
    </row>
    <row r="2129" spans="1:2" x14ac:dyDescent="0.35">
      <c r="A2129" s="11" t="s">
        <v>2540</v>
      </c>
      <c r="B2129" s="5">
        <v>2</v>
      </c>
    </row>
    <row r="2130" spans="1:2" x14ac:dyDescent="0.35">
      <c r="A2130" s="11" t="s">
        <v>1579</v>
      </c>
      <c r="B2130" s="5">
        <v>22</v>
      </c>
    </row>
    <row r="2131" spans="1:2" x14ac:dyDescent="0.35">
      <c r="A2131" s="11" t="s">
        <v>6826</v>
      </c>
      <c r="B2131" s="5">
        <v>3</v>
      </c>
    </row>
    <row r="2132" spans="1:2" x14ac:dyDescent="0.35">
      <c r="A2132" s="11" t="s">
        <v>1896</v>
      </c>
      <c r="B2132" s="5">
        <v>3</v>
      </c>
    </row>
    <row r="2133" spans="1:2" x14ac:dyDescent="0.35">
      <c r="A2133" s="11" t="s">
        <v>1539</v>
      </c>
      <c r="B2133" s="5">
        <v>2</v>
      </c>
    </row>
    <row r="2134" spans="1:2" x14ac:dyDescent="0.35">
      <c r="A2134" s="11" t="s">
        <v>5036</v>
      </c>
      <c r="B2134" s="5">
        <v>30</v>
      </c>
    </row>
    <row r="2135" spans="1:2" x14ac:dyDescent="0.35">
      <c r="A2135" s="11" t="s">
        <v>2090</v>
      </c>
      <c r="B2135" s="5">
        <v>2</v>
      </c>
    </row>
    <row r="2136" spans="1:2" x14ac:dyDescent="0.35">
      <c r="A2136" s="11" t="s">
        <v>12401</v>
      </c>
      <c r="B2136" s="5">
        <v>3</v>
      </c>
    </row>
    <row r="2137" spans="1:2" x14ac:dyDescent="0.35">
      <c r="A2137" s="11" t="s">
        <v>9663</v>
      </c>
      <c r="B2137" s="5">
        <v>1</v>
      </c>
    </row>
    <row r="2138" spans="1:2" x14ac:dyDescent="0.35">
      <c r="A2138" s="11" t="s">
        <v>10774</v>
      </c>
      <c r="B2138" s="5">
        <v>1</v>
      </c>
    </row>
    <row r="2139" spans="1:2" x14ac:dyDescent="0.35">
      <c r="A2139" s="11" t="s">
        <v>969</v>
      </c>
      <c r="B2139" s="5">
        <v>3</v>
      </c>
    </row>
    <row r="2140" spans="1:2" x14ac:dyDescent="0.35">
      <c r="A2140" s="11" t="s">
        <v>1514</v>
      </c>
      <c r="B2140" s="5">
        <v>7</v>
      </c>
    </row>
    <row r="2141" spans="1:2" x14ac:dyDescent="0.35">
      <c r="A2141" s="11" t="s">
        <v>2986</v>
      </c>
      <c r="B2141" s="5">
        <v>2</v>
      </c>
    </row>
    <row r="2142" spans="1:2" x14ac:dyDescent="0.35">
      <c r="A2142" s="11" t="s">
        <v>13095</v>
      </c>
      <c r="B2142" s="5">
        <v>3</v>
      </c>
    </row>
    <row r="2143" spans="1:2" x14ac:dyDescent="0.35">
      <c r="A2143" s="11" t="s">
        <v>955</v>
      </c>
      <c r="B2143" s="5">
        <v>2</v>
      </c>
    </row>
    <row r="2144" spans="1:2" x14ac:dyDescent="0.35">
      <c r="A2144" s="11" t="s">
        <v>9377</v>
      </c>
      <c r="B2144" s="5">
        <v>1</v>
      </c>
    </row>
    <row r="2145" spans="1:2" x14ac:dyDescent="0.35">
      <c r="A2145" s="11" t="s">
        <v>9407</v>
      </c>
      <c r="B2145" s="5">
        <v>1</v>
      </c>
    </row>
    <row r="2146" spans="1:2" x14ac:dyDescent="0.35">
      <c r="A2146" s="11" t="s">
        <v>13087</v>
      </c>
      <c r="B2146" s="5">
        <v>3</v>
      </c>
    </row>
    <row r="2147" spans="1:2" x14ac:dyDescent="0.35">
      <c r="A2147" s="11" t="s">
        <v>1187</v>
      </c>
      <c r="B2147" s="5">
        <v>1</v>
      </c>
    </row>
    <row r="2148" spans="1:2" x14ac:dyDescent="0.35">
      <c r="A2148" s="11" t="s">
        <v>13085</v>
      </c>
      <c r="B2148" s="5">
        <v>3</v>
      </c>
    </row>
    <row r="2149" spans="1:2" x14ac:dyDescent="0.35">
      <c r="A2149" s="11" t="s">
        <v>3458</v>
      </c>
      <c r="B2149" s="5">
        <v>3</v>
      </c>
    </row>
    <row r="2150" spans="1:2" x14ac:dyDescent="0.35">
      <c r="A2150" s="11" t="s">
        <v>4169</v>
      </c>
      <c r="B2150" s="5">
        <v>2</v>
      </c>
    </row>
    <row r="2151" spans="1:2" x14ac:dyDescent="0.35">
      <c r="A2151" s="11" t="s">
        <v>3488</v>
      </c>
      <c r="B2151" s="5">
        <v>145</v>
      </c>
    </row>
    <row r="2152" spans="1:2" x14ac:dyDescent="0.35">
      <c r="A2152" s="11" t="s">
        <v>4048</v>
      </c>
      <c r="B2152" s="5">
        <v>1</v>
      </c>
    </row>
    <row r="2153" spans="1:2" x14ac:dyDescent="0.35">
      <c r="A2153" s="11" t="s">
        <v>9184</v>
      </c>
      <c r="B2153" s="5">
        <v>5</v>
      </c>
    </row>
    <row r="2154" spans="1:2" x14ac:dyDescent="0.35">
      <c r="A2154" s="11" t="s">
        <v>3088</v>
      </c>
      <c r="B2154" s="5">
        <v>19</v>
      </c>
    </row>
    <row r="2155" spans="1:2" x14ac:dyDescent="0.35">
      <c r="A2155" s="11" t="s">
        <v>5291</v>
      </c>
      <c r="B2155" s="5">
        <v>6</v>
      </c>
    </row>
    <row r="2156" spans="1:2" x14ac:dyDescent="0.35">
      <c r="A2156" s="11" t="s">
        <v>3449</v>
      </c>
      <c r="B2156" s="5">
        <v>12</v>
      </c>
    </row>
    <row r="2157" spans="1:2" x14ac:dyDescent="0.35">
      <c r="A2157" s="11" t="s">
        <v>9828</v>
      </c>
      <c r="B2157" s="5">
        <v>5</v>
      </c>
    </row>
    <row r="2158" spans="1:2" x14ac:dyDescent="0.35">
      <c r="A2158" s="11" t="s">
        <v>2811</v>
      </c>
      <c r="B2158" s="5">
        <v>3</v>
      </c>
    </row>
    <row r="2159" spans="1:2" x14ac:dyDescent="0.35">
      <c r="A2159" s="11" t="s">
        <v>875</v>
      </c>
      <c r="B2159" s="5">
        <v>2</v>
      </c>
    </row>
    <row r="2160" spans="1:2" x14ac:dyDescent="0.35">
      <c r="A2160" s="11" t="s">
        <v>911</v>
      </c>
      <c r="B2160" s="5">
        <v>2</v>
      </c>
    </row>
    <row r="2161" spans="1:2" x14ac:dyDescent="0.35">
      <c r="A2161" s="11" t="s">
        <v>2486</v>
      </c>
      <c r="B2161" s="5">
        <v>2</v>
      </c>
    </row>
    <row r="2162" spans="1:2" x14ac:dyDescent="0.35">
      <c r="A2162" s="11" t="s">
        <v>559</v>
      </c>
      <c r="B2162" s="5">
        <v>3</v>
      </c>
    </row>
    <row r="2163" spans="1:2" x14ac:dyDescent="0.35">
      <c r="A2163" s="11" t="s">
        <v>6477</v>
      </c>
      <c r="B2163" s="5">
        <v>3</v>
      </c>
    </row>
    <row r="2164" spans="1:2" x14ac:dyDescent="0.35">
      <c r="A2164" s="11" t="s">
        <v>652</v>
      </c>
      <c r="B2164" s="5">
        <v>8</v>
      </c>
    </row>
    <row r="2165" spans="1:2" x14ac:dyDescent="0.35">
      <c r="A2165" s="11" t="s">
        <v>9205</v>
      </c>
      <c r="B2165" s="5">
        <v>4</v>
      </c>
    </row>
    <row r="2166" spans="1:2" x14ac:dyDescent="0.35">
      <c r="A2166" s="11" t="s">
        <v>4797</v>
      </c>
      <c r="B2166" s="5">
        <v>3</v>
      </c>
    </row>
    <row r="2167" spans="1:2" x14ac:dyDescent="0.35">
      <c r="A2167" s="11" t="s">
        <v>1301</v>
      </c>
      <c r="B2167" s="5">
        <v>1</v>
      </c>
    </row>
    <row r="2168" spans="1:2" x14ac:dyDescent="0.35">
      <c r="A2168" s="11" t="s">
        <v>2491</v>
      </c>
      <c r="B2168" s="5">
        <v>3</v>
      </c>
    </row>
    <row r="2169" spans="1:2" x14ac:dyDescent="0.35">
      <c r="A2169" s="11" t="s">
        <v>10689</v>
      </c>
      <c r="B2169" s="5">
        <v>15</v>
      </c>
    </row>
    <row r="2170" spans="1:2" x14ac:dyDescent="0.35">
      <c r="A2170" s="11" t="s">
        <v>6866</v>
      </c>
      <c r="B2170" s="5">
        <v>2</v>
      </c>
    </row>
    <row r="2171" spans="1:2" x14ac:dyDescent="0.35">
      <c r="A2171" s="11" t="s">
        <v>1348</v>
      </c>
      <c r="B2171" s="5">
        <v>1</v>
      </c>
    </row>
    <row r="2172" spans="1:2" x14ac:dyDescent="0.35">
      <c r="A2172" s="11" t="s">
        <v>565</v>
      </c>
      <c r="B2172" s="5">
        <v>2</v>
      </c>
    </row>
    <row r="2173" spans="1:2" x14ac:dyDescent="0.35">
      <c r="A2173" s="11" t="s">
        <v>444</v>
      </c>
      <c r="B2173" s="5">
        <v>1</v>
      </c>
    </row>
    <row r="2174" spans="1:2" x14ac:dyDescent="0.35">
      <c r="A2174" s="11" t="s">
        <v>215</v>
      </c>
      <c r="B2174" s="5">
        <v>2</v>
      </c>
    </row>
    <row r="2175" spans="1:2" x14ac:dyDescent="0.35">
      <c r="A2175" s="11" t="s">
        <v>5056</v>
      </c>
      <c r="B2175" s="5">
        <v>3</v>
      </c>
    </row>
    <row r="2176" spans="1:2" x14ac:dyDescent="0.35">
      <c r="A2176" s="11" t="s">
        <v>829</v>
      </c>
      <c r="B2176" s="5">
        <v>1</v>
      </c>
    </row>
    <row r="2177" spans="1:2" x14ac:dyDescent="0.35">
      <c r="A2177" s="11" t="s">
        <v>5322</v>
      </c>
      <c r="B2177" s="5">
        <v>1</v>
      </c>
    </row>
    <row r="2178" spans="1:2" x14ac:dyDescent="0.35">
      <c r="A2178" s="11" t="s">
        <v>251</v>
      </c>
      <c r="B2178" s="5">
        <v>1</v>
      </c>
    </row>
    <row r="2179" spans="1:2" x14ac:dyDescent="0.35">
      <c r="A2179" s="11" t="s">
        <v>1126</v>
      </c>
      <c r="B2179" s="5">
        <v>3</v>
      </c>
    </row>
    <row r="2180" spans="1:2" x14ac:dyDescent="0.35">
      <c r="A2180" s="11" t="s">
        <v>4338</v>
      </c>
      <c r="B2180" s="5">
        <v>2</v>
      </c>
    </row>
    <row r="2181" spans="1:2" x14ac:dyDescent="0.35">
      <c r="A2181" s="11" t="s">
        <v>1129</v>
      </c>
      <c r="B2181" s="5">
        <v>5</v>
      </c>
    </row>
    <row r="2182" spans="1:2" x14ac:dyDescent="0.35">
      <c r="A2182" s="11" t="s">
        <v>7438</v>
      </c>
      <c r="B2182" s="5">
        <v>1</v>
      </c>
    </row>
    <row r="2183" spans="1:2" x14ac:dyDescent="0.35">
      <c r="A2183" s="11" t="s">
        <v>4218</v>
      </c>
      <c r="B2183" s="5">
        <v>1</v>
      </c>
    </row>
    <row r="2184" spans="1:2" x14ac:dyDescent="0.35">
      <c r="A2184" s="11" t="s">
        <v>12151</v>
      </c>
      <c r="B2184" s="5">
        <v>4</v>
      </c>
    </row>
    <row r="2185" spans="1:2" x14ac:dyDescent="0.35">
      <c r="A2185" s="11" t="s">
        <v>5959</v>
      </c>
      <c r="B2185" s="5">
        <v>1</v>
      </c>
    </row>
    <row r="2186" spans="1:2" x14ac:dyDescent="0.35">
      <c r="A2186" s="11" t="s">
        <v>389</v>
      </c>
      <c r="B2186" s="5">
        <v>3</v>
      </c>
    </row>
    <row r="2187" spans="1:2" x14ac:dyDescent="0.35">
      <c r="A2187" s="11" t="s">
        <v>1329</v>
      </c>
      <c r="B2187" s="5">
        <v>2</v>
      </c>
    </row>
    <row r="2188" spans="1:2" x14ac:dyDescent="0.35">
      <c r="A2188" s="11" t="s">
        <v>3530</v>
      </c>
      <c r="B2188" s="5">
        <v>1</v>
      </c>
    </row>
    <row r="2189" spans="1:2" x14ac:dyDescent="0.35">
      <c r="A2189" s="11" t="s">
        <v>8130</v>
      </c>
      <c r="B2189" s="5">
        <v>4</v>
      </c>
    </row>
    <row r="2190" spans="1:2" x14ac:dyDescent="0.35">
      <c r="A2190" s="11" t="s">
        <v>6294</v>
      </c>
      <c r="B2190" s="5">
        <v>3</v>
      </c>
    </row>
    <row r="2191" spans="1:2" x14ac:dyDescent="0.35">
      <c r="A2191" s="11" t="s">
        <v>1708</v>
      </c>
      <c r="B2191" s="5">
        <v>2</v>
      </c>
    </row>
    <row r="2192" spans="1:2" x14ac:dyDescent="0.35">
      <c r="A2192" s="11" t="s">
        <v>1912</v>
      </c>
      <c r="B2192" s="5">
        <v>1</v>
      </c>
    </row>
    <row r="2193" spans="1:2" x14ac:dyDescent="0.35">
      <c r="A2193" s="11" t="s">
        <v>3106</v>
      </c>
      <c r="B2193" s="5">
        <v>1</v>
      </c>
    </row>
    <row r="2194" spans="1:2" x14ac:dyDescent="0.35">
      <c r="A2194" s="11" t="s">
        <v>12411</v>
      </c>
      <c r="B2194" s="5">
        <v>3</v>
      </c>
    </row>
    <row r="2195" spans="1:2" x14ac:dyDescent="0.35">
      <c r="A2195" s="11" t="s">
        <v>2262</v>
      </c>
      <c r="B2195" s="5">
        <v>3</v>
      </c>
    </row>
    <row r="2196" spans="1:2" x14ac:dyDescent="0.35">
      <c r="A2196" s="11" t="s">
        <v>290</v>
      </c>
      <c r="B2196" s="5">
        <v>5</v>
      </c>
    </row>
    <row r="2197" spans="1:2" x14ac:dyDescent="0.35">
      <c r="A2197" s="11" t="s">
        <v>3464</v>
      </c>
      <c r="B2197" s="5">
        <v>2</v>
      </c>
    </row>
    <row r="2198" spans="1:2" x14ac:dyDescent="0.35">
      <c r="A2198" s="11" t="s">
        <v>10606</v>
      </c>
      <c r="B2198" s="5">
        <v>3</v>
      </c>
    </row>
    <row r="2199" spans="1:2" x14ac:dyDescent="0.35">
      <c r="A2199" s="11" t="s">
        <v>12127</v>
      </c>
      <c r="B2199" s="5">
        <v>3</v>
      </c>
    </row>
    <row r="2200" spans="1:2" x14ac:dyDescent="0.35">
      <c r="A2200" s="11" t="s">
        <v>1006</v>
      </c>
      <c r="B2200" s="5">
        <v>1</v>
      </c>
    </row>
    <row r="2201" spans="1:2" x14ac:dyDescent="0.35">
      <c r="A2201" s="11" t="s">
        <v>1665</v>
      </c>
      <c r="B2201" s="5">
        <v>2</v>
      </c>
    </row>
    <row r="2202" spans="1:2" x14ac:dyDescent="0.35">
      <c r="A2202" s="11" t="s">
        <v>2952</v>
      </c>
      <c r="B2202" s="5">
        <v>1</v>
      </c>
    </row>
    <row r="2203" spans="1:2" x14ac:dyDescent="0.35">
      <c r="A2203" s="11" t="s">
        <v>257</v>
      </c>
      <c r="B2203" s="5">
        <v>4</v>
      </c>
    </row>
    <row r="2204" spans="1:2" x14ac:dyDescent="0.35">
      <c r="A2204" s="11" t="s">
        <v>1281</v>
      </c>
      <c r="B2204" s="5">
        <v>1</v>
      </c>
    </row>
    <row r="2205" spans="1:2" x14ac:dyDescent="0.35">
      <c r="A2205" s="11" t="s">
        <v>5248</v>
      </c>
      <c r="B2205" s="5">
        <v>11</v>
      </c>
    </row>
    <row r="2206" spans="1:2" x14ac:dyDescent="0.35">
      <c r="A2206" s="11" t="s">
        <v>12775</v>
      </c>
      <c r="B2206" s="5">
        <v>1</v>
      </c>
    </row>
    <row r="2207" spans="1:2" x14ac:dyDescent="0.35">
      <c r="A2207" s="11" t="s">
        <v>1714</v>
      </c>
      <c r="B2207" s="5">
        <v>3</v>
      </c>
    </row>
    <row r="2208" spans="1:2" x14ac:dyDescent="0.35">
      <c r="A2208" s="11" t="s">
        <v>90</v>
      </c>
      <c r="B2208" s="5">
        <v>11</v>
      </c>
    </row>
    <row r="2209" spans="1:2" x14ac:dyDescent="0.35">
      <c r="A2209" s="11" t="s">
        <v>11213</v>
      </c>
      <c r="B2209" s="5">
        <v>1</v>
      </c>
    </row>
    <row r="2210" spans="1:2" x14ac:dyDescent="0.35">
      <c r="A2210" s="11" t="s">
        <v>4624</v>
      </c>
      <c r="B2210" s="5">
        <v>7</v>
      </c>
    </row>
    <row r="2211" spans="1:2" x14ac:dyDescent="0.35">
      <c r="A2211" s="11" t="s">
        <v>12974</v>
      </c>
      <c r="B2211" s="5">
        <v>3</v>
      </c>
    </row>
    <row r="2212" spans="1:2" x14ac:dyDescent="0.35">
      <c r="A2212" s="11" t="s">
        <v>958</v>
      </c>
      <c r="B2212" s="5">
        <v>8</v>
      </c>
    </row>
    <row r="2213" spans="1:2" x14ac:dyDescent="0.35">
      <c r="A2213" s="11" t="s">
        <v>12408</v>
      </c>
      <c r="B2213" s="5">
        <v>3</v>
      </c>
    </row>
    <row r="2214" spans="1:2" x14ac:dyDescent="0.35">
      <c r="A2214" s="11" t="s">
        <v>760</v>
      </c>
      <c r="B2214" s="5">
        <v>1</v>
      </c>
    </row>
    <row r="2215" spans="1:2" x14ac:dyDescent="0.35">
      <c r="A2215" s="11" t="s">
        <v>199</v>
      </c>
      <c r="B2215" s="5">
        <v>7</v>
      </c>
    </row>
    <row r="2216" spans="1:2" x14ac:dyDescent="0.35">
      <c r="A2216" s="11" t="s">
        <v>3228</v>
      </c>
      <c r="B2216" s="5">
        <v>298</v>
      </c>
    </row>
    <row r="2217" spans="1:2" x14ac:dyDescent="0.35">
      <c r="A2217" s="11" t="s">
        <v>1695</v>
      </c>
      <c r="B2217" s="5">
        <v>1</v>
      </c>
    </row>
    <row r="2218" spans="1:2" x14ac:dyDescent="0.35">
      <c r="A2218" s="11" t="s">
        <v>1802</v>
      </c>
      <c r="B2218" s="5">
        <v>2</v>
      </c>
    </row>
    <row r="2219" spans="1:2" x14ac:dyDescent="0.35">
      <c r="A2219" s="11" t="s">
        <v>12391</v>
      </c>
      <c r="B2219" s="5">
        <v>3</v>
      </c>
    </row>
    <row r="2220" spans="1:2" x14ac:dyDescent="0.35">
      <c r="A2220" s="11" t="s">
        <v>6901</v>
      </c>
      <c r="B2220" s="5">
        <v>1</v>
      </c>
    </row>
    <row r="2221" spans="1:2" x14ac:dyDescent="0.35">
      <c r="A2221" s="11" t="s">
        <v>9614</v>
      </c>
      <c r="B2221" s="5">
        <v>2</v>
      </c>
    </row>
    <row r="2222" spans="1:2" x14ac:dyDescent="0.35">
      <c r="A2222" s="11" t="s">
        <v>1668</v>
      </c>
      <c r="B2222" s="5">
        <v>1</v>
      </c>
    </row>
    <row r="2223" spans="1:2" x14ac:dyDescent="0.35">
      <c r="A2223" s="11" t="s">
        <v>898</v>
      </c>
      <c r="B2223" s="5">
        <v>1</v>
      </c>
    </row>
    <row r="2224" spans="1:2" x14ac:dyDescent="0.35">
      <c r="A2224" s="11" t="s">
        <v>5301</v>
      </c>
      <c r="B2224" s="5">
        <v>1</v>
      </c>
    </row>
    <row r="2225" spans="1:2" x14ac:dyDescent="0.35">
      <c r="A2225" s="11" t="s">
        <v>2122</v>
      </c>
      <c r="B2225" s="5">
        <v>2</v>
      </c>
    </row>
    <row r="2226" spans="1:2" x14ac:dyDescent="0.35">
      <c r="A2226" s="11" t="s">
        <v>1334</v>
      </c>
      <c r="B2226" s="5">
        <v>3</v>
      </c>
    </row>
    <row r="2227" spans="1:2" x14ac:dyDescent="0.35">
      <c r="A2227" s="11" t="s">
        <v>12286</v>
      </c>
      <c r="B2227" s="5">
        <v>1</v>
      </c>
    </row>
    <row r="2228" spans="1:2" x14ac:dyDescent="0.35">
      <c r="A2228" s="11" t="s">
        <v>9526</v>
      </c>
      <c r="B2228" s="5">
        <v>2</v>
      </c>
    </row>
    <row r="2229" spans="1:2" x14ac:dyDescent="0.35">
      <c r="A2229" s="11" t="s">
        <v>12239</v>
      </c>
      <c r="B2229" s="5">
        <v>1</v>
      </c>
    </row>
    <row r="2230" spans="1:2" x14ac:dyDescent="0.35">
      <c r="A2230" s="11" t="s">
        <v>2182</v>
      </c>
      <c r="B2230" s="5">
        <v>2</v>
      </c>
    </row>
    <row r="2231" spans="1:2" x14ac:dyDescent="0.35">
      <c r="A2231" s="11" t="s">
        <v>4881</v>
      </c>
      <c r="B2231" s="5">
        <v>5</v>
      </c>
    </row>
    <row r="2232" spans="1:2" x14ac:dyDescent="0.35">
      <c r="A2232" s="11" t="s">
        <v>10872</v>
      </c>
      <c r="B2232" s="5">
        <v>1</v>
      </c>
    </row>
    <row r="2233" spans="1:2" x14ac:dyDescent="0.35">
      <c r="A2233" s="11" t="s">
        <v>1729</v>
      </c>
      <c r="B2233" s="5">
        <v>2</v>
      </c>
    </row>
    <row r="2234" spans="1:2" x14ac:dyDescent="0.35">
      <c r="A2234" s="11" t="s">
        <v>1064</v>
      </c>
      <c r="B2234" s="5">
        <v>2</v>
      </c>
    </row>
    <row r="2235" spans="1:2" x14ac:dyDescent="0.35">
      <c r="A2235" s="11" t="s">
        <v>5838</v>
      </c>
      <c r="B2235" s="5">
        <v>4</v>
      </c>
    </row>
    <row r="2236" spans="1:2" x14ac:dyDescent="0.35">
      <c r="A2236" s="11" t="s">
        <v>12908</v>
      </c>
      <c r="B2236" s="5">
        <v>1</v>
      </c>
    </row>
    <row r="2237" spans="1:2" x14ac:dyDescent="0.35">
      <c r="A2237" s="11" t="s">
        <v>12424</v>
      </c>
      <c r="B2237" s="5">
        <v>1</v>
      </c>
    </row>
    <row r="2238" spans="1:2" x14ac:dyDescent="0.35">
      <c r="A2238" s="11" t="s">
        <v>1379</v>
      </c>
      <c r="B2238" s="5">
        <v>2</v>
      </c>
    </row>
    <row r="2239" spans="1:2" x14ac:dyDescent="0.35">
      <c r="A2239" s="11" t="s">
        <v>2419</v>
      </c>
      <c r="B2239" s="5">
        <v>11</v>
      </c>
    </row>
    <row r="2240" spans="1:2" x14ac:dyDescent="0.35">
      <c r="A2240" s="11" t="s">
        <v>855</v>
      </c>
      <c r="B2240" s="5">
        <v>4</v>
      </c>
    </row>
    <row r="2241" spans="1:2" x14ac:dyDescent="0.35">
      <c r="A2241" s="11" t="s">
        <v>2913</v>
      </c>
      <c r="B2241" s="5">
        <v>1</v>
      </c>
    </row>
    <row r="2242" spans="1:2" x14ac:dyDescent="0.35">
      <c r="A2242" s="11" t="s">
        <v>1698</v>
      </c>
      <c r="B2242" s="5">
        <v>2</v>
      </c>
    </row>
    <row r="2243" spans="1:2" x14ac:dyDescent="0.35">
      <c r="A2243" s="11" t="s">
        <v>3291</v>
      </c>
      <c r="B2243" s="5">
        <v>1</v>
      </c>
    </row>
    <row r="2244" spans="1:2" x14ac:dyDescent="0.35">
      <c r="A2244" s="11" t="s">
        <v>10707</v>
      </c>
      <c r="B2244" s="5">
        <v>1</v>
      </c>
    </row>
    <row r="2245" spans="1:2" x14ac:dyDescent="0.35">
      <c r="A2245" s="11" t="s">
        <v>4773</v>
      </c>
      <c r="B2245" s="5">
        <v>5</v>
      </c>
    </row>
    <row r="2246" spans="1:2" x14ac:dyDescent="0.35">
      <c r="A2246" s="11" t="s">
        <v>5880</v>
      </c>
      <c r="B2246" s="5">
        <v>4</v>
      </c>
    </row>
    <row r="2247" spans="1:2" x14ac:dyDescent="0.35">
      <c r="A2247" s="11" t="s">
        <v>2786</v>
      </c>
      <c r="B2247" s="5">
        <v>4</v>
      </c>
    </row>
    <row r="2248" spans="1:2" x14ac:dyDescent="0.35">
      <c r="A2248" s="11" t="s">
        <v>5328</v>
      </c>
      <c r="B2248" s="5">
        <v>1</v>
      </c>
    </row>
    <row r="2249" spans="1:2" x14ac:dyDescent="0.35">
      <c r="A2249" s="11" t="s">
        <v>2280</v>
      </c>
      <c r="B2249" s="5">
        <v>3</v>
      </c>
    </row>
    <row r="2250" spans="1:2" x14ac:dyDescent="0.35">
      <c r="A2250" s="11" t="s">
        <v>2070</v>
      </c>
      <c r="B2250" s="5">
        <v>4</v>
      </c>
    </row>
    <row r="2251" spans="1:2" x14ac:dyDescent="0.35">
      <c r="A2251" s="11" t="s">
        <v>2839</v>
      </c>
      <c r="B2251" s="5">
        <v>5</v>
      </c>
    </row>
    <row r="2252" spans="1:2" x14ac:dyDescent="0.35">
      <c r="A2252" s="11" t="s">
        <v>491</v>
      </c>
      <c r="B2252" s="5">
        <v>5</v>
      </c>
    </row>
    <row r="2253" spans="1:2" x14ac:dyDescent="0.35">
      <c r="A2253" s="11" t="s">
        <v>9694</v>
      </c>
      <c r="B2253" s="5">
        <v>11</v>
      </c>
    </row>
    <row r="2254" spans="1:2" x14ac:dyDescent="0.35">
      <c r="A2254" s="11" t="s">
        <v>1862</v>
      </c>
      <c r="B2254" s="5">
        <v>1</v>
      </c>
    </row>
    <row r="2255" spans="1:2" x14ac:dyDescent="0.35">
      <c r="A2255" s="11" t="s">
        <v>2924</v>
      </c>
      <c r="B2255" s="5">
        <v>4</v>
      </c>
    </row>
    <row r="2256" spans="1:2" x14ac:dyDescent="0.35">
      <c r="A2256" s="11" t="s">
        <v>2649</v>
      </c>
      <c r="B2256" s="5">
        <v>3</v>
      </c>
    </row>
    <row r="2257" spans="1:2" x14ac:dyDescent="0.35">
      <c r="A2257" s="11" t="s">
        <v>4601</v>
      </c>
      <c r="B2257" s="5">
        <v>1</v>
      </c>
    </row>
    <row r="2258" spans="1:2" x14ac:dyDescent="0.35">
      <c r="A2258" s="11" t="s">
        <v>12660</v>
      </c>
      <c r="B2258" s="5">
        <v>1</v>
      </c>
    </row>
    <row r="2259" spans="1:2" x14ac:dyDescent="0.35">
      <c r="A2259" s="11" t="s">
        <v>3335</v>
      </c>
      <c r="B2259" s="5">
        <v>1</v>
      </c>
    </row>
    <row r="2260" spans="1:2" x14ac:dyDescent="0.35">
      <c r="A2260" s="11" t="s">
        <v>3373</v>
      </c>
      <c r="B2260" s="5">
        <v>3</v>
      </c>
    </row>
    <row r="2261" spans="1:2" x14ac:dyDescent="0.35">
      <c r="A2261" s="11" t="s">
        <v>11901</v>
      </c>
      <c r="B2261" s="5">
        <v>3</v>
      </c>
    </row>
    <row r="2262" spans="1:2" x14ac:dyDescent="0.35">
      <c r="A2262" s="11" t="s">
        <v>4065</v>
      </c>
      <c r="B2262" s="5">
        <v>6</v>
      </c>
    </row>
    <row r="2263" spans="1:2" x14ac:dyDescent="0.35">
      <c r="A2263" s="11" t="s">
        <v>8701</v>
      </c>
      <c r="B2263" s="5">
        <v>3</v>
      </c>
    </row>
    <row r="2264" spans="1:2" x14ac:dyDescent="0.35">
      <c r="A2264" s="11" t="s">
        <v>12601</v>
      </c>
      <c r="B2264" s="5">
        <v>2</v>
      </c>
    </row>
    <row r="2265" spans="1:2" x14ac:dyDescent="0.35">
      <c r="A2265" s="11" t="s">
        <v>6626</v>
      </c>
      <c r="B2265" s="5">
        <v>3</v>
      </c>
    </row>
    <row r="2266" spans="1:2" x14ac:dyDescent="0.35">
      <c r="A2266" s="11" t="s">
        <v>6748</v>
      </c>
      <c r="B2266" s="5">
        <v>2</v>
      </c>
    </row>
    <row r="2267" spans="1:2" x14ac:dyDescent="0.35">
      <c r="A2267" s="11" t="s">
        <v>107</v>
      </c>
      <c r="B2267" s="5">
        <v>2</v>
      </c>
    </row>
    <row r="2268" spans="1:2" x14ac:dyDescent="0.35">
      <c r="A2268" s="11" t="s">
        <v>10731</v>
      </c>
      <c r="B2268" s="5">
        <v>3</v>
      </c>
    </row>
    <row r="2269" spans="1:2" x14ac:dyDescent="0.35">
      <c r="A2269" s="11" t="s">
        <v>1926</v>
      </c>
      <c r="B2269" s="5">
        <v>2</v>
      </c>
    </row>
    <row r="2270" spans="1:2" x14ac:dyDescent="0.35">
      <c r="A2270" s="11" t="s">
        <v>982</v>
      </c>
      <c r="B2270" s="5">
        <v>15</v>
      </c>
    </row>
    <row r="2271" spans="1:2" x14ac:dyDescent="0.35">
      <c r="A2271" s="11" t="s">
        <v>1544</v>
      </c>
      <c r="B2271" s="5">
        <v>1</v>
      </c>
    </row>
    <row r="2272" spans="1:2" x14ac:dyDescent="0.35">
      <c r="A2272" s="11" t="s">
        <v>1492</v>
      </c>
      <c r="B2272" s="5">
        <v>2</v>
      </c>
    </row>
    <row r="2273" spans="1:2" x14ac:dyDescent="0.35">
      <c r="A2273" s="11" t="s">
        <v>504</v>
      </c>
      <c r="B2273" s="5">
        <v>3</v>
      </c>
    </row>
    <row r="2274" spans="1:2" x14ac:dyDescent="0.35">
      <c r="A2274" s="11" t="s">
        <v>13071</v>
      </c>
      <c r="B2274" s="5">
        <v>1</v>
      </c>
    </row>
    <row r="2275" spans="1:2" x14ac:dyDescent="0.35">
      <c r="A2275" s="11" t="s">
        <v>4140</v>
      </c>
      <c r="B2275" s="5">
        <v>4</v>
      </c>
    </row>
    <row r="2276" spans="1:2" x14ac:dyDescent="0.35">
      <c r="A2276" s="11" t="s">
        <v>1571</v>
      </c>
      <c r="B2276" s="5">
        <v>13</v>
      </c>
    </row>
    <row r="2277" spans="1:2" x14ac:dyDescent="0.35">
      <c r="A2277" s="11" t="s">
        <v>1010</v>
      </c>
      <c r="B2277" s="5">
        <v>2</v>
      </c>
    </row>
    <row r="2278" spans="1:2" x14ac:dyDescent="0.35">
      <c r="A2278" s="11" t="s">
        <v>6820</v>
      </c>
      <c r="B2278" s="5">
        <v>2</v>
      </c>
    </row>
    <row r="2279" spans="1:2" x14ac:dyDescent="0.35">
      <c r="A2279" s="11" t="s">
        <v>2200</v>
      </c>
      <c r="B2279" s="5">
        <v>7</v>
      </c>
    </row>
    <row r="2280" spans="1:2" x14ac:dyDescent="0.35">
      <c r="A2280" s="11" t="s">
        <v>2572</v>
      </c>
      <c r="B2280" s="5">
        <v>1</v>
      </c>
    </row>
    <row r="2281" spans="1:2" x14ac:dyDescent="0.35">
      <c r="A2281" s="11" t="s">
        <v>2571</v>
      </c>
      <c r="B2281" s="5">
        <v>1</v>
      </c>
    </row>
    <row r="2282" spans="1:2" x14ac:dyDescent="0.35">
      <c r="A2282" s="11" t="s">
        <v>1676</v>
      </c>
      <c r="B2282" s="5">
        <v>1</v>
      </c>
    </row>
    <row r="2283" spans="1:2" x14ac:dyDescent="0.35">
      <c r="A2283" s="11" t="s">
        <v>350</v>
      </c>
      <c r="B2283" s="5">
        <v>3</v>
      </c>
    </row>
    <row r="2284" spans="1:2" x14ac:dyDescent="0.35">
      <c r="A2284" s="11" t="s">
        <v>2557</v>
      </c>
      <c r="B2284" s="5">
        <v>1</v>
      </c>
    </row>
    <row r="2285" spans="1:2" x14ac:dyDescent="0.35">
      <c r="A2285" s="11" t="s">
        <v>1104</v>
      </c>
      <c r="B2285" s="5">
        <v>5</v>
      </c>
    </row>
    <row r="2286" spans="1:2" x14ac:dyDescent="0.35">
      <c r="A2286" s="11" t="s">
        <v>3263</v>
      </c>
      <c r="B2286" s="5">
        <v>1</v>
      </c>
    </row>
    <row r="2287" spans="1:2" x14ac:dyDescent="0.35">
      <c r="A2287" s="11" t="s">
        <v>755</v>
      </c>
      <c r="B2287" s="5">
        <v>2</v>
      </c>
    </row>
    <row r="2288" spans="1:2" x14ac:dyDescent="0.35">
      <c r="A2288" s="11" t="s">
        <v>917</v>
      </c>
      <c r="B2288" s="5">
        <v>1</v>
      </c>
    </row>
    <row r="2289" spans="1:2" x14ac:dyDescent="0.35">
      <c r="A2289" s="11" t="s">
        <v>2588</v>
      </c>
      <c r="B2289" s="5">
        <v>2</v>
      </c>
    </row>
    <row r="2290" spans="1:2" x14ac:dyDescent="0.35">
      <c r="A2290" s="11" t="s">
        <v>3037</v>
      </c>
      <c r="B2290" s="5">
        <v>17</v>
      </c>
    </row>
    <row r="2291" spans="1:2" x14ac:dyDescent="0.35">
      <c r="A2291" s="11" t="s">
        <v>2819</v>
      </c>
      <c r="B2291" s="5">
        <v>2</v>
      </c>
    </row>
    <row r="2292" spans="1:2" x14ac:dyDescent="0.35">
      <c r="A2292" s="11" t="s">
        <v>356</v>
      </c>
      <c r="B2292" s="5">
        <v>3</v>
      </c>
    </row>
    <row r="2293" spans="1:2" x14ac:dyDescent="0.35">
      <c r="A2293" s="11" t="s">
        <v>4594</v>
      </c>
      <c r="B2293" s="5">
        <v>55</v>
      </c>
    </row>
    <row r="2294" spans="1:2" x14ac:dyDescent="0.35">
      <c r="A2294" s="11" t="s">
        <v>7229</v>
      </c>
      <c r="B2294" s="5">
        <v>2</v>
      </c>
    </row>
    <row r="2295" spans="1:2" x14ac:dyDescent="0.35">
      <c r="A2295" s="11" t="s">
        <v>713</v>
      </c>
      <c r="B2295" s="5">
        <v>9</v>
      </c>
    </row>
    <row r="2296" spans="1:2" x14ac:dyDescent="0.35">
      <c r="A2296" s="11" t="s">
        <v>4081</v>
      </c>
      <c r="B2296" s="5">
        <v>1</v>
      </c>
    </row>
    <row r="2297" spans="1:2" x14ac:dyDescent="0.35">
      <c r="A2297" s="11" t="s">
        <v>5191</v>
      </c>
      <c r="B2297" s="5">
        <v>2</v>
      </c>
    </row>
    <row r="2298" spans="1:2" x14ac:dyDescent="0.35">
      <c r="A2298" s="11" t="s">
        <v>4736</v>
      </c>
      <c r="B2298" s="5">
        <v>3</v>
      </c>
    </row>
    <row r="2299" spans="1:2" x14ac:dyDescent="0.35">
      <c r="A2299" s="11" t="s">
        <v>9521</v>
      </c>
      <c r="B2299" s="5">
        <v>3</v>
      </c>
    </row>
    <row r="2300" spans="1:2" x14ac:dyDescent="0.35">
      <c r="A2300" s="11" t="s">
        <v>8797</v>
      </c>
      <c r="B2300" s="5">
        <v>2</v>
      </c>
    </row>
    <row r="2301" spans="1:2" x14ac:dyDescent="0.35">
      <c r="A2301" s="11" t="s">
        <v>2349</v>
      </c>
      <c r="B2301" s="5">
        <v>2</v>
      </c>
    </row>
    <row r="2302" spans="1:2" x14ac:dyDescent="0.35">
      <c r="A2302" s="11" t="s">
        <v>882</v>
      </c>
      <c r="B2302" s="5">
        <v>1</v>
      </c>
    </row>
    <row r="2303" spans="1:2" x14ac:dyDescent="0.35">
      <c r="A2303" s="11" t="s">
        <v>1383</v>
      </c>
      <c r="B2303" s="5">
        <v>3</v>
      </c>
    </row>
    <row r="2304" spans="1:2" x14ac:dyDescent="0.35">
      <c r="A2304" s="11" t="s">
        <v>4230</v>
      </c>
      <c r="B2304" s="5">
        <v>2</v>
      </c>
    </row>
    <row r="2305" spans="1:2" x14ac:dyDescent="0.35">
      <c r="A2305" s="11" t="s">
        <v>10827</v>
      </c>
      <c r="B2305" s="5">
        <v>1</v>
      </c>
    </row>
    <row r="2306" spans="1:2" x14ac:dyDescent="0.35">
      <c r="A2306" s="11" t="s">
        <v>396</v>
      </c>
      <c r="B2306" s="5">
        <v>1</v>
      </c>
    </row>
    <row r="2307" spans="1:2" x14ac:dyDescent="0.35">
      <c r="A2307" s="11" t="s">
        <v>1881</v>
      </c>
      <c r="B2307" s="5">
        <v>2</v>
      </c>
    </row>
    <row r="2308" spans="1:2" x14ac:dyDescent="0.35">
      <c r="A2308" s="11" t="s">
        <v>4184</v>
      </c>
      <c r="B2308" s="5">
        <v>3</v>
      </c>
    </row>
    <row r="2309" spans="1:2" x14ac:dyDescent="0.35">
      <c r="A2309" s="11" t="s">
        <v>6632</v>
      </c>
      <c r="B2309" s="5">
        <v>1</v>
      </c>
    </row>
    <row r="2310" spans="1:2" x14ac:dyDescent="0.35">
      <c r="A2310" s="11" t="s">
        <v>12396</v>
      </c>
      <c r="B2310" s="5">
        <v>3</v>
      </c>
    </row>
    <row r="2311" spans="1:2" x14ac:dyDescent="0.35">
      <c r="A2311" s="11" t="s">
        <v>939</v>
      </c>
      <c r="B2311" s="5">
        <v>7</v>
      </c>
    </row>
    <row r="2312" spans="1:2" x14ac:dyDescent="0.35">
      <c r="A2312" s="11" t="s">
        <v>8497</v>
      </c>
      <c r="B2312" s="5">
        <v>3</v>
      </c>
    </row>
    <row r="2313" spans="1:2" x14ac:dyDescent="0.35">
      <c r="A2313" s="11" t="s">
        <v>7373</v>
      </c>
      <c r="B2313" s="5">
        <v>3</v>
      </c>
    </row>
    <row r="2314" spans="1:2" x14ac:dyDescent="0.35">
      <c r="A2314" s="11" t="s">
        <v>13089</v>
      </c>
      <c r="B2314" s="5">
        <v>3</v>
      </c>
    </row>
    <row r="2315" spans="1:2" x14ac:dyDescent="0.35">
      <c r="A2315" s="11" t="s">
        <v>279</v>
      </c>
      <c r="B2315" s="5">
        <v>2</v>
      </c>
    </row>
    <row r="2316" spans="1:2" x14ac:dyDescent="0.35">
      <c r="A2316" s="11" t="s">
        <v>1051</v>
      </c>
      <c r="B2316" s="5">
        <v>238</v>
      </c>
    </row>
    <row r="2317" spans="1:2" x14ac:dyDescent="0.35">
      <c r="A2317" s="11" t="s">
        <v>2249</v>
      </c>
      <c r="B2317" s="5">
        <v>2</v>
      </c>
    </row>
    <row r="2318" spans="1:2" x14ac:dyDescent="0.35">
      <c r="A2318" s="11" t="s">
        <v>8541</v>
      </c>
      <c r="B2318" s="5">
        <v>1</v>
      </c>
    </row>
    <row r="2319" spans="1:2" x14ac:dyDescent="0.35">
      <c r="A2319" s="11" t="s">
        <v>2365</v>
      </c>
      <c r="B2319" s="5">
        <v>3</v>
      </c>
    </row>
    <row r="2320" spans="1:2" x14ac:dyDescent="0.35">
      <c r="A2320" s="11" t="s">
        <v>698</v>
      </c>
      <c r="B2320" s="5">
        <v>14</v>
      </c>
    </row>
    <row r="2321" spans="1:2" x14ac:dyDescent="0.35">
      <c r="A2321" s="11" t="s">
        <v>4090</v>
      </c>
      <c r="B2321" s="5">
        <v>1</v>
      </c>
    </row>
    <row r="2322" spans="1:2" x14ac:dyDescent="0.35">
      <c r="A2322" s="11" t="s">
        <v>3018</v>
      </c>
      <c r="B2322" s="5">
        <v>1</v>
      </c>
    </row>
    <row r="2323" spans="1:2" x14ac:dyDescent="0.35">
      <c r="A2323" s="11" t="s">
        <v>8211</v>
      </c>
      <c r="B2323" s="5">
        <v>6</v>
      </c>
    </row>
    <row r="2324" spans="1:2" x14ac:dyDescent="0.35">
      <c r="A2324" s="11" t="s">
        <v>2015</v>
      </c>
      <c r="B2324" s="5">
        <v>5</v>
      </c>
    </row>
    <row r="2325" spans="1:2" x14ac:dyDescent="0.35">
      <c r="A2325" s="11" t="s">
        <v>1235</v>
      </c>
      <c r="B2325" s="5">
        <v>2</v>
      </c>
    </row>
    <row r="2326" spans="1:2" x14ac:dyDescent="0.35">
      <c r="A2326" s="11" t="s">
        <v>2149</v>
      </c>
      <c r="B2326" s="5">
        <v>2</v>
      </c>
    </row>
    <row r="2327" spans="1:2" x14ac:dyDescent="0.35">
      <c r="A2327" s="11" t="s">
        <v>11363</v>
      </c>
      <c r="B2327" s="5">
        <v>5</v>
      </c>
    </row>
    <row r="2328" spans="1:2" x14ac:dyDescent="0.35">
      <c r="A2328" s="11" t="s">
        <v>11838</v>
      </c>
      <c r="B2328" s="5">
        <v>3</v>
      </c>
    </row>
    <row r="2329" spans="1:2" x14ac:dyDescent="0.35">
      <c r="A2329" s="11" t="s">
        <v>3268</v>
      </c>
      <c r="B2329" s="5">
        <v>15</v>
      </c>
    </row>
    <row r="2330" spans="1:2" x14ac:dyDescent="0.35">
      <c r="A2330" s="11" t="s">
        <v>1643</v>
      </c>
      <c r="B2330" s="5">
        <v>5</v>
      </c>
    </row>
    <row r="2331" spans="1:2" x14ac:dyDescent="0.35">
      <c r="A2331" s="11" t="s">
        <v>4394</v>
      </c>
      <c r="B2331" s="5">
        <v>3</v>
      </c>
    </row>
    <row r="2332" spans="1:2" x14ac:dyDescent="0.35">
      <c r="A2332" s="11" t="s">
        <v>8171</v>
      </c>
      <c r="B2332" s="5">
        <v>2</v>
      </c>
    </row>
    <row r="2333" spans="1:2" x14ac:dyDescent="0.35">
      <c r="A2333" s="11" t="s">
        <v>796</v>
      </c>
      <c r="B2333" s="5">
        <v>4</v>
      </c>
    </row>
    <row r="2334" spans="1:2" x14ac:dyDescent="0.35">
      <c r="A2334" s="11" t="s">
        <v>472</v>
      </c>
      <c r="B2334" s="5">
        <v>1</v>
      </c>
    </row>
    <row r="2335" spans="1:2" x14ac:dyDescent="0.35">
      <c r="A2335" s="11" t="s">
        <v>8923</v>
      </c>
      <c r="B2335" s="5">
        <v>1</v>
      </c>
    </row>
    <row r="2336" spans="1:2" x14ac:dyDescent="0.35">
      <c r="A2336" s="11" t="s">
        <v>733</v>
      </c>
      <c r="B2336" s="5">
        <v>1</v>
      </c>
    </row>
    <row r="2337" spans="1:2" x14ac:dyDescent="0.35">
      <c r="A2337" s="11" t="s">
        <v>4922</v>
      </c>
      <c r="B2337" s="5">
        <v>1</v>
      </c>
    </row>
    <row r="2338" spans="1:2" x14ac:dyDescent="0.35">
      <c r="A2338" s="11" t="s">
        <v>2794</v>
      </c>
      <c r="B2338" s="5">
        <v>6</v>
      </c>
    </row>
    <row r="2339" spans="1:2" x14ac:dyDescent="0.35">
      <c r="A2339" s="11" t="s">
        <v>5676</v>
      </c>
      <c r="B2339" s="5">
        <v>9</v>
      </c>
    </row>
    <row r="2340" spans="1:2" x14ac:dyDescent="0.35">
      <c r="A2340" s="11" t="s">
        <v>8793</v>
      </c>
      <c r="B2340" s="5">
        <v>1</v>
      </c>
    </row>
    <row r="2341" spans="1:2" x14ac:dyDescent="0.35">
      <c r="A2341" s="11" t="s">
        <v>3110</v>
      </c>
      <c r="B2341" s="5">
        <v>2</v>
      </c>
    </row>
    <row r="2342" spans="1:2" x14ac:dyDescent="0.35">
      <c r="A2342" s="9" t="s">
        <v>13111</v>
      </c>
      <c r="B2342" s="10">
        <v>9451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E19" sqref="E19"/>
    </sheetView>
  </sheetViews>
  <sheetFormatPr defaultRowHeight="14.5" x14ac:dyDescent="0.35"/>
  <cols>
    <col min="1" max="1" width="51.26953125" customWidth="1"/>
    <col min="2" max="2" width="13.453125" bestFit="1" customWidth="1"/>
  </cols>
  <sheetData>
    <row r="1" spans="1:2" ht="15" x14ac:dyDescent="0.25">
      <c r="A1" s="6" t="s">
        <v>13113</v>
      </c>
      <c r="B1" s="6" t="s">
        <v>13110</v>
      </c>
    </row>
    <row r="2" spans="1:2" ht="15" x14ac:dyDescent="0.25">
      <c r="A2" s="8" t="s">
        <v>13112</v>
      </c>
      <c r="B2" s="7"/>
    </row>
    <row r="3" spans="1:2" ht="15" x14ac:dyDescent="0.25">
      <c r="A3" s="7" t="s">
        <v>7</v>
      </c>
      <c r="B3" s="7" t="s">
        <v>13114</v>
      </c>
    </row>
    <row r="4" spans="1:2" ht="15" x14ac:dyDescent="0.25">
      <c r="A4" s="4" t="s">
        <v>45</v>
      </c>
      <c r="B4" s="5">
        <v>626</v>
      </c>
    </row>
    <row r="5" spans="1:2" ht="15" x14ac:dyDescent="0.25">
      <c r="A5" s="4" t="s">
        <v>1365</v>
      </c>
      <c r="B5" s="5">
        <v>89</v>
      </c>
    </row>
    <row r="6" spans="1:2" ht="15" x14ac:dyDescent="0.25">
      <c r="A6" s="4" t="s">
        <v>186</v>
      </c>
      <c r="B6" s="5">
        <v>66</v>
      </c>
    </row>
    <row r="7" spans="1:2" ht="15" x14ac:dyDescent="0.25">
      <c r="A7" s="4" t="s">
        <v>2998</v>
      </c>
      <c r="B7" s="5">
        <v>37</v>
      </c>
    </row>
    <row r="8" spans="1:2" ht="15" x14ac:dyDescent="0.25">
      <c r="A8" s="4" t="s">
        <v>91</v>
      </c>
      <c r="B8" s="5">
        <v>668</v>
      </c>
    </row>
    <row r="9" spans="1:2" ht="15" x14ac:dyDescent="0.25">
      <c r="A9" s="4" t="s">
        <v>149</v>
      </c>
      <c r="B9" s="5">
        <v>111</v>
      </c>
    </row>
    <row r="10" spans="1:2" ht="15" x14ac:dyDescent="0.25">
      <c r="A10" s="4" t="s">
        <v>440</v>
      </c>
      <c r="B10" s="5">
        <v>89</v>
      </c>
    </row>
    <row r="11" spans="1:2" ht="15" x14ac:dyDescent="0.25">
      <c r="A11" s="4" t="s">
        <v>5884</v>
      </c>
      <c r="B11" s="5">
        <v>1</v>
      </c>
    </row>
    <row r="12" spans="1:2" ht="15" x14ac:dyDescent="0.25">
      <c r="A12" s="4" t="s">
        <v>1100</v>
      </c>
      <c r="B12" s="5">
        <v>10</v>
      </c>
    </row>
    <row r="13" spans="1:2" ht="15" x14ac:dyDescent="0.25">
      <c r="A13" s="4" t="s">
        <v>9314</v>
      </c>
      <c r="B13" s="5">
        <v>1</v>
      </c>
    </row>
    <row r="14" spans="1:2" ht="15" x14ac:dyDescent="0.25">
      <c r="A14" s="4" t="s">
        <v>3465</v>
      </c>
      <c r="B14" s="5">
        <v>78</v>
      </c>
    </row>
    <row r="15" spans="1:2" ht="15" x14ac:dyDescent="0.25">
      <c r="A15" s="4" t="s">
        <v>1286</v>
      </c>
      <c r="B15" s="5">
        <v>99</v>
      </c>
    </row>
    <row r="16" spans="1:2" ht="15" x14ac:dyDescent="0.25">
      <c r="A16" s="4" t="s">
        <v>139</v>
      </c>
      <c r="B16" s="5">
        <v>101</v>
      </c>
    </row>
    <row r="17" spans="1:2" ht="15" x14ac:dyDescent="0.25">
      <c r="A17" s="4" t="s">
        <v>1474</v>
      </c>
      <c r="B17" s="5">
        <v>42</v>
      </c>
    </row>
    <row r="18" spans="1:2" ht="15" x14ac:dyDescent="0.25">
      <c r="A18" s="4" t="s">
        <v>492</v>
      </c>
      <c r="B18" s="5">
        <v>41</v>
      </c>
    </row>
    <row r="19" spans="1:2" ht="15" x14ac:dyDescent="0.25">
      <c r="A19" s="4" t="s">
        <v>68</v>
      </c>
      <c r="B19" s="5">
        <v>620</v>
      </c>
    </row>
    <row r="20" spans="1:2" ht="15" x14ac:dyDescent="0.25">
      <c r="A20" s="4" t="s">
        <v>613</v>
      </c>
      <c r="B20" s="5">
        <v>113</v>
      </c>
    </row>
    <row r="21" spans="1:2" ht="15" x14ac:dyDescent="0.25">
      <c r="A21" s="4" t="s">
        <v>84</v>
      </c>
      <c r="B21" s="5">
        <v>638</v>
      </c>
    </row>
    <row r="22" spans="1:2" x14ac:dyDescent="0.35">
      <c r="A22" s="4" t="s">
        <v>526</v>
      </c>
      <c r="B22" s="5">
        <v>290</v>
      </c>
    </row>
    <row r="23" spans="1:2" x14ac:dyDescent="0.35">
      <c r="A23" s="4" t="s">
        <v>26</v>
      </c>
      <c r="B23" s="5">
        <v>5712</v>
      </c>
    </row>
    <row r="24" spans="1:2" x14ac:dyDescent="0.35">
      <c r="A24" s="4" t="s">
        <v>236</v>
      </c>
      <c r="B24" s="5">
        <v>19</v>
      </c>
    </row>
    <row r="25" spans="1:2" x14ac:dyDescent="0.35">
      <c r="A25" s="9" t="s">
        <v>13111</v>
      </c>
      <c r="B25" s="10">
        <v>9451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52"/>
  <sheetViews>
    <sheetView workbookViewId="0">
      <selection activeCell="E14" sqref="E14"/>
    </sheetView>
  </sheetViews>
  <sheetFormatPr defaultRowHeight="14.5" x14ac:dyDescent="0.35"/>
  <cols>
    <col min="1" max="1" width="38.7265625" customWidth="1"/>
    <col min="2" max="2" width="13.453125" bestFit="1" customWidth="1"/>
  </cols>
  <sheetData>
    <row r="1" spans="1:2" ht="15" x14ac:dyDescent="0.25">
      <c r="A1" s="6" t="s">
        <v>13113</v>
      </c>
      <c r="B1" s="6" t="s">
        <v>13110</v>
      </c>
    </row>
    <row r="2" spans="1:2" ht="15" x14ac:dyDescent="0.25">
      <c r="A2" s="8" t="s">
        <v>13112</v>
      </c>
      <c r="B2" s="7"/>
    </row>
    <row r="3" spans="1:2" ht="15" x14ac:dyDescent="0.25">
      <c r="A3" s="7" t="s">
        <v>0</v>
      </c>
      <c r="B3" s="7" t="s">
        <v>13114</v>
      </c>
    </row>
    <row r="4" spans="1:2" ht="15" x14ac:dyDescent="0.25">
      <c r="A4" s="14">
        <v>42217.029062499998</v>
      </c>
      <c r="B4" s="5">
        <v>1</v>
      </c>
    </row>
    <row r="5" spans="1:2" ht="15" x14ac:dyDescent="0.25">
      <c r="A5" s="14">
        <v>42217.029224537036</v>
      </c>
      <c r="B5" s="5">
        <v>2</v>
      </c>
    </row>
    <row r="6" spans="1:2" ht="15" x14ac:dyDescent="0.25">
      <c r="A6" s="14">
        <v>42217.040706018517</v>
      </c>
      <c r="B6" s="5">
        <v>1</v>
      </c>
    </row>
    <row r="7" spans="1:2" ht="15" x14ac:dyDescent="0.25">
      <c r="A7" s="14">
        <v>42217.099479166667</v>
      </c>
      <c r="B7" s="5">
        <v>1</v>
      </c>
    </row>
    <row r="8" spans="1:2" ht="15" x14ac:dyDescent="0.25">
      <c r="A8" s="14">
        <v>42217.856631944444</v>
      </c>
      <c r="B8" s="5">
        <v>1</v>
      </c>
    </row>
    <row r="9" spans="1:2" ht="15" x14ac:dyDescent="0.25">
      <c r="A9" s="14">
        <v>42217.882824074077</v>
      </c>
      <c r="B9" s="5">
        <v>1</v>
      </c>
    </row>
    <row r="10" spans="1:2" ht="15" x14ac:dyDescent="0.25">
      <c r="A10" s="14">
        <v>42217.937048611115</v>
      </c>
      <c r="B10" s="5">
        <v>1</v>
      </c>
    </row>
    <row r="11" spans="1:2" ht="15" x14ac:dyDescent="0.25">
      <c r="A11" s="14">
        <v>42217.945162037038</v>
      </c>
      <c r="B11" s="5">
        <v>1</v>
      </c>
    </row>
    <row r="12" spans="1:2" ht="15" x14ac:dyDescent="0.25">
      <c r="A12" s="14">
        <v>42217.952743055554</v>
      </c>
      <c r="B12" s="5">
        <v>1</v>
      </c>
    </row>
    <row r="13" spans="1:2" ht="15" x14ac:dyDescent="0.25">
      <c r="A13" s="14">
        <v>42217.959050925929</v>
      </c>
      <c r="B13" s="5">
        <v>1</v>
      </c>
    </row>
    <row r="14" spans="1:2" ht="15" x14ac:dyDescent="0.25">
      <c r="A14" s="14">
        <v>42217.981192129628</v>
      </c>
      <c r="B14" s="5">
        <v>1</v>
      </c>
    </row>
    <row r="15" spans="1:2" ht="15" x14ac:dyDescent="0.25">
      <c r="A15" s="14">
        <v>42218.483472222222</v>
      </c>
      <c r="B15" s="5">
        <v>1</v>
      </c>
    </row>
    <row r="16" spans="1:2" ht="15" x14ac:dyDescent="0.25">
      <c r="A16" s="14">
        <v>42218.483703703707</v>
      </c>
      <c r="B16" s="5">
        <v>2</v>
      </c>
    </row>
    <row r="17" spans="1:2" ht="15" x14ac:dyDescent="0.25">
      <c r="A17" s="14">
        <v>42218.484803240739</v>
      </c>
      <c r="B17" s="5">
        <v>1</v>
      </c>
    </row>
    <row r="18" spans="1:2" ht="15" x14ac:dyDescent="0.25">
      <c r="A18" s="14">
        <v>42218.484942129631</v>
      </c>
      <c r="B18" s="5">
        <v>2</v>
      </c>
    </row>
    <row r="19" spans="1:2" ht="15" x14ac:dyDescent="0.25">
      <c r="A19" s="14">
        <v>42218.555</v>
      </c>
      <c r="B19" s="5">
        <v>1</v>
      </c>
    </row>
    <row r="20" spans="1:2" ht="15" x14ac:dyDescent="0.25">
      <c r="A20" s="14">
        <v>42218.555196759262</v>
      </c>
      <c r="B20" s="5">
        <v>2</v>
      </c>
    </row>
    <row r="21" spans="1:2" ht="15" x14ac:dyDescent="0.25">
      <c r="A21" s="14">
        <v>42218.55773148148</v>
      </c>
      <c r="B21" s="5">
        <v>1</v>
      </c>
    </row>
    <row r="22" spans="1:2" x14ac:dyDescent="0.35">
      <c r="A22" s="14">
        <v>42218.557847222219</v>
      </c>
      <c r="B22" s="5">
        <v>2</v>
      </c>
    </row>
    <row r="23" spans="1:2" x14ac:dyDescent="0.35">
      <c r="A23" s="14">
        <v>42218.558888888889</v>
      </c>
      <c r="B23" s="5">
        <v>1</v>
      </c>
    </row>
    <row r="24" spans="1:2" x14ac:dyDescent="0.35">
      <c r="A24" s="14">
        <v>42218.559062499997</v>
      </c>
      <c r="B24" s="5">
        <v>2</v>
      </c>
    </row>
    <row r="25" spans="1:2" x14ac:dyDescent="0.35">
      <c r="A25" s="14">
        <v>42218.56009259259</v>
      </c>
      <c r="B25" s="5">
        <v>1</v>
      </c>
    </row>
    <row r="26" spans="1:2" x14ac:dyDescent="0.35">
      <c r="A26" s="14">
        <v>42218.560416666667</v>
      </c>
      <c r="B26" s="5">
        <v>2</v>
      </c>
    </row>
    <row r="27" spans="1:2" x14ac:dyDescent="0.35">
      <c r="A27" s="14">
        <v>42218.561423611114</v>
      </c>
      <c r="B27" s="5">
        <v>1</v>
      </c>
    </row>
    <row r="28" spans="1:2" x14ac:dyDescent="0.35">
      <c r="A28" s="14">
        <v>42218.561701388891</v>
      </c>
      <c r="B28" s="5">
        <v>2</v>
      </c>
    </row>
    <row r="29" spans="1:2" x14ac:dyDescent="0.35">
      <c r="A29" s="14">
        <v>42218.562534722223</v>
      </c>
      <c r="B29" s="5">
        <v>1</v>
      </c>
    </row>
    <row r="30" spans="1:2" x14ac:dyDescent="0.35">
      <c r="A30" s="14">
        <v>42218.562685185185</v>
      </c>
      <c r="B30" s="5">
        <v>2</v>
      </c>
    </row>
    <row r="31" spans="1:2" x14ac:dyDescent="0.35">
      <c r="A31" s="14">
        <v>42218.564618055556</v>
      </c>
      <c r="B31" s="5">
        <v>1</v>
      </c>
    </row>
    <row r="32" spans="1:2" x14ac:dyDescent="0.35">
      <c r="A32" s="14">
        <v>42218.564803240741</v>
      </c>
      <c r="B32" s="5">
        <v>2</v>
      </c>
    </row>
    <row r="33" spans="1:2" x14ac:dyDescent="0.35">
      <c r="A33" s="14">
        <v>42218.565659722219</v>
      </c>
      <c r="B33" s="5">
        <v>1</v>
      </c>
    </row>
    <row r="34" spans="1:2" x14ac:dyDescent="0.35">
      <c r="A34" s="14">
        <v>42218.56591435185</v>
      </c>
      <c r="B34" s="5">
        <v>2</v>
      </c>
    </row>
    <row r="35" spans="1:2" x14ac:dyDescent="0.35">
      <c r="A35" s="14">
        <v>42218.648495370369</v>
      </c>
      <c r="B35" s="5">
        <v>1</v>
      </c>
    </row>
    <row r="36" spans="1:2" x14ac:dyDescent="0.35">
      <c r="A36" s="14">
        <v>42219.575092592589</v>
      </c>
      <c r="B36" s="5">
        <v>1</v>
      </c>
    </row>
    <row r="37" spans="1:2" x14ac:dyDescent="0.35">
      <c r="A37" s="14">
        <v>42219.585057870368</v>
      </c>
      <c r="B37" s="5">
        <v>1</v>
      </c>
    </row>
    <row r="38" spans="1:2" x14ac:dyDescent="0.35">
      <c r="A38" s="14">
        <v>42219.695543981485</v>
      </c>
      <c r="B38" s="5">
        <v>1</v>
      </c>
    </row>
    <row r="39" spans="1:2" x14ac:dyDescent="0.35">
      <c r="A39" s="14">
        <v>42219.699178240742</v>
      </c>
      <c r="B39" s="5">
        <v>1</v>
      </c>
    </row>
    <row r="40" spans="1:2" x14ac:dyDescent="0.35">
      <c r="A40" s="14">
        <v>42219.716134259259</v>
      </c>
      <c r="B40" s="5">
        <v>1</v>
      </c>
    </row>
    <row r="41" spans="1:2" x14ac:dyDescent="0.35">
      <c r="A41" s="14">
        <v>42219.716493055559</v>
      </c>
      <c r="B41" s="5">
        <v>1</v>
      </c>
    </row>
    <row r="42" spans="1:2" x14ac:dyDescent="0.35">
      <c r="A42" s="14">
        <v>42219.809849537036</v>
      </c>
      <c r="B42" s="5">
        <v>1</v>
      </c>
    </row>
    <row r="43" spans="1:2" x14ac:dyDescent="0.35">
      <c r="A43" s="14">
        <v>42219.829548611109</v>
      </c>
      <c r="B43" s="5">
        <v>1</v>
      </c>
    </row>
    <row r="44" spans="1:2" x14ac:dyDescent="0.35">
      <c r="A44" s="14">
        <v>42219.869097222225</v>
      </c>
      <c r="B44" s="5">
        <v>1</v>
      </c>
    </row>
    <row r="45" spans="1:2" x14ac:dyDescent="0.35">
      <c r="A45" s="14">
        <v>42220.714085648149</v>
      </c>
      <c r="B45" s="5">
        <v>1</v>
      </c>
    </row>
    <row r="46" spans="1:2" x14ac:dyDescent="0.35">
      <c r="A46" s="14">
        <v>42220.716550925928</v>
      </c>
      <c r="B46" s="5">
        <v>1</v>
      </c>
    </row>
    <row r="47" spans="1:2" x14ac:dyDescent="0.35">
      <c r="A47" s="14">
        <v>42220.716782407406</v>
      </c>
      <c r="B47" s="5">
        <v>1</v>
      </c>
    </row>
    <row r="48" spans="1:2" x14ac:dyDescent="0.35">
      <c r="A48" s="14">
        <v>42220.721400462964</v>
      </c>
      <c r="B48" s="5">
        <v>1</v>
      </c>
    </row>
    <row r="49" spans="1:2" x14ac:dyDescent="0.35">
      <c r="A49" s="14">
        <v>42220.728912037041</v>
      </c>
      <c r="B49" s="5">
        <v>1</v>
      </c>
    </row>
    <row r="50" spans="1:2" x14ac:dyDescent="0.35">
      <c r="A50" s="14">
        <v>42220.810613425929</v>
      </c>
      <c r="B50" s="5">
        <v>1</v>
      </c>
    </row>
    <row r="51" spans="1:2" x14ac:dyDescent="0.35">
      <c r="A51" s="14">
        <v>42220.812569444446</v>
      </c>
      <c r="B51" s="5">
        <v>1</v>
      </c>
    </row>
    <row r="52" spans="1:2" x14ac:dyDescent="0.35">
      <c r="A52" s="14">
        <v>42220.868425925924</v>
      </c>
      <c r="B52" s="5">
        <v>1</v>
      </c>
    </row>
    <row r="53" spans="1:2" x14ac:dyDescent="0.35">
      <c r="A53" s="14">
        <v>42220.891782407409</v>
      </c>
      <c r="B53" s="5">
        <v>1</v>
      </c>
    </row>
    <row r="54" spans="1:2" x14ac:dyDescent="0.35">
      <c r="A54" s="14">
        <v>42221.683171296296</v>
      </c>
      <c r="B54" s="5">
        <v>1</v>
      </c>
    </row>
    <row r="55" spans="1:2" x14ac:dyDescent="0.35">
      <c r="A55" s="14">
        <v>42221.708634259259</v>
      </c>
      <c r="B55" s="5">
        <v>1</v>
      </c>
    </row>
    <row r="56" spans="1:2" x14ac:dyDescent="0.35">
      <c r="A56" s="14">
        <v>42221.734340277777</v>
      </c>
      <c r="B56" s="5">
        <v>1</v>
      </c>
    </row>
    <row r="57" spans="1:2" x14ac:dyDescent="0.35">
      <c r="A57" s="14">
        <v>42221.83865740741</v>
      </c>
      <c r="B57" s="5">
        <v>1</v>
      </c>
    </row>
    <row r="58" spans="1:2" x14ac:dyDescent="0.35">
      <c r="A58" s="14">
        <v>42221.946226851855</v>
      </c>
      <c r="B58" s="5">
        <v>1</v>
      </c>
    </row>
    <row r="59" spans="1:2" x14ac:dyDescent="0.35">
      <c r="A59" s="14">
        <v>42221.947187500002</v>
      </c>
      <c r="B59" s="5">
        <v>2</v>
      </c>
    </row>
    <row r="60" spans="1:2" x14ac:dyDescent="0.35">
      <c r="A60" s="14">
        <v>42221.984884259262</v>
      </c>
      <c r="B60" s="5">
        <v>1</v>
      </c>
    </row>
    <row r="61" spans="1:2" x14ac:dyDescent="0.35">
      <c r="A61" s="14">
        <v>42222.665173611109</v>
      </c>
      <c r="B61" s="5">
        <v>1</v>
      </c>
    </row>
    <row r="62" spans="1:2" x14ac:dyDescent="0.35">
      <c r="A62" s="14">
        <v>42222.665254629632</v>
      </c>
      <c r="B62" s="5">
        <v>1</v>
      </c>
    </row>
    <row r="63" spans="1:2" x14ac:dyDescent="0.35">
      <c r="A63" s="14">
        <v>42222.79928240741</v>
      </c>
      <c r="B63" s="5">
        <v>1</v>
      </c>
    </row>
    <row r="64" spans="1:2" x14ac:dyDescent="0.35">
      <c r="A64" s="14">
        <v>42222.931388888886</v>
      </c>
      <c r="B64" s="5">
        <v>1</v>
      </c>
    </row>
    <row r="65" spans="1:2" x14ac:dyDescent="0.35">
      <c r="A65" s="14">
        <v>42222.935486111113</v>
      </c>
      <c r="B65" s="5">
        <v>1</v>
      </c>
    </row>
    <row r="66" spans="1:2" x14ac:dyDescent="0.35">
      <c r="A66" s="14">
        <v>42223.065833333334</v>
      </c>
      <c r="B66" s="5">
        <v>1</v>
      </c>
    </row>
    <row r="67" spans="1:2" x14ac:dyDescent="0.35">
      <c r="A67" s="14">
        <v>42223.072557870371</v>
      </c>
      <c r="B67" s="5">
        <v>1</v>
      </c>
    </row>
    <row r="68" spans="1:2" x14ac:dyDescent="0.35">
      <c r="A68" s="14">
        <v>42223.212465277778</v>
      </c>
      <c r="B68" s="5">
        <v>1</v>
      </c>
    </row>
    <row r="69" spans="1:2" x14ac:dyDescent="0.35">
      <c r="A69" s="14">
        <v>42223.212939814817</v>
      </c>
      <c r="B69" s="5">
        <v>2</v>
      </c>
    </row>
    <row r="70" spans="1:2" x14ac:dyDescent="0.35">
      <c r="A70" s="14">
        <v>42223.221643518518</v>
      </c>
      <c r="B70" s="5">
        <v>1</v>
      </c>
    </row>
    <row r="71" spans="1:2" x14ac:dyDescent="0.35">
      <c r="A71" s="14">
        <v>42223.221747685187</v>
      </c>
      <c r="B71" s="5">
        <v>2</v>
      </c>
    </row>
    <row r="72" spans="1:2" x14ac:dyDescent="0.35">
      <c r="A72" s="14">
        <v>42223.221990740742</v>
      </c>
      <c r="B72" s="5">
        <v>1</v>
      </c>
    </row>
    <row r="73" spans="1:2" x14ac:dyDescent="0.35">
      <c r="A73" s="14">
        <v>42223.222094907411</v>
      </c>
      <c r="B73" s="5">
        <v>2</v>
      </c>
    </row>
    <row r="74" spans="1:2" x14ac:dyDescent="0.35">
      <c r="A74" s="14">
        <v>42223.57303240741</v>
      </c>
      <c r="B74" s="5">
        <v>1</v>
      </c>
    </row>
    <row r="75" spans="1:2" x14ac:dyDescent="0.35">
      <c r="A75" s="14">
        <v>42223.57340277778</v>
      </c>
      <c r="B75" s="5">
        <v>2</v>
      </c>
    </row>
    <row r="76" spans="1:2" x14ac:dyDescent="0.35">
      <c r="A76" s="14">
        <v>42223.574131944442</v>
      </c>
      <c r="B76" s="5">
        <v>1</v>
      </c>
    </row>
    <row r="77" spans="1:2" x14ac:dyDescent="0.35">
      <c r="A77" s="14">
        <v>42223.592650462961</v>
      </c>
      <c r="B77" s="5">
        <v>1</v>
      </c>
    </row>
    <row r="78" spans="1:2" x14ac:dyDescent="0.35">
      <c r="A78" s="14">
        <v>42223.60193287037</v>
      </c>
      <c r="B78" s="5">
        <v>1</v>
      </c>
    </row>
    <row r="79" spans="1:2" x14ac:dyDescent="0.35">
      <c r="A79" s="14">
        <v>42223.641840277778</v>
      </c>
      <c r="B79" s="5">
        <v>1</v>
      </c>
    </row>
    <row r="80" spans="1:2" x14ac:dyDescent="0.35">
      <c r="A80" s="14">
        <v>42225.488194444442</v>
      </c>
      <c r="B80" s="5">
        <v>1</v>
      </c>
    </row>
    <row r="81" spans="1:2" x14ac:dyDescent="0.35">
      <c r="A81" s="14">
        <v>42225.639363425929</v>
      </c>
      <c r="B81" s="5">
        <v>1</v>
      </c>
    </row>
    <row r="82" spans="1:2" x14ac:dyDescent="0.35">
      <c r="A82" s="14">
        <v>42225.695451388892</v>
      </c>
      <c r="B82" s="5">
        <v>1</v>
      </c>
    </row>
    <row r="83" spans="1:2" x14ac:dyDescent="0.35">
      <c r="A83" s="14">
        <v>42225.813171296293</v>
      </c>
      <c r="B83" s="5">
        <v>1</v>
      </c>
    </row>
    <row r="84" spans="1:2" x14ac:dyDescent="0.35">
      <c r="A84" s="14">
        <v>42225.86824074074</v>
      </c>
      <c r="B84" s="5">
        <v>1</v>
      </c>
    </row>
    <row r="85" spans="1:2" x14ac:dyDescent="0.35">
      <c r="A85" s="14">
        <v>42225.875810185185</v>
      </c>
      <c r="B85" s="5">
        <v>1</v>
      </c>
    </row>
    <row r="86" spans="1:2" x14ac:dyDescent="0.35">
      <c r="A86" s="14">
        <v>42225.923125000001</v>
      </c>
      <c r="B86" s="5">
        <v>1</v>
      </c>
    </row>
    <row r="87" spans="1:2" x14ac:dyDescent="0.35">
      <c r="A87" s="14">
        <v>42225.933009259257</v>
      </c>
      <c r="B87" s="5">
        <v>1</v>
      </c>
    </row>
    <row r="88" spans="1:2" x14ac:dyDescent="0.35">
      <c r="A88" s="14">
        <v>42225.95275462963</v>
      </c>
      <c r="B88" s="5">
        <v>1</v>
      </c>
    </row>
    <row r="89" spans="1:2" x14ac:dyDescent="0.35">
      <c r="A89" s="14">
        <v>42226.072951388887</v>
      </c>
      <c r="B89" s="5">
        <v>1</v>
      </c>
    </row>
    <row r="90" spans="1:2" x14ac:dyDescent="0.35">
      <c r="A90" s="14">
        <v>42226.85019675926</v>
      </c>
      <c r="B90" s="5">
        <v>1</v>
      </c>
    </row>
    <row r="91" spans="1:2" x14ac:dyDescent="0.35">
      <c r="A91" s="14">
        <v>42226.867905092593</v>
      </c>
      <c r="B91" s="5">
        <v>1</v>
      </c>
    </row>
    <row r="92" spans="1:2" x14ac:dyDescent="0.35">
      <c r="A92" s="14">
        <v>42226.872152777774</v>
      </c>
      <c r="B92" s="5">
        <v>1</v>
      </c>
    </row>
    <row r="93" spans="1:2" x14ac:dyDescent="0.35">
      <c r="A93" s="14">
        <v>42227.022280092591</v>
      </c>
      <c r="B93" s="5">
        <v>1</v>
      </c>
    </row>
    <row r="94" spans="1:2" x14ac:dyDescent="0.35">
      <c r="A94" s="14">
        <v>42227.114398148151</v>
      </c>
      <c r="B94" s="5">
        <v>1</v>
      </c>
    </row>
    <row r="95" spans="1:2" x14ac:dyDescent="0.35">
      <c r="A95" s="14">
        <v>42227.466539351852</v>
      </c>
      <c r="B95" s="5">
        <v>1</v>
      </c>
    </row>
    <row r="96" spans="1:2" x14ac:dyDescent="0.35">
      <c r="A96" s="14">
        <v>42227.46707175926</v>
      </c>
      <c r="B96" s="5">
        <v>2</v>
      </c>
    </row>
    <row r="97" spans="1:2" x14ac:dyDescent="0.35">
      <c r="A97" s="14">
        <v>42227.481620370374</v>
      </c>
      <c r="B97" s="5">
        <v>1</v>
      </c>
    </row>
    <row r="98" spans="1:2" x14ac:dyDescent="0.35">
      <c r="A98" s="14">
        <v>42227.491307870368</v>
      </c>
      <c r="B98" s="5">
        <v>2</v>
      </c>
    </row>
    <row r="99" spans="1:2" x14ac:dyDescent="0.35">
      <c r="A99" s="14">
        <v>42227.714930555558</v>
      </c>
      <c r="B99" s="5">
        <v>1</v>
      </c>
    </row>
    <row r="100" spans="1:2" x14ac:dyDescent="0.35">
      <c r="A100" s="14">
        <v>42227.715787037036</v>
      </c>
      <c r="B100" s="5">
        <v>1</v>
      </c>
    </row>
    <row r="101" spans="1:2" x14ac:dyDescent="0.35">
      <c r="A101" s="14">
        <v>42227.715914351851</v>
      </c>
      <c r="B101" s="5">
        <v>1</v>
      </c>
    </row>
    <row r="102" spans="1:2" x14ac:dyDescent="0.35">
      <c r="A102" s="14">
        <v>42227.716319444444</v>
      </c>
      <c r="B102" s="5">
        <v>1</v>
      </c>
    </row>
    <row r="103" spans="1:2" x14ac:dyDescent="0.35">
      <c r="A103" s="14">
        <v>42227.722013888888</v>
      </c>
      <c r="B103" s="5">
        <v>1</v>
      </c>
    </row>
    <row r="104" spans="1:2" x14ac:dyDescent="0.35">
      <c r="A104" s="14">
        <v>42227.729664351849</v>
      </c>
      <c r="B104" s="5">
        <v>1</v>
      </c>
    </row>
    <row r="105" spans="1:2" x14ac:dyDescent="0.35">
      <c r="A105" s="14">
        <v>42227.741307870368</v>
      </c>
      <c r="B105" s="5">
        <v>1</v>
      </c>
    </row>
    <row r="106" spans="1:2" x14ac:dyDescent="0.35">
      <c r="A106" s="14">
        <v>42227.778865740744</v>
      </c>
      <c r="B106" s="5">
        <v>1</v>
      </c>
    </row>
    <row r="107" spans="1:2" x14ac:dyDescent="0.35">
      <c r="A107" s="14">
        <v>42227.868495370371</v>
      </c>
      <c r="B107" s="5">
        <v>1</v>
      </c>
    </row>
    <row r="108" spans="1:2" x14ac:dyDescent="0.35">
      <c r="A108" s="14">
        <v>42227.970405092594</v>
      </c>
      <c r="B108" s="5">
        <v>1</v>
      </c>
    </row>
    <row r="109" spans="1:2" x14ac:dyDescent="0.35">
      <c r="A109" s="14">
        <v>42228.720416666663</v>
      </c>
      <c r="B109" s="5">
        <v>1</v>
      </c>
    </row>
    <row r="110" spans="1:2" x14ac:dyDescent="0.35">
      <c r="A110" s="14">
        <v>42228.757488425923</v>
      </c>
      <c r="B110" s="5">
        <v>1</v>
      </c>
    </row>
    <row r="111" spans="1:2" x14ac:dyDescent="0.35">
      <c r="A111" s="14">
        <v>42228.770162037035</v>
      </c>
      <c r="B111" s="5">
        <v>1</v>
      </c>
    </row>
    <row r="112" spans="1:2" x14ac:dyDescent="0.35">
      <c r="A112" s="14">
        <v>42228.809537037036</v>
      </c>
      <c r="B112" s="5">
        <v>1</v>
      </c>
    </row>
    <row r="113" spans="1:2" x14ac:dyDescent="0.35">
      <c r="A113" s="14">
        <v>42228.816377314812</v>
      </c>
      <c r="B113" s="5">
        <v>1</v>
      </c>
    </row>
    <row r="114" spans="1:2" x14ac:dyDescent="0.35">
      <c r="A114" s="14">
        <v>42228.904166666667</v>
      </c>
      <c r="B114" s="5">
        <v>1</v>
      </c>
    </row>
    <row r="115" spans="1:2" x14ac:dyDescent="0.35">
      <c r="A115" s="14">
        <v>42228.913946759261</v>
      </c>
      <c r="B115" s="5">
        <v>1</v>
      </c>
    </row>
    <row r="116" spans="1:2" x14ac:dyDescent="0.35">
      <c r="A116" s="14">
        <v>42229.033506944441</v>
      </c>
      <c r="B116" s="5">
        <v>1</v>
      </c>
    </row>
    <row r="117" spans="1:2" x14ac:dyDescent="0.35">
      <c r="A117" s="14">
        <v>42229.656539351854</v>
      </c>
      <c r="B117" s="5">
        <v>1</v>
      </c>
    </row>
    <row r="118" spans="1:2" x14ac:dyDescent="0.35">
      <c r="A118" s="14">
        <v>42229.684733796297</v>
      </c>
      <c r="B118" s="5">
        <v>1</v>
      </c>
    </row>
    <row r="119" spans="1:2" x14ac:dyDescent="0.35">
      <c r="A119" s="14">
        <v>42229.704513888886</v>
      </c>
      <c r="B119" s="5">
        <v>1</v>
      </c>
    </row>
    <row r="120" spans="1:2" x14ac:dyDescent="0.35">
      <c r="A120" s="14">
        <v>42229.705266203702</v>
      </c>
      <c r="B120" s="5">
        <v>2</v>
      </c>
    </row>
    <row r="121" spans="1:2" x14ac:dyDescent="0.35">
      <c r="A121" s="14">
        <v>42229.716180555559</v>
      </c>
      <c r="B121" s="5">
        <v>1</v>
      </c>
    </row>
    <row r="122" spans="1:2" x14ac:dyDescent="0.35">
      <c r="A122" s="14">
        <v>42229.725775462961</v>
      </c>
      <c r="B122" s="5">
        <v>1</v>
      </c>
    </row>
    <row r="123" spans="1:2" x14ac:dyDescent="0.35">
      <c r="A123" s="14">
        <v>42229.726284722223</v>
      </c>
      <c r="B123" s="5">
        <v>2</v>
      </c>
    </row>
    <row r="124" spans="1:2" x14ac:dyDescent="0.35">
      <c r="A124" s="14">
        <v>42229.737997685188</v>
      </c>
      <c r="B124" s="5">
        <v>1</v>
      </c>
    </row>
    <row r="125" spans="1:2" x14ac:dyDescent="0.35">
      <c r="A125" s="14">
        <v>42229.738564814812</v>
      </c>
      <c r="B125" s="5">
        <v>2</v>
      </c>
    </row>
    <row r="126" spans="1:2" x14ac:dyDescent="0.35">
      <c r="A126" s="14">
        <v>42229.740474537037</v>
      </c>
      <c r="B126" s="5">
        <v>1</v>
      </c>
    </row>
    <row r="127" spans="1:2" x14ac:dyDescent="0.35">
      <c r="A127" s="14">
        <v>42229.740879629629</v>
      </c>
      <c r="B127" s="5">
        <v>2</v>
      </c>
    </row>
    <row r="128" spans="1:2" x14ac:dyDescent="0.35">
      <c r="A128" s="14">
        <v>42229.741261574076</v>
      </c>
      <c r="B128" s="5">
        <v>1</v>
      </c>
    </row>
    <row r="129" spans="1:2" x14ac:dyDescent="0.35">
      <c r="A129" s="14">
        <v>42229.742442129631</v>
      </c>
      <c r="B129" s="5">
        <v>1</v>
      </c>
    </row>
    <row r="130" spans="1:2" x14ac:dyDescent="0.35">
      <c r="A130" s="14">
        <v>42229.747523148151</v>
      </c>
      <c r="B130" s="5">
        <v>1</v>
      </c>
    </row>
    <row r="131" spans="1:2" x14ac:dyDescent="0.35">
      <c r="A131" s="14">
        <v>42229.747916666667</v>
      </c>
      <c r="B131" s="5">
        <v>2</v>
      </c>
    </row>
    <row r="132" spans="1:2" x14ac:dyDescent="0.35">
      <c r="A132" s="14">
        <v>42229.749201388891</v>
      </c>
      <c r="B132" s="5">
        <v>1</v>
      </c>
    </row>
    <row r="133" spans="1:2" x14ac:dyDescent="0.35">
      <c r="A133" s="14">
        <v>42229.750081018516</v>
      </c>
      <c r="B133" s="5">
        <v>2</v>
      </c>
    </row>
    <row r="134" spans="1:2" x14ac:dyDescent="0.35">
      <c r="A134" s="14">
        <v>42229.803738425922</v>
      </c>
      <c r="B134" s="5">
        <v>1</v>
      </c>
    </row>
    <row r="135" spans="1:2" x14ac:dyDescent="0.35">
      <c r="A135" s="14">
        <v>42229.805520833332</v>
      </c>
      <c r="B135" s="5">
        <v>2</v>
      </c>
    </row>
    <row r="136" spans="1:2" x14ac:dyDescent="0.35">
      <c r="A136" s="14">
        <v>42229.807962962965</v>
      </c>
      <c r="B136" s="5">
        <v>1</v>
      </c>
    </row>
    <row r="137" spans="1:2" x14ac:dyDescent="0.35">
      <c r="A137" s="14">
        <v>42230.614259259259</v>
      </c>
      <c r="B137" s="5">
        <v>1</v>
      </c>
    </row>
    <row r="138" spans="1:2" x14ac:dyDescent="0.35">
      <c r="A138" s="14">
        <v>42230.618148148147</v>
      </c>
      <c r="B138" s="5">
        <v>1</v>
      </c>
    </row>
    <row r="139" spans="1:2" x14ac:dyDescent="0.35">
      <c r="A139" s="14">
        <v>42230.663657407407</v>
      </c>
      <c r="B139" s="5">
        <v>1</v>
      </c>
    </row>
    <row r="140" spans="1:2" x14ac:dyDescent="0.35">
      <c r="A140" s="14">
        <v>42230.95689814815</v>
      </c>
      <c r="B140" s="5">
        <v>1</v>
      </c>
    </row>
    <row r="141" spans="1:2" x14ac:dyDescent="0.35">
      <c r="A141" s="14">
        <v>42230.983159722222</v>
      </c>
      <c r="B141" s="5">
        <v>1</v>
      </c>
    </row>
    <row r="142" spans="1:2" x14ac:dyDescent="0.35">
      <c r="A142" s="14">
        <v>42230.987407407411</v>
      </c>
      <c r="B142" s="5">
        <v>1</v>
      </c>
    </row>
    <row r="143" spans="1:2" x14ac:dyDescent="0.35">
      <c r="A143" s="14">
        <v>42231.044988425929</v>
      </c>
      <c r="B143" s="5">
        <v>1</v>
      </c>
    </row>
    <row r="144" spans="1:2" x14ac:dyDescent="0.35">
      <c r="A144" s="14">
        <v>42231.929432870369</v>
      </c>
      <c r="B144" s="5">
        <v>1</v>
      </c>
    </row>
    <row r="145" spans="1:2" x14ac:dyDescent="0.35">
      <c r="A145" s="14">
        <v>42232.209293981483</v>
      </c>
      <c r="B145" s="5">
        <v>1</v>
      </c>
    </row>
    <row r="146" spans="1:2" x14ac:dyDescent="0.35">
      <c r="A146" s="14">
        <v>42232.518113425926</v>
      </c>
      <c r="B146" s="5">
        <v>1</v>
      </c>
    </row>
    <row r="147" spans="1:2" x14ac:dyDescent="0.35">
      <c r="A147" s="14">
        <v>42232.51829861111</v>
      </c>
      <c r="B147" s="5">
        <v>2</v>
      </c>
    </row>
    <row r="148" spans="1:2" x14ac:dyDescent="0.35">
      <c r="A148" s="14">
        <v>42232.524710648147</v>
      </c>
      <c r="B148" s="5">
        <v>1</v>
      </c>
    </row>
    <row r="149" spans="1:2" x14ac:dyDescent="0.35">
      <c r="A149" s="14">
        <v>42232.75922453704</v>
      </c>
      <c r="B149" s="5">
        <v>1</v>
      </c>
    </row>
    <row r="150" spans="1:2" x14ac:dyDescent="0.35">
      <c r="A150" s="14">
        <v>42232.76730324074</v>
      </c>
      <c r="B150" s="5">
        <v>1</v>
      </c>
    </row>
    <row r="151" spans="1:2" x14ac:dyDescent="0.35">
      <c r="A151" s="14">
        <v>42232.76761574074</v>
      </c>
      <c r="B151" s="5">
        <v>1</v>
      </c>
    </row>
    <row r="152" spans="1:2" x14ac:dyDescent="0.35">
      <c r="A152" s="14">
        <v>42232.821180555555</v>
      </c>
      <c r="B152" s="5">
        <v>1</v>
      </c>
    </row>
    <row r="153" spans="1:2" x14ac:dyDescent="0.35">
      <c r="A153" s="14">
        <v>42232.821331018517</v>
      </c>
      <c r="B153" s="5">
        <v>1</v>
      </c>
    </row>
    <row r="154" spans="1:2" x14ac:dyDescent="0.35">
      <c r="A154" s="14">
        <v>42232.821342592593</v>
      </c>
      <c r="B154" s="5">
        <v>1</v>
      </c>
    </row>
    <row r="155" spans="1:2" x14ac:dyDescent="0.35">
      <c r="A155" s="14">
        <v>42232.83079861111</v>
      </c>
      <c r="B155" s="5">
        <v>1</v>
      </c>
    </row>
    <row r="156" spans="1:2" x14ac:dyDescent="0.35">
      <c r="A156" s="14">
        <v>42232.831689814811</v>
      </c>
      <c r="B156" s="5">
        <v>1</v>
      </c>
    </row>
    <row r="157" spans="1:2" x14ac:dyDescent="0.35">
      <c r="A157" s="14">
        <v>42232.832303240742</v>
      </c>
      <c r="B157" s="5">
        <v>1</v>
      </c>
    </row>
    <row r="158" spans="1:2" x14ac:dyDescent="0.35">
      <c r="A158" s="14">
        <v>42232.938310185185</v>
      </c>
      <c r="B158" s="5">
        <v>1</v>
      </c>
    </row>
    <row r="159" spans="1:2" x14ac:dyDescent="0.35">
      <c r="A159" s="14">
        <v>42232.938888888886</v>
      </c>
      <c r="B159" s="5">
        <v>2</v>
      </c>
    </row>
    <row r="160" spans="1:2" x14ac:dyDescent="0.35">
      <c r="A160" s="14">
        <v>42232.939421296294</v>
      </c>
      <c r="B160" s="5">
        <v>1</v>
      </c>
    </row>
    <row r="161" spans="1:2" x14ac:dyDescent="0.35">
      <c r="A161" s="14">
        <v>42232.940381944441</v>
      </c>
      <c r="B161" s="5">
        <v>2</v>
      </c>
    </row>
    <row r="162" spans="1:2" x14ac:dyDescent="0.35">
      <c r="A162" s="14">
        <v>42232.943981481483</v>
      </c>
      <c r="B162" s="5">
        <v>1</v>
      </c>
    </row>
    <row r="163" spans="1:2" x14ac:dyDescent="0.35">
      <c r="A163" s="14">
        <v>42232.944166666668</v>
      </c>
      <c r="B163" s="5">
        <v>2</v>
      </c>
    </row>
    <row r="164" spans="1:2" x14ac:dyDescent="0.35">
      <c r="A164" s="14">
        <v>42232.946875000001</v>
      </c>
      <c r="B164" s="5">
        <v>1</v>
      </c>
    </row>
    <row r="165" spans="1:2" x14ac:dyDescent="0.35">
      <c r="A165" s="14">
        <v>42232.947187500002</v>
      </c>
      <c r="B165" s="5">
        <v>1</v>
      </c>
    </row>
    <row r="166" spans="1:2" x14ac:dyDescent="0.35">
      <c r="A166" s="14">
        <v>42232.948263888888</v>
      </c>
      <c r="B166" s="5">
        <v>2</v>
      </c>
    </row>
    <row r="167" spans="1:2" x14ac:dyDescent="0.35">
      <c r="A167" s="14">
        <v>42232.950173611112</v>
      </c>
      <c r="B167" s="5">
        <v>1</v>
      </c>
    </row>
    <row r="168" spans="1:2" x14ac:dyDescent="0.35">
      <c r="A168" s="14">
        <v>42232.950613425928</v>
      </c>
      <c r="B168" s="5">
        <v>2</v>
      </c>
    </row>
    <row r="169" spans="1:2" x14ac:dyDescent="0.35">
      <c r="A169" s="14">
        <v>42233.185682870368</v>
      </c>
      <c r="B169" s="5">
        <v>1</v>
      </c>
    </row>
    <row r="170" spans="1:2" x14ac:dyDescent="0.35">
      <c r="A170" s="14">
        <v>42233.186898148146</v>
      </c>
      <c r="B170" s="5">
        <v>1</v>
      </c>
    </row>
    <row r="171" spans="1:2" x14ac:dyDescent="0.35">
      <c r="A171" s="14">
        <v>42233.194374999999</v>
      </c>
      <c r="B171" s="5">
        <v>1</v>
      </c>
    </row>
    <row r="172" spans="1:2" x14ac:dyDescent="0.35">
      <c r="A172" s="14">
        <v>42233.196608796294</v>
      </c>
      <c r="B172" s="5">
        <v>1</v>
      </c>
    </row>
    <row r="173" spans="1:2" x14ac:dyDescent="0.35">
      <c r="A173" s="14">
        <v>42233.538506944446</v>
      </c>
      <c r="B173" s="5">
        <v>1</v>
      </c>
    </row>
    <row r="174" spans="1:2" x14ac:dyDescent="0.35">
      <c r="A174" s="14">
        <v>42233.599097222221</v>
      </c>
      <c r="B174" s="5">
        <v>1</v>
      </c>
    </row>
    <row r="175" spans="1:2" x14ac:dyDescent="0.35">
      <c r="A175" s="14">
        <v>42233.603460648148</v>
      </c>
      <c r="B175" s="5">
        <v>1</v>
      </c>
    </row>
    <row r="176" spans="1:2" x14ac:dyDescent="0.35">
      <c r="A176" s="14">
        <v>42233.660937499997</v>
      </c>
      <c r="B176" s="5">
        <v>1</v>
      </c>
    </row>
    <row r="177" spans="1:2" x14ac:dyDescent="0.35">
      <c r="A177" s="14">
        <v>42233.661192129628</v>
      </c>
      <c r="B177" s="5">
        <v>1</v>
      </c>
    </row>
    <row r="178" spans="1:2" x14ac:dyDescent="0.35">
      <c r="A178" s="14">
        <v>42233.661886574075</v>
      </c>
      <c r="B178" s="5">
        <v>1</v>
      </c>
    </row>
    <row r="179" spans="1:2" x14ac:dyDescent="0.35">
      <c r="A179" s="14">
        <v>42233.662974537037</v>
      </c>
      <c r="B179" s="5">
        <v>1</v>
      </c>
    </row>
    <row r="180" spans="1:2" x14ac:dyDescent="0.35">
      <c r="A180" s="14">
        <v>42233.818831018521</v>
      </c>
      <c r="B180" s="5">
        <v>1</v>
      </c>
    </row>
    <row r="181" spans="1:2" x14ac:dyDescent="0.35">
      <c r="A181" s="14">
        <v>42233.824606481481</v>
      </c>
      <c r="B181" s="5">
        <v>1</v>
      </c>
    </row>
    <row r="182" spans="1:2" x14ac:dyDescent="0.35">
      <c r="A182" s="14">
        <v>42234.045590277776</v>
      </c>
      <c r="B182" s="5">
        <v>1</v>
      </c>
    </row>
    <row r="183" spans="1:2" x14ac:dyDescent="0.35">
      <c r="A183" s="14">
        <v>42234.045740740738</v>
      </c>
      <c r="B183" s="5">
        <v>2</v>
      </c>
    </row>
    <row r="184" spans="1:2" x14ac:dyDescent="0.35">
      <c r="A184" s="14">
        <v>42234.571736111109</v>
      </c>
      <c r="B184" s="5">
        <v>1</v>
      </c>
    </row>
    <row r="185" spans="1:2" x14ac:dyDescent="0.35">
      <c r="A185" s="14">
        <v>42234.589641203704</v>
      </c>
      <c r="B185" s="5">
        <v>1</v>
      </c>
    </row>
    <row r="186" spans="1:2" x14ac:dyDescent="0.35">
      <c r="A186" s="14">
        <v>42234.615636574075</v>
      </c>
      <c r="B186" s="5">
        <v>1</v>
      </c>
    </row>
    <row r="187" spans="1:2" x14ac:dyDescent="0.35">
      <c r="A187" s="14">
        <v>42234.622060185182</v>
      </c>
      <c r="B187" s="5">
        <v>1</v>
      </c>
    </row>
    <row r="188" spans="1:2" x14ac:dyDescent="0.35">
      <c r="A188" s="14">
        <v>42234.622164351851</v>
      </c>
      <c r="B188" s="5">
        <v>1</v>
      </c>
    </row>
    <row r="189" spans="1:2" x14ac:dyDescent="0.35">
      <c r="A189" s="14">
        <v>42234.622627314813</v>
      </c>
      <c r="B189" s="5">
        <v>1</v>
      </c>
    </row>
    <row r="190" spans="1:2" x14ac:dyDescent="0.35">
      <c r="A190" s="14">
        <v>42234.623344907406</v>
      </c>
      <c r="B190" s="5">
        <v>1</v>
      </c>
    </row>
    <row r="191" spans="1:2" x14ac:dyDescent="0.35">
      <c r="A191" s="14">
        <v>42234.625451388885</v>
      </c>
      <c r="B191" s="5">
        <v>1</v>
      </c>
    </row>
    <row r="192" spans="1:2" x14ac:dyDescent="0.35">
      <c r="A192" s="14">
        <v>42234.797291666669</v>
      </c>
      <c r="B192" s="5">
        <v>1</v>
      </c>
    </row>
    <row r="193" spans="1:2" x14ac:dyDescent="0.35">
      <c r="A193" s="14">
        <v>42234.968692129631</v>
      </c>
      <c r="B193" s="5">
        <v>1</v>
      </c>
    </row>
    <row r="194" spans="1:2" x14ac:dyDescent="0.35">
      <c r="A194" s="14">
        <v>42234.975590277776</v>
      </c>
      <c r="B194" s="5">
        <v>1</v>
      </c>
    </row>
    <row r="195" spans="1:2" x14ac:dyDescent="0.35">
      <c r="A195" s="14">
        <v>42235.091944444444</v>
      </c>
      <c r="B195" s="5">
        <v>1</v>
      </c>
    </row>
    <row r="196" spans="1:2" x14ac:dyDescent="0.35">
      <c r="A196" s="14">
        <v>42235.092731481483</v>
      </c>
      <c r="B196" s="5">
        <v>1</v>
      </c>
    </row>
    <row r="197" spans="1:2" x14ac:dyDescent="0.35">
      <c r="A197" s="14">
        <v>42235.124039351853</v>
      </c>
      <c r="B197" s="5">
        <v>1</v>
      </c>
    </row>
    <row r="198" spans="1:2" x14ac:dyDescent="0.35">
      <c r="A198" s="14">
        <v>42235.124328703707</v>
      </c>
      <c r="B198" s="5">
        <v>1</v>
      </c>
    </row>
    <row r="199" spans="1:2" x14ac:dyDescent="0.35">
      <c r="A199" s="14">
        <v>42235.548680555556</v>
      </c>
      <c r="B199" s="5">
        <v>1</v>
      </c>
    </row>
    <row r="200" spans="1:2" x14ac:dyDescent="0.35">
      <c r="A200" s="14">
        <v>42235.548703703702</v>
      </c>
      <c r="B200" s="5">
        <v>1</v>
      </c>
    </row>
    <row r="201" spans="1:2" x14ac:dyDescent="0.35">
      <c r="A201" s="14">
        <v>42235.583240740743</v>
      </c>
      <c r="B201" s="5">
        <v>1</v>
      </c>
    </row>
    <row r="202" spans="1:2" x14ac:dyDescent="0.35">
      <c r="A202" s="14">
        <v>42235.588379629633</v>
      </c>
      <c r="B202" s="5">
        <v>1</v>
      </c>
    </row>
    <row r="203" spans="1:2" x14ac:dyDescent="0.35">
      <c r="A203" s="14">
        <v>42235.669803240744</v>
      </c>
      <c r="B203" s="5">
        <v>1</v>
      </c>
    </row>
    <row r="204" spans="1:2" x14ac:dyDescent="0.35">
      <c r="A204" s="14">
        <v>42235.677881944444</v>
      </c>
      <c r="B204" s="5">
        <v>1</v>
      </c>
    </row>
    <row r="205" spans="1:2" x14ac:dyDescent="0.35">
      <c r="A205" s="14">
        <v>42235.687615740739</v>
      </c>
      <c r="B205" s="5">
        <v>1</v>
      </c>
    </row>
    <row r="206" spans="1:2" x14ac:dyDescent="0.35">
      <c r="A206" s="14">
        <v>42235.746076388888</v>
      </c>
      <c r="B206" s="5">
        <v>1</v>
      </c>
    </row>
    <row r="207" spans="1:2" x14ac:dyDescent="0.35">
      <c r="A207" s="14">
        <v>42235.746678240743</v>
      </c>
      <c r="B207" s="5">
        <v>1</v>
      </c>
    </row>
    <row r="208" spans="1:2" x14ac:dyDescent="0.35">
      <c r="A208" s="14">
        <v>42235.897256944445</v>
      </c>
      <c r="B208" s="5">
        <v>1</v>
      </c>
    </row>
    <row r="209" spans="1:2" x14ac:dyDescent="0.35">
      <c r="A209" s="14">
        <v>42235.900439814817</v>
      </c>
      <c r="B209" s="5">
        <v>1</v>
      </c>
    </row>
    <row r="210" spans="1:2" x14ac:dyDescent="0.35">
      <c r="A210" s="14">
        <v>42235.901053240741</v>
      </c>
      <c r="B210" s="5">
        <v>1</v>
      </c>
    </row>
    <row r="211" spans="1:2" x14ac:dyDescent="0.35">
      <c r="A211" s="14">
        <v>42235.936388888891</v>
      </c>
      <c r="B211" s="5">
        <v>1</v>
      </c>
    </row>
    <row r="212" spans="1:2" x14ac:dyDescent="0.35">
      <c r="A212" s="14">
        <v>42236.731469907405</v>
      </c>
      <c r="B212" s="5">
        <v>1</v>
      </c>
    </row>
    <row r="213" spans="1:2" x14ac:dyDescent="0.35">
      <c r="A213" s="14">
        <v>42236.736562500002</v>
      </c>
      <c r="B213" s="5">
        <v>1</v>
      </c>
    </row>
    <row r="214" spans="1:2" x14ac:dyDescent="0.35">
      <c r="A214" s="14">
        <v>42236.738425925927</v>
      </c>
      <c r="B214" s="5">
        <v>1</v>
      </c>
    </row>
    <row r="215" spans="1:2" x14ac:dyDescent="0.35">
      <c r="A215" s="14">
        <v>42236.781273148146</v>
      </c>
      <c r="B215" s="5">
        <v>1</v>
      </c>
    </row>
    <row r="216" spans="1:2" x14ac:dyDescent="0.35">
      <c r="A216" s="14">
        <v>42236.805104166669</v>
      </c>
      <c r="B216" s="5">
        <v>1</v>
      </c>
    </row>
    <row r="217" spans="1:2" x14ac:dyDescent="0.35">
      <c r="A217" s="14">
        <v>42237.010127314818</v>
      </c>
      <c r="B217" s="5">
        <v>1</v>
      </c>
    </row>
    <row r="218" spans="1:2" x14ac:dyDescent="0.35">
      <c r="A218" s="14">
        <v>42237.339560185188</v>
      </c>
      <c r="B218" s="5">
        <v>1</v>
      </c>
    </row>
    <row r="219" spans="1:2" x14ac:dyDescent="0.35">
      <c r="A219" s="14">
        <v>42237.340694444443</v>
      </c>
      <c r="B219" s="5">
        <v>2</v>
      </c>
    </row>
    <row r="220" spans="1:2" x14ac:dyDescent="0.35">
      <c r="A220" s="14">
        <v>42237.759525462963</v>
      </c>
      <c r="B220" s="5">
        <v>1</v>
      </c>
    </row>
    <row r="221" spans="1:2" x14ac:dyDescent="0.35">
      <c r="A221" s="14">
        <v>42237.761400462965</v>
      </c>
      <c r="B221" s="5">
        <v>1</v>
      </c>
    </row>
    <row r="222" spans="1:2" x14ac:dyDescent="0.35">
      <c r="A222" s="14">
        <v>42237.991793981484</v>
      </c>
      <c r="B222" s="5">
        <v>1</v>
      </c>
    </row>
    <row r="223" spans="1:2" x14ac:dyDescent="0.35">
      <c r="A223" s="14">
        <v>42238.716516203705</v>
      </c>
      <c r="B223" s="5">
        <v>1</v>
      </c>
    </row>
    <row r="224" spans="1:2" x14ac:dyDescent="0.35">
      <c r="A224" s="14">
        <v>42238.828703703701</v>
      </c>
      <c r="B224" s="5">
        <v>1</v>
      </c>
    </row>
    <row r="225" spans="1:2" x14ac:dyDescent="0.35">
      <c r="A225" s="14">
        <v>42238.835694444446</v>
      </c>
      <c r="B225" s="5">
        <v>1</v>
      </c>
    </row>
    <row r="226" spans="1:2" x14ac:dyDescent="0.35">
      <c r="A226" s="14">
        <v>42238.970034722224</v>
      </c>
      <c r="B226" s="5">
        <v>1</v>
      </c>
    </row>
    <row r="227" spans="1:2" x14ac:dyDescent="0.35">
      <c r="A227" s="14">
        <v>42238.979907407411</v>
      </c>
      <c r="B227" s="5">
        <v>1</v>
      </c>
    </row>
    <row r="228" spans="1:2" x14ac:dyDescent="0.35">
      <c r="A228" s="14">
        <v>42238.983391203707</v>
      </c>
      <c r="B228" s="5">
        <v>1</v>
      </c>
    </row>
    <row r="229" spans="1:2" x14ac:dyDescent="0.35">
      <c r="A229" s="14">
        <v>42239.358067129629</v>
      </c>
      <c r="B229" s="5">
        <v>1</v>
      </c>
    </row>
    <row r="230" spans="1:2" x14ac:dyDescent="0.35">
      <c r="A230" s="14">
        <v>42239.611921296295</v>
      </c>
      <c r="B230" s="5">
        <v>1</v>
      </c>
    </row>
    <row r="231" spans="1:2" x14ac:dyDescent="0.35">
      <c r="A231" s="14">
        <v>42239.723101851851</v>
      </c>
      <c r="B231" s="5">
        <v>1</v>
      </c>
    </row>
    <row r="232" spans="1:2" x14ac:dyDescent="0.35">
      <c r="A232" s="14">
        <v>42239.762731481482</v>
      </c>
      <c r="B232" s="5">
        <v>1</v>
      </c>
    </row>
    <row r="233" spans="1:2" x14ac:dyDescent="0.35">
      <c r="A233" s="14">
        <v>42239.826851851853</v>
      </c>
      <c r="B233" s="5">
        <v>1</v>
      </c>
    </row>
    <row r="234" spans="1:2" x14ac:dyDescent="0.35">
      <c r="A234" s="14">
        <v>42239.918333333335</v>
      </c>
      <c r="B234" s="5">
        <v>1</v>
      </c>
    </row>
    <row r="235" spans="1:2" x14ac:dyDescent="0.35">
      <c r="A235" s="14">
        <v>42239.919328703705</v>
      </c>
      <c r="B235" s="5">
        <v>1</v>
      </c>
    </row>
    <row r="236" spans="1:2" x14ac:dyDescent="0.35">
      <c r="A236" s="14">
        <v>42239.919386574074</v>
      </c>
      <c r="B236" s="5">
        <v>1</v>
      </c>
    </row>
    <row r="237" spans="1:2" x14ac:dyDescent="0.35">
      <c r="A237" s="14">
        <v>42239.919479166667</v>
      </c>
      <c r="B237" s="5">
        <v>2</v>
      </c>
    </row>
    <row r="238" spans="1:2" x14ac:dyDescent="0.35">
      <c r="A238" s="14">
        <v>42239.928298611114</v>
      </c>
      <c r="B238" s="5">
        <v>1</v>
      </c>
    </row>
    <row r="239" spans="1:2" x14ac:dyDescent="0.35">
      <c r="A239" s="14">
        <v>42240.080706018518</v>
      </c>
      <c r="B239" s="5">
        <v>1</v>
      </c>
    </row>
    <row r="240" spans="1:2" x14ac:dyDescent="0.35">
      <c r="A240" s="14">
        <v>42240.088090277779</v>
      </c>
      <c r="B240" s="5">
        <v>1</v>
      </c>
    </row>
    <row r="241" spans="1:2" x14ac:dyDescent="0.35">
      <c r="A241" s="14">
        <v>42240.184432870374</v>
      </c>
      <c r="B241" s="5">
        <v>1</v>
      </c>
    </row>
    <row r="242" spans="1:2" x14ac:dyDescent="0.35">
      <c r="A242" s="14">
        <v>42240.211828703701</v>
      </c>
      <c r="B242" s="5">
        <v>1</v>
      </c>
    </row>
    <row r="243" spans="1:2" x14ac:dyDescent="0.35">
      <c r="A243" s="14">
        <v>42240.559641203705</v>
      </c>
      <c r="B243" s="5">
        <v>1</v>
      </c>
    </row>
    <row r="244" spans="1:2" x14ac:dyDescent="0.35">
      <c r="A244" s="14">
        <v>42240.586400462962</v>
      </c>
      <c r="B244" s="5">
        <v>1</v>
      </c>
    </row>
    <row r="245" spans="1:2" x14ac:dyDescent="0.35">
      <c r="A245" s="14">
        <v>42240.594525462962</v>
      </c>
      <c r="B245" s="5">
        <v>1</v>
      </c>
    </row>
    <row r="246" spans="1:2" x14ac:dyDescent="0.35">
      <c r="A246" s="14">
        <v>42240.607824074075</v>
      </c>
      <c r="B246" s="5">
        <v>1</v>
      </c>
    </row>
    <row r="247" spans="1:2" x14ac:dyDescent="0.35">
      <c r="A247" s="14">
        <v>42240.617719907408</v>
      </c>
      <c r="B247" s="5">
        <v>1</v>
      </c>
    </row>
    <row r="248" spans="1:2" x14ac:dyDescent="0.35">
      <c r="A248" s="14">
        <v>42240.895567129628</v>
      </c>
      <c r="B248" s="5">
        <v>1</v>
      </c>
    </row>
    <row r="249" spans="1:2" x14ac:dyDescent="0.35">
      <c r="A249" s="14">
        <v>42240.899375000001</v>
      </c>
      <c r="B249" s="5">
        <v>1</v>
      </c>
    </row>
    <row r="250" spans="1:2" x14ac:dyDescent="0.35">
      <c r="A250" s="14">
        <v>42241.576099537036</v>
      </c>
      <c r="B250" s="5">
        <v>1</v>
      </c>
    </row>
    <row r="251" spans="1:2" x14ac:dyDescent="0.35">
      <c r="A251" s="14">
        <v>42241.599224537036</v>
      </c>
      <c r="B251" s="5">
        <v>1</v>
      </c>
    </row>
    <row r="252" spans="1:2" x14ac:dyDescent="0.35">
      <c r="A252" s="14">
        <v>42241.608032407406</v>
      </c>
      <c r="B252" s="5">
        <v>1</v>
      </c>
    </row>
    <row r="253" spans="1:2" x14ac:dyDescent="0.35">
      <c r="A253" s="14">
        <v>42241.616076388891</v>
      </c>
      <c r="B253" s="5">
        <v>1</v>
      </c>
    </row>
    <row r="254" spans="1:2" x14ac:dyDescent="0.35">
      <c r="A254" s="14">
        <v>42241.646562499998</v>
      </c>
      <c r="B254" s="5">
        <v>1</v>
      </c>
    </row>
    <row r="255" spans="1:2" x14ac:dyDescent="0.35">
      <c r="A255" s="14">
        <v>42241.649027777778</v>
      </c>
      <c r="B255" s="5">
        <v>1</v>
      </c>
    </row>
    <row r="256" spans="1:2" x14ac:dyDescent="0.35">
      <c r="A256" s="14">
        <v>42241.73</v>
      </c>
      <c r="B256" s="5">
        <v>1</v>
      </c>
    </row>
    <row r="257" spans="1:2" x14ac:dyDescent="0.35">
      <c r="A257" s="14">
        <v>42241.732418981483</v>
      </c>
      <c r="B257" s="5">
        <v>1</v>
      </c>
    </row>
    <row r="258" spans="1:2" x14ac:dyDescent="0.35">
      <c r="A258" s="14">
        <v>42241.735960648148</v>
      </c>
      <c r="B258" s="5">
        <v>1</v>
      </c>
    </row>
    <row r="259" spans="1:2" x14ac:dyDescent="0.35">
      <c r="A259" s="14">
        <v>42241.757789351854</v>
      </c>
      <c r="B259" s="5">
        <v>1</v>
      </c>
    </row>
    <row r="260" spans="1:2" x14ac:dyDescent="0.35">
      <c r="A260" s="14">
        <v>42241.763078703705</v>
      </c>
      <c r="B260" s="5">
        <v>1</v>
      </c>
    </row>
    <row r="261" spans="1:2" x14ac:dyDescent="0.35">
      <c r="A261" s="14">
        <v>42241.764907407407</v>
      </c>
      <c r="B261" s="5">
        <v>1</v>
      </c>
    </row>
    <row r="262" spans="1:2" x14ac:dyDescent="0.35">
      <c r="A262" s="14">
        <v>42241.775069444448</v>
      </c>
      <c r="B262" s="5">
        <v>1</v>
      </c>
    </row>
    <row r="263" spans="1:2" x14ac:dyDescent="0.35">
      <c r="A263" s="14">
        <v>42241.777303240742</v>
      </c>
      <c r="B263" s="5">
        <v>1</v>
      </c>
    </row>
    <row r="264" spans="1:2" x14ac:dyDescent="0.35">
      <c r="A264" s="14">
        <v>42241.789050925923</v>
      </c>
      <c r="B264" s="5">
        <v>1</v>
      </c>
    </row>
    <row r="265" spans="1:2" x14ac:dyDescent="0.35">
      <c r="A265" s="14">
        <v>42242.070613425924</v>
      </c>
      <c r="B265" s="5">
        <v>1</v>
      </c>
    </row>
    <row r="266" spans="1:2" x14ac:dyDescent="0.35">
      <c r="A266" s="14">
        <v>42242.072997685187</v>
      </c>
      <c r="B266" s="5">
        <v>1</v>
      </c>
    </row>
    <row r="267" spans="1:2" x14ac:dyDescent="0.35">
      <c r="A267" s="14">
        <v>42242.121134259258</v>
      </c>
      <c r="B267" s="5">
        <v>1</v>
      </c>
    </row>
    <row r="268" spans="1:2" x14ac:dyDescent="0.35">
      <c r="A268" s="14">
        <v>42242.12641203704</v>
      </c>
      <c r="B268" s="5">
        <v>1</v>
      </c>
    </row>
    <row r="269" spans="1:2" x14ac:dyDescent="0.35">
      <c r="A269" s="14">
        <v>42242.624421296299</v>
      </c>
      <c r="B269" s="5">
        <v>1</v>
      </c>
    </row>
    <row r="270" spans="1:2" x14ac:dyDescent="0.35">
      <c r="A270" s="14">
        <v>42242.628900462965</v>
      </c>
      <c r="B270" s="5">
        <v>1</v>
      </c>
    </row>
    <row r="271" spans="1:2" x14ac:dyDescent="0.35">
      <c r="A271" s="14">
        <v>42242.630613425928</v>
      </c>
      <c r="B271" s="5">
        <v>1</v>
      </c>
    </row>
    <row r="272" spans="1:2" x14ac:dyDescent="0.35">
      <c r="A272" s="14">
        <v>42242.630856481483</v>
      </c>
      <c r="B272" s="5">
        <v>1</v>
      </c>
    </row>
    <row r="273" spans="1:2" x14ac:dyDescent="0.35">
      <c r="A273" s="14">
        <v>42242.637754629628</v>
      </c>
      <c r="B273" s="5">
        <v>1</v>
      </c>
    </row>
    <row r="274" spans="1:2" x14ac:dyDescent="0.35">
      <c r="A274" s="14">
        <v>42242.721087962964</v>
      </c>
      <c r="B274" s="5">
        <v>1</v>
      </c>
    </row>
    <row r="275" spans="1:2" x14ac:dyDescent="0.35">
      <c r="A275" s="14">
        <v>42242.840474537035</v>
      </c>
      <c r="B275" s="5">
        <v>1</v>
      </c>
    </row>
    <row r="276" spans="1:2" x14ac:dyDescent="0.35">
      <c r="A276" s="14">
        <v>42242.841180555559</v>
      </c>
      <c r="B276" s="5">
        <v>2</v>
      </c>
    </row>
    <row r="277" spans="1:2" x14ac:dyDescent="0.35">
      <c r="A277" s="14">
        <v>42243.672962962963</v>
      </c>
      <c r="B277" s="5">
        <v>1</v>
      </c>
    </row>
    <row r="278" spans="1:2" x14ac:dyDescent="0.35">
      <c r="A278" s="14">
        <v>42243.763009259259</v>
      </c>
      <c r="B278" s="5">
        <v>1</v>
      </c>
    </row>
    <row r="279" spans="1:2" x14ac:dyDescent="0.35">
      <c r="A279" s="14">
        <v>42243.763958333337</v>
      </c>
      <c r="B279" s="5">
        <v>1</v>
      </c>
    </row>
    <row r="280" spans="1:2" x14ac:dyDescent="0.35">
      <c r="A280" s="14">
        <v>42243.818564814814</v>
      </c>
      <c r="B280" s="5">
        <v>1</v>
      </c>
    </row>
    <row r="281" spans="1:2" x14ac:dyDescent="0.35">
      <c r="A281" s="14">
        <v>42243.823761574073</v>
      </c>
      <c r="B281" s="5">
        <v>1</v>
      </c>
    </row>
    <row r="282" spans="1:2" x14ac:dyDescent="0.35">
      <c r="A282" s="14">
        <v>42243.827499999999</v>
      </c>
      <c r="B282" s="5">
        <v>1</v>
      </c>
    </row>
    <row r="283" spans="1:2" x14ac:dyDescent="0.35">
      <c r="A283" s="14">
        <v>42243.82775462963</v>
      </c>
      <c r="B283" s="5">
        <v>1</v>
      </c>
    </row>
    <row r="284" spans="1:2" x14ac:dyDescent="0.35">
      <c r="A284" s="14">
        <v>42243.928298611114</v>
      </c>
      <c r="B284" s="5">
        <v>1</v>
      </c>
    </row>
    <row r="285" spans="1:2" x14ac:dyDescent="0.35">
      <c r="A285" s="14">
        <v>42243.962824074071</v>
      </c>
      <c r="B285" s="5">
        <v>1</v>
      </c>
    </row>
    <row r="286" spans="1:2" x14ac:dyDescent="0.35">
      <c r="A286" s="14">
        <v>42244.103587962964</v>
      </c>
      <c r="B286" s="5">
        <v>1</v>
      </c>
    </row>
    <row r="287" spans="1:2" x14ac:dyDescent="0.35">
      <c r="A287" s="14">
        <v>42244.686493055553</v>
      </c>
      <c r="B287" s="5">
        <v>1</v>
      </c>
    </row>
    <row r="288" spans="1:2" x14ac:dyDescent="0.35">
      <c r="A288" s="14">
        <v>42244.750567129631</v>
      </c>
      <c r="B288" s="5">
        <v>1</v>
      </c>
    </row>
    <row r="289" spans="1:2" x14ac:dyDescent="0.35">
      <c r="A289" s="14">
        <v>42244.758518518516</v>
      </c>
      <c r="B289" s="5">
        <v>1</v>
      </c>
    </row>
    <row r="290" spans="1:2" x14ac:dyDescent="0.35">
      <c r="A290" s="14">
        <v>42244.79078703704</v>
      </c>
      <c r="B290" s="5">
        <v>1</v>
      </c>
    </row>
    <row r="291" spans="1:2" x14ac:dyDescent="0.35">
      <c r="A291" s="14">
        <v>42244.798657407409</v>
      </c>
      <c r="B291" s="5">
        <v>1</v>
      </c>
    </row>
    <row r="292" spans="1:2" x14ac:dyDescent="0.35">
      <c r="A292" s="14">
        <v>42244.814456018517</v>
      </c>
      <c r="B292" s="5">
        <v>1</v>
      </c>
    </row>
    <row r="293" spans="1:2" x14ac:dyDescent="0.35">
      <c r="A293" s="14">
        <v>42244.857476851852</v>
      </c>
      <c r="B293" s="5">
        <v>1</v>
      </c>
    </row>
    <row r="294" spans="1:2" x14ac:dyDescent="0.35">
      <c r="A294" s="14">
        <v>42244.877233796295</v>
      </c>
      <c r="B294" s="5">
        <v>1</v>
      </c>
    </row>
    <row r="295" spans="1:2" x14ac:dyDescent="0.35">
      <c r="A295" s="14">
        <v>42244.947418981479</v>
      </c>
      <c r="B295" s="5">
        <v>1</v>
      </c>
    </row>
    <row r="296" spans="1:2" x14ac:dyDescent="0.35">
      <c r="A296" s="14">
        <v>42244.959930555553</v>
      </c>
      <c r="B296" s="5">
        <v>1</v>
      </c>
    </row>
    <row r="297" spans="1:2" x14ac:dyDescent="0.35">
      <c r="A297" s="14">
        <v>42245.027488425927</v>
      </c>
      <c r="B297" s="5">
        <v>1</v>
      </c>
    </row>
    <row r="298" spans="1:2" x14ac:dyDescent="0.35">
      <c r="A298" s="14">
        <v>42245.185173611113</v>
      </c>
      <c r="B298" s="5">
        <v>1</v>
      </c>
    </row>
    <row r="299" spans="1:2" x14ac:dyDescent="0.35">
      <c r="A299" s="14">
        <v>42245.186307870368</v>
      </c>
      <c r="B299" s="5">
        <v>1</v>
      </c>
    </row>
    <row r="300" spans="1:2" x14ac:dyDescent="0.35">
      <c r="A300" s="14">
        <v>42245.629027777781</v>
      </c>
      <c r="B300" s="5">
        <v>1</v>
      </c>
    </row>
    <row r="301" spans="1:2" x14ac:dyDescent="0.35">
      <c r="A301" s="14">
        <v>42245.632569444446</v>
      </c>
      <c r="B301" s="5">
        <v>1</v>
      </c>
    </row>
    <row r="302" spans="1:2" x14ac:dyDescent="0.35">
      <c r="A302" s="14">
        <v>42245.704097222224</v>
      </c>
      <c r="B302" s="5">
        <v>1</v>
      </c>
    </row>
    <row r="303" spans="1:2" x14ac:dyDescent="0.35">
      <c r="A303" s="14">
        <v>42245.862754629627</v>
      </c>
      <c r="B303" s="5">
        <v>1</v>
      </c>
    </row>
    <row r="304" spans="1:2" x14ac:dyDescent="0.35">
      <c r="A304" s="14">
        <v>42245.863136574073</v>
      </c>
      <c r="B304" s="5">
        <v>2</v>
      </c>
    </row>
    <row r="305" spans="1:2" x14ac:dyDescent="0.35">
      <c r="A305" s="14">
        <v>42245.914236111108</v>
      </c>
      <c r="B305" s="5">
        <v>1</v>
      </c>
    </row>
    <row r="306" spans="1:2" x14ac:dyDescent="0.35">
      <c r="A306" s="14">
        <v>42245.914259259262</v>
      </c>
      <c r="B306" s="5">
        <v>1</v>
      </c>
    </row>
    <row r="307" spans="1:2" x14ac:dyDescent="0.35">
      <c r="A307" s="14">
        <v>42245.914490740739</v>
      </c>
      <c r="B307" s="5">
        <v>1</v>
      </c>
    </row>
    <row r="308" spans="1:2" x14ac:dyDescent="0.35">
      <c r="A308" s="14">
        <v>42246.977743055555</v>
      </c>
      <c r="B308" s="5">
        <v>1</v>
      </c>
    </row>
    <row r="309" spans="1:2" x14ac:dyDescent="0.35">
      <c r="A309" s="14">
        <v>42246.996851851851</v>
      </c>
      <c r="B309" s="5">
        <v>1</v>
      </c>
    </row>
    <row r="310" spans="1:2" x14ac:dyDescent="0.35">
      <c r="A310" s="14">
        <v>42247.004537037035</v>
      </c>
      <c r="B310" s="5">
        <v>1</v>
      </c>
    </row>
    <row r="311" spans="1:2" x14ac:dyDescent="0.35">
      <c r="A311" s="14">
        <v>42247.55972222222</v>
      </c>
      <c r="B311" s="5">
        <v>1</v>
      </c>
    </row>
    <row r="312" spans="1:2" x14ac:dyDescent="0.35">
      <c r="A312" s="14">
        <v>42247.559942129628</v>
      </c>
      <c r="B312" s="5">
        <v>2</v>
      </c>
    </row>
    <row r="313" spans="1:2" x14ac:dyDescent="0.35">
      <c r="A313" s="14">
        <v>42247.561643518522</v>
      </c>
      <c r="B313" s="5">
        <v>1</v>
      </c>
    </row>
    <row r="314" spans="1:2" x14ac:dyDescent="0.35">
      <c r="A314" s="14">
        <v>42247.56181712963</v>
      </c>
      <c r="B314" s="5">
        <v>2</v>
      </c>
    </row>
    <row r="315" spans="1:2" x14ac:dyDescent="0.35">
      <c r="A315" s="14">
        <v>42247.562708333331</v>
      </c>
      <c r="B315" s="5">
        <v>1</v>
      </c>
    </row>
    <row r="316" spans="1:2" x14ac:dyDescent="0.35">
      <c r="A316" s="14">
        <v>42247.562893518516</v>
      </c>
      <c r="B316" s="5">
        <v>2</v>
      </c>
    </row>
    <row r="317" spans="1:2" x14ac:dyDescent="0.35">
      <c r="A317" s="14">
        <v>42247.569074074076</v>
      </c>
      <c r="B317" s="5">
        <v>1</v>
      </c>
    </row>
    <row r="318" spans="1:2" x14ac:dyDescent="0.35">
      <c r="A318" s="14">
        <v>42247.633136574077</v>
      </c>
      <c r="B318" s="5">
        <v>1</v>
      </c>
    </row>
    <row r="319" spans="1:2" x14ac:dyDescent="0.35">
      <c r="A319" s="14">
        <v>42247.634120370371</v>
      </c>
      <c r="B319" s="5">
        <v>1</v>
      </c>
    </row>
    <row r="320" spans="1:2" x14ac:dyDescent="0.35">
      <c r="A320" s="14">
        <v>42247.641759259262</v>
      </c>
      <c r="B320" s="5">
        <v>1</v>
      </c>
    </row>
    <row r="321" spans="1:2" x14ac:dyDescent="0.35">
      <c r="A321" s="14">
        <v>42247.644548611112</v>
      </c>
      <c r="B321" s="5">
        <v>1</v>
      </c>
    </row>
    <row r="322" spans="1:2" x14ac:dyDescent="0.35">
      <c r="A322" s="14">
        <v>42247.703159722223</v>
      </c>
      <c r="B322" s="5">
        <v>1</v>
      </c>
    </row>
    <row r="323" spans="1:2" x14ac:dyDescent="0.35">
      <c r="A323" s="14">
        <v>42247.70449074074</v>
      </c>
      <c r="B323" s="5">
        <v>1</v>
      </c>
    </row>
    <row r="324" spans="1:2" x14ac:dyDescent="0.35">
      <c r="A324" s="14">
        <v>42247.704768518517</v>
      </c>
      <c r="B324" s="5">
        <v>1</v>
      </c>
    </row>
    <row r="325" spans="1:2" x14ac:dyDescent="0.35">
      <c r="A325" s="14">
        <v>42247.710300925923</v>
      </c>
      <c r="B325" s="5">
        <v>1</v>
      </c>
    </row>
    <row r="326" spans="1:2" x14ac:dyDescent="0.35">
      <c r="A326" s="14">
        <v>42247.779351851852</v>
      </c>
      <c r="B326" s="5">
        <v>1</v>
      </c>
    </row>
    <row r="327" spans="1:2" x14ac:dyDescent="0.35">
      <c r="A327" s="14">
        <v>42247.779918981483</v>
      </c>
      <c r="B327" s="5">
        <v>1</v>
      </c>
    </row>
    <row r="328" spans="1:2" x14ac:dyDescent="0.35">
      <c r="A328" s="14">
        <v>42247.797812500001</v>
      </c>
      <c r="B328" s="5">
        <v>1</v>
      </c>
    </row>
    <row r="329" spans="1:2" x14ac:dyDescent="0.35">
      <c r="A329" s="14">
        <v>42247.809039351851</v>
      </c>
      <c r="B329" s="5">
        <v>1</v>
      </c>
    </row>
    <row r="330" spans="1:2" x14ac:dyDescent="0.35">
      <c r="A330" s="14">
        <v>42247.814398148148</v>
      </c>
      <c r="B330" s="5">
        <v>1</v>
      </c>
    </row>
    <row r="331" spans="1:2" x14ac:dyDescent="0.35">
      <c r="A331" s="14">
        <v>42247.815312500003</v>
      </c>
      <c r="B331" s="5">
        <v>1</v>
      </c>
    </row>
    <row r="332" spans="1:2" x14ac:dyDescent="0.35">
      <c r="A332" s="14">
        <v>42247.815520833334</v>
      </c>
      <c r="B332" s="5">
        <v>2</v>
      </c>
    </row>
    <row r="333" spans="1:2" x14ac:dyDescent="0.35">
      <c r="A333" s="14">
        <v>42247.849606481483</v>
      </c>
      <c r="B333" s="5">
        <v>1</v>
      </c>
    </row>
    <row r="334" spans="1:2" x14ac:dyDescent="0.35">
      <c r="A334" s="14">
        <v>42247.850601851853</v>
      </c>
      <c r="B334" s="5">
        <v>1</v>
      </c>
    </row>
    <row r="335" spans="1:2" x14ac:dyDescent="0.35">
      <c r="A335" s="14">
        <v>42247.858472222222</v>
      </c>
      <c r="B335" s="5">
        <v>1</v>
      </c>
    </row>
    <row r="336" spans="1:2" x14ac:dyDescent="0.35">
      <c r="A336" s="14">
        <v>42247.860706018517</v>
      </c>
      <c r="B336" s="5">
        <v>1</v>
      </c>
    </row>
    <row r="337" spans="1:2" x14ac:dyDescent="0.35">
      <c r="A337" s="14">
        <v>42247.860937500001</v>
      </c>
      <c r="B337" s="5">
        <v>1</v>
      </c>
    </row>
    <row r="338" spans="1:2" x14ac:dyDescent="0.35">
      <c r="A338" s="14">
        <v>42247.861296296294</v>
      </c>
      <c r="B338" s="5">
        <v>1</v>
      </c>
    </row>
    <row r="339" spans="1:2" x14ac:dyDescent="0.35">
      <c r="A339" s="14">
        <v>42247.977997685186</v>
      </c>
      <c r="B339" s="5">
        <v>1</v>
      </c>
    </row>
    <row r="340" spans="1:2" x14ac:dyDescent="0.35">
      <c r="A340" s="14">
        <v>42247.978333333333</v>
      </c>
      <c r="B340" s="5">
        <v>1</v>
      </c>
    </row>
    <row r="341" spans="1:2" x14ac:dyDescent="0.35">
      <c r="A341" s="14">
        <v>42247.979050925926</v>
      </c>
      <c r="B341" s="5">
        <v>1</v>
      </c>
    </row>
    <row r="342" spans="1:2" x14ac:dyDescent="0.35">
      <c r="A342" s="14">
        <v>42247.979618055557</v>
      </c>
      <c r="B342" s="5">
        <v>1</v>
      </c>
    </row>
    <row r="343" spans="1:2" x14ac:dyDescent="0.35">
      <c r="A343" s="14">
        <v>42247.979733796295</v>
      </c>
      <c r="B343" s="5">
        <v>1</v>
      </c>
    </row>
    <row r="344" spans="1:2" x14ac:dyDescent="0.35">
      <c r="A344" s="14">
        <v>42248.011956018519</v>
      </c>
      <c r="B344" s="5">
        <v>1</v>
      </c>
    </row>
    <row r="345" spans="1:2" x14ac:dyDescent="0.35">
      <c r="A345" s="14">
        <v>42248.017256944448</v>
      </c>
      <c r="B345" s="5">
        <v>1</v>
      </c>
    </row>
    <row r="346" spans="1:2" x14ac:dyDescent="0.35">
      <c r="A346" s="14">
        <v>42248.027395833335</v>
      </c>
      <c r="B346" s="5">
        <v>1</v>
      </c>
    </row>
    <row r="347" spans="1:2" x14ac:dyDescent="0.35">
      <c r="A347" s="14">
        <v>42248.065416666665</v>
      </c>
      <c r="B347" s="5">
        <v>1</v>
      </c>
    </row>
    <row r="348" spans="1:2" x14ac:dyDescent="0.35">
      <c r="A348" s="14">
        <v>42248.103541666664</v>
      </c>
      <c r="B348" s="5">
        <v>1</v>
      </c>
    </row>
    <row r="349" spans="1:2" x14ac:dyDescent="0.35">
      <c r="A349" s="14">
        <v>42248.103819444441</v>
      </c>
      <c r="B349" s="5">
        <v>1</v>
      </c>
    </row>
    <row r="350" spans="1:2" x14ac:dyDescent="0.35">
      <c r="A350" s="14">
        <v>42248.163483796299</v>
      </c>
      <c r="B350" s="5">
        <v>1</v>
      </c>
    </row>
    <row r="351" spans="1:2" x14ac:dyDescent="0.35">
      <c r="A351" s="14">
        <v>42248.531319444446</v>
      </c>
      <c r="B351" s="5">
        <v>1</v>
      </c>
    </row>
    <row r="352" spans="1:2" x14ac:dyDescent="0.35">
      <c r="A352" s="14">
        <v>42248.53875</v>
      </c>
      <c r="B352" s="5">
        <v>1</v>
      </c>
    </row>
    <row r="353" spans="1:2" x14ac:dyDescent="0.35">
      <c r="A353" s="14">
        <v>42248.543692129628</v>
      </c>
      <c r="B353" s="5">
        <v>1</v>
      </c>
    </row>
    <row r="354" spans="1:2" x14ac:dyDescent="0.35">
      <c r="A354" s="14">
        <v>42248.564479166664</v>
      </c>
      <c r="B354" s="5">
        <v>1</v>
      </c>
    </row>
    <row r="355" spans="1:2" x14ac:dyDescent="0.35">
      <c r="A355" s="14">
        <v>42248.564606481479</v>
      </c>
      <c r="B355" s="5">
        <v>2</v>
      </c>
    </row>
    <row r="356" spans="1:2" x14ac:dyDescent="0.35">
      <c r="A356" s="14">
        <v>42248.569976851853</v>
      </c>
      <c r="B356" s="5">
        <v>1</v>
      </c>
    </row>
    <row r="357" spans="1:2" x14ac:dyDescent="0.35">
      <c r="A357" s="14">
        <v>42248.611840277779</v>
      </c>
      <c r="B357" s="5">
        <v>1</v>
      </c>
    </row>
    <row r="358" spans="1:2" x14ac:dyDescent="0.35">
      <c r="A358" s="14">
        <v>42248.619155092594</v>
      </c>
      <c r="B358" s="5">
        <v>1</v>
      </c>
    </row>
    <row r="359" spans="1:2" x14ac:dyDescent="0.35">
      <c r="A359" s="14">
        <v>42248.620578703703</v>
      </c>
      <c r="B359" s="5">
        <v>1</v>
      </c>
    </row>
    <row r="360" spans="1:2" x14ac:dyDescent="0.35">
      <c r="A360" s="14">
        <v>42248.644236111111</v>
      </c>
      <c r="B360" s="5">
        <v>1</v>
      </c>
    </row>
    <row r="361" spans="1:2" x14ac:dyDescent="0.35">
      <c r="A361" s="14">
        <v>42248.644421296296</v>
      </c>
      <c r="B361" s="5">
        <v>2</v>
      </c>
    </row>
    <row r="362" spans="1:2" x14ac:dyDescent="0.35">
      <c r="A362" s="14">
        <v>42248.644548611112</v>
      </c>
      <c r="B362" s="5">
        <v>1</v>
      </c>
    </row>
    <row r="363" spans="1:2" x14ac:dyDescent="0.35">
      <c r="A363" s="14">
        <v>42248.645185185182</v>
      </c>
      <c r="B363" s="5">
        <v>1</v>
      </c>
    </row>
    <row r="364" spans="1:2" x14ac:dyDescent="0.35">
      <c r="A364" s="14">
        <v>42248.645335648151</v>
      </c>
      <c r="B364" s="5">
        <v>1</v>
      </c>
    </row>
    <row r="365" spans="1:2" x14ac:dyDescent="0.35">
      <c r="A365" s="14">
        <v>42248.647349537037</v>
      </c>
      <c r="B365" s="5">
        <v>1</v>
      </c>
    </row>
    <row r="366" spans="1:2" x14ac:dyDescent="0.35">
      <c r="A366" s="14">
        <v>42248.653773148151</v>
      </c>
      <c r="B366" s="5">
        <v>1</v>
      </c>
    </row>
    <row r="367" spans="1:2" x14ac:dyDescent="0.35">
      <c r="A367" s="14">
        <v>42248.653900462959</v>
      </c>
      <c r="B367" s="5">
        <v>1</v>
      </c>
    </row>
    <row r="368" spans="1:2" x14ac:dyDescent="0.35">
      <c r="A368" s="14">
        <v>42248.655092592591</v>
      </c>
      <c r="B368" s="5">
        <v>1</v>
      </c>
    </row>
    <row r="369" spans="1:2" x14ac:dyDescent="0.35">
      <c r="A369" s="14">
        <v>42248.66605324074</v>
      </c>
      <c r="B369" s="5">
        <v>1</v>
      </c>
    </row>
    <row r="370" spans="1:2" x14ac:dyDescent="0.35">
      <c r="A370" s="14">
        <v>42248.67019675926</v>
      </c>
      <c r="B370" s="5">
        <v>1</v>
      </c>
    </row>
    <row r="371" spans="1:2" x14ac:dyDescent="0.35">
      <c r="A371" s="14">
        <v>42248.676238425927</v>
      </c>
      <c r="B371" s="5">
        <v>1</v>
      </c>
    </row>
    <row r="372" spans="1:2" x14ac:dyDescent="0.35">
      <c r="A372" s="14">
        <v>42248.679189814815</v>
      </c>
      <c r="B372" s="5">
        <v>1</v>
      </c>
    </row>
    <row r="373" spans="1:2" x14ac:dyDescent="0.35">
      <c r="A373" s="14">
        <v>42248.680300925924</v>
      </c>
      <c r="B373" s="5">
        <v>1</v>
      </c>
    </row>
    <row r="374" spans="1:2" x14ac:dyDescent="0.35">
      <c r="A374" s="14">
        <v>42248.680717592593</v>
      </c>
      <c r="B374" s="5">
        <v>1</v>
      </c>
    </row>
    <row r="375" spans="1:2" x14ac:dyDescent="0.35">
      <c r="A375" s="14">
        <v>42248.68074074074</v>
      </c>
      <c r="B375" s="5">
        <v>1</v>
      </c>
    </row>
    <row r="376" spans="1:2" x14ac:dyDescent="0.35">
      <c r="A376" s="14">
        <v>42248.682106481479</v>
      </c>
      <c r="B376" s="5">
        <v>1</v>
      </c>
    </row>
    <row r="377" spans="1:2" x14ac:dyDescent="0.35">
      <c r="A377" s="14">
        <v>42248.693773148145</v>
      </c>
      <c r="B377" s="5">
        <v>1</v>
      </c>
    </row>
    <row r="378" spans="1:2" x14ac:dyDescent="0.35">
      <c r="A378" s="14">
        <v>42248.69740740741</v>
      </c>
      <c r="B378" s="5">
        <v>1</v>
      </c>
    </row>
    <row r="379" spans="1:2" x14ac:dyDescent="0.35">
      <c r="A379" s="14">
        <v>42248.697696759256</v>
      </c>
      <c r="B379" s="5">
        <v>1</v>
      </c>
    </row>
    <row r="380" spans="1:2" x14ac:dyDescent="0.35">
      <c r="A380" s="14">
        <v>42248.703368055554</v>
      </c>
      <c r="B380" s="5">
        <v>1</v>
      </c>
    </row>
    <row r="381" spans="1:2" x14ac:dyDescent="0.35">
      <c r="A381" s="14">
        <v>42248.716828703706</v>
      </c>
      <c r="B381" s="5">
        <v>1</v>
      </c>
    </row>
    <row r="382" spans="1:2" x14ac:dyDescent="0.35">
      <c r="A382" s="14">
        <v>42248.71733796296</v>
      </c>
      <c r="B382" s="5">
        <v>1</v>
      </c>
    </row>
    <row r="383" spans="1:2" x14ac:dyDescent="0.35">
      <c r="A383" s="14">
        <v>42248.725300925929</v>
      </c>
      <c r="B383" s="5">
        <v>1</v>
      </c>
    </row>
    <row r="384" spans="1:2" x14ac:dyDescent="0.35">
      <c r="A384" s="14">
        <v>42248.730474537035</v>
      </c>
      <c r="B384" s="5">
        <v>1</v>
      </c>
    </row>
    <row r="385" spans="1:2" x14ac:dyDescent="0.35">
      <c r="A385" s="14">
        <v>42248.742800925924</v>
      </c>
      <c r="B385" s="5">
        <v>1</v>
      </c>
    </row>
    <row r="386" spans="1:2" x14ac:dyDescent="0.35">
      <c r="A386" s="14">
        <v>42248.760891203703</v>
      </c>
      <c r="B386" s="5">
        <v>1</v>
      </c>
    </row>
    <row r="387" spans="1:2" x14ac:dyDescent="0.35">
      <c r="A387" s="14">
        <v>42248.761388888888</v>
      </c>
      <c r="B387" s="5">
        <v>1</v>
      </c>
    </row>
    <row r="388" spans="1:2" x14ac:dyDescent="0.35">
      <c r="A388" s="14">
        <v>42248.798854166664</v>
      </c>
      <c r="B388" s="5">
        <v>1</v>
      </c>
    </row>
    <row r="389" spans="1:2" x14ac:dyDescent="0.35">
      <c r="A389" s="14">
        <v>42248.813750000001</v>
      </c>
      <c r="B389" s="5">
        <v>1</v>
      </c>
    </row>
    <row r="390" spans="1:2" x14ac:dyDescent="0.35">
      <c r="A390" s="14">
        <v>42248.81591435185</v>
      </c>
      <c r="B390" s="5">
        <v>1</v>
      </c>
    </row>
    <row r="391" spans="1:2" x14ac:dyDescent="0.35">
      <c r="A391" s="14">
        <v>42248.816157407404</v>
      </c>
      <c r="B391" s="5">
        <v>2</v>
      </c>
    </row>
    <row r="392" spans="1:2" x14ac:dyDescent="0.35">
      <c r="A392" s="14">
        <v>42248.816284722219</v>
      </c>
      <c r="B392" s="5">
        <v>1</v>
      </c>
    </row>
    <row r="393" spans="1:2" x14ac:dyDescent="0.35">
      <c r="A393" s="14">
        <v>42248.820636574077</v>
      </c>
      <c r="B393" s="5">
        <v>1</v>
      </c>
    </row>
    <row r="394" spans="1:2" x14ac:dyDescent="0.35">
      <c r="A394" s="14">
        <v>42248.861504629633</v>
      </c>
      <c r="B394" s="5">
        <v>1</v>
      </c>
    </row>
    <row r="395" spans="1:2" x14ac:dyDescent="0.35">
      <c r="A395" s="14">
        <v>42248.86178240741</v>
      </c>
      <c r="B395" s="5">
        <v>1</v>
      </c>
    </row>
    <row r="396" spans="1:2" x14ac:dyDescent="0.35">
      <c r="A396" s="14">
        <v>42248.862337962964</v>
      </c>
      <c r="B396" s="5">
        <v>1</v>
      </c>
    </row>
    <row r="397" spans="1:2" x14ac:dyDescent="0.35">
      <c r="A397" s="14">
        <v>42248.865787037037</v>
      </c>
      <c r="B397" s="5">
        <v>1</v>
      </c>
    </row>
    <row r="398" spans="1:2" x14ac:dyDescent="0.35">
      <c r="A398" s="14">
        <v>42248.865879629629</v>
      </c>
      <c r="B398" s="5">
        <v>1</v>
      </c>
    </row>
    <row r="399" spans="1:2" x14ac:dyDescent="0.35">
      <c r="A399" s="14">
        <v>42248.86990740741</v>
      </c>
      <c r="B399" s="5">
        <v>1</v>
      </c>
    </row>
    <row r="400" spans="1:2" x14ac:dyDescent="0.35">
      <c r="A400" s="14">
        <v>42248.886365740742</v>
      </c>
      <c r="B400" s="5">
        <v>1</v>
      </c>
    </row>
    <row r="401" spans="1:2" x14ac:dyDescent="0.35">
      <c r="A401" s="14">
        <v>42248.891574074078</v>
      </c>
      <c r="B401" s="5">
        <v>1</v>
      </c>
    </row>
    <row r="402" spans="1:2" x14ac:dyDescent="0.35">
      <c r="A402" s="14">
        <v>42248.926874999997</v>
      </c>
      <c r="B402" s="5">
        <v>1</v>
      </c>
    </row>
    <row r="403" spans="1:2" x14ac:dyDescent="0.35">
      <c r="A403" s="14">
        <v>42248.927349537036</v>
      </c>
      <c r="B403" s="5">
        <v>1</v>
      </c>
    </row>
    <row r="404" spans="1:2" x14ac:dyDescent="0.35">
      <c r="A404" s="14">
        <v>42248.936400462961</v>
      </c>
      <c r="B404" s="5">
        <v>1</v>
      </c>
    </row>
    <row r="405" spans="1:2" x14ac:dyDescent="0.35">
      <c r="A405" s="14">
        <v>42248.940717592595</v>
      </c>
      <c r="B405" s="5">
        <v>1</v>
      </c>
    </row>
    <row r="406" spans="1:2" x14ac:dyDescent="0.35">
      <c r="A406" s="14">
        <v>42248.940821759257</v>
      </c>
      <c r="B406" s="5">
        <v>1</v>
      </c>
    </row>
    <row r="407" spans="1:2" x14ac:dyDescent="0.35">
      <c r="A407" s="14">
        <v>42248.946238425924</v>
      </c>
      <c r="B407" s="5">
        <v>1</v>
      </c>
    </row>
    <row r="408" spans="1:2" x14ac:dyDescent="0.35">
      <c r="A408" s="14">
        <v>42248.991249999999</v>
      </c>
      <c r="B408" s="5">
        <v>1</v>
      </c>
    </row>
    <row r="409" spans="1:2" x14ac:dyDescent="0.35">
      <c r="A409" s="14">
        <v>42249.008275462962</v>
      </c>
      <c r="B409" s="5">
        <v>1</v>
      </c>
    </row>
    <row r="410" spans="1:2" x14ac:dyDescent="0.35">
      <c r="A410" s="14">
        <v>42249.01357638889</v>
      </c>
      <c r="B410" s="5">
        <v>1</v>
      </c>
    </row>
    <row r="411" spans="1:2" x14ac:dyDescent="0.35">
      <c r="A411" s="14">
        <v>42249.017002314817</v>
      </c>
      <c r="B411" s="5">
        <v>1</v>
      </c>
    </row>
    <row r="412" spans="1:2" x14ac:dyDescent="0.35">
      <c r="A412" s="14">
        <v>42249.01730324074</v>
      </c>
      <c r="B412" s="5">
        <v>1</v>
      </c>
    </row>
    <row r="413" spans="1:2" x14ac:dyDescent="0.35">
      <c r="A413" s="14">
        <v>42249.032199074078</v>
      </c>
      <c r="B413" s="5">
        <v>1</v>
      </c>
    </row>
    <row r="414" spans="1:2" x14ac:dyDescent="0.35">
      <c r="A414" s="14">
        <v>42249.032812500001</v>
      </c>
      <c r="B414" s="5">
        <v>1</v>
      </c>
    </row>
    <row r="415" spans="1:2" x14ac:dyDescent="0.35">
      <c r="A415" s="14">
        <v>42249.041562500002</v>
      </c>
      <c r="B415" s="5">
        <v>1</v>
      </c>
    </row>
    <row r="416" spans="1:2" x14ac:dyDescent="0.35">
      <c r="A416" s="14">
        <v>42249.063344907408</v>
      </c>
      <c r="B416" s="5">
        <v>1</v>
      </c>
    </row>
    <row r="417" spans="1:2" x14ac:dyDescent="0.35">
      <c r="A417" s="14">
        <v>42249.100763888891</v>
      </c>
      <c r="B417" s="5">
        <v>1</v>
      </c>
    </row>
    <row r="418" spans="1:2" x14ac:dyDescent="0.35">
      <c r="A418" s="14">
        <v>42249.101400462961</v>
      </c>
      <c r="B418" s="5">
        <v>1</v>
      </c>
    </row>
    <row r="419" spans="1:2" x14ac:dyDescent="0.35">
      <c r="A419" s="14">
        <v>42249.146805555552</v>
      </c>
      <c r="B419" s="5">
        <v>1</v>
      </c>
    </row>
    <row r="420" spans="1:2" x14ac:dyDescent="0.35">
      <c r="A420" s="14">
        <v>42249.534918981481</v>
      </c>
      <c r="B420" s="5">
        <v>1</v>
      </c>
    </row>
    <row r="421" spans="1:2" x14ac:dyDescent="0.35">
      <c r="A421" s="14">
        <v>42249.55736111111</v>
      </c>
      <c r="B421" s="5">
        <v>1</v>
      </c>
    </row>
    <row r="422" spans="1:2" x14ac:dyDescent="0.35">
      <c r="A422" s="14">
        <v>42249.559340277781</v>
      </c>
      <c r="B422" s="5">
        <v>1</v>
      </c>
    </row>
    <row r="423" spans="1:2" x14ac:dyDescent="0.35">
      <c r="A423" s="14">
        <v>42249.566631944443</v>
      </c>
      <c r="B423" s="5">
        <v>1</v>
      </c>
    </row>
    <row r="424" spans="1:2" x14ac:dyDescent="0.35">
      <c r="A424" s="14">
        <v>42249.56690972222</v>
      </c>
      <c r="B424" s="5">
        <v>1</v>
      </c>
    </row>
    <row r="425" spans="1:2" x14ac:dyDescent="0.35">
      <c r="A425" s="14">
        <v>42249.583437499998</v>
      </c>
      <c r="B425" s="5">
        <v>1</v>
      </c>
    </row>
    <row r="426" spans="1:2" x14ac:dyDescent="0.35">
      <c r="A426" s="14">
        <v>42249.586944444447</v>
      </c>
      <c r="B426" s="5">
        <v>1</v>
      </c>
    </row>
    <row r="427" spans="1:2" x14ac:dyDescent="0.35">
      <c r="A427" s="14">
        <v>42249.587754629632</v>
      </c>
      <c r="B427" s="5">
        <v>1</v>
      </c>
    </row>
    <row r="428" spans="1:2" x14ac:dyDescent="0.35">
      <c r="A428" s="14">
        <v>42249.592268518521</v>
      </c>
      <c r="B428" s="5">
        <v>1</v>
      </c>
    </row>
    <row r="429" spans="1:2" x14ac:dyDescent="0.35">
      <c r="A429" s="14">
        <v>42249.59951388889</v>
      </c>
      <c r="B429" s="5">
        <v>1</v>
      </c>
    </row>
    <row r="430" spans="1:2" x14ac:dyDescent="0.35">
      <c r="A430" s="14">
        <v>42249.600219907406</v>
      </c>
      <c r="B430" s="5">
        <v>1</v>
      </c>
    </row>
    <row r="431" spans="1:2" x14ac:dyDescent="0.35">
      <c r="A431" s="14">
        <v>42249.604907407411</v>
      </c>
      <c r="B431" s="5">
        <v>1</v>
      </c>
    </row>
    <row r="432" spans="1:2" x14ac:dyDescent="0.35">
      <c r="A432" s="14">
        <v>42249.610439814816</v>
      </c>
      <c r="B432" s="5">
        <v>1</v>
      </c>
    </row>
    <row r="433" spans="1:2" x14ac:dyDescent="0.35">
      <c r="A433" s="14">
        <v>42249.620949074073</v>
      </c>
      <c r="B433" s="5">
        <v>1</v>
      </c>
    </row>
    <row r="434" spans="1:2" x14ac:dyDescent="0.35">
      <c r="A434" s="14">
        <v>42249.626377314817</v>
      </c>
      <c r="B434" s="5">
        <v>1</v>
      </c>
    </row>
    <row r="435" spans="1:2" x14ac:dyDescent="0.35">
      <c r="A435" s="14">
        <v>42249.629050925927</v>
      </c>
      <c r="B435" s="5">
        <v>1</v>
      </c>
    </row>
    <row r="436" spans="1:2" x14ac:dyDescent="0.35">
      <c r="A436" s="14">
        <v>42249.63616898148</v>
      </c>
      <c r="B436" s="5">
        <v>1</v>
      </c>
    </row>
    <row r="437" spans="1:2" x14ac:dyDescent="0.35">
      <c r="A437" s="14">
        <v>42249.639050925929</v>
      </c>
      <c r="B437" s="5">
        <v>1</v>
      </c>
    </row>
    <row r="438" spans="1:2" x14ac:dyDescent="0.35">
      <c r="A438" s="14">
        <v>42249.645833333336</v>
      </c>
      <c r="B438" s="5">
        <v>1</v>
      </c>
    </row>
    <row r="439" spans="1:2" x14ac:dyDescent="0.35">
      <c r="A439" s="14">
        <v>42249.645925925928</v>
      </c>
      <c r="B439" s="5">
        <v>1</v>
      </c>
    </row>
    <row r="440" spans="1:2" x14ac:dyDescent="0.35">
      <c r="A440" s="14">
        <v>42249.662754629629</v>
      </c>
      <c r="B440" s="5">
        <v>1</v>
      </c>
    </row>
    <row r="441" spans="1:2" x14ac:dyDescent="0.35">
      <c r="A441" s="14">
        <v>42249.685810185183</v>
      </c>
      <c r="B441" s="5">
        <v>1</v>
      </c>
    </row>
    <row r="442" spans="1:2" x14ac:dyDescent="0.35">
      <c r="A442" s="14">
        <v>42249.694016203706</v>
      </c>
      <c r="B442" s="5">
        <v>1</v>
      </c>
    </row>
    <row r="443" spans="1:2" x14ac:dyDescent="0.35">
      <c r="A443" s="14">
        <v>42249.698599537034</v>
      </c>
      <c r="B443" s="5">
        <v>1</v>
      </c>
    </row>
    <row r="444" spans="1:2" x14ac:dyDescent="0.35">
      <c r="A444" s="14">
        <v>42249.72247685185</v>
      </c>
      <c r="B444" s="5">
        <v>1</v>
      </c>
    </row>
    <row r="445" spans="1:2" x14ac:dyDescent="0.35">
      <c r="A445" s="14">
        <v>42249.73238425926</v>
      </c>
      <c r="B445" s="5">
        <v>1</v>
      </c>
    </row>
    <row r="446" spans="1:2" x14ac:dyDescent="0.35">
      <c r="A446" s="14">
        <v>42249.734189814815</v>
      </c>
      <c r="B446" s="5">
        <v>1</v>
      </c>
    </row>
    <row r="447" spans="1:2" x14ac:dyDescent="0.35">
      <c r="A447" s="14">
        <v>42249.815150462964</v>
      </c>
      <c r="B447" s="5">
        <v>1</v>
      </c>
    </row>
    <row r="448" spans="1:2" x14ac:dyDescent="0.35">
      <c r="A448" s="14">
        <v>42249.816157407404</v>
      </c>
      <c r="B448" s="5">
        <v>1</v>
      </c>
    </row>
    <row r="449" spans="1:2" x14ac:dyDescent="0.35">
      <c r="A449" s="14">
        <v>42249.851400462961</v>
      </c>
      <c r="B449" s="5">
        <v>1</v>
      </c>
    </row>
    <row r="450" spans="1:2" x14ac:dyDescent="0.35">
      <c r="A450" s="14">
        <v>42249.855636574073</v>
      </c>
      <c r="B450" s="5">
        <v>1</v>
      </c>
    </row>
    <row r="451" spans="1:2" x14ac:dyDescent="0.35">
      <c r="A451" s="14">
        <v>42249.884710648148</v>
      </c>
      <c r="B451" s="5">
        <v>1</v>
      </c>
    </row>
    <row r="452" spans="1:2" x14ac:dyDescent="0.35">
      <c r="A452" s="14">
        <v>42249.914074074077</v>
      </c>
      <c r="B452" s="5">
        <v>1</v>
      </c>
    </row>
    <row r="453" spans="1:2" x14ac:dyDescent="0.35">
      <c r="A453" s="14">
        <v>42249.919664351852</v>
      </c>
      <c r="B453" s="5">
        <v>1</v>
      </c>
    </row>
    <row r="454" spans="1:2" x14ac:dyDescent="0.35">
      <c r="A454" s="14">
        <v>42249.921956018516</v>
      </c>
      <c r="B454" s="5">
        <v>2</v>
      </c>
    </row>
    <row r="455" spans="1:2" x14ac:dyDescent="0.35">
      <c r="A455" s="14">
        <v>42249.949155092596</v>
      </c>
      <c r="B455" s="5">
        <v>1</v>
      </c>
    </row>
    <row r="456" spans="1:2" x14ac:dyDescent="0.35">
      <c r="A456" s="14">
        <v>42250.043923611112</v>
      </c>
      <c r="B456" s="5">
        <v>1</v>
      </c>
    </row>
    <row r="457" spans="1:2" x14ac:dyDescent="0.35">
      <c r="A457" s="14">
        <v>42250.089224537034</v>
      </c>
      <c r="B457" s="5">
        <v>1</v>
      </c>
    </row>
    <row r="458" spans="1:2" x14ac:dyDescent="0.35">
      <c r="A458" s="14">
        <v>42250.093229166669</v>
      </c>
      <c r="B458" s="5">
        <v>2</v>
      </c>
    </row>
    <row r="459" spans="1:2" x14ac:dyDescent="0.35">
      <c r="A459" s="14">
        <v>42250.103252314817</v>
      </c>
      <c r="B459" s="5">
        <v>1</v>
      </c>
    </row>
    <row r="460" spans="1:2" x14ac:dyDescent="0.35">
      <c r="A460" s="14">
        <v>42250.30673611111</v>
      </c>
      <c r="B460" s="5">
        <v>1</v>
      </c>
    </row>
    <row r="461" spans="1:2" x14ac:dyDescent="0.35">
      <c r="A461" s="14">
        <v>42250.307025462964</v>
      </c>
      <c r="B461" s="5">
        <v>2</v>
      </c>
    </row>
    <row r="462" spans="1:2" x14ac:dyDescent="0.35">
      <c r="A462" s="14">
        <v>42250.307430555556</v>
      </c>
      <c r="B462" s="5">
        <v>1</v>
      </c>
    </row>
    <row r="463" spans="1:2" x14ac:dyDescent="0.35">
      <c r="A463" s="14">
        <v>42250.307546296295</v>
      </c>
      <c r="B463" s="5">
        <v>1</v>
      </c>
    </row>
    <row r="464" spans="1:2" x14ac:dyDescent="0.35">
      <c r="A464" s="14">
        <v>42250.309155092589</v>
      </c>
      <c r="B464" s="5">
        <v>1</v>
      </c>
    </row>
    <row r="465" spans="1:2" x14ac:dyDescent="0.35">
      <c r="A465" s="14">
        <v>42250.552534722221</v>
      </c>
      <c r="B465" s="5">
        <v>1</v>
      </c>
    </row>
    <row r="466" spans="1:2" x14ac:dyDescent="0.35">
      <c r="A466" s="14">
        <v>42250.570601851854</v>
      </c>
      <c r="B466" s="5">
        <v>1</v>
      </c>
    </row>
    <row r="467" spans="1:2" x14ac:dyDescent="0.35">
      <c r="A467" s="14">
        <v>42250.575868055559</v>
      </c>
      <c r="B467" s="5">
        <v>1</v>
      </c>
    </row>
    <row r="468" spans="1:2" x14ac:dyDescent="0.35">
      <c r="A468" s="14">
        <v>42250.633287037039</v>
      </c>
      <c r="B468" s="5">
        <v>1</v>
      </c>
    </row>
    <row r="469" spans="1:2" x14ac:dyDescent="0.35">
      <c r="A469" s="14">
        <v>42250.641377314816</v>
      </c>
      <c r="B469" s="5">
        <v>1</v>
      </c>
    </row>
    <row r="470" spans="1:2" x14ac:dyDescent="0.35">
      <c r="A470" s="14">
        <v>42250.642546296294</v>
      </c>
      <c r="B470" s="5">
        <v>1</v>
      </c>
    </row>
    <row r="471" spans="1:2" x14ac:dyDescent="0.35">
      <c r="A471" s="14">
        <v>42250.653379629628</v>
      </c>
      <c r="B471" s="5">
        <v>1</v>
      </c>
    </row>
    <row r="472" spans="1:2" x14ac:dyDescent="0.35">
      <c r="A472" s="14">
        <v>42250.666643518518</v>
      </c>
      <c r="B472" s="5">
        <v>1</v>
      </c>
    </row>
    <row r="473" spans="1:2" x14ac:dyDescent="0.35">
      <c r="A473" s="14">
        <v>42250.67701388889</v>
      </c>
      <c r="B473" s="5">
        <v>1</v>
      </c>
    </row>
    <row r="474" spans="1:2" x14ac:dyDescent="0.35">
      <c r="A474" s="14">
        <v>42250.677175925928</v>
      </c>
      <c r="B474" s="5">
        <v>1</v>
      </c>
    </row>
    <row r="475" spans="1:2" x14ac:dyDescent="0.35">
      <c r="A475" s="14">
        <v>42250.68236111111</v>
      </c>
      <c r="B475" s="5">
        <v>1</v>
      </c>
    </row>
    <row r="476" spans="1:2" x14ac:dyDescent="0.35">
      <c r="A476" s="14">
        <v>42250.686388888891</v>
      </c>
      <c r="B476" s="5">
        <v>1</v>
      </c>
    </row>
    <row r="477" spans="1:2" x14ac:dyDescent="0.35">
      <c r="A477" s="14">
        <v>42250.68681712963</v>
      </c>
      <c r="B477" s="5">
        <v>1</v>
      </c>
    </row>
    <row r="478" spans="1:2" x14ac:dyDescent="0.35">
      <c r="A478" s="14">
        <v>42250.69121527778</v>
      </c>
      <c r="B478" s="5">
        <v>1</v>
      </c>
    </row>
    <row r="479" spans="1:2" x14ac:dyDescent="0.35">
      <c r="A479" s="14">
        <v>42250.692800925928</v>
      </c>
      <c r="B479" s="5">
        <v>1</v>
      </c>
    </row>
    <row r="480" spans="1:2" x14ac:dyDescent="0.35">
      <c r="A480" s="14">
        <v>42250.705057870371</v>
      </c>
      <c r="B480" s="5">
        <v>1</v>
      </c>
    </row>
    <row r="481" spans="1:2" x14ac:dyDescent="0.35">
      <c r="A481" s="14">
        <v>42250.721655092595</v>
      </c>
      <c r="B481" s="5">
        <v>1</v>
      </c>
    </row>
    <row r="482" spans="1:2" x14ac:dyDescent="0.35">
      <c r="A482" s="14">
        <v>42250.722418981481</v>
      </c>
      <c r="B482" s="5">
        <v>1</v>
      </c>
    </row>
    <row r="483" spans="1:2" x14ac:dyDescent="0.35">
      <c r="A483" s="14">
        <v>42250.732175925928</v>
      </c>
      <c r="B483" s="5">
        <v>1</v>
      </c>
    </row>
    <row r="484" spans="1:2" x14ac:dyDescent="0.35">
      <c r="A484" s="14">
        <v>42250.739131944443</v>
      </c>
      <c r="B484" s="5">
        <v>1</v>
      </c>
    </row>
    <row r="485" spans="1:2" x14ac:dyDescent="0.35">
      <c r="A485" s="14">
        <v>42250.755023148151</v>
      </c>
      <c r="B485" s="5">
        <v>1</v>
      </c>
    </row>
    <row r="486" spans="1:2" x14ac:dyDescent="0.35">
      <c r="A486" s="14">
        <v>42250.763506944444</v>
      </c>
      <c r="B486" s="5">
        <v>1</v>
      </c>
    </row>
    <row r="487" spans="1:2" x14ac:dyDescent="0.35">
      <c r="A487" s="14">
        <v>42250.78019675926</v>
      </c>
      <c r="B487" s="5">
        <v>1</v>
      </c>
    </row>
    <row r="488" spans="1:2" x14ac:dyDescent="0.35">
      <c r="A488" s="14">
        <v>42250.786874999998</v>
      </c>
      <c r="B488" s="5">
        <v>1</v>
      </c>
    </row>
    <row r="489" spans="1:2" x14ac:dyDescent="0.35">
      <c r="A489" s="14">
        <v>42250.787476851852</v>
      </c>
      <c r="B489" s="5">
        <v>1</v>
      </c>
    </row>
    <row r="490" spans="1:2" x14ac:dyDescent="0.35">
      <c r="A490" s="14">
        <v>42250.861435185187</v>
      </c>
      <c r="B490" s="5">
        <v>1</v>
      </c>
    </row>
    <row r="491" spans="1:2" x14ac:dyDescent="0.35">
      <c r="A491" s="14">
        <v>42250.861516203702</v>
      </c>
      <c r="B491" s="5">
        <v>1</v>
      </c>
    </row>
    <row r="492" spans="1:2" x14ac:dyDescent="0.35">
      <c r="A492" s="14">
        <v>42250.91070601852</v>
      </c>
      <c r="B492" s="5">
        <v>1</v>
      </c>
    </row>
    <row r="493" spans="1:2" x14ac:dyDescent="0.35">
      <c r="A493" s="14">
        <v>42250.910891203705</v>
      </c>
      <c r="B493" s="5">
        <v>1</v>
      </c>
    </row>
    <row r="494" spans="1:2" x14ac:dyDescent="0.35">
      <c r="A494" s="14">
        <v>42250.91128472222</v>
      </c>
      <c r="B494" s="5">
        <v>1</v>
      </c>
    </row>
    <row r="495" spans="1:2" x14ac:dyDescent="0.35">
      <c r="A495" s="14">
        <v>42250.911469907405</v>
      </c>
      <c r="B495" s="5">
        <v>1</v>
      </c>
    </row>
    <row r="496" spans="1:2" x14ac:dyDescent="0.35">
      <c r="A496" s="14">
        <v>42250.927372685182</v>
      </c>
      <c r="B496" s="5">
        <v>1</v>
      </c>
    </row>
    <row r="497" spans="1:2" x14ac:dyDescent="0.35">
      <c r="A497" s="14">
        <v>42250.937905092593</v>
      </c>
      <c r="B497" s="5">
        <v>1</v>
      </c>
    </row>
    <row r="498" spans="1:2" x14ac:dyDescent="0.35">
      <c r="A498" s="14">
        <v>42250.938263888886</v>
      </c>
      <c r="B498" s="5">
        <v>2</v>
      </c>
    </row>
    <row r="499" spans="1:2" x14ac:dyDescent="0.35">
      <c r="A499" s="14">
        <v>42250.939768518518</v>
      </c>
      <c r="B499" s="5">
        <v>1</v>
      </c>
    </row>
    <row r="500" spans="1:2" x14ac:dyDescent="0.35">
      <c r="A500" s="14">
        <v>42250.93990740741</v>
      </c>
      <c r="B500" s="5">
        <v>1</v>
      </c>
    </row>
    <row r="501" spans="1:2" x14ac:dyDescent="0.35">
      <c r="A501" s="14">
        <v>42250.940138888887</v>
      </c>
      <c r="B501" s="5">
        <v>1</v>
      </c>
    </row>
    <row r="502" spans="1:2" x14ac:dyDescent="0.35">
      <c r="A502" s="14">
        <v>42250.94027777778</v>
      </c>
      <c r="B502" s="5">
        <v>1</v>
      </c>
    </row>
    <row r="503" spans="1:2" x14ac:dyDescent="0.35">
      <c r="A503" s="14">
        <v>42250.942557870374</v>
      </c>
      <c r="B503" s="5">
        <v>1</v>
      </c>
    </row>
    <row r="504" spans="1:2" x14ac:dyDescent="0.35">
      <c r="A504" s="14">
        <v>42251.011550925927</v>
      </c>
      <c r="B504" s="5">
        <v>1</v>
      </c>
    </row>
    <row r="505" spans="1:2" x14ac:dyDescent="0.35">
      <c r="A505" s="14">
        <v>42251.012430555558</v>
      </c>
      <c r="B505" s="5">
        <v>1</v>
      </c>
    </row>
    <row r="506" spans="1:2" x14ac:dyDescent="0.35">
      <c r="A506" s="14">
        <v>42251.043657407405</v>
      </c>
      <c r="B506" s="5">
        <v>1</v>
      </c>
    </row>
    <row r="507" spans="1:2" x14ac:dyDescent="0.35">
      <c r="A507" s="14">
        <v>42251.048784722225</v>
      </c>
      <c r="B507" s="5">
        <v>1</v>
      </c>
    </row>
    <row r="508" spans="1:2" x14ac:dyDescent="0.35">
      <c r="A508" s="14">
        <v>42251.052060185182</v>
      </c>
      <c r="B508" s="5">
        <v>1</v>
      </c>
    </row>
    <row r="509" spans="1:2" x14ac:dyDescent="0.35">
      <c r="A509" s="14">
        <v>42251.052361111113</v>
      </c>
      <c r="B509" s="5">
        <v>1</v>
      </c>
    </row>
    <row r="510" spans="1:2" x14ac:dyDescent="0.35">
      <c r="A510" s="14">
        <v>42251.053090277775</v>
      </c>
      <c r="B510" s="5">
        <v>1</v>
      </c>
    </row>
    <row r="511" spans="1:2" x14ac:dyDescent="0.35">
      <c r="A511" s="14">
        <v>42251.054247685184</v>
      </c>
      <c r="B511" s="5">
        <v>1</v>
      </c>
    </row>
    <row r="512" spans="1:2" x14ac:dyDescent="0.35">
      <c r="A512" s="14">
        <v>42251.054826388892</v>
      </c>
      <c r="B512" s="5">
        <v>1</v>
      </c>
    </row>
    <row r="513" spans="1:2" x14ac:dyDescent="0.35">
      <c r="A513" s="14">
        <v>42251.05568287037</v>
      </c>
      <c r="B513" s="5">
        <v>1</v>
      </c>
    </row>
    <row r="514" spans="1:2" x14ac:dyDescent="0.35">
      <c r="A514" s="14">
        <v>42251.056284722225</v>
      </c>
      <c r="B514" s="5">
        <v>1</v>
      </c>
    </row>
    <row r="515" spans="1:2" x14ac:dyDescent="0.35">
      <c r="A515" s="14">
        <v>42251.057824074072</v>
      </c>
      <c r="B515" s="5">
        <v>1</v>
      </c>
    </row>
    <row r="516" spans="1:2" x14ac:dyDescent="0.35">
      <c r="A516" s="14">
        <v>42251.057997685188</v>
      </c>
      <c r="B516" s="5">
        <v>1</v>
      </c>
    </row>
    <row r="517" spans="1:2" x14ac:dyDescent="0.35">
      <c r="A517" s="14">
        <v>42251.058159722219</v>
      </c>
      <c r="B517" s="5">
        <v>1</v>
      </c>
    </row>
    <row r="518" spans="1:2" x14ac:dyDescent="0.35">
      <c r="A518" s="14">
        <v>42251.058275462965</v>
      </c>
      <c r="B518" s="5">
        <v>1</v>
      </c>
    </row>
    <row r="519" spans="1:2" x14ac:dyDescent="0.35">
      <c r="A519" s="14">
        <v>42251.058356481481</v>
      </c>
      <c r="B519" s="5">
        <v>1</v>
      </c>
    </row>
    <row r="520" spans="1:2" x14ac:dyDescent="0.35">
      <c r="A520" s="14">
        <v>42251.059293981481</v>
      </c>
      <c r="B520" s="5">
        <v>1</v>
      </c>
    </row>
    <row r="521" spans="1:2" x14ac:dyDescent="0.35">
      <c r="A521" s="14">
        <v>42251.059374999997</v>
      </c>
      <c r="B521" s="5">
        <v>1</v>
      </c>
    </row>
    <row r="522" spans="1:2" x14ac:dyDescent="0.35">
      <c r="A522" s="14">
        <v>42251.069097222222</v>
      </c>
      <c r="B522" s="5">
        <v>1</v>
      </c>
    </row>
    <row r="523" spans="1:2" x14ac:dyDescent="0.35">
      <c r="A523" s="14">
        <v>42251.069305555553</v>
      </c>
      <c r="B523" s="5">
        <v>1</v>
      </c>
    </row>
    <row r="524" spans="1:2" x14ac:dyDescent="0.35">
      <c r="A524" s="14">
        <v>42251.069826388892</v>
      </c>
      <c r="B524" s="5">
        <v>1</v>
      </c>
    </row>
    <row r="525" spans="1:2" x14ac:dyDescent="0.35">
      <c r="A525" s="14">
        <v>42251.072638888887</v>
      </c>
      <c r="B525" s="5">
        <v>1</v>
      </c>
    </row>
    <row r="526" spans="1:2" x14ac:dyDescent="0.35">
      <c r="A526" s="14">
        <v>42251.100810185184</v>
      </c>
      <c r="B526" s="5">
        <v>1</v>
      </c>
    </row>
    <row r="527" spans="1:2" x14ac:dyDescent="0.35">
      <c r="A527" s="14">
        <v>42251.108576388891</v>
      </c>
      <c r="B527" s="5">
        <v>1</v>
      </c>
    </row>
    <row r="528" spans="1:2" x14ac:dyDescent="0.35">
      <c r="A528" s="14">
        <v>42251.110960648148</v>
      </c>
      <c r="B528" s="5">
        <v>2</v>
      </c>
    </row>
    <row r="529" spans="1:2" x14ac:dyDescent="0.35">
      <c r="A529" s="14">
        <v>42251.111400462964</v>
      </c>
      <c r="B529" s="5">
        <v>1</v>
      </c>
    </row>
    <row r="530" spans="1:2" x14ac:dyDescent="0.35">
      <c r="A530" s="14">
        <v>42251.113564814812</v>
      </c>
      <c r="B530" s="5">
        <v>1</v>
      </c>
    </row>
    <row r="531" spans="1:2" x14ac:dyDescent="0.35">
      <c r="A531" s="14">
        <v>42251.115520833337</v>
      </c>
      <c r="B531" s="5">
        <v>1</v>
      </c>
    </row>
    <row r="532" spans="1:2" x14ac:dyDescent="0.35">
      <c r="A532" s="14">
        <v>42251.176354166666</v>
      </c>
      <c r="B532" s="5">
        <v>1</v>
      </c>
    </row>
    <row r="533" spans="1:2" x14ac:dyDescent="0.35">
      <c r="A533" s="14">
        <v>42251.20040509259</v>
      </c>
      <c r="B533" s="5">
        <v>1</v>
      </c>
    </row>
    <row r="534" spans="1:2" x14ac:dyDescent="0.35">
      <c r="A534" s="14">
        <v>42251.200706018521</v>
      </c>
      <c r="B534" s="5">
        <v>2</v>
      </c>
    </row>
    <row r="535" spans="1:2" x14ac:dyDescent="0.35">
      <c r="A535" s="14">
        <v>42251.201122685183</v>
      </c>
      <c r="B535" s="5">
        <v>1</v>
      </c>
    </row>
    <row r="536" spans="1:2" x14ac:dyDescent="0.35">
      <c r="A536" s="14">
        <v>42251.225034722222</v>
      </c>
      <c r="B536" s="5">
        <v>1</v>
      </c>
    </row>
    <row r="537" spans="1:2" x14ac:dyDescent="0.35">
      <c r="A537" s="14">
        <v>42251.237083333333</v>
      </c>
      <c r="B537" s="5">
        <v>1</v>
      </c>
    </row>
    <row r="538" spans="1:2" x14ac:dyDescent="0.35">
      <c r="A538" s="14">
        <v>42251.588958333334</v>
      </c>
      <c r="B538" s="5">
        <v>1</v>
      </c>
    </row>
    <row r="539" spans="1:2" x14ac:dyDescent="0.35">
      <c r="A539" s="14">
        <v>42251.589166666665</v>
      </c>
      <c r="B539" s="5">
        <v>1</v>
      </c>
    </row>
    <row r="540" spans="1:2" x14ac:dyDescent="0.35">
      <c r="A540" s="14">
        <v>42251.591678240744</v>
      </c>
      <c r="B540" s="5">
        <v>1</v>
      </c>
    </row>
    <row r="541" spans="1:2" x14ac:dyDescent="0.35">
      <c r="A541" s="14">
        <v>42251.593900462962</v>
      </c>
      <c r="B541" s="5">
        <v>1</v>
      </c>
    </row>
    <row r="542" spans="1:2" x14ac:dyDescent="0.35">
      <c r="A542" s="14">
        <v>42251.597256944442</v>
      </c>
      <c r="B542" s="5">
        <v>1</v>
      </c>
    </row>
    <row r="543" spans="1:2" x14ac:dyDescent="0.35">
      <c r="A543" s="14">
        <v>42251.602905092594</v>
      </c>
      <c r="B543" s="5">
        <v>1</v>
      </c>
    </row>
    <row r="544" spans="1:2" x14ac:dyDescent="0.35">
      <c r="A544" s="14">
        <v>42251.603703703702</v>
      </c>
      <c r="B544" s="5">
        <v>1</v>
      </c>
    </row>
    <row r="545" spans="1:2" x14ac:dyDescent="0.35">
      <c r="A545" s="14">
        <v>42251.606203703705</v>
      </c>
      <c r="B545" s="5">
        <v>1</v>
      </c>
    </row>
    <row r="546" spans="1:2" x14ac:dyDescent="0.35">
      <c r="A546" s="14">
        <v>42251.607199074075</v>
      </c>
      <c r="B546" s="5">
        <v>1</v>
      </c>
    </row>
    <row r="547" spans="1:2" x14ac:dyDescent="0.35">
      <c r="A547" s="14">
        <v>42251.616712962961</v>
      </c>
      <c r="B547" s="5">
        <v>1</v>
      </c>
    </row>
    <row r="548" spans="1:2" x14ac:dyDescent="0.35">
      <c r="A548" s="14">
        <v>42251.617997685185</v>
      </c>
      <c r="B548" s="5">
        <v>1</v>
      </c>
    </row>
    <row r="549" spans="1:2" x14ac:dyDescent="0.35">
      <c r="A549" s="14">
        <v>42251.618622685186</v>
      </c>
      <c r="B549" s="5">
        <v>1</v>
      </c>
    </row>
    <row r="550" spans="1:2" x14ac:dyDescent="0.35">
      <c r="A550" s="14">
        <v>42251.618726851855</v>
      </c>
      <c r="B550" s="5">
        <v>2</v>
      </c>
    </row>
    <row r="551" spans="1:2" x14ac:dyDescent="0.35">
      <c r="A551" s="14">
        <v>42251.626006944447</v>
      </c>
      <c r="B551" s="5">
        <v>1</v>
      </c>
    </row>
    <row r="552" spans="1:2" x14ac:dyDescent="0.35">
      <c r="A552" s="14">
        <v>42251.626400462963</v>
      </c>
      <c r="B552" s="5">
        <v>1</v>
      </c>
    </row>
    <row r="553" spans="1:2" x14ac:dyDescent="0.35">
      <c r="A553" s="14">
        <v>42251.627800925926</v>
      </c>
      <c r="B553" s="5">
        <v>1</v>
      </c>
    </row>
    <row r="554" spans="1:2" x14ac:dyDescent="0.35">
      <c r="A554" s="14">
        <v>42251.628113425926</v>
      </c>
      <c r="B554" s="5">
        <v>1</v>
      </c>
    </row>
    <row r="555" spans="1:2" x14ac:dyDescent="0.35">
      <c r="A555" s="14">
        <v>42251.648043981484</v>
      </c>
      <c r="B555" s="5">
        <v>1</v>
      </c>
    </row>
    <row r="556" spans="1:2" x14ac:dyDescent="0.35">
      <c r="A556" s="14">
        <v>42251.659780092596</v>
      </c>
      <c r="B556" s="5">
        <v>1</v>
      </c>
    </row>
    <row r="557" spans="1:2" x14ac:dyDescent="0.35">
      <c r="A557" s="14">
        <v>42251.668506944443</v>
      </c>
      <c r="B557" s="5">
        <v>1</v>
      </c>
    </row>
    <row r="558" spans="1:2" x14ac:dyDescent="0.35">
      <c r="A558" s="14">
        <v>42251.673900462964</v>
      </c>
      <c r="B558" s="5">
        <v>1</v>
      </c>
    </row>
    <row r="559" spans="1:2" x14ac:dyDescent="0.35">
      <c r="A559" s="14">
        <v>42251.696886574071</v>
      </c>
      <c r="B559" s="5">
        <v>1</v>
      </c>
    </row>
    <row r="560" spans="1:2" x14ac:dyDescent="0.35">
      <c r="A560" s="14">
        <v>42251.697071759256</v>
      </c>
      <c r="B560" s="5">
        <v>1</v>
      </c>
    </row>
    <row r="561" spans="1:2" x14ac:dyDescent="0.35">
      <c r="A561" s="14">
        <v>42251.715821759259</v>
      </c>
      <c r="B561" s="5">
        <v>1</v>
      </c>
    </row>
    <row r="562" spans="1:2" x14ac:dyDescent="0.35">
      <c r="A562" s="14">
        <v>42251.71601851852</v>
      </c>
      <c r="B562" s="5">
        <v>2</v>
      </c>
    </row>
    <row r="563" spans="1:2" x14ac:dyDescent="0.35">
      <c r="A563" s="14">
        <v>42251.716041666667</v>
      </c>
      <c r="B563" s="5">
        <v>1</v>
      </c>
    </row>
    <row r="564" spans="1:2" x14ac:dyDescent="0.35">
      <c r="A564" s="14">
        <v>42251.73033564815</v>
      </c>
      <c r="B564" s="5">
        <v>1</v>
      </c>
    </row>
    <row r="565" spans="1:2" x14ac:dyDescent="0.35">
      <c r="A565" s="14">
        <v>42251.732349537036</v>
      </c>
      <c r="B565" s="5">
        <v>1</v>
      </c>
    </row>
    <row r="566" spans="1:2" x14ac:dyDescent="0.35">
      <c r="A566" s="14">
        <v>42251.733182870368</v>
      </c>
      <c r="B566" s="5">
        <v>1</v>
      </c>
    </row>
    <row r="567" spans="1:2" x14ac:dyDescent="0.35">
      <c r="A567" s="14">
        <v>42251.740740740737</v>
      </c>
      <c r="B567" s="5">
        <v>1</v>
      </c>
    </row>
    <row r="568" spans="1:2" x14ac:dyDescent="0.35">
      <c r="A568" s="14">
        <v>42251.747534722221</v>
      </c>
      <c r="B568" s="5">
        <v>1</v>
      </c>
    </row>
    <row r="569" spans="1:2" x14ac:dyDescent="0.35">
      <c r="A569" s="14">
        <v>42251.761782407404</v>
      </c>
      <c r="B569" s="5">
        <v>1</v>
      </c>
    </row>
    <row r="570" spans="1:2" x14ac:dyDescent="0.35">
      <c r="A570" s="14">
        <v>42251.761886574073</v>
      </c>
      <c r="B570" s="5">
        <v>1</v>
      </c>
    </row>
    <row r="571" spans="1:2" x14ac:dyDescent="0.35">
      <c r="A571" s="14">
        <v>42251.765555555554</v>
      </c>
      <c r="B571" s="5">
        <v>1</v>
      </c>
    </row>
    <row r="572" spans="1:2" x14ac:dyDescent="0.35">
      <c r="A572" s="14">
        <v>42251.772893518515</v>
      </c>
      <c r="B572" s="5">
        <v>1</v>
      </c>
    </row>
    <row r="573" spans="1:2" x14ac:dyDescent="0.35">
      <c r="A573" s="14">
        <v>42251.840937499997</v>
      </c>
      <c r="B573" s="5">
        <v>1</v>
      </c>
    </row>
    <row r="574" spans="1:2" x14ac:dyDescent="0.35">
      <c r="A574" s="14">
        <v>42251.842199074075</v>
      </c>
      <c r="B574" s="5">
        <v>2</v>
      </c>
    </row>
    <row r="575" spans="1:2" x14ac:dyDescent="0.35">
      <c r="A575" s="14">
        <v>42251.860358796293</v>
      </c>
      <c r="B575" s="5">
        <v>1</v>
      </c>
    </row>
    <row r="576" spans="1:2" x14ac:dyDescent="0.35">
      <c r="A576" s="14">
        <v>42251.867731481485</v>
      </c>
      <c r="B576" s="5">
        <v>1</v>
      </c>
    </row>
    <row r="577" spans="1:2" x14ac:dyDescent="0.35">
      <c r="A577" s="14">
        <v>42251.94672453704</v>
      </c>
      <c r="B577" s="5">
        <v>1</v>
      </c>
    </row>
    <row r="578" spans="1:2" x14ac:dyDescent="0.35">
      <c r="A578" s="14">
        <v>42251.950416666667</v>
      </c>
      <c r="B578" s="5">
        <v>1</v>
      </c>
    </row>
    <row r="579" spans="1:2" x14ac:dyDescent="0.35">
      <c r="A579" s="14">
        <v>42251.965578703705</v>
      </c>
      <c r="B579" s="5">
        <v>1</v>
      </c>
    </row>
    <row r="580" spans="1:2" x14ac:dyDescent="0.35">
      <c r="A580" s="14">
        <v>42251.967361111114</v>
      </c>
      <c r="B580" s="5">
        <v>1</v>
      </c>
    </row>
    <row r="581" spans="1:2" x14ac:dyDescent="0.35">
      <c r="A581" s="14">
        <v>42251.970659722225</v>
      </c>
      <c r="B581" s="5">
        <v>1</v>
      </c>
    </row>
    <row r="582" spans="1:2" x14ac:dyDescent="0.35">
      <c r="A582" s="14">
        <v>42251.98605324074</v>
      </c>
      <c r="B582" s="5">
        <v>1</v>
      </c>
    </row>
    <row r="583" spans="1:2" x14ac:dyDescent="0.35">
      <c r="A583" s="14">
        <v>42252.072291666664</v>
      </c>
      <c r="B583" s="5">
        <v>1</v>
      </c>
    </row>
    <row r="584" spans="1:2" x14ac:dyDescent="0.35">
      <c r="A584" s="14">
        <v>42252.08326388889</v>
      </c>
      <c r="B584" s="5">
        <v>1</v>
      </c>
    </row>
    <row r="585" spans="1:2" x14ac:dyDescent="0.35">
      <c r="A585" s="14">
        <v>42252.083634259259</v>
      </c>
      <c r="B585" s="5">
        <v>1</v>
      </c>
    </row>
    <row r="586" spans="1:2" x14ac:dyDescent="0.35">
      <c r="A586" s="14">
        <v>42252.130752314813</v>
      </c>
      <c r="B586" s="5">
        <v>1</v>
      </c>
    </row>
    <row r="587" spans="1:2" x14ac:dyDescent="0.35">
      <c r="A587" s="14">
        <v>42252.136354166665</v>
      </c>
      <c r="B587" s="5">
        <v>1</v>
      </c>
    </row>
    <row r="588" spans="1:2" x14ac:dyDescent="0.35">
      <c r="A588" s="14">
        <v>42252.552245370367</v>
      </c>
      <c r="B588" s="5">
        <v>1</v>
      </c>
    </row>
    <row r="589" spans="1:2" x14ac:dyDescent="0.35">
      <c r="A589" s="14">
        <v>42252.606932870367</v>
      </c>
      <c r="B589" s="5">
        <v>1</v>
      </c>
    </row>
    <row r="590" spans="1:2" x14ac:dyDescent="0.35">
      <c r="A590" s="14">
        <v>42252.611006944448</v>
      </c>
      <c r="B590" s="5">
        <v>1</v>
      </c>
    </row>
    <row r="591" spans="1:2" x14ac:dyDescent="0.35">
      <c r="A591" s="14">
        <v>42252.611273148148</v>
      </c>
      <c r="B591" s="5">
        <v>1</v>
      </c>
    </row>
    <row r="592" spans="1:2" x14ac:dyDescent="0.35">
      <c r="A592" s="14">
        <v>42252.617592592593</v>
      </c>
      <c r="B592" s="5">
        <v>1</v>
      </c>
    </row>
    <row r="593" spans="1:2" x14ac:dyDescent="0.35">
      <c r="A593" s="14">
        <v>42252.623379629629</v>
      </c>
      <c r="B593" s="5">
        <v>1</v>
      </c>
    </row>
    <row r="594" spans="1:2" x14ac:dyDescent="0.35">
      <c r="A594" s="14">
        <v>42252.656354166669</v>
      </c>
      <c r="B594" s="5">
        <v>1</v>
      </c>
    </row>
    <row r="595" spans="1:2" x14ac:dyDescent="0.35">
      <c r="A595" s="14">
        <v>42252.664212962962</v>
      </c>
      <c r="B595" s="5">
        <v>1</v>
      </c>
    </row>
    <row r="596" spans="1:2" x14ac:dyDescent="0.35">
      <c r="A596" s="14">
        <v>42252.675254629627</v>
      </c>
      <c r="B596" s="5">
        <v>1</v>
      </c>
    </row>
    <row r="597" spans="1:2" x14ac:dyDescent="0.35">
      <c r="A597" s="14">
        <v>42252.676493055558</v>
      </c>
      <c r="B597" s="5">
        <v>1</v>
      </c>
    </row>
    <row r="598" spans="1:2" x14ac:dyDescent="0.35">
      <c r="A598" s="14">
        <v>42252.690636574072</v>
      </c>
      <c r="B598" s="5">
        <v>1</v>
      </c>
    </row>
    <row r="599" spans="1:2" x14ac:dyDescent="0.35">
      <c r="A599" s="14">
        <v>42252.692314814813</v>
      </c>
      <c r="B599" s="5">
        <v>1</v>
      </c>
    </row>
    <row r="600" spans="1:2" x14ac:dyDescent="0.35">
      <c r="A600" s="14">
        <v>42252.71130787037</v>
      </c>
      <c r="B600" s="5">
        <v>1</v>
      </c>
    </row>
    <row r="601" spans="1:2" x14ac:dyDescent="0.35">
      <c r="A601" s="14">
        <v>42252.78162037037</v>
      </c>
      <c r="B601" s="5">
        <v>1</v>
      </c>
    </row>
    <row r="602" spans="1:2" x14ac:dyDescent="0.35">
      <c r="A602" s="14">
        <v>42252.782048611109</v>
      </c>
      <c r="B602" s="5">
        <v>2</v>
      </c>
    </row>
    <row r="603" spans="1:2" x14ac:dyDescent="0.35">
      <c r="A603" s="14">
        <v>42252.792581018519</v>
      </c>
      <c r="B603" s="5">
        <v>1</v>
      </c>
    </row>
    <row r="604" spans="1:2" x14ac:dyDescent="0.35">
      <c r="A604" s="14">
        <v>42252.796689814815</v>
      </c>
      <c r="B604" s="5">
        <v>2</v>
      </c>
    </row>
    <row r="605" spans="1:2" x14ac:dyDescent="0.35">
      <c r="A605" s="14">
        <v>42252.798726851855</v>
      </c>
      <c r="B605" s="5">
        <v>1</v>
      </c>
    </row>
    <row r="606" spans="1:2" x14ac:dyDescent="0.35">
      <c r="A606" s="14">
        <v>42252.801377314812</v>
      </c>
      <c r="B606" s="5">
        <v>2</v>
      </c>
    </row>
    <row r="607" spans="1:2" x14ac:dyDescent="0.35">
      <c r="A607" s="14">
        <v>42252.804768518516</v>
      </c>
      <c r="B607" s="5">
        <v>1</v>
      </c>
    </row>
    <row r="608" spans="1:2" x14ac:dyDescent="0.35">
      <c r="A608" s="14">
        <v>42252.82675925926</v>
      </c>
      <c r="B608" s="5">
        <v>1</v>
      </c>
    </row>
    <row r="609" spans="1:2" x14ac:dyDescent="0.35">
      <c r="A609" s="14">
        <v>42252.827604166669</v>
      </c>
      <c r="B609" s="5">
        <v>2</v>
      </c>
    </row>
    <row r="610" spans="1:2" x14ac:dyDescent="0.35">
      <c r="A610" s="14">
        <v>42252.942291666666</v>
      </c>
      <c r="B610" s="5">
        <v>1</v>
      </c>
    </row>
    <row r="611" spans="1:2" x14ac:dyDescent="0.35">
      <c r="A611" s="14">
        <v>42252.970729166664</v>
      </c>
      <c r="B611" s="5">
        <v>1</v>
      </c>
    </row>
    <row r="612" spans="1:2" x14ac:dyDescent="0.35">
      <c r="A612" s="14">
        <v>42252.971678240741</v>
      </c>
      <c r="B612" s="5">
        <v>1</v>
      </c>
    </row>
    <row r="613" spans="1:2" x14ac:dyDescent="0.35">
      <c r="A613" s="14">
        <v>42252.972349537034</v>
      </c>
      <c r="B613" s="5">
        <v>2</v>
      </c>
    </row>
    <row r="614" spans="1:2" x14ac:dyDescent="0.35">
      <c r="A614" s="14">
        <v>42252.973749999997</v>
      </c>
      <c r="B614" s="5">
        <v>1</v>
      </c>
    </row>
    <row r="615" spans="1:2" x14ac:dyDescent="0.35">
      <c r="A615" s="14">
        <v>42252.974444444444</v>
      </c>
      <c r="B615" s="5">
        <v>1</v>
      </c>
    </row>
    <row r="616" spans="1:2" x14ac:dyDescent="0.35">
      <c r="A616" s="14">
        <v>42252.974594907406</v>
      </c>
      <c r="B616" s="5">
        <v>2</v>
      </c>
    </row>
    <row r="617" spans="1:2" x14ac:dyDescent="0.35">
      <c r="A617" s="14">
        <v>42252.975289351853</v>
      </c>
      <c r="B617" s="5">
        <v>1</v>
      </c>
    </row>
    <row r="618" spans="1:2" x14ac:dyDescent="0.35">
      <c r="A618" s="14">
        <v>42252.995844907404</v>
      </c>
      <c r="B618" s="5">
        <v>1</v>
      </c>
    </row>
    <row r="619" spans="1:2" x14ac:dyDescent="0.35">
      <c r="A619" s="14">
        <v>42253.00608796296</v>
      </c>
      <c r="B619" s="5">
        <v>1</v>
      </c>
    </row>
    <row r="620" spans="1:2" x14ac:dyDescent="0.35">
      <c r="A620" s="14">
        <v>42253.511412037034</v>
      </c>
      <c r="B620" s="5">
        <v>1</v>
      </c>
    </row>
    <row r="621" spans="1:2" x14ac:dyDescent="0.35">
      <c r="A621" s="14">
        <v>42253.511701388888</v>
      </c>
      <c r="B621" s="5">
        <v>2</v>
      </c>
    </row>
    <row r="622" spans="1:2" x14ac:dyDescent="0.35">
      <c r="A622" s="14">
        <v>42253.512523148151</v>
      </c>
      <c r="B622" s="5">
        <v>1</v>
      </c>
    </row>
    <row r="623" spans="1:2" x14ac:dyDescent="0.35">
      <c r="A623" s="14">
        <v>42253.512731481482</v>
      </c>
      <c r="B623" s="5">
        <v>1</v>
      </c>
    </row>
    <row r="624" spans="1:2" x14ac:dyDescent="0.35">
      <c r="A624" s="14">
        <v>42253.512743055559</v>
      </c>
      <c r="B624" s="5">
        <v>1</v>
      </c>
    </row>
    <row r="625" spans="1:2" x14ac:dyDescent="0.35">
      <c r="A625" s="14">
        <v>42253.513344907406</v>
      </c>
      <c r="B625" s="5">
        <v>1</v>
      </c>
    </row>
    <row r="626" spans="1:2" x14ac:dyDescent="0.35">
      <c r="A626" s="14">
        <v>42253.513738425929</v>
      </c>
      <c r="B626" s="5">
        <v>2</v>
      </c>
    </row>
    <row r="627" spans="1:2" x14ac:dyDescent="0.35">
      <c r="A627" s="14">
        <v>42253.514409722222</v>
      </c>
      <c r="B627" s="5">
        <v>1</v>
      </c>
    </row>
    <row r="628" spans="1:2" x14ac:dyDescent="0.35">
      <c r="A628" s="14">
        <v>42253.514988425923</v>
      </c>
      <c r="B628" s="5">
        <v>2</v>
      </c>
    </row>
    <row r="629" spans="1:2" x14ac:dyDescent="0.35">
      <c r="A629" s="14">
        <v>42253.516481481478</v>
      </c>
      <c r="B629" s="5">
        <v>1</v>
      </c>
    </row>
    <row r="630" spans="1:2" x14ac:dyDescent="0.35">
      <c r="A630" s="14">
        <v>42253.516712962963</v>
      </c>
      <c r="B630" s="5">
        <v>2</v>
      </c>
    </row>
    <row r="631" spans="1:2" x14ac:dyDescent="0.35">
      <c r="A631" s="14">
        <v>42253.518460648149</v>
      </c>
      <c r="B631" s="5">
        <v>1</v>
      </c>
    </row>
    <row r="632" spans="1:2" x14ac:dyDescent="0.35">
      <c r="A632" s="14">
        <v>42253.518877314818</v>
      </c>
      <c r="B632" s="5">
        <v>2</v>
      </c>
    </row>
    <row r="633" spans="1:2" x14ac:dyDescent="0.35">
      <c r="A633" s="14">
        <v>42253.520312499997</v>
      </c>
      <c r="B633" s="5">
        <v>1</v>
      </c>
    </row>
    <row r="634" spans="1:2" x14ac:dyDescent="0.35">
      <c r="A634" s="14">
        <v>42253.520509259259</v>
      </c>
      <c r="B634" s="5">
        <v>2</v>
      </c>
    </row>
    <row r="635" spans="1:2" x14ac:dyDescent="0.35">
      <c r="A635" s="14">
        <v>42253.521203703705</v>
      </c>
      <c r="B635" s="5">
        <v>1</v>
      </c>
    </row>
    <row r="636" spans="1:2" x14ac:dyDescent="0.35">
      <c r="A636" s="14">
        <v>42253.521331018521</v>
      </c>
      <c r="B636" s="5">
        <v>2</v>
      </c>
    </row>
    <row r="637" spans="1:2" x14ac:dyDescent="0.35">
      <c r="A637" s="14">
        <v>42253.522152777776</v>
      </c>
      <c r="B637" s="5">
        <v>1</v>
      </c>
    </row>
    <row r="638" spans="1:2" x14ac:dyDescent="0.35">
      <c r="A638" s="14">
        <v>42253.522326388891</v>
      </c>
      <c r="B638" s="5">
        <v>2</v>
      </c>
    </row>
    <row r="639" spans="1:2" x14ac:dyDescent="0.35">
      <c r="A639" s="14">
        <v>42253.522951388892</v>
      </c>
      <c r="B639" s="5">
        <v>1</v>
      </c>
    </row>
    <row r="640" spans="1:2" x14ac:dyDescent="0.35">
      <c r="A640" s="14">
        <v>42253.523217592592</v>
      </c>
      <c r="B640" s="5">
        <v>2</v>
      </c>
    </row>
    <row r="641" spans="1:2" x14ac:dyDescent="0.35">
      <c r="A641" s="14">
        <v>42253.524317129632</v>
      </c>
      <c r="B641" s="5">
        <v>1</v>
      </c>
    </row>
    <row r="642" spans="1:2" x14ac:dyDescent="0.35">
      <c r="A642" s="14">
        <v>42253.524467592593</v>
      </c>
      <c r="B642" s="5">
        <v>2</v>
      </c>
    </row>
    <row r="643" spans="1:2" x14ac:dyDescent="0.35">
      <c r="A643" s="14">
        <v>42253.675254629627</v>
      </c>
      <c r="B643" s="5">
        <v>1</v>
      </c>
    </row>
    <row r="644" spans="1:2" x14ac:dyDescent="0.35">
      <c r="A644" s="14">
        <v>42253.67765046296</v>
      </c>
      <c r="B644" s="5">
        <v>1</v>
      </c>
    </row>
    <row r="645" spans="1:2" x14ac:dyDescent="0.35">
      <c r="A645" s="14">
        <v>42253.679039351853</v>
      </c>
      <c r="B645" s="5">
        <v>2</v>
      </c>
    </row>
    <row r="646" spans="1:2" x14ac:dyDescent="0.35">
      <c r="A646" s="14">
        <v>42253.717916666668</v>
      </c>
      <c r="B646" s="5">
        <v>1</v>
      </c>
    </row>
    <row r="647" spans="1:2" x14ac:dyDescent="0.35">
      <c r="A647" s="14">
        <v>42253.756597222222</v>
      </c>
      <c r="B647" s="5">
        <v>1</v>
      </c>
    </row>
    <row r="648" spans="1:2" x14ac:dyDescent="0.35">
      <c r="A648" s="14">
        <v>42253.814050925925</v>
      </c>
      <c r="B648" s="5">
        <v>1</v>
      </c>
    </row>
    <row r="649" spans="1:2" x14ac:dyDescent="0.35">
      <c r="A649" s="14">
        <v>42253.814930555556</v>
      </c>
      <c r="B649" s="5">
        <v>2</v>
      </c>
    </row>
    <row r="650" spans="1:2" x14ac:dyDescent="0.35">
      <c r="A650" s="14">
        <v>42253.816238425927</v>
      </c>
      <c r="B650" s="5">
        <v>1</v>
      </c>
    </row>
    <row r="651" spans="1:2" x14ac:dyDescent="0.35">
      <c r="A651" s="14">
        <v>42253.871157407404</v>
      </c>
      <c r="B651" s="5">
        <v>1</v>
      </c>
    </row>
    <row r="652" spans="1:2" x14ac:dyDescent="0.35">
      <c r="A652" s="14">
        <v>42253.877395833333</v>
      </c>
      <c r="B652" s="5">
        <v>1</v>
      </c>
    </row>
    <row r="653" spans="1:2" x14ac:dyDescent="0.35">
      <c r="A653" s="14">
        <v>42253.90488425926</v>
      </c>
      <c r="B653" s="5">
        <v>1</v>
      </c>
    </row>
    <row r="654" spans="1:2" x14ac:dyDescent="0.35">
      <c r="A654" s="14">
        <v>42253.912488425929</v>
      </c>
      <c r="B654" s="5">
        <v>1</v>
      </c>
    </row>
    <row r="655" spans="1:2" x14ac:dyDescent="0.35">
      <c r="A655" s="14">
        <v>42253.922997685186</v>
      </c>
      <c r="B655" s="5">
        <v>1</v>
      </c>
    </row>
    <row r="656" spans="1:2" x14ac:dyDescent="0.35">
      <c r="A656" s="14">
        <v>42253.929085648146</v>
      </c>
      <c r="B656" s="5">
        <v>1</v>
      </c>
    </row>
    <row r="657" spans="1:2" x14ac:dyDescent="0.35">
      <c r="A657" s="14">
        <v>42254.043437499997</v>
      </c>
      <c r="B657" s="5">
        <v>1</v>
      </c>
    </row>
    <row r="658" spans="1:2" x14ac:dyDescent="0.35">
      <c r="A658" s="14">
        <v>42254.118171296293</v>
      </c>
      <c r="B658" s="5">
        <v>1</v>
      </c>
    </row>
    <row r="659" spans="1:2" x14ac:dyDescent="0.35">
      <c r="A659" s="14">
        <v>42254.122453703705</v>
      </c>
      <c r="B659" s="5">
        <v>1</v>
      </c>
    </row>
    <row r="660" spans="1:2" x14ac:dyDescent="0.35">
      <c r="A660" s="14">
        <v>42254.127430555556</v>
      </c>
      <c r="B660" s="5">
        <v>1</v>
      </c>
    </row>
    <row r="661" spans="1:2" x14ac:dyDescent="0.35">
      <c r="A661" s="14">
        <v>42254.170914351853</v>
      </c>
      <c r="B661" s="5">
        <v>1</v>
      </c>
    </row>
    <row r="662" spans="1:2" x14ac:dyDescent="0.35">
      <c r="A662" s="14">
        <v>42254.173078703701</v>
      </c>
      <c r="B662" s="5">
        <v>1</v>
      </c>
    </row>
    <row r="663" spans="1:2" x14ac:dyDescent="0.35">
      <c r="A663" s="14">
        <v>42254.546724537038</v>
      </c>
      <c r="B663" s="5">
        <v>1</v>
      </c>
    </row>
    <row r="664" spans="1:2" x14ac:dyDescent="0.35">
      <c r="A664" s="14">
        <v>42254.606064814812</v>
      </c>
      <c r="B664" s="5">
        <v>1</v>
      </c>
    </row>
    <row r="665" spans="1:2" x14ac:dyDescent="0.35">
      <c r="A665" s="14">
        <v>42254.62909722222</v>
      </c>
      <c r="B665" s="5">
        <v>1</v>
      </c>
    </row>
    <row r="666" spans="1:2" x14ac:dyDescent="0.35">
      <c r="A666" s="14">
        <v>42254.631631944445</v>
      </c>
      <c r="B666" s="5">
        <v>1</v>
      </c>
    </row>
    <row r="667" spans="1:2" x14ac:dyDescent="0.35">
      <c r="A667" s="14">
        <v>42254.634918981479</v>
      </c>
      <c r="B667" s="5">
        <v>1</v>
      </c>
    </row>
    <row r="668" spans="1:2" x14ac:dyDescent="0.35">
      <c r="A668" s="14">
        <v>42254.643055555556</v>
      </c>
      <c r="B668" s="5">
        <v>1</v>
      </c>
    </row>
    <row r="669" spans="1:2" x14ac:dyDescent="0.35">
      <c r="A669" s="14">
        <v>42254.646608796298</v>
      </c>
      <c r="B669" s="5">
        <v>1</v>
      </c>
    </row>
    <row r="670" spans="1:2" x14ac:dyDescent="0.35">
      <c r="A670" s="14">
        <v>42254.671967592592</v>
      </c>
      <c r="B670" s="5">
        <v>1</v>
      </c>
    </row>
    <row r="671" spans="1:2" x14ac:dyDescent="0.35">
      <c r="A671" s="14">
        <v>42254.678599537037</v>
      </c>
      <c r="B671" s="5">
        <v>1</v>
      </c>
    </row>
    <row r="672" spans="1:2" x14ac:dyDescent="0.35">
      <c r="A672" s="14">
        <v>42254.685671296298</v>
      </c>
      <c r="B672" s="5">
        <v>1</v>
      </c>
    </row>
    <row r="673" spans="1:2" x14ac:dyDescent="0.35">
      <c r="A673" s="14">
        <v>42254.713090277779</v>
      </c>
      <c r="B673" s="5">
        <v>1</v>
      </c>
    </row>
    <row r="674" spans="1:2" x14ac:dyDescent="0.35">
      <c r="A674" s="14">
        <v>42254.713460648149</v>
      </c>
      <c r="B674" s="5">
        <v>1</v>
      </c>
    </row>
    <row r="675" spans="1:2" x14ac:dyDescent="0.35">
      <c r="A675" s="14">
        <v>42254.729571759257</v>
      </c>
      <c r="B675" s="5">
        <v>1</v>
      </c>
    </row>
    <row r="676" spans="1:2" x14ac:dyDescent="0.35">
      <c r="A676" s="14">
        <v>42254.74046296296</v>
      </c>
      <c r="B676" s="5">
        <v>1</v>
      </c>
    </row>
    <row r="677" spans="1:2" x14ac:dyDescent="0.35">
      <c r="A677" s="14">
        <v>42254.741782407407</v>
      </c>
      <c r="B677" s="5">
        <v>1</v>
      </c>
    </row>
    <row r="678" spans="1:2" x14ac:dyDescent="0.35">
      <c r="A678" s="14">
        <v>42254.742372685185</v>
      </c>
      <c r="B678" s="5">
        <v>1</v>
      </c>
    </row>
    <row r="679" spans="1:2" x14ac:dyDescent="0.35">
      <c r="A679" s="14">
        <v>42254.7497337963</v>
      </c>
      <c r="B679" s="5">
        <v>1</v>
      </c>
    </row>
    <row r="680" spans="1:2" x14ac:dyDescent="0.35">
      <c r="A680" s="14">
        <v>42254.754236111112</v>
      </c>
      <c r="B680" s="5">
        <v>1</v>
      </c>
    </row>
    <row r="681" spans="1:2" x14ac:dyDescent="0.35">
      <c r="A681" s="14">
        <v>42254.774108796293</v>
      </c>
      <c r="B681" s="5">
        <v>1</v>
      </c>
    </row>
    <row r="682" spans="1:2" x14ac:dyDescent="0.35">
      <c r="A682" s="14">
        <v>42254.780324074076</v>
      </c>
      <c r="B682" s="5">
        <v>1</v>
      </c>
    </row>
    <row r="683" spans="1:2" x14ac:dyDescent="0.35">
      <c r="A683" s="14">
        <v>42254.792824074073</v>
      </c>
      <c r="B683" s="5">
        <v>1</v>
      </c>
    </row>
    <row r="684" spans="1:2" x14ac:dyDescent="0.35">
      <c r="A684" s="14">
        <v>42254.806342592594</v>
      </c>
      <c r="B684" s="5">
        <v>1</v>
      </c>
    </row>
    <row r="685" spans="1:2" x14ac:dyDescent="0.35">
      <c r="A685" s="14">
        <v>42254.820925925924</v>
      </c>
      <c r="B685" s="5">
        <v>1</v>
      </c>
    </row>
    <row r="686" spans="1:2" x14ac:dyDescent="0.35">
      <c r="A686" s="14">
        <v>42254.834803240738</v>
      </c>
      <c r="B686" s="5">
        <v>1</v>
      </c>
    </row>
    <row r="687" spans="1:2" x14ac:dyDescent="0.35">
      <c r="A687" s="14">
        <v>42254.842002314814</v>
      </c>
      <c r="B687" s="5">
        <v>1</v>
      </c>
    </row>
    <row r="688" spans="1:2" x14ac:dyDescent="0.35">
      <c r="A688" s="14">
        <v>42254.874907407408</v>
      </c>
      <c r="B688" s="5">
        <v>1</v>
      </c>
    </row>
    <row r="689" spans="1:2" x14ac:dyDescent="0.35">
      <c r="A689" s="14">
        <v>42254.878530092596</v>
      </c>
      <c r="B689" s="5">
        <v>1</v>
      </c>
    </row>
    <row r="690" spans="1:2" x14ac:dyDescent="0.35">
      <c r="A690" s="14">
        <v>42254.892523148148</v>
      </c>
      <c r="B690" s="5">
        <v>1</v>
      </c>
    </row>
    <row r="691" spans="1:2" x14ac:dyDescent="0.35">
      <c r="A691" s="14">
        <v>42254.892951388887</v>
      </c>
      <c r="B691" s="5">
        <v>1</v>
      </c>
    </row>
    <row r="692" spans="1:2" x14ac:dyDescent="0.35">
      <c r="A692" s="14">
        <v>42254.893171296295</v>
      </c>
      <c r="B692" s="5">
        <v>1</v>
      </c>
    </row>
    <row r="693" spans="1:2" x14ac:dyDescent="0.35">
      <c r="A693" s="14">
        <v>42254.895543981482</v>
      </c>
      <c r="B693" s="5">
        <v>1</v>
      </c>
    </row>
    <row r="694" spans="1:2" x14ac:dyDescent="0.35">
      <c r="A694" s="14">
        <v>42254.922094907408</v>
      </c>
      <c r="B694" s="5">
        <v>1</v>
      </c>
    </row>
    <row r="695" spans="1:2" x14ac:dyDescent="0.35">
      <c r="A695" s="14">
        <v>42255.033726851849</v>
      </c>
      <c r="B695" s="5">
        <v>1</v>
      </c>
    </row>
    <row r="696" spans="1:2" x14ac:dyDescent="0.35">
      <c r="A696" s="14">
        <v>42255.041134259256</v>
      </c>
      <c r="B696" s="5">
        <v>1</v>
      </c>
    </row>
    <row r="697" spans="1:2" x14ac:dyDescent="0.35">
      <c r="A697" s="14">
        <v>42255.058912037035</v>
      </c>
      <c r="B697" s="5">
        <v>1</v>
      </c>
    </row>
    <row r="698" spans="1:2" x14ac:dyDescent="0.35">
      <c r="A698" s="14">
        <v>42255.059189814812</v>
      </c>
      <c r="B698" s="5">
        <v>2</v>
      </c>
    </row>
    <row r="699" spans="1:2" x14ac:dyDescent="0.35">
      <c r="A699" s="14">
        <v>42255.066099537034</v>
      </c>
      <c r="B699" s="5">
        <v>1</v>
      </c>
    </row>
    <row r="700" spans="1:2" x14ac:dyDescent="0.35">
      <c r="A700" s="14">
        <v>42255.085381944446</v>
      </c>
      <c r="B700" s="5">
        <v>1</v>
      </c>
    </row>
    <row r="701" spans="1:2" x14ac:dyDescent="0.35">
      <c r="A701" s="14">
        <v>42255.090474537035</v>
      </c>
      <c r="B701" s="5">
        <v>1</v>
      </c>
    </row>
    <row r="702" spans="1:2" x14ac:dyDescent="0.35">
      <c r="A702" s="14">
        <v>42255.131539351853</v>
      </c>
      <c r="B702" s="5">
        <v>1</v>
      </c>
    </row>
    <row r="703" spans="1:2" x14ac:dyDescent="0.35">
      <c r="A703" s="14">
        <v>42255.140347222223</v>
      </c>
      <c r="B703" s="5">
        <v>1</v>
      </c>
    </row>
    <row r="704" spans="1:2" x14ac:dyDescent="0.35">
      <c r="A704" s="14">
        <v>42255.156145833331</v>
      </c>
      <c r="B704" s="5">
        <v>1</v>
      </c>
    </row>
    <row r="705" spans="1:2" x14ac:dyDescent="0.35">
      <c r="A705" s="14">
        <v>42255.191712962966</v>
      </c>
      <c r="B705" s="5">
        <v>1</v>
      </c>
    </row>
    <row r="706" spans="1:2" x14ac:dyDescent="0.35">
      <c r="A706" s="14">
        <v>42255.208553240744</v>
      </c>
      <c r="B706" s="5">
        <v>1</v>
      </c>
    </row>
    <row r="707" spans="1:2" x14ac:dyDescent="0.35">
      <c r="A707" s="14">
        <v>42255.265567129631</v>
      </c>
      <c r="B707" s="5">
        <v>1</v>
      </c>
    </row>
    <row r="708" spans="1:2" x14ac:dyDescent="0.35">
      <c r="A708" s="14">
        <v>42255.448587962965</v>
      </c>
      <c r="B708" s="5">
        <v>1</v>
      </c>
    </row>
    <row r="709" spans="1:2" x14ac:dyDescent="0.35">
      <c r="A709" s="14">
        <v>42255.534236111111</v>
      </c>
      <c r="B709" s="5">
        <v>1</v>
      </c>
    </row>
    <row r="710" spans="1:2" x14ac:dyDescent="0.35">
      <c r="A710" s="14">
        <v>42255.536469907405</v>
      </c>
      <c r="B710" s="5">
        <v>1</v>
      </c>
    </row>
    <row r="711" spans="1:2" x14ac:dyDescent="0.35">
      <c r="A711" s="14">
        <v>42255.539074074077</v>
      </c>
      <c r="B711" s="5">
        <v>1</v>
      </c>
    </row>
    <row r="712" spans="1:2" x14ac:dyDescent="0.35">
      <c r="A712" s="14">
        <v>42255.576249999998</v>
      </c>
      <c r="B712" s="5">
        <v>1</v>
      </c>
    </row>
    <row r="713" spans="1:2" x14ac:dyDescent="0.35">
      <c r="A713" s="14">
        <v>42255.578020833331</v>
      </c>
      <c r="B713" s="5">
        <v>1</v>
      </c>
    </row>
    <row r="714" spans="1:2" x14ac:dyDescent="0.35">
      <c r="A714" s="14">
        <v>42255.581111111111</v>
      </c>
      <c r="B714" s="5">
        <v>1</v>
      </c>
    </row>
    <row r="715" spans="1:2" x14ac:dyDescent="0.35">
      <c r="A715" s="14">
        <v>42255.582557870373</v>
      </c>
      <c r="B715" s="5">
        <v>1</v>
      </c>
    </row>
    <row r="716" spans="1:2" x14ac:dyDescent="0.35">
      <c r="A716" s="14">
        <v>42255.583032407405</v>
      </c>
      <c r="B716" s="5">
        <v>1</v>
      </c>
    </row>
    <row r="717" spans="1:2" x14ac:dyDescent="0.35">
      <c r="A717" s="14">
        <v>42255.583333333336</v>
      </c>
      <c r="B717" s="5">
        <v>1</v>
      </c>
    </row>
    <row r="718" spans="1:2" x14ac:dyDescent="0.35">
      <c r="A718" s="14">
        <v>42255.584270833337</v>
      </c>
      <c r="B718" s="5">
        <v>1</v>
      </c>
    </row>
    <row r="719" spans="1:2" x14ac:dyDescent="0.35">
      <c r="A719" s="14">
        <v>42255.584999999999</v>
      </c>
      <c r="B719" s="5">
        <v>1</v>
      </c>
    </row>
    <row r="720" spans="1:2" x14ac:dyDescent="0.35">
      <c r="A720" s="14">
        <v>42255.585162037038</v>
      </c>
      <c r="B720" s="5">
        <v>1</v>
      </c>
    </row>
    <row r="721" spans="1:2" x14ac:dyDescent="0.35">
      <c r="A721" s="14">
        <v>42255.596145833333</v>
      </c>
      <c r="B721" s="5">
        <v>1</v>
      </c>
    </row>
    <row r="722" spans="1:2" x14ac:dyDescent="0.35">
      <c r="A722" s="14">
        <v>42255.6094212963</v>
      </c>
      <c r="B722" s="5">
        <v>1</v>
      </c>
    </row>
    <row r="723" spans="1:2" x14ac:dyDescent="0.35">
      <c r="A723" s="14">
        <v>42255.609652777777</v>
      </c>
      <c r="B723" s="5">
        <v>2</v>
      </c>
    </row>
    <row r="724" spans="1:2" x14ac:dyDescent="0.35">
      <c r="A724" s="14">
        <v>42255.613437499997</v>
      </c>
      <c r="B724" s="5">
        <v>1</v>
      </c>
    </row>
    <row r="725" spans="1:2" x14ac:dyDescent="0.35">
      <c r="A725" s="14">
        <v>42255.613495370373</v>
      </c>
      <c r="B725" s="5">
        <v>1</v>
      </c>
    </row>
    <row r="726" spans="1:2" x14ac:dyDescent="0.35">
      <c r="A726" s="14">
        <v>42255.613645833335</v>
      </c>
      <c r="B726" s="5">
        <v>1</v>
      </c>
    </row>
    <row r="727" spans="1:2" x14ac:dyDescent="0.35">
      <c r="A727" s="14">
        <v>42255.624884259261</v>
      </c>
      <c r="B727" s="5">
        <v>1</v>
      </c>
    </row>
    <row r="728" spans="1:2" x14ac:dyDescent="0.35">
      <c r="A728" s="14">
        <v>42255.66202546296</v>
      </c>
      <c r="B728" s="5">
        <v>1</v>
      </c>
    </row>
    <row r="729" spans="1:2" x14ac:dyDescent="0.35">
      <c r="A729" s="14">
        <v>42255.6640162037</v>
      </c>
      <c r="B729" s="5">
        <v>1</v>
      </c>
    </row>
    <row r="730" spans="1:2" x14ac:dyDescent="0.35">
      <c r="A730" s="14">
        <v>42255.672129629631</v>
      </c>
      <c r="B730" s="5">
        <v>1</v>
      </c>
    </row>
    <row r="731" spans="1:2" x14ac:dyDescent="0.35">
      <c r="A731" s="14">
        <v>42255.673171296294</v>
      </c>
      <c r="B731" s="5">
        <v>1</v>
      </c>
    </row>
    <row r="732" spans="1:2" x14ac:dyDescent="0.35">
      <c r="A732" s="14">
        <v>42255.699594907404</v>
      </c>
      <c r="B732" s="5">
        <v>1</v>
      </c>
    </row>
    <row r="733" spans="1:2" x14ac:dyDescent="0.35">
      <c r="A733" s="14">
        <v>42255.717499999999</v>
      </c>
      <c r="B733" s="5">
        <v>1</v>
      </c>
    </row>
    <row r="734" spans="1:2" x14ac:dyDescent="0.35">
      <c r="A734" s="14">
        <v>42255.71769675926</v>
      </c>
      <c r="B734" s="5">
        <v>2</v>
      </c>
    </row>
    <row r="735" spans="1:2" x14ac:dyDescent="0.35">
      <c r="A735" s="14">
        <v>42255.732523148145</v>
      </c>
      <c r="B735" s="5">
        <v>1</v>
      </c>
    </row>
    <row r="736" spans="1:2" x14ac:dyDescent="0.35">
      <c r="A736" s="14">
        <v>42255.775706018518</v>
      </c>
      <c r="B736" s="5">
        <v>1</v>
      </c>
    </row>
    <row r="737" spans="1:2" x14ac:dyDescent="0.35">
      <c r="A737" s="14">
        <v>42255.787268518521</v>
      </c>
      <c r="B737" s="5">
        <v>1</v>
      </c>
    </row>
    <row r="738" spans="1:2" x14ac:dyDescent="0.35">
      <c r="A738" s="14">
        <v>42255.804606481484</v>
      </c>
      <c r="B738" s="5">
        <v>1</v>
      </c>
    </row>
    <row r="739" spans="1:2" x14ac:dyDescent="0.35">
      <c r="A739" s="14">
        <v>42255.812557870369</v>
      </c>
      <c r="B739" s="5">
        <v>1</v>
      </c>
    </row>
    <row r="740" spans="1:2" x14ac:dyDescent="0.35">
      <c r="A740" s="14">
        <v>42255.834537037037</v>
      </c>
      <c r="B740" s="5">
        <v>1</v>
      </c>
    </row>
    <row r="741" spans="1:2" x14ac:dyDescent="0.35">
      <c r="A741" s="14">
        <v>42255.8437962963</v>
      </c>
      <c r="B741" s="5">
        <v>1</v>
      </c>
    </row>
    <row r="742" spans="1:2" x14ac:dyDescent="0.35">
      <c r="A742" s="14">
        <v>42255.846296296295</v>
      </c>
      <c r="B742" s="5">
        <v>1</v>
      </c>
    </row>
    <row r="743" spans="1:2" x14ac:dyDescent="0.35">
      <c r="A743" s="14">
        <v>42255.846921296295</v>
      </c>
      <c r="B743" s="5">
        <v>1</v>
      </c>
    </row>
    <row r="744" spans="1:2" x14ac:dyDescent="0.35">
      <c r="A744" s="14">
        <v>42255.915902777779</v>
      </c>
      <c r="B744" s="5">
        <v>1</v>
      </c>
    </row>
    <row r="745" spans="1:2" x14ac:dyDescent="0.35">
      <c r="A745" s="14">
        <v>42255.919895833336</v>
      </c>
      <c r="B745" s="5">
        <v>1</v>
      </c>
    </row>
    <row r="746" spans="1:2" x14ac:dyDescent="0.35">
      <c r="A746" s="14">
        <v>42255.941122685188</v>
      </c>
      <c r="B746" s="5">
        <v>1</v>
      </c>
    </row>
    <row r="747" spans="1:2" x14ac:dyDescent="0.35">
      <c r="A747" s="14">
        <v>42256.072847222225</v>
      </c>
      <c r="B747" s="5">
        <v>1</v>
      </c>
    </row>
    <row r="748" spans="1:2" x14ac:dyDescent="0.35">
      <c r="A748" s="14">
        <v>42256.158541666664</v>
      </c>
      <c r="B748" s="5">
        <v>1</v>
      </c>
    </row>
    <row r="749" spans="1:2" x14ac:dyDescent="0.35">
      <c r="A749" s="14">
        <v>42256.24019675926</v>
      </c>
      <c r="B749" s="5">
        <v>1</v>
      </c>
    </row>
    <row r="750" spans="1:2" x14ac:dyDescent="0.35">
      <c r="A750" s="14">
        <v>42256.50712962963</v>
      </c>
      <c r="B750" s="5">
        <v>1</v>
      </c>
    </row>
    <row r="751" spans="1:2" x14ac:dyDescent="0.35">
      <c r="A751" s="14">
        <v>42256.576608796298</v>
      </c>
      <c r="B751" s="5">
        <v>1</v>
      </c>
    </row>
    <row r="752" spans="1:2" x14ac:dyDescent="0.35">
      <c r="A752" s="14">
        <v>42256.580555555556</v>
      </c>
      <c r="B752" s="5">
        <v>1</v>
      </c>
    </row>
    <row r="753" spans="1:2" x14ac:dyDescent="0.35">
      <c r="A753" s="14">
        <v>42256.584965277776</v>
      </c>
      <c r="B753" s="5">
        <v>1</v>
      </c>
    </row>
    <row r="754" spans="1:2" x14ac:dyDescent="0.35">
      <c r="A754" s="14">
        <v>42256.585775462961</v>
      </c>
      <c r="B754" s="5">
        <v>1</v>
      </c>
    </row>
    <row r="755" spans="1:2" x14ac:dyDescent="0.35">
      <c r="A755" s="14">
        <v>42256.588067129633</v>
      </c>
      <c r="B755" s="5">
        <v>1</v>
      </c>
    </row>
    <row r="756" spans="1:2" x14ac:dyDescent="0.35">
      <c r="A756" s="14">
        <v>42256.59511574074</v>
      </c>
      <c r="B756" s="5">
        <v>1</v>
      </c>
    </row>
    <row r="757" spans="1:2" x14ac:dyDescent="0.35">
      <c r="A757" s="14">
        <v>42256.629710648151</v>
      </c>
      <c r="B757" s="5">
        <v>1</v>
      </c>
    </row>
    <row r="758" spans="1:2" x14ac:dyDescent="0.35">
      <c r="A758" s="14">
        <v>42256.642557870371</v>
      </c>
      <c r="B758" s="5">
        <v>1</v>
      </c>
    </row>
    <row r="759" spans="1:2" x14ac:dyDescent="0.35">
      <c r="A759" s="14">
        <v>42256.700578703705</v>
      </c>
      <c r="B759" s="5">
        <v>1</v>
      </c>
    </row>
    <row r="760" spans="1:2" x14ac:dyDescent="0.35">
      <c r="A760" s="14">
        <v>42256.72278935185</v>
      </c>
      <c r="B760" s="5">
        <v>1</v>
      </c>
    </row>
    <row r="761" spans="1:2" x14ac:dyDescent="0.35">
      <c r="A761" s="14">
        <v>42256.722858796296</v>
      </c>
      <c r="B761" s="5">
        <v>1</v>
      </c>
    </row>
    <row r="762" spans="1:2" x14ac:dyDescent="0.35">
      <c r="A762" s="14">
        <v>42256.745150462964</v>
      </c>
      <c r="B762" s="5">
        <v>1</v>
      </c>
    </row>
    <row r="763" spans="1:2" x14ac:dyDescent="0.35">
      <c r="A763" s="14">
        <v>42256.759166666663</v>
      </c>
      <c r="B763" s="5">
        <v>1</v>
      </c>
    </row>
    <row r="764" spans="1:2" x14ac:dyDescent="0.35">
      <c r="A764" s="14">
        <v>42256.76898148148</v>
      </c>
      <c r="B764" s="5">
        <v>1</v>
      </c>
    </row>
    <row r="765" spans="1:2" x14ac:dyDescent="0.35">
      <c r="A765" s="14">
        <v>42256.773078703707</v>
      </c>
      <c r="B765" s="5">
        <v>1</v>
      </c>
    </row>
    <row r="766" spans="1:2" x14ac:dyDescent="0.35">
      <c r="A766" s="14">
        <v>42256.788703703707</v>
      </c>
      <c r="B766" s="5">
        <v>1</v>
      </c>
    </row>
    <row r="767" spans="1:2" x14ac:dyDescent="0.35">
      <c r="A767" s="14">
        <v>42256.790949074071</v>
      </c>
      <c r="B767" s="5">
        <v>1</v>
      </c>
    </row>
    <row r="768" spans="1:2" x14ac:dyDescent="0.35">
      <c r="A768" s="14">
        <v>42256.791006944448</v>
      </c>
      <c r="B768" s="5">
        <v>1</v>
      </c>
    </row>
    <row r="769" spans="1:2" x14ac:dyDescent="0.35">
      <c r="A769" s="14">
        <v>42256.791145833333</v>
      </c>
      <c r="B769" s="5">
        <v>1</v>
      </c>
    </row>
    <row r="770" spans="1:2" x14ac:dyDescent="0.35">
      <c r="A770" s="14">
        <v>42256.806608796294</v>
      </c>
      <c r="B770" s="5">
        <v>1</v>
      </c>
    </row>
    <row r="771" spans="1:2" x14ac:dyDescent="0.35">
      <c r="A771" s="14">
        <v>42256.806712962964</v>
      </c>
      <c r="B771" s="5">
        <v>1</v>
      </c>
    </row>
    <row r="772" spans="1:2" x14ac:dyDescent="0.35">
      <c r="A772" s="14">
        <v>42256.812881944446</v>
      </c>
      <c r="B772" s="5">
        <v>1</v>
      </c>
    </row>
    <row r="773" spans="1:2" x14ac:dyDescent="0.35">
      <c r="A773" s="14">
        <v>42256.820162037038</v>
      </c>
      <c r="B773" s="5">
        <v>1</v>
      </c>
    </row>
    <row r="774" spans="1:2" x14ac:dyDescent="0.35">
      <c r="A774" s="14">
        <v>42256.827986111108</v>
      </c>
      <c r="B774" s="5">
        <v>1</v>
      </c>
    </row>
    <row r="775" spans="1:2" x14ac:dyDescent="0.35">
      <c r="A775" s="14">
        <v>42256.836226851854</v>
      </c>
      <c r="B775" s="5">
        <v>1</v>
      </c>
    </row>
    <row r="776" spans="1:2" x14ac:dyDescent="0.35">
      <c r="A776" s="14">
        <v>42256.83834490741</v>
      </c>
      <c r="B776" s="5">
        <v>1</v>
      </c>
    </row>
    <row r="777" spans="1:2" x14ac:dyDescent="0.35">
      <c r="A777" s="14">
        <v>42256.84097222222</v>
      </c>
      <c r="B777" s="5">
        <v>1</v>
      </c>
    </row>
    <row r="778" spans="1:2" x14ac:dyDescent="0.35">
      <c r="A778" s="14">
        <v>42256.848668981482</v>
      </c>
      <c r="B778" s="5">
        <v>1</v>
      </c>
    </row>
    <row r="779" spans="1:2" x14ac:dyDescent="0.35">
      <c r="A779" s="14">
        <v>42256.849039351851</v>
      </c>
      <c r="B779" s="5">
        <v>1</v>
      </c>
    </row>
    <row r="780" spans="1:2" x14ac:dyDescent="0.35">
      <c r="A780" s="14">
        <v>42256.849131944444</v>
      </c>
      <c r="B780" s="5">
        <v>1</v>
      </c>
    </row>
    <row r="781" spans="1:2" x14ac:dyDescent="0.35">
      <c r="A781" s="14">
        <v>42256.864386574074</v>
      </c>
      <c r="B781" s="5">
        <v>1</v>
      </c>
    </row>
    <row r="782" spans="1:2" x14ac:dyDescent="0.35">
      <c r="A782" s="14">
        <v>42256.868483796294</v>
      </c>
      <c r="B782" s="5">
        <v>1</v>
      </c>
    </row>
    <row r="783" spans="1:2" x14ac:dyDescent="0.35">
      <c r="A783" s="14">
        <v>42256.900127314817</v>
      </c>
      <c r="B783" s="5">
        <v>1</v>
      </c>
    </row>
    <row r="784" spans="1:2" x14ac:dyDescent="0.35">
      <c r="A784" s="14">
        <v>42257.001481481479</v>
      </c>
      <c r="B784" s="5">
        <v>1</v>
      </c>
    </row>
    <row r="785" spans="1:2" x14ac:dyDescent="0.35">
      <c r="A785" s="14">
        <v>42257.004490740743</v>
      </c>
      <c r="B785" s="5">
        <v>1</v>
      </c>
    </row>
    <row r="786" spans="1:2" x14ac:dyDescent="0.35">
      <c r="A786" s="14">
        <v>42257.006458333337</v>
      </c>
      <c r="B786" s="5">
        <v>1</v>
      </c>
    </row>
    <row r="787" spans="1:2" x14ac:dyDescent="0.35">
      <c r="A787" s="14">
        <v>42257.006944444445</v>
      </c>
      <c r="B787" s="5">
        <v>1</v>
      </c>
    </row>
    <row r="788" spans="1:2" x14ac:dyDescent="0.35">
      <c r="A788" s="14">
        <v>42257.075590277775</v>
      </c>
      <c r="B788" s="5">
        <v>1</v>
      </c>
    </row>
    <row r="789" spans="1:2" x14ac:dyDescent="0.35">
      <c r="A789" s="14">
        <v>42257.076701388891</v>
      </c>
      <c r="B789" s="5">
        <v>1</v>
      </c>
    </row>
    <row r="790" spans="1:2" x14ac:dyDescent="0.35">
      <c r="A790" s="14">
        <v>42257.079895833333</v>
      </c>
      <c r="B790" s="5">
        <v>1</v>
      </c>
    </row>
    <row r="791" spans="1:2" x14ac:dyDescent="0.35">
      <c r="A791" s="14">
        <v>42257.098032407404</v>
      </c>
      <c r="B791" s="5">
        <v>1</v>
      </c>
    </row>
    <row r="792" spans="1:2" x14ac:dyDescent="0.35">
      <c r="A792" s="14">
        <v>42257.102743055555</v>
      </c>
      <c r="B792" s="5">
        <v>1</v>
      </c>
    </row>
    <row r="793" spans="1:2" x14ac:dyDescent="0.35">
      <c r="A793" s="14">
        <v>42257.103622685187</v>
      </c>
      <c r="B793" s="5">
        <v>1</v>
      </c>
    </row>
    <row r="794" spans="1:2" x14ac:dyDescent="0.35">
      <c r="A794" s="14">
        <v>42257.156099537038</v>
      </c>
      <c r="B794" s="5">
        <v>1</v>
      </c>
    </row>
    <row r="795" spans="1:2" x14ac:dyDescent="0.35">
      <c r="A795" s="14">
        <v>42257.180902777778</v>
      </c>
      <c r="B795" s="5">
        <v>1</v>
      </c>
    </row>
    <row r="796" spans="1:2" x14ac:dyDescent="0.35">
      <c r="A796" s="14">
        <v>42257.564699074072</v>
      </c>
      <c r="B796" s="5">
        <v>1</v>
      </c>
    </row>
    <row r="797" spans="1:2" x14ac:dyDescent="0.35">
      <c r="A797" s="14">
        <v>42257.567754629628</v>
      </c>
      <c r="B797" s="5">
        <v>1</v>
      </c>
    </row>
    <row r="798" spans="1:2" x14ac:dyDescent="0.35">
      <c r="A798" s="14">
        <v>42257.5783912037</v>
      </c>
      <c r="B798" s="5">
        <v>1</v>
      </c>
    </row>
    <row r="799" spans="1:2" x14ac:dyDescent="0.35">
      <c r="A799" s="14">
        <v>42257.586493055554</v>
      </c>
      <c r="B799" s="5">
        <v>1</v>
      </c>
    </row>
    <row r="800" spans="1:2" x14ac:dyDescent="0.35">
      <c r="A800" s="14">
        <v>42257.612326388888</v>
      </c>
      <c r="B800" s="5">
        <v>1</v>
      </c>
    </row>
    <row r="801" spans="1:2" x14ac:dyDescent="0.35">
      <c r="A801" s="14">
        <v>42257.638842592591</v>
      </c>
      <c r="B801" s="5">
        <v>1</v>
      </c>
    </row>
    <row r="802" spans="1:2" x14ac:dyDescent="0.35">
      <c r="A802" s="14">
        <v>42257.714618055557</v>
      </c>
      <c r="B802" s="5">
        <v>1</v>
      </c>
    </row>
    <row r="803" spans="1:2" x14ac:dyDescent="0.35">
      <c r="A803" s="14">
        <v>42257.728495370371</v>
      </c>
      <c r="B803" s="5">
        <v>1</v>
      </c>
    </row>
    <row r="804" spans="1:2" x14ac:dyDescent="0.35">
      <c r="A804" s="14">
        <v>42257.78361111111</v>
      </c>
      <c r="B804" s="5">
        <v>1</v>
      </c>
    </row>
    <row r="805" spans="1:2" x14ac:dyDescent="0.35">
      <c r="A805" s="14">
        <v>42257.783634259256</v>
      </c>
      <c r="B805" s="5">
        <v>1</v>
      </c>
    </row>
    <row r="806" spans="1:2" x14ac:dyDescent="0.35">
      <c r="A806" s="14">
        <v>42257.807800925926</v>
      </c>
      <c r="B806" s="5">
        <v>1</v>
      </c>
    </row>
    <row r="807" spans="1:2" x14ac:dyDescent="0.35">
      <c r="A807" s="14">
        <v>42257.824884259258</v>
      </c>
      <c r="B807" s="5">
        <v>1</v>
      </c>
    </row>
    <row r="808" spans="1:2" x14ac:dyDescent="0.35">
      <c r="A808" s="14">
        <v>42257.827187499999</v>
      </c>
      <c r="B808" s="5">
        <v>1</v>
      </c>
    </row>
    <row r="809" spans="1:2" x14ac:dyDescent="0.35">
      <c r="A809" s="14">
        <v>42257.847199074073</v>
      </c>
      <c r="B809" s="5">
        <v>1</v>
      </c>
    </row>
    <row r="810" spans="1:2" x14ac:dyDescent="0.35">
      <c r="A810" s="14">
        <v>42257.848229166666</v>
      </c>
      <c r="B810" s="5">
        <v>2</v>
      </c>
    </row>
    <row r="811" spans="1:2" x14ac:dyDescent="0.35">
      <c r="A811" s="14">
        <v>42257.873020833336</v>
      </c>
      <c r="B811" s="5">
        <v>1</v>
      </c>
    </row>
    <row r="812" spans="1:2" x14ac:dyDescent="0.35">
      <c r="A812" s="14">
        <v>42257.876527777778</v>
      </c>
      <c r="B812" s="5">
        <v>1</v>
      </c>
    </row>
    <row r="813" spans="1:2" x14ac:dyDescent="0.35">
      <c r="A813" s="14">
        <v>42257.91746527778</v>
      </c>
      <c r="B813" s="5">
        <v>1</v>
      </c>
    </row>
    <row r="814" spans="1:2" x14ac:dyDescent="0.35">
      <c r="A814" s="14">
        <v>42257.936620370368</v>
      </c>
      <c r="B814" s="5">
        <v>1</v>
      </c>
    </row>
    <row r="815" spans="1:2" x14ac:dyDescent="0.35">
      <c r="A815" s="14">
        <v>42257.937476851854</v>
      </c>
      <c r="B815" s="5">
        <v>2</v>
      </c>
    </row>
    <row r="816" spans="1:2" x14ac:dyDescent="0.35">
      <c r="A816" s="14">
        <v>42257.943414351852</v>
      </c>
      <c r="B816" s="5">
        <v>1</v>
      </c>
    </row>
    <row r="817" spans="1:2" x14ac:dyDescent="0.35">
      <c r="A817" s="14">
        <v>42257.949293981481</v>
      </c>
      <c r="B817" s="5">
        <v>1</v>
      </c>
    </row>
    <row r="818" spans="1:2" x14ac:dyDescent="0.35">
      <c r="A818" s="14">
        <v>42257.975752314815</v>
      </c>
      <c r="B818" s="5">
        <v>1</v>
      </c>
    </row>
    <row r="819" spans="1:2" x14ac:dyDescent="0.35">
      <c r="A819" s="14">
        <v>42258.015844907408</v>
      </c>
      <c r="B819" s="5">
        <v>1</v>
      </c>
    </row>
    <row r="820" spans="1:2" x14ac:dyDescent="0.35">
      <c r="A820" s="14">
        <v>42258.035462962966</v>
      </c>
      <c r="B820" s="5">
        <v>1</v>
      </c>
    </row>
    <row r="821" spans="1:2" x14ac:dyDescent="0.35">
      <c r="A821" s="14">
        <v>42258.050185185188</v>
      </c>
      <c r="B821" s="5">
        <v>1</v>
      </c>
    </row>
    <row r="822" spans="1:2" x14ac:dyDescent="0.35">
      <c r="A822" s="14">
        <v>42258.100335648145</v>
      </c>
      <c r="B822" s="5">
        <v>1</v>
      </c>
    </row>
    <row r="823" spans="1:2" x14ac:dyDescent="0.35">
      <c r="A823" s="14">
        <v>42258.101423611108</v>
      </c>
      <c r="B823" s="5">
        <v>1</v>
      </c>
    </row>
    <row r="824" spans="1:2" x14ac:dyDescent="0.35">
      <c r="A824" s="14">
        <v>42258.107858796298</v>
      </c>
      <c r="B824" s="5">
        <v>1</v>
      </c>
    </row>
    <row r="825" spans="1:2" x14ac:dyDescent="0.35">
      <c r="A825" s="14">
        <v>42258.13177083333</v>
      </c>
      <c r="B825" s="5">
        <v>1</v>
      </c>
    </row>
    <row r="826" spans="1:2" x14ac:dyDescent="0.35">
      <c r="A826" s="14">
        <v>42258.133587962962</v>
      </c>
      <c r="B826" s="5">
        <v>1</v>
      </c>
    </row>
    <row r="827" spans="1:2" x14ac:dyDescent="0.35">
      <c r="A827" s="14">
        <v>42258.134733796294</v>
      </c>
      <c r="B827" s="5">
        <v>2</v>
      </c>
    </row>
    <row r="828" spans="1:2" x14ac:dyDescent="0.35">
      <c r="A828" s="14">
        <v>42258.134988425925</v>
      </c>
      <c r="B828" s="5">
        <v>1</v>
      </c>
    </row>
    <row r="829" spans="1:2" x14ac:dyDescent="0.35">
      <c r="A829" s="14">
        <v>42258.13758101852</v>
      </c>
      <c r="B829" s="5">
        <v>1</v>
      </c>
    </row>
    <row r="830" spans="1:2" x14ac:dyDescent="0.35">
      <c r="A830" s="14">
        <v>42258.139409722222</v>
      </c>
      <c r="B830" s="5">
        <v>1</v>
      </c>
    </row>
    <row r="831" spans="1:2" x14ac:dyDescent="0.35">
      <c r="A831" s="14">
        <v>42258.512418981481</v>
      </c>
      <c r="B831" s="5">
        <v>1</v>
      </c>
    </row>
    <row r="832" spans="1:2" x14ac:dyDescent="0.35">
      <c r="A832" s="14">
        <v>42258.513043981482</v>
      </c>
      <c r="B832" s="5">
        <v>1</v>
      </c>
    </row>
    <row r="833" spans="1:2" x14ac:dyDescent="0.35">
      <c r="A833" s="14">
        <v>42258.513194444444</v>
      </c>
      <c r="B833" s="5">
        <v>1</v>
      </c>
    </row>
    <row r="834" spans="1:2" x14ac:dyDescent="0.35">
      <c r="A834" s="14">
        <v>42258.51321759259</v>
      </c>
      <c r="B834" s="5">
        <v>1</v>
      </c>
    </row>
    <row r="835" spans="1:2" x14ac:dyDescent="0.35">
      <c r="A835" s="14">
        <v>42258.513344907406</v>
      </c>
      <c r="B835" s="5">
        <v>1</v>
      </c>
    </row>
    <row r="836" spans="1:2" x14ac:dyDescent="0.35">
      <c r="A836" s="14">
        <v>42258.527673611112</v>
      </c>
      <c r="B836" s="5">
        <v>1</v>
      </c>
    </row>
    <row r="837" spans="1:2" x14ac:dyDescent="0.35">
      <c r="A837" s="14">
        <v>42258.527858796297</v>
      </c>
      <c r="B837" s="5">
        <v>2</v>
      </c>
    </row>
    <row r="838" spans="1:2" x14ac:dyDescent="0.35">
      <c r="A838" s="14">
        <v>42258.544560185182</v>
      </c>
      <c r="B838" s="5">
        <v>1</v>
      </c>
    </row>
    <row r="839" spans="1:2" x14ac:dyDescent="0.35">
      <c r="A839" s="14">
        <v>42258.575416666667</v>
      </c>
      <c r="B839" s="5">
        <v>1</v>
      </c>
    </row>
    <row r="840" spans="1:2" x14ac:dyDescent="0.35">
      <c r="A840" s="14">
        <v>42258.58934027778</v>
      </c>
      <c r="B840" s="5">
        <v>1</v>
      </c>
    </row>
    <row r="841" spans="1:2" x14ac:dyDescent="0.35">
      <c r="A841" s="14">
        <v>42258.589456018519</v>
      </c>
      <c r="B841" s="5">
        <v>2</v>
      </c>
    </row>
    <row r="842" spans="1:2" x14ac:dyDescent="0.35">
      <c r="A842" s="14">
        <v>42258.613611111112</v>
      </c>
      <c r="B842" s="5">
        <v>1</v>
      </c>
    </row>
    <row r="843" spans="1:2" x14ac:dyDescent="0.35">
      <c r="A843" s="14">
        <v>42258.613692129627</v>
      </c>
      <c r="B843" s="5">
        <v>1</v>
      </c>
    </row>
    <row r="844" spans="1:2" x14ac:dyDescent="0.35">
      <c r="A844" s="14">
        <v>42258.643923611111</v>
      </c>
      <c r="B844" s="5">
        <v>1</v>
      </c>
    </row>
    <row r="845" spans="1:2" x14ac:dyDescent="0.35">
      <c r="A845" s="14">
        <v>42258.674803240741</v>
      </c>
      <c r="B845" s="5">
        <v>1</v>
      </c>
    </row>
    <row r="846" spans="1:2" x14ac:dyDescent="0.35">
      <c r="A846" s="14">
        <v>42258.675509259258</v>
      </c>
      <c r="B846" s="5">
        <v>2</v>
      </c>
    </row>
    <row r="847" spans="1:2" x14ac:dyDescent="0.35">
      <c r="A847" s="14">
        <v>42258.677800925929</v>
      </c>
      <c r="B847" s="5">
        <v>1</v>
      </c>
    </row>
    <row r="848" spans="1:2" x14ac:dyDescent="0.35">
      <c r="A848" s="14">
        <v>42258.680324074077</v>
      </c>
      <c r="B848" s="5">
        <v>1</v>
      </c>
    </row>
    <row r="849" spans="1:2" x14ac:dyDescent="0.35">
      <c r="A849" s="14">
        <v>42258.68408564815</v>
      </c>
      <c r="B849" s="5">
        <v>1</v>
      </c>
    </row>
    <row r="850" spans="1:2" x14ac:dyDescent="0.35">
      <c r="A850" s="14">
        <v>42258.685601851852</v>
      </c>
      <c r="B850" s="5">
        <v>1</v>
      </c>
    </row>
    <row r="851" spans="1:2" x14ac:dyDescent="0.35">
      <c r="A851" s="14">
        <v>42258.694965277777</v>
      </c>
      <c r="B851" s="5">
        <v>1</v>
      </c>
    </row>
    <row r="852" spans="1:2" x14ac:dyDescent="0.35">
      <c r="A852" s="14">
        <v>42258.695150462961</v>
      </c>
      <c r="B852" s="5">
        <v>1</v>
      </c>
    </row>
    <row r="853" spans="1:2" x14ac:dyDescent="0.35">
      <c r="A853" s="14">
        <v>42258.699097222219</v>
      </c>
      <c r="B853" s="5">
        <v>1</v>
      </c>
    </row>
    <row r="854" spans="1:2" x14ac:dyDescent="0.35">
      <c r="A854" s="14">
        <v>42258.747800925928</v>
      </c>
      <c r="B854" s="5">
        <v>1</v>
      </c>
    </row>
    <row r="855" spans="1:2" x14ac:dyDescent="0.35">
      <c r="A855" s="14">
        <v>42258.787557870368</v>
      </c>
      <c r="B855" s="5">
        <v>1</v>
      </c>
    </row>
    <row r="856" spans="1:2" x14ac:dyDescent="0.35">
      <c r="A856" s="14">
        <v>42258.787800925929</v>
      </c>
      <c r="B856" s="5">
        <v>1</v>
      </c>
    </row>
    <row r="857" spans="1:2" x14ac:dyDescent="0.35">
      <c r="A857" s="14">
        <v>42258.788171296299</v>
      </c>
      <c r="B857" s="5">
        <v>1</v>
      </c>
    </row>
    <row r="858" spans="1:2" x14ac:dyDescent="0.35">
      <c r="A858" s="14">
        <v>42258.794861111113</v>
      </c>
      <c r="B858" s="5">
        <v>1</v>
      </c>
    </row>
    <row r="859" spans="1:2" x14ac:dyDescent="0.35">
      <c r="A859" s="14">
        <v>42258.796273148146</v>
      </c>
      <c r="B859" s="5">
        <v>1</v>
      </c>
    </row>
    <row r="860" spans="1:2" x14ac:dyDescent="0.35">
      <c r="A860" s="14">
        <v>42258.803796296299</v>
      </c>
      <c r="B860" s="5">
        <v>1</v>
      </c>
    </row>
    <row r="861" spans="1:2" x14ac:dyDescent="0.35">
      <c r="A861" s="14">
        <v>42258.805567129632</v>
      </c>
      <c r="B861" s="5">
        <v>1</v>
      </c>
    </row>
    <row r="862" spans="1:2" x14ac:dyDescent="0.35">
      <c r="A862" s="14">
        <v>42258.810532407406</v>
      </c>
      <c r="B862" s="5">
        <v>1</v>
      </c>
    </row>
    <row r="863" spans="1:2" x14ac:dyDescent="0.35">
      <c r="A863" s="14">
        <v>42258.811041666668</v>
      </c>
      <c r="B863" s="5">
        <v>1</v>
      </c>
    </row>
    <row r="864" spans="1:2" x14ac:dyDescent="0.35">
      <c r="A864" s="14">
        <v>42258.811354166668</v>
      </c>
      <c r="B864" s="5">
        <v>1</v>
      </c>
    </row>
    <row r="865" spans="1:2" x14ac:dyDescent="0.35">
      <c r="A865" s="14">
        <v>42258.811689814815</v>
      </c>
      <c r="B865" s="5">
        <v>2</v>
      </c>
    </row>
    <row r="866" spans="1:2" x14ac:dyDescent="0.35">
      <c r="A866" s="14">
        <v>42258.812592592592</v>
      </c>
      <c r="B866" s="5">
        <v>1</v>
      </c>
    </row>
    <row r="867" spans="1:2" x14ac:dyDescent="0.35">
      <c r="A867" s="14">
        <v>42258.815208333333</v>
      </c>
      <c r="B867" s="5">
        <v>1</v>
      </c>
    </row>
    <row r="868" spans="1:2" x14ac:dyDescent="0.35">
      <c r="A868" s="14">
        <v>42258.84715277778</v>
      </c>
      <c r="B868" s="5">
        <v>1</v>
      </c>
    </row>
    <row r="869" spans="1:2" x14ac:dyDescent="0.35">
      <c r="A869" s="14">
        <v>42258.852581018517</v>
      </c>
      <c r="B869" s="5">
        <v>1</v>
      </c>
    </row>
    <row r="870" spans="1:2" x14ac:dyDescent="0.35">
      <c r="A870" s="14">
        <v>42258.857222222221</v>
      </c>
      <c r="B870" s="5">
        <v>1</v>
      </c>
    </row>
    <row r="871" spans="1:2" x14ac:dyDescent="0.35">
      <c r="A871" s="14">
        <v>42258.859143518515</v>
      </c>
      <c r="B871" s="5">
        <v>1</v>
      </c>
    </row>
    <row r="872" spans="1:2" x14ac:dyDescent="0.35">
      <c r="A872" s="14">
        <v>42258.877523148149</v>
      </c>
      <c r="B872" s="5">
        <v>1</v>
      </c>
    </row>
    <row r="873" spans="1:2" x14ac:dyDescent="0.35">
      <c r="A873" s="14">
        <v>42258.895902777775</v>
      </c>
      <c r="B873" s="5">
        <v>1</v>
      </c>
    </row>
    <row r="874" spans="1:2" x14ac:dyDescent="0.35">
      <c r="A874" s="14">
        <v>42258.899016203701</v>
      </c>
      <c r="B874" s="5">
        <v>1</v>
      </c>
    </row>
    <row r="875" spans="1:2" x14ac:dyDescent="0.35">
      <c r="A875" s="14">
        <v>42258.899386574078</v>
      </c>
      <c r="B875" s="5">
        <v>1</v>
      </c>
    </row>
    <row r="876" spans="1:2" x14ac:dyDescent="0.35">
      <c r="A876" s="14">
        <v>42258.92664351852</v>
      </c>
      <c r="B876" s="5">
        <v>1</v>
      </c>
    </row>
    <row r="877" spans="1:2" x14ac:dyDescent="0.35">
      <c r="A877" s="14">
        <v>42258.927175925928</v>
      </c>
      <c r="B877" s="5">
        <v>2</v>
      </c>
    </row>
    <row r="878" spans="1:2" x14ac:dyDescent="0.35">
      <c r="A878" s="14">
        <v>42259.135289351849</v>
      </c>
      <c r="B878" s="5">
        <v>1</v>
      </c>
    </row>
    <row r="879" spans="1:2" x14ac:dyDescent="0.35">
      <c r="A879" s="14">
        <v>42259.495243055557</v>
      </c>
      <c r="B879" s="5">
        <v>1</v>
      </c>
    </row>
    <row r="880" spans="1:2" x14ac:dyDescent="0.35">
      <c r="A880" s="14">
        <v>42259.495636574073</v>
      </c>
      <c r="B880" s="5">
        <v>2</v>
      </c>
    </row>
    <row r="881" spans="1:2" x14ac:dyDescent="0.35">
      <c r="A881" s="14">
        <v>42259.754537037035</v>
      </c>
      <c r="B881" s="5">
        <v>1</v>
      </c>
    </row>
    <row r="882" spans="1:2" x14ac:dyDescent="0.35">
      <c r="A882" s="14">
        <v>42259.755462962959</v>
      </c>
      <c r="B882" s="5">
        <v>2</v>
      </c>
    </row>
    <row r="883" spans="1:2" x14ac:dyDescent="0.35">
      <c r="A883" s="14">
        <v>42259.755879629629</v>
      </c>
      <c r="B883" s="5">
        <v>1</v>
      </c>
    </row>
    <row r="884" spans="1:2" x14ac:dyDescent="0.35">
      <c r="A884" s="14">
        <v>42259.834953703707</v>
      </c>
      <c r="B884" s="5">
        <v>1</v>
      </c>
    </row>
    <row r="885" spans="1:2" x14ac:dyDescent="0.35">
      <c r="A885" s="14">
        <v>42259.840462962966</v>
      </c>
      <c r="B885" s="5">
        <v>1</v>
      </c>
    </row>
    <row r="886" spans="1:2" x14ac:dyDescent="0.35">
      <c r="A886" s="14">
        <v>42259.864988425928</v>
      </c>
      <c r="B886" s="5">
        <v>1</v>
      </c>
    </row>
    <row r="887" spans="1:2" x14ac:dyDescent="0.35">
      <c r="A887" s="14">
        <v>42259.918888888889</v>
      </c>
      <c r="B887" s="5">
        <v>1</v>
      </c>
    </row>
    <row r="888" spans="1:2" x14ac:dyDescent="0.35">
      <c r="A888" s="14">
        <v>42259.928055555552</v>
      </c>
      <c r="B888" s="5">
        <v>1</v>
      </c>
    </row>
    <row r="889" spans="1:2" x14ac:dyDescent="0.35">
      <c r="A889" s="14">
        <v>42259.931701388887</v>
      </c>
      <c r="B889" s="5">
        <v>1</v>
      </c>
    </row>
    <row r="890" spans="1:2" x14ac:dyDescent="0.35">
      <c r="A890" s="14">
        <v>42259.993530092594</v>
      </c>
      <c r="B890" s="5">
        <v>1</v>
      </c>
    </row>
    <row r="891" spans="1:2" x14ac:dyDescent="0.35">
      <c r="A891" s="14">
        <v>42260.016018518516</v>
      </c>
      <c r="B891" s="5">
        <v>1</v>
      </c>
    </row>
    <row r="892" spans="1:2" x14ac:dyDescent="0.35">
      <c r="A892" s="14">
        <v>42260.081493055557</v>
      </c>
      <c r="B892" s="5">
        <v>1</v>
      </c>
    </row>
    <row r="893" spans="1:2" x14ac:dyDescent="0.35">
      <c r="A893" s="14">
        <v>42260.084999999999</v>
      </c>
      <c r="B893" s="5">
        <v>1</v>
      </c>
    </row>
    <row r="894" spans="1:2" x14ac:dyDescent="0.35">
      <c r="A894" s="14">
        <v>42260.112546296295</v>
      </c>
      <c r="B894" s="5">
        <v>1</v>
      </c>
    </row>
    <row r="895" spans="1:2" x14ac:dyDescent="0.35">
      <c r="A895" s="14">
        <v>42260.145740740743</v>
      </c>
      <c r="B895" s="5">
        <v>1</v>
      </c>
    </row>
    <row r="896" spans="1:2" x14ac:dyDescent="0.35">
      <c r="A896" s="14">
        <v>42260.177905092591</v>
      </c>
      <c r="B896" s="5">
        <v>1</v>
      </c>
    </row>
    <row r="897" spans="1:2" x14ac:dyDescent="0.35">
      <c r="A897" s="14">
        <v>42260.679710648146</v>
      </c>
      <c r="B897" s="5">
        <v>1</v>
      </c>
    </row>
    <row r="898" spans="1:2" x14ac:dyDescent="0.35">
      <c r="A898" s="14">
        <v>42260.687407407408</v>
      </c>
      <c r="B898" s="5">
        <v>1</v>
      </c>
    </row>
    <row r="899" spans="1:2" x14ac:dyDescent="0.35">
      <c r="A899" s="14">
        <v>42260.698518518519</v>
      </c>
      <c r="B899" s="5">
        <v>1</v>
      </c>
    </row>
    <row r="900" spans="1:2" x14ac:dyDescent="0.35">
      <c r="A900" s="14">
        <v>42260.715370370373</v>
      </c>
      <c r="B900" s="5">
        <v>1</v>
      </c>
    </row>
    <row r="901" spans="1:2" x14ac:dyDescent="0.35">
      <c r="A901" s="14">
        <v>42260.715949074074</v>
      </c>
      <c r="B901" s="5">
        <v>1</v>
      </c>
    </row>
    <row r="902" spans="1:2" x14ac:dyDescent="0.35">
      <c r="A902" s="14">
        <v>42260.71671296296</v>
      </c>
      <c r="B902" s="5">
        <v>1</v>
      </c>
    </row>
    <row r="903" spans="1:2" x14ac:dyDescent="0.35">
      <c r="A903" s="14">
        <v>42260.727372685185</v>
      </c>
      <c r="B903" s="5">
        <v>1</v>
      </c>
    </row>
    <row r="904" spans="1:2" x14ac:dyDescent="0.35">
      <c r="A904" s="14">
        <v>42260.731168981481</v>
      </c>
      <c r="B904" s="5">
        <v>1</v>
      </c>
    </row>
    <row r="905" spans="1:2" x14ac:dyDescent="0.35">
      <c r="A905" s="14">
        <v>42260.731932870367</v>
      </c>
      <c r="B905" s="5">
        <v>1</v>
      </c>
    </row>
    <row r="906" spans="1:2" x14ac:dyDescent="0.35">
      <c r="A906" s="14">
        <v>42260.733229166668</v>
      </c>
      <c r="B906" s="5">
        <v>1</v>
      </c>
    </row>
    <row r="907" spans="1:2" x14ac:dyDescent="0.35">
      <c r="A907" s="14">
        <v>42260.743101851855</v>
      </c>
      <c r="B907" s="5">
        <v>1</v>
      </c>
    </row>
    <row r="908" spans="1:2" x14ac:dyDescent="0.35">
      <c r="A908" s="14">
        <v>42260.753935185188</v>
      </c>
      <c r="B908" s="5">
        <v>1</v>
      </c>
    </row>
    <row r="909" spans="1:2" x14ac:dyDescent="0.35">
      <c r="A909" s="14">
        <v>42260.785162037035</v>
      </c>
      <c r="B909" s="5">
        <v>1</v>
      </c>
    </row>
    <row r="910" spans="1:2" x14ac:dyDescent="0.35">
      <c r="A910" s="14">
        <v>42260.860405092593</v>
      </c>
      <c r="B910" s="5">
        <v>1</v>
      </c>
    </row>
    <row r="911" spans="1:2" x14ac:dyDescent="0.35">
      <c r="A911" s="14">
        <v>42260.894189814811</v>
      </c>
      <c r="B911" s="5">
        <v>1</v>
      </c>
    </row>
    <row r="912" spans="1:2" x14ac:dyDescent="0.35">
      <c r="A912" s="14">
        <v>42260.894756944443</v>
      </c>
      <c r="B912" s="5">
        <v>1</v>
      </c>
    </row>
    <row r="913" spans="1:2" x14ac:dyDescent="0.35">
      <c r="A913" s="14">
        <v>42260.897847222222</v>
      </c>
      <c r="B913" s="5">
        <v>1</v>
      </c>
    </row>
    <row r="914" spans="1:2" x14ac:dyDescent="0.35">
      <c r="A914" s="14">
        <v>42260.900648148148</v>
      </c>
      <c r="B914" s="5">
        <v>1</v>
      </c>
    </row>
    <row r="915" spans="1:2" x14ac:dyDescent="0.35">
      <c r="A915" s="14">
        <v>42260.906805555554</v>
      </c>
      <c r="B915" s="5">
        <v>1</v>
      </c>
    </row>
    <row r="916" spans="1:2" x14ac:dyDescent="0.35">
      <c r="A916" s="14">
        <v>42260.907013888886</v>
      </c>
      <c r="B916" s="5">
        <v>1</v>
      </c>
    </row>
    <row r="917" spans="1:2" x14ac:dyDescent="0.35">
      <c r="A917" s="14">
        <v>42260.933229166665</v>
      </c>
      <c r="B917" s="5">
        <v>1</v>
      </c>
    </row>
    <row r="918" spans="1:2" x14ac:dyDescent="0.35">
      <c r="A918" s="14">
        <v>42260.936944444446</v>
      </c>
      <c r="B918" s="5">
        <v>1</v>
      </c>
    </row>
    <row r="919" spans="1:2" x14ac:dyDescent="0.35">
      <c r="A919" s="14">
        <v>42260.936990740738</v>
      </c>
      <c r="B919" s="5">
        <v>1</v>
      </c>
    </row>
    <row r="920" spans="1:2" x14ac:dyDescent="0.35">
      <c r="A920" s="14">
        <v>42260.954918981479</v>
      </c>
      <c r="B920" s="5">
        <v>1</v>
      </c>
    </row>
    <row r="921" spans="1:2" x14ac:dyDescent="0.35">
      <c r="A921" s="14">
        <v>42260.957326388889</v>
      </c>
      <c r="B921" s="5">
        <v>1</v>
      </c>
    </row>
    <row r="922" spans="1:2" x14ac:dyDescent="0.35">
      <c r="A922" s="14">
        <v>42260.959803240738</v>
      </c>
      <c r="B922" s="5">
        <v>1</v>
      </c>
    </row>
    <row r="923" spans="1:2" x14ac:dyDescent="0.35">
      <c r="A923" s="14">
        <v>42260.961215277777</v>
      </c>
      <c r="B923" s="5">
        <v>1</v>
      </c>
    </row>
    <row r="924" spans="1:2" x14ac:dyDescent="0.35">
      <c r="A924" s="14">
        <v>42260.967858796299</v>
      </c>
      <c r="B924" s="5">
        <v>1</v>
      </c>
    </row>
    <row r="925" spans="1:2" x14ac:dyDescent="0.35">
      <c r="A925" s="14">
        <v>42260.971562500003</v>
      </c>
      <c r="B925" s="5">
        <v>1</v>
      </c>
    </row>
    <row r="926" spans="1:2" x14ac:dyDescent="0.35">
      <c r="A926" s="14">
        <v>42260.992766203701</v>
      </c>
      <c r="B926" s="5">
        <v>1</v>
      </c>
    </row>
    <row r="927" spans="1:2" x14ac:dyDescent="0.35">
      <c r="A927" s="14">
        <v>42261.009872685187</v>
      </c>
      <c r="B927" s="5">
        <v>1</v>
      </c>
    </row>
    <row r="928" spans="1:2" x14ac:dyDescent="0.35">
      <c r="A928" s="14">
        <v>42261.010972222219</v>
      </c>
      <c r="B928" s="5">
        <v>2</v>
      </c>
    </row>
    <row r="929" spans="1:2" x14ac:dyDescent="0.35">
      <c r="A929" s="14">
        <v>42261.019004629627</v>
      </c>
      <c r="B929" s="5">
        <v>1</v>
      </c>
    </row>
    <row r="930" spans="1:2" x14ac:dyDescent="0.35">
      <c r="A930" s="14">
        <v>42261.025648148148</v>
      </c>
      <c r="B930" s="5">
        <v>1</v>
      </c>
    </row>
    <row r="931" spans="1:2" x14ac:dyDescent="0.35">
      <c r="A931" s="14">
        <v>42261.027465277781</v>
      </c>
      <c r="B931" s="5">
        <v>2</v>
      </c>
    </row>
    <row r="932" spans="1:2" x14ac:dyDescent="0.35">
      <c r="A932" s="14">
        <v>42261.040150462963</v>
      </c>
      <c r="B932" s="5">
        <v>1</v>
      </c>
    </row>
    <row r="933" spans="1:2" x14ac:dyDescent="0.35">
      <c r="A933" s="14">
        <v>42261.04347222222</v>
      </c>
      <c r="B933" s="5">
        <v>1</v>
      </c>
    </row>
    <row r="934" spans="1:2" x14ac:dyDescent="0.35">
      <c r="A934" s="14">
        <v>42261.043854166666</v>
      </c>
      <c r="B934" s="5">
        <v>2</v>
      </c>
    </row>
    <row r="935" spans="1:2" x14ac:dyDescent="0.35">
      <c r="A935" s="14">
        <v>42261.055</v>
      </c>
      <c r="B935" s="5">
        <v>1</v>
      </c>
    </row>
    <row r="936" spans="1:2" x14ac:dyDescent="0.35">
      <c r="A936" s="14">
        <v>42261.087696759256</v>
      </c>
      <c r="B936" s="5">
        <v>1</v>
      </c>
    </row>
    <row r="937" spans="1:2" x14ac:dyDescent="0.35">
      <c r="A937" s="14">
        <v>42261.092905092592</v>
      </c>
      <c r="B937" s="5">
        <v>1</v>
      </c>
    </row>
    <row r="938" spans="1:2" x14ac:dyDescent="0.35">
      <c r="A938" s="14">
        <v>42261.093738425923</v>
      </c>
      <c r="B938" s="5">
        <v>1</v>
      </c>
    </row>
    <row r="939" spans="1:2" x14ac:dyDescent="0.35">
      <c r="A939" s="14">
        <v>42261.107997685183</v>
      </c>
      <c r="B939" s="5">
        <v>1</v>
      </c>
    </row>
    <row r="940" spans="1:2" x14ac:dyDescent="0.35">
      <c r="A940" s="14">
        <v>42261.133020833331</v>
      </c>
      <c r="B940" s="5">
        <v>1</v>
      </c>
    </row>
    <row r="941" spans="1:2" x14ac:dyDescent="0.35">
      <c r="A941" s="14">
        <v>42261.199872685182</v>
      </c>
      <c r="B941" s="5">
        <v>1</v>
      </c>
    </row>
    <row r="942" spans="1:2" x14ac:dyDescent="0.35">
      <c r="A942" s="14">
        <v>42261.213599537034</v>
      </c>
      <c r="B942" s="5">
        <v>1</v>
      </c>
    </row>
    <row r="943" spans="1:2" x14ac:dyDescent="0.35">
      <c r="A943" s="14">
        <v>42261.229097222225</v>
      </c>
      <c r="B943" s="5">
        <v>1</v>
      </c>
    </row>
    <row r="944" spans="1:2" x14ac:dyDescent="0.35">
      <c r="A944" s="14">
        <v>42261.230324074073</v>
      </c>
      <c r="B944" s="5">
        <v>1</v>
      </c>
    </row>
    <row r="945" spans="1:2" x14ac:dyDescent="0.35">
      <c r="A945" s="14">
        <v>42261.509942129633</v>
      </c>
      <c r="B945" s="5">
        <v>1</v>
      </c>
    </row>
    <row r="946" spans="1:2" x14ac:dyDescent="0.35">
      <c r="A946" s="14">
        <v>42261.520474537036</v>
      </c>
      <c r="B946" s="5">
        <v>1</v>
      </c>
    </row>
    <row r="947" spans="1:2" x14ac:dyDescent="0.35">
      <c r="A947" s="14">
        <v>42261.523680555554</v>
      </c>
      <c r="B947" s="5">
        <v>1</v>
      </c>
    </row>
    <row r="948" spans="1:2" x14ac:dyDescent="0.35">
      <c r="A948" s="14">
        <v>42261.54991898148</v>
      </c>
      <c r="B948" s="5">
        <v>1</v>
      </c>
    </row>
    <row r="949" spans="1:2" x14ac:dyDescent="0.35">
      <c r="A949" s="14">
        <v>42261.557118055556</v>
      </c>
      <c r="B949" s="5">
        <v>1</v>
      </c>
    </row>
    <row r="950" spans="1:2" x14ac:dyDescent="0.35">
      <c r="A950" s="14">
        <v>42261.576956018522</v>
      </c>
      <c r="B950" s="5">
        <v>1</v>
      </c>
    </row>
    <row r="951" spans="1:2" x14ac:dyDescent="0.35">
      <c r="A951" s="14">
        <v>42261.58934027778</v>
      </c>
      <c r="B951" s="5">
        <v>1</v>
      </c>
    </row>
    <row r="952" spans="1:2" x14ac:dyDescent="0.35">
      <c r="A952" s="14">
        <v>42261.596087962964</v>
      </c>
      <c r="B952" s="5">
        <v>1</v>
      </c>
    </row>
    <row r="953" spans="1:2" x14ac:dyDescent="0.35">
      <c r="A953" s="14">
        <v>42261.598124999997</v>
      </c>
      <c r="B953" s="5">
        <v>1</v>
      </c>
    </row>
    <row r="954" spans="1:2" x14ac:dyDescent="0.35">
      <c r="A954" s="14">
        <v>42261.598819444444</v>
      </c>
      <c r="B954" s="5">
        <v>1</v>
      </c>
    </row>
    <row r="955" spans="1:2" x14ac:dyDescent="0.35">
      <c r="A955" s="14">
        <v>42261.619062500002</v>
      </c>
      <c r="B955" s="5">
        <v>1</v>
      </c>
    </row>
    <row r="956" spans="1:2" x14ac:dyDescent="0.35">
      <c r="A956" s="14">
        <v>42261.621817129628</v>
      </c>
      <c r="B956" s="5">
        <v>1</v>
      </c>
    </row>
    <row r="957" spans="1:2" x14ac:dyDescent="0.35">
      <c r="A957" s="14">
        <v>42261.622696759259</v>
      </c>
      <c r="B957" s="5">
        <v>1</v>
      </c>
    </row>
    <row r="958" spans="1:2" x14ac:dyDescent="0.35">
      <c r="A958" s="14">
        <v>42261.628634259258</v>
      </c>
      <c r="B958" s="5">
        <v>1</v>
      </c>
    </row>
    <row r="959" spans="1:2" x14ac:dyDescent="0.35">
      <c r="A959" s="14">
        <v>42261.658391203702</v>
      </c>
      <c r="B959" s="5">
        <v>1</v>
      </c>
    </row>
    <row r="960" spans="1:2" x14ac:dyDescent="0.35">
      <c r="A960" s="14">
        <v>42261.659050925926</v>
      </c>
      <c r="B960" s="5">
        <v>1</v>
      </c>
    </row>
    <row r="961" spans="1:2" x14ac:dyDescent="0.35">
      <c r="A961" s="14">
        <v>42261.661747685182</v>
      </c>
      <c r="B961" s="5">
        <v>1</v>
      </c>
    </row>
    <row r="962" spans="1:2" x14ac:dyDescent="0.35">
      <c r="A962" s="14">
        <v>42261.663599537038</v>
      </c>
      <c r="B962" s="5">
        <v>1</v>
      </c>
    </row>
    <row r="963" spans="1:2" x14ac:dyDescent="0.35">
      <c r="A963" s="14">
        <v>42261.669583333336</v>
      </c>
      <c r="B963" s="5">
        <v>1</v>
      </c>
    </row>
    <row r="964" spans="1:2" x14ac:dyDescent="0.35">
      <c r="A964" s="14">
        <v>42261.669652777775</v>
      </c>
      <c r="B964" s="5">
        <v>1</v>
      </c>
    </row>
    <row r="965" spans="1:2" x14ac:dyDescent="0.35">
      <c r="A965" s="14">
        <v>42261.674502314818</v>
      </c>
      <c r="B965" s="5">
        <v>1</v>
      </c>
    </row>
    <row r="966" spans="1:2" x14ac:dyDescent="0.35">
      <c r="A966" s="14">
        <v>42261.677893518521</v>
      </c>
      <c r="B966" s="5">
        <v>1</v>
      </c>
    </row>
    <row r="967" spans="1:2" x14ac:dyDescent="0.35">
      <c r="A967" s="14">
        <v>42261.691458333335</v>
      </c>
      <c r="B967" s="5">
        <v>1</v>
      </c>
    </row>
    <row r="968" spans="1:2" x14ac:dyDescent="0.35">
      <c r="A968" s="14">
        <v>42261.71166666667</v>
      </c>
      <c r="B968" s="5">
        <v>1</v>
      </c>
    </row>
    <row r="969" spans="1:2" x14ac:dyDescent="0.35">
      <c r="A969" s="14">
        <v>42261.733425925922</v>
      </c>
      <c r="B969" s="5">
        <v>1</v>
      </c>
    </row>
    <row r="970" spans="1:2" x14ac:dyDescent="0.35">
      <c r="A970" s="14">
        <v>42261.739155092589</v>
      </c>
      <c r="B970" s="5">
        <v>1</v>
      </c>
    </row>
    <row r="971" spans="1:2" x14ac:dyDescent="0.35">
      <c r="A971" s="14">
        <v>42261.766770833332</v>
      </c>
      <c r="B971" s="5">
        <v>1</v>
      </c>
    </row>
    <row r="972" spans="1:2" x14ac:dyDescent="0.35">
      <c r="A972" s="14">
        <v>42261.787395833337</v>
      </c>
      <c r="B972" s="5">
        <v>1</v>
      </c>
    </row>
    <row r="973" spans="1:2" x14ac:dyDescent="0.35">
      <c r="A973" s="14">
        <v>42261.787476851852</v>
      </c>
      <c r="B973" s="5">
        <v>1</v>
      </c>
    </row>
    <row r="974" spans="1:2" x14ac:dyDescent="0.35">
      <c r="A974" s="14">
        <v>42261.800104166665</v>
      </c>
      <c r="B974" s="5">
        <v>1</v>
      </c>
    </row>
    <row r="975" spans="1:2" x14ac:dyDescent="0.35">
      <c r="A975" s="14">
        <v>42261.810196759259</v>
      </c>
      <c r="B975" s="5">
        <v>1</v>
      </c>
    </row>
    <row r="976" spans="1:2" x14ac:dyDescent="0.35">
      <c r="A976" s="14">
        <v>42261.817986111113</v>
      </c>
      <c r="B976" s="5">
        <v>1</v>
      </c>
    </row>
    <row r="977" spans="1:2" x14ac:dyDescent="0.35">
      <c r="A977" s="14">
        <v>42261.837719907409</v>
      </c>
      <c r="B977" s="5">
        <v>1</v>
      </c>
    </row>
    <row r="978" spans="1:2" x14ac:dyDescent="0.35">
      <c r="A978" s="14">
        <v>42261.849629629629</v>
      </c>
      <c r="B978" s="5">
        <v>1</v>
      </c>
    </row>
    <row r="979" spans="1:2" x14ac:dyDescent="0.35">
      <c r="A979" s="14">
        <v>42261.850844907407</v>
      </c>
      <c r="B979" s="5">
        <v>1</v>
      </c>
    </row>
    <row r="980" spans="1:2" x14ac:dyDescent="0.35">
      <c r="A980" s="14">
        <v>42261.865740740737</v>
      </c>
      <c r="B980" s="5">
        <v>1</v>
      </c>
    </row>
    <row r="981" spans="1:2" x14ac:dyDescent="0.35">
      <c r="A981" s="14">
        <v>42261.869085648148</v>
      </c>
      <c r="B981" s="5">
        <v>1</v>
      </c>
    </row>
    <row r="982" spans="1:2" x14ac:dyDescent="0.35">
      <c r="A982" s="14">
        <v>42261.871944444443</v>
      </c>
      <c r="B982" s="5">
        <v>1</v>
      </c>
    </row>
    <row r="983" spans="1:2" x14ac:dyDescent="0.35">
      <c r="A983" s="14">
        <v>42261.872974537036</v>
      </c>
      <c r="B983" s="5">
        <v>1</v>
      </c>
    </row>
    <row r="984" spans="1:2" x14ac:dyDescent="0.35">
      <c r="A984" s="14">
        <v>42261.874675925923</v>
      </c>
      <c r="B984" s="5">
        <v>1</v>
      </c>
    </row>
    <row r="985" spans="1:2" x14ac:dyDescent="0.35">
      <c r="A985" s="14">
        <v>42261.884814814817</v>
      </c>
      <c r="B985" s="5">
        <v>1</v>
      </c>
    </row>
    <row r="986" spans="1:2" x14ac:dyDescent="0.35">
      <c r="A986" s="14">
        <v>42261.90625</v>
      </c>
      <c r="B986" s="5">
        <v>1</v>
      </c>
    </row>
    <row r="987" spans="1:2" x14ac:dyDescent="0.35">
      <c r="A987" s="14">
        <v>42261.936643518522</v>
      </c>
      <c r="B987" s="5">
        <v>1</v>
      </c>
    </row>
    <row r="988" spans="1:2" x14ac:dyDescent="0.35">
      <c r="A988" s="14">
        <v>42261.939340277779</v>
      </c>
      <c r="B988" s="5">
        <v>1</v>
      </c>
    </row>
    <row r="989" spans="1:2" x14ac:dyDescent="0.35">
      <c r="A989" s="14">
        <v>42261.940428240741</v>
      </c>
      <c r="B989" s="5">
        <v>1</v>
      </c>
    </row>
    <row r="990" spans="1:2" x14ac:dyDescent="0.35">
      <c r="A990" s="14">
        <v>42261.959189814814</v>
      </c>
      <c r="B990" s="5">
        <v>1</v>
      </c>
    </row>
    <row r="991" spans="1:2" x14ac:dyDescent="0.35">
      <c r="A991" s="14">
        <v>42261.961944444447</v>
      </c>
      <c r="B991" s="5">
        <v>1</v>
      </c>
    </row>
    <row r="992" spans="1:2" x14ac:dyDescent="0.35">
      <c r="A992" s="14">
        <v>42261.96199074074</v>
      </c>
      <c r="B992" s="5">
        <v>1</v>
      </c>
    </row>
    <row r="993" spans="1:2" x14ac:dyDescent="0.35">
      <c r="A993" s="14">
        <v>42261.962916666664</v>
      </c>
      <c r="B993" s="5">
        <v>1</v>
      </c>
    </row>
    <row r="994" spans="1:2" x14ac:dyDescent="0.35">
      <c r="A994" s="14">
        <v>42261.968032407407</v>
      </c>
      <c r="B994" s="5">
        <v>1</v>
      </c>
    </row>
    <row r="995" spans="1:2" x14ac:dyDescent="0.35">
      <c r="A995" s="14">
        <v>42261.970358796294</v>
      </c>
      <c r="B995" s="5">
        <v>1</v>
      </c>
    </row>
    <row r="996" spans="1:2" x14ac:dyDescent="0.35">
      <c r="A996" s="14">
        <v>42262.01935185185</v>
      </c>
      <c r="B996" s="5">
        <v>1</v>
      </c>
    </row>
    <row r="997" spans="1:2" x14ac:dyDescent="0.35">
      <c r="A997" s="14">
        <v>42262.019467592596</v>
      </c>
      <c r="B997" s="5">
        <v>1</v>
      </c>
    </row>
    <row r="998" spans="1:2" x14ac:dyDescent="0.35">
      <c r="A998" s="14">
        <v>42262.034525462965</v>
      </c>
      <c r="B998" s="5">
        <v>1</v>
      </c>
    </row>
    <row r="999" spans="1:2" x14ac:dyDescent="0.35">
      <c r="A999" s="14">
        <v>42262.04078703704</v>
      </c>
      <c r="B999" s="5">
        <v>1</v>
      </c>
    </row>
    <row r="1000" spans="1:2" x14ac:dyDescent="0.35">
      <c r="A1000" s="14">
        <v>42262.052233796298</v>
      </c>
      <c r="B1000" s="5">
        <v>1</v>
      </c>
    </row>
    <row r="1001" spans="1:2" x14ac:dyDescent="0.35">
      <c r="A1001" s="14">
        <v>42262.05263888889</v>
      </c>
      <c r="B1001" s="5">
        <v>2</v>
      </c>
    </row>
    <row r="1002" spans="1:2" x14ac:dyDescent="0.35">
      <c r="A1002" s="14">
        <v>42262.056863425925</v>
      </c>
      <c r="B1002" s="5">
        <v>1</v>
      </c>
    </row>
    <row r="1003" spans="1:2" x14ac:dyDescent="0.35">
      <c r="A1003" s="14">
        <v>42262.066724537035</v>
      </c>
      <c r="B1003" s="5">
        <v>1</v>
      </c>
    </row>
    <row r="1004" spans="1:2" x14ac:dyDescent="0.35">
      <c r="A1004" s="14">
        <v>42262.092303240737</v>
      </c>
      <c r="B1004" s="5">
        <v>1</v>
      </c>
    </row>
    <row r="1005" spans="1:2" x14ac:dyDescent="0.35">
      <c r="A1005" s="14">
        <v>42262.093368055554</v>
      </c>
      <c r="B1005" s="5">
        <v>1</v>
      </c>
    </row>
    <row r="1006" spans="1:2" x14ac:dyDescent="0.35">
      <c r="A1006" s="14">
        <v>42262.099386574075</v>
      </c>
      <c r="B1006" s="5">
        <v>1</v>
      </c>
    </row>
    <row r="1007" spans="1:2" x14ac:dyDescent="0.35">
      <c r="A1007" s="14">
        <v>42262.110659722224</v>
      </c>
      <c r="B1007" s="5">
        <v>1</v>
      </c>
    </row>
    <row r="1008" spans="1:2" x14ac:dyDescent="0.35">
      <c r="A1008" s="14">
        <v>42262.118935185186</v>
      </c>
      <c r="B1008" s="5">
        <v>1</v>
      </c>
    </row>
    <row r="1009" spans="1:2" x14ac:dyDescent="0.35">
      <c r="A1009" s="14">
        <v>42262.12777777778</v>
      </c>
      <c r="B1009" s="5">
        <v>1</v>
      </c>
    </row>
    <row r="1010" spans="1:2" x14ac:dyDescent="0.35">
      <c r="A1010" s="14">
        <v>42262.173692129632</v>
      </c>
      <c r="B1010" s="5">
        <v>1</v>
      </c>
    </row>
    <row r="1011" spans="1:2" x14ac:dyDescent="0.35">
      <c r="A1011" s="14">
        <v>42262.174398148149</v>
      </c>
      <c r="B1011" s="5">
        <v>1</v>
      </c>
    </row>
    <row r="1012" spans="1:2" x14ac:dyDescent="0.35">
      <c r="A1012" s="14">
        <v>42262.185590277775</v>
      </c>
      <c r="B1012" s="5">
        <v>1</v>
      </c>
    </row>
    <row r="1013" spans="1:2" x14ac:dyDescent="0.35">
      <c r="A1013" s="14">
        <v>42262.442326388889</v>
      </c>
      <c r="B1013" s="5">
        <v>1</v>
      </c>
    </row>
    <row r="1014" spans="1:2" x14ac:dyDescent="0.35">
      <c r="A1014" s="14">
        <v>42262.453344907408</v>
      </c>
      <c r="B1014" s="5">
        <v>1</v>
      </c>
    </row>
    <row r="1015" spans="1:2" x14ac:dyDescent="0.35">
      <c r="A1015" s="14">
        <v>42262.456388888888</v>
      </c>
      <c r="B1015" s="5">
        <v>1</v>
      </c>
    </row>
    <row r="1016" spans="1:2" x14ac:dyDescent="0.35">
      <c r="A1016" s="14">
        <v>42262.464537037034</v>
      </c>
      <c r="B1016" s="5">
        <v>1</v>
      </c>
    </row>
    <row r="1017" spans="1:2" x14ac:dyDescent="0.35">
      <c r="A1017" s="14">
        <v>42262.465439814812</v>
      </c>
      <c r="B1017" s="5">
        <v>2</v>
      </c>
    </row>
    <row r="1018" spans="1:2" x14ac:dyDescent="0.35">
      <c r="A1018" s="14">
        <v>42262.495451388888</v>
      </c>
      <c r="B1018" s="5">
        <v>1</v>
      </c>
    </row>
    <row r="1019" spans="1:2" x14ac:dyDescent="0.35">
      <c r="A1019" s="14">
        <v>42262.504513888889</v>
      </c>
      <c r="B1019" s="5">
        <v>1</v>
      </c>
    </row>
    <row r="1020" spans="1:2" x14ac:dyDescent="0.35">
      <c r="A1020" s="14">
        <v>42262.516261574077</v>
      </c>
      <c r="B1020" s="5">
        <v>1</v>
      </c>
    </row>
    <row r="1021" spans="1:2" x14ac:dyDescent="0.35">
      <c r="A1021" s="14">
        <v>42262.534837962965</v>
      </c>
      <c r="B1021" s="5">
        <v>1</v>
      </c>
    </row>
    <row r="1022" spans="1:2" x14ac:dyDescent="0.35">
      <c r="A1022" s="14">
        <v>42262.542175925926</v>
      </c>
      <c r="B1022" s="5">
        <v>1</v>
      </c>
    </row>
    <row r="1023" spans="1:2" x14ac:dyDescent="0.35">
      <c r="A1023" s="14">
        <v>42262.569502314815</v>
      </c>
      <c r="B1023" s="5">
        <v>1</v>
      </c>
    </row>
    <row r="1024" spans="1:2" x14ac:dyDescent="0.35">
      <c r="A1024" s="14">
        <v>42262.578379629631</v>
      </c>
      <c r="B1024" s="5">
        <v>1</v>
      </c>
    </row>
    <row r="1025" spans="1:2" x14ac:dyDescent="0.35">
      <c r="A1025" s="14">
        <v>42262.586064814815</v>
      </c>
      <c r="B1025" s="5">
        <v>1</v>
      </c>
    </row>
    <row r="1026" spans="1:2" x14ac:dyDescent="0.35">
      <c r="A1026" s="14">
        <v>42262.648263888892</v>
      </c>
      <c r="B1026" s="5">
        <v>1</v>
      </c>
    </row>
    <row r="1027" spans="1:2" x14ac:dyDescent="0.35">
      <c r="A1027" s="14">
        <v>42262.648379629631</v>
      </c>
      <c r="B1027" s="5">
        <v>1</v>
      </c>
    </row>
    <row r="1028" spans="1:2" x14ac:dyDescent="0.35">
      <c r="A1028" s="14">
        <v>42262.648518518516</v>
      </c>
      <c r="B1028" s="5">
        <v>1</v>
      </c>
    </row>
    <row r="1029" spans="1:2" x14ac:dyDescent="0.35">
      <c r="A1029" s="14">
        <v>42262.648576388892</v>
      </c>
      <c r="B1029" s="5">
        <v>1</v>
      </c>
    </row>
    <row r="1030" spans="1:2" x14ac:dyDescent="0.35">
      <c r="A1030" s="14">
        <v>42262.648831018516</v>
      </c>
      <c r="B1030" s="5">
        <v>1</v>
      </c>
    </row>
    <row r="1031" spans="1:2" x14ac:dyDescent="0.35">
      <c r="A1031" s="14">
        <v>42262.649594907409</v>
      </c>
      <c r="B1031" s="5">
        <v>1</v>
      </c>
    </row>
    <row r="1032" spans="1:2" x14ac:dyDescent="0.35">
      <c r="A1032" s="14">
        <v>42262.652731481481</v>
      </c>
      <c r="B1032" s="5">
        <v>1</v>
      </c>
    </row>
    <row r="1033" spans="1:2" x14ac:dyDescent="0.35">
      <c r="A1033" s="14">
        <v>42262.675046296295</v>
      </c>
      <c r="B1033" s="5">
        <v>1</v>
      </c>
    </row>
    <row r="1034" spans="1:2" x14ac:dyDescent="0.35">
      <c r="A1034" s="14">
        <v>42262.775081018517</v>
      </c>
      <c r="B1034" s="5">
        <v>1</v>
      </c>
    </row>
    <row r="1035" spans="1:2" x14ac:dyDescent="0.35">
      <c r="A1035" s="14">
        <v>42262.780127314814</v>
      </c>
      <c r="B1035" s="5">
        <v>1</v>
      </c>
    </row>
    <row r="1036" spans="1:2" x14ac:dyDescent="0.35">
      <c r="A1036" s="14">
        <v>42262.83452546296</v>
      </c>
      <c r="B1036" s="5">
        <v>1</v>
      </c>
    </row>
    <row r="1037" spans="1:2" x14ac:dyDescent="0.35">
      <c r="A1037" s="14">
        <v>42262.845011574071</v>
      </c>
      <c r="B1037" s="5">
        <v>1</v>
      </c>
    </row>
    <row r="1038" spans="1:2" x14ac:dyDescent="0.35">
      <c r="A1038" s="14">
        <v>42262.846319444441</v>
      </c>
      <c r="B1038" s="5">
        <v>1</v>
      </c>
    </row>
    <row r="1039" spans="1:2" x14ac:dyDescent="0.35">
      <c r="A1039" s="14">
        <v>42262.849282407406</v>
      </c>
      <c r="B1039" s="5">
        <v>1</v>
      </c>
    </row>
    <row r="1040" spans="1:2" x14ac:dyDescent="0.35">
      <c r="A1040" s="14">
        <v>42262.911909722221</v>
      </c>
      <c r="B1040" s="5">
        <v>1</v>
      </c>
    </row>
    <row r="1041" spans="1:2" x14ac:dyDescent="0.35">
      <c r="A1041" s="14">
        <v>42263.138067129628</v>
      </c>
      <c r="B1041" s="5">
        <v>1</v>
      </c>
    </row>
    <row r="1042" spans="1:2" x14ac:dyDescent="0.35">
      <c r="A1042" s="14">
        <v>42263.145127314812</v>
      </c>
      <c r="B1042" s="5">
        <v>1</v>
      </c>
    </row>
    <row r="1043" spans="1:2" x14ac:dyDescent="0.35">
      <c r="A1043" s="14">
        <v>42263.277268518519</v>
      </c>
      <c r="B1043" s="5">
        <v>1</v>
      </c>
    </row>
    <row r="1044" spans="1:2" x14ac:dyDescent="0.35">
      <c r="A1044" s="14">
        <v>42263.525578703702</v>
      </c>
      <c r="B1044" s="5">
        <v>1</v>
      </c>
    </row>
    <row r="1045" spans="1:2" x14ac:dyDescent="0.35">
      <c r="A1045" s="14">
        <v>42263.559328703705</v>
      </c>
      <c r="B1045" s="5">
        <v>1</v>
      </c>
    </row>
    <row r="1046" spans="1:2" x14ac:dyDescent="0.35">
      <c r="A1046" s="14">
        <v>42263.559421296297</v>
      </c>
      <c r="B1046" s="5">
        <v>1</v>
      </c>
    </row>
    <row r="1047" spans="1:2" x14ac:dyDescent="0.35">
      <c r="A1047" s="14">
        <v>42263.564930555556</v>
      </c>
      <c r="B1047" s="5">
        <v>1</v>
      </c>
    </row>
    <row r="1048" spans="1:2" x14ac:dyDescent="0.35">
      <c r="A1048" s="14">
        <v>42263.577418981484</v>
      </c>
      <c r="B1048" s="5">
        <v>1</v>
      </c>
    </row>
    <row r="1049" spans="1:2" x14ac:dyDescent="0.35">
      <c r="A1049" s="14">
        <v>42263.606886574074</v>
      </c>
      <c r="B1049" s="5">
        <v>1</v>
      </c>
    </row>
    <row r="1050" spans="1:2" x14ac:dyDescent="0.35">
      <c r="A1050" s="14">
        <v>42263.611134259256</v>
      </c>
      <c r="B1050" s="5">
        <v>1</v>
      </c>
    </row>
    <row r="1051" spans="1:2" x14ac:dyDescent="0.35">
      <c r="A1051" s="14">
        <v>42263.62771990741</v>
      </c>
      <c r="B1051" s="5">
        <v>1</v>
      </c>
    </row>
    <row r="1052" spans="1:2" x14ac:dyDescent="0.35">
      <c r="A1052" s="14">
        <v>42263.632071759261</v>
      </c>
      <c r="B1052" s="5">
        <v>1</v>
      </c>
    </row>
    <row r="1053" spans="1:2" x14ac:dyDescent="0.35">
      <c r="A1053" s="14">
        <v>42263.632488425923</v>
      </c>
      <c r="B1053" s="5">
        <v>2</v>
      </c>
    </row>
    <row r="1054" spans="1:2" x14ac:dyDescent="0.35">
      <c r="A1054" s="14">
        <v>42263.633321759262</v>
      </c>
      <c r="B1054" s="5">
        <v>1</v>
      </c>
    </row>
    <row r="1055" spans="1:2" x14ac:dyDescent="0.35">
      <c r="A1055" s="14">
        <v>42263.63653935185</v>
      </c>
      <c r="B1055" s="5">
        <v>1</v>
      </c>
    </row>
    <row r="1056" spans="1:2" x14ac:dyDescent="0.35">
      <c r="A1056" s="14">
        <v>42263.63758101852</v>
      </c>
      <c r="B1056" s="5">
        <v>1</v>
      </c>
    </row>
    <row r="1057" spans="1:2" x14ac:dyDescent="0.35">
      <c r="A1057" s="14">
        <v>42263.651956018519</v>
      </c>
      <c r="B1057" s="5">
        <v>1</v>
      </c>
    </row>
    <row r="1058" spans="1:2" x14ac:dyDescent="0.35">
      <c r="A1058" s="14">
        <v>42263.652002314811</v>
      </c>
      <c r="B1058" s="5">
        <v>1</v>
      </c>
    </row>
    <row r="1059" spans="1:2" x14ac:dyDescent="0.35">
      <c r="A1059" s="14">
        <v>42263.652650462966</v>
      </c>
      <c r="B1059" s="5">
        <v>1</v>
      </c>
    </row>
    <row r="1060" spans="1:2" x14ac:dyDescent="0.35">
      <c r="A1060" s="14">
        <v>42263.652766203704</v>
      </c>
      <c r="B1060" s="5">
        <v>1</v>
      </c>
    </row>
    <row r="1061" spans="1:2" x14ac:dyDescent="0.35">
      <c r="A1061" s="14">
        <v>42263.655914351853</v>
      </c>
      <c r="B1061" s="5">
        <v>1</v>
      </c>
    </row>
    <row r="1062" spans="1:2" x14ac:dyDescent="0.35">
      <c r="A1062" s="14">
        <v>42263.669282407405</v>
      </c>
      <c r="B1062" s="5">
        <v>1</v>
      </c>
    </row>
    <row r="1063" spans="1:2" x14ac:dyDescent="0.35">
      <c r="A1063" s="14">
        <v>42263.669791666667</v>
      </c>
      <c r="B1063" s="5">
        <v>1</v>
      </c>
    </row>
    <row r="1064" spans="1:2" x14ac:dyDescent="0.35">
      <c r="A1064" s="14">
        <v>42263.670798611114</v>
      </c>
      <c r="B1064" s="5">
        <v>1</v>
      </c>
    </row>
    <row r="1065" spans="1:2" x14ac:dyDescent="0.35">
      <c r="A1065" s="14">
        <v>42263.690104166664</v>
      </c>
      <c r="B1065" s="5">
        <v>1</v>
      </c>
    </row>
    <row r="1066" spans="1:2" x14ac:dyDescent="0.35">
      <c r="A1066" s="14">
        <v>42263.719895833332</v>
      </c>
      <c r="B1066" s="5">
        <v>1</v>
      </c>
    </row>
    <row r="1067" spans="1:2" x14ac:dyDescent="0.35">
      <c r="A1067" s="14">
        <v>42263.743391203701</v>
      </c>
      <c r="B1067" s="5">
        <v>1</v>
      </c>
    </row>
    <row r="1068" spans="1:2" x14ac:dyDescent="0.35">
      <c r="A1068" s="14">
        <v>42263.74728009259</v>
      </c>
      <c r="B1068" s="5">
        <v>1</v>
      </c>
    </row>
    <row r="1069" spans="1:2" x14ac:dyDescent="0.35">
      <c r="A1069" s="14">
        <v>42263.753425925926</v>
      </c>
      <c r="B1069" s="5">
        <v>1</v>
      </c>
    </row>
    <row r="1070" spans="1:2" x14ac:dyDescent="0.35">
      <c r="A1070" s="14">
        <v>42263.757916666669</v>
      </c>
      <c r="B1070" s="5">
        <v>1</v>
      </c>
    </row>
    <row r="1071" spans="1:2" x14ac:dyDescent="0.35">
      <c r="A1071" s="14">
        <v>42263.763067129628</v>
      </c>
      <c r="B1071" s="5">
        <v>1</v>
      </c>
    </row>
    <row r="1072" spans="1:2" x14ac:dyDescent="0.35">
      <c r="A1072" s="14">
        <v>42263.775891203702</v>
      </c>
      <c r="B1072" s="5">
        <v>1</v>
      </c>
    </row>
    <row r="1073" spans="1:2" x14ac:dyDescent="0.35">
      <c r="A1073" s="14">
        <v>42263.78429398148</v>
      </c>
      <c r="B1073" s="5">
        <v>1</v>
      </c>
    </row>
    <row r="1074" spans="1:2" x14ac:dyDescent="0.35">
      <c r="A1074" s="14">
        <v>42263.897048611114</v>
      </c>
      <c r="B1074" s="5">
        <v>1</v>
      </c>
    </row>
    <row r="1075" spans="1:2" x14ac:dyDescent="0.35">
      <c r="A1075" s="14">
        <v>42263.943819444445</v>
      </c>
      <c r="B1075" s="5">
        <v>1</v>
      </c>
    </row>
    <row r="1076" spans="1:2" x14ac:dyDescent="0.35">
      <c r="A1076" s="14">
        <v>42264.029826388891</v>
      </c>
      <c r="B1076" s="5">
        <v>1</v>
      </c>
    </row>
    <row r="1077" spans="1:2" x14ac:dyDescent="0.35">
      <c r="A1077" s="14">
        <v>42264.083831018521</v>
      </c>
      <c r="B1077" s="5">
        <v>1</v>
      </c>
    </row>
    <row r="1078" spans="1:2" x14ac:dyDescent="0.35">
      <c r="A1078" s="14">
        <v>42264.086006944446</v>
      </c>
      <c r="B1078" s="5">
        <v>1</v>
      </c>
    </row>
    <row r="1079" spans="1:2" x14ac:dyDescent="0.35">
      <c r="A1079" s="14">
        <v>42264.093148148146</v>
      </c>
      <c r="B1079" s="5">
        <v>1</v>
      </c>
    </row>
    <row r="1080" spans="1:2" x14ac:dyDescent="0.35">
      <c r="A1080" s="14">
        <v>42264.108252314814</v>
      </c>
      <c r="B1080" s="5">
        <v>1</v>
      </c>
    </row>
    <row r="1081" spans="1:2" x14ac:dyDescent="0.35">
      <c r="A1081" s="14">
        <v>42264.120509259257</v>
      </c>
      <c r="B1081" s="5">
        <v>1</v>
      </c>
    </row>
    <row r="1082" spans="1:2" x14ac:dyDescent="0.35">
      <c r="A1082" s="14">
        <v>42264.128067129626</v>
      </c>
      <c r="B1082" s="5">
        <v>1</v>
      </c>
    </row>
    <row r="1083" spans="1:2" x14ac:dyDescent="0.35">
      <c r="A1083" s="14">
        <v>42264.50577546296</v>
      </c>
      <c r="B1083" s="5">
        <v>1</v>
      </c>
    </row>
    <row r="1084" spans="1:2" x14ac:dyDescent="0.35">
      <c r="A1084" s="14">
        <v>42264.555972222224</v>
      </c>
      <c r="B1084" s="5">
        <v>1</v>
      </c>
    </row>
    <row r="1085" spans="1:2" x14ac:dyDescent="0.35">
      <c r="A1085" s="14">
        <v>42264.55746527778</v>
      </c>
      <c r="B1085" s="5">
        <v>1</v>
      </c>
    </row>
    <row r="1086" spans="1:2" x14ac:dyDescent="0.35">
      <c r="A1086" s="14">
        <v>42264.558391203704</v>
      </c>
      <c r="B1086" s="5">
        <v>1</v>
      </c>
    </row>
    <row r="1087" spans="1:2" x14ac:dyDescent="0.35">
      <c r="A1087" s="14">
        <v>42264.579432870371</v>
      </c>
      <c r="B1087" s="5">
        <v>1</v>
      </c>
    </row>
    <row r="1088" spans="1:2" x14ac:dyDescent="0.35">
      <c r="A1088" s="14">
        <v>42264.590648148151</v>
      </c>
      <c r="B1088" s="5">
        <v>1</v>
      </c>
    </row>
    <row r="1089" spans="1:2" x14ac:dyDescent="0.35">
      <c r="A1089" s="14">
        <v>42264.595833333333</v>
      </c>
      <c r="B1089" s="5">
        <v>1</v>
      </c>
    </row>
    <row r="1090" spans="1:2" x14ac:dyDescent="0.35">
      <c r="A1090" s="14">
        <v>42264.596932870372</v>
      </c>
      <c r="B1090" s="5">
        <v>1</v>
      </c>
    </row>
    <row r="1091" spans="1:2" x14ac:dyDescent="0.35">
      <c r="A1091" s="14">
        <v>42264.599548611113</v>
      </c>
      <c r="B1091" s="5">
        <v>1</v>
      </c>
    </row>
    <row r="1092" spans="1:2" x14ac:dyDescent="0.35">
      <c r="A1092" s="14">
        <v>42264.600462962961</v>
      </c>
      <c r="B1092" s="5">
        <v>1</v>
      </c>
    </row>
    <row r="1093" spans="1:2" x14ac:dyDescent="0.35">
      <c r="A1093" s="14">
        <v>42264.621134259258</v>
      </c>
      <c r="B1093" s="5">
        <v>1</v>
      </c>
    </row>
    <row r="1094" spans="1:2" x14ac:dyDescent="0.35">
      <c r="A1094" s="14">
        <v>42264.623680555553</v>
      </c>
      <c r="B1094" s="5">
        <v>1</v>
      </c>
    </row>
    <row r="1095" spans="1:2" x14ac:dyDescent="0.35">
      <c r="A1095" s="14">
        <v>42264.623819444445</v>
      </c>
      <c r="B1095" s="5">
        <v>2</v>
      </c>
    </row>
    <row r="1096" spans="1:2" x14ac:dyDescent="0.35">
      <c r="A1096" s="14">
        <v>42264.636435185188</v>
      </c>
      <c r="B1096" s="5">
        <v>1</v>
      </c>
    </row>
    <row r="1097" spans="1:2" x14ac:dyDescent="0.35">
      <c r="A1097" s="14">
        <v>42264.655474537038</v>
      </c>
      <c r="B1097" s="5">
        <v>1</v>
      </c>
    </row>
    <row r="1098" spans="1:2" x14ac:dyDescent="0.35">
      <c r="A1098" s="14">
        <v>42264.656215277777</v>
      </c>
      <c r="B1098" s="5">
        <v>2</v>
      </c>
    </row>
    <row r="1099" spans="1:2" x14ac:dyDescent="0.35">
      <c r="A1099" s="14">
        <v>42264.663287037038</v>
      </c>
      <c r="B1099" s="5">
        <v>1</v>
      </c>
    </row>
    <row r="1100" spans="1:2" x14ac:dyDescent="0.35">
      <c r="A1100" s="14">
        <v>42264.66946759259</v>
      </c>
      <c r="B1100" s="5">
        <v>1</v>
      </c>
    </row>
    <row r="1101" spans="1:2" x14ac:dyDescent="0.35">
      <c r="A1101" s="14">
        <v>42264.669710648152</v>
      </c>
      <c r="B1101" s="5">
        <v>1</v>
      </c>
    </row>
    <row r="1102" spans="1:2" x14ac:dyDescent="0.35">
      <c r="A1102" s="14">
        <v>42264.670277777775</v>
      </c>
      <c r="B1102" s="5">
        <v>1</v>
      </c>
    </row>
    <row r="1103" spans="1:2" x14ac:dyDescent="0.35">
      <c r="A1103" s="14">
        <v>42264.673807870371</v>
      </c>
      <c r="B1103" s="5">
        <v>1</v>
      </c>
    </row>
    <row r="1104" spans="1:2" x14ac:dyDescent="0.35">
      <c r="A1104" s="14">
        <v>42264.703125</v>
      </c>
      <c r="B1104" s="5">
        <v>1</v>
      </c>
    </row>
    <row r="1105" spans="1:2" x14ac:dyDescent="0.35">
      <c r="A1105" s="14">
        <v>42264.703263888892</v>
      </c>
      <c r="B1105" s="5">
        <v>1</v>
      </c>
    </row>
    <row r="1106" spans="1:2" x14ac:dyDescent="0.35">
      <c r="A1106" s="14">
        <v>42264.708472222221</v>
      </c>
      <c r="B1106" s="5">
        <v>1</v>
      </c>
    </row>
    <row r="1107" spans="1:2" x14ac:dyDescent="0.35">
      <c r="A1107" s="14">
        <v>42264.709988425922</v>
      </c>
      <c r="B1107" s="5">
        <v>1</v>
      </c>
    </row>
    <row r="1108" spans="1:2" x14ac:dyDescent="0.35">
      <c r="A1108" s="14">
        <v>42264.714513888888</v>
      </c>
      <c r="B1108" s="5">
        <v>1</v>
      </c>
    </row>
    <row r="1109" spans="1:2" x14ac:dyDescent="0.35">
      <c r="A1109" s="14">
        <v>42264.715925925928</v>
      </c>
      <c r="B1109" s="5">
        <v>1</v>
      </c>
    </row>
    <row r="1110" spans="1:2" x14ac:dyDescent="0.35">
      <c r="A1110" s="14">
        <v>42264.716643518521</v>
      </c>
      <c r="B1110" s="5">
        <v>1</v>
      </c>
    </row>
    <row r="1111" spans="1:2" x14ac:dyDescent="0.35">
      <c r="A1111" s="14">
        <v>42264.717280092591</v>
      </c>
      <c r="B1111" s="5">
        <v>1</v>
      </c>
    </row>
    <row r="1112" spans="1:2" x14ac:dyDescent="0.35">
      <c r="A1112" s="14">
        <v>42264.717800925922</v>
      </c>
      <c r="B1112" s="5">
        <v>1</v>
      </c>
    </row>
    <row r="1113" spans="1:2" x14ac:dyDescent="0.35">
      <c r="A1113" s="14">
        <v>42264.721539351849</v>
      </c>
      <c r="B1113" s="5">
        <v>1</v>
      </c>
    </row>
    <row r="1114" spans="1:2" x14ac:dyDescent="0.35">
      <c r="A1114" s="14">
        <v>42264.73537037037</v>
      </c>
      <c r="B1114" s="5">
        <v>1</v>
      </c>
    </row>
    <row r="1115" spans="1:2" x14ac:dyDescent="0.35">
      <c r="A1115" s="14">
        <v>42264.742314814815</v>
      </c>
      <c r="B1115" s="5">
        <v>1</v>
      </c>
    </row>
    <row r="1116" spans="1:2" x14ac:dyDescent="0.35">
      <c r="A1116" s="14">
        <v>42264.744687500002</v>
      </c>
      <c r="B1116" s="5">
        <v>1</v>
      </c>
    </row>
    <row r="1117" spans="1:2" x14ac:dyDescent="0.35">
      <c r="A1117" s="14">
        <v>42264.80263888889</v>
      </c>
      <c r="B1117" s="5">
        <v>1</v>
      </c>
    </row>
    <row r="1118" spans="1:2" x14ac:dyDescent="0.35">
      <c r="A1118" s="14">
        <v>42264.806793981479</v>
      </c>
      <c r="B1118" s="5">
        <v>1</v>
      </c>
    </row>
    <row r="1119" spans="1:2" x14ac:dyDescent="0.35">
      <c r="A1119" s="14">
        <v>42264.806851851848</v>
      </c>
      <c r="B1119" s="5">
        <v>1</v>
      </c>
    </row>
    <row r="1120" spans="1:2" x14ac:dyDescent="0.35">
      <c r="A1120" s="14">
        <v>42264.808854166666</v>
      </c>
      <c r="B1120" s="5">
        <v>1</v>
      </c>
    </row>
    <row r="1121" spans="1:2" x14ac:dyDescent="0.35">
      <c r="A1121" s="14">
        <v>42264.821388888886</v>
      </c>
      <c r="B1121" s="5">
        <v>1</v>
      </c>
    </row>
    <row r="1122" spans="1:2" x14ac:dyDescent="0.35">
      <c r="A1122" s="14">
        <v>42264.828159722223</v>
      </c>
      <c r="B1122" s="5">
        <v>1</v>
      </c>
    </row>
    <row r="1123" spans="1:2" x14ac:dyDescent="0.35">
      <c r="A1123" s="14">
        <v>42264.833518518521</v>
      </c>
      <c r="B1123" s="5">
        <v>1</v>
      </c>
    </row>
    <row r="1124" spans="1:2" x14ac:dyDescent="0.35">
      <c r="A1124" s="14">
        <v>42264.834583333337</v>
      </c>
      <c r="B1124" s="5">
        <v>1</v>
      </c>
    </row>
    <row r="1125" spans="1:2" x14ac:dyDescent="0.35">
      <c r="A1125" s="14">
        <v>42264.835648148146</v>
      </c>
      <c r="B1125" s="5">
        <v>1</v>
      </c>
    </row>
    <row r="1126" spans="1:2" x14ac:dyDescent="0.35">
      <c r="A1126" s="14">
        <v>42264.837766203702</v>
      </c>
      <c r="B1126" s="5">
        <v>1</v>
      </c>
    </row>
    <row r="1127" spans="1:2" x14ac:dyDescent="0.35">
      <c r="A1127" s="14">
        <v>42264.84275462963</v>
      </c>
      <c r="B1127" s="5">
        <v>1</v>
      </c>
    </row>
    <row r="1128" spans="1:2" x14ac:dyDescent="0.35">
      <c r="A1128" s="14">
        <v>42264.869768518518</v>
      </c>
      <c r="B1128" s="5">
        <v>1</v>
      </c>
    </row>
    <row r="1129" spans="1:2" x14ac:dyDescent="0.35">
      <c r="A1129" s="14">
        <v>42264.874085648145</v>
      </c>
      <c r="B1129" s="5">
        <v>1</v>
      </c>
    </row>
    <row r="1130" spans="1:2" x14ac:dyDescent="0.35">
      <c r="A1130" s="14">
        <v>42264.874537037038</v>
      </c>
      <c r="B1130" s="5">
        <v>1</v>
      </c>
    </row>
    <row r="1131" spans="1:2" x14ac:dyDescent="0.35">
      <c r="A1131" s="14">
        <v>42264.875509259262</v>
      </c>
      <c r="B1131" s="5">
        <v>1</v>
      </c>
    </row>
    <row r="1132" spans="1:2" x14ac:dyDescent="0.35">
      <c r="A1132" s="14">
        <v>42264.896296296298</v>
      </c>
      <c r="B1132" s="5">
        <v>1</v>
      </c>
    </row>
    <row r="1133" spans="1:2" x14ac:dyDescent="0.35">
      <c r="A1133" s="14">
        <v>42264.896458333336</v>
      </c>
      <c r="B1133" s="5">
        <v>1</v>
      </c>
    </row>
    <row r="1134" spans="1:2" x14ac:dyDescent="0.35">
      <c r="A1134" s="14">
        <v>42264.925324074073</v>
      </c>
      <c r="B1134" s="5">
        <v>1</v>
      </c>
    </row>
    <row r="1135" spans="1:2" x14ac:dyDescent="0.35">
      <c r="A1135" s="14">
        <v>42264.961782407408</v>
      </c>
      <c r="B1135" s="5">
        <v>1</v>
      </c>
    </row>
    <row r="1136" spans="1:2" x14ac:dyDescent="0.35">
      <c r="A1136" s="14">
        <v>42264.961851851855</v>
      </c>
      <c r="B1136" s="5">
        <v>1</v>
      </c>
    </row>
    <row r="1137" spans="1:2" x14ac:dyDescent="0.35">
      <c r="A1137" s="14">
        <v>42264.992523148147</v>
      </c>
      <c r="B1137" s="5">
        <v>1</v>
      </c>
    </row>
    <row r="1138" spans="1:2" x14ac:dyDescent="0.35">
      <c r="A1138" s="14">
        <v>42265.002164351848</v>
      </c>
      <c r="B1138" s="5">
        <v>1</v>
      </c>
    </row>
    <row r="1139" spans="1:2" x14ac:dyDescent="0.35">
      <c r="A1139" s="14">
        <v>42265.00608796296</v>
      </c>
      <c r="B1139" s="5">
        <v>1</v>
      </c>
    </row>
    <row r="1140" spans="1:2" x14ac:dyDescent="0.35">
      <c r="A1140" s="14">
        <v>42265.014074074075</v>
      </c>
      <c r="B1140" s="5">
        <v>1</v>
      </c>
    </row>
    <row r="1141" spans="1:2" x14ac:dyDescent="0.35">
      <c r="A1141" s="14">
        <v>42265.028796296298</v>
      </c>
      <c r="B1141" s="5">
        <v>1</v>
      </c>
    </row>
    <row r="1142" spans="1:2" x14ac:dyDescent="0.35">
      <c r="A1142" s="14">
        <v>42265.036678240744</v>
      </c>
      <c r="B1142" s="5">
        <v>1</v>
      </c>
    </row>
    <row r="1143" spans="1:2" x14ac:dyDescent="0.35">
      <c r="A1143" s="14">
        <v>42265.082256944443</v>
      </c>
      <c r="B1143" s="5">
        <v>1</v>
      </c>
    </row>
    <row r="1144" spans="1:2" x14ac:dyDescent="0.35">
      <c r="A1144" s="14">
        <v>42265.142118055555</v>
      </c>
      <c r="B1144" s="5">
        <v>1</v>
      </c>
    </row>
    <row r="1145" spans="1:2" x14ac:dyDescent="0.35">
      <c r="A1145" s="14">
        <v>42265.173206018517</v>
      </c>
      <c r="B1145" s="5">
        <v>1</v>
      </c>
    </row>
    <row r="1146" spans="1:2" x14ac:dyDescent="0.35">
      <c r="A1146" s="14">
        <v>42265.174618055556</v>
      </c>
      <c r="B1146" s="5">
        <v>1</v>
      </c>
    </row>
    <row r="1147" spans="1:2" x14ac:dyDescent="0.35">
      <c r="A1147" s="14">
        <v>42265.174629629626</v>
      </c>
      <c r="B1147" s="5">
        <v>1</v>
      </c>
    </row>
    <row r="1148" spans="1:2" x14ac:dyDescent="0.35">
      <c r="A1148" s="14">
        <v>42265.181666666664</v>
      </c>
      <c r="B1148" s="5">
        <v>1</v>
      </c>
    </row>
    <row r="1149" spans="1:2" x14ac:dyDescent="0.35">
      <c r="A1149" s="14">
        <v>42265.388958333337</v>
      </c>
      <c r="B1149" s="5">
        <v>1</v>
      </c>
    </row>
    <row r="1150" spans="1:2" x14ac:dyDescent="0.35">
      <c r="A1150" s="14">
        <v>42265.389606481483</v>
      </c>
      <c r="B1150" s="5">
        <v>1</v>
      </c>
    </row>
    <row r="1151" spans="1:2" x14ac:dyDescent="0.35">
      <c r="A1151" s="14">
        <v>42265.390520833331</v>
      </c>
      <c r="B1151" s="5">
        <v>1</v>
      </c>
    </row>
    <row r="1152" spans="1:2" x14ac:dyDescent="0.35">
      <c r="A1152" s="14">
        <v>42265.391446759262</v>
      </c>
      <c r="B1152" s="5">
        <v>1</v>
      </c>
    </row>
    <row r="1153" spans="1:2" x14ac:dyDescent="0.35">
      <c r="A1153" s="14">
        <v>42265.391921296294</v>
      </c>
      <c r="B1153" s="5">
        <v>1</v>
      </c>
    </row>
    <row r="1154" spans="1:2" x14ac:dyDescent="0.35">
      <c r="A1154" s="14">
        <v>42265.392048611109</v>
      </c>
      <c r="B1154" s="5">
        <v>1</v>
      </c>
    </row>
    <row r="1155" spans="1:2" x14ac:dyDescent="0.35">
      <c r="A1155" s="14">
        <v>42265.392314814817</v>
      </c>
      <c r="B1155" s="5">
        <v>1</v>
      </c>
    </row>
    <row r="1156" spans="1:2" x14ac:dyDescent="0.35">
      <c r="A1156" s="14">
        <v>42265.393599537034</v>
      </c>
      <c r="B1156" s="5">
        <v>1</v>
      </c>
    </row>
    <row r="1157" spans="1:2" x14ac:dyDescent="0.35">
      <c r="A1157" s="14">
        <v>42265.39466435185</v>
      </c>
      <c r="B1157" s="5">
        <v>1</v>
      </c>
    </row>
    <row r="1158" spans="1:2" x14ac:dyDescent="0.35">
      <c r="A1158" s="14">
        <v>42265.395578703705</v>
      </c>
      <c r="B1158" s="5">
        <v>1</v>
      </c>
    </row>
    <row r="1159" spans="1:2" x14ac:dyDescent="0.35">
      <c r="A1159" s="14">
        <v>42265.494270833333</v>
      </c>
      <c r="B1159" s="5">
        <v>1</v>
      </c>
    </row>
    <row r="1160" spans="1:2" x14ac:dyDescent="0.35">
      <c r="A1160" s="14">
        <v>42265.513182870367</v>
      </c>
      <c r="B1160" s="5">
        <v>1</v>
      </c>
    </row>
    <row r="1161" spans="1:2" x14ac:dyDescent="0.35">
      <c r="A1161" s="14">
        <v>42265.556898148148</v>
      </c>
      <c r="B1161" s="5">
        <v>1</v>
      </c>
    </row>
    <row r="1162" spans="1:2" x14ac:dyDescent="0.35">
      <c r="A1162" s="14">
        <v>42265.564884259256</v>
      </c>
      <c r="B1162" s="5">
        <v>1</v>
      </c>
    </row>
    <row r="1163" spans="1:2" x14ac:dyDescent="0.35">
      <c r="A1163" s="14">
        <v>42265.569594907407</v>
      </c>
      <c r="B1163" s="5">
        <v>1</v>
      </c>
    </row>
    <row r="1164" spans="1:2" x14ac:dyDescent="0.35">
      <c r="A1164" s="14">
        <v>42265.584317129629</v>
      </c>
      <c r="B1164" s="5">
        <v>1</v>
      </c>
    </row>
    <row r="1165" spans="1:2" x14ac:dyDescent="0.35">
      <c r="A1165" s="14">
        <v>42265.592951388891</v>
      </c>
      <c r="B1165" s="5">
        <v>1</v>
      </c>
    </row>
    <row r="1166" spans="1:2" x14ac:dyDescent="0.35">
      <c r="A1166" s="14">
        <v>42265.594386574077</v>
      </c>
      <c r="B1166" s="5">
        <v>1</v>
      </c>
    </row>
    <row r="1167" spans="1:2" x14ac:dyDescent="0.35">
      <c r="A1167" s="14">
        <v>42265.59579861111</v>
      </c>
      <c r="B1167" s="5">
        <v>1</v>
      </c>
    </row>
    <row r="1168" spans="1:2" x14ac:dyDescent="0.35">
      <c r="A1168" s="14">
        <v>42265.611840277779</v>
      </c>
      <c r="B1168" s="5">
        <v>1</v>
      </c>
    </row>
    <row r="1169" spans="1:2" x14ac:dyDescent="0.35">
      <c r="A1169" s="14">
        <v>42265.612569444442</v>
      </c>
      <c r="B1169" s="5">
        <v>1</v>
      </c>
    </row>
    <row r="1170" spans="1:2" x14ac:dyDescent="0.35">
      <c r="A1170" s="14">
        <v>42265.631909722222</v>
      </c>
      <c r="B1170" s="5">
        <v>1</v>
      </c>
    </row>
    <row r="1171" spans="1:2" x14ac:dyDescent="0.35">
      <c r="A1171" s="14">
        <v>42265.661446759259</v>
      </c>
      <c r="B1171" s="5">
        <v>1</v>
      </c>
    </row>
    <row r="1172" spans="1:2" x14ac:dyDescent="0.35">
      <c r="A1172" s="14">
        <v>42265.663356481484</v>
      </c>
      <c r="B1172" s="5">
        <v>1</v>
      </c>
    </row>
    <row r="1173" spans="1:2" x14ac:dyDescent="0.35">
      <c r="A1173" s="14">
        <v>42265.688055555554</v>
      </c>
      <c r="B1173" s="5">
        <v>1</v>
      </c>
    </row>
    <row r="1174" spans="1:2" x14ac:dyDescent="0.35">
      <c r="A1174" s="14">
        <v>42265.688692129632</v>
      </c>
      <c r="B1174" s="5">
        <v>1</v>
      </c>
    </row>
    <row r="1175" spans="1:2" x14ac:dyDescent="0.35">
      <c r="A1175" s="14">
        <v>42265.691261574073</v>
      </c>
      <c r="B1175" s="5">
        <v>1</v>
      </c>
    </row>
    <row r="1176" spans="1:2" x14ac:dyDescent="0.35">
      <c r="A1176" s="14">
        <v>42265.694027777776</v>
      </c>
      <c r="B1176" s="5">
        <v>1</v>
      </c>
    </row>
    <row r="1177" spans="1:2" x14ac:dyDescent="0.35">
      <c r="A1177" s="14">
        <v>42265.698796296296</v>
      </c>
      <c r="B1177" s="5">
        <v>1</v>
      </c>
    </row>
    <row r="1178" spans="1:2" x14ac:dyDescent="0.35">
      <c r="A1178" s="14">
        <v>42265.699270833335</v>
      </c>
      <c r="B1178" s="5">
        <v>1</v>
      </c>
    </row>
    <row r="1179" spans="1:2" x14ac:dyDescent="0.35">
      <c r="A1179" s="14">
        <v>42265.701423611114</v>
      </c>
      <c r="B1179" s="5">
        <v>1</v>
      </c>
    </row>
    <row r="1180" spans="1:2" x14ac:dyDescent="0.35">
      <c r="A1180" s="14">
        <v>42265.708287037036</v>
      </c>
      <c r="B1180" s="5">
        <v>1</v>
      </c>
    </row>
    <row r="1181" spans="1:2" x14ac:dyDescent="0.35">
      <c r="A1181" s="14">
        <v>42265.711712962962</v>
      </c>
      <c r="B1181" s="5">
        <v>1</v>
      </c>
    </row>
    <row r="1182" spans="1:2" x14ac:dyDescent="0.35">
      <c r="A1182" s="14">
        <v>42265.712685185186</v>
      </c>
      <c r="B1182" s="5">
        <v>1</v>
      </c>
    </row>
    <row r="1183" spans="1:2" x14ac:dyDescent="0.35">
      <c r="A1183" s="14">
        <v>42265.713530092595</v>
      </c>
      <c r="B1183" s="5">
        <v>1</v>
      </c>
    </row>
    <row r="1184" spans="1:2" x14ac:dyDescent="0.35">
      <c r="A1184" s="14">
        <v>42265.718009259261</v>
      </c>
      <c r="B1184" s="5">
        <v>1</v>
      </c>
    </row>
    <row r="1185" spans="1:2" x14ac:dyDescent="0.35">
      <c r="A1185" s="14">
        <v>42265.718136574076</v>
      </c>
      <c r="B1185" s="5">
        <v>1</v>
      </c>
    </row>
    <row r="1186" spans="1:2" x14ac:dyDescent="0.35">
      <c r="A1186" s="14">
        <v>42265.718692129631</v>
      </c>
      <c r="B1186" s="5">
        <v>1</v>
      </c>
    </row>
    <row r="1187" spans="1:2" x14ac:dyDescent="0.35">
      <c r="A1187" s="14">
        <v>42265.72074074074</v>
      </c>
      <c r="B1187" s="5">
        <v>1</v>
      </c>
    </row>
    <row r="1188" spans="1:2" x14ac:dyDescent="0.35">
      <c r="A1188" s="14">
        <v>42265.723124999997</v>
      </c>
      <c r="B1188" s="5">
        <v>1</v>
      </c>
    </row>
    <row r="1189" spans="1:2" x14ac:dyDescent="0.35">
      <c r="A1189" s="14">
        <v>42265.725902777776</v>
      </c>
      <c r="B1189" s="5">
        <v>1</v>
      </c>
    </row>
    <row r="1190" spans="1:2" x14ac:dyDescent="0.35">
      <c r="A1190" s="14">
        <v>42265.730370370373</v>
      </c>
      <c r="B1190" s="5">
        <v>1</v>
      </c>
    </row>
    <row r="1191" spans="1:2" x14ac:dyDescent="0.35">
      <c r="A1191" s="14">
        <v>42265.748194444444</v>
      </c>
      <c r="B1191" s="5">
        <v>1</v>
      </c>
    </row>
    <row r="1192" spans="1:2" x14ac:dyDescent="0.35">
      <c r="A1192" s="14">
        <v>42265.757037037038</v>
      </c>
      <c r="B1192" s="5">
        <v>1</v>
      </c>
    </row>
    <row r="1193" spans="1:2" x14ac:dyDescent="0.35">
      <c r="A1193" s="14">
        <v>42265.760752314818</v>
      </c>
      <c r="B1193" s="5">
        <v>1</v>
      </c>
    </row>
    <row r="1194" spans="1:2" x14ac:dyDescent="0.35">
      <c r="A1194" s="14">
        <v>42265.761932870373</v>
      </c>
      <c r="B1194" s="5">
        <v>1</v>
      </c>
    </row>
    <row r="1195" spans="1:2" x14ac:dyDescent="0.35">
      <c r="A1195" s="14">
        <v>42265.762499999997</v>
      </c>
      <c r="B1195" s="5">
        <v>1</v>
      </c>
    </row>
    <row r="1196" spans="1:2" x14ac:dyDescent="0.35">
      <c r="A1196" s="14">
        <v>42265.76394675926</v>
      </c>
      <c r="B1196" s="5">
        <v>1</v>
      </c>
    </row>
    <row r="1197" spans="1:2" x14ac:dyDescent="0.35">
      <c r="A1197" s="14">
        <v>42265.764155092591</v>
      </c>
      <c r="B1197" s="5">
        <v>1</v>
      </c>
    </row>
    <row r="1198" spans="1:2" x14ac:dyDescent="0.35">
      <c r="A1198" s="14">
        <v>42265.76425925926</v>
      </c>
      <c r="B1198" s="5">
        <v>1</v>
      </c>
    </row>
    <row r="1199" spans="1:2" x14ac:dyDescent="0.35">
      <c r="A1199" s="14">
        <v>42265.764502314814</v>
      </c>
      <c r="B1199" s="5">
        <v>1</v>
      </c>
    </row>
    <row r="1200" spans="1:2" x14ac:dyDescent="0.35">
      <c r="A1200" s="14">
        <v>42265.764548611114</v>
      </c>
      <c r="B1200" s="5">
        <v>1</v>
      </c>
    </row>
    <row r="1201" spans="1:2" x14ac:dyDescent="0.35">
      <c r="A1201" s="14">
        <v>42265.764618055553</v>
      </c>
      <c r="B1201" s="5">
        <v>1</v>
      </c>
    </row>
    <row r="1202" spans="1:2" x14ac:dyDescent="0.35">
      <c r="A1202" s="14">
        <v>42265.764999999999</v>
      </c>
      <c r="B1202" s="5">
        <v>1</v>
      </c>
    </row>
    <row r="1203" spans="1:2" x14ac:dyDescent="0.35">
      <c r="A1203" s="14">
        <v>42265.765057870369</v>
      </c>
      <c r="B1203" s="5">
        <v>1</v>
      </c>
    </row>
    <row r="1204" spans="1:2" x14ac:dyDescent="0.35">
      <c r="A1204" s="14">
        <v>42265.765717592592</v>
      </c>
      <c r="B1204" s="5">
        <v>1</v>
      </c>
    </row>
    <row r="1205" spans="1:2" x14ac:dyDescent="0.35">
      <c r="A1205" s="14">
        <v>42265.765787037039</v>
      </c>
      <c r="B1205" s="5">
        <v>1</v>
      </c>
    </row>
    <row r="1206" spans="1:2" x14ac:dyDescent="0.35">
      <c r="A1206" s="14">
        <v>42265.766504629632</v>
      </c>
      <c r="B1206" s="5">
        <v>2</v>
      </c>
    </row>
    <row r="1207" spans="1:2" x14ac:dyDescent="0.35">
      <c r="A1207" s="14">
        <v>42265.767974537041</v>
      </c>
      <c r="B1207" s="5">
        <v>1</v>
      </c>
    </row>
    <row r="1208" spans="1:2" x14ac:dyDescent="0.35">
      <c r="A1208" s="14">
        <v>42265.775879629633</v>
      </c>
      <c r="B1208" s="5">
        <v>1</v>
      </c>
    </row>
    <row r="1209" spans="1:2" x14ac:dyDescent="0.35">
      <c r="A1209" s="14">
        <v>42265.777430555558</v>
      </c>
      <c r="B1209" s="5">
        <v>1</v>
      </c>
    </row>
    <row r="1210" spans="1:2" x14ac:dyDescent="0.35">
      <c r="A1210" s="14">
        <v>42265.777581018519</v>
      </c>
      <c r="B1210" s="5">
        <v>1</v>
      </c>
    </row>
    <row r="1211" spans="1:2" x14ac:dyDescent="0.35">
      <c r="A1211" s="14">
        <v>42265.777881944443</v>
      </c>
      <c r="B1211" s="5">
        <v>2</v>
      </c>
    </row>
    <row r="1212" spans="1:2" x14ac:dyDescent="0.35">
      <c r="A1212" s="14">
        <v>42265.778240740743</v>
      </c>
      <c r="B1212" s="5">
        <v>1</v>
      </c>
    </row>
    <row r="1213" spans="1:2" x14ac:dyDescent="0.35">
      <c r="A1213" s="14">
        <v>42265.779328703706</v>
      </c>
      <c r="B1213" s="5">
        <v>1</v>
      </c>
    </row>
    <row r="1214" spans="1:2" x14ac:dyDescent="0.35">
      <c r="A1214" s="14">
        <v>42265.779791666668</v>
      </c>
      <c r="B1214" s="5">
        <v>2</v>
      </c>
    </row>
    <row r="1215" spans="1:2" x14ac:dyDescent="0.35">
      <c r="A1215" s="14">
        <v>42265.780590277776</v>
      </c>
      <c r="B1215" s="5">
        <v>1</v>
      </c>
    </row>
    <row r="1216" spans="1:2" x14ac:dyDescent="0.35">
      <c r="A1216" s="14">
        <v>42265.782893518517</v>
      </c>
      <c r="B1216" s="5">
        <v>2</v>
      </c>
    </row>
    <row r="1217" spans="1:2" x14ac:dyDescent="0.35">
      <c r="A1217" s="14">
        <v>42265.792233796295</v>
      </c>
      <c r="B1217" s="5">
        <v>1</v>
      </c>
    </row>
    <row r="1218" spans="1:2" x14ac:dyDescent="0.35">
      <c r="A1218" s="14">
        <v>42265.793229166666</v>
      </c>
      <c r="B1218" s="5">
        <v>2</v>
      </c>
    </row>
    <row r="1219" spans="1:2" x14ac:dyDescent="0.35">
      <c r="A1219" s="14">
        <v>42265.795405092591</v>
      </c>
      <c r="B1219" s="5">
        <v>1</v>
      </c>
    </row>
    <row r="1220" spans="1:2" x14ac:dyDescent="0.35">
      <c r="A1220" s="14">
        <v>42265.795567129629</v>
      </c>
      <c r="B1220" s="5">
        <v>2</v>
      </c>
    </row>
    <row r="1221" spans="1:2" x14ac:dyDescent="0.35">
      <c r="A1221" s="14">
        <v>42265.7971412037</v>
      </c>
      <c r="B1221" s="5">
        <v>1</v>
      </c>
    </row>
    <row r="1222" spans="1:2" x14ac:dyDescent="0.35">
      <c r="A1222" s="14">
        <v>42265.797962962963</v>
      </c>
      <c r="B1222" s="5">
        <v>2</v>
      </c>
    </row>
    <row r="1223" spans="1:2" x14ac:dyDescent="0.35">
      <c r="A1223" s="14">
        <v>42265.800543981481</v>
      </c>
      <c r="B1223" s="5">
        <v>1</v>
      </c>
    </row>
    <row r="1224" spans="1:2" x14ac:dyDescent="0.35">
      <c r="A1224" s="14">
        <v>42265.803946759261</v>
      </c>
      <c r="B1224" s="5">
        <v>1</v>
      </c>
    </row>
    <row r="1225" spans="1:2" x14ac:dyDescent="0.35">
      <c r="A1225" s="14">
        <v>42265.8046875</v>
      </c>
      <c r="B1225" s="5">
        <v>2</v>
      </c>
    </row>
    <row r="1226" spans="1:2" x14ac:dyDescent="0.35">
      <c r="A1226" s="14">
        <v>42265.804791666669</v>
      </c>
      <c r="B1226" s="5">
        <v>1</v>
      </c>
    </row>
    <row r="1227" spans="1:2" x14ac:dyDescent="0.35">
      <c r="A1227" s="14">
        <v>42265.808634259258</v>
      </c>
      <c r="B1227" s="5">
        <v>1</v>
      </c>
    </row>
    <row r="1228" spans="1:2" x14ac:dyDescent="0.35">
      <c r="A1228" s="14">
        <v>42265.809282407405</v>
      </c>
      <c r="B1228" s="5">
        <v>2</v>
      </c>
    </row>
    <row r="1229" spans="1:2" x14ac:dyDescent="0.35">
      <c r="A1229" s="14">
        <v>42265.810231481482</v>
      </c>
      <c r="B1229" s="5">
        <v>1</v>
      </c>
    </row>
    <row r="1230" spans="1:2" x14ac:dyDescent="0.35">
      <c r="A1230" s="14">
        <v>42265.810543981483</v>
      </c>
      <c r="B1230" s="5">
        <v>2</v>
      </c>
    </row>
    <row r="1231" spans="1:2" x14ac:dyDescent="0.35">
      <c r="A1231" s="14">
        <v>42265.83865740741</v>
      </c>
      <c r="B1231" s="5">
        <v>1</v>
      </c>
    </row>
    <row r="1232" spans="1:2" x14ac:dyDescent="0.35">
      <c r="A1232" s="14">
        <v>42265.843414351853</v>
      </c>
      <c r="B1232" s="5">
        <v>1</v>
      </c>
    </row>
    <row r="1233" spans="1:2" x14ac:dyDescent="0.35">
      <c r="A1233" s="14">
        <v>42265.888518518521</v>
      </c>
      <c r="B1233" s="5">
        <v>1</v>
      </c>
    </row>
    <row r="1234" spans="1:2" x14ac:dyDescent="0.35">
      <c r="A1234" s="14">
        <v>42265.903761574074</v>
      </c>
      <c r="B1234" s="5">
        <v>1</v>
      </c>
    </row>
    <row r="1235" spans="1:2" x14ac:dyDescent="0.35">
      <c r="A1235" s="14">
        <v>42265.905462962961</v>
      </c>
      <c r="B1235" s="5">
        <v>1</v>
      </c>
    </row>
    <row r="1236" spans="1:2" x14ac:dyDescent="0.35">
      <c r="A1236" s="14">
        <v>42265.906180555554</v>
      </c>
      <c r="B1236" s="5">
        <v>1</v>
      </c>
    </row>
    <row r="1237" spans="1:2" x14ac:dyDescent="0.35">
      <c r="A1237" s="14">
        <v>42265.924166666664</v>
      </c>
      <c r="B1237" s="5">
        <v>1</v>
      </c>
    </row>
    <row r="1238" spans="1:2" x14ac:dyDescent="0.35">
      <c r="A1238" s="14">
        <v>42265.935636574075</v>
      </c>
      <c r="B1238" s="5">
        <v>1</v>
      </c>
    </row>
    <row r="1239" spans="1:2" x14ac:dyDescent="0.35">
      <c r="A1239" s="14">
        <v>42266.042164351849</v>
      </c>
      <c r="B1239" s="5">
        <v>1</v>
      </c>
    </row>
    <row r="1240" spans="1:2" x14ac:dyDescent="0.35">
      <c r="A1240" s="14">
        <v>42266.048773148148</v>
      </c>
      <c r="B1240" s="5">
        <v>1</v>
      </c>
    </row>
    <row r="1241" spans="1:2" x14ac:dyDescent="0.35">
      <c r="A1241" s="14">
        <v>42266.101284722223</v>
      </c>
      <c r="B1241" s="5">
        <v>1</v>
      </c>
    </row>
    <row r="1242" spans="1:2" x14ac:dyDescent="0.35">
      <c r="A1242" s="14">
        <v>42266.1016087963</v>
      </c>
      <c r="B1242" s="5">
        <v>2</v>
      </c>
    </row>
    <row r="1243" spans="1:2" x14ac:dyDescent="0.35">
      <c r="A1243" s="14">
        <v>42266.103449074071</v>
      </c>
      <c r="B1243" s="5">
        <v>1</v>
      </c>
    </row>
    <row r="1244" spans="1:2" x14ac:dyDescent="0.35">
      <c r="A1244" s="14">
        <v>42266.120717592596</v>
      </c>
      <c r="B1244" s="5">
        <v>1</v>
      </c>
    </row>
    <row r="1245" spans="1:2" x14ac:dyDescent="0.35">
      <c r="A1245" s="14">
        <v>42266.120740740742</v>
      </c>
      <c r="B1245" s="5">
        <v>1</v>
      </c>
    </row>
    <row r="1246" spans="1:2" x14ac:dyDescent="0.35">
      <c r="A1246" s="14">
        <v>42266.14434027778</v>
      </c>
      <c r="B1246" s="5">
        <v>1</v>
      </c>
    </row>
    <row r="1247" spans="1:2" x14ac:dyDescent="0.35">
      <c r="A1247" s="14">
        <v>42266.147060185183</v>
      </c>
      <c r="B1247" s="5">
        <v>1</v>
      </c>
    </row>
    <row r="1248" spans="1:2" x14ac:dyDescent="0.35">
      <c r="A1248" s="14">
        <v>42266.147280092591</v>
      </c>
      <c r="B1248" s="5">
        <v>1</v>
      </c>
    </row>
    <row r="1249" spans="1:2" x14ac:dyDescent="0.35">
      <c r="A1249" s="14">
        <v>42266.147962962961</v>
      </c>
      <c r="B1249" s="5">
        <v>1</v>
      </c>
    </row>
    <row r="1250" spans="1:2" x14ac:dyDescent="0.35">
      <c r="A1250" s="14">
        <v>42266.149699074071</v>
      </c>
      <c r="B1250" s="5">
        <v>1</v>
      </c>
    </row>
    <row r="1251" spans="1:2" x14ac:dyDescent="0.35">
      <c r="A1251" s="14">
        <v>42266.15185185185</v>
      </c>
      <c r="B1251" s="5">
        <v>2</v>
      </c>
    </row>
    <row r="1252" spans="1:2" x14ac:dyDescent="0.35">
      <c r="A1252" s="14">
        <v>42266.153090277781</v>
      </c>
      <c r="B1252" s="5">
        <v>1</v>
      </c>
    </row>
    <row r="1253" spans="1:2" x14ac:dyDescent="0.35">
      <c r="A1253" s="14">
        <v>42266.563726851855</v>
      </c>
      <c r="B1253" s="5">
        <v>1</v>
      </c>
    </row>
    <row r="1254" spans="1:2" x14ac:dyDescent="0.35">
      <c r="A1254" s="14">
        <v>42266.564328703702</v>
      </c>
      <c r="B1254" s="5">
        <v>1</v>
      </c>
    </row>
    <row r="1255" spans="1:2" x14ac:dyDescent="0.35">
      <c r="A1255" s="14">
        <v>42266.668078703704</v>
      </c>
      <c r="B1255" s="5">
        <v>1</v>
      </c>
    </row>
    <row r="1256" spans="1:2" x14ac:dyDescent="0.35">
      <c r="A1256" s="14">
        <v>42266.676562499997</v>
      </c>
      <c r="B1256" s="5">
        <v>1</v>
      </c>
    </row>
    <row r="1257" spans="1:2" x14ac:dyDescent="0.35">
      <c r="A1257" s="14">
        <v>42266.712430555555</v>
      </c>
      <c r="B1257" s="5">
        <v>1</v>
      </c>
    </row>
    <row r="1258" spans="1:2" x14ac:dyDescent="0.35">
      <c r="A1258" s="14">
        <v>42266.721770833334</v>
      </c>
      <c r="B1258" s="5">
        <v>1</v>
      </c>
    </row>
    <row r="1259" spans="1:2" x14ac:dyDescent="0.35">
      <c r="A1259" s="14">
        <v>42266.72446759259</v>
      </c>
      <c r="B1259" s="5">
        <v>1</v>
      </c>
    </row>
    <row r="1260" spans="1:2" x14ac:dyDescent="0.35">
      <c r="A1260" s="14">
        <v>42266.734270833331</v>
      </c>
      <c r="B1260" s="5">
        <v>1</v>
      </c>
    </row>
    <row r="1261" spans="1:2" x14ac:dyDescent="0.35">
      <c r="A1261" s="14">
        <v>42266.7344212963</v>
      </c>
      <c r="B1261" s="5">
        <v>1</v>
      </c>
    </row>
    <row r="1262" spans="1:2" x14ac:dyDescent="0.35">
      <c r="A1262" s="14">
        <v>42266.774074074077</v>
      </c>
      <c r="B1262" s="5">
        <v>1</v>
      </c>
    </row>
    <row r="1263" spans="1:2" x14ac:dyDescent="0.35">
      <c r="A1263" s="14">
        <v>42266.792581018519</v>
      </c>
      <c r="B1263" s="5">
        <v>1</v>
      </c>
    </row>
    <row r="1264" spans="1:2" x14ac:dyDescent="0.35">
      <c r="A1264" s="14">
        <v>42266.840833333335</v>
      </c>
      <c r="B1264" s="5">
        <v>1</v>
      </c>
    </row>
    <row r="1265" spans="1:2" x14ac:dyDescent="0.35">
      <c r="A1265" s="14">
        <v>42266.848703703705</v>
      </c>
      <c r="B1265" s="5">
        <v>1</v>
      </c>
    </row>
    <row r="1266" spans="1:2" x14ac:dyDescent="0.35">
      <c r="A1266" s="14">
        <v>42266.941192129627</v>
      </c>
      <c r="B1266" s="5">
        <v>1</v>
      </c>
    </row>
    <row r="1267" spans="1:2" x14ac:dyDescent="0.35">
      <c r="A1267" s="14">
        <v>42266.943553240744</v>
      </c>
      <c r="B1267" s="5">
        <v>1</v>
      </c>
    </row>
    <row r="1268" spans="1:2" x14ac:dyDescent="0.35">
      <c r="A1268" s="14">
        <v>42266.94730324074</v>
      </c>
      <c r="B1268" s="5">
        <v>1</v>
      </c>
    </row>
    <row r="1269" spans="1:2" x14ac:dyDescent="0.35">
      <c r="A1269" s="14">
        <v>42266.952939814815</v>
      </c>
      <c r="B1269" s="5">
        <v>1</v>
      </c>
    </row>
    <row r="1270" spans="1:2" x14ac:dyDescent="0.35">
      <c r="A1270" s="14">
        <v>42266.953298611108</v>
      </c>
      <c r="B1270" s="5">
        <v>1</v>
      </c>
    </row>
    <row r="1271" spans="1:2" x14ac:dyDescent="0.35">
      <c r="A1271" s="14">
        <v>42267.033321759256</v>
      </c>
      <c r="B1271" s="5">
        <v>1</v>
      </c>
    </row>
    <row r="1272" spans="1:2" x14ac:dyDescent="0.35">
      <c r="A1272" s="14">
        <v>42267.039942129632</v>
      </c>
      <c r="B1272" s="5">
        <v>1</v>
      </c>
    </row>
    <row r="1273" spans="1:2" x14ac:dyDescent="0.35">
      <c r="A1273" s="14">
        <v>42267.048657407409</v>
      </c>
      <c r="B1273" s="5">
        <v>1</v>
      </c>
    </row>
    <row r="1274" spans="1:2" x14ac:dyDescent="0.35">
      <c r="A1274" s="14">
        <v>42267.057905092595</v>
      </c>
      <c r="B1274" s="5">
        <v>1</v>
      </c>
    </row>
    <row r="1275" spans="1:2" x14ac:dyDescent="0.35">
      <c r="A1275" s="14">
        <v>42267.0703125</v>
      </c>
      <c r="B1275" s="5">
        <v>1</v>
      </c>
    </row>
    <row r="1276" spans="1:2" x14ac:dyDescent="0.35">
      <c r="A1276" s="14">
        <v>42267.073344907411</v>
      </c>
      <c r="B1276" s="5">
        <v>1</v>
      </c>
    </row>
    <row r="1277" spans="1:2" x14ac:dyDescent="0.35">
      <c r="A1277" s="14">
        <v>42267.112129629626</v>
      </c>
      <c r="B1277" s="5">
        <v>1</v>
      </c>
    </row>
    <row r="1278" spans="1:2" x14ac:dyDescent="0.35">
      <c r="A1278" s="14">
        <v>42267.115844907406</v>
      </c>
      <c r="B1278" s="5">
        <v>1</v>
      </c>
    </row>
    <row r="1279" spans="1:2" x14ac:dyDescent="0.35">
      <c r="A1279" s="14">
        <v>42267.122118055559</v>
      </c>
      <c r="B1279" s="5">
        <v>1</v>
      </c>
    </row>
    <row r="1280" spans="1:2" x14ac:dyDescent="0.35">
      <c r="A1280" s="14">
        <v>42267.172349537039</v>
      </c>
      <c r="B1280" s="5">
        <v>1</v>
      </c>
    </row>
    <row r="1281" spans="1:2" x14ac:dyDescent="0.35">
      <c r="A1281" s="14">
        <v>42267.174340277779</v>
      </c>
      <c r="B1281" s="5">
        <v>1</v>
      </c>
    </row>
    <row r="1282" spans="1:2" x14ac:dyDescent="0.35">
      <c r="A1282" s="14">
        <v>42267.181585648148</v>
      </c>
      <c r="B1282" s="5">
        <v>1</v>
      </c>
    </row>
    <row r="1283" spans="1:2" x14ac:dyDescent="0.35">
      <c r="A1283" s="14">
        <v>42267.191423611112</v>
      </c>
      <c r="B1283" s="5">
        <v>1</v>
      </c>
    </row>
    <row r="1284" spans="1:2" x14ac:dyDescent="0.35">
      <c r="A1284" s="14">
        <v>42267.202141203707</v>
      </c>
      <c r="B1284" s="5">
        <v>1</v>
      </c>
    </row>
    <row r="1285" spans="1:2" x14ac:dyDescent="0.35">
      <c r="A1285" s="14">
        <v>42267.206111111111</v>
      </c>
      <c r="B1285" s="5">
        <v>1</v>
      </c>
    </row>
    <row r="1286" spans="1:2" x14ac:dyDescent="0.35">
      <c r="A1286" s="14">
        <v>42267.206365740742</v>
      </c>
      <c r="B1286" s="5">
        <v>1</v>
      </c>
    </row>
    <row r="1287" spans="1:2" x14ac:dyDescent="0.35">
      <c r="A1287" s="14">
        <v>42267.302465277775</v>
      </c>
      <c r="B1287" s="5">
        <v>1</v>
      </c>
    </row>
    <row r="1288" spans="1:2" x14ac:dyDescent="0.35">
      <c r="A1288" s="14">
        <v>42267.302939814814</v>
      </c>
      <c r="B1288" s="5">
        <v>1</v>
      </c>
    </row>
    <row r="1289" spans="1:2" x14ac:dyDescent="0.35">
      <c r="A1289" s="14">
        <v>42267.476539351854</v>
      </c>
      <c r="B1289" s="5">
        <v>1</v>
      </c>
    </row>
    <row r="1290" spans="1:2" x14ac:dyDescent="0.35">
      <c r="A1290" s="14">
        <v>42267.477141203701</v>
      </c>
      <c r="B1290" s="5">
        <v>1</v>
      </c>
    </row>
    <row r="1291" spans="1:2" x14ac:dyDescent="0.35">
      <c r="A1291" s="14">
        <v>42267.505289351851</v>
      </c>
      <c r="B1291" s="5">
        <v>1</v>
      </c>
    </row>
    <row r="1292" spans="1:2" x14ac:dyDescent="0.35">
      <c r="A1292" s="14">
        <v>42267.552083333336</v>
      </c>
      <c r="B1292" s="5">
        <v>1</v>
      </c>
    </row>
    <row r="1293" spans="1:2" x14ac:dyDescent="0.35">
      <c r="A1293" s="14">
        <v>42267.615486111114</v>
      </c>
      <c r="B1293" s="5">
        <v>1</v>
      </c>
    </row>
    <row r="1294" spans="1:2" x14ac:dyDescent="0.35">
      <c r="A1294" s="14">
        <v>42267.64271990741</v>
      </c>
      <c r="B1294" s="5">
        <v>1</v>
      </c>
    </row>
    <row r="1295" spans="1:2" x14ac:dyDescent="0.35">
      <c r="A1295" s="14">
        <v>42267.642870370371</v>
      </c>
      <c r="B1295" s="5">
        <v>2</v>
      </c>
    </row>
    <row r="1296" spans="1:2" x14ac:dyDescent="0.35">
      <c r="A1296" s="14">
        <v>42267.643807870372</v>
      </c>
      <c r="B1296" s="5">
        <v>1</v>
      </c>
    </row>
    <row r="1297" spans="1:2" x14ac:dyDescent="0.35">
      <c r="A1297" s="14">
        <v>42267.644583333335</v>
      </c>
      <c r="B1297" s="5">
        <v>1</v>
      </c>
    </row>
    <row r="1298" spans="1:2" x14ac:dyDescent="0.35">
      <c r="A1298" s="14">
        <v>42267.647696759261</v>
      </c>
      <c r="B1298" s="5">
        <v>1</v>
      </c>
    </row>
    <row r="1299" spans="1:2" x14ac:dyDescent="0.35">
      <c r="A1299" s="14">
        <v>42267.647870370369</v>
      </c>
      <c r="B1299" s="5">
        <v>1</v>
      </c>
    </row>
    <row r="1300" spans="1:2" x14ac:dyDescent="0.35">
      <c r="A1300" s="14">
        <v>42267.648032407407</v>
      </c>
      <c r="B1300" s="5">
        <v>2</v>
      </c>
    </row>
    <row r="1301" spans="1:2" x14ac:dyDescent="0.35">
      <c r="A1301" s="14">
        <v>42267.648287037038</v>
      </c>
      <c r="B1301" s="5">
        <v>1</v>
      </c>
    </row>
    <row r="1302" spans="1:2" x14ac:dyDescent="0.35">
      <c r="A1302" s="14">
        <v>42267.6483912037</v>
      </c>
      <c r="B1302" s="5">
        <v>1</v>
      </c>
    </row>
    <row r="1303" spans="1:2" x14ac:dyDescent="0.35">
      <c r="A1303" s="14">
        <v>42267.648402777777</v>
      </c>
      <c r="B1303" s="5">
        <v>1</v>
      </c>
    </row>
    <row r="1304" spans="1:2" x14ac:dyDescent="0.35">
      <c r="A1304" s="14">
        <v>42267.754571759258</v>
      </c>
      <c r="B1304" s="5">
        <v>1</v>
      </c>
    </row>
    <row r="1305" spans="1:2" x14ac:dyDescent="0.35">
      <c r="A1305" s="14">
        <v>42267.760358796295</v>
      </c>
      <c r="B1305" s="5">
        <v>1</v>
      </c>
    </row>
    <row r="1306" spans="1:2" x14ac:dyDescent="0.35">
      <c r="A1306" s="14">
        <v>42267.781921296293</v>
      </c>
      <c r="B1306" s="5">
        <v>1</v>
      </c>
    </row>
    <row r="1307" spans="1:2" x14ac:dyDescent="0.35">
      <c r="A1307" s="14">
        <v>42267.787928240738</v>
      </c>
      <c r="B1307" s="5">
        <v>1</v>
      </c>
    </row>
    <row r="1308" spans="1:2" x14ac:dyDescent="0.35">
      <c r="A1308" s="14">
        <v>42267.7893287037</v>
      </c>
      <c r="B1308" s="5">
        <v>1</v>
      </c>
    </row>
    <row r="1309" spans="1:2" x14ac:dyDescent="0.35">
      <c r="A1309" s="14">
        <v>42267.79146990741</v>
      </c>
      <c r="B1309" s="5">
        <v>1</v>
      </c>
    </row>
    <row r="1310" spans="1:2" x14ac:dyDescent="0.35">
      <c r="A1310" s="14">
        <v>42267.806284722225</v>
      </c>
      <c r="B1310" s="5">
        <v>1</v>
      </c>
    </row>
    <row r="1311" spans="1:2" x14ac:dyDescent="0.35">
      <c r="A1311" s="14">
        <v>42267.816840277781</v>
      </c>
      <c r="B1311" s="5">
        <v>1</v>
      </c>
    </row>
    <row r="1312" spans="1:2" x14ac:dyDescent="0.35">
      <c r="A1312" s="14">
        <v>42267.820520833331</v>
      </c>
      <c r="B1312" s="5">
        <v>1</v>
      </c>
    </row>
    <row r="1313" spans="1:2" x14ac:dyDescent="0.35">
      <c r="A1313" s="14">
        <v>42267.826493055552</v>
      </c>
      <c r="B1313" s="5">
        <v>1</v>
      </c>
    </row>
    <row r="1314" spans="1:2" x14ac:dyDescent="0.35">
      <c r="A1314" s="14">
        <v>42267.854537037034</v>
      </c>
      <c r="B1314" s="5">
        <v>1</v>
      </c>
    </row>
    <row r="1315" spans="1:2" x14ac:dyDescent="0.35">
      <c r="A1315" s="14">
        <v>42267.879942129628</v>
      </c>
      <c r="B1315" s="5">
        <v>1</v>
      </c>
    </row>
    <row r="1316" spans="1:2" x14ac:dyDescent="0.35">
      <c r="A1316" s="14">
        <v>42267.90152777778</v>
      </c>
      <c r="B1316" s="5">
        <v>1</v>
      </c>
    </row>
    <row r="1317" spans="1:2" x14ac:dyDescent="0.35">
      <c r="A1317" s="14">
        <v>42267.914814814816</v>
      </c>
      <c r="B1317" s="5">
        <v>1</v>
      </c>
    </row>
    <row r="1318" spans="1:2" x14ac:dyDescent="0.35">
      <c r="A1318" s="14">
        <v>42267.915000000001</v>
      </c>
      <c r="B1318" s="5">
        <v>1</v>
      </c>
    </row>
    <row r="1319" spans="1:2" x14ac:dyDescent="0.35">
      <c r="A1319" s="14">
        <v>42267.916412037041</v>
      </c>
      <c r="B1319" s="5">
        <v>1</v>
      </c>
    </row>
    <row r="1320" spans="1:2" x14ac:dyDescent="0.35">
      <c r="A1320" s="14">
        <v>42267.927210648151</v>
      </c>
      <c r="B1320" s="5">
        <v>1</v>
      </c>
    </row>
    <row r="1321" spans="1:2" x14ac:dyDescent="0.35">
      <c r="A1321" s="14">
        <v>42267.971168981479</v>
      </c>
      <c r="B1321" s="5">
        <v>1</v>
      </c>
    </row>
    <row r="1322" spans="1:2" x14ac:dyDescent="0.35">
      <c r="A1322" s="14">
        <v>42267.971597222226</v>
      </c>
      <c r="B1322" s="5">
        <v>2</v>
      </c>
    </row>
    <row r="1323" spans="1:2" x14ac:dyDescent="0.35">
      <c r="A1323" s="14">
        <v>42267.973738425928</v>
      </c>
      <c r="B1323" s="5">
        <v>1</v>
      </c>
    </row>
    <row r="1324" spans="1:2" x14ac:dyDescent="0.35">
      <c r="A1324" s="14">
        <v>42267.976377314815</v>
      </c>
      <c r="B1324" s="5">
        <v>1</v>
      </c>
    </row>
    <row r="1325" spans="1:2" x14ac:dyDescent="0.35">
      <c r="A1325" s="14">
        <v>42267.98097222222</v>
      </c>
      <c r="B1325" s="5">
        <v>1</v>
      </c>
    </row>
    <row r="1326" spans="1:2" x14ac:dyDescent="0.35">
      <c r="A1326" s="14">
        <v>42267.982569444444</v>
      </c>
      <c r="B1326" s="5">
        <v>1</v>
      </c>
    </row>
    <row r="1327" spans="1:2" x14ac:dyDescent="0.35">
      <c r="A1327" s="14">
        <v>42268.007696759261</v>
      </c>
      <c r="B1327" s="5">
        <v>1</v>
      </c>
    </row>
    <row r="1328" spans="1:2" x14ac:dyDescent="0.35">
      <c r="A1328" s="14">
        <v>42268.012395833335</v>
      </c>
      <c r="B1328" s="5">
        <v>1</v>
      </c>
    </row>
    <row r="1329" spans="1:2" x14ac:dyDescent="0.35">
      <c r="A1329" s="14">
        <v>42268.022650462961</v>
      </c>
      <c r="B1329" s="5">
        <v>1</v>
      </c>
    </row>
    <row r="1330" spans="1:2" x14ac:dyDescent="0.35">
      <c r="A1330" s="14">
        <v>42268.022662037038</v>
      </c>
      <c r="B1330" s="5">
        <v>1</v>
      </c>
    </row>
    <row r="1331" spans="1:2" x14ac:dyDescent="0.35">
      <c r="A1331" s="14">
        <v>42268.03266203704</v>
      </c>
      <c r="B1331" s="5">
        <v>1</v>
      </c>
    </row>
    <row r="1332" spans="1:2" x14ac:dyDescent="0.35">
      <c r="A1332" s="14">
        <v>42268.100254629629</v>
      </c>
      <c r="B1332" s="5">
        <v>1</v>
      </c>
    </row>
    <row r="1333" spans="1:2" x14ac:dyDescent="0.35">
      <c r="A1333" s="14">
        <v>42268.102083333331</v>
      </c>
      <c r="B1333" s="5">
        <v>1</v>
      </c>
    </row>
    <row r="1334" spans="1:2" x14ac:dyDescent="0.35">
      <c r="A1334" s="14">
        <v>42268.102418981478</v>
      </c>
      <c r="B1334" s="5">
        <v>1</v>
      </c>
    </row>
    <row r="1335" spans="1:2" x14ac:dyDescent="0.35">
      <c r="A1335" s="14">
        <v>42268.104456018518</v>
      </c>
      <c r="B1335" s="5">
        <v>1</v>
      </c>
    </row>
    <row r="1336" spans="1:2" x14ac:dyDescent="0.35">
      <c r="A1336" s="14">
        <v>42268.106921296298</v>
      </c>
      <c r="B1336" s="5">
        <v>1</v>
      </c>
    </row>
    <row r="1337" spans="1:2" x14ac:dyDescent="0.35">
      <c r="A1337" s="14">
        <v>42268.107986111114</v>
      </c>
      <c r="B1337" s="5">
        <v>1</v>
      </c>
    </row>
    <row r="1338" spans="1:2" x14ac:dyDescent="0.35">
      <c r="A1338" s="14">
        <v>42268.108414351853</v>
      </c>
      <c r="B1338" s="5">
        <v>1</v>
      </c>
    </row>
    <row r="1339" spans="1:2" x14ac:dyDescent="0.35">
      <c r="A1339" s="14">
        <v>42268.134722222225</v>
      </c>
      <c r="B1339" s="5">
        <v>1</v>
      </c>
    </row>
    <row r="1340" spans="1:2" x14ac:dyDescent="0.35">
      <c r="A1340" s="14">
        <v>42268.136134259257</v>
      </c>
      <c r="B1340" s="5">
        <v>2</v>
      </c>
    </row>
    <row r="1341" spans="1:2" x14ac:dyDescent="0.35">
      <c r="A1341" s="14">
        <v>42268.137025462966</v>
      </c>
      <c r="B1341" s="5">
        <v>1</v>
      </c>
    </row>
    <row r="1342" spans="1:2" x14ac:dyDescent="0.35">
      <c r="A1342" s="14">
        <v>42268.137129629627</v>
      </c>
      <c r="B1342" s="5">
        <v>1</v>
      </c>
    </row>
    <row r="1343" spans="1:2" x14ac:dyDescent="0.35">
      <c r="A1343" s="14">
        <v>42268.138773148145</v>
      </c>
      <c r="B1343" s="5">
        <v>1</v>
      </c>
    </row>
    <row r="1344" spans="1:2" x14ac:dyDescent="0.35">
      <c r="A1344" s="14">
        <v>42268.143888888888</v>
      </c>
      <c r="B1344" s="5">
        <v>1</v>
      </c>
    </row>
    <row r="1345" spans="1:2" x14ac:dyDescent="0.35">
      <c r="A1345" s="14">
        <v>42268.14744212963</v>
      </c>
      <c r="B1345" s="5">
        <v>1</v>
      </c>
    </row>
    <row r="1346" spans="1:2" x14ac:dyDescent="0.35">
      <c r="A1346" s="14">
        <v>42268.14947916667</v>
      </c>
      <c r="B1346" s="5">
        <v>1</v>
      </c>
    </row>
    <row r="1347" spans="1:2" x14ac:dyDescent="0.35">
      <c r="A1347" s="14">
        <v>42268.150185185186</v>
      </c>
      <c r="B1347" s="5">
        <v>1</v>
      </c>
    </row>
    <row r="1348" spans="1:2" x14ac:dyDescent="0.35">
      <c r="A1348" s="14">
        <v>42268.150787037041</v>
      </c>
      <c r="B1348" s="5">
        <v>1</v>
      </c>
    </row>
    <row r="1349" spans="1:2" x14ac:dyDescent="0.35">
      <c r="A1349" s="14">
        <v>42268.168275462966</v>
      </c>
      <c r="B1349" s="5">
        <v>1</v>
      </c>
    </row>
    <row r="1350" spans="1:2" x14ac:dyDescent="0.35">
      <c r="A1350" s="14">
        <v>42268.172349537039</v>
      </c>
      <c r="B1350" s="5">
        <v>1</v>
      </c>
    </row>
    <row r="1351" spans="1:2" x14ac:dyDescent="0.35">
      <c r="A1351" s="14">
        <v>42268.181400462963</v>
      </c>
      <c r="B1351" s="5">
        <v>1</v>
      </c>
    </row>
    <row r="1352" spans="1:2" x14ac:dyDescent="0.35">
      <c r="A1352" s="14">
        <v>42268.182685185187</v>
      </c>
      <c r="B1352" s="5">
        <v>1</v>
      </c>
    </row>
    <row r="1353" spans="1:2" x14ac:dyDescent="0.35">
      <c r="A1353" s="14">
        <v>42268.18445601852</v>
      </c>
      <c r="B1353" s="5">
        <v>1</v>
      </c>
    </row>
    <row r="1354" spans="1:2" x14ac:dyDescent="0.35">
      <c r="A1354" s="14">
        <v>42268.184641203705</v>
      </c>
      <c r="B1354" s="5">
        <v>1</v>
      </c>
    </row>
    <row r="1355" spans="1:2" x14ac:dyDescent="0.35">
      <c r="A1355" s="14">
        <v>42268.185173611113</v>
      </c>
      <c r="B1355" s="5">
        <v>1</v>
      </c>
    </row>
    <row r="1356" spans="1:2" x14ac:dyDescent="0.35">
      <c r="A1356" s="14">
        <v>42268.185752314814</v>
      </c>
      <c r="B1356" s="5">
        <v>1</v>
      </c>
    </row>
    <row r="1357" spans="1:2" x14ac:dyDescent="0.35">
      <c r="A1357" s="14">
        <v>42268.186215277776</v>
      </c>
      <c r="B1357" s="5">
        <v>1</v>
      </c>
    </row>
    <row r="1358" spans="1:2" x14ac:dyDescent="0.35">
      <c r="A1358" s="14">
        <v>42268.20034722222</v>
      </c>
      <c r="B1358" s="5">
        <v>1</v>
      </c>
    </row>
    <row r="1359" spans="1:2" x14ac:dyDescent="0.35">
      <c r="A1359" s="14">
        <v>42268.258252314816</v>
      </c>
      <c r="B1359" s="5">
        <v>1</v>
      </c>
    </row>
    <row r="1360" spans="1:2" x14ac:dyDescent="0.35">
      <c r="A1360" s="14">
        <v>42268.258391203701</v>
      </c>
      <c r="B1360" s="5">
        <v>1</v>
      </c>
    </row>
    <row r="1361" spans="1:2" x14ac:dyDescent="0.35">
      <c r="A1361" s="14">
        <v>42268.277326388888</v>
      </c>
      <c r="B1361" s="5">
        <v>1</v>
      </c>
    </row>
    <row r="1362" spans="1:2" x14ac:dyDescent="0.35">
      <c r="A1362" s="14">
        <v>42268.308796296296</v>
      </c>
      <c r="B1362" s="5">
        <v>1</v>
      </c>
    </row>
    <row r="1363" spans="1:2" x14ac:dyDescent="0.35">
      <c r="A1363" s="14">
        <v>42268.347303240742</v>
      </c>
      <c r="B1363" s="5">
        <v>1</v>
      </c>
    </row>
    <row r="1364" spans="1:2" x14ac:dyDescent="0.35">
      <c r="A1364" s="14">
        <v>42268.378958333335</v>
      </c>
      <c r="B1364" s="5">
        <v>1</v>
      </c>
    </row>
    <row r="1365" spans="1:2" x14ac:dyDescent="0.35">
      <c r="A1365" s="14">
        <v>42268.470069444447</v>
      </c>
      <c r="B1365" s="5">
        <v>1</v>
      </c>
    </row>
    <row r="1366" spans="1:2" x14ac:dyDescent="0.35">
      <c r="A1366" s="14">
        <v>42268.473634259259</v>
      </c>
      <c r="B1366" s="5">
        <v>1</v>
      </c>
    </row>
    <row r="1367" spans="1:2" x14ac:dyDescent="0.35">
      <c r="A1367" s="14">
        <v>42268.513287037036</v>
      </c>
      <c r="B1367" s="5">
        <v>1</v>
      </c>
    </row>
    <row r="1368" spans="1:2" x14ac:dyDescent="0.35">
      <c r="A1368" s="14">
        <v>42268.54724537037</v>
      </c>
      <c r="B1368" s="5">
        <v>1</v>
      </c>
    </row>
    <row r="1369" spans="1:2" x14ac:dyDescent="0.35">
      <c r="A1369" s="14">
        <v>42268.547465277778</v>
      </c>
      <c r="B1369" s="5">
        <v>1</v>
      </c>
    </row>
    <row r="1370" spans="1:2" x14ac:dyDescent="0.35">
      <c r="A1370" s="14">
        <v>42268.549120370371</v>
      </c>
      <c r="B1370" s="5">
        <v>1</v>
      </c>
    </row>
    <row r="1371" spans="1:2" x14ac:dyDescent="0.35">
      <c r="A1371" s="14">
        <v>42268.586655092593</v>
      </c>
      <c r="B1371" s="5">
        <v>1</v>
      </c>
    </row>
    <row r="1372" spans="1:2" x14ac:dyDescent="0.35">
      <c r="A1372" s="14">
        <v>42268.594930555555</v>
      </c>
      <c r="B1372" s="5">
        <v>1</v>
      </c>
    </row>
    <row r="1373" spans="1:2" x14ac:dyDescent="0.35">
      <c r="A1373" s="14">
        <v>42268.595208333332</v>
      </c>
      <c r="B1373" s="5">
        <v>2</v>
      </c>
    </row>
    <row r="1374" spans="1:2" x14ac:dyDescent="0.35">
      <c r="A1374" s="14">
        <v>42268.608657407407</v>
      </c>
      <c r="B1374" s="5">
        <v>1</v>
      </c>
    </row>
    <row r="1375" spans="1:2" x14ac:dyDescent="0.35">
      <c r="A1375" s="14">
        <v>42268.609432870369</v>
      </c>
      <c r="B1375" s="5">
        <v>1</v>
      </c>
    </row>
    <row r="1376" spans="1:2" x14ac:dyDescent="0.35">
      <c r="A1376" s="14">
        <v>42268.609537037039</v>
      </c>
      <c r="B1376" s="5">
        <v>1</v>
      </c>
    </row>
    <row r="1377" spans="1:2" x14ac:dyDescent="0.35">
      <c r="A1377" s="14">
        <v>42268.610833333332</v>
      </c>
      <c r="B1377" s="5">
        <v>1</v>
      </c>
    </row>
    <row r="1378" spans="1:2" x14ac:dyDescent="0.35">
      <c r="A1378" s="14">
        <v>42268.611076388886</v>
      </c>
      <c r="B1378" s="5">
        <v>2</v>
      </c>
    </row>
    <row r="1379" spans="1:2" x14ac:dyDescent="0.35">
      <c r="A1379" s="14">
        <v>42268.612835648149</v>
      </c>
      <c r="B1379" s="5">
        <v>1</v>
      </c>
    </row>
    <row r="1380" spans="1:2" x14ac:dyDescent="0.35">
      <c r="A1380" s="14">
        <v>42268.613032407404</v>
      </c>
      <c r="B1380" s="5">
        <v>1</v>
      </c>
    </row>
    <row r="1381" spans="1:2" x14ac:dyDescent="0.35">
      <c r="A1381" s="14">
        <v>42268.614317129628</v>
      </c>
      <c r="B1381" s="5">
        <v>1</v>
      </c>
    </row>
    <row r="1382" spans="1:2" x14ac:dyDescent="0.35">
      <c r="A1382" s="14">
        <v>42268.617488425924</v>
      </c>
      <c r="B1382" s="5">
        <v>1</v>
      </c>
    </row>
    <row r="1383" spans="1:2" x14ac:dyDescent="0.35">
      <c r="A1383" s="14">
        <v>42268.617812500001</v>
      </c>
      <c r="B1383" s="5">
        <v>1</v>
      </c>
    </row>
    <row r="1384" spans="1:2" x14ac:dyDescent="0.35">
      <c r="A1384" s="14">
        <v>42268.621666666666</v>
      </c>
      <c r="B1384" s="5">
        <v>1</v>
      </c>
    </row>
    <row r="1385" spans="1:2" x14ac:dyDescent="0.35">
      <c r="A1385" s="14">
        <v>42268.627905092595</v>
      </c>
      <c r="B1385" s="5">
        <v>1</v>
      </c>
    </row>
    <row r="1386" spans="1:2" x14ac:dyDescent="0.35">
      <c r="A1386" s="14">
        <v>42268.635868055557</v>
      </c>
      <c r="B1386" s="5">
        <v>1</v>
      </c>
    </row>
    <row r="1387" spans="1:2" x14ac:dyDescent="0.35">
      <c r="A1387" s="14">
        <v>42268.636377314811</v>
      </c>
      <c r="B1387" s="5">
        <v>1</v>
      </c>
    </row>
    <row r="1388" spans="1:2" x14ac:dyDescent="0.35">
      <c r="A1388" s="14">
        <v>42268.640439814815</v>
      </c>
      <c r="B1388" s="5">
        <v>1</v>
      </c>
    </row>
    <row r="1389" spans="1:2" x14ac:dyDescent="0.35">
      <c r="A1389" s="14">
        <v>42268.644687499997</v>
      </c>
      <c r="B1389" s="5">
        <v>1</v>
      </c>
    </row>
    <row r="1390" spans="1:2" x14ac:dyDescent="0.35">
      <c r="A1390" s="14">
        <v>42268.645451388889</v>
      </c>
      <c r="B1390" s="5">
        <v>1</v>
      </c>
    </row>
    <row r="1391" spans="1:2" x14ac:dyDescent="0.35">
      <c r="A1391" s="14">
        <v>42268.652812499997</v>
      </c>
      <c r="B1391" s="5">
        <v>1</v>
      </c>
    </row>
    <row r="1392" spans="1:2" x14ac:dyDescent="0.35">
      <c r="A1392" s="14">
        <v>42268.658877314818</v>
      </c>
      <c r="B1392" s="5">
        <v>1</v>
      </c>
    </row>
    <row r="1393" spans="1:2" x14ac:dyDescent="0.35">
      <c r="A1393" s="14">
        <v>42268.668229166666</v>
      </c>
      <c r="B1393" s="5">
        <v>1</v>
      </c>
    </row>
    <row r="1394" spans="1:2" x14ac:dyDescent="0.35">
      <c r="A1394" s="14">
        <v>42268.695011574076</v>
      </c>
      <c r="B1394" s="5">
        <v>1</v>
      </c>
    </row>
    <row r="1395" spans="1:2" x14ac:dyDescent="0.35">
      <c r="A1395" s="14">
        <v>42268.695115740738</v>
      </c>
      <c r="B1395" s="5">
        <v>1</v>
      </c>
    </row>
    <row r="1396" spans="1:2" x14ac:dyDescent="0.35">
      <c r="A1396" s="14">
        <v>42268.696377314816</v>
      </c>
      <c r="B1396" s="5">
        <v>1</v>
      </c>
    </row>
    <row r="1397" spans="1:2" x14ac:dyDescent="0.35">
      <c r="A1397" s="14">
        <v>42268.696747685186</v>
      </c>
      <c r="B1397" s="5">
        <v>1</v>
      </c>
    </row>
    <row r="1398" spans="1:2" x14ac:dyDescent="0.35">
      <c r="A1398" s="14">
        <v>42268.700810185182</v>
      </c>
      <c r="B1398" s="5">
        <v>1</v>
      </c>
    </row>
    <row r="1399" spans="1:2" x14ac:dyDescent="0.35">
      <c r="A1399" s="14">
        <v>42268.704456018517</v>
      </c>
      <c r="B1399" s="5">
        <v>1</v>
      </c>
    </row>
    <row r="1400" spans="1:2" x14ac:dyDescent="0.35">
      <c r="A1400" s="14">
        <v>42268.706944444442</v>
      </c>
      <c r="B1400" s="5">
        <v>1</v>
      </c>
    </row>
    <row r="1401" spans="1:2" x14ac:dyDescent="0.35">
      <c r="A1401" s="14">
        <v>42268.707199074073</v>
      </c>
      <c r="B1401" s="5">
        <v>1</v>
      </c>
    </row>
    <row r="1402" spans="1:2" x14ac:dyDescent="0.35">
      <c r="A1402" s="14">
        <v>42268.710601851853</v>
      </c>
      <c r="B1402" s="5">
        <v>1</v>
      </c>
    </row>
    <row r="1403" spans="1:2" x14ac:dyDescent="0.35">
      <c r="A1403" s="14">
        <v>42268.711365740739</v>
      </c>
      <c r="B1403" s="5">
        <v>1</v>
      </c>
    </row>
    <row r="1404" spans="1:2" x14ac:dyDescent="0.35">
      <c r="A1404" s="14">
        <v>42268.718773148146</v>
      </c>
      <c r="B1404" s="5">
        <v>1</v>
      </c>
    </row>
    <row r="1405" spans="1:2" x14ac:dyDescent="0.35">
      <c r="A1405" s="14">
        <v>42268.724872685183</v>
      </c>
      <c r="B1405" s="5">
        <v>1</v>
      </c>
    </row>
    <row r="1406" spans="1:2" x14ac:dyDescent="0.35">
      <c r="A1406" s="14">
        <v>42268.729363425926</v>
      </c>
      <c r="B1406" s="5">
        <v>1</v>
      </c>
    </row>
    <row r="1407" spans="1:2" x14ac:dyDescent="0.35">
      <c r="A1407" s="14">
        <v>42268.738240740742</v>
      </c>
      <c r="B1407" s="5">
        <v>1</v>
      </c>
    </row>
    <row r="1408" spans="1:2" x14ac:dyDescent="0.35">
      <c r="A1408" s="14">
        <v>42268.738298611112</v>
      </c>
      <c r="B1408" s="5">
        <v>1</v>
      </c>
    </row>
    <row r="1409" spans="1:2" x14ac:dyDescent="0.35">
      <c r="A1409" s="14">
        <v>42268.742685185185</v>
      </c>
      <c r="B1409" s="5">
        <v>1</v>
      </c>
    </row>
    <row r="1410" spans="1:2" x14ac:dyDescent="0.35">
      <c r="A1410" s="14">
        <v>42268.742743055554</v>
      </c>
      <c r="B1410" s="5">
        <v>1</v>
      </c>
    </row>
    <row r="1411" spans="1:2" x14ac:dyDescent="0.35">
      <c r="A1411" s="14">
        <v>42268.744710648149</v>
      </c>
      <c r="B1411" s="5">
        <v>1</v>
      </c>
    </row>
    <row r="1412" spans="1:2" x14ac:dyDescent="0.35">
      <c r="A1412" s="14">
        <v>42268.746249999997</v>
      </c>
      <c r="B1412" s="5">
        <v>1</v>
      </c>
    </row>
    <row r="1413" spans="1:2" x14ac:dyDescent="0.35">
      <c r="A1413" s="14">
        <v>42268.748124999998</v>
      </c>
      <c r="B1413" s="5">
        <v>1</v>
      </c>
    </row>
    <row r="1414" spans="1:2" x14ac:dyDescent="0.35">
      <c r="A1414" s="14">
        <v>42268.749131944445</v>
      </c>
      <c r="B1414" s="5">
        <v>1</v>
      </c>
    </row>
    <row r="1415" spans="1:2" x14ac:dyDescent="0.35">
      <c r="A1415" s="14">
        <v>42268.751018518517</v>
      </c>
      <c r="B1415" s="5">
        <v>1</v>
      </c>
    </row>
    <row r="1416" spans="1:2" x14ac:dyDescent="0.35">
      <c r="A1416" s="14">
        <v>42268.752199074072</v>
      </c>
      <c r="B1416" s="5">
        <v>1</v>
      </c>
    </row>
    <row r="1417" spans="1:2" x14ac:dyDescent="0.35">
      <c r="A1417" s="14">
        <v>42268.752280092594</v>
      </c>
      <c r="B1417" s="5">
        <v>1</v>
      </c>
    </row>
    <row r="1418" spans="1:2" x14ac:dyDescent="0.35">
      <c r="A1418" s="14">
        <v>42268.752488425926</v>
      </c>
      <c r="B1418" s="5">
        <v>1</v>
      </c>
    </row>
    <row r="1419" spans="1:2" x14ac:dyDescent="0.35">
      <c r="A1419" s="14">
        <v>42268.757187499999</v>
      </c>
      <c r="B1419" s="5">
        <v>1</v>
      </c>
    </row>
    <row r="1420" spans="1:2" x14ac:dyDescent="0.35">
      <c r="A1420" s="14">
        <v>42268.759606481479</v>
      </c>
      <c r="B1420" s="5">
        <v>1</v>
      </c>
    </row>
    <row r="1421" spans="1:2" x14ac:dyDescent="0.35">
      <c r="A1421" s="14">
        <v>42268.75990740741</v>
      </c>
      <c r="B1421" s="5">
        <v>1</v>
      </c>
    </row>
    <row r="1422" spans="1:2" x14ac:dyDescent="0.35">
      <c r="A1422" s="14">
        <v>42268.760231481479</v>
      </c>
      <c r="B1422" s="5">
        <v>1</v>
      </c>
    </row>
    <row r="1423" spans="1:2" x14ac:dyDescent="0.35">
      <c r="A1423" s="14">
        <v>42268.760520833333</v>
      </c>
      <c r="B1423" s="5">
        <v>1</v>
      </c>
    </row>
    <row r="1424" spans="1:2" x14ac:dyDescent="0.35">
      <c r="A1424" s="14">
        <v>42268.779652777775</v>
      </c>
      <c r="B1424" s="5">
        <v>1</v>
      </c>
    </row>
    <row r="1425" spans="1:2" x14ac:dyDescent="0.35">
      <c r="A1425" s="14">
        <v>42268.792060185187</v>
      </c>
      <c r="B1425" s="5">
        <v>1</v>
      </c>
    </row>
    <row r="1426" spans="1:2" x14ac:dyDescent="0.35">
      <c r="A1426" s="14">
        <v>42268.799814814818</v>
      </c>
      <c r="B1426" s="5">
        <v>1</v>
      </c>
    </row>
    <row r="1427" spans="1:2" x14ac:dyDescent="0.35">
      <c r="A1427" s="14">
        <v>42268.802407407406</v>
      </c>
      <c r="B1427" s="5">
        <v>1</v>
      </c>
    </row>
    <row r="1428" spans="1:2" x14ac:dyDescent="0.35">
      <c r="A1428" s="14">
        <v>42268.850601851853</v>
      </c>
      <c r="B1428" s="5">
        <v>1</v>
      </c>
    </row>
    <row r="1429" spans="1:2" x14ac:dyDescent="0.35">
      <c r="A1429" s="14">
        <v>42268.855995370373</v>
      </c>
      <c r="B1429" s="5">
        <v>1</v>
      </c>
    </row>
    <row r="1430" spans="1:2" x14ac:dyDescent="0.35">
      <c r="A1430" s="14">
        <v>42268.861689814818</v>
      </c>
      <c r="B1430" s="5">
        <v>1</v>
      </c>
    </row>
    <row r="1431" spans="1:2" x14ac:dyDescent="0.35">
      <c r="A1431" s="14">
        <v>42268.862650462965</v>
      </c>
      <c r="B1431" s="5">
        <v>1</v>
      </c>
    </row>
    <row r="1432" spans="1:2" x14ac:dyDescent="0.35">
      <c r="A1432" s="14">
        <v>42268.875706018516</v>
      </c>
      <c r="B1432" s="5">
        <v>1</v>
      </c>
    </row>
    <row r="1433" spans="1:2" x14ac:dyDescent="0.35">
      <c r="A1433" s="14">
        <v>42268.878946759258</v>
      </c>
      <c r="B1433" s="5">
        <v>1</v>
      </c>
    </row>
    <row r="1434" spans="1:2" x14ac:dyDescent="0.35">
      <c r="A1434" s="14">
        <v>42268.899062500001</v>
      </c>
      <c r="B1434" s="5">
        <v>1</v>
      </c>
    </row>
    <row r="1435" spans="1:2" x14ac:dyDescent="0.35">
      <c r="A1435" s="14">
        <v>42268.91915509259</v>
      </c>
      <c r="B1435" s="5">
        <v>1</v>
      </c>
    </row>
    <row r="1436" spans="1:2" x14ac:dyDescent="0.35">
      <c r="A1436" s="14">
        <v>42268.952881944446</v>
      </c>
      <c r="B1436" s="5">
        <v>1</v>
      </c>
    </row>
    <row r="1437" spans="1:2" x14ac:dyDescent="0.35">
      <c r="A1437" s="14">
        <v>42268.959722222222</v>
      </c>
      <c r="B1437" s="5">
        <v>2</v>
      </c>
    </row>
    <row r="1438" spans="1:2" x14ac:dyDescent="0.35">
      <c r="A1438" s="14">
        <v>42268.984930555554</v>
      </c>
      <c r="B1438" s="5">
        <v>1</v>
      </c>
    </row>
    <row r="1439" spans="1:2" x14ac:dyDescent="0.35">
      <c r="A1439" s="14">
        <v>42269.026377314818</v>
      </c>
      <c r="B1439" s="5">
        <v>1</v>
      </c>
    </row>
    <row r="1440" spans="1:2" x14ac:dyDescent="0.35">
      <c r="A1440" s="14">
        <v>42269.035983796297</v>
      </c>
      <c r="B1440" s="5">
        <v>1</v>
      </c>
    </row>
    <row r="1441" spans="1:2" x14ac:dyDescent="0.35">
      <c r="A1441" s="14">
        <v>42269.038715277777</v>
      </c>
      <c r="B1441" s="5">
        <v>1</v>
      </c>
    </row>
    <row r="1442" spans="1:2" x14ac:dyDescent="0.35">
      <c r="A1442" s="14">
        <v>42269.045937499999</v>
      </c>
      <c r="B1442" s="5">
        <v>1</v>
      </c>
    </row>
    <row r="1443" spans="1:2" x14ac:dyDescent="0.35">
      <c r="A1443" s="14">
        <v>42269.054675925923</v>
      </c>
      <c r="B1443" s="5">
        <v>1</v>
      </c>
    </row>
    <row r="1444" spans="1:2" x14ac:dyDescent="0.35">
      <c r="A1444" s="14">
        <v>42269.069953703707</v>
      </c>
      <c r="B1444" s="5">
        <v>1</v>
      </c>
    </row>
    <row r="1445" spans="1:2" x14ac:dyDescent="0.35">
      <c r="A1445" s="14">
        <v>42269.070300925923</v>
      </c>
      <c r="B1445" s="5">
        <v>1</v>
      </c>
    </row>
    <row r="1446" spans="1:2" x14ac:dyDescent="0.35">
      <c r="A1446" s="14">
        <v>42269.134386574071</v>
      </c>
      <c r="B1446" s="5">
        <v>1</v>
      </c>
    </row>
    <row r="1447" spans="1:2" x14ac:dyDescent="0.35">
      <c r="A1447" s="14">
        <v>42269.139907407407</v>
      </c>
      <c r="B1447" s="5">
        <v>1</v>
      </c>
    </row>
    <row r="1448" spans="1:2" x14ac:dyDescent="0.35">
      <c r="A1448" s="14">
        <v>42269.151319444441</v>
      </c>
      <c r="B1448" s="5">
        <v>1</v>
      </c>
    </row>
    <row r="1449" spans="1:2" x14ac:dyDescent="0.35">
      <c r="A1449" s="14">
        <v>42269.151597222219</v>
      </c>
      <c r="B1449" s="5">
        <v>1</v>
      </c>
    </row>
    <row r="1450" spans="1:2" x14ac:dyDescent="0.35">
      <c r="A1450" s="14">
        <v>42269.151863425926</v>
      </c>
      <c r="B1450" s="5">
        <v>1</v>
      </c>
    </row>
    <row r="1451" spans="1:2" x14ac:dyDescent="0.35">
      <c r="A1451" s="14">
        <v>42269.161006944443</v>
      </c>
      <c r="B1451" s="5">
        <v>1</v>
      </c>
    </row>
    <row r="1452" spans="1:2" x14ac:dyDescent="0.35">
      <c r="A1452" s="14">
        <v>42269.176817129628</v>
      </c>
      <c r="B1452" s="5">
        <v>1</v>
      </c>
    </row>
    <row r="1453" spans="1:2" x14ac:dyDescent="0.35">
      <c r="A1453" s="14">
        <v>42269.186631944445</v>
      </c>
      <c r="B1453" s="5">
        <v>1</v>
      </c>
    </row>
    <row r="1454" spans="1:2" x14ac:dyDescent="0.35">
      <c r="A1454" s="14">
        <v>42269.199548611112</v>
      </c>
      <c r="B1454" s="5">
        <v>1</v>
      </c>
    </row>
    <row r="1455" spans="1:2" x14ac:dyDescent="0.35">
      <c r="A1455" s="14">
        <v>42269.206712962965</v>
      </c>
      <c r="B1455" s="5">
        <v>1</v>
      </c>
    </row>
    <row r="1456" spans="1:2" x14ac:dyDescent="0.35">
      <c r="A1456" s="14">
        <v>42269.217534722222</v>
      </c>
      <c r="B1456" s="5">
        <v>1</v>
      </c>
    </row>
    <row r="1457" spans="1:2" x14ac:dyDescent="0.35">
      <c r="A1457" s="14">
        <v>42269.222129629627</v>
      </c>
      <c r="B1457" s="5">
        <v>1</v>
      </c>
    </row>
    <row r="1458" spans="1:2" x14ac:dyDescent="0.35">
      <c r="A1458" s="14">
        <v>42269.22320601852</v>
      </c>
      <c r="B1458" s="5">
        <v>1</v>
      </c>
    </row>
    <row r="1459" spans="1:2" x14ac:dyDescent="0.35">
      <c r="A1459" s="14">
        <v>42269.224016203705</v>
      </c>
      <c r="B1459" s="5">
        <v>1</v>
      </c>
    </row>
    <row r="1460" spans="1:2" x14ac:dyDescent="0.35">
      <c r="A1460" s="14">
        <v>42269.224270833336</v>
      </c>
      <c r="B1460" s="5">
        <v>1</v>
      </c>
    </row>
    <row r="1461" spans="1:2" x14ac:dyDescent="0.35">
      <c r="A1461" s="14">
        <v>42269.227268518516</v>
      </c>
      <c r="B1461" s="5">
        <v>1</v>
      </c>
    </row>
    <row r="1462" spans="1:2" x14ac:dyDescent="0.35">
      <c r="A1462" s="14">
        <v>42269.289837962962</v>
      </c>
      <c r="B1462" s="5">
        <v>1</v>
      </c>
    </row>
    <row r="1463" spans="1:2" x14ac:dyDescent="0.35">
      <c r="A1463" s="14">
        <v>42269.420740740738</v>
      </c>
      <c r="B1463" s="5">
        <v>1</v>
      </c>
    </row>
    <row r="1464" spans="1:2" x14ac:dyDescent="0.35">
      <c r="A1464" s="14">
        <v>42269.454918981479</v>
      </c>
      <c r="B1464" s="5">
        <v>2</v>
      </c>
    </row>
    <row r="1465" spans="1:2" x14ac:dyDescent="0.35">
      <c r="A1465" s="14">
        <v>42269.470590277779</v>
      </c>
      <c r="B1465" s="5">
        <v>1</v>
      </c>
    </row>
    <row r="1466" spans="1:2" x14ac:dyDescent="0.35">
      <c r="A1466" s="14">
        <v>42269.538784722223</v>
      </c>
      <c r="B1466" s="5">
        <v>1</v>
      </c>
    </row>
    <row r="1467" spans="1:2" x14ac:dyDescent="0.35">
      <c r="A1467" s="14">
        <v>42269.540648148148</v>
      </c>
      <c r="B1467" s="5">
        <v>1</v>
      </c>
    </row>
    <row r="1468" spans="1:2" x14ac:dyDescent="0.35">
      <c r="A1468" s="14">
        <v>42269.549247685187</v>
      </c>
      <c r="B1468" s="5">
        <v>1</v>
      </c>
    </row>
    <row r="1469" spans="1:2" x14ac:dyDescent="0.35">
      <c r="A1469" s="14">
        <v>42269.568148148152</v>
      </c>
      <c r="B1469" s="5">
        <v>1</v>
      </c>
    </row>
    <row r="1470" spans="1:2" x14ac:dyDescent="0.35">
      <c r="A1470" s="14">
        <v>42269.581018518518</v>
      </c>
      <c r="B1470" s="5">
        <v>1</v>
      </c>
    </row>
    <row r="1471" spans="1:2" x14ac:dyDescent="0.35">
      <c r="A1471" s="14">
        <v>42269.619062500002</v>
      </c>
      <c r="B1471" s="5">
        <v>1</v>
      </c>
    </row>
    <row r="1472" spans="1:2" x14ac:dyDescent="0.35">
      <c r="A1472" s="14">
        <v>42269.619618055556</v>
      </c>
      <c r="B1472" s="5">
        <v>1</v>
      </c>
    </row>
    <row r="1473" spans="1:2" x14ac:dyDescent="0.35">
      <c r="A1473" s="14">
        <v>42269.625671296293</v>
      </c>
      <c r="B1473" s="5">
        <v>1</v>
      </c>
    </row>
    <row r="1474" spans="1:2" x14ac:dyDescent="0.35">
      <c r="A1474" s="14">
        <v>42269.627453703702</v>
      </c>
      <c r="B1474" s="5">
        <v>1</v>
      </c>
    </row>
    <row r="1475" spans="1:2" x14ac:dyDescent="0.35">
      <c r="A1475" s="14">
        <v>42269.63003472222</v>
      </c>
      <c r="B1475" s="5">
        <v>1</v>
      </c>
    </row>
    <row r="1476" spans="1:2" x14ac:dyDescent="0.35">
      <c r="A1476" s="14">
        <v>42269.63486111111</v>
      </c>
      <c r="B1476" s="5">
        <v>1</v>
      </c>
    </row>
    <row r="1477" spans="1:2" x14ac:dyDescent="0.35">
      <c r="A1477" s="14">
        <v>42269.635995370372</v>
      </c>
      <c r="B1477" s="5">
        <v>1</v>
      </c>
    </row>
    <row r="1478" spans="1:2" x14ac:dyDescent="0.35">
      <c r="A1478" s="14">
        <v>42269.643425925926</v>
      </c>
      <c r="B1478" s="5">
        <v>1</v>
      </c>
    </row>
    <row r="1479" spans="1:2" x14ac:dyDescent="0.35">
      <c r="A1479" s="14">
        <v>42269.65216435185</v>
      </c>
      <c r="B1479" s="5">
        <v>1</v>
      </c>
    </row>
    <row r="1480" spans="1:2" x14ac:dyDescent="0.35">
      <c r="A1480" s="14">
        <v>42269.66033564815</v>
      </c>
      <c r="B1480" s="5">
        <v>1</v>
      </c>
    </row>
    <row r="1481" spans="1:2" x14ac:dyDescent="0.35">
      <c r="A1481" s="14">
        <v>42269.681284722225</v>
      </c>
      <c r="B1481" s="5">
        <v>1</v>
      </c>
    </row>
    <row r="1482" spans="1:2" x14ac:dyDescent="0.35">
      <c r="A1482" s="14">
        <v>42269.681770833333</v>
      </c>
      <c r="B1482" s="5">
        <v>1</v>
      </c>
    </row>
    <row r="1483" spans="1:2" x14ac:dyDescent="0.35">
      <c r="A1483" s="14">
        <v>42269.683032407411</v>
      </c>
      <c r="B1483" s="5">
        <v>1</v>
      </c>
    </row>
    <row r="1484" spans="1:2" x14ac:dyDescent="0.35">
      <c r="A1484" s="14">
        <v>42269.687986111108</v>
      </c>
      <c r="B1484" s="5">
        <v>1</v>
      </c>
    </row>
    <row r="1485" spans="1:2" x14ac:dyDescent="0.35">
      <c r="A1485" s="14">
        <v>42269.692696759259</v>
      </c>
      <c r="B1485" s="5">
        <v>1</v>
      </c>
    </row>
    <row r="1486" spans="1:2" x14ac:dyDescent="0.35">
      <c r="A1486" s="14">
        <v>42269.692847222221</v>
      </c>
      <c r="B1486" s="5">
        <v>1</v>
      </c>
    </row>
    <row r="1487" spans="1:2" x14ac:dyDescent="0.35">
      <c r="A1487" s="14">
        <v>42269.693518518521</v>
      </c>
      <c r="B1487" s="5">
        <v>1</v>
      </c>
    </row>
    <row r="1488" spans="1:2" x14ac:dyDescent="0.35">
      <c r="A1488" s="14">
        <v>42269.694189814814</v>
      </c>
      <c r="B1488" s="5">
        <v>1</v>
      </c>
    </row>
    <row r="1489" spans="1:2" x14ac:dyDescent="0.35">
      <c r="A1489" s="14">
        <v>42269.741423611114</v>
      </c>
      <c r="B1489" s="5">
        <v>1</v>
      </c>
    </row>
    <row r="1490" spans="1:2" x14ac:dyDescent="0.35">
      <c r="A1490" s="14">
        <v>42269.750034722223</v>
      </c>
      <c r="B1490" s="5">
        <v>1</v>
      </c>
    </row>
    <row r="1491" spans="1:2" x14ac:dyDescent="0.35">
      <c r="A1491" s="14">
        <v>42269.753657407404</v>
      </c>
      <c r="B1491" s="5">
        <v>1</v>
      </c>
    </row>
    <row r="1492" spans="1:2" x14ac:dyDescent="0.35">
      <c r="A1492" s="14">
        <v>42269.767881944441</v>
      </c>
      <c r="B1492" s="5">
        <v>1</v>
      </c>
    </row>
    <row r="1493" spans="1:2" x14ac:dyDescent="0.35">
      <c r="A1493" s="14">
        <v>42269.767974537041</v>
      </c>
      <c r="B1493" s="5">
        <v>1</v>
      </c>
    </row>
    <row r="1494" spans="1:2" x14ac:dyDescent="0.35">
      <c r="A1494" s="14">
        <v>42269.768113425926</v>
      </c>
      <c r="B1494" s="5">
        <v>1</v>
      </c>
    </row>
    <row r="1495" spans="1:2" x14ac:dyDescent="0.35">
      <c r="A1495" s="14">
        <v>42269.768333333333</v>
      </c>
      <c r="B1495" s="5">
        <v>1</v>
      </c>
    </row>
    <row r="1496" spans="1:2" x14ac:dyDescent="0.35">
      <c r="A1496" s="14">
        <v>42269.801481481481</v>
      </c>
      <c r="B1496" s="5">
        <v>1</v>
      </c>
    </row>
    <row r="1497" spans="1:2" x14ac:dyDescent="0.35">
      <c r="A1497" s="14">
        <v>42269.80201388889</v>
      </c>
      <c r="B1497" s="5">
        <v>1</v>
      </c>
    </row>
    <row r="1498" spans="1:2" x14ac:dyDescent="0.35">
      <c r="A1498" s="14">
        <v>42269.803356481483</v>
      </c>
      <c r="B1498" s="5">
        <v>1</v>
      </c>
    </row>
    <row r="1499" spans="1:2" x14ac:dyDescent="0.35">
      <c r="A1499" s="14">
        <v>42269.808831018519</v>
      </c>
      <c r="B1499" s="5">
        <v>1</v>
      </c>
    </row>
    <row r="1500" spans="1:2" x14ac:dyDescent="0.35">
      <c r="A1500" s="14">
        <v>42269.809131944443</v>
      </c>
      <c r="B1500" s="5">
        <v>1</v>
      </c>
    </row>
    <row r="1501" spans="1:2" x14ac:dyDescent="0.35">
      <c r="A1501" s="14">
        <v>42269.809479166666</v>
      </c>
      <c r="B1501" s="5">
        <v>1</v>
      </c>
    </row>
    <row r="1502" spans="1:2" x14ac:dyDescent="0.35">
      <c r="A1502" s="14">
        <v>42269.836736111109</v>
      </c>
      <c r="B1502" s="5">
        <v>1</v>
      </c>
    </row>
    <row r="1503" spans="1:2" x14ac:dyDescent="0.35">
      <c r="A1503" s="14">
        <v>42269.837175925924</v>
      </c>
      <c r="B1503" s="5">
        <v>1</v>
      </c>
    </row>
    <row r="1504" spans="1:2" x14ac:dyDescent="0.35">
      <c r="A1504" s="14">
        <v>42269.837453703702</v>
      </c>
      <c r="B1504" s="5">
        <v>2</v>
      </c>
    </row>
    <row r="1505" spans="1:2" x14ac:dyDescent="0.35">
      <c r="A1505" s="14">
        <v>42269.83902777778</v>
      </c>
      <c r="B1505" s="5">
        <v>1</v>
      </c>
    </row>
    <row r="1506" spans="1:2" x14ac:dyDescent="0.35">
      <c r="A1506" s="14">
        <v>42269.839212962965</v>
      </c>
      <c r="B1506" s="5">
        <v>2</v>
      </c>
    </row>
    <row r="1507" spans="1:2" x14ac:dyDescent="0.35">
      <c r="A1507" s="14">
        <v>42269.842951388891</v>
      </c>
      <c r="B1507" s="5">
        <v>1</v>
      </c>
    </row>
    <row r="1508" spans="1:2" x14ac:dyDescent="0.35">
      <c r="A1508" s="14">
        <v>42269.84888888889</v>
      </c>
      <c r="B1508" s="5">
        <v>1</v>
      </c>
    </row>
    <row r="1509" spans="1:2" x14ac:dyDescent="0.35">
      <c r="A1509" s="14">
        <v>42269.851331018515</v>
      </c>
      <c r="B1509" s="5">
        <v>1</v>
      </c>
    </row>
    <row r="1510" spans="1:2" x14ac:dyDescent="0.35">
      <c r="A1510" s="14">
        <v>42269.851898148147</v>
      </c>
      <c r="B1510" s="5">
        <v>1</v>
      </c>
    </row>
    <row r="1511" spans="1:2" x14ac:dyDescent="0.35">
      <c r="A1511" s="14">
        <v>42269.861967592595</v>
      </c>
      <c r="B1511" s="5">
        <v>1</v>
      </c>
    </row>
    <row r="1512" spans="1:2" x14ac:dyDescent="0.35">
      <c r="A1512" s="14">
        <v>42269.885659722226</v>
      </c>
      <c r="B1512" s="5">
        <v>1</v>
      </c>
    </row>
    <row r="1513" spans="1:2" x14ac:dyDescent="0.35">
      <c r="A1513" s="14">
        <v>42269.907442129632</v>
      </c>
      <c r="B1513" s="5">
        <v>1</v>
      </c>
    </row>
    <row r="1514" spans="1:2" x14ac:dyDescent="0.35">
      <c r="A1514" s="14">
        <v>42269.91065972222</v>
      </c>
      <c r="B1514" s="5">
        <v>1</v>
      </c>
    </row>
    <row r="1515" spans="1:2" x14ac:dyDescent="0.35">
      <c r="A1515" s="14">
        <v>42269.911354166667</v>
      </c>
      <c r="B1515" s="5">
        <v>1</v>
      </c>
    </row>
    <row r="1516" spans="1:2" x14ac:dyDescent="0.35">
      <c r="A1516" s="14">
        <v>42269.917662037034</v>
      </c>
      <c r="B1516" s="5">
        <v>1</v>
      </c>
    </row>
    <row r="1517" spans="1:2" x14ac:dyDescent="0.35">
      <c r="A1517" s="14">
        <v>42269.922824074078</v>
      </c>
      <c r="B1517" s="5">
        <v>1</v>
      </c>
    </row>
    <row r="1518" spans="1:2" x14ac:dyDescent="0.35">
      <c r="A1518" s="14">
        <v>42269.935682870368</v>
      </c>
      <c r="B1518" s="5">
        <v>1</v>
      </c>
    </row>
    <row r="1519" spans="1:2" x14ac:dyDescent="0.35">
      <c r="A1519" s="14">
        <v>42269.945254629631</v>
      </c>
      <c r="B1519" s="5">
        <v>1</v>
      </c>
    </row>
    <row r="1520" spans="1:2" x14ac:dyDescent="0.35">
      <c r="A1520" s="14">
        <v>42269.945972222224</v>
      </c>
      <c r="B1520" s="5">
        <v>1</v>
      </c>
    </row>
    <row r="1521" spans="1:2" x14ac:dyDescent="0.35">
      <c r="A1521" s="14">
        <v>42269.953020833331</v>
      </c>
      <c r="B1521" s="5">
        <v>1</v>
      </c>
    </row>
    <row r="1522" spans="1:2" x14ac:dyDescent="0.35">
      <c r="A1522" s="14">
        <v>42269.963125000002</v>
      </c>
      <c r="B1522" s="5">
        <v>1</v>
      </c>
    </row>
    <row r="1523" spans="1:2" x14ac:dyDescent="0.35">
      <c r="A1523" s="14">
        <v>42269.968402777777</v>
      </c>
      <c r="B1523" s="5">
        <v>1</v>
      </c>
    </row>
    <row r="1524" spans="1:2" x14ac:dyDescent="0.35">
      <c r="A1524" s="14">
        <v>42269.968738425923</v>
      </c>
      <c r="B1524" s="5">
        <v>1</v>
      </c>
    </row>
    <row r="1525" spans="1:2" x14ac:dyDescent="0.35">
      <c r="A1525" s="14">
        <v>42269.971689814818</v>
      </c>
      <c r="B1525" s="5">
        <v>1</v>
      </c>
    </row>
    <row r="1526" spans="1:2" x14ac:dyDescent="0.35">
      <c r="A1526" s="14">
        <v>42269.976770833331</v>
      </c>
      <c r="B1526" s="5">
        <v>1</v>
      </c>
    </row>
    <row r="1527" spans="1:2" x14ac:dyDescent="0.35">
      <c r="A1527" s="14">
        <v>42269.999652777777</v>
      </c>
      <c r="B1527" s="5">
        <v>1</v>
      </c>
    </row>
    <row r="1528" spans="1:2" x14ac:dyDescent="0.35">
      <c r="A1528" s="14">
        <v>42270.004432870373</v>
      </c>
      <c r="B1528" s="5">
        <v>1</v>
      </c>
    </row>
    <row r="1529" spans="1:2" x14ac:dyDescent="0.35">
      <c r="A1529" s="14">
        <v>42270.010717592595</v>
      </c>
      <c r="B1529" s="5">
        <v>1</v>
      </c>
    </row>
    <row r="1530" spans="1:2" x14ac:dyDescent="0.35">
      <c r="A1530" s="14">
        <v>42270.01190972222</v>
      </c>
      <c r="B1530" s="5">
        <v>1</v>
      </c>
    </row>
    <row r="1531" spans="1:2" x14ac:dyDescent="0.35">
      <c r="A1531" s="14">
        <v>42270.047094907408</v>
      </c>
      <c r="B1531" s="5">
        <v>1</v>
      </c>
    </row>
    <row r="1532" spans="1:2" x14ac:dyDescent="0.35">
      <c r="A1532" s="14">
        <v>42270.049479166664</v>
      </c>
      <c r="B1532" s="5">
        <v>1</v>
      </c>
    </row>
    <row r="1533" spans="1:2" x14ac:dyDescent="0.35">
      <c r="A1533" s="14">
        <v>42270.066145833334</v>
      </c>
      <c r="B1533" s="5">
        <v>1</v>
      </c>
    </row>
    <row r="1534" spans="1:2" x14ac:dyDescent="0.35">
      <c r="A1534" s="14">
        <v>42270.068715277775</v>
      </c>
      <c r="B1534" s="5">
        <v>1</v>
      </c>
    </row>
    <row r="1535" spans="1:2" x14ac:dyDescent="0.35">
      <c r="A1535" s="14">
        <v>42270.070335648146</v>
      </c>
      <c r="B1535" s="5">
        <v>1</v>
      </c>
    </row>
    <row r="1536" spans="1:2" x14ac:dyDescent="0.35">
      <c r="A1536" s="14">
        <v>42270.080081018517</v>
      </c>
      <c r="B1536" s="5">
        <v>1</v>
      </c>
    </row>
    <row r="1537" spans="1:2" x14ac:dyDescent="0.35">
      <c r="A1537" s="14">
        <v>42270.085648148146</v>
      </c>
      <c r="B1537" s="5">
        <v>1</v>
      </c>
    </row>
    <row r="1538" spans="1:2" x14ac:dyDescent="0.35">
      <c r="A1538" s="14">
        <v>42270.086597222224</v>
      </c>
      <c r="B1538" s="5">
        <v>1</v>
      </c>
    </row>
    <row r="1539" spans="1:2" x14ac:dyDescent="0.35">
      <c r="A1539" s="14">
        <v>42270.095324074071</v>
      </c>
      <c r="B1539" s="5">
        <v>1</v>
      </c>
    </row>
    <row r="1540" spans="1:2" x14ac:dyDescent="0.35">
      <c r="A1540" s="14">
        <v>42270.095578703702</v>
      </c>
      <c r="B1540" s="5">
        <v>1</v>
      </c>
    </row>
    <row r="1541" spans="1:2" x14ac:dyDescent="0.35">
      <c r="A1541" s="14">
        <v>42270.097268518519</v>
      </c>
      <c r="B1541" s="5">
        <v>1</v>
      </c>
    </row>
    <row r="1542" spans="1:2" x14ac:dyDescent="0.35">
      <c r="A1542" s="14">
        <v>42270.099710648145</v>
      </c>
      <c r="B1542" s="5">
        <v>1</v>
      </c>
    </row>
    <row r="1543" spans="1:2" x14ac:dyDescent="0.35">
      <c r="A1543" s="14">
        <v>42270.100393518522</v>
      </c>
      <c r="B1543" s="5">
        <v>1</v>
      </c>
    </row>
    <row r="1544" spans="1:2" x14ac:dyDescent="0.35">
      <c r="A1544" s="14">
        <v>42270.104097222225</v>
      </c>
      <c r="B1544" s="5">
        <v>1</v>
      </c>
    </row>
    <row r="1545" spans="1:2" x14ac:dyDescent="0.35">
      <c r="A1545" s="14">
        <v>42270.107754629629</v>
      </c>
      <c r="B1545" s="5">
        <v>1</v>
      </c>
    </row>
    <row r="1546" spans="1:2" x14ac:dyDescent="0.35">
      <c r="A1546" s="14">
        <v>42270.110937500001</v>
      </c>
      <c r="B1546" s="5">
        <v>1</v>
      </c>
    </row>
    <row r="1547" spans="1:2" x14ac:dyDescent="0.35">
      <c r="A1547" s="14">
        <v>42270.129374999997</v>
      </c>
      <c r="B1547" s="5">
        <v>1</v>
      </c>
    </row>
    <row r="1548" spans="1:2" x14ac:dyDescent="0.35">
      <c r="A1548" s="14">
        <v>42270.157523148147</v>
      </c>
      <c r="B1548" s="5">
        <v>1</v>
      </c>
    </row>
    <row r="1549" spans="1:2" x14ac:dyDescent="0.35">
      <c r="A1549" s="14">
        <v>42270.157962962963</v>
      </c>
      <c r="B1549" s="5">
        <v>2</v>
      </c>
    </row>
    <row r="1550" spans="1:2" x14ac:dyDescent="0.35">
      <c r="A1550" s="14">
        <v>42270.179930555554</v>
      </c>
      <c r="B1550" s="5">
        <v>1</v>
      </c>
    </row>
    <row r="1551" spans="1:2" x14ac:dyDescent="0.35">
      <c r="A1551" s="14">
        <v>42270.181076388886</v>
      </c>
      <c r="B1551" s="5">
        <v>1</v>
      </c>
    </row>
    <row r="1552" spans="1:2" x14ac:dyDescent="0.35">
      <c r="A1552" s="14">
        <v>42270.189629629633</v>
      </c>
      <c r="B1552" s="5">
        <v>1</v>
      </c>
    </row>
    <row r="1553" spans="1:2" x14ac:dyDescent="0.35">
      <c r="A1553" s="14">
        <v>42270.196145833332</v>
      </c>
      <c r="B1553" s="5">
        <v>1</v>
      </c>
    </row>
    <row r="1554" spans="1:2" x14ac:dyDescent="0.35">
      <c r="A1554" s="14">
        <v>42270.212268518517</v>
      </c>
      <c r="B1554" s="5">
        <v>1</v>
      </c>
    </row>
    <row r="1555" spans="1:2" x14ac:dyDescent="0.35">
      <c r="A1555" s="14">
        <v>42270.406099537038</v>
      </c>
      <c r="B1555" s="5">
        <v>1</v>
      </c>
    </row>
    <row r="1556" spans="1:2" x14ac:dyDescent="0.35">
      <c r="A1556" s="14">
        <v>42270.540706018517</v>
      </c>
      <c r="B1556" s="5">
        <v>1</v>
      </c>
    </row>
    <row r="1557" spans="1:2" x14ac:dyDescent="0.35">
      <c r="A1557" s="14">
        <v>42270.56181712963</v>
      </c>
      <c r="B1557" s="5">
        <v>1</v>
      </c>
    </row>
    <row r="1558" spans="1:2" x14ac:dyDescent="0.35">
      <c r="A1558" s="14">
        <v>42270.562488425923</v>
      </c>
      <c r="B1558" s="5">
        <v>1</v>
      </c>
    </row>
    <row r="1559" spans="1:2" x14ac:dyDescent="0.35">
      <c r="A1559" s="14">
        <v>42270.565138888887</v>
      </c>
      <c r="B1559" s="5">
        <v>1</v>
      </c>
    </row>
    <row r="1560" spans="1:2" x14ac:dyDescent="0.35">
      <c r="A1560" s="14">
        <v>42270.565520833334</v>
      </c>
      <c r="B1560" s="5">
        <v>1</v>
      </c>
    </row>
    <row r="1561" spans="1:2" x14ac:dyDescent="0.35">
      <c r="A1561" s="14">
        <v>42270.571817129632</v>
      </c>
      <c r="B1561" s="5">
        <v>1</v>
      </c>
    </row>
    <row r="1562" spans="1:2" x14ac:dyDescent="0.35">
      <c r="A1562" s="14">
        <v>42270.601747685185</v>
      </c>
      <c r="B1562" s="5">
        <v>1</v>
      </c>
    </row>
    <row r="1563" spans="1:2" x14ac:dyDescent="0.35">
      <c r="A1563" s="14">
        <v>42270.605694444443</v>
      </c>
      <c r="B1563" s="5">
        <v>1</v>
      </c>
    </row>
    <row r="1564" spans="1:2" x14ac:dyDescent="0.35">
      <c r="A1564" s="14">
        <v>42270.626296296294</v>
      </c>
      <c r="B1564" s="5">
        <v>1</v>
      </c>
    </row>
    <row r="1565" spans="1:2" x14ac:dyDescent="0.35">
      <c r="A1565" s="14">
        <v>42270.626909722225</v>
      </c>
      <c r="B1565" s="5">
        <v>2</v>
      </c>
    </row>
    <row r="1566" spans="1:2" x14ac:dyDescent="0.35">
      <c r="A1566" s="14">
        <v>42270.629236111112</v>
      </c>
      <c r="B1566" s="5">
        <v>1</v>
      </c>
    </row>
    <row r="1567" spans="1:2" x14ac:dyDescent="0.35">
      <c r="A1567" s="14">
        <v>42270.630057870374</v>
      </c>
      <c r="B1567" s="5">
        <v>2</v>
      </c>
    </row>
    <row r="1568" spans="1:2" x14ac:dyDescent="0.35">
      <c r="A1568" s="14">
        <v>42270.630520833336</v>
      </c>
      <c r="B1568" s="5">
        <v>1</v>
      </c>
    </row>
    <row r="1569" spans="1:2" x14ac:dyDescent="0.35">
      <c r="A1569" s="14">
        <v>42270.630833333336</v>
      </c>
      <c r="B1569" s="5">
        <v>2</v>
      </c>
    </row>
    <row r="1570" spans="1:2" x14ac:dyDescent="0.35">
      <c r="A1570" s="14">
        <v>42270.631122685183</v>
      </c>
      <c r="B1570" s="5">
        <v>1</v>
      </c>
    </row>
    <row r="1571" spans="1:2" x14ac:dyDescent="0.35">
      <c r="A1571" s="14">
        <v>42270.631469907406</v>
      </c>
      <c r="B1571" s="5">
        <v>1</v>
      </c>
    </row>
    <row r="1572" spans="1:2" x14ac:dyDescent="0.35">
      <c r="A1572" s="14">
        <v>42270.633125</v>
      </c>
      <c r="B1572" s="5">
        <v>2</v>
      </c>
    </row>
    <row r="1573" spans="1:2" x14ac:dyDescent="0.35">
      <c r="A1573" s="14">
        <v>42270.633680555555</v>
      </c>
      <c r="B1573" s="5">
        <v>1</v>
      </c>
    </row>
    <row r="1574" spans="1:2" x14ac:dyDescent="0.35">
      <c r="A1574" s="14">
        <v>42270.633877314816</v>
      </c>
      <c r="B1574" s="5">
        <v>1</v>
      </c>
    </row>
    <row r="1575" spans="1:2" x14ac:dyDescent="0.35">
      <c r="A1575" s="14">
        <v>42270.634467592594</v>
      </c>
      <c r="B1575" s="5">
        <v>2</v>
      </c>
    </row>
    <row r="1576" spans="1:2" x14ac:dyDescent="0.35">
      <c r="A1576" s="14">
        <v>42270.635289351849</v>
      </c>
      <c r="B1576" s="5">
        <v>2</v>
      </c>
    </row>
    <row r="1577" spans="1:2" x14ac:dyDescent="0.35">
      <c r="A1577" s="14">
        <v>42270.636793981481</v>
      </c>
      <c r="B1577" s="5">
        <v>1</v>
      </c>
    </row>
    <row r="1578" spans="1:2" x14ac:dyDescent="0.35">
      <c r="A1578" s="14">
        <v>42270.637187499997</v>
      </c>
      <c r="B1578" s="5">
        <v>2</v>
      </c>
    </row>
    <row r="1579" spans="1:2" x14ac:dyDescent="0.35">
      <c r="A1579" s="14">
        <v>42270.639016203706</v>
      </c>
      <c r="B1579" s="5">
        <v>1</v>
      </c>
    </row>
    <row r="1580" spans="1:2" x14ac:dyDescent="0.35">
      <c r="A1580" s="14">
        <v>42270.639282407406</v>
      </c>
      <c r="B1580" s="5">
        <v>1</v>
      </c>
    </row>
    <row r="1581" spans="1:2" x14ac:dyDescent="0.35">
      <c r="A1581" s="14">
        <v>42270.639293981483</v>
      </c>
      <c r="B1581" s="5">
        <v>1</v>
      </c>
    </row>
    <row r="1582" spans="1:2" x14ac:dyDescent="0.35">
      <c r="A1582" s="14">
        <v>42270.639513888891</v>
      </c>
      <c r="B1582" s="5">
        <v>1</v>
      </c>
    </row>
    <row r="1583" spans="1:2" x14ac:dyDescent="0.35">
      <c r="A1583" s="14">
        <v>42270.639641203707</v>
      </c>
      <c r="B1583" s="5">
        <v>2</v>
      </c>
    </row>
    <row r="1584" spans="1:2" x14ac:dyDescent="0.35">
      <c r="A1584" s="14">
        <v>42270.640081018515</v>
      </c>
      <c r="B1584" s="5">
        <v>1</v>
      </c>
    </row>
    <row r="1585" spans="1:2" x14ac:dyDescent="0.35">
      <c r="A1585" s="14">
        <v>42270.640324074076</v>
      </c>
      <c r="B1585" s="5">
        <v>2</v>
      </c>
    </row>
    <row r="1586" spans="1:2" x14ac:dyDescent="0.35">
      <c r="A1586" s="14">
        <v>42270.641030092593</v>
      </c>
      <c r="B1586" s="5">
        <v>2</v>
      </c>
    </row>
    <row r="1587" spans="1:2" x14ac:dyDescent="0.35">
      <c r="A1587" s="14">
        <v>42270.641516203701</v>
      </c>
      <c r="B1587" s="5">
        <v>2</v>
      </c>
    </row>
    <row r="1588" spans="1:2" x14ac:dyDescent="0.35">
      <c r="A1588" s="14">
        <v>42270.642442129632</v>
      </c>
      <c r="B1588" s="5">
        <v>1</v>
      </c>
    </row>
    <row r="1589" spans="1:2" x14ac:dyDescent="0.35">
      <c r="A1589" s="14">
        <v>42270.64261574074</v>
      </c>
      <c r="B1589" s="5">
        <v>1</v>
      </c>
    </row>
    <row r="1590" spans="1:2" x14ac:dyDescent="0.35">
      <c r="A1590" s="14">
        <v>42270.64298611111</v>
      </c>
      <c r="B1590" s="5">
        <v>1</v>
      </c>
    </row>
    <row r="1591" spans="1:2" x14ac:dyDescent="0.35">
      <c r="A1591" s="14">
        <v>42270.643379629626</v>
      </c>
      <c r="B1591" s="5">
        <v>2</v>
      </c>
    </row>
    <row r="1592" spans="1:2" x14ac:dyDescent="0.35">
      <c r="A1592" s="14">
        <v>42270.643587962964</v>
      </c>
      <c r="B1592" s="5">
        <v>1</v>
      </c>
    </row>
    <row r="1593" spans="1:2" x14ac:dyDescent="0.35">
      <c r="A1593" s="14">
        <v>42270.643750000003</v>
      </c>
      <c r="B1593" s="5">
        <v>1</v>
      </c>
    </row>
    <row r="1594" spans="1:2" x14ac:dyDescent="0.35">
      <c r="A1594" s="14">
        <v>42270.643761574072</v>
      </c>
      <c r="B1594" s="5">
        <v>1</v>
      </c>
    </row>
    <row r="1595" spans="1:2" x14ac:dyDescent="0.35">
      <c r="A1595" s="14">
        <v>42270.64398148148</v>
      </c>
      <c r="B1595" s="5">
        <v>1</v>
      </c>
    </row>
    <row r="1596" spans="1:2" x14ac:dyDescent="0.35">
      <c r="A1596" s="14">
        <v>42270.644143518519</v>
      </c>
      <c r="B1596" s="5">
        <v>1</v>
      </c>
    </row>
    <row r="1597" spans="1:2" x14ac:dyDescent="0.35">
      <c r="A1597" s="14">
        <v>42270.644629629627</v>
      </c>
      <c r="B1597" s="5">
        <v>1</v>
      </c>
    </row>
    <row r="1598" spans="1:2" x14ac:dyDescent="0.35">
      <c r="A1598" s="14">
        <v>42270.644918981481</v>
      </c>
      <c r="B1598" s="5">
        <v>1</v>
      </c>
    </row>
    <row r="1599" spans="1:2" x14ac:dyDescent="0.35">
      <c r="A1599" s="14">
        <v>42270.645462962966</v>
      </c>
      <c r="B1599" s="5">
        <v>2</v>
      </c>
    </row>
    <row r="1600" spans="1:2" x14ac:dyDescent="0.35">
      <c r="A1600" s="14">
        <v>42270.646180555559</v>
      </c>
      <c r="B1600" s="5">
        <v>1</v>
      </c>
    </row>
    <row r="1601" spans="1:2" x14ac:dyDescent="0.35">
      <c r="A1601" s="14">
        <v>42270.647199074076</v>
      </c>
      <c r="B1601" s="5">
        <v>1</v>
      </c>
    </row>
    <row r="1602" spans="1:2" x14ac:dyDescent="0.35">
      <c r="A1602" s="14">
        <v>42270.647361111114</v>
      </c>
      <c r="B1602" s="5">
        <v>2</v>
      </c>
    </row>
    <row r="1603" spans="1:2" x14ac:dyDescent="0.35">
      <c r="A1603" s="14">
        <v>42270.647685185184</v>
      </c>
      <c r="B1603" s="5">
        <v>1</v>
      </c>
    </row>
    <row r="1604" spans="1:2" x14ac:dyDescent="0.35">
      <c r="A1604" s="14">
        <v>42270.648182870369</v>
      </c>
      <c r="B1604" s="5">
        <v>2</v>
      </c>
    </row>
    <row r="1605" spans="1:2" x14ac:dyDescent="0.35">
      <c r="A1605" s="14">
        <v>42270.649293981478</v>
      </c>
      <c r="B1605" s="5">
        <v>1</v>
      </c>
    </row>
    <row r="1606" spans="1:2" x14ac:dyDescent="0.35">
      <c r="A1606" s="14">
        <v>42270.650254629632</v>
      </c>
      <c r="B1606" s="5">
        <v>1</v>
      </c>
    </row>
    <row r="1607" spans="1:2" x14ac:dyDescent="0.35">
      <c r="A1607" s="14">
        <v>42270.650266203702</v>
      </c>
      <c r="B1607" s="5">
        <v>1</v>
      </c>
    </row>
    <row r="1608" spans="1:2" x14ac:dyDescent="0.35">
      <c r="A1608" s="14">
        <v>42270.650636574072</v>
      </c>
      <c r="B1608" s="5">
        <v>1</v>
      </c>
    </row>
    <row r="1609" spans="1:2" x14ac:dyDescent="0.35">
      <c r="A1609" s="14">
        <v>42270.651250000003</v>
      </c>
      <c r="B1609" s="5">
        <v>1</v>
      </c>
    </row>
    <row r="1610" spans="1:2" x14ac:dyDescent="0.35">
      <c r="A1610" s="14">
        <v>42270.651655092595</v>
      </c>
      <c r="B1610" s="5">
        <v>2</v>
      </c>
    </row>
    <row r="1611" spans="1:2" x14ac:dyDescent="0.35">
      <c r="A1611" s="14">
        <v>42270.653275462966</v>
      </c>
      <c r="B1611" s="5">
        <v>1</v>
      </c>
    </row>
    <row r="1612" spans="1:2" x14ac:dyDescent="0.35">
      <c r="A1612" s="14">
        <v>42270.653541666667</v>
      </c>
      <c r="B1612" s="5">
        <v>2</v>
      </c>
    </row>
    <row r="1613" spans="1:2" x14ac:dyDescent="0.35">
      <c r="A1613" s="14">
        <v>42270.654131944444</v>
      </c>
      <c r="B1613" s="5">
        <v>1</v>
      </c>
    </row>
    <row r="1614" spans="1:2" x14ac:dyDescent="0.35">
      <c r="A1614" s="14">
        <v>42270.654432870368</v>
      </c>
      <c r="B1614" s="5">
        <v>1</v>
      </c>
    </row>
    <row r="1615" spans="1:2" x14ac:dyDescent="0.35">
      <c r="A1615" s="14">
        <v>42270.655011574076</v>
      </c>
      <c r="B1615" s="5">
        <v>1</v>
      </c>
    </row>
    <row r="1616" spans="1:2" x14ac:dyDescent="0.35">
      <c r="A1616" s="14">
        <v>42270.655150462961</v>
      </c>
      <c r="B1616" s="5">
        <v>2</v>
      </c>
    </row>
    <row r="1617" spans="1:2" x14ac:dyDescent="0.35">
      <c r="A1617" s="14">
        <v>42270.656192129631</v>
      </c>
      <c r="B1617" s="5">
        <v>2</v>
      </c>
    </row>
    <row r="1618" spans="1:2" x14ac:dyDescent="0.35">
      <c r="A1618" s="14">
        <v>42270.657037037039</v>
      </c>
      <c r="B1618" s="5">
        <v>1</v>
      </c>
    </row>
    <row r="1619" spans="1:2" x14ac:dyDescent="0.35">
      <c r="A1619" s="14">
        <v>42270.657118055555</v>
      </c>
      <c r="B1619" s="5">
        <v>1</v>
      </c>
    </row>
    <row r="1620" spans="1:2" x14ac:dyDescent="0.35">
      <c r="A1620" s="14">
        <v>42270.658067129632</v>
      </c>
      <c r="B1620" s="5">
        <v>1</v>
      </c>
    </row>
    <row r="1621" spans="1:2" x14ac:dyDescent="0.35">
      <c r="A1621" s="14">
        <v>42270.658530092594</v>
      </c>
      <c r="B1621" s="5">
        <v>2</v>
      </c>
    </row>
    <row r="1622" spans="1:2" x14ac:dyDescent="0.35">
      <c r="A1622" s="14">
        <v>42270.66070601852</v>
      </c>
      <c r="B1622" s="5">
        <v>1</v>
      </c>
    </row>
    <row r="1623" spans="1:2" x14ac:dyDescent="0.35">
      <c r="A1623" s="14">
        <v>42270.661423611113</v>
      </c>
      <c r="B1623" s="5">
        <v>1</v>
      </c>
    </row>
    <row r="1624" spans="1:2" x14ac:dyDescent="0.35">
      <c r="A1624" s="14">
        <v>42270.66474537037</v>
      </c>
      <c r="B1624" s="5">
        <v>1</v>
      </c>
    </row>
    <row r="1625" spans="1:2" x14ac:dyDescent="0.35">
      <c r="A1625" s="14">
        <v>42270.693923611114</v>
      </c>
      <c r="B1625" s="5">
        <v>1</v>
      </c>
    </row>
    <row r="1626" spans="1:2" x14ac:dyDescent="0.35">
      <c r="A1626" s="14">
        <v>42270.707268518519</v>
      </c>
      <c r="B1626" s="5">
        <v>1</v>
      </c>
    </row>
    <row r="1627" spans="1:2" x14ac:dyDescent="0.35">
      <c r="A1627" s="14">
        <v>42270.710706018515</v>
      </c>
      <c r="B1627" s="5">
        <v>1</v>
      </c>
    </row>
    <row r="1628" spans="1:2" x14ac:dyDescent="0.35">
      <c r="A1628" s="14">
        <v>42270.712013888886</v>
      </c>
      <c r="B1628" s="5">
        <v>1</v>
      </c>
    </row>
    <row r="1629" spans="1:2" x14ac:dyDescent="0.35">
      <c r="A1629" s="14">
        <v>42270.726620370369</v>
      </c>
      <c r="B1629" s="5">
        <v>1</v>
      </c>
    </row>
    <row r="1630" spans="1:2" x14ac:dyDescent="0.35">
      <c r="A1630" s="14">
        <v>42270.730879629627</v>
      </c>
      <c r="B1630" s="5">
        <v>1</v>
      </c>
    </row>
    <row r="1631" spans="1:2" x14ac:dyDescent="0.35">
      <c r="A1631" s="14">
        <v>42270.732581018521</v>
      </c>
      <c r="B1631" s="5">
        <v>1</v>
      </c>
    </row>
    <row r="1632" spans="1:2" x14ac:dyDescent="0.35">
      <c r="A1632" s="14">
        <v>42270.770416666666</v>
      </c>
      <c r="B1632" s="5">
        <v>1</v>
      </c>
    </row>
    <row r="1633" spans="1:2" x14ac:dyDescent="0.35">
      <c r="A1633" s="14">
        <v>42270.771215277775</v>
      </c>
      <c r="B1633" s="5">
        <v>1</v>
      </c>
    </row>
    <row r="1634" spans="1:2" x14ac:dyDescent="0.35">
      <c r="A1634" s="14">
        <v>42270.773923611108</v>
      </c>
      <c r="B1634" s="5">
        <v>1</v>
      </c>
    </row>
    <row r="1635" spans="1:2" x14ac:dyDescent="0.35">
      <c r="A1635" s="14">
        <v>42270.779826388891</v>
      </c>
      <c r="B1635" s="5">
        <v>1</v>
      </c>
    </row>
    <row r="1636" spans="1:2" x14ac:dyDescent="0.35">
      <c r="A1636" s="14">
        <v>42270.783495370371</v>
      </c>
      <c r="B1636" s="5">
        <v>1</v>
      </c>
    </row>
    <row r="1637" spans="1:2" x14ac:dyDescent="0.35">
      <c r="A1637" s="14">
        <v>42270.788124999999</v>
      </c>
      <c r="B1637" s="5">
        <v>1</v>
      </c>
    </row>
    <row r="1638" spans="1:2" x14ac:dyDescent="0.35">
      <c r="A1638" s="14">
        <v>42270.790289351855</v>
      </c>
      <c r="B1638" s="5">
        <v>1</v>
      </c>
    </row>
    <row r="1639" spans="1:2" x14ac:dyDescent="0.35">
      <c r="A1639" s="14">
        <v>42270.803229166668</v>
      </c>
      <c r="B1639" s="5">
        <v>1</v>
      </c>
    </row>
    <row r="1640" spans="1:2" x14ac:dyDescent="0.35">
      <c r="A1640" s="14">
        <v>42270.804756944446</v>
      </c>
      <c r="B1640" s="5">
        <v>1</v>
      </c>
    </row>
    <row r="1641" spans="1:2" x14ac:dyDescent="0.35">
      <c r="A1641" s="14">
        <v>42270.817349537036</v>
      </c>
      <c r="B1641" s="5">
        <v>1</v>
      </c>
    </row>
    <row r="1642" spans="1:2" x14ac:dyDescent="0.35">
      <c r="A1642" s="14">
        <v>42270.823807870373</v>
      </c>
      <c r="B1642" s="5">
        <v>1</v>
      </c>
    </row>
    <row r="1643" spans="1:2" x14ac:dyDescent="0.35">
      <c r="A1643" s="14">
        <v>42270.823969907404</v>
      </c>
      <c r="B1643" s="5">
        <v>2</v>
      </c>
    </row>
    <row r="1644" spans="1:2" x14ac:dyDescent="0.35">
      <c r="A1644" s="14">
        <v>42270.836041666669</v>
      </c>
      <c r="B1644" s="5">
        <v>1</v>
      </c>
    </row>
    <row r="1645" spans="1:2" x14ac:dyDescent="0.35">
      <c r="A1645" s="14">
        <v>42270.838726851849</v>
      </c>
      <c r="B1645" s="5">
        <v>1</v>
      </c>
    </row>
    <row r="1646" spans="1:2" x14ac:dyDescent="0.35">
      <c r="A1646" s="14">
        <v>42270.844166666669</v>
      </c>
      <c r="B1646" s="5">
        <v>1</v>
      </c>
    </row>
    <row r="1647" spans="1:2" x14ac:dyDescent="0.35">
      <c r="A1647" s="14">
        <v>42270.852152777778</v>
      </c>
      <c r="B1647" s="5">
        <v>1</v>
      </c>
    </row>
    <row r="1648" spans="1:2" x14ac:dyDescent="0.35">
      <c r="A1648" s="14">
        <v>42270.864432870374</v>
      </c>
      <c r="B1648" s="5">
        <v>1</v>
      </c>
    </row>
    <row r="1649" spans="1:2" x14ac:dyDescent="0.35">
      <c r="A1649" s="14">
        <v>42270.870891203704</v>
      </c>
      <c r="B1649" s="5">
        <v>1</v>
      </c>
    </row>
    <row r="1650" spans="1:2" x14ac:dyDescent="0.35">
      <c r="A1650" s="14">
        <v>42270.872569444444</v>
      </c>
      <c r="B1650" s="5">
        <v>1</v>
      </c>
    </row>
    <row r="1651" spans="1:2" x14ac:dyDescent="0.35">
      <c r="A1651" s="14">
        <v>42270.88008101852</v>
      </c>
      <c r="B1651" s="5">
        <v>1</v>
      </c>
    </row>
    <row r="1652" spans="1:2" x14ac:dyDescent="0.35">
      <c r="A1652" s="14">
        <v>42270.8908912037</v>
      </c>
      <c r="B1652" s="5">
        <v>1</v>
      </c>
    </row>
    <row r="1653" spans="1:2" x14ac:dyDescent="0.35">
      <c r="A1653" s="14">
        <v>42270.892858796295</v>
      </c>
      <c r="B1653" s="5">
        <v>1</v>
      </c>
    </row>
    <row r="1654" spans="1:2" x14ac:dyDescent="0.35">
      <c r="A1654" s="14">
        <v>42270.893275462964</v>
      </c>
      <c r="B1654" s="5">
        <v>1</v>
      </c>
    </row>
    <row r="1655" spans="1:2" x14ac:dyDescent="0.35">
      <c r="A1655" s="14">
        <v>42270.897326388891</v>
      </c>
      <c r="B1655" s="5">
        <v>1</v>
      </c>
    </row>
    <row r="1656" spans="1:2" x14ac:dyDescent="0.35">
      <c r="A1656" s="14">
        <v>42270.90253472222</v>
      </c>
      <c r="B1656" s="5">
        <v>1</v>
      </c>
    </row>
    <row r="1657" spans="1:2" x14ac:dyDescent="0.35">
      <c r="A1657" s="14">
        <v>42270.903310185182</v>
      </c>
      <c r="B1657" s="5">
        <v>1</v>
      </c>
    </row>
    <row r="1658" spans="1:2" x14ac:dyDescent="0.35">
      <c r="A1658" s="14">
        <v>42270.910046296296</v>
      </c>
      <c r="B1658" s="5">
        <v>1</v>
      </c>
    </row>
    <row r="1659" spans="1:2" x14ac:dyDescent="0.35">
      <c r="A1659" s="14">
        <v>42270.911562499998</v>
      </c>
      <c r="B1659" s="5">
        <v>2</v>
      </c>
    </row>
    <row r="1660" spans="1:2" x14ac:dyDescent="0.35">
      <c r="A1660" s="14">
        <v>42270.913136574076</v>
      </c>
      <c r="B1660" s="5">
        <v>1</v>
      </c>
    </row>
    <row r="1661" spans="1:2" x14ac:dyDescent="0.35">
      <c r="A1661" s="14">
        <v>42270.913310185184</v>
      </c>
      <c r="B1661" s="5">
        <v>1</v>
      </c>
    </row>
    <row r="1662" spans="1:2" x14ac:dyDescent="0.35">
      <c r="A1662" s="14">
        <v>42270.913437499999</v>
      </c>
      <c r="B1662" s="5">
        <v>1</v>
      </c>
    </row>
    <row r="1663" spans="1:2" x14ac:dyDescent="0.35">
      <c r="A1663" s="14">
        <v>42270.919988425929</v>
      </c>
      <c r="B1663" s="5">
        <v>1</v>
      </c>
    </row>
    <row r="1664" spans="1:2" x14ac:dyDescent="0.35">
      <c r="A1664" s="14">
        <v>42270.935347222221</v>
      </c>
      <c r="B1664" s="5">
        <v>1</v>
      </c>
    </row>
    <row r="1665" spans="1:2" x14ac:dyDescent="0.35">
      <c r="A1665" s="14">
        <v>42270.935532407406</v>
      </c>
      <c r="B1665" s="5">
        <v>1</v>
      </c>
    </row>
    <row r="1666" spans="1:2" x14ac:dyDescent="0.35">
      <c r="A1666" s="14">
        <v>42270.938321759262</v>
      </c>
      <c r="B1666" s="5">
        <v>1</v>
      </c>
    </row>
    <row r="1667" spans="1:2" x14ac:dyDescent="0.35">
      <c r="A1667" s="14">
        <v>42270.941874999997</v>
      </c>
      <c r="B1667" s="5">
        <v>1</v>
      </c>
    </row>
    <row r="1668" spans="1:2" x14ac:dyDescent="0.35">
      <c r="A1668" s="14">
        <v>42270.979537037034</v>
      </c>
      <c r="B1668" s="5">
        <v>1</v>
      </c>
    </row>
    <row r="1669" spans="1:2" x14ac:dyDescent="0.35">
      <c r="A1669" s="14">
        <v>42270.989988425928</v>
      </c>
      <c r="B1669" s="5">
        <v>1</v>
      </c>
    </row>
    <row r="1670" spans="1:2" x14ac:dyDescent="0.35">
      <c r="A1670" s="14">
        <v>42270.995648148149</v>
      </c>
      <c r="B1670" s="5">
        <v>1</v>
      </c>
    </row>
    <row r="1671" spans="1:2" x14ac:dyDescent="0.35">
      <c r="A1671" s="14">
        <v>42271.009652777779</v>
      </c>
      <c r="B1671" s="5">
        <v>1</v>
      </c>
    </row>
    <row r="1672" spans="1:2" x14ac:dyDescent="0.35">
      <c r="A1672" s="14">
        <v>42271.009884259256</v>
      </c>
      <c r="B1672" s="5">
        <v>1</v>
      </c>
    </row>
    <row r="1673" spans="1:2" x14ac:dyDescent="0.35">
      <c r="A1673" s="14">
        <v>42271.026770833334</v>
      </c>
      <c r="B1673" s="5">
        <v>1</v>
      </c>
    </row>
    <row r="1674" spans="1:2" x14ac:dyDescent="0.35">
      <c r="A1674" s="14">
        <v>42271.033761574072</v>
      </c>
      <c r="B1674" s="5">
        <v>1</v>
      </c>
    </row>
    <row r="1675" spans="1:2" x14ac:dyDescent="0.35">
      <c r="A1675" s="14">
        <v>42271.03429398148</v>
      </c>
      <c r="B1675" s="5">
        <v>1</v>
      </c>
    </row>
    <row r="1676" spans="1:2" x14ac:dyDescent="0.35">
      <c r="A1676" s="14">
        <v>42271.035486111112</v>
      </c>
      <c r="B1676" s="5">
        <v>1</v>
      </c>
    </row>
    <row r="1677" spans="1:2" x14ac:dyDescent="0.35">
      <c r="A1677" s="14">
        <v>42271.038078703707</v>
      </c>
      <c r="B1677" s="5">
        <v>1</v>
      </c>
    </row>
    <row r="1678" spans="1:2" x14ac:dyDescent="0.35">
      <c r="A1678" s="14">
        <v>42271.042303240742</v>
      </c>
      <c r="B1678" s="5">
        <v>1</v>
      </c>
    </row>
    <row r="1679" spans="1:2" x14ac:dyDescent="0.35">
      <c r="A1679" s="14">
        <v>42271.0465625</v>
      </c>
      <c r="B1679" s="5">
        <v>1</v>
      </c>
    </row>
    <row r="1680" spans="1:2" x14ac:dyDescent="0.35">
      <c r="A1680" s="14">
        <v>42271.047754629632</v>
      </c>
      <c r="B1680" s="5">
        <v>1</v>
      </c>
    </row>
    <row r="1681" spans="1:2" x14ac:dyDescent="0.35">
      <c r="A1681" s="14">
        <v>42271.047789351855</v>
      </c>
      <c r="B1681" s="5">
        <v>1</v>
      </c>
    </row>
    <row r="1682" spans="1:2" x14ac:dyDescent="0.35">
      <c r="A1682" s="14">
        <v>42271.053622685184</v>
      </c>
      <c r="B1682" s="5">
        <v>1</v>
      </c>
    </row>
    <row r="1683" spans="1:2" x14ac:dyDescent="0.35">
      <c r="A1683" s="14">
        <v>42271.079641203702</v>
      </c>
      <c r="B1683" s="5">
        <v>1</v>
      </c>
    </row>
    <row r="1684" spans="1:2" x14ac:dyDescent="0.35">
      <c r="A1684" s="14">
        <v>42271.090011574073</v>
      </c>
      <c r="B1684" s="5">
        <v>1</v>
      </c>
    </row>
    <row r="1685" spans="1:2" x14ac:dyDescent="0.35">
      <c r="A1685" s="14">
        <v>42271.10087962963</v>
      </c>
      <c r="B1685" s="5">
        <v>1</v>
      </c>
    </row>
    <row r="1686" spans="1:2" x14ac:dyDescent="0.35">
      <c r="A1686" s="14">
        <v>42271.101712962962</v>
      </c>
      <c r="B1686" s="5">
        <v>1</v>
      </c>
    </row>
    <row r="1687" spans="1:2" x14ac:dyDescent="0.35">
      <c r="A1687" s="14">
        <v>42271.102685185186</v>
      </c>
      <c r="B1687" s="5">
        <v>1</v>
      </c>
    </row>
    <row r="1688" spans="1:2" x14ac:dyDescent="0.35">
      <c r="A1688" s="14">
        <v>42271.105520833335</v>
      </c>
      <c r="B1688" s="5">
        <v>1</v>
      </c>
    </row>
    <row r="1689" spans="1:2" x14ac:dyDescent="0.35">
      <c r="A1689" s="14">
        <v>42271.110671296294</v>
      </c>
      <c r="B1689" s="5">
        <v>1</v>
      </c>
    </row>
    <row r="1690" spans="1:2" x14ac:dyDescent="0.35">
      <c r="A1690" s="14">
        <v>42271.117256944446</v>
      </c>
      <c r="B1690" s="5">
        <v>1</v>
      </c>
    </row>
    <row r="1691" spans="1:2" x14ac:dyDescent="0.35">
      <c r="A1691" s="14">
        <v>42271.123784722222</v>
      </c>
      <c r="B1691" s="5">
        <v>1</v>
      </c>
    </row>
    <row r="1692" spans="1:2" x14ac:dyDescent="0.35">
      <c r="A1692" s="14">
        <v>42271.134143518517</v>
      </c>
      <c r="B1692" s="5">
        <v>1</v>
      </c>
    </row>
    <row r="1693" spans="1:2" x14ac:dyDescent="0.35">
      <c r="A1693" s="14">
        <v>42271.144201388888</v>
      </c>
      <c r="B1693" s="5">
        <v>1</v>
      </c>
    </row>
    <row r="1694" spans="1:2" x14ac:dyDescent="0.35">
      <c r="A1694" s="14">
        <v>42271.148530092592</v>
      </c>
      <c r="B1694" s="5">
        <v>1</v>
      </c>
    </row>
    <row r="1695" spans="1:2" x14ac:dyDescent="0.35">
      <c r="A1695" s="14">
        <v>42271.150509259256</v>
      </c>
      <c r="B1695" s="5">
        <v>1</v>
      </c>
    </row>
    <row r="1696" spans="1:2" x14ac:dyDescent="0.35">
      <c r="A1696" s="14">
        <v>42271.150775462964</v>
      </c>
      <c r="B1696" s="5">
        <v>1</v>
      </c>
    </row>
    <row r="1697" spans="1:2" x14ac:dyDescent="0.35">
      <c r="A1697" s="14">
        <v>42271.15115740741</v>
      </c>
      <c r="B1697" s="5">
        <v>1</v>
      </c>
    </row>
    <row r="1698" spans="1:2" x14ac:dyDescent="0.35">
      <c r="A1698" s="14">
        <v>42271.151388888888</v>
      </c>
      <c r="B1698" s="5">
        <v>1</v>
      </c>
    </row>
    <row r="1699" spans="1:2" x14ac:dyDescent="0.35">
      <c r="A1699" s="14">
        <v>42271.151574074072</v>
      </c>
      <c r="B1699" s="5">
        <v>1</v>
      </c>
    </row>
    <row r="1700" spans="1:2" x14ac:dyDescent="0.35">
      <c r="A1700" s="14">
        <v>42271.154664351852</v>
      </c>
      <c r="B1700" s="5">
        <v>1</v>
      </c>
    </row>
    <row r="1701" spans="1:2" x14ac:dyDescent="0.35">
      <c r="A1701" s="14">
        <v>42271.161851851852</v>
      </c>
      <c r="B1701" s="5">
        <v>1</v>
      </c>
    </row>
    <row r="1702" spans="1:2" x14ac:dyDescent="0.35">
      <c r="A1702" s="14">
        <v>42271.166018518517</v>
      </c>
      <c r="B1702" s="5">
        <v>1</v>
      </c>
    </row>
    <row r="1703" spans="1:2" x14ac:dyDescent="0.35">
      <c r="A1703" s="14">
        <v>42271.168715277781</v>
      </c>
      <c r="B1703" s="5">
        <v>1</v>
      </c>
    </row>
    <row r="1704" spans="1:2" x14ac:dyDescent="0.35">
      <c r="A1704" s="14">
        <v>42271.168969907405</v>
      </c>
      <c r="B1704" s="5">
        <v>1</v>
      </c>
    </row>
    <row r="1705" spans="1:2" x14ac:dyDescent="0.35">
      <c r="A1705" s="14">
        <v>42271.16914351852</v>
      </c>
      <c r="B1705" s="5">
        <v>1</v>
      </c>
    </row>
    <row r="1706" spans="1:2" x14ac:dyDescent="0.35">
      <c r="A1706" s="14">
        <v>42271.170023148145</v>
      </c>
      <c r="B1706" s="5">
        <v>1</v>
      </c>
    </row>
    <row r="1707" spans="1:2" x14ac:dyDescent="0.35">
      <c r="A1707" s="14">
        <v>42271.177361111113</v>
      </c>
      <c r="B1707" s="5">
        <v>1</v>
      </c>
    </row>
    <row r="1708" spans="1:2" x14ac:dyDescent="0.35">
      <c r="A1708" s="14">
        <v>42271.181203703702</v>
      </c>
      <c r="B1708" s="5">
        <v>1</v>
      </c>
    </row>
    <row r="1709" spans="1:2" x14ac:dyDescent="0.35">
      <c r="A1709" s="14">
        <v>42271.192986111113</v>
      </c>
      <c r="B1709" s="5">
        <v>1</v>
      </c>
    </row>
    <row r="1710" spans="1:2" x14ac:dyDescent="0.35">
      <c r="A1710" s="14">
        <v>42271.194537037038</v>
      </c>
      <c r="B1710" s="5">
        <v>1</v>
      </c>
    </row>
    <row r="1711" spans="1:2" x14ac:dyDescent="0.35">
      <c r="A1711" s="14">
        <v>42271.198472222219</v>
      </c>
      <c r="B1711" s="5">
        <v>1</v>
      </c>
    </row>
    <row r="1712" spans="1:2" x14ac:dyDescent="0.35">
      <c r="A1712" s="14">
        <v>42271.276689814818</v>
      </c>
      <c r="B1712" s="5">
        <v>1</v>
      </c>
    </row>
    <row r="1713" spans="1:2" x14ac:dyDescent="0.35">
      <c r="A1713" s="14">
        <v>42271.277002314811</v>
      </c>
      <c r="B1713" s="5">
        <v>1</v>
      </c>
    </row>
    <row r="1714" spans="1:2" x14ac:dyDescent="0.35">
      <c r="A1714" s="14">
        <v>42271.277337962965</v>
      </c>
      <c r="B1714" s="5">
        <v>2</v>
      </c>
    </row>
    <row r="1715" spans="1:2" x14ac:dyDescent="0.35">
      <c r="A1715" s="14">
        <v>42271.280127314814</v>
      </c>
      <c r="B1715" s="5">
        <v>1</v>
      </c>
    </row>
    <row r="1716" spans="1:2" x14ac:dyDescent="0.35">
      <c r="A1716" s="14">
        <v>42271.280173611114</v>
      </c>
      <c r="B1716" s="5">
        <v>1</v>
      </c>
    </row>
    <row r="1717" spans="1:2" x14ac:dyDescent="0.35">
      <c r="A1717" s="14">
        <v>42271.28125</v>
      </c>
      <c r="B1717" s="5">
        <v>2</v>
      </c>
    </row>
    <row r="1718" spans="1:2" x14ac:dyDescent="0.35">
      <c r="A1718" s="14">
        <v>42271.282511574071</v>
      </c>
      <c r="B1718" s="5">
        <v>1</v>
      </c>
    </row>
    <row r="1719" spans="1:2" x14ac:dyDescent="0.35">
      <c r="A1719" s="14">
        <v>42271.28328703704</v>
      </c>
      <c r="B1719" s="5">
        <v>1</v>
      </c>
    </row>
    <row r="1720" spans="1:2" x14ac:dyDescent="0.35">
      <c r="A1720" s="14">
        <v>42271.284502314818</v>
      </c>
      <c r="B1720" s="5">
        <v>1</v>
      </c>
    </row>
    <row r="1721" spans="1:2" x14ac:dyDescent="0.35">
      <c r="A1721" s="14">
        <v>42271.285150462965</v>
      </c>
      <c r="B1721" s="5">
        <v>2</v>
      </c>
    </row>
    <row r="1722" spans="1:2" x14ac:dyDescent="0.35">
      <c r="A1722" s="14">
        <v>42271.285740740743</v>
      </c>
      <c r="B1722" s="5">
        <v>1</v>
      </c>
    </row>
    <row r="1723" spans="1:2" x14ac:dyDescent="0.35">
      <c r="A1723" s="14">
        <v>42271.286076388889</v>
      </c>
      <c r="B1723" s="5">
        <v>1</v>
      </c>
    </row>
    <row r="1724" spans="1:2" x14ac:dyDescent="0.35">
      <c r="A1724" s="14">
        <v>42271.286319444444</v>
      </c>
      <c r="B1724" s="5">
        <v>2</v>
      </c>
    </row>
    <row r="1725" spans="1:2" x14ac:dyDescent="0.35">
      <c r="A1725" s="14">
        <v>42271.286782407406</v>
      </c>
      <c r="B1725" s="5">
        <v>2</v>
      </c>
    </row>
    <row r="1726" spans="1:2" x14ac:dyDescent="0.35">
      <c r="A1726" s="14">
        <v>42271.28733796296</v>
      </c>
      <c r="B1726" s="5">
        <v>1</v>
      </c>
    </row>
    <row r="1727" spans="1:2" x14ac:dyDescent="0.35">
      <c r="A1727" s="14">
        <v>42271.287453703706</v>
      </c>
      <c r="B1727" s="5">
        <v>1</v>
      </c>
    </row>
    <row r="1728" spans="1:2" x14ac:dyDescent="0.35">
      <c r="A1728" s="14">
        <v>42271.287916666668</v>
      </c>
      <c r="B1728" s="5">
        <v>2</v>
      </c>
    </row>
    <row r="1729" spans="1:2" x14ac:dyDescent="0.35">
      <c r="A1729" s="14">
        <v>42271.288576388892</v>
      </c>
      <c r="B1729" s="5">
        <v>2</v>
      </c>
    </row>
    <row r="1730" spans="1:2" x14ac:dyDescent="0.35">
      <c r="A1730" s="14">
        <v>42271.289120370369</v>
      </c>
      <c r="B1730" s="5">
        <v>1</v>
      </c>
    </row>
    <row r="1731" spans="1:2" x14ac:dyDescent="0.35">
      <c r="A1731" s="14">
        <v>42271.289305555554</v>
      </c>
      <c r="B1731" s="5">
        <v>1</v>
      </c>
    </row>
    <row r="1732" spans="1:2" x14ac:dyDescent="0.35">
      <c r="A1732" s="14">
        <v>42271.289375</v>
      </c>
      <c r="B1732" s="5">
        <v>1</v>
      </c>
    </row>
    <row r="1733" spans="1:2" x14ac:dyDescent="0.35">
      <c r="A1733" s="14">
        <v>42271.289560185185</v>
      </c>
      <c r="B1733" s="5">
        <v>1</v>
      </c>
    </row>
    <row r="1734" spans="1:2" x14ac:dyDescent="0.35">
      <c r="A1734" s="14">
        <v>42271.290868055556</v>
      </c>
      <c r="B1734" s="5">
        <v>2</v>
      </c>
    </row>
    <row r="1735" spans="1:2" x14ac:dyDescent="0.35">
      <c r="A1735" s="14">
        <v>42271.291967592595</v>
      </c>
      <c r="B1735" s="5">
        <v>1</v>
      </c>
    </row>
    <row r="1736" spans="1:2" x14ac:dyDescent="0.35">
      <c r="A1736" s="14">
        <v>42271.29210648148</v>
      </c>
      <c r="B1736" s="5">
        <v>1</v>
      </c>
    </row>
    <row r="1737" spans="1:2" x14ac:dyDescent="0.35">
      <c r="A1737" s="14">
        <v>42271.293240740742</v>
      </c>
      <c r="B1737" s="5">
        <v>2</v>
      </c>
    </row>
    <row r="1738" spans="1:2" x14ac:dyDescent="0.35">
      <c r="A1738" s="14">
        <v>42271.293449074074</v>
      </c>
      <c r="B1738" s="5">
        <v>2</v>
      </c>
    </row>
    <row r="1739" spans="1:2" x14ac:dyDescent="0.35">
      <c r="A1739" s="14">
        <v>42271.293576388889</v>
      </c>
      <c r="B1739" s="5">
        <v>1</v>
      </c>
    </row>
    <row r="1740" spans="1:2" x14ac:dyDescent="0.35">
      <c r="A1740" s="14">
        <v>42271.295162037037</v>
      </c>
      <c r="B1740" s="5">
        <v>2</v>
      </c>
    </row>
    <row r="1741" spans="1:2" x14ac:dyDescent="0.35">
      <c r="A1741" s="14">
        <v>42271.295937499999</v>
      </c>
      <c r="B1741" s="5">
        <v>1</v>
      </c>
    </row>
    <row r="1742" spans="1:2" x14ac:dyDescent="0.35">
      <c r="A1742" s="14">
        <v>42271.297326388885</v>
      </c>
      <c r="B1742" s="5">
        <v>1</v>
      </c>
    </row>
    <row r="1743" spans="1:2" x14ac:dyDescent="0.35">
      <c r="A1743" s="14">
        <v>42271.297361111108</v>
      </c>
      <c r="B1743" s="5">
        <v>1</v>
      </c>
    </row>
    <row r="1744" spans="1:2" x14ac:dyDescent="0.35">
      <c r="A1744" s="14">
        <v>42271.298182870371</v>
      </c>
      <c r="B1744" s="5">
        <v>2</v>
      </c>
    </row>
    <row r="1745" spans="1:2" x14ac:dyDescent="0.35">
      <c r="A1745" s="14">
        <v>42271.298831018517</v>
      </c>
      <c r="B1745" s="5">
        <v>1</v>
      </c>
    </row>
    <row r="1746" spans="1:2" x14ac:dyDescent="0.35">
      <c r="A1746" s="14">
        <v>42271.29923611111</v>
      </c>
      <c r="B1746" s="5">
        <v>1</v>
      </c>
    </row>
    <row r="1747" spans="1:2" x14ac:dyDescent="0.35">
      <c r="A1747" s="14">
        <v>42271.299270833333</v>
      </c>
      <c r="B1747" s="5">
        <v>2</v>
      </c>
    </row>
    <row r="1748" spans="1:2" x14ac:dyDescent="0.35">
      <c r="A1748" s="14">
        <v>42271.300150462965</v>
      </c>
      <c r="B1748" s="5">
        <v>2</v>
      </c>
    </row>
    <row r="1749" spans="1:2" x14ac:dyDescent="0.35">
      <c r="A1749" s="14">
        <v>42271.301122685189</v>
      </c>
      <c r="B1749" s="5">
        <v>1</v>
      </c>
    </row>
    <row r="1750" spans="1:2" x14ac:dyDescent="0.35">
      <c r="A1750" s="14">
        <v>42271.302233796298</v>
      </c>
      <c r="B1750" s="5">
        <v>1</v>
      </c>
    </row>
    <row r="1751" spans="1:2" x14ac:dyDescent="0.35">
      <c r="A1751" s="14">
        <v>42271.302777777775</v>
      </c>
      <c r="B1751" s="5">
        <v>1</v>
      </c>
    </row>
    <row r="1752" spans="1:2" x14ac:dyDescent="0.35">
      <c r="A1752" s="14">
        <v>42271.302824074075</v>
      </c>
      <c r="B1752" s="5">
        <v>1</v>
      </c>
    </row>
    <row r="1753" spans="1:2" x14ac:dyDescent="0.35">
      <c r="A1753" s="14">
        <v>42271.303807870368</v>
      </c>
      <c r="B1753" s="5">
        <v>1</v>
      </c>
    </row>
    <row r="1754" spans="1:2" x14ac:dyDescent="0.35">
      <c r="A1754" s="14">
        <v>42271.303888888891</v>
      </c>
      <c r="B1754" s="5">
        <v>1</v>
      </c>
    </row>
    <row r="1755" spans="1:2" x14ac:dyDescent="0.35">
      <c r="A1755" s="14">
        <v>42271.304594907408</v>
      </c>
      <c r="B1755" s="5">
        <v>2</v>
      </c>
    </row>
    <row r="1756" spans="1:2" x14ac:dyDescent="0.35">
      <c r="A1756" s="14">
        <v>42271.420208333337</v>
      </c>
      <c r="B1756" s="5">
        <v>1</v>
      </c>
    </row>
    <row r="1757" spans="1:2" x14ac:dyDescent="0.35">
      <c r="A1757" s="14">
        <v>42271.420555555553</v>
      </c>
      <c r="B1757" s="5">
        <v>1</v>
      </c>
    </row>
    <row r="1758" spans="1:2" x14ac:dyDescent="0.35">
      <c r="A1758" s="14">
        <v>42271.420937499999</v>
      </c>
      <c r="B1758" s="5">
        <v>2</v>
      </c>
    </row>
    <row r="1759" spans="1:2" x14ac:dyDescent="0.35">
      <c r="A1759" s="14">
        <v>42271.479895833334</v>
      </c>
      <c r="B1759" s="5">
        <v>1</v>
      </c>
    </row>
    <row r="1760" spans="1:2" x14ac:dyDescent="0.35">
      <c r="A1760" s="14">
        <v>42271.481539351851</v>
      </c>
      <c r="B1760" s="5">
        <v>1</v>
      </c>
    </row>
    <row r="1761" spans="1:2" x14ac:dyDescent="0.35">
      <c r="A1761" s="14">
        <v>42271.491967592592</v>
      </c>
      <c r="B1761" s="5">
        <v>1</v>
      </c>
    </row>
    <row r="1762" spans="1:2" x14ac:dyDescent="0.35">
      <c r="A1762" s="14">
        <v>42271.503252314818</v>
      </c>
      <c r="B1762" s="5">
        <v>1</v>
      </c>
    </row>
    <row r="1763" spans="1:2" x14ac:dyDescent="0.35">
      <c r="A1763" s="14">
        <v>42271.56826388889</v>
      </c>
      <c r="B1763" s="5">
        <v>1</v>
      </c>
    </row>
    <row r="1764" spans="1:2" x14ac:dyDescent="0.35">
      <c r="A1764" s="14">
        <v>42271.573599537034</v>
      </c>
      <c r="B1764" s="5">
        <v>1</v>
      </c>
    </row>
    <row r="1765" spans="1:2" x14ac:dyDescent="0.35">
      <c r="A1765" s="14">
        <v>42271.577627314815</v>
      </c>
      <c r="B1765" s="5">
        <v>1</v>
      </c>
    </row>
    <row r="1766" spans="1:2" x14ac:dyDescent="0.35">
      <c r="A1766" s="14">
        <v>42271.582314814812</v>
      </c>
      <c r="B1766" s="5">
        <v>1</v>
      </c>
    </row>
    <row r="1767" spans="1:2" x14ac:dyDescent="0.35">
      <c r="A1767" s="14">
        <v>42271.587106481478</v>
      </c>
      <c r="B1767" s="5">
        <v>1</v>
      </c>
    </row>
    <row r="1768" spans="1:2" x14ac:dyDescent="0.35">
      <c r="A1768" s="14">
        <v>42271.587442129632</v>
      </c>
      <c r="B1768" s="5">
        <v>1</v>
      </c>
    </row>
    <row r="1769" spans="1:2" x14ac:dyDescent="0.35">
      <c r="A1769" s="14">
        <v>42271.58792824074</v>
      </c>
      <c r="B1769" s="5">
        <v>2</v>
      </c>
    </row>
    <row r="1770" spans="1:2" x14ac:dyDescent="0.35">
      <c r="A1770" s="14">
        <v>42271.593842592592</v>
      </c>
      <c r="B1770" s="5">
        <v>1</v>
      </c>
    </row>
    <row r="1771" spans="1:2" x14ac:dyDescent="0.35">
      <c r="A1771" s="14">
        <v>42271.59684027778</v>
      </c>
      <c r="B1771" s="5">
        <v>1</v>
      </c>
    </row>
    <row r="1772" spans="1:2" x14ac:dyDescent="0.35">
      <c r="A1772" s="14">
        <v>42271.596956018519</v>
      </c>
      <c r="B1772" s="5">
        <v>1</v>
      </c>
    </row>
    <row r="1773" spans="1:2" x14ac:dyDescent="0.35">
      <c r="A1773" s="14">
        <v>42271.597291666665</v>
      </c>
      <c r="B1773" s="5">
        <v>1</v>
      </c>
    </row>
    <row r="1774" spans="1:2" x14ac:dyDescent="0.35">
      <c r="A1774" s="14">
        <v>42271.598333333335</v>
      </c>
      <c r="B1774" s="5">
        <v>1</v>
      </c>
    </row>
    <row r="1775" spans="1:2" x14ac:dyDescent="0.35">
      <c r="A1775" s="14">
        <v>42271.610821759263</v>
      </c>
      <c r="B1775" s="5">
        <v>1</v>
      </c>
    </row>
    <row r="1776" spans="1:2" x14ac:dyDescent="0.35">
      <c r="A1776" s="14">
        <v>42271.63040509259</v>
      </c>
      <c r="B1776" s="5">
        <v>1</v>
      </c>
    </row>
    <row r="1777" spans="1:2" x14ac:dyDescent="0.35">
      <c r="A1777" s="14">
        <v>42271.642372685186</v>
      </c>
      <c r="B1777" s="5">
        <v>1</v>
      </c>
    </row>
    <row r="1778" spans="1:2" x14ac:dyDescent="0.35">
      <c r="A1778" s="14">
        <v>42271.654178240744</v>
      </c>
      <c r="B1778" s="5">
        <v>1</v>
      </c>
    </row>
    <row r="1779" spans="1:2" x14ac:dyDescent="0.35">
      <c r="A1779" s="14">
        <v>42271.661261574074</v>
      </c>
      <c r="B1779" s="5">
        <v>1</v>
      </c>
    </row>
    <row r="1780" spans="1:2" x14ac:dyDescent="0.35">
      <c r="A1780" s="14">
        <v>42271.701990740738</v>
      </c>
      <c r="B1780" s="5">
        <v>1</v>
      </c>
    </row>
    <row r="1781" spans="1:2" x14ac:dyDescent="0.35">
      <c r="A1781" s="14">
        <v>42271.717465277776</v>
      </c>
      <c r="B1781" s="5">
        <v>1</v>
      </c>
    </row>
    <row r="1782" spans="1:2" x14ac:dyDescent="0.35">
      <c r="A1782" s="14">
        <v>42271.718680555554</v>
      </c>
      <c r="B1782" s="5">
        <v>1</v>
      </c>
    </row>
    <row r="1783" spans="1:2" x14ac:dyDescent="0.35">
      <c r="A1783" s="14">
        <v>42271.71875</v>
      </c>
      <c r="B1783" s="5">
        <v>1</v>
      </c>
    </row>
    <row r="1784" spans="1:2" x14ac:dyDescent="0.35">
      <c r="A1784" s="14">
        <v>42271.719004629631</v>
      </c>
      <c r="B1784" s="5">
        <v>1</v>
      </c>
    </row>
    <row r="1785" spans="1:2" x14ac:dyDescent="0.35">
      <c r="A1785" s="14">
        <v>42271.728391203702</v>
      </c>
      <c r="B1785" s="5">
        <v>1</v>
      </c>
    </row>
    <row r="1786" spans="1:2" x14ac:dyDescent="0.35">
      <c r="A1786" s="14">
        <v>42271.735844907409</v>
      </c>
      <c r="B1786" s="5">
        <v>1</v>
      </c>
    </row>
    <row r="1787" spans="1:2" x14ac:dyDescent="0.35">
      <c r="A1787" s="14">
        <v>42271.736354166664</v>
      </c>
      <c r="B1787" s="5">
        <v>1</v>
      </c>
    </row>
    <row r="1788" spans="1:2" x14ac:dyDescent="0.35">
      <c r="A1788" s="14">
        <v>42271.746412037035</v>
      </c>
      <c r="B1788" s="5">
        <v>1</v>
      </c>
    </row>
    <row r="1789" spans="1:2" x14ac:dyDescent="0.35">
      <c r="A1789" s="14">
        <v>42271.748703703706</v>
      </c>
      <c r="B1789" s="5">
        <v>1</v>
      </c>
    </row>
    <row r="1790" spans="1:2" x14ac:dyDescent="0.35">
      <c r="A1790" s="14">
        <v>42271.751597222225</v>
      </c>
      <c r="B1790" s="5">
        <v>1</v>
      </c>
    </row>
    <row r="1791" spans="1:2" x14ac:dyDescent="0.35">
      <c r="A1791" s="14">
        <v>42271.752881944441</v>
      </c>
      <c r="B1791" s="5">
        <v>1</v>
      </c>
    </row>
    <row r="1792" spans="1:2" x14ac:dyDescent="0.35">
      <c r="A1792" s="14">
        <v>42271.753819444442</v>
      </c>
      <c r="B1792" s="5">
        <v>1</v>
      </c>
    </row>
    <row r="1793" spans="1:2" x14ac:dyDescent="0.35">
      <c r="A1793" s="14">
        <v>42271.75644675926</v>
      </c>
      <c r="B1793" s="5">
        <v>1</v>
      </c>
    </row>
    <row r="1794" spans="1:2" x14ac:dyDescent="0.35">
      <c r="A1794" s="14">
        <v>42271.760555555556</v>
      </c>
      <c r="B1794" s="5">
        <v>1</v>
      </c>
    </row>
    <row r="1795" spans="1:2" x14ac:dyDescent="0.35">
      <c r="A1795" s="14">
        <v>42271.760833333334</v>
      </c>
      <c r="B1795" s="5">
        <v>1</v>
      </c>
    </row>
    <row r="1796" spans="1:2" x14ac:dyDescent="0.35">
      <c r="A1796" s="14">
        <v>42271.761354166665</v>
      </c>
      <c r="B1796" s="5">
        <v>1</v>
      </c>
    </row>
    <row r="1797" spans="1:2" x14ac:dyDescent="0.35">
      <c r="A1797" s="14">
        <v>42271.777673611112</v>
      </c>
      <c r="B1797" s="5">
        <v>1</v>
      </c>
    </row>
    <row r="1798" spans="1:2" x14ac:dyDescent="0.35">
      <c r="A1798" s="14">
        <v>42271.779907407406</v>
      </c>
      <c r="B1798" s="5">
        <v>1</v>
      </c>
    </row>
    <row r="1799" spans="1:2" x14ac:dyDescent="0.35">
      <c r="A1799" s="14">
        <v>42271.781863425924</v>
      </c>
      <c r="B1799" s="5">
        <v>1</v>
      </c>
    </row>
    <row r="1800" spans="1:2" x14ac:dyDescent="0.35">
      <c r="A1800" s="14">
        <v>42271.793587962966</v>
      </c>
      <c r="B1800" s="5">
        <v>1</v>
      </c>
    </row>
    <row r="1801" spans="1:2" x14ac:dyDescent="0.35">
      <c r="A1801" s="14">
        <v>42271.796759259261</v>
      </c>
      <c r="B1801" s="5">
        <v>1</v>
      </c>
    </row>
    <row r="1802" spans="1:2" x14ac:dyDescent="0.35">
      <c r="A1802" s="14">
        <v>42271.812060185184</v>
      </c>
      <c r="B1802" s="5">
        <v>1</v>
      </c>
    </row>
    <row r="1803" spans="1:2" x14ac:dyDescent="0.35">
      <c r="A1803" s="14">
        <v>42271.817546296297</v>
      </c>
      <c r="B1803" s="5">
        <v>1</v>
      </c>
    </row>
    <row r="1804" spans="1:2" x14ac:dyDescent="0.35">
      <c r="A1804" s="14">
        <v>42271.820706018516</v>
      </c>
      <c r="B1804" s="5">
        <v>1</v>
      </c>
    </row>
    <row r="1805" spans="1:2" x14ac:dyDescent="0.35">
      <c r="A1805" s="14">
        <v>42271.82130787037</v>
      </c>
      <c r="B1805" s="5">
        <v>1</v>
      </c>
    </row>
    <row r="1806" spans="1:2" x14ac:dyDescent="0.35">
      <c r="A1806" s="14">
        <v>42271.824849537035</v>
      </c>
      <c r="B1806" s="5">
        <v>1</v>
      </c>
    </row>
    <row r="1807" spans="1:2" x14ac:dyDescent="0.35">
      <c r="A1807" s="14">
        <v>42271.827268518522</v>
      </c>
      <c r="B1807" s="5">
        <v>1</v>
      </c>
    </row>
    <row r="1808" spans="1:2" x14ac:dyDescent="0.35">
      <c r="A1808" s="14">
        <v>42271.841319444444</v>
      </c>
      <c r="B1808" s="5">
        <v>1</v>
      </c>
    </row>
    <row r="1809" spans="1:2" x14ac:dyDescent="0.35">
      <c r="A1809" s="14">
        <v>42271.866909722223</v>
      </c>
      <c r="B1809" s="5">
        <v>1</v>
      </c>
    </row>
    <row r="1810" spans="1:2" x14ac:dyDescent="0.35">
      <c r="A1810" s="14">
        <v>42271.870578703703</v>
      </c>
      <c r="B1810" s="5">
        <v>1</v>
      </c>
    </row>
    <row r="1811" spans="1:2" x14ac:dyDescent="0.35">
      <c r="A1811" s="14">
        <v>42271.870636574073</v>
      </c>
      <c r="B1811" s="5">
        <v>1</v>
      </c>
    </row>
    <row r="1812" spans="1:2" x14ac:dyDescent="0.35">
      <c r="A1812" s="14">
        <v>42271.880729166667</v>
      </c>
      <c r="B1812" s="5">
        <v>1</v>
      </c>
    </row>
    <row r="1813" spans="1:2" x14ac:dyDescent="0.35">
      <c r="A1813" s="14">
        <v>42271.884629629632</v>
      </c>
      <c r="B1813" s="5">
        <v>1</v>
      </c>
    </row>
    <row r="1814" spans="1:2" x14ac:dyDescent="0.35">
      <c r="A1814" s="14">
        <v>42271.885995370372</v>
      </c>
      <c r="B1814" s="5">
        <v>1</v>
      </c>
    </row>
    <row r="1815" spans="1:2" x14ac:dyDescent="0.35">
      <c r="A1815" s="14">
        <v>42271.88653935185</v>
      </c>
      <c r="B1815" s="5">
        <v>1</v>
      </c>
    </row>
    <row r="1816" spans="1:2" x14ac:dyDescent="0.35">
      <c r="A1816" s="14">
        <v>42271.886736111112</v>
      </c>
      <c r="B1816" s="5">
        <v>1</v>
      </c>
    </row>
    <row r="1817" spans="1:2" x14ac:dyDescent="0.35">
      <c r="A1817" s="14">
        <v>42271.887199074074</v>
      </c>
      <c r="B1817" s="5">
        <v>1</v>
      </c>
    </row>
    <row r="1818" spans="1:2" x14ac:dyDescent="0.35">
      <c r="A1818" s="14">
        <v>42271.8905787037</v>
      </c>
      <c r="B1818" s="5">
        <v>1</v>
      </c>
    </row>
    <row r="1819" spans="1:2" x14ac:dyDescent="0.35">
      <c r="A1819" s="14">
        <v>42271.892268518517</v>
      </c>
      <c r="B1819" s="5">
        <v>1</v>
      </c>
    </row>
    <row r="1820" spans="1:2" x14ac:dyDescent="0.35">
      <c r="A1820" s="14">
        <v>42271.896053240744</v>
      </c>
      <c r="B1820" s="5">
        <v>1</v>
      </c>
    </row>
    <row r="1821" spans="1:2" x14ac:dyDescent="0.35">
      <c r="A1821" s="14">
        <v>42271.900324074071</v>
      </c>
      <c r="B1821" s="5">
        <v>1</v>
      </c>
    </row>
    <row r="1822" spans="1:2" x14ac:dyDescent="0.35">
      <c r="A1822" s="14">
        <v>42271.904537037037</v>
      </c>
      <c r="B1822" s="5">
        <v>1</v>
      </c>
    </row>
    <row r="1823" spans="1:2" x14ac:dyDescent="0.35">
      <c r="A1823" s="14">
        <v>42271.905578703707</v>
      </c>
      <c r="B1823" s="5">
        <v>1</v>
      </c>
    </row>
    <row r="1824" spans="1:2" x14ac:dyDescent="0.35">
      <c r="A1824" s="14">
        <v>42271.909849537034</v>
      </c>
      <c r="B1824" s="5">
        <v>1</v>
      </c>
    </row>
    <row r="1825" spans="1:2" x14ac:dyDescent="0.35">
      <c r="A1825" s="14">
        <v>42271.913229166668</v>
      </c>
      <c r="B1825" s="5">
        <v>1</v>
      </c>
    </row>
    <row r="1826" spans="1:2" x14ac:dyDescent="0.35">
      <c r="A1826" s="14">
        <v>42271.923506944448</v>
      </c>
      <c r="B1826" s="5">
        <v>1</v>
      </c>
    </row>
    <row r="1827" spans="1:2" x14ac:dyDescent="0.35">
      <c r="A1827" s="14">
        <v>42271.924745370372</v>
      </c>
      <c r="B1827" s="5">
        <v>1</v>
      </c>
    </row>
    <row r="1828" spans="1:2" x14ac:dyDescent="0.35">
      <c r="A1828" s="14">
        <v>42271.953356481485</v>
      </c>
      <c r="B1828" s="5">
        <v>1</v>
      </c>
    </row>
    <row r="1829" spans="1:2" x14ac:dyDescent="0.35">
      <c r="A1829" s="14">
        <v>42271.96162037037</v>
      </c>
      <c r="B1829" s="5">
        <v>1</v>
      </c>
    </row>
    <row r="1830" spans="1:2" x14ac:dyDescent="0.35">
      <c r="A1830" s="14">
        <v>42271.974560185183</v>
      </c>
      <c r="B1830" s="5">
        <v>1</v>
      </c>
    </row>
    <row r="1831" spans="1:2" x14ac:dyDescent="0.35">
      <c r="A1831" s="14">
        <v>42271.980127314811</v>
      </c>
      <c r="B1831" s="5">
        <v>1</v>
      </c>
    </row>
    <row r="1832" spans="1:2" x14ac:dyDescent="0.35">
      <c r="A1832" s="14">
        <v>42271.993159722224</v>
      </c>
      <c r="B1832" s="5">
        <v>1</v>
      </c>
    </row>
    <row r="1833" spans="1:2" x14ac:dyDescent="0.35">
      <c r="A1833" s="14">
        <v>42272.005833333336</v>
      </c>
      <c r="B1833" s="5">
        <v>1</v>
      </c>
    </row>
    <row r="1834" spans="1:2" x14ac:dyDescent="0.35">
      <c r="A1834" s="14">
        <v>42272.008553240739</v>
      </c>
      <c r="B1834" s="5">
        <v>1</v>
      </c>
    </row>
    <row r="1835" spans="1:2" x14ac:dyDescent="0.35">
      <c r="A1835" s="14">
        <v>42272.015451388892</v>
      </c>
      <c r="B1835" s="5">
        <v>1</v>
      </c>
    </row>
    <row r="1836" spans="1:2" x14ac:dyDescent="0.35">
      <c r="A1836" s="14">
        <v>42272.017858796295</v>
      </c>
      <c r="B1836" s="5">
        <v>1</v>
      </c>
    </row>
    <row r="1837" spans="1:2" x14ac:dyDescent="0.35">
      <c r="A1837" s="14">
        <v>42272.020879629628</v>
      </c>
      <c r="B1837" s="5">
        <v>1</v>
      </c>
    </row>
    <row r="1838" spans="1:2" x14ac:dyDescent="0.35">
      <c r="A1838" s="14">
        <v>42272.025254629632</v>
      </c>
      <c r="B1838" s="5">
        <v>1</v>
      </c>
    </row>
    <row r="1839" spans="1:2" x14ac:dyDescent="0.35">
      <c r="A1839" s="14">
        <v>42272.025370370371</v>
      </c>
      <c r="B1839" s="5">
        <v>1</v>
      </c>
    </row>
    <row r="1840" spans="1:2" x14ac:dyDescent="0.35">
      <c r="A1840" s="14">
        <v>42272.025636574072</v>
      </c>
      <c r="B1840" s="5">
        <v>1</v>
      </c>
    </row>
    <row r="1841" spans="1:2" x14ac:dyDescent="0.35">
      <c r="A1841" s="14">
        <v>42272.026446759257</v>
      </c>
      <c r="B1841" s="5">
        <v>1</v>
      </c>
    </row>
    <row r="1842" spans="1:2" x14ac:dyDescent="0.35">
      <c r="A1842" s="14">
        <v>42272.033402777779</v>
      </c>
      <c r="B1842" s="5">
        <v>1</v>
      </c>
    </row>
    <row r="1843" spans="1:2" x14ac:dyDescent="0.35">
      <c r="A1843" s="14">
        <v>42272.038113425922</v>
      </c>
      <c r="B1843" s="5">
        <v>1</v>
      </c>
    </row>
    <row r="1844" spans="1:2" x14ac:dyDescent="0.35">
      <c r="A1844" s="14">
        <v>42272.039849537039</v>
      </c>
      <c r="B1844" s="5">
        <v>1</v>
      </c>
    </row>
    <row r="1845" spans="1:2" x14ac:dyDescent="0.35">
      <c r="A1845" s="14">
        <v>42272.043043981481</v>
      </c>
      <c r="B1845" s="5">
        <v>1</v>
      </c>
    </row>
    <row r="1846" spans="1:2" x14ac:dyDescent="0.35">
      <c r="A1846" s="14">
        <v>42272.048391203702</v>
      </c>
      <c r="B1846" s="5">
        <v>1</v>
      </c>
    </row>
    <row r="1847" spans="1:2" x14ac:dyDescent="0.35">
      <c r="A1847" s="14">
        <v>42272.052905092591</v>
      </c>
      <c r="B1847" s="5">
        <v>1</v>
      </c>
    </row>
    <row r="1848" spans="1:2" x14ac:dyDescent="0.35">
      <c r="A1848" s="14">
        <v>42272.058831018519</v>
      </c>
      <c r="B1848" s="5">
        <v>1</v>
      </c>
    </row>
    <row r="1849" spans="1:2" x14ac:dyDescent="0.35">
      <c r="A1849" s="14">
        <v>42272.060590277775</v>
      </c>
      <c r="B1849" s="5">
        <v>1</v>
      </c>
    </row>
    <row r="1850" spans="1:2" x14ac:dyDescent="0.35">
      <c r="A1850" s="14">
        <v>42272.063356481478</v>
      </c>
      <c r="B1850" s="5">
        <v>1</v>
      </c>
    </row>
    <row r="1851" spans="1:2" x14ac:dyDescent="0.35">
      <c r="A1851" s="14">
        <v>42272.065486111111</v>
      </c>
      <c r="B1851" s="5">
        <v>1</v>
      </c>
    </row>
    <row r="1852" spans="1:2" x14ac:dyDescent="0.35">
      <c r="A1852" s="14">
        <v>42272.066388888888</v>
      </c>
      <c r="B1852" s="5">
        <v>1</v>
      </c>
    </row>
    <row r="1853" spans="1:2" x14ac:dyDescent="0.35">
      <c r="A1853" s="14">
        <v>42272.071030092593</v>
      </c>
      <c r="B1853" s="5">
        <v>1</v>
      </c>
    </row>
    <row r="1854" spans="1:2" x14ac:dyDescent="0.35">
      <c r="A1854" s="14">
        <v>42272.071168981478</v>
      </c>
      <c r="B1854" s="5">
        <v>1</v>
      </c>
    </row>
    <row r="1855" spans="1:2" x14ac:dyDescent="0.35">
      <c r="A1855" s="14">
        <v>42272.071527777778</v>
      </c>
      <c r="B1855" s="5">
        <v>1</v>
      </c>
    </row>
    <row r="1856" spans="1:2" x14ac:dyDescent="0.35">
      <c r="A1856" s="14">
        <v>42272.078136574077</v>
      </c>
      <c r="B1856" s="5">
        <v>1</v>
      </c>
    </row>
    <row r="1857" spans="1:2" x14ac:dyDescent="0.35">
      <c r="A1857" s="14">
        <v>42272.079236111109</v>
      </c>
      <c r="B1857" s="5">
        <v>1</v>
      </c>
    </row>
    <row r="1858" spans="1:2" x14ac:dyDescent="0.35">
      <c r="A1858" s="14">
        <v>42272.0856712963</v>
      </c>
      <c r="B1858" s="5">
        <v>1</v>
      </c>
    </row>
    <row r="1859" spans="1:2" x14ac:dyDescent="0.35">
      <c r="A1859" s="14">
        <v>42272.098449074074</v>
      </c>
      <c r="B1859" s="5">
        <v>1</v>
      </c>
    </row>
    <row r="1860" spans="1:2" x14ac:dyDescent="0.35">
      <c r="A1860" s="14">
        <v>42272.102951388886</v>
      </c>
      <c r="B1860" s="5">
        <v>1</v>
      </c>
    </row>
    <row r="1861" spans="1:2" x14ac:dyDescent="0.35">
      <c r="A1861" s="14">
        <v>42272.103784722225</v>
      </c>
      <c r="B1861" s="5">
        <v>1</v>
      </c>
    </row>
    <row r="1862" spans="1:2" x14ac:dyDescent="0.35">
      <c r="A1862" s="14">
        <v>42272.105682870373</v>
      </c>
      <c r="B1862" s="5">
        <v>2</v>
      </c>
    </row>
    <row r="1863" spans="1:2" x14ac:dyDescent="0.35">
      <c r="A1863" s="14">
        <v>42272.105775462966</v>
      </c>
      <c r="B1863" s="5">
        <v>1</v>
      </c>
    </row>
    <row r="1864" spans="1:2" x14ac:dyDescent="0.35">
      <c r="A1864" s="14">
        <v>42272.105787037035</v>
      </c>
      <c r="B1864" s="5">
        <v>1</v>
      </c>
    </row>
    <row r="1865" spans="1:2" x14ac:dyDescent="0.35">
      <c r="A1865" s="14">
        <v>42272.106365740743</v>
      </c>
      <c r="B1865" s="5">
        <v>1</v>
      </c>
    </row>
    <row r="1866" spans="1:2" x14ac:dyDescent="0.35">
      <c r="A1866" s="14">
        <v>42272.10665509259</v>
      </c>
      <c r="B1866" s="5">
        <v>1</v>
      </c>
    </row>
    <row r="1867" spans="1:2" x14ac:dyDescent="0.35">
      <c r="A1867" s="14">
        <v>42272.106990740744</v>
      </c>
      <c r="B1867" s="5">
        <v>1</v>
      </c>
    </row>
    <row r="1868" spans="1:2" x14ac:dyDescent="0.35">
      <c r="A1868" s="14">
        <v>42272.112002314818</v>
      </c>
      <c r="B1868" s="5">
        <v>1</v>
      </c>
    </row>
    <row r="1869" spans="1:2" x14ac:dyDescent="0.35">
      <c r="A1869" s="14">
        <v>42272.117256944446</v>
      </c>
      <c r="B1869" s="5">
        <v>1</v>
      </c>
    </row>
    <row r="1870" spans="1:2" x14ac:dyDescent="0.35">
      <c r="A1870" s="14">
        <v>42272.118483796294</v>
      </c>
      <c r="B1870" s="5">
        <v>1</v>
      </c>
    </row>
    <row r="1871" spans="1:2" x14ac:dyDescent="0.35">
      <c r="A1871" s="14">
        <v>42272.120219907411</v>
      </c>
      <c r="B1871" s="5">
        <v>1</v>
      </c>
    </row>
    <row r="1872" spans="1:2" x14ac:dyDescent="0.35">
      <c r="A1872" s="14">
        <v>42272.12427083333</v>
      </c>
      <c r="B1872" s="5">
        <v>1</v>
      </c>
    </row>
    <row r="1873" spans="1:2" x14ac:dyDescent="0.35">
      <c r="A1873" s="14">
        <v>42272.126539351855</v>
      </c>
      <c r="B1873" s="5">
        <v>1</v>
      </c>
    </row>
    <row r="1874" spans="1:2" x14ac:dyDescent="0.35">
      <c r="A1874" s="14">
        <v>42272.152187500003</v>
      </c>
      <c r="B1874" s="5">
        <v>1</v>
      </c>
    </row>
    <row r="1875" spans="1:2" x14ac:dyDescent="0.35">
      <c r="A1875" s="14">
        <v>42272.161863425928</v>
      </c>
      <c r="B1875" s="5">
        <v>1</v>
      </c>
    </row>
    <row r="1876" spans="1:2" x14ac:dyDescent="0.35">
      <c r="A1876" s="14">
        <v>42272.162488425929</v>
      </c>
      <c r="B1876" s="5">
        <v>1</v>
      </c>
    </row>
    <row r="1877" spans="1:2" x14ac:dyDescent="0.35">
      <c r="A1877" s="14">
        <v>42272.169305555559</v>
      </c>
      <c r="B1877" s="5">
        <v>1</v>
      </c>
    </row>
    <row r="1878" spans="1:2" x14ac:dyDescent="0.35">
      <c r="A1878" s="14">
        <v>42272.176631944443</v>
      </c>
      <c r="B1878" s="5">
        <v>1</v>
      </c>
    </row>
    <row r="1879" spans="1:2" x14ac:dyDescent="0.35">
      <c r="A1879" s="14">
        <v>42272.181527777779</v>
      </c>
      <c r="B1879" s="5">
        <v>1</v>
      </c>
    </row>
    <row r="1880" spans="1:2" x14ac:dyDescent="0.35">
      <c r="A1880" s="14">
        <v>42272.187627314815</v>
      </c>
      <c r="B1880" s="5">
        <v>1</v>
      </c>
    </row>
    <row r="1881" spans="1:2" x14ac:dyDescent="0.35">
      <c r="A1881" s="14">
        <v>42272.193229166667</v>
      </c>
      <c r="B1881" s="5">
        <v>1</v>
      </c>
    </row>
    <row r="1882" spans="1:2" x14ac:dyDescent="0.35">
      <c r="A1882" s="14">
        <v>42272.194282407407</v>
      </c>
      <c r="B1882" s="5">
        <v>1</v>
      </c>
    </row>
    <row r="1883" spans="1:2" x14ac:dyDescent="0.35">
      <c r="A1883" s="14">
        <v>42272.198055555556</v>
      </c>
      <c r="B1883" s="5">
        <v>1</v>
      </c>
    </row>
    <row r="1884" spans="1:2" x14ac:dyDescent="0.35">
      <c r="A1884" s="14">
        <v>42272.204317129632</v>
      </c>
      <c r="B1884" s="5">
        <v>1</v>
      </c>
    </row>
    <row r="1885" spans="1:2" x14ac:dyDescent="0.35">
      <c r="A1885" s="14">
        <v>42272.211631944447</v>
      </c>
      <c r="B1885" s="5">
        <v>1</v>
      </c>
    </row>
    <row r="1886" spans="1:2" x14ac:dyDescent="0.35">
      <c r="A1886" s="14">
        <v>42272.224097222221</v>
      </c>
      <c r="B1886" s="5">
        <v>1</v>
      </c>
    </row>
    <row r="1887" spans="1:2" x14ac:dyDescent="0.35">
      <c r="A1887" s="14">
        <v>42272.234432870369</v>
      </c>
      <c r="B1887" s="5">
        <v>1</v>
      </c>
    </row>
    <row r="1888" spans="1:2" x14ac:dyDescent="0.35">
      <c r="A1888" s="14">
        <v>42272.238032407404</v>
      </c>
      <c r="B1888" s="5">
        <v>1</v>
      </c>
    </row>
    <row r="1889" spans="1:2" x14ac:dyDescent="0.35">
      <c r="A1889" s="14">
        <v>42272.245381944442</v>
      </c>
      <c r="B1889" s="5">
        <v>1</v>
      </c>
    </row>
    <row r="1890" spans="1:2" x14ac:dyDescent="0.35">
      <c r="A1890" s="14">
        <v>42272.277430555558</v>
      </c>
      <c r="B1890" s="5">
        <v>1</v>
      </c>
    </row>
    <row r="1891" spans="1:2" x14ac:dyDescent="0.35">
      <c r="A1891" s="14">
        <v>42272.332685185182</v>
      </c>
      <c r="B1891" s="5">
        <v>1</v>
      </c>
    </row>
    <row r="1892" spans="1:2" x14ac:dyDescent="0.35">
      <c r="A1892" s="14">
        <v>42272.344583333332</v>
      </c>
      <c r="B1892" s="5">
        <v>1</v>
      </c>
    </row>
    <row r="1893" spans="1:2" x14ac:dyDescent="0.35">
      <c r="A1893" s="14">
        <v>42272.353252314817</v>
      </c>
      <c r="B1893" s="5">
        <v>1</v>
      </c>
    </row>
    <row r="1894" spans="1:2" x14ac:dyDescent="0.35">
      <c r="A1894" s="14">
        <v>42272.461064814815</v>
      </c>
      <c r="B1894" s="5">
        <v>1</v>
      </c>
    </row>
    <row r="1895" spans="1:2" x14ac:dyDescent="0.35">
      <c r="A1895" s="14">
        <v>42272.468888888892</v>
      </c>
      <c r="B1895" s="5">
        <v>1</v>
      </c>
    </row>
    <row r="1896" spans="1:2" x14ac:dyDescent="0.35">
      <c r="A1896" s="14">
        <v>42272.477025462962</v>
      </c>
      <c r="B1896" s="5">
        <v>1</v>
      </c>
    </row>
    <row r="1897" spans="1:2" x14ac:dyDescent="0.35">
      <c r="A1897" s="14">
        <v>42272.480011574073</v>
      </c>
      <c r="B1897" s="5">
        <v>1</v>
      </c>
    </row>
    <row r="1898" spans="1:2" x14ac:dyDescent="0.35">
      <c r="A1898" s="14">
        <v>42272.483749999999</v>
      </c>
      <c r="B1898" s="5">
        <v>1</v>
      </c>
    </row>
    <row r="1899" spans="1:2" x14ac:dyDescent="0.35">
      <c r="A1899" s="14">
        <v>42272.483993055554</v>
      </c>
      <c r="B1899" s="5">
        <v>1</v>
      </c>
    </row>
    <row r="1900" spans="1:2" x14ac:dyDescent="0.35">
      <c r="A1900" s="14">
        <v>42272.487199074072</v>
      </c>
      <c r="B1900" s="5">
        <v>1</v>
      </c>
    </row>
    <row r="1901" spans="1:2" x14ac:dyDescent="0.35">
      <c r="A1901" s="14">
        <v>42272.489317129628</v>
      </c>
      <c r="B1901" s="5">
        <v>1</v>
      </c>
    </row>
    <row r="1902" spans="1:2" x14ac:dyDescent="0.35">
      <c r="A1902" s="14">
        <v>42272.501030092593</v>
      </c>
      <c r="B1902" s="5">
        <v>1</v>
      </c>
    </row>
    <row r="1903" spans="1:2" x14ac:dyDescent="0.35">
      <c r="A1903" s="14">
        <v>42272.506793981483</v>
      </c>
      <c r="B1903" s="5">
        <v>1</v>
      </c>
    </row>
    <row r="1904" spans="1:2" x14ac:dyDescent="0.35">
      <c r="A1904" s="14">
        <v>42272.507939814815</v>
      </c>
      <c r="B1904" s="5">
        <v>1</v>
      </c>
    </row>
    <row r="1905" spans="1:2" x14ac:dyDescent="0.35">
      <c r="A1905" s="14">
        <v>42272.511701388888</v>
      </c>
      <c r="B1905" s="5">
        <v>1</v>
      </c>
    </row>
    <row r="1906" spans="1:2" x14ac:dyDescent="0.35">
      <c r="A1906" s="14">
        <v>42272.513483796298</v>
      </c>
      <c r="B1906" s="5">
        <v>1</v>
      </c>
    </row>
    <row r="1907" spans="1:2" x14ac:dyDescent="0.35">
      <c r="A1907" s="14">
        <v>42272.519212962965</v>
      </c>
      <c r="B1907" s="5">
        <v>1</v>
      </c>
    </row>
    <row r="1908" spans="1:2" x14ac:dyDescent="0.35">
      <c r="A1908" s="14">
        <v>42272.521087962959</v>
      </c>
      <c r="B1908" s="5">
        <v>1</v>
      </c>
    </row>
    <row r="1909" spans="1:2" x14ac:dyDescent="0.35">
      <c r="A1909" s="14">
        <v>42272.52853009259</v>
      </c>
      <c r="B1909" s="5">
        <v>1</v>
      </c>
    </row>
    <row r="1910" spans="1:2" x14ac:dyDescent="0.35">
      <c r="A1910" s="14">
        <v>42272.537395833337</v>
      </c>
      <c r="B1910" s="5">
        <v>1</v>
      </c>
    </row>
    <row r="1911" spans="1:2" x14ac:dyDescent="0.35">
      <c r="A1911" s="14">
        <v>42272.545532407406</v>
      </c>
      <c r="B1911" s="5">
        <v>1</v>
      </c>
    </row>
    <row r="1912" spans="1:2" x14ac:dyDescent="0.35">
      <c r="A1912" s="14">
        <v>42272.551342592589</v>
      </c>
      <c r="B1912" s="5">
        <v>1</v>
      </c>
    </row>
    <row r="1913" spans="1:2" x14ac:dyDescent="0.35">
      <c r="A1913" s="14">
        <v>42272.551724537036</v>
      </c>
      <c r="B1913" s="5">
        <v>1</v>
      </c>
    </row>
    <row r="1914" spans="1:2" x14ac:dyDescent="0.35">
      <c r="A1914" s="14">
        <v>42272.551851851851</v>
      </c>
      <c r="B1914" s="5">
        <v>1</v>
      </c>
    </row>
    <row r="1915" spans="1:2" x14ac:dyDescent="0.35">
      <c r="A1915" s="14">
        <v>42272.553842592592</v>
      </c>
      <c r="B1915" s="5">
        <v>1</v>
      </c>
    </row>
    <row r="1916" spans="1:2" x14ac:dyDescent="0.35">
      <c r="A1916" s="14">
        <v>42272.561064814814</v>
      </c>
      <c r="B1916" s="5">
        <v>1</v>
      </c>
    </row>
    <row r="1917" spans="1:2" x14ac:dyDescent="0.35">
      <c r="A1917" s="14">
        <v>42272.561759259261</v>
      </c>
      <c r="B1917" s="5">
        <v>1</v>
      </c>
    </row>
    <row r="1918" spans="1:2" x14ac:dyDescent="0.35">
      <c r="A1918" s="14">
        <v>42272.562476851854</v>
      </c>
      <c r="B1918" s="5">
        <v>2</v>
      </c>
    </row>
    <row r="1919" spans="1:2" x14ac:dyDescent="0.35">
      <c r="A1919" s="14">
        <v>42272.562719907408</v>
      </c>
      <c r="B1919" s="5">
        <v>1</v>
      </c>
    </row>
    <row r="1920" spans="1:2" x14ac:dyDescent="0.35">
      <c r="A1920" s="14">
        <v>42272.563148148147</v>
      </c>
      <c r="B1920" s="5">
        <v>1</v>
      </c>
    </row>
    <row r="1921" spans="1:2" x14ac:dyDescent="0.35">
      <c r="A1921" s="14">
        <v>42272.563981481479</v>
      </c>
      <c r="B1921" s="5">
        <v>1</v>
      </c>
    </row>
    <row r="1922" spans="1:2" x14ac:dyDescent="0.35">
      <c r="A1922" s="14">
        <v>42272.56459490741</v>
      </c>
      <c r="B1922" s="5">
        <v>1</v>
      </c>
    </row>
    <row r="1923" spans="1:2" x14ac:dyDescent="0.35">
      <c r="A1923" s="14">
        <v>42272.564641203702</v>
      </c>
      <c r="B1923" s="5">
        <v>1</v>
      </c>
    </row>
    <row r="1924" spans="1:2" x14ac:dyDescent="0.35">
      <c r="A1924" s="14">
        <v>42272.564895833333</v>
      </c>
      <c r="B1924" s="5">
        <v>1</v>
      </c>
    </row>
    <row r="1925" spans="1:2" x14ac:dyDescent="0.35">
      <c r="A1925" s="14">
        <v>42272.566493055558</v>
      </c>
      <c r="B1925" s="5">
        <v>1</v>
      </c>
    </row>
    <row r="1926" spans="1:2" x14ac:dyDescent="0.35">
      <c r="A1926" s="14">
        <v>42272.566631944443</v>
      </c>
      <c r="B1926" s="5">
        <v>1</v>
      </c>
    </row>
    <row r="1927" spans="1:2" x14ac:dyDescent="0.35">
      <c r="A1927" s="14">
        <v>42272.568912037037</v>
      </c>
      <c r="B1927" s="5">
        <v>1</v>
      </c>
    </row>
    <row r="1928" spans="1:2" x14ac:dyDescent="0.35">
      <c r="A1928" s="14">
        <v>42272.569143518522</v>
      </c>
      <c r="B1928" s="5">
        <v>1</v>
      </c>
    </row>
    <row r="1929" spans="1:2" x14ac:dyDescent="0.35">
      <c r="A1929" s="14">
        <v>42272.569537037038</v>
      </c>
      <c r="B1929" s="5">
        <v>1</v>
      </c>
    </row>
    <row r="1930" spans="1:2" x14ac:dyDescent="0.35">
      <c r="A1930" s="14">
        <v>42272.570775462962</v>
      </c>
      <c r="B1930" s="5">
        <v>1</v>
      </c>
    </row>
    <row r="1931" spans="1:2" x14ac:dyDescent="0.35">
      <c r="A1931" s="14">
        <v>42272.573275462964</v>
      </c>
      <c r="B1931" s="5">
        <v>1</v>
      </c>
    </row>
    <row r="1932" spans="1:2" x14ac:dyDescent="0.35">
      <c r="A1932" s="14">
        <v>42272.576423611114</v>
      </c>
      <c r="B1932" s="5">
        <v>1</v>
      </c>
    </row>
    <row r="1933" spans="1:2" x14ac:dyDescent="0.35">
      <c r="A1933" s="14">
        <v>42272.576851851853</v>
      </c>
      <c r="B1933" s="5">
        <v>1</v>
      </c>
    </row>
    <row r="1934" spans="1:2" x14ac:dyDescent="0.35">
      <c r="A1934" s="14">
        <v>42272.577314814815</v>
      </c>
      <c r="B1934" s="5">
        <v>1</v>
      </c>
    </row>
    <row r="1935" spans="1:2" x14ac:dyDescent="0.35">
      <c r="A1935" s="14">
        <v>42272.578310185185</v>
      </c>
      <c r="B1935" s="5">
        <v>1</v>
      </c>
    </row>
    <row r="1936" spans="1:2" x14ac:dyDescent="0.35">
      <c r="A1936" s="14">
        <v>42272.583425925928</v>
      </c>
      <c r="B1936" s="5">
        <v>1</v>
      </c>
    </row>
    <row r="1937" spans="1:2" x14ac:dyDescent="0.35">
      <c r="A1937" s="14">
        <v>42272.583969907406</v>
      </c>
      <c r="B1937" s="5">
        <v>1</v>
      </c>
    </row>
    <row r="1938" spans="1:2" x14ac:dyDescent="0.35">
      <c r="A1938" s="14">
        <v>42272.587384259263</v>
      </c>
      <c r="B1938" s="5">
        <v>1</v>
      </c>
    </row>
    <row r="1939" spans="1:2" x14ac:dyDescent="0.35">
      <c r="A1939" s="14">
        <v>42272.590567129628</v>
      </c>
      <c r="B1939" s="5">
        <v>1</v>
      </c>
    </row>
    <row r="1940" spans="1:2" x14ac:dyDescent="0.35">
      <c r="A1940" s="14">
        <v>42272.591631944444</v>
      </c>
      <c r="B1940" s="5">
        <v>1</v>
      </c>
    </row>
    <row r="1941" spans="1:2" x14ac:dyDescent="0.35">
      <c r="A1941" s="14">
        <v>42272.594490740739</v>
      </c>
      <c r="B1941" s="5">
        <v>1</v>
      </c>
    </row>
    <row r="1942" spans="1:2" x14ac:dyDescent="0.35">
      <c r="A1942" s="14">
        <v>42272.59578703704</v>
      </c>
      <c r="B1942" s="5">
        <v>1</v>
      </c>
    </row>
    <row r="1943" spans="1:2" x14ac:dyDescent="0.35">
      <c r="A1943" s="14">
        <v>42272.59579861111</v>
      </c>
      <c r="B1943" s="5">
        <v>1</v>
      </c>
    </row>
    <row r="1944" spans="1:2" x14ac:dyDescent="0.35">
      <c r="A1944" s="14">
        <v>42272.597233796296</v>
      </c>
      <c r="B1944" s="5">
        <v>1</v>
      </c>
    </row>
    <row r="1945" spans="1:2" x14ac:dyDescent="0.35">
      <c r="A1945" s="14">
        <v>42272.597546296296</v>
      </c>
      <c r="B1945" s="5">
        <v>1</v>
      </c>
    </row>
    <row r="1946" spans="1:2" x14ac:dyDescent="0.35">
      <c r="A1946" s="14">
        <v>42272.59820601852</v>
      </c>
      <c r="B1946" s="5">
        <v>1</v>
      </c>
    </row>
    <row r="1947" spans="1:2" x14ac:dyDescent="0.35">
      <c r="A1947" s="14">
        <v>42272.601099537038</v>
      </c>
      <c r="B1947" s="5">
        <v>1</v>
      </c>
    </row>
    <row r="1948" spans="1:2" x14ac:dyDescent="0.35">
      <c r="A1948" s="14">
        <v>42272.601655092592</v>
      </c>
      <c r="B1948" s="5">
        <v>1</v>
      </c>
    </row>
    <row r="1949" spans="1:2" x14ac:dyDescent="0.35">
      <c r="A1949" s="14">
        <v>42272.603101851855</v>
      </c>
      <c r="B1949" s="5">
        <v>1</v>
      </c>
    </row>
    <row r="1950" spans="1:2" x14ac:dyDescent="0.35">
      <c r="A1950" s="14">
        <v>42272.613958333335</v>
      </c>
      <c r="B1950" s="5">
        <v>1</v>
      </c>
    </row>
    <row r="1951" spans="1:2" x14ac:dyDescent="0.35">
      <c r="A1951" s="14">
        <v>42272.614166666666</v>
      </c>
      <c r="B1951" s="5">
        <v>1</v>
      </c>
    </row>
    <row r="1952" spans="1:2" x14ac:dyDescent="0.35">
      <c r="A1952" s="14">
        <v>42272.616099537037</v>
      </c>
      <c r="B1952" s="5">
        <v>1</v>
      </c>
    </row>
    <row r="1953" spans="1:2" x14ac:dyDescent="0.35">
      <c r="A1953" s="14">
        <v>42272.616319444445</v>
      </c>
      <c r="B1953" s="5">
        <v>1</v>
      </c>
    </row>
    <row r="1954" spans="1:2" x14ac:dyDescent="0.35">
      <c r="A1954" s="14">
        <v>42272.617199074077</v>
      </c>
      <c r="B1954" s="5">
        <v>1</v>
      </c>
    </row>
    <row r="1955" spans="1:2" x14ac:dyDescent="0.35">
      <c r="A1955" s="14">
        <v>42272.618449074071</v>
      </c>
      <c r="B1955" s="5">
        <v>1</v>
      </c>
    </row>
    <row r="1956" spans="1:2" x14ac:dyDescent="0.35">
      <c r="A1956" s="14">
        <v>42272.61922453704</v>
      </c>
      <c r="B1956" s="5">
        <v>1</v>
      </c>
    </row>
    <row r="1957" spans="1:2" x14ac:dyDescent="0.35">
      <c r="A1957" s="14">
        <v>42272.623749999999</v>
      </c>
      <c r="B1957" s="5">
        <v>1</v>
      </c>
    </row>
    <row r="1958" spans="1:2" x14ac:dyDescent="0.35">
      <c r="A1958" s="14">
        <v>42272.624386574076</v>
      </c>
      <c r="B1958" s="5">
        <v>1</v>
      </c>
    </row>
    <row r="1959" spans="1:2" x14ac:dyDescent="0.35">
      <c r="A1959" s="14">
        <v>42272.624467592592</v>
      </c>
      <c r="B1959" s="5">
        <v>1</v>
      </c>
    </row>
    <row r="1960" spans="1:2" x14ac:dyDescent="0.35">
      <c r="A1960" s="14">
        <v>42272.626076388886</v>
      </c>
      <c r="B1960" s="5">
        <v>1</v>
      </c>
    </row>
    <row r="1961" spans="1:2" x14ac:dyDescent="0.35">
      <c r="A1961" s="14">
        <v>42272.626307870371</v>
      </c>
      <c r="B1961" s="5">
        <v>1</v>
      </c>
    </row>
    <row r="1962" spans="1:2" x14ac:dyDescent="0.35">
      <c r="A1962" s="14">
        <v>42272.627465277779</v>
      </c>
      <c r="B1962" s="5">
        <v>1</v>
      </c>
    </row>
    <row r="1963" spans="1:2" x14ac:dyDescent="0.35">
      <c r="A1963" s="14">
        <v>42272.63077546296</v>
      </c>
      <c r="B1963" s="5">
        <v>1</v>
      </c>
    </row>
    <row r="1964" spans="1:2" x14ac:dyDescent="0.35">
      <c r="A1964" s="14">
        <v>42272.635208333333</v>
      </c>
      <c r="B1964" s="5">
        <v>1</v>
      </c>
    </row>
    <row r="1965" spans="1:2" x14ac:dyDescent="0.35">
      <c r="A1965" s="14">
        <v>42272.640034722222</v>
      </c>
      <c r="B1965" s="5">
        <v>1</v>
      </c>
    </row>
    <row r="1966" spans="1:2" x14ac:dyDescent="0.35">
      <c r="A1966" s="14">
        <v>42272.6403587963</v>
      </c>
      <c r="B1966" s="5">
        <v>1</v>
      </c>
    </row>
    <row r="1967" spans="1:2" x14ac:dyDescent="0.35">
      <c r="A1967" s="14">
        <v>42272.644259259258</v>
      </c>
      <c r="B1967" s="5">
        <v>1</v>
      </c>
    </row>
    <row r="1968" spans="1:2" x14ac:dyDescent="0.35">
      <c r="A1968" s="14">
        <v>42272.647673611114</v>
      </c>
      <c r="B1968" s="5">
        <v>1</v>
      </c>
    </row>
    <row r="1969" spans="1:2" x14ac:dyDescent="0.35">
      <c r="A1969" s="14">
        <v>42272.673877314817</v>
      </c>
      <c r="B1969" s="5">
        <v>1</v>
      </c>
    </row>
    <row r="1970" spans="1:2" x14ac:dyDescent="0.35">
      <c r="A1970" s="14">
        <v>42272.681875000002</v>
      </c>
      <c r="B1970" s="5">
        <v>1</v>
      </c>
    </row>
    <row r="1971" spans="1:2" x14ac:dyDescent="0.35">
      <c r="A1971" s="14">
        <v>42272.683530092596</v>
      </c>
      <c r="B1971" s="5">
        <v>1</v>
      </c>
    </row>
    <row r="1972" spans="1:2" x14ac:dyDescent="0.35">
      <c r="A1972" s="14">
        <v>42272.684652777774</v>
      </c>
      <c r="B1972" s="5">
        <v>1</v>
      </c>
    </row>
    <row r="1973" spans="1:2" x14ac:dyDescent="0.35">
      <c r="A1973" s="14">
        <v>42272.688449074078</v>
      </c>
      <c r="B1973" s="5">
        <v>1</v>
      </c>
    </row>
    <row r="1974" spans="1:2" x14ac:dyDescent="0.35">
      <c r="A1974" s="14">
        <v>42272.694178240738</v>
      </c>
      <c r="B1974" s="5">
        <v>1</v>
      </c>
    </row>
    <row r="1975" spans="1:2" x14ac:dyDescent="0.35">
      <c r="A1975" s="14">
        <v>42272.698541666665</v>
      </c>
      <c r="B1975" s="5">
        <v>1</v>
      </c>
    </row>
    <row r="1976" spans="1:2" x14ac:dyDescent="0.35">
      <c r="A1976" s="14">
        <v>42272.736157407409</v>
      </c>
      <c r="B1976" s="5">
        <v>1</v>
      </c>
    </row>
    <row r="1977" spans="1:2" x14ac:dyDescent="0.35">
      <c r="A1977" s="14">
        <v>42272.754583333335</v>
      </c>
      <c r="B1977" s="5">
        <v>1</v>
      </c>
    </row>
    <row r="1978" spans="1:2" x14ac:dyDescent="0.35">
      <c r="A1978" s="14">
        <v>42272.815185185187</v>
      </c>
      <c r="B1978" s="5">
        <v>1</v>
      </c>
    </row>
    <row r="1979" spans="1:2" x14ac:dyDescent="0.35">
      <c r="A1979" s="14">
        <v>42272.834606481483</v>
      </c>
      <c r="B1979" s="5">
        <v>1</v>
      </c>
    </row>
    <row r="1980" spans="1:2" x14ac:dyDescent="0.35">
      <c r="A1980" s="14">
        <v>42272.836261574077</v>
      </c>
      <c r="B1980" s="5">
        <v>1</v>
      </c>
    </row>
    <row r="1981" spans="1:2" x14ac:dyDescent="0.35">
      <c r="A1981" s="14">
        <v>42272.870138888888</v>
      </c>
      <c r="B1981" s="5">
        <v>1</v>
      </c>
    </row>
    <row r="1982" spans="1:2" x14ac:dyDescent="0.35">
      <c r="A1982" s="14">
        <v>42272.877824074072</v>
      </c>
      <c r="B1982" s="5">
        <v>1</v>
      </c>
    </row>
    <row r="1983" spans="1:2" x14ac:dyDescent="0.35">
      <c r="A1983" s="14">
        <v>42272.906076388892</v>
      </c>
      <c r="B1983" s="5">
        <v>1</v>
      </c>
    </row>
    <row r="1984" spans="1:2" x14ac:dyDescent="0.35">
      <c r="A1984" s="14">
        <v>42273.036851851852</v>
      </c>
      <c r="B1984" s="5">
        <v>1</v>
      </c>
    </row>
    <row r="1985" spans="1:2" x14ac:dyDescent="0.35">
      <c r="A1985" s="14">
        <v>42273.137662037036</v>
      </c>
      <c r="B1985" s="5">
        <v>1</v>
      </c>
    </row>
    <row r="1986" spans="1:2" x14ac:dyDescent="0.35">
      <c r="A1986" s="14">
        <v>42273.138055555559</v>
      </c>
      <c r="B1986" s="5">
        <v>2</v>
      </c>
    </row>
    <row r="1987" spans="1:2" x14ac:dyDescent="0.35">
      <c r="A1987" s="14">
        <v>42273.15519675926</v>
      </c>
      <c r="B1987" s="5">
        <v>1</v>
      </c>
    </row>
    <row r="1988" spans="1:2" x14ac:dyDescent="0.35">
      <c r="A1988" s="14">
        <v>42273.177499999998</v>
      </c>
      <c r="B1988" s="5">
        <v>1</v>
      </c>
    </row>
    <row r="1989" spans="1:2" x14ac:dyDescent="0.35">
      <c r="A1989" s="14">
        <v>42273.585925925923</v>
      </c>
      <c r="B1989" s="5">
        <v>1</v>
      </c>
    </row>
    <row r="1990" spans="1:2" x14ac:dyDescent="0.35">
      <c r="A1990" s="14">
        <v>42273.586574074077</v>
      </c>
      <c r="B1990" s="5">
        <v>1</v>
      </c>
    </row>
    <row r="1991" spans="1:2" x14ac:dyDescent="0.35">
      <c r="A1991" s="14">
        <v>42273.600613425922</v>
      </c>
      <c r="B1991" s="5">
        <v>1</v>
      </c>
    </row>
    <row r="1992" spans="1:2" x14ac:dyDescent="0.35">
      <c r="A1992" s="14">
        <v>42273.615023148152</v>
      </c>
      <c r="B1992" s="5">
        <v>1</v>
      </c>
    </row>
    <row r="1993" spans="1:2" x14ac:dyDescent="0.35">
      <c r="A1993" s="14">
        <v>42273.616851851853</v>
      </c>
      <c r="B1993" s="5">
        <v>1</v>
      </c>
    </row>
    <row r="1994" spans="1:2" x14ac:dyDescent="0.35">
      <c r="A1994" s="14">
        <v>42273.623923611114</v>
      </c>
      <c r="B1994" s="5">
        <v>1</v>
      </c>
    </row>
    <row r="1995" spans="1:2" x14ac:dyDescent="0.35">
      <c r="A1995" s="14">
        <v>42273.644525462965</v>
      </c>
      <c r="B1995" s="5">
        <v>1</v>
      </c>
    </row>
    <row r="1996" spans="1:2" x14ac:dyDescent="0.35">
      <c r="A1996" s="14">
        <v>42273.65185185185</v>
      </c>
      <c r="B1996" s="5">
        <v>1</v>
      </c>
    </row>
    <row r="1997" spans="1:2" x14ac:dyDescent="0.35">
      <c r="A1997" s="14">
        <v>42273.771226851852</v>
      </c>
      <c r="B1997" s="5">
        <v>1</v>
      </c>
    </row>
    <row r="1998" spans="1:2" x14ac:dyDescent="0.35">
      <c r="A1998" s="14">
        <v>42273.798344907409</v>
      </c>
      <c r="B1998" s="5">
        <v>1</v>
      </c>
    </row>
    <row r="1999" spans="1:2" x14ac:dyDescent="0.35">
      <c r="A1999" s="14">
        <v>42273.823483796295</v>
      </c>
      <c r="B1999" s="5">
        <v>1</v>
      </c>
    </row>
    <row r="2000" spans="1:2" x14ac:dyDescent="0.35">
      <c r="A2000" s="14">
        <v>42273.878634259258</v>
      </c>
      <c r="B2000" s="5">
        <v>1</v>
      </c>
    </row>
    <row r="2001" spans="1:2" x14ac:dyDescent="0.35">
      <c r="A2001" s="14">
        <v>42273.958958333336</v>
      </c>
      <c r="B2001" s="5">
        <v>1</v>
      </c>
    </row>
    <row r="2002" spans="1:2" x14ac:dyDescent="0.35">
      <c r="A2002" s="14">
        <v>42274.04519675926</v>
      </c>
      <c r="B2002" s="5">
        <v>1</v>
      </c>
    </row>
    <row r="2003" spans="1:2" x14ac:dyDescent="0.35">
      <c r="A2003" s="14">
        <v>42274.049108796295</v>
      </c>
      <c r="B2003" s="5">
        <v>1</v>
      </c>
    </row>
    <row r="2004" spans="1:2" x14ac:dyDescent="0.35">
      <c r="A2004" s="14">
        <v>42274.051932870374</v>
      </c>
      <c r="B2004" s="5">
        <v>1</v>
      </c>
    </row>
    <row r="2005" spans="1:2" x14ac:dyDescent="0.35">
      <c r="A2005" s="14">
        <v>42274.060671296298</v>
      </c>
      <c r="B2005" s="5">
        <v>1</v>
      </c>
    </row>
    <row r="2006" spans="1:2" x14ac:dyDescent="0.35">
      <c r="A2006" s="14">
        <v>42274.065370370372</v>
      </c>
      <c r="B2006" s="5">
        <v>1</v>
      </c>
    </row>
    <row r="2007" spans="1:2" x14ac:dyDescent="0.35">
      <c r="A2007" s="14">
        <v>42274.090277777781</v>
      </c>
      <c r="B2007" s="5">
        <v>1</v>
      </c>
    </row>
    <row r="2008" spans="1:2" x14ac:dyDescent="0.35">
      <c r="A2008" s="14">
        <v>42274.092939814815</v>
      </c>
      <c r="B2008" s="5">
        <v>1</v>
      </c>
    </row>
    <row r="2009" spans="1:2" x14ac:dyDescent="0.35">
      <c r="A2009" s="14">
        <v>42274.094444444447</v>
      </c>
      <c r="B2009" s="5">
        <v>1</v>
      </c>
    </row>
    <row r="2010" spans="1:2" x14ac:dyDescent="0.35">
      <c r="A2010" s="14">
        <v>42274.098055555558</v>
      </c>
      <c r="B2010" s="5">
        <v>1</v>
      </c>
    </row>
    <row r="2011" spans="1:2" x14ac:dyDescent="0.35">
      <c r="A2011" s="14">
        <v>42274.106064814812</v>
      </c>
      <c r="B2011" s="5">
        <v>1</v>
      </c>
    </row>
    <row r="2012" spans="1:2" x14ac:dyDescent="0.35">
      <c r="A2012" s="14">
        <v>42274.149930555555</v>
      </c>
      <c r="B2012" s="5">
        <v>1</v>
      </c>
    </row>
    <row r="2013" spans="1:2" x14ac:dyDescent="0.35">
      <c r="A2013" s="14">
        <v>42274.155833333331</v>
      </c>
      <c r="B2013" s="5">
        <v>1</v>
      </c>
    </row>
    <row r="2014" spans="1:2" x14ac:dyDescent="0.35">
      <c r="A2014" s="14">
        <v>42274.551944444444</v>
      </c>
      <c r="B2014" s="5">
        <v>1</v>
      </c>
    </row>
    <row r="2015" spans="1:2" x14ac:dyDescent="0.35">
      <c r="A2015" s="14">
        <v>42274.561493055553</v>
      </c>
      <c r="B2015" s="5">
        <v>1</v>
      </c>
    </row>
    <row r="2016" spans="1:2" x14ac:dyDescent="0.35">
      <c r="A2016" s="14">
        <v>42274.576608796298</v>
      </c>
      <c r="B2016" s="5">
        <v>1</v>
      </c>
    </row>
    <row r="2017" spans="1:2" x14ac:dyDescent="0.35">
      <c r="A2017" s="14">
        <v>42274.588784722226</v>
      </c>
      <c r="B2017" s="5">
        <v>1</v>
      </c>
    </row>
    <row r="2018" spans="1:2" x14ac:dyDescent="0.35">
      <c r="A2018" s="14">
        <v>42274.640451388892</v>
      </c>
      <c r="B2018" s="5">
        <v>1</v>
      </c>
    </row>
    <row r="2019" spans="1:2" x14ac:dyDescent="0.35">
      <c r="A2019" s="14">
        <v>42274.641909722224</v>
      </c>
      <c r="B2019" s="5">
        <v>2</v>
      </c>
    </row>
    <row r="2020" spans="1:2" x14ac:dyDescent="0.35">
      <c r="A2020" s="14">
        <v>42274.644594907404</v>
      </c>
      <c r="B2020" s="5">
        <v>1</v>
      </c>
    </row>
    <row r="2021" spans="1:2" x14ac:dyDescent="0.35">
      <c r="A2021" s="14">
        <v>42274.653773148151</v>
      </c>
      <c r="B2021" s="5">
        <v>1</v>
      </c>
    </row>
    <row r="2022" spans="1:2" x14ac:dyDescent="0.35">
      <c r="A2022" s="14">
        <v>42274.655034722222</v>
      </c>
      <c r="B2022" s="5">
        <v>1</v>
      </c>
    </row>
    <row r="2023" spans="1:2" x14ac:dyDescent="0.35">
      <c r="A2023" s="14">
        <v>42274.655289351853</v>
      </c>
      <c r="B2023" s="5">
        <v>1</v>
      </c>
    </row>
    <row r="2024" spans="1:2" x14ac:dyDescent="0.35">
      <c r="A2024" s="14">
        <v>42274.707175925927</v>
      </c>
      <c r="B2024" s="5">
        <v>1</v>
      </c>
    </row>
    <row r="2025" spans="1:2" x14ac:dyDescent="0.35">
      <c r="A2025" s="14">
        <v>42274.708506944444</v>
      </c>
      <c r="B2025" s="5">
        <v>1</v>
      </c>
    </row>
    <row r="2026" spans="1:2" x14ac:dyDescent="0.35">
      <c r="A2026" s="14">
        <v>42274.737430555557</v>
      </c>
      <c r="B2026" s="5">
        <v>1</v>
      </c>
    </row>
    <row r="2027" spans="1:2" x14ac:dyDescent="0.35">
      <c r="A2027" s="14">
        <v>42274.782175925924</v>
      </c>
      <c r="B2027" s="5">
        <v>1</v>
      </c>
    </row>
    <row r="2028" spans="1:2" x14ac:dyDescent="0.35">
      <c r="A2028" s="14">
        <v>42274.801631944443</v>
      </c>
      <c r="B2028" s="5">
        <v>1</v>
      </c>
    </row>
    <row r="2029" spans="1:2" x14ac:dyDescent="0.35">
      <c r="A2029" s="14">
        <v>42274.808900462966</v>
      </c>
      <c r="B2029" s="5">
        <v>1</v>
      </c>
    </row>
    <row r="2030" spans="1:2" x14ac:dyDescent="0.35">
      <c r="A2030" s="14">
        <v>42274.811585648145</v>
      </c>
      <c r="B2030" s="5">
        <v>1</v>
      </c>
    </row>
    <row r="2031" spans="1:2" x14ac:dyDescent="0.35">
      <c r="A2031" s="14">
        <v>42274.826284722221</v>
      </c>
      <c r="B2031" s="5">
        <v>1</v>
      </c>
    </row>
    <row r="2032" spans="1:2" x14ac:dyDescent="0.35">
      <c r="A2032" s="14">
        <v>42274.836006944446</v>
      </c>
      <c r="B2032" s="5">
        <v>1</v>
      </c>
    </row>
    <row r="2033" spans="1:2" x14ac:dyDescent="0.35">
      <c r="A2033" s="14">
        <v>42274.839583333334</v>
      </c>
      <c r="B2033" s="5">
        <v>1</v>
      </c>
    </row>
    <row r="2034" spans="1:2" x14ac:dyDescent="0.35">
      <c r="A2034" s="14">
        <v>42274.841192129628</v>
      </c>
      <c r="B2034" s="5">
        <v>1</v>
      </c>
    </row>
    <row r="2035" spans="1:2" x14ac:dyDescent="0.35">
      <c r="A2035" s="14">
        <v>42274.844930555555</v>
      </c>
      <c r="B2035" s="5">
        <v>1</v>
      </c>
    </row>
    <row r="2036" spans="1:2" x14ac:dyDescent="0.35">
      <c r="A2036" s="14">
        <v>42274.846666666665</v>
      </c>
      <c r="B2036" s="5">
        <v>1</v>
      </c>
    </row>
    <row r="2037" spans="1:2" x14ac:dyDescent="0.35">
      <c r="A2037" s="14">
        <v>42274.849976851852</v>
      </c>
      <c r="B2037" s="5">
        <v>1</v>
      </c>
    </row>
    <row r="2038" spans="1:2" x14ac:dyDescent="0.35">
      <c r="A2038" s="14">
        <v>42274.850277777776</v>
      </c>
      <c r="B2038" s="5">
        <v>1</v>
      </c>
    </row>
    <row r="2039" spans="1:2" x14ac:dyDescent="0.35">
      <c r="A2039" s="14">
        <v>42274.852025462962</v>
      </c>
      <c r="B2039" s="5">
        <v>1</v>
      </c>
    </row>
    <row r="2040" spans="1:2" x14ac:dyDescent="0.35">
      <c r="A2040" s="14">
        <v>42274.852384259262</v>
      </c>
      <c r="B2040" s="5">
        <v>1</v>
      </c>
    </row>
    <row r="2041" spans="1:2" x14ac:dyDescent="0.35">
      <c r="A2041" s="14">
        <v>42274.853541666664</v>
      </c>
      <c r="B2041" s="5">
        <v>1</v>
      </c>
    </row>
    <row r="2042" spans="1:2" x14ac:dyDescent="0.35">
      <c r="A2042" s="14">
        <v>42274.854224537034</v>
      </c>
      <c r="B2042" s="5">
        <v>1</v>
      </c>
    </row>
    <row r="2043" spans="1:2" x14ac:dyDescent="0.35">
      <c r="A2043" s="14">
        <v>42274.854513888888</v>
      </c>
      <c r="B2043" s="5">
        <v>1</v>
      </c>
    </row>
    <row r="2044" spans="1:2" x14ac:dyDescent="0.35">
      <c r="A2044" s="14">
        <v>42274.857777777775</v>
      </c>
      <c r="B2044" s="5">
        <v>1</v>
      </c>
    </row>
    <row r="2045" spans="1:2" x14ac:dyDescent="0.35">
      <c r="A2045" s="14">
        <v>42274.860625000001</v>
      </c>
      <c r="B2045" s="5">
        <v>1</v>
      </c>
    </row>
    <row r="2046" spans="1:2" x14ac:dyDescent="0.35">
      <c r="A2046" s="14">
        <v>42274.861122685186</v>
      </c>
      <c r="B2046" s="5">
        <v>1</v>
      </c>
    </row>
    <row r="2047" spans="1:2" x14ac:dyDescent="0.35">
      <c r="A2047" s="14">
        <v>42274.861990740741</v>
      </c>
      <c r="B2047" s="5">
        <v>1</v>
      </c>
    </row>
    <row r="2048" spans="1:2" x14ac:dyDescent="0.35">
      <c r="A2048" s="14">
        <v>42274.925219907411</v>
      </c>
      <c r="B2048" s="5">
        <v>1</v>
      </c>
    </row>
    <row r="2049" spans="1:2" x14ac:dyDescent="0.35">
      <c r="A2049" s="14">
        <v>42274.935937499999</v>
      </c>
      <c r="B2049" s="5">
        <v>1</v>
      </c>
    </row>
    <row r="2050" spans="1:2" x14ac:dyDescent="0.35">
      <c r="A2050" s="14">
        <v>42274.942731481482</v>
      </c>
      <c r="B2050" s="5">
        <v>1</v>
      </c>
    </row>
    <row r="2051" spans="1:2" x14ac:dyDescent="0.35">
      <c r="A2051" s="14">
        <v>42274.949374999997</v>
      </c>
      <c r="B2051" s="5">
        <v>1</v>
      </c>
    </row>
    <row r="2052" spans="1:2" x14ac:dyDescent="0.35">
      <c r="A2052" s="14">
        <v>42274.988425925927</v>
      </c>
      <c r="B2052" s="5">
        <v>1</v>
      </c>
    </row>
    <row r="2053" spans="1:2" x14ac:dyDescent="0.35">
      <c r="A2053" s="14">
        <v>42275.006458333337</v>
      </c>
      <c r="B2053" s="5">
        <v>1</v>
      </c>
    </row>
    <row r="2054" spans="1:2" x14ac:dyDescent="0.35">
      <c r="A2054" s="14">
        <v>42275.011030092595</v>
      </c>
      <c r="B2054" s="5">
        <v>1</v>
      </c>
    </row>
    <row r="2055" spans="1:2" x14ac:dyDescent="0.35">
      <c r="A2055" s="14">
        <v>42275.022175925929</v>
      </c>
      <c r="B2055" s="5">
        <v>1</v>
      </c>
    </row>
    <row r="2056" spans="1:2" x14ac:dyDescent="0.35">
      <c r="A2056" s="14">
        <v>42275.025694444441</v>
      </c>
      <c r="B2056" s="5">
        <v>1</v>
      </c>
    </row>
    <row r="2057" spans="1:2" x14ac:dyDescent="0.35">
      <c r="A2057" s="14">
        <v>42275.026018518518</v>
      </c>
      <c r="B2057" s="5">
        <v>1</v>
      </c>
    </row>
    <row r="2058" spans="1:2" x14ac:dyDescent="0.35">
      <c r="A2058" s="14">
        <v>42275.028946759259</v>
      </c>
      <c r="B2058" s="5">
        <v>1</v>
      </c>
    </row>
    <row r="2059" spans="1:2" x14ac:dyDescent="0.35">
      <c r="A2059" s="14">
        <v>42275.030509259261</v>
      </c>
      <c r="B2059" s="5">
        <v>1</v>
      </c>
    </row>
    <row r="2060" spans="1:2" x14ac:dyDescent="0.35">
      <c r="A2060" s="14">
        <v>42275.0315162037</v>
      </c>
      <c r="B2060" s="5">
        <v>1</v>
      </c>
    </row>
    <row r="2061" spans="1:2" x14ac:dyDescent="0.35">
      <c r="A2061" s="14">
        <v>42275.034733796296</v>
      </c>
      <c r="B2061" s="5">
        <v>1</v>
      </c>
    </row>
    <row r="2062" spans="1:2" x14ac:dyDescent="0.35">
      <c r="A2062" s="14">
        <v>42275.046979166669</v>
      </c>
      <c r="B2062" s="5">
        <v>1</v>
      </c>
    </row>
    <row r="2063" spans="1:2" x14ac:dyDescent="0.35">
      <c r="A2063" s="14">
        <v>42275.067094907405</v>
      </c>
      <c r="B2063" s="5">
        <v>1</v>
      </c>
    </row>
    <row r="2064" spans="1:2" x14ac:dyDescent="0.35">
      <c r="A2064" s="14">
        <v>42275.069062499999</v>
      </c>
      <c r="B2064" s="5">
        <v>1</v>
      </c>
    </row>
    <row r="2065" spans="1:2" x14ac:dyDescent="0.35">
      <c r="A2065" s="14">
        <v>42275.069363425922</v>
      </c>
      <c r="B2065" s="5">
        <v>1</v>
      </c>
    </row>
    <row r="2066" spans="1:2" x14ac:dyDescent="0.35">
      <c r="A2066" s="14">
        <v>42275.075104166666</v>
      </c>
      <c r="B2066" s="5">
        <v>1</v>
      </c>
    </row>
    <row r="2067" spans="1:2" x14ac:dyDescent="0.35">
      <c r="A2067" s="14">
        <v>42275.080729166664</v>
      </c>
      <c r="B2067" s="5">
        <v>1</v>
      </c>
    </row>
    <row r="2068" spans="1:2" x14ac:dyDescent="0.35">
      <c r="A2068" s="14">
        <v>42275.086863425924</v>
      </c>
      <c r="B2068" s="5">
        <v>1</v>
      </c>
    </row>
    <row r="2069" spans="1:2" x14ac:dyDescent="0.35">
      <c r="A2069" s="14">
        <v>42275.098634259259</v>
      </c>
      <c r="B2069" s="5">
        <v>1</v>
      </c>
    </row>
    <row r="2070" spans="1:2" x14ac:dyDescent="0.35">
      <c r="A2070" s="14">
        <v>42275.113032407404</v>
      </c>
      <c r="B2070" s="5">
        <v>1</v>
      </c>
    </row>
    <row r="2071" spans="1:2" x14ac:dyDescent="0.35">
      <c r="A2071" s="14">
        <v>42275.13689814815</v>
      </c>
      <c r="B2071" s="5">
        <v>1</v>
      </c>
    </row>
    <row r="2072" spans="1:2" x14ac:dyDescent="0.35">
      <c r="A2072" s="14">
        <v>42275.156655092593</v>
      </c>
      <c r="B2072" s="5">
        <v>1</v>
      </c>
    </row>
    <row r="2073" spans="1:2" x14ac:dyDescent="0.35">
      <c r="A2073" s="14">
        <v>42275.233796296299</v>
      </c>
      <c r="B2073" s="5">
        <v>1</v>
      </c>
    </row>
    <row r="2074" spans="1:2" x14ac:dyDescent="0.35">
      <c r="A2074" s="14">
        <v>42275.240891203706</v>
      </c>
      <c r="B2074" s="5">
        <v>1</v>
      </c>
    </row>
    <row r="2075" spans="1:2" x14ac:dyDescent="0.35">
      <c r="A2075" s="14">
        <v>42275.246134259258</v>
      </c>
      <c r="B2075" s="5">
        <v>1</v>
      </c>
    </row>
    <row r="2076" spans="1:2" x14ac:dyDescent="0.35">
      <c r="A2076" s="14">
        <v>42275.575115740743</v>
      </c>
      <c r="B2076" s="5">
        <v>1</v>
      </c>
    </row>
    <row r="2077" spans="1:2" x14ac:dyDescent="0.35">
      <c r="A2077" s="14">
        <v>42275.586689814816</v>
      </c>
      <c r="B2077" s="5">
        <v>1</v>
      </c>
    </row>
    <row r="2078" spans="1:2" x14ac:dyDescent="0.35">
      <c r="A2078" s="14">
        <v>42275.592511574076</v>
      </c>
      <c r="B2078" s="5">
        <v>1</v>
      </c>
    </row>
    <row r="2079" spans="1:2" x14ac:dyDescent="0.35">
      <c r="A2079" s="14">
        <v>42275.626388888886</v>
      </c>
      <c r="B2079" s="5">
        <v>1</v>
      </c>
    </row>
    <row r="2080" spans="1:2" x14ac:dyDescent="0.35">
      <c r="A2080" s="14">
        <v>42275.644861111112</v>
      </c>
      <c r="B2080" s="5">
        <v>1</v>
      </c>
    </row>
    <row r="2081" spans="1:2" x14ac:dyDescent="0.35">
      <c r="A2081" s="14">
        <v>42275.652592592596</v>
      </c>
      <c r="B2081" s="5">
        <v>1</v>
      </c>
    </row>
    <row r="2082" spans="1:2" x14ac:dyDescent="0.35">
      <c r="A2082" s="14">
        <v>42275.6796875</v>
      </c>
      <c r="B2082" s="5">
        <v>1</v>
      </c>
    </row>
    <row r="2083" spans="1:2" x14ac:dyDescent="0.35">
      <c r="A2083" s="14">
        <v>42275.700104166666</v>
      </c>
      <c r="B2083" s="5">
        <v>1</v>
      </c>
    </row>
    <row r="2084" spans="1:2" x14ac:dyDescent="0.35">
      <c r="A2084" s="14">
        <v>42275.720763888887</v>
      </c>
      <c r="B2084" s="5">
        <v>1</v>
      </c>
    </row>
    <row r="2085" spans="1:2" x14ac:dyDescent="0.35">
      <c r="A2085" s="14">
        <v>42275.721226851849</v>
      </c>
      <c r="B2085" s="5">
        <v>2</v>
      </c>
    </row>
    <row r="2086" spans="1:2" x14ac:dyDescent="0.35">
      <c r="A2086" s="14">
        <v>42275.727326388886</v>
      </c>
      <c r="B2086" s="5">
        <v>1</v>
      </c>
    </row>
    <row r="2087" spans="1:2" x14ac:dyDescent="0.35">
      <c r="A2087" s="14">
        <v>42275.728356481479</v>
      </c>
      <c r="B2087" s="5">
        <v>1</v>
      </c>
    </row>
    <row r="2088" spans="1:2" x14ac:dyDescent="0.35">
      <c r="A2088" s="14">
        <v>42275.731851851851</v>
      </c>
      <c r="B2088" s="5">
        <v>1</v>
      </c>
    </row>
    <row r="2089" spans="1:2" x14ac:dyDescent="0.35">
      <c r="A2089" s="14">
        <v>42275.73578703704</v>
      </c>
      <c r="B2089" s="5">
        <v>1</v>
      </c>
    </row>
    <row r="2090" spans="1:2" x14ac:dyDescent="0.35">
      <c r="A2090" s="14">
        <v>42275.754594907405</v>
      </c>
      <c r="B2090" s="5">
        <v>1</v>
      </c>
    </row>
    <row r="2091" spans="1:2" x14ac:dyDescent="0.35">
      <c r="A2091" s="14">
        <v>42275.754710648151</v>
      </c>
      <c r="B2091" s="5">
        <v>2</v>
      </c>
    </row>
    <row r="2092" spans="1:2" x14ac:dyDescent="0.35">
      <c r="A2092" s="14">
        <v>42275.779143518521</v>
      </c>
      <c r="B2092" s="5">
        <v>1</v>
      </c>
    </row>
    <row r="2093" spans="1:2" x14ac:dyDescent="0.35">
      <c r="A2093" s="14">
        <v>42275.7812962963</v>
      </c>
      <c r="B2093" s="5">
        <v>1</v>
      </c>
    </row>
    <row r="2094" spans="1:2" x14ac:dyDescent="0.35">
      <c r="A2094" s="14">
        <v>42275.782511574071</v>
      </c>
      <c r="B2094" s="5">
        <v>1</v>
      </c>
    </row>
    <row r="2095" spans="1:2" x14ac:dyDescent="0.35">
      <c r="A2095" s="14">
        <v>42275.794953703706</v>
      </c>
      <c r="B2095" s="5">
        <v>1</v>
      </c>
    </row>
    <row r="2096" spans="1:2" x14ac:dyDescent="0.35">
      <c r="A2096" s="14">
        <v>42275.79546296296</v>
      </c>
      <c r="B2096" s="5">
        <v>1</v>
      </c>
    </row>
    <row r="2097" spans="1:2" x14ac:dyDescent="0.35">
      <c r="A2097" s="14">
        <v>42275.796782407408</v>
      </c>
      <c r="B2097" s="5">
        <v>1</v>
      </c>
    </row>
    <row r="2098" spans="1:2" x14ac:dyDescent="0.35">
      <c r="A2098" s="14">
        <v>42275.800358796296</v>
      </c>
      <c r="B2098" s="5">
        <v>1</v>
      </c>
    </row>
    <row r="2099" spans="1:2" x14ac:dyDescent="0.35">
      <c r="A2099" s="14">
        <v>42275.800949074073</v>
      </c>
      <c r="B2099" s="5">
        <v>1</v>
      </c>
    </row>
    <row r="2100" spans="1:2" x14ac:dyDescent="0.35">
      <c r="A2100" s="14">
        <v>42275.801099537035</v>
      </c>
      <c r="B2100" s="5">
        <v>2</v>
      </c>
    </row>
    <row r="2101" spans="1:2" x14ac:dyDescent="0.35">
      <c r="A2101" s="14">
        <v>42275.806064814817</v>
      </c>
      <c r="B2101" s="5">
        <v>1</v>
      </c>
    </row>
    <row r="2102" spans="1:2" x14ac:dyDescent="0.35">
      <c r="A2102" s="14">
        <v>42275.807395833333</v>
      </c>
      <c r="B2102" s="5">
        <v>1</v>
      </c>
    </row>
    <row r="2103" spans="1:2" x14ac:dyDescent="0.35">
      <c r="A2103" s="14">
        <v>42275.807719907411</v>
      </c>
      <c r="B2103" s="5">
        <v>1</v>
      </c>
    </row>
    <row r="2104" spans="1:2" x14ac:dyDescent="0.35">
      <c r="A2104" s="14">
        <v>42275.810069444444</v>
      </c>
      <c r="B2104" s="5">
        <v>1</v>
      </c>
    </row>
    <row r="2105" spans="1:2" x14ac:dyDescent="0.35">
      <c r="A2105" s="14">
        <v>42275.810196759259</v>
      </c>
      <c r="B2105" s="5">
        <v>2</v>
      </c>
    </row>
    <row r="2106" spans="1:2" x14ac:dyDescent="0.35">
      <c r="A2106" s="14">
        <v>42275.810208333336</v>
      </c>
      <c r="B2106" s="5">
        <v>1</v>
      </c>
    </row>
    <row r="2107" spans="1:2" x14ac:dyDescent="0.35">
      <c r="A2107" s="14">
        <v>42275.813530092593</v>
      </c>
      <c r="B2107" s="5">
        <v>1</v>
      </c>
    </row>
    <row r="2108" spans="1:2" x14ac:dyDescent="0.35">
      <c r="A2108" s="14">
        <v>42275.814155092594</v>
      </c>
      <c r="B2108" s="5">
        <v>1</v>
      </c>
    </row>
    <row r="2109" spans="1:2" x14ac:dyDescent="0.35">
      <c r="A2109" s="14">
        <v>42275.815706018519</v>
      </c>
      <c r="B2109" s="5">
        <v>1</v>
      </c>
    </row>
    <row r="2110" spans="1:2" x14ac:dyDescent="0.35">
      <c r="A2110" s="14">
        <v>42275.816840277781</v>
      </c>
      <c r="B2110" s="5">
        <v>1</v>
      </c>
    </row>
    <row r="2111" spans="1:2" x14ac:dyDescent="0.35">
      <c r="A2111" s="14">
        <v>42275.820833333331</v>
      </c>
      <c r="B2111" s="5">
        <v>1</v>
      </c>
    </row>
    <row r="2112" spans="1:2" x14ac:dyDescent="0.35">
      <c r="A2112" s="14">
        <v>42275.826516203706</v>
      </c>
      <c r="B2112" s="5">
        <v>1</v>
      </c>
    </row>
    <row r="2113" spans="1:2" x14ac:dyDescent="0.35">
      <c r="A2113" s="14">
        <v>42275.826851851853</v>
      </c>
      <c r="B2113" s="5">
        <v>2</v>
      </c>
    </row>
    <row r="2114" spans="1:2" x14ac:dyDescent="0.35">
      <c r="A2114" s="14">
        <v>42275.827881944446</v>
      </c>
      <c r="B2114" s="5">
        <v>1</v>
      </c>
    </row>
    <row r="2115" spans="1:2" x14ac:dyDescent="0.35">
      <c r="A2115" s="14">
        <v>42275.82885416667</v>
      </c>
      <c r="B2115" s="5">
        <v>1</v>
      </c>
    </row>
    <row r="2116" spans="1:2" x14ac:dyDescent="0.35">
      <c r="A2116" s="14">
        <v>42275.833587962959</v>
      </c>
      <c r="B2116" s="5">
        <v>1</v>
      </c>
    </row>
    <row r="2117" spans="1:2" x14ac:dyDescent="0.35">
      <c r="A2117" s="14">
        <v>42275.833831018521</v>
      </c>
      <c r="B2117" s="5">
        <v>1</v>
      </c>
    </row>
    <row r="2118" spans="1:2" x14ac:dyDescent="0.35">
      <c r="A2118" s="14">
        <v>42275.84851851852</v>
      </c>
      <c r="B2118" s="5">
        <v>1</v>
      </c>
    </row>
    <row r="2119" spans="1:2" x14ac:dyDescent="0.35">
      <c r="A2119" s="14">
        <v>42275.85423611111</v>
      </c>
      <c r="B2119" s="5">
        <v>1</v>
      </c>
    </row>
    <row r="2120" spans="1:2" x14ac:dyDescent="0.35">
      <c r="A2120" s="14">
        <v>42275.892604166664</v>
      </c>
      <c r="B2120" s="5">
        <v>1</v>
      </c>
    </row>
    <row r="2121" spans="1:2" x14ac:dyDescent="0.35">
      <c r="A2121" s="14">
        <v>42275.896643518521</v>
      </c>
      <c r="B2121" s="5">
        <v>1</v>
      </c>
    </row>
    <row r="2122" spans="1:2" x14ac:dyDescent="0.35">
      <c r="A2122" s="14">
        <v>42275.908634259256</v>
      </c>
      <c r="B2122" s="5">
        <v>1</v>
      </c>
    </row>
    <row r="2123" spans="1:2" x14ac:dyDescent="0.35">
      <c r="A2123" s="14">
        <v>42275.913229166668</v>
      </c>
      <c r="B2123" s="5">
        <v>1</v>
      </c>
    </row>
    <row r="2124" spans="1:2" x14ac:dyDescent="0.35">
      <c r="A2124" s="14">
        <v>42275.917372685188</v>
      </c>
      <c r="B2124" s="5">
        <v>1</v>
      </c>
    </row>
    <row r="2125" spans="1:2" x14ac:dyDescent="0.35">
      <c r="A2125" s="14">
        <v>42275.922164351854</v>
      </c>
      <c r="B2125" s="5">
        <v>1</v>
      </c>
    </row>
    <row r="2126" spans="1:2" x14ac:dyDescent="0.35">
      <c r="A2126" s="14">
        <v>42275.937337962961</v>
      </c>
      <c r="B2126" s="5">
        <v>1</v>
      </c>
    </row>
    <row r="2127" spans="1:2" x14ac:dyDescent="0.35">
      <c r="A2127" s="14">
        <v>42275.956192129626</v>
      </c>
      <c r="B2127" s="5">
        <v>1</v>
      </c>
    </row>
    <row r="2128" spans="1:2" x14ac:dyDescent="0.35">
      <c r="A2128" s="14">
        <v>42275.956435185188</v>
      </c>
      <c r="B2128" s="5">
        <v>2</v>
      </c>
    </row>
    <row r="2129" spans="1:2" x14ac:dyDescent="0.35">
      <c r="A2129" s="14">
        <v>42275.959687499999</v>
      </c>
      <c r="B2129" s="5">
        <v>1</v>
      </c>
    </row>
    <row r="2130" spans="1:2" x14ac:dyDescent="0.35">
      <c r="A2130" s="14">
        <v>42275.960636574076</v>
      </c>
      <c r="B2130" s="5">
        <v>1</v>
      </c>
    </row>
    <row r="2131" spans="1:2" x14ac:dyDescent="0.35">
      <c r="A2131" s="14">
        <v>42275.986990740741</v>
      </c>
      <c r="B2131" s="5">
        <v>1</v>
      </c>
    </row>
    <row r="2132" spans="1:2" x14ac:dyDescent="0.35">
      <c r="A2132" s="14">
        <v>42275.995706018519</v>
      </c>
      <c r="B2132" s="5">
        <v>1</v>
      </c>
    </row>
    <row r="2133" spans="1:2" x14ac:dyDescent="0.35">
      <c r="A2133" s="14">
        <v>42276.000856481478</v>
      </c>
      <c r="B2133" s="5">
        <v>1</v>
      </c>
    </row>
    <row r="2134" spans="1:2" x14ac:dyDescent="0.35">
      <c r="A2134" s="14">
        <v>42276.002951388888</v>
      </c>
      <c r="B2134" s="5">
        <v>1</v>
      </c>
    </row>
    <row r="2135" spans="1:2" x14ac:dyDescent="0.35">
      <c r="A2135" s="14">
        <v>42276.008611111109</v>
      </c>
      <c r="B2135" s="5">
        <v>1</v>
      </c>
    </row>
    <row r="2136" spans="1:2" x14ac:dyDescent="0.35">
      <c r="A2136" s="14">
        <v>42276.009027777778</v>
      </c>
      <c r="B2136" s="5">
        <v>1</v>
      </c>
    </row>
    <row r="2137" spans="1:2" x14ac:dyDescent="0.35">
      <c r="A2137" s="14">
        <v>42276.02071759259</v>
      </c>
      <c r="B2137" s="5">
        <v>1</v>
      </c>
    </row>
    <row r="2138" spans="1:2" x14ac:dyDescent="0.35">
      <c r="A2138" s="14">
        <v>42276.036134259259</v>
      </c>
      <c r="B2138" s="5">
        <v>1</v>
      </c>
    </row>
    <row r="2139" spans="1:2" x14ac:dyDescent="0.35">
      <c r="A2139" s="14">
        <v>42276.04146990741</v>
      </c>
      <c r="B2139" s="5">
        <v>1</v>
      </c>
    </row>
    <row r="2140" spans="1:2" x14ac:dyDescent="0.35">
      <c r="A2140" s="14">
        <v>42276.057141203702</v>
      </c>
      <c r="B2140" s="5">
        <v>1</v>
      </c>
    </row>
    <row r="2141" spans="1:2" x14ac:dyDescent="0.35">
      <c r="A2141" s="14">
        <v>42276.06454861111</v>
      </c>
      <c r="B2141" s="5">
        <v>1</v>
      </c>
    </row>
    <row r="2142" spans="1:2" x14ac:dyDescent="0.35">
      <c r="A2142" s="14">
        <v>42276.078506944446</v>
      </c>
      <c r="B2142" s="5">
        <v>1</v>
      </c>
    </row>
    <row r="2143" spans="1:2" x14ac:dyDescent="0.35">
      <c r="A2143" s="14">
        <v>42276.143958333334</v>
      </c>
      <c r="B2143" s="5">
        <v>1</v>
      </c>
    </row>
    <row r="2144" spans="1:2" x14ac:dyDescent="0.35">
      <c r="A2144" s="14">
        <v>42276.146655092591</v>
      </c>
      <c r="B2144" s="5">
        <v>1</v>
      </c>
    </row>
    <row r="2145" spans="1:2" x14ac:dyDescent="0.35">
      <c r="A2145" s="14">
        <v>42276.19321759259</v>
      </c>
      <c r="B2145" s="5">
        <v>1</v>
      </c>
    </row>
    <row r="2146" spans="1:2" x14ac:dyDescent="0.35">
      <c r="A2146" s="14">
        <v>42276.241087962961</v>
      </c>
      <c r="B2146" s="5">
        <v>1</v>
      </c>
    </row>
    <row r="2147" spans="1:2" x14ac:dyDescent="0.35">
      <c r="A2147" s="14">
        <v>42276.312002314815</v>
      </c>
      <c r="B2147" s="5">
        <v>1</v>
      </c>
    </row>
    <row r="2148" spans="1:2" x14ac:dyDescent="0.35">
      <c r="A2148" s="14">
        <v>42276.466284722221</v>
      </c>
      <c r="B2148" s="5">
        <v>1</v>
      </c>
    </row>
    <row r="2149" spans="1:2" x14ac:dyDescent="0.35">
      <c r="A2149" s="14">
        <v>42276.545925925922</v>
      </c>
      <c r="B2149" s="5">
        <v>1</v>
      </c>
    </row>
    <row r="2150" spans="1:2" x14ac:dyDescent="0.35">
      <c r="A2150" s="14">
        <v>42276.553819444445</v>
      </c>
      <c r="B2150" s="5">
        <v>1</v>
      </c>
    </row>
    <row r="2151" spans="1:2" x14ac:dyDescent="0.35">
      <c r="A2151" s="14">
        <v>42276.566064814811</v>
      </c>
      <c r="B2151" s="5">
        <v>1</v>
      </c>
    </row>
    <row r="2152" spans="1:2" x14ac:dyDescent="0.35">
      <c r="A2152" s="14">
        <v>42276.566087962965</v>
      </c>
      <c r="B2152" s="5">
        <v>1</v>
      </c>
    </row>
    <row r="2153" spans="1:2" x14ac:dyDescent="0.35">
      <c r="A2153" s="14">
        <v>42276.568773148145</v>
      </c>
      <c r="B2153" s="5">
        <v>1</v>
      </c>
    </row>
    <row r="2154" spans="1:2" x14ac:dyDescent="0.35">
      <c r="A2154" s="14">
        <v>42276.577291666668</v>
      </c>
      <c r="B2154" s="5">
        <v>1</v>
      </c>
    </row>
    <row r="2155" spans="1:2" x14ac:dyDescent="0.35">
      <c r="A2155" s="14">
        <v>42276.577476851853</v>
      </c>
      <c r="B2155" s="5">
        <v>2</v>
      </c>
    </row>
    <row r="2156" spans="1:2" x14ac:dyDescent="0.35">
      <c r="A2156" s="14">
        <v>42276.582986111112</v>
      </c>
      <c r="B2156" s="5">
        <v>1</v>
      </c>
    </row>
    <row r="2157" spans="1:2" x14ac:dyDescent="0.35">
      <c r="A2157" s="14">
        <v>42276.585324074076</v>
      </c>
      <c r="B2157" s="5">
        <v>1</v>
      </c>
    </row>
    <row r="2158" spans="1:2" x14ac:dyDescent="0.35">
      <c r="A2158" s="14">
        <v>42276.585625</v>
      </c>
      <c r="B2158" s="5">
        <v>1</v>
      </c>
    </row>
    <row r="2159" spans="1:2" x14ac:dyDescent="0.35">
      <c r="A2159" s="14">
        <v>42276.597037037034</v>
      </c>
      <c r="B2159" s="5">
        <v>1</v>
      </c>
    </row>
    <row r="2160" spans="1:2" x14ac:dyDescent="0.35">
      <c r="A2160" s="14">
        <v>42276.60800925926</v>
      </c>
      <c r="B2160" s="5">
        <v>1</v>
      </c>
    </row>
    <row r="2161" spans="1:2" x14ac:dyDescent="0.35">
      <c r="A2161" s="14">
        <v>42276.612627314818</v>
      </c>
      <c r="B2161" s="5">
        <v>1</v>
      </c>
    </row>
    <row r="2162" spans="1:2" x14ac:dyDescent="0.35">
      <c r="A2162" s="14">
        <v>42276.619305555556</v>
      </c>
      <c r="B2162" s="5">
        <v>1</v>
      </c>
    </row>
    <row r="2163" spans="1:2" x14ac:dyDescent="0.35">
      <c r="A2163" s="14">
        <v>42276.61954861111</v>
      </c>
      <c r="B2163" s="5">
        <v>2</v>
      </c>
    </row>
    <row r="2164" spans="1:2" x14ac:dyDescent="0.35">
      <c r="A2164" s="14">
        <v>42276.625347222223</v>
      </c>
      <c r="B2164" s="5">
        <v>1</v>
      </c>
    </row>
    <row r="2165" spans="1:2" x14ac:dyDescent="0.35">
      <c r="A2165" s="14">
        <v>42276.625486111108</v>
      </c>
      <c r="B2165" s="5">
        <v>1</v>
      </c>
    </row>
    <row r="2166" spans="1:2" x14ac:dyDescent="0.35">
      <c r="A2166" s="14">
        <v>42276.626354166663</v>
      </c>
      <c r="B2166" s="5">
        <v>1</v>
      </c>
    </row>
    <row r="2167" spans="1:2" x14ac:dyDescent="0.35">
      <c r="A2167" s="14">
        <v>42276.626608796294</v>
      </c>
      <c r="B2167" s="5">
        <v>1</v>
      </c>
    </row>
    <row r="2168" spans="1:2" x14ac:dyDescent="0.35">
      <c r="A2168" s="14">
        <v>42276.6328587963</v>
      </c>
      <c r="B2168" s="5">
        <v>1</v>
      </c>
    </row>
    <row r="2169" spans="1:2" x14ac:dyDescent="0.35">
      <c r="A2169" s="14">
        <v>42276.632962962962</v>
      </c>
      <c r="B2169" s="5">
        <v>2</v>
      </c>
    </row>
    <row r="2170" spans="1:2" x14ac:dyDescent="0.35">
      <c r="A2170" s="14">
        <v>42276.633437500001</v>
      </c>
      <c r="B2170" s="5">
        <v>1</v>
      </c>
    </row>
    <row r="2171" spans="1:2" x14ac:dyDescent="0.35">
      <c r="A2171" s="14">
        <v>42276.633518518516</v>
      </c>
      <c r="B2171" s="5">
        <v>1</v>
      </c>
    </row>
    <row r="2172" spans="1:2" x14ac:dyDescent="0.35">
      <c r="A2172" s="14">
        <v>42276.642534722225</v>
      </c>
      <c r="B2172" s="5">
        <v>2</v>
      </c>
    </row>
    <row r="2173" spans="1:2" x14ac:dyDescent="0.35">
      <c r="A2173" s="14">
        <v>42276.644988425927</v>
      </c>
      <c r="B2173" s="5">
        <v>1</v>
      </c>
    </row>
    <row r="2174" spans="1:2" x14ac:dyDescent="0.35">
      <c r="A2174" s="14">
        <v>42276.656921296293</v>
      </c>
      <c r="B2174" s="5">
        <v>1</v>
      </c>
    </row>
    <row r="2175" spans="1:2" x14ac:dyDescent="0.35">
      <c r="A2175" s="14">
        <v>42276.661469907405</v>
      </c>
      <c r="B2175" s="5">
        <v>1</v>
      </c>
    </row>
    <row r="2176" spans="1:2" x14ac:dyDescent="0.35">
      <c r="A2176" s="14">
        <v>42276.662615740737</v>
      </c>
      <c r="B2176" s="5">
        <v>1</v>
      </c>
    </row>
    <row r="2177" spans="1:2" x14ac:dyDescent="0.35">
      <c r="A2177" s="14">
        <v>42276.664456018516</v>
      </c>
      <c r="B2177" s="5">
        <v>1</v>
      </c>
    </row>
    <row r="2178" spans="1:2" x14ac:dyDescent="0.35">
      <c r="A2178" s="14">
        <v>42276.665023148147</v>
      </c>
      <c r="B2178" s="5">
        <v>1</v>
      </c>
    </row>
    <row r="2179" spans="1:2" x14ac:dyDescent="0.35">
      <c r="A2179" s="14">
        <v>42276.667222222219</v>
      </c>
      <c r="B2179" s="5">
        <v>1</v>
      </c>
    </row>
    <row r="2180" spans="1:2" x14ac:dyDescent="0.35">
      <c r="A2180" s="14">
        <v>42276.671863425923</v>
      </c>
      <c r="B2180" s="5">
        <v>1</v>
      </c>
    </row>
    <row r="2181" spans="1:2" x14ac:dyDescent="0.35">
      <c r="A2181" s="14">
        <v>42276.67527777778</v>
      </c>
      <c r="B2181" s="5">
        <v>1</v>
      </c>
    </row>
    <row r="2182" spans="1:2" x14ac:dyDescent="0.35">
      <c r="A2182" s="14">
        <v>42276.677974537037</v>
      </c>
      <c r="B2182" s="5">
        <v>1</v>
      </c>
    </row>
    <row r="2183" spans="1:2" x14ac:dyDescent="0.35">
      <c r="A2183" s="14">
        <v>42276.678252314814</v>
      </c>
      <c r="B2183" s="5">
        <v>1</v>
      </c>
    </row>
    <row r="2184" spans="1:2" x14ac:dyDescent="0.35">
      <c r="A2184" s="14">
        <v>42276.687951388885</v>
      </c>
      <c r="B2184" s="5">
        <v>1</v>
      </c>
    </row>
    <row r="2185" spans="1:2" x14ac:dyDescent="0.35">
      <c r="A2185" s="14">
        <v>42276.6953125</v>
      </c>
      <c r="B2185" s="5">
        <v>1</v>
      </c>
    </row>
    <row r="2186" spans="1:2" x14ac:dyDescent="0.35">
      <c r="A2186" s="14">
        <v>42276.696655092594</v>
      </c>
      <c r="B2186" s="5">
        <v>1</v>
      </c>
    </row>
    <row r="2187" spans="1:2" x14ac:dyDescent="0.35">
      <c r="A2187" s="14">
        <v>42276.696921296294</v>
      </c>
      <c r="B2187" s="5">
        <v>1</v>
      </c>
    </row>
    <row r="2188" spans="1:2" x14ac:dyDescent="0.35">
      <c r="A2188" s="14">
        <v>42276.698171296295</v>
      </c>
      <c r="B2188" s="5">
        <v>1</v>
      </c>
    </row>
    <row r="2189" spans="1:2" x14ac:dyDescent="0.35">
      <c r="A2189" s="14">
        <v>42276.698425925926</v>
      </c>
      <c r="B2189" s="5">
        <v>1</v>
      </c>
    </row>
    <row r="2190" spans="1:2" x14ac:dyDescent="0.35">
      <c r="A2190" s="14">
        <v>42276.699317129627</v>
      </c>
      <c r="B2190" s="5">
        <v>1</v>
      </c>
    </row>
    <row r="2191" spans="1:2" x14ac:dyDescent="0.35">
      <c r="A2191" s="14">
        <v>42276.699629629627</v>
      </c>
      <c r="B2191" s="5">
        <v>1</v>
      </c>
    </row>
    <row r="2192" spans="1:2" x14ac:dyDescent="0.35">
      <c r="A2192" s="14">
        <v>42276.700659722221</v>
      </c>
      <c r="B2192" s="5">
        <v>1</v>
      </c>
    </row>
    <row r="2193" spans="1:2" x14ac:dyDescent="0.35">
      <c r="A2193" s="14">
        <v>42276.703657407408</v>
      </c>
      <c r="B2193" s="5">
        <v>1</v>
      </c>
    </row>
    <row r="2194" spans="1:2" x14ac:dyDescent="0.35">
      <c r="A2194" s="14">
        <v>42276.70416666667</v>
      </c>
      <c r="B2194" s="5">
        <v>1</v>
      </c>
    </row>
    <row r="2195" spans="1:2" x14ac:dyDescent="0.35">
      <c r="A2195" s="14">
        <v>42276.704259259262</v>
      </c>
      <c r="B2195" s="5">
        <v>1</v>
      </c>
    </row>
    <row r="2196" spans="1:2" x14ac:dyDescent="0.35">
      <c r="A2196" s="14">
        <v>42276.706782407404</v>
      </c>
      <c r="B2196" s="5">
        <v>1</v>
      </c>
    </row>
    <row r="2197" spans="1:2" x14ac:dyDescent="0.35">
      <c r="A2197" s="14">
        <v>42276.707939814813</v>
      </c>
      <c r="B2197" s="5">
        <v>1</v>
      </c>
    </row>
    <row r="2198" spans="1:2" x14ac:dyDescent="0.35">
      <c r="A2198" s="14">
        <v>42276.727870370371</v>
      </c>
      <c r="B2198" s="5">
        <v>1</v>
      </c>
    </row>
    <row r="2199" spans="1:2" x14ac:dyDescent="0.35">
      <c r="A2199" s="14">
        <v>42276.734548611108</v>
      </c>
      <c r="B2199" s="5">
        <v>1</v>
      </c>
    </row>
    <row r="2200" spans="1:2" x14ac:dyDescent="0.35">
      <c r="A2200" s="14">
        <v>42276.782083333332</v>
      </c>
      <c r="B2200" s="5">
        <v>1</v>
      </c>
    </row>
    <row r="2201" spans="1:2" x14ac:dyDescent="0.35">
      <c r="A2201" s="14">
        <v>42276.826342592591</v>
      </c>
      <c r="B2201" s="5">
        <v>1</v>
      </c>
    </row>
    <row r="2202" spans="1:2" x14ac:dyDescent="0.35">
      <c r="A2202" s="14">
        <v>42276.827777777777</v>
      </c>
      <c r="B2202" s="5">
        <v>1</v>
      </c>
    </row>
    <row r="2203" spans="1:2" x14ac:dyDescent="0.35">
      <c r="A2203" s="14">
        <v>42276.834988425922</v>
      </c>
      <c r="B2203" s="5">
        <v>1</v>
      </c>
    </row>
    <row r="2204" spans="1:2" x14ac:dyDescent="0.35">
      <c r="A2204" s="14">
        <v>42276.835173611114</v>
      </c>
      <c r="B2204" s="5">
        <v>1</v>
      </c>
    </row>
    <row r="2205" spans="1:2" x14ac:dyDescent="0.35">
      <c r="A2205" s="14">
        <v>42276.839282407411</v>
      </c>
      <c r="B2205" s="5">
        <v>1</v>
      </c>
    </row>
    <row r="2206" spans="1:2" x14ac:dyDescent="0.35">
      <c r="A2206" s="14">
        <v>42276.839432870373</v>
      </c>
      <c r="B2206" s="5">
        <v>1</v>
      </c>
    </row>
    <row r="2207" spans="1:2" x14ac:dyDescent="0.35">
      <c r="A2207" s="14">
        <v>42276.840960648151</v>
      </c>
      <c r="B2207" s="5">
        <v>1</v>
      </c>
    </row>
    <row r="2208" spans="1:2" x14ac:dyDescent="0.35">
      <c r="A2208" s="14">
        <v>42276.841006944444</v>
      </c>
      <c r="B2208" s="5">
        <v>1</v>
      </c>
    </row>
    <row r="2209" spans="1:2" x14ac:dyDescent="0.35">
      <c r="A2209" s="14">
        <v>42276.841180555559</v>
      </c>
      <c r="B2209" s="5">
        <v>1</v>
      </c>
    </row>
    <row r="2210" spans="1:2" x14ac:dyDescent="0.35">
      <c r="A2210" s="14">
        <v>42276.841493055559</v>
      </c>
      <c r="B2210" s="5">
        <v>1</v>
      </c>
    </row>
    <row r="2211" spans="1:2" x14ac:dyDescent="0.35">
      <c r="A2211" s="14">
        <v>42276.844421296293</v>
      </c>
      <c r="B2211" s="5">
        <v>1</v>
      </c>
    </row>
    <row r="2212" spans="1:2" x14ac:dyDescent="0.35">
      <c r="A2212" s="14">
        <v>42276.84547453704</v>
      </c>
      <c r="B2212" s="5">
        <v>1</v>
      </c>
    </row>
    <row r="2213" spans="1:2" x14ac:dyDescent="0.35">
      <c r="A2213" s="14">
        <v>42276.849085648151</v>
      </c>
      <c r="B2213" s="5">
        <v>1</v>
      </c>
    </row>
    <row r="2214" spans="1:2" x14ac:dyDescent="0.35">
      <c r="A2214" s="14">
        <v>42276.853796296295</v>
      </c>
      <c r="B2214" s="5">
        <v>1</v>
      </c>
    </row>
    <row r="2215" spans="1:2" x14ac:dyDescent="0.35">
      <c r="A2215" s="14">
        <v>42276.855706018519</v>
      </c>
      <c r="B2215" s="5">
        <v>1</v>
      </c>
    </row>
    <row r="2216" spans="1:2" x14ac:dyDescent="0.35">
      <c r="A2216" s="14">
        <v>42276.871828703705</v>
      </c>
      <c r="B2216" s="5">
        <v>1</v>
      </c>
    </row>
    <row r="2217" spans="1:2" x14ac:dyDescent="0.35">
      <c r="A2217" s="14">
        <v>42276.905821759261</v>
      </c>
      <c r="B2217" s="5">
        <v>1</v>
      </c>
    </row>
    <row r="2218" spans="1:2" x14ac:dyDescent="0.35">
      <c r="A2218" s="14">
        <v>42276.907314814816</v>
      </c>
      <c r="B2218" s="5">
        <v>1</v>
      </c>
    </row>
    <row r="2219" spans="1:2" x14ac:dyDescent="0.35">
      <c r="A2219" s="14">
        <v>42276.910300925927</v>
      </c>
      <c r="B2219" s="5">
        <v>1</v>
      </c>
    </row>
    <row r="2220" spans="1:2" x14ac:dyDescent="0.35">
      <c r="A2220" s="14">
        <v>42276.939803240741</v>
      </c>
      <c r="B2220" s="5">
        <v>1</v>
      </c>
    </row>
    <row r="2221" spans="1:2" x14ac:dyDescent="0.35">
      <c r="A2221" s="14">
        <v>42276.943726851852</v>
      </c>
      <c r="B2221" s="5">
        <v>1</v>
      </c>
    </row>
    <row r="2222" spans="1:2" x14ac:dyDescent="0.35">
      <c r="A2222" s="14">
        <v>42277.001388888886</v>
      </c>
      <c r="B2222" s="5">
        <v>1</v>
      </c>
    </row>
    <row r="2223" spans="1:2" x14ac:dyDescent="0.35">
      <c r="A2223" s="14">
        <v>42277.017442129632</v>
      </c>
      <c r="B2223" s="5">
        <v>1</v>
      </c>
    </row>
    <row r="2224" spans="1:2" x14ac:dyDescent="0.35">
      <c r="A2224" s="14">
        <v>42277.017453703702</v>
      </c>
      <c r="B2224" s="5">
        <v>1</v>
      </c>
    </row>
    <row r="2225" spans="1:2" x14ac:dyDescent="0.35">
      <c r="A2225" s="14">
        <v>42277.033275462964</v>
      </c>
      <c r="B2225" s="5">
        <v>1</v>
      </c>
    </row>
    <row r="2226" spans="1:2" x14ac:dyDescent="0.35">
      <c r="A2226" s="14">
        <v>42277.03329861111</v>
      </c>
      <c r="B2226" s="5">
        <v>1</v>
      </c>
    </row>
    <row r="2227" spans="1:2" x14ac:dyDescent="0.35">
      <c r="A2227" s="14">
        <v>42277.056504629632</v>
      </c>
      <c r="B2227" s="5">
        <v>1</v>
      </c>
    </row>
    <row r="2228" spans="1:2" x14ac:dyDescent="0.35">
      <c r="A2228" s="14">
        <v>42277.058506944442</v>
      </c>
      <c r="B2228" s="5">
        <v>1</v>
      </c>
    </row>
    <row r="2229" spans="1:2" x14ac:dyDescent="0.35">
      <c r="A2229" s="14">
        <v>42277.065567129626</v>
      </c>
      <c r="B2229" s="5">
        <v>1</v>
      </c>
    </row>
    <row r="2230" spans="1:2" x14ac:dyDescent="0.35">
      <c r="A2230" s="14">
        <v>42277.127083333333</v>
      </c>
      <c r="B2230" s="5">
        <v>1</v>
      </c>
    </row>
    <row r="2231" spans="1:2" x14ac:dyDescent="0.35">
      <c r="A2231" s="14">
        <v>42277.134791666664</v>
      </c>
      <c r="B2231" s="5">
        <v>1</v>
      </c>
    </row>
    <row r="2232" spans="1:2" x14ac:dyDescent="0.35">
      <c r="A2232" s="14">
        <v>42277.135289351849</v>
      </c>
      <c r="B2232" s="5">
        <v>2</v>
      </c>
    </row>
    <row r="2233" spans="1:2" x14ac:dyDescent="0.35">
      <c r="A2233" s="14">
        <v>42277.13559027778</v>
      </c>
      <c r="B2233" s="5">
        <v>1</v>
      </c>
    </row>
    <row r="2234" spans="1:2" x14ac:dyDescent="0.35">
      <c r="A2234" s="14">
        <v>42277.135821759257</v>
      </c>
      <c r="B2234" s="5">
        <v>1</v>
      </c>
    </row>
    <row r="2235" spans="1:2" x14ac:dyDescent="0.35">
      <c r="A2235" s="14">
        <v>42277.137152777781</v>
      </c>
      <c r="B2235" s="5">
        <v>1</v>
      </c>
    </row>
    <row r="2236" spans="1:2" x14ac:dyDescent="0.35">
      <c r="A2236" s="14">
        <v>42277.138182870367</v>
      </c>
      <c r="B2236" s="5">
        <v>1</v>
      </c>
    </row>
    <row r="2237" spans="1:2" x14ac:dyDescent="0.35">
      <c r="A2237" s="14">
        <v>42277.140960648147</v>
      </c>
      <c r="B2237" s="5">
        <v>1</v>
      </c>
    </row>
    <row r="2238" spans="1:2" x14ac:dyDescent="0.35">
      <c r="A2238" s="14">
        <v>42277.154953703706</v>
      </c>
      <c r="B2238" s="5">
        <v>1</v>
      </c>
    </row>
    <row r="2239" spans="1:2" x14ac:dyDescent="0.35">
      <c r="A2239" s="14">
        <v>42277.155416666668</v>
      </c>
      <c r="B2239" s="5">
        <v>1</v>
      </c>
    </row>
    <row r="2240" spans="1:2" x14ac:dyDescent="0.35">
      <c r="A2240" s="14">
        <v>42277.166666666664</v>
      </c>
      <c r="B2240" s="5">
        <v>1</v>
      </c>
    </row>
    <row r="2241" spans="1:2" x14ac:dyDescent="0.35">
      <c r="A2241" s="14">
        <v>42277.199872685182</v>
      </c>
      <c r="B2241" s="5">
        <v>1</v>
      </c>
    </row>
    <row r="2242" spans="1:2" x14ac:dyDescent="0.35">
      <c r="A2242" s="14">
        <v>42277.203668981485</v>
      </c>
      <c r="B2242" s="5">
        <v>1</v>
      </c>
    </row>
    <row r="2243" spans="1:2" x14ac:dyDescent="0.35">
      <c r="A2243" s="14">
        <v>42277.203680555554</v>
      </c>
      <c r="B2243" s="5">
        <v>1</v>
      </c>
    </row>
    <row r="2244" spans="1:2" x14ac:dyDescent="0.35">
      <c r="A2244" s="14">
        <v>42277.210428240738</v>
      </c>
      <c r="B2244" s="5">
        <v>1</v>
      </c>
    </row>
    <row r="2245" spans="1:2" x14ac:dyDescent="0.35">
      <c r="A2245" s="14">
        <v>42277.221562500003</v>
      </c>
      <c r="B2245" s="5">
        <v>1</v>
      </c>
    </row>
    <row r="2246" spans="1:2" x14ac:dyDescent="0.35">
      <c r="A2246" s="14">
        <v>42277.467372685183</v>
      </c>
      <c r="B2246" s="5">
        <v>1</v>
      </c>
    </row>
    <row r="2247" spans="1:2" x14ac:dyDescent="0.35">
      <c r="A2247" s="14">
        <v>42277.474999999999</v>
      </c>
      <c r="B2247" s="5">
        <v>1</v>
      </c>
    </row>
    <row r="2248" spans="1:2" x14ac:dyDescent="0.35">
      <c r="A2248" s="14">
        <v>42277.48541666667</v>
      </c>
      <c r="B2248" s="5">
        <v>1</v>
      </c>
    </row>
    <row r="2249" spans="1:2" x14ac:dyDescent="0.35">
      <c r="A2249" s="14">
        <v>42277.534108796295</v>
      </c>
      <c r="B2249" s="5">
        <v>1</v>
      </c>
    </row>
    <row r="2250" spans="1:2" x14ac:dyDescent="0.35">
      <c r="A2250" s="14">
        <v>42277.534571759257</v>
      </c>
      <c r="B2250" s="5">
        <v>2</v>
      </c>
    </row>
    <row r="2251" spans="1:2" x14ac:dyDescent="0.35">
      <c r="A2251" s="14">
        <v>42277.535115740742</v>
      </c>
      <c r="B2251" s="5">
        <v>1</v>
      </c>
    </row>
    <row r="2252" spans="1:2" x14ac:dyDescent="0.35">
      <c r="A2252" s="14">
        <v>42277.53528935185</v>
      </c>
      <c r="B2252" s="5">
        <v>1</v>
      </c>
    </row>
    <row r="2253" spans="1:2" x14ac:dyDescent="0.35">
      <c r="A2253" s="14">
        <v>42277.535300925927</v>
      </c>
      <c r="B2253" s="5">
        <v>1</v>
      </c>
    </row>
    <row r="2254" spans="1:2" x14ac:dyDescent="0.35">
      <c r="A2254" s="14">
        <v>42277.535590277781</v>
      </c>
      <c r="B2254" s="5">
        <v>1</v>
      </c>
    </row>
    <row r="2255" spans="1:2" x14ac:dyDescent="0.35">
      <c r="A2255" s="14">
        <v>42277.543229166666</v>
      </c>
      <c r="B2255" s="5">
        <v>1</v>
      </c>
    </row>
    <row r="2256" spans="1:2" x14ac:dyDescent="0.35">
      <c r="A2256" s="14">
        <v>42277.555451388886</v>
      </c>
      <c r="B2256" s="5">
        <v>1</v>
      </c>
    </row>
    <row r="2257" spans="1:2" x14ac:dyDescent="0.35">
      <c r="A2257" s="14">
        <v>42277.55667824074</v>
      </c>
      <c r="B2257" s="5">
        <v>2</v>
      </c>
    </row>
    <row r="2258" spans="1:2" x14ac:dyDescent="0.35">
      <c r="A2258" s="14">
        <v>42277.575208333335</v>
      </c>
      <c r="B2258" s="5">
        <v>1</v>
      </c>
    </row>
    <row r="2259" spans="1:2" x14ac:dyDescent="0.35">
      <c r="A2259" s="14">
        <v>42277.575520833336</v>
      </c>
      <c r="B2259" s="5">
        <v>2</v>
      </c>
    </row>
    <row r="2260" spans="1:2" x14ac:dyDescent="0.35">
      <c r="A2260" s="14">
        <v>42277.576793981483</v>
      </c>
      <c r="B2260" s="5">
        <v>1</v>
      </c>
    </row>
    <row r="2261" spans="1:2" x14ac:dyDescent="0.35">
      <c r="A2261" s="14">
        <v>42277.577013888891</v>
      </c>
      <c r="B2261" s="5">
        <v>1</v>
      </c>
    </row>
    <row r="2262" spans="1:2" x14ac:dyDescent="0.35">
      <c r="A2262" s="14">
        <v>42277.578622685185</v>
      </c>
      <c r="B2262" s="5">
        <v>1</v>
      </c>
    </row>
    <row r="2263" spans="1:2" x14ac:dyDescent="0.35">
      <c r="A2263" s="14">
        <v>42277.57880787037</v>
      </c>
      <c r="B2263" s="5">
        <v>1</v>
      </c>
    </row>
    <row r="2264" spans="1:2" x14ac:dyDescent="0.35">
      <c r="A2264" s="14">
        <v>42277.57885416667</v>
      </c>
      <c r="B2264" s="5">
        <v>1</v>
      </c>
    </row>
    <row r="2265" spans="1:2" x14ac:dyDescent="0.35">
      <c r="A2265" s="14">
        <v>42277.579907407409</v>
      </c>
      <c r="B2265" s="5">
        <v>2</v>
      </c>
    </row>
    <row r="2266" spans="1:2" x14ac:dyDescent="0.35">
      <c r="A2266" s="14">
        <v>42277.582013888888</v>
      </c>
      <c r="B2266" s="5">
        <v>1</v>
      </c>
    </row>
    <row r="2267" spans="1:2" x14ac:dyDescent="0.35">
      <c r="A2267" s="14">
        <v>42277.601736111108</v>
      </c>
      <c r="B2267" s="5">
        <v>2</v>
      </c>
    </row>
    <row r="2268" spans="1:2" x14ac:dyDescent="0.35">
      <c r="A2268" s="14">
        <v>42277.624421296299</v>
      </c>
      <c r="B2268" s="5">
        <v>1</v>
      </c>
    </row>
    <row r="2269" spans="1:2" x14ac:dyDescent="0.35">
      <c r="A2269" s="14">
        <v>42277.632118055553</v>
      </c>
      <c r="B2269" s="5">
        <v>1</v>
      </c>
    </row>
    <row r="2270" spans="1:2" x14ac:dyDescent="0.35">
      <c r="A2270" s="14">
        <v>42277.63422453704</v>
      </c>
      <c r="B2270" s="5">
        <v>1</v>
      </c>
    </row>
    <row r="2271" spans="1:2" x14ac:dyDescent="0.35">
      <c r="A2271" s="14">
        <v>42277.651828703703</v>
      </c>
      <c r="B2271" s="5">
        <v>1</v>
      </c>
    </row>
    <row r="2272" spans="1:2" x14ac:dyDescent="0.35">
      <c r="A2272" s="14">
        <v>42277.662928240738</v>
      </c>
      <c r="B2272" s="5">
        <v>1</v>
      </c>
    </row>
    <row r="2273" spans="1:2" x14ac:dyDescent="0.35">
      <c r="A2273" s="14">
        <v>42277.666562500002</v>
      </c>
      <c r="B2273" s="5">
        <v>1</v>
      </c>
    </row>
    <row r="2274" spans="1:2" x14ac:dyDescent="0.35">
      <c r="A2274" s="14">
        <v>42277.66678240741</v>
      </c>
      <c r="B2274" s="5">
        <v>1</v>
      </c>
    </row>
    <row r="2275" spans="1:2" x14ac:dyDescent="0.35">
      <c r="A2275" s="14">
        <v>42277.682025462964</v>
      </c>
      <c r="B2275" s="5">
        <v>1</v>
      </c>
    </row>
    <row r="2276" spans="1:2" x14ac:dyDescent="0.35">
      <c r="A2276" s="14">
        <v>42277.68246527778</v>
      </c>
      <c r="B2276" s="5">
        <v>1</v>
      </c>
    </row>
    <row r="2277" spans="1:2" x14ac:dyDescent="0.35">
      <c r="A2277" s="14">
        <v>42277.688831018517</v>
      </c>
      <c r="B2277" s="5">
        <v>1</v>
      </c>
    </row>
    <row r="2278" spans="1:2" x14ac:dyDescent="0.35">
      <c r="A2278" s="14">
        <v>42277.696793981479</v>
      </c>
      <c r="B2278" s="5">
        <v>1</v>
      </c>
    </row>
    <row r="2279" spans="1:2" x14ac:dyDescent="0.35">
      <c r="A2279" s="14">
        <v>42277.722881944443</v>
      </c>
      <c r="B2279" s="5">
        <v>1</v>
      </c>
    </row>
    <row r="2280" spans="1:2" x14ac:dyDescent="0.35">
      <c r="A2280" s="14">
        <v>42277.750625000001</v>
      </c>
      <c r="B2280" s="5">
        <v>1</v>
      </c>
    </row>
    <row r="2281" spans="1:2" x14ac:dyDescent="0.35">
      <c r="A2281" s="14">
        <v>42277.794999999998</v>
      </c>
      <c r="B2281" s="5">
        <v>1</v>
      </c>
    </row>
    <row r="2282" spans="1:2" x14ac:dyDescent="0.35">
      <c r="A2282" s="14">
        <v>42277.798229166663</v>
      </c>
      <c r="B2282" s="5">
        <v>1</v>
      </c>
    </row>
    <row r="2283" spans="1:2" x14ac:dyDescent="0.35">
      <c r="A2283" s="14">
        <v>42277.804340277777</v>
      </c>
      <c r="B2283" s="5">
        <v>1</v>
      </c>
    </row>
    <row r="2284" spans="1:2" x14ac:dyDescent="0.35">
      <c r="A2284" s="14">
        <v>42277.831203703703</v>
      </c>
      <c r="B2284" s="5">
        <v>1</v>
      </c>
    </row>
    <row r="2285" spans="1:2" x14ac:dyDescent="0.35">
      <c r="A2285" s="14">
        <v>42277.831631944442</v>
      </c>
      <c r="B2285" s="5">
        <v>1</v>
      </c>
    </row>
    <row r="2286" spans="1:2" x14ac:dyDescent="0.35">
      <c r="A2286" s="14">
        <v>42277.839560185188</v>
      </c>
      <c r="B2286" s="5">
        <v>1</v>
      </c>
    </row>
    <row r="2287" spans="1:2" x14ac:dyDescent="0.35">
      <c r="A2287" s="14">
        <v>42277.839583333334</v>
      </c>
      <c r="B2287" s="5">
        <v>1</v>
      </c>
    </row>
    <row r="2288" spans="1:2" x14ac:dyDescent="0.35">
      <c r="A2288" s="14">
        <v>42277.846261574072</v>
      </c>
      <c r="B2288" s="5">
        <v>1</v>
      </c>
    </row>
    <row r="2289" spans="1:2" x14ac:dyDescent="0.35">
      <c r="A2289" s="14">
        <v>42277.849768518521</v>
      </c>
      <c r="B2289" s="5">
        <v>1</v>
      </c>
    </row>
    <row r="2290" spans="1:2" x14ac:dyDescent="0.35">
      <c r="A2290" s="14">
        <v>42277.863611111112</v>
      </c>
      <c r="B2290" s="5">
        <v>1</v>
      </c>
    </row>
    <row r="2291" spans="1:2" x14ac:dyDescent="0.35">
      <c r="A2291" s="14">
        <v>42277.87059027778</v>
      </c>
      <c r="B2291" s="5">
        <v>1</v>
      </c>
    </row>
    <row r="2292" spans="1:2" x14ac:dyDescent="0.35">
      <c r="A2292" s="14">
        <v>42277.887037037035</v>
      </c>
      <c r="B2292" s="5">
        <v>1</v>
      </c>
    </row>
    <row r="2293" spans="1:2" x14ac:dyDescent="0.35">
      <c r="A2293" s="14">
        <v>42277.896284722221</v>
      </c>
      <c r="B2293" s="5">
        <v>1</v>
      </c>
    </row>
    <row r="2294" spans="1:2" x14ac:dyDescent="0.35">
      <c r="A2294" s="14">
        <v>42277.898472222223</v>
      </c>
      <c r="B2294" s="5">
        <v>1</v>
      </c>
    </row>
    <row r="2295" spans="1:2" x14ac:dyDescent="0.35">
      <c r="A2295" s="14">
        <v>42277.899722222224</v>
      </c>
      <c r="B2295" s="5">
        <v>1</v>
      </c>
    </row>
    <row r="2296" spans="1:2" x14ac:dyDescent="0.35">
      <c r="A2296" s="14">
        <v>42277.902951388889</v>
      </c>
      <c r="B2296" s="5">
        <v>1</v>
      </c>
    </row>
    <row r="2297" spans="1:2" x14ac:dyDescent="0.35">
      <c r="A2297" s="14">
        <v>42277.906851851854</v>
      </c>
      <c r="B2297" s="5">
        <v>1</v>
      </c>
    </row>
    <row r="2298" spans="1:2" x14ac:dyDescent="0.35">
      <c r="A2298" s="14">
        <v>42277.907453703701</v>
      </c>
      <c r="B2298" s="5">
        <v>1</v>
      </c>
    </row>
    <row r="2299" spans="1:2" x14ac:dyDescent="0.35">
      <c r="A2299" s="14">
        <v>42277.934733796297</v>
      </c>
      <c r="B2299" s="5">
        <v>1</v>
      </c>
    </row>
    <row r="2300" spans="1:2" x14ac:dyDescent="0.35">
      <c r="A2300" s="14">
        <v>42277.967581018522</v>
      </c>
      <c r="B2300" s="5">
        <v>1</v>
      </c>
    </row>
    <row r="2301" spans="1:2" x14ac:dyDescent="0.35">
      <c r="A2301" s="14">
        <v>42277.970497685186</v>
      </c>
      <c r="B2301" s="5">
        <v>1</v>
      </c>
    </row>
    <row r="2302" spans="1:2" x14ac:dyDescent="0.35">
      <c r="A2302" s="14">
        <v>42277.972025462965</v>
      </c>
      <c r="B2302" s="5">
        <v>1</v>
      </c>
    </row>
    <row r="2303" spans="1:2" x14ac:dyDescent="0.35">
      <c r="A2303" s="14">
        <v>42277.97284722222</v>
      </c>
      <c r="B2303" s="5">
        <v>1</v>
      </c>
    </row>
    <row r="2304" spans="1:2" x14ac:dyDescent="0.35">
      <c r="A2304" s="14">
        <v>42277.973715277774</v>
      </c>
      <c r="B2304" s="5">
        <v>1</v>
      </c>
    </row>
    <row r="2305" spans="1:2" x14ac:dyDescent="0.35">
      <c r="A2305" s="14">
        <v>42277.978541666664</v>
      </c>
      <c r="B2305" s="5">
        <v>1</v>
      </c>
    </row>
    <row r="2306" spans="1:2" x14ac:dyDescent="0.35">
      <c r="A2306" s="14">
        <v>42277.979108796295</v>
      </c>
      <c r="B2306" s="5">
        <v>1</v>
      </c>
    </row>
    <row r="2307" spans="1:2" x14ac:dyDescent="0.35">
      <c r="A2307" s="14">
        <v>42277.983946759261</v>
      </c>
      <c r="B2307" s="5">
        <v>1</v>
      </c>
    </row>
    <row r="2308" spans="1:2" x14ac:dyDescent="0.35">
      <c r="A2308" s="14">
        <v>42277.984050925923</v>
      </c>
      <c r="B2308" s="5">
        <v>1</v>
      </c>
    </row>
    <row r="2309" spans="1:2" x14ac:dyDescent="0.35">
      <c r="A2309" s="14">
        <v>42277.986666666664</v>
      </c>
      <c r="B2309" s="5">
        <v>1</v>
      </c>
    </row>
    <row r="2310" spans="1:2" x14ac:dyDescent="0.35">
      <c r="A2310" s="14">
        <v>42277.992719907408</v>
      </c>
      <c r="B2310" s="5">
        <v>1</v>
      </c>
    </row>
    <row r="2311" spans="1:2" x14ac:dyDescent="0.35">
      <c r="A2311" s="14">
        <v>42277.994930555556</v>
      </c>
      <c r="B2311" s="5">
        <v>1</v>
      </c>
    </row>
    <row r="2312" spans="1:2" x14ac:dyDescent="0.35">
      <c r="A2312" s="14">
        <v>42277.995243055557</v>
      </c>
      <c r="B2312" s="5">
        <v>1</v>
      </c>
    </row>
    <row r="2313" spans="1:2" x14ac:dyDescent="0.35">
      <c r="A2313" s="14">
        <v>42277.996944444443</v>
      </c>
      <c r="B2313" s="5">
        <v>1</v>
      </c>
    </row>
    <row r="2314" spans="1:2" x14ac:dyDescent="0.35">
      <c r="A2314" s="14">
        <v>42278.002800925926</v>
      </c>
      <c r="B2314" s="5">
        <v>1</v>
      </c>
    </row>
    <row r="2315" spans="1:2" x14ac:dyDescent="0.35">
      <c r="A2315" s="14">
        <v>42278.006608796299</v>
      </c>
      <c r="B2315" s="5">
        <v>1</v>
      </c>
    </row>
    <row r="2316" spans="1:2" x14ac:dyDescent="0.35">
      <c r="A2316" s="14">
        <v>42278.008449074077</v>
      </c>
      <c r="B2316" s="5">
        <v>1</v>
      </c>
    </row>
    <row r="2317" spans="1:2" x14ac:dyDescent="0.35">
      <c r="A2317" s="14">
        <v>42278.019085648149</v>
      </c>
      <c r="B2317" s="5">
        <v>1</v>
      </c>
    </row>
    <row r="2318" spans="1:2" x14ac:dyDescent="0.35">
      <c r="A2318" s="14">
        <v>42278.030868055554</v>
      </c>
      <c r="B2318" s="5">
        <v>1</v>
      </c>
    </row>
    <row r="2319" spans="1:2" x14ac:dyDescent="0.35">
      <c r="A2319" s="14">
        <v>42278.041273148148</v>
      </c>
      <c r="B2319" s="5">
        <v>1</v>
      </c>
    </row>
    <row r="2320" spans="1:2" x14ac:dyDescent="0.35">
      <c r="A2320" s="14">
        <v>42278.055405092593</v>
      </c>
      <c r="B2320" s="5">
        <v>1</v>
      </c>
    </row>
    <row r="2321" spans="1:2" x14ac:dyDescent="0.35">
      <c r="A2321" s="14">
        <v>42278.069224537037</v>
      </c>
      <c r="B2321" s="5">
        <v>1</v>
      </c>
    </row>
    <row r="2322" spans="1:2" x14ac:dyDescent="0.35">
      <c r="A2322" s="14">
        <v>42278.078136574077</v>
      </c>
      <c r="B2322" s="5">
        <v>1</v>
      </c>
    </row>
    <row r="2323" spans="1:2" x14ac:dyDescent="0.35">
      <c r="A2323" s="14">
        <v>42278.089085648149</v>
      </c>
      <c r="B2323" s="5">
        <v>1</v>
      </c>
    </row>
    <row r="2324" spans="1:2" x14ac:dyDescent="0.35">
      <c r="A2324" s="14">
        <v>42278.090856481482</v>
      </c>
      <c r="B2324" s="5">
        <v>1</v>
      </c>
    </row>
    <row r="2325" spans="1:2" x14ac:dyDescent="0.35">
      <c r="A2325" s="14">
        <v>42278.097708333335</v>
      </c>
      <c r="B2325" s="5">
        <v>1</v>
      </c>
    </row>
    <row r="2326" spans="1:2" x14ac:dyDescent="0.35">
      <c r="A2326" s="14">
        <v>42278.10224537037</v>
      </c>
      <c r="B2326" s="5">
        <v>1</v>
      </c>
    </row>
    <row r="2327" spans="1:2" x14ac:dyDescent="0.35">
      <c r="A2327" s="14">
        <v>42278.106041666666</v>
      </c>
      <c r="B2327" s="5">
        <v>2</v>
      </c>
    </row>
    <row r="2328" spans="1:2" x14ac:dyDescent="0.35">
      <c r="A2328" s="14">
        <v>42278.111631944441</v>
      </c>
      <c r="B2328" s="5">
        <v>1</v>
      </c>
    </row>
    <row r="2329" spans="1:2" x14ac:dyDescent="0.35">
      <c r="A2329" s="14">
        <v>42278.213229166664</v>
      </c>
      <c r="B2329" s="5">
        <v>1</v>
      </c>
    </row>
    <row r="2330" spans="1:2" x14ac:dyDescent="0.35">
      <c r="A2330" s="14">
        <v>42278.222118055557</v>
      </c>
      <c r="B2330" s="5">
        <v>1</v>
      </c>
    </row>
    <row r="2331" spans="1:2" x14ac:dyDescent="0.35">
      <c r="A2331" s="14">
        <v>42278.240798611114</v>
      </c>
      <c r="B2331" s="5">
        <v>1</v>
      </c>
    </row>
    <row r="2332" spans="1:2" x14ac:dyDescent="0.35">
      <c r="A2332" s="14">
        <v>42278.448009259257</v>
      </c>
      <c r="B2332" s="5">
        <v>1</v>
      </c>
    </row>
    <row r="2333" spans="1:2" x14ac:dyDescent="0.35">
      <c r="A2333" s="14">
        <v>42278.47625</v>
      </c>
      <c r="B2333" s="5">
        <v>1</v>
      </c>
    </row>
    <row r="2334" spans="1:2" x14ac:dyDescent="0.35">
      <c r="A2334" s="14">
        <v>42278.477141203701</v>
      </c>
      <c r="B2334" s="5">
        <v>1</v>
      </c>
    </row>
    <row r="2335" spans="1:2" x14ac:dyDescent="0.35">
      <c r="A2335" s="14">
        <v>42278.561782407407</v>
      </c>
      <c r="B2335" s="5">
        <v>1</v>
      </c>
    </row>
    <row r="2336" spans="1:2" x14ac:dyDescent="0.35">
      <c r="A2336" s="14">
        <v>42278.563634259262</v>
      </c>
      <c r="B2336" s="5">
        <v>1</v>
      </c>
    </row>
    <row r="2337" spans="1:2" x14ac:dyDescent="0.35">
      <c r="A2337" s="14">
        <v>42278.564351851855</v>
      </c>
      <c r="B2337" s="5">
        <v>2</v>
      </c>
    </row>
    <row r="2338" spans="1:2" x14ac:dyDescent="0.35">
      <c r="A2338" s="14">
        <v>42278.566770833335</v>
      </c>
      <c r="B2338" s="5">
        <v>1</v>
      </c>
    </row>
    <row r="2339" spans="1:2" x14ac:dyDescent="0.35">
      <c r="A2339" s="14">
        <v>42278.567233796297</v>
      </c>
      <c r="B2339" s="5">
        <v>1</v>
      </c>
    </row>
    <row r="2340" spans="1:2" x14ac:dyDescent="0.35">
      <c r="A2340" s="14">
        <v>42278.567719907405</v>
      </c>
      <c r="B2340" s="5">
        <v>2</v>
      </c>
    </row>
    <row r="2341" spans="1:2" x14ac:dyDescent="0.35">
      <c r="A2341" s="14">
        <v>42278.56821759259</v>
      </c>
      <c r="B2341" s="5">
        <v>1</v>
      </c>
    </row>
    <row r="2342" spans="1:2" x14ac:dyDescent="0.35">
      <c r="A2342" s="14">
        <v>42278.568865740737</v>
      </c>
      <c r="B2342" s="5">
        <v>1</v>
      </c>
    </row>
    <row r="2343" spans="1:2" x14ac:dyDescent="0.35">
      <c r="A2343" s="14">
        <v>42278.569374999999</v>
      </c>
      <c r="B2343" s="5">
        <v>2</v>
      </c>
    </row>
    <row r="2344" spans="1:2" x14ac:dyDescent="0.35">
      <c r="A2344" s="14">
        <v>42278.569421296299</v>
      </c>
      <c r="B2344" s="5">
        <v>1</v>
      </c>
    </row>
    <row r="2345" spans="1:2" x14ac:dyDescent="0.35">
      <c r="A2345" s="14">
        <v>42278.569675925923</v>
      </c>
      <c r="B2345" s="5">
        <v>1</v>
      </c>
    </row>
    <row r="2346" spans="1:2" x14ac:dyDescent="0.35">
      <c r="A2346" s="14">
        <v>42278.56994212963</v>
      </c>
      <c r="B2346" s="5">
        <v>2</v>
      </c>
    </row>
    <row r="2347" spans="1:2" x14ac:dyDescent="0.35">
      <c r="A2347" s="14">
        <v>42278.571469907409</v>
      </c>
      <c r="B2347" s="5">
        <v>2</v>
      </c>
    </row>
    <row r="2348" spans="1:2" x14ac:dyDescent="0.35">
      <c r="A2348" s="14">
        <v>42278.573217592595</v>
      </c>
      <c r="B2348" s="5">
        <v>2</v>
      </c>
    </row>
    <row r="2349" spans="1:2" x14ac:dyDescent="0.35">
      <c r="A2349" s="14">
        <v>42278.57916666667</v>
      </c>
      <c r="B2349" s="5">
        <v>1</v>
      </c>
    </row>
    <row r="2350" spans="1:2" x14ac:dyDescent="0.35">
      <c r="A2350" s="14">
        <v>42278.579606481479</v>
      </c>
      <c r="B2350" s="5">
        <v>1</v>
      </c>
    </row>
    <row r="2351" spans="1:2" x14ac:dyDescent="0.35">
      <c r="A2351" s="14">
        <v>42278.588634259257</v>
      </c>
      <c r="B2351" s="5">
        <v>1</v>
      </c>
    </row>
    <row r="2352" spans="1:2" x14ac:dyDescent="0.35">
      <c r="A2352" s="14">
        <v>42278.592210648145</v>
      </c>
      <c r="B2352" s="5">
        <v>1</v>
      </c>
    </row>
    <row r="2353" spans="1:2" x14ac:dyDescent="0.35">
      <c r="A2353" s="14">
        <v>42278.592997685184</v>
      </c>
      <c r="B2353" s="5">
        <v>1</v>
      </c>
    </row>
    <row r="2354" spans="1:2" x14ac:dyDescent="0.35">
      <c r="A2354" s="14">
        <v>42278.593842592592</v>
      </c>
      <c r="B2354" s="5">
        <v>1</v>
      </c>
    </row>
    <row r="2355" spans="1:2" x14ac:dyDescent="0.35">
      <c r="A2355" s="14">
        <v>42278.594293981485</v>
      </c>
      <c r="B2355" s="5">
        <v>2</v>
      </c>
    </row>
    <row r="2356" spans="1:2" x14ac:dyDescent="0.35">
      <c r="A2356" s="14">
        <v>42278.594687500001</v>
      </c>
      <c r="B2356" s="5">
        <v>1</v>
      </c>
    </row>
    <row r="2357" spans="1:2" x14ac:dyDescent="0.35">
      <c r="A2357" s="14">
        <v>42278.594907407409</v>
      </c>
      <c r="B2357" s="5">
        <v>2</v>
      </c>
    </row>
    <row r="2358" spans="1:2" x14ac:dyDescent="0.35">
      <c r="A2358" s="14">
        <v>42278.596250000002</v>
      </c>
      <c r="B2358" s="5">
        <v>1</v>
      </c>
    </row>
    <row r="2359" spans="1:2" x14ac:dyDescent="0.35">
      <c r="A2359" s="14">
        <v>42278.603252314817</v>
      </c>
      <c r="B2359" s="5">
        <v>1</v>
      </c>
    </row>
    <row r="2360" spans="1:2" x14ac:dyDescent="0.35">
      <c r="A2360" s="14">
        <v>42278.616018518522</v>
      </c>
      <c r="B2360" s="5">
        <v>1</v>
      </c>
    </row>
    <row r="2361" spans="1:2" x14ac:dyDescent="0.35">
      <c r="A2361" s="14">
        <v>42278.616307870368</v>
      </c>
      <c r="B2361" s="5">
        <v>2</v>
      </c>
    </row>
    <row r="2362" spans="1:2" x14ac:dyDescent="0.35">
      <c r="A2362" s="14">
        <v>42278.616331018522</v>
      </c>
      <c r="B2362" s="5">
        <v>1</v>
      </c>
    </row>
    <row r="2363" spans="1:2" x14ac:dyDescent="0.35">
      <c r="A2363" s="14">
        <v>42278.618530092594</v>
      </c>
      <c r="B2363" s="5">
        <v>1</v>
      </c>
    </row>
    <row r="2364" spans="1:2" x14ac:dyDescent="0.35">
      <c r="A2364" s="14">
        <v>42278.620057870372</v>
      </c>
      <c r="B2364" s="5">
        <v>1</v>
      </c>
    </row>
    <row r="2365" spans="1:2" x14ac:dyDescent="0.35">
      <c r="A2365" s="14">
        <v>42278.620069444441</v>
      </c>
      <c r="B2365" s="5">
        <v>1</v>
      </c>
    </row>
    <row r="2366" spans="1:2" x14ac:dyDescent="0.35">
      <c r="A2366" s="14">
        <v>42278.623738425929</v>
      </c>
      <c r="B2366" s="5">
        <v>1</v>
      </c>
    </row>
    <row r="2367" spans="1:2" x14ac:dyDescent="0.35">
      <c r="A2367" s="14">
        <v>42278.625381944446</v>
      </c>
      <c r="B2367" s="5">
        <v>2</v>
      </c>
    </row>
    <row r="2368" spans="1:2" x14ac:dyDescent="0.35">
      <c r="A2368" s="14">
        <v>42278.632048611114</v>
      </c>
      <c r="B2368" s="5">
        <v>1</v>
      </c>
    </row>
    <row r="2369" spans="1:2" x14ac:dyDescent="0.35">
      <c r="A2369" s="14">
        <v>42278.644270833334</v>
      </c>
      <c r="B2369" s="5">
        <v>1</v>
      </c>
    </row>
    <row r="2370" spans="1:2" x14ac:dyDescent="0.35">
      <c r="A2370" s="14">
        <v>42278.68990740741</v>
      </c>
      <c r="B2370" s="5">
        <v>1</v>
      </c>
    </row>
    <row r="2371" spans="1:2" x14ac:dyDescent="0.35">
      <c r="A2371" s="14">
        <v>42278.700856481482</v>
      </c>
      <c r="B2371" s="5">
        <v>1</v>
      </c>
    </row>
    <row r="2372" spans="1:2" x14ac:dyDescent="0.35">
      <c r="A2372" s="14">
        <v>42278.715289351851</v>
      </c>
      <c r="B2372" s="5">
        <v>1</v>
      </c>
    </row>
    <row r="2373" spans="1:2" x14ac:dyDescent="0.35">
      <c r="A2373" s="14">
        <v>42278.716921296298</v>
      </c>
      <c r="B2373" s="5">
        <v>1</v>
      </c>
    </row>
    <row r="2374" spans="1:2" x14ac:dyDescent="0.35">
      <c r="A2374" s="14">
        <v>42278.723923611113</v>
      </c>
      <c r="B2374" s="5">
        <v>1</v>
      </c>
    </row>
    <row r="2375" spans="1:2" x14ac:dyDescent="0.35">
      <c r="A2375" s="14">
        <v>42278.732372685183</v>
      </c>
      <c r="B2375" s="5">
        <v>1</v>
      </c>
    </row>
    <row r="2376" spans="1:2" x14ac:dyDescent="0.35">
      <c r="A2376" s="14">
        <v>42278.759062500001</v>
      </c>
      <c r="B2376" s="5">
        <v>1</v>
      </c>
    </row>
    <row r="2377" spans="1:2" x14ac:dyDescent="0.35">
      <c r="A2377" s="14">
        <v>42278.771643518521</v>
      </c>
      <c r="B2377" s="5">
        <v>1</v>
      </c>
    </row>
    <row r="2378" spans="1:2" x14ac:dyDescent="0.35">
      <c r="A2378" s="14">
        <v>42278.808067129627</v>
      </c>
      <c r="B2378" s="5">
        <v>1</v>
      </c>
    </row>
    <row r="2379" spans="1:2" x14ac:dyDescent="0.35">
      <c r="A2379" s="14">
        <v>42278.815810185188</v>
      </c>
      <c r="B2379" s="5">
        <v>1</v>
      </c>
    </row>
    <row r="2380" spans="1:2" x14ac:dyDescent="0.35">
      <c r="A2380" s="14">
        <v>42278.817812499998</v>
      </c>
      <c r="B2380" s="5">
        <v>1</v>
      </c>
    </row>
    <row r="2381" spans="1:2" x14ac:dyDescent="0.35">
      <c r="A2381" s="14">
        <v>42278.827465277776</v>
      </c>
      <c r="B2381" s="5">
        <v>1</v>
      </c>
    </row>
    <row r="2382" spans="1:2" x14ac:dyDescent="0.35">
      <c r="A2382" s="14">
        <v>42278.837314814817</v>
      </c>
      <c r="B2382" s="5">
        <v>1</v>
      </c>
    </row>
    <row r="2383" spans="1:2" x14ac:dyDescent="0.35">
      <c r="A2383" s="14">
        <v>42278.880324074074</v>
      </c>
      <c r="B2383" s="5">
        <v>1</v>
      </c>
    </row>
    <row r="2384" spans="1:2" x14ac:dyDescent="0.35">
      <c r="A2384" s="14">
        <v>42278.905451388891</v>
      </c>
      <c r="B2384" s="5">
        <v>1</v>
      </c>
    </row>
    <row r="2385" spans="1:2" x14ac:dyDescent="0.35">
      <c r="A2385" s="14">
        <v>42278.920787037037</v>
      </c>
      <c r="B2385" s="5">
        <v>1</v>
      </c>
    </row>
    <row r="2386" spans="1:2" x14ac:dyDescent="0.35">
      <c r="A2386" s="14">
        <v>42278.948182870372</v>
      </c>
      <c r="B2386" s="5">
        <v>1</v>
      </c>
    </row>
    <row r="2387" spans="1:2" x14ac:dyDescent="0.35">
      <c r="A2387" s="14">
        <v>42278.948425925926</v>
      </c>
      <c r="B2387" s="5">
        <v>1</v>
      </c>
    </row>
    <row r="2388" spans="1:2" x14ac:dyDescent="0.35">
      <c r="A2388" s="14">
        <v>42278.948912037034</v>
      </c>
      <c r="B2388" s="5">
        <v>1</v>
      </c>
    </row>
    <row r="2389" spans="1:2" x14ac:dyDescent="0.35">
      <c r="A2389" s="14">
        <v>42279.063576388886</v>
      </c>
      <c r="B2389" s="5">
        <v>1</v>
      </c>
    </row>
    <row r="2390" spans="1:2" x14ac:dyDescent="0.35">
      <c r="A2390" s="14">
        <v>42279.063750000001</v>
      </c>
      <c r="B2390" s="5">
        <v>1</v>
      </c>
    </row>
    <row r="2391" spans="1:2" x14ac:dyDescent="0.35">
      <c r="A2391" s="14">
        <v>42279.064201388886</v>
      </c>
      <c r="B2391" s="5">
        <v>1</v>
      </c>
    </row>
    <row r="2392" spans="1:2" x14ac:dyDescent="0.35">
      <c r="A2392" s="14">
        <v>42279.066678240742</v>
      </c>
      <c r="B2392" s="5">
        <v>1</v>
      </c>
    </row>
    <row r="2393" spans="1:2" x14ac:dyDescent="0.35">
      <c r="A2393" s="14">
        <v>42279.066805555558</v>
      </c>
      <c r="B2393" s="5">
        <v>1</v>
      </c>
    </row>
    <row r="2394" spans="1:2" x14ac:dyDescent="0.35">
      <c r="A2394" s="14">
        <v>42279.067766203705</v>
      </c>
      <c r="B2394" s="5">
        <v>1</v>
      </c>
    </row>
    <row r="2395" spans="1:2" x14ac:dyDescent="0.35">
      <c r="A2395" s="14">
        <v>42279.067939814813</v>
      </c>
      <c r="B2395" s="5">
        <v>1</v>
      </c>
    </row>
    <row r="2396" spans="1:2" x14ac:dyDescent="0.35">
      <c r="A2396" s="14">
        <v>42279.077037037037</v>
      </c>
      <c r="B2396" s="5">
        <v>1</v>
      </c>
    </row>
    <row r="2397" spans="1:2" x14ac:dyDescent="0.35">
      <c r="A2397" s="14">
        <v>42279.079502314817</v>
      </c>
      <c r="B2397" s="5">
        <v>1</v>
      </c>
    </row>
    <row r="2398" spans="1:2" x14ac:dyDescent="0.35">
      <c r="A2398" s="14">
        <v>42279.098726851851</v>
      </c>
      <c r="B2398" s="5">
        <v>1</v>
      </c>
    </row>
    <row r="2399" spans="1:2" x14ac:dyDescent="0.35">
      <c r="A2399" s="14">
        <v>42279.106342592589</v>
      </c>
      <c r="B2399" s="5">
        <v>1</v>
      </c>
    </row>
    <row r="2400" spans="1:2" x14ac:dyDescent="0.35">
      <c r="A2400" s="14">
        <v>42279.24454861111</v>
      </c>
      <c r="B2400" s="5">
        <v>1</v>
      </c>
    </row>
    <row r="2401" spans="1:2" x14ac:dyDescent="0.35">
      <c r="A2401" s="14">
        <v>42279.249791666669</v>
      </c>
      <c r="B2401" s="5">
        <v>1</v>
      </c>
    </row>
    <row r="2402" spans="1:2" x14ac:dyDescent="0.35">
      <c r="A2402" s="14">
        <v>42279.403194444443</v>
      </c>
      <c r="B2402" s="5">
        <v>1</v>
      </c>
    </row>
    <row r="2403" spans="1:2" x14ac:dyDescent="0.35">
      <c r="A2403" s="14">
        <v>42279.403715277775</v>
      </c>
      <c r="B2403" s="5">
        <v>1</v>
      </c>
    </row>
    <row r="2404" spans="1:2" x14ac:dyDescent="0.35">
      <c r="A2404" s="14">
        <v>42279.403726851851</v>
      </c>
      <c r="B2404" s="5">
        <v>1</v>
      </c>
    </row>
    <row r="2405" spans="1:2" x14ac:dyDescent="0.35">
      <c r="A2405" s="14">
        <v>42279.404004629629</v>
      </c>
      <c r="B2405" s="5">
        <v>1</v>
      </c>
    </row>
    <row r="2406" spans="1:2" x14ac:dyDescent="0.35">
      <c r="A2406" s="14">
        <v>42279.404432870368</v>
      </c>
      <c r="B2406" s="5">
        <v>1</v>
      </c>
    </row>
    <row r="2407" spans="1:2" x14ac:dyDescent="0.35">
      <c r="A2407" s="14">
        <v>42279.404560185183</v>
      </c>
      <c r="B2407" s="5">
        <v>2</v>
      </c>
    </row>
    <row r="2408" spans="1:2" x14ac:dyDescent="0.35">
      <c r="A2408" s="14">
        <v>42279.418321759258</v>
      </c>
      <c r="B2408" s="5">
        <v>1</v>
      </c>
    </row>
    <row r="2409" spans="1:2" x14ac:dyDescent="0.35">
      <c r="A2409" s="14">
        <v>42279.422974537039</v>
      </c>
      <c r="B2409" s="5">
        <v>1</v>
      </c>
    </row>
    <row r="2410" spans="1:2" x14ac:dyDescent="0.35">
      <c r="A2410" s="14">
        <v>42279.429513888892</v>
      </c>
      <c r="B2410" s="5">
        <v>1</v>
      </c>
    </row>
    <row r="2411" spans="1:2" x14ac:dyDescent="0.35">
      <c r="A2411" s="14">
        <v>42279.43072916667</v>
      </c>
      <c r="B2411" s="5">
        <v>1</v>
      </c>
    </row>
    <row r="2412" spans="1:2" x14ac:dyDescent="0.35">
      <c r="A2412" s="14">
        <v>42279.431064814817</v>
      </c>
      <c r="B2412" s="5">
        <v>1</v>
      </c>
    </row>
    <row r="2413" spans="1:2" x14ac:dyDescent="0.35">
      <c r="A2413" s="14">
        <v>42279.43136574074</v>
      </c>
      <c r="B2413" s="5">
        <v>1</v>
      </c>
    </row>
    <row r="2414" spans="1:2" x14ac:dyDescent="0.35">
      <c r="A2414" s="14">
        <v>42279.43178240741</v>
      </c>
      <c r="B2414" s="5">
        <v>2</v>
      </c>
    </row>
    <row r="2415" spans="1:2" x14ac:dyDescent="0.35">
      <c r="A2415" s="14">
        <v>42279.431932870371</v>
      </c>
      <c r="B2415" s="5">
        <v>1</v>
      </c>
    </row>
    <row r="2416" spans="1:2" x14ac:dyDescent="0.35">
      <c r="A2416" s="14">
        <v>42279.433113425926</v>
      </c>
      <c r="B2416" s="5">
        <v>1</v>
      </c>
    </row>
    <row r="2417" spans="1:2" x14ac:dyDescent="0.35">
      <c r="A2417" s="14">
        <v>42279.433611111112</v>
      </c>
      <c r="B2417" s="5">
        <v>1</v>
      </c>
    </row>
    <row r="2418" spans="1:2" x14ac:dyDescent="0.35">
      <c r="A2418" s="14">
        <v>42279.433692129627</v>
      </c>
      <c r="B2418" s="5">
        <v>2</v>
      </c>
    </row>
    <row r="2419" spans="1:2" x14ac:dyDescent="0.35">
      <c r="A2419" s="14">
        <v>42279.433912037035</v>
      </c>
      <c r="B2419" s="5">
        <v>1</v>
      </c>
    </row>
    <row r="2420" spans="1:2" x14ac:dyDescent="0.35">
      <c r="A2420" s="14">
        <v>42279.434942129628</v>
      </c>
      <c r="B2420" s="5">
        <v>1</v>
      </c>
    </row>
    <row r="2421" spans="1:2" x14ac:dyDescent="0.35">
      <c r="A2421" s="14">
        <v>42279.435960648145</v>
      </c>
      <c r="B2421" s="5">
        <v>1</v>
      </c>
    </row>
    <row r="2422" spans="1:2" x14ac:dyDescent="0.35">
      <c r="A2422" s="14">
        <v>42279.436944444446</v>
      </c>
      <c r="B2422" s="5">
        <v>1</v>
      </c>
    </row>
    <row r="2423" spans="1:2" x14ac:dyDescent="0.35">
      <c r="A2423" s="14">
        <v>42279.437118055554</v>
      </c>
      <c r="B2423" s="5">
        <v>1</v>
      </c>
    </row>
    <row r="2424" spans="1:2" x14ac:dyDescent="0.35">
      <c r="A2424" s="14">
        <v>42279.437789351854</v>
      </c>
      <c r="B2424" s="5">
        <v>2</v>
      </c>
    </row>
    <row r="2425" spans="1:2" x14ac:dyDescent="0.35">
      <c r="A2425" s="14">
        <v>42279.446932870371</v>
      </c>
      <c r="B2425" s="5">
        <v>1</v>
      </c>
    </row>
    <row r="2426" spans="1:2" x14ac:dyDescent="0.35">
      <c r="A2426" s="14">
        <v>42279.447314814817</v>
      </c>
      <c r="B2426" s="5">
        <v>1</v>
      </c>
    </row>
    <row r="2427" spans="1:2" x14ac:dyDescent="0.35">
      <c r="A2427" s="14">
        <v>42279.447430555556</v>
      </c>
      <c r="B2427" s="5">
        <v>1</v>
      </c>
    </row>
    <row r="2428" spans="1:2" x14ac:dyDescent="0.35">
      <c r="A2428" s="14">
        <v>42279.449224537035</v>
      </c>
      <c r="B2428" s="5">
        <v>2</v>
      </c>
    </row>
    <row r="2429" spans="1:2" x14ac:dyDescent="0.35">
      <c r="A2429" s="14">
        <v>42279.44939814815</v>
      </c>
      <c r="B2429" s="5">
        <v>1</v>
      </c>
    </row>
    <row r="2430" spans="1:2" x14ac:dyDescent="0.35">
      <c r="A2430" s="14">
        <v>42279.449560185189</v>
      </c>
      <c r="B2430" s="5">
        <v>1</v>
      </c>
    </row>
    <row r="2431" spans="1:2" x14ac:dyDescent="0.35">
      <c r="A2431" s="14">
        <v>42279.449837962966</v>
      </c>
      <c r="B2431" s="5">
        <v>2</v>
      </c>
    </row>
    <row r="2432" spans="1:2" x14ac:dyDescent="0.35">
      <c r="A2432" s="14">
        <v>42279.450057870374</v>
      </c>
      <c r="B2432" s="5">
        <v>2</v>
      </c>
    </row>
    <row r="2433" spans="1:2" x14ac:dyDescent="0.35">
      <c r="A2433" s="14">
        <v>42279.450659722221</v>
      </c>
      <c r="B2433" s="5">
        <v>1</v>
      </c>
    </row>
    <row r="2434" spans="1:2" x14ac:dyDescent="0.35">
      <c r="A2434" s="14">
        <v>42279.450972222221</v>
      </c>
      <c r="B2434" s="5">
        <v>1</v>
      </c>
    </row>
    <row r="2435" spans="1:2" x14ac:dyDescent="0.35">
      <c r="A2435" s="14">
        <v>42279.451099537036</v>
      </c>
      <c r="B2435" s="5">
        <v>2</v>
      </c>
    </row>
    <row r="2436" spans="1:2" x14ac:dyDescent="0.35">
      <c r="A2436" s="14">
        <v>42279.453750000001</v>
      </c>
      <c r="B2436" s="5">
        <v>1</v>
      </c>
    </row>
    <row r="2437" spans="1:2" x14ac:dyDescent="0.35">
      <c r="A2437" s="14">
        <v>42279.453888888886</v>
      </c>
      <c r="B2437" s="5">
        <v>2</v>
      </c>
    </row>
    <row r="2438" spans="1:2" x14ac:dyDescent="0.35">
      <c r="A2438" s="14">
        <v>42279.463935185187</v>
      </c>
      <c r="B2438" s="5">
        <v>1</v>
      </c>
    </row>
    <row r="2439" spans="1:2" x14ac:dyDescent="0.35">
      <c r="A2439" s="14">
        <v>42279.464074074072</v>
      </c>
      <c r="B2439" s="5">
        <v>1</v>
      </c>
    </row>
    <row r="2440" spans="1:2" x14ac:dyDescent="0.35">
      <c r="A2440" s="14">
        <v>42279.464155092595</v>
      </c>
      <c r="B2440" s="5">
        <v>1</v>
      </c>
    </row>
    <row r="2441" spans="1:2" x14ac:dyDescent="0.35">
      <c r="A2441" s="14">
        <v>42279.464236111111</v>
      </c>
      <c r="B2441" s="5">
        <v>1</v>
      </c>
    </row>
    <row r="2442" spans="1:2" x14ac:dyDescent="0.35">
      <c r="A2442" s="14">
        <v>42279.464305555557</v>
      </c>
      <c r="B2442" s="5">
        <v>1</v>
      </c>
    </row>
    <row r="2443" spans="1:2" x14ac:dyDescent="0.35">
      <c r="A2443" s="14">
        <v>42279.46435185185</v>
      </c>
      <c r="B2443" s="5">
        <v>1</v>
      </c>
    </row>
    <row r="2444" spans="1:2" x14ac:dyDescent="0.35">
      <c r="A2444" s="14">
        <v>42279.464467592596</v>
      </c>
      <c r="B2444" s="5">
        <v>2</v>
      </c>
    </row>
    <row r="2445" spans="1:2" x14ac:dyDescent="0.35">
      <c r="A2445" s="14">
        <v>42279.464525462965</v>
      </c>
      <c r="B2445" s="5">
        <v>1</v>
      </c>
    </row>
    <row r="2446" spans="1:2" x14ac:dyDescent="0.35">
      <c r="A2446" s="14">
        <v>42279.464641203704</v>
      </c>
      <c r="B2446" s="5">
        <v>2</v>
      </c>
    </row>
    <row r="2447" spans="1:2" x14ac:dyDescent="0.35">
      <c r="A2447" s="14">
        <v>42279.49019675926</v>
      </c>
      <c r="B2447" s="5">
        <v>1</v>
      </c>
    </row>
    <row r="2448" spans="1:2" x14ac:dyDescent="0.35">
      <c r="A2448" s="14">
        <v>42279.490393518521</v>
      </c>
      <c r="B2448" s="5">
        <v>2</v>
      </c>
    </row>
    <row r="2449" spans="1:2" x14ac:dyDescent="0.35">
      <c r="A2449" s="14">
        <v>42279.490671296298</v>
      </c>
      <c r="B2449" s="5">
        <v>1</v>
      </c>
    </row>
    <row r="2450" spans="1:2" x14ac:dyDescent="0.35">
      <c r="A2450" s="14">
        <v>42279.490752314814</v>
      </c>
      <c r="B2450" s="5">
        <v>1</v>
      </c>
    </row>
    <row r="2451" spans="1:2" x14ac:dyDescent="0.35">
      <c r="A2451" s="14">
        <v>42279.490902777776</v>
      </c>
      <c r="B2451" s="5">
        <v>1</v>
      </c>
    </row>
    <row r="2452" spans="1:2" x14ac:dyDescent="0.35">
      <c r="A2452" s="14">
        <v>42279.491377314815</v>
      </c>
      <c r="B2452" s="5">
        <v>1</v>
      </c>
    </row>
    <row r="2453" spans="1:2" x14ac:dyDescent="0.35">
      <c r="A2453" s="14">
        <v>42279.506898148145</v>
      </c>
      <c r="B2453" s="5">
        <v>2</v>
      </c>
    </row>
    <row r="2454" spans="1:2" x14ac:dyDescent="0.35">
      <c r="A2454" s="14">
        <v>42279.568101851852</v>
      </c>
      <c r="B2454" s="5">
        <v>1</v>
      </c>
    </row>
    <row r="2455" spans="1:2" x14ac:dyDescent="0.35">
      <c r="A2455" s="14">
        <v>42279.577696759261</v>
      </c>
      <c r="B2455" s="5">
        <v>1</v>
      </c>
    </row>
    <row r="2456" spans="1:2" x14ac:dyDescent="0.35">
      <c r="A2456" s="14">
        <v>42279.598726851851</v>
      </c>
      <c r="B2456" s="5">
        <v>1</v>
      </c>
    </row>
    <row r="2457" spans="1:2" x14ac:dyDescent="0.35">
      <c r="A2457" s="14">
        <v>42279.599502314813</v>
      </c>
      <c r="B2457" s="5">
        <v>1</v>
      </c>
    </row>
    <row r="2458" spans="1:2" x14ac:dyDescent="0.35">
      <c r="A2458" s="14">
        <v>42279.60460648148</v>
      </c>
      <c r="B2458" s="5">
        <v>1</v>
      </c>
    </row>
    <row r="2459" spans="1:2" x14ac:dyDescent="0.35">
      <c r="A2459" s="14">
        <v>42279.605520833335</v>
      </c>
      <c r="B2459" s="5">
        <v>2</v>
      </c>
    </row>
    <row r="2460" spans="1:2" x14ac:dyDescent="0.35">
      <c r="A2460" s="14">
        <v>42279.627766203703</v>
      </c>
      <c r="B2460" s="5">
        <v>1</v>
      </c>
    </row>
    <row r="2461" spans="1:2" x14ac:dyDescent="0.35">
      <c r="A2461" s="14">
        <v>42279.628101851849</v>
      </c>
      <c r="B2461" s="5">
        <v>1</v>
      </c>
    </row>
    <row r="2462" spans="1:2" x14ac:dyDescent="0.35">
      <c r="A2462" s="14">
        <v>42279.629837962966</v>
      </c>
      <c r="B2462" s="5">
        <v>1</v>
      </c>
    </row>
    <row r="2463" spans="1:2" x14ac:dyDescent="0.35">
      <c r="A2463" s="14">
        <v>42279.632060185184</v>
      </c>
      <c r="B2463" s="5">
        <v>1</v>
      </c>
    </row>
    <row r="2464" spans="1:2" x14ac:dyDescent="0.35">
      <c r="A2464" s="14">
        <v>42279.632233796299</v>
      </c>
      <c r="B2464" s="5">
        <v>2</v>
      </c>
    </row>
    <row r="2465" spans="1:2" x14ac:dyDescent="0.35">
      <c r="A2465" s="14">
        <v>42279.6325462963</v>
      </c>
      <c r="B2465" s="5">
        <v>1</v>
      </c>
    </row>
    <row r="2466" spans="1:2" x14ac:dyDescent="0.35">
      <c r="A2466" s="14">
        <v>42279.633171296293</v>
      </c>
      <c r="B2466" s="5">
        <v>2</v>
      </c>
    </row>
    <row r="2467" spans="1:2" x14ac:dyDescent="0.35">
      <c r="A2467" s="14">
        <v>42279.634074074071</v>
      </c>
      <c r="B2467" s="5">
        <v>2</v>
      </c>
    </row>
    <row r="2468" spans="1:2" x14ac:dyDescent="0.35">
      <c r="A2468" s="14">
        <v>42279.641446759262</v>
      </c>
      <c r="B2468" s="5">
        <v>1</v>
      </c>
    </row>
    <row r="2469" spans="1:2" x14ac:dyDescent="0.35">
      <c r="A2469" s="14">
        <v>42279.641469907408</v>
      </c>
      <c r="B2469" s="5">
        <v>1</v>
      </c>
    </row>
    <row r="2470" spans="1:2" x14ac:dyDescent="0.35">
      <c r="A2470" s="14">
        <v>42279.641481481478</v>
      </c>
      <c r="B2470" s="5">
        <v>1</v>
      </c>
    </row>
    <row r="2471" spans="1:2" x14ac:dyDescent="0.35">
      <c r="A2471" s="14">
        <v>42279.679513888892</v>
      </c>
      <c r="B2471" s="5">
        <v>1</v>
      </c>
    </row>
    <row r="2472" spans="1:2" x14ac:dyDescent="0.35">
      <c r="A2472" s="14">
        <v>42279.682442129626</v>
      </c>
      <c r="B2472" s="5">
        <v>2</v>
      </c>
    </row>
    <row r="2473" spans="1:2" x14ac:dyDescent="0.35">
      <c r="A2473" s="14">
        <v>42279.68309027778</v>
      </c>
      <c r="B2473" s="5">
        <v>1</v>
      </c>
    </row>
    <row r="2474" spans="1:2" x14ac:dyDescent="0.35">
      <c r="A2474" s="14">
        <v>42279.683182870373</v>
      </c>
      <c r="B2474" s="5">
        <v>1</v>
      </c>
    </row>
    <row r="2475" spans="1:2" x14ac:dyDescent="0.35">
      <c r="A2475" s="14">
        <v>42279.683206018519</v>
      </c>
      <c r="B2475" s="5">
        <v>1</v>
      </c>
    </row>
    <row r="2476" spans="1:2" x14ac:dyDescent="0.35">
      <c r="A2476" s="14">
        <v>42279.683425925927</v>
      </c>
      <c r="B2476" s="5">
        <v>1</v>
      </c>
    </row>
    <row r="2477" spans="1:2" x14ac:dyDescent="0.35">
      <c r="A2477" s="14">
        <v>42279.683715277781</v>
      </c>
      <c r="B2477" s="5">
        <v>1</v>
      </c>
    </row>
    <row r="2478" spans="1:2" x14ac:dyDescent="0.35">
      <c r="A2478" s="14">
        <v>42279.683923611112</v>
      </c>
      <c r="B2478" s="5">
        <v>1</v>
      </c>
    </row>
    <row r="2479" spans="1:2" x14ac:dyDescent="0.35">
      <c r="A2479" s="14">
        <v>42279.684189814812</v>
      </c>
      <c r="B2479" s="5">
        <v>2</v>
      </c>
    </row>
    <row r="2480" spans="1:2" x14ac:dyDescent="0.35">
      <c r="A2480" s="14">
        <v>42279.693981481483</v>
      </c>
      <c r="B2480" s="5">
        <v>1</v>
      </c>
    </row>
    <row r="2481" spans="1:2" x14ac:dyDescent="0.35">
      <c r="A2481" s="14">
        <v>42279.694062499999</v>
      </c>
      <c r="B2481" s="5">
        <v>1</v>
      </c>
    </row>
    <row r="2482" spans="1:2" x14ac:dyDescent="0.35">
      <c r="A2482" s="14">
        <v>42279.694282407407</v>
      </c>
      <c r="B2482" s="5">
        <v>2</v>
      </c>
    </row>
    <row r="2483" spans="1:2" x14ac:dyDescent="0.35">
      <c r="A2483" s="14">
        <v>42279.694780092592</v>
      </c>
      <c r="B2483" s="5">
        <v>1</v>
      </c>
    </row>
    <row r="2484" spans="1:2" x14ac:dyDescent="0.35">
      <c r="A2484" s="14">
        <v>42279.698541666665</v>
      </c>
      <c r="B2484" s="5">
        <v>2</v>
      </c>
    </row>
    <row r="2485" spans="1:2" x14ac:dyDescent="0.35">
      <c r="A2485" s="14">
        <v>42279.700601851851</v>
      </c>
      <c r="B2485" s="5">
        <v>1</v>
      </c>
    </row>
    <row r="2486" spans="1:2" x14ac:dyDescent="0.35">
      <c r="A2486" s="14">
        <v>42279.711828703701</v>
      </c>
      <c r="B2486" s="5">
        <v>2</v>
      </c>
    </row>
    <row r="2487" spans="1:2" x14ac:dyDescent="0.35">
      <c r="A2487" s="14">
        <v>42279.712604166663</v>
      </c>
      <c r="B2487" s="5">
        <v>1</v>
      </c>
    </row>
    <row r="2488" spans="1:2" x14ac:dyDescent="0.35">
      <c r="A2488" s="14">
        <v>42279.712789351855</v>
      </c>
      <c r="B2488" s="5">
        <v>2</v>
      </c>
    </row>
    <row r="2489" spans="1:2" x14ac:dyDescent="0.35">
      <c r="A2489" s="14">
        <v>42279.713263888887</v>
      </c>
      <c r="B2489" s="5">
        <v>1</v>
      </c>
    </row>
    <row r="2490" spans="1:2" x14ac:dyDescent="0.35">
      <c r="A2490" s="14">
        <v>42279.735358796293</v>
      </c>
      <c r="B2490" s="5">
        <v>1</v>
      </c>
    </row>
    <row r="2491" spans="1:2" x14ac:dyDescent="0.35">
      <c r="A2491" s="14">
        <v>42279.735520833332</v>
      </c>
      <c r="B2491" s="5">
        <v>2</v>
      </c>
    </row>
    <row r="2492" spans="1:2" x14ac:dyDescent="0.35">
      <c r="A2492" s="14">
        <v>42279.735844907409</v>
      </c>
      <c r="B2492" s="5">
        <v>1</v>
      </c>
    </row>
    <row r="2493" spans="1:2" x14ac:dyDescent="0.35">
      <c r="A2493" s="14">
        <v>42279.735937500001</v>
      </c>
      <c r="B2493" s="5">
        <v>1</v>
      </c>
    </row>
    <row r="2494" spans="1:2" x14ac:dyDescent="0.35">
      <c r="A2494" s="14">
        <v>42279.736157407409</v>
      </c>
      <c r="B2494" s="5">
        <v>2</v>
      </c>
    </row>
    <row r="2495" spans="1:2" x14ac:dyDescent="0.35">
      <c r="A2495" s="14">
        <v>42279.736354166664</v>
      </c>
      <c r="B2495" s="5">
        <v>1</v>
      </c>
    </row>
    <row r="2496" spans="1:2" x14ac:dyDescent="0.35">
      <c r="A2496" s="14">
        <v>42279.736597222225</v>
      </c>
      <c r="B2496" s="5">
        <v>2</v>
      </c>
    </row>
    <row r="2497" spans="1:2" x14ac:dyDescent="0.35">
      <c r="A2497" s="14">
        <v>42279.736712962964</v>
      </c>
      <c r="B2497" s="5">
        <v>1</v>
      </c>
    </row>
    <row r="2498" spans="1:2" x14ac:dyDescent="0.35">
      <c r="A2498" s="14">
        <v>42279.736863425926</v>
      </c>
      <c r="B2498" s="5">
        <v>2</v>
      </c>
    </row>
    <row r="2499" spans="1:2" x14ac:dyDescent="0.35">
      <c r="A2499" s="14">
        <v>42279.736979166664</v>
      </c>
      <c r="B2499" s="5">
        <v>1</v>
      </c>
    </row>
    <row r="2500" spans="1:2" x14ac:dyDescent="0.35">
      <c r="A2500" s="14">
        <v>42279.737256944441</v>
      </c>
      <c r="B2500" s="5">
        <v>1</v>
      </c>
    </row>
    <row r="2501" spans="1:2" x14ac:dyDescent="0.35">
      <c r="A2501" s="14">
        <v>42279.737268518518</v>
      </c>
      <c r="B2501" s="5">
        <v>1</v>
      </c>
    </row>
    <row r="2502" spans="1:2" x14ac:dyDescent="0.35">
      <c r="A2502" s="14">
        <v>42279.737476851849</v>
      </c>
      <c r="B2502" s="5">
        <v>1</v>
      </c>
    </row>
    <row r="2503" spans="1:2" x14ac:dyDescent="0.35">
      <c r="A2503" s="14">
        <v>42279.737546296295</v>
      </c>
      <c r="B2503" s="5">
        <v>1</v>
      </c>
    </row>
    <row r="2504" spans="1:2" x14ac:dyDescent="0.35">
      <c r="A2504" s="14">
        <v>42279.73773148148</v>
      </c>
      <c r="B2504" s="5">
        <v>2</v>
      </c>
    </row>
    <row r="2505" spans="1:2" x14ac:dyDescent="0.35">
      <c r="A2505" s="14">
        <v>42279.74627314815</v>
      </c>
      <c r="B2505" s="5">
        <v>1</v>
      </c>
    </row>
    <row r="2506" spans="1:2" x14ac:dyDescent="0.35">
      <c r="A2506" s="14">
        <v>42279.746412037035</v>
      </c>
      <c r="B2506" s="5">
        <v>1</v>
      </c>
    </row>
    <row r="2507" spans="1:2" x14ac:dyDescent="0.35">
      <c r="A2507" s="14">
        <v>42279.757893518516</v>
      </c>
      <c r="B2507" s="5">
        <v>1</v>
      </c>
    </row>
    <row r="2508" spans="1:2" x14ac:dyDescent="0.35">
      <c r="A2508" s="14">
        <v>42279.758356481485</v>
      </c>
      <c r="B2508" s="5">
        <v>2</v>
      </c>
    </row>
    <row r="2509" spans="1:2" x14ac:dyDescent="0.35">
      <c r="A2509" s="14">
        <v>42279.760011574072</v>
      </c>
      <c r="B2509" s="5">
        <v>1</v>
      </c>
    </row>
    <row r="2510" spans="1:2" x14ac:dyDescent="0.35">
      <c r="A2510" s="14">
        <v>42279.760277777779</v>
      </c>
      <c r="B2510" s="5">
        <v>2</v>
      </c>
    </row>
    <row r="2511" spans="1:2" x14ac:dyDescent="0.35">
      <c r="A2511" s="14">
        <v>42279.760694444441</v>
      </c>
      <c r="B2511" s="5">
        <v>1</v>
      </c>
    </row>
    <row r="2512" spans="1:2" x14ac:dyDescent="0.35">
      <c r="A2512" s="14">
        <v>42279.760798611111</v>
      </c>
      <c r="B2512" s="5">
        <v>2</v>
      </c>
    </row>
    <row r="2513" spans="1:2" x14ac:dyDescent="0.35">
      <c r="A2513" s="14">
        <v>42279.760844907411</v>
      </c>
      <c r="B2513" s="5">
        <v>1</v>
      </c>
    </row>
    <row r="2514" spans="1:2" x14ac:dyDescent="0.35">
      <c r="A2514" s="14">
        <v>42279.764953703707</v>
      </c>
      <c r="B2514" s="5">
        <v>1</v>
      </c>
    </row>
    <row r="2515" spans="1:2" x14ac:dyDescent="0.35">
      <c r="A2515" s="14">
        <v>42279.765104166669</v>
      </c>
      <c r="B2515" s="5">
        <v>1</v>
      </c>
    </row>
    <row r="2516" spans="1:2" x14ac:dyDescent="0.35">
      <c r="A2516" s="14">
        <v>42279.76835648148</v>
      </c>
      <c r="B2516" s="5">
        <v>1</v>
      </c>
    </row>
    <row r="2517" spans="1:2" x14ac:dyDescent="0.35">
      <c r="A2517" s="14">
        <v>42279.768472222226</v>
      </c>
      <c r="B2517" s="5">
        <v>1</v>
      </c>
    </row>
    <row r="2518" spans="1:2" x14ac:dyDescent="0.35">
      <c r="A2518" s="14">
        <v>42279.768599537034</v>
      </c>
      <c r="B2518" s="5">
        <v>1</v>
      </c>
    </row>
    <row r="2519" spans="1:2" x14ac:dyDescent="0.35">
      <c r="A2519" s="14">
        <v>42279.768831018519</v>
      </c>
      <c r="B2519" s="5">
        <v>2</v>
      </c>
    </row>
    <row r="2520" spans="1:2" x14ac:dyDescent="0.35">
      <c r="A2520" s="14">
        <v>42279.77171296296</v>
      </c>
      <c r="B2520" s="5">
        <v>1</v>
      </c>
    </row>
    <row r="2521" spans="1:2" x14ac:dyDescent="0.35">
      <c r="A2521" s="14">
        <v>42279.772002314814</v>
      </c>
      <c r="B2521" s="5">
        <v>1</v>
      </c>
    </row>
    <row r="2522" spans="1:2" x14ac:dyDescent="0.35">
      <c r="A2522" s="14">
        <v>42279.772175925929</v>
      </c>
      <c r="B2522" s="5">
        <v>2</v>
      </c>
    </row>
    <row r="2523" spans="1:2" x14ac:dyDescent="0.35">
      <c r="A2523" s="14">
        <v>42279.772337962961</v>
      </c>
      <c r="B2523" s="5">
        <v>2</v>
      </c>
    </row>
    <row r="2524" spans="1:2" x14ac:dyDescent="0.35">
      <c r="A2524" s="14">
        <v>42279.772719907407</v>
      </c>
      <c r="B2524" s="5">
        <v>2</v>
      </c>
    </row>
    <row r="2525" spans="1:2" x14ac:dyDescent="0.35">
      <c r="A2525" s="14">
        <v>42279.772951388892</v>
      </c>
      <c r="B2525" s="5">
        <v>1</v>
      </c>
    </row>
    <row r="2526" spans="1:2" x14ac:dyDescent="0.35">
      <c r="A2526" s="14">
        <v>42279.772962962961</v>
      </c>
      <c r="B2526" s="5">
        <v>1</v>
      </c>
    </row>
    <row r="2527" spans="1:2" x14ac:dyDescent="0.35">
      <c r="A2527" s="14">
        <v>42279.77480324074</v>
      </c>
      <c r="B2527" s="5">
        <v>1</v>
      </c>
    </row>
    <row r="2528" spans="1:2" x14ac:dyDescent="0.35">
      <c r="A2528" s="14">
        <v>42279.779074074075</v>
      </c>
      <c r="B2528" s="5">
        <v>1</v>
      </c>
    </row>
    <row r="2529" spans="1:2" x14ac:dyDescent="0.35">
      <c r="A2529" s="14">
        <v>42279.78329861111</v>
      </c>
      <c r="B2529" s="5">
        <v>1</v>
      </c>
    </row>
    <row r="2530" spans="1:2" x14ac:dyDescent="0.35">
      <c r="A2530" s="14">
        <v>42279.783449074072</v>
      </c>
      <c r="B2530" s="5">
        <v>2</v>
      </c>
    </row>
    <row r="2531" spans="1:2" x14ac:dyDescent="0.35">
      <c r="A2531" s="14">
        <v>42279.785150462965</v>
      </c>
      <c r="B2531" s="5">
        <v>1</v>
      </c>
    </row>
    <row r="2532" spans="1:2" x14ac:dyDescent="0.35">
      <c r="A2532" s="14">
        <v>42279.785196759258</v>
      </c>
      <c r="B2532" s="5">
        <v>1</v>
      </c>
    </row>
    <row r="2533" spans="1:2" x14ac:dyDescent="0.35">
      <c r="A2533" s="14">
        <v>42279.785370370373</v>
      </c>
      <c r="B2533" s="5">
        <v>1</v>
      </c>
    </row>
    <row r="2534" spans="1:2" x14ac:dyDescent="0.35">
      <c r="A2534" s="14">
        <v>42279.785555555558</v>
      </c>
      <c r="B2534" s="5">
        <v>2</v>
      </c>
    </row>
    <row r="2535" spans="1:2" x14ac:dyDescent="0.35">
      <c r="A2535" s="14">
        <v>42279.785624999997</v>
      </c>
      <c r="B2535" s="5">
        <v>1</v>
      </c>
    </row>
    <row r="2536" spans="1:2" x14ac:dyDescent="0.35">
      <c r="A2536" s="14">
        <v>42279.785925925928</v>
      </c>
      <c r="B2536" s="5">
        <v>1</v>
      </c>
    </row>
    <row r="2537" spans="1:2" x14ac:dyDescent="0.35">
      <c r="A2537" s="14">
        <v>42279.785983796297</v>
      </c>
      <c r="B2537" s="5">
        <v>1</v>
      </c>
    </row>
    <row r="2538" spans="1:2" x14ac:dyDescent="0.35">
      <c r="A2538" s="14">
        <v>42279.78601851852</v>
      </c>
      <c r="B2538" s="5">
        <v>1</v>
      </c>
    </row>
    <row r="2539" spans="1:2" x14ac:dyDescent="0.35">
      <c r="A2539" s="14">
        <v>42279.786053240743</v>
      </c>
      <c r="B2539" s="5">
        <v>1</v>
      </c>
    </row>
    <row r="2540" spans="1:2" x14ac:dyDescent="0.35">
      <c r="A2540" s="14">
        <v>42279.786180555559</v>
      </c>
      <c r="B2540" s="5">
        <v>1</v>
      </c>
    </row>
    <row r="2541" spans="1:2" x14ac:dyDescent="0.35">
      <c r="A2541" s="14">
        <v>42279.786273148151</v>
      </c>
      <c r="B2541" s="5">
        <v>1</v>
      </c>
    </row>
    <row r="2542" spans="1:2" x14ac:dyDescent="0.35">
      <c r="A2542" s="14">
        <v>42279.78634259259</v>
      </c>
      <c r="B2542" s="5">
        <v>1</v>
      </c>
    </row>
    <row r="2543" spans="1:2" x14ac:dyDescent="0.35">
      <c r="A2543" s="14">
        <v>42279.786377314813</v>
      </c>
      <c r="B2543" s="5">
        <v>1</v>
      </c>
    </row>
    <row r="2544" spans="1:2" x14ac:dyDescent="0.35">
      <c r="A2544" s="14">
        <v>42279.786446759259</v>
      </c>
      <c r="B2544" s="5">
        <v>1</v>
      </c>
    </row>
    <row r="2545" spans="1:2" x14ac:dyDescent="0.35">
      <c r="A2545" s="14">
        <v>42279.786597222221</v>
      </c>
      <c r="B2545" s="5">
        <v>1</v>
      </c>
    </row>
    <row r="2546" spans="1:2" x14ac:dyDescent="0.35">
      <c r="A2546" s="14">
        <v>42279.786666666667</v>
      </c>
      <c r="B2546" s="5">
        <v>1</v>
      </c>
    </row>
    <row r="2547" spans="1:2" x14ac:dyDescent="0.35">
      <c r="A2547" s="14">
        <v>42279.786736111113</v>
      </c>
      <c r="B2547" s="5">
        <v>1</v>
      </c>
    </row>
    <row r="2548" spans="1:2" x14ac:dyDescent="0.35">
      <c r="A2548" s="14">
        <v>42279.786874999998</v>
      </c>
      <c r="B2548" s="5">
        <v>1</v>
      </c>
    </row>
    <row r="2549" spans="1:2" x14ac:dyDescent="0.35">
      <c r="A2549" s="14">
        <v>42279.786921296298</v>
      </c>
      <c r="B2549" s="5">
        <v>1</v>
      </c>
    </row>
    <row r="2550" spans="1:2" x14ac:dyDescent="0.35">
      <c r="A2550" s="14">
        <v>42279.787002314813</v>
      </c>
      <c r="B2550" s="5">
        <v>1</v>
      </c>
    </row>
    <row r="2551" spans="1:2" x14ac:dyDescent="0.35">
      <c r="A2551" s="14">
        <v>42279.787268518521</v>
      </c>
      <c r="B2551" s="5">
        <v>1</v>
      </c>
    </row>
    <row r="2552" spans="1:2" x14ac:dyDescent="0.35">
      <c r="A2552" s="14">
        <v>42279.787534722222</v>
      </c>
      <c r="B2552" s="5">
        <v>1</v>
      </c>
    </row>
    <row r="2553" spans="1:2" x14ac:dyDescent="0.35">
      <c r="A2553" s="14">
        <v>42279.787581018521</v>
      </c>
      <c r="B2553" s="5">
        <v>1</v>
      </c>
    </row>
    <row r="2554" spans="1:2" x14ac:dyDescent="0.35">
      <c r="A2554" s="14">
        <v>42279.78765046296</v>
      </c>
      <c r="B2554" s="5">
        <v>1</v>
      </c>
    </row>
    <row r="2555" spans="1:2" x14ac:dyDescent="0.35">
      <c r="A2555" s="14">
        <v>42279.787731481483</v>
      </c>
      <c r="B2555" s="5">
        <v>1</v>
      </c>
    </row>
    <row r="2556" spans="1:2" x14ac:dyDescent="0.35">
      <c r="A2556" s="14">
        <v>42279.788101851853</v>
      </c>
      <c r="B2556" s="5">
        <v>1</v>
      </c>
    </row>
    <row r="2557" spans="1:2" x14ac:dyDescent="0.35">
      <c r="A2557" s="14">
        <v>42279.788159722222</v>
      </c>
      <c r="B2557" s="5">
        <v>1</v>
      </c>
    </row>
    <row r="2558" spans="1:2" x14ac:dyDescent="0.35">
      <c r="A2558" s="14">
        <v>42279.796689814815</v>
      </c>
      <c r="B2558" s="5">
        <v>1</v>
      </c>
    </row>
    <row r="2559" spans="1:2" x14ac:dyDescent="0.35">
      <c r="A2559" s="14">
        <v>42279.796701388892</v>
      </c>
      <c r="B2559" s="5">
        <v>1</v>
      </c>
    </row>
    <row r="2560" spans="1:2" x14ac:dyDescent="0.35">
      <c r="A2560" s="14">
        <v>42279.797210648147</v>
      </c>
      <c r="B2560" s="5">
        <v>2</v>
      </c>
    </row>
    <row r="2561" spans="1:2" x14ac:dyDescent="0.35">
      <c r="A2561" s="14">
        <v>42279.797418981485</v>
      </c>
      <c r="B2561" s="5">
        <v>2</v>
      </c>
    </row>
    <row r="2562" spans="1:2" x14ac:dyDescent="0.35">
      <c r="A2562" s="14">
        <v>42279.797569444447</v>
      </c>
      <c r="B2562" s="5">
        <v>2</v>
      </c>
    </row>
    <row r="2563" spans="1:2" x14ac:dyDescent="0.35">
      <c r="A2563" s="14">
        <v>42279.797731481478</v>
      </c>
      <c r="B2563" s="5">
        <v>2</v>
      </c>
    </row>
    <row r="2564" spans="1:2" x14ac:dyDescent="0.35">
      <c r="A2564" s="14">
        <v>42279.79787037037</v>
      </c>
      <c r="B2564" s="5">
        <v>2</v>
      </c>
    </row>
    <row r="2565" spans="1:2" x14ac:dyDescent="0.35">
      <c r="A2565" s="14">
        <v>42279.798206018517</v>
      </c>
      <c r="B2565" s="5">
        <v>1</v>
      </c>
    </row>
    <row r="2566" spans="1:2" x14ac:dyDescent="0.35">
      <c r="A2566" s="14">
        <v>42279.798518518517</v>
      </c>
      <c r="B2566" s="5">
        <v>1</v>
      </c>
    </row>
    <row r="2567" spans="1:2" x14ac:dyDescent="0.35">
      <c r="A2567" s="14">
        <v>42279.798645833333</v>
      </c>
      <c r="B2567" s="5">
        <v>2</v>
      </c>
    </row>
    <row r="2568" spans="1:2" x14ac:dyDescent="0.35">
      <c r="A2568" s="14">
        <v>42279.798784722225</v>
      </c>
      <c r="B2568" s="5">
        <v>1</v>
      </c>
    </row>
    <row r="2569" spans="1:2" x14ac:dyDescent="0.35">
      <c r="A2569" s="14">
        <v>42279.799363425926</v>
      </c>
      <c r="B2569" s="5">
        <v>1</v>
      </c>
    </row>
    <row r="2570" spans="1:2" x14ac:dyDescent="0.35">
      <c r="A2570" s="14">
        <v>42279.799560185187</v>
      </c>
      <c r="B2570" s="5">
        <v>2</v>
      </c>
    </row>
    <row r="2571" spans="1:2" x14ac:dyDescent="0.35">
      <c r="A2571" s="14">
        <v>42279.820150462961</v>
      </c>
      <c r="B2571" s="5">
        <v>1</v>
      </c>
    </row>
    <row r="2572" spans="1:2" x14ac:dyDescent="0.35">
      <c r="A2572" s="14">
        <v>42279.827372685184</v>
      </c>
      <c r="B2572" s="5">
        <v>1</v>
      </c>
    </row>
    <row r="2573" spans="1:2" x14ac:dyDescent="0.35">
      <c r="A2573" s="14">
        <v>42279.971782407411</v>
      </c>
      <c r="B2573" s="5">
        <v>1</v>
      </c>
    </row>
    <row r="2574" spans="1:2" x14ac:dyDescent="0.35">
      <c r="A2574" s="14">
        <v>42280.109988425924</v>
      </c>
      <c r="B2574" s="5">
        <v>1</v>
      </c>
    </row>
    <row r="2575" spans="1:2" x14ac:dyDescent="0.35">
      <c r="A2575" s="14">
        <v>42280.137442129628</v>
      </c>
      <c r="B2575" s="5">
        <v>1</v>
      </c>
    </row>
    <row r="2576" spans="1:2" x14ac:dyDescent="0.35">
      <c r="A2576" s="14">
        <v>42280.292349537034</v>
      </c>
      <c r="B2576" s="5">
        <v>1</v>
      </c>
    </row>
    <row r="2577" spans="1:2" x14ac:dyDescent="0.35">
      <c r="A2577" s="14">
        <v>42280.292361111111</v>
      </c>
      <c r="B2577" s="5">
        <v>1</v>
      </c>
    </row>
    <row r="2578" spans="1:2" x14ac:dyDescent="0.35">
      <c r="A2578" s="14">
        <v>42280.292384259257</v>
      </c>
      <c r="B2578" s="5">
        <v>1</v>
      </c>
    </row>
    <row r="2579" spans="1:2" x14ac:dyDescent="0.35">
      <c r="A2579" s="14">
        <v>42280.292905092596</v>
      </c>
      <c r="B2579" s="5">
        <v>2</v>
      </c>
    </row>
    <row r="2580" spans="1:2" x14ac:dyDescent="0.35">
      <c r="A2580" s="14">
        <v>42280.295011574075</v>
      </c>
      <c r="B2580" s="5">
        <v>1</v>
      </c>
    </row>
    <row r="2581" spans="1:2" x14ac:dyDescent="0.35">
      <c r="A2581" s="14">
        <v>42280.295023148145</v>
      </c>
      <c r="B2581" s="5">
        <v>1</v>
      </c>
    </row>
    <row r="2582" spans="1:2" x14ac:dyDescent="0.35">
      <c r="A2582" s="14">
        <v>42280.295486111114</v>
      </c>
      <c r="B2582" s="5">
        <v>1</v>
      </c>
    </row>
    <row r="2583" spans="1:2" x14ac:dyDescent="0.35">
      <c r="A2583" s="14">
        <v>42280.295648148145</v>
      </c>
      <c r="B2583" s="5">
        <v>2</v>
      </c>
    </row>
    <row r="2584" spans="1:2" x14ac:dyDescent="0.35">
      <c r="A2584" s="14">
        <v>42280.295937499999</v>
      </c>
      <c r="B2584" s="5">
        <v>2</v>
      </c>
    </row>
    <row r="2585" spans="1:2" x14ac:dyDescent="0.35">
      <c r="A2585" s="14">
        <v>42280.296111111114</v>
      </c>
      <c r="B2585" s="5">
        <v>2</v>
      </c>
    </row>
    <row r="2586" spans="1:2" x14ac:dyDescent="0.35">
      <c r="A2586" s="14">
        <v>42280.399733796294</v>
      </c>
      <c r="B2586" s="5">
        <v>1</v>
      </c>
    </row>
    <row r="2587" spans="1:2" x14ac:dyDescent="0.35">
      <c r="A2587" s="14">
        <v>42280.450810185182</v>
      </c>
      <c r="B2587" s="5">
        <v>1</v>
      </c>
    </row>
    <row r="2588" spans="1:2" x14ac:dyDescent="0.35">
      <c r="A2588" s="14">
        <v>42280.578043981484</v>
      </c>
      <c r="B2588" s="5">
        <v>1</v>
      </c>
    </row>
    <row r="2589" spans="1:2" x14ac:dyDescent="0.35">
      <c r="A2589" s="14">
        <v>42280.578668981485</v>
      </c>
      <c r="B2589" s="5">
        <v>2</v>
      </c>
    </row>
    <row r="2590" spans="1:2" x14ac:dyDescent="0.35">
      <c r="A2590" s="14">
        <v>42280.580185185187</v>
      </c>
      <c r="B2590" s="5">
        <v>1</v>
      </c>
    </row>
    <row r="2591" spans="1:2" x14ac:dyDescent="0.35">
      <c r="A2591" s="14">
        <v>42280.580266203702</v>
      </c>
      <c r="B2591" s="5">
        <v>1</v>
      </c>
    </row>
    <row r="2592" spans="1:2" x14ac:dyDescent="0.35">
      <c r="A2592" s="14">
        <v>42280.580729166664</v>
      </c>
      <c r="B2592" s="5">
        <v>2</v>
      </c>
    </row>
    <row r="2593" spans="1:2" x14ac:dyDescent="0.35">
      <c r="A2593" s="14">
        <v>42280.58153935185</v>
      </c>
      <c r="B2593" s="5">
        <v>1</v>
      </c>
    </row>
    <row r="2594" spans="1:2" x14ac:dyDescent="0.35">
      <c r="A2594" s="14">
        <v>42280.582002314812</v>
      </c>
      <c r="B2594" s="5">
        <v>1</v>
      </c>
    </row>
    <row r="2595" spans="1:2" x14ac:dyDescent="0.35">
      <c r="A2595" s="14">
        <v>42280.584189814814</v>
      </c>
      <c r="B2595" s="5">
        <v>1</v>
      </c>
    </row>
    <row r="2596" spans="1:2" x14ac:dyDescent="0.35">
      <c r="A2596" s="14">
        <v>42280.647268518522</v>
      </c>
      <c r="B2596" s="5">
        <v>1</v>
      </c>
    </row>
    <row r="2597" spans="1:2" x14ac:dyDescent="0.35">
      <c r="A2597" s="14">
        <v>42280.647361111114</v>
      </c>
      <c r="B2597" s="5">
        <v>1</v>
      </c>
    </row>
    <row r="2598" spans="1:2" x14ac:dyDescent="0.35">
      <c r="A2598" s="14">
        <v>42280.647476851853</v>
      </c>
      <c r="B2598" s="5">
        <v>2</v>
      </c>
    </row>
    <row r="2599" spans="1:2" x14ac:dyDescent="0.35">
      <c r="A2599" s="14">
        <v>42280.647546296299</v>
      </c>
      <c r="B2599" s="5">
        <v>1</v>
      </c>
    </row>
    <row r="2600" spans="1:2" x14ac:dyDescent="0.35">
      <c r="A2600" s="14">
        <v>42280.647939814815</v>
      </c>
      <c r="B2600" s="5">
        <v>1</v>
      </c>
    </row>
    <row r="2601" spans="1:2" x14ac:dyDescent="0.35">
      <c r="A2601" s="14">
        <v>42280.64806712963</v>
      </c>
      <c r="B2601" s="5">
        <v>1</v>
      </c>
    </row>
    <row r="2602" spans="1:2" x14ac:dyDescent="0.35">
      <c r="A2602" s="14">
        <v>42280.648611111108</v>
      </c>
      <c r="B2602" s="5">
        <v>1</v>
      </c>
    </row>
    <row r="2603" spans="1:2" x14ac:dyDescent="0.35">
      <c r="A2603" s="14">
        <v>42280.6487037037</v>
      </c>
      <c r="B2603" s="5">
        <v>1</v>
      </c>
    </row>
    <row r="2604" spans="1:2" x14ac:dyDescent="0.35">
      <c r="A2604" s="14">
        <v>42280.648761574077</v>
      </c>
      <c r="B2604" s="5">
        <v>1</v>
      </c>
    </row>
    <row r="2605" spans="1:2" x14ac:dyDescent="0.35">
      <c r="A2605" s="14">
        <v>42280.648854166669</v>
      </c>
      <c r="B2605" s="5">
        <v>1</v>
      </c>
    </row>
    <row r="2606" spans="1:2" x14ac:dyDescent="0.35">
      <c r="A2606" s="14">
        <v>42280.650208333333</v>
      </c>
      <c r="B2606" s="5">
        <v>2</v>
      </c>
    </row>
    <row r="2607" spans="1:2" x14ac:dyDescent="0.35">
      <c r="A2607" s="14">
        <v>42280.650254629632</v>
      </c>
      <c r="B2607" s="5">
        <v>1</v>
      </c>
    </row>
    <row r="2608" spans="1:2" x14ac:dyDescent="0.35">
      <c r="A2608" s="14">
        <v>42280.650763888887</v>
      </c>
      <c r="B2608" s="5">
        <v>1</v>
      </c>
    </row>
    <row r="2609" spans="1:2" x14ac:dyDescent="0.35">
      <c r="A2609" s="14">
        <v>42280.650972222225</v>
      </c>
      <c r="B2609" s="5">
        <v>2</v>
      </c>
    </row>
    <row r="2610" spans="1:2" x14ac:dyDescent="0.35">
      <c r="A2610" s="14">
        <v>42280.651087962964</v>
      </c>
      <c r="B2610" s="5">
        <v>1</v>
      </c>
    </row>
    <row r="2611" spans="1:2" x14ac:dyDescent="0.35">
      <c r="A2611" s="14">
        <v>42280.651354166665</v>
      </c>
      <c r="B2611" s="5">
        <v>1</v>
      </c>
    </row>
    <row r="2612" spans="1:2" x14ac:dyDescent="0.35">
      <c r="A2612" s="14">
        <v>42280.651377314818</v>
      </c>
      <c r="B2612" s="5">
        <v>1</v>
      </c>
    </row>
    <row r="2613" spans="1:2" x14ac:dyDescent="0.35">
      <c r="A2613" s="14">
        <v>42280.651388888888</v>
      </c>
      <c r="B2613" s="5">
        <v>1</v>
      </c>
    </row>
    <row r="2614" spans="1:2" x14ac:dyDescent="0.35">
      <c r="A2614" s="14">
        <v>42280.651435185187</v>
      </c>
      <c r="B2614" s="5">
        <v>1</v>
      </c>
    </row>
    <row r="2615" spans="1:2" x14ac:dyDescent="0.35">
      <c r="A2615" s="14">
        <v>42280.653067129628</v>
      </c>
      <c r="B2615" s="5">
        <v>1</v>
      </c>
    </row>
    <row r="2616" spans="1:2" x14ac:dyDescent="0.35">
      <c r="A2616" s="14">
        <v>42280.65315972222</v>
      </c>
      <c r="B2616" s="5">
        <v>1</v>
      </c>
    </row>
    <row r="2617" spans="1:2" x14ac:dyDescent="0.35">
      <c r="A2617" s="14">
        <v>42280.653310185182</v>
      </c>
      <c r="B2617" s="5">
        <v>1</v>
      </c>
    </row>
    <row r="2618" spans="1:2" x14ac:dyDescent="0.35">
      <c r="A2618" s="14">
        <v>42280.653437499997</v>
      </c>
      <c r="B2618" s="5">
        <v>1</v>
      </c>
    </row>
    <row r="2619" spans="1:2" x14ac:dyDescent="0.35">
      <c r="A2619" s="14">
        <v>42280.654432870368</v>
      </c>
      <c r="B2619" s="5">
        <v>1</v>
      </c>
    </row>
    <row r="2620" spans="1:2" x14ac:dyDescent="0.35">
      <c r="A2620" s="14">
        <v>42280.654467592591</v>
      </c>
      <c r="B2620" s="5">
        <v>1</v>
      </c>
    </row>
    <row r="2621" spans="1:2" x14ac:dyDescent="0.35">
      <c r="A2621" s="14">
        <v>42280.654560185183</v>
      </c>
      <c r="B2621" s="5">
        <v>1</v>
      </c>
    </row>
    <row r="2622" spans="1:2" x14ac:dyDescent="0.35">
      <c r="A2622" s="14">
        <v>42280.654629629629</v>
      </c>
      <c r="B2622" s="5">
        <v>1</v>
      </c>
    </row>
    <row r="2623" spans="1:2" x14ac:dyDescent="0.35">
      <c r="A2623" s="14">
        <v>42280.654699074075</v>
      </c>
      <c r="B2623" s="5">
        <v>1</v>
      </c>
    </row>
    <row r="2624" spans="1:2" x14ac:dyDescent="0.35">
      <c r="A2624" s="14">
        <v>42280.658877314818</v>
      </c>
      <c r="B2624" s="5">
        <v>2</v>
      </c>
    </row>
    <row r="2625" spans="1:2" x14ac:dyDescent="0.35">
      <c r="A2625" s="14">
        <v>42280.658946759257</v>
      </c>
      <c r="B2625" s="5">
        <v>1</v>
      </c>
    </row>
    <row r="2626" spans="1:2" x14ac:dyDescent="0.35">
      <c r="A2626" s="14">
        <v>42280.659247685187</v>
      </c>
      <c r="B2626" s="5">
        <v>1</v>
      </c>
    </row>
    <row r="2627" spans="1:2" x14ac:dyDescent="0.35">
      <c r="A2627" s="14">
        <v>42280.659351851849</v>
      </c>
      <c r="B2627" s="5">
        <v>1</v>
      </c>
    </row>
    <row r="2628" spans="1:2" x14ac:dyDescent="0.35">
      <c r="A2628" s="14">
        <v>42280.659780092596</v>
      </c>
      <c r="B2628" s="5">
        <v>2</v>
      </c>
    </row>
    <row r="2629" spans="1:2" x14ac:dyDescent="0.35">
      <c r="A2629" s="14">
        <v>42280.65996527778</v>
      </c>
      <c r="B2629" s="5">
        <v>1</v>
      </c>
    </row>
    <row r="2630" spans="1:2" x14ac:dyDescent="0.35">
      <c r="A2630" s="14">
        <v>42280.660266203704</v>
      </c>
      <c r="B2630" s="5">
        <v>1</v>
      </c>
    </row>
    <row r="2631" spans="1:2" x14ac:dyDescent="0.35">
      <c r="A2631" s="14">
        <v>42280.660451388889</v>
      </c>
      <c r="B2631" s="5">
        <v>1</v>
      </c>
    </row>
    <row r="2632" spans="1:2" x14ac:dyDescent="0.35">
      <c r="A2632" s="14">
        <v>42280.660902777781</v>
      </c>
      <c r="B2632" s="5">
        <v>2</v>
      </c>
    </row>
    <row r="2633" spans="1:2" x14ac:dyDescent="0.35">
      <c r="A2633" s="14">
        <v>42280.661076388889</v>
      </c>
      <c r="B2633" s="5">
        <v>2</v>
      </c>
    </row>
    <row r="2634" spans="1:2" x14ac:dyDescent="0.35">
      <c r="A2634" s="14">
        <v>42280.661192129628</v>
      </c>
      <c r="B2634" s="5">
        <v>1</v>
      </c>
    </row>
    <row r="2635" spans="1:2" x14ac:dyDescent="0.35">
      <c r="A2635" s="14">
        <v>42280.661319444444</v>
      </c>
      <c r="B2635" s="5">
        <v>2</v>
      </c>
    </row>
    <row r="2636" spans="1:2" x14ac:dyDescent="0.35">
      <c r="A2636" s="14">
        <v>42280.662523148145</v>
      </c>
      <c r="B2636" s="5">
        <v>1</v>
      </c>
    </row>
    <row r="2637" spans="1:2" x14ac:dyDescent="0.35">
      <c r="A2637" s="14">
        <v>42280.662581018521</v>
      </c>
      <c r="B2637" s="5">
        <v>1</v>
      </c>
    </row>
    <row r="2638" spans="1:2" x14ac:dyDescent="0.35">
      <c r="A2638" s="14">
        <v>42280.662835648145</v>
      </c>
      <c r="B2638" s="5">
        <v>1</v>
      </c>
    </row>
    <row r="2639" spans="1:2" x14ac:dyDescent="0.35">
      <c r="A2639" s="14">
        <v>42280.665821759256</v>
      </c>
      <c r="B2639" s="5">
        <v>1</v>
      </c>
    </row>
    <row r="2640" spans="1:2" x14ac:dyDescent="0.35">
      <c r="A2640" s="14">
        <v>42280.67423611111</v>
      </c>
      <c r="B2640" s="5">
        <v>1</v>
      </c>
    </row>
    <row r="2641" spans="1:2" x14ac:dyDescent="0.35">
      <c r="A2641" s="14">
        <v>42280.679722222223</v>
      </c>
      <c r="B2641" s="5">
        <v>1</v>
      </c>
    </row>
    <row r="2642" spans="1:2" x14ac:dyDescent="0.35">
      <c r="A2642" s="14">
        <v>42280.759722222225</v>
      </c>
      <c r="B2642" s="5">
        <v>1</v>
      </c>
    </row>
    <row r="2643" spans="1:2" x14ac:dyDescent="0.35">
      <c r="A2643" s="14">
        <v>42280.780798611115</v>
      </c>
      <c r="B2643" s="5">
        <v>1</v>
      </c>
    </row>
    <row r="2644" spans="1:2" x14ac:dyDescent="0.35">
      <c r="A2644" s="14">
        <v>42280.7887962963</v>
      </c>
      <c r="B2644" s="5">
        <v>1</v>
      </c>
    </row>
    <row r="2645" spans="1:2" x14ac:dyDescent="0.35">
      <c r="A2645" s="14">
        <v>42280.789560185185</v>
      </c>
      <c r="B2645" s="5">
        <v>1</v>
      </c>
    </row>
    <row r="2646" spans="1:2" x14ac:dyDescent="0.35">
      <c r="A2646" s="14">
        <v>42280.859189814815</v>
      </c>
      <c r="B2646" s="5">
        <v>1</v>
      </c>
    </row>
    <row r="2647" spans="1:2" x14ac:dyDescent="0.35">
      <c r="A2647" s="14">
        <v>42280.862453703703</v>
      </c>
      <c r="B2647" s="5">
        <v>1</v>
      </c>
    </row>
    <row r="2648" spans="1:2" x14ac:dyDescent="0.35">
      <c r="A2648" s="14">
        <v>42280.865983796299</v>
      </c>
      <c r="B2648" s="5">
        <v>1</v>
      </c>
    </row>
    <row r="2649" spans="1:2" x14ac:dyDescent="0.35">
      <c r="A2649" s="14">
        <v>42280.926666666666</v>
      </c>
      <c r="B2649" s="5">
        <v>1</v>
      </c>
    </row>
    <row r="2650" spans="1:2" x14ac:dyDescent="0.35">
      <c r="A2650" s="14">
        <v>42280.933206018519</v>
      </c>
      <c r="B2650" s="5">
        <v>1</v>
      </c>
    </row>
    <row r="2651" spans="1:2" x14ac:dyDescent="0.35">
      <c r="A2651" s="14">
        <v>42280.948807870373</v>
      </c>
      <c r="B2651" s="5">
        <v>1</v>
      </c>
    </row>
    <row r="2652" spans="1:2" x14ac:dyDescent="0.35">
      <c r="A2652" s="14">
        <v>42280.955671296295</v>
      </c>
      <c r="B2652" s="5">
        <v>1</v>
      </c>
    </row>
    <row r="2653" spans="1:2" x14ac:dyDescent="0.35">
      <c r="A2653" s="14">
        <v>42281.020787037036</v>
      </c>
      <c r="B2653" s="5">
        <v>1</v>
      </c>
    </row>
    <row r="2654" spans="1:2" x14ac:dyDescent="0.35">
      <c r="A2654" s="14">
        <v>42281.022534722222</v>
      </c>
      <c r="B2654" s="5">
        <v>1</v>
      </c>
    </row>
    <row r="2655" spans="1:2" x14ac:dyDescent="0.35">
      <c r="A2655" s="14">
        <v>42281.062222222223</v>
      </c>
      <c r="B2655" s="5">
        <v>1</v>
      </c>
    </row>
    <row r="2656" spans="1:2" x14ac:dyDescent="0.35">
      <c r="A2656" s="14">
        <v>42281.066006944442</v>
      </c>
      <c r="B2656" s="5">
        <v>1</v>
      </c>
    </row>
    <row r="2657" spans="1:2" x14ac:dyDescent="0.35">
      <c r="A2657" s="14">
        <v>42281.088935185187</v>
      </c>
      <c r="B2657" s="5">
        <v>1</v>
      </c>
    </row>
    <row r="2658" spans="1:2" x14ac:dyDescent="0.35">
      <c r="A2658" s="14">
        <v>42281.100636574076</v>
      </c>
      <c r="B2658" s="5">
        <v>1</v>
      </c>
    </row>
    <row r="2659" spans="1:2" x14ac:dyDescent="0.35">
      <c r="A2659" s="14">
        <v>42281.133009259262</v>
      </c>
      <c r="B2659" s="5">
        <v>1</v>
      </c>
    </row>
    <row r="2660" spans="1:2" x14ac:dyDescent="0.35">
      <c r="A2660" s="14">
        <v>42281.15247685185</v>
      </c>
      <c r="B2660" s="5">
        <v>1</v>
      </c>
    </row>
    <row r="2661" spans="1:2" x14ac:dyDescent="0.35">
      <c r="A2661" s="14">
        <v>42281.535243055558</v>
      </c>
      <c r="B2661" s="5">
        <v>1</v>
      </c>
    </row>
    <row r="2662" spans="1:2" x14ac:dyDescent="0.35">
      <c r="A2662" s="14">
        <v>42281.539305555554</v>
      </c>
      <c r="B2662" s="5">
        <v>2</v>
      </c>
    </row>
    <row r="2663" spans="1:2" x14ac:dyDescent="0.35">
      <c r="A2663" s="14">
        <v>42281.584999999999</v>
      </c>
      <c r="B2663" s="5">
        <v>1</v>
      </c>
    </row>
    <row r="2664" spans="1:2" x14ac:dyDescent="0.35">
      <c r="A2664" s="14">
        <v>42281.585601851853</v>
      </c>
      <c r="B2664" s="5">
        <v>1</v>
      </c>
    </row>
    <row r="2665" spans="1:2" x14ac:dyDescent="0.35">
      <c r="A2665" s="14">
        <v>42281.585613425923</v>
      </c>
      <c r="B2665" s="5">
        <v>1</v>
      </c>
    </row>
    <row r="2666" spans="1:2" x14ac:dyDescent="0.35">
      <c r="A2666" s="14">
        <v>42281.601886574077</v>
      </c>
      <c r="B2666" s="5">
        <v>1</v>
      </c>
    </row>
    <row r="2667" spans="1:2" x14ac:dyDescent="0.35">
      <c r="A2667" s="14">
        <v>42281.61445601852</v>
      </c>
      <c r="B2667" s="5">
        <v>1</v>
      </c>
    </row>
    <row r="2668" spans="1:2" x14ac:dyDescent="0.35">
      <c r="A2668" s="14">
        <v>42281.643946759257</v>
      </c>
      <c r="B2668" s="5">
        <v>1</v>
      </c>
    </row>
    <row r="2669" spans="1:2" x14ac:dyDescent="0.35">
      <c r="A2669" s="14">
        <v>42281.698240740741</v>
      </c>
      <c r="B2669" s="5">
        <v>1</v>
      </c>
    </row>
    <row r="2670" spans="1:2" x14ac:dyDescent="0.35">
      <c r="A2670" s="14">
        <v>42281.701469907406</v>
      </c>
      <c r="B2670" s="5">
        <v>1</v>
      </c>
    </row>
    <row r="2671" spans="1:2" x14ac:dyDescent="0.35">
      <c r="A2671" s="14">
        <v>42281.704259259262</v>
      </c>
      <c r="B2671" s="5">
        <v>2</v>
      </c>
    </row>
    <row r="2672" spans="1:2" x14ac:dyDescent="0.35">
      <c r="A2672" s="14">
        <v>42281.716724537036</v>
      </c>
      <c r="B2672" s="5">
        <v>1</v>
      </c>
    </row>
    <row r="2673" spans="1:2" x14ac:dyDescent="0.35">
      <c r="A2673" s="14">
        <v>42281.718217592592</v>
      </c>
      <c r="B2673" s="5">
        <v>1</v>
      </c>
    </row>
    <row r="2674" spans="1:2" x14ac:dyDescent="0.35">
      <c r="A2674" s="14">
        <v>42281.723993055559</v>
      </c>
      <c r="B2674" s="5">
        <v>1</v>
      </c>
    </row>
    <row r="2675" spans="1:2" x14ac:dyDescent="0.35">
      <c r="A2675" s="14">
        <v>42281.779722222222</v>
      </c>
      <c r="B2675" s="5">
        <v>1</v>
      </c>
    </row>
    <row r="2676" spans="1:2" x14ac:dyDescent="0.35">
      <c r="A2676" s="14">
        <v>42281.806134259263</v>
      </c>
      <c r="B2676" s="5">
        <v>1</v>
      </c>
    </row>
    <row r="2677" spans="1:2" x14ac:dyDescent="0.35">
      <c r="A2677" s="14">
        <v>42281.839583333334</v>
      </c>
      <c r="B2677" s="5">
        <v>1</v>
      </c>
    </row>
    <row r="2678" spans="1:2" x14ac:dyDescent="0.35">
      <c r="A2678" s="14">
        <v>42281.839918981481</v>
      </c>
      <c r="B2678" s="5">
        <v>1</v>
      </c>
    </row>
    <row r="2679" spans="1:2" x14ac:dyDescent="0.35">
      <c r="A2679" s="14">
        <v>42281.841678240744</v>
      </c>
      <c r="B2679" s="5">
        <v>1</v>
      </c>
    </row>
    <row r="2680" spans="1:2" x14ac:dyDescent="0.35">
      <c r="A2680" s="14">
        <v>42281.846076388887</v>
      </c>
      <c r="B2680" s="5">
        <v>1</v>
      </c>
    </row>
    <row r="2681" spans="1:2" x14ac:dyDescent="0.35">
      <c r="A2681" s="14">
        <v>42281.846828703703</v>
      </c>
      <c r="B2681" s="5">
        <v>1</v>
      </c>
    </row>
    <row r="2682" spans="1:2" x14ac:dyDescent="0.35">
      <c r="A2682" s="14">
        <v>42281.84957175926</v>
      </c>
      <c r="B2682" s="5">
        <v>1</v>
      </c>
    </row>
    <row r="2683" spans="1:2" x14ac:dyDescent="0.35">
      <c r="A2683" s="14">
        <v>42281.849814814814</v>
      </c>
      <c r="B2683" s="5">
        <v>1</v>
      </c>
    </row>
    <row r="2684" spans="1:2" x14ac:dyDescent="0.35">
      <c r="A2684" s="14">
        <v>42281.861828703702</v>
      </c>
      <c r="B2684" s="5">
        <v>1</v>
      </c>
    </row>
    <row r="2685" spans="1:2" x14ac:dyDescent="0.35">
      <c r="A2685" s="14">
        <v>42281.881504629629</v>
      </c>
      <c r="B2685" s="5">
        <v>1</v>
      </c>
    </row>
    <row r="2686" spans="1:2" x14ac:dyDescent="0.35">
      <c r="A2686" s="14">
        <v>42281.905694444446</v>
      </c>
      <c r="B2686" s="5">
        <v>1</v>
      </c>
    </row>
    <row r="2687" spans="1:2" x14ac:dyDescent="0.35">
      <c r="A2687" s="14">
        <v>42281.92324074074</v>
      </c>
      <c r="B2687" s="5">
        <v>1</v>
      </c>
    </row>
    <row r="2688" spans="1:2" x14ac:dyDescent="0.35">
      <c r="A2688" s="14">
        <v>42281.948483796295</v>
      </c>
      <c r="B2688" s="5">
        <v>1</v>
      </c>
    </row>
    <row r="2689" spans="1:2" x14ac:dyDescent="0.35">
      <c r="A2689" s="14">
        <v>42281.963553240741</v>
      </c>
      <c r="B2689" s="5">
        <v>1</v>
      </c>
    </row>
    <row r="2690" spans="1:2" x14ac:dyDescent="0.35">
      <c r="A2690" s="14">
        <v>42281.968472222223</v>
      </c>
      <c r="B2690" s="5">
        <v>1</v>
      </c>
    </row>
    <row r="2691" spans="1:2" x14ac:dyDescent="0.35">
      <c r="A2691" s="14">
        <v>42281.969988425924</v>
      </c>
      <c r="B2691" s="5">
        <v>1</v>
      </c>
    </row>
    <row r="2692" spans="1:2" x14ac:dyDescent="0.35">
      <c r="A2692" s="14">
        <v>42281.970833333333</v>
      </c>
      <c r="B2692" s="5">
        <v>1</v>
      </c>
    </row>
    <row r="2693" spans="1:2" x14ac:dyDescent="0.35">
      <c r="A2693" s="14">
        <v>42281.9766087963</v>
      </c>
      <c r="B2693" s="5">
        <v>1</v>
      </c>
    </row>
    <row r="2694" spans="1:2" x14ac:dyDescent="0.35">
      <c r="A2694" s="14">
        <v>42282.007361111115</v>
      </c>
      <c r="B2694" s="5">
        <v>1</v>
      </c>
    </row>
    <row r="2695" spans="1:2" x14ac:dyDescent="0.35">
      <c r="A2695" s="14">
        <v>42282.062442129631</v>
      </c>
      <c r="B2695" s="5">
        <v>1</v>
      </c>
    </row>
    <row r="2696" spans="1:2" x14ac:dyDescent="0.35">
      <c r="A2696" s="14">
        <v>42282.10052083333</v>
      </c>
      <c r="B2696" s="5">
        <v>1</v>
      </c>
    </row>
    <row r="2697" spans="1:2" x14ac:dyDescent="0.35">
      <c r="A2697" s="14">
        <v>42282.1015162037</v>
      </c>
      <c r="B2697" s="5">
        <v>1</v>
      </c>
    </row>
    <row r="2698" spans="1:2" x14ac:dyDescent="0.35">
      <c r="A2698" s="14">
        <v>42282.104120370372</v>
      </c>
      <c r="B2698" s="5">
        <v>1</v>
      </c>
    </row>
    <row r="2699" spans="1:2" x14ac:dyDescent="0.35">
      <c r="A2699" s="14">
        <v>42282.105706018519</v>
      </c>
      <c r="B2699" s="5">
        <v>1</v>
      </c>
    </row>
    <row r="2700" spans="1:2" x14ac:dyDescent="0.35">
      <c r="A2700" s="14">
        <v>42282.121562499997</v>
      </c>
      <c r="B2700" s="5">
        <v>1</v>
      </c>
    </row>
    <row r="2701" spans="1:2" x14ac:dyDescent="0.35">
      <c r="A2701" s="14">
        <v>42282.150370370371</v>
      </c>
      <c r="B2701" s="5">
        <v>1</v>
      </c>
    </row>
    <row r="2702" spans="1:2" x14ac:dyDescent="0.35">
      <c r="A2702" s="14">
        <v>42282.157349537039</v>
      </c>
      <c r="B2702" s="5">
        <v>1</v>
      </c>
    </row>
    <row r="2703" spans="1:2" x14ac:dyDescent="0.35">
      <c r="A2703" s="14">
        <v>42282.180567129632</v>
      </c>
      <c r="B2703" s="5">
        <v>1</v>
      </c>
    </row>
    <row r="2704" spans="1:2" x14ac:dyDescent="0.35">
      <c r="A2704" s="14">
        <v>42282.193402777775</v>
      </c>
      <c r="B2704" s="5">
        <v>1</v>
      </c>
    </row>
    <row r="2705" spans="1:2" x14ac:dyDescent="0.35">
      <c r="A2705" s="14">
        <v>42282.23060185185</v>
      </c>
      <c r="B2705" s="5">
        <v>1</v>
      </c>
    </row>
    <row r="2706" spans="1:2" x14ac:dyDescent="0.35">
      <c r="A2706" s="14">
        <v>42282.234803240739</v>
      </c>
      <c r="B2706" s="5">
        <v>1</v>
      </c>
    </row>
    <row r="2707" spans="1:2" x14ac:dyDescent="0.35">
      <c r="A2707" s="14">
        <v>42282.258101851854</v>
      </c>
      <c r="B2707" s="5">
        <v>1</v>
      </c>
    </row>
    <row r="2708" spans="1:2" x14ac:dyDescent="0.35">
      <c r="A2708" s="14">
        <v>42282.279398148145</v>
      </c>
      <c r="B2708" s="5">
        <v>1</v>
      </c>
    </row>
    <row r="2709" spans="1:2" x14ac:dyDescent="0.35">
      <c r="A2709" s="14">
        <v>42282.384375000001</v>
      </c>
      <c r="B2709" s="5">
        <v>1</v>
      </c>
    </row>
    <row r="2710" spans="1:2" x14ac:dyDescent="0.35">
      <c r="A2710" s="14">
        <v>42282.386307870373</v>
      </c>
      <c r="B2710" s="5">
        <v>1</v>
      </c>
    </row>
    <row r="2711" spans="1:2" x14ac:dyDescent="0.35">
      <c r="A2711" s="14">
        <v>42282.387569444443</v>
      </c>
      <c r="B2711" s="5">
        <v>1</v>
      </c>
    </row>
    <row r="2712" spans="1:2" x14ac:dyDescent="0.35">
      <c r="A2712" s="14">
        <v>42282.388680555552</v>
      </c>
      <c r="B2712" s="5">
        <v>2</v>
      </c>
    </row>
    <row r="2713" spans="1:2" x14ac:dyDescent="0.35">
      <c r="A2713" s="14">
        <v>42282.557673611111</v>
      </c>
      <c r="B2713" s="5">
        <v>1</v>
      </c>
    </row>
    <row r="2714" spans="1:2" x14ac:dyDescent="0.35">
      <c r="A2714" s="14">
        <v>42282.561041666668</v>
      </c>
      <c r="B2714" s="5">
        <v>1</v>
      </c>
    </row>
    <row r="2715" spans="1:2" x14ac:dyDescent="0.35">
      <c r="A2715" s="14">
        <v>42282.570173611108</v>
      </c>
      <c r="B2715" s="5">
        <v>1</v>
      </c>
    </row>
    <row r="2716" spans="1:2" x14ac:dyDescent="0.35">
      <c r="A2716" s="14">
        <v>42282.573923611111</v>
      </c>
      <c r="B2716" s="5">
        <v>1</v>
      </c>
    </row>
    <row r="2717" spans="1:2" x14ac:dyDescent="0.35">
      <c r="A2717" s="14">
        <v>42282.58425925926</v>
      </c>
      <c r="B2717" s="5">
        <v>1</v>
      </c>
    </row>
    <row r="2718" spans="1:2" x14ac:dyDescent="0.35">
      <c r="A2718" s="14">
        <v>42282.584537037037</v>
      </c>
      <c r="B2718" s="5">
        <v>1</v>
      </c>
    </row>
    <row r="2719" spans="1:2" x14ac:dyDescent="0.35">
      <c r="A2719" s="14">
        <v>42282.626238425924</v>
      </c>
      <c r="B2719" s="5">
        <v>1</v>
      </c>
    </row>
    <row r="2720" spans="1:2" x14ac:dyDescent="0.35">
      <c r="A2720" s="14">
        <v>42282.636111111111</v>
      </c>
      <c r="B2720" s="5">
        <v>1</v>
      </c>
    </row>
    <row r="2721" spans="1:2" x14ac:dyDescent="0.35">
      <c r="A2721" s="14">
        <v>42282.663819444446</v>
      </c>
      <c r="B2721" s="5">
        <v>1</v>
      </c>
    </row>
    <row r="2722" spans="1:2" x14ac:dyDescent="0.35">
      <c r="A2722" s="14">
        <v>42282.664293981485</v>
      </c>
      <c r="B2722" s="5">
        <v>1</v>
      </c>
    </row>
    <row r="2723" spans="1:2" x14ac:dyDescent="0.35">
      <c r="A2723" s="14">
        <v>42282.665694444448</v>
      </c>
      <c r="B2723" s="5">
        <v>1</v>
      </c>
    </row>
    <row r="2724" spans="1:2" x14ac:dyDescent="0.35">
      <c r="A2724" s="14">
        <v>42282.70071759259</v>
      </c>
      <c r="B2724" s="5">
        <v>1</v>
      </c>
    </row>
    <row r="2725" spans="1:2" x14ac:dyDescent="0.35">
      <c r="A2725" s="14">
        <v>42282.710162037038</v>
      </c>
      <c r="B2725" s="5">
        <v>1</v>
      </c>
    </row>
    <row r="2726" spans="1:2" x14ac:dyDescent="0.35">
      <c r="A2726" s="14">
        <v>42282.712118055555</v>
      </c>
      <c r="B2726" s="5">
        <v>1</v>
      </c>
    </row>
    <row r="2727" spans="1:2" x14ac:dyDescent="0.35">
      <c r="A2727" s="14">
        <v>42282.712696759256</v>
      </c>
      <c r="B2727" s="5">
        <v>1</v>
      </c>
    </row>
    <row r="2728" spans="1:2" x14ac:dyDescent="0.35">
      <c r="A2728" s="14">
        <v>42282.717997685184</v>
      </c>
      <c r="B2728" s="5">
        <v>1</v>
      </c>
    </row>
    <row r="2729" spans="1:2" x14ac:dyDescent="0.35">
      <c r="A2729" s="14">
        <v>42282.728668981479</v>
      </c>
      <c r="B2729" s="5">
        <v>1</v>
      </c>
    </row>
    <row r="2730" spans="1:2" x14ac:dyDescent="0.35">
      <c r="A2730" s="14">
        <v>42282.751550925925</v>
      </c>
      <c r="B2730" s="5">
        <v>1</v>
      </c>
    </row>
    <row r="2731" spans="1:2" x14ac:dyDescent="0.35">
      <c r="A2731" s="14">
        <v>42282.760428240741</v>
      </c>
      <c r="B2731" s="5">
        <v>1</v>
      </c>
    </row>
    <row r="2732" spans="1:2" x14ac:dyDescent="0.35">
      <c r="A2732" s="14">
        <v>42282.774074074077</v>
      </c>
      <c r="B2732" s="5">
        <v>1</v>
      </c>
    </row>
    <row r="2733" spans="1:2" x14ac:dyDescent="0.35">
      <c r="A2733" s="14">
        <v>42282.774351851855</v>
      </c>
      <c r="B2733" s="5">
        <v>1</v>
      </c>
    </row>
    <row r="2734" spans="1:2" x14ac:dyDescent="0.35">
      <c r="A2734" s="14">
        <v>42282.776655092595</v>
      </c>
      <c r="B2734" s="5">
        <v>1</v>
      </c>
    </row>
    <row r="2735" spans="1:2" x14ac:dyDescent="0.35">
      <c r="A2735" s="14">
        <v>42282.853854166664</v>
      </c>
      <c r="B2735" s="5">
        <v>1</v>
      </c>
    </row>
    <row r="2736" spans="1:2" x14ac:dyDescent="0.35">
      <c r="A2736" s="14">
        <v>42282.884502314817</v>
      </c>
      <c r="B2736" s="5">
        <v>1</v>
      </c>
    </row>
    <row r="2737" spans="1:2" x14ac:dyDescent="0.35">
      <c r="A2737" s="14">
        <v>42282.896828703706</v>
      </c>
      <c r="B2737" s="5">
        <v>1</v>
      </c>
    </row>
    <row r="2738" spans="1:2" x14ac:dyDescent="0.35">
      <c r="A2738" s="14">
        <v>42282.897060185183</v>
      </c>
      <c r="B2738" s="5">
        <v>1</v>
      </c>
    </row>
    <row r="2739" spans="1:2" x14ac:dyDescent="0.35">
      <c r="A2739" s="14">
        <v>42282.89916666667</v>
      </c>
      <c r="B2739" s="5">
        <v>1</v>
      </c>
    </row>
    <row r="2740" spans="1:2" x14ac:dyDescent="0.35">
      <c r="A2740" s="14">
        <v>42282.907002314816</v>
      </c>
      <c r="B2740" s="5">
        <v>1</v>
      </c>
    </row>
    <row r="2741" spans="1:2" x14ac:dyDescent="0.35">
      <c r="A2741" s="14">
        <v>42282.907754629632</v>
      </c>
      <c r="B2741" s="5">
        <v>1</v>
      </c>
    </row>
    <row r="2742" spans="1:2" x14ac:dyDescent="0.35">
      <c r="A2742" s="14">
        <v>42282.919675925928</v>
      </c>
      <c r="B2742" s="5">
        <v>1</v>
      </c>
    </row>
    <row r="2743" spans="1:2" x14ac:dyDescent="0.35">
      <c r="A2743" s="14">
        <v>42282.924317129633</v>
      </c>
      <c r="B2743" s="5">
        <v>1</v>
      </c>
    </row>
    <row r="2744" spans="1:2" x14ac:dyDescent="0.35">
      <c r="A2744" s="14">
        <v>42282.945902777778</v>
      </c>
      <c r="B2744" s="5">
        <v>1</v>
      </c>
    </row>
    <row r="2745" spans="1:2" x14ac:dyDescent="0.35">
      <c r="A2745" s="14">
        <v>42282.950567129628</v>
      </c>
      <c r="B2745" s="5">
        <v>1</v>
      </c>
    </row>
    <row r="2746" spans="1:2" x14ac:dyDescent="0.35">
      <c r="A2746" s="14">
        <v>42282.957986111112</v>
      </c>
      <c r="B2746" s="5">
        <v>1</v>
      </c>
    </row>
    <row r="2747" spans="1:2" x14ac:dyDescent="0.35">
      <c r="A2747" s="14">
        <v>42282.960266203707</v>
      </c>
      <c r="B2747" s="5">
        <v>1</v>
      </c>
    </row>
    <row r="2748" spans="1:2" x14ac:dyDescent="0.35">
      <c r="A2748" s="14">
        <v>42282.962812500002</v>
      </c>
      <c r="B2748" s="5">
        <v>1</v>
      </c>
    </row>
    <row r="2749" spans="1:2" x14ac:dyDescent="0.35">
      <c r="A2749" s="14">
        <v>42283.011030092595</v>
      </c>
      <c r="B2749" s="5">
        <v>1</v>
      </c>
    </row>
    <row r="2750" spans="1:2" x14ac:dyDescent="0.35">
      <c r="A2750" s="14">
        <v>42283.011273148149</v>
      </c>
      <c r="B2750" s="5">
        <v>1</v>
      </c>
    </row>
    <row r="2751" spans="1:2" x14ac:dyDescent="0.35">
      <c r="A2751" s="14">
        <v>42283.011365740742</v>
      </c>
      <c r="B2751" s="5">
        <v>1</v>
      </c>
    </row>
    <row r="2752" spans="1:2" x14ac:dyDescent="0.35">
      <c r="A2752" s="14">
        <v>42283.011423611111</v>
      </c>
      <c r="B2752" s="5">
        <v>1</v>
      </c>
    </row>
    <row r="2753" spans="1:2" x14ac:dyDescent="0.35">
      <c r="A2753" s="14">
        <v>42283.047256944446</v>
      </c>
      <c r="B2753" s="5">
        <v>1</v>
      </c>
    </row>
    <row r="2754" spans="1:2" x14ac:dyDescent="0.35">
      <c r="A2754" s="14">
        <v>42283.054282407407</v>
      </c>
      <c r="B2754" s="5">
        <v>1</v>
      </c>
    </row>
    <row r="2755" spans="1:2" x14ac:dyDescent="0.35">
      <c r="A2755" s="14">
        <v>42283.078923611109</v>
      </c>
      <c r="B2755" s="5">
        <v>1</v>
      </c>
    </row>
    <row r="2756" spans="1:2" x14ac:dyDescent="0.35">
      <c r="A2756" s="14">
        <v>42283.089733796296</v>
      </c>
      <c r="B2756" s="5">
        <v>1</v>
      </c>
    </row>
    <row r="2757" spans="1:2" x14ac:dyDescent="0.35">
      <c r="A2757" s="14">
        <v>42283.097766203704</v>
      </c>
      <c r="B2757" s="5">
        <v>1</v>
      </c>
    </row>
    <row r="2758" spans="1:2" x14ac:dyDescent="0.35">
      <c r="A2758" s="14">
        <v>42283.124652777777</v>
      </c>
      <c r="B2758" s="5">
        <v>1</v>
      </c>
    </row>
    <row r="2759" spans="1:2" x14ac:dyDescent="0.35">
      <c r="A2759" s="14">
        <v>42283.129351851851</v>
      </c>
      <c r="B2759" s="5">
        <v>1</v>
      </c>
    </row>
    <row r="2760" spans="1:2" x14ac:dyDescent="0.35">
      <c r="A2760" s="14">
        <v>42283.173611111109</v>
      </c>
      <c r="B2760" s="5">
        <v>1</v>
      </c>
    </row>
    <row r="2761" spans="1:2" x14ac:dyDescent="0.35">
      <c r="A2761" s="14">
        <v>42283.23715277778</v>
      </c>
      <c r="B2761" s="5">
        <v>1</v>
      </c>
    </row>
    <row r="2762" spans="1:2" x14ac:dyDescent="0.35">
      <c r="A2762" s="14">
        <v>42283.238993055558</v>
      </c>
      <c r="B2762" s="5">
        <v>1</v>
      </c>
    </row>
    <row r="2763" spans="1:2" x14ac:dyDescent="0.35">
      <c r="A2763" s="14">
        <v>42283.243113425924</v>
      </c>
      <c r="B2763" s="5">
        <v>1</v>
      </c>
    </row>
    <row r="2764" spans="1:2" x14ac:dyDescent="0.35">
      <c r="A2764" s="14">
        <v>42283.329074074078</v>
      </c>
      <c r="B2764" s="5">
        <v>1</v>
      </c>
    </row>
    <row r="2765" spans="1:2" x14ac:dyDescent="0.35">
      <c r="A2765" s="14">
        <v>42283.350659722222</v>
      </c>
      <c r="B2765" s="5">
        <v>1</v>
      </c>
    </row>
    <row r="2766" spans="1:2" x14ac:dyDescent="0.35">
      <c r="A2766" s="14">
        <v>42283.531134259261</v>
      </c>
      <c r="B2766" s="5">
        <v>1</v>
      </c>
    </row>
    <row r="2767" spans="1:2" x14ac:dyDescent="0.35">
      <c r="A2767" s="14">
        <v>42283.58697916667</v>
      </c>
      <c r="B2767" s="5">
        <v>1</v>
      </c>
    </row>
    <row r="2768" spans="1:2" x14ac:dyDescent="0.35">
      <c r="A2768" s="14">
        <v>42283.596064814818</v>
      </c>
      <c r="B2768" s="5">
        <v>1</v>
      </c>
    </row>
    <row r="2769" spans="1:2" x14ac:dyDescent="0.35">
      <c r="A2769" s="14">
        <v>42283.629293981481</v>
      </c>
      <c r="B2769" s="5">
        <v>1</v>
      </c>
    </row>
    <row r="2770" spans="1:2" x14ac:dyDescent="0.35">
      <c r="A2770" s="14">
        <v>42283.629652777781</v>
      </c>
      <c r="B2770" s="5">
        <v>1</v>
      </c>
    </row>
    <row r="2771" spans="1:2" x14ac:dyDescent="0.35">
      <c r="A2771" s="14">
        <v>42283.640266203707</v>
      </c>
      <c r="B2771" s="5">
        <v>1</v>
      </c>
    </row>
    <row r="2772" spans="1:2" x14ac:dyDescent="0.35">
      <c r="A2772" s="14">
        <v>42283.674224537041</v>
      </c>
      <c r="B2772" s="5">
        <v>1</v>
      </c>
    </row>
    <row r="2773" spans="1:2" x14ac:dyDescent="0.35">
      <c r="A2773" s="14">
        <v>42283.677129629628</v>
      </c>
      <c r="B2773" s="5">
        <v>1</v>
      </c>
    </row>
    <row r="2774" spans="1:2" x14ac:dyDescent="0.35">
      <c r="A2774" s="14">
        <v>42283.685752314814</v>
      </c>
      <c r="B2774" s="5">
        <v>1</v>
      </c>
    </row>
    <row r="2775" spans="1:2" x14ac:dyDescent="0.35">
      <c r="A2775" s="14">
        <v>42283.696608796294</v>
      </c>
      <c r="B2775" s="5">
        <v>1</v>
      </c>
    </row>
    <row r="2776" spans="1:2" x14ac:dyDescent="0.35">
      <c r="A2776" s="14">
        <v>42283.709050925929</v>
      </c>
      <c r="B2776" s="5">
        <v>1</v>
      </c>
    </row>
    <row r="2777" spans="1:2" x14ac:dyDescent="0.35">
      <c r="A2777" s="14">
        <v>42283.715902777774</v>
      </c>
      <c r="B2777" s="5">
        <v>1</v>
      </c>
    </row>
    <row r="2778" spans="1:2" x14ac:dyDescent="0.35">
      <c r="A2778" s="14">
        <v>42283.723599537036</v>
      </c>
      <c r="B2778" s="5">
        <v>1</v>
      </c>
    </row>
    <row r="2779" spans="1:2" x14ac:dyDescent="0.35">
      <c r="A2779" s="14">
        <v>42283.731122685182</v>
      </c>
      <c r="B2779" s="5">
        <v>1</v>
      </c>
    </row>
    <row r="2780" spans="1:2" x14ac:dyDescent="0.35">
      <c r="A2780" s="14">
        <v>42283.73232638889</v>
      </c>
      <c r="B2780" s="5">
        <v>1</v>
      </c>
    </row>
    <row r="2781" spans="1:2" x14ac:dyDescent="0.35">
      <c r="A2781" s="14">
        <v>42283.733356481483</v>
      </c>
      <c r="B2781" s="5">
        <v>1</v>
      </c>
    </row>
    <row r="2782" spans="1:2" x14ac:dyDescent="0.35">
      <c r="A2782" s="14">
        <v>42283.749155092592</v>
      </c>
      <c r="B2782" s="5">
        <v>1</v>
      </c>
    </row>
    <row r="2783" spans="1:2" x14ac:dyDescent="0.35">
      <c r="A2783" s="14">
        <v>42283.75304398148</v>
      </c>
      <c r="B2783" s="5">
        <v>1</v>
      </c>
    </row>
    <row r="2784" spans="1:2" x14ac:dyDescent="0.35">
      <c r="A2784" s="14">
        <v>42283.753113425926</v>
      </c>
      <c r="B2784" s="5">
        <v>1</v>
      </c>
    </row>
    <row r="2785" spans="1:2" x14ac:dyDescent="0.35">
      <c r="A2785" s="14">
        <v>42283.753125000003</v>
      </c>
      <c r="B2785" s="5">
        <v>1</v>
      </c>
    </row>
    <row r="2786" spans="1:2" x14ac:dyDescent="0.35">
      <c r="A2786" s="14">
        <v>42283.753194444442</v>
      </c>
      <c r="B2786" s="5">
        <v>1</v>
      </c>
    </row>
    <row r="2787" spans="1:2" x14ac:dyDescent="0.35">
      <c r="A2787" s="14">
        <v>42283.753275462965</v>
      </c>
      <c r="B2787" s="5">
        <v>2</v>
      </c>
    </row>
    <row r="2788" spans="1:2" x14ac:dyDescent="0.35">
      <c r="A2788" s="14">
        <v>42283.75335648148</v>
      </c>
      <c r="B2788" s="5">
        <v>1</v>
      </c>
    </row>
    <row r="2789" spans="1:2" x14ac:dyDescent="0.35">
      <c r="A2789" s="14">
        <v>42283.753483796296</v>
      </c>
      <c r="B2789" s="5">
        <v>1</v>
      </c>
    </row>
    <row r="2790" spans="1:2" x14ac:dyDescent="0.35">
      <c r="A2790" s="14">
        <v>42283.753553240742</v>
      </c>
      <c r="B2790" s="5">
        <v>1</v>
      </c>
    </row>
    <row r="2791" spans="1:2" x14ac:dyDescent="0.35">
      <c r="A2791" s="14">
        <v>42283.753622685188</v>
      </c>
      <c r="B2791" s="5">
        <v>1</v>
      </c>
    </row>
    <row r="2792" spans="1:2" x14ac:dyDescent="0.35">
      <c r="A2792" s="14">
        <v>42283.753854166665</v>
      </c>
      <c r="B2792" s="5">
        <v>1</v>
      </c>
    </row>
    <row r="2793" spans="1:2" x14ac:dyDescent="0.35">
      <c r="A2793" s="14">
        <v>42283.754895833335</v>
      </c>
      <c r="B2793" s="5">
        <v>1</v>
      </c>
    </row>
    <row r="2794" spans="1:2" x14ac:dyDescent="0.35">
      <c r="A2794" s="14">
        <v>42283.788645833331</v>
      </c>
      <c r="B2794" s="5">
        <v>1</v>
      </c>
    </row>
    <row r="2795" spans="1:2" x14ac:dyDescent="0.35">
      <c r="A2795" s="14">
        <v>42283.79859953704</v>
      </c>
      <c r="B2795" s="5">
        <v>1</v>
      </c>
    </row>
    <row r="2796" spans="1:2" x14ac:dyDescent="0.35">
      <c r="A2796" s="14">
        <v>42283.809166666666</v>
      </c>
      <c r="B2796" s="5">
        <v>1</v>
      </c>
    </row>
    <row r="2797" spans="1:2" x14ac:dyDescent="0.35">
      <c r="A2797" s="14">
        <v>42283.81726851852</v>
      </c>
      <c r="B2797" s="5">
        <v>1</v>
      </c>
    </row>
    <row r="2798" spans="1:2" x14ac:dyDescent="0.35">
      <c r="A2798" s="14">
        <v>42283.828252314815</v>
      </c>
      <c r="B2798" s="5">
        <v>1</v>
      </c>
    </row>
    <row r="2799" spans="1:2" x14ac:dyDescent="0.35">
      <c r="A2799" s="14">
        <v>42283.828263888892</v>
      </c>
      <c r="B2799" s="5">
        <v>1</v>
      </c>
    </row>
    <row r="2800" spans="1:2" x14ac:dyDescent="0.35">
      <c r="A2800" s="14">
        <v>42283.83090277778</v>
      </c>
      <c r="B2800" s="5">
        <v>1</v>
      </c>
    </row>
    <row r="2801" spans="1:2" x14ac:dyDescent="0.35">
      <c r="A2801" s="14">
        <v>42283.832013888888</v>
      </c>
      <c r="B2801" s="5">
        <v>1</v>
      </c>
    </row>
    <row r="2802" spans="1:2" x14ac:dyDescent="0.35">
      <c r="A2802" s="14">
        <v>42283.840787037036</v>
      </c>
      <c r="B2802" s="5">
        <v>1</v>
      </c>
    </row>
    <row r="2803" spans="1:2" x14ac:dyDescent="0.35">
      <c r="A2803" s="14">
        <v>42283.844212962962</v>
      </c>
      <c r="B2803" s="5">
        <v>1</v>
      </c>
    </row>
    <row r="2804" spans="1:2" x14ac:dyDescent="0.35">
      <c r="A2804" s="14">
        <v>42283.905405092592</v>
      </c>
      <c r="B2804" s="5">
        <v>1</v>
      </c>
    </row>
    <row r="2805" spans="1:2" x14ac:dyDescent="0.35">
      <c r="A2805" s="14">
        <v>42283.916215277779</v>
      </c>
      <c r="B2805" s="5">
        <v>1</v>
      </c>
    </row>
    <row r="2806" spans="1:2" x14ac:dyDescent="0.35">
      <c r="A2806" s="14">
        <v>42283.916747685187</v>
      </c>
      <c r="B2806" s="5">
        <v>1</v>
      </c>
    </row>
    <row r="2807" spans="1:2" x14ac:dyDescent="0.35">
      <c r="A2807" s="14">
        <v>42283.91978009259</v>
      </c>
      <c r="B2807" s="5">
        <v>1</v>
      </c>
    </row>
    <row r="2808" spans="1:2" x14ac:dyDescent="0.35">
      <c r="A2808" s="14">
        <v>42283.923252314817</v>
      </c>
      <c r="B2808" s="5">
        <v>1</v>
      </c>
    </row>
    <row r="2809" spans="1:2" x14ac:dyDescent="0.35">
      <c r="A2809" s="14">
        <v>42283.938587962963</v>
      </c>
      <c r="B2809" s="5">
        <v>1</v>
      </c>
    </row>
    <row r="2810" spans="1:2" x14ac:dyDescent="0.35">
      <c r="A2810" s="14">
        <v>42283.996122685188</v>
      </c>
      <c r="B2810" s="5">
        <v>1</v>
      </c>
    </row>
    <row r="2811" spans="1:2" x14ac:dyDescent="0.35">
      <c r="A2811" s="14">
        <v>42284.01871527778</v>
      </c>
      <c r="B2811" s="5">
        <v>1</v>
      </c>
    </row>
    <row r="2812" spans="1:2" x14ac:dyDescent="0.35">
      <c r="A2812" s="14">
        <v>42284.019641203704</v>
      </c>
      <c r="B2812" s="5">
        <v>2</v>
      </c>
    </row>
    <row r="2813" spans="1:2" x14ac:dyDescent="0.35">
      <c r="A2813" s="14">
        <v>42284.021828703706</v>
      </c>
      <c r="B2813" s="5">
        <v>1</v>
      </c>
    </row>
    <row r="2814" spans="1:2" x14ac:dyDescent="0.35">
      <c r="A2814" s="14">
        <v>42284.022164351853</v>
      </c>
      <c r="B2814" s="5">
        <v>1</v>
      </c>
    </row>
    <row r="2815" spans="1:2" x14ac:dyDescent="0.35">
      <c r="A2815" s="14">
        <v>42284.022523148145</v>
      </c>
      <c r="B2815" s="5">
        <v>1</v>
      </c>
    </row>
    <row r="2816" spans="1:2" x14ac:dyDescent="0.35">
      <c r="A2816" s="14">
        <v>42284.022881944446</v>
      </c>
      <c r="B2816" s="5">
        <v>1</v>
      </c>
    </row>
    <row r="2817" spans="1:2" x14ac:dyDescent="0.35">
      <c r="A2817" s="14">
        <v>42284.02412037037</v>
      </c>
      <c r="B2817" s="5">
        <v>1</v>
      </c>
    </row>
    <row r="2818" spans="1:2" x14ac:dyDescent="0.35">
      <c r="A2818" s="14">
        <v>42284.024560185186</v>
      </c>
      <c r="B2818" s="5">
        <v>1</v>
      </c>
    </row>
    <row r="2819" spans="1:2" x14ac:dyDescent="0.35">
      <c r="A2819" s="14">
        <v>42284.033854166664</v>
      </c>
      <c r="B2819" s="5">
        <v>1</v>
      </c>
    </row>
    <row r="2820" spans="1:2" x14ac:dyDescent="0.35">
      <c r="A2820" s="14">
        <v>42284.03733796296</v>
      </c>
      <c r="B2820" s="5">
        <v>1</v>
      </c>
    </row>
    <row r="2821" spans="1:2" x14ac:dyDescent="0.35">
      <c r="A2821" s="14">
        <v>42284.059791666667</v>
      </c>
      <c r="B2821" s="5">
        <v>1</v>
      </c>
    </row>
    <row r="2822" spans="1:2" x14ac:dyDescent="0.35">
      <c r="A2822" s="14">
        <v>42284.095775462964</v>
      </c>
      <c r="B2822" s="5">
        <v>1</v>
      </c>
    </row>
    <row r="2823" spans="1:2" x14ac:dyDescent="0.35">
      <c r="A2823" s="14">
        <v>42284.102916666663</v>
      </c>
      <c r="B2823" s="5">
        <v>1</v>
      </c>
    </row>
    <row r="2824" spans="1:2" x14ac:dyDescent="0.35">
      <c r="A2824" s="14">
        <v>42284.103275462963</v>
      </c>
      <c r="B2824" s="5">
        <v>1</v>
      </c>
    </row>
    <row r="2825" spans="1:2" x14ac:dyDescent="0.35">
      <c r="A2825" s="14">
        <v>42284.108449074076</v>
      </c>
      <c r="B2825" s="5">
        <v>1</v>
      </c>
    </row>
    <row r="2826" spans="1:2" x14ac:dyDescent="0.35">
      <c r="A2826" s="14">
        <v>42284.134675925925</v>
      </c>
      <c r="B2826" s="5">
        <v>1</v>
      </c>
    </row>
    <row r="2827" spans="1:2" x14ac:dyDescent="0.35">
      <c r="A2827" s="14">
        <v>42284.134988425925</v>
      </c>
      <c r="B2827" s="5">
        <v>2</v>
      </c>
    </row>
    <row r="2828" spans="1:2" x14ac:dyDescent="0.35">
      <c r="A2828" s="14">
        <v>42284.136712962965</v>
      </c>
      <c r="B2828" s="5">
        <v>1</v>
      </c>
    </row>
    <row r="2829" spans="1:2" x14ac:dyDescent="0.35">
      <c r="A2829" s="14">
        <v>42284.136979166666</v>
      </c>
      <c r="B2829" s="5">
        <v>2</v>
      </c>
    </row>
    <row r="2830" spans="1:2" x14ac:dyDescent="0.35">
      <c r="A2830" s="14">
        <v>42284.137199074074</v>
      </c>
      <c r="B2830" s="5">
        <v>1</v>
      </c>
    </row>
    <row r="2831" spans="1:2" x14ac:dyDescent="0.35">
      <c r="A2831" s="14">
        <v>42284.137407407405</v>
      </c>
      <c r="B2831" s="5">
        <v>1</v>
      </c>
    </row>
    <row r="2832" spans="1:2" x14ac:dyDescent="0.35">
      <c r="A2832" s="14">
        <v>42284.137418981481</v>
      </c>
      <c r="B2832" s="5">
        <v>1</v>
      </c>
    </row>
    <row r="2833" spans="1:2" x14ac:dyDescent="0.35">
      <c r="A2833" s="14">
        <v>42284.259884259256</v>
      </c>
      <c r="B2833" s="5">
        <v>1</v>
      </c>
    </row>
    <row r="2834" spans="1:2" x14ac:dyDescent="0.35">
      <c r="A2834" s="14">
        <v>42284.273912037039</v>
      </c>
      <c r="B2834" s="5">
        <v>1</v>
      </c>
    </row>
    <row r="2835" spans="1:2" x14ac:dyDescent="0.35">
      <c r="A2835" s="14">
        <v>42284.280324074076</v>
      </c>
      <c r="B2835" s="5">
        <v>1</v>
      </c>
    </row>
    <row r="2836" spans="1:2" x14ac:dyDescent="0.35">
      <c r="A2836" s="14">
        <v>42284.281307870369</v>
      </c>
      <c r="B2836" s="5">
        <v>1</v>
      </c>
    </row>
    <row r="2837" spans="1:2" x14ac:dyDescent="0.35">
      <c r="A2837" s="14">
        <v>42284.553738425922</v>
      </c>
      <c r="B2837" s="5">
        <v>1</v>
      </c>
    </row>
    <row r="2838" spans="1:2" x14ac:dyDescent="0.35">
      <c r="A2838" s="14">
        <v>42284.558009259257</v>
      </c>
      <c r="B2838" s="5">
        <v>1</v>
      </c>
    </row>
    <row r="2839" spans="1:2" x14ac:dyDescent="0.35">
      <c r="A2839" s="14">
        <v>42284.605300925927</v>
      </c>
      <c r="B2839" s="5">
        <v>1</v>
      </c>
    </row>
    <row r="2840" spans="1:2" x14ac:dyDescent="0.35">
      <c r="A2840" s="14">
        <v>42284.667986111112</v>
      </c>
      <c r="B2840" s="5">
        <v>1</v>
      </c>
    </row>
    <row r="2841" spans="1:2" x14ac:dyDescent="0.35">
      <c r="A2841" s="14">
        <v>42284.673680555556</v>
      </c>
      <c r="B2841" s="5">
        <v>1</v>
      </c>
    </row>
    <row r="2842" spans="1:2" x14ac:dyDescent="0.35">
      <c r="A2842" s="14">
        <v>42284.67864583333</v>
      </c>
      <c r="B2842" s="5">
        <v>1</v>
      </c>
    </row>
    <row r="2843" spans="1:2" x14ac:dyDescent="0.35">
      <c r="A2843" s="14">
        <v>42284.691157407404</v>
      </c>
      <c r="B2843" s="5">
        <v>1</v>
      </c>
    </row>
    <row r="2844" spans="1:2" x14ac:dyDescent="0.35">
      <c r="A2844" s="14">
        <v>42284.69258101852</v>
      </c>
      <c r="B2844" s="5">
        <v>1</v>
      </c>
    </row>
    <row r="2845" spans="1:2" x14ac:dyDescent="0.35">
      <c r="A2845" s="14">
        <v>42284.694363425922</v>
      </c>
      <c r="B2845" s="5">
        <v>1</v>
      </c>
    </row>
    <row r="2846" spans="1:2" x14ac:dyDescent="0.35">
      <c r="A2846" s="14">
        <v>42284.697060185186</v>
      </c>
      <c r="B2846" s="5">
        <v>1</v>
      </c>
    </row>
    <row r="2847" spans="1:2" x14ac:dyDescent="0.35">
      <c r="A2847" s="14">
        <v>42284.729363425926</v>
      </c>
      <c r="B2847" s="5">
        <v>1</v>
      </c>
    </row>
    <row r="2848" spans="1:2" x14ac:dyDescent="0.35">
      <c r="A2848" s="14">
        <v>42284.757870370369</v>
      </c>
      <c r="B2848" s="5">
        <v>1</v>
      </c>
    </row>
    <row r="2849" spans="1:2" x14ac:dyDescent="0.35">
      <c r="A2849" s="14">
        <v>42284.761180555557</v>
      </c>
      <c r="B2849" s="5">
        <v>1</v>
      </c>
    </row>
    <row r="2850" spans="1:2" x14ac:dyDescent="0.35">
      <c r="A2850" s="14">
        <v>42284.772743055553</v>
      </c>
      <c r="B2850" s="5">
        <v>1</v>
      </c>
    </row>
    <row r="2851" spans="1:2" x14ac:dyDescent="0.35">
      <c r="A2851" s="14">
        <v>42284.776076388887</v>
      </c>
      <c r="B2851" s="5">
        <v>1</v>
      </c>
    </row>
    <row r="2852" spans="1:2" x14ac:dyDescent="0.35">
      <c r="A2852" s="14">
        <v>42284.779861111114</v>
      </c>
      <c r="B2852" s="5">
        <v>1</v>
      </c>
    </row>
    <row r="2853" spans="1:2" x14ac:dyDescent="0.35">
      <c r="A2853" s="14">
        <v>42284.784687500003</v>
      </c>
      <c r="B2853" s="5">
        <v>1</v>
      </c>
    </row>
    <row r="2854" spans="1:2" x14ac:dyDescent="0.35">
      <c r="A2854" s="14">
        <v>42284.789780092593</v>
      </c>
      <c r="B2854" s="5">
        <v>1</v>
      </c>
    </row>
    <row r="2855" spans="1:2" x14ac:dyDescent="0.35">
      <c r="A2855" s="14">
        <v>42284.791284722225</v>
      </c>
      <c r="B2855" s="5">
        <v>1</v>
      </c>
    </row>
    <row r="2856" spans="1:2" x14ac:dyDescent="0.35">
      <c r="A2856" s="14">
        <v>42284.793993055559</v>
      </c>
      <c r="B2856" s="5">
        <v>1</v>
      </c>
    </row>
    <row r="2857" spans="1:2" x14ac:dyDescent="0.35">
      <c r="A2857" s="14">
        <v>42284.80133101852</v>
      </c>
      <c r="B2857" s="5">
        <v>1</v>
      </c>
    </row>
    <row r="2858" spans="1:2" x14ac:dyDescent="0.35">
      <c r="A2858" s="14">
        <v>42284.813773148147</v>
      </c>
      <c r="B2858" s="5">
        <v>1</v>
      </c>
    </row>
    <row r="2859" spans="1:2" x14ac:dyDescent="0.35">
      <c r="A2859" s="14">
        <v>42284.824050925927</v>
      </c>
      <c r="B2859" s="5">
        <v>1</v>
      </c>
    </row>
    <row r="2860" spans="1:2" x14ac:dyDescent="0.35">
      <c r="A2860" s="14">
        <v>42284.824444444443</v>
      </c>
      <c r="B2860" s="5">
        <v>1</v>
      </c>
    </row>
    <row r="2861" spans="1:2" x14ac:dyDescent="0.35">
      <c r="A2861" s="14">
        <v>42284.835219907407</v>
      </c>
      <c r="B2861" s="5">
        <v>1</v>
      </c>
    </row>
    <row r="2862" spans="1:2" x14ac:dyDescent="0.35">
      <c r="A2862" s="14">
        <v>42284.835868055554</v>
      </c>
      <c r="B2862" s="5">
        <v>1</v>
      </c>
    </row>
    <row r="2863" spans="1:2" x14ac:dyDescent="0.35">
      <c r="A2863" s="14">
        <v>42284.839305555557</v>
      </c>
      <c r="B2863" s="5">
        <v>1</v>
      </c>
    </row>
    <row r="2864" spans="1:2" x14ac:dyDescent="0.35">
      <c r="A2864" s="14">
        <v>42284.841979166667</v>
      </c>
      <c r="B2864" s="5">
        <v>1</v>
      </c>
    </row>
    <row r="2865" spans="1:2" x14ac:dyDescent="0.35">
      <c r="A2865" s="14">
        <v>42284.86141203704</v>
      </c>
      <c r="B2865" s="5">
        <v>1</v>
      </c>
    </row>
    <row r="2866" spans="1:2" x14ac:dyDescent="0.35">
      <c r="A2866" s="14">
        <v>42284.892094907409</v>
      </c>
      <c r="B2866" s="5">
        <v>1</v>
      </c>
    </row>
    <row r="2867" spans="1:2" x14ac:dyDescent="0.35">
      <c r="A2867" s="14">
        <v>42284.892534722225</v>
      </c>
      <c r="B2867" s="5">
        <v>1</v>
      </c>
    </row>
    <row r="2868" spans="1:2" x14ac:dyDescent="0.35">
      <c r="A2868" s="14">
        <v>42284.935324074075</v>
      </c>
      <c r="B2868" s="5">
        <v>1</v>
      </c>
    </row>
    <row r="2869" spans="1:2" x14ac:dyDescent="0.35">
      <c r="A2869" s="14">
        <v>42284.93540509259</v>
      </c>
      <c r="B2869" s="5">
        <v>1</v>
      </c>
    </row>
    <row r="2870" spans="1:2" x14ac:dyDescent="0.35">
      <c r="A2870" s="14">
        <v>42284.93545138889</v>
      </c>
      <c r="B2870" s="5">
        <v>1</v>
      </c>
    </row>
    <row r="2871" spans="1:2" x14ac:dyDescent="0.35">
      <c r="A2871" s="14">
        <v>42284.936296296299</v>
      </c>
      <c r="B2871" s="5">
        <v>1</v>
      </c>
    </row>
    <row r="2872" spans="1:2" x14ac:dyDescent="0.35">
      <c r="A2872" s="14">
        <v>42284.936631944445</v>
      </c>
      <c r="B2872" s="5">
        <v>1</v>
      </c>
    </row>
    <row r="2873" spans="1:2" x14ac:dyDescent="0.35">
      <c r="A2873" s="14">
        <v>42284.960416666669</v>
      </c>
      <c r="B2873" s="5">
        <v>1</v>
      </c>
    </row>
    <row r="2874" spans="1:2" x14ac:dyDescent="0.35">
      <c r="A2874" s="14">
        <v>42284.97084490741</v>
      </c>
      <c r="B2874" s="5">
        <v>1</v>
      </c>
    </row>
    <row r="2875" spans="1:2" x14ac:dyDescent="0.35">
      <c r="A2875" s="14">
        <v>42284.980428240742</v>
      </c>
      <c r="B2875" s="5">
        <v>1</v>
      </c>
    </row>
    <row r="2876" spans="1:2" x14ac:dyDescent="0.35">
      <c r="A2876" s="14">
        <v>42284.987916666665</v>
      </c>
      <c r="B2876" s="5">
        <v>1</v>
      </c>
    </row>
    <row r="2877" spans="1:2" x14ac:dyDescent="0.35">
      <c r="A2877" s="14">
        <v>42285.016724537039</v>
      </c>
      <c r="B2877" s="5">
        <v>1</v>
      </c>
    </row>
    <row r="2878" spans="1:2" x14ac:dyDescent="0.35">
      <c r="A2878" s="14">
        <v>42285.027025462965</v>
      </c>
      <c r="B2878" s="5">
        <v>1</v>
      </c>
    </row>
    <row r="2879" spans="1:2" x14ac:dyDescent="0.35">
      <c r="A2879" s="14">
        <v>42285.063460648147</v>
      </c>
      <c r="B2879" s="5">
        <v>1</v>
      </c>
    </row>
    <row r="2880" spans="1:2" x14ac:dyDescent="0.35">
      <c r="A2880" s="14">
        <v>42285.115312499998</v>
      </c>
      <c r="B2880" s="5">
        <v>1</v>
      </c>
    </row>
    <row r="2881" spans="1:2" x14ac:dyDescent="0.35">
      <c r="A2881" s="14">
        <v>42285.119317129633</v>
      </c>
      <c r="B2881" s="5">
        <v>1</v>
      </c>
    </row>
    <row r="2882" spans="1:2" x14ac:dyDescent="0.35">
      <c r="A2882" s="14">
        <v>42285.122430555559</v>
      </c>
      <c r="B2882" s="5">
        <v>1</v>
      </c>
    </row>
    <row r="2883" spans="1:2" x14ac:dyDescent="0.35">
      <c r="A2883" s="14">
        <v>42285.123368055552</v>
      </c>
      <c r="B2883" s="5">
        <v>1</v>
      </c>
    </row>
    <row r="2884" spans="1:2" x14ac:dyDescent="0.35">
      <c r="A2884" s="14">
        <v>42285.124479166669</v>
      </c>
      <c r="B2884" s="5">
        <v>1</v>
      </c>
    </row>
    <row r="2885" spans="1:2" x14ac:dyDescent="0.35">
      <c r="A2885" s="14">
        <v>42285.128784722219</v>
      </c>
      <c r="B2885" s="5">
        <v>1</v>
      </c>
    </row>
    <row r="2886" spans="1:2" x14ac:dyDescent="0.35">
      <c r="A2886" s="14">
        <v>42285.132488425923</v>
      </c>
      <c r="B2886" s="5">
        <v>1</v>
      </c>
    </row>
    <row r="2887" spans="1:2" x14ac:dyDescent="0.35">
      <c r="A2887" s="14">
        <v>42285.148206018515</v>
      </c>
      <c r="B2887" s="5">
        <v>1</v>
      </c>
    </row>
    <row r="2888" spans="1:2" x14ac:dyDescent="0.35">
      <c r="A2888" s="14">
        <v>42285.163495370369</v>
      </c>
      <c r="B2888" s="5">
        <v>1</v>
      </c>
    </row>
    <row r="2889" spans="1:2" x14ac:dyDescent="0.35">
      <c r="A2889" s="14">
        <v>42285.244409722225</v>
      </c>
      <c r="B2889" s="5">
        <v>1</v>
      </c>
    </row>
    <row r="2890" spans="1:2" x14ac:dyDescent="0.35">
      <c r="A2890" s="14">
        <v>42285.244884259257</v>
      </c>
      <c r="B2890" s="5">
        <v>1</v>
      </c>
    </row>
    <row r="2891" spans="1:2" x14ac:dyDescent="0.35">
      <c r="A2891" s="14">
        <v>42285.27611111111</v>
      </c>
      <c r="B2891" s="5">
        <v>1</v>
      </c>
    </row>
    <row r="2892" spans="1:2" x14ac:dyDescent="0.35">
      <c r="A2892" s="14">
        <v>42285.279606481483</v>
      </c>
      <c r="B2892" s="5">
        <v>1</v>
      </c>
    </row>
    <row r="2893" spans="1:2" x14ac:dyDescent="0.35">
      <c r="A2893" s="14">
        <v>42285.335405092592</v>
      </c>
      <c r="B2893" s="5">
        <v>1</v>
      </c>
    </row>
    <row r="2894" spans="1:2" x14ac:dyDescent="0.35">
      <c r="A2894" s="14">
        <v>42285.34070601852</v>
      </c>
      <c r="B2894" s="5">
        <v>1</v>
      </c>
    </row>
    <row r="2895" spans="1:2" x14ac:dyDescent="0.35">
      <c r="A2895" s="14">
        <v>42285.34479166667</v>
      </c>
      <c r="B2895" s="5">
        <v>1</v>
      </c>
    </row>
    <row r="2896" spans="1:2" x14ac:dyDescent="0.35">
      <c r="A2896" s="14">
        <v>42285.533171296294</v>
      </c>
      <c r="B2896" s="5">
        <v>1</v>
      </c>
    </row>
    <row r="2897" spans="1:2" x14ac:dyDescent="0.35">
      <c r="A2897" s="14">
        <v>42285.53334490741</v>
      </c>
      <c r="B2897" s="5">
        <v>1</v>
      </c>
    </row>
    <row r="2898" spans="1:2" x14ac:dyDescent="0.35">
      <c r="A2898" s="14">
        <v>42285.582870370374</v>
      </c>
      <c r="B2898" s="5">
        <v>1</v>
      </c>
    </row>
    <row r="2899" spans="1:2" x14ac:dyDescent="0.35">
      <c r="A2899" s="14">
        <v>42285.590798611112</v>
      </c>
      <c r="B2899" s="5">
        <v>1</v>
      </c>
    </row>
    <row r="2900" spans="1:2" x14ac:dyDescent="0.35">
      <c r="A2900" s="14">
        <v>42285.591354166667</v>
      </c>
      <c r="B2900" s="5">
        <v>1</v>
      </c>
    </row>
    <row r="2901" spans="1:2" x14ac:dyDescent="0.35">
      <c r="A2901" s="14">
        <v>42285.685752314814</v>
      </c>
      <c r="B2901" s="5">
        <v>1</v>
      </c>
    </row>
    <row r="2902" spans="1:2" x14ac:dyDescent="0.35">
      <c r="A2902" s="14">
        <v>42285.719629629632</v>
      </c>
      <c r="B2902" s="5">
        <v>1</v>
      </c>
    </row>
    <row r="2903" spans="1:2" x14ac:dyDescent="0.35">
      <c r="A2903" s="14">
        <v>42285.726388888892</v>
      </c>
      <c r="B2903" s="5">
        <v>1</v>
      </c>
    </row>
    <row r="2904" spans="1:2" x14ac:dyDescent="0.35">
      <c r="A2904" s="14">
        <v>42285.732233796298</v>
      </c>
      <c r="B2904" s="5">
        <v>1</v>
      </c>
    </row>
    <row r="2905" spans="1:2" x14ac:dyDescent="0.35">
      <c r="A2905" s="14">
        <v>42285.732499999998</v>
      </c>
      <c r="B2905" s="5">
        <v>1</v>
      </c>
    </row>
    <row r="2906" spans="1:2" x14ac:dyDescent="0.35">
      <c r="A2906" s="14">
        <v>42285.754120370373</v>
      </c>
      <c r="B2906" s="5">
        <v>1</v>
      </c>
    </row>
    <row r="2907" spans="1:2" x14ac:dyDescent="0.35">
      <c r="A2907" s="14">
        <v>42285.762974537036</v>
      </c>
      <c r="B2907" s="5">
        <v>1</v>
      </c>
    </row>
    <row r="2908" spans="1:2" x14ac:dyDescent="0.35">
      <c r="A2908" s="14">
        <v>42285.77134259259</v>
      </c>
      <c r="B2908" s="5">
        <v>1</v>
      </c>
    </row>
    <row r="2909" spans="1:2" x14ac:dyDescent="0.35">
      <c r="A2909" s="14">
        <v>42285.771898148145</v>
      </c>
      <c r="B2909" s="5">
        <v>2</v>
      </c>
    </row>
    <row r="2910" spans="1:2" x14ac:dyDescent="0.35">
      <c r="A2910" s="14">
        <v>42285.792233796295</v>
      </c>
      <c r="B2910" s="5">
        <v>1</v>
      </c>
    </row>
    <row r="2911" spans="1:2" x14ac:dyDescent="0.35">
      <c r="A2911" s="14">
        <v>42285.826388888891</v>
      </c>
      <c r="B2911" s="5">
        <v>1</v>
      </c>
    </row>
    <row r="2912" spans="1:2" x14ac:dyDescent="0.35">
      <c r="A2912" s="14">
        <v>42285.826874999999</v>
      </c>
      <c r="B2912" s="5">
        <v>1</v>
      </c>
    </row>
    <row r="2913" spans="1:2" x14ac:dyDescent="0.35">
      <c r="A2913" s="14">
        <v>42285.829768518517</v>
      </c>
      <c r="B2913" s="5">
        <v>1</v>
      </c>
    </row>
    <row r="2914" spans="1:2" x14ac:dyDescent="0.35">
      <c r="A2914" s="14">
        <v>42285.836192129631</v>
      </c>
      <c r="B2914" s="5">
        <v>1</v>
      </c>
    </row>
    <row r="2915" spans="1:2" x14ac:dyDescent="0.35">
      <c r="A2915" s="14">
        <v>42285.839513888888</v>
      </c>
      <c r="B2915" s="5">
        <v>1</v>
      </c>
    </row>
    <row r="2916" spans="1:2" x14ac:dyDescent="0.35">
      <c r="A2916" s="14">
        <v>42285.844131944446</v>
      </c>
      <c r="B2916" s="5">
        <v>1</v>
      </c>
    </row>
    <row r="2917" spans="1:2" x14ac:dyDescent="0.35">
      <c r="A2917" s="14">
        <v>42285.89880787037</v>
      </c>
      <c r="B2917" s="5">
        <v>1</v>
      </c>
    </row>
    <row r="2918" spans="1:2" x14ac:dyDescent="0.35">
      <c r="A2918" s="14">
        <v>42285.918668981481</v>
      </c>
      <c r="B2918" s="5">
        <v>1</v>
      </c>
    </row>
    <row r="2919" spans="1:2" x14ac:dyDescent="0.35">
      <c r="A2919" s="14">
        <v>42285.930358796293</v>
      </c>
      <c r="B2919" s="5">
        <v>1</v>
      </c>
    </row>
    <row r="2920" spans="1:2" x14ac:dyDescent="0.35">
      <c r="A2920" s="14">
        <v>42285.944768518515</v>
      </c>
      <c r="B2920" s="5">
        <v>1</v>
      </c>
    </row>
    <row r="2921" spans="1:2" x14ac:dyDescent="0.35">
      <c r="A2921" s="14">
        <v>42285.985567129632</v>
      </c>
      <c r="B2921" s="5">
        <v>1</v>
      </c>
    </row>
    <row r="2922" spans="1:2" x14ac:dyDescent="0.35">
      <c r="A2922" s="14">
        <v>42286.080706018518</v>
      </c>
      <c r="B2922" s="5">
        <v>1</v>
      </c>
    </row>
    <row r="2923" spans="1:2" x14ac:dyDescent="0.35">
      <c r="A2923" s="14">
        <v>42286.085914351854</v>
      </c>
      <c r="B2923" s="5">
        <v>1</v>
      </c>
    </row>
    <row r="2924" spans="1:2" x14ac:dyDescent="0.35">
      <c r="A2924" s="14">
        <v>42286.131458333337</v>
      </c>
      <c r="B2924" s="5">
        <v>1</v>
      </c>
    </row>
    <row r="2925" spans="1:2" x14ac:dyDescent="0.35">
      <c r="A2925" s="14">
        <v>42286.134502314817</v>
      </c>
      <c r="B2925" s="5">
        <v>1</v>
      </c>
    </row>
    <row r="2926" spans="1:2" x14ac:dyDescent="0.35">
      <c r="A2926" s="14">
        <v>42286.142893518518</v>
      </c>
      <c r="B2926" s="5">
        <v>1</v>
      </c>
    </row>
    <row r="2927" spans="1:2" x14ac:dyDescent="0.35">
      <c r="A2927" s="14">
        <v>42286.146423611113</v>
      </c>
      <c r="B2927" s="5">
        <v>1</v>
      </c>
    </row>
    <row r="2928" spans="1:2" x14ac:dyDescent="0.35">
      <c r="A2928" s="14">
        <v>42286.147222222222</v>
      </c>
      <c r="B2928" s="5">
        <v>1</v>
      </c>
    </row>
    <row r="2929" spans="1:2" x14ac:dyDescent="0.35">
      <c r="A2929" s="14">
        <v>42286.153078703705</v>
      </c>
      <c r="B2929" s="5">
        <v>1</v>
      </c>
    </row>
    <row r="2930" spans="1:2" x14ac:dyDescent="0.35">
      <c r="A2930" s="14">
        <v>42286.178784722222</v>
      </c>
      <c r="B2930" s="5">
        <v>1</v>
      </c>
    </row>
    <row r="2931" spans="1:2" x14ac:dyDescent="0.35">
      <c r="A2931" s="14">
        <v>42286.243032407408</v>
      </c>
      <c r="B2931" s="5">
        <v>1</v>
      </c>
    </row>
    <row r="2932" spans="1:2" x14ac:dyDescent="0.35">
      <c r="A2932" s="14">
        <v>42286.243831018517</v>
      </c>
      <c r="B2932" s="5">
        <v>2</v>
      </c>
    </row>
    <row r="2933" spans="1:2" x14ac:dyDescent="0.35">
      <c r="A2933" s="14">
        <v>42286.495416666665</v>
      </c>
      <c r="B2933" s="5">
        <v>1</v>
      </c>
    </row>
    <row r="2934" spans="1:2" x14ac:dyDescent="0.35">
      <c r="A2934" s="14">
        <v>42286.59746527778</v>
      </c>
      <c r="B2934" s="5">
        <v>1</v>
      </c>
    </row>
    <row r="2935" spans="1:2" x14ac:dyDescent="0.35">
      <c r="A2935" s="14">
        <v>42286.597673611112</v>
      </c>
      <c r="B2935" s="5">
        <v>1</v>
      </c>
    </row>
    <row r="2936" spans="1:2" x14ac:dyDescent="0.35">
      <c r="A2936" s="14">
        <v>42286.606388888889</v>
      </c>
      <c r="B2936" s="5">
        <v>1</v>
      </c>
    </row>
    <row r="2937" spans="1:2" x14ac:dyDescent="0.35">
      <c r="A2937" s="14">
        <v>42286.609293981484</v>
      </c>
      <c r="B2937" s="5">
        <v>1</v>
      </c>
    </row>
    <row r="2938" spans="1:2" x14ac:dyDescent="0.35">
      <c r="A2938" s="14">
        <v>42286.613402777781</v>
      </c>
      <c r="B2938" s="5">
        <v>1</v>
      </c>
    </row>
    <row r="2939" spans="1:2" x14ac:dyDescent="0.35">
      <c r="A2939" s="14">
        <v>42286.617002314815</v>
      </c>
      <c r="B2939" s="5">
        <v>1</v>
      </c>
    </row>
    <row r="2940" spans="1:2" x14ac:dyDescent="0.35">
      <c r="A2940" s="14">
        <v>42286.625300925924</v>
      </c>
      <c r="B2940" s="5">
        <v>1</v>
      </c>
    </row>
    <row r="2941" spans="1:2" x14ac:dyDescent="0.35">
      <c r="A2941" s="14">
        <v>42286.632696759261</v>
      </c>
      <c r="B2941" s="5">
        <v>1</v>
      </c>
    </row>
    <row r="2942" spans="1:2" x14ac:dyDescent="0.35">
      <c r="A2942" s="14">
        <v>42286.687291666669</v>
      </c>
      <c r="B2942" s="5">
        <v>1</v>
      </c>
    </row>
    <row r="2943" spans="1:2" x14ac:dyDescent="0.35">
      <c r="A2943" s="14">
        <v>42286.689571759256</v>
      </c>
      <c r="B2943" s="5">
        <v>1</v>
      </c>
    </row>
    <row r="2944" spans="1:2" x14ac:dyDescent="0.35">
      <c r="A2944" s="14">
        <v>42286.703657407408</v>
      </c>
      <c r="B2944" s="5">
        <v>1</v>
      </c>
    </row>
    <row r="2945" spans="1:2" x14ac:dyDescent="0.35">
      <c r="A2945" s="14">
        <v>42286.716134259259</v>
      </c>
      <c r="B2945" s="5">
        <v>1</v>
      </c>
    </row>
    <row r="2946" spans="1:2" x14ac:dyDescent="0.35">
      <c r="A2946" s="14">
        <v>42286.718877314815</v>
      </c>
      <c r="B2946" s="5">
        <v>1</v>
      </c>
    </row>
    <row r="2947" spans="1:2" x14ac:dyDescent="0.35">
      <c r="A2947" s="14">
        <v>42286.726944444446</v>
      </c>
      <c r="B2947" s="5">
        <v>1</v>
      </c>
    </row>
    <row r="2948" spans="1:2" x14ac:dyDescent="0.35">
      <c r="A2948" s="14">
        <v>42286.74423611111</v>
      </c>
      <c r="B2948" s="5">
        <v>1</v>
      </c>
    </row>
    <row r="2949" spans="1:2" x14ac:dyDescent="0.35">
      <c r="A2949" s="14">
        <v>42286.760335648149</v>
      </c>
      <c r="B2949" s="5">
        <v>1</v>
      </c>
    </row>
    <row r="2950" spans="1:2" x14ac:dyDescent="0.35">
      <c r="A2950" s="14">
        <v>42286.767800925925</v>
      </c>
      <c r="B2950" s="5">
        <v>1</v>
      </c>
    </row>
    <row r="2951" spans="1:2" x14ac:dyDescent="0.35">
      <c r="A2951" s="14">
        <v>42286.813449074078</v>
      </c>
      <c r="B2951" s="5">
        <v>1</v>
      </c>
    </row>
    <row r="2952" spans="1:2" x14ac:dyDescent="0.35">
      <c r="A2952" s="14">
        <v>42286.8669212963</v>
      </c>
      <c r="B2952" s="5">
        <v>1</v>
      </c>
    </row>
    <row r="2953" spans="1:2" x14ac:dyDescent="0.35">
      <c r="A2953" s="14">
        <v>42286.874699074076</v>
      </c>
      <c r="B2953" s="5">
        <v>1</v>
      </c>
    </row>
    <row r="2954" spans="1:2" x14ac:dyDescent="0.35">
      <c r="A2954" s="14">
        <v>42286.899837962963</v>
      </c>
      <c r="B2954" s="5">
        <v>1</v>
      </c>
    </row>
    <row r="2955" spans="1:2" x14ac:dyDescent="0.35">
      <c r="A2955" s="14">
        <v>42286.900659722225</v>
      </c>
      <c r="B2955" s="5">
        <v>1</v>
      </c>
    </row>
    <row r="2956" spans="1:2" x14ac:dyDescent="0.35">
      <c r="A2956" s="14">
        <v>42286.931030092594</v>
      </c>
      <c r="B2956" s="5">
        <v>1</v>
      </c>
    </row>
    <row r="2957" spans="1:2" x14ac:dyDescent="0.35">
      <c r="A2957" s="14">
        <v>42286.943981481483</v>
      </c>
      <c r="B2957" s="5">
        <v>1</v>
      </c>
    </row>
    <row r="2958" spans="1:2" x14ac:dyDescent="0.35">
      <c r="A2958" s="14">
        <v>42286.947546296295</v>
      </c>
      <c r="B2958" s="5">
        <v>1</v>
      </c>
    </row>
    <row r="2959" spans="1:2" x14ac:dyDescent="0.35">
      <c r="A2959" s="14">
        <v>42286.989756944444</v>
      </c>
      <c r="B2959" s="5">
        <v>1</v>
      </c>
    </row>
    <row r="2960" spans="1:2" x14ac:dyDescent="0.35">
      <c r="A2960" s="14">
        <v>42286.994537037041</v>
      </c>
      <c r="B2960" s="5">
        <v>1</v>
      </c>
    </row>
    <row r="2961" spans="1:2" x14ac:dyDescent="0.35">
      <c r="A2961" s="14">
        <v>42286.999837962961</v>
      </c>
      <c r="B2961" s="5">
        <v>1</v>
      </c>
    </row>
    <row r="2962" spans="1:2" x14ac:dyDescent="0.35">
      <c r="A2962" s="14">
        <v>42287.054467592592</v>
      </c>
      <c r="B2962" s="5">
        <v>1</v>
      </c>
    </row>
    <row r="2963" spans="1:2" x14ac:dyDescent="0.35">
      <c r="A2963" s="14">
        <v>42287.068923611114</v>
      </c>
      <c r="B2963" s="5">
        <v>1</v>
      </c>
    </row>
    <row r="2964" spans="1:2" x14ac:dyDescent="0.35">
      <c r="A2964" s="14">
        <v>42287.081678240742</v>
      </c>
      <c r="B2964" s="5">
        <v>1</v>
      </c>
    </row>
    <row r="2965" spans="1:2" x14ac:dyDescent="0.35">
      <c r="A2965" s="14">
        <v>42287.128368055557</v>
      </c>
      <c r="B2965" s="5">
        <v>1</v>
      </c>
    </row>
    <row r="2966" spans="1:2" x14ac:dyDescent="0.35">
      <c r="A2966" s="14">
        <v>42287.128530092596</v>
      </c>
      <c r="B2966" s="5">
        <v>1</v>
      </c>
    </row>
    <row r="2967" spans="1:2" x14ac:dyDescent="0.35">
      <c r="A2967" s="14">
        <v>42287.159317129626</v>
      </c>
      <c r="B2967" s="5">
        <v>1</v>
      </c>
    </row>
    <row r="2968" spans="1:2" x14ac:dyDescent="0.35">
      <c r="A2968" s="14">
        <v>42287.168090277781</v>
      </c>
      <c r="B2968" s="5">
        <v>1</v>
      </c>
    </row>
    <row r="2969" spans="1:2" x14ac:dyDescent="0.35">
      <c r="A2969" s="14">
        <v>42287.17019675926</v>
      </c>
      <c r="B2969" s="5">
        <v>1</v>
      </c>
    </row>
    <row r="2970" spans="1:2" x14ac:dyDescent="0.35">
      <c r="A2970" s="14">
        <v>42287.179791666669</v>
      </c>
      <c r="B2970" s="5">
        <v>1</v>
      </c>
    </row>
    <row r="2971" spans="1:2" x14ac:dyDescent="0.35">
      <c r="A2971" s="14">
        <v>42287.190775462965</v>
      </c>
      <c r="B2971" s="5">
        <v>1</v>
      </c>
    </row>
    <row r="2972" spans="1:2" x14ac:dyDescent="0.35">
      <c r="A2972" s="14">
        <v>42287.565567129626</v>
      </c>
      <c r="B2972" s="5">
        <v>1</v>
      </c>
    </row>
    <row r="2973" spans="1:2" x14ac:dyDescent="0.35">
      <c r="A2973" s="14">
        <v>42287.565671296295</v>
      </c>
      <c r="B2973" s="5">
        <v>1</v>
      </c>
    </row>
    <row r="2974" spans="1:2" x14ac:dyDescent="0.35">
      <c r="A2974" s="14">
        <v>42287.565937500003</v>
      </c>
      <c r="B2974" s="5">
        <v>2</v>
      </c>
    </row>
    <row r="2975" spans="1:2" x14ac:dyDescent="0.35">
      <c r="A2975" s="14">
        <v>42287.566828703704</v>
      </c>
      <c r="B2975" s="5">
        <v>1</v>
      </c>
    </row>
    <row r="2976" spans="1:2" x14ac:dyDescent="0.35">
      <c r="A2976" s="14">
        <v>42287.567048611112</v>
      </c>
      <c r="B2976" s="5">
        <v>2</v>
      </c>
    </row>
    <row r="2977" spans="1:2" x14ac:dyDescent="0.35">
      <c r="A2977" s="14">
        <v>42287.567939814813</v>
      </c>
      <c r="B2977" s="5">
        <v>1</v>
      </c>
    </row>
    <row r="2978" spans="1:2" x14ac:dyDescent="0.35">
      <c r="A2978" s="14">
        <v>42287.567962962959</v>
      </c>
      <c r="B2978" s="5">
        <v>1</v>
      </c>
    </row>
    <row r="2979" spans="1:2" x14ac:dyDescent="0.35">
      <c r="A2979" s="14">
        <v>42287.568148148152</v>
      </c>
      <c r="B2979" s="5">
        <v>1</v>
      </c>
    </row>
    <row r="2980" spans="1:2" x14ac:dyDescent="0.35">
      <c r="A2980" s="14">
        <v>42287.568159722221</v>
      </c>
      <c r="B2980" s="5">
        <v>1</v>
      </c>
    </row>
    <row r="2981" spans="1:2" x14ac:dyDescent="0.35">
      <c r="A2981" s="14">
        <v>42287.568888888891</v>
      </c>
      <c r="B2981" s="5">
        <v>1</v>
      </c>
    </row>
    <row r="2982" spans="1:2" x14ac:dyDescent="0.35">
      <c r="A2982" s="14">
        <v>42287.568969907406</v>
      </c>
      <c r="B2982" s="5">
        <v>1</v>
      </c>
    </row>
    <row r="2983" spans="1:2" x14ac:dyDescent="0.35">
      <c r="A2983" s="14">
        <v>42287.569282407407</v>
      </c>
      <c r="B2983" s="5">
        <v>1</v>
      </c>
    </row>
    <row r="2984" spans="1:2" x14ac:dyDescent="0.35">
      <c r="A2984" s="14">
        <v>42287.570057870369</v>
      </c>
      <c r="B2984" s="5">
        <v>1</v>
      </c>
    </row>
    <row r="2985" spans="1:2" x14ac:dyDescent="0.35">
      <c r="A2985" s="14">
        <v>42287.572627314818</v>
      </c>
      <c r="B2985" s="5">
        <v>1</v>
      </c>
    </row>
    <row r="2986" spans="1:2" x14ac:dyDescent="0.35">
      <c r="A2986" s="14">
        <v>42287.573414351849</v>
      </c>
      <c r="B2986" s="5">
        <v>1</v>
      </c>
    </row>
    <row r="2987" spans="1:2" x14ac:dyDescent="0.35">
      <c r="A2987" s="14">
        <v>42287.573969907404</v>
      </c>
      <c r="B2987" s="5">
        <v>1</v>
      </c>
    </row>
    <row r="2988" spans="1:2" x14ac:dyDescent="0.35">
      <c r="A2988" s="14">
        <v>42287.574884259258</v>
      </c>
      <c r="B2988" s="5">
        <v>2</v>
      </c>
    </row>
    <row r="2989" spans="1:2" x14ac:dyDescent="0.35">
      <c r="A2989" s="14">
        <v>42287.575370370374</v>
      </c>
      <c r="B2989" s="5">
        <v>1</v>
      </c>
    </row>
    <row r="2990" spans="1:2" x14ac:dyDescent="0.35">
      <c r="A2990" s="14">
        <v>42287.575636574074</v>
      </c>
      <c r="B2990" s="5">
        <v>1</v>
      </c>
    </row>
    <row r="2991" spans="1:2" x14ac:dyDescent="0.35">
      <c r="A2991" s="14">
        <v>42287.576203703706</v>
      </c>
      <c r="B2991" s="5">
        <v>1</v>
      </c>
    </row>
    <row r="2992" spans="1:2" x14ac:dyDescent="0.35">
      <c r="A2992" s="14">
        <v>42287.576701388891</v>
      </c>
      <c r="B2992" s="5">
        <v>1</v>
      </c>
    </row>
    <row r="2993" spans="1:2" x14ac:dyDescent="0.35">
      <c r="A2993" s="14">
        <v>42287.579629629632</v>
      </c>
      <c r="B2993" s="5">
        <v>1</v>
      </c>
    </row>
    <row r="2994" spans="1:2" x14ac:dyDescent="0.35">
      <c r="A2994" s="14">
        <v>42287.580729166664</v>
      </c>
      <c r="B2994" s="5">
        <v>1</v>
      </c>
    </row>
    <row r="2995" spans="1:2" x14ac:dyDescent="0.35">
      <c r="A2995" s="14">
        <v>42287.581076388888</v>
      </c>
      <c r="B2995" s="5">
        <v>1</v>
      </c>
    </row>
    <row r="2996" spans="1:2" x14ac:dyDescent="0.35">
      <c r="A2996" s="14">
        <v>42287.581608796296</v>
      </c>
      <c r="B2996" s="5">
        <v>1</v>
      </c>
    </row>
    <row r="2997" spans="1:2" x14ac:dyDescent="0.35">
      <c r="A2997" s="14">
        <v>42287.582002314812</v>
      </c>
      <c r="B2997" s="5">
        <v>1</v>
      </c>
    </row>
    <row r="2998" spans="1:2" x14ac:dyDescent="0.35">
      <c r="A2998" s="14">
        <v>42287.582488425927</v>
      </c>
      <c r="B2998" s="5">
        <v>1</v>
      </c>
    </row>
    <row r="2999" spans="1:2" x14ac:dyDescent="0.35">
      <c r="A2999" s="14">
        <v>42287.583067129628</v>
      </c>
      <c r="B2999" s="5">
        <v>1</v>
      </c>
    </row>
    <row r="3000" spans="1:2" x14ac:dyDescent="0.35">
      <c r="A3000" s="14">
        <v>42287.584490740737</v>
      </c>
      <c r="B3000" s="5">
        <v>1</v>
      </c>
    </row>
    <row r="3001" spans="1:2" x14ac:dyDescent="0.35">
      <c r="A3001" s="14">
        <v>42287.58489583333</v>
      </c>
      <c r="B3001" s="5">
        <v>2</v>
      </c>
    </row>
    <row r="3002" spans="1:2" x14ac:dyDescent="0.35">
      <c r="A3002" s="14">
        <v>42287.585127314815</v>
      </c>
      <c r="B3002" s="5">
        <v>1</v>
      </c>
    </row>
    <row r="3003" spans="1:2" x14ac:dyDescent="0.35">
      <c r="A3003" s="14">
        <v>42287.585578703707</v>
      </c>
      <c r="B3003" s="5">
        <v>1</v>
      </c>
    </row>
    <row r="3004" spans="1:2" x14ac:dyDescent="0.35">
      <c r="A3004" s="14">
        <v>42287.603587962964</v>
      </c>
      <c r="B3004" s="5">
        <v>1</v>
      </c>
    </row>
    <row r="3005" spans="1:2" x14ac:dyDescent="0.35">
      <c r="A3005" s="14">
        <v>42287.610567129632</v>
      </c>
      <c r="B3005" s="5">
        <v>1</v>
      </c>
    </row>
    <row r="3006" spans="1:2" x14ac:dyDescent="0.35">
      <c r="A3006" s="14">
        <v>42287.629976851851</v>
      </c>
      <c r="B3006" s="5">
        <v>1</v>
      </c>
    </row>
    <row r="3007" spans="1:2" x14ac:dyDescent="0.35">
      <c r="A3007" s="14">
        <v>42287.660914351851</v>
      </c>
      <c r="B3007" s="5">
        <v>1</v>
      </c>
    </row>
    <row r="3008" spans="1:2" x14ac:dyDescent="0.35">
      <c r="A3008" s="14">
        <v>42287.713125000002</v>
      </c>
      <c r="B3008" s="5">
        <v>1</v>
      </c>
    </row>
    <row r="3009" spans="1:2" x14ac:dyDescent="0.35">
      <c r="A3009" s="14">
        <v>42287.720671296294</v>
      </c>
      <c r="B3009" s="5">
        <v>1</v>
      </c>
    </row>
    <row r="3010" spans="1:2" x14ac:dyDescent="0.35">
      <c r="A3010" s="14">
        <v>42287.731469907405</v>
      </c>
      <c r="B3010" s="5">
        <v>1</v>
      </c>
    </row>
    <row r="3011" spans="1:2" x14ac:dyDescent="0.35">
      <c r="A3011" s="14">
        <v>42287.761493055557</v>
      </c>
      <c r="B3011" s="5">
        <v>1</v>
      </c>
    </row>
    <row r="3012" spans="1:2" x14ac:dyDescent="0.35">
      <c r="A3012" s="14">
        <v>42287.767233796294</v>
      </c>
      <c r="B3012" s="5">
        <v>1</v>
      </c>
    </row>
    <row r="3013" spans="1:2" x14ac:dyDescent="0.35">
      <c r="A3013" s="14">
        <v>42287.783171296294</v>
      </c>
      <c r="B3013" s="5">
        <v>1</v>
      </c>
    </row>
    <row r="3014" spans="1:2" x14ac:dyDescent="0.35">
      <c r="A3014" s="14">
        <v>42287.786365740743</v>
      </c>
      <c r="B3014" s="5">
        <v>1</v>
      </c>
    </row>
    <row r="3015" spans="1:2" x14ac:dyDescent="0.35">
      <c r="A3015" s="14">
        <v>42287.786550925928</v>
      </c>
      <c r="B3015" s="5">
        <v>1</v>
      </c>
    </row>
    <row r="3016" spans="1:2" x14ac:dyDescent="0.35">
      <c r="A3016" s="14">
        <v>42287.810497685183</v>
      </c>
      <c r="B3016" s="5">
        <v>1</v>
      </c>
    </row>
    <row r="3017" spans="1:2" x14ac:dyDescent="0.35">
      <c r="A3017" s="14">
        <v>42287.810902777775</v>
      </c>
      <c r="B3017" s="5">
        <v>2</v>
      </c>
    </row>
    <row r="3018" spans="1:2" x14ac:dyDescent="0.35">
      <c r="A3018" s="14">
        <v>42287.812534722223</v>
      </c>
      <c r="B3018" s="5">
        <v>1</v>
      </c>
    </row>
    <row r="3019" spans="1:2" x14ac:dyDescent="0.35">
      <c r="A3019" s="14">
        <v>42287.813321759262</v>
      </c>
      <c r="B3019" s="5">
        <v>1</v>
      </c>
    </row>
    <row r="3020" spans="1:2" x14ac:dyDescent="0.35">
      <c r="A3020" s="14">
        <v>42287.826504629629</v>
      </c>
      <c r="B3020" s="5">
        <v>1</v>
      </c>
    </row>
    <row r="3021" spans="1:2" x14ac:dyDescent="0.35">
      <c r="A3021" s="14">
        <v>42287.838252314818</v>
      </c>
      <c r="B3021" s="5">
        <v>1</v>
      </c>
    </row>
    <row r="3022" spans="1:2" x14ac:dyDescent="0.35">
      <c r="A3022" s="14">
        <v>42287.842824074076</v>
      </c>
      <c r="B3022" s="5">
        <v>1</v>
      </c>
    </row>
    <row r="3023" spans="1:2" x14ac:dyDescent="0.35">
      <c r="A3023" s="14">
        <v>42287.948240740741</v>
      </c>
      <c r="B3023" s="5">
        <v>1</v>
      </c>
    </row>
    <row r="3024" spans="1:2" x14ac:dyDescent="0.35">
      <c r="A3024" s="14">
        <v>42287.9528125</v>
      </c>
      <c r="B3024" s="5">
        <v>1</v>
      </c>
    </row>
    <row r="3025" spans="1:2" x14ac:dyDescent="0.35">
      <c r="A3025" s="14">
        <v>42287.953090277777</v>
      </c>
      <c r="B3025" s="5">
        <v>1</v>
      </c>
    </row>
    <row r="3026" spans="1:2" x14ac:dyDescent="0.35">
      <c r="A3026" s="14">
        <v>42288.066736111112</v>
      </c>
      <c r="B3026" s="5">
        <v>1</v>
      </c>
    </row>
    <row r="3027" spans="1:2" x14ac:dyDescent="0.35">
      <c r="A3027" s="14">
        <v>42288.192453703705</v>
      </c>
      <c r="B3027" s="5">
        <v>1</v>
      </c>
    </row>
    <row r="3028" spans="1:2" x14ac:dyDescent="0.35">
      <c r="A3028" s="14">
        <v>42288.235312500001</v>
      </c>
      <c r="B3028" s="5">
        <v>1</v>
      </c>
    </row>
    <row r="3029" spans="1:2" x14ac:dyDescent="0.35">
      <c r="A3029" s="14">
        <v>42288.614942129629</v>
      </c>
      <c r="B3029" s="5">
        <v>1</v>
      </c>
    </row>
    <row r="3030" spans="1:2" x14ac:dyDescent="0.35">
      <c r="A3030" s="14">
        <v>42288.624340277776</v>
      </c>
      <c r="B3030" s="5">
        <v>1</v>
      </c>
    </row>
    <row r="3031" spans="1:2" x14ac:dyDescent="0.35">
      <c r="A3031" s="14">
        <v>42288.647511574076</v>
      </c>
      <c r="B3031" s="5">
        <v>1</v>
      </c>
    </row>
    <row r="3032" spans="1:2" x14ac:dyDescent="0.35">
      <c r="A3032" s="14">
        <v>42288.677812499998</v>
      </c>
      <c r="B3032" s="5">
        <v>1</v>
      </c>
    </row>
    <row r="3033" spans="1:2" x14ac:dyDescent="0.35">
      <c r="A3033" s="14">
        <v>42288.688506944447</v>
      </c>
      <c r="B3033" s="5">
        <v>1</v>
      </c>
    </row>
    <row r="3034" spans="1:2" x14ac:dyDescent="0.35">
      <c r="A3034" s="14">
        <v>42288.689421296294</v>
      </c>
      <c r="B3034" s="5">
        <v>1</v>
      </c>
    </row>
    <row r="3035" spans="1:2" x14ac:dyDescent="0.35">
      <c r="A3035" s="14">
        <v>42288.689976851849</v>
      </c>
      <c r="B3035" s="5">
        <v>2</v>
      </c>
    </row>
    <row r="3036" spans="1:2" x14ac:dyDescent="0.35">
      <c r="A3036" s="14">
        <v>42288.692372685182</v>
      </c>
      <c r="B3036" s="5">
        <v>1</v>
      </c>
    </row>
    <row r="3037" spans="1:2" x14ac:dyDescent="0.35">
      <c r="A3037" s="14">
        <v>42288.708611111113</v>
      </c>
      <c r="B3037" s="5">
        <v>1</v>
      </c>
    </row>
    <row r="3038" spans="1:2" x14ac:dyDescent="0.35">
      <c r="A3038" s="14">
        <v>42288.727534722224</v>
      </c>
      <c r="B3038" s="5">
        <v>1</v>
      </c>
    </row>
    <row r="3039" spans="1:2" x14ac:dyDescent="0.35">
      <c r="A3039" s="14">
        <v>42288.73065972222</v>
      </c>
      <c r="B3039" s="5">
        <v>1</v>
      </c>
    </row>
    <row r="3040" spans="1:2" x14ac:dyDescent="0.35">
      <c r="A3040" s="14">
        <v>42288.757673611108</v>
      </c>
      <c r="B3040" s="5">
        <v>1</v>
      </c>
    </row>
    <row r="3041" spans="1:2" x14ac:dyDescent="0.35">
      <c r="A3041" s="14">
        <v>42288.757881944446</v>
      </c>
      <c r="B3041" s="5">
        <v>1</v>
      </c>
    </row>
    <row r="3042" spans="1:2" x14ac:dyDescent="0.35">
      <c r="A3042" s="14">
        <v>42288.759039351855</v>
      </c>
      <c r="B3042" s="5">
        <v>2</v>
      </c>
    </row>
    <row r="3043" spans="1:2" x14ac:dyDescent="0.35">
      <c r="A3043" s="14">
        <v>42288.760312500002</v>
      </c>
      <c r="B3043" s="5">
        <v>1</v>
      </c>
    </row>
    <row r="3044" spans="1:2" x14ac:dyDescent="0.35">
      <c r="A3044" s="14">
        <v>42288.760509259257</v>
      </c>
      <c r="B3044" s="5">
        <v>1</v>
      </c>
    </row>
    <row r="3045" spans="1:2" x14ac:dyDescent="0.35">
      <c r="A3045" s="14">
        <v>42288.760613425926</v>
      </c>
      <c r="B3045" s="5">
        <v>1</v>
      </c>
    </row>
    <row r="3046" spans="1:2" x14ac:dyDescent="0.35">
      <c r="A3046" s="14">
        <v>42288.761516203704</v>
      </c>
      <c r="B3046" s="5">
        <v>1</v>
      </c>
    </row>
    <row r="3047" spans="1:2" x14ac:dyDescent="0.35">
      <c r="A3047" s="14">
        <v>42288.76284722222</v>
      </c>
      <c r="B3047" s="5">
        <v>1</v>
      </c>
    </row>
    <row r="3048" spans="1:2" x14ac:dyDescent="0.35">
      <c r="A3048" s="14">
        <v>42288.765081018515</v>
      </c>
      <c r="B3048" s="5">
        <v>1</v>
      </c>
    </row>
    <row r="3049" spans="1:2" x14ac:dyDescent="0.35">
      <c r="A3049" s="14">
        <v>42288.76667824074</v>
      </c>
      <c r="B3049" s="5">
        <v>1</v>
      </c>
    </row>
    <row r="3050" spans="1:2" x14ac:dyDescent="0.35">
      <c r="A3050" s="14">
        <v>42288.770520833335</v>
      </c>
      <c r="B3050" s="5">
        <v>1</v>
      </c>
    </row>
    <row r="3051" spans="1:2" x14ac:dyDescent="0.35">
      <c r="A3051" s="14">
        <v>42288.791562500002</v>
      </c>
      <c r="B3051" s="5">
        <v>1</v>
      </c>
    </row>
    <row r="3052" spans="1:2" x14ac:dyDescent="0.35">
      <c r="A3052" s="14">
        <v>42288.791875000003</v>
      </c>
      <c r="B3052" s="5">
        <v>2</v>
      </c>
    </row>
    <row r="3053" spans="1:2" x14ac:dyDescent="0.35">
      <c r="A3053" s="14">
        <v>42288.792673611111</v>
      </c>
      <c r="B3053" s="5">
        <v>1</v>
      </c>
    </row>
    <row r="3054" spans="1:2" x14ac:dyDescent="0.35">
      <c r="A3054" s="14">
        <v>42288.793136574073</v>
      </c>
      <c r="B3054" s="5">
        <v>2</v>
      </c>
    </row>
    <row r="3055" spans="1:2" x14ac:dyDescent="0.35">
      <c r="A3055" s="14">
        <v>42288.794108796297</v>
      </c>
      <c r="B3055" s="5">
        <v>1</v>
      </c>
    </row>
    <row r="3056" spans="1:2" x14ac:dyDescent="0.35">
      <c r="A3056" s="14">
        <v>42288.794282407405</v>
      </c>
      <c r="B3056" s="5">
        <v>2</v>
      </c>
    </row>
    <row r="3057" spans="1:2" x14ac:dyDescent="0.35">
      <c r="A3057" s="14">
        <v>42288.817800925928</v>
      </c>
      <c r="B3057" s="5">
        <v>1</v>
      </c>
    </row>
    <row r="3058" spans="1:2" x14ac:dyDescent="0.35">
      <c r="A3058" s="14">
        <v>42288.835925925923</v>
      </c>
      <c r="B3058" s="5">
        <v>1</v>
      </c>
    </row>
    <row r="3059" spans="1:2" x14ac:dyDescent="0.35">
      <c r="A3059" s="14">
        <v>42288.844004629631</v>
      </c>
      <c r="B3059" s="5">
        <v>1</v>
      </c>
    </row>
    <row r="3060" spans="1:2" x14ac:dyDescent="0.35">
      <c r="A3060" s="14">
        <v>42288.865300925929</v>
      </c>
      <c r="B3060" s="5">
        <v>1</v>
      </c>
    </row>
    <row r="3061" spans="1:2" x14ac:dyDescent="0.35">
      <c r="A3061" s="14">
        <v>42288.91333333333</v>
      </c>
      <c r="B3061" s="5">
        <v>1</v>
      </c>
    </row>
    <row r="3062" spans="1:2" x14ac:dyDescent="0.35">
      <c r="A3062" s="14">
        <v>42288.924699074072</v>
      </c>
      <c r="B3062" s="5">
        <v>1</v>
      </c>
    </row>
    <row r="3063" spans="1:2" x14ac:dyDescent="0.35">
      <c r="A3063" s="14">
        <v>42288.933969907404</v>
      </c>
      <c r="B3063" s="5">
        <v>1</v>
      </c>
    </row>
    <row r="3064" spans="1:2" x14ac:dyDescent="0.35">
      <c r="A3064" s="14">
        <v>42289.024699074071</v>
      </c>
      <c r="B3064" s="5">
        <v>1</v>
      </c>
    </row>
    <row r="3065" spans="1:2" x14ac:dyDescent="0.35">
      <c r="A3065" s="14">
        <v>42289.034131944441</v>
      </c>
      <c r="B3065" s="5">
        <v>1</v>
      </c>
    </row>
    <row r="3066" spans="1:2" x14ac:dyDescent="0.35">
      <c r="A3066" s="14">
        <v>42289.046365740738</v>
      </c>
      <c r="B3066" s="5">
        <v>1</v>
      </c>
    </row>
    <row r="3067" spans="1:2" x14ac:dyDescent="0.35">
      <c r="A3067" s="14">
        <v>42289.052812499998</v>
      </c>
      <c r="B3067" s="5">
        <v>1</v>
      </c>
    </row>
    <row r="3068" spans="1:2" x14ac:dyDescent="0.35">
      <c r="A3068" s="14">
        <v>42289.052893518521</v>
      </c>
      <c r="B3068" s="5">
        <v>2</v>
      </c>
    </row>
    <row r="3069" spans="1:2" x14ac:dyDescent="0.35">
      <c r="A3069" s="14">
        <v>42289.060254629629</v>
      </c>
      <c r="B3069" s="5">
        <v>1</v>
      </c>
    </row>
    <row r="3070" spans="1:2" x14ac:dyDescent="0.35">
      <c r="A3070" s="14">
        <v>42289.121087962965</v>
      </c>
      <c r="B3070" s="5">
        <v>1</v>
      </c>
    </row>
    <row r="3071" spans="1:2" x14ac:dyDescent="0.35">
      <c r="A3071" s="14">
        <v>42289.17386574074</v>
      </c>
      <c r="B3071" s="5">
        <v>1</v>
      </c>
    </row>
    <row r="3072" spans="1:2" x14ac:dyDescent="0.35">
      <c r="A3072" s="14">
        <v>42289.175219907411</v>
      </c>
      <c r="B3072" s="5">
        <v>2</v>
      </c>
    </row>
    <row r="3073" spans="1:2" x14ac:dyDescent="0.35">
      <c r="A3073" s="14">
        <v>42289.193009259259</v>
      </c>
      <c r="B3073" s="5">
        <v>1</v>
      </c>
    </row>
    <row r="3074" spans="1:2" x14ac:dyDescent="0.35">
      <c r="A3074" s="14">
        <v>42289.273518518516</v>
      </c>
      <c r="B3074" s="5">
        <v>1</v>
      </c>
    </row>
    <row r="3075" spans="1:2" x14ac:dyDescent="0.35">
      <c r="A3075" s="14">
        <v>42289.2737037037</v>
      </c>
      <c r="B3075" s="5">
        <v>2</v>
      </c>
    </row>
    <row r="3076" spans="1:2" x14ac:dyDescent="0.35">
      <c r="A3076" s="14">
        <v>42289.275046296294</v>
      </c>
      <c r="B3076" s="5">
        <v>1</v>
      </c>
    </row>
    <row r="3077" spans="1:2" x14ac:dyDescent="0.35">
      <c r="A3077" s="14">
        <v>42289.275648148148</v>
      </c>
      <c r="B3077" s="5">
        <v>2</v>
      </c>
    </row>
    <row r="3078" spans="1:2" x14ac:dyDescent="0.35">
      <c r="A3078" s="14">
        <v>42289.275925925926</v>
      </c>
      <c r="B3078" s="5">
        <v>1</v>
      </c>
    </row>
    <row r="3079" spans="1:2" x14ac:dyDescent="0.35">
      <c r="A3079" s="14">
        <v>42289.276018518518</v>
      </c>
      <c r="B3079" s="5">
        <v>1</v>
      </c>
    </row>
    <row r="3080" spans="1:2" x14ac:dyDescent="0.35">
      <c r="A3080" s="14">
        <v>42289.276087962964</v>
      </c>
      <c r="B3080" s="5">
        <v>1</v>
      </c>
    </row>
    <row r="3081" spans="1:2" x14ac:dyDescent="0.35">
      <c r="A3081" s="14">
        <v>42289.278425925928</v>
      </c>
      <c r="B3081" s="5">
        <v>2</v>
      </c>
    </row>
    <row r="3082" spans="1:2" x14ac:dyDescent="0.35">
      <c r="A3082" s="14">
        <v>42289.279074074075</v>
      </c>
      <c r="B3082" s="5">
        <v>2</v>
      </c>
    </row>
    <row r="3083" spans="1:2" x14ac:dyDescent="0.35">
      <c r="A3083" s="14">
        <v>42289.282152777778</v>
      </c>
      <c r="B3083" s="5">
        <v>1</v>
      </c>
    </row>
    <row r="3084" spans="1:2" x14ac:dyDescent="0.35">
      <c r="A3084" s="14">
        <v>42289.282997685186</v>
      </c>
      <c r="B3084" s="5">
        <v>2</v>
      </c>
    </row>
    <row r="3085" spans="1:2" x14ac:dyDescent="0.35">
      <c r="A3085" s="14">
        <v>42289.283043981479</v>
      </c>
      <c r="B3085" s="5">
        <v>1</v>
      </c>
    </row>
    <row r="3086" spans="1:2" x14ac:dyDescent="0.35">
      <c r="A3086" s="14">
        <v>42289.283229166664</v>
      </c>
      <c r="B3086" s="5">
        <v>2</v>
      </c>
    </row>
    <row r="3087" spans="1:2" x14ac:dyDescent="0.35">
      <c r="A3087" s="14">
        <v>42289.323738425926</v>
      </c>
      <c r="B3087" s="5">
        <v>1</v>
      </c>
    </row>
    <row r="3088" spans="1:2" x14ac:dyDescent="0.35">
      <c r="A3088" s="14">
        <v>42289.374085648145</v>
      </c>
      <c r="B3088" s="5">
        <v>1</v>
      </c>
    </row>
    <row r="3089" spans="1:2" x14ac:dyDescent="0.35">
      <c r="A3089" s="14">
        <v>42289.383981481478</v>
      </c>
      <c r="B3089" s="5">
        <v>1</v>
      </c>
    </row>
    <row r="3090" spans="1:2" x14ac:dyDescent="0.35">
      <c r="A3090" s="14">
        <v>42289.457395833335</v>
      </c>
      <c r="B3090" s="5">
        <v>1</v>
      </c>
    </row>
    <row r="3091" spans="1:2" x14ac:dyDescent="0.35">
      <c r="A3091" s="14">
        <v>42289.457546296297</v>
      </c>
      <c r="B3091" s="5">
        <v>2</v>
      </c>
    </row>
    <row r="3092" spans="1:2" x14ac:dyDescent="0.35">
      <c r="A3092" s="14">
        <v>42289.461238425924</v>
      </c>
      <c r="B3092" s="5">
        <v>1</v>
      </c>
    </row>
    <row r="3093" spans="1:2" x14ac:dyDescent="0.35">
      <c r="A3093" s="14">
        <v>42289.461400462962</v>
      </c>
      <c r="B3093" s="5">
        <v>2</v>
      </c>
    </row>
    <row r="3094" spans="1:2" x14ac:dyDescent="0.35">
      <c r="A3094" s="14">
        <v>42289.512002314812</v>
      </c>
      <c r="B3094" s="5">
        <v>1</v>
      </c>
    </row>
    <row r="3095" spans="1:2" x14ac:dyDescent="0.35">
      <c r="A3095" s="14">
        <v>42289.515104166669</v>
      </c>
      <c r="B3095" s="5">
        <v>1</v>
      </c>
    </row>
    <row r="3096" spans="1:2" x14ac:dyDescent="0.35">
      <c r="A3096" s="14">
        <v>42289.552002314813</v>
      </c>
      <c r="B3096" s="5">
        <v>1</v>
      </c>
    </row>
    <row r="3097" spans="1:2" x14ac:dyDescent="0.35">
      <c r="A3097" s="14">
        <v>42289.556550925925</v>
      </c>
      <c r="B3097" s="5">
        <v>1</v>
      </c>
    </row>
    <row r="3098" spans="1:2" x14ac:dyDescent="0.35">
      <c r="A3098" s="14">
        <v>42289.62054398148</v>
      </c>
      <c r="B3098" s="5">
        <v>1</v>
      </c>
    </row>
    <row r="3099" spans="1:2" x14ac:dyDescent="0.35">
      <c r="A3099" s="14">
        <v>42289.623298611114</v>
      </c>
      <c r="B3099" s="5">
        <v>1</v>
      </c>
    </row>
    <row r="3100" spans="1:2" x14ac:dyDescent="0.35">
      <c r="A3100" s="14">
        <v>42289.640185185184</v>
      </c>
      <c r="B3100" s="5">
        <v>1</v>
      </c>
    </row>
    <row r="3101" spans="1:2" x14ac:dyDescent="0.35">
      <c r="A3101" s="14">
        <v>42289.64340277778</v>
      </c>
      <c r="B3101" s="5">
        <v>1</v>
      </c>
    </row>
    <row r="3102" spans="1:2" x14ac:dyDescent="0.35">
      <c r="A3102" s="14">
        <v>42289.649467592593</v>
      </c>
      <c r="B3102" s="5">
        <v>1</v>
      </c>
    </row>
    <row r="3103" spans="1:2" x14ac:dyDescent="0.35">
      <c r="A3103" s="14">
        <v>42289.655115740738</v>
      </c>
      <c r="B3103" s="5">
        <v>1</v>
      </c>
    </row>
    <row r="3104" spans="1:2" x14ac:dyDescent="0.35">
      <c r="A3104" s="14">
        <v>42289.655474537038</v>
      </c>
      <c r="B3104" s="5">
        <v>1</v>
      </c>
    </row>
    <row r="3105" spans="1:2" x14ac:dyDescent="0.35">
      <c r="A3105" s="14">
        <v>42289.662615740737</v>
      </c>
      <c r="B3105" s="5">
        <v>1</v>
      </c>
    </row>
    <row r="3106" spans="1:2" x14ac:dyDescent="0.35">
      <c r="A3106" s="14">
        <v>42289.668217592596</v>
      </c>
      <c r="B3106" s="5">
        <v>1</v>
      </c>
    </row>
    <row r="3107" spans="1:2" x14ac:dyDescent="0.35">
      <c r="A3107" s="14">
        <v>42289.671319444446</v>
      </c>
      <c r="B3107" s="5">
        <v>1</v>
      </c>
    </row>
    <row r="3108" spans="1:2" x14ac:dyDescent="0.35">
      <c r="A3108" s="14">
        <v>42289.677662037036</v>
      </c>
      <c r="B3108" s="5">
        <v>1</v>
      </c>
    </row>
    <row r="3109" spans="1:2" x14ac:dyDescent="0.35">
      <c r="A3109" s="14">
        <v>42289.705625000002</v>
      </c>
      <c r="B3109" s="5">
        <v>1</v>
      </c>
    </row>
    <row r="3110" spans="1:2" x14ac:dyDescent="0.35">
      <c r="A3110" s="14">
        <v>42289.706064814818</v>
      </c>
      <c r="B3110" s="5">
        <v>1</v>
      </c>
    </row>
    <row r="3111" spans="1:2" x14ac:dyDescent="0.35">
      <c r="A3111" s="14">
        <v>42289.709282407406</v>
      </c>
      <c r="B3111" s="5">
        <v>1</v>
      </c>
    </row>
    <row r="3112" spans="1:2" x14ac:dyDescent="0.35">
      <c r="A3112" s="14">
        <v>42289.709733796299</v>
      </c>
      <c r="B3112" s="5">
        <v>1</v>
      </c>
    </row>
    <row r="3113" spans="1:2" x14ac:dyDescent="0.35">
      <c r="A3113" s="14">
        <v>42289.710405092592</v>
      </c>
      <c r="B3113" s="5">
        <v>1</v>
      </c>
    </row>
    <row r="3114" spans="1:2" x14ac:dyDescent="0.35">
      <c r="A3114" s="14">
        <v>42289.716574074075</v>
      </c>
      <c r="B3114" s="5">
        <v>1</v>
      </c>
    </row>
    <row r="3115" spans="1:2" x14ac:dyDescent="0.35">
      <c r="A3115" s="14">
        <v>42289.716956018521</v>
      </c>
      <c r="B3115" s="5">
        <v>1</v>
      </c>
    </row>
    <row r="3116" spans="1:2" x14ac:dyDescent="0.35">
      <c r="A3116" s="14">
        <v>42289.717893518522</v>
      </c>
      <c r="B3116" s="5">
        <v>1</v>
      </c>
    </row>
    <row r="3117" spans="1:2" x14ac:dyDescent="0.35">
      <c r="A3117" s="14">
        <v>42289.717905092592</v>
      </c>
      <c r="B3117" s="5">
        <v>1</v>
      </c>
    </row>
    <row r="3118" spans="1:2" x14ac:dyDescent="0.35">
      <c r="A3118" s="14">
        <v>42289.718923611108</v>
      </c>
      <c r="B3118" s="5">
        <v>1</v>
      </c>
    </row>
    <row r="3119" spans="1:2" x14ac:dyDescent="0.35">
      <c r="A3119" s="14">
        <v>42289.719166666669</v>
      </c>
      <c r="B3119" s="5">
        <v>1</v>
      </c>
    </row>
    <row r="3120" spans="1:2" x14ac:dyDescent="0.35">
      <c r="A3120" s="14">
        <v>42289.726134259261</v>
      </c>
      <c r="B3120" s="5">
        <v>1</v>
      </c>
    </row>
    <row r="3121" spans="1:2" x14ac:dyDescent="0.35">
      <c r="A3121" s="14">
        <v>42289.756053240744</v>
      </c>
      <c r="B3121" s="5">
        <v>1</v>
      </c>
    </row>
    <row r="3122" spans="1:2" x14ac:dyDescent="0.35">
      <c r="A3122" s="14">
        <v>42289.76122685185</v>
      </c>
      <c r="B3122" s="5">
        <v>1</v>
      </c>
    </row>
    <row r="3123" spans="1:2" x14ac:dyDescent="0.35">
      <c r="A3123" s="14">
        <v>42289.772731481484</v>
      </c>
      <c r="B3123" s="5">
        <v>1</v>
      </c>
    </row>
    <row r="3124" spans="1:2" x14ac:dyDescent="0.35">
      <c r="A3124" s="14">
        <v>42289.774780092594</v>
      </c>
      <c r="B3124" s="5">
        <v>1</v>
      </c>
    </row>
    <row r="3125" spans="1:2" x14ac:dyDescent="0.35">
      <c r="A3125" s="14">
        <v>42289.793958333335</v>
      </c>
      <c r="B3125" s="5">
        <v>1</v>
      </c>
    </row>
    <row r="3126" spans="1:2" x14ac:dyDescent="0.35">
      <c r="A3126" s="14">
        <v>42289.829664351855</v>
      </c>
      <c r="B3126" s="5">
        <v>1</v>
      </c>
    </row>
    <row r="3127" spans="1:2" x14ac:dyDescent="0.35">
      <c r="A3127" s="14">
        <v>42289.881458333337</v>
      </c>
      <c r="B3127" s="5">
        <v>1</v>
      </c>
    </row>
    <row r="3128" spans="1:2" x14ac:dyDescent="0.35">
      <c r="A3128" s="14">
        <v>42289.905729166669</v>
      </c>
      <c r="B3128" s="5">
        <v>1</v>
      </c>
    </row>
    <row r="3129" spans="1:2" x14ac:dyDescent="0.35">
      <c r="A3129" s="14">
        <v>42289.913587962961</v>
      </c>
      <c r="B3129" s="5">
        <v>1</v>
      </c>
    </row>
    <row r="3130" spans="1:2" x14ac:dyDescent="0.35">
      <c r="A3130" s="14">
        <v>42289.919849537036</v>
      </c>
      <c r="B3130" s="5">
        <v>1</v>
      </c>
    </row>
    <row r="3131" spans="1:2" x14ac:dyDescent="0.35">
      <c r="A3131" s="14">
        <v>42289.927615740744</v>
      </c>
      <c r="B3131" s="5">
        <v>1</v>
      </c>
    </row>
    <row r="3132" spans="1:2" x14ac:dyDescent="0.35">
      <c r="A3132" s="14">
        <v>42289.958831018521</v>
      </c>
      <c r="B3132" s="5">
        <v>1</v>
      </c>
    </row>
    <row r="3133" spans="1:2" x14ac:dyDescent="0.35">
      <c r="A3133" s="14">
        <v>42289.959953703707</v>
      </c>
      <c r="B3133" s="5">
        <v>1</v>
      </c>
    </row>
    <row r="3134" spans="1:2" x14ac:dyDescent="0.35">
      <c r="A3134" s="14">
        <v>42289.992048611108</v>
      </c>
      <c r="B3134" s="5">
        <v>1</v>
      </c>
    </row>
    <row r="3135" spans="1:2" x14ac:dyDescent="0.35">
      <c r="A3135" s="14">
        <v>42290.00818287037</v>
      </c>
      <c r="B3135" s="5">
        <v>1</v>
      </c>
    </row>
    <row r="3136" spans="1:2" x14ac:dyDescent="0.35">
      <c r="A3136" s="14">
        <v>42290.013391203705</v>
      </c>
      <c r="B3136" s="5">
        <v>1</v>
      </c>
    </row>
    <row r="3137" spans="1:2" x14ac:dyDescent="0.35">
      <c r="A3137" s="14">
        <v>42290.047476851854</v>
      </c>
      <c r="B3137" s="5">
        <v>1</v>
      </c>
    </row>
    <row r="3138" spans="1:2" x14ac:dyDescent="0.35">
      <c r="A3138" s="14">
        <v>42290.066030092596</v>
      </c>
      <c r="B3138" s="5">
        <v>1</v>
      </c>
    </row>
    <row r="3139" spans="1:2" x14ac:dyDescent="0.35">
      <c r="A3139" s="14">
        <v>42290.083518518521</v>
      </c>
      <c r="B3139" s="5">
        <v>1</v>
      </c>
    </row>
    <row r="3140" spans="1:2" x14ac:dyDescent="0.35">
      <c r="A3140" s="14">
        <v>42290.088958333334</v>
      </c>
      <c r="B3140" s="5">
        <v>1</v>
      </c>
    </row>
    <row r="3141" spans="1:2" x14ac:dyDescent="0.35">
      <c r="A3141" s="14">
        <v>42290.117997685185</v>
      </c>
      <c r="B3141" s="5">
        <v>1</v>
      </c>
    </row>
    <row r="3142" spans="1:2" x14ac:dyDescent="0.35">
      <c r="A3142" s="14">
        <v>42290.120925925927</v>
      </c>
      <c r="B3142" s="5">
        <v>1</v>
      </c>
    </row>
    <row r="3143" spans="1:2" x14ac:dyDescent="0.35">
      <c r="A3143" s="14">
        <v>42290.122071759259</v>
      </c>
      <c r="B3143" s="5">
        <v>1</v>
      </c>
    </row>
    <row r="3144" spans="1:2" x14ac:dyDescent="0.35">
      <c r="A3144" s="14">
        <v>42290.153356481482</v>
      </c>
      <c r="B3144" s="5">
        <v>1</v>
      </c>
    </row>
    <row r="3145" spans="1:2" x14ac:dyDescent="0.35">
      <c r="A3145" s="14">
        <v>42290.31554398148</v>
      </c>
      <c r="B3145" s="5">
        <v>1</v>
      </c>
    </row>
    <row r="3146" spans="1:2" x14ac:dyDescent="0.35">
      <c r="A3146" s="14">
        <v>42290.483043981483</v>
      </c>
      <c r="B3146" s="5">
        <v>1</v>
      </c>
    </row>
    <row r="3147" spans="1:2" x14ac:dyDescent="0.35">
      <c r="A3147" s="14">
        <v>42290.495717592596</v>
      </c>
      <c r="B3147" s="5">
        <v>1</v>
      </c>
    </row>
    <row r="3148" spans="1:2" x14ac:dyDescent="0.35">
      <c r="A3148" s="14">
        <v>42290.497569444444</v>
      </c>
      <c r="B3148" s="5">
        <v>1</v>
      </c>
    </row>
    <row r="3149" spans="1:2" x14ac:dyDescent="0.35">
      <c r="A3149" s="14">
        <v>42290.502175925925</v>
      </c>
      <c r="B3149" s="5">
        <v>1</v>
      </c>
    </row>
    <row r="3150" spans="1:2" x14ac:dyDescent="0.35">
      <c r="A3150" s="14">
        <v>42290.505428240744</v>
      </c>
      <c r="B3150" s="5">
        <v>1</v>
      </c>
    </row>
    <row r="3151" spans="1:2" x14ac:dyDescent="0.35">
      <c r="A3151" s="14">
        <v>42290.522349537037</v>
      </c>
      <c r="B3151" s="5">
        <v>1</v>
      </c>
    </row>
    <row r="3152" spans="1:2" x14ac:dyDescent="0.35">
      <c r="A3152" s="14">
        <v>42290.523587962962</v>
      </c>
      <c r="B3152" s="5">
        <v>1</v>
      </c>
    </row>
    <row r="3153" spans="1:2" x14ac:dyDescent="0.35">
      <c r="A3153" s="14">
        <v>42290.527731481481</v>
      </c>
      <c r="B3153" s="5">
        <v>1</v>
      </c>
    </row>
    <row r="3154" spans="1:2" x14ac:dyDescent="0.35">
      <c r="A3154" s="14">
        <v>42290.534953703704</v>
      </c>
      <c r="B3154" s="5">
        <v>1</v>
      </c>
    </row>
    <row r="3155" spans="1:2" x14ac:dyDescent="0.35">
      <c r="A3155" s="14">
        <v>42290.608240740738</v>
      </c>
      <c r="B3155" s="5">
        <v>1</v>
      </c>
    </row>
    <row r="3156" spans="1:2" x14ac:dyDescent="0.35">
      <c r="A3156" s="14">
        <v>42290.64675925926</v>
      </c>
      <c r="B3156" s="5">
        <v>1</v>
      </c>
    </row>
    <row r="3157" spans="1:2" x14ac:dyDescent="0.35">
      <c r="A3157" s="14">
        <v>42290.646921296298</v>
      </c>
      <c r="B3157" s="5">
        <v>1</v>
      </c>
    </row>
    <row r="3158" spans="1:2" x14ac:dyDescent="0.35">
      <c r="A3158" s="14">
        <v>42290.647557870368</v>
      </c>
      <c r="B3158" s="5">
        <v>1</v>
      </c>
    </row>
    <row r="3159" spans="1:2" x14ac:dyDescent="0.35">
      <c r="A3159" s="14">
        <v>42290.647696759261</v>
      </c>
      <c r="B3159" s="5">
        <v>1</v>
      </c>
    </row>
    <row r="3160" spans="1:2" x14ac:dyDescent="0.35">
      <c r="A3160" s="14">
        <v>42290.647824074076</v>
      </c>
      <c r="B3160" s="5">
        <v>1</v>
      </c>
    </row>
    <row r="3161" spans="1:2" x14ac:dyDescent="0.35">
      <c r="A3161" s="14">
        <v>42290.648310185185</v>
      </c>
      <c r="B3161" s="5">
        <v>1</v>
      </c>
    </row>
    <row r="3162" spans="1:2" x14ac:dyDescent="0.35">
      <c r="A3162" s="14">
        <v>42290.648506944446</v>
      </c>
      <c r="B3162" s="5">
        <v>1</v>
      </c>
    </row>
    <row r="3163" spans="1:2" x14ac:dyDescent="0.35">
      <c r="A3163" s="14">
        <v>42290.650046296294</v>
      </c>
      <c r="B3163" s="5">
        <v>1</v>
      </c>
    </row>
    <row r="3164" spans="1:2" x14ac:dyDescent="0.35">
      <c r="A3164" s="14">
        <v>42290.661793981482</v>
      </c>
      <c r="B3164" s="5">
        <v>1</v>
      </c>
    </row>
    <row r="3165" spans="1:2" x14ac:dyDescent="0.35">
      <c r="A3165" s="14">
        <v>42290.666631944441</v>
      </c>
      <c r="B3165" s="5">
        <v>1</v>
      </c>
    </row>
    <row r="3166" spans="1:2" x14ac:dyDescent="0.35">
      <c r="A3166" s="14">
        <v>42290.670902777776</v>
      </c>
      <c r="B3166" s="5">
        <v>1</v>
      </c>
    </row>
    <row r="3167" spans="1:2" x14ac:dyDescent="0.35">
      <c r="A3167" s="14">
        <v>42290.683715277781</v>
      </c>
      <c r="B3167" s="5">
        <v>1</v>
      </c>
    </row>
    <row r="3168" spans="1:2" x14ac:dyDescent="0.35">
      <c r="A3168" s="14">
        <v>42290.685590277775</v>
      </c>
      <c r="B3168" s="5">
        <v>1</v>
      </c>
    </row>
    <row r="3169" spans="1:2" x14ac:dyDescent="0.35">
      <c r="A3169" s="14">
        <v>42290.69021990741</v>
      </c>
      <c r="B3169" s="5">
        <v>1</v>
      </c>
    </row>
    <row r="3170" spans="1:2" x14ac:dyDescent="0.35">
      <c r="A3170" s="14">
        <v>42290.69740740741</v>
      </c>
      <c r="B3170" s="5">
        <v>1</v>
      </c>
    </row>
    <row r="3171" spans="1:2" x14ac:dyDescent="0.35">
      <c r="A3171" s="14">
        <v>42290.698437500003</v>
      </c>
      <c r="B3171" s="5">
        <v>1</v>
      </c>
    </row>
    <row r="3172" spans="1:2" x14ac:dyDescent="0.35">
      <c r="A3172" s="14">
        <v>42290.699074074073</v>
      </c>
      <c r="B3172" s="5">
        <v>1</v>
      </c>
    </row>
    <row r="3173" spans="1:2" x14ac:dyDescent="0.35">
      <c r="A3173" s="14">
        <v>42290.699745370373</v>
      </c>
      <c r="B3173" s="5">
        <v>1</v>
      </c>
    </row>
    <row r="3174" spans="1:2" x14ac:dyDescent="0.35">
      <c r="A3174" s="14">
        <v>42290.703101851854</v>
      </c>
      <c r="B3174" s="5">
        <v>1</v>
      </c>
    </row>
    <row r="3175" spans="1:2" x14ac:dyDescent="0.35">
      <c r="A3175" s="14">
        <v>42290.704884259256</v>
      </c>
      <c r="B3175" s="5">
        <v>1</v>
      </c>
    </row>
    <row r="3176" spans="1:2" x14ac:dyDescent="0.35">
      <c r="A3176" s="14">
        <v>42290.724259259259</v>
      </c>
      <c r="B3176" s="5">
        <v>1</v>
      </c>
    </row>
    <row r="3177" spans="1:2" x14ac:dyDescent="0.35">
      <c r="A3177" s="14">
        <v>42290.726053240738</v>
      </c>
      <c r="B3177" s="5">
        <v>2</v>
      </c>
    </row>
    <row r="3178" spans="1:2" x14ac:dyDescent="0.35">
      <c r="A3178" s="14">
        <v>42290.728425925925</v>
      </c>
      <c r="B3178" s="5">
        <v>1</v>
      </c>
    </row>
    <row r="3179" spans="1:2" x14ac:dyDescent="0.35">
      <c r="A3179" s="14">
        <v>42290.72855324074</v>
      </c>
      <c r="B3179" s="5">
        <v>1</v>
      </c>
    </row>
    <row r="3180" spans="1:2" x14ac:dyDescent="0.35">
      <c r="A3180" s="14">
        <v>42290.729305555556</v>
      </c>
      <c r="B3180" s="5">
        <v>1</v>
      </c>
    </row>
    <row r="3181" spans="1:2" x14ac:dyDescent="0.35">
      <c r="A3181" s="14">
        <v>42290.740925925929</v>
      </c>
      <c r="B3181" s="5">
        <v>1</v>
      </c>
    </row>
    <row r="3182" spans="1:2" x14ac:dyDescent="0.35">
      <c r="A3182" s="14">
        <v>42290.74150462963</v>
      </c>
      <c r="B3182" s="5">
        <v>2</v>
      </c>
    </row>
    <row r="3183" spans="1:2" x14ac:dyDescent="0.35">
      <c r="A3183" s="14">
        <v>42290.741747685184</v>
      </c>
      <c r="B3183" s="5">
        <v>1</v>
      </c>
    </row>
    <row r="3184" spans="1:2" x14ac:dyDescent="0.35">
      <c r="A3184" s="14">
        <v>42290.748657407406</v>
      </c>
      <c r="B3184" s="5">
        <v>1</v>
      </c>
    </row>
    <row r="3185" spans="1:2" x14ac:dyDescent="0.35">
      <c r="A3185" s="14">
        <v>42290.755682870367</v>
      </c>
      <c r="B3185" s="5">
        <v>1</v>
      </c>
    </row>
    <row r="3186" spans="1:2" x14ac:dyDescent="0.35">
      <c r="A3186" s="14">
        <v>42290.757939814815</v>
      </c>
      <c r="B3186" s="5">
        <v>1</v>
      </c>
    </row>
    <row r="3187" spans="1:2" x14ac:dyDescent="0.35">
      <c r="A3187" s="14">
        <v>42290.762638888889</v>
      </c>
      <c r="B3187" s="5">
        <v>1</v>
      </c>
    </row>
    <row r="3188" spans="1:2" x14ac:dyDescent="0.35">
      <c r="A3188" s="14">
        <v>42290.774594907409</v>
      </c>
      <c r="B3188" s="5">
        <v>1</v>
      </c>
    </row>
    <row r="3189" spans="1:2" x14ac:dyDescent="0.35">
      <c r="A3189" s="14">
        <v>42290.79478009259</v>
      </c>
      <c r="B3189" s="5">
        <v>1</v>
      </c>
    </row>
    <row r="3190" spans="1:2" x14ac:dyDescent="0.35">
      <c r="A3190" s="14">
        <v>42290.795648148145</v>
      </c>
      <c r="B3190" s="5">
        <v>1</v>
      </c>
    </row>
    <row r="3191" spans="1:2" x14ac:dyDescent="0.35">
      <c r="A3191" s="14">
        <v>42290.807141203702</v>
      </c>
      <c r="B3191" s="5">
        <v>1</v>
      </c>
    </row>
    <row r="3192" spans="1:2" x14ac:dyDescent="0.35">
      <c r="A3192" s="14">
        <v>42290.891840277778</v>
      </c>
      <c r="B3192" s="5">
        <v>1</v>
      </c>
    </row>
    <row r="3193" spans="1:2" x14ac:dyDescent="0.35">
      <c r="A3193" s="14">
        <v>42290.895833333336</v>
      </c>
      <c r="B3193" s="5">
        <v>1</v>
      </c>
    </row>
    <row r="3194" spans="1:2" x14ac:dyDescent="0.35">
      <c r="A3194" s="14">
        <v>42290.900104166663</v>
      </c>
      <c r="B3194" s="5">
        <v>1</v>
      </c>
    </row>
    <row r="3195" spans="1:2" x14ac:dyDescent="0.35">
      <c r="A3195" s="14">
        <v>42290.901539351849</v>
      </c>
      <c r="B3195" s="5">
        <v>1</v>
      </c>
    </row>
    <row r="3196" spans="1:2" x14ac:dyDescent="0.35">
      <c r="A3196" s="14">
        <v>42290.907939814817</v>
      </c>
      <c r="B3196" s="5">
        <v>1</v>
      </c>
    </row>
    <row r="3197" spans="1:2" x14ac:dyDescent="0.35">
      <c r="A3197" s="14">
        <v>42290.912372685183</v>
      </c>
      <c r="B3197" s="5">
        <v>1</v>
      </c>
    </row>
    <row r="3198" spans="1:2" x14ac:dyDescent="0.35">
      <c r="A3198" s="14">
        <v>42290.928784722222</v>
      </c>
      <c r="B3198" s="5">
        <v>1</v>
      </c>
    </row>
    <row r="3199" spans="1:2" x14ac:dyDescent="0.35">
      <c r="A3199" s="14">
        <v>42290.930659722224</v>
      </c>
      <c r="B3199" s="5">
        <v>2</v>
      </c>
    </row>
    <row r="3200" spans="1:2" x14ac:dyDescent="0.35">
      <c r="A3200" s="14">
        <v>42290.944641203707</v>
      </c>
      <c r="B3200" s="5">
        <v>1</v>
      </c>
    </row>
    <row r="3201" spans="1:2" x14ac:dyDescent="0.35">
      <c r="A3201" s="14">
        <v>42290.992418981485</v>
      </c>
      <c r="B3201" s="5">
        <v>1</v>
      </c>
    </row>
    <row r="3202" spans="1:2" x14ac:dyDescent="0.35">
      <c r="A3202" s="14">
        <v>42291.022303240738</v>
      </c>
      <c r="B3202" s="5">
        <v>1</v>
      </c>
    </row>
    <row r="3203" spans="1:2" x14ac:dyDescent="0.35">
      <c r="A3203" s="14">
        <v>42291.022615740738</v>
      </c>
      <c r="B3203" s="5">
        <v>2</v>
      </c>
    </row>
    <row r="3204" spans="1:2" x14ac:dyDescent="0.35">
      <c r="A3204" s="14">
        <v>42291.036828703705</v>
      </c>
      <c r="B3204" s="5">
        <v>1</v>
      </c>
    </row>
    <row r="3205" spans="1:2" x14ac:dyDescent="0.35">
      <c r="A3205" s="14">
        <v>42291.037824074076</v>
      </c>
      <c r="B3205" s="5">
        <v>1</v>
      </c>
    </row>
    <row r="3206" spans="1:2" x14ac:dyDescent="0.35">
      <c r="A3206" s="14">
        <v>42291.040451388886</v>
      </c>
      <c r="B3206" s="5">
        <v>1</v>
      </c>
    </row>
    <row r="3207" spans="1:2" x14ac:dyDescent="0.35">
      <c r="A3207" s="14">
        <v>42291.085393518515</v>
      </c>
      <c r="B3207" s="5">
        <v>1</v>
      </c>
    </row>
    <row r="3208" spans="1:2" x14ac:dyDescent="0.35">
      <c r="A3208" s="14">
        <v>42291.103946759256</v>
      </c>
      <c r="B3208" s="5">
        <v>1</v>
      </c>
    </row>
    <row r="3209" spans="1:2" x14ac:dyDescent="0.35">
      <c r="A3209" s="14">
        <v>42291.104849537034</v>
      </c>
      <c r="B3209" s="5">
        <v>1</v>
      </c>
    </row>
    <row r="3210" spans="1:2" x14ac:dyDescent="0.35">
      <c r="A3210" s="14">
        <v>42291.105775462966</v>
      </c>
      <c r="B3210" s="5">
        <v>1</v>
      </c>
    </row>
    <row r="3211" spans="1:2" x14ac:dyDescent="0.35">
      <c r="A3211" s="14">
        <v>42291.109131944446</v>
      </c>
      <c r="B3211" s="5">
        <v>1</v>
      </c>
    </row>
    <row r="3212" spans="1:2" x14ac:dyDescent="0.35">
      <c r="A3212" s="14">
        <v>42291.11037037037</v>
      </c>
      <c r="B3212" s="5">
        <v>1</v>
      </c>
    </row>
    <row r="3213" spans="1:2" x14ac:dyDescent="0.35">
      <c r="A3213" s="14">
        <v>42291.112291666665</v>
      </c>
      <c r="B3213" s="5">
        <v>1</v>
      </c>
    </row>
    <row r="3214" spans="1:2" x14ac:dyDescent="0.35">
      <c r="A3214" s="14">
        <v>42291.26421296296</v>
      </c>
      <c r="B3214" s="5">
        <v>1</v>
      </c>
    </row>
    <row r="3215" spans="1:2" x14ac:dyDescent="0.35">
      <c r="A3215" s="14">
        <v>42291.343321759261</v>
      </c>
      <c r="B3215" s="5">
        <v>1</v>
      </c>
    </row>
    <row r="3216" spans="1:2" x14ac:dyDescent="0.35">
      <c r="A3216" s="14">
        <v>42291.545520833337</v>
      </c>
      <c r="B3216" s="5">
        <v>1</v>
      </c>
    </row>
    <row r="3217" spans="1:2" x14ac:dyDescent="0.35">
      <c r="A3217" s="14">
        <v>42291.599212962959</v>
      </c>
      <c r="B3217" s="5">
        <v>1</v>
      </c>
    </row>
    <row r="3218" spans="1:2" x14ac:dyDescent="0.35">
      <c r="A3218" s="14">
        <v>42291.611203703702</v>
      </c>
      <c r="B3218" s="5">
        <v>1</v>
      </c>
    </row>
    <row r="3219" spans="1:2" x14ac:dyDescent="0.35">
      <c r="A3219" s="14">
        <v>42291.620763888888</v>
      </c>
      <c r="B3219" s="5">
        <v>1</v>
      </c>
    </row>
    <row r="3220" spans="1:2" x14ac:dyDescent="0.35">
      <c r="A3220" s="14">
        <v>42291.644432870373</v>
      </c>
      <c r="B3220" s="5">
        <v>1</v>
      </c>
    </row>
    <row r="3221" spans="1:2" x14ac:dyDescent="0.35">
      <c r="A3221" s="14">
        <v>42291.65148148148</v>
      </c>
      <c r="B3221" s="5">
        <v>1</v>
      </c>
    </row>
    <row r="3222" spans="1:2" x14ac:dyDescent="0.35">
      <c r="A3222" s="14">
        <v>42291.659513888888</v>
      </c>
      <c r="B3222" s="5">
        <v>1</v>
      </c>
    </row>
    <row r="3223" spans="1:2" x14ac:dyDescent="0.35">
      <c r="A3223" s="14">
        <v>42291.662928240738</v>
      </c>
      <c r="B3223" s="5">
        <v>1</v>
      </c>
    </row>
    <row r="3224" spans="1:2" x14ac:dyDescent="0.35">
      <c r="A3224" s="14">
        <v>42291.680266203701</v>
      </c>
      <c r="B3224" s="5">
        <v>1</v>
      </c>
    </row>
    <row r="3225" spans="1:2" x14ac:dyDescent="0.35">
      <c r="A3225" s="14">
        <v>42291.683541666665</v>
      </c>
      <c r="B3225" s="5">
        <v>1</v>
      </c>
    </row>
    <row r="3226" spans="1:2" x14ac:dyDescent="0.35">
      <c r="A3226" s="14">
        <v>42291.691967592589</v>
      </c>
      <c r="B3226" s="5">
        <v>1</v>
      </c>
    </row>
    <row r="3227" spans="1:2" x14ac:dyDescent="0.35">
      <c r="A3227" s="14">
        <v>42291.694513888891</v>
      </c>
      <c r="B3227" s="5">
        <v>1</v>
      </c>
    </row>
    <row r="3228" spans="1:2" x14ac:dyDescent="0.35">
      <c r="A3228" s="14">
        <v>42291.717256944445</v>
      </c>
      <c r="B3228" s="5">
        <v>1</v>
      </c>
    </row>
    <row r="3229" spans="1:2" x14ac:dyDescent="0.35">
      <c r="A3229" s="14">
        <v>42291.726712962962</v>
      </c>
      <c r="B3229" s="5">
        <v>1</v>
      </c>
    </row>
    <row r="3230" spans="1:2" x14ac:dyDescent="0.35">
      <c r="A3230" s="14">
        <v>42291.728067129632</v>
      </c>
      <c r="B3230" s="5">
        <v>1</v>
      </c>
    </row>
    <row r="3231" spans="1:2" x14ac:dyDescent="0.35">
      <c r="A3231" s="14">
        <v>42291.734189814815</v>
      </c>
      <c r="B3231" s="5">
        <v>1</v>
      </c>
    </row>
    <row r="3232" spans="1:2" x14ac:dyDescent="0.35">
      <c r="A3232" s="14">
        <v>42291.740798611114</v>
      </c>
      <c r="B3232" s="5">
        <v>1</v>
      </c>
    </row>
    <row r="3233" spans="1:2" x14ac:dyDescent="0.35">
      <c r="A3233" s="14">
        <v>42291.794189814813</v>
      </c>
      <c r="B3233" s="5">
        <v>1</v>
      </c>
    </row>
    <row r="3234" spans="1:2" x14ac:dyDescent="0.35">
      <c r="A3234" s="14">
        <v>42291.80064814815</v>
      </c>
      <c r="B3234" s="5">
        <v>2</v>
      </c>
    </row>
    <row r="3235" spans="1:2" x14ac:dyDescent="0.35">
      <c r="A3235" s="14">
        <v>42291.803240740737</v>
      </c>
      <c r="B3235" s="5">
        <v>1</v>
      </c>
    </row>
    <row r="3236" spans="1:2" x14ac:dyDescent="0.35">
      <c r="A3236" s="14">
        <v>42291.803298611114</v>
      </c>
      <c r="B3236" s="5">
        <v>1</v>
      </c>
    </row>
    <row r="3237" spans="1:2" x14ac:dyDescent="0.35">
      <c r="A3237" s="14">
        <v>42291.803935185184</v>
      </c>
      <c r="B3237" s="5">
        <v>1</v>
      </c>
    </row>
    <row r="3238" spans="1:2" x14ac:dyDescent="0.35">
      <c r="A3238" s="14">
        <v>42291.807442129626</v>
      </c>
      <c r="B3238" s="5">
        <v>1</v>
      </c>
    </row>
    <row r="3239" spans="1:2" x14ac:dyDescent="0.35">
      <c r="A3239" s="14">
        <v>42291.82980324074</v>
      </c>
      <c r="B3239" s="5">
        <v>1</v>
      </c>
    </row>
    <row r="3240" spans="1:2" x14ac:dyDescent="0.35">
      <c r="A3240" s="14">
        <v>42291.832395833335</v>
      </c>
      <c r="B3240" s="5">
        <v>1</v>
      </c>
    </row>
    <row r="3241" spans="1:2" x14ac:dyDescent="0.35">
      <c r="A3241" s="14">
        <v>42291.833298611113</v>
      </c>
      <c r="B3241" s="5">
        <v>1</v>
      </c>
    </row>
    <row r="3242" spans="1:2" x14ac:dyDescent="0.35">
      <c r="A3242" s="14">
        <v>42291.855185185188</v>
      </c>
      <c r="B3242" s="5">
        <v>1</v>
      </c>
    </row>
    <row r="3243" spans="1:2" x14ac:dyDescent="0.35">
      <c r="A3243" s="14">
        <v>42291.856388888889</v>
      </c>
      <c r="B3243" s="5">
        <v>1</v>
      </c>
    </row>
    <row r="3244" spans="1:2" x14ac:dyDescent="0.35">
      <c r="A3244" s="14">
        <v>42291.865937499999</v>
      </c>
      <c r="B3244" s="5">
        <v>1</v>
      </c>
    </row>
    <row r="3245" spans="1:2" x14ac:dyDescent="0.35">
      <c r="A3245" s="14">
        <v>42291.869826388887</v>
      </c>
      <c r="B3245" s="5">
        <v>1</v>
      </c>
    </row>
    <row r="3246" spans="1:2" x14ac:dyDescent="0.35">
      <c r="A3246" s="14">
        <v>42291.876168981478</v>
      </c>
      <c r="B3246" s="5">
        <v>1</v>
      </c>
    </row>
    <row r="3247" spans="1:2" x14ac:dyDescent="0.35">
      <c r="A3247" s="14">
        <v>42291.879108796296</v>
      </c>
      <c r="B3247" s="5">
        <v>1</v>
      </c>
    </row>
    <row r="3248" spans="1:2" x14ac:dyDescent="0.35">
      <c r="A3248" s="14">
        <v>42291.886493055557</v>
      </c>
      <c r="B3248" s="5">
        <v>1</v>
      </c>
    </row>
    <row r="3249" spans="1:2" x14ac:dyDescent="0.35">
      <c r="A3249" s="14">
        <v>42291.887523148151</v>
      </c>
      <c r="B3249" s="5">
        <v>1</v>
      </c>
    </row>
    <row r="3250" spans="1:2" x14ac:dyDescent="0.35">
      <c r="A3250" s="14">
        <v>42291.889050925929</v>
      </c>
      <c r="B3250" s="5">
        <v>1</v>
      </c>
    </row>
    <row r="3251" spans="1:2" x14ac:dyDescent="0.35">
      <c r="A3251" s="14">
        <v>42291.891122685185</v>
      </c>
      <c r="B3251" s="5">
        <v>1</v>
      </c>
    </row>
    <row r="3252" spans="1:2" x14ac:dyDescent="0.35">
      <c r="A3252" s="14">
        <v>42291.892754629633</v>
      </c>
      <c r="B3252" s="5">
        <v>1</v>
      </c>
    </row>
    <row r="3253" spans="1:2" x14ac:dyDescent="0.35">
      <c r="A3253" s="14">
        <v>42291.893807870372</v>
      </c>
      <c r="B3253" s="5">
        <v>1</v>
      </c>
    </row>
    <row r="3254" spans="1:2" x14ac:dyDescent="0.35">
      <c r="A3254" s="14">
        <v>42291.908495370371</v>
      </c>
      <c r="B3254" s="5">
        <v>1</v>
      </c>
    </row>
    <row r="3255" spans="1:2" x14ac:dyDescent="0.35">
      <c r="A3255" s="14">
        <v>42291.922361111108</v>
      </c>
      <c r="B3255" s="5">
        <v>1</v>
      </c>
    </row>
    <row r="3256" spans="1:2" x14ac:dyDescent="0.35">
      <c r="A3256" s="14">
        <v>42291.926238425927</v>
      </c>
      <c r="B3256" s="5">
        <v>1</v>
      </c>
    </row>
    <row r="3257" spans="1:2" x14ac:dyDescent="0.35">
      <c r="A3257" s="14">
        <v>42291.940439814818</v>
      </c>
      <c r="B3257" s="5">
        <v>1</v>
      </c>
    </row>
    <row r="3258" spans="1:2" x14ac:dyDescent="0.35">
      <c r="A3258" s="14">
        <v>42291.968298611115</v>
      </c>
      <c r="B3258" s="5">
        <v>1</v>
      </c>
    </row>
    <row r="3259" spans="1:2" x14ac:dyDescent="0.35">
      <c r="A3259" s="14">
        <v>42292.032696759263</v>
      </c>
      <c r="B3259" s="5">
        <v>1</v>
      </c>
    </row>
    <row r="3260" spans="1:2" x14ac:dyDescent="0.35">
      <c r="A3260" s="14">
        <v>42292.039826388886</v>
      </c>
      <c r="B3260" s="5">
        <v>1</v>
      </c>
    </row>
    <row r="3261" spans="1:2" x14ac:dyDescent="0.35">
      <c r="A3261" s="14">
        <v>42292.051099537035</v>
      </c>
      <c r="B3261" s="5">
        <v>1</v>
      </c>
    </row>
    <row r="3262" spans="1:2" x14ac:dyDescent="0.35">
      <c r="A3262" s="14">
        <v>42292.051759259259</v>
      </c>
      <c r="B3262" s="5">
        <v>1</v>
      </c>
    </row>
    <row r="3263" spans="1:2" x14ac:dyDescent="0.35">
      <c r="A3263" s="14">
        <v>42292.059432870374</v>
      </c>
      <c r="B3263" s="5">
        <v>1</v>
      </c>
    </row>
    <row r="3264" spans="1:2" x14ac:dyDescent="0.35">
      <c r="A3264" s="14">
        <v>42292.066030092596</v>
      </c>
      <c r="B3264" s="5">
        <v>1</v>
      </c>
    </row>
    <row r="3265" spans="1:2" x14ac:dyDescent="0.35">
      <c r="A3265" s="14">
        <v>42292.066666666666</v>
      </c>
      <c r="B3265" s="5">
        <v>2</v>
      </c>
    </row>
    <row r="3266" spans="1:2" x14ac:dyDescent="0.35">
      <c r="A3266" s="14">
        <v>42292.075127314813</v>
      </c>
      <c r="B3266" s="5">
        <v>1</v>
      </c>
    </row>
    <row r="3267" spans="1:2" x14ac:dyDescent="0.35">
      <c r="A3267" s="14">
        <v>42292.075925925928</v>
      </c>
      <c r="B3267" s="5">
        <v>1</v>
      </c>
    </row>
    <row r="3268" spans="1:2" x14ac:dyDescent="0.35">
      <c r="A3268" s="14">
        <v>42292.080034722225</v>
      </c>
      <c r="B3268" s="5">
        <v>1</v>
      </c>
    </row>
    <row r="3269" spans="1:2" x14ac:dyDescent="0.35">
      <c r="A3269" s="14">
        <v>42292.08084490741</v>
      </c>
      <c r="B3269" s="5">
        <v>1</v>
      </c>
    </row>
    <row r="3270" spans="1:2" x14ac:dyDescent="0.35">
      <c r="A3270" s="14">
        <v>42292.094282407408</v>
      </c>
      <c r="B3270" s="5">
        <v>1</v>
      </c>
    </row>
    <row r="3271" spans="1:2" x14ac:dyDescent="0.35">
      <c r="A3271" s="14">
        <v>42292.09611111111</v>
      </c>
      <c r="B3271" s="5">
        <v>1</v>
      </c>
    </row>
    <row r="3272" spans="1:2" x14ac:dyDescent="0.35">
      <c r="A3272" s="14">
        <v>42292.098946759259</v>
      </c>
      <c r="B3272" s="5">
        <v>1</v>
      </c>
    </row>
    <row r="3273" spans="1:2" x14ac:dyDescent="0.35">
      <c r="A3273" s="14">
        <v>42292.099537037036</v>
      </c>
      <c r="B3273" s="5">
        <v>1</v>
      </c>
    </row>
    <row r="3274" spans="1:2" x14ac:dyDescent="0.35">
      <c r="A3274" s="14">
        <v>42292.114652777775</v>
      </c>
      <c r="B3274" s="5">
        <v>1</v>
      </c>
    </row>
    <row r="3275" spans="1:2" x14ac:dyDescent="0.35">
      <c r="A3275" s="14">
        <v>42292.11519675926</v>
      </c>
      <c r="B3275" s="5">
        <v>1</v>
      </c>
    </row>
    <row r="3276" spans="1:2" x14ac:dyDescent="0.35">
      <c r="A3276" s="14">
        <v>42292.117546296293</v>
      </c>
      <c r="B3276" s="5">
        <v>1</v>
      </c>
    </row>
    <row r="3277" spans="1:2" x14ac:dyDescent="0.35">
      <c r="A3277" s="14">
        <v>42292.117997685185</v>
      </c>
      <c r="B3277" s="5">
        <v>1</v>
      </c>
    </row>
    <row r="3278" spans="1:2" x14ac:dyDescent="0.35">
      <c r="A3278" s="14">
        <v>42292.118101851855</v>
      </c>
      <c r="B3278" s="5">
        <v>1</v>
      </c>
    </row>
    <row r="3279" spans="1:2" x14ac:dyDescent="0.35">
      <c r="A3279" s="14">
        <v>42292.125</v>
      </c>
      <c r="B3279" s="5">
        <v>1</v>
      </c>
    </row>
    <row r="3280" spans="1:2" x14ac:dyDescent="0.35">
      <c r="A3280" s="14">
        <v>42292.465636574074</v>
      </c>
      <c r="B3280" s="5">
        <v>1</v>
      </c>
    </row>
    <row r="3281" spans="1:2" x14ac:dyDescent="0.35">
      <c r="A3281" s="14">
        <v>42292.465740740743</v>
      </c>
      <c r="B3281" s="5">
        <v>2</v>
      </c>
    </row>
    <row r="3282" spans="1:2" x14ac:dyDescent="0.35">
      <c r="A3282" s="14">
        <v>42292.530219907407</v>
      </c>
      <c r="B3282" s="5">
        <v>1</v>
      </c>
    </row>
    <row r="3283" spans="1:2" x14ac:dyDescent="0.35">
      <c r="A3283" s="14">
        <v>42292.542569444442</v>
      </c>
      <c r="B3283" s="5">
        <v>1</v>
      </c>
    </row>
    <row r="3284" spans="1:2" x14ac:dyDescent="0.35">
      <c r="A3284" s="14">
        <v>42292.56145833333</v>
      </c>
      <c r="B3284" s="5">
        <v>1</v>
      </c>
    </row>
    <row r="3285" spans="1:2" x14ac:dyDescent="0.35">
      <c r="A3285" s="14">
        <v>42292.572627314818</v>
      </c>
      <c r="B3285" s="5">
        <v>1</v>
      </c>
    </row>
    <row r="3286" spans="1:2" x14ac:dyDescent="0.35">
      <c r="A3286" s="14">
        <v>42292.576157407406</v>
      </c>
      <c r="B3286" s="5">
        <v>1</v>
      </c>
    </row>
    <row r="3287" spans="1:2" x14ac:dyDescent="0.35">
      <c r="A3287" s="14">
        <v>42292.579641203702</v>
      </c>
      <c r="B3287" s="5">
        <v>1</v>
      </c>
    </row>
    <row r="3288" spans="1:2" x14ac:dyDescent="0.35">
      <c r="A3288" s="14">
        <v>42292.582476851851</v>
      </c>
      <c r="B3288" s="5">
        <v>1</v>
      </c>
    </row>
    <row r="3289" spans="1:2" x14ac:dyDescent="0.35">
      <c r="A3289" s="14">
        <v>42292.582719907405</v>
      </c>
      <c r="B3289" s="5">
        <v>1</v>
      </c>
    </row>
    <row r="3290" spans="1:2" x14ac:dyDescent="0.35">
      <c r="A3290" s="14">
        <v>42292.596620370372</v>
      </c>
      <c r="B3290" s="5">
        <v>1</v>
      </c>
    </row>
    <row r="3291" spans="1:2" x14ac:dyDescent="0.35">
      <c r="A3291" s="14">
        <v>42292.606203703705</v>
      </c>
      <c r="B3291" s="5">
        <v>1</v>
      </c>
    </row>
    <row r="3292" spans="1:2" x14ac:dyDescent="0.35">
      <c r="A3292" s="14">
        <v>42292.606608796297</v>
      </c>
      <c r="B3292" s="5">
        <v>1</v>
      </c>
    </row>
    <row r="3293" spans="1:2" x14ac:dyDescent="0.35">
      <c r="A3293" s="14">
        <v>42292.615173611113</v>
      </c>
      <c r="B3293" s="5">
        <v>1</v>
      </c>
    </row>
    <row r="3294" spans="1:2" x14ac:dyDescent="0.35">
      <c r="A3294" s="14">
        <v>42292.615324074075</v>
      </c>
      <c r="B3294" s="5">
        <v>2</v>
      </c>
    </row>
    <row r="3295" spans="1:2" x14ac:dyDescent="0.35">
      <c r="A3295" s="14">
        <v>42292.645428240743</v>
      </c>
      <c r="B3295" s="5">
        <v>1</v>
      </c>
    </row>
    <row r="3296" spans="1:2" x14ac:dyDescent="0.35">
      <c r="A3296" s="14">
        <v>42292.646296296298</v>
      </c>
      <c r="B3296" s="5">
        <v>1</v>
      </c>
    </row>
    <row r="3297" spans="1:2" x14ac:dyDescent="0.35">
      <c r="A3297" s="14">
        <v>42292.647488425922</v>
      </c>
      <c r="B3297" s="5">
        <v>1</v>
      </c>
    </row>
    <row r="3298" spans="1:2" x14ac:dyDescent="0.35">
      <c r="A3298" s="14">
        <v>42292.672974537039</v>
      </c>
      <c r="B3298" s="5">
        <v>1</v>
      </c>
    </row>
    <row r="3299" spans="1:2" x14ac:dyDescent="0.35">
      <c r="A3299" s="14">
        <v>42292.675069444442</v>
      </c>
      <c r="B3299" s="5">
        <v>1</v>
      </c>
    </row>
    <row r="3300" spans="1:2" x14ac:dyDescent="0.35">
      <c r="A3300" s="14">
        <v>42292.68681712963</v>
      </c>
      <c r="B3300" s="5">
        <v>1</v>
      </c>
    </row>
    <row r="3301" spans="1:2" x14ac:dyDescent="0.35">
      <c r="A3301" s="14">
        <v>42292.691296296296</v>
      </c>
      <c r="B3301" s="5">
        <v>1</v>
      </c>
    </row>
    <row r="3302" spans="1:2" x14ac:dyDescent="0.35">
      <c r="A3302" s="14">
        <v>42292.691944444443</v>
      </c>
      <c r="B3302" s="5">
        <v>1</v>
      </c>
    </row>
    <row r="3303" spans="1:2" x14ac:dyDescent="0.35">
      <c r="A3303" s="14">
        <v>42292.696250000001</v>
      </c>
      <c r="B3303" s="5">
        <v>1</v>
      </c>
    </row>
    <row r="3304" spans="1:2" x14ac:dyDescent="0.35">
      <c r="A3304" s="14">
        <v>42292.701550925929</v>
      </c>
      <c r="B3304" s="5">
        <v>1</v>
      </c>
    </row>
    <row r="3305" spans="1:2" x14ac:dyDescent="0.35">
      <c r="A3305" s="14">
        <v>42292.702337962961</v>
      </c>
      <c r="B3305" s="5">
        <v>1</v>
      </c>
    </row>
    <row r="3306" spans="1:2" x14ac:dyDescent="0.35">
      <c r="A3306" s="14">
        <v>42292.702476851853</v>
      </c>
      <c r="B3306" s="5">
        <v>1</v>
      </c>
    </row>
    <row r="3307" spans="1:2" x14ac:dyDescent="0.35">
      <c r="A3307" s="14">
        <v>42292.704791666663</v>
      </c>
      <c r="B3307" s="5">
        <v>1</v>
      </c>
    </row>
    <row r="3308" spans="1:2" x14ac:dyDescent="0.35">
      <c r="A3308" s="14">
        <v>42292.706226851849</v>
      </c>
      <c r="B3308" s="5">
        <v>1</v>
      </c>
    </row>
    <row r="3309" spans="1:2" x14ac:dyDescent="0.35">
      <c r="A3309" s="14">
        <v>42292.706701388888</v>
      </c>
      <c r="B3309" s="5">
        <v>1</v>
      </c>
    </row>
    <row r="3310" spans="1:2" x14ac:dyDescent="0.35">
      <c r="A3310" s="14">
        <v>42292.707002314812</v>
      </c>
      <c r="B3310" s="5">
        <v>2</v>
      </c>
    </row>
    <row r="3311" spans="1:2" x14ac:dyDescent="0.35">
      <c r="A3311" s="14">
        <v>42292.727488425924</v>
      </c>
      <c r="B3311" s="5">
        <v>1</v>
      </c>
    </row>
    <row r="3312" spans="1:2" x14ac:dyDescent="0.35">
      <c r="A3312" s="14">
        <v>42292.740949074076</v>
      </c>
      <c r="B3312" s="5">
        <v>1</v>
      </c>
    </row>
    <row r="3313" spans="1:2" x14ac:dyDescent="0.35">
      <c r="A3313" s="14">
        <v>42292.744074074071</v>
      </c>
      <c r="B3313" s="5">
        <v>1</v>
      </c>
    </row>
    <row r="3314" spans="1:2" x14ac:dyDescent="0.35">
      <c r="A3314" s="14">
        <v>42292.744895833333</v>
      </c>
      <c r="B3314" s="5">
        <v>1</v>
      </c>
    </row>
    <row r="3315" spans="1:2" x14ac:dyDescent="0.35">
      <c r="A3315" s="14">
        <v>42292.749456018515</v>
      </c>
      <c r="B3315" s="5">
        <v>2</v>
      </c>
    </row>
    <row r="3316" spans="1:2" x14ac:dyDescent="0.35">
      <c r="A3316" s="14">
        <v>42292.750335648147</v>
      </c>
      <c r="B3316" s="5">
        <v>1</v>
      </c>
    </row>
    <row r="3317" spans="1:2" x14ac:dyDescent="0.35">
      <c r="A3317" s="14">
        <v>42292.751331018517</v>
      </c>
      <c r="B3317" s="5">
        <v>1</v>
      </c>
    </row>
    <row r="3318" spans="1:2" x14ac:dyDescent="0.35">
      <c r="A3318" s="14">
        <v>42292.752291666664</v>
      </c>
      <c r="B3318" s="5">
        <v>1</v>
      </c>
    </row>
    <row r="3319" spans="1:2" x14ac:dyDescent="0.35">
      <c r="A3319" s="14">
        <v>42292.754062499997</v>
      </c>
      <c r="B3319" s="5">
        <v>1</v>
      </c>
    </row>
    <row r="3320" spans="1:2" x14ac:dyDescent="0.35">
      <c r="A3320" s="14">
        <v>42292.760300925926</v>
      </c>
      <c r="B3320" s="5">
        <v>1</v>
      </c>
    </row>
    <row r="3321" spans="1:2" x14ac:dyDescent="0.35">
      <c r="A3321" s="14">
        <v>42292.761111111111</v>
      </c>
      <c r="B3321" s="5">
        <v>1</v>
      </c>
    </row>
    <row r="3322" spans="1:2" x14ac:dyDescent="0.35">
      <c r="A3322" s="14">
        <v>42292.763414351852</v>
      </c>
      <c r="B3322" s="5">
        <v>1</v>
      </c>
    </row>
    <row r="3323" spans="1:2" x14ac:dyDescent="0.35">
      <c r="A3323" s="14">
        <v>42292.765439814815</v>
      </c>
      <c r="B3323" s="5">
        <v>1</v>
      </c>
    </row>
    <row r="3324" spans="1:2" x14ac:dyDescent="0.35">
      <c r="A3324" s="14">
        <v>42292.771932870368</v>
      </c>
      <c r="B3324" s="5">
        <v>1</v>
      </c>
    </row>
    <row r="3325" spans="1:2" x14ac:dyDescent="0.35">
      <c r="A3325" s="14">
        <v>42292.77244212963</v>
      </c>
      <c r="B3325" s="5">
        <v>1</v>
      </c>
    </row>
    <row r="3326" spans="1:2" x14ac:dyDescent="0.35">
      <c r="A3326" s="14">
        <v>42292.773726851854</v>
      </c>
      <c r="B3326" s="5">
        <v>1</v>
      </c>
    </row>
    <row r="3327" spans="1:2" x14ac:dyDescent="0.35">
      <c r="A3327" s="14">
        <v>42292.774178240739</v>
      </c>
      <c r="B3327" s="5">
        <v>1</v>
      </c>
    </row>
    <row r="3328" spans="1:2" x14ac:dyDescent="0.35">
      <c r="A3328" s="14">
        <v>42292.77853009259</v>
      </c>
      <c r="B3328" s="5">
        <v>1</v>
      </c>
    </row>
    <row r="3329" spans="1:2" x14ac:dyDescent="0.35">
      <c r="A3329" s="14">
        <v>42292.779895833337</v>
      </c>
      <c r="B3329" s="5">
        <v>1</v>
      </c>
    </row>
    <row r="3330" spans="1:2" x14ac:dyDescent="0.35">
      <c r="A3330" s="14">
        <v>42292.780659722222</v>
      </c>
      <c r="B3330" s="5">
        <v>1</v>
      </c>
    </row>
    <row r="3331" spans="1:2" x14ac:dyDescent="0.35">
      <c r="A3331" s="14">
        <v>42292.815717592595</v>
      </c>
      <c r="B3331" s="5">
        <v>1</v>
      </c>
    </row>
    <row r="3332" spans="1:2" x14ac:dyDescent="0.35">
      <c r="A3332" s="14">
        <v>42292.817974537036</v>
      </c>
      <c r="B3332" s="5">
        <v>1</v>
      </c>
    </row>
    <row r="3333" spans="1:2" x14ac:dyDescent="0.35">
      <c r="A3333" s="14">
        <v>42292.818402777775</v>
      </c>
      <c r="B3333" s="5">
        <v>1</v>
      </c>
    </row>
    <row r="3334" spans="1:2" x14ac:dyDescent="0.35">
      <c r="A3334" s="14">
        <v>42292.818460648145</v>
      </c>
      <c r="B3334" s="5">
        <v>1</v>
      </c>
    </row>
    <row r="3335" spans="1:2" x14ac:dyDescent="0.35">
      <c r="A3335" s="14">
        <v>42292.818981481483</v>
      </c>
      <c r="B3335" s="5">
        <v>1</v>
      </c>
    </row>
    <row r="3336" spans="1:2" x14ac:dyDescent="0.35">
      <c r="A3336" s="14">
        <v>42292.819247685184</v>
      </c>
      <c r="B3336" s="5">
        <v>1</v>
      </c>
    </row>
    <row r="3337" spans="1:2" x14ac:dyDescent="0.35">
      <c r="A3337" s="14">
        <v>42292.820069444446</v>
      </c>
      <c r="B3337" s="5">
        <v>1</v>
      </c>
    </row>
    <row r="3338" spans="1:2" x14ac:dyDescent="0.35">
      <c r="A3338" s="14">
        <v>42292.820300925923</v>
      </c>
      <c r="B3338" s="5">
        <v>1</v>
      </c>
    </row>
    <row r="3339" spans="1:2" x14ac:dyDescent="0.35">
      <c r="A3339" s="14">
        <v>42292.826122685183</v>
      </c>
      <c r="B3339" s="5">
        <v>1</v>
      </c>
    </row>
    <row r="3340" spans="1:2" x14ac:dyDescent="0.35">
      <c r="A3340" s="14">
        <v>42292.826469907406</v>
      </c>
      <c r="B3340" s="5">
        <v>1</v>
      </c>
    </row>
    <row r="3341" spans="1:2" x14ac:dyDescent="0.35">
      <c r="A3341" s="14">
        <v>42292.829050925924</v>
      </c>
      <c r="B3341" s="5">
        <v>1</v>
      </c>
    </row>
    <row r="3342" spans="1:2" x14ac:dyDescent="0.35">
      <c r="A3342" s="14">
        <v>42292.829270833332</v>
      </c>
      <c r="B3342" s="5">
        <v>1</v>
      </c>
    </row>
    <row r="3343" spans="1:2" x14ac:dyDescent="0.35">
      <c r="A3343" s="14">
        <v>42292.829317129632</v>
      </c>
      <c r="B3343" s="5">
        <v>1</v>
      </c>
    </row>
    <row r="3344" spans="1:2" x14ac:dyDescent="0.35">
      <c r="A3344" s="14">
        <v>42292.829895833333</v>
      </c>
      <c r="B3344" s="5">
        <v>1</v>
      </c>
    </row>
    <row r="3345" spans="1:2" x14ac:dyDescent="0.35">
      <c r="A3345" s="14">
        <v>42292.830254629633</v>
      </c>
      <c r="B3345" s="5">
        <v>1</v>
      </c>
    </row>
    <row r="3346" spans="1:2" x14ac:dyDescent="0.35">
      <c r="A3346" s="14">
        <v>42292.831817129627</v>
      </c>
      <c r="B3346" s="5">
        <v>1</v>
      </c>
    </row>
    <row r="3347" spans="1:2" x14ac:dyDescent="0.35">
      <c r="A3347" s="14">
        <v>42292.835659722223</v>
      </c>
      <c r="B3347" s="5">
        <v>1</v>
      </c>
    </row>
    <row r="3348" spans="1:2" x14ac:dyDescent="0.35">
      <c r="A3348" s="14">
        <v>42292.838796296295</v>
      </c>
      <c r="B3348" s="5">
        <v>1</v>
      </c>
    </row>
    <row r="3349" spans="1:2" x14ac:dyDescent="0.35">
      <c r="A3349" s="14">
        <v>42292.849733796298</v>
      </c>
      <c r="B3349" s="5">
        <v>1</v>
      </c>
    </row>
    <row r="3350" spans="1:2" x14ac:dyDescent="0.35">
      <c r="A3350" s="14">
        <v>42292.850023148145</v>
      </c>
      <c r="B3350" s="5">
        <v>1</v>
      </c>
    </row>
    <row r="3351" spans="1:2" x14ac:dyDescent="0.35">
      <c r="A3351" s="14">
        <v>42292.873159722221</v>
      </c>
      <c r="B3351" s="5">
        <v>1</v>
      </c>
    </row>
    <row r="3352" spans="1:2" x14ac:dyDescent="0.35">
      <c r="A3352" s="14">
        <v>42292.907037037039</v>
      </c>
      <c r="B3352" s="5">
        <v>1</v>
      </c>
    </row>
    <row r="3353" spans="1:2" x14ac:dyDescent="0.35">
      <c r="A3353" s="14">
        <v>42292.937777777777</v>
      </c>
      <c r="B3353" s="5">
        <v>1</v>
      </c>
    </row>
    <row r="3354" spans="1:2" x14ac:dyDescent="0.35">
      <c r="A3354" s="14">
        <v>42292.945972222224</v>
      </c>
      <c r="B3354" s="5">
        <v>1</v>
      </c>
    </row>
    <row r="3355" spans="1:2" x14ac:dyDescent="0.35">
      <c r="A3355" s="14">
        <v>42292.946550925924</v>
      </c>
      <c r="B3355" s="5">
        <v>1</v>
      </c>
    </row>
    <row r="3356" spans="1:2" x14ac:dyDescent="0.35">
      <c r="A3356" s="14">
        <v>42292.947511574072</v>
      </c>
      <c r="B3356" s="5">
        <v>1</v>
      </c>
    </row>
    <row r="3357" spans="1:2" x14ac:dyDescent="0.35">
      <c r="A3357" s="14">
        <v>42292.954687500001</v>
      </c>
      <c r="B3357" s="5">
        <v>1</v>
      </c>
    </row>
    <row r="3358" spans="1:2" x14ac:dyDescent="0.35">
      <c r="A3358" s="14">
        <v>42292.979027777779</v>
      </c>
      <c r="B3358" s="5">
        <v>1</v>
      </c>
    </row>
    <row r="3359" spans="1:2" x14ac:dyDescent="0.35">
      <c r="A3359" s="14">
        <v>42292.997164351851</v>
      </c>
      <c r="B3359" s="5">
        <v>1</v>
      </c>
    </row>
    <row r="3360" spans="1:2" x14ac:dyDescent="0.35">
      <c r="A3360" s="14">
        <v>42293.014861111114</v>
      </c>
      <c r="B3360" s="5">
        <v>1</v>
      </c>
    </row>
    <row r="3361" spans="1:2" x14ac:dyDescent="0.35">
      <c r="A3361" s="14">
        <v>42293.03162037037</v>
      </c>
      <c r="B3361" s="5">
        <v>1</v>
      </c>
    </row>
    <row r="3362" spans="1:2" x14ac:dyDescent="0.35">
      <c r="A3362" s="14">
        <v>42293.032881944448</v>
      </c>
      <c r="B3362" s="5">
        <v>1</v>
      </c>
    </row>
    <row r="3363" spans="1:2" x14ac:dyDescent="0.35">
      <c r="A3363" s="14">
        <v>42293.039803240739</v>
      </c>
      <c r="B3363" s="5">
        <v>1</v>
      </c>
    </row>
    <row r="3364" spans="1:2" x14ac:dyDescent="0.35">
      <c r="A3364" s="14">
        <v>42293.040706018517</v>
      </c>
      <c r="B3364" s="5">
        <v>1</v>
      </c>
    </row>
    <row r="3365" spans="1:2" x14ac:dyDescent="0.35">
      <c r="A3365" s="14">
        <v>42293.042094907411</v>
      </c>
      <c r="B3365" s="5">
        <v>1</v>
      </c>
    </row>
    <row r="3366" spans="1:2" x14ac:dyDescent="0.35">
      <c r="A3366" s="14">
        <v>42293.049733796295</v>
      </c>
      <c r="B3366" s="5">
        <v>1</v>
      </c>
    </row>
    <row r="3367" spans="1:2" x14ac:dyDescent="0.35">
      <c r="A3367" s="14">
        <v>42293.053842592592</v>
      </c>
      <c r="B3367" s="5">
        <v>1</v>
      </c>
    </row>
    <row r="3368" spans="1:2" x14ac:dyDescent="0.35">
      <c r="A3368" s="14">
        <v>42293.058275462965</v>
      </c>
      <c r="B3368" s="5">
        <v>1</v>
      </c>
    </row>
    <row r="3369" spans="1:2" x14ac:dyDescent="0.35">
      <c r="A3369" s="14">
        <v>42293.059224537035</v>
      </c>
      <c r="B3369" s="5">
        <v>2</v>
      </c>
    </row>
    <row r="3370" spans="1:2" x14ac:dyDescent="0.35">
      <c r="A3370" s="14">
        <v>42293.064131944448</v>
      </c>
      <c r="B3370" s="5">
        <v>1</v>
      </c>
    </row>
    <row r="3371" spans="1:2" x14ac:dyDescent="0.35">
      <c r="A3371" s="14">
        <v>42293.073842592596</v>
      </c>
      <c r="B3371" s="5">
        <v>1</v>
      </c>
    </row>
    <row r="3372" spans="1:2" x14ac:dyDescent="0.35">
      <c r="A3372" s="14">
        <v>42293.073935185188</v>
      </c>
      <c r="B3372" s="5">
        <v>2</v>
      </c>
    </row>
    <row r="3373" spans="1:2" x14ac:dyDescent="0.35">
      <c r="A3373" s="14">
        <v>42293.082291666666</v>
      </c>
      <c r="B3373" s="5">
        <v>1</v>
      </c>
    </row>
    <row r="3374" spans="1:2" x14ac:dyDescent="0.35">
      <c r="A3374" s="14">
        <v>42293.082476851851</v>
      </c>
      <c r="B3374" s="5">
        <v>2</v>
      </c>
    </row>
    <row r="3375" spans="1:2" x14ac:dyDescent="0.35">
      <c r="A3375" s="14">
        <v>42293.082673611112</v>
      </c>
      <c r="B3375" s="5">
        <v>1</v>
      </c>
    </row>
    <row r="3376" spans="1:2" x14ac:dyDescent="0.35">
      <c r="A3376" s="14">
        <v>42293.082812499997</v>
      </c>
      <c r="B3376" s="5">
        <v>1</v>
      </c>
    </row>
    <row r="3377" spans="1:2" x14ac:dyDescent="0.35">
      <c r="A3377" s="14">
        <v>42293.082962962966</v>
      </c>
      <c r="B3377" s="5">
        <v>2</v>
      </c>
    </row>
    <row r="3378" spans="1:2" x14ac:dyDescent="0.35">
      <c r="A3378" s="14">
        <v>42293.084004629629</v>
      </c>
      <c r="B3378" s="5">
        <v>1</v>
      </c>
    </row>
    <row r="3379" spans="1:2" x14ac:dyDescent="0.35">
      <c r="A3379" s="14">
        <v>42293.084143518521</v>
      </c>
      <c r="B3379" s="5">
        <v>2</v>
      </c>
    </row>
    <row r="3380" spans="1:2" x14ac:dyDescent="0.35">
      <c r="A3380" s="14">
        <v>42293.085821759261</v>
      </c>
      <c r="B3380" s="5">
        <v>2</v>
      </c>
    </row>
    <row r="3381" spans="1:2" x14ac:dyDescent="0.35">
      <c r="A3381" s="14">
        <v>42293.086006944446</v>
      </c>
      <c r="B3381" s="5">
        <v>1</v>
      </c>
    </row>
    <row r="3382" spans="1:2" x14ac:dyDescent="0.35">
      <c r="A3382" s="14">
        <v>42293.242418981485</v>
      </c>
      <c r="B3382" s="5">
        <v>1</v>
      </c>
    </row>
    <row r="3383" spans="1:2" x14ac:dyDescent="0.35">
      <c r="A3383" s="14">
        <v>42293.254386574074</v>
      </c>
      <c r="B3383" s="5">
        <v>1</v>
      </c>
    </row>
    <row r="3384" spans="1:2" x14ac:dyDescent="0.35">
      <c r="A3384" s="14">
        <v>42293.511365740742</v>
      </c>
      <c r="B3384" s="5">
        <v>1</v>
      </c>
    </row>
    <row r="3385" spans="1:2" x14ac:dyDescent="0.35">
      <c r="A3385" s="14">
        <v>42293.526446759257</v>
      </c>
      <c r="B3385" s="5">
        <v>1</v>
      </c>
    </row>
    <row r="3386" spans="1:2" x14ac:dyDescent="0.35">
      <c r="A3386" s="14">
        <v>42293.552627314813</v>
      </c>
      <c r="B3386" s="5">
        <v>1</v>
      </c>
    </row>
    <row r="3387" spans="1:2" x14ac:dyDescent="0.35">
      <c r="A3387" s="14">
        <v>42293.553414351853</v>
      </c>
      <c r="B3387" s="5">
        <v>1</v>
      </c>
    </row>
    <row r="3388" spans="1:2" x14ac:dyDescent="0.35">
      <c r="A3388" s="14">
        <v>42293.60050925926</v>
      </c>
      <c r="B3388" s="5">
        <v>1</v>
      </c>
    </row>
    <row r="3389" spans="1:2" x14ac:dyDescent="0.35">
      <c r="A3389" s="14">
        <v>42293.631550925929</v>
      </c>
      <c r="B3389" s="5">
        <v>1</v>
      </c>
    </row>
    <row r="3390" spans="1:2" x14ac:dyDescent="0.35">
      <c r="A3390" s="14">
        <v>42293.634467592594</v>
      </c>
      <c r="B3390" s="5">
        <v>1</v>
      </c>
    </row>
    <row r="3391" spans="1:2" x14ac:dyDescent="0.35">
      <c r="A3391" s="14">
        <v>42293.668981481482</v>
      </c>
      <c r="B3391" s="5">
        <v>1</v>
      </c>
    </row>
    <row r="3392" spans="1:2" x14ac:dyDescent="0.35">
      <c r="A3392" s="14">
        <v>42293.679490740738</v>
      </c>
      <c r="B3392" s="5">
        <v>1</v>
      </c>
    </row>
    <row r="3393" spans="1:2" x14ac:dyDescent="0.35">
      <c r="A3393" s="14">
        <v>42293.742465277777</v>
      </c>
      <c r="B3393" s="5">
        <v>1</v>
      </c>
    </row>
    <row r="3394" spans="1:2" x14ac:dyDescent="0.35">
      <c r="A3394" s="14">
        <v>42293.755011574074</v>
      </c>
      <c r="B3394" s="5">
        <v>1</v>
      </c>
    </row>
    <row r="3395" spans="1:2" x14ac:dyDescent="0.35">
      <c r="A3395" s="14">
        <v>42293.895486111112</v>
      </c>
      <c r="B3395" s="5">
        <v>1</v>
      </c>
    </row>
    <row r="3396" spans="1:2" x14ac:dyDescent="0.35">
      <c r="A3396" s="14">
        <v>42293.895636574074</v>
      </c>
      <c r="B3396" s="5">
        <v>2</v>
      </c>
    </row>
    <row r="3397" spans="1:2" x14ac:dyDescent="0.35">
      <c r="A3397" s="14">
        <v>42293.896122685182</v>
      </c>
      <c r="B3397" s="5">
        <v>1</v>
      </c>
    </row>
    <row r="3398" spans="1:2" x14ac:dyDescent="0.35">
      <c r="A3398" s="14">
        <v>42293.896249999998</v>
      </c>
      <c r="B3398" s="5">
        <v>2</v>
      </c>
    </row>
    <row r="3399" spans="1:2" x14ac:dyDescent="0.35">
      <c r="A3399" s="14">
        <v>42293.89943287037</v>
      </c>
      <c r="B3399" s="5">
        <v>1</v>
      </c>
    </row>
    <row r="3400" spans="1:2" x14ac:dyDescent="0.35">
      <c r="A3400" s="14">
        <v>42293.899652777778</v>
      </c>
      <c r="B3400" s="5">
        <v>1</v>
      </c>
    </row>
    <row r="3401" spans="1:2" x14ac:dyDescent="0.35">
      <c r="A3401" s="14">
        <v>42293.899895833332</v>
      </c>
      <c r="B3401" s="5">
        <v>2</v>
      </c>
    </row>
    <row r="3402" spans="1:2" x14ac:dyDescent="0.35">
      <c r="A3402" s="14">
        <v>42293.901550925926</v>
      </c>
      <c r="B3402" s="5">
        <v>1</v>
      </c>
    </row>
    <row r="3403" spans="1:2" x14ac:dyDescent="0.35">
      <c r="A3403" s="14">
        <v>42293.901643518519</v>
      </c>
      <c r="B3403" s="5">
        <v>2</v>
      </c>
    </row>
    <row r="3404" spans="1:2" x14ac:dyDescent="0.35">
      <c r="A3404" s="14">
        <v>42293.928425925929</v>
      </c>
      <c r="B3404" s="5">
        <v>1</v>
      </c>
    </row>
    <row r="3405" spans="1:2" x14ac:dyDescent="0.35">
      <c r="A3405" s="14">
        <v>42293.928622685184</v>
      </c>
      <c r="B3405" s="5">
        <v>2</v>
      </c>
    </row>
    <row r="3406" spans="1:2" x14ac:dyDescent="0.35">
      <c r="A3406" s="14">
        <v>42293.929270833331</v>
      </c>
      <c r="B3406" s="5">
        <v>1</v>
      </c>
    </row>
    <row r="3407" spans="1:2" x14ac:dyDescent="0.35">
      <c r="A3407" s="14">
        <v>42293.930995370371</v>
      </c>
      <c r="B3407" s="5">
        <v>2</v>
      </c>
    </row>
    <row r="3408" spans="1:2" x14ac:dyDescent="0.35">
      <c r="A3408" s="14">
        <v>42293.931226851855</v>
      </c>
      <c r="B3408" s="5">
        <v>1</v>
      </c>
    </row>
    <row r="3409" spans="1:2" x14ac:dyDescent="0.35">
      <c r="A3409" s="14">
        <v>42293.931469907409</v>
      </c>
      <c r="B3409" s="5">
        <v>2</v>
      </c>
    </row>
    <row r="3410" spans="1:2" x14ac:dyDescent="0.35">
      <c r="A3410" s="14">
        <v>42293.931631944448</v>
      </c>
      <c r="B3410" s="5">
        <v>1</v>
      </c>
    </row>
    <row r="3411" spans="1:2" x14ac:dyDescent="0.35">
      <c r="A3411" s="14">
        <v>42293.932615740741</v>
      </c>
      <c r="B3411" s="5">
        <v>2</v>
      </c>
    </row>
    <row r="3412" spans="1:2" x14ac:dyDescent="0.35">
      <c r="A3412" s="14">
        <v>42293.952557870369</v>
      </c>
      <c r="B3412" s="5">
        <v>1</v>
      </c>
    </row>
    <row r="3413" spans="1:2" x14ac:dyDescent="0.35">
      <c r="A3413" s="14">
        <v>42293.952662037038</v>
      </c>
      <c r="B3413" s="5">
        <v>1</v>
      </c>
    </row>
    <row r="3414" spans="1:2" x14ac:dyDescent="0.35">
      <c r="A3414" s="14">
        <v>42293.952881944446</v>
      </c>
      <c r="B3414" s="5">
        <v>1</v>
      </c>
    </row>
    <row r="3415" spans="1:2" x14ac:dyDescent="0.35">
      <c r="A3415" s="14">
        <v>42294.060057870367</v>
      </c>
      <c r="B3415" s="5">
        <v>1</v>
      </c>
    </row>
    <row r="3416" spans="1:2" x14ac:dyDescent="0.35">
      <c r="A3416" s="14">
        <v>42294.175752314812</v>
      </c>
      <c r="B3416" s="5">
        <v>1</v>
      </c>
    </row>
    <row r="3417" spans="1:2" x14ac:dyDescent="0.35">
      <c r="A3417" s="14">
        <v>42294.182881944442</v>
      </c>
      <c r="B3417" s="5">
        <v>1</v>
      </c>
    </row>
    <row r="3418" spans="1:2" x14ac:dyDescent="0.35">
      <c r="A3418" s="14">
        <v>42294.183495370373</v>
      </c>
      <c r="B3418" s="5">
        <v>2</v>
      </c>
    </row>
    <row r="3419" spans="1:2" x14ac:dyDescent="0.35">
      <c r="A3419" s="14">
        <v>42294.500671296293</v>
      </c>
      <c r="B3419" s="5">
        <v>1</v>
      </c>
    </row>
    <row r="3420" spans="1:2" x14ac:dyDescent="0.35">
      <c r="A3420" s="14">
        <v>42294.509155092594</v>
      </c>
      <c r="B3420" s="5">
        <v>1</v>
      </c>
    </row>
    <row r="3421" spans="1:2" x14ac:dyDescent="0.35">
      <c r="A3421" s="14">
        <v>42294.509270833332</v>
      </c>
      <c r="B3421" s="5">
        <v>1</v>
      </c>
    </row>
    <row r="3422" spans="1:2" x14ac:dyDescent="0.35">
      <c r="A3422" s="14">
        <v>42294.509317129632</v>
      </c>
      <c r="B3422" s="5">
        <v>1</v>
      </c>
    </row>
    <row r="3423" spans="1:2" x14ac:dyDescent="0.35">
      <c r="A3423" s="14">
        <v>42294.509409722225</v>
      </c>
      <c r="B3423" s="5">
        <v>1</v>
      </c>
    </row>
    <row r="3424" spans="1:2" x14ac:dyDescent="0.35">
      <c r="A3424" s="14">
        <v>42294.50949074074</v>
      </c>
      <c r="B3424" s="5">
        <v>1</v>
      </c>
    </row>
    <row r="3425" spans="1:2" x14ac:dyDescent="0.35">
      <c r="A3425" s="14">
        <v>42294.50953703704</v>
      </c>
      <c r="B3425" s="5">
        <v>1</v>
      </c>
    </row>
    <row r="3426" spans="1:2" x14ac:dyDescent="0.35">
      <c r="A3426" s="14">
        <v>42294.509652777779</v>
      </c>
      <c r="B3426" s="5">
        <v>1</v>
      </c>
    </row>
    <row r="3427" spans="1:2" x14ac:dyDescent="0.35">
      <c r="A3427" s="14">
        <v>42294.509722222225</v>
      </c>
      <c r="B3427" s="5">
        <v>1</v>
      </c>
    </row>
    <row r="3428" spans="1:2" x14ac:dyDescent="0.35">
      <c r="A3428" s="14">
        <v>42294.509814814817</v>
      </c>
      <c r="B3428" s="5">
        <v>1</v>
      </c>
    </row>
    <row r="3429" spans="1:2" x14ac:dyDescent="0.35">
      <c r="A3429" s="14">
        <v>42294.509872685187</v>
      </c>
      <c r="B3429" s="5">
        <v>1</v>
      </c>
    </row>
    <row r="3430" spans="1:2" x14ac:dyDescent="0.35">
      <c r="A3430" s="14">
        <v>42294.51153935185</v>
      </c>
      <c r="B3430" s="5">
        <v>2</v>
      </c>
    </row>
    <row r="3431" spans="1:2" x14ac:dyDescent="0.35">
      <c r="A3431" s="14">
        <v>42294.512164351851</v>
      </c>
      <c r="B3431" s="5">
        <v>2</v>
      </c>
    </row>
    <row r="3432" spans="1:2" x14ac:dyDescent="0.35">
      <c r="A3432" s="14">
        <v>42294.512928240743</v>
      </c>
      <c r="B3432" s="5">
        <v>1</v>
      </c>
    </row>
    <row r="3433" spans="1:2" x14ac:dyDescent="0.35">
      <c r="A3433" s="14">
        <v>42294.513969907406</v>
      </c>
      <c r="B3433" s="5">
        <v>1</v>
      </c>
    </row>
    <row r="3434" spans="1:2" x14ac:dyDescent="0.35">
      <c r="A3434" s="14">
        <v>42294.514062499999</v>
      </c>
      <c r="B3434" s="5">
        <v>1</v>
      </c>
    </row>
    <row r="3435" spans="1:2" x14ac:dyDescent="0.35">
      <c r="A3435" s="14">
        <v>42294.578263888892</v>
      </c>
      <c r="B3435" s="5">
        <v>1</v>
      </c>
    </row>
    <row r="3436" spans="1:2" x14ac:dyDescent="0.35">
      <c r="A3436" s="14">
        <v>42294.579340277778</v>
      </c>
      <c r="B3436" s="5">
        <v>2</v>
      </c>
    </row>
    <row r="3437" spans="1:2" x14ac:dyDescent="0.35">
      <c r="A3437" s="14">
        <v>42294.588784722226</v>
      </c>
      <c r="B3437" s="5">
        <v>1</v>
      </c>
    </row>
    <row r="3438" spans="1:2" x14ac:dyDescent="0.35">
      <c r="A3438" s="14">
        <v>42294.588877314818</v>
      </c>
      <c r="B3438" s="5">
        <v>2</v>
      </c>
    </row>
    <row r="3439" spans="1:2" x14ac:dyDescent="0.35">
      <c r="A3439" s="14">
        <v>42294.595821759256</v>
      </c>
      <c r="B3439" s="5">
        <v>1</v>
      </c>
    </row>
    <row r="3440" spans="1:2" x14ac:dyDescent="0.35">
      <c r="A3440" s="14">
        <v>42294.595833333333</v>
      </c>
      <c r="B3440" s="5">
        <v>1</v>
      </c>
    </row>
    <row r="3441" spans="1:2" x14ac:dyDescent="0.35">
      <c r="A3441" s="14">
        <v>42294.597650462965</v>
      </c>
      <c r="B3441" s="5">
        <v>1</v>
      </c>
    </row>
    <row r="3442" spans="1:2" x14ac:dyDescent="0.35">
      <c r="A3442" s="14">
        <v>42294.59783564815</v>
      </c>
      <c r="B3442" s="5">
        <v>1</v>
      </c>
    </row>
    <row r="3443" spans="1:2" x14ac:dyDescent="0.35">
      <c r="A3443" s="14">
        <v>42294.597916666666</v>
      </c>
      <c r="B3443" s="5">
        <v>1</v>
      </c>
    </row>
    <row r="3444" spans="1:2" x14ac:dyDescent="0.35">
      <c r="A3444" s="14">
        <v>42294.59815972222</v>
      </c>
      <c r="B3444" s="5">
        <v>1</v>
      </c>
    </row>
    <row r="3445" spans="1:2" x14ac:dyDescent="0.35">
      <c r="A3445" s="14">
        <v>42294.598240740743</v>
      </c>
      <c r="B3445" s="5">
        <v>1</v>
      </c>
    </row>
    <row r="3446" spans="1:2" x14ac:dyDescent="0.35">
      <c r="A3446" s="14">
        <v>42294.622615740744</v>
      </c>
      <c r="B3446" s="5">
        <v>1</v>
      </c>
    </row>
    <row r="3447" spans="1:2" x14ac:dyDescent="0.35">
      <c r="A3447" s="14">
        <v>42294.629432870373</v>
      </c>
      <c r="B3447" s="5">
        <v>1</v>
      </c>
    </row>
    <row r="3448" spans="1:2" x14ac:dyDescent="0.35">
      <c r="A3448" s="14">
        <v>42294.755196759259</v>
      </c>
      <c r="B3448" s="5">
        <v>1</v>
      </c>
    </row>
    <row r="3449" spans="1:2" x14ac:dyDescent="0.35">
      <c r="A3449" s="14">
        <v>42294.793993055559</v>
      </c>
      <c r="B3449" s="5">
        <v>1</v>
      </c>
    </row>
    <row r="3450" spans="1:2" x14ac:dyDescent="0.35">
      <c r="A3450" s="14">
        <v>42294.859016203707</v>
      </c>
      <c r="B3450" s="5">
        <v>1</v>
      </c>
    </row>
    <row r="3451" spans="1:2" x14ac:dyDescent="0.35">
      <c r="A3451" s="14">
        <v>42294.963761574072</v>
      </c>
      <c r="B3451" s="5">
        <v>1</v>
      </c>
    </row>
    <row r="3452" spans="1:2" x14ac:dyDescent="0.35">
      <c r="A3452" s="14">
        <v>42294.972569444442</v>
      </c>
      <c r="B3452" s="5">
        <v>1</v>
      </c>
    </row>
    <row r="3453" spans="1:2" x14ac:dyDescent="0.35">
      <c r="A3453" s="14">
        <v>42294.985092592593</v>
      </c>
      <c r="B3453" s="5">
        <v>1</v>
      </c>
    </row>
    <row r="3454" spans="1:2" x14ac:dyDescent="0.35">
      <c r="A3454" s="14">
        <v>42294.992615740739</v>
      </c>
      <c r="B3454" s="5">
        <v>1</v>
      </c>
    </row>
    <row r="3455" spans="1:2" x14ac:dyDescent="0.35">
      <c r="A3455" s="14">
        <v>42294.995358796295</v>
      </c>
      <c r="B3455" s="5">
        <v>1</v>
      </c>
    </row>
    <row r="3456" spans="1:2" x14ac:dyDescent="0.35">
      <c r="A3456" s="14">
        <v>42295.020983796298</v>
      </c>
      <c r="B3456" s="5">
        <v>1</v>
      </c>
    </row>
    <row r="3457" spans="1:2" x14ac:dyDescent="0.35">
      <c r="A3457" s="14">
        <v>42295.021122685182</v>
      </c>
      <c r="B3457" s="5">
        <v>2</v>
      </c>
    </row>
    <row r="3458" spans="1:2" x14ac:dyDescent="0.35">
      <c r="A3458" s="14">
        <v>42295.191643518519</v>
      </c>
      <c r="B3458" s="5">
        <v>1</v>
      </c>
    </row>
    <row r="3459" spans="1:2" x14ac:dyDescent="0.35">
      <c r="A3459" s="14">
        <v>42295.570972222224</v>
      </c>
      <c r="B3459" s="5">
        <v>1</v>
      </c>
    </row>
    <row r="3460" spans="1:2" x14ac:dyDescent="0.35">
      <c r="A3460" s="14">
        <v>42295.637499999997</v>
      </c>
      <c r="B3460" s="5">
        <v>1</v>
      </c>
    </row>
    <row r="3461" spans="1:2" x14ac:dyDescent="0.35">
      <c r="A3461" s="14">
        <v>42295.649768518517</v>
      </c>
      <c r="B3461" s="5">
        <v>1</v>
      </c>
    </row>
    <row r="3462" spans="1:2" x14ac:dyDescent="0.35">
      <c r="A3462" s="14">
        <v>42295.653032407405</v>
      </c>
      <c r="B3462" s="5">
        <v>1</v>
      </c>
    </row>
    <row r="3463" spans="1:2" x14ac:dyDescent="0.35">
      <c r="A3463" s="14">
        <v>42295.65902777778</v>
      </c>
      <c r="B3463" s="5">
        <v>1</v>
      </c>
    </row>
    <row r="3464" spans="1:2" x14ac:dyDescent="0.35">
      <c r="A3464" s="14">
        <v>42295.659212962964</v>
      </c>
      <c r="B3464" s="5">
        <v>2</v>
      </c>
    </row>
    <row r="3465" spans="1:2" x14ac:dyDescent="0.35">
      <c r="A3465" s="14">
        <v>42295.685416666667</v>
      </c>
      <c r="B3465" s="5">
        <v>1</v>
      </c>
    </row>
    <row r="3466" spans="1:2" x14ac:dyDescent="0.35">
      <c r="A3466" s="14">
        <v>42295.730057870373</v>
      </c>
      <c r="B3466" s="5">
        <v>1</v>
      </c>
    </row>
    <row r="3467" spans="1:2" x14ac:dyDescent="0.35">
      <c r="A3467" s="14">
        <v>42295.734305555554</v>
      </c>
      <c r="B3467" s="5">
        <v>1</v>
      </c>
    </row>
    <row r="3468" spans="1:2" x14ac:dyDescent="0.35">
      <c r="A3468" s="14">
        <v>42295.743252314816</v>
      </c>
      <c r="B3468" s="5">
        <v>1</v>
      </c>
    </row>
    <row r="3469" spans="1:2" x14ac:dyDescent="0.35">
      <c r="A3469" s="14">
        <v>42295.763969907406</v>
      </c>
      <c r="B3469" s="5">
        <v>1</v>
      </c>
    </row>
    <row r="3470" spans="1:2" x14ac:dyDescent="0.35">
      <c r="A3470" s="14">
        <v>42295.781076388892</v>
      </c>
      <c r="B3470" s="5">
        <v>1</v>
      </c>
    </row>
    <row r="3471" spans="1:2" x14ac:dyDescent="0.35">
      <c r="A3471" s="14">
        <v>42295.797222222223</v>
      </c>
      <c r="B3471" s="5">
        <v>1</v>
      </c>
    </row>
    <row r="3472" spans="1:2" x14ac:dyDescent="0.35">
      <c r="A3472" s="14">
        <v>42295.817939814813</v>
      </c>
      <c r="B3472" s="5">
        <v>1</v>
      </c>
    </row>
    <row r="3473" spans="1:2" x14ac:dyDescent="0.35">
      <c r="A3473" s="14">
        <v>42295.81795138889</v>
      </c>
      <c r="B3473" s="5">
        <v>1</v>
      </c>
    </row>
    <row r="3474" spans="1:2" x14ac:dyDescent="0.35">
      <c r="A3474" s="14">
        <v>42295.826307870368</v>
      </c>
      <c r="B3474" s="5">
        <v>1</v>
      </c>
    </row>
    <row r="3475" spans="1:2" x14ac:dyDescent="0.35">
      <c r="A3475" s="14">
        <v>42295.843055555553</v>
      </c>
      <c r="B3475" s="5">
        <v>1</v>
      </c>
    </row>
    <row r="3476" spans="1:2" x14ac:dyDescent="0.35">
      <c r="A3476" s="14">
        <v>42295.864328703705</v>
      </c>
      <c r="B3476" s="5">
        <v>1</v>
      </c>
    </row>
    <row r="3477" spans="1:2" x14ac:dyDescent="0.35">
      <c r="A3477" s="14">
        <v>42295.864571759259</v>
      </c>
      <c r="B3477" s="5">
        <v>1</v>
      </c>
    </row>
    <row r="3478" spans="1:2" x14ac:dyDescent="0.35">
      <c r="A3478" s="14">
        <v>42295.878101851849</v>
      </c>
      <c r="B3478" s="5">
        <v>1</v>
      </c>
    </row>
    <row r="3479" spans="1:2" x14ac:dyDescent="0.35">
      <c r="A3479" s="14">
        <v>42295.880509259259</v>
      </c>
      <c r="B3479" s="5">
        <v>1</v>
      </c>
    </row>
    <row r="3480" spans="1:2" x14ac:dyDescent="0.35">
      <c r="A3480" s="14">
        <v>42295.887187499997</v>
      </c>
      <c r="B3480" s="5">
        <v>1</v>
      </c>
    </row>
    <row r="3481" spans="1:2" x14ac:dyDescent="0.35">
      <c r="A3481" s="14">
        <v>42295.896805555552</v>
      </c>
      <c r="B3481" s="5">
        <v>1</v>
      </c>
    </row>
    <row r="3482" spans="1:2" x14ac:dyDescent="0.35">
      <c r="A3482" s="14">
        <v>42295.89770833333</v>
      </c>
      <c r="B3482" s="5">
        <v>1</v>
      </c>
    </row>
    <row r="3483" spans="1:2" x14ac:dyDescent="0.35">
      <c r="A3483" s="14">
        <v>42295.901759259257</v>
      </c>
      <c r="B3483" s="5">
        <v>1</v>
      </c>
    </row>
    <row r="3484" spans="1:2" x14ac:dyDescent="0.35">
      <c r="A3484" s="14">
        <v>42295.927499999998</v>
      </c>
      <c r="B3484" s="5">
        <v>1</v>
      </c>
    </row>
    <row r="3485" spans="1:2" x14ac:dyDescent="0.35">
      <c r="A3485" s="14">
        <v>42295.940393518518</v>
      </c>
      <c r="B3485" s="5">
        <v>1</v>
      </c>
    </row>
    <row r="3486" spans="1:2" x14ac:dyDescent="0.35">
      <c r="A3486" s="14">
        <v>42295.942719907405</v>
      </c>
      <c r="B3486" s="5">
        <v>1</v>
      </c>
    </row>
    <row r="3487" spans="1:2" x14ac:dyDescent="0.35">
      <c r="A3487" s="14">
        <v>42295.959791666668</v>
      </c>
      <c r="B3487" s="5">
        <v>1</v>
      </c>
    </row>
    <row r="3488" spans="1:2" x14ac:dyDescent="0.35">
      <c r="A3488" s="14">
        <v>42295.964074074072</v>
      </c>
      <c r="B3488" s="5">
        <v>1</v>
      </c>
    </row>
    <row r="3489" spans="1:2" x14ac:dyDescent="0.35">
      <c r="A3489" s="14">
        <v>42295.979756944442</v>
      </c>
      <c r="B3489" s="5">
        <v>1</v>
      </c>
    </row>
    <row r="3490" spans="1:2" x14ac:dyDescent="0.35">
      <c r="A3490" s="14">
        <v>42296.002511574072</v>
      </c>
      <c r="B3490" s="5">
        <v>1</v>
      </c>
    </row>
    <row r="3491" spans="1:2" x14ac:dyDescent="0.35">
      <c r="A3491" s="14">
        <v>42296.009930555556</v>
      </c>
      <c r="B3491" s="5">
        <v>1</v>
      </c>
    </row>
    <row r="3492" spans="1:2" x14ac:dyDescent="0.35">
      <c r="A3492" s="14">
        <v>42296.021041666667</v>
      </c>
      <c r="B3492" s="5">
        <v>1</v>
      </c>
    </row>
    <row r="3493" spans="1:2" x14ac:dyDescent="0.35">
      <c r="A3493" s="14">
        <v>42296.028020833335</v>
      </c>
      <c r="B3493" s="5">
        <v>1</v>
      </c>
    </row>
    <row r="3494" spans="1:2" x14ac:dyDescent="0.35">
      <c r="A3494" s="14">
        <v>42296.03837962963</v>
      </c>
      <c r="B3494" s="5">
        <v>1</v>
      </c>
    </row>
    <row r="3495" spans="1:2" x14ac:dyDescent="0.35">
      <c r="A3495" s="14">
        <v>42296.038518518515</v>
      </c>
      <c r="B3495" s="5">
        <v>1</v>
      </c>
    </row>
    <row r="3496" spans="1:2" x14ac:dyDescent="0.35">
      <c r="A3496" s="14">
        <v>42296.04283564815</v>
      </c>
      <c r="B3496" s="5">
        <v>1</v>
      </c>
    </row>
    <row r="3497" spans="1:2" x14ac:dyDescent="0.35">
      <c r="A3497" s="14">
        <v>42296.043564814812</v>
      </c>
      <c r="B3497" s="5">
        <v>1</v>
      </c>
    </row>
    <row r="3498" spans="1:2" x14ac:dyDescent="0.35">
      <c r="A3498" s="14">
        <v>42296.047905092593</v>
      </c>
      <c r="B3498" s="5">
        <v>1</v>
      </c>
    </row>
    <row r="3499" spans="1:2" x14ac:dyDescent="0.35">
      <c r="A3499" s="14">
        <v>42296.074583333335</v>
      </c>
      <c r="B3499" s="5">
        <v>1</v>
      </c>
    </row>
    <row r="3500" spans="1:2" x14ac:dyDescent="0.35">
      <c r="A3500" s="14">
        <v>42296.119120370371</v>
      </c>
      <c r="B3500" s="5">
        <v>1</v>
      </c>
    </row>
    <row r="3501" spans="1:2" x14ac:dyDescent="0.35">
      <c r="A3501" s="14">
        <v>42296.213055555556</v>
      </c>
      <c r="B3501" s="5">
        <v>1</v>
      </c>
    </row>
    <row r="3502" spans="1:2" x14ac:dyDescent="0.35">
      <c r="A3502" s="14">
        <v>42296.254618055558</v>
      </c>
      <c r="B3502" s="5">
        <v>1</v>
      </c>
    </row>
    <row r="3503" spans="1:2" x14ac:dyDescent="0.35">
      <c r="A3503" s="14">
        <v>42296.533831018518</v>
      </c>
      <c r="B3503" s="5">
        <v>1</v>
      </c>
    </row>
    <row r="3504" spans="1:2" x14ac:dyDescent="0.35">
      <c r="A3504" s="14">
        <v>42296.602222222224</v>
      </c>
      <c r="B3504" s="5">
        <v>1</v>
      </c>
    </row>
    <row r="3505" spans="1:2" x14ac:dyDescent="0.35">
      <c r="A3505" s="14">
        <v>42296.602349537039</v>
      </c>
      <c r="B3505" s="5">
        <v>1</v>
      </c>
    </row>
    <row r="3506" spans="1:2" x14ac:dyDescent="0.35">
      <c r="A3506" s="14">
        <v>42296.60260416667</v>
      </c>
      <c r="B3506" s="5">
        <v>1</v>
      </c>
    </row>
    <row r="3507" spans="1:2" x14ac:dyDescent="0.35">
      <c r="A3507" s="14">
        <v>42296.606203703705</v>
      </c>
      <c r="B3507" s="5">
        <v>1</v>
      </c>
    </row>
    <row r="3508" spans="1:2" x14ac:dyDescent="0.35">
      <c r="A3508" s="14">
        <v>42296.609988425924</v>
      </c>
      <c r="B3508" s="5">
        <v>1</v>
      </c>
    </row>
    <row r="3509" spans="1:2" x14ac:dyDescent="0.35">
      <c r="A3509" s="14">
        <v>42296.610081018516</v>
      </c>
      <c r="B3509" s="5">
        <v>1</v>
      </c>
    </row>
    <row r="3510" spans="1:2" x14ac:dyDescent="0.35">
      <c r="A3510" s="14">
        <v>42296.613877314812</v>
      </c>
      <c r="B3510" s="5">
        <v>1</v>
      </c>
    </row>
    <row r="3511" spans="1:2" x14ac:dyDescent="0.35">
      <c r="A3511" s="14">
        <v>42296.650393518517</v>
      </c>
      <c r="B3511" s="5">
        <v>1</v>
      </c>
    </row>
    <row r="3512" spans="1:2" x14ac:dyDescent="0.35">
      <c r="A3512" s="14">
        <v>42296.652488425927</v>
      </c>
      <c r="B3512" s="5">
        <v>1</v>
      </c>
    </row>
    <row r="3513" spans="1:2" x14ac:dyDescent="0.35">
      <c r="A3513" s="14">
        <v>42296.655416666668</v>
      </c>
      <c r="B3513" s="5">
        <v>1</v>
      </c>
    </row>
    <row r="3514" spans="1:2" x14ac:dyDescent="0.35">
      <c r="A3514" s="14">
        <v>42296.680590277778</v>
      </c>
      <c r="B3514" s="5">
        <v>1</v>
      </c>
    </row>
    <row r="3515" spans="1:2" x14ac:dyDescent="0.35">
      <c r="A3515" s="14">
        <v>42296.681817129633</v>
      </c>
      <c r="B3515" s="5">
        <v>1</v>
      </c>
    </row>
    <row r="3516" spans="1:2" x14ac:dyDescent="0.35">
      <c r="A3516" s="14">
        <v>42296.683263888888</v>
      </c>
      <c r="B3516" s="5">
        <v>1</v>
      </c>
    </row>
    <row r="3517" spans="1:2" x14ac:dyDescent="0.35">
      <c r="A3517" s="14">
        <v>42296.685243055559</v>
      </c>
      <c r="B3517" s="5">
        <v>1</v>
      </c>
    </row>
    <row r="3518" spans="1:2" x14ac:dyDescent="0.35">
      <c r="A3518" s="14">
        <v>42296.685578703706</v>
      </c>
      <c r="B3518" s="5">
        <v>1</v>
      </c>
    </row>
    <row r="3519" spans="1:2" x14ac:dyDescent="0.35">
      <c r="A3519" s="14">
        <v>42296.685682870368</v>
      </c>
      <c r="B3519" s="5">
        <v>1</v>
      </c>
    </row>
    <row r="3520" spans="1:2" x14ac:dyDescent="0.35">
      <c r="A3520" s="14">
        <v>42296.685763888891</v>
      </c>
      <c r="B3520" s="5">
        <v>2</v>
      </c>
    </row>
    <row r="3521" spans="1:2" x14ac:dyDescent="0.35">
      <c r="A3521" s="14">
        <v>42296.776770833334</v>
      </c>
      <c r="B3521" s="5">
        <v>1</v>
      </c>
    </row>
    <row r="3522" spans="1:2" x14ac:dyDescent="0.35">
      <c r="A3522" s="14">
        <v>42296.777800925927</v>
      </c>
      <c r="B3522" s="5">
        <v>1</v>
      </c>
    </row>
    <row r="3523" spans="1:2" x14ac:dyDescent="0.35">
      <c r="A3523" s="14">
        <v>42296.786134259259</v>
      </c>
      <c r="B3523" s="5">
        <v>1</v>
      </c>
    </row>
    <row r="3524" spans="1:2" x14ac:dyDescent="0.35">
      <c r="A3524" s="14">
        <v>42296.789456018516</v>
      </c>
      <c r="B3524" s="5">
        <v>1</v>
      </c>
    </row>
    <row r="3525" spans="1:2" x14ac:dyDescent="0.35">
      <c r="A3525" s="14">
        <v>42296.806296296294</v>
      </c>
      <c r="B3525" s="5">
        <v>1</v>
      </c>
    </row>
    <row r="3526" spans="1:2" x14ac:dyDescent="0.35">
      <c r="A3526" s="14">
        <v>42296.808252314811</v>
      </c>
      <c r="B3526" s="5">
        <v>1</v>
      </c>
    </row>
    <row r="3527" spans="1:2" x14ac:dyDescent="0.35">
      <c r="A3527" s="14">
        <v>42296.808958333335</v>
      </c>
      <c r="B3527" s="5">
        <v>1</v>
      </c>
    </row>
    <row r="3528" spans="1:2" x14ac:dyDescent="0.35">
      <c r="A3528" s="14">
        <v>42296.809270833335</v>
      </c>
      <c r="B3528" s="5">
        <v>1</v>
      </c>
    </row>
    <row r="3529" spans="1:2" x14ac:dyDescent="0.35">
      <c r="A3529" s="14">
        <v>42296.836099537039</v>
      </c>
      <c r="B3529" s="5">
        <v>1</v>
      </c>
    </row>
    <row r="3530" spans="1:2" x14ac:dyDescent="0.35">
      <c r="A3530" s="14">
        <v>42296.861666666664</v>
      </c>
      <c r="B3530" s="5">
        <v>1</v>
      </c>
    </row>
    <row r="3531" spans="1:2" x14ac:dyDescent="0.35">
      <c r="A3531" s="14">
        <v>42296.869027777779</v>
      </c>
      <c r="B3531" s="5">
        <v>1</v>
      </c>
    </row>
    <row r="3532" spans="1:2" x14ac:dyDescent="0.35">
      <c r="A3532" s="14">
        <v>42296.891782407409</v>
      </c>
      <c r="B3532" s="5">
        <v>1</v>
      </c>
    </row>
    <row r="3533" spans="1:2" x14ac:dyDescent="0.35">
      <c r="A3533" s="14">
        <v>42296.898506944446</v>
      </c>
      <c r="B3533" s="5">
        <v>1</v>
      </c>
    </row>
    <row r="3534" spans="1:2" x14ac:dyDescent="0.35">
      <c r="A3534" s="14">
        <v>42296.898680555554</v>
      </c>
      <c r="B3534" s="5">
        <v>2</v>
      </c>
    </row>
    <row r="3535" spans="1:2" x14ac:dyDescent="0.35">
      <c r="A3535" s="14">
        <v>42296.904548611114</v>
      </c>
      <c r="B3535" s="5">
        <v>1</v>
      </c>
    </row>
    <row r="3536" spans="1:2" x14ac:dyDescent="0.35">
      <c r="A3536" s="14">
        <v>42296.911666666667</v>
      </c>
      <c r="B3536" s="5">
        <v>1</v>
      </c>
    </row>
    <row r="3537" spans="1:2" x14ac:dyDescent="0.35">
      <c r="A3537" s="14">
        <v>42296.914456018516</v>
      </c>
      <c r="B3537" s="5">
        <v>1</v>
      </c>
    </row>
    <row r="3538" spans="1:2" x14ac:dyDescent="0.35">
      <c r="A3538" s="14">
        <v>42296.918819444443</v>
      </c>
      <c r="B3538" s="5">
        <v>1</v>
      </c>
    </row>
    <row r="3539" spans="1:2" x14ac:dyDescent="0.35">
      <c r="A3539" s="14">
        <v>42296.919687499998</v>
      </c>
      <c r="B3539" s="5">
        <v>1</v>
      </c>
    </row>
    <row r="3540" spans="1:2" x14ac:dyDescent="0.35">
      <c r="A3540" s="14">
        <v>42296.920868055553</v>
      </c>
      <c r="B3540" s="5">
        <v>1</v>
      </c>
    </row>
    <row r="3541" spans="1:2" x14ac:dyDescent="0.35">
      <c r="A3541" s="14">
        <v>42296.944537037038</v>
      </c>
      <c r="B3541" s="5">
        <v>1</v>
      </c>
    </row>
    <row r="3542" spans="1:2" x14ac:dyDescent="0.35">
      <c r="A3542" s="14">
        <v>42296.954444444447</v>
      </c>
      <c r="B3542" s="5">
        <v>1</v>
      </c>
    </row>
    <row r="3543" spans="1:2" x14ac:dyDescent="0.35">
      <c r="A3543" s="14">
        <v>42296.978946759256</v>
      </c>
      <c r="B3543" s="5">
        <v>1</v>
      </c>
    </row>
    <row r="3544" spans="1:2" x14ac:dyDescent="0.35">
      <c r="A3544" s="14">
        <v>42296.980856481481</v>
      </c>
      <c r="B3544" s="5">
        <v>1</v>
      </c>
    </row>
    <row r="3545" spans="1:2" x14ac:dyDescent="0.35">
      <c r="A3545" s="14">
        <v>42296.988171296296</v>
      </c>
      <c r="B3545" s="5">
        <v>1</v>
      </c>
    </row>
    <row r="3546" spans="1:2" x14ac:dyDescent="0.35">
      <c r="A3546" s="14">
        <v>42296.996412037035</v>
      </c>
      <c r="B3546" s="5">
        <v>1</v>
      </c>
    </row>
    <row r="3547" spans="1:2" x14ac:dyDescent="0.35">
      <c r="A3547" s="14">
        <v>42296.997812499998</v>
      </c>
      <c r="B3547" s="5">
        <v>1</v>
      </c>
    </row>
    <row r="3548" spans="1:2" x14ac:dyDescent="0.35">
      <c r="A3548" s="14">
        <v>42297.002523148149</v>
      </c>
      <c r="B3548" s="5">
        <v>1</v>
      </c>
    </row>
    <row r="3549" spans="1:2" x14ac:dyDescent="0.35">
      <c r="A3549" s="14">
        <v>42297.002858796295</v>
      </c>
      <c r="B3549" s="5">
        <v>1</v>
      </c>
    </row>
    <row r="3550" spans="1:2" x14ac:dyDescent="0.35">
      <c r="A3550" s="14">
        <v>42297.009629629632</v>
      </c>
      <c r="B3550" s="5">
        <v>1</v>
      </c>
    </row>
    <row r="3551" spans="1:2" x14ac:dyDescent="0.35">
      <c r="A3551" s="14">
        <v>42297.046261574076</v>
      </c>
      <c r="B3551" s="5">
        <v>1</v>
      </c>
    </row>
    <row r="3552" spans="1:2" x14ac:dyDescent="0.35">
      <c r="A3552" s="14">
        <v>42297.049386574072</v>
      </c>
      <c r="B3552" s="5">
        <v>1</v>
      </c>
    </row>
    <row r="3553" spans="1:2" x14ac:dyDescent="0.35">
      <c r="A3553" s="14">
        <v>42297.054050925923</v>
      </c>
      <c r="B3553" s="5">
        <v>1</v>
      </c>
    </row>
    <row r="3554" spans="1:2" x14ac:dyDescent="0.35">
      <c r="A3554" s="14">
        <v>42297.061423611114</v>
      </c>
      <c r="B3554" s="5">
        <v>1</v>
      </c>
    </row>
    <row r="3555" spans="1:2" x14ac:dyDescent="0.35">
      <c r="A3555" s="14">
        <v>42297.064004629632</v>
      </c>
      <c r="B3555" s="5">
        <v>1</v>
      </c>
    </row>
    <row r="3556" spans="1:2" x14ac:dyDescent="0.35">
      <c r="A3556" s="14">
        <v>42297.088587962964</v>
      </c>
      <c r="B3556" s="5">
        <v>1</v>
      </c>
    </row>
    <row r="3557" spans="1:2" x14ac:dyDescent="0.35">
      <c r="A3557" s="14">
        <v>42297.090509259258</v>
      </c>
      <c r="B3557" s="5">
        <v>1</v>
      </c>
    </row>
    <row r="3558" spans="1:2" x14ac:dyDescent="0.35">
      <c r="A3558" s="14">
        <v>42297.090520833335</v>
      </c>
      <c r="B3558" s="5">
        <v>1</v>
      </c>
    </row>
    <row r="3559" spans="1:2" x14ac:dyDescent="0.35">
      <c r="A3559" s="14">
        <v>42297.112986111111</v>
      </c>
      <c r="B3559" s="5">
        <v>1</v>
      </c>
    </row>
    <row r="3560" spans="1:2" x14ac:dyDescent="0.35">
      <c r="A3560" s="14">
        <v>42297.12841435185</v>
      </c>
      <c r="B3560" s="5">
        <v>1</v>
      </c>
    </row>
    <row r="3561" spans="1:2" x14ac:dyDescent="0.35">
      <c r="A3561" s="14">
        <v>42297.135474537034</v>
      </c>
      <c r="B3561" s="5">
        <v>1</v>
      </c>
    </row>
    <row r="3562" spans="1:2" x14ac:dyDescent="0.35">
      <c r="A3562" s="14">
        <v>42297.210405092592</v>
      </c>
      <c r="B3562" s="5">
        <v>1</v>
      </c>
    </row>
    <row r="3563" spans="1:2" x14ac:dyDescent="0.35">
      <c r="A3563" s="14">
        <v>42297.264814814815</v>
      </c>
      <c r="B3563" s="5">
        <v>1</v>
      </c>
    </row>
    <row r="3564" spans="1:2" x14ac:dyDescent="0.35">
      <c r="A3564" s="14">
        <v>42297.277881944443</v>
      </c>
      <c r="B3564" s="5">
        <v>1</v>
      </c>
    </row>
    <row r="3565" spans="1:2" x14ac:dyDescent="0.35">
      <c r="A3565" s="14">
        <v>42297.332812499997</v>
      </c>
      <c r="B3565" s="5">
        <v>1</v>
      </c>
    </row>
    <row r="3566" spans="1:2" x14ac:dyDescent="0.35">
      <c r="A3566" s="14">
        <v>42297.447858796295</v>
      </c>
      <c r="B3566" s="5">
        <v>1</v>
      </c>
    </row>
    <row r="3567" spans="1:2" x14ac:dyDescent="0.35">
      <c r="A3567" s="14">
        <v>42297.455011574071</v>
      </c>
      <c r="B3567" s="5">
        <v>1</v>
      </c>
    </row>
    <row r="3568" spans="1:2" x14ac:dyDescent="0.35">
      <c r="A3568" s="14">
        <v>42297.455138888887</v>
      </c>
      <c r="B3568" s="5">
        <v>1</v>
      </c>
    </row>
    <row r="3569" spans="1:2" x14ac:dyDescent="0.35">
      <c r="A3569" s="14">
        <v>42297.45517361111</v>
      </c>
      <c r="B3569" s="5">
        <v>1</v>
      </c>
    </row>
    <row r="3570" spans="1:2" x14ac:dyDescent="0.35">
      <c r="A3570" s="14">
        <v>42297.455810185187</v>
      </c>
      <c r="B3570" s="5">
        <v>1</v>
      </c>
    </row>
    <row r="3571" spans="1:2" x14ac:dyDescent="0.35">
      <c r="A3571" s="14">
        <v>42297.518518518518</v>
      </c>
      <c r="B3571" s="5">
        <v>1</v>
      </c>
    </row>
    <row r="3572" spans="1:2" x14ac:dyDescent="0.35">
      <c r="A3572" s="14">
        <v>42297.564074074071</v>
      </c>
      <c r="B3572" s="5">
        <v>1</v>
      </c>
    </row>
    <row r="3573" spans="1:2" x14ac:dyDescent="0.35">
      <c r="A3573" s="14">
        <v>42297.573287037034</v>
      </c>
      <c r="B3573" s="5">
        <v>1</v>
      </c>
    </row>
    <row r="3574" spans="1:2" x14ac:dyDescent="0.35">
      <c r="A3574" s="14">
        <v>42297.617268518516</v>
      </c>
      <c r="B3574" s="5">
        <v>1</v>
      </c>
    </row>
    <row r="3575" spans="1:2" x14ac:dyDescent="0.35">
      <c r="A3575" s="14">
        <v>42297.619606481479</v>
      </c>
      <c r="B3575" s="5">
        <v>1</v>
      </c>
    </row>
    <row r="3576" spans="1:2" x14ac:dyDescent="0.35">
      <c r="A3576" s="14">
        <v>42297.642939814818</v>
      </c>
      <c r="B3576" s="5">
        <v>1</v>
      </c>
    </row>
    <row r="3577" spans="1:2" x14ac:dyDescent="0.35">
      <c r="A3577" s="14">
        <v>42297.646608796298</v>
      </c>
      <c r="B3577" s="5">
        <v>1</v>
      </c>
    </row>
    <row r="3578" spans="1:2" x14ac:dyDescent="0.35">
      <c r="A3578" s="14">
        <v>42297.666921296295</v>
      </c>
      <c r="B3578" s="5">
        <v>1</v>
      </c>
    </row>
    <row r="3579" spans="1:2" x14ac:dyDescent="0.35">
      <c r="A3579" s="14">
        <v>42297.669282407405</v>
      </c>
      <c r="B3579" s="5">
        <v>1</v>
      </c>
    </row>
    <row r="3580" spans="1:2" x14ac:dyDescent="0.35">
      <c r="A3580" s="14">
        <v>42297.670763888891</v>
      </c>
      <c r="B3580" s="5">
        <v>1</v>
      </c>
    </row>
    <row r="3581" spans="1:2" x14ac:dyDescent="0.35">
      <c r="A3581" s="14">
        <v>42297.673738425925</v>
      </c>
      <c r="B3581" s="5">
        <v>1</v>
      </c>
    </row>
    <row r="3582" spans="1:2" x14ac:dyDescent="0.35">
      <c r="A3582" s="14">
        <v>42297.674421296295</v>
      </c>
      <c r="B3582" s="5">
        <v>1</v>
      </c>
    </row>
    <row r="3583" spans="1:2" x14ac:dyDescent="0.35">
      <c r="A3583" s="14">
        <v>42297.675844907404</v>
      </c>
      <c r="B3583" s="5">
        <v>1</v>
      </c>
    </row>
    <row r="3584" spans="1:2" x14ac:dyDescent="0.35">
      <c r="A3584" s="14">
        <v>42297.677256944444</v>
      </c>
      <c r="B3584" s="5">
        <v>1</v>
      </c>
    </row>
    <row r="3585" spans="1:2" x14ac:dyDescent="0.35">
      <c r="A3585" s="14">
        <v>42297.683298611111</v>
      </c>
      <c r="B3585" s="5">
        <v>1</v>
      </c>
    </row>
    <row r="3586" spans="1:2" x14ac:dyDescent="0.35">
      <c r="A3586" s="14">
        <v>42297.694641203707</v>
      </c>
      <c r="B3586" s="5">
        <v>1</v>
      </c>
    </row>
    <row r="3587" spans="1:2" x14ac:dyDescent="0.35">
      <c r="A3587" s="14">
        <v>42297.708657407406</v>
      </c>
      <c r="B3587" s="5">
        <v>1</v>
      </c>
    </row>
    <row r="3588" spans="1:2" x14ac:dyDescent="0.35">
      <c r="A3588" s="14">
        <v>42297.709965277776</v>
      </c>
      <c r="B3588" s="5">
        <v>1</v>
      </c>
    </row>
    <row r="3589" spans="1:2" x14ac:dyDescent="0.35">
      <c r="A3589" s="14">
        <v>42297.725451388891</v>
      </c>
      <c r="B3589" s="5">
        <v>1</v>
      </c>
    </row>
    <row r="3590" spans="1:2" x14ac:dyDescent="0.35">
      <c r="A3590" s="14">
        <v>42297.76840277778</v>
      </c>
      <c r="B3590" s="5">
        <v>1</v>
      </c>
    </row>
    <row r="3591" spans="1:2" x14ac:dyDescent="0.35">
      <c r="A3591" s="14">
        <v>42297.768495370372</v>
      </c>
      <c r="B3591" s="5">
        <v>1</v>
      </c>
    </row>
    <row r="3592" spans="1:2" x14ac:dyDescent="0.35">
      <c r="A3592" s="14">
        <v>42297.769062500003</v>
      </c>
      <c r="B3592" s="5">
        <v>1</v>
      </c>
    </row>
    <row r="3593" spans="1:2" x14ac:dyDescent="0.35">
      <c r="A3593" s="14">
        <v>42297.769803240742</v>
      </c>
      <c r="B3593" s="5">
        <v>1</v>
      </c>
    </row>
    <row r="3594" spans="1:2" x14ac:dyDescent="0.35">
      <c r="A3594" s="14">
        <v>42297.771493055552</v>
      </c>
      <c r="B3594" s="5">
        <v>1</v>
      </c>
    </row>
    <row r="3595" spans="1:2" x14ac:dyDescent="0.35">
      <c r="A3595" s="14">
        <v>42297.781030092592</v>
      </c>
      <c r="B3595" s="5">
        <v>1</v>
      </c>
    </row>
    <row r="3596" spans="1:2" x14ac:dyDescent="0.35">
      <c r="A3596" s="14">
        <v>42297.790497685186</v>
      </c>
      <c r="B3596" s="5">
        <v>1</v>
      </c>
    </row>
    <row r="3597" spans="1:2" x14ac:dyDescent="0.35">
      <c r="A3597" s="14">
        <v>42297.826493055552</v>
      </c>
      <c r="B3597" s="5">
        <v>1</v>
      </c>
    </row>
    <row r="3598" spans="1:2" x14ac:dyDescent="0.35">
      <c r="A3598" s="14">
        <v>42297.833703703705</v>
      </c>
      <c r="B3598" s="5">
        <v>1</v>
      </c>
    </row>
    <row r="3599" spans="1:2" x14ac:dyDescent="0.35">
      <c r="A3599" s="14">
        <v>42297.843206018515</v>
      </c>
      <c r="B3599" s="5">
        <v>1</v>
      </c>
    </row>
    <row r="3600" spans="1:2" x14ac:dyDescent="0.35">
      <c r="A3600" s="14">
        <v>42297.843935185185</v>
      </c>
      <c r="B3600" s="5">
        <v>1</v>
      </c>
    </row>
    <row r="3601" spans="1:2" x14ac:dyDescent="0.35">
      <c r="A3601" s="14">
        <v>42297.876851851855</v>
      </c>
      <c r="B3601" s="5">
        <v>1</v>
      </c>
    </row>
    <row r="3602" spans="1:2" x14ac:dyDescent="0.35">
      <c r="A3602" s="14">
        <v>42297.877395833333</v>
      </c>
      <c r="B3602" s="5">
        <v>1</v>
      </c>
    </row>
    <row r="3603" spans="1:2" x14ac:dyDescent="0.35">
      <c r="A3603" s="14">
        <v>42297.891087962962</v>
      </c>
      <c r="B3603" s="5">
        <v>1</v>
      </c>
    </row>
    <row r="3604" spans="1:2" x14ac:dyDescent="0.35">
      <c r="A3604" s="14">
        <v>42297.919490740744</v>
      </c>
      <c r="B3604" s="5">
        <v>1</v>
      </c>
    </row>
    <row r="3605" spans="1:2" x14ac:dyDescent="0.35">
      <c r="A3605" s="14">
        <v>42297.920972222222</v>
      </c>
      <c r="B3605" s="5">
        <v>1</v>
      </c>
    </row>
    <row r="3606" spans="1:2" x14ac:dyDescent="0.35">
      <c r="A3606" s="14">
        <v>42297.932754629626</v>
      </c>
      <c r="B3606" s="5">
        <v>1</v>
      </c>
    </row>
    <row r="3607" spans="1:2" x14ac:dyDescent="0.35">
      <c r="A3607" s="14">
        <v>42297.933333333334</v>
      </c>
      <c r="B3607" s="5">
        <v>1</v>
      </c>
    </row>
    <row r="3608" spans="1:2" x14ac:dyDescent="0.35">
      <c r="A3608" s="14">
        <v>42297.946342592593</v>
      </c>
      <c r="B3608" s="5">
        <v>1</v>
      </c>
    </row>
    <row r="3609" spans="1:2" x14ac:dyDescent="0.35">
      <c r="A3609" s="14">
        <v>42297.957465277781</v>
      </c>
      <c r="B3609" s="5">
        <v>1</v>
      </c>
    </row>
    <row r="3610" spans="1:2" x14ac:dyDescent="0.35">
      <c r="A3610" s="14">
        <v>42297.972731481481</v>
      </c>
      <c r="B3610" s="5">
        <v>1</v>
      </c>
    </row>
    <row r="3611" spans="1:2" x14ac:dyDescent="0.35">
      <c r="A3611" s="14">
        <v>42297.977627314816</v>
      </c>
      <c r="B3611" s="5">
        <v>1</v>
      </c>
    </row>
    <row r="3612" spans="1:2" x14ac:dyDescent="0.35">
      <c r="A3612" s="14">
        <v>42297.998703703706</v>
      </c>
      <c r="B3612" s="5">
        <v>1</v>
      </c>
    </row>
    <row r="3613" spans="1:2" x14ac:dyDescent="0.35">
      <c r="A3613" s="14">
        <v>42298.000509259262</v>
      </c>
      <c r="B3613" s="5">
        <v>1</v>
      </c>
    </row>
    <row r="3614" spans="1:2" x14ac:dyDescent="0.35">
      <c r="A3614" s="14">
        <v>42298.01425925926</v>
      </c>
      <c r="B3614" s="5">
        <v>1</v>
      </c>
    </row>
    <row r="3615" spans="1:2" x14ac:dyDescent="0.35">
      <c r="A3615" s="14">
        <v>42298.026261574072</v>
      </c>
      <c r="B3615" s="5">
        <v>1</v>
      </c>
    </row>
    <row r="3616" spans="1:2" x14ac:dyDescent="0.35">
      <c r="A3616" s="14">
        <v>42298.107615740744</v>
      </c>
      <c r="B3616" s="5">
        <v>1</v>
      </c>
    </row>
    <row r="3617" spans="1:2" x14ac:dyDescent="0.35">
      <c r="A3617" s="14">
        <v>42298.158032407409</v>
      </c>
      <c r="B3617" s="5">
        <v>1</v>
      </c>
    </row>
    <row r="3618" spans="1:2" x14ac:dyDescent="0.35">
      <c r="A3618" s="14">
        <v>42298.165752314817</v>
      </c>
      <c r="B3618" s="5">
        <v>1</v>
      </c>
    </row>
    <row r="3619" spans="1:2" x14ac:dyDescent="0.35">
      <c r="A3619" s="14">
        <v>42298.168958333335</v>
      </c>
      <c r="B3619" s="5">
        <v>1</v>
      </c>
    </row>
    <row r="3620" spans="1:2" x14ac:dyDescent="0.35">
      <c r="A3620" s="14">
        <v>42298.175937499997</v>
      </c>
      <c r="B3620" s="5">
        <v>1</v>
      </c>
    </row>
    <row r="3621" spans="1:2" x14ac:dyDescent="0.35">
      <c r="A3621" s="14">
        <v>42298.180949074071</v>
      </c>
      <c r="B3621" s="5">
        <v>1</v>
      </c>
    </row>
    <row r="3622" spans="1:2" x14ac:dyDescent="0.35">
      <c r="A3622" s="14">
        <v>42298.184861111113</v>
      </c>
      <c r="B3622" s="5">
        <v>1</v>
      </c>
    </row>
    <row r="3623" spans="1:2" x14ac:dyDescent="0.35">
      <c r="A3623" s="14">
        <v>42298.185636574075</v>
      </c>
      <c r="B3623" s="5">
        <v>1</v>
      </c>
    </row>
    <row r="3624" spans="1:2" x14ac:dyDescent="0.35">
      <c r="A3624" s="14">
        <v>42298.186979166669</v>
      </c>
      <c r="B3624" s="5">
        <v>1</v>
      </c>
    </row>
    <row r="3625" spans="1:2" x14ac:dyDescent="0.35">
      <c r="A3625" s="14">
        <v>42298.507372685184</v>
      </c>
      <c r="B3625" s="5">
        <v>1</v>
      </c>
    </row>
    <row r="3626" spans="1:2" x14ac:dyDescent="0.35">
      <c r="A3626" s="14">
        <v>42298.513749999998</v>
      </c>
      <c r="B3626" s="5">
        <v>1</v>
      </c>
    </row>
    <row r="3627" spans="1:2" x14ac:dyDescent="0.35">
      <c r="A3627" s="14">
        <v>42298.551307870373</v>
      </c>
      <c r="B3627" s="5">
        <v>1</v>
      </c>
    </row>
    <row r="3628" spans="1:2" x14ac:dyDescent="0.35">
      <c r="A3628" s="14">
        <v>42298.552685185183</v>
      </c>
      <c r="B3628" s="5">
        <v>1</v>
      </c>
    </row>
    <row r="3629" spans="1:2" x14ac:dyDescent="0.35">
      <c r="A3629" s="14">
        <v>42298.560150462959</v>
      </c>
      <c r="B3629" s="5">
        <v>1</v>
      </c>
    </row>
    <row r="3630" spans="1:2" x14ac:dyDescent="0.35">
      <c r="A3630" s="14">
        <v>42298.560312499998</v>
      </c>
      <c r="B3630" s="5">
        <v>2</v>
      </c>
    </row>
    <row r="3631" spans="1:2" x14ac:dyDescent="0.35">
      <c r="A3631" s="14">
        <v>42298.567569444444</v>
      </c>
      <c r="B3631" s="5">
        <v>1</v>
      </c>
    </row>
    <row r="3632" spans="1:2" x14ac:dyDescent="0.35">
      <c r="A3632" s="14">
        <v>42298.567731481482</v>
      </c>
      <c r="B3632" s="5">
        <v>1</v>
      </c>
    </row>
    <row r="3633" spans="1:2" x14ac:dyDescent="0.35">
      <c r="A3633" s="14">
        <v>42298.568333333336</v>
      </c>
      <c r="B3633" s="5">
        <v>1</v>
      </c>
    </row>
    <row r="3634" spans="1:2" x14ac:dyDescent="0.35">
      <c r="A3634" s="14">
        <v>42298.568344907406</v>
      </c>
      <c r="B3634" s="5">
        <v>1</v>
      </c>
    </row>
    <row r="3635" spans="1:2" x14ac:dyDescent="0.35">
      <c r="A3635" s="14">
        <v>42298.568356481483</v>
      </c>
      <c r="B3635" s="5">
        <v>1</v>
      </c>
    </row>
    <row r="3636" spans="1:2" x14ac:dyDescent="0.35">
      <c r="A3636" s="14">
        <v>42298.568437499998</v>
      </c>
      <c r="B3636" s="5">
        <v>1</v>
      </c>
    </row>
    <row r="3637" spans="1:2" x14ac:dyDescent="0.35">
      <c r="A3637" s="14">
        <v>42298.576990740738</v>
      </c>
      <c r="B3637" s="5">
        <v>1</v>
      </c>
    </row>
    <row r="3638" spans="1:2" x14ac:dyDescent="0.35">
      <c r="A3638" s="14">
        <v>42298.584328703706</v>
      </c>
      <c r="B3638" s="5">
        <v>1</v>
      </c>
    </row>
    <row r="3639" spans="1:2" x14ac:dyDescent="0.35">
      <c r="A3639" s="14">
        <v>42298.620069444441</v>
      </c>
      <c r="B3639" s="5">
        <v>1</v>
      </c>
    </row>
    <row r="3640" spans="1:2" x14ac:dyDescent="0.35">
      <c r="A3640" s="14">
        <v>42298.624178240738</v>
      </c>
      <c r="B3640" s="5">
        <v>1</v>
      </c>
    </row>
    <row r="3641" spans="1:2" x14ac:dyDescent="0.35">
      <c r="A3641" s="14">
        <v>42298.628067129626</v>
      </c>
      <c r="B3641" s="5">
        <v>1</v>
      </c>
    </row>
    <row r="3642" spans="1:2" x14ac:dyDescent="0.35">
      <c r="A3642" s="14">
        <v>42298.644988425927</v>
      </c>
      <c r="B3642" s="5">
        <v>1</v>
      </c>
    </row>
    <row r="3643" spans="1:2" x14ac:dyDescent="0.35">
      <c r="A3643" s="14">
        <v>42298.717245370368</v>
      </c>
      <c r="B3643" s="5">
        <v>1</v>
      </c>
    </row>
    <row r="3644" spans="1:2" x14ac:dyDescent="0.35">
      <c r="A3644" s="14">
        <v>42298.723564814813</v>
      </c>
      <c r="B3644" s="5">
        <v>1</v>
      </c>
    </row>
    <row r="3645" spans="1:2" x14ac:dyDescent="0.35">
      <c r="A3645" s="14">
        <v>42298.728136574071</v>
      </c>
      <c r="B3645" s="5">
        <v>1</v>
      </c>
    </row>
    <row r="3646" spans="1:2" x14ac:dyDescent="0.35">
      <c r="A3646" s="14">
        <v>42298.729444444441</v>
      </c>
      <c r="B3646" s="5">
        <v>1</v>
      </c>
    </row>
    <row r="3647" spans="1:2" x14ac:dyDescent="0.35">
      <c r="A3647" s="14">
        <v>42298.73300925926</v>
      </c>
      <c r="B3647" s="5">
        <v>1</v>
      </c>
    </row>
    <row r="3648" spans="1:2" x14ac:dyDescent="0.35">
      <c r="A3648" s="14">
        <v>42298.7424537037</v>
      </c>
      <c r="B3648" s="5">
        <v>1</v>
      </c>
    </row>
    <row r="3649" spans="1:2" x14ac:dyDescent="0.35">
      <c r="A3649" s="14">
        <v>42298.743518518517</v>
      </c>
      <c r="B3649" s="5">
        <v>1</v>
      </c>
    </row>
    <row r="3650" spans="1:2" x14ac:dyDescent="0.35">
      <c r="A3650" s="14">
        <v>42298.74962962963</v>
      </c>
      <c r="B3650" s="5">
        <v>1</v>
      </c>
    </row>
    <row r="3651" spans="1:2" x14ac:dyDescent="0.35">
      <c r="A3651" s="14">
        <v>42298.751655092594</v>
      </c>
      <c r="B3651" s="5">
        <v>1</v>
      </c>
    </row>
    <row r="3652" spans="1:2" x14ac:dyDescent="0.35">
      <c r="A3652" s="14">
        <v>42298.753101851849</v>
      </c>
      <c r="B3652" s="5">
        <v>1</v>
      </c>
    </row>
    <row r="3653" spans="1:2" x14ac:dyDescent="0.35">
      <c r="A3653" s="14">
        <v>42298.753217592595</v>
      </c>
      <c r="B3653" s="5">
        <v>1</v>
      </c>
    </row>
    <row r="3654" spans="1:2" x14ac:dyDescent="0.35">
      <c r="A3654" s="14">
        <v>42298.754571759258</v>
      </c>
      <c r="B3654" s="5">
        <v>1</v>
      </c>
    </row>
    <row r="3655" spans="1:2" x14ac:dyDescent="0.35">
      <c r="A3655" s="14">
        <v>42298.760462962964</v>
      </c>
      <c r="B3655" s="5">
        <v>1</v>
      </c>
    </row>
    <row r="3656" spans="1:2" x14ac:dyDescent="0.35">
      <c r="A3656" s="14">
        <v>42298.760914351849</v>
      </c>
      <c r="B3656" s="5">
        <v>2</v>
      </c>
    </row>
    <row r="3657" spans="1:2" x14ac:dyDescent="0.35">
      <c r="A3657" s="14">
        <v>42298.761655092596</v>
      </c>
      <c r="B3657" s="5">
        <v>1</v>
      </c>
    </row>
    <row r="3658" spans="1:2" x14ac:dyDescent="0.35">
      <c r="A3658" s="14">
        <v>42298.763923611114</v>
      </c>
      <c r="B3658" s="5">
        <v>1</v>
      </c>
    </row>
    <row r="3659" spans="1:2" x14ac:dyDescent="0.35">
      <c r="A3659" s="14">
        <v>42298.765625</v>
      </c>
      <c r="B3659" s="5">
        <v>1</v>
      </c>
    </row>
    <row r="3660" spans="1:2" x14ac:dyDescent="0.35">
      <c r="A3660" s="14">
        <v>42298.771874999999</v>
      </c>
      <c r="B3660" s="5">
        <v>1</v>
      </c>
    </row>
    <row r="3661" spans="1:2" x14ac:dyDescent="0.35">
      <c r="A3661" s="14">
        <v>42298.831956018519</v>
      </c>
      <c r="B3661" s="5">
        <v>1</v>
      </c>
    </row>
    <row r="3662" spans="1:2" x14ac:dyDescent="0.35">
      <c r="A3662" s="14">
        <v>42298.837314814817</v>
      </c>
      <c r="B3662" s="5">
        <v>1</v>
      </c>
    </row>
    <row r="3663" spans="1:2" x14ac:dyDescent="0.35">
      <c r="A3663" s="14">
        <v>42298.8434837963</v>
      </c>
      <c r="B3663" s="5">
        <v>1</v>
      </c>
    </row>
    <row r="3664" spans="1:2" x14ac:dyDescent="0.35">
      <c r="A3664" s="14">
        <v>42298.848900462966</v>
      </c>
      <c r="B3664" s="5">
        <v>1</v>
      </c>
    </row>
    <row r="3665" spans="1:2" x14ac:dyDescent="0.35">
      <c r="A3665" s="14">
        <v>42298.851574074077</v>
      </c>
      <c r="B3665" s="5">
        <v>1</v>
      </c>
    </row>
    <row r="3666" spans="1:2" x14ac:dyDescent="0.35">
      <c r="A3666" s="14">
        <v>42298.852905092594</v>
      </c>
      <c r="B3666" s="5">
        <v>1</v>
      </c>
    </row>
    <row r="3667" spans="1:2" x14ac:dyDescent="0.35">
      <c r="A3667" s="14">
        <v>42298.886770833335</v>
      </c>
      <c r="B3667" s="5">
        <v>1</v>
      </c>
    </row>
    <row r="3668" spans="1:2" x14ac:dyDescent="0.35">
      <c r="A3668" s="14">
        <v>42298.890497685185</v>
      </c>
      <c r="B3668" s="5">
        <v>1</v>
      </c>
    </row>
    <row r="3669" spans="1:2" x14ac:dyDescent="0.35">
      <c r="A3669" s="14">
        <v>42298.895208333335</v>
      </c>
      <c r="B3669" s="5">
        <v>1</v>
      </c>
    </row>
    <row r="3670" spans="1:2" x14ac:dyDescent="0.35">
      <c r="A3670" s="14">
        <v>42298.90519675926</v>
      </c>
      <c r="B3670" s="5">
        <v>1</v>
      </c>
    </row>
    <row r="3671" spans="1:2" x14ac:dyDescent="0.35">
      <c r="A3671" s="14">
        <v>42298.913310185184</v>
      </c>
      <c r="B3671" s="5">
        <v>1</v>
      </c>
    </row>
    <row r="3672" spans="1:2" x14ac:dyDescent="0.35">
      <c r="A3672" s="14">
        <v>42298.938946759263</v>
      </c>
      <c r="B3672" s="5">
        <v>1</v>
      </c>
    </row>
    <row r="3673" spans="1:2" x14ac:dyDescent="0.35">
      <c r="A3673" s="14">
        <v>42298.945844907408</v>
      </c>
      <c r="B3673" s="5">
        <v>1</v>
      </c>
    </row>
    <row r="3674" spans="1:2" x14ac:dyDescent="0.35">
      <c r="A3674" s="14">
        <v>42298.946215277778</v>
      </c>
      <c r="B3674" s="5">
        <v>1</v>
      </c>
    </row>
    <row r="3675" spans="1:2" x14ac:dyDescent="0.35">
      <c r="A3675" s="14">
        <v>42298.957465277781</v>
      </c>
      <c r="B3675" s="5">
        <v>1</v>
      </c>
    </row>
    <row r="3676" spans="1:2" x14ac:dyDescent="0.35">
      <c r="A3676" s="14">
        <v>42298.95826388889</v>
      </c>
      <c r="B3676" s="5">
        <v>1</v>
      </c>
    </row>
    <row r="3677" spans="1:2" x14ac:dyDescent="0.35">
      <c r="A3677" s="14">
        <v>42298.959131944444</v>
      </c>
      <c r="B3677" s="5">
        <v>1</v>
      </c>
    </row>
    <row r="3678" spans="1:2" x14ac:dyDescent="0.35">
      <c r="A3678" s="14">
        <v>42298.96130787037</v>
      </c>
      <c r="B3678" s="5">
        <v>1</v>
      </c>
    </row>
    <row r="3679" spans="1:2" x14ac:dyDescent="0.35">
      <c r="A3679" s="14">
        <v>42298.990451388891</v>
      </c>
      <c r="B3679" s="5">
        <v>1</v>
      </c>
    </row>
    <row r="3680" spans="1:2" x14ac:dyDescent="0.35">
      <c r="A3680" s="14">
        <v>42298.990856481483</v>
      </c>
      <c r="B3680" s="5">
        <v>1</v>
      </c>
    </row>
    <row r="3681" spans="1:2" x14ac:dyDescent="0.35">
      <c r="A3681" s="14">
        <v>42298.993020833332</v>
      </c>
      <c r="B3681" s="5">
        <v>1</v>
      </c>
    </row>
    <row r="3682" spans="1:2" x14ac:dyDescent="0.35">
      <c r="A3682" s="14">
        <v>42298.993842592594</v>
      </c>
      <c r="B3682" s="5">
        <v>1</v>
      </c>
    </row>
    <row r="3683" spans="1:2" x14ac:dyDescent="0.35">
      <c r="A3683" s="14">
        <v>42299.005937499998</v>
      </c>
      <c r="B3683" s="5">
        <v>1</v>
      </c>
    </row>
    <row r="3684" spans="1:2" x14ac:dyDescent="0.35">
      <c r="A3684" s="14">
        <v>42299.011643518519</v>
      </c>
      <c r="B3684" s="5">
        <v>1</v>
      </c>
    </row>
    <row r="3685" spans="1:2" x14ac:dyDescent="0.35">
      <c r="A3685" s="14">
        <v>42299.025810185187</v>
      </c>
      <c r="B3685" s="5">
        <v>1</v>
      </c>
    </row>
    <row r="3686" spans="1:2" x14ac:dyDescent="0.35">
      <c r="A3686" s="14">
        <v>42299.03733796296</v>
      </c>
      <c r="B3686" s="5">
        <v>1</v>
      </c>
    </row>
    <row r="3687" spans="1:2" x14ac:dyDescent="0.35">
      <c r="A3687" s="14">
        <v>42299.037465277775</v>
      </c>
      <c r="B3687" s="5">
        <v>1</v>
      </c>
    </row>
    <row r="3688" spans="1:2" x14ac:dyDescent="0.35">
      <c r="A3688" s="14">
        <v>42299.039074074077</v>
      </c>
      <c r="B3688" s="5">
        <v>1</v>
      </c>
    </row>
    <row r="3689" spans="1:2" x14ac:dyDescent="0.35">
      <c r="A3689" s="14">
        <v>42299.039421296293</v>
      </c>
      <c r="B3689" s="5">
        <v>1</v>
      </c>
    </row>
    <row r="3690" spans="1:2" x14ac:dyDescent="0.35">
      <c r="A3690" s="14">
        <v>42299.061921296299</v>
      </c>
      <c r="B3690" s="5">
        <v>1</v>
      </c>
    </row>
    <row r="3691" spans="1:2" x14ac:dyDescent="0.35">
      <c r="A3691" s="14">
        <v>42299.064155092594</v>
      </c>
      <c r="B3691" s="5">
        <v>1</v>
      </c>
    </row>
    <row r="3692" spans="1:2" x14ac:dyDescent="0.35">
      <c r="A3692" s="14">
        <v>42299.064444444448</v>
      </c>
      <c r="B3692" s="5">
        <v>1</v>
      </c>
    </row>
    <row r="3693" spans="1:2" x14ac:dyDescent="0.35">
      <c r="A3693" s="14">
        <v>42299.067418981482</v>
      </c>
      <c r="B3693" s="5">
        <v>1</v>
      </c>
    </row>
    <row r="3694" spans="1:2" x14ac:dyDescent="0.35">
      <c r="A3694" s="14">
        <v>42299.071111111109</v>
      </c>
      <c r="B3694" s="5">
        <v>1</v>
      </c>
    </row>
    <row r="3695" spans="1:2" x14ac:dyDescent="0.35">
      <c r="A3695" s="14">
        <v>42299.098217592589</v>
      </c>
      <c r="B3695" s="5">
        <v>1</v>
      </c>
    </row>
    <row r="3696" spans="1:2" x14ac:dyDescent="0.35">
      <c r="A3696" s="14">
        <v>42299.098333333335</v>
      </c>
      <c r="B3696" s="5">
        <v>1</v>
      </c>
    </row>
    <row r="3697" spans="1:2" x14ac:dyDescent="0.35">
      <c r="A3697" s="14">
        <v>42299.137719907405</v>
      </c>
      <c r="B3697" s="5">
        <v>1</v>
      </c>
    </row>
    <row r="3698" spans="1:2" x14ac:dyDescent="0.35">
      <c r="A3698" s="14">
        <v>42299.14471064815</v>
      </c>
      <c r="B3698" s="5">
        <v>1</v>
      </c>
    </row>
    <row r="3699" spans="1:2" x14ac:dyDescent="0.35">
      <c r="A3699" s="14">
        <v>42299.16269675926</v>
      </c>
      <c r="B3699" s="5">
        <v>1</v>
      </c>
    </row>
    <row r="3700" spans="1:2" x14ac:dyDescent="0.35">
      <c r="A3700" s="14">
        <v>42299.164884259262</v>
      </c>
      <c r="B3700" s="5">
        <v>1</v>
      </c>
    </row>
    <row r="3701" spans="1:2" x14ac:dyDescent="0.35">
      <c r="A3701" s="14">
        <v>42299.172465277778</v>
      </c>
      <c r="B3701" s="5">
        <v>1</v>
      </c>
    </row>
    <row r="3702" spans="1:2" x14ac:dyDescent="0.35">
      <c r="A3702" s="14">
        <v>42299.173333333332</v>
      </c>
      <c r="B3702" s="5">
        <v>1</v>
      </c>
    </row>
    <row r="3703" spans="1:2" x14ac:dyDescent="0.35">
      <c r="A3703" s="14">
        <v>42299.180891203701</v>
      </c>
      <c r="B3703" s="5">
        <v>1</v>
      </c>
    </row>
    <row r="3704" spans="1:2" x14ac:dyDescent="0.35">
      <c r="A3704" s="14">
        <v>42299.182858796295</v>
      </c>
      <c r="B3704" s="5">
        <v>1</v>
      </c>
    </row>
    <row r="3705" spans="1:2" x14ac:dyDescent="0.35">
      <c r="A3705" s="14">
        <v>42299.19195601852</v>
      </c>
      <c r="B3705" s="5">
        <v>1</v>
      </c>
    </row>
    <row r="3706" spans="1:2" x14ac:dyDescent="0.35">
      <c r="A3706" s="14">
        <v>42299.292534722219</v>
      </c>
      <c r="B3706" s="5">
        <v>1</v>
      </c>
    </row>
    <row r="3707" spans="1:2" x14ac:dyDescent="0.35">
      <c r="A3707" s="14">
        <v>42299.403090277781</v>
      </c>
      <c r="B3707" s="5">
        <v>1</v>
      </c>
    </row>
    <row r="3708" spans="1:2" x14ac:dyDescent="0.35">
      <c r="A3708" s="14">
        <v>42299.407453703701</v>
      </c>
      <c r="B3708" s="5">
        <v>1</v>
      </c>
    </row>
    <row r="3709" spans="1:2" x14ac:dyDescent="0.35">
      <c r="A3709" s="14">
        <v>42299.413819444446</v>
      </c>
      <c r="B3709" s="5">
        <v>1</v>
      </c>
    </row>
    <row r="3710" spans="1:2" x14ac:dyDescent="0.35">
      <c r="A3710" s="14">
        <v>42299.550902777781</v>
      </c>
      <c r="B3710" s="5">
        <v>1</v>
      </c>
    </row>
    <row r="3711" spans="1:2" x14ac:dyDescent="0.35">
      <c r="A3711" s="14">
        <v>42299.554652777777</v>
      </c>
      <c r="B3711" s="5">
        <v>1</v>
      </c>
    </row>
    <row r="3712" spans="1:2" x14ac:dyDescent="0.35">
      <c r="A3712" s="14">
        <v>42299.55709490741</v>
      </c>
      <c r="B3712" s="5">
        <v>1</v>
      </c>
    </row>
    <row r="3713" spans="1:2" x14ac:dyDescent="0.35">
      <c r="A3713" s="14">
        <v>42299.558009259257</v>
      </c>
      <c r="B3713" s="5">
        <v>1</v>
      </c>
    </row>
    <row r="3714" spans="1:2" x14ac:dyDescent="0.35">
      <c r="A3714" s="14">
        <v>42299.561006944445</v>
      </c>
      <c r="B3714" s="5">
        <v>1</v>
      </c>
    </row>
    <row r="3715" spans="1:2" x14ac:dyDescent="0.35">
      <c r="A3715" s="14">
        <v>42299.565034722225</v>
      </c>
      <c r="B3715" s="5">
        <v>1</v>
      </c>
    </row>
    <row r="3716" spans="1:2" x14ac:dyDescent="0.35">
      <c r="A3716" s="14">
        <v>42299.569988425923</v>
      </c>
      <c r="B3716" s="5">
        <v>1</v>
      </c>
    </row>
    <row r="3717" spans="1:2" x14ac:dyDescent="0.35">
      <c r="A3717" s="14">
        <v>42299.584108796298</v>
      </c>
      <c r="B3717" s="5">
        <v>1</v>
      </c>
    </row>
    <row r="3718" spans="1:2" x14ac:dyDescent="0.35">
      <c r="A3718" s="14">
        <v>42299.58798611111</v>
      </c>
      <c r="B3718" s="5">
        <v>1</v>
      </c>
    </row>
    <row r="3719" spans="1:2" x14ac:dyDescent="0.35">
      <c r="A3719" s="14">
        <v>42299.590405092589</v>
      </c>
      <c r="B3719" s="5">
        <v>1</v>
      </c>
    </row>
    <row r="3720" spans="1:2" x14ac:dyDescent="0.35">
      <c r="A3720" s="14">
        <v>42299.592511574076</v>
      </c>
      <c r="B3720" s="5">
        <v>1</v>
      </c>
    </row>
    <row r="3721" spans="1:2" x14ac:dyDescent="0.35">
      <c r="A3721" s="14">
        <v>42299.593993055554</v>
      </c>
      <c r="B3721" s="5">
        <v>1</v>
      </c>
    </row>
    <row r="3722" spans="1:2" x14ac:dyDescent="0.35">
      <c r="A3722" s="14">
        <v>42299.595960648148</v>
      </c>
      <c r="B3722" s="5">
        <v>1</v>
      </c>
    </row>
    <row r="3723" spans="1:2" x14ac:dyDescent="0.35">
      <c r="A3723" s="14">
        <v>42299.600081018521</v>
      </c>
      <c r="B3723" s="5">
        <v>1</v>
      </c>
    </row>
    <row r="3724" spans="1:2" x14ac:dyDescent="0.35">
      <c r="A3724" s="14">
        <v>42299.604513888888</v>
      </c>
      <c r="B3724" s="5">
        <v>1</v>
      </c>
    </row>
    <row r="3725" spans="1:2" x14ac:dyDescent="0.35">
      <c r="A3725" s="14">
        <v>42299.60628472222</v>
      </c>
      <c r="B3725" s="5">
        <v>1</v>
      </c>
    </row>
    <row r="3726" spans="1:2" x14ac:dyDescent="0.35">
      <c r="A3726" s="14">
        <v>42299.613888888889</v>
      </c>
      <c r="B3726" s="5">
        <v>1</v>
      </c>
    </row>
    <row r="3727" spans="1:2" x14ac:dyDescent="0.35">
      <c r="A3727" s="14">
        <v>42299.635324074072</v>
      </c>
      <c r="B3727" s="5">
        <v>1</v>
      </c>
    </row>
    <row r="3728" spans="1:2" x14ac:dyDescent="0.35">
      <c r="A3728" s="14">
        <v>42299.635763888888</v>
      </c>
      <c r="B3728" s="5">
        <v>1</v>
      </c>
    </row>
    <row r="3729" spans="1:2" x14ac:dyDescent="0.35">
      <c r="A3729" s="14">
        <v>42299.635868055557</v>
      </c>
      <c r="B3729" s="5">
        <v>1</v>
      </c>
    </row>
    <row r="3730" spans="1:2" x14ac:dyDescent="0.35">
      <c r="A3730" s="14">
        <v>42299.638344907406</v>
      </c>
      <c r="B3730" s="5">
        <v>1</v>
      </c>
    </row>
    <row r="3731" spans="1:2" x14ac:dyDescent="0.35">
      <c r="A3731" s="14">
        <v>42299.643240740741</v>
      </c>
      <c r="B3731" s="5">
        <v>1</v>
      </c>
    </row>
    <row r="3732" spans="1:2" x14ac:dyDescent="0.35">
      <c r="A3732" s="14">
        <v>42299.643692129626</v>
      </c>
      <c r="B3732" s="5">
        <v>1</v>
      </c>
    </row>
    <row r="3733" spans="1:2" x14ac:dyDescent="0.35">
      <c r="A3733" s="14">
        <v>42299.682314814818</v>
      </c>
      <c r="B3733" s="5">
        <v>1</v>
      </c>
    </row>
    <row r="3734" spans="1:2" x14ac:dyDescent="0.35">
      <c r="A3734" s="14">
        <v>42299.687303240738</v>
      </c>
      <c r="B3734" s="5">
        <v>1</v>
      </c>
    </row>
    <row r="3735" spans="1:2" x14ac:dyDescent="0.35">
      <c r="A3735" s="14">
        <v>42299.698645833334</v>
      </c>
      <c r="B3735" s="5">
        <v>1</v>
      </c>
    </row>
    <row r="3736" spans="1:2" x14ac:dyDescent="0.35">
      <c r="A3736" s="14">
        <v>42299.70685185185</v>
      </c>
      <c r="B3736" s="5">
        <v>1</v>
      </c>
    </row>
    <row r="3737" spans="1:2" x14ac:dyDescent="0.35">
      <c r="A3737" s="14">
        <v>42299.711099537039</v>
      </c>
      <c r="B3737" s="5">
        <v>2</v>
      </c>
    </row>
    <row r="3738" spans="1:2" x14ac:dyDescent="0.35">
      <c r="A3738" s="14">
        <v>42299.712094907409</v>
      </c>
      <c r="B3738" s="5">
        <v>1</v>
      </c>
    </row>
    <row r="3739" spans="1:2" x14ac:dyDescent="0.35">
      <c r="A3739" s="14">
        <v>42299.725717592592</v>
      </c>
      <c r="B3739" s="5">
        <v>1</v>
      </c>
    </row>
    <row r="3740" spans="1:2" x14ac:dyDescent="0.35">
      <c r="A3740" s="14">
        <v>42299.728125000001</v>
      </c>
      <c r="B3740" s="5">
        <v>1</v>
      </c>
    </row>
    <row r="3741" spans="1:2" x14ac:dyDescent="0.35">
      <c r="A3741" s="14">
        <v>42299.731712962966</v>
      </c>
      <c r="B3741" s="5">
        <v>1</v>
      </c>
    </row>
    <row r="3742" spans="1:2" x14ac:dyDescent="0.35">
      <c r="A3742" s="14">
        <v>42299.734016203707</v>
      </c>
      <c r="B3742" s="5">
        <v>1</v>
      </c>
    </row>
    <row r="3743" spans="1:2" x14ac:dyDescent="0.35">
      <c r="A3743" s="14">
        <v>42299.735081018516</v>
      </c>
      <c r="B3743" s="5">
        <v>1</v>
      </c>
    </row>
    <row r="3744" spans="1:2" x14ac:dyDescent="0.35">
      <c r="A3744" s="14">
        <v>42299.749513888892</v>
      </c>
      <c r="B3744" s="5">
        <v>1</v>
      </c>
    </row>
    <row r="3745" spans="1:2" x14ac:dyDescent="0.35">
      <c r="A3745" s="14">
        <v>42299.774340277778</v>
      </c>
      <c r="B3745" s="5">
        <v>1</v>
      </c>
    </row>
    <row r="3746" spans="1:2" x14ac:dyDescent="0.35">
      <c r="A3746" s="14">
        <v>42299.776296296295</v>
      </c>
      <c r="B3746" s="5">
        <v>1</v>
      </c>
    </row>
    <row r="3747" spans="1:2" x14ac:dyDescent="0.35">
      <c r="A3747" s="14">
        <v>42299.79210648148</v>
      </c>
      <c r="B3747" s="5">
        <v>1</v>
      </c>
    </row>
    <row r="3748" spans="1:2" x14ac:dyDescent="0.35">
      <c r="A3748" s="14">
        <v>42299.792604166665</v>
      </c>
      <c r="B3748" s="5">
        <v>1</v>
      </c>
    </row>
    <row r="3749" spans="1:2" x14ac:dyDescent="0.35">
      <c r="A3749" s="14">
        <v>42299.802071759259</v>
      </c>
      <c r="B3749" s="5">
        <v>1</v>
      </c>
    </row>
    <row r="3750" spans="1:2" x14ac:dyDescent="0.35">
      <c r="A3750" s="14">
        <v>42299.803912037038</v>
      </c>
      <c r="B3750" s="5">
        <v>1</v>
      </c>
    </row>
    <row r="3751" spans="1:2" x14ac:dyDescent="0.35">
      <c r="A3751" s="14">
        <v>42299.804386574076</v>
      </c>
      <c r="B3751" s="5">
        <v>1</v>
      </c>
    </row>
    <row r="3752" spans="1:2" x14ac:dyDescent="0.35">
      <c r="A3752" s="14">
        <v>42299.814930555556</v>
      </c>
      <c r="B3752" s="5">
        <v>1</v>
      </c>
    </row>
    <row r="3753" spans="1:2" x14ac:dyDescent="0.35">
      <c r="A3753" s="14">
        <v>42299.816030092596</v>
      </c>
      <c r="B3753" s="5">
        <v>1</v>
      </c>
    </row>
    <row r="3754" spans="1:2" x14ac:dyDescent="0.35">
      <c r="A3754" s="14">
        <v>42299.818645833337</v>
      </c>
      <c r="B3754" s="5">
        <v>1</v>
      </c>
    </row>
    <row r="3755" spans="1:2" x14ac:dyDescent="0.35">
      <c r="A3755" s="14">
        <v>42299.83803240741</v>
      </c>
      <c r="B3755" s="5">
        <v>1</v>
      </c>
    </row>
    <row r="3756" spans="1:2" x14ac:dyDescent="0.35">
      <c r="A3756" s="14">
        <v>42299.840509259258</v>
      </c>
      <c r="B3756" s="5">
        <v>1</v>
      </c>
    </row>
    <row r="3757" spans="1:2" x14ac:dyDescent="0.35">
      <c r="A3757" s="14">
        <v>42299.843958333331</v>
      </c>
      <c r="B3757" s="5">
        <v>1</v>
      </c>
    </row>
    <row r="3758" spans="1:2" x14ac:dyDescent="0.35">
      <c r="A3758" s="14">
        <v>42299.844594907408</v>
      </c>
      <c r="B3758" s="5">
        <v>1</v>
      </c>
    </row>
    <row r="3759" spans="1:2" x14ac:dyDescent="0.35">
      <c r="A3759" s="14">
        <v>42299.844606481478</v>
      </c>
      <c r="B3759" s="5">
        <v>1</v>
      </c>
    </row>
    <row r="3760" spans="1:2" x14ac:dyDescent="0.35">
      <c r="A3760" s="14">
        <v>42299.851782407408</v>
      </c>
      <c r="B3760" s="5">
        <v>1</v>
      </c>
    </row>
    <row r="3761" spans="1:2" x14ac:dyDescent="0.35">
      <c r="A3761" s="14">
        <v>42299.891250000001</v>
      </c>
      <c r="B3761" s="5">
        <v>1</v>
      </c>
    </row>
    <row r="3762" spans="1:2" x14ac:dyDescent="0.35">
      <c r="A3762" s="14">
        <v>42299.8983912037</v>
      </c>
      <c r="B3762" s="5">
        <v>1</v>
      </c>
    </row>
    <row r="3763" spans="1:2" x14ac:dyDescent="0.35">
      <c r="A3763" s="14">
        <v>42299.902928240743</v>
      </c>
      <c r="B3763" s="5">
        <v>1</v>
      </c>
    </row>
    <row r="3764" spans="1:2" x14ac:dyDescent="0.35">
      <c r="A3764" s="14">
        <v>42299.909120370372</v>
      </c>
      <c r="B3764" s="5">
        <v>1</v>
      </c>
    </row>
    <row r="3765" spans="1:2" x14ac:dyDescent="0.35">
      <c r="A3765" s="14">
        <v>42299.911030092589</v>
      </c>
      <c r="B3765" s="5">
        <v>1</v>
      </c>
    </row>
    <row r="3766" spans="1:2" x14ac:dyDescent="0.35">
      <c r="A3766" s="14">
        <v>42299.912430555552</v>
      </c>
      <c r="B3766" s="5">
        <v>1</v>
      </c>
    </row>
    <row r="3767" spans="1:2" x14ac:dyDescent="0.35">
      <c r="A3767" s="14">
        <v>42299.912812499999</v>
      </c>
      <c r="B3767" s="5">
        <v>1</v>
      </c>
    </row>
    <row r="3768" spans="1:2" x14ac:dyDescent="0.35">
      <c r="A3768" s="14">
        <v>42299.913217592592</v>
      </c>
      <c r="B3768" s="5">
        <v>1</v>
      </c>
    </row>
    <row r="3769" spans="1:2" x14ac:dyDescent="0.35">
      <c r="A3769" s="14">
        <v>42299.933506944442</v>
      </c>
      <c r="B3769" s="5">
        <v>1</v>
      </c>
    </row>
    <row r="3770" spans="1:2" x14ac:dyDescent="0.35">
      <c r="A3770" s="14">
        <v>42299.940844907411</v>
      </c>
      <c r="B3770" s="5">
        <v>1</v>
      </c>
    </row>
    <row r="3771" spans="1:2" x14ac:dyDescent="0.35">
      <c r="A3771" s="14">
        <v>42300.029351851852</v>
      </c>
      <c r="B3771" s="5">
        <v>1</v>
      </c>
    </row>
    <row r="3772" spans="1:2" x14ac:dyDescent="0.35">
      <c r="A3772" s="14">
        <v>42300.060856481483</v>
      </c>
      <c r="B3772" s="5">
        <v>1</v>
      </c>
    </row>
    <row r="3773" spans="1:2" x14ac:dyDescent="0.35">
      <c r="A3773" s="14">
        <v>42300.067893518521</v>
      </c>
      <c r="B3773" s="5">
        <v>1</v>
      </c>
    </row>
    <row r="3774" spans="1:2" x14ac:dyDescent="0.35">
      <c r="A3774" s="14">
        <v>42300.06827546296</v>
      </c>
      <c r="B3774" s="5">
        <v>1</v>
      </c>
    </row>
    <row r="3775" spans="1:2" x14ac:dyDescent="0.35">
      <c r="A3775" s="14">
        <v>42300.102650462963</v>
      </c>
      <c r="B3775" s="5">
        <v>1</v>
      </c>
    </row>
    <row r="3776" spans="1:2" x14ac:dyDescent="0.35">
      <c r="A3776" s="14">
        <v>42300.112256944441</v>
      </c>
      <c r="B3776" s="5">
        <v>1</v>
      </c>
    </row>
    <row r="3777" spans="1:2" x14ac:dyDescent="0.35">
      <c r="A3777" s="14">
        <v>42300.112962962965</v>
      </c>
      <c r="B3777" s="5">
        <v>1</v>
      </c>
    </row>
    <row r="3778" spans="1:2" x14ac:dyDescent="0.35">
      <c r="A3778" s="14">
        <v>42300.133368055554</v>
      </c>
      <c r="B3778" s="5">
        <v>1</v>
      </c>
    </row>
    <row r="3779" spans="1:2" x14ac:dyDescent="0.35">
      <c r="A3779" s="14">
        <v>42300.137071759258</v>
      </c>
      <c r="B3779" s="5">
        <v>1</v>
      </c>
    </row>
    <row r="3780" spans="1:2" x14ac:dyDescent="0.35">
      <c r="A3780" s="14">
        <v>42300.250671296293</v>
      </c>
      <c r="B3780" s="5">
        <v>1</v>
      </c>
    </row>
    <row r="3781" spans="1:2" x14ac:dyDescent="0.35">
      <c r="A3781" s="14">
        <v>42300.26358796296</v>
      </c>
      <c r="B3781" s="5">
        <v>1</v>
      </c>
    </row>
    <row r="3782" spans="1:2" x14ac:dyDescent="0.35">
      <c r="A3782" s="14">
        <v>42300.272418981483</v>
      </c>
      <c r="B3782" s="5">
        <v>1</v>
      </c>
    </row>
    <row r="3783" spans="1:2" x14ac:dyDescent="0.35">
      <c r="A3783" s="14">
        <v>42300.275983796295</v>
      </c>
      <c r="B3783" s="5">
        <v>1</v>
      </c>
    </row>
    <row r="3784" spans="1:2" x14ac:dyDescent="0.35">
      <c r="A3784" s="14">
        <v>42300.484722222223</v>
      </c>
      <c r="B3784" s="5">
        <v>1</v>
      </c>
    </row>
    <row r="3785" spans="1:2" x14ac:dyDescent="0.35">
      <c r="A3785" s="14">
        <v>42300.48709490741</v>
      </c>
      <c r="B3785" s="5">
        <v>1</v>
      </c>
    </row>
    <row r="3786" spans="1:2" x14ac:dyDescent="0.35">
      <c r="A3786" s="14">
        <v>42300.519618055558</v>
      </c>
      <c r="B3786" s="5">
        <v>1</v>
      </c>
    </row>
    <row r="3787" spans="1:2" x14ac:dyDescent="0.35">
      <c r="A3787" s="14">
        <v>42300.539456018516</v>
      </c>
      <c r="B3787" s="5">
        <v>1</v>
      </c>
    </row>
    <row r="3788" spans="1:2" x14ac:dyDescent="0.35">
      <c r="A3788" s="14">
        <v>42300.539675925924</v>
      </c>
      <c r="B3788" s="5">
        <v>2</v>
      </c>
    </row>
    <row r="3789" spans="1:2" x14ac:dyDescent="0.35">
      <c r="A3789" s="14">
        <v>42300.545682870368</v>
      </c>
      <c r="B3789" s="5">
        <v>1</v>
      </c>
    </row>
    <row r="3790" spans="1:2" x14ac:dyDescent="0.35">
      <c r="A3790" s="14">
        <v>42300.586921296293</v>
      </c>
      <c r="B3790" s="5">
        <v>1</v>
      </c>
    </row>
    <row r="3791" spans="1:2" x14ac:dyDescent="0.35">
      <c r="A3791" s="14">
        <v>42300.626400462963</v>
      </c>
      <c r="B3791" s="5">
        <v>1</v>
      </c>
    </row>
    <row r="3792" spans="1:2" x14ac:dyDescent="0.35">
      <c r="A3792" s="14">
        <v>42300.642245370371</v>
      </c>
      <c r="B3792" s="5">
        <v>1</v>
      </c>
    </row>
    <row r="3793" spans="1:2" x14ac:dyDescent="0.35">
      <c r="A3793" s="14">
        <v>42300.645821759259</v>
      </c>
      <c r="B3793" s="5">
        <v>1</v>
      </c>
    </row>
    <row r="3794" spans="1:2" x14ac:dyDescent="0.35">
      <c r="A3794" s="14">
        <v>42300.655995370369</v>
      </c>
      <c r="B3794" s="5">
        <v>1</v>
      </c>
    </row>
    <row r="3795" spans="1:2" x14ac:dyDescent="0.35">
      <c r="A3795" s="14">
        <v>42300.656226851854</v>
      </c>
      <c r="B3795" s="5">
        <v>1</v>
      </c>
    </row>
    <row r="3796" spans="1:2" x14ac:dyDescent="0.35">
      <c r="A3796" s="14">
        <v>42300.764004629629</v>
      </c>
      <c r="B3796" s="5">
        <v>1</v>
      </c>
    </row>
    <row r="3797" spans="1:2" x14ac:dyDescent="0.35">
      <c r="A3797" s="14">
        <v>42300.768819444442</v>
      </c>
      <c r="B3797" s="5">
        <v>2</v>
      </c>
    </row>
    <row r="3798" spans="1:2" x14ac:dyDescent="0.35">
      <c r="A3798" s="14">
        <v>42300.784016203703</v>
      </c>
      <c r="B3798" s="5">
        <v>1</v>
      </c>
    </row>
    <row r="3799" spans="1:2" x14ac:dyDescent="0.35">
      <c r="A3799" s="14">
        <v>42300.798425925925</v>
      </c>
      <c r="B3799" s="5">
        <v>1</v>
      </c>
    </row>
    <row r="3800" spans="1:2" x14ac:dyDescent="0.35">
      <c r="A3800" s="14">
        <v>42300.850960648146</v>
      </c>
      <c r="B3800" s="5">
        <v>1</v>
      </c>
    </row>
    <row r="3801" spans="1:2" x14ac:dyDescent="0.35">
      <c r="A3801" s="14">
        <v>42300.85361111111</v>
      </c>
      <c r="B3801" s="5">
        <v>1</v>
      </c>
    </row>
    <row r="3802" spans="1:2" x14ac:dyDescent="0.35">
      <c r="A3802" s="14">
        <v>42300.934421296297</v>
      </c>
      <c r="B3802" s="5">
        <v>1</v>
      </c>
    </row>
    <row r="3803" spans="1:2" x14ac:dyDescent="0.35">
      <c r="A3803" s="14">
        <v>42300.9375462963</v>
      </c>
      <c r="B3803" s="5">
        <v>1</v>
      </c>
    </row>
    <row r="3804" spans="1:2" x14ac:dyDescent="0.35">
      <c r="A3804" s="14">
        <v>42301.090532407405</v>
      </c>
      <c r="B3804" s="5">
        <v>1</v>
      </c>
    </row>
    <row r="3805" spans="1:2" x14ac:dyDescent="0.35">
      <c r="A3805" s="14">
        <v>42301.105717592596</v>
      </c>
      <c r="B3805" s="5">
        <v>1</v>
      </c>
    </row>
    <row r="3806" spans="1:2" x14ac:dyDescent="0.35">
      <c r="A3806" s="14">
        <v>42301.446481481478</v>
      </c>
      <c r="B3806" s="5">
        <v>1</v>
      </c>
    </row>
    <row r="3807" spans="1:2" x14ac:dyDescent="0.35">
      <c r="A3807" s="14">
        <v>42301.447638888887</v>
      </c>
      <c r="B3807" s="5">
        <v>1</v>
      </c>
    </row>
    <row r="3808" spans="1:2" x14ac:dyDescent="0.35">
      <c r="A3808" s="14">
        <v>42301.448645833334</v>
      </c>
      <c r="B3808" s="5">
        <v>1</v>
      </c>
    </row>
    <row r="3809" spans="1:2" x14ac:dyDescent="0.35">
      <c r="A3809" s="14">
        <v>42301.450023148151</v>
      </c>
      <c r="B3809" s="5">
        <v>1</v>
      </c>
    </row>
    <row r="3810" spans="1:2" x14ac:dyDescent="0.35">
      <c r="A3810" s="14">
        <v>42301.454236111109</v>
      </c>
      <c r="B3810" s="5">
        <v>1</v>
      </c>
    </row>
    <row r="3811" spans="1:2" x14ac:dyDescent="0.35">
      <c r="A3811" s="14">
        <v>42301.455185185187</v>
      </c>
      <c r="B3811" s="5">
        <v>1</v>
      </c>
    </row>
    <row r="3812" spans="1:2" x14ac:dyDescent="0.35">
      <c r="A3812" s="14">
        <v>42301.473136574074</v>
      </c>
      <c r="B3812" s="5">
        <v>1</v>
      </c>
    </row>
    <row r="3813" spans="1:2" x14ac:dyDescent="0.35">
      <c r="A3813" s="14">
        <v>42301.474953703706</v>
      </c>
      <c r="B3813" s="5">
        <v>1</v>
      </c>
    </row>
    <row r="3814" spans="1:2" x14ac:dyDescent="0.35">
      <c r="A3814" s="14">
        <v>42301.577627314815</v>
      </c>
      <c r="B3814" s="5">
        <v>1</v>
      </c>
    </row>
    <row r="3815" spans="1:2" x14ac:dyDescent="0.35">
      <c r="A3815" s="14">
        <v>42301.610069444447</v>
      </c>
      <c r="B3815" s="5">
        <v>1</v>
      </c>
    </row>
    <row r="3816" spans="1:2" x14ac:dyDescent="0.35">
      <c r="A3816" s="14">
        <v>42301.723993055559</v>
      </c>
      <c r="B3816" s="5">
        <v>1</v>
      </c>
    </row>
    <row r="3817" spans="1:2" x14ac:dyDescent="0.35">
      <c r="A3817" s="14">
        <v>42301.753263888888</v>
      </c>
      <c r="B3817" s="5">
        <v>1</v>
      </c>
    </row>
    <row r="3818" spans="1:2" x14ac:dyDescent="0.35">
      <c r="A3818" s="14">
        <v>42301.772407407407</v>
      </c>
      <c r="B3818" s="5">
        <v>1</v>
      </c>
    </row>
    <row r="3819" spans="1:2" x14ac:dyDescent="0.35">
      <c r="A3819" s="14">
        <v>42301.835659722223</v>
      </c>
      <c r="B3819" s="5">
        <v>1</v>
      </c>
    </row>
    <row r="3820" spans="1:2" x14ac:dyDescent="0.35">
      <c r="A3820" s="14">
        <v>42301.898819444446</v>
      </c>
      <c r="B3820" s="5">
        <v>1</v>
      </c>
    </row>
    <row r="3821" spans="1:2" x14ac:dyDescent="0.35">
      <c r="A3821" s="14">
        <v>42301.908229166664</v>
      </c>
      <c r="B3821" s="5">
        <v>1</v>
      </c>
    </row>
    <row r="3822" spans="1:2" x14ac:dyDescent="0.35">
      <c r="A3822" s="14">
        <v>42301.914837962962</v>
      </c>
      <c r="B3822" s="5">
        <v>1</v>
      </c>
    </row>
    <row r="3823" spans="1:2" x14ac:dyDescent="0.35">
      <c r="A3823" s="14">
        <v>42301.918368055558</v>
      </c>
      <c r="B3823" s="5">
        <v>1</v>
      </c>
    </row>
    <row r="3824" spans="1:2" x14ac:dyDescent="0.35">
      <c r="A3824" s="14">
        <v>42301.93545138889</v>
      </c>
      <c r="B3824" s="5">
        <v>1</v>
      </c>
    </row>
    <row r="3825" spans="1:2" x14ac:dyDescent="0.35">
      <c r="A3825" s="14">
        <v>42301.945219907408</v>
      </c>
      <c r="B3825" s="5">
        <v>1</v>
      </c>
    </row>
    <row r="3826" spans="1:2" x14ac:dyDescent="0.35">
      <c r="A3826" s="14">
        <v>42302.001770833333</v>
      </c>
      <c r="B3826" s="5">
        <v>1</v>
      </c>
    </row>
    <row r="3827" spans="1:2" x14ac:dyDescent="0.35">
      <c r="A3827" s="14">
        <v>42302.055034722223</v>
      </c>
      <c r="B3827" s="5">
        <v>1</v>
      </c>
    </row>
    <row r="3828" spans="1:2" x14ac:dyDescent="0.35">
      <c r="A3828" s="14">
        <v>42302.068668981483</v>
      </c>
      <c r="B3828" s="5">
        <v>1</v>
      </c>
    </row>
    <row r="3829" spans="1:2" x14ac:dyDescent="0.35">
      <c r="A3829" s="14">
        <v>42302.53297453704</v>
      </c>
      <c r="B3829" s="5">
        <v>1</v>
      </c>
    </row>
    <row r="3830" spans="1:2" x14ac:dyDescent="0.35">
      <c r="A3830" s="14">
        <v>42302.54310185185</v>
      </c>
      <c r="B3830" s="5">
        <v>1</v>
      </c>
    </row>
    <row r="3831" spans="1:2" x14ac:dyDescent="0.35">
      <c r="A3831" s="14">
        <v>42302.585949074077</v>
      </c>
      <c r="B3831" s="5">
        <v>1</v>
      </c>
    </row>
    <row r="3832" spans="1:2" x14ac:dyDescent="0.35">
      <c r="A3832" s="14">
        <v>42302.678923611114</v>
      </c>
      <c r="B3832" s="5">
        <v>1</v>
      </c>
    </row>
    <row r="3833" spans="1:2" x14ac:dyDescent="0.35">
      <c r="A3833" s="14">
        <v>42302.691261574073</v>
      </c>
      <c r="B3833" s="5">
        <v>1</v>
      </c>
    </row>
    <row r="3834" spans="1:2" x14ac:dyDescent="0.35">
      <c r="A3834" s="14">
        <v>42302.74454861111</v>
      </c>
      <c r="B3834" s="5">
        <v>1</v>
      </c>
    </row>
    <row r="3835" spans="1:2" x14ac:dyDescent="0.35">
      <c r="A3835" s="14">
        <v>42302.75472222222</v>
      </c>
      <c r="B3835" s="5">
        <v>1</v>
      </c>
    </row>
    <row r="3836" spans="1:2" x14ac:dyDescent="0.35">
      <c r="A3836" s="14">
        <v>42302.775266203702</v>
      </c>
      <c r="B3836" s="5">
        <v>1</v>
      </c>
    </row>
    <row r="3837" spans="1:2" x14ac:dyDescent="0.35">
      <c r="A3837" s="14">
        <v>42302.838437500002</v>
      </c>
      <c r="B3837" s="5">
        <v>1</v>
      </c>
    </row>
    <row r="3838" spans="1:2" x14ac:dyDescent="0.35">
      <c r="A3838" s="14">
        <v>42302.840185185189</v>
      </c>
      <c r="B3838" s="5">
        <v>2</v>
      </c>
    </row>
    <row r="3839" spans="1:2" x14ac:dyDescent="0.35">
      <c r="A3839" s="14">
        <v>42302.842129629629</v>
      </c>
      <c r="B3839" s="5">
        <v>1</v>
      </c>
    </row>
    <row r="3840" spans="1:2" x14ac:dyDescent="0.35">
      <c r="A3840" s="14">
        <v>42302.842256944445</v>
      </c>
      <c r="B3840" s="5">
        <v>2</v>
      </c>
    </row>
    <row r="3841" spans="1:2" x14ac:dyDescent="0.35">
      <c r="A3841" s="14">
        <v>42302.849282407406</v>
      </c>
      <c r="B3841" s="5">
        <v>1</v>
      </c>
    </row>
    <row r="3842" spans="1:2" x14ac:dyDescent="0.35">
      <c r="A3842" s="14">
        <v>42302.851006944446</v>
      </c>
      <c r="B3842" s="5">
        <v>1</v>
      </c>
    </row>
    <row r="3843" spans="1:2" x14ac:dyDescent="0.35">
      <c r="A3843" s="14">
        <v>42302.851793981485</v>
      </c>
      <c r="B3843" s="5">
        <v>1</v>
      </c>
    </row>
    <row r="3844" spans="1:2" x14ac:dyDescent="0.35">
      <c r="A3844" s="14">
        <v>42302.851898148147</v>
      </c>
      <c r="B3844" s="5">
        <v>1</v>
      </c>
    </row>
    <row r="3845" spans="1:2" x14ac:dyDescent="0.35">
      <c r="A3845" s="14">
        <v>42302.854328703703</v>
      </c>
      <c r="B3845" s="5">
        <v>1</v>
      </c>
    </row>
    <row r="3846" spans="1:2" x14ac:dyDescent="0.35">
      <c r="A3846" s="14">
        <v>42302.854641203703</v>
      </c>
      <c r="B3846" s="5">
        <v>1</v>
      </c>
    </row>
    <row r="3847" spans="1:2" x14ac:dyDescent="0.35">
      <c r="A3847" s="14">
        <v>42302.860497685186</v>
      </c>
      <c r="B3847" s="5">
        <v>1</v>
      </c>
    </row>
    <row r="3848" spans="1:2" x14ac:dyDescent="0.35">
      <c r="A3848" s="14">
        <v>42302.861030092594</v>
      </c>
      <c r="B3848" s="5">
        <v>2</v>
      </c>
    </row>
    <row r="3849" spans="1:2" x14ac:dyDescent="0.35">
      <c r="A3849" s="14">
        <v>42302.866932870369</v>
      </c>
      <c r="B3849" s="5">
        <v>1</v>
      </c>
    </row>
    <row r="3850" spans="1:2" x14ac:dyDescent="0.35">
      <c r="A3850" s="14">
        <v>42302.867210648146</v>
      </c>
      <c r="B3850" s="5">
        <v>1</v>
      </c>
    </row>
    <row r="3851" spans="1:2" x14ac:dyDescent="0.35">
      <c r="A3851" s="14">
        <v>42302.867800925924</v>
      </c>
      <c r="B3851" s="5">
        <v>1</v>
      </c>
    </row>
    <row r="3852" spans="1:2" x14ac:dyDescent="0.35">
      <c r="A3852" s="14">
        <v>42302.867812500001</v>
      </c>
      <c r="B3852" s="5">
        <v>1</v>
      </c>
    </row>
    <row r="3853" spans="1:2" x14ac:dyDescent="0.35">
      <c r="A3853" s="14">
        <v>42302.868472222224</v>
      </c>
      <c r="B3853" s="5">
        <v>1</v>
      </c>
    </row>
    <row r="3854" spans="1:2" x14ac:dyDescent="0.35">
      <c r="A3854" s="14">
        <v>42302.883090277777</v>
      </c>
      <c r="B3854" s="5">
        <v>1</v>
      </c>
    </row>
    <row r="3855" spans="1:2" x14ac:dyDescent="0.35">
      <c r="A3855" s="14">
        <v>42302.901643518519</v>
      </c>
      <c r="B3855" s="5">
        <v>1</v>
      </c>
    </row>
    <row r="3856" spans="1:2" x14ac:dyDescent="0.35">
      <c r="A3856" s="14">
        <v>42302.942627314813</v>
      </c>
      <c r="B3856" s="5">
        <v>1</v>
      </c>
    </row>
    <row r="3857" spans="1:2" x14ac:dyDescent="0.35">
      <c r="A3857" s="14">
        <v>42302.943020833336</v>
      </c>
      <c r="B3857" s="5">
        <v>2</v>
      </c>
    </row>
    <row r="3858" spans="1:2" x14ac:dyDescent="0.35">
      <c r="A3858" s="14">
        <v>42302.943564814814</v>
      </c>
      <c r="B3858" s="5">
        <v>1</v>
      </c>
    </row>
    <row r="3859" spans="1:2" x14ac:dyDescent="0.35">
      <c r="A3859" s="14">
        <v>42302.943715277775</v>
      </c>
      <c r="B3859" s="5">
        <v>1</v>
      </c>
    </row>
    <row r="3860" spans="1:2" x14ac:dyDescent="0.35">
      <c r="A3860" s="14">
        <v>42302.963101851848</v>
      </c>
      <c r="B3860" s="5">
        <v>1</v>
      </c>
    </row>
    <row r="3861" spans="1:2" x14ac:dyDescent="0.35">
      <c r="A3861" s="14">
        <v>42302.983252314814</v>
      </c>
      <c r="B3861" s="5">
        <v>1</v>
      </c>
    </row>
    <row r="3862" spans="1:2" x14ac:dyDescent="0.35">
      <c r="A3862" s="14">
        <v>42302.989062499997</v>
      </c>
      <c r="B3862" s="5">
        <v>1</v>
      </c>
    </row>
    <row r="3863" spans="1:2" x14ac:dyDescent="0.35">
      <c r="A3863" s="14">
        <v>42302.997037037036</v>
      </c>
      <c r="B3863" s="5">
        <v>1</v>
      </c>
    </row>
    <row r="3864" spans="1:2" x14ac:dyDescent="0.35">
      <c r="A3864" s="14">
        <v>42302.998159722221</v>
      </c>
      <c r="B3864" s="5">
        <v>1</v>
      </c>
    </row>
    <row r="3865" spans="1:2" x14ac:dyDescent="0.35">
      <c r="A3865" s="14">
        <v>42303.001585648148</v>
      </c>
      <c r="B3865" s="5">
        <v>1</v>
      </c>
    </row>
    <row r="3866" spans="1:2" x14ac:dyDescent="0.35">
      <c r="A3866" s="14">
        <v>42303.00608796296</v>
      </c>
      <c r="B3866" s="5">
        <v>1</v>
      </c>
    </row>
    <row r="3867" spans="1:2" x14ac:dyDescent="0.35">
      <c r="A3867" s="14">
        <v>42303.029247685183</v>
      </c>
      <c r="B3867" s="5">
        <v>1</v>
      </c>
    </row>
    <row r="3868" spans="1:2" x14ac:dyDescent="0.35">
      <c r="A3868" s="14">
        <v>42303.035000000003</v>
      </c>
      <c r="B3868" s="5">
        <v>1</v>
      </c>
    </row>
    <row r="3869" spans="1:2" x14ac:dyDescent="0.35">
      <c r="A3869" s="14">
        <v>42303.058217592596</v>
      </c>
      <c r="B3869" s="5">
        <v>1</v>
      </c>
    </row>
    <row r="3870" spans="1:2" x14ac:dyDescent="0.35">
      <c r="A3870" s="14">
        <v>42303.058437500003</v>
      </c>
      <c r="B3870" s="5">
        <v>2</v>
      </c>
    </row>
    <row r="3871" spans="1:2" x14ac:dyDescent="0.35">
      <c r="A3871" s="14">
        <v>42303.059756944444</v>
      </c>
      <c r="B3871" s="5">
        <v>1</v>
      </c>
    </row>
    <row r="3872" spans="1:2" x14ac:dyDescent="0.35">
      <c r="A3872" s="14">
        <v>42303.060011574074</v>
      </c>
      <c r="B3872" s="5">
        <v>2</v>
      </c>
    </row>
    <row r="3873" spans="1:2" x14ac:dyDescent="0.35">
      <c r="A3873" s="14">
        <v>42303.060902777775</v>
      </c>
      <c r="B3873" s="5">
        <v>1</v>
      </c>
    </row>
    <row r="3874" spans="1:2" x14ac:dyDescent="0.35">
      <c r="A3874" s="14">
        <v>42303.061041666668</v>
      </c>
      <c r="B3874" s="5">
        <v>2</v>
      </c>
    </row>
    <row r="3875" spans="1:2" x14ac:dyDescent="0.35">
      <c r="A3875" s="14">
        <v>42303.061805555553</v>
      </c>
      <c r="B3875" s="5">
        <v>1</v>
      </c>
    </row>
    <row r="3876" spans="1:2" x14ac:dyDescent="0.35">
      <c r="A3876" s="14">
        <v>42303.061979166669</v>
      </c>
      <c r="B3876" s="5">
        <v>2</v>
      </c>
    </row>
    <row r="3877" spans="1:2" x14ac:dyDescent="0.35">
      <c r="A3877" s="14">
        <v>42303.063923611109</v>
      </c>
      <c r="B3877" s="5">
        <v>1</v>
      </c>
    </row>
    <row r="3878" spans="1:2" x14ac:dyDescent="0.35">
      <c r="A3878" s="14">
        <v>42303.064189814817</v>
      </c>
      <c r="B3878" s="5">
        <v>2</v>
      </c>
    </row>
    <row r="3879" spans="1:2" x14ac:dyDescent="0.35">
      <c r="A3879" s="14">
        <v>42303.231458333335</v>
      </c>
      <c r="B3879" s="5">
        <v>1</v>
      </c>
    </row>
    <row r="3880" spans="1:2" x14ac:dyDescent="0.35">
      <c r="A3880" s="14">
        <v>42303.547581018516</v>
      </c>
      <c r="B3880" s="5">
        <v>1</v>
      </c>
    </row>
    <row r="3881" spans="1:2" x14ac:dyDescent="0.35">
      <c r="A3881" s="14">
        <v>42303.555775462963</v>
      </c>
      <c r="B3881" s="5">
        <v>1</v>
      </c>
    </row>
    <row r="3882" spans="1:2" x14ac:dyDescent="0.35">
      <c r="A3882" s="14">
        <v>42303.55841435185</v>
      </c>
      <c r="B3882" s="5">
        <v>1</v>
      </c>
    </row>
    <row r="3883" spans="1:2" x14ac:dyDescent="0.35">
      <c r="A3883" s="14">
        <v>42303.563831018517</v>
      </c>
      <c r="B3883" s="5">
        <v>1</v>
      </c>
    </row>
    <row r="3884" spans="1:2" x14ac:dyDescent="0.35">
      <c r="A3884" s="14">
        <v>42303.575578703705</v>
      </c>
      <c r="B3884" s="5">
        <v>1</v>
      </c>
    </row>
    <row r="3885" spans="1:2" x14ac:dyDescent="0.35">
      <c r="A3885" s="14">
        <v>42303.580277777779</v>
      </c>
      <c r="B3885" s="5">
        <v>1</v>
      </c>
    </row>
    <row r="3886" spans="1:2" x14ac:dyDescent="0.35">
      <c r="A3886" s="14">
        <v>42303.58221064815</v>
      </c>
      <c r="B3886" s="5">
        <v>1</v>
      </c>
    </row>
    <row r="3887" spans="1:2" x14ac:dyDescent="0.35">
      <c r="A3887" s="14">
        <v>42303.586446759262</v>
      </c>
      <c r="B3887" s="5">
        <v>1</v>
      </c>
    </row>
    <row r="3888" spans="1:2" x14ac:dyDescent="0.35">
      <c r="A3888" s="14">
        <v>42303.589618055557</v>
      </c>
      <c r="B3888" s="5">
        <v>1</v>
      </c>
    </row>
    <row r="3889" spans="1:2" x14ac:dyDescent="0.35">
      <c r="A3889" s="14">
        <v>42303.599004629628</v>
      </c>
      <c r="B3889" s="5">
        <v>1</v>
      </c>
    </row>
    <row r="3890" spans="1:2" x14ac:dyDescent="0.35">
      <c r="A3890" s="14">
        <v>42303.606423611112</v>
      </c>
      <c r="B3890" s="5">
        <v>1</v>
      </c>
    </row>
    <row r="3891" spans="1:2" x14ac:dyDescent="0.35">
      <c r="A3891" s="14">
        <v>42303.608541666668</v>
      </c>
      <c r="B3891" s="5">
        <v>1</v>
      </c>
    </row>
    <row r="3892" spans="1:2" x14ac:dyDescent="0.35">
      <c r="A3892" s="14">
        <v>42303.640231481484</v>
      </c>
      <c r="B3892" s="5">
        <v>1</v>
      </c>
    </row>
    <row r="3893" spans="1:2" x14ac:dyDescent="0.35">
      <c r="A3893" s="14">
        <v>42303.645486111112</v>
      </c>
      <c r="B3893" s="5">
        <v>1</v>
      </c>
    </row>
    <row r="3894" spans="1:2" x14ac:dyDescent="0.35">
      <c r="A3894" s="14">
        <v>42303.650717592594</v>
      </c>
      <c r="B3894" s="5">
        <v>1</v>
      </c>
    </row>
    <row r="3895" spans="1:2" x14ac:dyDescent="0.35">
      <c r="A3895" s="14">
        <v>42303.667083333334</v>
      </c>
      <c r="B3895" s="5">
        <v>1</v>
      </c>
    </row>
    <row r="3896" spans="1:2" x14ac:dyDescent="0.35">
      <c r="A3896" s="14">
        <v>42303.692337962966</v>
      </c>
      <c r="B3896" s="5">
        <v>1</v>
      </c>
    </row>
    <row r="3897" spans="1:2" x14ac:dyDescent="0.35">
      <c r="A3897" s="14">
        <v>42303.693622685183</v>
      </c>
      <c r="B3897" s="5">
        <v>1</v>
      </c>
    </row>
    <row r="3898" spans="1:2" x14ac:dyDescent="0.35">
      <c r="A3898" s="14">
        <v>42303.698148148149</v>
      </c>
      <c r="B3898" s="5">
        <v>1</v>
      </c>
    </row>
    <row r="3899" spans="1:2" x14ac:dyDescent="0.35">
      <c r="A3899" s="14">
        <v>42303.702361111114</v>
      </c>
      <c r="B3899" s="5">
        <v>1</v>
      </c>
    </row>
    <row r="3900" spans="1:2" x14ac:dyDescent="0.35">
      <c r="A3900" s="14">
        <v>42303.702916666669</v>
      </c>
      <c r="B3900" s="5">
        <v>2</v>
      </c>
    </row>
    <row r="3901" spans="1:2" x14ac:dyDescent="0.35">
      <c r="A3901" s="14">
        <v>42303.791631944441</v>
      </c>
      <c r="B3901" s="5">
        <v>1</v>
      </c>
    </row>
    <row r="3902" spans="1:2" x14ac:dyDescent="0.35">
      <c r="A3902" s="14">
        <v>42303.792939814812</v>
      </c>
      <c r="B3902" s="5">
        <v>1</v>
      </c>
    </row>
    <row r="3903" spans="1:2" x14ac:dyDescent="0.35">
      <c r="A3903" s="14">
        <v>42303.805694444447</v>
      </c>
      <c r="B3903" s="5">
        <v>1</v>
      </c>
    </row>
    <row r="3904" spans="1:2" x14ac:dyDescent="0.35">
      <c r="A3904" s="14">
        <v>42303.820983796293</v>
      </c>
      <c r="B3904" s="5">
        <v>1</v>
      </c>
    </row>
    <row r="3905" spans="1:2" x14ac:dyDescent="0.35">
      <c r="A3905" s="14">
        <v>42303.836759259262</v>
      </c>
      <c r="B3905" s="5">
        <v>1</v>
      </c>
    </row>
    <row r="3906" spans="1:2" x14ac:dyDescent="0.35">
      <c r="A3906" s="14">
        <v>42303.840104166666</v>
      </c>
      <c r="B3906" s="5">
        <v>1</v>
      </c>
    </row>
    <row r="3907" spans="1:2" x14ac:dyDescent="0.35">
      <c r="A3907" s="14">
        <v>42303.841145833336</v>
      </c>
      <c r="B3907" s="5">
        <v>1</v>
      </c>
    </row>
    <row r="3908" spans="1:2" x14ac:dyDescent="0.35">
      <c r="A3908" s="14">
        <v>42303.889513888891</v>
      </c>
      <c r="B3908" s="5">
        <v>1</v>
      </c>
    </row>
    <row r="3909" spans="1:2" x14ac:dyDescent="0.35">
      <c r="A3909" s="14">
        <v>42303.913541666669</v>
      </c>
      <c r="B3909" s="5">
        <v>1</v>
      </c>
    </row>
    <row r="3910" spans="1:2" x14ac:dyDescent="0.35">
      <c r="A3910" s="14">
        <v>42303.915694444448</v>
      </c>
      <c r="B3910" s="5">
        <v>1</v>
      </c>
    </row>
    <row r="3911" spans="1:2" x14ac:dyDescent="0.35">
      <c r="A3911" s="14">
        <v>42303.923750000002</v>
      </c>
      <c r="B3911" s="5">
        <v>1</v>
      </c>
    </row>
    <row r="3912" spans="1:2" x14ac:dyDescent="0.35">
      <c r="A3912" s="14">
        <v>42303.996898148151</v>
      </c>
      <c r="B3912" s="5">
        <v>1</v>
      </c>
    </row>
    <row r="3913" spans="1:2" x14ac:dyDescent="0.35">
      <c r="A3913" s="14">
        <v>42304.005995370368</v>
      </c>
      <c r="B3913" s="5">
        <v>1</v>
      </c>
    </row>
    <row r="3914" spans="1:2" x14ac:dyDescent="0.35">
      <c r="A3914" s="14">
        <v>42304.013136574074</v>
      </c>
      <c r="B3914" s="5">
        <v>1</v>
      </c>
    </row>
    <row r="3915" spans="1:2" x14ac:dyDescent="0.35">
      <c r="A3915" s="14">
        <v>42304.029432870368</v>
      </c>
      <c r="B3915" s="5">
        <v>1</v>
      </c>
    </row>
    <row r="3916" spans="1:2" x14ac:dyDescent="0.35">
      <c r="A3916" s="14">
        <v>42304.055381944447</v>
      </c>
      <c r="B3916" s="5">
        <v>1</v>
      </c>
    </row>
    <row r="3917" spans="1:2" x14ac:dyDescent="0.35">
      <c r="A3917" s="14">
        <v>42304.061168981483</v>
      </c>
      <c r="B3917" s="5">
        <v>1</v>
      </c>
    </row>
    <row r="3918" spans="1:2" x14ac:dyDescent="0.35">
      <c r="A3918" s="14">
        <v>42304.124409722222</v>
      </c>
      <c r="B3918" s="5">
        <v>1</v>
      </c>
    </row>
    <row r="3919" spans="1:2" x14ac:dyDescent="0.35">
      <c r="A3919" s="14">
        <v>42304.135000000002</v>
      </c>
      <c r="B3919" s="5">
        <v>1</v>
      </c>
    </row>
    <row r="3920" spans="1:2" x14ac:dyDescent="0.35">
      <c r="A3920" s="14">
        <v>42304.165798611109</v>
      </c>
      <c r="B3920" s="5">
        <v>1</v>
      </c>
    </row>
    <row r="3921" spans="1:2" x14ac:dyDescent="0.35">
      <c r="A3921" s="14">
        <v>42304.169363425928</v>
      </c>
      <c r="B3921" s="5">
        <v>1</v>
      </c>
    </row>
    <row r="3922" spans="1:2" x14ac:dyDescent="0.35">
      <c r="A3922" s="14">
        <v>42304.172569444447</v>
      </c>
      <c r="B3922" s="5">
        <v>1</v>
      </c>
    </row>
    <row r="3923" spans="1:2" x14ac:dyDescent="0.35">
      <c r="A3923" s="14">
        <v>42304.413564814815</v>
      </c>
      <c r="B3923" s="5">
        <v>1</v>
      </c>
    </row>
    <row r="3924" spans="1:2" x14ac:dyDescent="0.35">
      <c r="A3924" s="14">
        <v>42304.42690972222</v>
      </c>
      <c r="B3924" s="5">
        <v>1</v>
      </c>
    </row>
    <row r="3925" spans="1:2" x14ac:dyDescent="0.35">
      <c r="A3925" s="14">
        <v>42304.550486111111</v>
      </c>
      <c r="B3925" s="5">
        <v>1</v>
      </c>
    </row>
    <row r="3926" spans="1:2" x14ac:dyDescent="0.35">
      <c r="A3926" s="14">
        <v>42304.55259259259</v>
      </c>
      <c r="B3926" s="5">
        <v>1</v>
      </c>
    </row>
    <row r="3927" spans="1:2" x14ac:dyDescent="0.35">
      <c r="A3927" s="14">
        <v>42304.553587962961</v>
      </c>
      <c r="B3927" s="5">
        <v>1</v>
      </c>
    </row>
    <row r="3928" spans="1:2" x14ac:dyDescent="0.35">
      <c r="A3928" s="14">
        <v>42304.56046296296</v>
      </c>
      <c r="B3928" s="5">
        <v>1</v>
      </c>
    </row>
    <row r="3929" spans="1:2" x14ac:dyDescent="0.35">
      <c r="A3929" s="14">
        <v>42304.563680555555</v>
      </c>
      <c r="B3929" s="5">
        <v>1</v>
      </c>
    </row>
    <row r="3930" spans="1:2" x14ac:dyDescent="0.35">
      <c r="A3930" s="14">
        <v>42304.563923611109</v>
      </c>
      <c r="B3930" s="5">
        <v>1</v>
      </c>
    </row>
    <row r="3931" spans="1:2" x14ac:dyDescent="0.35">
      <c r="A3931" s="14">
        <v>42304.571620370371</v>
      </c>
      <c r="B3931" s="5">
        <v>1</v>
      </c>
    </row>
    <row r="3932" spans="1:2" x14ac:dyDescent="0.35">
      <c r="A3932" s="14">
        <v>42304.574062500003</v>
      </c>
      <c r="B3932" s="5">
        <v>1</v>
      </c>
    </row>
    <row r="3933" spans="1:2" x14ac:dyDescent="0.35">
      <c r="A3933" s="14">
        <v>42304.580659722225</v>
      </c>
      <c r="B3933" s="5">
        <v>1</v>
      </c>
    </row>
    <row r="3934" spans="1:2" x14ac:dyDescent="0.35">
      <c r="A3934" s="14">
        <v>42304.58326388889</v>
      </c>
      <c r="B3934" s="5">
        <v>1</v>
      </c>
    </row>
    <row r="3935" spans="1:2" x14ac:dyDescent="0.35">
      <c r="A3935" s="14">
        <v>42304.604317129626</v>
      </c>
      <c r="B3935" s="5">
        <v>1</v>
      </c>
    </row>
    <row r="3936" spans="1:2" x14ac:dyDescent="0.35">
      <c r="A3936" s="14">
        <v>42304.617638888885</v>
      </c>
      <c r="B3936" s="5">
        <v>1</v>
      </c>
    </row>
    <row r="3937" spans="1:2" x14ac:dyDescent="0.35">
      <c r="A3937" s="14">
        <v>42304.624861111108</v>
      </c>
      <c r="B3937" s="5">
        <v>1</v>
      </c>
    </row>
    <row r="3938" spans="1:2" x14ac:dyDescent="0.35">
      <c r="A3938" s="14">
        <v>42304.636018518519</v>
      </c>
      <c r="B3938" s="5">
        <v>1</v>
      </c>
    </row>
    <row r="3939" spans="1:2" x14ac:dyDescent="0.35">
      <c r="A3939" s="14">
        <v>42304.671770833331</v>
      </c>
      <c r="B3939" s="5">
        <v>1</v>
      </c>
    </row>
    <row r="3940" spans="1:2" x14ac:dyDescent="0.35">
      <c r="A3940" s="14">
        <v>42304.676701388889</v>
      </c>
      <c r="B3940" s="5">
        <v>1</v>
      </c>
    </row>
    <row r="3941" spans="1:2" x14ac:dyDescent="0.35">
      <c r="A3941" s="14">
        <v>42304.68886574074</v>
      </c>
      <c r="B3941" s="5">
        <v>1</v>
      </c>
    </row>
    <row r="3942" spans="1:2" x14ac:dyDescent="0.35">
      <c r="A3942" s="14">
        <v>42304.702523148146</v>
      </c>
      <c r="B3942" s="5">
        <v>1</v>
      </c>
    </row>
    <row r="3943" spans="1:2" x14ac:dyDescent="0.35">
      <c r="A3943" s="14">
        <v>42304.704814814817</v>
      </c>
      <c r="B3943" s="5">
        <v>1</v>
      </c>
    </row>
    <row r="3944" spans="1:2" x14ac:dyDescent="0.35">
      <c r="A3944" s="14">
        <v>42304.706331018519</v>
      </c>
      <c r="B3944" s="5">
        <v>1</v>
      </c>
    </row>
    <row r="3945" spans="1:2" x14ac:dyDescent="0.35">
      <c r="A3945" s="14">
        <v>42304.712627314817</v>
      </c>
      <c r="B3945" s="5">
        <v>1</v>
      </c>
    </row>
    <row r="3946" spans="1:2" x14ac:dyDescent="0.35">
      <c r="A3946" s="14">
        <v>42304.713263888887</v>
      </c>
      <c r="B3946" s="5">
        <v>1</v>
      </c>
    </row>
    <row r="3947" spans="1:2" x14ac:dyDescent="0.35">
      <c r="A3947" s="14">
        <v>42304.714166666665</v>
      </c>
      <c r="B3947" s="5">
        <v>1</v>
      </c>
    </row>
    <row r="3948" spans="1:2" x14ac:dyDescent="0.35">
      <c r="A3948" s="14">
        <v>42304.716226851851</v>
      </c>
      <c r="B3948" s="5">
        <v>1</v>
      </c>
    </row>
    <row r="3949" spans="1:2" x14ac:dyDescent="0.35">
      <c r="A3949" s="14">
        <v>42304.718078703707</v>
      </c>
      <c r="B3949" s="5">
        <v>1</v>
      </c>
    </row>
    <row r="3950" spans="1:2" x14ac:dyDescent="0.35">
      <c r="A3950" s="14">
        <v>42304.719699074078</v>
      </c>
      <c r="B3950" s="5">
        <v>1</v>
      </c>
    </row>
    <row r="3951" spans="1:2" x14ac:dyDescent="0.35">
      <c r="A3951" s="14">
        <v>42304.731689814813</v>
      </c>
      <c r="B3951" s="5">
        <v>1</v>
      </c>
    </row>
    <row r="3952" spans="1:2" x14ac:dyDescent="0.35">
      <c r="A3952" s="14">
        <v>42304.739849537036</v>
      </c>
      <c r="B3952" s="5">
        <v>1</v>
      </c>
    </row>
    <row r="3953" spans="1:2" x14ac:dyDescent="0.35">
      <c r="A3953" s="14">
        <v>42304.753425925926</v>
      </c>
      <c r="B3953" s="5">
        <v>1</v>
      </c>
    </row>
    <row r="3954" spans="1:2" x14ac:dyDescent="0.35">
      <c r="A3954" s="14">
        <v>42304.793090277781</v>
      </c>
      <c r="B3954" s="5">
        <v>1</v>
      </c>
    </row>
    <row r="3955" spans="1:2" x14ac:dyDescent="0.35">
      <c r="A3955" s="14">
        <v>42304.806712962964</v>
      </c>
      <c r="B3955" s="5">
        <v>1</v>
      </c>
    </row>
    <row r="3956" spans="1:2" x14ac:dyDescent="0.35">
      <c r="A3956" s="14">
        <v>42304.813923611109</v>
      </c>
      <c r="B3956" s="5">
        <v>1</v>
      </c>
    </row>
    <row r="3957" spans="1:2" x14ac:dyDescent="0.35">
      <c r="A3957" s="14">
        <v>42304.830289351848</v>
      </c>
      <c r="B3957" s="5">
        <v>1</v>
      </c>
    </row>
    <row r="3958" spans="1:2" x14ac:dyDescent="0.35">
      <c r="A3958" s="14">
        <v>42304.833321759259</v>
      </c>
      <c r="B3958" s="5">
        <v>2</v>
      </c>
    </row>
    <row r="3959" spans="1:2" x14ac:dyDescent="0.35">
      <c r="A3959" s="14">
        <v>42304.836354166669</v>
      </c>
      <c r="B3959" s="5">
        <v>1</v>
      </c>
    </row>
    <row r="3960" spans="1:2" x14ac:dyDescent="0.35">
      <c r="A3960" s="14">
        <v>42304.847083333334</v>
      </c>
      <c r="B3960" s="5">
        <v>1</v>
      </c>
    </row>
    <row r="3961" spans="1:2" x14ac:dyDescent="0.35">
      <c r="A3961" s="14">
        <v>42304.885613425926</v>
      </c>
      <c r="B3961" s="5">
        <v>1</v>
      </c>
    </row>
    <row r="3962" spans="1:2" x14ac:dyDescent="0.35">
      <c r="A3962" s="14">
        <v>42304.888483796298</v>
      </c>
      <c r="B3962" s="5">
        <v>1</v>
      </c>
    </row>
    <row r="3963" spans="1:2" x14ac:dyDescent="0.35">
      <c r="A3963" s="14">
        <v>42304.894687499997</v>
      </c>
      <c r="B3963" s="5">
        <v>1</v>
      </c>
    </row>
    <row r="3964" spans="1:2" x14ac:dyDescent="0.35">
      <c r="A3964" s="14">
        <v>42304.898368055554</v>
      </c>
      <c r="B3964" s="5">
        <v>1</v>
      </c>
    </row>
    <row r="3965" spans="1:2" x14ac:dyDescent="0.35">
      <c r="A3965" s="14">
        <v>42304.912141203706</v>
      </c>
      <c r="B3965" s="5">
        <v>1</v>
      </c>
    </row>
    <row r="3966" spans="1:2" x14ac:dyDescent="0.35">
      <c r="A3966" s="14">
        <v>42304.916446759256</v>
      </c>
      <c r="B3966" s="5">
        <v>1</v>
      </c>
    </row>
    <row r="3967" spans="1:2" x14ac:dyDescent="0.35">
      <c r="A3967" s="14">
        <v>42304.926747685182</v>
      </c>
      <c r="B3967" s="5">
        <v>1</v>
      </c>
    </row>
    <row r="3968" spans="1:2" x14ac:dyDescent="0.35">
      <c r="A3968" s="14">
        <v>42304.970127314817</v>
      </c>
      <c r="B3968" s="5">
        <v>1</v>
      </c>
    </row>
    <row r="3969" spans="1:2" x14ac:dyDescent="0.35">
      <c r="A3969" s="14">
        <v>42304.991886574076</v>
      </c>
      <c r="B3969" s="5">
        <v>1</v>
      </c>
    </row>
    <row r="3970" spans="1:2" x14ac:dyDescent="0.35">
      <c r="A3970" s="14">
        <v>42304.996192129627</v>
      </c>
      <c r="B3970" s="5">
        <v>1</v>
      </c>
    </row>
    <row r="3971" spans="1:2" x14ac:dyDescent="0.35">
      <c r="A3971" s="14">
        <v>42305.025821759256</v>
      </c>
      <c r="B3971" s="5">
        <v>1</v>
      </c>
    </row>
    <row r="3972" spans="1:2" x14ac:dyDescent="0.35">
      <c r="A3972" s="14">
        <v>42305.036504629628</v>
      </c>
      <c r="B3972" s="5">
        <v>1</v>
      </c>
    </row>
    <row r="3973" spans="1:2" x14ac:dyDescent="0.35">
      <c r="A3973" s="14">
        <v>42305.098553240743</v>
      </c>
      <c r="B3973" s="5">
        <v>1</v>
      </c>
    </row>
    <row r="3974" spans="1:2" x14ac:dyDescent="0.35">
      <c r="A3974" s="14">
        <v>42305.101990740739</v>
      </c>
      <c r="B3974" s="5">
        <v>1</v>
      </c>
    </row>
    <row r="3975" spans="1:2" x14ac:dyDescent="0.35">
      <c r="A3975" s="14">
        <v>42305.103865740741</v>
      </c>
      <c r="B3975" s="5">
        <v>1</v>
      </c>
    </row>
    <row r="3976" spans="1:2" x14ac:dyDescent="0.35">
      <c r="A3976" s="14">
        <v>42305.110567129632</v>
      </c>
      <c r="B3976" s="5">
        <v>1</v>
      </c>
    </row>
    <row r="3977" spans="1:2" x14ac:dyDescent="0.35">
      <c r="A3977" s="14">
        <v>42305.23165509259</v>
      </c>
      <c r="B3977" s="5">
        <v>1</v>
      </c>
    </row>
    <row r="3978" spans="1:2" x14ac:dyDescent="0.35">
      <c r="A3978" s="14">
        <v>42305.23636574074</v>
      </c>
      <c r="B3978" s="5">
        <v>1</v>
      </c>
    </row>
    <row r="3979" spans="1:2" x14ac:dyDescent="0.35">
      <c r="A3979" s="14">
        <v>42305.251446759263</v>
      </c>
      <c r="B3979" s="5">
        <v>1</v>
      </c>
    </row>
    <row r="3980" spans="1:2" x14ac:dyDescent="0.35">
      <c r="A3980" s="14">
        <v>42305.32953703704</v>
      </c>
      <c r="B3980" s="5">
        <v>1</v>
      </c>
    </row>
    <row r="3981" spans="1:2" x14ac:dyDescent="0.35">
      <c r="A3981" s="14">
        <v>42305.54179398148</v>
      </c>
      <c r="B3981" s="5">
        <v>1</v>
      </c>
    </row>
    <row r="3982" spans="1:2" x14ac:dyDescent="0.35">
      <c r="A3982" s="14">
        <v>42305.555555555555</v>
      </c>
      <c r="B3982" s="5">
        <v>1</v>
      </c>
    </row>
    <row r="3983" spans="1:2" x14ac:dyDescent="0.35">
      <c r="A3983" s="14">
        <v>42305.571168981478</v>
      </c>
      <c r="B3983" s="5">
        <v>1</v>
      </c>
    </row>
    <row r="3984" spans="1:2" x14ac:dyDescent="0.35">
      <c r="A3984" s="14">
        <v>42305.578148148146</v>
      </c>
      <c r="B3984" s="5">
        <v>1</v>
      </c>
    </row>
    <row r="3985" spans="1:2" x14ac:dyDescent="0.35">
      <c r="A3985" s="14">
        <v>42305.578298611108</v>
      </c>
      <c r="B3985" s="5">
        <v>1</v>
      </c>
    </row>
    <row r="3986" spans="1:2" x14ac:dyDescent="0.35">
      <c r="A3986" s="14">
        <v>42305.585092592592</v>
      </c>
      <c r="B3986" s="5">
        <v>1</v>
      </c>
    </row>
    <row r="3987" spans="1:2" x14ac:dyDescent="0.35">
      <c r="A3987" s="14">
        <v>42305.585115740738</v>
      </c>
      <c r="B3987" s="5">
        <v>1</v>
      </c>
    </row>
    <row r="3988" spans="1:2" x14ac:dyDescent="0.35">
      <c r="A3988" s="14">
        <v>42305.595960648148</v>
      </c>
      <c r="B3988" s="5">
        <v>1</v>
      </c>
    </row>
    <row r="3989" spans="1:2" x14ac:dyDescent="0.35">
      <c r="A3989" s="14">
        <v>42305.598807870374</v>
      </c>
      <c r="B3989" s="5">
        <v>1</v>
      </c>
    </row>
    <row r="3990" spans="1:2" x14ac:dyDescent="0.35">
      <c r="A3990" s="14">
        <v>42305.606817129628</v>
      </c>
      <c r="B3990" s="5">
        <v>1</v>
      </c>
    </row>
    <row r="3991" spans="1:2" x14ac:dyDescent="0.35">
      <c r="A3991" s="14">
        <v>42305.614988425928</v>
      </c>
      <c r="B3991" s="5">
        <v>1</v>
      </c>
    </row>
    <row r="3992" spans="1:2" x14ac:dyDescent="0.35">
      <c r="A3992" s="14">
        <v>42305.618472222224</v>
      </c>
      <c r="B3992" s="5">
        <v>1</v>
      </c>
    </row>
    <row r="3993" spans="1:2" x14ac:dyDescent="0.35">
      <c r="A3993" s="14">
        <v>42305.618900462963</v>
      </c>
      <c r="B3993" s="5">
        <v>1</v>
      </c>
    </row>
    <row r="3994" spans="1:2" x14ac:dyDescent="0.35">
      <c r="A3994" s="14">
        <v>42305.625057870369</v>
      </c>
      <c r="B3994" s="5">
        <v>1</v>
      </c>
    </row>
    <row r="3995" spans="1:2" x14ac:dyDescent="0.35">
      <c r="A3995" s="14">
        <v>42305.62903935185</v>
      </c>
      <c r="B3995" s="5">
        <v>1</v>
      </c>
    </row>
    <row r="3996" spans="1:2" x14ac:dyDescent="0.35">
      <c r="A3996" s="14">
        <v>42305.633067129631</v>
      </c>
      <c r="B3996" s="5">
        <v>1</v>
      </c>
    </row>
    <row r="3997" spans="1:2" x14ac:dyDescent="0.35">
      <c r="A3997" s="14">
        <v>42305.634340277778</v>
      </c>
      <c r="B3997" s="5">
        <v>1</v>
      </c>
    </row>
    <row r="3998" spans="1:2" x14ac:dyDescent="0.35">
      <c r="A3998" s="14">
        <v>42305.660185185188</v>
      </c>
      <c r="B3998" s="5">
        <v>1</v>
      </c>
    </row>
    <row r="3999" spans="1:2" x14ac:dyDescent="0.35">
      <c r="A3999" s="14">
        <v>42305.663356481484</v>
      </c>
      <c r="B3999" s="5">
        <v>1</v>
      </c>
    </row>
    <row r="4000" spans="1:2" x14ac:dyDescent="0.35">
      <c r="A4000" s="14">
        <v>42305.667604166665</v>
      </c>
      <c r="B4000" s="5">
        <v>1</v>
      </c>
    </row>
    <row r="4001" spans="1:2" x14ac:dyDescent="0.35">
      <c r="A4001" s="14">
        <v>42305.668611111112</v>
      </c>
      <c r="B4001" s="5">
        <v>1</v>
      </c>
    </row>
    <row r="4002" spans="1:2" x14ac:dyDescent="0.35">
      <c r="A4002" s="14">
        <v>42305.696180555555</v>
      </c>
      <c r="B4002" s="5">
        <v>1</v>
      </c>
    </row>
    <row r="4003" spans="1:2" x14ac:dyDescent="0.35">
      <c r="A4003" s="14">
        <v>42305.741493055553</v>
      </c>
      <c r="B4003" s="5">
        <v>1</v>
      </c>
    </row>
    <row r="4004" spans="1:2" x14ac:dyDescent="0.35">
      <c r="A4004" s="14">
        <v>42305.747083333335</v>
      </c>
      <c r="B4004" s="5">
        <v>1</v>
      </c>
    </row>
    <row r="4005" spans="1:2" x14ac:dyDescent="0.35">
      <c r="A4005" s="14">
        <v>42305.750486111108</v>
      </c>
      <c r="B4005" s="5">
        <v>1</v>
      </c>
    </row>
    <row r="4006" spans="1:2" x14ac:dyDescent="0.35">
      <c r="A4006" s="14">
        <v>42305.751180555555</v>
      </c>
      <c r="B4006" s="5">
        <v>2</v>
      </c>
    </row>
    <row r="4007" spans="1:2" x14ac:dyDescent="0.35">
      <c r="A4007" s="14">
        <v>42305.756215277775</v>
      </c>
      <c r="B4007" s="5">
        <v>1</v>
      </c>
    </row>
    <row r="4008" spans="1:2" x14ac:dyDescent="0.35">
      <c r="A4008" s="14">
        <v>42305.773715277777</v>
      </c>
      <c r="B4008" s="5">
        <v>1</v>
      </c>
    </row>
    <row r="4009" spans="1:2" x14ac:dyDescent="0.35">
      <c r="A4009" s="14">
        <v>42305.791446759256</v>
      </c>
      <c r="B4009" s="5">
        <v>1</v>
      </c>
    </row>
    <row r="4010" spans="1:2" x14ac:dyDescent="0.35">
      <c r="A4010" s="14">
        <v>42305.796863425923</v>
      </c>
      <c r="B4010" s="5">
        <v>1</v>
      </c>
    </row>
    <row r="4011" spans="1:2" x14ac:dyDescent="0.35">
      <c r="A4011" s="14">
        <v>42305.84542824074</v>
      </c>
      <c r="B4011" s="5">
        <v>1</v>
      </c>
    </row>
    <row r="4012" spans="1:2" x14ac:dyDescent="0.35">
      <c r="A4012" s="14">
        <v>42305.852106481485</v>
      </c>
      <c r="B4012" s="5">
        <v>1</v>
      </c>
    </row>
    <row r="4013" spans="1:2" x14ac:dyDescent="0.35">
      <c r="A4013" s="14">
        <v>42305.865659722222</v>
      </c>
      <c r="B4013" s="5">
        <v>1</v>
      </c>
    </row>
    <row r="4014" spans="1:2" x14ac:dyDescent="0.35">
      <c r="A4014" s="14">
        <v>42305.873148148145</v>
      </c>
      <c r="B4014" s="5">
        <v>1</v>
      </c>
    </row>
    <row r="4015" spans="1:2" x14ac:dyDescent="0.35">
      <c r="A4015" s="14">
        <v>42305.899293981478</v>
      </c>
      <c r="B4015" s="5">
        <v>1</v>
      </c>
    </row>
    <row r="4016" spans="1:2" x14ac:dyDescent="0.35">
      <c r="A4016" s="14">
        <v>42305.922453703701</v>
      </c>
      <c r="B4016" s="5">
        <v>2</v>
      </c>
    </row>
    <row r="4017" spans="1:2" x14ac:dyDescent="0.35">
      <c r="A4017" s="14">
        <v>42305.956643518519</v>
      </c>
      <c r="B4017" s="5">
        <v>1</v>
      </c>
    </row>
    <row r="4018" spans="1:2" x14ac:dyDescent="0.35">
      <c r="A4018" s="14">
        <v>42305.961643518516</v>
      </c>
      <c r="B4018" s="5">
        <v>1</v>
      </c>
    </row>
    <row r="4019" spans="1:2" x14ac:dyDescent="0.35">
      <c r="A4019" s="14">
        <v>42305.979363425926</v>
      </c>
      <c r="B4019" s="5">
        <v>1</v>
      </c>
    </row>
    <row r="4020" spans="1:2" x14ac:dyDescent="0.35">
      <c r="A4020" s="14">
        <v>42305.995972222219</v>
      </c>
      <c r="B4020" s="5">
        <v>1</v>
      </c>
    </row>
    <row r="4021" spans="1:2" x14ac:dyDescent="0.35">
      <c r="A4021" s="14">
        <v>42306.022523148145</v>
      </c>
      <c r="B4021" s="5">
        <v>1</v>
      </c>
    </row>
    <row r="4022" spans="1:2" x14ac:dyDescent="0.35">
      <c r="A4022" s="14">
        <v>42306.033587962964</v>
      </c>
      <c r="B4022" s="5">
        <v>1</v>
      </c>
    </row>
    <row r="4023" spans="1:2" x14ac:dyDescent="0.35">
      <c r="A4023" s="14">
        <v>42306.041944444441</v>
      </c>
      <c r="B4023" s="5">
        <v>1</v>
      </c>
    </row>
    <row r="4024" spans="1:2" x14ac:dyDescent="0.35">
      <c r="A4024" s="14">
        <v>42306.050173611111</v>
      </c>
      <c r="B4024" s="5">
        <v>1</v>
      </c>
    </row>
    <row r="4025" spans="1:2" x14ac:dyDescent="0.35">
      <c r="A4025" s="14">
        <v>42306.063101851854</v>
      </c>
      <c r="B4025" s="5">
        <v>1</v>
      </c>
    </row>
    <row r="4026" spans="1:2" x14ac:dyDescent="0.35">
      <c r="A4026" s="14">
        <v>42306.086481481485</v>
      </c>
      <c r="B4026" s="5">
        <v>1</v>
      </c>
    </row>
    <row r="4027" spans="1:2" x14ac:dyDescent="0.35">
      <c r="A4027" s="14">
        <v>42306.09070601852</v>
      </c>
      <c r="B4027" s="5">
        <v>1</v>
      </c>
    </row>
    <row r="4028" spans="1:2" x14ac:dyDescent="0.35">
      <c r="A4028" s="14">
        <v>42306.093263888892</v>
      </c>
      <c r="B4028" s="5">
        <v>1</v>
      </c>
    </row>
    <row r="4029" spans="1:2" x14ac:dyDescent="0.35">
      <c r="A4029" s="14">
        <v>42306.099143518521</v>
      </c>
      <c r="B4029" s="5">
        <v>1</v>
      </c>
    </row>
    <row r="4030" spans="1:2" x14ac:dyDescent="0.35">
      <c r="A4030" s="14">
        <v>42306.127523148149</v>
      </c>
      <c r="B4030" s="5">
        <v>1</v>
      </c>
    </row>
    <row r="4031" spans="1:2" x14ac:dyDescent="0.35">
      <c r="A4031" s="14">
        <v>42306.132418981484</v>
      </c>
      <c r="B4031" s="5">
        <v>1</v>
      </c>
    </row>
    <row r="4032" spans="1:2" x14ac:dyDescent="0.35">
      <c r="A4032" s="14">
        <v>42306.148159722223</v>
      </c>
      <c r="B4032" s="5">
        <v>1</v>
      </c>
    </row>
    <row r="4033" spans="1:2" x14ac:dyDescent="0.35">
      <c r="A4033" s="14">
        <v>42306.148587962962</v>
      </c>
      <c r="B4033" s="5">
        <v>1</v>
      </c>
    </row>
    <row r="4034" spans="1:2" x14ac:dyDescent="0.35">
      <c r="A4034" s="14">
        <v>42306.158472222225</v>
      </c>
      <c r="B4034" s="5">
        <v>1</v>
      </c>
    </row>
    <row r="4035" spans="1:2" x14ac:dyDescent="0.35">
      <c r="A4035" s="14">
        <v>42306.161863425928</v>
      </c>
      <c r="B4035" s="5">
        <v>1</v>
      </c>
    </row>
    <row r="4036" spans="1:2" x14ac:dyDescent="0.35">
      <c r="A4036" s="14">
        <v>42306.1796412037</v>
      </c>
      <c r="B4036" s="5">
        <v>1</v>
      </c>
    </row>
    <row r="4037" spans="1:2" x14ac:dyDescent="0.35">
      <c r="A4037" s="14">
        <v>42306.179907407408</v>
      </c>
      <c r="B4037" s="5">
        <v>1</v>
      </c>
    </row>
    <row r="4038" spans="1:2" x14ac:dyDescent="0.35">
      <c r="A4038" s="14">
        <v>42306.183611111112</v>
      </c>
      <c r="B4038" s="5">
        <v>1</v>
      </c>
    </row>
    <row r="4039" spans="1:2" x14ac:dyDescent="0.35">
      <c r="A4039" s="14">
        <v>42306.184988425928</v>
      </c>
      <c r="B4039" s="5">
        <v>1</v>
      </c>
    </row>
    <row r="4040" spans="1:2" x14ac:dyDescent="0.35">
      <c r="A4040" s="14">
        <v>42306.203333333331</v>
      </c>
      <c r="B4040" s="5">
        <v>1</v>
      </c>
    </row>
    <row r="4041" spans="1:2" x14ac:dyDescent="0.35">
      <c r="A4041" s="14">
        <v>42306.215914351851</v>
      </c>
      <c r="B4041" s="5">
        <v>1</v>
      </c>
    </row>
    <row r="4042" spans="1:2" x14ac:dyDescent="0.35">
      <c r="A4042" s="14">
        <v>42306.221817129626</v>
      </c>
      <c r="B4042" s="5">
        <v>1</v>
      </c>
    </row>
    <row r="4043" spans="1:2" x14ac:dyDescent="0.35">
      <c r="A4043" s="14">
        <v>42306.24690972222</v>
      </c>
      <c r="B4043" s="5">
        <v>1</v>
      </c>
    </row>
    <row r="4044" spans="1:2" x14ac:dyDescent="0.35">
      <c r="A4044" s="14">
        <v>42306.268912037034</v>
      </c>
      <c r="B4044" s="5">
        <v>1</v>
      </c>
    </row>
    <row r="4045" spans="1:2" x14ac:dyDescent="0.35">
      <c r="A4045" s="14">
        <v>42306.296099537038</v>
      </c>
      <c r="B4045" s="5">
        <v>1</v>
      </c>
    </row>
    <row r="4046" spans="1:2" x14ac:dyDescent="0.35">
      <c r="A4046" s="14">
        <v>42306.400868055556</v>
      </c>
      <c r="B4046" s="5">
        <v>1</v>
      </c>
    </row>
    <row r="4047" spans="1:2" x14ac:dyDescent="0.35">
      <c r="A4047" s="14">
        <v>42306.553784722222</v>
      </c>
      <c r="B4047" s="5">
        <v>1</v>
      </c>
    </row>
    <row r="4048" spans="1:2" x14ac:dyDescent="0.35">
      <c r="A4048" s="14">
        <v>42306.571736111109</v>
      </c>
      <c r="B4048" s="5">
        <v>1</v>
      </c>
    </row>
    <row r="4049" spans="1:2" x14ac:dyDescent="0.35">
      <c r="A4049" s="14">
        <v>42306.585648148146</v>
      </c>
      <c r="B4049" s="5">
        <v>1</v>
      </c>
    </row>
    <row r="4050" spans="1:2" x14ac:dyDescent="0.35">
      <c r="A4050" s="14">
        <v>42306.599652777775</v>
      </c>
      <c r="B4050" s="5">
        <v>1</v>
      </c>
    </row>
    <row r="4051" spans="1:2" x14ac:dyDescent="0.35">
      <c r="A4051" s="14">
        <v>42306.599675925929</v>
      </c>
      <c r="B4051" s="5">
        <v>1</v>
      </c>
    </row>
    <row r="4052" spans="1:2" x14ac:dyDescent="0.35">
      <c r="A4052" s="14">
        <v>42306.599699074075</v>
      </c>
      <c r="B4052" s="5">
        <v>1</v>
      </c>
    </row>
    <row r="4053" spans="1:2" x14ac:dyDescent="0.35">
      <c r="A4053" s="14">
        <v>42306.656956018516</v>
      </c>
      <c r="B4053" s="5">
        <v>1</v>
      </c>
    </row>
    <row r="4054" spans="1:2" x14ac:dyDescent="0.35">
      <c r="A4054" s="14">
        <v>42306.686238425929</v>
      </c>
      <c r="B4054" s="5">
        <v>1</v>
      </c>
    </row>
    <row r="4055" spans="1:2" x14ac:dyDescent="0.35">
      <c r="A4055" s="14">
        <v>42306.688726851855</v>
      </c>
      <c r="B4055" s="5">
        <v>1</v>
      </c>
    </row>
    <row r="4056" spans="1:2" x14ac:dyDescent="0.35">
      <c r="A4056" s="14">
        <v>42306.690069444441</v>
      </c>
      <c r="B4056" s="5">
        <v>1</v>
      </c>
    </row>
    <row r="4057" spans="1:2" x14ac:dyDescent="0.35">
      <c r="A4057" s="14">
        <v>42306.690694444442</v>
      </c>
      <c r="B4057" s="5">
        <v>1</v>
      </c>
    </row>
    <row r="4058" spans="1:2" x14ac:dyDescent="0.35">
      <c r="A4058" s="14">
        <v>42306.691168981481</v>
      </c>
      <c r="B4058" s="5">
        <v>1</v>
      </c>
    </row>
    <row r="4059" spans="1:2" x14ac:dyDescent="0.35">
      <c r="A4059" s="14">
        <v>42306.693425925929</v>
      </c>
      <c r="B4059" s="5">
        <v>1</v>
      </c>
    </row>
    <row r="4060" spans="1:2" x14ac:dyDescent="0.35">
      <c r="A4060" s="14">
        <v>42306.693715277775</v>
      </c>
      <c r="B4060" s="5">
        <v>1</v>
      </c>
    </row>
    <row r="4061" spans="1:2" x14ac:dyDescent="0.35">
      <c r="A4061" s="14">
        <v>42306.705405092594</v>
      </c>
      <c r="B4061" s="5">
        <v>1</v>
      </c>
    </row>
    <row r="4062" spans="1:2" x14ac:dyDescent="0.35">
      <c r="A4062" s="14">
        <v>42306.708148148151</v>
      </c>
      <c r="B4062" s="5">
        <v>1</v>
      </c>
    </row>
    <row r="4063" spans="1:2" x14ac:dyDescent="0.35">
      <c r="A4063" s="14">
        <v>42306.712939814817</v>
      </c>
      <c r="B4063" s="5">
        <v>1</v>
      </c>
    </row>
    <row r="4064" spans="1:2" x14ac:dyDescent="0.35">
      <c r="A4064" s="14">
        <v>42306.714675925927</v>
      </c>
      <c r="B4064" s="5">
        <v>1</v>
      </c>
    </row>
    <row r="4065" spans="1:2" x14ac:dyDescent="0.35">
      <c r="A4065" s="14">
        <v>42306.718333333331</v>
      </c>
      <c r="B4065" s="5">
        <v>1</v>
      </c>
    </row>
    <row r="4066" spans="1:2" x14ac:dyDescent="0.35">
      <c r="A4066" s="14">
        <v>42306.725405092591</v>
      </c>
      <c r="B4066" s="5">
        <v>1</v>
      </c>
    </row>
    <row r="4067" spans="1:2" x14ac:dyDescent="0.35">
      <c r="A4067" s="14">
        <v>42306.729780092595</v>
      </c>
      <c r="B4067" s="5">
        <v>1</v>
      </c>
    </row>
    <row r="4068" spans="1:2" x14ac:dyDescent="0.35">
      <c r="A4068" s="14">
        <v>42306.741793981484</v>
      </c>
      <c r="B4068" s="5">
        <v>1</v>
      </c>
    </row>
    <row r="4069" spans="1:2" x14ac:dyDescent="0.35">
      <c r="A4069" s="14">
        <v>42306.770243055558</v>
      </c>
      <c r="B4069" s="5">
        <v>1</v>
      </c>
    </row>
    <row r="4070" spans="1:2" x14ac:dyDescent="0.35">
      <c r="A4070" s="14">
        <v>42306.770254629628</v>
      </c>
      <c r="B4070" s="5">
        <v>1</v>
      </c>
    </row>
    <row r="4071" spans="1:2" x14ac:dyDescent="0.35">
      <c r="A4071" s="14">
        <v>42306.777337962965</v>
      </c>
      <c r="B4071" s="5">
        <v>1</v>
      </c>
    </row>
    <row r="4072" spans="1:2" x14ac:dyDescent="0.35">
      <c r="A4072" s="14">
        <v>42306.793587962966</v>
      </c>
      <c r="B4072" s="5">
        <v>1</v>
      </c>
    </row>
    <row r="4073" spans="1:2" x14ac:dyDescent="0.35">
      <c r="A4073" s="14">
        <v>42306.796134259261</v>
      </c>
      <c r="B4073" s="5">
        <v>1</v>
      </c>
    </row>
    <row r="4074" spans="1:2" x14ac:dyDescent="0.35">
      <c r="A4074" s="14">
        <v>42306.809687499997</v>
      </c>
      <c r="B4074" s="5">
        <v>1</v>
      </c>
    </row>
    <row r="4075" spans="1:2" x14ac:dyDescent="0.35">
      <c r="A4075" s="14">
        <v>42306.819710648146</v>
      </c>
      <c r="B4075" s="5">
        <v>1</v>
      </c>
    </row>
    <row r="4076" spans="1:2" x14ac:dyDescent="0.35">
      <c r="A4076" s="14">
        <v>42306.827719907407</v>
      </c>
      <c r="B4076" s="5">
        <v>1</v>
      </c>
    </row>
    <row r="4077" spans="1:2" x14ac:dyDescent="0.35">
      <c r="A4077" s="14">
        <v>42306.828530092593</v>
      </c>
      <c r="B4077" s="5">
        <v>1</v>
      </c>
    </row>
    <row r="4078" spans="1:2" x14ac:dyDescent="0.35">
      <c r="A4078" s="14">
        <v>42306.828680555554</v>
      </c>
      <c r="B4078" s="5">
        <v>1</v>
      </c>
    </row>
    <row r="4079" spans="1:2" x14ac:dyDescent="0.35">
      <c r="A4079" s="14">
        <v>42306.883252314816</v>
      </c>
      <c r="B4079" s="5">
        <v>1</v>
      </c>
    </row>
    <row r="4080" spans="1:2" x14ac:dyDescent="0.35">
      <c r="A4080" s="14">
        <v>42306.891504629632</v>
      </c>
      <c r="B4080" s="5">
        <v>1</v>
      </c>
    </row>
    <row r="4081" spans="1:2" x14ac:dyDescent="0.35">
      <c r="A4081" s="14">
        <v>42306.905601851853</v>
      </c>
      <c r="B4081" s="5">
        <v>1</v>
      </c>
    </row>
    <row r="4082" spans="1:2" x14ac:dyDescent="0.35">
      <c r="A4082" s="14">
        <v>42306.913483796299</v>
      </c>
      <c r="B4082" s="5">
        <v>1</v>
      </c>
    </row>
    <row r="4083" spans="1:2" x14ac:dyDescent="0.35">
      <c r="A4083" s="14">
        <v>42306.919687499998</v>
      </c>
      <c r="B4083" s="5">
        <v>1</v>
      </c>
    </row>
    <row r="4084" spans="1:2" x14ac:dyDescent="0.35">
      <c r="A4084" s="14">
        <v>42306.931041666663</v>
      </c>
      <c r="B4084" s="5">
        <v>1</v>
      </c>
    </row>
    <row r="4085" spans="1:2" x14ac:dyDescent="0.35">
      <c r="A4085" s="14">
        <v>42306.934699074074</v>
      </c>
      <c r="B4085" s="5">
        <v>1</v>
      </c>
    </row>
    <row r="4086" spans="1:2" x14ac:dyDescent="0.35">
      <c r="A4086" s="14">
        <v>42306.978831018518</v>
      </c>
      <c r="B4086" s="5">
        <v>1</v>
      </c>
    </row>
    <row r="4087" spans="1:2" x14ac:dyDescent="0.35">
      <c r="A4087" s="14">
        <v>42307.008379629631</v>
      </c>
      <c r="B4087" s="5">
        <v>1</v>
      </c>
    </row>
    <row r="4088" spans="1:2" x14ac:dyDescent="0.35">
      <c r="A4088" s="14">
        <v>42307.0544212963</v>
      </c>
      <c r="B4088" s="5">
        <v>1</v>
      </c>
    </row>
    <row r="4089" spans="1:2" x14ac:dyDescent="0.35">
      <c r="A4089" s="14">
        <v>42307.0784375</v>
      </c>
      <c r="B4089" s="5">
        <v>1</v>
      </c>
    </row>
    <row r="4090" spans="1:2" x14ac:dyDescent="0.35">
      <c r="A4090" s="14">
        <v>42307.083518518521</v>
      </c>
      <c r="B4090" s="5">
        <v>1</v>
      </c>
    </row>
    <row r="4091" spans="1:2" x14ac:dyDescent="0.35">
      <c r="A4091" s="14">
        <v>42307.126701388886</v>
      </c>
      <c r="B4091" s="5">
        <v>1</v>
      </c>
    </row>
    <row r="4092" spans="1:2" x14ac:dyDescent="0.35">
      <c r="A4092" s="14">
        <v>42307.180925925924</v>
      </c>
      <c r="B4092" s="5">
        <v>1</v>
      </c>
    </row>
    <row r="4093" spans="1:2" x14ac:dyDescent="0.35">
      <c r="A4093" s="14">
        <v>42307.181192129632</v>
      </c>
      <c r="B4093" s="5">
        <v>1</v>
      </c>
    </row>
    <row r="4094" spans="1:2" x14ac:dyDescent="0.35">
      <c r="A4094" s="14">
        <v>42307.181516203702</v>
      </c>
      <c r="B4094" s="5">
        <v>1</v>
      </c>
    </row>
    <row r="4095" spans="1:2" x14ac:dyDescent="0.35">
      <c r="A4095" s="14">
        <v>42307.182141203702</v>
      </c>
      <c r="B4095" s="5">
        <v>1</v>
      </c>
    </row>
    <row r="4096" spans="1:2" x14ac:dyDescent="0.35">
      <c r="A4096" s="14">
        <v>42307.204791666663</v>
      </c>
      <c r="B4096" s="5">
        <v>1</v>
      </c>
    </row>
    <row r="4097" spans="1:2" x14ac:dyDescent="0.35">
      <c r="A4097" s="14">
        <v>42307.273912037039</v>
      </c>
      <c r="B4097" s="5">
        <v>1</v>
      </c>
    </row>
    <row r="4098" spans="1:2" x14ac:dyDescent="0.35">
      <c r="A4098" s="14">
        <v>42307.282233796293</v>
      </c>
      <c r="B4098" s="5">
        <v>1</v>
      </c>
    </row>
    <row r="4099" spans="1:2" x14ac:dyDescent="0.35">
      <c r="A4099" s="14">
        <v>42307.303622685184</v>
      </c>
      <c r="B4099" s="5">
        <v>1</v>
      </c>
    </row>
    <row r="4100" spans="1:2" x14ac:dyDescent="0.35">
      <c r="A4100" s="14">
        <v>42307.311354166668</v>
      </c>
      <c r="B4100" s="5">
        <v>1</v>
      </c>
    </row>
    <row r="4101" spans="1:2" x14ac:dyDescent="0.35">
      <c r="A4101" s="14">
        <v>42307.323865740742</v>
      </c>
      <c r="B4101" s="5">
        <v>1</v>
      </c>
    </row>
    <row r="4102" spans="1:2" x14ac:dyDescent="0.35">
      <c r="A4102" s="14">
        <v>42307.398796296293</v>
      </c>
      <c r="B4102" s="5">
        <v>1</v>
      </c>
    </row>
    <row r="4103" spans="1:2" x14ac:dyDescent="0.35">
      <c r="A4103" s="14">
        <v>42307.401388888888</v>
      </c>
      <c r="B4103" s="5">
        <v>1</v>
      </c>
    </row>
    <row r="4104" spans="1:2" x14ac:dyDescent="0.35">
      <c r="A4104" s="14">
        <v>42307.535381944443</v>
      </c>
      <c r="B4104" s="5">
        <v>1</v>
      </c>
    </row>
    <row r="4105" spans="1:2" x14ac:dyDescent="0.35">
      <c r="A4105" s="14">
        <v>42307.542766203704</v>
      </c>
      <c r="B4105" s="5">
        <v>1</v>
      </c>
    </row>
    <row r="4106" spans="1:2" x14ac:dyDescent="0.35">
      <c r="A4106" s="14">
        <v>42307.542974537035</v>
      </c>
      <c r="B4106" s="5">
        <v>2</v>
      </c>
    </row>
    <row r="4107" spans="1:2" x14ac:dyDescent="0.35">
      <c r="A4107" s="14">
        <v>42307.559155092589</v>
      </c>
      <c r="B4107" s="5">
        <v>1</v>
      </c>
    </row>
    <row r="4108" spans="1:2" x14ac:dyDescent="0.35">
      <c r="A4108" s="14">
        <v>42307.559837962966</v>
      </c>
      <c r="B4108" s="5">
        <v>1</v>
      </c>
    </row>
    <row r="4109" spans="1:2" x14ac:dyDescent="0.35">
      <c r="A4109" s="14">
        <v>42307.561018518521</v>
      </c>
      <c r="B4109" s="5">
        <v>1</v>
      </c>
    </row>
    <row r="4110" spans="1:2" x14ac:dyDescent="0.35">
      <c r="A4110" s="14">
        <v>42307.565185185187</v>
      </c>
      <c r="B4110" s="5">
        <v>1</v>
      </c>
    </row>
    <row r="4111" spans="1:2" x14ac:dyDescent="0.35">
      <c r="A4111" s="14">
        <v>42307.567511574074</v>
      </c>
      <c r="B4111" s="5">
        <v>1</v>
      </c>
    </row>
    <row r="4112" spans="1:2" x14ac:dyDescent="0.35">
      <c r="A4112" s="14">
        <v>42307.587916666664</v>
      </c>
      <c r="B4112" s="5">
        <v>1</v>
      </c>
    </row>
    <row r="4113" spans="1:2" x14ac:dyDescent="0.35">
      <c r="A4113" s="14">
        <v>42307.589895833335</v>
      </c>
      <c r="B4113" s="5">
        <v>1</v>
      </c>
    </row>
    <row r="4114" spans="1:2" x14ac:dyDescent="0.35">
      <c r="A4114" s="14">
        <v>42307.622743055559</v>
      </c>
      <c r="B4114" s="5">
        <v>1</v>
      </c>
    </row>
    <row r="4115" spans="1:2" x14ac:dyDescent="0.35">
      <c r="A4115" s="14">
        <v>42307.62972222222</v>
      </c>
      <c r="B4115" s="5">
        <v>1</v>
      </c>
    </row>
    <row r="4116" spans="1:2" x14ac:dyDescent="0.35">
      <c r="A4116" s="14">
        <v>42307.6328125</v>
      </c>
      <c r="B4116" s="5">
        <v>1</v>
      </c>
    </row>
    <row r="4117" spans="1:2" x14ac:dyDescent="0.35">
      <c r="A4117" s="14">
        <v>42307.644687499997</v>
      </c>
      <c r="B4117" s="5">
        <v>1</v>
      </c>
    </row>
    <row r="4118" spans="1:2" x14ac:dyDescent="0.35">
      <c r="A4118" s="14">
        <v>42307.653148148151</v>
      </c>
      <c r="B4118" s="5">
        <v>1</v>
      </c>
    </row>
    <row r="4119" spans="1:2" x14ac:dyDescent="0.35">
      <c r="A4119" s="14">
        <v>42307.653483796297</v>
      </c>
      <c r="B4119" s="5">
        <v>1</v>
      </c>
    </row>
    <row r="4120" spans="1:2" x14ac:dyDescent="0.35">
      <c r="A4120" s="14">
        <v>42307.653923611113</v>
      </c>
      <c r="B4120" s="5">
        <v>1</v>
      </c>
    </row>
    <row r="4121" spans="1:2" x14ac:dyDescent="0.35">
      <c r="A4121" s="14">
        <v>42307.671203703707</v>
      </c>
      <c r="B4121" s="5">
        <v>1</v>
      </c>
    </row>
    <row r="4122" spans="1:2" x14ac:dyDescent="0.35">
      <c r="A4122" s="14">
        <v>42307.709664351853</v>
      </c>
      <c r="B4122" s="5">
        <v>1</v>
      </c>
    </row>
    <row r="4123" spans="1:2" x14ac:dyDescent="0.35">
      <c r="A4123" s="14">
        <v>42307.710787037038</v>
      </c>
      <c r="B4123" s="5">
        <v>1</v>
      </c>
    </row>
    <row r="4124" spans="1:2" x14ac:dyDescent="0.35">
      <c r="A4124" s="14">
        <v>42307.71671296296</v>
      </c>
      <c r="B4124" s="5">
        <v>1</v>
      </c>
    </row>
    <row r="4125" spans="1:2" x14ac:dyDescent="0.35">
      <c r="A4125" s="14">
        <v>42307.717928240738</v>
      </c>
      <c r="B4125" s="5">
        <v>1</v>
      </c>
    </row>
    <row r="4126" spans="1:2" x14ac:dyDescent="0.35">
      <c r="A4126" s="14">
        <v>42307.724976851852</v>
      </c>
      <c r="B4126" s="5">
        <v>1</v>
      </c>
    </row>
    <row r="4127" spans="1:2" x14ac:dyDescent="0.35">
      <c r="A4127" s="14">
        <v>42307.730034722219</v>
      </c>
      <c r="B4127" s="5">
        <v>1</v>
      </c>
    </row>
    <row r="4128" spans="1:2" x14ac:dyDescent="0.35">
      <c r="A4128" s="14">
        <v>42307.739131944443</v>
      </c>
      <c r="B4128" s="5">
        <v>1</v>
      </c>
    </row>
    <row r="4129" spans="1:2" x14ac:dyDescent="0.35">
      <c r="A4129" s="14">
        <v>42307.745011574072</v>
      </c>
      <c r="B4129" s="5">
        <v>1</v>
      </c>
    </row>
    <row r="4130" spans="1:2" x14ac:dyDescent="0.35">
      <c r="A4130" s="14">
        <v>42307.748298611114</v>
      </c>
      <c r="B4130" s="5">
        <v>1</v>
      </c>
    </row>
    <row r="4131" spans="1:2" x14ac:dyDescent="0.35">
      <c r="A4131" s="14">
        <v>42307.749490740738</v>
      </c>
      <c r="B4131" s="5">
        <v>1</v>
      </c>
    </row>
    <row r="4132" spans="1:2" x14ac:dyDescent="0.35">
      <c r="A4132" s="14">
        <v>42307.754571759258</v>
      </c>
      <c r="B4132" s="5">
        <v>1</v>
      </c>
    </row>
    <row r="4133" spans="1:2" x14ac:dyDescent="0.35">
      <c r="A4133" s="14">
        <v>42307.760763888888</v>
      </c>
      <c r="B4133" s="5">
        <v>1</v>
      </c>
    </row>
    <row r="4134" spans="1:2" x14ac:dyDescent="0.35">
      <c r="A4134" s="14">
        <v>42307.760868055557</v>
      </c>
      <c r="B4134" s="5">
        <v>1</v>
      </c>
    </row>
    <row r="4135" spans="1:2" x14ac:dyDescent="0.35">
      <c r="A4135" s="14">
        <v>42307.76122685185</v>
      </c>
      <c r="B4135" s="5">
        <v>1</v>
      </c>
    </row>
    <row r="4136" spans="1:2" x14ac:dyDescent="0.35">
      <c r="A4136" s="14">
        <v>42307.761331018519</v>
      </c>
      <c r="B4136" s="5">
        <v>1</v>
      </c>
    </row>
    <row r="4137" spans="1:2" x14ac:dyDescent="0.35">
      <c r="A4137" s="14">
        <v>42307.771493055552</v>
      </c>
      <c r="B4137" s="5">
        <v>1</v>
      </c>
    </row>
    <row r="4138" spans="1:2" x14ac:dyDescent="0.35">
      <c r="A4138" s="14">
        <v>42307.8</v>
      </c>
      <c r="B4138" s="5">
        <v>1</v>
      </c>
    </row>
    <row r="4139" spans="1:2" x14ac:dyDescent="0.35">
      <c r="A4139" s="14">
        <v>42307.803483796299</v>
      </c>
      <c r="B4139" s="5">
        <v>1</v>
      </c>
    </row>
    <row r="4140" spans="1:2" x14ac:dyDescent="0.35">
      <c r="A4140" s="14">
        <v>42307.805983796294</v>
      </c>
      <c r="B4140" s="5">
        <v>1</v>
      </c>
    </row>
    <row r="4141" spans="1:2" x14ac:dyDescent="0.35">
      <c r="A4141" s="14">
        <v>42307.856296296297</v>
      </c>
      <c r="B4141" s="5">
        <v>1</v>
      </c>
    </row>
    <row r="4142" spans="1:2" x14ac:dyDescent="0.35">
      <c r="A4142" s="14">
        <v>42307.85659722222</v>
      </c>
      <c r="B4142" s="5">
        <v>2</v>
      </c>
    </row>
    <row r="4143" spans="1:2" x14ac:dyDescent="0.35">
      <c r="A4143" s="14">
        <v>42307.857060185182</v>
      </c>
      <c r="B4143" s="5">
        <v>1</v>
      </c>
    </row>
    <row r="4144" spans="1:2" x14ac:dyDescent="0.35">
      <c r="A4144" s="14">
        <v>42307.864861111113</v>
      </c>
      <c r="B4144" s="5">
        <v>1</v>
      </c>
    </row>
    <row r="4145" spans="1:2" x14ac:dyDescent="0.35">
      <c r="A4145" s="14">
        <v>42307.87190972222</v>
      </c>
      <c r="B4145" s="5">
        <v>1</v>
      </c>
    </row>
    <row r="4146" spans="1:2" x14ac:dyDescent="0.35">
      <c r="A4146" s="14">
        <v>42307.902442129627</v>
      </c>
      <c r="B4146" s="5">
        <v>1</v>
      </c>
    </row>
    <row r="4147" spans="1:2" x14ac:dyDescent="0.35">
      <c r="A4147" s="14">
        <v>42307.906643518516</v>
      </c>
      <c r="B4147" s="5">
        <v>1</v>
      </c>
    </row>
    <row r="4148" spans="1:2" x14ac:dyDescent="0.35">
      <c r="A4148" s="14">
        <v>42307.928935185184</v>
      </c>
      <c r="B4148" s="5">
        <v>1</v>
      </c>
    </row>
    <row r="4149" spans="1:2" x14ac:dyDescent="0.35">
      <c r="A4149" s="14">
        <v>42307.928969907407</v>
      </c>
      <c r="B4149" s="5">
        <v>1</v>
      </c>
    </row>
    <row r="4150" spans="1:2" x14ac:dyDescent="0.35">
      <c r="A4150" s="14">
        <v>42307.929016203707</v>
      </c>
      <c r="B4150" s="5">
        <v>1</v>
      </c>
    </row>
    <row r="4151" spans="1:2" x14ac:dyDescent="0.35">
      <c r="A4151" s="14">
        <v>42307.929050925923</v>
      </c>
      <c r="B4151" s="5">
        <v>1</v>
      </c>
    </row>
    <row r="4152" spans="1:2" x14ac:dyDescent="0.35">
      <c r="A4152" s="14">
        <v>42307.929097222222</v>
      </c>
      <c r="B4152" s="5">
        <v>1</v>
      </c>
    </row>
    <row r="4153" spans="1:2" x14ac:dyDescent="0.35">
      <c r="A4153" s="14">
        <v>42307.930196759262</v>
      </c>
      <c r="B4153" s="5">
        <v>2</v>
      </c>
    </row>
    <row r="4154" spans="1:2" x14ac:dyDescent="0.35">
      <c r="A4154" s="14">
        <v>42307.931111111109</v>
      </c>
      <c r="B4154" s="5">
        <v>2</v>
      </c>
    </row>
    <row r="4155" spans="1:2" x14ac:dyDescent="0.35">
      <c r="A4155" s="14">
        <v>42307.931192129632</v>
      </c>
      <c r="B4155" s="5">
        <v>2</v>
      </c>
    </row>
    <row r="4156" spans="1:2" x14ac:dyDescent="0.35">
      <c r="A4156" s="14">
        <v>42307.931250000001</v>
      </c>
      <c r="B4156" s="5">
        <v>2</v>
      </c>
    </row>
    <row r="4157" spans="1:2" x14ac:dyDescent="0.35">
      <c r="A4157" s="14">
        <v>42307.931331018517</v>
      </c>
      <c r="B4157" s="5">
        <v>2</v>
      </c>
    </row>
    <row r="4158" spans="1:2" x14ac:dyDescent="0.35">
      <c r="A4158" s="14">
        <v>42307.932268518518</v>
      </c>
      <c r="B4158" s="5">
        <v>1</v>
      </c>
    </row>
    <row r="4159" spans="1:2" x14ac:dyDescent="0.35">
      <c r="A4159" s="14">
        <v>42307.932997685188</v>
      </c>
      <c r="B4159" s="5">
        <v>2</v>
      </c>
    </row>
    <row r="4160" spans="1:2" x14ac:dyDescent="0.35">
      <c r="A4160" s="14">
        <v>42307.934745370374</v>
      </c>
      <c r="B4160" s="5">
        <v>1</v>
      </c>
    </row>
    <row r="4161" spans="1:2" x14ac:dyDescent="0.35">
      <c r="A4161" s="14">
        <v>42307.935277777775</v>
      </c>
      <c r="B4161" s="5">
        <v>2</v>
      </c>
    </row>
    <row r="4162" spans="1:2" x14ac:dyDescent="0.35">
      <c r="A4162" s="14">
        <v>42307.93540509259</v>
      </c>
      <c r="B4162" s="5">
        <v>1</v>
      </c>
    </row>
    <row r="4163" spans="1:2" x14ac:dyDescent="0.35">
      <c r="A4163" s="14">
        <v>42307.935532407406</v>
      </c>
      <c r="B4163" s="5">
        <v>2</v>
      </c>
    </row>
    <row r="4164" spans="1:2" x14ac:dyDescent="0.35">
      <c r="A4164" s="14">
        <v>42307.935613425929</v>
      </c>
      <c r="B4164" s="5">
        <v>1</v>
      </c>
    </row>
    <row r="4165" spans="1:2" x14ac:dyDescent="0.35">
      <c r="A4165" s="14">
        <v>42307.938159722224</v>
      </c>
      <c r="B4165" s="5">
        <v>1</v>
      </c>
    </row>
    <row r="4166" spans="1:2" x14ac:dyDescent="0.35">
      <c r="A4166" s="14">
        <v>42307.97284722222</v>
      </c>
      <c r="B4166" s="5">
        <v>1</v>
      </c>
    </row>
    <row r="4167" spans="1:2" x14ac:dyDescent="0.35">
      <c r="A4167" s="14">
        <v>42307.993101851855</v>
      </c>
      <c r="B4167" s="5">
        <v>1</v>
      </c>
    </row>
    <row r="4168" spans="1:2" x14ac:dyDescent="0.35">
      <c r="A4168" s="14">
        <v>42308.000011574077</v>
      </c>
      <c r="B4168" s="5">
        <v>1</v>
      </c>
    </row>
    <row r="4169" spans="1:2" x14ac:dyDescent="0.35">
      <c r="A4169" s="14">
        <v>42308.087175925924</v>
      </c>
      <c r="B4169" s="5">
        <v>1</v>
      </c>
    </row>
    <row r="4170" spans="1:2" x14ac:dyDescent="0.35">
      <c r="A4170" s="14">
        <v>42308.095601851855</v>
      </c>
      <c r="B4170" s="5">
        <v>1</v>
      </c>
    </row>
    <row r="4171" spans="1:2" x14ac:dyDescent="0.35">
      <c r="A4171" s="14">
        <v>42308.102129629631</v>
      </c>
      <c r="B4171" s="5">
        <v>1</v>
      </c>
    </row>
    <row r="4172" spans="1:2" x14ac:dyDescent="0.35">
      <c r="A4172" s="14">
        <v>42308.112986111111</v>
      </c>
      <c r="B4172" s="5">
        <v>1</v>
      </c>
    </row>
    <row r="4173" spans="1:2" x14ac:dyDescent="0.35">
      <c r="A4173" s="14">
        <v>42308.140138888892</v>
      </c>
      <c r="B4173" s="5">
        <v>1</v>
      </c>
    </row>
    <row r="4174" spans="1:2" x14ac:dyDescent="0.35">
      <c r="A4174" s="14">
        <v>42308.140555555554</v>
      </c>
      <c r="B4174" s="5">
        <v>2</v>
      </c>
    </row>
    <row r="4175" spans="1:2" x14ac:dyDescent="0.35">
      <c r="A4175" s="14">
        <v>42308.147604166668</v>
      </c>
      <c r="B4175" s="5">
        <v>1</v>
      </c>
    </row>
    <row r="4176" spans="1:2" x14ac:dyDescent="0.35">
      <c r="A4176" s="14">
        <v>42308.155497685184</v>
      </c>
      <c r="B4176" s="5">
        <v>1</v>
      </c>
    </row>
    <row r="4177" spans="1:2" x14ac:dyDescent="0.35">
      <c r="A4177" s="14">
        <v>42308.35052083333</v>
      </c>
      <c r="B4177" s="5">
        <v>1</v>
      </c>
    </row>
    <row r="4178" spans="1:2" x14ac:dyDescent="0.35">
      <c r="A4178" s="14">
        <v>42308.65148148148</v>
      </c>
      <c r="B4178" s="5">
        <v>1</v>
      </c>
    </row>
    <row r="4179" spans="1:2" x14ac:dyDescent="0.35">
      <c r="A4179" s="14">
        <v>42308.686851851853</v>
      </c>
      <c r="B4179" s="5">
        <v>1</v>
      </c>
    </row>
    <row r="4180" spans="1:2" x14ac:dyDescent="0.35">
      <c r="A4180" s="14">
        <v>42308.712361111109</v>
      </c>
      <c r="B4180" s="5">
        <v>1</v>
      </c>
    </row>
    <row r="4181" spans="1:2" x14ac:dyDescent="0.35">
      <c r="A4181" s="14">
        <v>42308.723425925928</v>
      </c>
      <c r="B4181" s="5">
        <v>1</v>
      </c>
    </row>
    <row r="4182" spans="1:2" x14ac:dyDescent="0.35">
      <c r="A4182" s="14">
        <v>42308.727569444447</v>
      </c>
      <c r="B4182" s="5">
        <v>1</v>
      </c>
    </row>
    <row r="4183" spans="1:2" x14ac:dyDescent="0.35">
      <c r="A4183" s="14">
        <v>42308.731724537036</v>
      </c>
      <c r="B4183" s="5">
        <v>1</v>
      </c>
    </row>
    <row r="4184" spans="1:2" x14ac:dyDescent="0.35">
      <c r="A4184" s="14">
        <v>42308.745833333334</v>
      </c>
      <c r="B4184" s="5">
        <v>1</v>
      </c>
    </row>
    <row r="4185" spans="1:2" x14ac:dyDescent="0.35">
      <c r="A4185" s="14">
        <v>42308.755046296297</v>
      </c>
      <c r="B4185" s="5">
        <v>1</v>
      </c>
    </row>
    <row r="4186" spans="1:2" x14ac:dyDescent="0.35">
      <c r="A4186" s="14">
        <v>42308.763009259259</v>
      </c>
      <c r="B4186" s="5">
        <v>1</v>
      </c>
    </row>
    <row r="4187" spans="1:2" x14ac:dyDescent="0.35">
      <c r="A4187" s="14">
        <v>42308.764826388891</v>
      </c>
      <c r="B4187" s="5">
        <v>1</v>
      </c>
    </row>
    <row r="4188" spans="1:2" x14ac:dyDescent="0.35">
      <c r="A4188" s="14">
        <v>42308.768321759257</v>
      </c>
      <c r="B4188" s="5">
        <v>1</v>
      </c>
    </row>
    <row r="4189" spans="1:2" x14ac:dyDescent="0.35">
      <c r="A4189" s="14">
        <v>42308.775324074071</v>
      </c>
      <c r="B4189" s="5">
        <v>1</v>
      </c>
    </row>
    <row r="4190" spans="1:2" x14ac:dyDescent="0.35">
      <c r="A4190" s="14">
        <v>42308.776469907411</v>
      </c>
      <c r="B4190" s="5">
        <v>1</v>
      </c>
    </row>
    <row r="4191" spans="1:2" x14ac:dyDescent="0.35">
      <c r="A4191" s="14">
        <v>42308.786030092589</v>
      </c>
      <c r="B4191" s="5">
        <v>1</v>
      </c>
    </row>
    <row r="4192" spans="1:2" x14ac:dyDescent="0.35">
      <c r="A4192" s="14">
        <v>42308.791018518517</v>
      </c>
      <c r="B4192" s="5">
        <v>1</v>
      </c>
    </row>
    <row r="4193" spans="1:2" x14ac:dyDescent="0.35">
      <c r="A4193" s="14">
        <v>42308.791319444441</v>
      </c>
      <c r="B4193" s="5">
        <v>1</v>
      </c>
    </row>
    <row r="4194" spans="1:2" x14ac:dyDescent="0.35">
      <c r="A4194" s="14">
        <v>42308.827256944445</v>
      </c>
      <c r="B4194" s="5">
        <v>1</v>
      </c>
    </row>
    <row r="4195" spans="1:2" x14ac:dyDescent="0.35">
      <c r="A4195" s="14">
        <v>42308.828657407408</v>
      </c>
      <c r="B4195" s="5">
        <v>1</v>
      </c>
    </row>
    <row r="4196" spans="1:2" x14ac:dyDescent="0.35">
      <c r="A4196" s="14">
        <v>42308.864872685182</v>
      </c>
      <c r="B4196" s="5">
        <v>1</v>
      </c>
    </row>
    <row r="4197" spans="1:2" x14ac:dyDescent="0.35">
      <c r="A4197" s="14">
        <v>42308.865057870367</v>
      </c>
      <c r="B4197" s="5">
        <v>2</v>
      </c>
    </row>
    <row r="4198" spans="1:2" x14ac:dyDescent="0.35">
      <c r="A4198" s="14">
        <v>42308.892488425925</v>
      </c>
      <c r="B4198" s="5">
        <v>1</v>
      </c>
    </row>
    <row r="4199" spans="1:2" x14ac:dyDescent="0.35">
      <c r="A4199" s="14">
        <v>42308.894687499997</v>
      </c>
      <c r="B4199" s="5">
        <v>1</v>
      </c>
    </row>
    <row r="4200" spans="1:2" x14ac:dyDescent="0.35">
      <c r="A4200" s="14">
        <v>42308.933171296296</v>
      </c>
      <c r="B4200" s="5">
        <v>1</v>
      </c>
    </row>
    <row r="4201" spans="1:2" x14ac:dyDescent="0.35">
      <c r="A4201" s="14">
        <v>42308.978078703702</v>
      </c>
      <c r="B4201" s="5">
        <v>1</v>
      </c>
    </row>
    <row r="4202" spans="1:2" x14ac:dyDescent="0.35">
      <c r="A4202" s="14">
        <v>42309.051469907405</v>
      </c>
      <c r="B4202" s="5">
        <v>1</v>
      </c>
    </row>
    <row r="4203" spans="1:2" x14ac:dyDescent="0.35">
      <c r="A4203" s="14">
        <v>42309.101782407408</v>
      </c>
      <c r="B4203" s="5">
        <v>1</v>
      </c>
    </row>
    <row r="4204" spans="1:2" x14ac:dyDescent="0.35">
      <c r="A4204" s="14">
        <v>42309.108356481483</v>
      </c>
      <c r="B4204" s="5">
        <v>1</v>
      </c>
    </row>
    <row r="4205" spans="1:2" x14ac:dyDescent="0.35">
      <c r="A4205" s="14">
        <v>42309.595347222225</v>
      </c>
      <c r="B4205" s="5">
        <v>1</v>
      </c>
    </row>
    <row r="4206" spans="1:2" x14ac:dyDescent="0.35">
      <c r="A4206" s="14">
        <v>42309.604247685187</v>
      </c>
      <c r="B4206" s="5">
        <v>1</v>
      </c>
    </row>
    <row r="4207" spans="1:2" x14ac:dyDescent="0.35">
      <c r="A4207" s="14">
        <v>42309.69568287037</v>
      </c>
      <c r="B4207" s="5">
        <v>1</v>
      </c>
    </row>
    <row r="4208" spans="1:2" x14ac:dyDescent="0.35">
      <c r="A4208" s="14">
        <v>42309.703981481478</v>
      </c>
      <c r="B4208" s="5">
        <v>1</v>
      </c>
    </row>
    <row r="4209" spans="1:2" x14ac:dyDescent="0.35">
      <c r="A4209" s="14">
        <v>42309.704953703702</v>
      </c>
      <c r="B4209" s="5">
        <v>1</v>
      </c>
    </row>
    <row r="4210" spans="1:2" x14ac:dyDescent="0.35">
      <c r="A4210" s="14">
        <v>42309.709560185183</v>
      </c>
      <c r="B4210" s="5">
        <v>1</v>
      </c>
    </row>
    <row r="4211" spans="1:2" x14ac:dyDescent="0.35">
      <c r="A4211" s="14">
        <v>42309.710092592592</v>
      </c>
      <c r="B4211" s="5">
        <v>1</v>
      </c>
    </row>
    <row r="4212" spans="1:2" x14ac:dyDescent="0.35">
      <c r="A4212" s="14">
        <v>42309.710138888891</v>
      </c>
      <c r="B4212" s="5">
        <v>1</v>
      </c>
    </row>
    <row r="4213" spans="1:2" x14ac:dyDescent="0.35">
      <c r="A4213" s="14">
        <v>42309.710219907407</v>
      </c>
      <c r="B4213" s="5">
        <v>1</v>
      </c>
    </row>
    <row r="4214" spans="1:2" x14ac:dyDescent="0.35">
      <c r="A4214" s="14">
        <v>42309.710324074076</v>
      </c>
      <c r="B4214" s="5">
        <v>1</v>
      </c>
    </row>
    <row r="4215" spans="1:2" x14ac:dyDescent="0.35">
      <c r="A4215" s="14">
        <v>42309.710393518515</v>
      </c>
      <c r="B4215" s="5">
        <v>2</v>
      </c>
    </row>
    <row r="4216" spans="1:2" x14ac:dyDescent="0.35">
      <c r="A4216" s="14">
        <v>42309.710729166669</v>
      </c>
      <c r="B4216" s="5">
        <v>2</v>
      </c>
    </row>
    <row r="4217" spans="1:2" x14ac:dyDescent="0.35">
      <c r="A4217" s="14">
        <v>42309.710949074077</v>
      </c>
      <c r="B4217" s="5">
        <v>2</v>
      </c>
    </row>
    <row r="4218" spans="1:2" x14ac:dyDescent="0.35">
      <c r="A4218" s="14">
        <v>42309.711041666669</v>
      </c>
      <c r="B4218" s="5">
        <v>2</v>
      </c>
    </row>
    <row r="4219" spans="1:2" x14ac:dyDescent="0.35">
      <c r="A4219" s="14">
        <v>42309.71162037037</v>
      </c>
      <c r="B4219" s="5">
        <v>2</v>
      </c>
    </row>
    <row r="4220" spans="1:2" x14ac:dyDescent="0.35">
      <c r="A4220" s="14">
        <v>42309.711944444447</v>
      </c>
      <c r="B4220" s="5">
        <v>1</v>
      </c>
    </row>
    <row r="4221" spans="1:2" x14ac:dyDescent="0.35">
      <c r="A4221" s="14">
        <v>42309.712037037039</v>
      </c>
      <c r="B4221" s="5">
        <v>2</v>
      </c>
    </row>
    <row r="4222" spans="1:2" x14ac:dyDescent="0.35">
      <c r="A4222" s="14">
        <v>42309.712129629632</v>
      </c>
      <c r="B4222" s="5">
        <v>1</v>
      </c>
    </row>
    <row r="4223" spans="1:2" x14ac:dyDescent="0.35">
      <c r="A4223" s="14">
        <v>42309.712453703702</v>
      </c>
      <c r="B4223" s="5">
        <v>1</v>
      </c>
    </row>
    <row r="4224" spans="1:2" x14ac:dyDescent="0.35">
      <c r="A4224" s="14">
        <v>42309.712523148148</v>
      </c>
      <c r="B4224" s="5">
        <v>2</v>
      </c>
    </row>
    <row r="4225" spans="1:2" x14ac:dyDescent="0.35">
      <c r="A4225" s="14">
        <v>42309.712581018517</v>
      </c>
      <c r="B4225" s="5">
        <v>1</v>
      </c>
    </row>
    <row r="4226" spans="1:2" x14ac:dyDescent="0.35">
      <c r="A4226" s="14">
        <v>42309.712685185186</v>
      </c>
      <c r="B4226" s="5">
        <v>2</v>
      </c>
    </row>
    <row r="4227" spans="1:2" x14ac:dyDescent="0.35">
      <c r="A4227" s="14">
        <v>42309.713206018518</v>
      </c>
      <c r="B4227" s="5">
        <v>1</v>
      </c>
    </row>
    <row r="4228" spans="1:2" x14ac:dyDescent="0.35">
      <c r="A4228" s="14">
        <v>42309.713263888887</v>
      </c>
      <c r="B4228" s="5">
        <v>2</v>
      </c>
    </row>
    <row r="4229" spans="1:2" x14ac:dyDescent="0.35">
      <c r="A4229" s="14">
        <v>42309.715567129628</v>
      </c>
      <c r="B4229" s="5">
        <v>1</v>
      </c>
    </row>
    <row r="4230" spans="1:2" x14ac:dyDescent="0.35">
      <c r="A4230" s="14">
        <v>42309.715682870374</v>
      </c>
      <c r="B4230" s="5">
        <v>2</v>
      </c>
    </row>
    <row r="4231" spans="1:2" x14ac:dyDescent="0.35">
      <c r="A4231" s="14">
        <v>42309.725046296298</v>
      </c>
      <c r="B4231" s="5">
        <v>1</v>
      </c>
    </row>
    <row r="4232" spans="1:2" x14ac:dyDescent="0.35">
      <c r="A4232" s="14">
        <v>42309.734861111108</v>
      </c>
      <c r="B4232" s="5">
        <v>1</v>
      </c>
    </row>
    <row r="4233" spans="1:2" x14ac:dyDescent="0.35">
      <c r="A4233" s="14">
        <v>42309.808298611111</v>
      </c>
      <c r="B4233" s="5">
        <v>1</v>
      </c>
    </row>
    <row r="4234" spans="1:2" x14ac:dyDescent="0.35">
      <c r="A4234" s="14">
        <v>42309.810127314813</v>
      </c>
      <c r="B4234" s="5">
        <v>2</v>
      </c>
    </row>
    <row r="4235" spans="1:2" x14ac:dyDescent="0.35">
      <c r="A4235" s="14">
        <v>42309.822870370372</v>
      </c>
      <c r="B4235" s="5">
        <v>1</v>
      </c>
    </row>
    <row r="4236" spans="1:2" x14ac:dyDescent="0.35">
      <c r="A4236" s="14">
        <v>42309.823587962965</v>
      </c>
      <c r="B4236" s="5">
        <v>1</v>
      </c>
    </row>
    <row r="4237" spans="1:2" x14ac:dyDescent="0.35">
      <c r="A4237" s="14">
        <v>42309.824861111112</v>
      </c>
      <c r="B4237" s="5">
        <v>1</v>
      </c>
    </row>
    <row r="4238" spans="1:2" x14ac:dyDescent="0.35">
      <c r="A4238" s="14">
        <v>42309.843912037039</v>
      </c>
      <c r="B4238" s="5">
        <v>1</v>
      </c>
    </row>
    <row r="4239" spans="1:2" x14ac:dyDescent="0.35">
      <c r="A4239" s="14">
        <v>42309.862604166665</v>
      </c>
      <c r="B4239" s="5">
        <v>1</v>
      </c>
    </row>
    <row r="4240" spans="1:2" x14ac:dyDescent="0.35">
      <c r="A4240" s="14">
        <v>42309.86886574074</v>
      </c>
      <c r="B4240" s="5">
        <v>1</v>
      </c>
    </row>
    <row r="4241" spans="1:2" x14ac:dyDescent="0.35">
      <c r="A4241" s="14">
        <v>42309.884097222224</v>
      </c>
      <c r="B4241" s="5">
        <v>1</v>
      </c>
    </row>
    <row r="4242" spans="1:2" x14ac:dyDescent="0.35">
      <c r="A4242" s="14">
        <v>42309.89329861111</v>
      </c>
      <c r="B4242" s="5">
        <v>1</v>
      </c>
    </row>
    <row r="4243" spans="1:2" x14ac:dyDescent="0.35">
      <c r="A4243" s="14">
        <v>42309.895682870374</v>
      </c>
      <c r="B4243" s="5">
        <v>1</v>
      </c>
    </row>
    <row r="4244" spans="1:2" x14ac:dyDescent="0.35">
      <c r="A4244" s="14">
        <v>42309.931203703702</v>
      </c>
      <c r="B4244" s="5">
        <v>1</v>
      </c>
    </row>
    <row r="4245" spans="1:2" x14ac:dyDescent="0.35">
      <c r="A4245" s="14">
        <v>42309.947256944448</v>
      </c>
      <c r="B4245" s="5">
        <v>1</v>
      </c>
    </row>
    <row r="4246" spans="1:2" x14ac:dyDescent="0.35">
      <c r="A4246" s="14">
        <v>42309.959340277775</v>
      </c>
      <c r="B4246" s="5">
        <v>1</v>
      </c>
    </row>
    <row r="4247" spans="1:2" x14ac:dyDescent="0.35">
      <c r="A4247" s="14">
        <v>42309.984988425924</v>
      </c>
      <c r="B4247" s="5">
        <v>1</v>
      </c>
    </row>
    <row r="4248" spans="1:2" x14ac:dyDescent="0.35">
      <c r="A4248" s="14">
        <v>42309.990231481483</v>
      </c>
      <c r="B4248" s="5">
        <v>1</v>
      </c>
    </row>
    <row r="4249" spans="1:2" x14ac:dyDescent="0.35">
      <c r="A4249" s="14">
        <v>42310.011550925927</v>
      </c>
      <c r="B4249" s="5">
        <v>1</v>
      </c>
    </row>
    <row r="4250" spans="1:2" x14ac:dyDescent="0.35">
      <c r="A4250" s="14">
        <v>42310.031944444447</v>
      </c>
      <c r="B4250" s="5">
        <v>1</v>
      </c>
    </row>
    <row r="4251" spans="1:2" x14ac:dyDescent="0.35">
      <c r="A4251" s="14">
        <v>42310.037094907406</v>
      </c>
      <c r="B4251" s="5">
        <v>1</v>
      </c>
    </row>
    <row r="4252" spans="1:2" x14ac:dyDescent="0.35">
      <c r="A4252" s="14">
        <v>42310.080509259256</v>
      </c>
      <c r="B4252" s="5">
        <v>1</v>
      </c>
    </row>
    <row r="4253" spans="1:2" x14ac:dyDescent="0.35">
      <c r="A4253" s="14">
        <v>42310.082256944443</v>
      </c>
      <c r="B4253" s="5">
        <v>1</v>
      </c>
    </row>
    <row r="4254" spans="1:2" x14ac:dyDescent="0.35">
      <c r="A4254" s="14">
        <v>42310.084409722222</v>
      </c>
      <c r="B4254" s="5">
        <v>1</v>
      </c>
    </row>
    <row r="4255" spans="1:2" x14ac:dyDescent="0.35">
      <c r="A4255" s="14">
        <v>42310.095810185187</v>
      </c>
      <c r="B4255" s="5">
        <v>1</v>
      </c>
    </row>
    <row r="4256" spans="1:2" x14ac:dyDescent="0.35">
      <c r="A4256" s="14">
        <v>42310.104710648149</v>
      </c>
      <c r="B4256" s="5">
        <v>1</v>
      </c>
    </row>
    <row r="4257" spans="1:2" x14ac:dyDescent="0.35">
      <c r="A4257" s="14">
        <v>42310.106793981482</v>
      </c>
      <c r="B4257" s="5">
        <v>1</v>
      </c>
    </row>
    <row r="4258" spans="1:2" x14ac:dyDescent="0.35">
      <c r="A4258" s="14">
        <v>42310.111712962964</v>
      </c>
      <c r="B4258" s="5">
        <v>1</v>
      </c>
    </row>
    <row r="4259" spans="1:2" x14ac:dyDescent="0.35">
      <c r="A4259" s="14">
        <v>42310.119363425925</v>
      </c>
      <c r="B4259" s="5">
        <v>1</v>
      </c>
    </row>
    <row r="4260" spans="1:2" x14ac:dyDescent="0.35">
      <c r="A4260" s="14">
        <v>42310.127476851849</v>
      </c>
      <c r="B4260" s="5">
        <v>1</v>
      </c>
    </row>
    <row r="4261" spans="1:2" x14ac:dyDescent="0.35">
      <c r="A4261" s="14">
        <v>42310.14398148148</v>
      </c>
      <c r="B4261" s="5">
        <v>1</v>
      </c>
    </row>
    <row r="4262" spans="1:2" x14ac:dyDescent="0.35">
      <c r="A4262" s="14">
        <v>42310.144756944443</v>
      </c>
      <c r="B4262" s="5">
        <v>1</v>
      </c>
    </row>
    <row r="4263" spans="1:2" x14ac:dyDescent="0.35">
      <c r="A4263" s="14">
        <v>42310.151944444442</v>
      </c>
      <c r="B4263" s="5">
        <v>1</v>
      </c>
    </row>
    <row r="4264" spans="1:2" x14ac:dyDescent="0.35">
      <c r="A4264" s="14">
        <v>42310.154895833337</v>
      </c>
      <c r="B4264" s="5">
        <v>1</v>
      </c>
    </row>
    <row r="4265" spans="1:2" x14ac:dyDescent="0.35">
      <c r="A4265" s="14">
        <v>42310.166516203702</v>
      </c>
      <c r="B4265" s="5">
        <v>1</v>
      </c>
    </row>
    <row r="4266" spans="1:2" x14ac:dyDescent="0.35">
      <c r="A4266" s="14">
        <v>42310.173078703701</v>
      </c>
      <c r="B4266" s="5">
        <v>1</v>
      </c>
    </row>
    <row r="4267" spans="1:2" x14ac:dyDescent="0.35">
      <c r="A4267" s="14">
        <v>42310.17664351852</v>
      </c>
      <c r="B4267" s="5">
        <v>1</v>
      </c>
    </row>
    <row r="4268" spans="1:2" x14ac:dyDescent="0.35">
      <c r="A4268" s="14">
        <v>42310.260682870372</v>
      </c>
      <c r="B4268" s="5">
        <v>1</v>
      </c>
    </row>
    <row r="4269" spans="1:2" x14ac:dyDescent="0.35">
      <c r="A4269" s="14">
        <v>42310.32403935185</v>
      </c>
      <c r="B4269" s="5">
        <v>1</v>
      </c>
    </row>
    <row r="4270" spans="1:2" x14ac:dyDescent="0.35">
      <c r="A4270" s="14">
        <v>42310.570740740739</v>
      </c>
      <c r="B4270" s="5">
        <v>1</v>
      </c>
    </row>
    <row r="4271" spans="1:2" x14ac:dyDescent="0.35">
      <c r="A4271" s="14">
        <v>42310.581284722219</v>
      </c>
      <c r="B4271" s="5">
        <v>1</v>
      </c>
    </row>
    <row r="4272" spans="1:2" x14ac:dyDescent="0.35">
      <c r="A4272" s="14">
        <v>42310.608969907407</v>
      </c>
      <c r="B4272" s="5">
        <v>1</v>
      </c>
    </row>
    <row r="4273" spans="1:2" x14ac:dyDescent="0.35">
      <c r="A4273" s="14">
        <v>42310.631643518522</v>
      </c>
      <c r="B4273" s="5">
        <v>1</v>
      </c>
    </row>
    <row r="4274" spans="1:2" x14ac:dyDescent="0.35">
      <c r="A4274" s="14">
        <v>42310.63758101852</v>
      </c>
      <c r="B4274" s="5">
        <v>1</v>
      </c>
    </row>
    <row r="4275" spans="1:2" x14ac:dyDescent="0.35">
      <c r="A4275" s="14">
        <v>42310.640856481485</v>
      </c>
      <c r="B4275" s="5">
        <v>1</v>
      </c>
    </row>
    <row r="4276" spans="1:2" x14ac:dyDescent="0.35">
      <c r="A4276" s="14">
        <v>42310.64340277778</v>
      </c>
      <c r="B4276" s="5">
        <v>1</v>
      </c>
    </row>
    <row r="4277" spans="1:2" x14ac:dyDescent="0.35">
      <c r="A4277" s="14">
        <v>42310.644490740742</v>
      </c>
      <c r="B4277" s="5">
        <v>1</v>
      </c>
    </row>
    <row r="4278" spans="1:2" x14ac:dyDescent="0.35">
      <c r="A4278" s="14">
        <v>42310.65121527778</v>
      </c>
      <c r="B4278" s="5">
        <v>1</v>
      </c>
    </row>
    <row r="4279" spans="1:2" x14ac:dyDescent="0.35">
      <c r="A4279" s="14">
        <v>42310.655972222223</v>
      </c>
      <c r="B4279" s="5">
        <v>1</v>
      </c>
    </row>
    <row r="4280" spans="1:2" x14ac:dyDescent="0.35">
      <c r="A4280" s="14">
        <v>42310.658715277779</v>
      </c>
      <c r="B4280" s="5">
        <v>1</v>
      </c>
    </row>
    <row r="4281" spans="1:2" x14ac:dyDescent="0.35">
      <c r="A4281" s="14">
        <v>42310.659918981481</v>
      </c>
      <c r="B4281" s="5">
        <v>1</v>
      </c>
    </row>
    <row r="4282" spans="1:2" x14ac:dyDescent="0.35">
      <c r="A4282" s="14">
        <v>42310.664131944446</v>
      </c>
      <c r="B4282" s="5">
        <v>1</v>
      </c>
    </row>
    <row r="4283" spans="1:2" x14ac:dyDescent="0.35">
      <c r="A4283" s="14">
        <v>42310.672013888892</v>
      </c>
      <c r="B4283" s="5">
        <v>1</v>
      </c>
    </row>
    <row r="4284" spans="1:2" x14ac:dyDescent="0.35">
      <c r="A4284" s="14">
        <v>42310.679710648146</v>
      </c>
      <c r="B4284" s="5">
        <v>1</v>
      </c>
    </row>
    <row r="4285" spans="1:2" x14ac:dyDescent="0.35">
      <c r="A4285" s="14">
        <v>42310.680763888886</v>
      </c>
      <c r="B4285" s="5">
        <v>1</v>
      </c>
    </row>
    <row r="4286" spans="1:2" x14ac:dyDescent="0.35">
      <c r="A4286" s="14">
        <v>42310.680844907409</v>
      </c>
      <c r="B4286" s="5">
        <v>1</v>
      </c>
    </row>
    <row r="4287" spans="1:2" x14ac:dyDescent="0.35">
      <c r="A4287" s="14">
        <v>42310.680856481478</v>
      </c>
      <c r="B4287" s="5">
        <v>1</v>
      </c>
    </row>
    <row r="4288" spans="1:2" x14ac:dyDescent="0.35">
      <c r="A4288" s="14">
        <v>42310.682905092595</v>
      </c>
      <c r="B4288" s="5">
        <v>1</v>
      </c>
    </row>
    <row r="4289" spans="1:2" x14ac:dyDescent="0.35">
      <c r="A4289" s="14">
        <v>42310.688125000001</v>
      </c>
      <c r="B4289" s="5">
        <v>1</v>
      </c>
    </row>
    <row r="4290" spans="1:2" x14ac:dyDescent="0.35">
      <c r="A4290" s="14">
        <v>42310.692291666666</v>
      </c>
      <c r="B4290" s="5">
        <v>1</v>
      </c>
    </row>
    <row r="4291" spans="1:2" x14ac:dyDescent="0.35">
      <c r="A4291" s="14">
        <v>42310.697997685187</v>
      </c>
      <c r="B4291" s="5">
        <v>1</v>
      </c>
    </row>
    <row r="4292" spans="1:2" x14ac:dyDescent="0.35">
      <c r="A4292" s="14">
        <v>42310.706909722219</v>
      </c>
      <c r="B4292" s="5">
        <v>1</v>
      </c>
    </row>
    <row r="4293" spans="1:2" x14ac:dyDescent="0.35">
      <c r="A4293" s="14">
        <v>42310.707129629627</v>
      </c>
      <c r="B4293" s="5">
        <v>1</v>
      </c>
    </row>
    <row r="4294" spans="1:2" x14ac:dyDescent="0.35">
      <c r="A4294" s="14">
        <v>42310.711284722223</v>
      </c>
      <c r="B4294" s="5">
        <v>1</v>
      </c>
    </row>
    <row r="4295" spans="1:2" x14ac:dyDescent="0.35">
      <c r="A4295" s="14">
        <v>42310.712696759256</v>
      </c>
      <c r="B4295" s="5">
        <v>1</v>
      </c>
    </row>
    <row r="4296" spans="1:2" x14ac:dyDescent="0.35">
      <c r="A4296" s="14">
        <v>42310.714479166665</v>
      </c>
      <c r="B4296" s="5">
        <v>1</v>
      </c>
    </row>
    <row r="4297" spans="1:2" x14ac:dyDescent="0.35">
      <c r="A4297" s="14">
        <v>42310.717256944445</v>
      </c>
      <c r="B4297" s="5">
        <v>1</v>
      </c>
    </row>
    <row r="4298" spans="1:2" x14ac:dyDescent="0.35">
      <c r="A4298" s="14">
        <v>42310.718217592592</v>
      </c>
      <c r="B4298" s="5">
        <v>1</v>
      </c>
    </row>
    <row r="4299" spans="1:2" x14ac:dyDescent="0.35">
      <c r="A4299" s="14">
        <v>42310.735324074078</v>
      </c>
      <c r="B4299" s="5">
        <v>1</v>
      </c>
    </row>
    <row r="4300" spans="1:2" x14ac:dyDescent="0.35">
      <c r="A4300" s="14">
        <v>42310.73678240741</v>
      </c>
      <c r="B4300" s="5">
        <v>1</v>
      </c>
    </row>
    <row r="4301" spans="1:2" x14ac:dyDescent="0.35">
      <c r="A4301" s="14">
        <v>42310.742962962962</v>
      </c>
      <c r="B4301" s="5">
        <v>1</v>
      </c>
    </row>
    <row r="4302" spans="1:2" x14ac:dyDescent="0.35">
      <c r="A4302" s="14">
        <v>42310.74690972222</v>
      </c>
      <c r="B4302" s="5">
        <v>1</v>
      </c>
    </row>
    <row r="4303" spans="1:2" x14ac:dyDescent="0.35">
      <c r="A4303" s="14">
        <v>42310.752754629626</v>
      </c>
      <c r="B4303" s="5">
        <v>1</v>
      </c>
    </row>
    <row r="4304" spans="1:2" x14ac:dyDescent="0.35">
      <c r="A4304" s="14">
        <v>42310.762708333335</v>
      </c>
      <c r="B4304" s="5">
        <v>1</v>
      </c>
    </row>
    <row r="4305" spans="1:2" x14ac:dyDescent="0.35">
      <c r="A4305" s="14">
        <v>42310.763101851851</v>
      </c>
      <c r="B4305" s="5">
        <v>1</v>
      </c>
    </row>
    <row r="4306" spans="1:2" x14ac:dyDescent="0.35">
      <c r="A4306" s="14">
        <v>42310.76357638889</v>
      </c>
      <c r="B4306" s="5">
        <v>1</v>
      </c>
    </row>
    <row r="4307" spans="1:2" x14ac:dyDescent="0.35">
      <c r="A4307" s="14">
        <v>42310.769571759258</v>
      </c>
      <c r="B4307" s="5">
        <v>1</v>
      </c>
    </row>
    <row r="4308" spans="1:2" x14ac:dyDescent="0.35">
      <c r="A4308" s="14">
        <v>42310.772974537038</v>
      </c>
      <c r="B4308" s="5">
        <v>1</v>
      </c>
    </row>
    <row r="4309" spans="1:2" x14ac:dyDescent="0.35">
      <c r="A4309" s="14">
        <v>42310.775381944448</v>
      </c>
      <c r="B4309" s="5">
        <v>1</v>
      </c>
    </row>
    <row r="4310" spans="1:2" x14ac:dyDescent="0.35">
      <c r="A4310" s="14">
        <v>42310.775555555556</v>
      </c>
      <c r="B4310" s="5">
        <v>1</v>
      </c>
    </row>
    <row r="4311" spans="1:2" x14ac:dyDescent="0.35">
      <c r="A4311" s="14">
        <v>42310.776597222219</v>
      </c>
      <c r="B4311" s="5">
        <v>1</v>
      </c>
    </row>
    <row r="4312" spans="1:2" x14ac:dyDescent="0.35">
      <c r="A4312" s="14">
        <v>42310.78429398148</v>
      </c>
      <c r="B4312" s="5">
        <v>1</v>
      </c>
    </row>
    <row r="4313" spans="1:2" x14ac:dyDescent="0.35">
      <c r="A4313" s="14">
        <v>42310.790833333333</v>
      </c>
      <c r="B4313" s="5">
        <v>1</v>
      </c>
    </row>
    <row r="4314" spans="1:2" x14ac:dyDescent="0.35">
      <c r="A4314" s="14">
        <v>42310.794745370367</v>
      </c>
      <c r="B4314" s="5">
        <v>1</v>
      </c>
    </row>
    <row r="4315" spans="1:2" x14ac:dyDescent="0.35">
      <c r="A4315" s="14">
        <v>42310.798703703702</v>
      </c>
      <c r="B4315" s="5">
        <v>1</v>
      </c>
    </row>
    <row r="4316" spans="1:2" x14ac:dyDescent="0.35">
      <c r="A4316" s="14">
        <v>42310.799502314818</v>
      </c>
      <c r="B4316" s="5">
        <v>2</v>
      </c>
    </row>
    <row r="4317" spans="1:2" x14ac:dyDescent="0.35">
      <c r="A4317" s="14">
        <v>42310.801018518519</v>
      </c>
      <c r="B4317" s="5">
        <v>1</v>
      </c>
    </row>
    <row r="4318" spans="1:2" x14ac:dyDescent="0.35">
      <c r="A4318" s="14">
        <v>42310.802372685182</v>
      </c>
      <c r="B4318" s="5">
        <v>1</v>
      </c>
    </row>
    <row r="4319" spans="1:2" x14ac:dyDescent="0.35">
      <c r="A4319" s="14">
        <v>42310.808437500003</v>
      </c>
      <c r="B4319" s="5">
        <v>1</v>
      </c>
    </row>
    <row r="4320" spans="1:2" x14ac:dyDescent="0.35">
      <c r="A4320" s="14">
        <v>42310.808564814812</v>
      </c>
      <c r="B4320" s="5">
        <v>1</v>
      </c>
    </row>
    <row r="4321" spans="1:2" x14ac:dyDescent="0.35">
      <c r="A4321" s="14">
        <v>42310.817662037036</v>
      </c>
      <c r="B4321" s="5">
        <v>1</v>
      </c>
    </row>
    <row r="4322" spans="1:2" x14ac:dyDescent="0.35">
      <c r="A4322" s="14">
        <v>42310.81827546296</v>
      </c>
      <c r="B4322" s="5">
        <v>1</v>
      </c>
    </row>
    <row r="4323" spans="1:2" x14ac:dyDescent="0.35">
      <c r="A4323" s="14">
        <v>42310.819594907407</v>
      </c>
      <c r="B4323" s="5">
        <v>1</v>
      </c>
    </row>
    <row r="4324" spans="1:2" x14ac:dyDescent="0.35">
      <c r="A4324" s="14">
        <v>42310.820173611108</v>
      </c>
      <c r="B4324" s="5">
        <v>1</v>
      </c>
    </row>
    <row r="4325" spans="1:2" x14ac:dyDescent="0.35">
      <c r="A4325" s="14">
        <v>42310.821666666663</v>
      </c>
      <c r="B4325" s="5">
        <v>1</v>
      </c>
    </row>
    <row r="4326" spans="1:2" x14ac:dyDescent="0.35">
      <c r="A4326" s="14">
        <v>42310.831134259257</v>
      </c>
      <c r="B4326" s="5">
        <v>1</v>
      </c>
    </row>
    <row r="4327" spans="1:2" x14ac:dyDescent="0.35">
      <c r="A4327" s="14">
        <v>42310.831377314818</v>
      </c>
      <c r="B4327" s="5">
        <v>1</v>
      </c>
    </row>
    <row r="4328" spans="1:2" x14ac:dyDescent="0.35">
      <c r="A4328" s="14">
        <v>42310.836331018516</v>
      </c>
      <c r="B4328" s="5">
        <v>1</v>
      </c>
    </row>
    <row r="4329" spans="1:2" x14ac:dyDescent="0.35">
      <c r="A4329" s="14">
        <v>42310.836481481485</v>
      </c>
      <c r="B4329" s="5">
        <v>1</v>
      </c>
    </row>
    <row r="4330" spans="1:2" x14ac:dyDescent="0.35">
      <c r="A4330" s="14">
        <v>42310.868194444447</v>
      </c>
      <c r="B4330" s="5">
        <v>1</v>
      </c>
    </row>
    <row r="4331" spans="1:2" x14ac:dyDescent="0.35">
      <c r="A4331" s="14">
        <v>42310.884039351855</v>
      </c>
      <c r="B4331" s="5">
        <v>1</v>
      </c>
    </row>
    <row r="4332" spans="1:2" x14ac:dyDescent="0.35">
      <c r="A4332" s="14">
        <v>42310.887094907404</v>
      </c>
      <c r="B4332" s="5">
        <v>1</v>
      </c>
    </row>
    <row r="4333" spans="1:2" x14ac:dyDescent="0.35">
      <c r="A4333" s="14">
        <v>42310.88890046296</v>
      </c>
      <c r="B4333" s="5">
        <v>1</v>
      </c>
    </row>
    <row r="4334" spans="1:2" x14ac:dyDescent="0.35">
      <c r="A4334" s="14">
        <v>42310.894212962965</v>
      </c>
      <c r="B4334" s="5">
        <v>1</v>
      </c>
    </row>
    <row r="4335" spans="1:2" x14ac:dyDescent="0.35">
      <c r="A4335" s="14">
        <v>42310.907523148147</v>
      </c>
      <c r="B4335" s="5">
        <v>1</v>
      </c>
    </row>
    <row r="4336" spans="1:2" x14ac:dyDescent="0.35">
      <c r="A4336" s="14">
        <v>42310.914201388892</v>
      </c>
      <c r="B4336" s="5">
        <v>1</v>
      </c>
    </row>
    <row r="4337" spans="1:2" x14ac:dyDescent="0.35">
      <c r="A4337" s="14">
        <v>42310.919432870367</v>
      </c>
      <c r="B4337" s="5">
        <v>1</v>
      </c>
    </row>
    <row r="4338" spans="1:2" x14ac:dyDescent="0.35">
      <c r="A4338" s="14">
        <v>42310.925821759258</v>
      </c>
      <c r="B4338" s="5">
        <v>1</v>
      </c>
    </row>
    <row r="4339" spans="1:2" x14ac:dyDescent="0.35">
      <c r="A4339" s="14">
        <v>42310.926979166667</v>
      </c>
      <c r="B4339" s="5">
        <v>1</v>
      </c>
    </row>
    <row r="4340" spans="1:2" x14ac:dyDescent="0.35">
      <c r="A4340" s="14">
        <v>42310.929467592592</v>
      </c>
      <c r="B4340" s="5">
        <v>1</v>
      </c>
    </row>
    <row r="4341" spans="1:2" x14ac:dyDescent="0.35">
      <c r="A4341" s="14">
        <v>42310.932766203703</v>
      </c>
      <c r="B4341" s="5">
        <v>1</v>
      </c>
    </row>
    <row r="4342" spans="1:2" x14ac:dyDescent="0.35">
      <c r="A4342" s="14">
        <v>42310.94159722222</v>
      </c>
      <c r="B4342" s="5">
        <v>1</v>
      </c>
    </row>
    <row r="4343" spans="1:2" x14ac:dyDescent="0.35">
      <c r="A4343" s="14">
        <v>42310.955081018517</v>
      </c>
      <c r="B4343" s="5">
        <v>1</v>
      </c>
    </row>
    <row r="4344" spans="1:2" x14ac:dyDescent="0.35">
      <c r="A4344" s="14">
        <v>42310.955787037034</v>
      </c>
      <c r="B4344" s="5">
        <v>1</v>
      </c>
    </row>
    <row r="4345" spans="1:2" x14ac:dyDescent="0.35">
      <c r="A4345" s="14">
        <v>42310.956701388888</v>
      </c>
      <c r="B4345" s="5">
        <v>1</v>
      </c>
    </row>
    <row r="4346" spans="1:2" x14ac:dyDescent="0.35">
      <c r="A4346" s="14">
        <v>42310.957268518519</v>
      </c>
      <c r="B4346" s="5">
        <v>1</v>
      </c>
    </row>
    <row r="4347" spans="1:2" x14ac:dyDescent="0.35">
      <c r="A4347" s="14">
        <v>42310.95815972222</v>
      </c>
      <c r="B4347" s="5">
        <v>1</v>
      </c>
    </row>
    <row r="4348" spans="1:2" x14ac:dyDescent="0.35">
      <c r="A4348" s="14">
        <v>42310.958518518521</v>
      </c>
      <c r="B4348" s="5">
        <v>1</v>
      </c>
    </row>
    <row r="4349" spans="1:2" x14ac:dyDescent="0.35">
      <c r="A4349" s="14">
        <v>42310.959652777776</v>
      </c>
      <c r="B4349" s="5">
        <v>1</v>
      </c>
    </row>
    <row r="4350" spans="1:2" x14ac:dyDescent="0.35">
      <c r="A4350" s="14">
        <v>42310.961157407408</v>
      </c>
      <c r="B4350" s="5">
        <v>1</v>
      </c>
    </row>
    <row r="4351" spans="1:2" x14ac:dyDescent="0.35">
      <c r="A4351" s="14">
        <v>42310.990254629629</v>
      </c>
      <c r="B4351" s="5">
        <v>1</v>
      </c>
    </row>
    <row r="4352" spans="1:2" x14ac:dyDescent="0.35">
      <c r="A4352" s="14">
        <v>42311.02</v>
      </c>
      <c r="B4352" s="5">
        <v>1</v>
      </c>
    </row>
    <row r="4353" spans="1:2" x14ac:dyDescent="0.35">
      <c r="A4353" s="14">
        <v>42311.021770833337</v>
      </c>
      <c r="B4353" s="5">
        <v>1</v>
      </c>
    </row>
    <row r="4354" spans="1:2" x14ac:dyDescent="0.35">
      <c r="A4354" s="14">
        <v>42311.023564814815</v>
      </c>
      <c r="B4354" s="5">
        <v>1</v>
      </c>
    </row>
    <row r="4355" spans="1:2" x14ac:dyDescent="0.35">
      <c r="A4355" s="14">
        <v>42311.028171296297</v>
      </c>
      <c r="B4355" s="5">
        <v>1</v>
      </c>
    </row>
    <row r="4356" spans="1:2" x14ac:dyDescent="0.35">
      <c r="A4356" s="14">
        <v>42311.028182870374</v>
      </c>
      <c r="B4356" s="5">
        <v>1</v>
      </c>
    </row>
    <row r="4357" spans="1:2" x14ac:dyDescent="0.35">
      <c r="A4357" s="14">
        <v>42311.028379629628</v>
      </c>
      <c r="B4357" s="5">
        <v>1</v>
      </c>
    </row>
    <row r="4358" spans="1:2" x14ac:dyDescent="0.35">
      <c r="A4358" s="14">
        <v>42311.030891203707</v>
      </c>
      <c r="B4358" s="5">
        <v>1</v>
      </c>
    </row>
    <row r="4359" spans="1:2" x14ac:dyDescent="0.35">
      <c r="A4359" s="14">
        <v>42311.035046296296</v>
      </c>
      <c r="B4359" s="5">
        <v>2</v>
      </c>
    </row>
    <row r="4360" spans="1:2" x14ac:dyDescent="0.35">
      <c r="A4360" s="14">
        <v>42311.036087962966</v>
      </c>
      <c r="B4360" s="5">
        <v>1</v>
      </c>
    </row>
    <row r="4361" spans="1:2" x14ac:dyDescent="0.35">
      <c r="A4361" s="14">
        <v>42311.050115740742</v>
      </c>
      <c r="B4361" s="5">
        <v>1</v>
      </c>
    </row>
    <row r="4362" spans="1:2" x14ac:dyDescent="0.35">
      <c r="A4362" s="14">
        <v>42311.051886574074</v>
      </c>
      <c r="B4362" s="5">
        <v>1</v>
      </c>
    </row>
    <row r="4363" spans="1:2" x14ac:dyDescent="0.35">
      <c r="A4363" s="14">
        <v>42311.057303240741</v>
      </c>
      <c r="B4363" s="5">
        <v>1</v>
      </c>
    </row>
    <row r="4364" spans="1:2" x14ac:dyDescent="0.35">
      <c r="A4364" s="14">
        <v>42311.066203703704</v>
      </c>
      <c r="B4364" s="5">
        <v>1</v>
      </c>
    </row>
    <row r="4365" spans="1:2" x14ac:dyDescent="0.35">
      <c r="A4365" s="14">
        <v>42311.077905092592</v>
      </c>
      <c r="B4365" s="5">
        <v>1</v>
      </c>
    </row>
    <row r="4366" spans="1:2" x14ac:dyDescent="0.35">
      <c r="A4366" s="14">
        <v>42311.086087962962</v>
      </c>
      <c r="B4366" s="5">
        <v>1</v>
      </c>
    </row>
    <row r="4367" spans="1:2" x14ac:dyDescent="0.35">
      <c r="A4367" s="14">
        <v>42311.10465277778</v>
      </c>
      <c r="B4367" s="5">
        <v>1</v>
      </c>
    </row>
    <row r="4368" spans="1:2" x14ac:dyDescent="0.35">
      <c r="A4368" s="14">
        <v>42311.105578703704</v>
      </c>
      <c r="B4368" s="5">
        <v>2</v>
      </c>
    </row>
    <row r="4369" spans="1:2" x14ac:dyDescent="0.35">
      <c r="A4369" s="14">
        <v>42311.135567129626</v>
      </c>
      <c r="B4369" s="5">
        <v>1</v>
      </c>
    </row>
    <row r="4370" spans="1:2" x14ac:dyDescent="0.35">
      <c r="A4370" s="14">
        <v>42311.144606481481</v>
      </c>
      <c r="B4370" s="5">
        <v>1</v>
      </c>
    </row>
    <row r="4371" spans="1:2" x14ac:dyDescent="0.35">
      <c r="A4371" s="14">
        <v>42311.150092592594</v>
      </c>
      <c r="B4371" s="5">
        <v>1</v>
      </c>
    </row>
    <row r="4372" spans="1:2" x14ac:dyDescent="0.35">
      <c r="A4372" s="14">
        <v>42311.152303240742</v>
      </c>
      <c r="B4372" s="5">
        <v>1</v>
      </c>
    </row>
    <row r="4373" spans="1:2" x14ac:dyDescent="0.35">
      <c r="A4373" s="14">
        <v>42311.17391203704</v>
      </c>
      <c r="B4373" s="5">
        <v>1</v>
      </c>
    </row>
    <row r="4374" spans="1:2" x14ac:dyDescent="0.35">
      <c r="A4374" s="14">
        <v>42311.174131944441</v>
      </c>
      <c r="B4374" s="5">
        <v>2</v>
      </c>
    </row>
    <row r="4375" spans="1:2" x14ac:dyDescent="0.35">
      <c r="A4375" s="14">
        <v>42311.177534722221</v>
      </c>
      <c r="B4375" s="5">
        <v>1</v>
      </c>
    </row>
    <row r="4376" spans="1:2" x14ac:dyDescent="0.35">
      <c r="A4376" s="14">
        <v>42311.18577546296</v>
      </c>
      <c r="B4376" s="5">
        <v>1</v>
      </c>
    </row>
    <row r="4377" spans="1:2" x14ac:dyDescent="0.35">
      <c r="A4377" s="14">
        <v>42311.187627314815</v>
      </c>
      <c r="B4377" s="5">
        <v>1</v>
      </c>
    </row>
    <row r="4378" spans="1:2" x14ac:dyDescent="0.35">
      <c r="A4378" s="14">
        <v>42311.187777777777</v>
      </c>
      <c r="B4378" s="5">
        <v>1</v>
      </c>
    </row>
    <row r="4379" spans="1:2" x14ac:dyDescent="0.35">
      <c r="A4379" s="14">
        <v>42311.188842592594</v>
      </c>
      <c r="B4379" s="5">
        <v>2</v>
      </c>
    </row>
    <row r="4380" spans="1:2" x14ac:dyDescent="0.35">
      <c r="A4380" s="14">
        <v>42311.192060185182</v>
      </c>
      <c r="B4380" s="5">
        <v>1</v>
      </c>
    </row>
    <row r="4381" spans="1:2" x14ac:dyDescent="0.35">
      <c r="A4381" s="14">
        <v>42311.192314814813</v>
      </c>
      <c r="B4381" s="5">
        <v>1</v>
      </c>
    </row>
    <row r="4382" spans="1:2" x14ac:dyDescent="0.35">
      <c r="A4382" s="14">
        <v>42311.192511574074</v>
      </c>
      <c r="B4382" s="5">
        <v>1</v>
      </c>
    </row>
    <row r="4383" spans="1:2" x14ac:dyDescent="0.35">
      <c r="A4383" s="14">
        <v>42311.192731481482</v>
      </c>
      <c r="B4383" s="5">
        <v>1</v>
      </c>
    </row>
    <row r="4384" spans="1:2" x14ac:dyDescent="0.35">
      <c r="A4384" s="14">
        <v>42311.193055555559</v>
      </c>
      <c r="B4384" s="5">
        <v>1</v>
      </c>
    </row>
    <row r="4385" spans="1:2" x14ac:dyDescent="0.35">
      <c r="A4385" s="14">
        <v>42311.198379629626</v>
      </c>
      <c r="B4385" s="5">
        <v>1</v>
      </c>
    </row>
    <row r="4386" spans="1:2" x14ac:dyDescent="0.35">
      <c r="A4386" s="14">
        <v>42311.205347222225</v>
      </c>
      <c r="B4386" s="5">
        <v>1</v>
      </c>
    </row>
    <row r="4387" spans="1:2" x14ac:dyDescent="0.35">
      <c r="A4387" s="14">
        <v>42311.231516203705</v>
      </c>
      <c r="B4387" s="5">
        <v>1</v>
      </c>
    </row>
    <row r="4388" spans="1:2" x14ac:dyDescent="0.35">
      <c r="A4388" s="14">
        <v>42311.245636574073</v>
      </c>
      <c r="B4388" s="5">
        <v>1</v>
      </c>
    </row>
    <row r="4389" spans="1:2" x14ac:dyDescent="0.35">
      <c r="A4389" s="14">
        <v>42311.432511574072</v>
      </c>
      <c r="B4389" s="5">
        <v>1</v>
      </c>
    </row>
    <row r="4390" spans="1:2" x14ac:dyDescent="0.35">
      <c r="A4390" s="14">
        <v>42311.489490740743</v>
      </c>
      <c r="B4390" s="5">
        <v>1</v>
      </c>
    </row>
    <row r="4391" spans="1:2" x14ac:dyDescent="0.35">
      <c r="A4391" s="14">
        <v>42311.506793981483</v>
      </c>
      <c r="B4391" s="5">
        <v>1</v>
      </c>
    </row>
    <row r="4392" spans="1:2" x14ac:dyDescent="0.35">
      <c r="A4392" s="14">
        <v>42311.515208333331</v>
      </c>
      <c r="B4392" s="5">
        <v>1</v>
      </c>
    </row>
    <row r="4393" spans="1:2" x14ac:dyDescent="0.35">
      <c r="A4393" s="14">
        <v>42311.525173611109</v>
      </c>
      <c r="B4393" s="5">
        <v>1</v>
      </c>
    </row>
    <row r="4394" spans="1:2" x14ac:dyDescent="0.35">
      <c r="A4394" s="14">
        <v>42311.566701388889</v>
      </c>
      <c r="B4394" s="5">
        <v>1</v>
      </c>
    </row>
    <row r="4395" spans="1:2" x14ac:dyDescent="0.35">
      <c r="A4395" s="14">
        <v>42311.569097222222</v>
      </c>
      <c r="B4395" s="5">
        <v>2</v>
      </c>
    </row>
    <row r="4396" spans="1:2" x14ac:dyDescent="0.35">
      <c r="A4396" s="14">
        <v>42311.577523148146</v>
      </c>
      <c r="B4396" s="5">
        <v>1</v>
      </c>
    </row>
    <row r="4397" spans="1:2" x14ac:dyDescent="0.35">
      <c r="A4397" s="14">
        <v>42311.584907407407</v>
      </c>
      <c r="B4397" s="5">
        <v>1</v>
      </c>
    </row>
    <row r="4398" spans="1:2" x14ac:dyDescent="0.35">
      <c r="A4398" s="14">
        <v>42311.588240740741</v>
      </c>
      <c r="B4398" s="5">
        <v>1</v>
      </c>
    </row>
    <row r="4399" spans="1:2" x14ac:dyDescent="0.35">
      <c r="A4399" s="14">
        <v>42311.593310185184</v>
      </c>
      <c r="B4399" s="5">
        <v>1</v>
      </c>
    </row>
    <row r="4400" spans="1:2" x14ac:dyDescent="0.35">
      <c r="A4400" s="14">
        <v>42311.596944444442</v>
      </c>
      <c r="B4400" s="5">
        <v>1</v>
      </c>
    </row>
    <row r="4401" spans="1:2" x14ac:dyDescent="0.35">
      <c r="A4401" s="14">
        <v>42311.600925925923</v>
      </c>
      <c r="B4401" s="5">
        <v>1</v>
      </c>
    </row>
    <row r="4402" spans="1:2" x14ac:dyDescent="0.35">
      <c r="A4402" s="14">
        <v>42311.604872685188</v>
      </c>
      <c r="B4402" s="5">
        <v>1</v>
      </c>
    </row>
    <row r="4403" spans="1:2" x14ac:dyDescent="0.35">
      <c r="A4403" s="14">
        <v>42311.608923611115</v>
      </c>
      <c r="B4403" s="5">
        <v>1</v>
      </c>
    </row>
    <row r="4404" spans="1:2" x14ac:dyDescent="0.35">
      <c r="A4404" s="14">
        <v>42311.611724537041</v>
      </c>
      <c r="B4404" s="5">
        <v>1</v>
      </c>
    </row>
    <row r="4405" spans="1:2" x14ac:dyDescent="0.35">
      <c r="A4405" s="14">
        <v>42311.615624999999</v>
      </c>
      <c r="B4405" s="5">
        <v>1</v>
      </c>
    </row>
    <row r="4406" spans="1:2" x14ac:dyDescent="0.35">
      <c r="A4406" s="14">
        <v>42311.646481481483</v>
      </c>
      <c r="B4406" s="5">
        <v>1</v>
      </c>
    </row>
    <row r="4407" spans="1:2" x14ac:dyDescent="0.35">
      <c r="A4407" s="14">
        <v>42311.675868055558</v>
      </c>
      <c r="B4407" s="5">
        <v>1</v>
      </c>
    </row>
    <row r="4408" spans="1:2" x14ac:dyDescent="0.35">
      <c r="A4408" s="14">
        <v>42311.678425925929</v>
      </c>
      <c r="B4408" s="5">
        <v>1</v>
      </c>
    </row>
    <row r="4409" spans="1:2" x14ac:dyDescent="0.35">
      <c r="A4409" s="14">
        <v>42311.684664351851</v>
      </c>
      <c r="B4409" s="5">
        <v>1</v>
      </c>
    </row>
    <row r="4410" spans="1:2" x14ac:dyDescent="0.35">
      <c r="A4410" s="14">
        <v>42311.68582175926</v>
      </c>
      <c r="B4410" s="5">
        <v>1</v>
      </c>
    </row>
    <row r="4411" spans="1:2" x14ac:dyDescent="0.35">
      <c r="A4411" s="14">
        <v>42311.687337962961</v>
      </c>
      <c r="B4411" s="5">
        <v>2</v>
      </c>
    </row>
    <row r="4412" spans="1:2" x14ac:dyDescent="0.35">
      <c r="A4412" s="14">
        <v>42311.690844907411</v>
      </c>
      <c r="B4412" s="5">
        <v>1</v>
      </c>
    </row>
    <row r="4413" spans="1:2" x14ac:dyDescent="0.35">
      <c r="A4413" s="14">
        <v>42311.700208333335</v>
      </c>
      <c r="B4413" s="5">
        <v>1</v>
      </c>
    </row>
    <row r="4414" spans="1:2" x14ac:dyDescent="0.35">
      <c r="A4414" s="14">
        <v>42311.710509259261</v>
      </c>
      <c r="B4414" s="5">
        <v>1</v>
      </c>
    </row>
    <row r="4415" spans="1:2" x14ac:dyDescent="0.35">
      <c r="A4415" s="14">
        <v>42311.761076388888</v>
      </c>
      <c r="B4415" s="5">
        <v>1</v>
      </c>
    </row>
    <row r="4416" spans="1:2" x14ac:dyDescent="0.35">
      <c r="A4416" s="14">
        <v>42311.772337962961</v>
      </c>
      <c r="B4416" s="5">
        <v>1</v>
      </c>
    </row>
    <row r="4417" spans="1:2" x14ac:dyDescent="0.35">
      <c r="A4417" s="14">
        <v>42311.776099537034</v>
      </c>
      <c r="B4417" s="5">
        <v>1</v>
      </c>
    </row>
    <row r="4418" spans="1:2" x14ac:dyDescent="0.35">
      <c r="A4418" s="14">
        <v>42311.777604166666</v>
      </c>
      <c r="B4418" s="5">
        <v>1</v>
      </c>
    </row>
    <row r="4419" spans="1:2" x14ac:dyDescent="0.35">
      <c r="A4419" s="14">
        <v>42311.778368055559</v>
      </c>
      <c r="B4419" s="5">
        <v>1</v>
      </c>
    </row>
    <row r="4420" spans="1:2" x14ac:dyDescent="0.35">
      <c r="A4420" s="14">
        <v>42311.795243055552</v>
      </c>
      <c r="B4420" s="5">
        <v>1</v>
      </c>
    </row>
    <row r="4421" spans="1:2" x14ac:dyDescent="0.35">
      <c r="A4421" s="14">
        <v>42311.796296296299</v>
      </c>
      <c r="B4421" s="5">
        <v>1</v>
      </c>
    </row>
    <row r="4422" spans="1:2" x14ac:dyDescent="0.35">
      <c r="A4422" s="14">
        <v>42311.79923611111</v>
      </c>
      <c r="B4422" s="5">
        <v>1</v>
      </c>
    </row>
    <row r="4423" spans="1:2" x14ac:dyDescent="0.35">
      <c r="A4423" s="14">
        <v>42311.799861111111</v>
      </c>
      <c r="B4423" s="5">
        <v>1</v>
      </c>
    </row>
    <row r="4424" spans="1:2" x14ac:dyDescent="0.35">
      <c r="A4424" s="14">
        <v>42311.800567129627</v>
      </c>
      <c r="B4424" s="5">
        <v>1</v>
      </c>
    </row>
    <row r="4425" spans="1:2" x14ac:dyDescent="0.35">
      <c r="A4425" s="14">
        <v>42311.805300925924</v>
      </c>
      <c r="B4425" s="5">
        <v>1</v>
      </c>
    </row>
    <row r="4426" spans="1:2" x14ac:dyDescent="0.35">
      <c r="A4426" s="14">
        <v>42311.807349537034</v>
      </c>
      <c r="B4426" s="5">
        <v>1</v>
      </c>
    </row>
    <row r="4427" spans="1:2" x14ac:dyDescent="0.35">
      <c r="A4427" s="14">
        <v>42311.810659722221</v>
      </c>
      <c r="B4427" s="5">
        <v>1</v>
      </c>
    </row>
    <row r="4428" spans="1:2" x14ac:dyDescent="0.35">
      <c r="A4428" s="14">
        <v>42311.812094907407</v>
      </c>
      <c r="B4428" s="5">
        <v>1</v>
      </c>
    </row>
    <row r="4429" spans="1:2" x14ac:dyDescent="0.35">
      <c r="A4429" s="14">
        <v>42311.814143518517</v>
      </c>
      <c r="B4429" s="5">
        <v>1</v>
      </c>
    </row>
    <row r="4430" spans="1:2" x14ac:dyDescent="0.35">
      <c r="A4430" s="14">
        <v>42311.816342592596</v>
      </c>
      <c r="B4430" s="5">
        <v>1</v>
      </c>
    </row>
    <row r="4431" spans="1:2" x14ac:dyDescent="0.35">
      <c r="A4431" s="14">
        <v>42311.816932870373</v>
      </c>
      <c r="B4431" s="5">
        <v>1</v>
      </c>
    </row>
    <row r="4432" spans="1:2" x14ac:dyDescent="0.35">
      <c r="A4432" s="14">
        <v>42311.819155092591</v>
      </c>
      <c r="B4432" s="5">
        <v>1</v>
      </c>
    </row>
    <row r="4433" spans="1:2" x14ac:dyDescent="0.35">
      <c r="A4433" s="14">
        <v>42311.821018518516</v>
      </c>
      <c r="B4433" s="5">
        <v>1</v>
      </c>
    </row>
    <row r="4434" spans="1:2" x14ac:dyDescent="0.35">
      <c r="A4434" s="14">
        <v>42311.84375</v>
      </c>
      <c r="B4434" s="5">
        <v>1</v>
      </c>
    </row>
    <row r="4435" spans="1:2" x14ac:dyDescent="0.35">
      <c r="A4435" s="14">
        <v>42311.843807870369</v>
      </c>
      <c r="B4435" s="5">
        <v>1</v>
      </c>
    </row>
    <row r="4436" spans="1:2" x14ac:dyDescent="0.35">
      <c r="A4436" s="14">
        <v>42311.84883101852</v>
      </c>
      <c r="B4436" s="5">
        <v>1</v>
      </c>
    </row>
    <row r="4437" spans="1:2" x14ac:dyDescent="0.35">
      <c r="A4437" s="14">
        <v>42311.852361111109</v>
      </c>
      <c r="B4437" s="5">
        <v>1</v>
      </c>
    </row>
    <row r="4438" spans="1:2" x14ac:dyDescent="0.35">
      <c r="A4438" s="14">
        <v>42311.858703703707</v>
      </c>
      <c r="B4438" s="5">
        <v>1</v>
      </c>
    </row>
    <row r="4439" spans="1:2" x14ac:dyDescent="0.35">
      <c r="A4439" s="14">
        <v>42311.882615740738</v>
      </c>
      <c r="B4439" s="5">
        <v>1</v>
      </c>
    </row>
    <row r="4440" spans="1:2" x14ac:dyDescent="0.35">
      <c r="A4440" s="14">
        <v>42311.885011574072</v>
      </c>
      <c r="B4440" s="5">
        <v>1</v>
      </c>
    </row>
    <row r="4441" spans="1:2" x14ac:dyDescent="0.35">
      <c r="A4441" s="14">
        <v>42311.890486111108</v>
      </c>
      <c r="B4441" s="5">
        <v>1</v>
      </c>
    </row>
    <row r="4442" spans="1:2" x14ac:dyDescent="0.35">
      <c r="A4442" s="14">
        <v>42311.893055555556</v>
      </c>
      <c r="B4442" s="5">
        <v>1</v>
      </c>
    </row>
    <row r="4443" spans="1:2" x14ac:dyDescent="0.35">
      <c r="A4443" s="14">
        <v>42311.897789351853</v>
      </c>
      <c r="B4443" s="5">
        <v>1</v>
      </c>
    </row>
    <row r="4444" spans="1:2" x14ac:dyDescent="0.35">
      <c r="A4444" s="14">
        <v>42311.899398148147</v>
      </c>
      <c r="B4444" s="5">
        <v>2</v>
      </c>
    </row>
    <row r="4445" spans="1:2" x14ac:dyDescent="0.35">
      <c r="A4445" s="14">
        <v>42311.914166666669</v>
      </c>
      <c r="B4445" s="5">
        <v>1</v>
      </c>
    </row>
    <row r="4446" spans="1:2" x14ac:dyDescent="0.35">
      <c r="A4446" s="14">
        <v>42311.921909722223</v>
      </c>
      <c r="B4446" s="5">
        <v>1</v>
      </c>
    </row>
    <row r="4447" spans="1:2" x14ac:dyDescent="0.35">
      <c r="A4447" s="14">
        <v>42311.939502314817</v>
      </c>
      <c r="B4447" s="5">
        <v>1</v>
      </c>
    </row>
    <row r="4448" spans="1:2" x14ac:dyDescent="0.35">
      <c r="A4448" s="14">
        <v>42311.943182870367</v>
      </c>
      <c r="B4448" s="5">
        <v>1</v>
      </c>
    </row>
    <row r="4449" spans="1:2" x14ac:dyDescent="0.35">
      <c r="A4449" s="14">
        <v>42311.950289351851</v>
      </c>
      <c r="B4449" s="5">
        <v>1</v>
      </c>
    </row>
    <row r="4450" spans="1:2" x14ac:dyDescent="0.35">
      <c r="A4450" s="14">
        <v>42311.953263888892</v>
      </c>
      <c r="B4450" s="5">
        <v>1</v>
      </c>
    </row>
    <row r="4451" spans="1:2" x14ac:dyDescent="0.35">
      <c r="A4451" s="14">
        <v>42311.954884259256</v>
      </c>
      <c r="B4451" s="5">
        <v>1</v>
      </c>
    </row>
    <row r="4452" spans="1:2" x14ac:dyDescent="0.35">
      <c r="A4452" s="14">
        <v>42311.97347222222</v>
      </c>
      <c r="B4452" s="5">
        <v>1</v>
      </c>
    </row>
    <row r="4453" spans="1:2" x14ac:dyDescent="0.35">
      <c r="A4453" s="14">
        <v>42311.994780092595</v>
      </c>
      <c r="B4453" s="5">
        <v>1</v>
      </c>
    </row>
    <row r="4454" spans="1:2" x14ac:dyDescent="0.35">
      <c r="A4454" s="14">
        <v>42312.001759259256</v>
      </c>
      <c r="B4454" s="5">
        <v>1</v>
      </c>
    </row>
    <row r="4455" spans="1:2" x14ac:dyDescent="0.35">
      <c r="A4455" s="14">
        <v>42312.010358796295</v>
      </c>
      <c r="B4455" s="5">
        <v>1</v>
      </c>
    </row>
    <row r="4456" spans="1:2" x14ac:dyDescent="0.35">
      <c r="A4456" s="14">
        <v>42312.015960648147</v>
      </c>
      <c r="B4456" s="5">
        <v>1</v>
      </c>
    </row>
    <row r="4457" spans="1:2" x14ac:dyDescent="0.35">
      <c r="A4457" s="14">
        <v>42312.021469907406</v>
      </c>
      <c r="B4457" s="5">
        <v>1</v>
      </c>
    </row>
    <row r="4458" spans="1:2" x14ac:dyDescent="0.35">
      <c r="A4458" s="14">
        <v>42312.021550925929</v>
      </c>
      <c r="B4458" s="5">
        <v>1</v>
      </c>
    </row>
    <row r="4459" spans="1:2" x14ac:dyDescent="0.35">
      <c r="A4459" s="14">
        <v>42312.034988425927</v>
      </c>
      <c r="B4459" s="5">
        <v>1</v>
      </c>
    </row>
    <row r="4460" spans="1:2" x14ac:dyDescent="0.35">
      <c r="A4460" s="14">
        <v>42312.038506944446</v>
      </c>
      <c r="B4460" s="5">
        <v>1</v>
      </c>
    </row>
    <row r="4461" spans="1:2" x14ac:dyDescent="0.35">
      <c r="A4461" s="14">
        <v>42312.042430555557</v>
      </c>
      <c r="B4461" s="5">
        <v>1</v>
      </c>
    </row>
    <row r="4462" spans="1:2" x14ac:dyDescent="0.35">
      <c r="A4462" s="14">
        <v>42312.052037037036</v>
      </c>
      <c r="B4462" s="5">
        <v>1</v>
      </c>
    </row>
    <row r="4463" spans="1:2" x14ac:dyDescent="0.35">
      <c r="A4463" s="14">
        <v>42312.076921296299</v>
      </c>
      <c r="B4463" s="5">
        <v>1</v>
      </c>
    </row>
    <row r="4464" spans="1:2" x14ac:dyDescent="0.35">
      <c r="A4464" s="14">
        <v>42312.084189814814</v>
      </c>
      <c r="B4464" s="5">
        <v>1</v>
      </c>
    </row>
    <row r="4465" spans="1:2" x14ac:dyDescent="0.35">
      <c r="A4465" s="14">
        <v>42312.122997685183</v>
      </c>
      <c r="B4465" s="5">
        <v>1</v>
      </c>
    </row>
    <row r="4466" spans="1:2" x14ac:dyDescent="0.35">
      <c r="A4466" s="14">
        <v>42312.131261574075</v>
      </c>
      <c r="B4466" s="5">
        <v>1</v>
      </c>
    </row>
    <row r="4467" spans="1:2" x14ac:dyDescent="0.35">
      <c r="A4467" s="14">
        <v>42312.152337962965</v>
      </c>
      <c r="B4467" s="5">
        <v>1</v>
      </c>
    </row>
    <row r="4468" spans="1:2" x14ac:dyDescent="0.35">
      <c r="A4468" s="14">
        <v>42312.154513888891</v>
      </c>
      <c r="B4468" s="5">
        <v>1</v>
      </c>
    </row>
    <row r="4469" spans="1:2" x14ac:dyDescent="0.35">
      <c r="A4469" s="14">
        <v>42312.162638888891</v>
      </c>
      <c r="B4469" s="5">
        <v>1</v>
      </c>
    </row>
    <row r="4470" spans="1:2" x14ac:dyDescent="0.35">
      <c r="A4470" s="14">
        <v>42312.191921296297</v>
      </c>
      <c r="B4470" s="5">
        <v>1</v>
      </c>
    </row>
    <row r="4471" spans="1:2" x14ac:dyDescent="0.35">
      <c r="A4471" s="14">
        <v>42312.192708333336</v>
      </c>
      <c r="B4471" s="5">
        <v>2</v>
      </c>
    </row>
    <row r="4472" spans="1:2" x14ac:dyDescent="0.35">
      <c r="A4472" s="14">
        <v>42312.200162037036</v>
      </c>
      <c r="B4472" s="5">
        <v>1</v>
      </c>
    </row>
    <row r="4473" spans="1:2" x14ac:dyDescent="0.35">
      <c r="A4473" s="14">
        <v>42312.208518518521</v>
      </c>
      <c r="B4473" s="5">
        <v>1</v>
      </c>
    </row>
    <row r="4474" spans="1:2" x14ac:dyDescent="0.35">
      <c r="A4474" s="14">
        <v>42312.20884259259</v>
      </c>
      <c r="B4474" s="5">
        <v>1</v>
      </c>
    </row>
    <row r="4475" spans="1:2" x14ac:dyDescent="0.35">
      <c r="A4475" s="14">
        <v>42312.209201388891</v>
      </c>
      <c r="B4475" s="5">
        <v>1</v>
      </c>
    </row>
    <row r="4476" spans="1:2" x14ac:dyDescent="0.35">
      <c r="A4476" s="14">
        <v>42312.213067129633</v>
      </c>
      <c r="B4476" s="5">
        <v>1</v>
      </c>
    </row>
    <row r="4477" spans="1:2" x14ac:dyDescent="0.35">
      <c r="A4477" s="14">
        <v>42312.381655092591</v>
      </c>
      <c r="B4477" s="5">
        <v>1</v>
      </c>
    </row>
    <row r="4478" spans="1:2" x14ac:dyDescent="0.35">
      <c r="A4478" s="14">
        <v>42312.385034722225</v>
      </c>
      <c r="B4478" s="5">
        <v>1</v>
      </c>
    </row>
    <row r="4479" spans="1:2" x14ac:dyDescent="0.35">
      <c r="A4479" s="14">
        <v>42312.558379629627</v>
      </c>
      <c r="B4479" s="5">
        <v>1</v>
      </c>
    </row>
    <row r="4480" spans="1:2" x14ac:dyDescent="0.35">
      <c r="A4480" s="14">
        <v>42312.561400462961</v>
      </c>
      <c r="B4480" s="5">
        <v>1</v>
      </c>
    </row>
    <row r="4481" spans="1:2" x14ac:dyDescent="0.35">
      <c r="A4481" s="14">
        <v>42312.565057870372</v>
      </c>
      <c r="B4481" s="5">
        <v>1</v>
      </c>
    </row>
    <row r="4482" spans="1:2" x14ac:dyDescent="0.35">
      <c r="A4482" s="14">
        <v>42312.589502314811</v>
      </c>
      <c r="B4482" s="5">
        <v>1</v>
      </c>
    </row>
    <row r="4483" spans="1:2" x14ac:dyDescent="0.35">
      <c r="A4483" s="14">
        <v>42312.590405092589</v>
      </c>
      <c r="B4483" s="5">
        <v>1</v>
      </c>
    </row>
    <row r="4484" spans="1:2" x14ac:dyDescent="0.35">
      <c r="A4484" s="14">
        <v>42312.593622685185</v>
      </c>
      <c r="B4484" s="5">
        <v>1</v>
      </c>
    </row>
    <row r="4485" spans="1:2" x14ac:dyDescent="0.35">
      <c r="A4485" s="14">
        <v>42312.600740740738</v>
      </c>
      <c r="B4485" s="5">
        <v>1</v>
      </c>
    </row>
    <row r="4486" spans="1:2" x14ac:dyDescent="0.35">
      <c r="A4486" s="14">
        <v>42312.601782407408</v>
      </c>
      <c r="B4486" s="5">
        <v>1</v>
      </c>
    </row>
    <row r="4487" spans="1:2" x14ac:dyDescent="0.35">
      <c r="A4487" s="14">
        <v>42312.604791666665</v>
      </c>
      <c r="B4487" s="5">
        <v>1</v>
      </c>
    </row>
    <row r="4488" spans="1:2" x14ac:dyDescent="0.35">
      <c r="A4488" s="14">
        <v>42312.605613425927</v>
      </c>
      <c r="B4488" s="5">
        <v>1</v>
      </c>
    </row>
    <row r="4489" spans="1:2" x14ac:dyDescent="0.35">
      <c r="A4489" s="14">
        <v>42312.613738425927</v>
      </c>
      <c r="B4489" s="5">
        <v>1</v>
      </c>
    </row>
    <row r="4490" spans="1:2" x14ac:dyDescent="0.35">
      <c r="A4490" s="14">
        <v>42312.633935185186</v>
      </c>
      <c r="B4490" s="5">
        <v>1</v>
      </c>
    </row>
    <row r="4491" spans="1:2" x14ac:dyDescent="0.35">
      <c r="A4491" s="14">
        <v>42312.641284722224</v>
      </c>
      <c r="B4491" s="5">
        <v>1</v>
      </c>
    </row>
    <row r="4492" spans="1:2" x14ac:dyDescent="0.35">
      <c r="A4492" s="14">
        <v>42312.642013888886</v>
      </c>
      <c r="B4492" s="5">
        <v>1</v>
      </c>
    </row>
    <row r="4493" spans="1:2" x14ac:dyDescent="0.35">
      <c r="A4493" s="14">
        <v>42312.648935185185</v>
      </c>
      <c r="B4493" s="5">
        <v>1</v>
      </c>
    </row>
    <row r="4494" spans="1:2" x14ac:dyDescent="0.35">
      <c r="A4494" s="14">
        <v>42312.649375000001</v>
      </c>
      <c r="B4494" s="5">
        <v>1</v>
      </c>
    </row>
    <row r="4495" spans="1:2" x14ac:dyDescent="0.35">
      <c r="A4495" s="14">
        <v>42312.652453703704</v>
      </c>
      <c r="B4495" s="5">
        <v>1</v>
      </c>
    </row>
    <row r="4496" spans="1:2" x14ac:dyDescent="0.35">
      <c r="A4496" s="14">
        <v>42312.669027777774</v>
      </c>
      <c r="B4496" s="5">
        <v>1</v>
      </c>
    </row>
    <row r="4497" spans="1:2" x14ac:dyDescent="0.35">
      <c r="A4497" s="14">
        <v>42312.68109953704</v>
      </c>
      <c r="B4497" s="5">
        <v>1</v>
      </c>
    </row>
    <row r="4498" spans="1:2" x14ac:dyDescent="0.35">
      <c r="A4498" s="14">
        <v>42312.682685185187</v>
      </c>
      <c r="B4498" s="5">
        <v>1</v>
      </c>
    </row>
    <row r="4499" spans="1:2" x14ac:dyDescent="0.35">
      <c r="A4499" s="14">
        <v>42312.682939814818</v>
      </c>
      <c r="B4499" s="5">
        <v>2</v>
      </c>
    </row>
    <row r="4500" spans="1:2" x14ac:dyDescent="0.35">
      <c r="A4500" s="14">
        <v>42312.691805555558</v>
      </c>
      <c r="B4500" s="5">
        <v>1</v>
      </c>
    </row>
    <row r="4501" spans="1:2" x14ac:dyDescent="0.35">
      <c r="A4501" s="14">
        <v>42312.696250000001</v>
      </c>
      <c r="B4501" s="5">
        <v>1</v>
      </c>
    </row>
    <row r="4502" spans="1:2" x14ac:dyDescent="0.35">
      <c r="A4502" s="14">
        <v>42312.697233796294</v>
      </c>
      <c r="B4502" s="5">
        <v>1</v>
      </c>
    </row>
    <row r="4503" spans="1:2" x14ac:dyDescent="0.35">
      <c r="A4503" s="14">
        <v>42312.701874999999</v>
      </c>
      <c r="B4503" s="5">
        <v>1</v>
      </c>
    </row>
    <row r="4504" spans="1:2" x14ac:dyDescent="0.35">
      <c r="A4504" s="14">
        <v>42312.704861111109</v>
      </c>
      <c r="B4504" s="5">
        <v>1</v>
      </c>
    </row>
    <row r="4505" spans="1:2" x14ac:dyDescent="0.35">
      <c r="A4505" s="14">
        <v>42312.705590277779</v>
      </c>
      <c r="B4505" s="5">
        <v>1</v>
      </c>
    </row>
    <row r="4506" spans="1:2" x14ac:dyDescent="0.35">
      <c r="A4506" s="14">
        <v>42312.712407407409</v>
      </c>
      <c r="B4506" s="5">
        <v>1</v>
      </c>
    </row>
    <row r="4507" spans="1:2" x14ac:dyDescent="0.35">
      <c r="A4507" s="14">
        <v>42312.744953703703</v>
      </c>
      <c r="B4507" s="5">
        <v>1</v>
      </c>
    </row>
    <row r="4508" spans="1:2" x14ac:dyDescent="0.35">
      <c r="A4508" s="14">
        <v>42312.748414351852</v>
      </c>
      <c r="B4508" s="5">
        <v>1</v>
      </c>
    </row>
    <row r="4509" spans="1:2" x14ac:dyDescent="0.35">
      <c r="A4509" s="14">
        <v>42312.748854166668</v>
      </c>
      <c r="B4509" s="5">
        <v>1</v>
      </c>
    </row>
    <row r="4510" spans="1:2" x14ac:dyDescent="0.35">
      <c r="A4510" s="14">
        <v>42312.750173611108</v>
      </c>
      <c r="B4510" s="5">
        <v>1</v>
      </c>
    </row>
    <row r="4511" spans="1:2" x14ac:dyDescent="0.35">
      <c r="A4511" s="14">
        <v>42312.752106481479</v>
      </c>
      <c r="B4511" s="5">
        <v>1</v>
      </c>
    </row>
    <row r="4512" spans="1:2" x14ac:dyDescent="0.35">
      <c r="A4512" s="14">
        <v>42312.752199074072</v>
      </c>
      <c r="B4512" s="5">
        <v>1</v>
      </c>
    </row>
    <row r="4513" spans="1:2" x14ac:dyDescent="0.35">
      <c r="A4513" s="14">
        <v>42312.766562500001</v>
      </c>
      <c r="B4513" s="5">
        <v>1</v>
      </c>
    </row>
    <row r="4514" spans="1:2" x14ac:dyDescent="0.35">
      <c r="A4514" s="14">
        <v>42312.785069444442</v>
      </c>
      <c r="B4514" s="5">
        <v>1</v>
      </c>
    </row>
    <row r="4515" spans="1:2" x14ac:dyDescent="0.35">
      <c r="A4515" s="14">
        <v>42312.786226851851</v>
      </c>
      <c r="B4515" s="5">
        <v>1</v>
      </c>
    </row>
    <row r="4516" spans="1:2" x14ac:dyDescent="0.35">
      <c r="A4516" s="14">
        <v>42312.786296296297</v>
      </c>
      <c r="B4516" s="5">
        <v>1</v>
      </c>
    </row>
    <row r="4517" spans="1:2" x14ac:dyDescent="0.35">
      <c r="A4517" s="14">
        <v>42312.78633101852</v>
      </c>
      <c r="B4517" s="5">
        <v>1</v>
      </c>
    </row>
    <row r="4518" spans="1:2" x14ac:dyDescent="0.35">
      <c r="A4518" s="14">
        <v>42312.788576388892</v>
      </c>
      <c r="B4518" s="5">
        <v>1</v>
      </c>
    </row>
    <row r="4519" spans="1:2" x14ac:dyDescent="0.35">
      <c r="A4519" s="14">
        <v>42312.793425925927</v>
      </c>
      <c r="B4519" s="5">
        <v>1</v>
      </c>
    </row>
    <row r="4520" spans="1:2" x14ac:dyDescent="0.35">
      <c r="A4520" s="14">
        <v>42312.798854166664</v>
      </c>
      <c r="B4520" s="5">
        <v>1</v>
      </c>
    </row>
    <row r="4521" spans="1:2" x14ac:dyDescent="0.35">
      <c r="A4521" s="14">
        <v>42312.799571759257</v>
      </c>
      <c r="B4521" s="5">
        <v>1</v>
      </c>
    </row>
    <row r="4522" spans="1:2" x14ac:dyDescent="0.35">
      <c r="A4522" s="14">
        <v>42312.808194444442</v>
      </c>
      <c r="B4522" s="5">
        <v>1</v>
      </c>
    </row>
    <row r="4523" spans="1:2" x14ac:dyDescent="0.35">
      <c r="A4523" s="14">
        <v>42312.808530092596</v>
      </c>
      <c r="B4523" s="5">
        <v>1</v>
      </c>
    </row>
    <row r="4524" spans="1:2" x14ac:dyDescent="0.35">
      <c r="A4524" s="14">
        <v>42312.811226851853</v>
      </c>
      <c r="B4524" s="5">
        <v>1</v>
      </c>
    </row>
    <row r="4525" spans="1:2" x14ac:dyDescent="0.35">
      <c r="A4525" s="14">
        <v>42312.818564814814</v>
      </c>
      <c r="B4525" s="5">
        <v>1</v>
      </c>
    </row>
    <row r="4526" spans="1:2" x14ac:dyDescent="0.35">
      <c r="A4526" s="14">
        <v>42312.825439814813</v>
      </c>
      <c r="B4526" s="5">
        <v>1</v>
      </c>
    </row>
    <row r="4527" spans="1:2" x14ac:dyDescent="0.35">
      <c r="A4527" s="14">
        <v>42312.825868055559</v>
      </c>
      <c r="B4527" s="5">
        <v>1</v>
      </c>
    </row>
    <row r="4528" spans="1:2" x14ac:dyDescent="0.35">
      <c r="A4528" s="14">
        <v>42312.831435185188</v>
      </c>
      <c r="B4528" s="5">
        <v>1</v>
      </c>
    </row>
    <row r="4529" spans="1:2" x14ac:dyDescent="0.35">
      <c r="A4529" s="14">
        <v>42312.847002314818</v>
      </c>
      <c r="B4529" s="5">
        <v>1</v>
      </c>
    </row>
    <row r="4530" spans="1:2" x14ac:dyDescent="0.35">
      <c r="A4530" s="14">
        <v>42312.861898148149</v>
      </c>
      <c r="B4530" s="5">
        <v>1</v>
      </c>
    </row>
    <row r="4531" spans="1:2" x14ac:dyDescent="0.35">
      <c r="A4531" s="14">
        <v>42312.918692129628</v>
      </c>
      <c r="B4531" s="5">
        <v>1</v>
      </c>
    </row>
    <row r="4532" spans="1:2" x14ac:dyDescent="0.35">
      <c r="A4532" s="14">
        <v>42312.93178240741</v>
      </c>
      <c r="B4532" s="5">
        <v>1</v>
      </c>
    </row>
    <row r="4533" spans="1:2" x14ac:dyDescent="0.35">
      <c r="A4533" s="14">
        <v>42312.934039351851</v>
      </c>
      <c r="B4533" s="5">
        <v>1</v>
      </c>
    </row>
    <row r="4534" spans="1:2" x14ac:dyDescent="0.35">
      <c r="A4534" s="14">
        <v>42312.934374999997</v>
      </c>
      <c r="B4534" s="5">
        <v>1</v>
      </c>
    </row>
    <row r="4535" spans="1:2" x14ac:dyDescent="0.35">
      <c r="A4535" s="14">
        <v>42312.946145833332</v>
      </c>
      <c r="B4535" s="5">
        <v>1</v>
      </c>
    </row>
    <row r="4536" spans="1:2" x14ac:dyDescent="0.35">
      <c r="A4536" s="14">
        <v>42312.946701388886</v>
      </c>
      <c r="B4536" s="5">
        <v>1</v>
      </c>
    </row>
    <row r="4537" spans="1:2" x14ac:dyDescent="0.35">
      <c r="A4537" s="14">
        <v>42312.956192129626</v>
      </c>
      <c r="B4537" s="5">
        <v>1</v>
      </c>
    </row>
    <row r="4538" spans="1:2" x14ac:dyDescent="0.35">
      <c r="A4538" s="14">
        <v>42312.958090277774</v>
      </c>
      <c r="B4538" s="5">
        <v>1</v>
      </c>
    </row>
    <row r="4539" spans="1:2" x14ac:dyDescent="0.35">
      <c r="A4539" s="14">
        <v>42312.959178240744</v>
      </c>
      <c r="B4539" s="5">
        <v>1</v>
      </c>
    </row>
    <row r="4540" spans="1:2" x14ac:dyDescent="0.35">
      <c r="A4540" s="14">
        <v>42312.964155092595</v>
      </c>
      <c r="B4540" s="5">
        <v>1</v>
      </c>
    </row>
    <row r="4541" spans="1:2" x14ac:dyDescent="0.35">
      <c r="A4541" s="14">
        <v>42312.964513888888</v>
      </c>
      <c r="B4541" s="5">
        <v>1</v>
      </c>
    </row>
    <row r="4542" spans="1:2" x14ac:dyDescent="0.35">
      <c r="A4542" s="14">
        <v>42312.97011574074</v>
      </c>
      <c r="B4542" s="5">
        <v>1</v>
      </c>
    </row>
    <row r="4543" spans="1:2" x14ac:dyDescent="0.35">
      <c r="A4543" s="14">
        <v>42312.977893518517</v>
      </c>
      <c r="B4543" s="5">
        <v>1</v>
      </c>
    </row>
    <row r="4544" spans="1:2" x14ac:dyDescent="0.35">
      <c r="A4544" s="14">
        <v>42312.978414351855</v>
      </c>
      <c r="B4544" s="5">
        <v>1</v>
      </c>
    </row>
    <row r="4545" spans="1:2" x14ac:dyDescent="0.35">
      <c r="A4545" s="14">
        <v>42312.981481481482</v>
      </c>
      <c r="B4545" s="5">
        <v>1</v>
      </c>
    </row>
    <row r="4546" spans="1:2" x14ac:dyDescent="0.35">
      <c r="A4546" s="14">
        <v>42312.992465277777</v>
      </c>
      <c r="B4546" s="5">
        <v>1</v>
      </c>
    </row>
    <row r="4547" spans="1:2" x14ac:dyDescent="0.35">
      <c r="A4547" s="14">
        <v>42312.997939814813</v>
      </c>
      <c r="B4547" s="5">
        <v>1</v>
      </c>
    </row>
    <row r="4548" spans="1:2" x14ac:dyDescent="0.35">
      <c r="A4548" s="14">
        <v>42313.029513888891</v>
      </c>
      <c r="B4548" s="5">
        <v>1</v>
      </c>
    </row>
    <row r="4549" spans="1:2" x14ac:dyDescent="0.35">
      <c r="A4549" s="14">
        <v>42313.038877314815</v>
      </c>
      <c r="B4549" s="5">
        <v>1</v>
      </c>
    </row>
    <row r="4550" spans="1:2" x14ac:dyDescent="0.35">
      <c r="A4550" s="14">
        <v>42313.074247685188</v>
      </c>
      <c r="B4550" s="5">
        <v>1</v>
      </c>
    </row>
    <row r="4551" spans="1:2" x14ac:dyDescent="0.35">
      <c r="A4551" s="14">
        <v>42313.08152777778</v>
      </c>
      <c r="B4551" s="5">
        <v>1</v>
      </c>
    </row>
    <row r="4552" spans="1:2" x14ac:dyDescent="0.35">
      <c r="A4552" s="14">
        <v>42313.087233796294</v>
      </c>
      <c r="B4552" s="5">
        <v>1</v>
      </c>
    </row>
    <row r="4553" spans="1:2" x14ac:dyDescent="0.35">
      <c r="A4553" s="14">
        <v>42313.091354166667</v>
      </c>
      <c r="B4553" s="5">
        <v>1</v>
      </c>
    </row>
    <row r="4554" spans="1:2" x14ac:dyDescent="0.35">
      <c r="A4554" s="14">
        <v>42313.094722222224</v>
      </c>
      <c r="B4554" s="5">
        <v>1</v>
      </c>
    </row>
    <row r="4555" spans="1:2" x14ac:dyDescent="0.35">
      <c r="A4555" s="14">
        <v>42313.110011574077</v>
      </c>
      <c r="B4555" s="5">
        <v>1</v>
      </c>
    </row>
    <row r="4556" spans="1:2" x14ac:dyDescent="0.35">
      <c r="A4556" s="14">
        <v>42313.116365740738</v>
      </c>
      <c r="B4556" s="5">
        <v>1</v>
      </c>
    </row>
    <row r="4557" spans="1:2" x14ac:dyDescent="0.35">
      <c r="A4557" s="14">
        <v>42313.117060185185</v>
      </c>
      <c r="B4557" s="5">
        <v>1</v>
      </c>
    </row>
    <row r="4558" spans="1:2" x14ac:dyDescent="0.35">
      <c r="A4558" s="14">
        <v>42313.135775462964</v>
      </c>
      <c r="B4558" s="5">
        <v>1</v>
      </c>
    </row>
    <row r="4559" spans="1:2" x14ac:dyDescent="0.35">
      <c r="A4559" s="14">
        <v>42313.141261574077</v>
      </c>
      <c r="B4559" s="5">
        <v>1</v>
      </c>
    </row>
    <row r="4560" spans="1:2" x14ac:dyDescent="0.35">
      <c r="A4560" s="14">
        <v>42313.143900462965</v>
      </c>
      <c r="B4560" s="5">
        <v>1</v>
      </c>
    </row>
    <row r="4561" spans="1:2" x14ac:dyDescent="0.35">
      <c r="A4561" s="14">
        <v>42313.150324074071</v>
      </c>
      <c r="B4561" s="5">
        <v>1</v>
      </c>
    </row>
    <row r="4562" spans="1:2" x14ac:dyDescent="0.35">
      <c r="A4562" s="14">
        <v>42313.161180555559</v>
      </c>
      <c r="B4562" s="5">
        <v>1</v>
      </c>
    </row>
    <row r="4563" spans="1:2" x14ac:dyDescent="0.35">
      <c r="A4563" s="14">
        <v>42313.16138888889</v>
      </c>
      <c r="B4563" s="5">
        <v>1</v>
      </c>
    </row>
    <row r="4564" spans="1:2" x14ac:dyDescent="0.35">
      <c r="A4564" s="14">
        <v>42313.230578703704</v>
      </c>
      <c r="B4564" s="5">
        <v>2</v>
      </c>
    </row>
    <row r="4565" spans="1:2" x14ac:dyDescent="0.35">
      <c r="A4565" s="14">
        <v>42313.259814814817</v>
      </c>
      <c r="B4565" s="5">
        <v>1</v>
      </c>
    </row>
    <row r="4566" spans="1:2" x14ac:dyDescent="0.35">
      <c r="A4566" s="14">
        <v>42313.277499999997</v>
      </c>
      <c r="B4566" s="5">
        <v>1</v>
      </c>
    </row>
    <row r="4567" spans="1:2" x14ac:dyDescent="0.35">
      <c r="A4567" s="14">
        <v>42313.304988425924</v>
      </c>
      <c r="B4567" s="5">
        <v>1</v>
      </c>
    </row>
    <row r="4568" spans="1:2" x14ac:dyDescent="0.35">
      <c r="A4568" s="14">
        <v>42313.305474537039</v>
      </c>
      <c r="B4568" s="5">
        <v>2</v>
      </c>
    </row>
    <row r="4569" spans="1:2" x14ac:dyDescent="0.35">
      <c r="A4569" s="14">
        <v>42313.306458333333</v>
      </c>
      <c r="B4569" s="5">
        <v>1</v>
      </c>
    </row>
    <row r="4570" spans="1:2" x14ac:dyDescent="0.35">
      <c r="A4570" s="14">
        <v>42313.306574074071</v>
      </c>
      <c r="B4570" s="5">
        <v>1</v>
      </c>
    </row>
    <row r="4571" spans="1:2" x14ac:dyDescent="0.35">
      <c r="A4571" s="14">
        <v>42313.3125462963</v>
      </c>
      <c r="B4571" s="5">
        <v>1</v>
      </c>
    </row>
    <row r="4572" spans="1:2" x14ac:dyDescent="0.35">
      <c r="A4572" s="14">
        <v>42313.405902777777</v>
      </c>
      <c r="B4572" s="5">
        <v>1</v>
      </c>
    </row>
    <row r="4573" spans="1:2" x14ac:dyDescent="0.35">
      <c r="A4573" s="14">
        <v>42313.405914351853</v>
      </c>
      <c r="B4573" s="5">
        <v>1</v>
      </c>
    </row>
    <row r="4574" spans="1:2" x14ac:dyDescent="0.35">
      <c r="A4574" s="14">
        <v>42313.445706018516</v>
      </c>
      <c r="B4574" s="5">
        <v>1</v>
      </c>
    </row>
    <row r="4575" spans="1:2" x14ac:dyDescent="0.35">
      <c r="A4575" s="14">
        <v>42313.570972222224</v>
      </c>
      <c r="B4575" s="5">
        <v>1</v>
      </c>
    </row>
    <row r="4576" spans="1:2" x14ac:dyDescent="0.35">
      <c r="A4576" s="14">
        <v>42313.574490740742</v>
      </c>
      <c r="B4576" s="5">
        <v>1</v>
      </c>
    </row>
    <row r="4577" spans="1:2" x14ac:dyDescent="0.35">
      <c r="A4577" s="14">
        <v>42313.600648148145</v>
      </c>
      <c r="B4577" s="5">
        <v>1</v>
      </c>
    </row>
    <row r="4578" spans="1:2" x14ac:dyDescent="0.35">
      <c r="A4578" s="14">
        <v>42313.600844907407</v>
      </c>
      <c r="B4578" s="5">
        <v>1</v>
      </c>
    </row>
    <row r="4579" spans="1:2" x14ac:dyDescent="0.35">
      <c r="A4579" s="14">
        <v>42313.604722222219</v>
      </c>
      <c r="B4579" s="5">
        <v>1</v>
      </c>
    </row>
    <row r="4580" spans="1:2" x14ac:dyDescent="0.35">
      <c r="A4580" s="14">
        <v>42313.610451388886</v>
      </c>
      <c r="B4580" s="5">
        <v>1</v>
      </c>
    </row>
    <row r="4581" spans="1:2" x14ac:dyDescent="0.35">
      <c r="A4581" s="14">
        <v>42313.617337962962</v>
      </c>
      <c r="B4581" s="5">
        <v>1</v>
      </c>
    </row>
    <row r="4582" spans="1:2" x14ac:dyDescent="0.35">
      <c r="A4582" s="14">
        <v>42313.618483796294</v>
      </c>
      <c r="B4582" s="5">
        <v>1</v>
      </c>
    </row>
    <row r="4583" spans="1:2" x14ac:dyDescent="0.35">
      <c r="A4583" s="14">
        <v>42313.61891203704</v>
      </c>
      <c r="B4583" s="5">
        <v>1</v>
      </c>
    </row>
    <row r="4584" spans="1:2" x14ac:dyDescent="0.35">
      <c r="A4584" s="14">
        <v>42313.631226851852</v>
      </c>
      <c r="B4584" s="5">
        <v>1</v>
      </c>
    </row>
    <row r="4585" spans="1:2" x14ac:dyDescent="0.35">
      <c r="A4585" s="14">
        <v>42313.646979166668</v>
      </c>
      <c r="B4585" s="5">
        <v>1</v>
      </c>
    </row>
    <row r="4586" spans="1:2" x14ac:dyDescent="0.35">
      <c r="A4586" s="14">
        <v>42313.66333333333</v>
      </c>
      <c r="B4586" s="5">
        <v>1</v>
      </c>
    </row>
    <row r="4587" spans="1:2" x14ac:dyDescent="0.35">
      <c r="A4587" s="14">
        <v>42313.679270833331</v>
      </c>
      <c r="B4587" s="5">
        <v>1</v>
      </c>
    </row>
    <row r="4588" spans="1:2" x14ac:dyDescent="0.35">
      <c r="A4588" s="14">
        <v>42313.684594907405</v>
      </c>
      <c r="B4588" s="5">
        <v>1</v>
      </c>
    </row>
    <row r="4589" spans="1:2" x14ac:dyDescent="0.35">
      <c r="A4589" s="14">
        <v>42313.691134259258</v>
      </c>
      <c r="B4589" s="5">
        <v>1</v>
      </c>
    </row>
    <row r="4590" spans="1:2" x14ac:dyDescent="0.35">
      <c r="A4590" s="14">
        <v>42313.692187499997</v>
      </c>
      <c r="B4590" s="5">
        <v>1</v>
      </c>
    </row>
    <row r="4591" spans="1:2" x14ac:dyDescent="0.35">
      <c r="A4591" s="14">
        <v>42313.724293981482</v>
      </c>
      <c r="B4591" s="5">
        <v>1</v>
      </c>
    </row>
    <row r="4592" spans="1:2" x14ac:dyDescent="0.35">
      <c r="A4592" s="14">
        <v>42313.730150462965</v>
      </c>
      <c r="B4592" s="5">
        <v>1</v>
      </c>
    </row>
    <row r="4593" spans="1:2" x14ac:dyDescent="0.35">
      <c r="A4593" s="14">
        <v>42313.745196759257</v>
      </c>
      <c r="B4593" s="5">
        <v>1</v>
      </c>
    </row>
    <row r="4594" spans="1:2" x14ac:dyDescent="0.35">
      <c r="A4594" s="14">
        <v>42313.748368055552</v>
      </c>
      <c r="B4594" s="5">
        <v>1</v>
      </c>
    </row>
    <row r="4595" spans="1:2" x14ac:dyDescent="0.35">
      <c r="A4595" s="14">
        <v>42313.748611111114</v>
      </c>
      <c r="B4595" s="5">
        <v>1</v>
      </c>
    </row>
    <row r="4596" spans="1:2" x14ac:dyDescent="0.35">
      <c r="A4596" s="14">
        <v>42313.768043981479</v>
      </c>
      <c r="B4596" s="5">
        <v>1</v>
      </c>
    </row>
    <row r="4597" spans="1:2" x14ac:dyDescent="0.35">
      <c r="A4597" s="14">
        <v>42313.772546296299</v>
      </c>
      <c r="B4597" s="5">
        <v>1</v>
      </c>
    </row>
    <row r="4598" spans="1:2" x14ac:dyDescent="0.35">
      <c r="A4598" s="14">
        <v>42313.795613425929</v>
      </c>
      <c r="B4598" s="5">
        <v>1</v>
      </c>
    </row>
    <row r="4599" spans="1:2" x14ac:dyDescent="0.35">
      <c r="A4599" s="14">
        <v>42313.796076388891</v>
      </c>
      <c r="B4599" s="5">
        <v>1</v>
      </c>
    </row>
    <row r="4600" spans="1:2" x14ac:dyDescent="0.35">
      <c r="A4600" s="14">
        <v>42313.802986111114</v>
      </c>
      <c r="B4600" s="5">
        <v>1</v>
      </c>
    </row>
    <row r="4601" spans="1:2" x14ac:dyDescent="0.35">
      <c r="A4601" s="14">
        <v>42313.81113425926</v>
      </c>
      <c r="B4601" s="5">
        <v>1</v>
      </c>
    </row>
    <row r="4602" spans="1:2" x14ac:dyDescent="0.35">
      <c r="A4602" s="14">
        <v>42313.865960648145</v>
      </c>
      <c r="B4602" s="5">
        <v>1</v>
      </c>
    </row>
    <row r="4603" spans="1:2" x14ac:dyDescent="0.35">
      <c r="A4603" s="14">
        <v>42313.873483796298</v>
      </c>
      <c r="B4603" s="5">
        <v>1</v>
      </c>
    </row>
    <row r="4604" spans="1:2" x14ac:dyDescent="0.35">
      <c r="A4604" s="14">
        <v>42313.910624999997</v>
      </c>
      <c r="B4604" s="5">
        <v>1</v>
      </c>
    </row>
    <row r="4605" spans="1:2" x14ac:dyDescent="0.35">
      <c r="A4605" s="14">
        <v>42313.911643518521</v>
      </c>
      <c r="B4605" s="5">
        <v>1</v>
      </c>
    </row>
    <row r="4606" spans="1:2" x14ac:dyDescent="0.35">
      <c r="A4606" s="14">
        <v>42313.914895833332</v>
      </c>
      <c r="B4606" s="5">
        <v>1</v>
      </c>
    </row>
    <row r="4607" spans="1:2" x14ac:dyDescent="0.35">
      <c r="A4607" s="14">
        <v>42313.920995370368</v>
      </c>
      <c r="B4607" s="5">
        <v>1</v>
      </c>
    </row>
    <row r="4608" spans="1:2" x14ac:dyDescent="0.35">
      <c r="A4608" s="14">
        <v>42313.929224537038</v>
      </c>
      <c r="B4608" s="5">
        <v>1</v>
      </c>
    </row>
    <row r="4609" spans="1:2" x14ac:dyDescent="0.35">
      <c r="A4609" s="14">
        <v>42313.930532407408</v>
      </c>
      <c r="B4609" s="5">
        <v>1</v>
      </c>
    </row>
    <row r="4610" spans="1:2" x14ac:dyDescent="0.35">
      <c r="A4610" s="14">
        <v>42313.932199074072</v>
      </c>
      <c r="B4610" s="5">
        <v>1</v>
      </c>
    </row>
    <row r="4611" spans="1:2" x14ac:dyDescent="0.35">
      <c r="A4611" s="14">
        <v>42313.941238425927</v>
      </c>
      <c r="B4611" s="5">
        <v>1</v>
      </c>
    </row>
    <row r="4612" spans="1:2" x14ac:dyDescent="0.35">
      <c r="A4612" s="14">
        <v>42313.948773148149</v>
      </c>
      <c r="B4612" s="5">
        <v>1</v>
      </c>
    </row>
    <row r="4613" spans="1:2" x14ac:dyDescent="0.35">
      <c r="A4613" s="14">
        <v>42313.950173611112</v>
      </c>
      <c r="B4613" s="5">
        <v>1</v>
      </c>
    </row>
    <row r="4614" spans="1:2" x14ac:dyDescent="0.35">
      <c r="A4614" s="14">
        <v>42313.976168981484</v>
      </c>
      <c r="B4614" s="5">
        <v>1</v>
      </c>
    </row>
    <row r="4615" spans="1:2" x14ac:dyDescent="0.35">
      <c r="A4615" s="14">
        <v>42314.00273148148</v>
      </c>
      <c r="B4615" s="5">
        <v>1</v>
      </c>
    </row>
    <row r="4616" spans="1:2" x14ac:dyDescent="0.35">
      <c r="A4616" s="14">
        <v>42314.013958333337</v>
      </c>
      <c r="B4616" s="5">
        <v>1</v>
      </c>
    </row>
    <row r="4617" spans="1:2" x14ac:dyDescent="0.35">
      <c r="A4617" s="14">
        <v>42314.021562499998</v>
      </c>
      <c r="B4617" s="5">
        <v>1</v>
      </c>
    </row>
    <row r="4618" spans="1:2" x14ac:dyDescent="0.35">
      <c r="A4618" s="14">
        <v>42314.026817129627</v>
      </c>
      <c r="B4618" s="5">
        <v>1</v>
      </c>
    </row>
    <row r="4619" spans="1:2" x14ac:dyDescent="0.35">
      <c r="A4619" s="14">
        <v>42314.029247685183</v>
      </c>
      <c r="B4619" s="5">
        <v>1</v>
      </c>
    </row>
    <row r="4620" spans="1:2" x14ac:dyDescent="0.35">
      <c r="A4620" s="14">
        <v>42314.031018518515</v>
      </c>
      <c r="B4620" s="5">
        <v>1</v>
      </c>
    </row>
    <row r="4621" spans="1:2" x14ac:dyDescent="0.35">
      <c r="A4621" s="14">
        <v>42314.031412037039</v>
      </c>
      <c r="B4621" s="5">
        <v>1</v>
      </c>
    </row>
    <row r="4622" spans="1:2" x14ac:dyDescent="0.35">
      <c r="A4622" s="14">
        <v>42314.033043981479</v>
      </c>
      <c r="B4622" s="5">
        <v>1</v>
      </c>
    </row>
    <row r="4623" spans="1:2" x14ac:dyDescent="0.35">
      <c r="A4623" s="14">
        <v>42314.035462962966</v>
      </c>
      <c r="B4623" s="5">
        <v>1</v>
      </c>
    </row>
    <row r="4624" spans="1:2" x14ac:dyDescent="0.35">
      <c r="A4624" s="14">
        <v>42314.041875000003</v>
      </c>
      <c r="B4624" s="5">
        <v>1</v>
      </c>
    </row>
    <row r="4625" spans="1:2" x14ac:dyDescent="0.35">
      <c r="A4625" s="14">
        <v>42314.06417824074</v>
      </c>
      <c r="B4625" s="5">
        <v>1</v>
      </c>
    </row>
    <row r="4626" spans="1:2" x14ac:dyDescent="0.35">
      <c r="A4626" s="14">
        <v>42314.065613425926</v>
      </c>
      <c r="B4626" s="5">
        <v>1</v>
      </c>
    </row>
    <row r="4627" spans="1:2" x14ac:dyDescent="0.35">
      <c r="A4627" s="14">
        <v>42314.067673611113</v>
      </c>
      <c r="B4627" s="5">
        <v>1</v>
      </c>
    </row>
    <row r="4628" spans="1:2" x14ac:dyDescent="0.35">
      <c r="A4628" s="14">
        <v>42314.068726851852</v>
      </c>
      <c r="B4628" s="5">
        <v>1</v>
      </c>
    </row>
    <row r="4629" spans="1:2" x14ac:dyDescent="0.35">
      <c r="A4629" s="14">
        <v>42314.071469907409</v>
      </c>
      <c r="B4629" s="5">
        <v>1</v>
      </c>
    </row>
    <row r="4630" spans="1:2" x14ac:dyDescent="0.35">
      <c r="A4630" s="14">
        <v>42314.071597222224</v>
      </c>
      <c r="B4630" s="5">
        <v>1</v>
      </c>
    </row>
    <row r="4631" spans="1:2" x14ac:dyDescent="0.35">
      <c r="A4631" s="14">
        <v>42314.072500000002</v>
      </c>
      <c r="B4631" s="5">
        <v>1</v>
      </c>
    </row>
    <row r="4632" spans="1:2" x14ac:dyDescent="0.35">
      <c r="A4632" s="14">
        <v>42314.074502314812</v>
      </c>
      <c r="B4632" s="5">
        <v>1</v>
      </c>
    </row>
    <row r="4633" spans="1:2" x14ac:dyDescent="0.35">
      <c r="A4633" s="14">
        <v>42314.076203703706</v>
      </c>
      <c r="B4633" s="5">
        <v>1</v>
      </c>
    </row>
    <row r="4634" spans="1:2" x14ac:dyDescent="0.35">
      <c r="A4634" s="14">
        <v>42314.077453703707</v>
      </c>
      <c r="B4634" s="5">
        <v>1</v>
      </c>
    </row>
    <row r="4635" spans="1:2" x14ac:dyDescent="0.35">
      <c r="A4635" s="14">
        <v>42314.078240740739</v>
      </c>
      <c r="B4635" s="5">
        <v>1</v>
      </c>
    </row>
    <row r="4636" spans="1:2" x14ac:dyDescent="0.35">
      <c r="A4636" s="14">
        <v>42314.079444444447</v>
      </c>
      <c r="B4636" s="5">
        <v>1</v>
      </c>
    </row>
    <row r="4637" spans="1:2" x14ac:dyDescent="0.35">
      <c r="A4637" s="14">
        <v>42314.079606481479</v>
      </c>
      <c r="B4637" s="5">
        <v>1</v>
      </c>
    </row>
    <row r="4638" spans="1:2" x14ac:dyDescent="0.35">
      <c r="A4638" s="14">
        <v>42314.080196759256</v>
      </c>
      <c r="B4638" s="5">
        <v>1</v>
      </c>
    </row>
    <row r="4639" spans="1:2" x14ac:dyDescent="0.35">
      <c r="A4639" s="14">
        <v>42314.087569444448</v>
      </c>
      <c r="B4639" s="5">
        <v>1</v>
      </c>
    </row>
    <row r="4640" spans="1:2" x14ac:dyDescent="0.35">
      <c r="A4640" s="14">
        <v>42314.157939814817</v>
      </c>
      <c r="B4640" s="5">
        <v>1</v>
      </c>
    </row>
    <row r="4641" spans="1:2" x14ac:dyDescent="0.35">
      <c r="A4641" s="14">
        <v>42314.248657407406</v>
      </c>
      <c r="B4641" s="5">
        <v>1</v>
      </c>
    </row>
    <row r="4642" spans="1:2" x14ac:dyDescent="0.35">
      <c r="A4642" s="14">
        <v>42314.34584490741</v>
      </c>
      <c r="B4642" s="5">
        <v>1</v>
      </c>
    </row>
    <row r="4643" spans="1:2" x14ac:dyDescent="0.35">
      <c r="A4643" s="14">
        <v>42314.567754629628</v>
      </c>
      <c r="B4643" s="5">
        <v>1</v>
      </c>
    </row>
    <row r="4644" spans="1:2" x14ac:dyDescent="0.35">
      <c r="A4644" s="14">
        <v>42314.612858796296</v>
      </c>
      <c r="B4644" s="5">
        <v>1</v>
      </c>
    </row>
    <row r="4645" spans="1:2" x14ac:dyDescent="0.35">
      <c r="A4645" s="14">
        <v>42314.640682870369</v>
      </c>
      <c r="B4645" s="5">
        <v>1</v>
      </c>
    </row>
    <row r="4646" spans="1:2" x14ac:dyDescent="0.35">
      <c r="A4646" s="14">
        <v>42314.641504629632</v>
      </c>
      <c r="B4646" s="5">
        <v>1</v>
      </c>
    </row>
    <row r="4647" spans="1:2" x14ac:dyDescent="0.35">
      <c r="A4647" s="14">
        <v>42314.655590277776</v>
      </c>
      <c r="B4647" s="5">
        <v>1</v>
      </c>
    </row>
    <row r="4648" spans="1:2" x14ac:dyDescent="0.35">
      <c r="A4648" s="14">
        <v>42314.686874999999</v>
      </c>
      <c r="B4648" s="5">
        <v>1</v>
      </c>
    </row>
    <row r="4649" spans="1:2" x14ac:dyDescent="0.35">
      <c r="A4649" s="14">
        <v>42314.68822916667</v>
      </c>
      <c r="B4649" s="5">
        <v>1</v>
      </c>
    </row>
    <row r="4650" spans="1:2" x14ac:dyDescent="0.35">
      <c r="A4650" s="14">
        <v>42314.691979166666</v>
      </c>
      <c r="B4650" s="5">
        <v>1</v>
      </c>
    </row>
    <row r="4651" spans="1:2" x14ac:dyDescent="0.35">
      <c r="A4651" s="14">
        <v>42314.692013888889</v>
      </c>
      <c r="B4651" s="5">
        <v>1</v>
      </c>
    </row>
    <row r="4652" spans="1:2" x14ac:dyDescent="0.35">
      <c r="A4652" s="14">
        <v>42314.69804398148</v>
      </c>
      <c r="B4652" s="5">
        <v>1</v>
      </c>
    </row>
    <row r="4653" spans="1:2" x14ac:dyDescent="0.35">
      <c r="A4653" s="14">
        <v>42314.768263888887</v>
      </c>
      <c r="B4653" s="5">
        <v>1</v>
      </c>
    </row>
    <row r="4654" spans="1:2" x14ac:dyDescent="0.35">
      <c r="A4654" s="14">
        <v>42314.771249999998</v>
      </c>
      <c r="B4654" s="5">
        <v>1</v>
      </c>
    </row>
    <row r="4655" spans="1:2" x14ac:dyDescent="0.35">
      <c r="A4655" s="14">
        <v>42314.773530092592</v>
      </c>
      <c r="B4655" s="5">
        <v>1</v>
      </c>
    </row>
    <row r="4656" spans="1:2" x14ac:dyDescent="0.35">
      <c r="A4656" s="14">
        <v>42314.774351851855</v>
      </c>
      <c r="B4656" s="5">
        <v>1</v>
      </c>
    </row>
    <row r="4657" spans="1:2" x14ac:dyDescent="0.35">
      <c r="A4657" s="14">
        <v>42314.784432870372</v>
      </c>
      <c r="B4657" s="5">
        <v>1</v>
      </c>
    </row>
    <row r="4658" spans="1:2" x14ac:dyDescent="0.35">
      <c r="A4658" s="14">
        <v>42314.791921296295</v>
      </c>
      <c r="B4658" s="5">
        <v>1</v>
      </c>
    </row>
    <row r="4659" spans="1:2" x14ac:dyDescent="0.35">
      <c r="A4659" s="14">
        <v>42314.793483796297</v>
      </c>
      <c r="B4659" s="5">
        <v>1</v>
      </c>
    </row>
    <row r="4660" spans="1:2" x14ac:dyDescent="0.35">
      <c r="A4660" s="14">
        <v>42314.799872685187</v>
      </c>
      <c r="B4660" s="5">
        <v>1</v>
      </c>
    </row>
    <row r="4661" spans="1:2" x14ac:dyDescent="0.35">
      <c r="A4661" s="14">
        <v>42314.820763888885</v>
      </c>
      <c r="B4661" s="5">
        <v>1</v>
      </c>
    </row>
    <row r="4662" spans="1:2" x14ac:dyDescent="0.35">
      <c r="A4662" s="14">
        <v>42314.83394675926</v>
      </c>
      <c r="B4662" s="5">
        <v>1</v>
      </c>
    </row>
    <row r="4663" spans="1:2" x14ac:dyDescent="0.35">
      <c r="A4663" s="14">
        <v>42314.836041666669</v>
      </c>
      <c r="B4663" s="5">
        <v>1</v>
      </c>
    </row>
    <row r="4664" spans="1:2" x14ac:dyDescent="0.35">
      <c r="A4664" s="14">
        <v>42314.837592592594</v>
      </c>
      <c r="B4664" s="5">
        <v>1</v>
      </c>
    </row>
    <row r="4665" spans="1:2" x14ac:dyDescent="0.35">
      <c r="A4665" s="14">
        <v>42314.849062499998</v>
      </c>
      <c r="B4665" s="5">
        <v>1</v>
      </c>
    </row>
    <row r="4666" spans="1:2" x14ac:dyDescent="0.35">
      <c r="A4666" s="14">
        <v>42314.856192129628</v>
      </c>
      <c r="B4666" s="5">
        <v>1</v>
      </c>
    </row>
    <row r="4667" spans="1:2" x14ac:dyDescent="0.35">
      <c r="A4667" s="14">
        <v>42314.864490740743</v>
      </c>
      <c r="B4667" s="5">
        <v>1</v>
      </c>
    </row>
    <row r="4668" spans="1:2" x14ac:dyDescent="0.35">
      <c r="A4668" s="14">
        <v>42314.870104166665</v>
      </c>
      <c r="B4668" s="5">
        <v>1</v>
      </c>
    </row>
    <row r="4669" spans="1:2" x14ac:dyDescent="0.35">
      <c r="A4669" s="14">
        <v>42314.880462962959</v>
      </c>
      <c r="B4669" s="5">
        <v>1</v>
      </c>
    </row>
    <row r="4670" spans="1:2" x14ac:dyDescent="0.35">
      <c r="A4670" s="14">
        <v>42314.881319444445</v>
      </c>
      <c r="B4670" s="5">
        <v>1</v>
      </c>
    </row>
    <row r="4671" spans="1:2" x14ac:dyDescent="0.35">
      <c r="A4671" s="14">
        <v>42314.88208333333</v>
      </c>
      <c r="B4671" s="5">
        <v>1</v>
      </c>
    </row>
    <row r="4672" spans="1:2" x14ac:dyDescent="0.35">
      <c r="A4672" s="14">
        <v>42314.882627314815</v>
      </c>
      <c r="B4672" s="5">
        <v>1</v>
      </c>
    </row>
    <row r="4673" spans="1:2" x14ac:dyDescent="0.35">
      <c r="A4673" s="14">
        <v>42314.912534722222</v>
      </c>
      <c r="B4673" s="5">
        <v>1</v>
      </c>
    </row>
    <row r="4674" spans="1:2" x14ac:dyDescent="0.35">
      <c r="A4674" s="14">
        <v>42314.936018518521</v>
      </c>
      <c r="B4674" s="5">
        <v>1</v>
      </c>
    </row>
    <row r="4675" spans="1:2" x14ac:dyDescent="0.35">
      <c r="A4675" s="14">
        <v>42314.942662037036</v>
      </c>
      <c r="B4675" s="5">
        <v>1</v>
      </c>
    </row>
    <row r="4676" spans="1:2" x14ac:dyDescent="0.35">
      <c r="A4676" s="14">
        <v>42314.943101851852</v>
      </c>
      <c r="B4676" s="5">
        <v>1</v>
      </c>
    </row>
    <row r="4677" spans="1:2" x14ac:dyDescent="0.35">
      <c r="A4677" s="14">
        <v>42314.975810185184</v>
      </c>
      <c r="B4677" s="5">
        <v>1</v>
      </c>
    </row>
    <row r="4678" spans="1:2" x14ac:dyDescent="0.35">
      <c r="A4678" s="14">
        <v>42314.979108796295</v>
      </c>
      <c r="B4678" s="5">
        <v>1</v>
      </c>
    </row>
    <row r="4679" spans="1:2" x14ac:dyDescent="0.35">
      <c r="A4679" s="14">
        <v>42315.112407407411</v>
      </c>
      <c r="B4679" s="5">
        <v>1</v>
      </c>
    </row>
    <row r="4680" spans="1:2" x14ac:dyDescent="0.35">
      <c r="A4680" s="14">
        <v>42315.160729166666</v>
      </c>
      <c r="B4680" s="5">
        <v>1</v>
      </c>
    </row>
    <row r="4681" spans="1:2" x14ac:dyDescent="0.35">
      <c r="A4681" s="14">
        <v>42315.175810185188</v>
      </c>
      <c r="B4681" s="5">
        <v>1</v>
      </c>
    </row>
    <row r="4682" spans="1:2" x14ac:dyDescent="0.35">
      <c r="A4682" s="14">
        <v>42315.572916666664</v>
      </c>
      <c r="B4682" s="5">
        <v>1</v>
      </c>
    </row>
    <row r="4683" spans="1:2" x14ac:dyDescent="0.35">
      <c r="A4683" s="14">
        <v>42315.575335648151</v>
      </c>
      <c r="B4683" s="5">
        <v>1</v>
      </c>
    </row>
    <row r="4684" spans="1:2" x14ac:dyDescent="0.35">
      <c r="A4684" s="14">
        <v>42315.584814814814</v>
      </c>
      <c r="B4684" s="5">
        <v>1</v>
      </c>
    </row>
    <row r="4685" spans="1:2" x14ac:dyDescent="0.35">
      <c r="A4685" s="14">
        <v>42315.714328703703</v>
      </c>
      <c r="B4685" s="5">
        <v>1</v>
      </c>
    </row>
    <row r="4686" spans="1:2" x14ac:dyDescent="0.35">
      <c r="A4686" s="14">
        <v>42315.714884259258</v>
      </c>
      <c r="B4686" s="5">
        <v>2</v>
      </c>
    </row>
    <row r="4687" spans="1:2" x14ac:dyDescent="0.35">
      <c r="A4687" s="14">
        <v>42315.721539351849</v>
      </c>
      <c r="B4687" s="5">
        <v>1</v>
      </c>
    </row>
    <row r="4688" spans="1:2" x14ac:dyDescent="0.35">
      <c r="A4688" s="14">
        <v>42315.729398148149</v>
      </c>
      <c r="B4688" s="5">
        <v>1</v>
      </c>
    </row>
    <row r="4689" spans="1:2" x14ac:dyDescent="0.35">
      <c r="A4689" s="14">
        <v>42315.734594907408</v>
      </c>
      <c r="B4689" s="5">
        <v>1</v>
      </c>
    </row>
    <row r="4690" spans="1:2" x14ac:dyDescent="0.35">
      <c r="A4690" s="14">
        <v>42315.734733796293</v>
      </c>
      <c r="B4690" s="5">
        <v>1</v>
      </c>
    </row>
    <row r="4691" spans="1:2" x14ac:dyDescent="0.35">
      <c r="A4691" s="14">
        <v>42315.74732638889</v>
      </c>
      <c r="B4691" s="5">
        <v>1</v>
      </c>
    </row>
    <row r="4692" spans="1:2" x14ac:dyDescent="0.35">
      <c r="A4692" s="14">
        <v>42315.790219907409</v>
      </c>
      <c r="B4692" s="5">
        <v>1</v>
      </c>
    </row>
    <row r="4693" spans="1:2" x14ac:dyDescent="0.35">
      <c r="A4693" s="14">
        <v>42315.791030092594</v>
      </c>
      <c r="B4693" s="5">
        <v>1</v>
      </c>
    </row>
    <row r="4694" spans="1:2" x14ac:dyDescent="0.35">
      <c r="A4694" s="14">
        <v>42315.810034722221</v>
      </c>
      <c r="B4694" s="5">
        <v>1</v>
      </c>
    </row>
    <row r="4695" spans="1:2" x14ac:dyDescent="0.35">
      <c r="A4695" s="14">
        <v>42315.813807870371</v>
      </c>
      <c r="B4695" s="5">
        <v>1</v>
      </c>
    </row>
    <row r="4696" spans="1:2" x14ac:dyDescent="0.35">
      <c r="A4696" s="14">
        <v>42315.818171296298</v>
      </c>
      <c r="B4696" s="5">
        <v>1</v>
      </c>
    </row>
    <row r="4697" spans="1:2" x14ac:dyDescent="0.35">
      <c r="A4697" s="14">
        <v>42315.824560185189</v>
      </c>
      <c r="B4697" s="5">
        <v>1</v>
      </c>
    </row>
    <row r="4698" spans="1:2" x14ac:dyDescent="0.35">
      <c r="A4698" s="14">
        <v>42315.824999999997</v>
      </c>
      <c r="B4698" s="5">
        <v>1</v>
      </c>
    </row>
    <row r="4699" spans="1:2" x14ac:dyDescent="0.35">
      <c r="A4699" s="14">
        <v>42315.825520833336</v>
      </c>
      <c r="B4699" s="5">
        <v>1</v>
      </c>
    </row>
    <row r="4700" spans="1:2" x14ac:dyDescent="0.35">
      <c r="A4700" s="14">
        <v>42315.833136574074</v>
      </c>
      <c r="B4700" s="5">
        <v>1</v>
      </c>
    </row>
    <row r="4701" spans="1:2" x14ac:dyDescent="0.35">
      <c r="A4701" s="14">
        <v>42315.833368055559</v>
      </c>
      <c r="B4701" s="5">
        <v>1</v>
      </c>
    </row>
    <row r="4702" spans="1:2" x14ac:dyDescent="0.35">
      <c r="A4702" s="14">
        <v>42315.836388888885</v>
      </c>
      <c r="B4702" s="5">
        <v>1</v>
      </c>
    </row>
    <row r="4703" spans="1:2" x14ac:dyDescent="0.35">
      <c r="A4703" s="14">
        <v>42315.842280092591</v>
      </c>
      <c r="B4703" s="5">
        <v>1</v>
      </c>
    </row>
    <row r="4704" spans="1:2" x14ac:dyDescent="0.35">
      <c r="A4704" s="14">
        <v>42315.842685185184</v>
      </c>
      <c r="B4704" s="5">
        <v>1</v>
      </c>
    </row>
    <row r="4705" spans="1:2" x14ac:dyDescent="0.35">
      <c r="A4705" s="14">
        <v>42315.847986111112</v>
      </c>
      <c r="B4705" s="5">
        <v>1</v>
      </c>
    </row>
    <row r="4706" spans="1:2" x14ac:dyDescent="0.35">
      <c r="A4706" s="14">
        <v>42315.848333333335</v>
      </c>
      <c r="B4706" s="5">
        <v>1</v>
      </c>
    </row>
    <row r="4707" spans="1:2" x14ac:dyDescent="0.35">
      <c r="A4707" s="14">
        <v>42315.849606481483</v>
      </c>
      <c r="B4707" s="5">
        <v>1</v>
      </c>
    </row>
    <row r="4708" spans="1:2" x14ac:dyDescent="0.35">
      <c r="A4708" s="14">
        <v>42315.851400462961</v>
      </c>
      <c r="B4708" s="5">
        <v>1</v>
      </c>
    </row>
    <row r="4709" spans="1:2" x14ac:dyDescent="0.35">
      <c r="A4709" s="14">
        <v>42315.854548611111</v>
      </c>
      <c r="B4709" s="5">
        <v>1</v>
      </c>
    </row>
    <row r="4710" spans="1:2" x14ac:dyDescent="0.35">
      <c r="A4710" s="14">
        <v>42315.879675925928</v>
      </c>
      <c r="B4710" s="5">
        <v>1</v>
      </c>
    </row>
    <row r="4711" spans="1:2" x14ac:dyDescent="0.35">
      <c r="A4711" s="14">
        <v>42315.900127314817</v>
      </c>
      <c r="B4711" s="5">
        <v>1</v>
      </c>
    </row>
    <row r="4712" spans="1:2" x14ac:dyDescent="0.35">
      <c r="A4712" s="14">
        <v>42315.912106481483</v>
      </c>
      <c r="B4712" s="5">
        <v>1</v>
      </c>
    </row>
    <row r="4713" spans="1:2" x14ac:dyDescent="0.35">
      <c r="A4713" s="14">
        <v>42315.914560185185</v>
      </c>
      <c r="B4713" s="5">
        <v>1</v>
      </c>
    </row>
    <row r="4714" spans="1:2" x14ac:dyDescent="0.35">
      <c r="A4714" s="14">
        <v>42315.921053240738</v>
      </c>
      <c r="B4714" s="5">
        <v>1</v>
      </c>
    </row>
    <row r="4715" spans="1:2" x14ac:dyDescent="0.35">
      <c r="A4715" s="14">
        <v>42315.923055555555</v>
      </c>
      <c r="B4715" s="5">
        <v>1</v>
      </c>
    </row>
    <row r="4716" spans="1:2" x14ac:dyDescent="0.35">
      <c r="A4716" s="14">
        <v>42315.926030092596</v>
      </c>
      <c r="B4716" s="5">
        <v>1</v>
      </c>
    </row>
    <row r="4717" spans="1:2" x14ac:dyDescent="0.35">
      <c r="A4717" s="14">
        <v>42315.946886574071</v>
      </c>
      <c r="B4717" s="5">
        <v>1</v>
      </c>
    </row>
    <row r="4718" spans="1:2" x14ac:dyDescent="0.35">
      <c r="A4718" s="14">
        <v>42315.978229166663</v>
      </c>
      <c r="B4718" s="5">
        <v>1</v>
      </c>
    </row>
    <row r="4719" spans="1:2" x14ac:dyDescent="0.35">
      <c r="A4719" s="14">
        <v>42316.015428240738</v>
      </c>
      <c r="B4719" s="5">
        <v>1</v>
      </c>
    </row>
    <row r="4720" spans="1:2" x14ac:dyDescent="0.35">
      <c r="A4720" s="14">
        <v>42316.020798611113</v>
      </c>
      <c r="B4720" s="5">
        <v>1</v>
      </c>
    </row>
    <row r="4721" spans="1:2" x14ac:dyDescent="0.35">
      <c r="A4721" s="14">
        <v>42316.035462962966</v>
      </c>
      <c r="B4721" s="5">
        <v>1</v>
      </c>
    </row>
    <row r="4722" spans="1:2" x14ac:dyDescent="0.35">
      <c r="A4722" s="14">
        <v>42316.05810185185</v>
      </c>
      <c r="B4722" s="5">
        <v>1</v>
      </c>
    </row>
    <row r="4723" spans="1:2" x14ac:dyDescent="0.35">
      <c r="A4723" s="14">
        <v>42316.066192129627</v>
      </c>
      <c r="B4723" s="5">
        <v>1</v>
      </c>
    </row>
    <row r="4724" spans="1:2" x14ac:dyDescent="0.35">
      <c r="A4724" s="14">
        <v>42316.120567129627</v>
      </c>
      <c r="B4724" s="5">
        <v>1</v>
      </c>
    </row>
    <row r="4725" spans="1:2" x14ac:dyDescent="0.35">
      <c r="A4725" s="14">
        <v>42316.157696759263</v>
      </c>
      <c r="B4725" s="5">
        <v>1</v>
      </c>
    </row>
    <row r="4726" spans="1:2" x14ac:dyDescent="0.35">
      <c r="A4726" s="14">
        <v>42316.165833333333</v>
      </c>
      <c r="B4726" s="5">
        <v>1</v>
      </c>
    </row>
    <row r="4727" spans="1:2" x14ac:dyDescent="0.35">
      <c r="A4727" s="14">
        <v>42316.169050925928</v>
      </c>
      <c r="B4727" s="5">
        <v>1</v>
      </c>
    </row>
    <row r="4728" spans="1:2" x14ac:dyDescent="0.35">
      <c r="A4728" s="14">
        <v>42316.170578703706</v>
      </c>
      <c r="B4728" s="5">
        <v>1</v>
      </c>
    </row>
    <row r="4729" spans="1:2" x14ac:dyDescent="0.35">
      <c r="A4729" s="14">
        <v>42316.173402777778</v>
      </c>
      <c r="B4729" s="5">
        <v>1</v>
      </c>
    </row>
    <row r="4730" spans="1:2" x14ac:dyDescent="0.35">
      <c r="A4730" s="14">
        <v>42316.195451388892</v>
      </c>
      <c r="B4730" s="5">
        <v>1</v>
      </c>
    </row>
    <row r="4731" spans="1:2" x14ac:dyDescent="0.35">
      <c r="A4731" s="14">
        <v>42316.217141203706</v>
      </c>
      <c r="B4731" s="5">
        <v>1</v>
      </c>
    </row>
    <row r="4732" spans="1:2" x14ac:dyDescent="0.35">
      <c r="A4732" s="14">
        <v>42316.258344907408</v>
      </c>
      <c r="B4732" s="5">
        <v>1</v>
      </c>
    </row>
    <row r="4733" spans="1:2" x14ac:dyDescent="0.35">
      <c r="A4733" s="14">
        <v>42316.260729166665</v>
      </c>
      <c r="B4733" s="5">
        <v>1</v>
      </c>
    </row>
    <row r="4734" spans="1:2" x14ac:dyDescent="0.35">
      <c r="A4734" s="14">
        <v>42316.261134259257</v>
      </c>
      <c r="B4734" s="5">
        <v>2</v>
      </c>
    </row>
    <row r="4735" spans="1:2" x14ac:dyDescent="0.35">
      <c r="A4735" s="14">
        <v>42316.262233796297</v>
      </c>
      <c r="B4735" s="5">
        <v>1</v>
      </c>
    </row>
    <row r="4736" spans="1:2" x14ac:dyDescent="0.35">
      <c r="A4736" s="14">
        <v>42316.262384259258</v>
      </c>
      <c r="B4736" s="5">
        <v>1</v>
      </c>
    </row>
    <row r="4737" spans="1:2" x14ac:dyDescent="0.35">
      <c r="A4737" s="14">
        <v>42316.262476851851</v>
      </c>
      <c r="B4737" s="5">
        <v>1</v>
      </c>
    </row>
    <row r="4738" spans="1:2" x14ac:dyDescent="0.35">
      <c r="A4738" s="14">
        <v>42316.262662037036</v>
      </c>
      <c r="B4738" s="5">
        <v>2</v>
      </c>
    </row>
    <row r="4739" spans="1:2" x14ac:dyDescent="0.35">
      <c r="A4739" s="14">
        <v>42316.26284722222</v>
      </c>
      <c r="B4739" s="5">
        <v>2</v>
      </c>
    </row>
    <row r="4740" spans="1:2" x14ac:dyDescent="0.35">
      <c r="A4740" s="14">
        <v>42316.263449074075</v>
      </c>
      <c r="B4740" s="5">
        <v>2</v>
      </c>
    </row>
    <row r="4741" spans="1:2" x14ac:dyDescent="0.35">
      <c r="A4741" s="14">
        <v>42316.264085648145</v>
      </c>
      <c r="B4741" s="5">
        <v>1</v>
      </c>
    </row>
    <row r="4742" spans="1:2" x14ac:dyDescent="0.35">
      <c r="A4742" s="14">
        <v>42316.264525462961</v>
      </c>
      <c r="B4742" s="5">
        <v>1</v>
      </c>
    </row>
    <row r="4743" spans="1:2" x14ac:dyDescent="0.35">
      <c r="A4743" s="14">
        <v>42316.264675925922</v>
      </c>
      <c r="B4743" s="5">
        <v>2</v>
      </c>
    </row>
    <row r="4744" spans="1:2" x14ac:dyDescent="0.35">
      <c r="A4744" s="14">
        <v>42316.264756944445</v>
      </c>
      <c r="B4744" s="5">
        <v>1</v>
      </c>
    </row>
    <row r="4745" spans="1:2" x14ac:dyDescent="0.35">
      <c r="A4745" s="14">
        <v>42316.26489583333</v>
      </c>
      <c r="B4745" s="5">
        <v>2</v>
      </c>
    </row>
    <row r="4746" spans="1:2" x14ac:dyDescent="0.35">
      <c r="A4746" s="14">
        <v>42316.265173611115</v>
      </c>
      <c r="B4746" s="5">
        <v>1</v>
      </c>
    </row>
    <row r="4747" spans="1:2" x14ac:dyDescent="0.35">
      <c r="A4747" s="14">
        <v>42316.265370370369</v>
      </c>
      <c r="B4747" s="5">
        <v>2</v>
      </c>
    </row>
    <row r="4748" spans="1:2" x14ac:dyDescent="0.35">
      <c r="A4748" s="14">
        <v>42316.2655787037</v>
      </c>
      <c r="B4748" s="5">
        <v>1</v>
      </c>
    </row>
    <row r="4749" spans="1:2" x14ac:dyDescent="0.35">
      <c r="A4749" s="14">
        <v>42316.268287037034</v>
      </c>
      <c r="B4749" s="5">
        <v>1</v>
      </c>
    </row>
    <row r="4750" spans="1:2" x14ac:dyDescent="0.35">
      <c r="A4750" s="14">
        <v>42316.269675925927</v>
      </c>
      <c r="B4750" s="5">
        <v>2</v>
      </c>
    </row>
    <row r="4751" spans="1:2" x14ac:dyDescent="0.35">
      <c r="A4751" s="14">
        <v>42316.270451388889</v>
      </c>
      <c r="B4751" s="5">
        <v>1</v>
      </c>
    </row>
    <row r="4752" spans="1:2" x14ac:dyDescent="0.35">
      <c r="A4752" s="14">
        <v>42316.271284722221</v>
      </c>
      <c r="B4752" s="5">
        <v>1</v>
      </c>
    </row>
    <row r="4753" spans="1:2" x14ac:dyDescent="0.35">
      <c r="A4753" s="14">
        <v>42316.276620370372</v>
      </c>
      <c r="B4753" s="5">
        <v>1</v>
      </c>
    </row>
    <row r="4754" spans="1:2" x14ac:dyDescent="0.35">
      <c r="A4754" s="14">
        <v>42316.383483796293</v>
      </c>
      <c r="B4754" s="5">
        <v>1</v>
      </c>
    </row>
    <row r="4755" spans="1:2" x14ac:dyDescent="0.35">
      <c r="A4755" s="14">
        <v>42316.538287037038</v>
      </c>
      <c r="B4755" s="5">
        <v>1</v>
      </c>
    </row>
    <row r="4756" spans="1:2" x14ac:dyDescent="0.35">
      <c r="A4756" s="14">
        <v>42316.539918981478</v>
      </c>
      <c r="B4756" s="5">
        <v>1</v>
      </c>
    </row>
    <row r="4757" spans="1:2" x14ac:dyDescent="0.35">
      <c r="A4757" s="14">
        <v>42316.554178240738</v>
      </c>
      <c r="B4757" s="5">
        <v>1</v>
      </c>
    </row>
    <row r="4758" spans="1:2" x14ac:dyDescent="0.35">
      <c r="A4758" s="14">
        <v>42316.572314814817</v>
      </c>
      <c r="B4758" s="5">
        <v>1</v>
      </c>
    </row>
    <row r="4759" spans="1:2" x14ac:dyDescent="0.35">
      <c r="A4759" s="14">
        <v>42316.624363425923</v>
      </c>
      <c r="B4759" s="5">
        <v>1</v>
      </c>
    </row>
    <row r="4760" spans="1:2" x14ac:dyDescent="0.35">
      <c r="A4760" s="14">
        <v>42316.637638888889</v>
      </c>
      <c r="B4760" s="5">
        <v>1</v>
      </c>
    </row>
    <row r="4761" spans="1:2" x14ac:dyDescent="0.35">
      <c r="A4761" s="14">
        <v>42316.69054398148</v>
      </c>
      <c r="B4761" s="5">
        <v>1</v>
      </c>
    </row>
    <row r="4762" spans="1:2" x14ac:dyDescent="0.35">
      <c r="A4762" s="14">
        <v>42316.694305555553</v>
      </c>
      <c r="B4762" s="5">
        <v>1</v>
      </c>
    </row>
    <row r="4763" spans="1:2" x14ac:dyDescent="0.35">
      <c r="A4763" s="14">
        <v>42316.708749999998</v>
      </c>
      <c r="B4763" s="5">
        <v>1</v>
      </c>
    </row>
    <row r="4764" spans="1:2" x14ac:dyDescent="0.35">
      <c r="A4764" s="14">
        <v>42316.726388888892</v>
      </c>
      <c r="B4764" s="5">
        <v>1</v>
      </c>
    </row>
    <row r="4765" spans="1:2" x14ac:dyDescent="0.35">
      <c r="A4765" s="14">
        <v>42316.728460648148</v>
      </c>
      <c r="B4765" s="5">
        <v>2</v>
      </c>
    </row>
    <row r="4766" spans="1:2" x14ac:dyDescent="0.35">
      <c r="A4766" s="14">
        <v>42316.731307870374</v>
      </c>
      <c r="B4766" s="5">
        <v>1</v>
      </c>
    </row>
    <row r="4767" spans="1:2" x14ac:dyDescent="0.35">
      <c r="A4767" s="14">
        <v>42316.73337962963</v>
      </c>
      <c r="B4767" s="5">
        <v>1</v>
      </c>
    </row>
    <row r="4768" spans="1:2" x14ac:dyDescent="0.35">
      <c r="A4768" s="14">
        <v>42316.744039351855</v>
      </c>
      <c r="B4768" s="5">
        <v>1</v>
      </c>
    </row>
    <row r="4769" spans="1:2" x14ac:dyDescent="0.35">
      <c r="A4769" s="14">
        <v>42316.747106481482</v>
      </c>
      <c r="B4769" s="5">
        <v>2</v>
      </c>
    </row>
    <row r="4770" spans="1:2" x14ac:dyDescent="0.35">
      <c r="A4770" s="14">
        <v>42316.747442129628</v>
      </c>
      <c r="B4770" s="5">
        <v>1</v>
      </c>
    </row>
    <row r="4771" spans="1:2" x14ac:dyDescent="0.35">
      <c r="A4771" s="14">
        <v>42316.752893518518</v>
      </c>
      <c r="B4771" s="5">
        <v>1</v>
      </c>
    </row>
    <row r="4772" spans="1:2" x14ac:dyDescent="0.35">
      <c r="A4772" s="14">
        <v>42316.77484953704</v>
      </c>
      <c r="B4772" s="5">
        <v>1</v>
      </c>
    </row>
    <row r="4773" spans="1:2" x14ac:dyDescent="0.35">
      <c r="A4773" s="14">
        <v>42316.783182870371</v>
      </c>
      <c r="B4773" s="5">
        <v>1</v>
      </c>
    </row>
    <row r="4774" spans="1:2" x14ac:dyDescent="0.35">
      <c r="A4774" s="14">
        <v>42316.813425925924</v>
      </c>
      <c r="B4774" s="5">
        <v>1</v>
      </c>
    </row>
    <row r="4775" spans="1:2" x14ac:dyDescent="0.35">
      <c r="A4775" s="14">
        <v>42316.825057870374</v>
      </c>
      <c r="B4775" s="5">
        <v>1</v>
      </c>
    </row>
    <row r="4776" spans="1:2" x14ac:dyDescent="0.35">
      <c r="A4776" s="14">
        <v>42316.82508101852</v>
      </c>
      <c r="B4776" s="5">
        <v>1</v>
      </c>
    </row>
    <row r="4777" spans="1:2" x14ac:dyDescent="0.35">
      <c r="A4777" s="14">
        <v>42316.8284375</v>
      </c>
      <c r="B4777" s="5">
        <v>1</v>
      </c>
    </row>
    <row r="4778" spans="1:2" x14ac:dyDescent="0.35">
      <c r="A4778" s="14">
        <v>42316.840648148151</v>
      </c>
      <c r="B4778" s="5">
        <v>1</v>
      </c>
    </row>
    <row r="4779" spans="1:2" x14ac:dyDescent="0.35">
      <c r="A4779" s="14">
        <v>42316.842766203707</v>
      </c>
      <c r="B4779" s="5">
        <v>1</v>
      </c>
    </row>
    <row r="4780" spans="1:2" x14ac:dyDescent="0.35">
      <c r="A4780" s="14">
        <v>42316.853136574071</v>
      </c>
      <c r="B4780" s="5">
        <v>1</v>
      </c>
    </row>
    <row r="4781" spans="1:2" x14ac:dyDescent="0.35">
      <c r="A4781" s="14">
        <v>42316.854444444441</v>
      </c>
      <c r="B4781" s="5">
        <v>1</v>
      </c>
    </row>
    <row r="4782" spans="1:2" x14ac:dyDescent="0.35">
      <c r="A4782" s="14">
        <v>42316.857800925929</v>
      </c>
      <c r="B4782" s="5">
        <v>1</v>
      </c>
    </row>
    <row r="4783" spans="1:2" x14ac:dyDescent="0.35">
      <c r="A4783" s="14">
        <v>42316.863321759258</v>
      </c>
      <c r="B4783" s="5">
        <v>1</v>
      </c>
    </row>
    <row r="4784" spans="1:2" x14ac:dyDescent="0.35">
      <c r="A4784" s="14">
        <v>42316.892094907409</v>
      </c>
      <c r="B4784" s="5">
        <v>1</v>
      </c>
    </row>
    <row r="4785" spans="1:2" x14ac:dyDescent="0.35">
      <c r="A4785" s="14">
        <v>42316.894849537035</v>
      </c>
      <c r="B4785" s="5">
        <v>1</v>
      </c>
    </row>
    <row r="4786" spans="1:2" x14ac:dyDescent="0.35">
      <c r="A4786" s="14">
        <v>42316.918483796297</v>
      </c>
      <c r="B4786" s="5">
        <v>1</v>
      </c>
    </row>
    <row r="4787" spans="1:2" x14ac:dyDescent="0.35">
      <c r="A4787" s="14">
        <v>42316.954594907409</v>
      </c>
      <c r="B4787" s="5">
        <v>1</v>
      </c>
    </row>
    <row r="4788" spans="1:2" x14ac:dyDescent="0.35">
      <c r="A4788" s="14">
        <v>42316.955312500002</v>
      </c>
      <c r="B4788" s="5">
        <v>1</v>
      </c>
    </row>
    <row r="4789" spans="1:2" x14ac:dyDescent="0.35">
      <c r="A4789" s="14">
        <v>42316.988055555557</v>
      </c>
      <c r="B4789" s="5">
        <v>1</v>
      </c>
    </row>
    <row r="4790" spans="1:2" x14ac:dyDescent="0.35">
      <c r="A4790" s="14">
        <v>42317.00608796296</v>
      </c>
      <c r="B4790" s="5">
        <v>1</v>
      </c>
    </row>
    <row r="4791" spans="1:2" x14ac:dyDescent="0.35">
      <c r="A4791" s="14">
        <v>42317.03696759259</v>
      </c>
      <c r="B4791" s="5">
        <v>1</v>
      </c>
    </row>
    <row r="4792" spans="1:2" x14ac:dyDescent="0.35">
      <c r="A4792" s="14">
        <v>42317.050266203703</v>
      </c>
      <c r="B4792" s="5">
        <v>1</v>
      </c>
    </row>
    <row r="4793" spans="1:2" x14ac:dyDescent="0.35">
      <c r="A4793" s="14">
        <v>42317.050451388888</v>
      </c>
      <c r="B4793" s="5">
        <v>1</v>
      </c>
    </row>
    <row r="4794" spans="1:2" x14ac:dyDescent="0.35">
      <c r="A4794" s="14">
        <v>42317.05228009259</v>
      </c>
      <c r="B4794" s="5">
        <v>1</v>
      </c>
    </row>
    <row r="4795" spans="1:2" x14ac:dyDescent="0.35">
      <c r="A4795" s="14">
        <v>42317.052372685182</v>
      </c>
      <c r="B4795" s="5">
        <v>1</v>
      </c>
    </row>
    <row r="4796" spans="1:2" x14ac:dyDescent="0.35">
      <c r="A4796" s="14">
        <v>42317.052442129629</v>
      </c>
      <c r="B4796" s="5">
        <v>1</v>
      </c>
    </row>
    <row r="4797" spans="1:2" x14ac:dyDescent="0.35">
      <c r="A4797" s="14">
        <v>42317.056863425925</v>
      </c>
      <c r="B4797" s="5">
        <v>2</v>
      </c>
    </row>
    <row r="4798" spans="1:2" x14ac:dyDescent="0.35">
      <c r="A4798" s="14">
        <v>42317.057476851849</v>
      </c>
      <c r="B4798" s="5">
        <v>1</v>
      </c>
    </row>
    <row r="4799" spans="1:2" x14ac:dyDescent="0.35">
      <c r="A4799" s="14">
        <v>42317.057604166665</v>
      </c>
      <c r="B4799" s="5">
        <v>1</v>
      </c>
    </row>
    <row r="4800" spans="1:2" x14ac:dyDescent="0.35">
      <c r="A4800" s="14">
        <v>42317.059166666666</v>
      </c>
      <c r="B4800" s="5">
        <v>1</v>
      </c>
    </row>
    <row r="4801" spans="1:2" x14ac:dyDescent="0.35">
      <c r="A4801" s="14">
        <v>42317.063796296294</v>
      </c>
      <c r="B4801" s="5">
        <v>1</v>
      </c>
    </row>
    <row r="4802" spans="1:2" x14ac:dyDescent="0.35">
      <c r="A4802" s="14">
        <v>42317.063807870371</v>
      </c>
      <c r="B4802" s="5">
        <v>1</v>
      </c>
    </row>
    <row r="4803" spans="1:2" x14ac:dyDescent="0.35">
      <c r="A4803" s="14">
        <v>42317.066712962966</v>
      </c>
      <c r="B4803" s="5">
        <v>1</v>
      </c>
    </row>
    <row r="4804" spans="1:2" x14ac:dyDescent="0.35">
      <c r="A4804" s="14">
        <v>42317.0784375</v>
      </c>
      <c r="B4804" s="5">
        <v>1</v>
      </c>
    </row>
    <row r="4805" spans="1:2" x14ac:dyDescent="0.35">
      <c r="A4805" s="14">
        <v>42317.084270833337</v>
      </c>
      <c r="B4805" s="5">
        <v>1</v>
      </c>
    </row>
    <row r="4806" spans="1:2" x14ac:dyDescent="0.35">
      <c r="A4806" s="14">
        <v>42317.091284722221</v>
      </c>
      <c r="B4806" s="5">
        <v>1</v>
      </c>
    </row>
    <row r="4807" spans="1:2" x14ac:dyDescent="0.35">
      <c r="A4807" s="14">
        <v>42317.092638888891</v>
      </c>
      <c r="B4807" s="5">
        <v>1</v>
      </c>
    </row>
    <row r="4808" spans="1:2" x14ac:dyDescent="0.35">
      <c r="A4808" s="14">
        <v>42317.097395833334</v>
      </c>
      <c r="B4808" s="5">
        <v>1</v>
      </c>
    </row>
    <row r="4809" spans="1:2" x14ac:dyDescent="0.35">
      <c r="A4809" s="14">
        <v>42317.102766203701</v>
      </c>
      <c r="B4809" s="5">
        <v>1</v>
      </c>
    </row>
    <row r="4810" spans="1:2" x14ac:dyDescent="0.35">
      <c r="A4810" s="14">
        <v>42317.104004629633</v>
      </c>
      <c r="B4810" s="5">
        <v>1</v>
      </c>
    </row>
    <row r="4811" spans="1:2" x14ac:dyDescent="0.35">
      <c r="A4811" s="14">
        <v>42317.111145833333</v>
      </c>
      <c r="B4811" s="5">
        <v>1</v>
      </c>
    </row>
    <row r="4812" spans="1:2" x14ac:dyDescent="0.35">
      <c r="A4812" s="14">
        <v>42317.114675925928</v>
      </c>
      <c r="B4812" s="5">
        <v>1</v>
      </c>
    </row>
    <row r="4813" spans="1:2" x14ac:dyDescent="0.35">
      <c r="A4813" s="14">
        <v>42317.120381944442</v>
      </c>
      <c r="B4813" s="5">
        <v>1</v>
      </c>
    </row>
    <row r="4814" spans="1:2" x14ac:dyDescent="0.35">
      <c r="A4814" s="14">
        <v>42317.121701388889</v>
      </c>
      <c r="B4814" s="5">
        <v>1</v>
      </c>
    </row>
    <row r="4815" spans="1:2" x14ac:dyDescent="0.35">
      <c r="A4815" s="14">
        <v>42317.121921296297</v>
      </c>
      <c r="B4815" s="5">
        <v>1</v>
      </c>
    </row>
    <row r="4816" spans="1:2" x14ac:dyDescent="0.35">
      <c r="A4816" s="14">
        <v>42317.122604166667</v>
      </c>
      <c r="B4816" s="5">
        <v>1</v>
      </c>
    </row>
    <row r="4817" spans="1:2" x14ac:dyDescent="0.35">
      <c r="A4817" s="14">
        <v>42317.124837962961</v>
      </c>
      <c r="B4817" s="5">
        <v>1</v>
      </c>
    </row>
    <row r="4818" spans="1:2" x14ac:dyDescent="0.35">
      <c r="A4818" s="14">
        <v>42317.144918981481</v>
      </c>
      <c r="B4818" s="5">
        <v>1</v>
      </c>
    </row>
    <row r="4819" spans="1:2" x14ac:dyDescent="0.35">
      <c r="A4819" s="14">
        <v>42317.158506944441</v>
      </c>
      <c r="B4819" s="5">
        <v>1</v>
      </c>
    </row>
    <row r="4820" spans="1:2" x14ac:dyDescent="0.35">
      <c r="A4820" s="14">
        <v>42317.159016203703</v>
      </c>
      <c r="B4820" s="5">
        <v>2</v>
      </c>
    </row>
    <row r="4821" spans="1:2" x14ac:dyDescent="0.35">
      <c r="A4821" s="14">
        <v>42317.16201388889</v>
      </c>
      <c r="B4821" s="5">
        <v>1</v>
      </c>
    </row>
    <row r="4822" spans="1:2" x14ac:dyDescent="0.35">
      <c r="A4822" s="14">
        <v>42317.167685185188</v>
      </c>
      <c r="B4822" s="5">
        <v>1</v>
      </c>
    </row>
    <row r="4823" spans="1:2" x14ac:dyDescent="0.35">
      <c r="A4823" s="14">
        <v>42317.171423611115</v>
      </c>
      <c r="B4823" s="5">
        <v>1</v>
      </c>
    </row>
    <row r="4824" spans="1:2" x14ac:dyDescent="0.35">
      <c r="A4824" s="14">
        <v>42317.194826388892</v>
      </c>
      <c r="B4824" s="5">
        <v>1</v>
      </c>
    </row>
    <row r="4825" spans="1:2" x14ac:dyDescent="0.35">
      <c r="A4825" s="14">
        <v>42317.202407407407</v>
      </c>
      <c r="B4825" s="5">
        <v>1</v>
      </c>
    </row>
    <row r="4826" spans="1:2" x14ac:dyDescent="0.35">
      <c r="A4826" s="14">
        <v>42317.226527777777</v>
      </c>
      <c r="B4826" s="5">
        <v>1</v>
      </c>
    </row>
    <row r="4827" spans="1:2" x14ac:dyDescent="0.35">
      <c r="A4827" s="14">
        <v>42317.233541666668</v>
      </c>
      <c r="B4827" s="5">
        <v>1</v>
      </c>
    </row>
    <row r="4828" spans="1:2" x14ac:dyDescent="0.35">
      <c r="A4828" s="14">
        <v>42317.2343287037</v>
      </c>
      <c r="B4828" s="5">
        <v>1</v>
      </c>
    </row>
    <row r="4829" spans="1:2" x14ac:dyDescent="0.35">
      <c r="A4829" s="14">
        <v>42317.257951388892</v>
      </c>
      <c r="B4829" s="5">
        <v>1</v>
      </c>
    </row>
    <row r="4830" spans="1:2" x14ac:dyDescent="0.35">
      <c r="A4830" s="14">
        <v>42317.272731481484</v>
      </c>
      <c r="B4830" s="5">
        <v>1</v>
      </c>
    </row>
    <row r="4831" spans="1:2" x14ac:dyDescent="0.35">
      <c r="A4831" s="14">
        <v>42317.273611111108</v>
      </c>
      <c r="B4831" s="5">
        <v>1</v>
      </c>
    </row>
    <row r="4832" spans="1:2" x14ac:dyDescent="0.35">
      <c r="A4832" s="14">
        <v>42317.274270833332</v>
      </c>
      <c r="B4832" s="5">
        <v>1</v>
      </c>
    </row>
    <row r="4833" spans="1:2" x14ac:dyDescent="0.35">
      <c r="A4833" s="14">
        <v>42317.532754629632</v>
      </c>
      <c r="B4833" s="5">
        <v>1</v>
      </c>
    </row>
    <row r="4834" spans="1:2" x14ac:dyDescent="0.35">
      <c r="A4834" s="14">
        <v>42317.533182870371</v>
      </c>
      <c r="B4834" s="5">
        <v>1</v>
      </c>
    </row>
    <row r="4835" spans="1:2" x14ac:dyDescent="0.35">
      <c r="A4835" s="14">
        <v>42317.542905092596</v>
      </c>
      <c r="B4835" s="5">
        <v>1</v>
      </c>
    </row>
    <row r="4836" spans="1:2" x14ac:dyDescent="0.35">
      <c r="A4836" s="14">
        <v>42317.544583333336</v>
      </c>
      <c r="B4836" s="5">
        <v>1</v>
      </c>
    </row>
    <row r="4837" spans="1:2" x14ac:dyDescent="0.35">
      <c r="A4837" s="14">
        <v>42317.548182870371</v>
      </c>
      <c r="B4837" s="5">
        <v>1</v>
      </c>
    </row>
    <row r="4838" spans="1:2" x14ac:dyDescent="0.35">
      <c r="A4838" s="14">
        <v>42317.549421296295</v>
      </c>
      <c r="B4838" s="5">
        <v>1</v>
      </c>
    </row>
    <row r="4839" spans="1:2" x14ac:dyDescent="0.35">
      <c r="A4839" s="14">
        <v>42317.576574074075</v>
      </c>
      <c r="B4839" s="5">
        <v>1</v>
      </c>
    </row>
    <row r="4840" spans="1:2" x14ac:dyDescent="0.35">
      <c r="A4840" s="14">
        <v>42317.581423611111</v>
      </c>
      <c r="B4840" s="5">
        <v>1</v>
      </c>
    </row>
    <row r="4841" spans="1:2" x14ac:dyDescent="0.35">
      <c r="A4841" s="14">
        <v>42317.582499999997</v>
      </c>
      <c r="B4841" s="5">
        <v>1</v>
      </c>
    </row>
    <row r="4842" spans="1:2" x14ac:dyDescent="0.35">
      <c r="A4842" s="14">
        <v>42317.588252314818</v>
      </c>
      <c r="B4842" s="5">
        <v>1</v>
      </c>
    </row>
    <row r="4843" spans="1:2" x14ac:dyDescent="0.35">
      <c r="A4843" s="14">
        <v>42317.589062500003</v>
      </c>
      <c r="B4843" s="5">
        <v>1</v>
      </c>
    </row>
    <row r="4844" spans="1:2" x14ac:dyDescent="0.35">
      <c r="A4844" s="14">
        <v>42317.589317129627</v>
      </c>
      <c r="B4844" s="5">
        <v>1</v>
      </c>
    </row>
    <row r="4845" spans="1:2" x14ac:dyDescent="0.35">
      <c r="A4845" s="14">
        <v>42317.590856481482</v>
      </c>
      <c r="B4845" s="5">
        <v>1</v>
      </c>
    </row>
    <row r="4846" spans="1:2" x14ac:dyDescent="0.35">
      <c r="A4846" s="14">
        <v>42317.595173611109</v>
      </c>
      <c r="B4846" s="5">
        <v>1</v>
      </c>
    </row>
    <row r="4847" spans="1:2" x14ac:dyDescent="0.35">
      <c r="A4847" s="14">
        <v>42317.598437499997</v>
      </c>
      <c r="B4847" s="5">
        <v>1</v>
      </c>
    </row>
    <row r="4848" spans="1:2" x14ac:dyDescent="0.35">
      <c r="A4848" s="14">
        <v>42317.598587962966</v>
      </c>
      <c r="B4848" s="5">
        <v>1</v>
      </c>
    </row>
    <row r="4849" spans="1:2" x14ac:dyDescent="0.35">
      <c r="A4849" s="14">
        <v>42317.598611111112</v>
      </c>
      <c r="B4849" s="5">
        <v>1</v>
      </c>
    </row>
    <row r="4850" spans="1:2" x14ac:dyDescent="0.35">
      <c r="A4850" s="14">
        <v>42317.598958333336</v>
      </c>
      <c r="B4850" s="5">
        <v>1</v>
      </c>
    </row>
    <row r="4851" spans="1:2" x14ac:dyDescent="0.35">
      <c r="A4851" s="14">
        <v>42317.599004629628</v>
      </c>
      <c r="B4851" s="5">
        <v>1</v>
      </c>
    </row>
    <row r="4852" spans="1:2" x14ac:dyDescent="0.35">
      <c r="A4852" s="14">
        <v>42317.59957175926</v>
      </c>
      <c r="B4852" s="5">
        <v>1</v>
      </c>
    </row>
    <row r="4853" spans="1:2" x14ac:dyDescent="0.35">
      <c r="A4853" s="14">
        <v>42317.599976851852</v>
      </c>
      <c r="B4853" s="5">
        <v>1</v>
      </c>
    </row>
    <row r="4854" spans="1:2" x14ac:dyDescent="0.35">
      <c r="A4854" s="14">
        <v>42317.600173611114</v>
      </c>
      <c r="B4854" s="5">
        <v>1</v>
      </c>
    </row>
    <row r="4855" spans="1:2" x14ac:dyDescent="0.35">
      <c r="A4855" s="14">
        <v>42317.600428240738</v>
      </c>
      <c r="B4855" s="5">
        <v>1</v>
      </c>
    </row>
    <row r="4856" spans="1:2" x14ac:dyDescent="0.35">
      <c r="A4856" s="14">
        <v>42317.639976851853</v>
      </c>
      <c r="B4856" s="5">
        <v>1</v>
      </c>
    </row>
    <row r="4857" spans="1:2" x14ac:dyDescent="0.35">
      <c r="A4857" s="14">
        <v>42317.640104166669</v>
      </c>
      <c r="B4857" s="5">
        <v>2</v>
      </c>
    </row>
    <row r="4858" spans="1:2" x14ac:dyDescent="0.35">
      <c r="A4858" s="14">
        <v>42317.648865740739</v>
      </c>
      <c r="B4858" s="5">
        <v>1</v>
      </c>
    </row>
    <row r="4859" spans="1:2" x14ac:dyDescent="0.35">
      <c r="A4859" s="14">
        <v>42317.65252314815</v>
      </c>
      <c r="B4859" s="5">
        <v>1</v>
      </c>
    </row>
    <row r="4860" spans="1:2" x14ac:dyDescent="0.35">
      <c r="A4860" s="14">
        <v>42317.655659722222</v>
      </c>
      <c r="B4860" s="5">
        <v>1</v>
      </c>
    </row>
    <row r="4861" spans="1:2" x14ac:dyDescent="0.35">
      <c r="A4861" s="14">
        <v>42317.661550925928</v>
      </c>
      <c r="B4861" s="5">
        <v>1</v>
      </c>
    </row>
    <row r="4862" spans="1:2" x14ac:dyDescent="0.35">
      <c r="A4862" s="14">
        <v>42317.667696759258</v>
      </c>
      <c r="B4862" s="5">
        <v>1</v>
      </c>
    </row>
    <row r="4863" spans="1:2" x14ac:dyDescent="0.35">
      <c r="A4863" s="14">
        <v>42317.686168981483</v>
      </c>
      <c r="B4863" s="5">
        <v>1</v>
      </c>
    </row>
    <row r="4864" spans="1:2" x14ac:dyDescent="0.35">
      <c r="A4864" s="14">
        <v>42317.686886574076</v>
      </c>
      <c r="B4864" s="5">
        <v>1</v>
      </c>
    </row>
    <row r="4865" spans="1:2" x14ac:dyDescent="0.35">
      <c r="A4865" s="14">
        <v>42317.69127314815</v>
      </c>
      <c r="B4865" s="5">
        <v>1</v>
      </c>
    </row>
    <row r="4866" spans="1:2" x14ac:dyDescent="0.35">
      <c r="A4866" s="14">
        <v>42317.69394675926</v>
      </c>
      <c r="B4866" s="5">
        <v>1</v>
      </c>
    </row>
    <row r="4867" spans="1:2" x14ac:dyDescent="0.35">
      <c r="A4867" s="14">
        <v>42317.695462962962</v>
      </c>
      <c r="B4867" s="5">
        <v>1</v>
      </c>
    </row>
    <row r="4868" spans="1:2" x14ac:dyDescent="0.35">
      <c r="A4868" s="14">
        <v>42317.699363425927</v>
      </c>
      <c r="B4868" s="5">
        <v>1</v>
      </c>
    </row>
    <row r="4869" spans="1:2" x14ac:dyDescent="0.35">
      <c r="A4869" s="14">
        <v>42317.719918981478</v>
      </c>
      <c r="B4869" s="5">
        <v>1</v>
      </c>
    </row>
    <row r="4870" spans="1:2" x14ac:dyDescent="0.35">
      <c r="A4870" s="14">
        <v>42317.753333333334</v>
      </c>
      <c r="B4870" s="5">
        <v>1</v>
      </c>
    </row>
    <row r="4871" spans="1:2" x14ac:dyDescent="0.35">
      <c r="A4871" s="14">
        <v>42317.754745370374</v>
      </c>
      <c r="B4871" s="5">
        <v>1</v>
      </c>
    </row>
    <row r="4872" spans="1:2" x14ac:dyDescent="0.35">
      <c r="A4872" s="14">
        <v>42317.754988425928</v>
      </c>
      <c r="B4872" s="5">
        <v>1</v>
      </c>
    </row>
    <row r="4873" spans="1:2" x14ac:dyDescent="0.35">
      <c r="A4873" s="14">
        <v>42317.757893518516</v>
      </c>
      <c r="B4873" s="5">
        <v>1</v>
      </c>
    </row>
    <row r="4874" spans="1:2" x14ac:dyDescent="0.35">
      <c r="A4874" s="14">
        <v>42317.757997685185</v>
      </c>
      <c r="B4874" s="5">
        <v>2</v>
      </c>
    </row>
    <row r="4875" spans="1:2" x14ac:dyDescent="0.35">
      <c r="A4875" s="14">
        <v>42317.758518518516</v>
      </c>
      <c r="B4875" s="5">
        <v>1</v>
      </c>
    </row>
    <row r="4876" spans="1:2" x14ac:dyDescent="0.35">
      <c r="A4876" s="14">
        <v>42317.760000000002</v>
      </c>
      <c r="B4876" s="5">
        <v>1</v>
      </c>
    </row>
    <row r="4877" spans="1:2" x14ac:dyDescent="0.35">
      <c r="A4877" s="14">
        <v>42317.762453703705</v>
      </c>
      <c r="B4877" s="5">
        <v>1</v>
      </c>
    </row>
    <row r="4878" spans="1:2" x14ac:dyDescent="0.35">
      <c r="A4878" s="14">
        <v>42317.762557870374</v>
      </c>
      <c r="B4878" s="5">
        <v>2</v>
      </c>
    </row>
    <row r="4879" spans="1:2" x14ac:dyDescent="0.35">
      <c r="A4879" s="14">
        <v>42317.769918981481</v>
      </c>
      <c r="B4879" s="5">
        <v>1</v>
      </c>
    </row>
    <row r="4880" spans="1:2" x14ac:dyDescent="0.35">
      <c r="A4880" s="14">
        <v>42317.770243055558</v>
      </c>
      <c r="B4880" s="5">
        <v>1</v>
      </c>
    </row>
    <row r="4881" spans="1:2" x14ac:dyDescent="0.35">
      <c r="A4881" s="14">
        <v>42317.771898148145</v>
      </c>
      <c r="B4881" s="5">
        <v>1</v>
      </c>
    </row>
    <row r="4882" spans="1:2" x14ac:dyDescent="0.35">
      <c r="A4882" s="14">
        <v>42317.77884259259</v>
      </c>
      <c r="B4882" s="5">
        <v>1</v>
      </c>
    </row>
    <row r="4883" spans="1:2" x14ac:dyDescent="0.35">
      <c r="A4883" s="14">
        <v>42317.783668981479</v>
      </c>
      <c r="B4883" s="5">
        <v>1</v>
      </c>
    </row>
    <row r="4884" spans="1:2" x14ac:dyDescent="0.35">
      <c r="A4884" s="14">
        <v>42317.790069444447</v>
      </c>
      <c r="B4884" s="5">
        <v>1</v>
      </c>
    </row>
    <row r="4885" spans="1:2" x14ac:dyDescent="0.35">
      <c r="A4885" s="14">
        <v>42317.790775462963</v>
      </c>
      <c r="B4885" s="5">
        <v>1</v>
      </c>
    </row>
    <row r="4886" spans="1:2" x14ac:dyDescent="0.35">
      <c r="A4886" s="14">
        <v>42317.792812500003</v>
      </c>
      <c r="B4886" s="5">
        <v>1</v>
      </c>
    </row>
    <row r="4887" spans="1:2" x14ac:dyDescent="0.35">
      <c r="A4887" s="14">
        <v>42317.792974537035</v>
      </c>
      <c r="B4887" s="5">
        <v>1</v>
      </c>
    </row>
    <row r="4888" spans="1:2" x14ac:dyDescent="0.35">
      <c r="A4888" s="14">
        <v>42317.795358796298</v>
      </c>
      <c r="B4888" s="5">
        <v>1</v>
      </c>
    </row>
    <row r="4889" spans="1:2" x14ac:dyDescent="0.35">
      <c r="A4889" s="14">
        <v>42317.796226851853</v>
      </c>
      <c r="B4889" s="5">
        <v>1</v>
      </c>
    </row>
    <row r="4890" spans="1:2" x14ac:dyDescent="0.35">
      <c r="A4890" s="14">
        <v>42317.803298611114</v>
      </c>
      <c r="B4890" s="5">
        <v>1</v>
      </c>
    </row>
    <row r="4891" spans="1:2" x14ac:dyDescent="0.35">
      <c r="A4891" s="14">
        <v>42317.805555555555</v>
      </c>
      <c r="B4891" s="5">
        <v>1</v>
      </c>
    </row>
    <row r="4892" spans="1:2" x14ac:dyDescent="0.35">
      <c r="A4892" s="14">
        <v>42317.806701388887</v>
      </c>
      <c r="B4892" s="5">
        <v>1</v>
      </c>
    </row>
    <row r="4893" spans="1:2" x14ac:dyDescent="0.35">
      <c r="A4893" s="14">
        <v>42317.808530092596</v>
      </c>
      <c r="B4893" s="5">
        <v>1</v>
      </c>
    </row>
    <row r="4894" spans="1:2" x14ac:dyDescent="0.35">
      <c r="A4894" s="14">
        <v>42317.812777777777</v>
      </c>
      <c r="B4894" s="5">
        <v>1</v>
      </c>
    </row>
    <row r="4895" spans="1:2" x14ac:dyDescent="0.35">
      <c r="A4895" s="14">
        <v>42317.832638888889</v>
      </c>
      <c r="B4895" s="5">
        <v>1</v>
      </c>
    </row>
    <row r="4896" spans="1:2" x14ac:dyDescent="0.35">
      <c r="A4896" s="14">
        <v>42317.846388888887</v>
      </c>
      <c r="B4896" s="5">
        <v>1</v>
      </c>
    </row>
    <row r="4897" spans="1:2" x14ac:dyDescent="0.35">
      <c r="A4897" s="14">
        <v>42317.849768518521</v>
      </c>
      <c r="B4897" s="5">
        <v>2</v>
      </c>
    </row>
    <row r="4898" spans="1:2" x14ac:dyDescent="0.35">
      <c r="A4898" s="14">
        <v>42317.855231481481</v>
      </c>
      <c r="B4898" s="5">
        <v>1</v>
      </c>
    </row>
    <row r="4899" spans="1:2" x14ac:dyDescent="0.35">
      <c r="A4899" s="14">
        <v>42317.857314814813</v>
      </c>
      <c r="B4899" s="5">
        <v>1</v>
      </c>
    </row>
    <row r="4900" spans="1:2" x14ac:dyDescent="0.35">
      <c r="A4900" s="14">
        <v>42317.85738425926</v>
      </c>
      <c r="B4900" s="5">
        <v>1</v>
      </c>
    </row>
    <row r="4901" spans="1:2" x14ac:dyDescent="0.35">
      <c r="A4901" s="14">
        <v>42317.858831018515</v>
      </c>
      <c r="B4901" s="5">
        <v>2</v>
      </c>
    </row>
    <row r="4902" spans="1:2" x14ac:dyDescent="0.35">
      <c r="A4902" s="14">
        <v>42317.871435185189</v>
      </c>
      <c r="B4902" s="5">
        <v>1</v>
      </c>
    </row>
    <row r="4903" spans="1:2" x14ac:dyDescent="0.35">
      <c r="A4903" s="14">
        <v>42317.874027777776</v>
      </c>
      <c r="B4903" s="5">
        <v>1</v>
      </c>
    </row>
    <row r="4904" spans="1:2" x14ac:dyDescent="0.35">
      <c r="A4904" s="14">
        <v>42317.882465277777</v>
      </c>
      <c r="B4904" s="5">
        <v>1</v>
      </c>
    </row>
    <row r="4905" spans="1:2" x14ac:dyDescent="0.35">
      <c r="A4905" s="14">
        <v>42317.882557870369</v>
      </c>
      <c r="B4905" s="5">
        <v>1</v>
      </c>
    </row>
    <row r="4906" spans="1:2" x14ac:dyDescent="0.35">
      <c r="A4906" s="14">
        <v>42317.884016203701</v>
      </c>
      <c r="B4906" s="5">
        <v>1</v>
      </c>
    </row>
    <row r="4907" spans="1:2" x14ac:dyDescent="0.35">
      <c r="A4907" s="14">
        <v>42317.886087962965</v>
      </c>
      <c r="B4907" s="5">
        <v>1</v>
      </c>
    </row>
    <row r="4908" spans="1:2" x14ac:dyDescent="0.35">
      <c r="A4908" s="14">
        <v>42317.891168981485</v>
      </c>
      <c r="B4908" s="5">
        <v>1</v>
      </c>
    </row>
    <row r="4909" spans="1:2" x14ac:dyDescent="0.35">
      <c r="A4909" s="14">
        <v>42317.926157407404</v>
      </c>
      <c r="B4909" s="5">
        <v>1</v>
      </c>
    </row>
    <row r="4910" spans="1:2" x14ac:dyDescent="0.35">
      <c r="A4910" s="14">
        <v>42317.930208333331</v>
      </c>
      <c r="B4910" s="5">
        <v>1</v>
      </c>
    </row>
    <row r="4911" spans="1:2" x14ac:dyDescent="0.35">
      <c r="A4911" s="14">
        <v>42317.944664351853</v>
      </c>
      <c r="B4911" s="5">
        <v>1</v>
      </c>
    </row>
    <row r="4912" spans="1:2" x14ac:dyDescent="0.35">
      <c r="A4912" s="14">
        <v>42317.94667824074</v>
      </c>
      <c r="B4912" s="5">
        <v>1</v>
      </c>
    </row>
    <row r="4913" spans="1:2" x14ac:dyDescent="0.35">
      <c r="A4913" s="14">
        <v>42317.947048611109</v>
      </c>
      <c r="B4913" s="5">
        <v>1</v>
      </c>
    </row>
    <row r="4914" spans="1:2" x14ac:dyDescent="0.35">
      <c r="A4914" s="14">
        <v>42317.981469907405</v>
      </c>
      <c r="B4914" s="5">
        <v>1</v>
      </c>
    </row>
    <row r="4915" spans="1:2" x14ac:dyDescent="0.35">
      <c r="A4915" s="14">
        <v>42317.985439814816</v>
      </c>
      <c r="B4915" s="5">
        <v>2</v>
      </c>
    </row>
    <row r="4916" spans="1:2" x14ac:dyDescent="0.35">
      <c r="A4916" s="14">
        <v>42317.986493055556</v>
      </c>
      <c r="B4916" s="5">
        <v>1</v>
      </c>
    </row>
    <row r="4917" spans="1:2" x14ac:dyDescent="0.35">
      <c r="A4917" s="14">
        <v>42317.987500000003</v>
      </c>
      <c r="B4917" s="5">
        <v>1</v>
      </c>
    </row>
    <row r="4918" spans="1:2" x14ac:dyDescent="0.35">
      <c r="A4918" s="14">
        <v>42317.988240740742</v>
      </c>
      <c r="B4918" s="5">
        <v>1</v>
      </c>
    </row>
    <row r="4919" spans="1:2" x14ac:dyDescent="0.35">
      <c r="A4919" s="14">
        <v>42317.99895833333</v>
      </c>
      <c r="B4919" s="5">
        <v>1</v>
      </c>
    </row>
    <row r="4920" spans="1:2" x14ac:dyDescent="0.35">
      <c r="A4920" s="14">
        <v>42318.008819444447</v>
      </c>
      <c r="B4920" s="5">
        <v>1</v>
      </c>
    </row>
    <row r="4921" spans="1:2" x14ac:dyDescent="0.35">
      <c r="A4921" s="14">
        <v>42318.027499999997</v>
      </c>
      <c r="B4921" s="5">
        <v>1</v>
      </c>
    </row>
    <row r="4922" spans="1:2" x14ac:dyDescent="0.35">
      <c r="A4922" s="14">
        <v>42318.033402777779</v>
      </c>
      <c r="B4922" s="5">
        <v>1</v>
      </c>
    </row>
    <row r="4923" spans="1:2" x14ac:dyDescent="0.35">
      <c r="A4923" s="14">
        <v>42318.03564814815</v>
      </c>
      <c r="B4923" s="5">
        <v>1</v>
      </c>
    </row>
    <row r="4924" spans="1:2" x14ac:dyDescent="0.35">
      <c r="A4924" s="14">
        <v>42318.039988425924</v>
      </c>
      <c r="B4924" s="5">
        <v>1</v>
      </c>
    </row>
    <row r="4925" spans="1:2" x14ac:dyDescent="0.35">
      <c r="A4925" s="14">
        <v>42318.042210648149</v>
      </c>
      <c r="B4925" s="5">
        <v>1</v>
      </c>
    </row>
    <row r="4926" spans="1:2" x14ac:dyDescent="0.35">
      <c r="A4926" s="14">
        <v>42318.073275462964</v>
      </c>
      <c r="B4926" s="5">
        <v>1</v>
      </c>
    </row>
    <row r="4927" spans="1:2" x14ac:dyDescent="0.35">
      <c r="A4927" s="14">
        <v>42318.099722222221</v>
      </c>
      <c r="B4927" s="5">
        <v>1</v>
      </c>
    </row>
    <row r="4928" spans="1:2" x14ac:dyDescent="0.35">
      <c r="A4928" s="14">
        <v>42318.124884259261</v>
      </c>
      <c r="B4928" s="5">
        <v>1</v>
      </c>
    </row>
    <row r="4929" spans="1:2" x14ac:dyDescent="0.35">
      <c r="A4929" s="14">
        <v>42318.139884259261</v>
      </c>
      <c r="B4929" s="5">
        <v>1</v>
      </c>
    </row>
    <row r="4930" spans="1:2" x14ac:dyDescent="0.35">
      <c r="A4930" s="14">
        <v>42318.152511574073</v>
      </c>
      <c r="B4930" s="5">
        <v>1</v>
      </c>
    </row>
    <row r="4931" spans="1:2" x14ac:dyDescent="0.35">
      <c r="A4931" s="14">
        <v>42318.176122685189</v>
      </c>
      <c r="B4931" s="5">
        <v>1</v>
      </c>
    </row>
    <row r="4932" spans="1:2" x14ac:dyDescent="0.35">
      <c r="A4932" s="14">
        <v>42318.551620370374</v>
      </c>
      <c r="B4932" s="5">
        <v>1</v>
      </c>
    </row>
    <row r="4933" spans="1:2" x14ac:dyDescent="0.35">
      <c r="A4933" s="14">
        <v>42318.555173611108</v>
      </c>
      <c r="B4933" s="5">
        <v>1</v>
      </c>
    </row>
    <row r="4934" spans="1:2" x14ac:dyDescent="0.35">
      <c r="A4934" s="14">
        <v>42318.580555555556</v>
      </c>
      <c r="B4934" s="5">
        <v>1</v>
      </c>
    </row>
    <row r="4935" spans="1:2" x14ac:dyDescent="0.35">
      <c r="A4935" s="14">
        <v>42318.602349537039</v>
      </c>
      <c r="B4935" s="5">
        <v>1</v>
      </c>
    </row>
    <row r="4936" spans="1:2" x14ac:dyDescent="0.35">
      <c r="A4936" s="14">
        <v>42318.606550925928</v>
      </c>
      <c r="B4936" s="5">
        <v>1</v>
      </c>
    </row>
    <row r="4937" spans="1:2" x14ac:dyDescent="0.35">
      <c r="A4937" s="14">
        <v>42318.61204861111</v>
      </c>
      <c r="B4937" s="5">
        <v>1</v>
      </c>
    </row>
    <row r="4938" spans="1:2" x14ac:dyDescent="0.35">
      <c r="A4938" s="14">
        <v>42318.613483796296</v>
      </c>
      <c r="B4938" s="5">
        <v>1</v>
      </c>
    </row>
    <row r="4939" spans="1:2" x14ac:dyDescent="0.35">
      <c r="A4939" s="14">
        <v>42318.622546296298</v>
      </c>
      <c r="B4939" s="5">
        <v>1</v>
      </c>
    </row>
    <row r="4940" spans="1:2" x14ac:dyDescent="0.35">
      <c r="A4940" s="14">
        <v>42318.648298611108</v>
      </c>
      <c r="B4940" s="5">
        <v>1</v>
      </c>
    </row>
    <row r="4941" spans="1:2" x14ac:dyDescent="0.35">
      <c r="A4941" s="14">
        <v>42318.671319444446</v>
      </c>
      <c r="B4941" s="5">
        <v>1</v>
      </c>
    </row>
    <row r="4942" spans="1:2" x14ac:dyDescent="0.35">
      <c r="A4942" s="14">
        <v>42318.672569444447</v>
      </c>
      <c r="B4942" s="5">
        <v>1</v>
      </c>
    </row>
    <row r="4943" spans="1:2" x14ac:dyDescent="0.35">
      <c r="A4943" s="14">
        <v>42318.672662037039</v>
      </c>
      <c r="B4943" s="5">
        <v>1</v>
      </c>
    </row>
    <row r="4944" spans="1:2" x14ac:dyDescent="0.35">
      <c r="A4944" s="14">
        <v>42318.709456018521</v>
      </c>
      <c r="B4944" s="5">
        <v>1</v>
      </c>
    </row>
    <row r="4945" spans="1:2" x14ac:dyDescent="0.35">
      <c r="A4945" s="14">
        <v>42318.730613425927</v>
      </c>
      <c r="B4945" s="5">
        <v>1</v>
      </c>
    </row>
    <row r="4946" spans="1:2" x14ac:dyDescent="0.35">
      <c r="A4946" s="14">
        <v>42318.736168981479</v>
      </c>
      <c r="B4946" s="5">
        <v>1</v>
      </c>
    </row>
    <row r="4947" spans="1:2" x14ac:dyDescent="0.35">
      <c r="A4947" s="14">
        <v>42318.745451388888</v>
      </c>
      <c r="B4947" s="5">
        <v>1</v>
      </c>
    </row>
    <row r="4948" spans="1:2" x14ac:dyDescent="0.35">
      <c r="A4948" s="14">
        <v>42318.759421296294</v>
      </c>
      <c r="B4948" s="5">
        <v>1</v>
      </c>
    </row>
    <row r="4949" spans="1:2" x14ac:dyDescent="0.35">
      <c r="A4949" s="14">
        <v>42318.759837962964</v>
      </c>
      <c r="B4949" s="5">
        <v>1</v>
      </c>
    </row>
    <row r="4950" spans="1:2" x14ac:dyDescent="0.35">
      <c r="A4950" s="14">
        <v>42318.794120370374</v>
      </c>
      <c r="B4950" s="5">
        <v>1</v>
      </c>
    </row>
    <row r="4951" spans="1:2" x14ac:dyDescent="0.35">
      <c r="A4951" s="14">
        <v>42318.794178240743</v>
      </c>
      <c r="B4951" s="5">
        <v>1</v>
      </c>
    </row>
    <row r="4952" spans="1:2" x14ac:dyDescent="0.35">
      <c r="A4952" s="14">
        <v>42318.794652777775</v>
      </c>
      <c r="B4952" s="5">
        <v>1</v>
      </c>
    </row>
    <row r="4953" spans="1:2" x14ac:dyDescent="0.35">
      <c r="A4953" s="14">
        <v>42318.79482638889</v>
      </c>
      <c r="B4953" s="5">
        <v>1</v>
      </c>
    </row>
    <row r="4954" spans="1:2" x14ac:dyDescent="0.35">
      <c r="A4954" s="14">
        <v>42318.80232638889</v>
      </c>
      <c r="B4954" s="5">
        <v>1</v>
      </c>
    </row>
    <row r="4955" spans="1:2" x14ac:dyDescent="0.35">
      <c r="A4955" s="14">
        <v>42318.807372685187</v>
      </c>
      <c r="B4955" s="5">
        <v>1</v>
      </c>
    </row>
    <row r="4956" spans="1:2" x14ac:dyDescent="0.35">
      <c r="A4956" s="14">
        <v>42318.811041666668</v>
      </c>
      <c r="B4956" s="5">
        <v>1</v>
      </c>
    </row>
    <row r="4957" spans="1:2" x14ac:dyDescent="0.35">
      <c r="A4957" s="14">
        <v>42318.853391203702</v>
      </c>
      <c r="B4957" s="5">
        <v>1</v>
      </c>
    </row>
    <row r="4958" spans="1:2" x14ac:dyDescent="0.35">
      <c r="A4958" s="14">
        <v>42318.853449074071</v>
      </c>
      <c r="B4958" s="5">
        <v>1</v>
      </c>
    </row>
    <row r="4959" spans="1:2" x14ac:dyDescent="0.35">
      <c r="A4959" s="14">
        <v>42318.853564814817</v>
      </c>
      <c r="B4959" s="5">
        <v>1</v>
      </c>
    </row>
    <row r="4960" spans="1:2" x14ac:dyDescent="0.35">
      <c r="A4960" s="14">
        <v>42318.856226851851</v>
      </c>
      <c r="B4960" s="5">
        <v>1</v>
      </c>
    </row>
    <row r="4961" spans="1:2" x14ac:dyDescent="0.35">
      <c r="A4961" s="14">
        <v>42318.857210648152</v>
      </c>
      <c r="B4961" s="5">
        <v>1</v>
      </c>
    </row>
    <row r="4962" spans="1:2" x14ac:dyDescent="0.35">
      <c r="A4962" s="14">
        <v>42318.880486111113</v>
      </c>
      <c r="B4962" s="5">
        <v>1</v>
      </c>
    </row>
    <row r="4963" spans="1:2" x14ac:dyDescent="0.35">
      <c r="A4963" s="14">
        <v>42318.896504629629</v>
      </c>
      <c r="B4963" s="5">
        <v>1</v>
      </c>
    </row>
    <row r="4964" spans="1:2" x14ac:dyDescent="0.35">
      <c r="A4964" s="14">
        <v>42318.89806712963</v>
      </c>
      <c r="B4964" s="5">
        <v>1</v>
      </c>
    </row>
    <row r="4965" spans="1:2" x14ac:dyDescent="0.35">
      <c r="A4965" s="14">
        <v>42318.922858796293</v>
      </c>
      <c r="B4965" s="5">
        <v>1</v>
      </c>
    </row>
    <row r="4966" spans="1:2" x14ac:dyDescent="0.35">
      <c r="A4966" s="14">
        <v>42318.942025462966</v>
      </c>
      <c r="B4966" s="5">
        <v>1</v>
      </c>
    </row>
    <row r="4967" spans="1:2" x14ac:dyDescent="0.35">
      <c r="A4967" s="14">
        <v>42318.974374999998</v>
      </c>
      <c r="B4967" s="5">
        <v>1</v>
      </c>
    </row>
    <row r="4968" spans="1:2" x14ac:dyDescent="0.35">
      <c r="A4968" s="14">
        <v>42318.984293981484</v>
      </c>
      <c r="B4968" s="5">
        <v>1</v>
      </c>
    </row>
    <row r="4969" spans="1:2" x14ac:dyDescent="0.35">
      <c r="A4969" s="14">
        <v>42318.987696759257</v>
      </c>
      <c r="B4969" s="5">
        <v>1</v>
      </c>
    </row>
    <row r="4970" spans="1:2" x14ac:dyDescent="0.35">
      <c r="A4970" s="14">
        <v>42319.00818287037</v>
      </c>
      <c r="B4970" s="5">
        <v>1</v>
      </c>
    </row>
    <row r="4971" spans="1:2" x14ac:dyDescent="0.35">
      <c r="A4971" s="14">
        <v>42319.00980324074</v>
      </c>
      <c r="B4971" s="5">
        <v>1</v>
      </c>
    </row>
    <row r="4972" spans="1:2" x14ac:dyDescent="0.35">
      <c r="A4972" s="14">
        <v>42319.015300925923</v>
      </c>
      <c r="B4972" s="5">
        <v>1</v>
      </c>
    </row>
    <row r="4973" spans="1:2" x14ac:dyDescent="0.35">
      <c r="A4973" s="14">
        <v>42319.016018518516</v>
      </c>
      <c r="B4973" s="5">
        <v>1</v>
      </c>
    </row>
    <row r="4974" spans="1:2" x14ac:dyDescent="0.35">
      <c r="A4974" s="14">
        <v>42319.024664351855</v>
      </c>
      <c r="B4974" s="5">
        <v>1</v>
      </c>
    </row>
    <row r="4975" spans="1:2" x14ac:dyDescent="0.35">
      <c r="A4975" s="14">
        <v>42319.026087962964</v>
      </c>
      <c r="B4975" s="5">
        <v>1</v>
      </c>
    </row>
    <row r="4976" spans="1:2" x14ac:dyDescent="0.35">
      <c r="A4976" s="14">
        <v>42319.030462962961</v>
      </c>
      <c r="B4976" s="5">
        <v>1</v>
      </c>
    </row>
    <row r="4977" spans="1:2" x14ac:dyDescent="0.35">
      <c r="A4977" s="14">
        <v>42319.038541666669</v>
      </c>
      <c r="B4977" s="5">
        <v>1</v>
      </c>
    </row>
    <row r="4978" spans="1:2" x14ac:dyDescent="0.35">
      <c r="A4978" s="14">
        <v>42319.04278935185</v>
      </c>
      <c r="B4978" s="5">
        <v>1</v>
      </c>
    </row>
    <row r="4979" spans="1:2" x14ac:dyDescent="0.35">
      <c r="A4979" s="14">
        <v>42319.052812499998</v>
      </c>
      <c r="B4979" s="5">
        <v>1</v>
      </c>
    </row>
    <row r="4980" spans="1:2" x14ac:dyDescent="0.35">
      <c r="A4980" s="14">
        <v>42319.053240740737</v>
      </c>
      <c r="B4980" s="5">
        <v>1</v>
      </c>
    </row>
    <row r="4981" spans="1:2" x14ac:dyDescent="0.35">
      <c r="A4981" s="14">
        <v>42319.060902777775</v>
      </c>
      <c r="B4981" s="5">
        <v>1</v>
      </c>
    </row>
    <row r="4982" spans="1:2" x14ac:dyDescent="0.35">
      <c r="A4982" s="14">
        <v>42319.068564814814</v>
      </c>
      <c r="B4982" s="5">
        <v>1</v>
      </c>
    </row>
    <row r="4983" spans="1:2" x14ac:dyDescent="0.35">
      <c r="A4983" s="14">
        <v>42319.071793981479</v>
      </c>
      <c r="B4983" s="5">
        <v>1</v>
      </c>
    </row>
    <row r="4984" spans="1:2" x14ac:dyDescent="0.35">
      <c r="A4984" s="14">
        <v>42319.072152777779</v>
      </c>
      <c r="B4984" s="5">
        <v>1</v>
      </c>
    </row>
    <row r="4985" spans="1:2" x14ac:dyDescent="0.35">
      <c r="A4985" s="14">
        <v>42319.072337962964</v>
      </c>
      <c r="B4985" s="5">
        <v>1</v>
      </c>
    </row>
    <row r="4986" spans="1:2" x14ac:dyDescent="0.35">
      <c r="A4986" s="14">
        <v>42319.072858796295</v>
      </c>
      <c r="B4986" s="5">
        <v>1</v>
      </c>
    </row>
    <row r="4987" spans="1:2" x14ac:dyDescent="0.35">
      <c r="A4987" s="14">
        <v>42319.076342592591</v>
      </c>
      <c r="B4987" s="5">
        <v>1</v>
      </c>
    </row>
    <row r="4988" spans="1:2" x14ac:dyDescent="0.35">
      <c r="A4988" s="14">
        <v>42319.079409722224</v>
      </c>
      <c r="B4988" s="5">
        <v>1</v>
      </c>
    </row>
    <row r="4989" spans="1:2" x14ac:dyDescent="0.35">
      <c r="A4989" s="14">
        <v>42319.09269675926</v>
      </c>
      <c r="B4989" s="5">
        <v>1</v>
      </c>
    </row>
    <row r="4990" spans="1:2" x14ac:dyDescent="0.35">
      <c r="A4990" s="14">
        <v>42319.104467592595</v>
      </c>
      <c r="B4990" s="5">
        <v>1</v>
      </c>
    </row>
    <row r="4991" spans="1:2" x14ac:dyDescent="0.35">
      <c r="A4991" s="14">
        <v>42319.117523148147</v>
      </c>
      <c r="B4991" s="5">
        <v>1</v>
      </c>
    </row>
    <row r="4992" spans="1:2" x14ac:dyDescent="0.35">
      <c r="A4992" s="14">
        <v>42319.1409375</v>
      </c>
      <c r="B4992" s="5">
        <v>1</v>
      </c>
    </row>
    <row r="4993" spans="1:2" x14ac:dyDescent="0.35">
      <c r="A4993" s="14">
        <v>42319.148009259261</v>
      </c>
      <c r="B4993" s="5">
        <v>1</v>
      </c>
    </row>
    <row r="4994" spans="1:2" x14ac:dyDescent="0.35">
      <c r="A4994" s="14">
        <v>42319.201736111114</v>
      </c>
      <c r="B4994" s="5">
        <v>1</v>
      </c>
    </row>
    <row r="4995" spans="1:2" x14ac:dyDescent="0.35">
      <c r="A4995" s="14">
        <v>42319.205416666664</v>
      </c>
      <c r="B4995" s="5">
        <v>1</v>
      </c>
    </row>
    <row r="4996" spans="1:2" x14ac:dyDescent="0.35">
      <c r="A4996" s="14">
        <v>42319.214155092595</v>
      </c>
      <c r="B4996" s="5">
        <v>1</v>
      </c>
    </row>
    <row r="4997" spans="1:2" x14ac:dyDescent="0.35">
      <c r="A4997" s="14">
        <v>42319.225856481484</v>
      </c>
      <c r="B4997" s="5">
        <v>1</v>
      </c>
    </row>
    <row r="4998" spans="1:2" x14ac:dyDescent="0.35">
      <c r="A4998" s="14">
        <v>42319.272581018522</v>
      </c>
      <c r="B4998" s="5">
        <v>1</v>
      </c>
    </row>
    <row r="4999" spans="1:2" x14ac:dyDescent="0.35">
      <c r="A4999" s="14">
        <v>42319.276087962964</v>
      </c>
      <c r="B4999" s="5">
        <v>1</v>
      </c>
    </row>
    <row r="5000" spans="1:2" x14ac:dyDescent="0.35">
      <c r="A5000" s="14">
        <v>42319.289317129631</v>
      </c>
      <c r="B5000" s="5">
        <v>1</v>
      </c>
    </row>
    <row r="5001" spans="1:2" x14ac:dyDescent="0.35">
      <c r="A5001" s="14">
        <v>42319.292627314811</v>
      </c>
      <c r="B5001" s="5">
        <v>1</v>
      </c>
    </row>
    <row r="5002" spans="1:2" x14ac:dyDescent="0.35">
      <c r="A5002" s="14">
        <v>42319.305289351854</v>
      </c>
      <c r="B5002" s="5">
        <v>1</v>
      </c>
    </row>
    <row r="5003" spans="1:2" x14ac:dyDescent="0.35">
      <c r="A5003" s="14">
        <v>42319.309583333335</v>
      </c>
      <c r="B5003" s="5">
        <v>1</v>
      </c>
    </row>
    <row r="5004" spans="1:2" x14ac:dyDescent="0.35">
      <c r="A5004" s="14">
        <v>42319.337534722225</v>
      </c>
      <c r="B5004" s="5">
        <v>1</v>
      </c>
    </row>
    <row r="5005" spans="1:2" x14ac:dyDescent="0.35">
      <c r="A5005" s="14">
        <v>42319.422847222224</v>
      </c>
      <c r="B5005" s="5">
        <v>1</v>
      </c>
    </row>
    <row r="5006" spans="1:2" x14ac:dyDescent="0.35">
      <c r="A5006" s="14">
        <v>42319.430543981478</v>
      </c>
      <c r="B5006" s="5">
        <v>1</v>
      </c>
    </row>
    <row r="5007" spans="1:2" x14ac:dyDescent="0.35">
      <c r="A5007" s="14">
        <v>42319.504849537036</v>
      </c>
      <c r="B5007" s="5">
        <v>1</v>
      </c>
    </row>
    <row r="5008" spans="1:2" x14ac:dyDescent="0.35">
      <c r="A5008" s="14">
        <v>42319.505104166667</v>
      </c>
      <c r="B5008" s="5">
        <v>2</v>
      </c>
    </row>
    <row r="5009" spans="1:2" x14ac:dyDescent="0.35">
      <c r="A5009" s="14">
        <v>42319.587141203701</v>
      </c>
      <c r="B5009" s="5">
        <v>1</v>
      </c>
    </row>
    <row r="5010" spans="1:2" x14ac:dyDescent="0.35">
      <c r="A5010" s="14">
        <v>42319.657048611109</v>
      </c>
      <c r="B5010" s="5">
        <v>1</v>
      </c>
    </row>
    <row r="5011" spans="1:2" x14ac:dyDescent="0.35">
      <c r="A5011" s="14">
        <v>42319.679988425924</v>
      </c>
      <c r="B5011" s="5">
        <v>1</v>
      </c>
    </row>
    <row r="5012" spans="1:2" x14ac:dyDescent="0.35">
      <c r="A5012" s="14">
        <v>42319.683553240742</v>
      </c>
      <c r="B5012" s="5">
        <v>1</v>
      </c>
    </row>
    <row r="5013" spans="1:2" x14ac:dyDescent="0.35">
      <c r="A5013" s="14">
        <v>42319.690162037034</v>
      </c>
      <c r="B5013" s="5">
        <v>1</v>
      </c>
    </row>
    <row r="5014" spans="1:2" x14ac:dyDescent="0.35">
      <c r="A5014" s="14">
        <v>42319.706180555557</v>
      </c>
      <c r="B5014" s="5">
        <v>1</v>
      </c>
    </row>
    <row r="5015" spans="1:2" x14ac:dyDescent="0.35">
      <c r="A5015" s="14">
        <v>42319.741168981483</v>
      </c>
      <c r="B5015" s="5">
        <v>1</v>
      </c>
    </row>
    <row r="5016" spans="1:2" x14ac:dyDescent="0.35">
      <c r="A5016" s="14">
        <v>42319.745393518519</v>
      </c>
      <c r="B5016" s="5">
        <v>1</v>
      </c>
    </row>
    <row r="5017" spans="1:2" x14ac:dyDescent="0.35">
      <c r="A5017" s="14">
        <v>42319.756712962961</v>
      </c>
      <c r="B5017" s="5">
        <v>1</v>
      </c>
    </row>
    <row r="5018" spans="1:2" x14ac:dyDescent="0.35">
      <c r="A5018" s="14">
        <v>42319.769606481481</v>
      </c>
      <c r="B5018" s="5">
        <v>1</v>
      </c>
    </row>
    <row r="5019" spans="1:2" x14ac:dyDescent="0.35">
      <c r="A5019" s="14">
        <v>42319.778402777774</v>
      </c>
      <c r="B5019" s="5">
        <v>1</v>
      </c>
    </row>
    <row r="5020" spans="1:2" x14ac:dyDescent="0.35">
      <c r="A5020" s="14">
        <v>42319.798750000002</v>
      </c>
      <c r="B5020" s="5">
        <v>1</v>
      </c>
    </row>
    <row r="5021" spans="1:2" x14ac:dyDescent="0.35">
      <c r="A5021" s="14">
        <v>42319.815949074073</v>
      </c>
      <c r="B5021" s="5">
        <v>1</v>
      </c>
    </row>
    <row r="5022" spans="1:2" x14ac:dyDescent="0.35">
      <c r="A5022" s="14">
        <v>42319.816319444442</v>
      </c>
      <c r="B5022" s="5">
        <v>1</v>
      </c>
    </row>
    <row r="5023" spans="1:2" x14ac:dyDescent="0.35">
      <c r="A5023" s="14">
        <v>42319.819710648146</v>
      </c>
      <c r="B5023" s="5">
        <v>1</v>
      </c>
    </row>
    <row r="5024" spans="1:2" x14ac:dyDescent="0.35">
      <c r="A5024" s="14">
        <v>42319.86142361111</v>
      </c>
      <c r="B5024" s="5">
        <v>1</v>
      </c>
    </row>
    <row r="5025" spans="1:2" x14ac:dyDescent="0.35">
      <c r="A5025" s="14">
        <v>42319.865497685183</v>
      </c>
      <c r="B5025" s="5">
        <v>1</v>
      </c>
    </row>
    <row r="5026" spans="1:2" x14ac:dyDescent="0.35">
      <c r="A5026" s="14">
        <v>42319.879305555558</v>
      </c>
      <c r="B5026" s="5">
        <v>1</v>
      </c>
    </row>
    <row r="5027" spans="1:2" x14ac:dyDescent="0.35">
      <c r="A5027" s="14">
        <v>42319.902268518519</v>
      </c>
      <c r="B5027" s="5">
        <v>1</v>
      </c>
    </row>
    <row r="5028" spans="1:2" x14ac:dyDescent="0.35">
      <c r="A5028" s="14">
        <v>42319.915960648148</v>
      </c>
      <c r="B5028" s="5">
        <v>1</v>
      </c>
    </row>
    <row r="5029" spans="1:2" x14ac:dyDescent="0.35">
      <c r="A5029" s="14">
        <v>42319.919745370367</v>
      </c>
      <c r="B5029" s="5">
        <v>1</v>
      </c>
    </row>
    <row r="5030" spans="1:2" x14ac:dyDescent="0.35">
      <c r="A5030" s="14">
        <v>42319.926134259258</v>
      </c>
      <c r="B5030" s="5">
        <v>1</v>
      </c>
    </row>
    <row r="5031" spans="1:2" x14ac:dyDescent="0.35">
      <c r="A5031" s="14">
        <v>42319.926990740743</v>
      </c>
      <c r="B5031" s="5">
        <v>1</v>
      </c>
    </row>
    <row r="5032" spans="1:2" x14ac:dyDescent="0.35">
      <c r="A5032" s="14">
        <v>42319.93309027778</v>
      </c>
      <c r="B5032" s="5">
        <v>1</v>
      </c>
    </row>
    <row r="5033" spans="1:2" x14ac:dyDescent="0.35">
      <c r="A5033" s="14">
        <v>42319.939050925925</v>
      </c>
      <c r="B5033" s="5">
        <v>1</v>
      </c>
    </row>
    <row r="5034" spans="1:2" x14ac:dyDescent="0.35">
      <c r="A5034" s="14">
        <v>42319.960601851853</v>
      </c>
      <c r="B5034" s="5">
        <v>1</v>
      </c>
    </row>
    <row r="5035" spans="1:2" x14ac:dyDescent="0.35">
      <c r="A5035" s="14">
        <v>42319.968356481484</v>
      </c>
      <c r="B5035" s="5">
        <v>1</v>
      </c>
    </row>
    <row r="5036" spans="1:2" x14ac:dyDescent="0.35">
      <c r="A5036" s="14">
        <v>42319.970300925925</v>
      </c>
      <c r="B5036" s="5">
        <v>1</v>
      </c>
    </row>
    <row r="5037" spans="1:2" x14ac:dyDescent="0.35">
      <c r="A5037" s="14">
        <v>42319.971736111111</v>
      </c>
      <c r="B5037" s="5">
        <v>1</v>
      </c>
    </row>
    <row r="5038" spans="1:2" x14ac:dyDescent="0.35">
      <c r="A5038" s="14">
        <v>42319.985590277778</v>
      </c>
      <c r="B5038" s="5">
        <v>1</v>
      </c>
    </row>
    <row r="5039" spans="1:2" x14ac:dyDescent="0.35">
      <c r="A5039" s="14">
        <v>42320.014733796299</v>
      </c>
      <c r="B5039" s="5">
        <v>1</v>
      </c>
    </row>
    <row r="5040" spans="1:2" x14ac:dyDescent="0.35">
      <c r="A5040" s="14">
        <v>42320.118425925924</v>
      </c>
      <c r="B5040" s="5">
        <v>1</v>
      </c>
    </row>
    <row r="5041" spans="1:2" x14ac:dyDescent="0.35">
      <c r="A5041" s="14">
        <v>42320.121608796297</v>
      </c>
      <c r="B5041" s="5">
        <v>1</v>
      </c>
    </row>
    <row r="5042" spans="1:2" x14ac:dyDescent="0.35">
      <c r="A5042" s="14">
        <v>42320.137291666666</v>
      </c>
      <c r="B5042" s="5">
        <v>1</v>
      </c>
    </row>
    <row r="5043" spans="1:2" x14ac:dyDescent="0.35">
      <c r="A5043" s="14">
        <v>42320.137546296297</v>
      </c>
      <c r="B5043" s="5">
        <v>1</v>
      </c>
    </row>
    <row r="5044" spans="1:2" x14ac:dyDescent="0.35">
      <c r="A5044" s="14">
        <v>42320.145752314813</v>
      </c>
      <c r="B5044" s="5">
        <v>1</v>
      </c>
    </row>
    <row r="5045" spans="1:2" x14ac:dyDescent="0.35">
      <c r="A5045" s="14">
        <v>42320.145891203705</v>
      </c>
      <c r="B5045" s="5">
        <v>2</v>
      </c>
    </row>
    <row r="5046" spans="1:2" x14ac:dyDescent="0.35">
      <c r="A5046" s="14">
        <v>42320.148414351854</v>
      </c>
      <c r="B5046" s="5">
        <v>1</v>
      </c>
    </row>
    <row r="5047" spans="1:2" x14ac:dyDescent="0.35">
      <c r="A5047" s="14">
        <v>42320.161736111113</v>
      </c>
      <c r="B5047" s="5">
        <v>1</v>
      </c>
    </row>
    <row r="5048" spans="1:2" x14ac:dyDescent="0.35">
      <c r="A5048" s="14">
        <v>42320.178854166668</v>
      </c>
      <c r="B5048" s="5">
        <v>1</v>
      </c>
    </row>
    <row r="5049" spans="1:2" x14ac:dyDescent="0.35">
      <c r="A5049" s="14">
        <v>42320.187303240738</v>
      </c>
      <c r="B5049" s="5">
        <v>1</v>
      </c>
    </row>
    <row r="5050" spans="1:2" x14ac:dyDescent="0.35">
      <c r="A5050" s="14">
        <v>42320.216909722221</v>
      </c>
      <c r="B5050" s="5">
        <v>1</v>
      </c>
    </row>
    <row r="5051" spans="1:2" x14ac:dyDescent="0.35">
      <c r="A5051" s="14">
        <v>42320.225046296298</v>
      </c>
      <c r="B5051" s="5">
        <v>1</v>
      </c>
    </row>
    <row r="5052" spans="1:2" x14ac:dyDescent="0.35">
      <c r="A5052" s="14">
        <v>42320.26226851852</v>
      </c>
      <c r="B5052" s="5">
        <v>1</v>
      </c>
    </row>
    <row r="5053" spans="1:2" x14ac:dyDescent="0.35">
      <c r="A5053" s="14">
        <v>42320.270127314812</v>
      </c>
      <c r="B5053" s="5">
        <v>1</v>
      </c>
    </row>
    <row r="5054" spans="1:2" x14ac:dyDescent="0.35">
      <c r="A5054" s="14">
        <v>42320.345717592594</v>
      </c>
      <c r="B5054" s="5">
        <v>1</v>
      </c>
    </row>
    <row r="5055" spans="1:2" x14ac:dyDescent="0.35">
      <c r="A5055" s="14">
        <v>42320.421909722223</v>
      </c>
      <c r="B5055" s="5">
        <v>1</v>
      </c>
    </row>
    <row r="5056" spans="1:2" x14ac:dyDescent="0.35">
      <c r="A5056" s="14">
        <v>42320.434444444443</v>
      </c>
      <c r="B5056" s="5">
        <v>1</v>
      </c>
    </row>
    <row r="5057" spans="1:2" x14ac:dyDescent="0.35">
      <c r="A5057" s="14">
        <v>42320.57068287037</v>
      </c>
      <c r="B5057" s="5">
        <v>1</v>
      </c>
    </row>
    <row r="5058" spans="1:2" x14ac:dyDescent="0.35">
      <c r="A5058" s="14">
        <v>42320.602106481485</v>
      </c>
      <c r="B5058" s="5">
        <v>1</v>
      </c>
    </row>
    <row r="5059" spans="1:2" x14ac:dyDescent="0.35">
      <c r="A5059" s="14">
        <v>42320.603229166663</v>
      </c>
      <c r="B5059" s="5">
        <v>1</v>
      </c>
    </row>
    <row r="5060" spans="1:2" x14ac:dyDescent="0.35">
      <c r="A5060" s="14">
        <v>42320.624699074076</v>
      </c>
      <c r="B5060" s="5">
        <v>1</v>
      </c>
    </row>
    <row r="5061" spans="1:2" x14ac:dyDescent="0.35">
      <c r="A5061" s="14">
        <v>42320.656990740739</v>
      </c>
      <c r="B5061" s="5">
        <v>1</v>
      </c>
    </row>
    <row r="5062" spans="1:2" x14ac:dyDescent="0.35">
      <c r="A5062" s="14">
        <v>42320.664293981485</v>
      </c>
      <c r="B5062" s="5">
        <v>1</v>
      </c>
    </row>
    <row r="5063" spans="1:2" x14ac:dyDescent="0.35">
      <c r="A5063" s="14">
        <v>42320.670381944445</v>
      </c>
      <c r="B5063" s="5">
        <v>1</v>
      </c>
    </row>
    <row r="5064" spans="1:2" x14ac:dyDescent="0.35">
      <c r="A5064" s="14">
        <v>42320.670787037037</v>
      </c>
      <c r="B5064" s="5">
        <v>1</v>
      </c>
    </row>
    <row r="5065" spans="1:2" x14ac:dyDescent="0.35">
      <c r="A5065" s="14">
        <v>42320.687361111108</v>
      </c>
      <c r="B5065" s="5">
        <v>1</v>
      </c>
    </row>
    <row r="5066" spans="1:2" x14ac:dyDescent="0.35">
      <c r="A5066" s="14">
        <v>42320.689317129632</v>
      </c>
      <c r="B5066" s="5">
        <v>1</v>
      </c>
    </row>
    <row r="5067" spans="1:2" x14ac:dyDescent="0.35">
      <c r="A5067" s="14">
        <v>42320.690324074072</v>
      </c>
      <c r="B5067" s="5">
        <v>1</v>
      </c>
    </row>
    <row r="5068" spans="1:2" x14ac:dyDescent="0.35">
      <c r="A5068" s="14">
        <v>42320.758090277777</v>
      </c>
      <c r="B5068" s="5">
        <v>1</v>
      </c>
    </row>
    <row r="5069" spans="1:2" x14ac:dyDescent="0.35">
      <c r="A5069" s="14">
        <v>42320.759525462963</v>
      </c>
      <c r="B5069" s="5">
        <v>1</v>
      </c>
    </row>
    <row r="5070" spans="1:2" x14ac:dyDescent="0.35">
      <c r="A5070" s="14">
        <v>42320.760092592594</v>
      </c>
      <c r="B5070" s="5">
        <v>1</v>
      </c>
    </row>
    <row r="5071" spans="1:2" x14ac:dyDescent="0.35">
      <c r="A5071" s="14">
        <v>42320.761423611111</v>
      </c>
      <c r="B5071" s="5">
        <v>1</v>
      </c>
    </row>
    <row r="5072" spans="1:2" x14ac:dyDescent="0.35">
      <c r="A5072" s="14">
        <v>42320.762650462966</v>
      </c>
      <c r="B5072" s="5">
        <v>1</v>
      </c>
    </row>
    <row r="5073" spans="1:2" x14ac:dyDescent="0.35">
      <c r="A5073" s="14">
        <v>42320.765081018515</v>
      </c>
      <c r="B5073" s="5">
        <v>1</v>
      </c>
    </row>
    <row r="5074" spans="1:2" x14ac:dyDescent="0.35">
      <c r="A5074" s="14">
        <v>42320.765497685185</v>
      </c>
      <c r="B5074" s="5">
        <v>1</v>
      </c>
    </row>
    <row r="5075" spans="1:2" x14ac:dyDescent="0.35">
      <c r="A5075" s="14">
        <v>42320.767187500001</v>
      </c>
      <c r="B5075" s="5">
        <v>1</v>
      </c>
    </row>
    <row r="5076" spans="1:2" x14ac:dyDescent="0.35">
      <c r="A5076" s="14">
        <v>42320.767789351848</v>
      </c>
      <c r="B5076" s="5">
        <v>1</v>
      </c>
    </row>
    <row r="5077" spans="1:2" x14ac:dyDescent="0.35">
      <c r="A5077" s="14">
        <v>42320.768414351849</v>
      </c>
      <c r="B5077" s="5">
        <v>1</v>
      </c>
    </row>
    <row r="5078" spans="1:2" x14ac:dyDescent="0.35">
      <c r="A5078" s="14">
        <v>42320.78329861111</v>
      </c>
      <c r="B5078" s="5">
        <v>1</v>
      </c>
    </row>
    <row r="5079" spans="1:2" x14ac:dyDescent="0.35">
      <c r="A5079" s="14">
        <v>42320.798587962963</v>
      </c>
      <c r="B5079" s="5">
        <v>1</v>
      </c>
    </row>
    <row r="5080" spans="1:2" x14ac:dyDescent="0.35">
      <c r="A5080" s="14">
        <v>42320.802453703705</v>
      </c>
      <c r="B5080" s="5">
        <v>1</v>
      </c>
    </row>
    <row r="5081" spans="1:2" x14ac:dyDescent="0.35">
      <c r="A5081" s="14">
        <v>42320.810185185182</v>
      </c>
      <c r="B5081" s="5">
        <v>1</v>
      </c>
    </row>
    <row r="5082" spans="1:2" x14ac:dyDescent="0.35">
      <c r="A5082" s="14">
        <v>42320.810416666667</v>
      </c>
      <c r="B5082" s="5">
        <v>2</v>
      </c>
    </row>
    <row r="5083" spans="1:2" x14ac:dyDescent="0.35">
      <c r="A5083" s="14">
        <v>42320.891099537039</v>
      </c>
      <c r="B5083" s="5">
        <v>1</v>
      </c>
    </row>
    <row r="5084" spans="1:2" x14ac:dyDescent="0.35">
      <c r="A5084" s="14">
        <v>42320.898715277777</v>
      </c>
      <c r="B5084" s="5">
        <v>1</v>
      </c>
    </row>
    <row r="5085" spans="1:2" x14ac:dyDescent="0.35">
      <c r="A5085" s="14">
        <v>42320.904039351852</v>
      </c>
      <c r="B5085" s="5">
        <v>1</v>
      </c>
    </row>
    <row r="5086" spans="1:2" x14ac:dyDescent="0.35">
      <c r="A5086" s="14">
        <v>42320.915358796294</v>
      </c>
      <c r="B5086" s="5">
        <v>1</v>
      </c>
    </row>
    <row r="5087" spans="1:2" x14ac:dyDescent="0.35">
      <c r="A5087" s="14">
        <v>42320.97452546296</v>
      </c>
      <c r="B5087" s="5">
        <v>1</v>
      </c>
    </row>
    <row r="5088" spans="1:2" x14ac:dyDescent="0.35">
      <c r="A5088" s="14">
        <v>42320.976898148147</v>
      </c>
      <c r="B5088" s="5">
        <v>1</v>
      </c>
    </row>
    <row r="5089" spans="1:2" x14ac:dyDescent="0.35">
      <c r="A5089" s="14">
        <v>42320.992256944446</v>
      </c>
      <c r="B5089" s="5">
        <v>1</v>
      </c>
    </row>
    <row r="5090" spans="1:2" x14ac:dyDescent="0.35">
      <c r="A5090" s="14">
        <v>42321.011250000003</v>
      </c>
      <c r="B5090" s="5">
        <v>1</v>
      </c>
    </row>
    <row r="5091" spans="1:2" x14ac:dyDescent="0.35">
      <c r="A5091" s="14">
        <v>42321.011817129627</v>
      </c>
      <c r="B5091" s="5">
        <v>1</v>
      </c>
    </row>
    <row r="5092" spans="1:2" x14ac:dyDescent="0.35">
      <c r="A5092" s="14">
        <v>42321.014953703707</v>
      </c>
      <c r="B5092" s="5">
        <v>1</v>
      </c>
    </row>
    <row r="5093" spans="1:2" x14ac:dyDescent="0.35">
      <c r="A5093" s="14">
        <v>42321.031805555554</v>
      </c>
      <c r="B5093" s="5">
        <v>1</v>
      </c>
    </row>
    <row r="5094" spans="1:2" x14ac:dyDescent="0.35">
      <c r="A5094" s="14">
        <v>42321.068912037037</v>
      </c>
      <c r="B5094" s="5">
        <v>1</v>
      </c>
    </row>
    <row r="5095" spans="1:2" x14ac:dyDescent="0.35">
      <c r="A5095" s="14">
        <v>42321.078090277777</v>
      </c>
      <c r="B5095" s="5">
        <v>1</v>
      </c>
    </row>
    <row r="5096" spans="1:2" x14ac:dyDescent="0.35">
      <c r="A5096" s="14">
        <v>42321.083136574074</v>
      </c>
      <c r="B5096" s="5">
        <v>1</v>
      </c>
    </row>
    <row r="5097" spans="1:2" x14ac:dyDescent="0.35">
      <c r="A5097" s="14">
        <v>42321.085196759261</v>
      </c>
      <c r="B5097" s="5">
        <v>1</v>
      </c>
    </row>
    <row r="5098" spans="1:2" x14ac:dyDescent="0.35">
      <c r="A5098" s="14">
        <v>42321.087673611109</v>
      </c>
      <c r="B5098" s="5">
        <v>1</v>
      </c>
    </row>
    <row r="5099" spans="1:2" x14ac:dyDescent="0.35">
      <c r="A5099" s="14">
        <v>42321.119641203702</v>
      </c>
      <c r="B5099" s="5">
        <v>1</v>
      </c>
    </row>
    <row r="5100" spans="1:2" x14ac:dyDescent="0.35">
      <c r="A5100" s="14">
        <v>42321.162048611113</v>
      </c>
      <c r="B5100" s="5">
        <v>1</v>
      </c>
    </row>
    <row r="5101" spans="1:2" x14ac:dyDescent="0.35">
      <c r="A5101" s="14">
        <v>42321.165972222225</v>
      </c>
      <c r="B5101" s="5">
        <v>1</v>
      </c>
    </row>
    <row r="5102" spans="1:2" x14ac:dyDescent="0.35">
      <c r="A5102" s="14">
        <v>42321.253703703704</v>
      </c>
      <c r="B5102" s="5">
        <v>1</v>
      </c>
    </row>
    <row r="5103" spans="1:2" x14ac:dyDescent="0.35">
      <c r="A5103" s="14">
        <v>42321.268912037034</v>
      </c>
      <c r="B5103" s="5">
        <v>1</v>
      </c>
    </row>
    <row r="5104" spans="1:2" x14ac:dyDescent="0.35">
      <c r="A5104" s="14">
        <v>42321.274131944447</v>
      </c>
      <c r="B5104" s="5">
        <v>1</v>
      </c>
    </row>
    <row r="5105" spans="1:2" x14ac:dyDescent="0.35">
      <c r="A5105" s="14">
        <v>42321.286400462966</v>
      </c>
      <c r="B5105" s="5">
        <v>1</v>
      </c>
    </row>
    <row r="5106" spans="1:2" x14ac:dyDescent="0.35">
      <c r="A5106" s="14">
        <v>42321.286608796298</v>
      </c>
      <c r="B5106" s="5">
        <v>1</v>
      </c>
    </row>
    <row r="5107" spans="1:2" x14ac:dyDescent="0.35">
      <c r="A5107" s="14">
        <v>42321.287314814814</v>
      </c>
      <c r="B5107" s="5">
        <v>1</v>
      </c>
    </row>
    <row r="5108" spans="1:2" x14ac:dyDescent="0.35">
      <c r="A5108" s="14">
        <v>42321.552569444444</v>
      </c>
      <c r="B5108" s="5">
        <v>1</v>
      </c>
    </row>
    <row r="5109" spans="1:2" x14ac:dyDescent="0.35">
      <c r="A5109" s="14">
        <v>42321.554884259262</v>
      </c>
      <c r="B5109" s="5">
        <v>1</v>
      </c>
    </row>
    <row r="5110" spans="1:2" x14ac:dyDescent="0.35">
      <c r="A5110" s="14">
        <v>42321.582812499997</v>
      </c>
      <c r="B5110" s="5">
        <v>1</v>
      </c>
    </row>
    <row r="5111" spans="1:2" x14ac:dyDescent="0.35">
      <c r="A5111" s="14">
        <v>42321.600775462961</v>
      </c>
      <c r="B5111" s="5">
        <v>1</v>
      </c>
    </row>
    <row r="5112" spans="1:2" x14ac:dyDescent="0.35">
      <c r="A5112" s="14">
        <v>42321.607499999998</v>
      </c>
      <c r="B5112" s="5">
        <v>1</v>
      </c>
    </row>
    <row r="5113" spans="1:2" x14ac:dyDescent="0.35">
      <c r="A5113" s="14">
        <v>42321.61509259259</v>
      </c>
      <c r="B5113" s="5">
        <v>1</v>
      </c>
    </row>
    <row r="5114" spans="1:2" x14ac:dyDescent="0.35">
      <c r="A5114" s="14">
        <v>42321.620787037034</v>
      </c>
      <c r="B5114" s="5">
        <v>1</v>
      </c>
    </row>
    <row r="5115" spans="1:2" x14ac:dyDescent="0.35">
      <c r="A5115" s="14">
        <v>42321.624108796299</v>
      </c>
      <c r="B5115" s="5">
        <v>1</v>
      </c>
    </row>
    <row r="5116" spans="1:2" x14ac:dyDescent="0.35">
      <c r="A5116" s="14">
        <v>42321.632523148146</v>
      </c>
      <c r="B5116" s="5">
        <v>1</v>
      </c>
    </row>
    <row r="5117" spans="1:2" x14ac:dyDescent="0.35">
      <c r="A5117" s="14">
        <v>42321.642546296294</v>
      </c>
      <c r="B5117" s="5">
        <v>1</v>
      </c>
    </row>
    <row r="5118" spans="1:2" x14ac:dyDescent="0.35">
      <c r="A5118" s="14">
        <v>42321.64739583333</v>
      </c>
      <c r="B5118" s="5">
        <v>1</v>
      </c>
    </row>
    <row r="5119" spans="1:2" x14ac:dyDescent="0.35">
      <c r="A5119" s="14">
        <v>42321.647673611114</v>
      </c>
      <c r="B5119" s="5">
        <v>1</v>
      </c>
    </row>
    <row r="5120" spans="1:2" x14ac:dyDescent="0.35">
      <c r="A5120" s="14">
        <v>42321.699270833335</v>
      </c>
      <c r="B5120" s="5">
        <v>1</v>
      </c>
    </row>
    <row r="5121" spans="1:2" x14ac:dyDescent="0.35">
      <c r="A5121" s="14">
        <v>42321.7034375</v>
      </c>
      <c r="B5121" s="5">
        <v>1</v>
      </c>
    </row>
    <row r="5122" spans="1:2" x14ac:dyDescent="0.35">
      <c r="A5122" s="14">
        <v>42321.704143518517</v>
      </c>
      <c r="B5122" s="5">
        <v>1</v>
      </c>
    </row>
    <row r="5123" spans="1:2" x14ac:dyDescent="0.35">
      <c r="A5123" s="14">
        <v>42321.716967592591</v>
      </c>
      <c r="B5123" s="5">
        <v>1</v>
      </c>
    </row>
    <row r="5124" spans="1:2" x14ac:dyDescent="0.35">
      <c r="A5124" s="14">
        <v>42321.721597222226</v>
      </c>
      <c r="B5124" s="5">
        <v>1</v>
      </c>
    </row>
    <row r="5125" spans="1:2" x14ac:dyDescent="0.35">
      <c r="A5125" s="14">
        <v>42321.762731481482</v>
      </c>
      <c r="B5125" s="5">
        <v>1</v>
      </c>
    </row>
    <row r="5126" spans="1:2" x14ac:dyDescent="0.35">
      <c r="A5126" s="14">
        <v>42321.765497685185</v>
      </c>
      <c r="B5126" s="5">
        <v>1</v>
      </c>
    </row>
    <row r="5127" spans="1:2" x14ac:dyDescent="0.35">
      <c r="A5127" s="14">
        <v>42321.803599537037</v>
      </c>
      <c r="B5127" s="5">
        <v>1</v>
      </c>
    </row>
    <row r="5128" spans="1:2" x14ac:dyDescent="0.35">
      <c r="A5128" s="14">
        <v>42321.81108796296</v>
      </c>
      <c r="B5128" s="5">
        <v>1</v>
      </c>
    </row>
    <row r="5129" spans="1:2" x14ac:dyDescent="0.35">
      <c r="A5129" s="14">
        <v>42321.811354166668</v>
      </c>
      <c r="B5129" s="5">
        <v>1</v>
      </c>
    </row>
    <row r="5130" spans="1:2" x14ac:dyDescent="0.35">
      <c r="A5130" s="14">
        <v>42321.817442129628</v>
      </c>
      <c r="B5130" s="5">
        <v>1</v>
      </c>
    </row>
    <row r="5131" spans="1:2" x14ac:dyDescent="0.35">
      <c r="A5131" s="14">
        <v>42321.822731481479</v>
      </c>
      <c r="B5131" s="5">
        <v>1</v>
      </c>
    </row>
    <row r="5132" spans="1:2" x14ac:dyDescent="0.35">
      <c r="A5132" s="14">
        <v>42321.823159722226</v>
      </c>
      <c r="B5132" s="5">
        <v>2</v>
      </c>
    </row>
    <row r="5133" spans="1:2" x14ac:dyDescent="0.35">
      <c r="A5133" s="14">
        <v>42321.860983796294</v>
      </c>
      <c r="B5133" s="5">
        <v>1</v>
      </c>
    </row>
    <row r="5134" spans="1:2" x14ac:dyDescent="0.35">
      <c r="A5134" s="14">
        <v>42321.869699074072</v>
      </c>
      <c r="B5134" s="5">
        <v>1</v>
      </c>
    </row>
    <row r="5135" spans="1:2" x14ac:dyDescent="0.35">
      <c r="A5135" s="14">
        <v>42321.874259259261</v>
      </c>
      <c r="B5135" s="5">
        <v>1</v>
      </c>
    </row>
    <row r="5136" spans="1:2" x14ac:dyDescent="0.35">
      <c r="A5136" s="14">
        <v>42321.874745370369</v>
      </c>
      <c r="B5136" s="5">
        <v>1</v>
      </c>
    </row>
    <row r="5137" spans="1:2" x14ac:dyDescent="0.35">
      <c r="A5137" s="14">
        <v>42321.874872685185</v>
      </c>
      <c r="B5137" s="5">
        <v>1</v>
      </c>
    </row>
    <row r="5138" spans="1:2" x14ac:dyDescent="0.35">
      <c r="A5138" s="14">
        <v>42321.893009259256</v>
      </c>
      <c r="B5138" s="5">
        <v>1</v>
      </c>
    </row>
    <row r="5139" spans="1:2" x14ac:dyDescent="0.35">
      <c r="A5139" s="14">
        <v>42321.928518518522</v>
      </c>
      <c r="B5139" s="5">
        <v>1</v>
      </c>
    </row>
    <row r="5140" spans="1:2" x14ac:dyDescent="0.35">
      <c r="A5140" s="14">
        <v>42321.936516203707</v>
      </c>
      <c r="B5140" s="5">
        <v>1</v>
      </c>
    </row>
    <row r="5141" spans="1:2" x14ac:dyDescent="0.35">
      <c r="A5141" s="14">
        <v>42322.009386574071</v>
      </c>
      <c r="B5141" s="5">
        <v>1</v>
      </c>
    </row>
    <row r="5142" spans="1:2" x14ac:dyDescent="0.35">
      <c r="A5142" s="14">
        <v>42322.017418981479</v>
      </c>
      <c r="B5142" s="5">
        <v>1</v>
      </c>
    </row>
    <row r="5143" spans="1:2" x14ac:dyDescent="0.35">
      <c r="A5143" s="14">
        <v>42322.046875</v>
      </c>
      <c r="B5143" s="5">
        <v>1</v>
      </c>
    </row>
    <row r="5144" spans="1:2" x14ac:dyDescent="0.35">
      <c r="A5144" s="14">
        <v>42322.071898148148</v>
      </c>
      <c r="B5144" s="5">
        <v>1</v>
      </c>
    </row>
    <row r="5145" spans="1:2" x14ac:dyDescent="0.35">
      <c r="A5145" s="14">
        <v>42322.076620370368</v>
      </c>
      <c r="B5145" s="5">
        <v>1</v>
      </c>
    </row>
    <row r="5146" spans="1:2" x14ac:dyDescent="0.35">
      <c r="A5146" s="14">
        <v>42322.132638888892</v>
      </c>
      <c r="B5146" s="5">
        <v>1</v>
      </c>
    </row>
    <row r="5147" spans="1:2" x14ac:dyDescent="0.35">
      <c r="A5147" s="14">
        <v>42322.331736111111</v>
      </c>
      <c r="B5147" s="5">
        <v>1</v>
      </c>
    </row>
    <row r="5148" spans="1:2" x14ac:dyDescent="0.35">
      <c r="A5148" s="14">
        <v>42322.519143518519</v>
      </c>
      <c r="B5148" s="5">
        <v>1</v>
      </c>
    </row>
    <row r="5149" spans="1:2" x14ac:dyDescent="0.35">
      <c r="A5149" s="14">
        <v>42322.667546296296</v>
      </c>
      <c r="B5149" s="5">
        <v>1</v>
      </c>
    </row>
    <row r="5150" spans="1:2" x14ac:dyDescent="0.35">
      <c r="A5150" s="14">
        <v>42322.677557870367</v>
      </c>
      <c r="B5150" s="5">
        <v>1</v>
      </c>
    </row>
    <row r="5151" spans="1:2" x14ac:dyDescent="0.35">
      <c r="A5151" s="14">
        <v>42322.678090277775</v>
      </c>
      <c r="B5151" s="5">
        <v>1</v>
      </c>
    </row>
    <row r="5152" spans="1:2" x14ac:dyDescent="0.35">
      <c r="A5152" s="14">
        <v>42322.696006944447</v>
      </c>
      <c r="B5152" s="5">
        <v>1</v>
      </c>
    </row>
    <row r="5153" spans="1:2" x14ac:dyDescent="0.35">
      <c r="A5153" s="14">
        <v>42322.702662037038</v>
      </c>
      <c r="B5153" s="5">
        <v>1</v>
      </c>
    </row>
    <row r="5154" spans="1:2" x14ac:dyDescent="0.35">
      <c r="A5154" s="14">
        <v>42322.704224537039</v>
      </c>
      <c r="B5154" s="5">
        <v>1</v>
      </c>
    </row>
    <row r="5155" spans="1:2" x14ac:dyDescent="0.35">
      <c r="A5155" s="14">
        <v>42322.722800925927</v>
      </c>
      <c r="B5155" s="5">
        <v>1</v>
      </c>
    </row>
    <row r="5156" spans="1:2" x14ac:dyDescent="0.35">
      <c r="A5156" s="14">
        <v>42322.738796296297</v>
      </c>
      <c r="B5156" s="5">
        <v>1</v>
      </c>
    </row>
    <row r="5157" spans="1:2" x14ac:dyDescent="0.35">
      <c r="A5157" s="14">
        <v>42322.75571759259</v>
      </c>
      <c r="B5157" s="5">
        <v>1</v>
      </c>
    </row>
    <row r="5158" spans="1:2" x14ac:dyDescent="0.35">
      <c r="A5158" s="14">
        <v>42322.759409722225</v>
      </c>
      <c r="B5158" s="5">
        <v>1</v>
      </c>
    </row>
    <row r="5159" spans="1:2" x14ac:dyDescent="0.35">
      <c r="A5159" s="14">
        <v>42322.830023148148</v>
      </c>
      <c r="B5159" s="5">
        <v>1</v>
      </c>
    </row>
    <row r="5160" spans="1:2" x14ac:dyDescent="0.35">
      <c r="A5160" s="14">
        <v>42322.896331018521</v>
      </c>
      <c r="B5160" s="5">
        <v>1</v>
      </c>
    </row>
    <row r="5161" spans="1:2" x14ac:dyDescent="0.35">
      <c r="A5161" s="14">
        <v>42322.918171296296</v>
      </c>
      <c r="B5161" s="5">
        <v>1</v>
      </c>
    </row>
    <row r="5162" spans="1:2" x14ac:dyDescent="0.35">
      <c r="A5162" s="14">
        <v>42322.92627314815</v>
      </c>
      <c r="B5162" s="5">
        <v>1</v>
      </c>
    </row>
    <row r="5163" spans="1:2" x14ac:dyDescent="0.35">
      <c r="A5163" s="14">
        <v>42322.927303240744</v>
      </c>
      <c r="B5163" s="5">
        <v>1</v>
      </c>
    </row>
    <row r="5164" spans="1:2" x14ac:dyDescent="0.35">
      <c r="A5164" s="14">
        <v>42322.973993055559</v>
      </c>
      <c r="B5164" s="5">
        <v>1</v>
      </c>
    </row>
    <row r="5165" spans="1:2" x14ac:dyDescent="0.35">
      <c r="A5165" s="14">
        <v>42322.999212962961</v>
      </c>
      <c r="B5165" s="5">
        <v>1</v>
      </c>
    </row>
    <row r="5166" spans="1:2" x14ac:dyDescent="0.35">
      <c r="A5166" s="14">
        <v>42323.006111111114</v>
      </c>
      <c r="B5166" s="5">
        <v>1</v>
      </c>
    </row>
    <row r="5167" spans="1:2" x14ac:dyDescent="0.35">
      <c r="A5167" s="14">
        <v>42323.052476851852</v>
      </c>
      <c r="B5167" s="5">
        <v>1</v>
      </c>
    </row>
    <row r="5168" spans="1:2" x14ac:dyDescent="0.35">
      <c r="A5168" s="14">
        <v>42323.067083333335</v>
      </c>
      <c r="B5168" s="5">
        <v>1</v>
      </c>
    </row>
    <row r="5169" spans="1:2" x14ac:dyDescent="0.35">
      <c r="A5169" s="14">
        <v>42323.078194444446</v>
      </c>
      <c r="B5169" s="5">
        <v>1</v>
      </c>
    </row>
    <row r="5170" spans="1:2" x14ac:dyDescent="0.35">
      <c r="A5170" s="14">
        <v>42323.094305555554</v>
      </c>
      <c r="B5170" s="5">
        <v>1</v>
      </c>
    </row>
    <row r="5171" spans="1:2" x14ac:dyDescent="0.35">
      <c r="A5171" s="14">
        <v>42323.098541666666</v>
      </c>
      <c r="B5171" s="5">
        <v>1</v>
      </c>
    </row>
    <row r="5172" spans="1:2" x14ac:dyDescent="0.35">
      <c r="A5172" s="14">
        <v>42323.108310185184</v>
      </c>
      <c r="B5172" s="5">
        <v>1</v>
      </c>
    </row>
    <row r="5173" spans="1:2" x14ac:dyDescent="0.35">
      <c r="A5173" s="14">
        <v>42323.161087962966</v>
      </c>
      <c r="B5173" s="5">
        <v>1</v>
      </c>
    </row>
    <row r="5174" spans="1:2" x14ac:dyDescent="0.35">
      <c r="A5174" s="14">
        <v>42323.192743055559</v>
      </c>
      <c r="B5174" s="5">
        <v>1</v>
      </c>
    </row>
    <row r="5175" spans="1:2" x14ac:dyDescent="0.35">
      <c r="A5175" s="14">
        <v>42323.20952546296</v>
      </c>
      <c r="B5175" s="5">
        <v>1</v>
      </c>
    </row>
    <row r="5176" spans="1:2" x14ac:dyDescent="0.35">
      <c r="A5176" s="14">
        <v>42323.236504629633</v>
      </c>
      <c r="B5176" s="5">
        <v>1</v>
      </c>
    </row>
    <row r="5177" spans="1:2" x14ac:dyDescent="0.35">
      <c r="A5177" s="14">
        <v>42323.237210648149</v>
      </c>
      <c r="B5177" s="5">
        <v>2</v>
      </c>
    </row>
    <row r="5178" spans="1:2" x14ac:dyDescent="0.35">
      <c r="A5178" s="14">
        <v>42323.458113425928</v>
      </c>
      <c r="B5178" s="5">
        <v>1</v>
      </c>
    </row>
    <row r="5179" spans="1:2" x14ac:dyDescent="0.35">
      <c r="A5179" s="14">
        <v>42323.458553240744</v>
      </c>
      <c r="B5179" s="5">
        <v>1</v>
      </c>
    </row>
    <row r="5180" spans="1:2" x14ac:dyDescent="0.35">
      <c r="A5180" s="14">
        <v>42323.464999999997</v>
      </c>
      <c r="B5180" s="5">
        <v>1</v>
      </c>
    </row>
    <row r="5181" spans="1:2" x14ac:dyDescent="0.35">
      <c r="A5181" s="14">
        <v>42323.542673611111</v>
      </c>
      <c r="B5181" s="5">
        <v>1</v>
      </c>
    </row>
    <row r="5182" spans="1:2" x14ac:dyDescent="0.35">
      <c r="A5182" s="14">
        <v>42323.582592592589</v>
      </c>
      <c r="B5182" s="5">
        <v>1</v>
      </c>
    </row>
    <row r="5183" spans="1:2" x14ac:dyDescent="0.35">
      <c r="A5183" s="14">
        <v>42323.593090277776</v>
      </c>
      <c r="B5183" s="5">
        <v>1</v>
      </c>
    </row>
    <row r="5184" spans="1:2" x14ac:dyDescent="0.35">
      <c r="A5184" s="14">
        <v>42323.63181712963</v>
      </c>
      <c r="B5184" s="5">
        <v>1</v>
      </c>
    </row>
    <row r="5185" spans="1:2" x14ac:dyDescent="0.35">
      <c r="A5185" s="14">
        <v>42323.642013888886</v>
      </c>
      <c r="B5185" s="5">
        <v>1</v>
      </c>
    </row>
    <row r="5186" spans="1:2" x14ac:dyDescent="0.35">
      <c r="A5186" s="14">
        <v>42323.642777777779</v>
      </c>
      <c r="B5186" s="5">
        <v>1</v>
      </c>
    </row>
    <row r="5187" spans="1:2" x14ac:dyDescent="0.35">
      <c r="A5187" s="14">
        <v>42323.651087962964</v>
      </c>
      <c r="B5187" s="5">
        <v>1</v>
      </c>
    </row>
    <row r="5188" spans="1:2" x14ac:dyDescent="0.35">
      <c r="A5188" s="14">
        <v>42323.65247685185</v>
      </c>
      <c r="B5188" s="5">
        <v>1</v>
      </c>
    </row>
    <row r="5189" spans="1:2" x14ac:dyDescent="0.35">
      <c r="A5189" s="14">
        <v>42323.671076388891</v>
      </c>
      <c r="B5189" s="5">
        <v>1</v>
      </c>
    </row>
    <row r="5190" spans="1:2" x14ac:dyDescent="0.35">
      <c r="A5190" s="14">
        <v>42323.685648148145</v>
      </c>
      <c r="B5190" s="5">
        <v>1</v>
      </c>
    </row>
    <row r="5191" spans="1:2" x14ac:dyDescent="0.35">
      <c r="A5191" s="14">
        <v>42323.686423611114</v>
      </c>
      <c r="B5191" s="5">
        <v>1</v>
      </c>
    </row>
    <row r="5192" spans="1:2" x14ac:dyDescent="0.35">
      <c r="A5192" s="14">
        <v>42323.688009259262</v>
      </c>
      <c r="B5192" s="5">
        <v>1</v>
      </c>
    </row>
    <row r="5193" spans="1:2" x14ac:dyDescent="0.35">
      <c r="A5193" s="14">
        <v>42323.68917824074</v>
      </c>
      <c r="B5193" s="5">
        <v>1</v>
      </c>
    </row>
    <row r="5194" spans="1:2" x14ac:dyDescent="0.35">
      <c r="A5194" s="14">
        <v>42323.707037037035</v>
      </c>
      <c r="B5194" s="5">
        <v>1</v>
      </c>
    </row>
    <row r="5195" spans="1:2" x14ac:dyDescent="0.35">
      <c r="A5195" s="14">
        <v>42323.726273148146</v>
      </c>
      <c r="B5195" s="5">
        <v>1</v>
      </c>
    </row>
    <row r="5196" spans="1:2" x14ac:dyDescent="0.35">
      <c r="A5196" s="14">
        <v>42323.726458333331</v>
      </c>
      <c r="B5196" s="5">
        <v>1</v>
      </c>
    </row>
    <row r="5197" spans="1:2" x14ac:dyDescent="0.35">
      <c r="A5197" s="14">
        <v>42323.736145833333</v>
      </c>
      <c r="B5197" s="5">
        <v>1</v>
      </c>
    </row>
    <row r="5198" spans="1:2" x14ac:dyDescent="0.35">
      <c r="A5198" s="14">
        <v>42323.829583333332</v>
      </c>
      <c r="B5198" s="5">
        <v>1</v>
      </c>
    </row>
    <row r="5199" spans="1:2" x14ac:dyDescent="0.35">
      <c r="A5199" s="14">
        <v>42323.834432870368</v>
      </c>
      <c r="B5199" s="5">
        <v>1</v>
      </c>
    </row>
    <row r="5200" spans="1:2" x14ac:dyDescent="0.35">
      <c r="A5200" s="14">
        <v>42323.836296296293</v>
      </c>
      <c r="B5200" s="5">
        <v>1</v>
      </c>
    </row>
    <row r="5201" spans="1:2" x14ac:dyDescent="0.35">
      <c r="A5201" s="14">
        <v>42323.836689814816</v>
      </c>
      <c r="B5201" s="5">
        <v>1</v>
      </c>
    </row>
    <row r="5202" spans="1:2" x14ac:dyDescent="0.35">
      <c r="A5202" s="14">
        <v>42323.840601851851</v>
      </c>
      <c r="B5202" s="5">
        <v>1</v>
      </c>
    </row>
    <row r="5203" spans="1:2" x14ac:dyDescent="0.35">
      <c r="A5203" s="14">
        <v>42323.844421296293</v>
      </c>
      <c r="B5203" s="5">
        <v>1</v>
      </c>
    </row>
    <row r="5204" spans="1:2" x14ac:dyDescent="0.35">
      <c r="A5204" s="14">
        <v>42323.848136574074</v>
      </c>
      <c r="B5204" s="5">
        <v>1</v>
      </c>
    </row>
    <row r="5205" spans="1:2" x14ac:dyDescent="0.35">
      <c r="A5205" s="14">
        <v>42323.848576388889</v>
      </c>
      <c r="B5205" s="5">
        <v>1</v>
      </c>
    </row>
    <row r="5206" spans="1:2" x14ac:dyDescent="0.35">
      <c r="A5206" s="14">
        <v>42323.852731481478</v>
      </c>
      <c r="B5206" s="5">
        <v>1</v>
      </c>
    </row>
    <row r="5207" spans="1:2" x14ac:dyDescent="0.35">
      <c r="A5207" s="14">
        <v>42323.86041666667</v>
      </c>
      <c r="B5207" s="5">
        <v>1</v>
      </c>
    </row>
    <row r="5208" spans="1:2" x14ac:dyDescent="0.35">
      <c r="A5208" s="14">
        <v>42323.866805555554</v>
      </c>
      <c r="B5208" s="5">
        <v>1</v>
      </c>
    </row>
    <row r="5209" spans="1:2" x14ac:dyDescent="0.35">
      <c r="A5209" s="14">
        <v>42323.869328703702</v>
      </c>
      <c r="B5209" s="5">
        <v>1</v>
      </c>
    </row>
    <row r="5210" spans="1:2" x14ac:dyDescent="0.35">
      <c r="A5210" s="14">
        <v>42323.872546296298</v>
      </c>
      <c r="B5210" s="5">
        <v>1</v>
      </c>
    </row>
    <row r="5211" spans="1:2" x14ac:dyDescent="0.35">
      <c r="A5211" s="14">
        <v>42323.874548611115</v>
      </c>
      <c r="B5211" s="5">
        <v>1</v>
      </c>
    </row>
    <row r="5212" spans="1:2" x14ac:dyDescent="0.35">
      <c r="A5212" s="14">
        <v>42323.877442129633</v>
      </c>
      <c r="B5212" s="5">
        <v>1</v>
      </c>
    </row>
    <row r="5213" spans="1:2" x14ac:dyDescent="0.35">
      <c r="A5213" s="14">
        <v>42323.887789351851</v>
      </c>
      <c r="B5213" s="5">
        <v>1</v>
      </c>
    </row>
    <row r="5214" spans="1:2" x14ac:dyDescent="0.35">
      <c r="A5214" s="14">
        <v>42323.888287037036</v>
      </c>
      <c r="B5214" s="5">
        <v>1</v>
      </c>
    </row>
    <row r="5215" spans="1:2" x14ac:dyDescent="0.35">
      <c r="A5215" s="14">
        <v>42323.903460648151</v>
      </c>
      <c r="B5215" s="5">
        <v>1</v>
      </c>
    </row>
    <row r="5216" spans="1:2" x14ac:dyDescent="0.35">
      <c r="A5216" s="14">
        <v>42323.906134259261</v>
      </c>
      <c r="B5216" s="5">
        <v>1</v>
      </c>
    </row>
    <row r="5217" spans="1:2" x14ac:dyDescent="0.35">
      <c r="A5217" s="14">
        <v>42323.912453703706</v>
      </c>
      <c r="B5217" s="5">
        <v>1</v>
      </c>
    </row>
    <row r="5218" spans="1:2" x14ac:dyDescent="0.35">
      <c r="A5218" s="14">
        <v>42323.918935185182</v>
      </c>
      <c r="B5218" s="5">
        <v>1</v>
      </c>
    </row>
    <row r="5219" spans="1:2" x14ac:dyDescent="0.35">
      <c r="A5219" s="14">
        <v>42323.926064814812</v>
      </c>
      <c r="B5219" s="5">
        <v>1</v>
      </c>
    </row>
    <row r="5220" spans="1:2" x14ac:dyDescent="0.35">
      <c r="A5220" s="14">
        <v>42323.926249999997</v>
      </c>
      <c r="B5220" s="5">
        <v>1</v>
      </c>
    </row>
    <row r="5221" spans="1:2" x14ac:dyDescent="0.35">
      <c r="A5221" s="14">
        <v>42323.928935185184</v>
      </c>
      <c r="B5221" s="5">
        <v>2</v>
      </c>
    </row>
    <row r="5222" spans="1:2" x14ac:dyDescent="0.35">
      <c r="A5222" s="14">
        <v>42323.93341435185</v>
      </c>
      <c r="B5222" s="5">
        <v>1</v>
      </c>
    </row>
    <row r="5223" spans="1:2" x14ac:dyDescent="0.35">
      <c r="A5223" s="14">
        <v>42323.933692129627</v>
      </c>
      <c r="B5223" s="5">
        <v>1</v>
      </c>
    </row>
    <row r="5224" spans="1:2" x14ac:dyDescent="0.35">
      <c r="A5224" s="14">
        <v>42323.948437500003</v>
      </c>
      <c r="B5224" s="5">
        <v>1</v>
      </c>
    </row>
    <row r="5225" spans="1:2" x14ac:dyDescent="0.35">
      <c r="A5225" s="14">
        <v>42323.95553240741</v>
      </c>
      <c r="B5225" s="5">
        <v>1</v>
      </c>
    </row>
    <row r="5226" spans="1:2" x14ac:dyDescent="0.35">
      <c r="A5226" s="14">
        <v>42323.960335648146</v>
      </c>
      <c r="B5226" s="5">
        <v>1</v>
      </c>
    </row>
    <row r="5227" spans="1:2" x14ac:dyDescent="0.35">
      <c r="A5227" s="14">
        <v>42323.969305555554</v>
      </c>
      <c r="B5227" s="5">
        <v>1</v>
      </c>
    </row>
    <row r="5228" spans="1:2" x14ac:dyDescent="0.35">
      <c r="A5228" s="14">
        <v>42323.977025462962</v>
      </c>
      <c r="B5228" s="5">
        <v>1</v>
      </c>
    </row>
    <row r="5229" spans="1:2" x14ac:dyDescent="0.35">
      <c r="A5229" s="14">
        <v>42323.977430555555</v>
      </c>
      <c r="B5229" s="5">
        <v>1</v>
      </c>
    </row>
    <row r="5230" spans="1:2" x14ac:dyDescent="0.35">
      <c r="A5230" s="14">
        <v>42323.97755787037</v>
      </c>
      <c r="B5230" s="5">
        <v>1</v>
      </c>
    </row>
    <row r="5231" spans="1:2" x14ac:dyDescent="0.35">
      <c r="A5231" s="14">
        <v>42323.977696759262</v>
      </c>
      <c r="B5231" s="5">
        <v>1</v>
      </c>
    </row>
    <row r="5232" spans="1:2" x14ac:dyDescent="0.35">
      <c r="A5232" s="14">
        <v>42323.977800925924</v>
      </c>
      <c r="B5232" s="5">
        <v>1</v>
      </c>
    </row>
    <row r="5233" spans="1:2" x14ac:dyDescent="0.35">
      <c r="A5233" s="14">
        <v>42323.977986111109</v>
      </c>
      <c r="B5233" s="5">
        <v>1</v>
      </c>
    </row>
    <row r="5234" spans="1:2" x14ac:dyDescent="0.35">
      <c r="A5234" s="14">
        <v>42323.985879629632</v>
      </c>
      <c r="B5234" s="5">
        <v>1</v>
      </c>
    </row>
    <row r="5235" spans="1:2" x14ac:dyDescent="0.35">
      <c r="A5235" s="14">
        <v>42324.007199074076</v>
      </c>
      <c r="B5235" s="5">
        <v>1</v>
      </c>
    </row>
    <row r="5236" spans="1:2" x14ac:dyDescent="0.35">
      <c r="A5236" s="14">
        <v>42324.008055555554</v>
      </c>
      <c r="B5236" s="5">
        <v>1</v>
      </c>
    </row>
    <row r="5237" spans="1:2" x14ac:dyDescent="0.35">
      <c r="A5237" s="14">
        <v>42324.010092592594</v>
      </c>
      <c r="B5237" s="5">
        <v>1</v>
      </c>
    </row>
    <row r="5238" spans="1:2" x14ac:dyDescent="0.35">
      <c r="A5238" s="14">
        <v>42324.044120370374</v>
      </c>
      <c r="B5238" s="5">
        <v>1</v>
      </c>
    </row>
    <row r="5239" spans="1:2" x14ac:dyDescent="0.35">
      <c r="A5239" s="14">
        <v>42324.049780092595</v>
      </c>
      <c r="B5239" s="5">
        <v>1</v>
      </c>
    </row>
    <row r="5240" spans="1:2" x14ac:dyDescent="0.35">
      <c r="A5240" s="14">
        <v>42324.05060185185</v>
      </c>
      <c r="B5240" s="5">
        <v>1</v>
      </c>
    </row>
    <row r="5241" spans="1:2" x14ac:dyDescent="0.35">
      <c r="A5241" s="14">
        <v>42324.05431712963</v>
      </c>
      <c r="B5241" s="5">
        <v>1</v>
      </c>
    </row>
    <row r="5242" spans="1:2" x14ac:dyDescent="0.35">
      <c r="A5242" s="14">
        <v>42324.062615740739</v>
      </c>
      <c r="B5242" s="5">
        <v>1</v>
      </c>
    </row>
    <row r="5243" spans="1:2" x14ac:dyDescent="0.35">
      <c r="A5243" s="14">
        <v>42324.064826388887</v>
      </c>
      <c r="B5243" s="5">
        <v>1</v>
      </c>
    </row>
    <row r="5244" spans="1:2" x14ac:dyDescent="0.35">
      <c r="A5244" s="14">
        <v>42324.067766203705</v>
      </c>
      <c r="B5244" s="5">
        <v>1</v>
      </c>
    </row>
    <row r="5245" spans="1:2" x14ac:dyDescent="0.35">
      <c r="A5245" s="14">
        <v>42324.070381944446</v>
      </c>
      <c r="B5245" s="5">
        <v>1</v>
      </c>
    </row>
    <row r="5246" spans="1:2" x14ac:dyDescent="0.35">
      <c r="A5246" s="14">
        <v>42324.071076388886</v>
      </c>
      <c r="B5246" s="5">
        <v>1</v>
      </c>
    </row>
    <row r="5247" spans="1:2" x14ac:dyDescent="0.35">
      <c r="A5247" s="14">
        <v>42324.083865740744</v>
      </c>
      <c r="B5247" s="5">
        <v>1</v>
      </c>
    </row>
    <row r="5248" spans="1:2" x14ac:dyDescent="0.35">
      <c r="A5248" s="14">
        <v>42324.085497685184</v>
      </c>
      <c r="B5248" s="5">
        <v>1</v>
      </c>
    </row>
    <row r="5249" spans="1:2" x14ac:dyDescent="0.35">
      <c r="A5249" s="14">
        <v>42324.092499999999</v>
      </c>
      <c r="B5249" s="5">
        <v>1</v>
      </c>
    </row>
    <row r="5250" spans="1:2" x14ac:dyDescent="0.35">
      <c r="A5250" s="14">
        <v>42324.092812499999</v>
      </c>
      <c r="B5250" s="5">
        <v>1</v>
      </c>
    </row>
    <row r="5251" spans="1:2" x14ac:dyDescent="0.35">
      <c r="A5251" s="14">
        <v>42324.109212962961</v>
      </c>
      <c r="B5251" s="5">
        <v>1</v>
      </c>
    </row>
    <row r="5252" spans="1:2" x14ac:dyDescent="0.35">
      <c r="A5252" s="14">
        <v>42324.113958333335</v>
      </c>
      <c r="B5252" s="5">
        <v>1</v>
      </c>
    </row>
    <row r="5253" spans="1:2" x14ac:dyDescent="0.35">
      <c r="A5253" s="14">
        <v>42324.114027777781</v>
      </c>
      <c r="B5253" s="5">
        <v>1</v>
      </c>
    </row>
    <row r="5254" spans="1:2" x14ac:dyDescent="0.35">
      <c r="A5254" s="14">
        <v>42324.15016203704</v>
      </c>
      <c r="B5254" s="5">
        <v>1</v>
      </c>
    </row>
    <row r="5255" spans="1:2" x14ac:dyDescent="0.35">
      <c r="A5255" s="14">
        <v>42324.162418981483</v>
      </c>
      <c r="B5255" s="5">
        <v>1</v>
      </c>
    </row>
    <row r="5256" spans="1:2" x14ac:dyDescent="0.35">
      <c r="A5256" s="14">
        <v>42324.224722222221</v>
      </c>
      <c r="B5256" s="5">
        <v>1</v>
      </c>
    </row>
    <row r="5257" spans="1:2" x14ac:dyDescent="0.35">
      <c r="A5257" s="14">
        <v>42324.238159722219</v>
      </c>
      <c r="B5257" s="5">
        <v>1</v>
      </c>
    </row>
    <row r="5258" spans="1:2" x14ac:dyDescent="0.35">
      <c r="A5258" s="14">
        <v>42324.24013888889</v>
      </c>
      <c r="B5258" s="5">
        <v>1</v>
      </c>
    </row>
    <row r="5259" spans="1:2" x14ac:dyDescent="0.35">
      <c r="A5259" s="14">
        <v>42324.241712962961</v>
      </c>
      <c r="B5259" s="5">
        <v>1</v>
      </c>
    </row>
    <row r="5260" spans="1:2" x14ac:dyDescent="0.35">
      <c r="A5260" s="14">
        <v>42324.556851851848</v>
      </c>
      <c r="B5260" s="5">
        <v>1</v>
      </c>
    </row>
    <row r="5261" spans="1:2" x14ac:dyDescent="0.35">
      <c r="A5261" s="14">
        <v>42324.557083333333</v>
      </c>
      <c r="B5261" s="5">
        <v>1</v>
      </c>
    </row>
    <row r="5262" spans="1:2" x14ac:dyDescent="0.35">
      <c r="A5262" s="14">
        <v>42324.55709490741</v>
      </c>
      <c r="B5262" s="5">
        <v>1</v>
      </c>
    </row>
    <row r="5263" spans="1:2" x14ac:dyDescent="0.35">
      <c r="A5263" s="14">
        <v>42324.557939814818</v>
      </c>
      <c r="B5263" s="5">
        <v>1</v>
      </c>
    </row>
    <row r="5264" spans="1:2" x14ac:dyDescent="0.35">
      <c r="A5264" s="14">
        <v>42324.559224537035</v>
      </c>
      <c r="B5264" s="5">
        <v>1</v>
      </c>
    </row>
    <row r="5265" spans="1:2" x14ac:dyDescent="0.35">
      <c r="A5265" s="14">
        <v>42324.563946759263</v>
      </c>
      <c r="B5265" s="5">
        <v>1</v>
      </c>
    </row>
    <row r="5266" spans="1:2" x14ac:dyDescent="0.35">
      <c r="A5266" s="14">
        <v>42324.565127314818</v>
      </c>
      <c r="B5266" s="5">
        <v>1</v>
      </c>
    </row>
    <row r="5267" spans="1:2" x14ac:dyDescent="0.35">
      <c r="A5267" s="14">
        <v>42324.565555555557</v>
      </c>
      <c r="B5267" s="5">
        <v>1</v>
      </c>
    </row>
    <row r="5268" spans="1:2" x14ac:dyDescent="0.35">
      <c r="A5268" s="14">
        <v>42324.565636574072</v>
      </c>
      <c r="B5268" s="5">
        <v>1</v>
      </c>
    </row>
    <row r="5269" spans="1:2" x14ac:dyDescent="0.35">
      <c r="A5269" s="14">
        <v>42324.575949074075</v>
      </c>
      <c r="B5269" s="5">
        <v>1</v>
      </c>
    </row>
    <row r="5270" spans="1:2" x14ac:dyDescent="0.35">
      <c r="A5270" s="14">
        <v>42324.57607638889</v>
      </c>
      <c r="B5270" s="5">
        <v>1</v>
      </c>
    </row>
    <row r="5271" spans="1:2" x14ac:dyDescent="0.35">
      <c r="A5271" s="14">
        <v>42324.577152777776</v>
      </c>
      <c r="B5271" s="5">
        <v>1</v>
      </c>
    </row>
    <row r="5272" spans="1:2" x14ac:dyDescent="0.35">
      <c r="A5272" s="14">
        <v>42324.577627314815</v>
      </c>
      <c r="B5272" s="5">
        <v>1</v>
      </c>
    </row>
    <row r="5273" spans="1:2" x14ac:dyDescent="0.35">
      <c r="A5273" s="14">
        <v>42324.615266203706</v>
      </c>
      <c r="B5273" s="5">
        <v>1</v>
      </c>
    </row>
    <row r="5274" spans="1:2" x14ac:dyDescent="0.35">
      <c r="A5274" s="14">
        <v>42324.618530092594</v>
      </c>
      <c r="B5274" s="5">
        <v>1</v>
      </c>
    </row>
    <row r="5275" spans="1:2" x14ac:dyDescent="0.35">
      <c r="A5275" s="14">
        <v>42324.618645833332</v>
      </c>
      <c r="B5275" s="5">
        <v>1</v>
      </c>
    </row>
    <row r="5276" spans="1:2" x14ac:dyDescent="0.35">
      <c r="A5276" s="14">
        <v>42324.622164351851</v>
      </c>
      <c r="B5276" s="5">
        <v>1</v>
      </c>
    </row>
    <row r="5277" spans="1:2" x14ac:dyDescent="0.35">
      <c r="A5277" s="14">
        <v>42324.625127314815</v>
      </c>
      <c r="B5277" s="5">
        <v>1</v>
      </c>
    </row>
    <row r="5278" spans="1:2" x14ac:dyDescent="0.35">
      <c r="A5278" s="14">
        <v>42324.628622685188</v>
      </c>
      <c r="B5278" s="5">
        <v>1</v>
      </c>
    </row>
    <row r="5279" spans="1:2" x14ac:dyDescent="0.35">
      <c r="A5279" s="14">
        <v>42324.629976851851</v>
      </c>
      <c r="B5279" s="5">
        <v>1</v>
      </c>
    </row>
    <row r="5280" spans="1:2" x14ac:dyDescent="0.35">
      <c r="A5280" s="14">
        <v>42324.630069444444</v>
      </c>
      <c r="B5280" s="5">
        <v>1</v>
      </c>
    </row>
    <row r="5281" spans="1:2" x14ac:dyDescent="0.35">
      <c r="A5281" s="14">
        <v>42324.633101851854</v>
      </c>
      <c r="B5281" s="5">
        <v>1</v>
      </c>
    </row>
    <row r="5282" spans="1:2" x14ac:dyDescent="0.35">
      <c r="A5282" s="14">
        <v>42324.634340277778</v>
      </c>
      <c r="B5282" s="5">
        <v>1</v>
      </c>
    </row>
    <row r="5283" spans="1:2" x14ac:dyDescent="0.35">
      <c r="A5283" s="14">
        <v>42324.637199074074</v>
      </c>
      <c r="B5283" s="5">
        <v>1</v>
      </c>
    </row>
    <row r="5284" spans="1:2" x14ac:dyDescent="0.35">
      <c r="A5284" s="14">
        <v>42324.645868055559</v>
      </c>
      <c r="B5284" s="5">
        <v>1</v>
      </c>
    </row>
    <row r="5285" spans="1:2" x14ac:dyDescent="0.35">
      <c r="A5285" s="14">
        <v>42324.658668981479</v>
      </c>
      <c r="B5285" s="5">
        <v>1</v>
      </c>
    </row>
    <row r="5286" spans="1:2" x14ac:dyDescent="0.35">
      <c r="A5286" s="14">
        <v>42324.660740740743</v>
      </c>
      <c r="B5286" s="5">
        <v>1</v>
      </c>
    </row>
    <row r="5287" spans="1:2" x14ac:dyDescent="0.35">
      <c r="A5287" s="14">
        <v>42324.669421296298</v>
      </c>
      <c r="B5287" s="5">
        <v>1</v>
      </c>
    </row>
    <row r="5288" spans="1:2" x14ac:dyDescent="0.35">
      <c r="A5288" s="14">
        <v>42324.676516203705</v>
      </c>
      <c r="B5288" s="5">
        <v>1</v>
      </c>
    </row>
    <row r="5289" spans="1:2" x14ac:dyDescent="0.35">
      <c r="A5289" s="14">
        <v>42324.679502314815</v>
      </c>
      <c r="B5289" s="5">
        <v>1</v>
      </c>
    </row>
    <row r="5290" spans="1:2" x14ac:dyDescent="0.35">
      <c r="A5290" s="14">
        <v>42324.679606481484</v>
      </c>
      <c r="B5290" s="5">
        <v>1</v>
      </c>
    </row>
    <row r="5291" spans="1:2" x14ac:dyDescent="0.35">
      <c r="A5291" s="14">
        <v>42324.681712962964</v>
      </c>
      <c r="B5291" s="5">
        <v>1</v>
      </c>
    </row>
    <row r="5292" spans="1:2" x14ac:dyDescent="0.35">
      <c r="A5292" s="14">
        <v>42324.682858796295</v>
      </c>
      <c r="B5292" s="5">
        <v>1</v>
      </c>
    </row>
    <row r="5293" spans="1:2" x14ac:dyDescent="0.35">
      <c r="A5293" s="14">
        <v>42324.684201388889</v>
      </c>
      <c r="B5293" s="5">
        <v>1</v>
      </c>
    </row>
    <row r="5294" spans="1:2" x14ac:dyDescent="0.35">
      <c r="A5294" s="14">
        <v>42324.689386574071</v>
      </c>
      <c r="B5294" s="5">
        <v>1</v>
      </c>
    </row>
    <row r="5295" spans="1:2" x14ac:dyDescent="0.35">
      <c r="A5295" s="14">
        <v>42324.697418981479</v>
      </c>
      <c r="B5295" s="5">
        <v>1</v>
      </c>
    </row>
    <row r="5296" spans="1:2" x14ac:dyDescent="0.35">
      <c r="A5296" s="14">
        <v>42324.700497685182</v>
      </c>
      <c r="B5296" s="5">
        <v>1</v>
      </c>
    </row>
    <row r="5297" spans="1:2" x14ac:dyDescent="0.35">
      <c r="A5297" s="14">
        <v>42324.709386574075</v>
      </c>
      <c r="B5297" s="5">
        <v>1</v>
      </c>
    </row>
    <row r="5298" spans="1:2" x14ac:dyDescent="0.35">
      <c r="A5298" s="14">
        <v>42324.71435185185</v>
      </c>
      <c r="B5298" s="5">
        <v>1</v>
      </c>
    </row>
    <row r="5299" spans="1:2" x14ac:dyDescent="0.35">
      <c r="A5299" s="14">
        <v>42324.730347222219</v>
      </c>
      <c r="B5299" s="5">
        <v>1</v>
      </c>
    </row>
    <row r="5300" spans="1:2" x14ac:dyDescent="0.35">
      <c r="A5300" s="14">
        <v>42324.740740740737</v>
      </c>
      <c r="B5300" s="5">
        <v>1</v>
      </c>
    </row>
    <row r="5301" spans="1:2" x14ac:dyDescent="0.35">
      <c r="A5301" s="14">
        <v>42324.742905092593</v>
      </c>
      <c r="B5301" s="5">
        <v>1</v>
      </c>
    </row>
    <row r="5302" spans="1:2" x14ac:dyDescent="0.35">
      <c r="A5302" s="14">
        <v>42324.754004629627</v>
      </c>
      <c r="B5302" s="5">
        <v>1</v>
      </c>
    </row>
    <row r="5303" spans="1:2" x14ac:dyDescent="0.35">
      <c r="A5303" s="14">
        <v>42324.754027777781</v>
      </c>
      <c r="B5303" s="5">
        <v>1</v>
      </c>
    </row>
    <row r="5304" spans="1:2" x14ac:dyDescent="0.35">
      <c r="A5304" s="14">
        <v>42324.75980324074</v>
      </c>
      <c r="B5304" s="5">
        <v>1</v>
      </c>
    </row>
    <row r="5305" spans="1:2" x14ac:dyDescent="0.35">
      <c r="A5305" s="14">
        <v>42324.763819444444</v>
      </c>
      <c r="B5305" s="5">
        <v>1</v>
      </c>
    </row>
    <row r="5306" spans="1:2" x14ac:dyDescent="0.35">
      <c r="A5306" s="14">
        <v>42324.767488425925</v>
      </c>
      <c r="B5306" s="5">
        <v>1</v>
      </c>
    </row>
    <row r="5307" spans="1:2" x14ac:dyDescent="0.35">
      <c r="A5307" s="14">
        <v>42324.769467592596</v>
      </c>
      <c r="B5307" s="5">
        <v>1</v>
      </c>
    </row>
    <row r="5308" spans="1:2" x14ac:dyDescent="0.35">
      <c r="A5308" s="14">
        <v>42324.781956018516</v>
      </c>
      <c r="B5308" s="5">
        <v>1</v>
      </c>
    </row>
    <row r="5309" spans="1:2" x14ac:dyDescent="0.35">
      <c r="A5309" s="14">
        <v>42324.78230324074</v>
      </c>
      <c r="B5309" s="5">
        <v>1</v>
      </c>
    </row>
    <row r="5310" spans="1:2" x14ac:dyDescent="0.35">
      <c r="A5310" s="14">
        <v>42324.783668981479</v>
      </c>
      <c r="B5310" s="5">
        <v>1</v>
      </c>
    </row>
    <row r="5311" spans="1:2" x14ac:dyDescent="0.35">
      <c r="A5311" s="14">
        <v>42324.78398148148</v>
      </c>
      <c r="B5311" s="5">
        <v>1</v>
      </c>
    </row>
    <row r="5312" spans="1:2" x14ac:dyDescent="0.35">
      <c r="A5312" s="14">
        <v>42324.795243055552</v>
      </c>
      <c r="B5312" s="5">
        <v>1</v>
      </c>
    </row>
    <row r="5313" spans="1:2" x14ac:dyDescent="0.35">
      <c r="A5313" s="14">
        <v>42324.795856481483</v>
      </c>
      <c r="B5313" s="5">
        <v>1</v>
      </c>
    </row>
    <row r="5314" spans="1:2" x14ac:dyDescent="0.35">
      <c r="A5314" s="14">
        <v>42324.796053240738</v>
      </c>
      <c r="B5314" s="5">
        <v>1</v>
      </c>
    </row>
    <row r="5315" spans="1:2" x14ac:dyDescent="0.35">
      <c r="A5315" s="14">
        <v>42324.808692129627</v>
      </c>
      <c r="B5315" s="5">
        <v>1</v>
      </c>
    </row>
    <row r="5316" spans="1:2" x14ac:dyDescent="0.35">
      <c r="A5316" s="14">
        <v>42324.81040509259</v>
      </c>
      <c r="B5316" s="5">
        <v>1</v>
      </c>
    </row>
    <row r="5317" spans="1:2" x14ac:dyDescent="0.35">
      <c r="A5317" s="14">
        <v>42324.814641203702</v>
      </c>
      <c r="B5317" s="5">
        <v>1</v>
      </c>
    </row>
    <row r="5318" spans="1:2" x14ac:dyDescent="0.35">
      <c r="A5318" s="14">
        <v>42324.826990740738</v>
      </c>
      <c r="B5318" s="5">
        <v>1</v>
      </c>
    </row>
    <row r="5319" spans="1:2" x14ac:dyDescent="0.35">
      <c r="A5319" s="14">
        <v>42324.828900462962</v>
      </c>
      <c r="B5319" s="5">
        <v>1</v>
      </c>
    </row>
    <row r="5320" spans="1:2" x14ac:dyDescent="0.35">
      <c r="A5320" s="14">
        <v>42324.837199074071</v>
      </c>
      <c r="B5320" s="5">
        <v>1</v>
      </c>
    </row>
    <row r="5321" spans="1:2" x14ac:dyDescent="0.35">
      <c r="A5321" s="14">
        <v>42324.848055555558</v>
      </c>
      <c r="B5321" s="5">
        <v>1</v>
      </c>
    </row>
    <row r="5322" spans="1:2" x14ac:dyDescent="0.35">
      <c r="A5322" s="14">
        <v>42324.851712962962</v>
      </c>
      <c r="B5322" s="5">
        <v>1</v>
      </c>
    </row>
    <row r="5323" spans="1:2" x14ac:dyDescent="0.35">
      <c r="A5323" s="14">
        <v>42324.857604166667</v>
      </c>
      <c r="B5323" s="5">
        <v>1</v>
      </c>
    </row>
    <row r="5324" spans="1:2" x14ac:dyDescent="0.35">
      <c r="A5324" s="14">
        <v>42324.859398148146</v>
      </c>
      <c r="B5324" s="5">
        <v>1</v>
      </c>
    </row>
    <row r="5325" spans="1:2" x14ac:dyDescent="0.35">
      <c r="A5325" s="14">
        <v>42324.867511574077</v>
      </c>
      <c r="B5325" s="5">
        <v>1</v>
      </c>
    </row>
    <row r="5326" spans="1:2" x14ac:dyDescent="0.35">
      <c r="A5326" s="14">
        <v>42324.868784722225</v>
      </c>
      <c r="B5326" s="5">
        <v>1</v>
      </c>
    </row>
    <row r="5327" spans="1:2" x14ac:dyDescent="0.35">
      <c r="A5327" s="14">
        <v>42324.870729166665</v>
      </c>
      <c r="B5327" s="5">
        <v>1</v>
      </c>
    </row>
    <row r="5328" spans="1:2" x14ac:dyDescent="0.35">
      <c r="A5328" s="14">
        <v>42324.870879629627</v>
      </c>
      <c r="B5328" s="5">
        <v>1</v>
      </c>
    </row>
    <row r="5329" spans="1:2" x14ac:dyDescent="0.35">
      <c r="A5329" s="14">
        <v>42324.875243055554</v>
      </c>
      <c r="B5329" s="5">
        <v>1</v>
      </c>
    </row>
    <row r="5330" spans="1:2" x14ac:dyDescent="0.35">
      <c r="A5330" s="14">
        <v>42324.892384259256</v>
      </c>
      <c r="B5330" s="5">
        <v>1</v>
      </c>
    </row>
    <row r="5331" spans="1:2" x14ac:dyDescent="0.35">
      <c r="A5331" s="14">
        <v>42324.902303240742</v>
      </c>
      <c r="B5331" s="5">
        <v>1</v>
      </c>
    </row>
    <row r="5332" spans="1:2" x14ac:dyDescent="0.35">
      <c r="A5332" s="14">
        <v>42324.902638888889</v>
      </c>
      <c r="B5332" s="5">
        <v>1</v>
      </c>
    </row>
    <row r="5333" spans="1:2" x14ac:dyDescent="0.35">
      <c r="A5333" s="14">
        <v>42324.904861111114</v>
      </c>
      <c r="B5333" s="5">
        <v>1</v>
      </c>
    </row>
    <row r="5334" spans="1:2" x14ac:dyDescent="0.35">
      <c r="A5334" s="14">
        <v>42324.908634259256</v>
      </c>
      <c r="B5334" s="5">
        <v>1</v>
      </c>
    </row>
    <row r="5335" spans="1:2" x14ac:dyDescent="0.35">
      <c r="A5335" s="14">
        <v>42324.90865740741</v>
      </c>
      <c r="B5335" s="5">
        <v>1</v>
      </c>
    </row>
    <row r="5336" spans="1:2" x14ac:dyDescent="0.35">
      <c r="A5336" s="14">
        <v>42324.915289351855</v>
      </c>
      <c r="B5336" s="5">
        <v>1</v>
      </c>
    </row>
    <row r="5337" spans="1:2" x14ac:dyDescent="0.35">
      <c r="A5337" s="14">
        <v>42324.916261574072</v>
      </c>
      <c r="B5337" s="5">
        <v>1</v>
      </c>
    </row>
    <row r="5338" spans="1:2" x14ac:dyDescent="0.35">
      <c r="A5338" s="14">
        <v>42324.922824074078</v>
      </c>
      <c r="B5338" s="5">
        <v>1</v>
      </c>
    </row>
    <row r="5339" spans="1:2" x14ac:dyDescent="0.35">
      <c r="A5339" s="14">
        <v>42324.929780092592</v>
      </c>
      <c r="B5339" s="5">
        <v>1</v>
      </c>
    </row>
    <row r="5340" spans="1:2" x14ac:dyDescent="0.35">
      <c r="A5340" s="14">
        <v>42324.951562499999</v>
      </c>
      <c r="B5340" s="5">
        <v>1</v>
      </c>
    </row>
    <row r="5341" spans="1:2" x14ac:dyDescent="0.35">
      <c r="A5341" s="14">
        <v>42324.954317129632</v>
      </c>
      <c r="B5341" s="5">
        <v>1</v>
      </c>
    </row>
    <row r="5342" spans="1:2" x14ac:dyDescent="0.35">
      <c r="A5342" s="14">
        <v>42324.960127314815</v>
      </c>
      <c r="B5342" s="5">
        <v>1</v>
      </c>
    </row>
    <row r="5343" spans="1:2" x14ac:dyDescent="0.35">
      <c r="A5343" s="14">
        <v>42324.973587962966</v>
      </c>
      <c r="B5343" s="5">
        <v>1</v>
      </c>
    </row>
    <row r="5344" spans="1:2" x14ac:dyDescent="0.35">
      <c r="A5344" s="14">
        <v>42324.974988425929</v>
      </c>
      <c r="B5344" s="5">
        <v>1</v>
      </c>
    </row>
    <row r="5345" spans="1:2" x14ac:dyDescent="0.35">
      <c r="A5345" s="14">
        <v>42324.988530092596</v>
      </c>
      <c r="B5345" s="5">
        <v>1</v>
      </c>
    </row>
    <row r="5346" spans="1:2" x14ac:dyDescent="0.35">
      <c r="A5346" s="14">
        <v>42324.995162037034</v>
      </c>
      <c r="B5346" s="5">
        <v>1</v>
      </c>
    </row>
    <row r="5347" spans="1:2" x14ac:dyDescent="0.35">
      <c r="A5347" s="14">
        <v>42324.995763888888</v>
      </c>
      <c r="B5347" s="5">
        <v>1</v>
      </c>
    </row>
    <row r="5348" spans="1:2" x14ac:dyDescent="0.35">
      <c r="A5348" s="14">
        <v>42325.004305555558</v>
      </c>
      <c r="B5348" s="5">
        <v>1</v>
      </c>
    </row>
    <row r="5349" spans="1:2" x14ac:dyDescent="0.35">
      <c r="A5349" s="14">
        <v>42325.009895833333</v>
      </c>
      <c r="B5349" s="5">
        <v>1</v>
      </c>
    </row>
    <row r="5350" spans="1:2" x14ac:dyDescent="0.35">
      <c r="A5350" s="14">
        <v>42325.014537037037</v>
      </c>
      <c r="B5350" s="5">
        <v>1</v>
      </c>
    </row>
    <row r="5351" spans="1:2" x14ac:dyDescent="0.35">
      <c r="A5351" s="14">
        <v>42325.015497685185</v>
      </c>
      <c r="B5351" s="5">
        <v>1</v>
      </c>
    </row>
    <row r="5352" spans="1:2" x14ac:dyDescent="0.35">
      <c r="A5352" s="14">
        <v>42325.029629629629</v>
      </c>
      <c r="B5352" s="5">
        <v>1</v>
      </c>
    </row>
    <row r="5353" spans="1:2" x14ac:dyDescent="0.35">
      <c r="A5353" s="14">
        <v>42325.032222222224</v>
      </c>
      <c r="B5353" s="5">
        <v>2</v>
      </c>
    </row>
    <row r="5354" spans="1:2" x14ac:dyDescent="0.35">
      <c r="A5354" s="14">
        <v>42325.032604166663</v>
      </c>
      <c r="B5354" s="5">
        <v>1</v>
      </c>
    </row>
    <row r="5355" spans="1:2" x14ac:dyDescent="0.35">
      <c r="A5355" s="14">
        <v>42325.047719907408</v>
      </c>
      <c r="B5355" s="5">
        <v>1</v>
      </c>
    </row>
    <row r="5356" spans="1:2" x14ac:dyDescent="0.35">
      <c r="A5356" s="14">
        <v>42325.060358796298</v>
      </c>
      <c r="B5356" s="5">
        <v>1</v>
      </c>
    </row>
    <row r="5357" spans="1:2" x14ac:dyDescent="0.35">
      <c r="A5357" s="14">
        <v>42325.079826388886</v>
      </c>
      <c r="B5357" s="5">
        <v>1</v>
      </c>
    </row>
    <row r="5358" spans="1:2" x14ac:dyDescent="0.35">
      <c r="A5358" s="14">
        <v>42325.080138888887</v>
      </c>
      <c r="B5358" s="5">
        <v>1</v>
      </c>
    </row>
    <row r="5359" spans="1:2" x14ac:dyDescent="0.35">
      <c r="A5359" s="14">
        <v>42325.080393518518</v>
      </c>
      <c r="B5359" s="5">
        <v>2</v>
      </c>
    </row>
    <row r="5360" spans="1:2" x14ac:dyDescent="0.35">
      <c r="A5360" s="14">
        <v>42325.084733796299</v>
      </c>
      <c r="B5360" s="5">
        <v>1</v>
      </c>
    </row>
    <row r="5361" spans="1:2" x14ac:dyDescent="0.35">
      <c r="A5361" s="14">
        <v>42325.095405092594</v>
      </c>
      <c r="B5361" s="5">
        <v>1</v>
      </c>
    </row>
    <row r="5362" spans="1:2" x14ac:dyDescent="0.35">
      <c r="A5362" s="14">
        <v>42325.097569444442</v>
      </c>
      <c r="B5362" s="5">
        <v>1</v>
      </c>
    </row>
    <row r="5363" spans="1:2" x14ac:dyDescent="0.35">
      <c r="A5363" s="14">
        <v>42325.101550925923</v>
      </c>
      <c r="B5363" s="5">
        <v>1</v>
      </c>
    </row>
    <row r="5364" spans="1:2" x14ac:dyDescent="0.35">
      <c r="A5364" s="14">
        <v>42325.113194444442</v>
      </c>
      <c r="B5364" s="5">
        <v>1</v>
      </c>
    </row>
    <row r="5365" spans="1:2" x14ac:dyDescent="0.35">
      <c r="A5365" s="14">
        <v>42325.113807870373</v>
      </c>
      <c r="B5365" s="5">
        <v>1</v>
      </c>
    </row>
    <row r="5366" spans="1:2" x14ac:dyDescent="0.35">
      <c r="A5366" s="14">
        <v>42325.13175925926</v>
      </c>
      <c r="B5366" s="5">
        <v>1</v>
      </c>
    </row>
    <row r="5367" spans="1:2" x14ac:dyDescent="0.35">
      <c r="A5367" s="14">
        <v>42325.141157407408</v>
      </c>
      <c r="B5367" s="5">
        <v>1</v>
      </c>
    </row>
    <row r="5368" spans="1:2" x14ac:dyDescent="0.35">
      <c r="A5368" s="14">
        <v>42325.145636574074</v>
      </c>
      <c r="B5368" s="5">
        <v>1</v>
      </c>
    </row>
    <row r="5369" spans="1:2" x14ac:dyDescent="0.35">
      <c r="A5369" s="14">
        <v>42325.145868055559</v>
      </c>
      <c r="B5369" s="5">
        <v>1</v>
      </c>
    </row>
    <row r="5370" spans="1:2" x14ac:dyDescent="0.35">
      <c r="A5370" s="14">
        <v>42325.151909722219</v>
      </c>
      <c r="B5370" s="5">
        <v>1</v>
      </c>
    </row>
    <row r="5371" spans="1:2" x14ac:dyDescent="0.35">
      <c r="A5371" s="14">
        <v>42325.152581018519</v>
      </c>
      <c r="B5371" s="5">
        <v>1</v>
      </c>
    </row>
    <row r="5372" spans="1:2" x14ac:dyDescent="0.35">
      <c r="A5372" s="14">
        <v>42325.15929398148</v>
      </c>
      <c r="B5372" s="5">
        <v>1</v>
      </c>
    </row>
    <row r="5373" spans="1:2" x14ac:dyDescent="0.35">
      <c r="A5373" s="14">
        <v>42325.160567129627</v>
      </c>
      <c r="B5373" s="5">
        <v>1</v>
      </c>
    </row>
    <row r="5374" spans="1:2" x14ac:dyDescent="0.35">
      <c r="A5374" s="14">
        <v>42325.191851851851</v>
      </c>
      <c r="B5374" s="5">
        <v>1</v>
      </c>
    </row>
    <row r="5375" spans="1:2" x14ac:dyDescent="0.35">
      <c r="A5375" s="14">
        <v>42325.192129629628</v>
      </c>
      <c r="B5375" s="5">
        <v>1</v>
      </c>
    </row>
    <row r="5376" spans="1:2" x14ac:dyDescent="0.35">
      <c r="A5376" s="14">
        <v>42325.193078703705</v>
      </c>
      <c r="B5376" s="5">
        <v>1</v>
      </c>
    </row>
    <row r="5377" spans="1:2" x14ac:dyDescent="0.35">
      <c r="A5377" s="14">
        <v>42325.202199074076</v>
      </c>
      <c r="B5377" s="5">
        <v>1</v>
      </c>
    </row>
    <row r="5378" spans="1:2" x14ac:dyDescent="0.35">
      <c r="A5378" s="14">
        <v>42325.204479166663</v>
      </c>
      <c r="B5378" s="5">
        <v>1</v>
      </c>
    </row>
    <row r="5379" spans="1:2" x14ac:dyDescent="0.35">
      <c r="A5379" s="14">
        <v>42325.221863425926</v>
      </c>
      <c r="B5379" s="5">
        <v>1</v>
      </c>
    </row>
    <row r="5380" spans="1:2" x14ac:dyDescent="0.35">
      <c r="A5380" s="14">
        <v>42325.227430555555</v>
      </c>
      <c r="B5380" s="5">
        <v>1</v>
      </c>
    </row>
    <row r="5381" spans="1:2" x14ac:dyDescent="0.35">
      <c r="A5381" s="14">
        <v>42325.234618055554</v>
      </c>
      <c r="B5381" s="5">
        <v>1</v>
      </c>
    </row>
    <row r="5382" spans="1:2" x14ac:dyDescent="0.35">
      <c r="A5382" s="14">
        <v>42325.237569444442</v>
      </c>
      <c r="B5382" s="5">
        <v>1</v>
      </c>
    </row>
    <row r="5383" spans="1:2" x14ac:dyDescent="0.35">
      <c r="A5383" s="14">
        <v>42325.248819444445</v>
      </c>
      <c r="B5383" s="5">
        <v>1</v>
      </c>
    </row>
    <row r="5384" spans="1:2" x14ac:dyDescent="0.35">
      <c r="A5384" s="14">
        <v>42325.258587962962</v>
      </c>
      <c r="B5384" s="5">
        <v>1</v>
      </c>
    </row>
    <row r="5385" spans="1:2" x14ac:dyDescent="0.35">
      <c r="A5385" s="14">
        <v>42325.375960648147</v>
      </c>
      <c r="B5385" s="5">
        <v>1</v>
      </c>
    </row>
    <row r="5386" spans="1:2" x14ac:dyDescent="0.35">
      <c r="A5386" s="14">
        <v>42325.376296296294</v>
      </c>
      <c r="B5386" s="5">
        <v>2</v>
      </c>
    </row>
    <row r="5387" spans="1:2" x14ac:dyDescent="0.35">
      <c r="A5387" s="14">
        <v>42325.37771990741</v>
      </c>
      <c r="B5387" s="5">
        <v>1</v>
      </c>
    </row>
    <row r="5388" spans="1:2" x14ac:dyDescent="0.35">
      <c r="A5388" s="14">
        <v>42325.378125000003</v>
      </c>
      <c r="B5388" s="5">
        <v>2</v>
      </c>
    </row>
    <row r="5389" spans="1:2" x14ac:dyDescent="0.35">
      <c r="A5389" s="14">
        <v>42325.380393518521</v>
      </c>
      <c r="B5389" s="5">
        <v>1</v>
      </c>
    </row>
    <row r="5390" spans="1:2" x14ac:dyDescent="0.35">
      <c r="A5390" s="14">
        <v>42325.508171296293</v>
      </c>
      <c r="B5390" s="5">
        <v>1</v>
      </c>
    </row>
    <row r="5391" spans="1:2" x14ac:dyDescent="0.35">
      <c r="A5391" s="14">
        <v>42325.530335648145</v>
      </c>
      <c r="B5391" s="5">
        <v>1</v>
      </c>
    </row>
    <row r="5392" spans="1:2" x14ac:dyDescent="0.35">
      <c r="A5392" s="14">
        <v>42325.543043981481</v>
      </c>
      <c r="B5392" s="5">
        <v>1</v>
      </c>
    </row>
    <row r="5393" spans="1:2" x14ac:dyDescent="0.35">
      <c r="A5393" s="14">
        <v>42325.552812499998</v>
      </c>
      <c r="B5393" s="5">
        <v>1</v>
      </c>
    </row>
    <row r="5394" spans="1:2" x14ac:dyDescent="0.35">
      <c r="A5394" s="14">
        <v>42325.560520833336</v>
      </c>
      <c r="B5394" s="5">
        <v>1</v>
      </c>
    </row>
    <row r="5395" spans="1:2" x14ac:dyDescent="0.35">
      <c r="A5395" s="14">
        <v>42325.568749999999</v>
      </c>
      <c r="B5395" s="5">
        <v>1</v>
      </c>
    </row>
    <row r="5396" spans="1:2" x14ac:dyDescent="0.35">
      <c r="A5396" s="14">
        <v>42325.569791666669</v>
      </c>
      <c r="B5396" s="5">
        <v>1</v>
      </c>
    </row>
    <row r="5397" spans="1:2" x14ac:dyDescent="0.35">
      <c r="A5397" s="14">
        <v>42325.603182870371</v>
      </c>
      <c r="B5397" s="5">
        <v>1</v>
      </c>
    </row>
    <row r="5398" spans="1:2" x14ac:dyDescent="0.35">
      <c r="A5398" s="14">
        <v>42325.606747685182</v>
      </c>
      <c r="B5398" s="5">
        <v>1</v>
      </c>
    </row>
    <row r="5399" spans="1:2" x14ac:dyDescent="0.35">
      <c r="A5399" s="14">
        <v>42325.607974537037</v>
      </c>
      <c r="B5399" s="5">
        <v>1</v>
      </c>
    </row>
    <row r="5400" spans="1:2" x14ac:dyDescent="0.35">
      <c r="A5400" s="14">
        <v>42325.615300925929</v>
      </c>
      <c r="B5400" s="5">
        <v>1</v>
      </c>
    </row>
    <row r="5401" spans="1:2" x14ac:dyDescent="0.35">
      <c r="A5401" s="14">
        <v>42325.620127314818</v>
      </c>
      <c r="B5401" s="5">
        <v>1</v>
      </c>
    </row>
    <row r="5402" spans="1:2" x14ac:dyDescent="0.35">
      <c r="A5402" s="14">
        <v>42325.627569444441</v>
      </c>
      <c r="B5402" s="5">
        <v>1</v>
      </c>
    </row>
    <row r="5403" spans="1:2" x14ac:dyDescent="0.35">
      <c r="A5403" s="14">
        <v>42325.640729166669</v>
      </c>
      <c r="B5403" s="5">
        <v>1</v>
      </c>
    </row>
    <row r="5404" spans="1:2" x14ac:dyDescent="0.35">
      <c r="A5404" s="14">
        <v>42325.645729166667</v>
      </c>
      <c r="B5404" s="5">
        <v>1</v>
      </c>
    </row>
    <row r="5405" spans="1:2" x14ac:dyDescent="0.35">
      <c r="A5405" s="14">
        <v>42325.662824074076</v>
      </c>
      <c r="B5405" s="5">
        <v>1</v>
      </c>
    </row>
    <row r="5406" spans="1:2" x14ac:dyDescent="0.35">
      <c r="A5406" s="14">
        <v>42325.672094907408</v>
      </c>
      <c r="B5406" s="5">
        <v>1</v>
      </c>
    </row>
    <row r="5407" spans="1:2" x14ac:dyDescent="0.35">
      <c r="A5407" s="14">
        <v>42325.680891203701</v>
      </c>
      <c r="B5407" s="5">
        <v>1</v>
      </c>
    </row>
    <row r="5408" spans="1:2" x14ac:dyDescent="0.35">
      <c r="A5408" s="14">
        <v>42325.689884259256</v>
      </c>
      <c r="B5408" s="5">
        <v>1</v>
      </c>
    </row>
    <row r="5409" spans="1:2" x14ac:dyDescent="0.35">
      <c r="A5409" s="14">
        <v>42325.690972222219</v>
      </c>
      <c r="B5409" s="5">
        <v>1</v>
      </c>
    </row>
    <row r="5410" spans="1:2" x14ac:dyDescent="0.35">
      <c r="A5410" s="14">
        <v>42325.694571759261</v>
      </c>
      <c r="B5410" s="5">
        <v>1</v>
      </c>
    </row>
    <row r="5411" spans="1:2" x14ac:dyDescent="0.35">
      <c r="A5411" s="14">
        <v>42325.699826388889</v>
      </c>
      <c r="B5411" s="5">
        <v>1</v>
      </c>
    </row>
    <row r="5412" spans="1:2" x14ac:dyDescent="0.35">
      <c r="A5412" s="14">
        <v>42325.712743055556</v>
      </c>
      <c r="B5412" s="5">
        <v>1</v>
      </c>
    </row>
    <row r="5413" spans="1:2" x14ac:dyDescent="0.35">
      <c r="A5413" s="14">
        <v>42325.742858796293</v>
      </c>
      <c r="B5413" s="5">
        <v>1</v>
      </c>
    </row>
    <row r="5414" spans="1:2" x14ac:dyDescent="0.35">
      <c r="A5414" s="14">
        <v>42325.74591435185</v>
      </c>
      <c r="B5414" s="5">
        <v>1</v>
      </c>
    </row>
    <row r="5415" spans="1:2" x14ac:dyDescent="0.35">
      <c r="A5415" s="14">
        <v>42325.75440972222</v>
      </c>
      <c r="B5415" s="5">
        <v>1</v>
      </c>
    </row>
    <row r="5416" spans="1:2" x14ac:dyDescent="0.35">
      <c r="A5416" s="14">
        <v>42325.756261574075</v>
      </c>
      <c r="B5416" s="5">
        <v>1</v>
      </c>
    </row>
    <row r="5417" spans="1:2" x14ac:dyDescent="0.35">
      <c r="A5417" s="14">
        <v>42325.759756944448</v>
      </c>
      <c r="B5417" s="5">
        <v>1</v>
      </c>
    </row>
    <row r="5418" spans="1:2" x14ac:dyDescent="0.35">
      <c r="A5418" s="14">
        <v>42325.765543981484</v>
      </c>
      <c r="B5418" s="5">
        <v>1</v>
      </c>
    </row>
    <row r="5419" spans="1:2" x14ac:dyDescent="0.35">
      <c r="A5419" s="14">
        <v>42325.766018518516</v>
      </c>
      <c r="B5419" s="5">
        <v>1</v>
      </c>
    </row>
    <row r="5420" spans="1:2" x14ac:dyDescent="0.35">
      <c r="A5420" s="14">
        <v>42325.79959490741</v>
      </c>
      <c r="B5420" s="5">
        <v>1</v>
      </c>
    </row>
    <row r="5421" spans="1:2" x14ac:dyDescent="0.35">
      <c r="A5421" s="14">
        <v>42325.80133101852</v>
      </c>
      <c r="B5421" s="5">
        <v>2</v>
      </c>
    </row>
    <row r="5422" spans="1:2" x14ac:dyDescent="0.35">
      <c r="A5422" s="14">
        <v>42325.806168981479</v>
      </c>
      <c r="B5422" s="5">
        <v>1</v>
      </c>
    </row>
    <row r="5423" spans="1:2" x14ac:dyDescent="0.35">
      <c r="A5423" s="14">
        <v>42325.808495370373</v>
      </c>
      <c r="B5423" s="5">
        <v>1</v>
      </c>
    </row>
    <row r="5424" spans="1:2" x14ac:dyDescent="0.35">
      <c r="A5424" s="14">
        <v>42325.810694444444</v>
      </c>
      <c r="B5424" s="5">
        <v>1</v>
      </c>
    </row>
    <row r="5425" spans="1:2" x14ac:dyDescent="0.35">
      <c r="A5425" s="14">
        <v>42325.811990740738</v>
      </c>
      <c r="B5425" s="5">
        <v>1</v>
      </c>
    </row>
    <row r="5426" spans="1:2" x14ac:dyDescent="0.35">
      <c r="A5426" s="14">
        <v>42325.815254629626</v>
      </c>
      <c r="B5426" s="5">
        <v>1</v>
      </c>
    </row>
    <row r="5427" spans="1:2" x14ac:dyDescent="0.35">
      <c r="A5427" s="14">
        <v>42325.819016203706</v>
      </c>
      <c r="B5427" s="5">
        <v>1</v>
      </c>
    </row>
    <row r="5428" spans="1:2" x14ac:dyDescent="0.35">
      <c r="A5428" s="14">
        <v>42325.821608796294</v>
      </c>
      <c r="B5428" s="5">
        <v>1</v>
      </c>
    </row>
    <row r="5429" spans="1:2" x14ac:dyDescent="0.35">
      <c r="A5429" s="14">
        <v>42325.822893518518</v>
      </c>
      <c r="B5429" s="5">
        <v>1</v>
      </c>
    </row>
    <row r="5430" spans="1:2" x14ac:dyDescent="0.35">
      <c r="A5430" s="14">
        <v>42325.823923611111</v>
      </c>
      <c r="B5430" s="5">
        <v>1</v>
      </c>
    </row>
    <row r="5431" spans="1:2" x14ac:dyDescent="0.35">
      <c r="A5431" s="14">
        <v>42325.824074074073</v>
      </c>
      <c r="B5431" s="5">
        <v>1</v>
      </c>
    </row>
    <row r="5432" spans="1:2" x14ac:dyDescent="0.35">
      <c r="A5432" s="14">
        <v>42325.826550925929</v>
      </c>
      <c r="B5432" s="5">
        <v>1</v>
      </c>
    </row>
    <row r="5433" spans="1:2" x14ac:dyDescent="0.35">
      <c r="A5433" s="14">
        <v>42325.827060185184</v>
      </c>
      <c r="B5433" s="5">
        <v>1</v>
      </c>
    </row>
    <row r="5434" spans="1:2" x14ac:dyDescent="0.35">
      <c r="A5434" s="14">
        <v>42325.827245370368</v>
      </c>
      <c r="B5434" s="5">
        <v>1</v>
      </c>
    </row>
    <row r="5435" spans="1:2" x14ac:dyDescent="0.35">
      <c r="A5435" s="14">
        <v>42325.831620370373</v>
      </c>
      <c r="B5435" s="5">
        <v>1</v>
      </c>
    </row>
    <row r="5436" spans="1:2" x14ac:dyDescent="0.35">
      <c r="A5436" s="14">
        <v>42325.843784722223</v>
      </c>
      <c r="B5436" s="5">
        <v>1</v>
      </c>
    </row>
    <row r="5437" spans="1:2" x14ac:dyDescent="0.35">
      <c r="A5437" s="14">
        <v>42325.850057870368</v>
      </c>
      <c r="B5437" s="5">
        <v>1</v>
      </c>
    </row>
    <row r="5438" spans="1:2" x14ac:dyDescent="0.35">
      <c r="A5438" s="14">
        <v>42325.850983796299</v>
      </c>
      <c r="B5438" s="5">
        <v>1</v>
      </c>
    </row>
    <row r="5439" spans="1:2" x14ac:dyDescent="0.35">
      <c r="A5439" s="14">
        <v>42325.85670138889</v>
      </c>
      <c r="B5439" s="5">
        <v>1</v>
      </c>
    </row>
    <row r="5440" spans="1:2" x14ac:dyDescent="0.35">
      <c r="A5440" s="14">
        <v>42325.859050925923</v>
      </c>
      <c r="B5440" s="5">
        <v>1</v>
      </c>
    </row>
    <row r="5441" spans="1:2" x14ac:dyDescent="0.35">
      <c r="A5441" s="14">
        <v>42325.862268518518</v>
      </c>
      <c r="B5441" s="5">
        <v>1</v>
      </c>
    </row>
    <row r="5442" spans="1:2" x14ac:dyDescent="0.35">
      <c r="A5442" s="14">
        <v>42325.873576388891</v>
      </c>
      <c r="B5442" s="5">
        <v>1</v>
      </c>
    </row>
    <row r="5443" spans="1:2" x14ac:dyDescent="0.35">
      <c r="A5443" s="14">
        <v>42325.875879629632</v>
      </c>
      <c r="B5443" s="5">
        <v>1</v>
      </c>
    </row>
    <row r="5444" spans="1:2" x14ac:dyDescent="0.35">
      <c r="A5444" s="14">
        <v>42325.876180555555</v>
      </c>
      <c r="B5444" s="5">
        <v>1</v>
      </c>
    </row>
    <row r="5445" spans="1:2" x14ac:dyDescent="0.35">
      <c r="A5445" s="14">
        <v>42325.879664351851</v>
      </c>
      <c r="B5445" s="5">
        <v>1</v>
      </c>
    </row>
    <row r="5446" spans="1:2" x14ac:dyDescent="0.35">
      <c r="A5446" s="14">
        <v>42325.881388888891</v>
      </c>
      <c r="B5446" s="5">
        <v>1</v>
      </c>
    </row>
    <row r="5447" spans="1:2" x14ac:dyDescent="0.35">
      <c r="A5447" s="14">
        <v>42325.887650462966</v>
      </c>
      <c r="B5447" s="5">
        <v>1</v>
      </c>
    </row>
    <row r="5448" spans="1:2" x14ac:dyDescent="0.35">
      <c r="A5448" s="14">
        <v>42325.887916666667</v>
      </c>
      <c r="B5448" s="5">
        <v>1</v>
      </c>
    </row>
    <row r="5449" spans="1:2" x14ac:dyDescent="0.35">
      <c r="A5449" s="14">
        <v>42325.901238425926</v>
      </c>
      <c r="B5449" s="5">
        <v>1</v>
      </c>
    </row>
    <row r="5450" spans="1:2" x14ac:dyDescent="0.35">
      <c r="A5450" s="14">
        <v>42325.928078703706</v>
      </c>
      <c r="B5450" s="5">
        <v>1</v>
      </c>
    </row>
    <row r="5451" spans="1:2" x14ac:dyDescent="0.35">
      <c r="A5451" s="14">
        <v>42325.930092592593</v>
      </c>
      <c r="B5451" s="5">
        <v>1</v>
      </c>
    </row>
    <row r="5452" spans="1:2" x14ac:dyDescent="0.35">
      <c r="A5452" s="14">
        <v>42325.943171296298</v>
      </c>
      <c r="B5452" s="5">
        <v>1</v>
      </c>
    </row>
    <row r="5453" spans="1:2" x14ac:dyDescent="0.35">
      <c r="A5453" s="14">
        <v>42325.955034722225</v>
      </c>
      <c r="B5453" s="5">
        <v>1</v>
      </c>
    </row>
    <row r="5454" spans="1:2" x14ac:dyDescent="0.35">
      <c r="A5454" s="14">
        <v>42325.955324074072</v>
      </c>
      <c r="B5454" s="5">
        <v>1</v>
      </c>
    </row>
    <row r="5455" spans="1:2" x14ac:dyDescent="0.35">
      <c r="A5455" s="14">
        <v>42325.957233796296</v>
      </c>
      <c r="B5455" s="5">
        <v>1</v>
      </c>
    </row>
    <row r="5456" spans="1:2" x14ac:dyDescent="0.35">
      <c r="A5456" s="14">
        <v>42325.962129629632</v>
      </c>
      <c r="B5456" s="5">
        <v>1</v>
      </c>
    </row>
    <row r="5457" spans="1:2" x14ac:dyDescent="0.35">
      <c r="A5457" s="14">
        <v>42325.980405092596</v>
      </c>
      <c r="B5457" s="5">
        <v>1</v>
      </c>
    </row>
    <row r="5458" spans="1:2" x14ac:dyDescent="0.35">
      <c r="A5458" s="14">
        <v>42325.999374999999</v>
      </c>
      <c r="B5458" s="5">
        <v>1</v>
      </c>
    </row>
    <row r="5459" spans="1:2" x14ac:dyDescent="0.35">
      <c r="A5459" s="14">
        <v>42326.000057870369</v>
      </c>
      <c r="B5459" s="5">
        <v>2</v>
      </c>
    </row>
    <row r="5460" spans="1:2" x14ac:dyDescent="0.35">
      <c r="A5460" s="14">
        <v>42326.014016203706</v>
      </c>
      <c r="B5460" s="5">
        <v>1</v>
      </c>
    </row>
    <row r="5461" spans="1:2" x14ac:dyDescent="0.35">
      <c r="A5461" s="14">
        <v>42326.019363425927</v>
      </c>
      <c r="B5461" s="5">
        <v>1</v>
      </c>
    </row>
    <row r="5462" spans="1:2" x14ac:dyDescent="0.35">
      <c r="A5462" s="14">
        <v>42326.021805555552</v>
      </c>
      <c r="B5462" s="5">
        <v>1</v>
      </c>
    </row>
    <row r="5463" spans="1:2" x14ac:dyDescent="0.35">
      <c r="A5463" s="14">
        <v>42326.029039351852</v>
      </c>
      <c r="B5463" s="5">
        <v>1</v>
      </c>
    </row>
    <row r="5464" spans="1:2" x14ac:dyDescent="0.35">
      <c r="A5464" s="14">
        <v>42326.03162037037</v>
      </c>
      <c r="B5464" s="5">
        <v>1</v>
      </c>
    </row>
    <row r="5465" spans="1:2" x14ac:dyDescent="0.35">
      <c r="A5465" s="14">
        <v>42326.031956018516</v>
      </c>
      <c r="B5465" s="5">
        <v>1</v>
      </c>
    </row>
    <row r="5466" spans="1:2" x14ac:dyDescent="0.35">
      <c r="A5466" s="14">
        <v>42326.032118055555</v>
      </c>
      <c r="B5466" s="5">
        <v>1</v>
      </c>
    </row>
    <row r="5467" spans="1:2" x14ac:dyDescent="0.35">
      <c r="A5467" s="14">
        <v>42326.032523148147</v>
      </c>
      <c r="B5467" s="5">
        <v>1</v>
      </c>
    </row>
    <row r="5468" spans="1:2" x14ac:dyDescent="0.35">
      <c r="A5468" s="14">
        <v>42326.035520833335</v>
      </c>
      <c r="B5468" s="5">
        <v>1</v>
      </c>
    </row>
    <row r="5469" spans="1:2" x14ac:dyDescent="0.35">
      <c r="A5469" s="14">
        <v>42326.039097222223</v>
      </c>
      <c r="B5469" s="5">
        <v>1</v>
      </c>
    </row>
    <row r="5470" spans="1:2" x14ac:dyDescent="0.35">
      <c r="A5470" s="14">
        <v>42326.057835648149</v>
      </c>
      <c r="B5470" s="5">
        <v>1</v>
      </c>
    </row>
    <row r="5471" spans="1:2" x14ac:dyDescent="0.35">
      <c r="A5471" s="14">
        <v>42326.07403935185</v>
      </c>
      <c r="B5471" s="5">
        <v>1</v>
      </c>
    </row>
    <row r="5472" spans="1:2" x14ac:dyDescent="0.35">
      <c r="A5472" s="14">
        <v>42326.075011574074</v>
      </c>
      <c r="B5472" s="5">
        <v>1</v>
      </c>
    </row>
    <row r="5473" spans="1:2" x14ac:dyDescent="0.35">
      <c r="A5473" s="14">
        <v>42326.076284722221</v>
      </c>
      <c r="B5473" s="5">
        <v>2</v>
      </c>
    </row>
    <row r="5474" spans="1:2" x14ac:dyDescent="0.35">
      <c r="A5474" s="14">
        <v>42326.091562499998</v>
      </c>
      <c r="B5474" s="5">
        <v>1</v>
      </c>
    </row>
    <row r="5475" spans="1:2" x14ac:dyDescent="0.35">
      <c r="A5475" s="14">
        <v>42326.09171296296</v>
      </c>
      <c r="B5475" s="5">
        <v>1</v>
      </c>
    </row>
    <row r="5476" spans="1:2" x14ac:dyDescent="0.35">
      <c r="A5476" s="14">
        <v>42326.091817129629</v>
      </c>
      <c r="B5476" s="5">
        <v>1</v>
      </c>
    </row>
    <row r="5477" spans="1:2" x14ac:dyDescent="0.35">
      <c r="A5477" s="14">
        <v>42326.095023148147</v>
      </c>
      <c r="B5477" s="5">
        <v>2</v>
      </c>
    </row>
    <row r="5478" spans="1:2" x14ac:dyDescent="0.35">
      <c r="A5478" s="14">
        <v>42326.097094907411</v>
      </c>
      <c r="B5478" s="5">
        <v>1</v>
      </c>
    </row>
    <row r="5479" spans="1:2" x14ac:dyDescent="0.35">
      <c r="A5479" s="14">
        <v>42326.098171296297</v>
      </c>
      <c r="B5479" s="5">
        <v>2</v>
      </c>
    </row>
    <row r="5480" spans="1:2" x14ac:dyDescent="0.35">
      <c r="A5480" s="14">
        <v>42326.098217592589</v>
      </c>
      <c r="B5480" s="5">
        <v>1</v>
      </c>
    </row>
    <row r="5481" spans="1:2" x14ac:dyDescent="0.35">
      <c r="A5481" s="14">
        <v>42326.098506944443</v>
      </c>
      <c r="B5481" s="5">
        <v>2</v>
      </c>
    </row>
    <row r="5482" spans="1:2" x14ac:dyDescent="0.35">
      <c r="A5482" s="14">
        <v>42326.101388888892</v>
      </c>
      <c r="B5482" s="5">
        <v>1</v>
      </c>
    </row>
    <row r="5483" spans="1:2" x14ac:dyDescent="0.35">
      <c r="A5483" s="14">
        <v>42326.105347222219</v>
      </c>
      <c r="B5483" s="5">
        <v>1</v>
      </c>
    </row>
    <row r="5484" spans="1:2" x14ac:dyDescent="0.35">
      <c r="A5484" s="14">
        <v>42326.11310185185</v>
      </c>
      <c r="B5484" s="5">
        <v>1</v>
      </c>
    </row>
    <row r="5485" spans="1:2" x14ac:dyDescent="0.35">
      <c r="A5485" s="14">
        <v>42326.11619212963</v>
      </c>
      <c r="B5485" s="5">
        <v>1</v>
      </c>
    </row>
    <row r="5486" spans="1:2" x14ac:dyDescent="0.35">
      <c r="A5486" s="14">
        <v>42326.120613425926</v>
      </c>
      <c r="B5486" s="5">
        <v>1</v>
      </c>
    </row>
    <row r="5487" spans="1:2" x14ac:dyDescent="0.35">
      <c r="A5487" s="14">
        <v>42326.123657407406</v>
      </c>
      <c r="B5487" s="5">
        <v>1</v>
      </c>
    </row>
    <row r="5488" spans="1:2" x14ac:dyDescent="0.35">
      <c r="A5488" s="14">
        <v>42326.124641203707</v>
      </c>
      <c r="B5488" s="5">
        <v>1</v>
      </c>
    </row>
    <row r="5489" spans="1:2" x14ac:dyDescent="0.35">
      <c r="A5489" s="14">
        <v>42326.129733796297</v>
      </c>
      <c r="B5489" s="5">
        <v>1</v>
      </c>
    </row>
    <row r="5490" spans="1:2" x14ac:dyDescent="0.35">
      <c r="A5490" s="14">
        <v>42326.129988425928</v>
      </c>
      <c r="B5490" s="5">
        <v>1</v>
      </c>
    </row>
    <row r="5491" spans="1:2" x14ac:dyDescent="0.35">
      <c r="A5491" s="14">
        <v>42326.131932870368</v>
      </c>
      <c r="B5491" s="5">
        <v>1</v>
      </c>
    </row>
    <row r="5492" spans="1:2" x14ac:dyDescent="0.35">
      <c r="A5492" s="14">
        <v>42326.133310185185</v>
      </c>
      <c r="B5492" s="5">
        <v>1</v>
      </c>
    </row>
    <row r="5493" spans="1:2" x14ac:dyDescent="0.35">
      <c r="A5493" s="14">
        <v>42326.136817129627</v>
      </c>
      <c r="B5493" s="5">
        <v>1</v>
      </c>
    </row>
    <row r="5494" spans="1:2" x14ac:dyDescent="0.35">
      <c r="A5494" s="14">
        <v>42326.140092592592</v>
      </c>
      <c r="B5494" s="5">
        <v>1</v>
      </c>
    </row>
    <row r="5495" spans="1:2" x14ac:dyDescent="0.35">
      <c r="A5495" s="14">
        <v>42326.140196759261</v>
      </c>
      <c r="B5495" s="5">
        <v>1</v>
      </c>
    </row>
    <row r="5496" spans="1:2" x14ac:dyDescent="0.35">
      <c r="A5496" s="14">
        <v>42326.151712962965</v>
      </c>
      <c r="B5496" s="5">
        <v>1</v>
      </c>
    </row>
    <row r="5497" spans="1:2" x14ac:dyDescent="0.35">
      <c r="A5497" s="14">
        <v>42326.151932870373</v>
      </c>
      <c r="B5497" s="5">
        <v>1</v>
      </c>
    </row>
    <row r="5498" spans="1:2" x14ac:dyDescent="0.35">
      <c r="A5498" s="14">
        <v>42326.161597222221</v>
      </c>
      <c r="B5498" s="5">
        <v>1</v>
      </c>
    </row>
    <row r="5499" spans="1:2" x14ac:dyDescent="0.35">
      <c r="A5499" s="14">
        <v>42326.163495370369</v>
      </c>
      <c r="B5499" s="5">
        <v>1</v>
      </c>
    </row>
    <row r="5500" spans="1:2" x14ac:dyDescent="0.35">
      <c r="A5500" s="14">
        <v>42326.163530092592</v>
      </c>
      <c r="B5500" s="5">
        <v>1</v>
      </c>
    </row>
    <row r="5501" spans="1:2" x14ac:dyDescent="0.35">
      <c r="A5501" s="14">
        <v>42326.169675925928</v>
      </c>
      <c r="B5501" s="5">
        <v>1</v>
      </c>
    </row>
    <row r="5502" spans="1:2" x14ac:dyDescent="0.35">
      <c r="A5502" s="14">
        <v>42326.170567129629</v>
      </c>
      <c r="B5502" s="5">
        <v>1</v>
      </c>
    </row>
    <row r="5503" spans="1:2" x14ac:dyDescent="0.35">
      <c r="A5503" s="14">
        <v>42326.171423611115</v>
      </c>
      <c r="B5503" s="5">
        <v>1</v>
      </c>
    </row>
    <row r="5504" spans="1:2" x14ac:dyDescent="0.35">
      <c r="A5504" s="14">
        <v>42326.174826388888</v>
      </c>
      <c r="B5504" s="5">
        <v>1</v>
      </c>
    </row>
    <row r="5505" spans="1:2" x14ac:dyDescent="0.35">
      <c r="A5505" s="14">
        <v>42326.175034722219</v>
      </c>
      <c r="B5505" s="5">
        <v>1</v>
      </c>
    </row>
    <row r="5506" spans="1:2" x14ac:dyDescent="0.35">
      <c r="A5506" s="14">
        <v>42326.180972222224</v>
      </c>
      <c r="B5506" s="5">
        <v>1</v>
      </c>
    </row>
    <row r="5507" spans="1:2" x14ac:dyDescent="0.35">
      <c r="A5507" s="14">
        <v>42326.223935185182</v>
      </c>
      <c r="B5507" s="5">
        <v>1</v>
      </c>
    </row>
    <row r="5508" spans="1:2" x14ac:dyDescent="0.35">
      <c r="A5508" s="14">
        <v>42326.272893518515</v>
      </c>
      <c r="B5508" s="5">
        <v>1</v>
      </c>
    </row>
    <row r="5509" spans="1:2" x14ac:dyDescent="0.35">
      <c r="A5509" s="14">
        <v>42326.27511574074</v>
      </c>
      <c r="B5509" s="5">
        <v>1</v>
      </c>
    </row>
    <row r="5510" spans="1:2" x14ac:dyDescent="0.35">
      <c r="A5510" s="14">
        <v>42326.278900462959</v>
      </c>
      <c r="B5510" s="5">
        <v>1</v>
      </c>
    </row>
    <row r="5511" spans="1:2" x14ac:dyDescent="0.35">
      <c r="A5511" s="14">
        <v>42326.341041666667</v>
      </c>
      <c r="B5511" s="5">
        <v>1</v>
      </c>
    </row>
    <row r="5512" spans="1:2" x14ac:dyDescent="0.35">
      <c r="A5512" s="14">
        <v>42326.372777777775</v>
      </c>
      <c r="B5512" s="5">
        <v>1</v>
      </c>
    </row>
    <row r="5513" spans="1:2" x14ac:dyDescent="0.35">
      <c r="A5513" s="14">
        <v>42326.376423611109</v>
      </c>
      <c r="B5513" s="5">
        <v>1</v>
      </c>
    </row>
    <row r="5514" spans="1:2" x14ac:dyDescent="0.35">
      <c r="A5514" s="14">
        <v>42326.527916666666</v>
      </c>
      <c r="B5514" s="5">
        <v>1</v>
      </c>
    </row>
    <row r="5515" spans="1:2" x14ac:dyDescent="0.35">
      <c r="A5515" s="14">
        <v>42326.56795138889</v>
      </c>
      <c r="B5515" s="5">
        <v>1</v>
      </c>
    </row>
    <row r="5516" spans="1:2" x14ac:dyDescent="0.35">
      <c r="A5516" s="14">
        <v>42326.569456018522</v>
      </c>
      <c r="B5516" s="5">
        <v>1</v>
      </c>
    </row>
    <row r="5517" spans="1:2" x14ac:dyDescent="0.35">
      <c r="A5517" s="14">
        <v>42326.589618055557</v>
      </c>
      <c r="B5517" s="5">
        <v>1</v>
      </c>
    </row>
    <row r="5518" spans="1:2" x14ac:dyDescent="0.35">
      <c r="A5518" s="14">
        <v>42326.591793981483</v>
      </c>
      <c r="B5518" s="5">
        <v>1</v>
      </c>
    </row>
    <row r="5519" spans="1:2" x14ac:dyDescent="0.35">
      <c r="A5519" s="14">
        <v>42326.595752314817</v>
      </c>
      <c r="B5519" s="5">
        <v>1</v>
      </c>
    </row>
    <row r="5520" spans="1:2" x14ac:dyDescent="0.35">
      <c r="A5520" s="14">
        <v>42326.606226851851</v>
      </c>
      <c r="B5520" s="5">
        <v>1</v>
      </c>
    </row>
    <row r="5521" spans="1:2" x14ac:dyDescent="0.35">
      <c r="A5521" s="14">
        <v>42326.607094907406</v>
      </c>
      <c r="B5521" s="5">
        <v>1</v>
      </c>
    </row>
    <row r="5522" spans="1:2" x14ac:dyDescent="0.35">
      <c r="A5522" s="14">
        <v>42326.611585648148</v>
      </c>
      <c r="B5522" s="5">
        <v>1</v>
      </c>
    </row>
    <row r="5523" spans="1:2" x14ac:dyDescent="0.35">
      <c r="A5523" s="14">
        <v>42326.624652777777</v>
      </c>
      <c r="B5523" s="5">
        <v>1</v>
      </c>
    </row>
    <row r="5524" spans="1:2" x14ac:dyDescent="0.35">
      <c r="A5524" s="14">
        <v>42326.629594907405</v>
      </c>
      <c r="B5524" s="5">
        <v>1</v>
      </c>
    </row>
    <row r="5525" spans="1:2" x14ac:dyDescent="0.35">
      <c r="A5525" s="14">
        <v>42326.634351851855</v>
      </c>
      <c r="B5525" s="5">
        <v>1</v>
      </c>
    </row>
    <row r="5526" spans="1:2" x14ac:dyDescent="0.35">
      <c r="A5526" s="14">
        <v>42326.63652777778</v>
      </c>
      <c r="B5526" s="5">
        <v>1</v>
      </c>
    </row>
    <row r="5527" spans="1:2" x14ac:dyDescent="0.35">
      <c r="A5527" s="14">
        <v>42326.638275462959</v>
      </c>
      <c r="B5527" s="5">
        <v>1</v>
      </c>
    </row>
    <row r="5528" spans="1:2" x14ac:dyDescent="0.35">
      <c r="A5528" s="14">
        <v>42326.6565162037</v>
      </c>
      <c r="B5528" s="5">
        <v>1</v>
      </c>
    </row>
    <row r="5529" spans="1:2" x14ac:dyDescent="0.35">
      <c r="A5529" s="14">
        <v>42326.656527777777</v>
      </c>
      <c r="B5529" s="5">
        <v>1</v>
      </c>
    </row>
    <row r="5530" spans="1:2" x14ac:dyDescent="0.35">
      <c r="A5530" s="14">
        <v>42326.661435185182</v>
      </c>
      <c r="B5530" s="5">
        <v>1</v>
      </c>
    </row>
    <row r="5531" spans="1:2" x14ac:dyDescent="0.35">
      <c r="A5531" s="14">
        <v>42326.664398148147</v>
      </c>
      <c r="B5531" s="5">
        <v>1</v>
      </c>
    </row>
    <row r="5532" spans="1:2" x14ac:dyDescent="0.35">
      <c r="A5532" s="14">
        <v>42326.668124999997</v>
      </c>
      <c r="B5532" s="5">
        <v>1</v>
      </c>
    </row>
    <row r="5533" spans="1:2" x14ac:dyDescent="0.35">
      <c r="A5533" s="14">
        <v>42326.670254629629</v>
      </c>
      <c r="B5533" s="5">
        <v>1</v>
      </c>
    </row>
    <row r="5534" spans="1:2" x14ac:dyDescent="0.35">
      <c r="A5534" s="14">
        <v>42326.678611111114</v>
      </c>
      <c r="B5534" s="5">
        <v>1</v>
      </c>
    </row>
    <row r="5535" spans="1:2" x14ac:dyDescent="0.35">
      <c r="A5535" s="14">
        <v>42326.681562500002</v>
      </c>
      <c r="B5535" s="5">
        <v>1</v>
      </c>
    </row>
    <row r="5536" spans="1:2" x14ac:dyDescent="0.35">
      <c r="A5536" s="14">
        <v>42326.683703703704</v>
      </c>
      <c r="B5536" s="5">
        <v>1</v>
      </c>
    </row>
    <row r="5537" spans="1:2" x14ac:dyDescent="0.35">
      <c r="A5537" s="14">
        <v>42326.68608796296</v>
      </c>
      <c r="B5537" s="5">
        <v>1</v>
      </c>
    </row>
    <row r="5538" spans="1:2" x14ac:dyDescent="0.35">
      <c r="A5538" s="14">
        <v>42326.692152777781</v>
      </c>
      <c r="B5538" s="5">
        <v>1</v>
      </c>
    </row>
    <row r="5539" spans="1:2" x14ac:dyDescent="0.35">
      <c r="A5539" s="14">
        <v>42326.69494212963</v>
      </c>
      <c r="B5539" s="5">
        <v>1</v>
      </c>
    </row>
    <row r="5540" spans="1:2" x14ac:dyDescent="0.35">
      <c r="A5540" s="14">
        <v>42326.696006944447</v>
      </c>
      <c r="B5540" s="5">
        <v>1</v>
      </c>
    </row>
    <row r="5541" spans="1:2" x14ac:dyDescent="0.35">
      <c r="A5541" s="14">
        <v>42326.696875000001</v>
      </c>
      <c r="B5541" s="5">
        <v>1</v>
      </c>
    </row>
    <row r="5542" spans="1:2" x14ac:dyDescent="0.35">
      <c r="A5542" s="14">
        <v>42326.702615740738</v>
      </c>
      <c r="B5542" s="5">
        <v>1</v>
      </c>
    </row>
    <row r="5543" spans="1:2" x14ac:dyDescent="0.35">
      <c r="A5543" s="14">
        <v>42326.70449074074</v>
      </c>
      <c r="B5543" s="5">
        <v>1</v>
      </c>
    </row>
    <row r="5544" spans="1:2" x14ac:dyDescent="0.35">
      <c r="A5544" s="14">
        <v>42326.705474537041</v>
      </c>
      <c r="B5544" s="5">
        <v>2</v>
      </c>
    </row>
    <row r="5545" spans="1:2" x14ac:dyDescent="0.35">
      <c r="A5545" s="14">
        <v>42326.70653935185</v>
      </c>
      <c r="B5545" s="5">
        <v>1</v>
      </c>
    </row>
    <row r="5546" spans="1:2" x14ac:dyDescent="0.35">
      <c r="A5546" s="14">
        <v>42326.722650462965</v>
      </c>
      <c r="B5546" s="5">
        <v>1</v>
      </c>
    </row>
    <row r="5547" spans="1:2" x14ac:dyDescent="0.35">
      <c r="A5547" s="14">
        <v>42326.758090277777</v>
      </c>
      <c r="B5547" s="5">
        <v>1</v>
      </c>
    </row>
    <row r="5548" spans="1:2" x14ac:dyDescent="0.35">
      <c r="A5548" s="14">
        <v>42326.761817129627</v>
      </c>
      <c r="B5548" s="5">
        <v>1</v>
      </c>
    </row>
    <row r="5549" spans="1:2" x14ac:dyDescent="0.35">
      <c r="A5549" s="14">
        <v>42326.790196759262</v>
      </c>
      <c r="B5549" s="5">
        <v>1</v>
      </c>
    </row>
    <row r="5550" spans="1:2" x14ac:dyDescent="0.35">
      <c r="A5550" s="14">
        <v>42326.792847222219</v>
      </c>
      <c r="B5550" s="5">
        <v>1</v>
      </c>
    </row>
    <row r="5551" spans="1:2" x14ac:dyDescent="0.35">
      <c r="A5551" s="14">
        <v>42326.80777777778</v>
      </c>
      <c r="B5551" s="5">
        <v>1</v>
      </c>
    </row>
    <row r="5552" spans="1:2" x14ac:dyDescent="0.35">
      <c r="A5552" s="14">
        <v>42326.808842592596</v>
      </c>
      <c r="B5552" s="5">
        <v>1</v>
      </c>
    </row>
    <row r="5553" spans="1:2" x14ac:dyDescent="0.35">
      <c r="A5553" s="14">
        <v>42326.809618055559</v>
      </c>
      <c r="B5553" s="5">
        <v>1</v>
      </c>
    </row>
    <row r="5554" spans="1:2" x14ac:dyDescent="0.35">
      <c r="A5554" s="14">
        <v>42326.809756944444</v>
      </c>
      <c r="B5554" s="5">
        <v>1</v>
      </c>
    </row>
    <row r="5555" spans="1:2" x14ac:dyDescent="0.35">
      <c r="A5555" s="14">
        <v>42326.810300925928</v>
      </c>
      <c r="B5555" s="5">
        <v>1</v>
      </c>
    </row>
    <row r="5556" spans="1:2" x14ac:dyDescent="0.35">
      <c r="A5556" s="14">
        <v>42326.832314814812</v>
      </c>
      <c r="B5556" s="5">
        <v>1</v>
      </c>
    </row>
    <row r="5557" spans="1:2" x14ac:dyDescent="0.35">
      <c r="A5557" s="14">
        <v>42326.835486111115</v>
      </c>
      <c r="B5557" s="5">
        <v>1</v>
      </c>
    </row>
    <row r="5558" spans="1:2" x14ac:dyDescent="0.35">
      <c r="A5558" s="14">
        <v>42326.836724537039</v>
      </c>
      <c r="B5558" s="5">
        <v>2</v>
      </c>
    </row>
    <row r="5559" spans="1:2" x14ac:dyDescent="0.35">
      <c r="A5559" s="14">
        <v>42326.837152777778</v>
      </c>
      <c r="B5559" s="5">
        <v>1</v>
      </c>
    </row>
    <row r="5560" spans="1:2" x14ac:dyDescent="0.35">
      <c r="A5560" s="14">
        <v>42326.837268518517</v>
      </c>
      <c r="B5560" s="5">
        <v>1</v>
      </c>
    </row>
    <row r="5561" spans="1:2" x14ac:dyDescent="0.35">
      <c r="A5561" s="14">
        <v>42326.837314814817</v>
      </c>
      <c r="B5561" s="5">
        <v>1</v>
      </c>
    </row>
    <row r="5562" spans="1:2" x14ac:dyDescent="0.35">
      <c r="A5562" s="14">
        <v>42326.837476851855</v>
      </c>
      <c r="B5562" s="5">
        <v>1</v>
      </c>
    </row>
    <row r="5563" spans="1:2" x14ac:dyDescent="0.35">
      <c r="A5563" s="14">
        <v>42326.837592592594</v>
      </c>
      <c r="B5563" s="5">
        <v>1</v>
      </c>
    </row>
    <row r="5564" spans="1:2" x14ac:dyDescent="0.35">
      <c r="A5564" s="14">
        <v>42326.838819444441</v>
      </c>
      <c r="B5564" s="5">
        <v>1</v>
      </c>
    </row>
    <row r="5565" spans="1:2" x14ac:dyDescent="0.35">
      <c r="A5565" s="14">
        <v>42326.838958333334</v>
      </c>
      <c r="B5565" s="5">
        <v>1</v>
      </c>
    </row>
    <row r="5566" spans="1:2" x14ac:dyDescent="0.35">
      <c r="A5566" s="14">
        <v>42326.838993055557</v>
      </c>
      <c r="B5566" s="5">
        <v>1</v>
      </c>
    </row>
    <row r="5567" spans="1:2" x14ac:dyDescent="0.35">
      <c r="A5567" s="14">
        <v>42326.841597222221</v>
      </c>
      <c r="B5567" s="5">
        <v>1</v>
      </c>
    </row>
    <row r="5568" spans="1:2" x14ac:dyDescent="0.35">
      <c r="A5568" s="14">
        <v>42326.851041666669</v>
      </c>
      <c r="B5568" s="5">
        <v>1</v>
      </c>
    </row>
    <row r="5569" spans="1:2" x14ac:dyDescent="0.35">
      <c r="A5569" s="14">
        <v>42326.860312500001</v>
      </c>
      <c r="B5569" s="5">
        <v>1</v>
      </c>
    </row>
    <row r="5570" spans="1:2" x14ac:dyDescent="0.35">
      <c r="A5570" s="14">
        <v>42326.862083333333</v>
      </c>
      <c r="B5570" s="5">
        <v>1</v>
      </c>
    </row>
    <row r="5571" spans="1:2" x14ac:dyDescent="0.35">
      <c r="A5571" s="14">
        <v>42326.862303240741</v>
      </c>
      <c r="B5571" s="5">
        <v>1</v>
      </c>
    </row>
    <row r="5572" spans="1:2" x14ac:dyDescent="0.35">
      <c r="A5572" s="14">
        <v>42326.862962962965</v>
      </c>
      <c r="B5572" s="5">
        <v>2</v>
      </c>
    </row>
    <row r="5573" spans="1:2" x14ac:dyDescent="0.35">
      <c r="A5573" s="14">
        <v>42326.873240740744</v>
      </c>
      <c r="B5573" s="5">
        <v>1</v>
      </c>
    </row>
    <row r="5574" spans="1:2" x14ac:dyDescent="0.35">
      <c r="A5574" s="14">
        <v>42326.876574074071</v>
      </c>
      <c r="B5574" s="5">
        <v>1</v>
      </c>
    </row>
    <row r="5575" spans="1:2" x14ac:dyDescent="0.35">
      <c r="A5575" s="14">
        <v>42326.877210648148</v>
      </c>
      <c r="B5575" s="5">
        <v>1</v>
      </c>
    </row>
    <row r="5576" spans="1:2" x14ac:dyDescent="0.35">
      <c r="A5576" s="14">
        <v>42326.88422453704</v>
      </c>
      <c r="B5576" s="5">
        <v>1</v>
      </c>
    </row>
    <row r="5577" spans="1:2" x14ac:dyDescent="0.35">
      <c r="A5577" s="14">
        <v>42326.885983796295</v>
      </c>
      <c r="B5577" s="5">
        <v>1</v>
      </c>
    </row>
    <row r="5578" spans="1:2" x14ac:dyDescent="0.35">
      <c r="A5578" s="14">
        <v>42326.890497685185</v>
      </c>
      <c r="B5578" s="5">
        <v>1</v>
      </c>
    </row>
    <row r="5579" spans="1:2" x14ac:dyDescent="0.35">
      <c r="A5579" s="14">
        <v>42326.891238425924</v>
      </c>
      <c r="B5579" s="5">
        <v>1</v>
      </c>
    </row>
    <row r="5580" spans="1:2" x14ac:dyDescent="0.35">
      <c r="A5580" s="14">
        <v>42326.895289351851</v>
      </c>
      <c r="B5580" s="5">
        <v>1</v>
      </c>
    </row>
    <row r="5581" spans="1:2" x14ac:dyDescent="0.35">
      <c r="A5581" s="14">
        <v>42326.899062500001</v>
      </c>
      <c r="B5581" s="5">
        <v>1</v>
      </c>
    </row>
    <row r="5582" spans="1:2" x14ac:dyDescent="0.35">
      <c r="A5582" s="14">
        <v>42326.899398148147</v>
      </c>
      <c r="B5582" s="5">
        <v>1</v>
      </c>
    </row>
    <row r="5583" spans="1:2" x14ac:dyDescent="0.35">
      <c r="A5583" s="14">
        <v>42326.903761574074</v>
      </c>
      <c r="B5583" s="5">
        <v>1</v>
      </c>
    </row>
    <row r="5584" spans="1:2" x14ac:dyDescent="0.35">
      <c r="A5584" s="14">
        <v>42326.904282407406</v>
      </c>
      <c r="B5584" s="5">
        <v>1</v>
      </c>
    </row>
    <row r="5585" spans="1:2" x14ac:dyDescent="0.35">
      <c r="A5585" s="14">
        <v>42326.904999999999</v>
      </c>
      <c r="B5585" s="5">
        <v>1</v>
      </c>
    </row>
    <row r="5586" spans="1:2" x14ac:dyDescent="0.35">
      <c r="A5586" s="14">
        <v>42326.910555555558</v>
      </c>
      <c r="B5586" s="5">
        <v>1</v>
      </c>
    </row>
    <row r="5587" spans="1:2" x14ac:dyDescent="0.35">
      <c r="A5587" s="14">
        <v>42326.91065972222</v>
      </c>
      <c r="B5587" s="5">
        <v>1</v>
      </c>
    </row>
    <row r="5588" spans="1:2" x14ac:dyDescent="0.35">
      <c r="A5588" s="14">
        <v>42326.911087962966</v>
      </c>
      <c r="B5588" s="5">
        <v>1</v>
      </c>
    </row>
    <row r="5589" spans="1:2" x14ac:dyDescent="0.35">
      <c r="A5589" s="14">
        <v>42326.911319444444</v>
      </c>
      <c r="B5589" s="5">
        <v>1</v>
      </c>
    </row>
    <row r="5590" spans="1:2" x14ac:dyDescent="0.35">
      <c r="A5590" s="14">
        <v>42326.917326388888</v>
      </c>
      <c r="B5590" s="5">
        <v>1</v>
      </c>
    </row>
    <row r="5591" spans="1:2" x14ac:dyDescent="0.35">
      <c r="A5591" s="14">
        <v>42326.92560185185</v>
      </c>
      <c r="B5591" s="5">
        <v>1</v>
      </c>
    </row>
    <row r="5592" spans="1:2" x14ac:dyDescent="0.35">
      <c r="A5592" s="14">
        <v>42326.927488425928</v>
      </c>
      <c r="B5592" s="5">
        <v>1</v>
      </c>
    </row>
    <row r="5593" spans="1:2" x14ac:dyDescent="0.35">
      <c r="A5593" s="14">
        <v>42326.928541666668</v>
      </c>
      <c r="B5593" s="5">
        <v>1</v>
      </c>
    </row>
    <row r="5594" spans="1:2" x14ac:dyDescent="0.35">
      <c r="A5594" s="14">
        <v>42326.931250000001</v>
      </c>
      <c r="B5594" s="5">
        <v>1</v>
      </c>
    </row>
    <row r="5595" spans="1:2" x14ac:dyDescent="0.35">
      <c r="A5595" s="14">
        <v>42326.931851851848</v>
      </c>
      <c r="B5595" s="5">
        <v>1</v>
      </c>
    </row>
    <row r="5596" spans="1:2" x14ac:dyDescent="0.35">
      <c r="A5596" s="14">
        <v>42326.932372685187</v>
      </c>
      <c r="B5596" s="5">
        <v>1</v>
      </c>
    </row>
    <row r="5597" spans="1:2" x14ac:dyDescent="0.35">
      <c r="A5597" s="14">
        <v>42326.959687499999</v>
      </c>
      <c r="B5597" s="5">
        <v>1</v>
      </c>
    </row>
    <row r="5598" spans="1:2" x14ac:dyDescent="0.35">
      <c r="A5598" s="14">
        <v>42326.964780092596</v>
      </c>
      <c r="B5598" s="5">
        <v>1</v>
      </c>
    </row>
    <row r="5599" spans="1:2" x14ac:dyDescent="0.35">
      <c r="A5599" s="14">
        <v>42326.977013888885</v>
      </c>
      <c r="B5599" s="5">
        <v>1</v>
      </c>
    </row>
    <row r="5600" spans="1:2" x14ac:dyDescent="0.35">
      <c r="A5600" s="14">
        <v>42326.979166666664</v>
      </c>
      <c r="B5600" s="5">
        <v>1</v>
      </c>
    </row>
    <row r="5601" spans="1:2" x14ac:dyDescent="0.35">
      <c r="A5601" s="14">
        <v>42326.982662037037</v>
      </c>
      <c r="B5601" s="5">
        <v>1</v>
      </c>
    </row>
    <row r="5602" spans="1:2" x14ac:dyDescent="0.35">
      <c r="A5602" s="14">
        <v>42326.984791666669</v>
      </c>
      <c r="B5602" s="5">
        <v>1</v>
      </c>
    </row>
    <row r="5603" spans="1:2" x14ac:dyDescent="0.35">
      <c r="A5603" s="14">
        <v>42326.987511574072</v>
      </c>
      <c r="B5603" s="5">
        <v>1</v>
      </c>
    </row>
    <row r="5604" spans="1:2" x14ac:dyDescent="0.35">
      <c r="A5604" s="14">
        <v>42326.987743055557</v>
      </c>
      <c r="B5604" s="5">
        <v>1</v>
      </c>
    </row>
    <row r="5605" spans="1:2" x14ac:dyDescent="0.35">
      <c r="A5605" s="14">
        <v>42326.992743055554</v>
      </c>
      <c r="B5605" s="5">
        <v>1</v>
      </c>
    </row>
    <row r="5606" spans="1:2" x14ac:dyDescent="0.35">
      <c r="A5606" s="14">
        <v>42326.993680555555</v>
      </c>
      <c r="B5606" s="5">
        <v>1</v>
      </c>
    </row>
    <row r="5607" spans="1:2" x14ac:dyDescent="0.35">
      <c r="A5607" s="14">
        <v>42326.99722222222</v>
      </c>
      <c r="B5607" s="5">
        <v>1</v>
      </c>
    </row>
    <row r="5608" spans="1:2" x14ac:dyDescent="0.35">
      <c r="A5608" s="14">
        <v>42327.001261574071</v>
      </c>
      <c r="B5608" s="5">
        <v>1</v>
      </c>
    </row>
    <row r="5609" spans="1:2" x14ac:dyDescent="0.35">
      <c r="A5609" s="14">
        <v>42327.005185185182</v>
      </c>
      <c r="B5609" s="5">
        <v>1</v>
      </c>
    </row>
    <row r="5610" spans="1:2" x14ac:dyDescent="0.35">
      <c r="A5610" s="14">
        <v>42327.023217592592</v>
      </c>
      <c r="B5610" s="5">
        <v>1</v>
      </c>
    </row>
    <row r="5611" spans="1:2" x14ac:dyDescent="0.35">
      <c r="A5611" s="14">
        <v>42327.028113425928</v>
      </c>
      <c r="B5611" s="5">
        <v>1</v>
      </c>
    </row>
    <row r="5612" spans="1:2" x14ac:dyDescent="0.35">
      <c r="A5612" s="14">
        <v>42327.044236111113</v>
      </c>
      <c r="B5612" s="5">
        <v>1</v>
      </c>
    </row>
    <row r="5613" spans="1:2" x14ac:dyDescent="0.35">
      <c r="A5613" s="14">
        <v>42327.046111111114</v>
      </c>
      <c r="B5613" s="5">
        <v>1</v>
      </c>
    </row>
    <row r="5614" spans="1:2" x14ac:dyDescent="0.35">
      <c r="A5614" s="14">
        <v>42327.051666666666</v>
      </c>
      <c r="B5614" s="5">
        <v>1</v>
      </c>
    </row>
    <row r="5615" spans="1:2" x14ac:dyDescent="0.35">
      <c r="A5615" s="14">
        <v>42327.058877314812</v>
      </c>
      <c r="B5615" s="5">
        <v>1</v>
      </c>
    </row>
    <row r="5616" spans="1:2" x14ac:dyDescent="0.35">
      <c r="A5616" s="14">
        <v>42327.064166666663</v>
      </c>
      <c r="B5616" s="5">
        <v>1</v>
      </c>
    </row>
    <row r="5617" spans="1:2" x14ac:dyDescent="0.35">
      <c r="A5617" s="14">
        <v>42327.067615740743</v>
      </c>
      <c r="B5617" s="5">
        <v>1</v>
      </c>
    </row>
    <row r="5618" spans="1:2" x14ac:dyDescent="0.35">
      <c r="A5618" s="14">
        <v>42327.06925925926</v>
      </c>
      <c r="B5618" s="5">
        <v>1</v>
      </c>
    </row>
    <row r="5619" spans="1:2" x14ac:dyDescent="0.35">
      <c r="A5619" s="14">
        <v>42327.081053240741</v>
      </c>
      <c r="B5619" s="5">
        <v>1</v>
      </c>
    </row>
    <row r="5620" spans="1:2" x14ac:dyDescent="0.35">
      <c r="A5620" s="14">
        <v>42327.085115740738</v>
      </c>
      <c r="B5620" s="5">
        <v>1</v>
      </c>
    </row>
    <row r="5621" spans="1:2" x14ac:dyDescent="0.35">
      <c r="A5621" s="14">
        <v>42327.089386574073</v>
      </c>
      <c r="B5621" s="5">
        <v>1</v>
      </c>
    </row>
    <row r="5622" spans="1:2" x14ac:dyDescent="0.35">
      <c r="A5622" s="14">
        <v>42327.089467592596</v>
      </c>
      <c r="B5622" s="5">
        <v>1</v>
      </c>
    </row>
    <row r="5623" spans="1:2" x14ac:dyDescent="0.35">
      <c r="A5623" s="14">
        <v>42327.09171296296</v>
      </c>
      <c r="B5623" s="5">
        <v>1</v>
      </c>
    </row>
    <row r="5624" spans="1:2" x14ac:dyDescent="0.35">
      <c r="A5624" s="14">
        <v>42327.092314814814</v>
      </c>
      <c r="B5624" s="5">
        <v>1</v>
      </c>
    </row>
    <row r="5625" spans="1:2" x14ac:dyDescent="0.35">
      <c r="A5625" s="14">
        <v>42327.093368055554</v>
      </c>
      <c r="B5625" s="5">
        <v>1</v>
      </c>
    </row>
    <row r="5626" spans="1:2" x14ac:dyDescent="0.35">
      <c r="A5626" s="14">
        <v>42327.093923611108</v>
      </c>
      <c r="B5626" s="5">
        <v>1</v>
      </c>
    </row>
    <row r="5627" spans="1:2" x14ac:dyDescent="0.35">
      <c r="A5627" s="14">
        <v>42327.095995370371</v>
      </c>
      <c r="B5627" s="5">
        <v>1</v>
      </c>
    </row>
    <row r="5628" spans="1:2" x14ac:dyDescent="0.35">
      <c r="A5628" s="14">
        <v>42327.10359953704</v>
      </c>
      <c r="B5628" s="5">
        <v>1</v>
      </c>
    </row>
    <row r="5629" spans="1:2" x14ac:dyDescent="0.35">
      <c r="A5629" s="14">
        <v>42327.108703703707</v>
      </c>
      <c r="B5629" s="5">
        <v>1</v>
      </c>
    </row>
    <row r="5630" spans="1:2" x14ac:dyDescent="0.35">
      <c r="A5630" s="14">
        <v>42327.108796296299</v>
      </c>
      <c r="B5630" s="5">
        <v>1</v>
      </c>
    </row>
    <row r="5631" spans="1:2" x14ac:dyDescent="0.35">
      <c r="A5631" s="14">
        <v>42327.117407407408</v>
      </c>
      <c r="B5631" s="5">
        <v>1</v>
      </c>
    </row>
    <row r="5632" spans="1:2" x14ac:dyDescent="0.35">
      <c r="A5632" s="14">
        <v>42327.120578703703</v>
      </c>
      <c r="B5632" s="5">
        <v>1</v>
      </c>
    </row>
    <row r="5633" spans="1:2" x14ac:dyDescent="0.35">
      <c r="A5633" s="14">
        <v>42327.123078703706</v>
      </c>
      <c r="B5633" s="5">
        <v>1</v>
      </c>
    </row>
    <row r="5634" spans="1:2" x14ac:dyDescent="0.35">
      <c r="A5634" s="14">
        <v>42327.124374999999</v>
      </c>
      <c r="B5634" s="5">
        <v>1</v>
      </c>
    </row>
    <row r="5635" spans="1:2" x14ac:dyDescent="0.35">
      <c r="A5635" s="14">
        <v>42327.126423611109</v>
      </c>
      <c r="B5635" s="5">
        <v>1</v>
      </c>
    </row>
    <row r="5636" spans="1:2" x14ac:dyDescent="0.35">
      <c r="A5636" s="14">
        <v>42327.126446759263</v>
      </c>
      <c r="B5636" s="5">
        <v>1</v>
      </c>
    </row>
    <row r="5637" spans="1:2" x14ac:dyDescent="0.35">
      <c r="A5637" s="14">
        <v>42327.126585648148</v>
      </c>
      <c r="B5637" s="5">
        <v>1</v>
      </c>
    </row>
    <row r="5638" spans="1:2" x14ac:dyDescent="0.35">
      <c r="A5638" s="14">
        <v>42327.145648148151</v>
      </c>
      <c r="B5638" s="5">
        <v>1</v>
      </c>
    </row>
    <row r="5639" spans="1:2" x14ac:dyDescent="0.35">
      <c r="A5639" s="14">
        <v>42327.161504629628</v>
      </c>
      <c r="B5639" s="5">
        <v>1</v>
      </c>
    </row>
    <row r="5640" spans="1:2" x14ac:dyDescent="0.35">
      <c r="A5640" s="14">
        <v>42327.169710648152</v>
      </c>
      <c r="B5640" s="5">
        <v>1</v>
      </c>
    </row>
    <row r="5641" spans="1:2" x14ac:dyDescent="0.35">
      <c r="A5641" s="14">
        <v>42327.207615740743</v>
      </c>
      <c r="B5641" s="5">
        <v>1</v>
      </c>
    </row>
    <row r="5642" spans="1:2" x14ac:dyDescent="0.35">
      <c r="A5642" s="14">
        <v>42327.209849537037</v>
      </c>
      <c r="B5642" s="5">
        <v>1</v>
      </c>
    </row>
    <row r="5643" spans="1:2" x14ac:dyDescent="0.35">
      <c r="A5643" s="14">
        <v>42327.217187499999</v>
      </c>
      <c r="B5643" s="5">
        <v>1</v>
      </c>
    </row>
    <row r="5644" spans="1:2" x14ac:dyDescent="0.35">
      <c r="A5644" s="14">
        <v>42327.235254629632</v>
      </c>
      <c r="B5644" s="5">
        <v>1</v>
      </c>
    </row>
    <row r="5645" spans="1:2" x14ac:dyDescent="0.35">
      <c r="A5645" s="14">
        <v>42327.247002314813</v>
      </c>
      <c r="B5645" s="5">
        <v>1</v>
      </c>
    </row>
    <row r="5646" spans="1:2" x14ac:dyDescent="0.35">
      <c r="A5646" s="14">
        <v>42327.316446759258</v>
      </c>
      <c r="B5646" s="5">
        <v>1</v>
      </c>
    </row>
    <row r="5647" spans="1:2" x14ac:dyDescent="0.35">
      <c r="A5647" s="14">
        <v>42327.326817129629</v>
      </c>
      <c r="B5647" s="5">
        <v>1</v>
      </c>
    </row>
    <row r="5648" spans="1:2" x14ac:dyDescent="0.35">
      <c r="A5648" s="14">
        <v>42327.564629629633</v>
      </c>
      <c r="B5648" s="5">
        <v>1</v>
      </c>
    </row>
    <row r="5649" spans="1:2" x14ac:dyDescent="0.35">
      <c r="A5649" s="14">
        <v>42327.586157407408</v>
      </c>
      <c r="B5649" s="5">
        <v>1</v>
      </c>
    </row>
    <row r="5650" spans="1:2" x14ac:dyDescent="0.35">
      <c r="A5650" s="14">
        <v>42327.593773148146</v>
      </c>
      <c r="B5650" s="5">
        <v>1</v>
      </c>
    </row>
    <row r="5651" spans="1:2" x14ac:dyDescent="0.35">
      <c r="A5651" s="14">
        <v>42327.594618055555</v>
      </c>
      <c r="B5651" s="5">
        <v>1</v>
      </c>
    </row>
    <row r="5652" spans="1:2" x14ac:dyDescent="0.35">
      <c r="A5652" s="14">
        <v>42327.599780092591</v>
      </c>
      <c r="B5652" s="5">
        <v>1</v>
      </c>
    </row>
    <row r="5653" spans="1:2" x14ac:dyDescent="0.35">
      <c r="A5653" s="14">
        <v>42327.600115740737</v>
      </c>
      <c r="B5653" s="5">
        <v>1</v>
      </c>
    </row>
    <row r="5654" spans="1:2" x14ac:dyDescent="0.35">
      <c r="A5654" s="14">
        <v>42327.600231481483</v>
      </c>
      <c r="B5654" s="5">
        <v>1</v>
      </c>
    </row>
    <row r="5655" spans="1:2" x14ac:dyDescent="0.35">
      <c r="A5655" s="14">
        <v>42327.601122685184</v>
      </c>
      <c r="B5655" s="5">
        <v>1</v>
      </c>
    </row>
    <row r="5656" spans="1:2" x14ac:dyDescent="0.35">
      <c r="A5656" s="14">
        <v>42327.602824074071</v>
      </c>
      <c r="B5656" s="5">
        <v>1</v>
      </c>
    </row>
    <row r="5657" spans="1:2" x14ac:dyDescent="0.35">
      <c r="A5657" s="14">
        <v>42327.607465277775</v>
      </c>
      <c r="B5657" s="5">
        <v>1</v>
      </c>
    </row>
    <row r="5658" spans="1:2" x14ac:dyDescent="0.35">
      <c r="A5658" s="14">
        <v>42327.607870370368</v>
      </c>
      <c r="B5658" s="5">
        <v>1</v>
      </c>
    </row>
    <row r="5659" spans="1:2" x14ac:dyDescent="0.35">
      <c r="A5659" s="14">
        <v>42327.608090277776</v>
      </c>
      <c r="B5659" s="5">
        <v>1</v>
      </c>
    </row>
    <row r="5660" spans="1:2" x14ac:dyDescent="0.35">
      <c r="A5660" s="14">
        <v>42327.616944444446</v>
      </c>
      <c r="B5660" s="5">
        <v>1</v>
      </c>
    </row>
    <row r="5661" spans="1:2" x14ac:dyDescent="0.35">
      <c r="A5661" s="14">
        <v>42327.6328125</v>
      </c>
      <c r="B5661" s="5">
        <v>1</v>
      </c>
    </row>
    <row r="5662" spans="1:2" x14ac:dyDescent="0.35">
      <c r="A5662" s="14">
        <v>42327.640127314815</v>
      </c>
      <c r="B5662" s="5">
        <v>1</v>
      </c>
    </row>
    <row r="5663" spans="1:2" x14ac:dyDescent="0.35">
      <c r="A5663" s="14">
        <v>42327.642534722225</v>
      </c>
      <c r="B5663" s="5">
        <v>1</v>
      </c>
    </row>
    <row r="5664" spans="1:2" x14ac:dyDescent="0.35">
      <c r="A5664" s="14">
        <v>42327.645243055558</v>
      </c>
      <c r="B5664" s="5">
        <v>1</v>
      </c>
    </row>
    <row r="5665" spans="1:2" x14ac:dyDescent="0.35">
      <c r="A5665" s="14">
        <v>42327.64775462963</v>
      </c>
      <c r="B5665" s="5">
        <v>1</v>
      </c>
    </row>
    <row r="5666" spans="1:2" x14ac:dyDescent="0.35">
      <c r="A5666" s="14">
        <v>42327.647858796299</v>
      </c>
      <c r="B5666" s="5">
        <v>1</v>
      </c>
    </row>
    <row r="5667" spans="1:2" x14ac:dyDescent="0.35">
      <c r="A5667" s="14">
        <v>42327.648344907408</v>
      </c>
      <c r="B5667" s="5">
        <v>1</v>
      </c>
    </row>
    <row r="5668" spans="1:2" x14ac:dyDescent="0.35">
      <c r="A5668" s="14">
        <v>42327.650902777779</v>
      </c>
      <c r="B5668" s="5">
        <v>1</v>
      </c>
    </row>
    <row r="5669" spans="1:2" x14ac:dyDescent="0.35">
      <c r="A5669" s="14">
        <v>42327.661134259259</v>
      </c>
      <c r="B5669" s="5">
        <v>1</v>
      </c>
    </row>
    <row r="5670" spans="1:2" x14ac:dyDescent="0.35">
      <c r="A5670" s="14">
        <v>42327.673009259262</v>
      </c>
      <c r="B5670" s="5">
        <v>1</v>
      </c>
    </row>
    <row r="5671" spans="1:2" x14ac:dyDescent="0.35">
      <c r="A5671" s="14">
        <v>42327.677256944444</v>
      </c>
      <c r="B5671" s="5">
        <v>1</v>
      </c>
    </row>
    <row r="5672" spans="1:2" x14ac:dyDescent="0.35">
      <c r="A5672" s="14">
        <v>42327.680497685185</v>
      </c>
      <c r="B5672" s="5">
        <v>1</v>
      </c>
    </row>
    <row r="5673" spans="1:2" x14ac:dyDescent="0.35">
      <c r="A5673" s="14">
        <v>42327.681064814817</v>
      </c>
      <c r="B5673" s="5">
        <v>1</v>
      </c>
    </row>
    <row r="5674" spans="1:2" x14ac:dyDescent="0.35">
      <c r="A5674" s="14">
        <v>42327.681111111109</v>
      </c>
      <c r="B5674" s="5">
        <v>1</v>
      </c>
    </row>
    <row r="5675" spans="1:2" x14ac:dyDescent="0.35">
      <c r="A5675" s="14">
        <v>42327.681828703702</v>
      </c>
      <c r="B5675" s="5">
        <v>1</v>
      </c>
    </row>
    <row r="5676" spans="1:2" x14ac:dyDescent="0.35">
      <c r="A5676" s="14">
        <v>42327.682835648149</v>
      </c>
      <c r="B5676" s="5">
        <v>1</v>
      </c>
    </row>
    <row r="5677" spans="1:2" x14ac:dyDescent="0.35">
      <c r="A5677" s="14">
        <v>42327.689201388886</v>
      </c>
      <c r="B5677" s="5">
        <v>1</v>
      </c>
    </row>
    <row r="5678" spans="1:2" x14ac:dyDescent="0.35">
      <c r="A5678" s="14">
        <v>42327.689664351848</v>
      </c>
      <c r="B5678" s="5">
        <v>1</v>
      </c>
    </row>
    <row r="5679" spans="1:2" x14ac:dyDescent="0.35">
      <c r="A5679" s="14">
        <v>42327.715324074074</v>
      </c>
      <c r="B5679" s="5">
        <v>1</v>
      </c>
    </row>
    <row r="5680" spans="1:2" x14ac:dyDescent="0.35">
      <c r="A5680" s="14">
        <v>42327.729317129626</v>
      </c>
      <c r="B5680" s="5">
        <v>1</v>
      </c>
    </row>
    <row r="5681" spans="1:2" x14ac:dyDescent="0.35">
      <c r="A5681" s="14">
        <v>42327.734074074076</v>
      </c>
      <c r="B5681" s="5">
        <v>1</v>
      </c>
    </row>
    <row r="5682" spans="1:2" x14ac:dyDescent="0.35">
      <c r="A5682" s="14">
        <v>42327.734317129631</v>
      </c>
      <c r="B5682" s="5">
        <v>1</v>
      </c>
    </row>
    <row r="5683" spans="1:2" x14ac:dyDescent="0.35">
      <c r="A5683" s="14">
        <v>42327.753483796296</v>
      </c>
      <c r="B5683" s="5">
        <v>1</v>
      </c>
    </row>
    <row r="5684" spans="1:2" x14ac:dyDescent="0.35">
      <c r="A5684" s="14">
        <v>42327.762013888889</v>
      </c>
      <c r="B5684" s="5">
        <v>1</v>
      </c>
    </row>
    <row r="5685" spans="1:2" x14ac:dyDescent="0.35">
      <c r="A5685" s="14">
        <v>42327.763842592591</v>
      </c>
      <c r="B5685" s="5">
        <v>1</v>
      </c>
    </row>
    <row r="5686" spans="1:2" x14ac:dyDescent="0.35">
      <c r="A5686" s="14">
        <v>42327.771365740744</v>
      </c>
      <c r="B5686" s="5">
        <v>1</v>
      </c>
    </row>
    <row r="5687" spans="1:2" x14ac:dyDescent="0.35">
      <c r="A5687" s="14">
        <v>42327.771620370368</v>
      </c>
      <c r="B5687" s="5">
        <v>1</v>
      </c>
    </row>
    <row r="5688" spans="1:2" x14ac:dyDescent="0.35">
      <c r="A5688" s="14">
        <v>42327.772048611114</v>
      </c>
      <c r="B5688" s="5">
        <v>1</v>
      </c>
    </row>
    <row r="5689" spans="1:2" x14ac:dyDescent="0.35">
      <c r="A5689" s="14">
        <v>42327.777395833335</v>
      </c>
      <c r="B5689" s="5">
        <v>1</v>
      </c>
    </row>
    <row r="5690" spans="1:2" x14ac:dyDescent="0.35">
      <c r="A5690" s="14">
        <v>42327.779675925929</v>
      </c>
      <c r="B5690" s="5">
        <v>1</v>
      </c>
    </row>
    <row r="5691" spans="1:2" x14ac:dyDescent="0.35">
      <c r="A5691" s="14">
        <v>42327.787592592591</v>
      </c>
      <c r="B5691" s="5">
        <v>1</v>
      </c>
    </row>
    <row r="5692" spans="1:2" x14ac:dyDescent="0.35">
      <c r="A5692" s="14">
        <v>42327.79519675926</v>
      </c>
      <c r="B5692" s="5">
        <v>1</v>
      </c>
    </row>
    <row r="5693" spans="1:2" x14ac:dyDescent="0.35">
      <c r="A5693" s="14">
        <v>42327.797002314815</v>
      </c>
      <c r="B5693" s="5">
        <v>1</v>
      </c>
    </row>
    <row r="5694" spans="1:2" x14ac:dyDescent="0.35">
      <c r="A5694" s="14">
        <v>42327.821909722225</v>
      </c>
      <c r="B5694" s="5">
        <v>1</v>
      </c>
    </row>
    <row r="5695" spans="1:2" x14ac:dyDescent="0.35">
      <c r="A5695" s="14">
        <v>42327.824999999997</v>
      </c>
      <c r="B5695" s="5">
        <v>1</v>
      </c>
    </row>
    <row r="5696" spans="1:2" x14ac:dyDescent="0.35">
      <c r="A5696" s="14">
        <v>42327.83085648148</v>
      </c>
      <c r="B5696" s="5">
        <v>1</v>
      </c>
    </row>
    <row r="5697" spans="1:2" x14ac:dyDescent="0.35">
      <c r="A5697" s="14">
        <v>42327.835324074076</v>
      </c>
      <c r="B5697" s="5">
        <v>1</v>
      </c>
    </row>
    <row r="5698" spans="1:2" x14ac:dyDescent="0.35">
      <c r="A5698" s="14">
        <v>42327.843217592592</v>
      </c>
      <c r="B5698" s="5">
        <v>1</v>
      </c>
    </row>
    <row r="5699" spans="1:2" x14ac:dyDescent="0.35">
      <c r="A5699" s="14">
        <v>42327.875775462962</v>
      </c>
      <c r="B5699" s="5">
        <v>1</v>
      </c>
    </row>
    <row r="5700" spans="1:2" x14ac:dyDescent="0.35">
      <c r="A5700" s="14">
        <v>42327.881990740738</v>
      </c>
      <c r="B5700" s="5">
        <v>1</v>
      </c>
    </row>
    <row r="5701" spans="1:2" x14ac:dyDescent="0.35">
      <c r="A5701" s="14">
        <v>42327.903055555558</v>
      </c>
      <c r="B5701" s="5">
        <v>1</v>
      </c>
    </row>
    <row r="5702" spans="1:2" x14ac:dyDescent="0.35">
      <c r="A5702" s="14">
        <v>42327.903379629628</v>
      </c>
      <c r="B5702" s="5">
        <v>2</v>
      </c>
    </row>
    <row r="5703" spans="1:2" x14ac:dyDescent="0.35">
      <c r="A5703" s="14">
        <v>42327.904409722221</v>
      </c>
      <c r="B5703" s="5">
        <v>1</v>
      </c>
    </row>
    <row r="5704" spans="1:2" x14ac:dyDescent="0.35">
      <c r="A5704" s="14">
        <v>42327.915277777778</v>
      </c>
      <c r="B5704" s="5">
        <v>1</v>
      </c>
    </row>
    <row r="5705" spans="1:2" x14ac:dyDescent="0.35">
      <c r="A5705" s="14">
        <v>42327.916215277779</v>
      </c>
      <c r="B5705" s="5">
        <v>1</v>
      </c>
    </row>
    <row r="5706" spans="1:2" x14ac:dyDescent="0.35">
      <c r="A5706" s="14">
        <v>42327.919560185182</v>
      </c>
      <c r="B5706" s="5">
        <v>1</v>
      </c>
    </row>
    <row r="5707" spans="1:2" x14ac:dyDescent="0.35">
      <c r="A5707" s="14">
        <v>42327.920717592591</v>
      </c>
      <c r="B5707" s="5">
        <v>1</v>
      </c>
    </row>
    <row r="5708" spans="1:2" x14ac:dyDescent="0.35">
      <c r="A5708" s="14">
        <v>42327.925011574072</v>
      </c>
      <c r="B5708" s="5">
        <v>1</v>
      </c>
    </row>
    <row r="5709" spans="1:2" x14ac:dyDescent="0.35">
      <c r="A5709" s="14">
        <v>42327.928148148145</v>
      </c>
      <c r="B5709" s="5">
        <v>1</v>
      </c>
    </row>
    <row r="5710" spans="1:2" x14ac:dyDescent="0.35">
      <c r="A5710" s="14">
        <v>42327.941157407404</v>
      </c>
      <c r="B5710" s="5">
        <v>1</v>
      </c>
    </row>
    <row r="5711" spans="1:2" x14ac:dyDescent="0.35">
      <c r="A5711" s="14">
        <v>42327.949317129627</v>
      </c>
      <c r="B5711" s="5">
        <v>1</v>
      </c>
    </row>
    <row r="5712" spans="1:2" x14ac:dyDescent="0.35">
      <c r="A5712" s="14">
        <v>42327.960138888891</v>
      </c>
      <c r="B5712" s="5">
        <v>1</v>
      </c>
    </row>
    <row r="5713" spans="1:2" x14ac:dyDescent="0.35">
      <c r="A5713" s="14">
        <v>42327.964722222219</v>
      </c>
      <c r="B5713" s="5">
        <v>1</v>
      </c>
    </row>
    <row r="5714" spans="1:2" x14ac:dyDescent="0.35">
      <c r="A5714" s="14">
        <v>42327.985625000001</v>
      </c>
      <c r="B5714" s="5">
        <v>1</v>
      </c>
    </row>
    <row r="5715" spans="1:2" x14ac:dyDescent="0.35">
      <c r="A5715" s="14">
        <v>42327.989675925928</v>
      </c>
      <c r="B5715" s="5">
        <v>1</v>
      </c>
    </row>
    <row r="5716" spans="1:2" x14ac:dyDescent="0.35">
      <c r="A5716" s="14">
        <v>42327.99</v>
      </c>
      <c r="B5716" s="5">
        <v>1</v>
      </c>
    </row>
    <row r="5717" spans="1:2" x14ac:dyDescent="0.35">
      <c r="A5717" s="14">
        <v>42327.990983796299</v>
      </c>
      <c r="B5717" s="5">
        <v>1</v>
      </c>
    </row>
    <row r="5718" spans="1:2" x14ac:dyDescent="0.35">
      <c r="A5718" s="14">
        <v>42327.997372685182</v>
      </c>
      <c r="B5718" s="5">
        <v>1</v>
      </c>
    </row>
    <row r="5719" spans="1:2" x14ac:dyDescent="0.35">
      <c r="A5719" s="14">
        <v>42327.999837962961</v>
      </c>
      <c r="B5719" s="5">
        <v>1</v>
      </c>
    </row>
    <row r="5720" spans="1:2" x14ac:dyDescent="0.35">
      <c r="A5720" s="14">
        <v>42328.012245370373</v>
      </c>
      <c r="B5720" s="5">
        <v>1</v>
      </c>
    </row>
    <row r="5721" spans="1:2" x14ac:dyDescent="0.35">
      <c r="A5721" s="14">
        <v>42328.024212962962</v>
      </c>
      <c r="B5721" s="5">
        <v>1</v>
      </c>
    </row>
    <row r="5722" spans="1:2" x14ac:dyDescent="0.35">
      <c r="A5722" s="14">
        <v>42328.04546296296</v>
      </c>
      <c r="B5722" s="5">
        <v>1</v>
      </c>
    </row>
    <row r="5723" spans="1:2" x14ac:dyDescent="0.35">
      <c r="A5723" s="14">
        <v>42328.112280092595</v>
      </c>
      <c r="B5723" s="5">
        <v>1</v>
      </c>
    </row>
    <row r="5724" spans="1:2" x14ac:dyDescent="0.35">
      <c r="A5724" s="14">
        <v>42328.121539351851</v>
      </c>
      <c r="B5724" s="5">
        <v>1</v>
      </c>
    </row>
    <row r="5725" spans="1:2" x14ac:dyDescent="0.35">
      <c r="A5725" s="14">
        <v>42328.155370370368</v>
      </c>
      <c r="B5725" s="5">
        <v>1</v>
      </c>
    </row>
    <row r="5726" spans="1:2" x14ac:dyDescent="0.35">
      <c r="A5726" s="14">
        <v>42328.159571759257</v>
      </c>
      <c r="B5726" s="5">
        <v>1</v>
      </c>
    </row>
    <row r="5727" spans="1:2" x14ac:dyDescent="0.35">
      <c r="A5727" s="14">
        <v>42328.179525462961</v>
      </c>
      <c r="B5727" s="5">
        <v>1</v>
      </c>
    </row>
    <row r="5728" spans="1:2" x14ac:dyDescent="0.35">
      <c r="A5728" s="14">
        <v>42328.19840277778</v>
      </c>
      <c r="B5728" s="5">
        <v>1</v>
      </c>
    </row>
    <row r="5729" spans="1:2" x14ac:dyDescent="0.35">
      <c r="A5729" s="14">
        <v>42328.212997685187</v>
      </c>
      <c r="B5729" s="5">
        <v>1</v>
      </c>
    </row>
    <row r="5730" spans="1:2" x14ac:dyDescent="0.35">
      <c r="A5730" s="14">
        <v>42328.214247685188</v>
      </c>
      <c r="B5730" s="5">
        <v>1</v>
      </c>
    </row>
    <row r="5731" spans="1:2" x14ac:dyDescent="0.35">
      <c r="A5731" s="14">
        <v>42328.228368055556</v>
      </c>
      <c r="B5731" s="5">
        <v>1</v>
      </c>
    </row>
    <row r="5732" spans="1:2" x14ac:dyDescent="0.35">
      <c r="A5732" s="14">
        <v>42328.270277777781</v>
      </c>
      <c r="B5732" s="5">
        <v>1</v>
      </c>
    </row>
    <row r="5733" spans="1:2" x14ac:dyDescent="0.35">
      <c r="A5733" s="14">
        <v>42328.415208333332</v>
      </c>
      <c r="B5733" s="5">
        <v>1</v>
      </c>
    </row>
    <row r="5734" spans="1:2" x14ac:dyDescent="0.35">
      <c r="A5734" s="14">
        <v>42328.545219907406</v>
      </c>
      <c r="B5734" s="5">
        <v>1</v>
      </c>
    </row>
    <row r="5735" spans="1:2" x14ac:dyDescent="0.35">
      <c r="A5735" s="14">
        <v>42328.546006944445</v>
      </c>
      <c r="B5735" s="5">
        <v>1</v>
      </c>
    </row>
    <row r="5736" spans="1:2" x14ac:dyDescent="0.35">
      <c r="A5736" s="14">
        <v>42328.555613425924</v>
      </c>
      <c r="B5736" s="5">
        <v>1</v>
      </c>
    </row>
    <row r="5737" spans="1:2" x14ac:dyDescent="0.35">
      <c r="A5737" s="14">
        <v>42328.558240740742</v>
      </c>
      <c r="B5737" s="5">
        <v>1</v>
      </c>
    </row>
    <row r="5738" spans="1:2" x14ac:dyDescent="0.35">
      <c r="A5738" s="14">
        <v>42328.562314814815</v>
      </c>
      <c r="B5738" s="5">
        <v>1</v>
      </c>
    </row>
    <row r="5739" spans="1:2" x14ac:dyDescent="0.35">
      <c r="A5739" s="14">
        <v>42328.562395833331</v>
      </c>
      <c r="B5739" s="5">
        <v>1</v>
      </c>
    </row>
    <row r="5740" spans="1:2" x14ac:dyDescent="0.35">
      <c r="A5740" s="14">
        <v>42328.565775462965</v>
      </c>
      <c r="B5740" s="5">
        <v>1</v>
      </c>
    </row>
    <row r="5741" spans="1:2" x14ac:dyDescent="0.35">
      <c r="A5741" s="14">
        <v>42328.566724537035</v>
      </c>
      <c r="B5741" s="5">
        <v>1</v>
      </c>
    </row>
    <row r="5742" spans="1:2" x14ac:dyDescent="0.35">
      <c r="A5742" s="14">
        <v>42328.568969907406</v>
      </c>
      <c r="B5742" s="5">
        <v>1</v>
      </c>
    </row>
    <row r="5743" spans="1:2" x14ac:dyDescent="0.35">
      <c r="A5743" s="14">
        <v>42328.573622685188</v>
      </c>
      <c r="B5743" s="5">
        <v>1</v>
      </c>
    </row>
    <row r="5744" spans="1:2" x14ac:dyDescent="0.35">
      <c r="A5744" s="14">
        <v>42328.574062500003</v>
      </c>
      <c r="B5744" s="5">
        <v>1</v>
      </c>
    </row>
    <row r="5745" spans="1:2" x14ac:dyDescent="0.35">
      <c r="A5745" s="14">
        <v>42328.57708333333</v>
      </c>
      <c r="B5745" s="5">
        <v>1</v>
      </c>
    </row>
    <row r="5746" spans="1:2" x14ac:dyDescent="0.35">
      <c r="A5746" s="14">
        <v>42328.595335648148</v>
      </c>
      <c r="B5746" s="5">
        <v>1</v>
      </c>
    </row>
    <row r="5747" spans="1:2" x14ac:dyDescent="0.35">
      <c r="A5747" s="14">
        <v>42328.596574074072</v>
      </c>
      <c r="B5747" s="5">
        <v>1</v>
      </c>
    </row>
    <row r="5748" spans="1:2" x14ac:dyDescent="0.35">
      <c r="A5748" s="14">
        <v>42328.598078703704</v>
      </c>
      <c r="B5748" s="5">
        <v>1</v>
      </c>
    </row>
    <row r="5749" spans="1:2" x14ac:dyDescent="0.35">
      <c r="A5749" s="14">
        <v>42328.598969907405</v>
      </c>
      <c r="B5749" s="5">
        <v>1</v>
      </c>
    </row>
    <row r="5750" spans="1:2" x14ac:dyDescent="0.35">
      <c r="A5750" s="14">
        <v>42328.600347222222</v>
      </c>
      <c r="B5750" s="5">
        <v>1</v>
      </c>
    </row>
    <row r="5751" spans="1:2" x14ac:dyDescent="0.35">
      <c r="A5751" s="14">
        <v>42328.601319444446</v>
      </c>
      <c r="B5751" s="5">
        <v>1</v>
      </c>
    </row>
    <row r="5752" spans="1:2" x14ac:dyDescent="0.35">
      <c r="A5752" s="14">
        <v>42328.608275462961</v>
      </c>
      <c r="B5752" s="5">
        <v>1</v>
      </c>
    </row>
    <row r="5753" spans="1:2" x14ac:dyDescent="0.35">
      <c r="A5753" s="14">
        <v>42328.608356481483</v>
      </c>
      <c r="B5753" s="5">
        <v>1</v>
      </c>
    </row>
    <row r="5754" spans="1:2" x14ac:dyDescent="0.35">
      <c r="A5754" s="14">
        <v>42328.611817129633</v>
      </c>
      <c r="B5754" s="5">
        <v>1</v>
      </c>
    </row>
    <row r="5755" spans="1:2" x14ac:dyDescent="0.35">
      <c r="A5755" s="14">
        <v>42328.618449074071</v>
      </c>
      <c r="B5755" s="5">
        <v>1</v>
      </c>
    </row>
    <row r="5756" spans="1:2" x14ac:dyDescent="0.35">
      <c r="A5756" s="14">
        <v>42328.621215277781</v>
      </c>
      <c r="B5756" s="5">
        <v>1</v>
      </c>
    </row>
    <row r="5757" spans="1:2" x14ac:dyDescent="0.35">
      <c r="A5757" s="14">
        <v>42328.621261574073</v>
      </c>
      <c r="B5757" s="5">
        <v>1</v>
      </c>
    </row>
    <row r="5758" spans="1:2" x14ac:dyDescent="0.35">
      <c r="A5758" s="14">
        <v>42328.648819444446</v>
      </c>
      <c r="B5758" s="5">
        <v>1</v>
      </c>
    </row>
    <row r="5759" spans="1:2" x14ac:dyDescent="0.35">
      <c r="A5759" s="14">
        <v>42328.655844907407</v>
      </c>
      <c r="B5759" s="5">
        <v>1</v>
      </c>
    </row>
    <row r="5760" spans="1:2" x14ac:dyDescent="0.35">
      <c r="A5760" s="14">
        <v>42328.661423611113</v>
      </c>
      <c r="B5760" s="5">
        <v>1</v>
      </c>
    </row>
    <row r="5761" spans="1:2" x14ac:dyDescent="0.35">
      <c r="A5761" s="14">
        <v>42328.676516203705</v>
      </c>
      <c r="B5761" s="5">
        <v>1</v>
      </c>
    </row>
    <row r="5762" spans="1:2" x14ac:dyDescent="0.35">
      <c r="A5762" s="14">
        <v>42328.694745370369</v>
      </c>
      <c r="B5762" s="5">
        <v>1</v>
      </c>
    </row>
    <row r="5763" spans="1:2" x14ac:dyDescent="0.35">
      <c r="A5763" s="14">
        <v>42328.703483796293</v>
      </c>
      <c r="B5763" s="5">
        <v>1</v>
      </c>
    </row>
    <row r="5764" spans="1:2" x14ac:dyDescent="0.35">
      <c r="A5764" s="14">
        <v>42328.704398148147</v>
      </c>
      <c r="B5764" s="5">
        <v>1</v>
      </c>
    </row>
    <row r="5765" spans="1:2" x14ac:dyDescent="0.35">
      <c r="A5765" s="14">
        <v>42328.708182870374</v>
      </c>
      <c r="B5765" s="5">
        <v>1</v>
      </c>
    </row>
    <row r="5766" spans="1:2" x14ac:dyDescent="0.35">
      <c r="A5766" s="14">
        <v>42328.710358796299</v>
      </c>
      <c r="B5766" s="5">
        <v>1</v>
      </c>
    </row>
    <row r="5767" spans="1:2" x14ac:dyDescent="0.35">
      <c r="A5767" s="14">
        <v>42328.716423611113</v>
      </c>
      <c r="B5767" s="5">
        <v>1</v>
      </c>
    </row>
    <row r="5768" spans="1:2" x14ac:dyDescent="0.35">
      <c r="A5768" s="14">
        <v>42328.719525462962</v>
      </c>
      <c r="B5768" s="5">
        <v>1</v>
      </c>
    </row>
    <row r="5769" spans="1:2" x14ac:dyDescent="0.35">
      <c r="A5769" s="14">
        <v>42328.73951388889</v>
      </c>
      <c r="B5769" s="5">
        <v>1</v>
      </c>
    </row>
    <row r="5770" spans="1:2" x14ac:dyDescent="0.35">
      <c r="A5770" s="14">
        <v>42328.746944444443</v>
      </c>
      <c r="B5770" s="5">
        <v>1</v>
      </c>
    </row>
    <row r="5771" spans="1:2" x14ac:dyDescent="0.35">
      <c r="A5771" s="14">
        <v>42328.751435185186</v>
      </c>
      <c r="B5771" s="5">
        <v>1</v>
      </c>
    </row>
    <row r="5772" spans="1:2" x14ac:dyDescent="0.35">
      <c r="A5772" s="14">
        <v>42328.762256944443</v>
      </c>
      <c r="B5772" s="5">
        <v>1</v>
      </c>
    </row>
    <row r="5773" spans="1:2" x14ac:dyDescent="0.35">
      <c r="A5773" s="14">
        <v>42328.783888888887</v>
      </c>
      <c r="B5773" s="5">
        <v>1</v>
      </c>
    </row>
    <row r="5774" spans="1:2" x14ac:dyDescent="0.35">
      <c r="A5774" s="14">
        <v>42328.787951388891</v>
      </c>
      <c r="B5774" s="5">
        <v>1</v>
      </c>
    </row>
    <row r="5775" spans="1:2" x14ac:dyDescent="0.35">
      <c r="A5775" s="14">
        <v>42328.795312499999</v>
      </c>
      <c r="B5775" s="5">
        <v>1</v>
      </c>
    </row>
    <row r="5776" spans="1:2" x14ac:dyDescent="0.35">
      <c r="A5776" s="14">
        <v>42328.842789351853</v>
      </c>
      <c r="B5776" s="5">
        <v>1</v>
      </c>
    </row>
    <row r="5777" spans="1:2" x14ac:dyDescent="0.35">
      <c r="A5777" s="14">
        <v>42328.848738425928</v>
      </c>
      <c r="B5777" s="5">
        <v>1</v>
      </c>
    </row>
    <row r="5778" spans="1:2" x14ac:dyDescent="0.35">
      <c r="A5778" s="14">
        <v>42328.849189814813</v>
      </c>
      <c r="B5778" s="5">
        <v>1</v>
      </c>
    </row>
    <row r="5779" spans="1:2" x14ac:dyDescent="0.35">
      <c r="A5779" s="14">
        <v>42328.881655092591</v>
      </c>
      <c r="B5779" s="5">
        <v>1</v>
      </c>
    </row>
    <row r="5780" spans="1:2" x14ac:dyDescent="0.35">
      <c r="A5780" s="14">
        <v>42328.899236111109</v>
      </c>
      <c r="B5780" s="5">
        <v>1</v>
      </c>
    </row>
    <row r="5781" spans="1:2" x14ac:dyDescent="0.35">
      <c r="A5781" s="14">
        <v>42328.899398148147</v>
      </c>
      <c r="B5781" s="5">
        <v>1</v>
      </c>
    </row>
    <row r="5782" spans="1:2" x14ac:dyDescent="0.35">
      <c r="A5782" s="14">
        <v>42328.905659722222</v>
      </c>
      <c r="B5782" s="5">
        <v>1</v>
      </c>
    </row>
    <row r="5783" spans="1:2" x14ac:dyDescent="0.35">
      <c r="A5783" s="14">
        <v>42328.917893518519</v>
      </c>
      <c r="B5783" s="5">
        <v>1</v>
      </c>
    </row>
    <row r="5784" spans="1:2" x14ac:dyDescent="0.35">
      <c r="A5784" s="14">
        <v>42328.92150462963</v>
      </c>
      <c r="B5784" s="5">
        <v>1</v>
      </c>
    </row>
    <row r="5785" spans="1:2" x14ac:dyDescent="0.35">
      <c r="A5785" s="14">
        <v>42328.948379629626</v>
      </c>
      <c r="B5785" s="5">
        <v>1</v>
      </c>
    </row>
    <row r="5786" spans="1:2" x14ac:dyDescent="0.35">
      <c r="A5786" s="14">
        <v>42328.995740740742</v>
      </c>
      <c r="B5786" s="5">
        <v>1</v>
      </c>
    </row>
    <row r="5787" spans="1:2" x14ac:dyDescent="0.35">
      <c r="A5787" s="14">
        <v>42329.000810185185</v>
      </c>
      <c r="B5787" s="5">
        <v>1</v>
      </c>
    </row>
    <row r="5788" spans="1:2" x14ac:dyDescent="0.35">
      <c r="A5788" s="14">
        <v>42329.00472222222</v>
      </c>
      <c r="B5788" s="5">
        <v>1</v>
      </c>
    </row>
    <row r="5789" spans="1:2" x14ac:dyDescent="0.35">
      <c r="A5789" s="14">
        <v>42329.008715277778</v>
      </c>
      <c r="B5789" s="5">
        <v>1</v>
      </c>
    </row>
    <row r="5790" spans="1:2" x14ac:dyDescent="0.35">
      <c r="A5790" s="14">
        <v>42329.070462962962</v>
      </c>
      <c r="B5790" s="5">
        <v>1</v>
      </c>
    </row>
    <row r="5791" spans="1:2" x14ac:dyDescent="0.35">
      <c r="A5791" s="14">
        <v>42329.072870370372</v>
      </c>
      <c r="B5791" s="5">
        <v>1</v>
      </c>
    </row>
    <row r="5792" spans="1:2" x14ac:dyDescent="0.35">
      <c r="A5792" s="14">
        <v>42329.075370370374</v>
      </c>
      <c r="B5792" s="5">
        <v>1</v>
      </c>
    </row>
    <row r="5793" spans="1:2" x14ac:dyDescent="0.35">
      <c r="A5793" s="14">
        <v>42329.077337962961</v>
      </c>
      <c r="B5793" s="5">
        <v>1</v>
      </c>
    </row>
    <row r="5794" spans="1:2" x14ac:dyDescent="0.35">
      <c r="A5794" s="14">
        <v>42329.124027777776</v>
      </c>
      <c r="B5794" s="5">
        <v>1</v>
      </c>
    </row>
    <row r="5795" spans="1:2" x14ac:dyDescent="0.35">
      <c r="A5795" s="14">
        <v>42329.142013888886</v>
      </c>
      <c r="B5795" s="5">
        <v>1</v>
      </c>
    </row>
    <row r="5796" spans="1:2" x14ac:dyDescent="0.35">
      <c r="A5796" s="14">
        <v>42329.189942129633</v>
      </c>
      <c r="B5796" s="5">
        <v>1</v>
      </c>
    </row>
    <row r="5797" spans="1:2" x14ac:dyDescent="0.35">
      <c r="A5797" s="14">
        <v>42329.218171296299</v>
      </c>
      <c r="B5797" s="5">
        <v>1</v>
      </c>
    </row>
    <row r="5798" spans="1:2" x14ac:dyDescent="0.35">
      <c r="A5798" s="14">
        <v>42329.237719907411</v>
      </c>
      <c r="B5798" s="5">
        <v>1</v>
      </c>
    </row>
    <row r="5799" spans="1:2" x14ac:dyDescent="0.35">
      <c r="A5799" s="14">
        <v>42329.25854166667</v>
      </c>
      <c r="B5799" s="5">
        <v>1</v>
      </c>
    </row>
    <row r="5800" spans="1:2" x14ac:dyDescent="0.35">
      <c r="A5800" s="14">
        <v>42329.603460648148</v>
      </c>
      <c r="B5800" s="5">
        <v>1</v>
      </c>
    </row>
    <row r="5801" spans="1:2" x14ac:dyDescent="0.35">
      <c r="A5801" s="14">
        <v>42329.671273148146</v>
      </c>
      <c r="B5801" s="5">
        <v>1</v>
      </c>
    </row>
    <row r="5802" spans="1:2" x14ac:dyDescent="0.35">
      <c r="A5802" s="14">
        <v>42329.685104166667</v>
      </c>
      <c r="B5802" s="5">
        <v>1</v>
      </c>
    </row>
    <row r="5803" spans="1:2" x14ac:dyDescent="0.35">
      <c r="A5803" s="14">
        <v>42329.687025462961</v>
      </c>
      <c r="B5803" s="5">
        <v>1</v>
      </c>
    </row>
    <row r="5804" spans="1:2" x14ac:dyDescent="0.35">
      <c r="A5804" s="14">
        <v>42329.697835648149</v>
      </c>
      <c r="B5804" s="5">
        <v>1</v>
      </c>
    </row>
    <row r="5805" spans="1:2" x14ac:dyDescent="0.35">
      <c r="A5805" s="14">
        <v>42329.713796296295</v>
      </c>
      <c r="B5805" s="5">
        <v>1</v>
      </c>
    </row>
    <row r="5806" spans="1:2" x14ac:dyDescent="0.35">
      <c r="A5806" s="14">
        <v>42329.718564814815</v>
      </c>
      <c r="B5806" s="5">
        <v>1</v>
      </c>
    </row>
    <row r="5807" spans="1:2" x14ac:dyDescent="0.35">
      <c r="A5807" s="14">
        <v>42329.726747685185</v>
      </c>
      <c r="B5807" s="5">
        <v>1</v>
      </c>
    </row>
    <row r="5808" spans="1:2" x14ac:dyDescent="0.35">
      <c r="A5808" s="14">
        <v>42329.739421296297</v>
      </c>
      <c r="B5808" s="5">
        <v>1</v>
      </c>
    </row>
    <row r="5809" spans="1:2" x14ac:dyDescent="0.35">
      <c r="A5809" s="14">
        <v>42329.748148148145</v>
      </c>
      <c r="B5809" s="5">
        <v>1</v>
      </c>
    </row>
    <row r="5810" spans="1:2" x14ac:dyDescent="0.35">
      <c r="A5810" s="14">
        <v>42329.749155092592</v>
      </c>
      <c r="B5810" s="5">
        <v>1</v>
      </c>
    </row>
    <row r="5811" spans="1:2" x14ac:dyDescent="0.35">
      <c r="A5811" s="14">
        <v>42329.752488425926</v>
      </c>
      <c r="B5811" s="5">
        <v>1</v>
      </c>
    </row>
    <row r="5812" spans="1:2" x14ac:dyDescent="0.35">
      <c r="A5812" s="14">
        <v>42329.752916666665</v>
      </c>
      <c r="B5812" s="5">
        <v>1</v>
      </c>
    </row>
    <row r="5813" spans="1:2" x14ac:dyDescent="0.35">
      <c r="A5813" s="14">
        <v>42329.757453703707</v>
      </c>
      <c r="B5813" s="5">
        <v>1</v>
      </c>
    </row>
    <row r="5814" spans="1:2" x14ac:dyDescent="0.35">
      <c r="A5814" s="14">
        <v>42329.759710648148</v>
      </c>
      <c r="B5814" s="5">
        <v>1</v>
      </c>
    </row>
    <row r="5815" spans="1:2" x14ac:dyDescent="0.35">
      <c r="A5815" s="14">
        <v>42329.763206018521</v>
      </c>
      <c r="B5815" s="5">
        <v>1</v>
      </c>
    </row>
    <row r="5816" spans="1:2" x14ac:dyDescent="0.35">
      <c r="A5816" s="14">
        <v>42329.80127314815</v>
      </c>
      <c r="B5816" s="5">
        <v>1</v>
      </c>
    </row>
    <row r="5817" spans="1:2" x14ac:dyDescent="0.35">
      <c r="A5817" s="14">
        <v>42329.804675925923</v>
      </c>
      <c r="B5817" s="5">
        <v>1</v>
      </c>
    </row>
    <row r="5818" spans="1:2" x14ac:dyDescent="0.35">
      <c r="A5818" s="14">
        <v>42329.825023148151</v>
      </c>
      <c r="B5818" s="5">
        <v>1</v>
      </c>
    </row>
    <row r="5819" spans="1:2" x14ac:dyDescent="0.35">
      <c r="A5819" s="14">
        <v>42329.842048611114</v>
      </c>
      <c r="B5819" s="5">
        <v>1</v>
      </c>
    </row>
    <row r="5820" spans="1:2" x14ac:dyDescent="0.35">
      <c r="A5820" s="14">
        <v>42329.852453703701</v>
      </c>
      <c r="B5820" s="5">
        <v>1</v>
      </c>
    </row>
    <row r="5821" spans="1:2" x14ac:dyDescent="0.35">
      <c r="A5821" s="14">
        <v>42329.890902777777</v>
      </c>
      <c r="B5821" s="5">
        <v>1</v>
      </c>
    </row>
    <row r="5822" spans="1:2" x14ac:dyDescent="0.35">
      <c r="A5822" s="14">
        <v>42329.91479166667</v>
      </c>
      <c r="B5822" s="5">
        <v>1</v>
      </c>
    </row>
    <row r="5823" spans="1:2" x14ac:dyDescent="0.35">
      <c r="A5823" s="14">
        <v>42329.922013888892</v>
      </c>
      <c r="B5823" s="5">
        <v>1</v>
      </c>
    </row>
    <row r="5824" spans="1:2" x14ac:dyDescent="0.35">
      <c r="A5824" s="14">
        <v>42329.933206018519</v>
      </c>
      <c r="B5824" s="5">
        <v>1</v>
      </c>
    </row>
    <row r="5825" spans="1:2" x14ac:dyDescent="0.35">
      <c r="A5825" s="14">
        <v>42329.976377314815</v>
      </c>
      <c r="B5825" s="5">
        <v>1</v>
      </c>
    </row>
    <row r="5826" spans="1:2" x14ac:dyDescent="0.35">
      <c r="A5826" s="14">
        <v>42329.981608796297</v>
      </c>
      <c r="B5826" s="5">
        <v>1</v>
      </c>
    </row>
    <row r="5827" spans="1:2" x14ac:dyDescent="0.35">
      <c r="A5827" s="14">
        <v>42329.999131944445</v>
      </c>
      <c r="B5827" s="5">
        <v>1</v>
      </c>
    </row>
    <row r="5828" spans="1:2" x14ac:dyDescent="0.35">
      <c r="A5828" s="14">
        <v>42330.009016203701</v>
      </c>
      <c r="B5828" s="5">
        <v>1</v>
      </c>
    </row>
    <row r="5829" spans="1:2" x14ac:dyDescent="0.35">
      <c r="A5829" s="14">
        <v>42330.009062500001</v>
      </c>
      <c r="B5829" s="5">
        <v>1</v>
      </c>
    </row>
    <row r="5830" spans="1:2" x14ac:dyDescent="0.35">
      <c r="A5830" s="14">
        <v>42330.037800925929</v>
      </c>
      <c r="B5830" s="5">
        <v>1</v>
      </c>
    </row>
    <row r="5831" spans="1:2" x14ac:dyDescent="0.35">
      <c r="A5831" s="14">
        <v>42330.065949074073</v>
      </c>
      <c r="B5831" s="5">
        <v>1</v>
      </c>
    </row>
    <row r="5832" spans="1:2" x14ac:dyDescent="0.35">
      <c r="A5832" s="14">
        <v>42330.177870370368</v>
      </c>
      <c r="B5832" s="5">
        <v>1</v>
      </c>
    </row>
    <row r="5833" spans="1:2" x14ac:dyDescent="0.35">
      <c r="A5833" s="14">
        <v>42330.187939814816</v>
      </c>
      <c r="B5833" s="5">
        <v>1</v>
      </c>
    </row>
    <row r="5834" spans="1:2" x14ac:dyDescent="0.35">
      <c r="A5834" s="14">
        <v>42330.293703703705</v>
      </c>
      <c r="B5834" s="5">
        <v>1</v>
      </c>
    </row>
    <row r="5835" spans="1:2" x14ac:dyDescent="0.35">
      <c r="A5835" s="14">
        <v>42330.456909722219</v>
      </c>
      <c r="B5835" s="5">
        <v>1</v>
      </c>
    </row>
    <row r="5836" spans="1:2" x14ac:dyDescent="0.35">
      <c r="A5836" s="14">
        <v>42330.488842592589</v>
      </c>
      <c r="B5836" s="5">
        <v>1</v>
      </c>
    </row>
    <row r="5837" spans="1:2" x14ac:dyDescent="0.35">
      <c r="A5837" s="14">
        <v>42330.499259259261</v>
      </c>
      <c r="B5837" s="5">
        <v>1</v>
      </c>
    </row>
    <row r="5838" spans="1:2" x14ac:dyDescent="0.35">
      <c r="A5838" s="14">
        <v>42330.52548611111</v>
      </c>
      <c r="B5838" s="5">
        <v>1</v>
      </c>
    </row>
    <row r="5839" spans="1:2" x14ac:dyDescent="0.35">
      <c r="A5839" s="14">
        <v>42330.569039351853</v>
      </c>
      <c r="B5839" s="5">
        <v>1</v>
      </c>
    </row>
    <row r="5840" spans="1:2" x14ac:dyDescent="0.35">
      <c r="A5840" s="14">
        <v>42330.570196759261</v>
      </c>
      <c r="B5840" s="5">
        <v>1</v>
      </c>
    </row>
    <row r="5841" spans="1:2" x14ac:dyDescent="0.35">
      <c r="A5841" s="14">
        <v>42330.572199074071</v>
      </c>
      <c r="B5841" s="5">
        <v>1</v>
      </c>
    </row>
    <row r="5842" spans="1:2" x14ac:dyDescent="0.35">
      <c r="A5842" s="14">
        <v>42330.575057870374</v>
      </c>
      <c r="B5842" s="5">
        <v>1</v>
      </c>
    </row>
    <row r="5843" spans="1:2" x14ac:dyDescent="0.35">
      <c r="A5843" s="14">
        <v>42330.629965277774</v>
      </c>
      <c r="B5843" s="5">
        <v>1</v>
      </c>
    </row>
    <row r="5844" spans="1:2" x14ac:dyDescent="0.35">
      <c r="A5844" s="14">
        <v>42330.667233796295</v>
      </c>
      <c r="B5844" s="5">
        <v>1</v>
      </c>
    </row>
    <row r="5845" spans="1:2" x14ac:dyDescent="0.35">
      <c r="A5845" s="14">
        <v>42330.669930555552</v>
      </c>
      <c r="B5845" s="5">
        <v>1</v>
      </c>
    </row>
    <row r="5846" spans="1:2" x14ac:dyDescent="0.35">
      <c r="A5846" s="14">
        <v>42330.685543981483</v>
      </c>
      <c r="B5846" s="5">
        <v>1</v>
      </c>
    </row>
    <row r="5847" spans="1:2" x14ac:dyDescent="0.35">
      <c r="A5847" s="14">
        <v>42330.734861111108</v>
      </c>
      <c r="B5847" s="5">
        <v>1</v>
      </c>
    </row>
    <row r="5848" spans="1:2" x14ac:dyDescent="0.35">
      <c r="A5848" s="14">
        <v>42330.771608796298</v>
      </c>
      <c r="B5848" s="5">
        <v>1</v>
      </c>
    </row>
    <row r="5849" spans="1:2" x14ac:dyDescent="0.35">
      <c r="A5849" s="14">
        <v>42330.775219907409</v>
      </c>
      <c r="B5849" s="5">
        <v>1</v>
      </c>
    </row>
    <row r="5850" spans="1:2" x14ac:dyDescent="0.35">
      <c r="A5850" s="14">
        <v>42330.777372685188</v>
      </c>
      <c r="B5850" s="5">
        <v>1</v>
      </c>
    </row>
    <row r="5851" spans="1:2" x14ac:dyDescent="0.35">
      <c r="A5851" s="14">
        <v>42330.80269675926</v>
      </c>
      <c r="B5851" s="5">
        <v>1</v>
      </c>
    </row>
    <row r="5852" spans="1:2" x14ac:dyDescent="0.35">
      <c r="A5852" s="14">
        <v>42330.803726851853</v>
      </c>
      <c r="B5852" s="5">
        <v>1</v>
      </c>
    </row>
    <row r="5853" spans="1:2" x14ac:dyDescent="0.35">
      <c r="A5853" s="14">
        <v>42330.807210648149</v>
      </c>
      <c r="B5853" s="5">
        <v>1</v>
      </c>
    </row>
    <row r="5854" spans="1:2" x14ac:dyDescent="0.35">
      <c r="A5854" s="14">
        <v>42330.809432870374</v>
      </c>
      <c r="B5854" s="5">
        <v>1</v>
      </c>
    </row>
    <row r="5855" spans="1:2" x14ac:dyDescent="0.35">
      <c r="A5855" s="14">
        <v>42330.816400462965</v>
      </c>
      <c r="B5855" s="5">
        <v>1</v>
      </c>
    </row>
    <row r="5856" spans="1:2" x14ac:dyDescent="0.35">
      <c r="A5856" s="14">
        <v>42330.820243055554</v>
      </c>
      <c r="B5856" s="5">
        <v>1</v>
      </c>
    </row>
    <row r="5857" spans="1:2" x14ac:dyDescent="0.35">
      <c r="A5857" s="14">
        <v>42330.827928240738</v>
      </c>
      <c r="B5857" s="5">
        <v>1</v>
      </c>
    </row>
    <row r="5858" spans="1:2" x14ac:dyDescent="0.35">
      <c r="A5858" s="14">
        <v>42330.831180555557</v>
      </c>
      <c r="B5858" s="5">
        <v>1</v>
      </c>
    </row>
    <row r="5859" spans="1:2" x14ac:dyDescent="0.35">
      <c r="A5859" s="14">
        <v>42330.849594907406</v>
      </c>
      <c r="B5859" s="5">
        <v>1</v>
      </c>
    </row>
    <row r="5860" spans="1:2" x14ac:dyDescent="0.35">
      <c r="A5860" s="14">
        <v>42330.864988425928</v>
      </c>
      <c r="B5860" s="5">
        <v>1</v>
      </c>
    </row>
    <row r="5861" spans="1:2" x14ac:dyDescent="0.35">
      <c r="A5861" s="14">
        <v>42330.865370370368</v>
      </c>
      <c r="B5861" s="5">
        <v>1</v>
      </c>
    </row>
    <row r="5862" spans="1:2" x14ac:dyDescent="0.35">
      <c r="A5862" s="14">
        <v>42330.866400462961</v>
      </c>
      <c r="B5862" s="5">
        <v>1</v>
      </c>
    </row>
    <row r="5863" spans="1:2" x14ac:dyDescent="0.35">
      <c r="A5863" s="14">
        <v>42330.86859953704</v>
      </c>
      <c r="B5863" s="5">
        <v>1</v>
      </c>
    </row>
    <row r="5864" spans="1:2" x14ac:dyDescent="0.35">
      <c r="A5864" s="14">
        <v>42330.871504629627</v>
      </c>
      <c r="B5864" s="5">
        <v>1</v>
      </c>
    </row>
    <row r="5865" spans="1:2" x14ac:dyDescent="0.35">
      <c r="A5865" s="14">
        <v>42330.872407407405</v>
      </c>
      <c r="B5865" s="5">
        <v>1</v>
      </c>
    </row>
    <row r="5866" spans="1:2" x14ac:dyDescent="0.35">
      <c r="A5866" s="14">
        <v>42330.881689814814</v>
      </c>
      <c r="B5866" s="5">
        <v>1</v>
      </c>
    </row>
    <row r="5867" spans="1:2" x14ac:dyDescent="0.35">
      <c r="A5867" s="14">
        <v>42330.921365740738</v>
      </c>
      <c r="B5867" s="5">
        <v>1</v>
      </c>
    </row>
    <row r="5868" spans="1:2" x14ac:dyDescent="0.35">
      <c r="A5868" s="14">
        <v>42330.923622685186</v>
      </c>
      <c r="B5868" s="5">
        <v>1</v>
      </c>
    </row>
    <row r="5869" spans="1:2" x14ac:dyDescent="0.35">
      <c r="A5869" s="14">
        <v>42330.93074074074</v>
      </c>
      <c r="B5869" s="5">
        <v>1</v>
      </c>
    </row>
    <row r="5870" spans="1:2" x14ac:dyDescent="0.35">
      <c r="A5870" s="14">
        <v>42330.934189814812</v>
      </c>
      <c r="B5870" s="5">
        <v>1</v>
      </c>
    </row>
    <row r="5871" spans="1:2" x14ac:dyDescent="0.35">
      <c r="A5871" s="14">
        <v>42330.937754629631</v>
      </c>
      <c r="B5871" s="5">
        <v>1</v>
      </c>
    </row>
    <row r="5872" spans="1:2" x14ac:dyDescent="0.35">
      <c r="A5872" s="14">
        <v>42330.951203703706</v>
      </c>
      <c r="B5872" s="5">
        <v>1</v>
      </c>
    </row>
    <row r="5873" spans="1:2" x14ac:dyDescent="0.35">
      <c r="A5873" s="14">
        <v>42330.955659722225</v>
      </c>
      <c r="B5873" s="5">
        <v>1</v>
      </c>
    </row>
    <row r="5874" spans="1:2" x14ac:dyDescent="0.35">
      <c r="A5874" s="14">
        <v>42330.965011574073</v>
      </c>
      <c r="B5874" s="5">
        <v>1</v>
      </c>
    </row>
    <row r="5875" spans="1:2" x14ac:dyDescent="0.35">
      <c r="A5875" s="14">
        <v>42330.96665509259</v>
      </c>
      <c r="B5875" s="5">
        <v>1</v>
      </c>
    </row>
    <row r="5876" spans="1:2" x14ac:dyDescent="0.35">
      <c r="A5876" s="14">
        <v>42330.967627314814</v>
      </c>
      <c r="B5876" s="5">
        <v>1</v>
      </c>
    </row>
    <row r="5877" spans="1:2" x14ac:dyDescent="0.35">
      <c r="A5877" s="14">
        <v>42330.970532407409</v>
      </c>
      <c r="B5877" s="5">
        <v>1</v>
      </c>
    </row>
    <row r="5878" spans="1:2" x14ac:dyDescent="0.35">
      <c r="A5878" s="14">
        <v>42330.972129629627</v>
      </c>
      <c r="B5878" s="5">
        <v>1</v>
      </c>
    </row>
    <row r="5879" spans="1:2" x14ac:dyDescent="0.35">
      <c r="A5879" s="14">
        <v>42330.972256944442</v>
      </c>
      <c r="B5879" s="5">
        <v>1</v>
      </c>
    </row>
    <row r="5880" spans="1:2" x14ac:dyDescent="0.35">
      <c r="A5880" s="14">
        <v>42330.973275462966</v>
      </c>
      <c r="B5880" s="5">
        <v>1</v>
      </c>
    </row>
    <row r="5881" spans="1:2" x14ac:dyDescent="0.35">
      <c r="A5881" s="14">
        <v>42331.001886574071</v>
      </c>
      <c r="B5881" s="5">
        <v>1</v>
      </c>
    </row>
    <row r="5882" spans="1:2" x14ac:dyDescent="0.35">
      <c r="A5882" s="14">
        <v>42331.005659722221</v>
      </c>
      <c r="B5882" s="5">
        <v>1</v>
      </c>
    </row>
    <row r="5883" spans="1:2" x14ac:dyDescent="0.35">
      <c r="A5883" s="14">
        <v>42331.014293981483</v>
      </c>
      <c r="B5883" s="5">
        <v>1</v>
      </c>
    </row>
    <row r="5884" spans="1:2" x14ac:dyDescent="0.35">
      <c r="A5884" s="14">
        <v>42331.017789351848</v>
      </c>
      <c r="B5884" s="5">
        <v>1</v>
      </c>
    </row>
    <row r="5885" spans="1:2" x14ac:dyDescent="0.35">
      <c r="A5885" s="14">
        <v>42331.035208333335</v>
      </c>
      <c r="B5885" s="5">
        <v>1</v>
      </c>
    </row>
    <row r="5886" spans="1:2" x14ac:dyDescent="0.35">
      <c r="A5886" s="14">
        <v>42331.042210648149</v>
      </c>
      <c r="B5886" s="5">
        <v>1</v>
      </c>
    </row>
    <row r="5887" spans="1:2" x14ac:dyDescent="0.35">
      <c r="A5887" s="14">
        <v>42331.068807870368</v>
      </c>
      <c r="B5887" s="5">
        <v>1</v>
      </c>
    </row>
    <row r="5888" spans="1:2" x14ac:dyDescent="0.35">
      <c r="A5888" s="14">
        <v>42331.077581018515</v>
      </c>
      <c r="B5888" s="5">
        <v>1</v>
      </c>
    </row>
    <row r="5889" spans="1:2" x14ac:dyDescent="0.35">
      <c r="A5889" s="14">
        <v>42331.078101851854</v>
      </c>
      <c r="B5889" s="5">
        <v>1</v>
      </c>
    </row>
    <row r="5890" spans="1:2" x14ac:dyDescent="0.35">
      <c r="A5890" s="14">
        <v>42331.08011574074</v>
      </c>
      <c r="B5890" s="5">
        <v>1</v>
      </c>
    </row>
    <row r="5891" spans="1:2" x14ac:dyDescent="0.35">
      <c r="A5891" s="14">
        <v>42331.08153935185</v>
      </c>
      <c r="B5891" s="5">
        <v>2</v>
      </c>
    </row>
    <row r="5892" spans="1:2" x14ac:dyDescent="0.35">
      <c r="A5892" s="14">
        <v>42331.084236111114</v>
      </c>
      <c r="B5892" s="5">
        <v>1</v>
      </c>
    </row>
    <row r="5893" spans="1:2" x14ac:dyDescent="0.35">
      <c r="A5893" s="14">
        <v>42331.086319444446</v>
      </c>
      <c r="B5893" s="5">
        <v>1</v>
      </c>
    </row>
    <row r="5894" spans="1:2" x14ac:dyDescent="0.35">
      <c r="A5894" s="14">
        <v>42331.086481481485</v>
      </c>
      <c r="B5894" s="5">
        <v>1</v>
      </c>
    </row>
    <row r="5895" spans="1:2" x14ac:dyDescent="0.35">
      <c r="A5895" s="14">
        <v>42331.08997685185</v>
      </c>
      <c r="B5895" s="5">
        <v>1</v>
      </c>
    </row>
    <row r="5896" spans="1:2" x14ac:dyDescent="0.35">
      <c r="A5896" s="14">
        <v>42331.093414351853</v>
      </c>
      <c r="B5896" s="5">
        <v>1</v>
      </c>
    </row>
    <row r="5897" spans="1:2" x14ac:dyDescent="0.35">
      <c r="A5897" s="14">
        <v>42331.102997685186</v>
      </c>
      <c r="B5897" s="5">
        <v>1</v>
      </c>
    </row>
    <row r="5898" spans="1:2" x14ac:dyDescent="0.35">
      <c r="A5898" s="14">
        <v>42331.112696759257</v>
      </c>
      <c r="B5898" s="5">
        <v>1</v>
      </c>
    </row>
    <row r="5899" spans="1:2" x14ac:dyDescent="0.35">
      <c r="A5899" s="14">
        <v>42331.113993055558</v>
      </c>
      <c r="B5899" s="5">
        <v>1</v>
      </c>
    </row>
    <row r="5900" spans="1:2" x14ac:dyDescent="0.35">
      <c r="A5900" s="14">
        <v>42331.115682870368</v>
      </c>
      <c r="B5900" s="5">
        <v>1</v>
      </c>
    </row>
    <row r="5901" spans="1:2" x14ac:dyDescent="0.35">
      <c r="A5901" s="14">
        <v>42331.116666666669</v>
      </c>
      <c r="B5901" s="5">
        <v>1</v>
      </c>
    </row>
    <row r="5902" spans="1:2" x14ac:dyDescent="0.35">
      <c r="A5902" s="14">
        <v>42331.117939814816</v>
      </c>
      <c r="B5902" s="5">
        <v>1</v>
      </c>
    </row>
    <row r="5903" spans="1:2" x14ac:dyDescent="0.35">
      <c r="A5903" s="14">
        <v>42331.121157407404</v>
      </c>
      <c r="B5903" s="5">
        <v>1</v>
      </c>
    </row>
    <row r="5904" spans="1:2" x14ac:dyDescent="0.35">
      <c r="A5904" s="14">
        <v>42331.126747685186</v>
      </c>
      <c r="B5904" s="5">
        <v>1</v>
      </c>
    </row>
    <row r="5905" spans="1:2" x14ac:dyDescent="0.35">
      <c r="A5905" s="14">
        <v>42331.129212962966</v>
      </c>
      <c r="B5905" s="5">
        <v>1</v>
      </c>
    </row>
    <row r="5906" spans="1:2" x14ac:dyDescent="0.35">
      <c r="A5906" s="14">
        <v>42331.138402777775</v>
      </c>
      <c r="B5906" s="5">
        <v>1</v>
      </c>
    </row>
    <row r="5907" spans="1:2" x14ac:dyDescent="0.35">
      <c r="A5907" s="14">
        <v>42331.17082175926</v>
      </c>
      <c r="B5907" s="5">
        <v>1</v>
      </c>
    </row>
    <row r="5908" spans="1:2" x14ac:dyDescent="0.35">
      <c r="A5908" s="14">
        <v>42331.19222222222</v>
      </c>
      <c r="B5908" s="5">
        <v>1</v>
      </c>
    </row>
    <row r="5909" spans="1:2" x14ac:dyDescent="0.35">
      <c r="A5909" s="14">
        <v>42331.200289351851</v>
      </c>
      <c r="B5909" s="5">
        <v>1</v>
      </c>
    </row>
    <row r="5910" spans="1:2" x14ac:dyDescent="0.35">
      <c r="A5910" s="14">
        <v>42331.208680555559</v>
      </c>
      <c r="B5910" s="5">
        <v>1</v>
      </c>
    </row>
    <row r="5911" spans="1:2" x14ac:dyDescent="0.35">
      <c r="A5911" s="14">
        <v>42331.219988425924</v>
      </c>
      <c r="B5911" s="5">
        <v>1</v>
      </c>
    </row>
    <row r="5912" spans="1:2" x14ac:dyDescent="0.35">
      <c r="A5912" s="14">
        <v>42331.24423611111</v>
      </c>
      <c r="B5912" s="5">
        <v>1</v>
      </c>
    </row>
    <row r="5913" spans="1:2" x14ac:dyDescent="0.35">
      <c r="A5913" s="14">
        <v>42331.244363425925</v>
      </c>
      <c r="B5913" s="5">
        <v>1</v>
      </c>
    </row>
    <row r="5914" spans="1:2" x14ac:dyDescent="0.35">
      <c r="A5914" s="14">
        <v>42331.425127314818</v>
      </c>
      <c r="B5914" s="5">
        <v>1</v>
      </c>
    </row>
    <row r="5915" spans="1:2" x14ac:dyDescent="0.35">
      <c r="A5915" s="14">
        <v>42331.434108796297</v>
      </c>
      <c r="B5915" s="5">
        <v>1</v>
      </c>
    </row>
    <row r="5916" spans="1:2" x14ac:dyDescent="0.35">
      <c r="A5916" s="14">
        <v>42331.567303240743</v>
      </c>
      <c r="B5916" s="5">
        <v>1</v>
      </c>
    </row>
    <row r="5917" spans="1:2" x14ac:dyDescent="0.35">
      <c r="A5917" s="14">
        <v>42331.578645833331</v>
      </c>
      <c r="B5917" s="5">
        <v>1</v>
      </c>
    </row>
    <row r="5918" spans="1:2" x14ac:dyDescent="0.35">
      <c r="A5918" s="14">
        <v>42331.580254629633</v>
      </c>
      <c r="B5918" s="5">
        <v>1</v>
      </c>
    </row>
    <row r="5919" spans="1:2" x14ac:dyDescent="0.35">
      <c r="A5919" s="14">
        <v>42331.588472222225</v>
      </c>
      <c r="B5919" s="5">
        <v>1</v>
      </c>
    </row>
    <row r="5920" spans="1:2" x14ac:dyDescent="0.35">
      <c r="A5920" s="14">
        <v>42331.593101851853</v>
      </c>
      <c r="B5920" s="5">
        <v>1</v>
      </c>
    </row>
    <row r="5921" spans="1:2" x14ac:dyDescent="0.35">
      <c r="A5921" s="14">
        <v>42331.615729166668</v>
      </c>
      <c r="B5921" s="5">
        <v>1</v>
      </c>
    </row>
    <row r="5922" spans="1:2" x14ac:dyDescent="0.35">
      <c r="A5922" s="14">
        <v>42331.649178240739</v>
      </c>
      <c r="B5922" s="5">
        <v>1</v>
      </c>
    </row>
    <row r="5923" spans="1:2" x14ac:dyDescent="0.35">
      <c r="A5923" s="14">
        <v>42331.649317129632</v>
      </c>
      <c r="B5923" s="5">
        <v>2</v>
      </c>
    </row>
    <row r="5924" spans="1:2" x14ac:dyDescent="0.35">
      <c r="A5924" s="14">
        <v>42331.656828703701</v>
      </c>
      <c r="B5924" s="5">
        <v>1</v>
      </c>
    </row>
    <row r="5925" spans="1:2" x14ac:dyDescent="0.35">
      <c r="A5925" s="14">
        <v>42331.663206018522</v>
      </c>
      <c r="B5925" s="5">
        <v>1</v>
      </c>
    </row>
    <row r="5926" spans="1:2" x14ac:dyDescent="0.35">
      <c r="A5926" s="14">
        <v>42331.664340277777</v>
      </c>
      <c r="B5926" s="5">
        <v>1</v>
      </c>
    </row>
    <row r="5927" spans="1:2" x14ac:dyDescent="0.35">
      <c r="A5927" s="14">
        <v>42331.666296296295</v>
      </c>
      <c r="B5927" s="5">
        <v>1</v>
      </c>
    </row>
    <row r="5928" spans="1:2" x14ac:dyDescent="0.35">
      <c r="A5928" s="14">
        <v>42331.673518518517</v>
      </c>
      <c r="B5928" s="5">
        <v>1</v>
      </c>
    </row>
    <row r="5929" spans="1:2" x14ac:dyDescent="0.35">
      <c r="A5929" s="14">
        <v>42331.673668981479</v>
      </c>
      <c r="B5929" s="5">
        <v>1</v>
      </c>
    </row>
    <row r="5930" spans="1:2" x14ac:dyDescent="0.35">
      <c r="A5930" s="14">
        <v>42331.674456018518</v>
      </c>
      <c r="B5930" s="5">
        <v>1</v>
      </c>
    </row>
    <row r="5931" spans="1:2" x14ac:dyDescent="0.35">
      <c r="A5931" s="14">
        <v>42331.701932870368</v>
      </c>
      <c r="B5931" s="5">
        <v>1</v>
      </c>
    </row>
    <row r="5932" spans="1:2" x14ac:dyDescent="0.35">
      <c r="A5932" s="14">
        <v>42331.708043981482</v>
      </c>
      <c r="B5932" s="5">
        <v>1</v>
      </c>
    </row>
    <row r="5933" spans="1:2" x14ac:dyDescent="0.35">
      <c r="A5933" s="14">
        <v>42331.70820601852</v>
      </c>
      <c r="B5933" s="5">
        <v>1</v>
      </c>
    </row>
    <row r="5934" spans="1:2" x14ac:dyDescent="0.35">
      <c r="A5934" s="14">
        <v>42331.71429398148</v>
      </c>
      <c r="B5934" s="5">
        <v>1</v>
      </c>
    </row>
    <row r="5935" spans="1:2" x14ac:dyDescent="0.35">
      <c r="A5935" s="14">
        <v>42331.714861111112</v>
      </c>
      <c r="B5935" s="5">
        <v>1</v>
      </c>
    </row>
    <row r="5936" spans="1:2" x14ac:dyDescent="0.35">
      <c r="A5936" s="14">
        <v>42331.715300925927</v>
      </c>
      <c r="B5936" s="5">
        <v>1</v>
      </c>
    </row>
    <row r="5937" spans="1:2" x14ac:dyDescent="0.35">
      <c r="A5937" s="14">
        <v>42331.724606481483</v>
      </c>
      <c r="B5937" s="5">
        <v>1</v>
      </c>
    </row>
    <row r="5938" spans="1:2" x14ac:dyDescent="0.35">
      <c r="A5938" s="14">
        <v>42331.727638888886</v>
      </c>
      <c r="B5938" s="5">
        <v>1</v>
      </c>
    </row>
    <row r="5939" spans="1:2" x14ac:dyDescent="0.35">
      <c r="A5939" s="14">
        <v>42331.732893518521</v>
      </c>
      <c r="B5939" s="5">
        <v>1</v>
      </c>
    </row>
    <row r="5940" spans="1:2" x14ac:dyDescent="0.35">
      <c r="A5940" s="14">
        <v>42331.734965277778</v>
      </c>
      <c r="B5940" s="5">
        <v>1</v>
      </c>
    </row>
    <row r="5941" spans="1:2" x14ac:dyDescent="0.35">
      <c r="A5941" s="14">
        <v>42331.743194444447</v>
      </c>
      <c r="B5941" s="5">
        <v>1</v>
      </c>
    </row>
    <row r="5942" spans="1:2" x14ac:dyDescent="0.35">
      <c r="A5942" s="14">
        <v>42331.800324074073</v>
      </c>
      <c r="B5942" s="5">
        <v>1</v>
      </c>
    </row>
    <row r="5943" spans="1:2" x14ac:dyDescent="0.35">
      <c r="A5943" s="14">
        <v>42331.817650462966</v>
      </c>
      <c r="B5943" s="5">
        <v>1</v>
      </c>
    </row>
    <row r="5944" spans="1:2" x14ac:dyDescent="0.35">
      <c r="A5944" s="14">
        <v>42331.817858796298</v>
      </c>
      <c r="B5944" s="5">
        <v>1</v>
      </c>
    </row>
    <row r="5945" spans="1:2" x14ac:dyDescent="0.35">
      <c r="A5945" s="14">
        <v>42331.822500000002</v>
      </c>
      <c r="B5945" s="5">
        <v>1</v>
      </c>
    </row>
    <row r="5946" spans="1:2" x14ac:dyDescent="0.35">
      <c r="A5946" s="14">
        <v>42331.825277777774</v>
      </c>
      <c r="B5946" s="5">
        <v>1</v>
      </c>
    </row>
    <row r="5947" spans="1:2" x14ac:dyDescent="0.35">
      <c r="A5947" s="14">
        <v>42331.826574074075</v>
      </c>
      <c r="B5947" s="5">
        <v>1</v>
      </c>
    </row>
    <row r="5948" spans="1:2" x14ac:dyDescent="0.35">
      <c r="A5948" s="14">
        <v>42331.865243055552</v>
      </c>
      <c r="B5948" s="5">
        <v>1</v>
      </c>
    </row>
    <row r="5949" spans="1:2" x14ac:dyDescent="0.35">
      <c r="A5949" s="14">
        <v>42331.882407407407</v>
      </c>
      <c r="B5949" s="5">
        <v>1</v>
      </c>
    </row>
    <row r="5950" spans="1:2" x14ac:dyDescent="0.35">
      <c r="A5950" s="14">
        <v>42331.884189814817</v>
      </c>
      <c r="B5950" s="5">
        <v>1</v>
      </c>
    </row>
    <row r="5951" spans="1:2" x14ac:dyDescent="0.35">
      <c r="A5951" s="14">
        <v>42331.900937500002</v>
      </c>
      <c r="B5951" s="5">
        <v>1</v>
      </c>
    </row>
    <row r="5952" spans="1:2" x14ac:dyDescent="0.35">
      <c r="A5952" s="14">
        <v>42331.901805555557</v>
      </c>
      <c r="B5952" s="5">
        <v>1</v>
      </c>
    </row>
    <row r="5953" spans="1:2" x14ac:dyDescent="0.35">
      <c r="A5953" s="14">
        <v>42331.905023148145</v>
      </c>
      <c r="B5953" s="5">
        <v>1</v>
      </c>
    </row>
    <row r="5954" spans="1:2" x14ac:dyDescent="0.35">
      <c r="A5954" s="14">
        <v>42331.921458333331</v>
      </c>
      <c r="B5954" s="5">
        <v>1</v>
      </c>
    </row>
    <row r="5955" spans="1:2" x14ac:dyDescent="0.35">
      <c r="A5955" s="14">
        <v>42331.949988425928</v>
      </c>
      <c r="B5955" s="5">
        <v>1</v>
      </c>
    </row>
    <row r="5956" spans="1:2" x14ac:dyDescent="0.35">
      <c r="A5956" s="14">
        <v>42331.981087962966</v>
      </c>
      <c r="B5956" s="5">
        <v>1</v>
      </c>
    </row>
    <row r="5957" spans="1:2" x14ac:dyDescent="0.35">
      <c r="A5957" s="14">
        <v>42331.981111111112</v>
      </c>
      <c r="B5957" s="5">
        <v>1</v>
      </c>
    </row>
    <row r="5958" spans="1:2" x14ac:dyDescent="0.35">
      <c r="A5958" s="14">
        <v>42331.987361111111</v>
      </c>
      <c r="B5958" s="5">
        <v>1</v>
      </c>
    </row>
    <row r="5959" spans="1:2" x14ac:dyDescent="0.35">
      <c r="A5959" s="14">
        <v>42331.990057870367</v>
      </c>
      <c r="B5959" s="5">
        <v>1</v>
      </c>
    </row>
    <row r="5960" spans="1:2" x14ac:dyDescent="0.35">
      <c r="A5960" s="14">
        <v>42331.991076388891</v>
      </c>
      <c r="B5960" s="5">
        <v>1</v>
      </c>
    </row>
    <row r="5961" spans="1:2" x14ac:dyDescent="0.35">
      <c r="A5961" s="14">
        <v>42332.001180555555</v>
      </c>
      <c r="B5961" s="5">
        <v>1</v>
      </c>
    </row>
    <row r="5962" spans="1:2" x14ac:dyDescent="0.35">
      <c r="A5962" s="14">
        <v>42332.003032407411</v>
      </c>
      <c r="B5962" s="5">
        <v>1</v>
      </c>
    </row>
    <row r="5963" spans="1:2" x14ac:dyDescent="0.35">
      <c r="A5963" s="14">
        <v>42332.006481481483</v>
      </c>
      <c r="B5963" s="5">
        <v>1</v>
      </c>
    </row>
    <row r="5964" spans="1:2" x14ac:dyDescent="0.35">
      <c r="A5964" s="14">
        <v>42332.008819444447</v>
      </c>
      <c r="B5964" s="5">
        <v>1</v>
      </c>
    </row>
    <row r="5965" spans="1:2" x14ac:dyDescent="0.35">
      <c r="A5965" s="14">
        <v>42332.009733796294</v>
      </c>
      <c r="B5965" s="5">
        <v>1</v>
      </c>
    </row>
    <row r="5966" spans="1:2" x14ac:dyDescent="0.35">
      <c r="A5966" s="14">
        <v>42332.011087962965</v>
      </c>
      <c r="B5966" s="5">
        <v>1</v>
      </c>
    </row>
    <row r="5967" spans="1:2" x14ac:dyDescent="0.35">
      <c r="A5967" s="14">
        <v>42332.018275462964</v>
      </c>
      <c r="B5967" s="5">
        <v>1</v>
      </c>
    </row>
    <row r="5968" spans="1:2" x14ac:dyDescent="0.35">
      <c r="A5968" s="14">
        <v>42332.020127314812</v>
      </c>
      <c r="B5968" s="5">
        <v>1</v>
      </c>
    </row>
    <row r="5969" spans="1:2" x14ac:dyDescent="0.35">
      <c r="A5969" s="14">
        <v>42332.020694444444</v>
      </c>
      <c r="B5969" s="5">
        <v>1</v>
      </c>
    </row>
    <row r="5970" spans="1:2" x14ac:dyDescent="0.35">
      <c r="A5970" s="14">
        <v>42332.020995370367</v>
      </c>
      <c r="B5970" s="5">
        <v>1</v>
      </c>
    </row>
    <row r="5971" spans="1:2" x14ac:dyDescent="0.35">
      <c r="A5971" s="14">
        <v>42332.035798611112</v>
      </c>
      <c r="B5971" s="5">
        <v>1</v>
      </c>
    </row>
    <row r="5972" spans="1:2" x14ac:dyDescent="0.35">
      <c r="A5972" s="14">
        <v>42332.066076388888</v>
      </c>
      <c r="B5972" s="5">
        <v>1</v>
      </c>
    </row>
    <row r="5973" spans="1:2" x14ac:dyDescent="0.35">
      <c r="A5973" s="14">
        <v>42332.075173611112</v>
      </c>
      <c r="B5973" s="5">
        <v>1</v>
      </c>
    </row>
    <row r="5974" spans="1:2" x14ac:dyDescent="0.35">
      <c r="A5974" s="14">
        <v>42332.094340277778</v>
      </c>
      <c r="B5974" s="5">
        <v>1</v>
      </c>
    </row>
    <row r="5975" spans="1:2" x14ac:dyDescent="0.35">
      <c r="A5975" s="14">
        <v>42332.117708333331</v>
      </c>
      <c r="B5975" s="5">
        <v>1</v>
      </c>
    </row>
    <row r="5976" spans="1:2" x14ac:dyDescent="0.35">
      <c r="A5976" s="14">
        <v>42332.131840277776</v>
      </c>
      <c r="B5976" s="5">
        <v>1</v>
      </c>
    </row>
    <row r="5977" spans="1:2" x14ac:dyDescent="0.35">
      <c r="A5977" s="14">
        <v>42332.134004629632</v>
      </c>
      <c r="B5977" s="5">
        <v>1</v>
      </c>
    </row>
    <row r="5978" spans="1:2" x14ac:dyDescent="0.35">
      <c r="A5978" s="14">
        <v>42332.142546296294</v>
      </c>
      <c r="B5978" s="5">
        <v>1</v>
      </c>
    </row>
    <row r="5979" spans="1:2" x14ac:dyDescent="0.35">
      <c r="A5979" s="14">
        <v>42332.143692129626</v>
      </c>
      <c r="B5979" s="5">
        <v>1</v>
      </c>
    </row>
    <row r="5980" spans="1:2" x14ac:dyDescent="0.35">
      <c r="A5980" s="14">
        <v>42332.150034722225</v>
      </c>
      <c r="B5980" s="5">
        <v>1</v>
      </c>
    </row>
    <row r="5981" spans="1:2" x14ac:dyDescent="0.35">
      <c r="A5981" s="14">
        <v>42332.152418981481</v>
      </c>
      <c r="B5981" s="5">
        <v>1</v>
      </c>
    </row>
    <row r="5982" spans="1:2" x14ac:dyDescent="0.35">
      <c r="A5982" s="14">
        <v>42332.152789351851</v>
      </c>
      <c r="B5982" s="5">
        <v>1</v>
      </c>
    </row>
    <row r="5983" spans="1:2" x14ac:dyDescent="0.35">
      <c r="A5983" s="14">
        <v>42332.166284722225</v>
      </c>
      <c r="B5983" s="5">
        <v>1</v>
      </c>
    </row>
    <row r="5984" spans="1:2" x14ac:dyDescent="0.35">
      <c r="A5984" s="14">
        <v>42332.172407407408</v>
      </c>
      <c r="B5984" s="5">
        <v>1</v>
      </c>
    </row>
    <row r="5985" spans="1:2" x14ac:dyDescent="0.35">
      <c r="A5985" s="14">
        <v>42332.172847222224</v>
      </c>
      <c r="B5985" s="5">
        <v>1</v>
      </c>
    </row>
    <row r="5986" spans="1:2" x14ac:dyDescent="0.35">
      <c r="A5986" s="14">
        <v>42332.243877314817</v>
      </c>
      <c r="B5986" s="5">
        <v>1</v>
      </c>
    </row>
    <row r="5987" spans="1:2" x14ac:dyDescent="0.35">
      <c r="A5987" s="14">
        <v>42332.280046296299</v>
      </c>
      <c r="B5987" s="5">
        <v>1</v>
      </c>
    </row>
    <row r="5988" spans="1:2" x14ac:dyDescent="0.35">
      <c r="A5988" s="14">
        <v>42332.28230324074</v>
      </c>
      <c r="B5988" s="5">
        <v>1</v>
      </c>
    </row>
    <row r="5989" spans="1:2" x14ac:dyDescent="0.35">
      <c r="A5989" s="14">
        <v>42332.41851851852</v>
      </c>
      <c r="B5989" s="5">
        <v>1</v>
      </c>
    </row>
    <row r="5990" spans="1:2" x14ac:dyDescent="0.35">
      <c r="A5990" s="14">
        <v>42332.425532407404</v>
      </c>
      <c r="B5990" s="5">
        <v>1</v>
      </c>
    </row>
    <row r="5991" spans="1:2" x14ac:dyDescent="0.35">
      <c r="A5991" s="14">
        <v>42332.441504629627</v>
      </c>
      <c r="B5991" s="5">
        <v>1</v>
      </c>
    </row>
    <row r="5992" spans="1:2" x14ac:dyDescent="0.35">
      <c r="A5992" s="14">
        <v>42332.472349537034</v>
      </c>
      <c r="B5992" s="5">
        <v>1</v>
      </c>
    </row>
    <row r="5993" spans="1:2" x14ac:dyDescent="0.35">
      <c r="A5993" s="14">
        <v>42332.520324074074</v>
      </c>
      <c r="B5993" s="5">
        <v>1</v>
      </c>
    </row>
    <row r="5994" spans="1:2" x14ac:dyDescent="0.35">
      <c r="A5994" s="14">
        <v>42332.537418981483</v>
      </c>
      <c r="B5994" s="5">
        <v>1</v>
      </c>
    </row>
    <row r="5995" spans="1:2" x14ac:dyDescent="0.35">
      <c r="A5995" s="14">
        <v>42332.542013888888</v>
      </c>
      <c r="B5995" s="5">
        <v>1</v>
      </c>
    </row>
    <row r="5996" spans="1:2" x14ac:dyDescent="0.35">
      <c r="A5996" s="14">
        <v>42332.560520833336</v>
      </c>
      <c r="B5996" s="5">
        <v>1</v>
      </c>
    </row>
    <row r="5997" spans="1:2" x14ac:dyDescent="0.35">
      <c r="A5997" s="14">
        <v>42332.586342592593</v>
      </c>
      <c r="B5997" s="5">
        <v>1</v>
      </c>
    </row>
    <row r="5998" spans="1:2" x14ac:dyDescent="0.35">
      <c r="A5998" s="14">
        <v>42332.588449074072</v>
      </c>
      <c r="B5998" s="5">
        <v>1</v>
      </c>
    </row>
    <row r="5999" spans="1:2" x14ac:dyDescent="0.35">
      <c r="A5999" s="14">
        <v>42332.589814814812</v>
      </c>
      <c r="B5999" s="5">
        <v>1</v>
      </c>
    </row>
    <row r="6000" spans="1:2" x14ac:dyDescent="0.35">
      <c r="A6000" s="14">
        <v>42332.59447916667</v>
      </c>
      <c r="B6000" s="5">
        <v>1</v>
      </c>
    </row>
    <row r="6001" spans="1:2" x14ac:dyDescent="0.35">
      <c r="A6001" s="14">
        <v>42332.610081018516</v>
      </c>
      <c r="B6001" s="5">
        <v>1</v>
      </c>
    </row>
    <row r="6002" spans="1:2" x14ac:dyDescent="0.35">
      <c r="A6002" s="14">
        <v>42332.621805555558</v>
      </c>
      <c r="B6002" s="5">
        <v>1</v>
      </c>
    </row>
    <row r="6003" spans="1:2" x14ac:dyDescent="0.35">
      <c r="A6003" s="14">
        <v>42332.635185185187</v>
      </c>
      <c r="B6003" s="5">
        <v>1</v>
      </c>
    </row>
    <row r="6004" spans="1:2" x14ac:dyDescent="0.35">
      <c r="A6004" s="14">
        <v>42332.635428240741</v>
      </c>
      <c r="B6004" s="5">
        <v>1</v>
      </c>
    </row>
    <row r="6005" spans="1:2" x14ac:dyDescent="0.35">
      <c r="A6005" s="14">
        <v>42332.657511574071</v>
      </c>
      <c r="B6005" s="5">
        <v>1</v>
      </c>
    </row>
    <row r="6006" spans="1:2" x14ac:dyDescent="0.35">
      <c r="A6006" s="14">
        <v>42332.657523148147</v>
      </c>
      <c r="B6006" s="5">
        <v>1</v>
      </c>
    </row>
    <row r="6007" spans="1:2" x14ac:dyDescent="0.35">
      <c r="A6007" s="14">
        <v>42332.668333333335</v>
      </c>
      <c r="B6007" s="5">
        <v>1</v>
      </c>
    </row>
    <row r="6008" spans="1:2" x14ac:dyDescent="0.35">
      <c r="A6008" s="14">
        <v>42332.676053240742</v>
      </c>
      <c r="B6008" s="5">
        <v>1</v>
      </c>
    </row>
    <row r="6009" spans="1:2" x14ac:dyDescent="0.35">
      <c r="A6009" s="14">
        <v>42332.679537037038</v>
      </c>
      <c r="B6009" s="5">
        <v>1</v>
      </c>
    </row>
    <row r="6010" spans="1:2" x14ac:dyDescent="0.35">
      <c r="A6010" s="14">
        <v>42332.682337962964</v>
      </c>
      <c r="B6010" s="5">
        <v>1</v>
      </c>
    </row>
    <row r="6011" spans="1:2" x14ac:dyDescent="0.35">
      <c r="A6011" s="14">
        <v>42332.691412037035</v>
      </c>
      <c r="B6011" s="5">
        <v>1</v>
      </c>
    </row>
    <row r="6012" spans="1:2" x14ac:dyDescent="0.35">
      <c r="A6012" s="14">
        <v>42332.69295138889</v>
      </c>
      <c r="B6012" s="5">
        <v>1</v>
      </c>
    </row>
    <row r="6013" spans="1:2" x14ac:dyDescent="0.35">
      <c r="A6013" s="14">
        <v>42332.708553240744</v>
      </c>
      <c r="B6013" s="5">
        <v>1</v>
      </c>
    </row>
    <row r="6014" spans="1:2" x14ac:dyDescent="0.35">
      <c r="A6014" s="14">
        <v>42332.711689814816</v>
      </c>
      <c r="B6014" s="5">
        <v>1</v>
      </c>
    </row>
    <row r="6015" spans="1:2" x14ac:dyDescent="0.35">
      <c r="A6015" s="14">
        <v>42332.712361111109</v>
      </c>
      <c r="B6015" s="5">
        <v>1</v>
      </c>
    </row>
    <row r="6016" spans="1:2" x14ac:dyDescent="0.35">
      <c r="A6016" s="14">
        <v>42332.724340277775</v>
      </c>
      <c r="B6016" s="5">
        <v>1</v>
      </c>
    </row>
    <row r="6017" spans="1:2" x14ac:dyDescent="0.35">
      <c r="A6017" s="14">
        <v>42332.748182870368</v>
      </c>
      <c r="B6017" s="5">
        <v>1</v>
      </c>
    </row>
    <row r="6018" spans="1:2" x14ac:dyDescent="0.35">
      <c r="A6018" s="14">
        <v>42332.754328703704</v>
      </c>
      <c r="B6018" s="5">
        <v>1</v>
      </c>
    </row>
    <row r="6019" spans="1:2" x14ac:dyDescent="0.35">
      <c r="A6019" s="14">
        <v>42332.755069444444</v>
      </c>
      <c r="B6019" s="5">
        <v>1</v>
      </c>
    </row>
    <row r="6020" spans="1:2" x14ac:dyDescent="0.35">
      <c r="A6020" s="14">
        <v>42332.764791666668</v>
      </c>
      <c r="B6020" s="5">
        <v>1</v>
      </c>
    </row>
    <row r="6021" spans="1:2" x14ac:dyDescent="0.35">
      <c r="A6021" s="14">
        <v>42332.765196759261</v>
      </c>
      <c r="B6021" s="5">
        <v>1</v>
      </c>
    </row>
    <row r="6022" spans="1:2" x14ac:dyDescent="0.35">
      <c r="A6022" s="14">
        <v>42332.768877314818</v>
      </c>
      <c r="B6022" s="5">
        <v>1</v>
      </c>
    </row>
    <row r="6023" spans="1:2" x14ac:dyDescent="0.35">
      <c r="A6023" s="14">
        <v>42332.770162037035</v>
      </c>
      <c r="B6023" s="5">
        <v>1</v>
      </c>
    </row>
    <row r="6024" spans="1:2" x14ac:dyDescent="0.35">
      <c r="A6024" s="14">
        <v>42332.770289351851</v>
      </c>
      <c r="B6024" s="5">
        <v>1</v>
      </c>
    </row>
    <row r="6025" spans="1:2" x14ac:dyDescent="0.35">
      <c r="A6025" s="14">
        <v>42332.780706018515</v>
      </c>
      <c r="B6025" s="5">
        <v>1</v>
      </c>
    </row>
    <row r="6026" spans="1:2" x14ac:dyDescent="0.35">
      <c r="A6026" s="14">
        <v>42332.786087962966</v>
      </c>
      <c r="B6026" s="5">
        <v>1</v>
      </c>
    </row>
    <row r="6027" spans="1:2" x14ac:dyDescent="0.35">
      <c r="A6027" s="14">
        <v>42332.788159722222</v>
      </c>
      <c r="B6027" s="5">
        <v>1</v>
      </c>
    </row>
    <row r="6028" spans="1:2" x14ac:dyDescent="0.35">
      <c r="A6028" s="14">
        <v>42332.791643518518</v>
      </c>
      <c r="B6028" s="5">
        <v>1</v>
      </c>
    </row>
    <row r="6029" spans="1:2" x14ac:dyDescent="0.35">
      <c r="A6029" s="14">
        <v>42332.802627314813</v>
      </c>
      <c r="B6029" s="5">
        <v>1</v>
      </c>
    </row>
    <row r="6030" spans="1:2" x14ac:dyDescent="0.35">
      <c r="A6030" s="14">
        <v>42332.892939814818</v>
      </c>
      <c r="B6030" s="5">
        <v>1</v>
      </c>
    </row>
    <row r="6031" spans="1:2" x14ac:dyDescent="0.35">
      <c r="A6031" s="14">
        <v>42332.958124999997</v>
      </c>
      <c r="B6031" s="5">
        <v>1</v>
      </c>
    </row>
    <row r="6032" spans="1:2" x14ac:dyDescent="0.35">
      <c r="A6032" s="14">
        <v>42332.962835648148</v>
      </c>
      <c r="B6032" s="5">
        <v>1</v>
      </c>
    </row>
    <row r="6033" spans="1:2" x14ac:dyDescent="0.35">
      <c r="A6033" s="14">
        <v>42332.99628472222</v>
      </c>
      <c r="B6033" s="5">
        <v>1</v>
      </c>
    </row>
    <row r="6034" spans="1:2" x14ac:dyDescent="0.35">
      <c r="A6034" s="14">
        <v>42333.004270833335</v>
      </c>
      <c r="B6034" s="5">
        <v>1</v>
      </c>
    </row>
    <row r="6035" spans="1:2" x14ac:dyDescent="0.35">
      <c r="A6035" s="14">
        <v>42333.004918981482</v>
      </c>
      <c r="B6035" s="5">
        <v>1</v>
      </c>
    </row>
    <row r="6036" spans="1:2" x14ac:dyDescent="0.35">
      <c r="A6036" s="14">
        <v>42333.015393518515</v>
      </c>
      <c r="B6036" s="5">
        <v>1</v>
      </c>
    </row>
    <row r="6037" spans="1:2" x14ac:dyDescent="0.35">
      <c r="A6037" s="14">
        <v>42333.025891203702</v>
      </c>
      <c r="B6037" s="5">
        <v>1</v>
      </c>
    </row>
    <row r="6038" spans="1:2" x14ac:dyDescent="0.35">
      <c r="A6038" s="14">
        <v>42333.039629629631</v>
      </c>
      <c r="B6038" s="5">
        <v>1</v>
      </c>
    </row>
    <row r="6039" spans="1:2" x14ac:dyDescent="0.35">
      <c r="A6039" s="14">
        <v>42333.058854166666</v>
      </c>
      <c r="B6039" s="5">
        <v>1</v>
      </c>
    </row>
    <row r="6040" spans="1:2" x14ac:dyDescent="0.35">
      <c r="A6040" s="14">
        <v>42333.060057870367</v>
      </c>
      <c r="B6040" s="5">
        <v>1</v>
      </c>
    </row>
    <row r="6041" spans="1:2" x14ac:dyDescent="0.35">
      <c r="A6041" s="14">
        <v>42333.061099537037</v>
      </c>
      <c r="B6041" s="5">
        <v>1</v>
      </c>
    </row>
    <row r="6042" spans="1:2" x14ac:dyDescent="0.35">
      <c r="A6042" s="14">
        <v>42333.073622685188</v>
      </c>
      <c r="B6042" s="5">
        <v>1</v>
      </c>
    </row>
    <row r="6043" spans="1:2" x14ac:dyDescent="0.35">
      <c r="A6043" s="14">
        <v>42333.080277777779</v>
      </c>
      <c r="B6043" s="5">
        <v>1</v>
      </c>
    </row>
    <row r="6044" spans="1:2" x14ac:dyDescent="0.35">
      <c r="A6044" s="14">
        <v>42333.099131944444</v>
      </c>
      <c r="B6044" s="5">
        <v>1</v>
      </c>
    </row>
    <row r="6045" spans="1:2" x14ac:dyDescent="0.35">
      <c r="A6045" s="14">
        <v>42333.543969907405</v>
      </c>
      <c r="B6045" s="5">
        <v>1</v>
      </c>
    </row>
    <row r="6046" spans="1:2" x14ac:dyDescent="0.35">
      <c r="A6046" s="14">
        <v>42333.547453703701</v>
      </c>
      <c r="B6046" s="5">
        <v>1</v>
      </c>
    </row>
    <row r="6047" spans="1:2" x14ac:dyDescent="0.35">
      <c r="A6047" s="14">
        <v>42333.560057870367</v>
      </c>
      <c r="B6047" s="5">
        <v>1</v>
      </c>
    </row>
    <row r="6048" spans="1:2" x14ac:dyDescent="0.35">
      <c r="A6048" s="14">
        <v>42333.62159722222</v>
      </c>
      <c r="B6048" s="5">
        <v>1</v>
      </c>
    </row>
    <row r="6049" spans="1:2" x14ac:dyDescent="0.35">
      <c r="A6049" s="14">
        <v>42333.672638888886</v>
      </c>
      <c r="B6049" s="5">
        <v>1</v>
      </c>
    </row>
    <row r="6050" spans="1:2" x14ac:dyDescent="0.35">
      <c r="A6050" s="14">
        <v>42333.679166666669</v>
      </c>
      <c r="B6050" s="5">
        <v>1</v>
      </c>
    </row>
    <row r="6051" spans="1:2" x14ac:dyDescent="0.35">
      <c r="A6051" s="14">
        <v>42333.748252314814</v>
      </c>
      <c r="B6051" s="5">
        <v>1</v>
      </c>
    </row>
    <row r="6052" spans="1:2" x14ac:dyDescent="0.35">
      <c r="A6052" s="14">
        <v>42333.748368055552</v>
      </c>
      <c r="B6052" s="5">
        <v>1</v>
      </c>
    </row>
    <row r="6053" spans="1:2" x14ac:dyDescent="0.35">
      <c r="A6053" s="14">
        <v>42333.806504629632</v>
      </c>
      <c r="B6053" s="5">
        <v>1</v>
      </c>
    </row>
    <row r="6054" spans="1:2" x14ac:dyDescent="0.35">
      <c r="A6054" s="14">
        <v>42333.812256944446</v>
      </c>
      <c r="B6054" s="5">
        <v>1</v>
      </c>
    </row>
    <row r="6055" spans="1:2" x14ac:dyDescent="0.35">
      <c r="A6055" s="14">
        <v>42333.814826388887</v>
      </c>
      <c r="B6055" s="5">
        <v>1</v>
      </c>
    </row>
    <row r="6056" spans="1:2" x14ac:dyDescent="0.35">
      <c r="A6056" s="14">
        <v>42333.818078703705</v>
      </c>
      <c r="B6056" s="5">
        <v>1</v>
      </c>
    </row>
    <row r="6057" spans="1:2" x14ac:dyDescent="0.35">
      <c r="A6057" s="14">
        <v>42333.838761574072</v>
      </c>
      <c r="B6057" s="5">
        <v>1</v>
      </c>
    </row>
    <row r="6058" spans="1:2" x14ac:dyDescent="0.35">
      <c r="A6058" s="14">
        <v>42333.844236111108</v>
      </c>
      <c r="B6058" s="5">
        <v>1</v>
      </c>
    </row>
    <row r="6059" spans="1:2" x14ac:dyDescent="0.35">
      <c r="A6059" s="14">
        <v>42333.855844907404</v>
      </c>
      <c r="B6059" s="5">
        <v>1</v>
      </c>
    </row>
    <row r="6060" spans="1:2" x14ac:dyDescent="0.35">
      <c r="A6060" s="14">
        <v>42333.880231481482</v>
      </c>
      <c r="B6060" s="5">
        <v>1</v>
      </c>
    </row>
    <row r="6061" spans="1:2" x14ac:dyDescent="0.35">
      <c r="A6061" s="14">
        <v>42333.885625000003</v>
      </c>
      <c r="B6061" s="5">
        <v>1</v>
      </c>
    </row>
    <row r="6062" spans="1:2" x14ac:dyDescent="0.35">
      <c r="A6062" s="14">
        <v>42333.960289351853</v>
      </c>
      <c r="B6062" s="5">
        <v>1</v>
      </c>
    </row>
    <row r="6063" spans="1:2" x14ac:dyDescent="0.35">
      <c r="A6063" s="14">
        <v>42333.991296296299</v>
      </c>
      <c r="B6063" s="5">
        <v>1</v>
      </c>
    </row>
    <row r="6064" spans="1:2" x14ac:dyDescent="0.35">
      <c r="A6064" s="14">
        <v>42334.022835648146</v>
      </c>
      <c r="B6064" s="5">
        <v>1</v>
      </c>
    </row>
    <row r="6065" spans="1:2" x14ac:dyDescent="0.35">
      <c r="A6065" s="14">
        <v>42334.078773148147</v>
      </c>
      <c r="B6065" s="5">
        <v>1</v>
      </c>
    </row>
    <row r="6066" spans="1:2" x14ac:dyDescent="0.35">
      <c r="A6066" s="14">
        <v>42334.083078703705</v>
      </c>
      <c r="B6066" s="5">
        <v>1</v>
      </c>
    </row>
    <row r="6067" spans="1:2" x14ac:dyDescent="0.35">
      <c r="A6067" s="14">
        <v>42334.142546296294</v>
      </c>
      <c r="B6067" s="5">
        <v>1</v>
      </c>
    </row>
    <row r="6068" spans="1:2" x14ac:dyDescent="0.35">
      <c r="A6068" s="14">
        <v>42334.180868055555</v>
      </c>
      <c r="B6068" s="5">
        <v>1</v>
      </c>
    </row>
    <row r="6069" spans="1:2" x14ac:dyDescent="0.35">
      <c r="A6069" s="14">
        <v>42334.189930555556</v>
      </c>
      <c r="B6069" s="5">
        <v>1</v>
      </c>
    </row>
    <row r="6070" spans="1:2" x14ac:dyDescent="0.35">
      <c r="A6070" s="14">
        <v>42334.244629629633</v>
      </c>
      <c r="B6070" s="5">
        <v>1</v>
      </c>
    </row>
    <row r="6071" spans="1:2" x14ac:dyDescent="0.35">
      <c r="A6071" s="14">
        <v>42334.252106481479</v>
      </c>
      <c r="B6071" s="5">
        <v>1</v>
      </c>
    </row>
    <row r="6072" spans="1:2" x14ac:dyDescent="0.35">
      <c r="A6072" s="14">
        <v>42334.28224537037</v>
      </c>
      <c r="B6072" s="5">
        <v>1</v>
      </c>
    </row>
    <row r="6073" spans="1:2" x14ac:dyDescent="0.35">
      <c r="A6073" s="14">
        <v>42334.282766203702</v>
      </c>
      <c r="B6073" s="5">
        <v>2</v>
      </c>
    </row>
    <row r="6074" spans="1:2" x14ac:dyDescent="0.35">
      <c r="A6074" s="14">
        <v>42334.283182870371</v>
      </c>
      <c r="B6074" s="5">
        <v>1</v>
      </c>
    </row>
    <row r="6075" spans="1:2" x14ac:dyDescent="0.35">
      <c r="A6075" s="14">
        <v>42334.283437500002</v>
      </c>
      <c r="B6075" s="5">
        <v>2</v>
      </c>
    </row>
    <row r="6076" spans="1:2" x14ac:dyDescent="0.35">
      <c r="A6076" s="14">
        <v>42334.395995370367</v>
      </c>
      <c r="B6076" s="5">
        <v>1</v>
      </c>
    </row>
    <row r="6077" spans="1:2" x14ac:dyDescent="0.35">
      <c r="A6077" s="14">
        <v>42334.558796296296</v>
      </c>
      <c r="B6077" s="5">
        <v>1</v>
      </c>
    </row>
    <row r="6078" spans="1:2" x14ac:dyDescent="0.35">
      <c r="A6078" s="14">
        <v>42334.650787037041</v>
      </c>
      <c r="B6078" s="5">
        <v>1</v>
      </c>
    </row>
    <row r="6079" spans="1:2" x14ac:dyDescent="0.35">
      <c r="A6079" s="14">
        <v>42334.754305555558</v>
      </c>
      <c r="B6079" s="5">
        <v>1</v>
      </c>
    </row>
    <row r="6080" spans="1:2" x14ac:dyDescent="0.35">
      <c r="A6080" s="14">
        <v>42334.929675925923</v>
      </c>
      <c r="B6080" s="5">
        <v>1</v>
      </c>
    </row>
    <row r="6081" spans="1:2" x14ac:dyDescent="0.35">
      <c r="A6081" s="14">
        <v>42334.990347222221</v>
      </c>
      <c r="B6081" s="5">
        <v>1</v>
      </c>
    </row>
    <row r="6082" spans="1:2" x14ac:dyDescent="0.35">
      <c r="A6082" s="14">
        <v>42334.990567129629</v>
      </c>
      <c r="B6082" s="5">
        <v>1</v>
      </c>
    </row>
    <row r="6083" spans="1:2" x14ac:dyDescent="0.35">
      <c r="A6083" s="14">
        <v>42335.237326388888</v>
      </c>
      <c r="B6083" s="5">
        <v>1</v>
      </c>
    </row>
    <row r="6084" spans="1:2" x14ac:dyDescent="0.35">
      <c r="A6084" s="14">
        <v>42335.240081018521</v>
      </c>
      <c r="B6084" s="5">
        <v>1</v>
      </c>
    </row>
    <row r="6085" spans="1:2" x14ac:dyDescent="0.35">
      <c r="A6085" s="14">
        <v>42335.536249999997</v>
      </c>
      <c r="B6085" s="5">
        <v>1</v>
      </c>
    </row>
    <row r="6086" spans="1:2" x14ac:dyDescent="0.35">
      <c r="A6086" s="14">
        <v>42335.583379629628</v>
      </c>
      <c r="B6086" s="5">
        <v>1</v>
      </c>
    </row>
    <row r="6087" spans="1:2" x14ac:dyDescent="0.35">
      <c r="A6087" s="14">
        <v>42335.611666666664</v>
      </c>
      <c r="B6087" s="5">
        <v>1</v>
      </c>
    </row>
    <row r="6088" spans="1:2" x14ac:dyDescent="0.35">
      <c r="A6088" s="14">
        <v>42335.622499999998</v>
      </c>
      <c r="B6088" s="5">
        <v>1</v>
      </c>
    </row>
    <row r="6089" spans="1:2" x14ac:dyDescent="0.35">
      <c r="A6089" s="14">
        <v>42335.667395833334</v>
      </c>
      <c r="B6089" s="5">
        <v>1</v>
      </c>
    </row>
    <row r="6090" spans="1:2" x14ac:dyDescent="0.35">
      <c r="A6090" s="14">
        <v>42335.682754629626</v>
      </c>
      <c r="B6090" s="5">
        <v>1</v>
      </c>
    </row>
    <row r="6091" spans="1:2" x14ac:dyDescent="0.35">
      <c r="A6091" s="14">
        <v>42335.705289351848</v>
      </c>
      <c r="B6091" s="5">
        <v>1</v>
      </c>
    </row>
    <row r="6092" spans="1:2" x14ac:dyDescent="0.35">
      <c r="A6092" s="14">
        <v>42335.717349537037</v>
      </c>
      <c r="B6092" s="5">
        <v>1</v>
      </c>
    </row>
    <row r="6093" spans="1:2" x14ac:dyDescent="0.35">
      <c r="A6093" s="14">
        <v>42335.751099537039</v>
      </c>
      <c r="B6093" s="5">
        <v>1</v>
      </c>
    </row>
    <row r="6094" spans="1:2" x14ac:dyDescent="0.35">
      <c r="A6094" s="14">
        <v>42335.757800925923</v>
      </c>
      <c r="B6094" s="5">
        <v>1</v>
      </c>
    </row>
    <row r="6095" spans="1:2" x14ac:dyDescent="0.35">
      <c r="A6095" s="14">
        <v>42335.779340277775</v>
      </c>
      <c r="B6095" s="5">
        <v>1</v>
      </c>
    </row>
    <row r="6096" spans="1:2" x14ac:dyDescent="0.35">
      <c r="A6096" s="14">
        <v>42335.788807870369</v>
      </c>
      <c r="B6096" s="5">
        <v>1</v>
      </c>
    </row>
    <row r="6097" spans="1:2" x14ac:dyDescent="0.35">
      <c r="A6097" s="14">
        <v>42335.816921296297</v>
      </c>
      <c r="B6097" s="5">
        <v>1</v>
      </c>
    </row>
    <row r="6098" spans="1:2" x14ac:dyDescent="0.35">
      <c r="A6098" s="14">
        <v>42335.822280092594</v>
      </c>
      <c r="B6098" s="5">
        <v>1</v>
      </c>
    </row>
    <row r="6099" spans="1:2" x14ac:dyDescent="0.35">
      <c r="A6099" s="14">
        <v>42335.835347222222</v>
      </c>
      <c r="B6099" s="5">
        <v>1</v>
      </c>
    </row>
    <row r="6100" spans="1:2" x14ac:dyDescent="0.35">
      <c r="A6100" s="14">
        <v>42335.854641203703</v>
      </c>
      <c r="B6100" s="5">
        <v>1</v>
      </c>
    </row>
    <row r="6101" spans="1:2" x14ac:dyDescent="0.35">
      <c r="A6101" s="14">
        <v>42335.872870370367</v>
      </c>
      <c r="B6101" s="5">
        <v>1</v>
      </c>
    </row>
    <row r="6102" spans="1:2" x14ac:dyDescent="0.35">
      <c r="A6102" s="14">
        <v>42335.896307870367</v>
      </c>
      <c r="B6102" s="5">
        <v>1</v>
      </c>
    </row>
    <row r="6103" spans="1:2" x14ac:dyDescent="0.35">
      <c r="A6103" s="14">
        <v>42335.999108796299</v>
      </c>
      <c r="B6103" s="5">
        <v>1</v>
      </c>
    </row>
    <row r="6104" spans="1:2" x14ac:dyDescent="0.35">
      <c r="A6104" s="14">
        <v>42336.007800925923</v>
      </c>
      <c r="B6104" s="5">
        <v>1</v>
      </c>
    </row>
    <row r="6105" spans="1:2" x14ac:dyDescent="0.35">
      <c r="A6105" s="14">
        <v>42336.014444444445</v>
      </c>
      <c r="B6105" s="5">
        <v>1</v>
      </c>
    </row>
    <row r="6106" spans="1:2" x14ac:dyDescent="0.35">
      <c r="A6106" s="14">
        <v>42336.016701388886</v>
      </c>
      <c r="B6106" s="5">
        <v>1</v>
      </c>
    </row>
    <row r="6107" spans="1:2" x14ac:dyDescent="0.35">
      <c r="A6107" s="14">
        <v>42336.021782407406</v>
      </c>
      <c r="B6107" s="5">
        <v>1</v>
      </c>
    </row>
    <row r="6108" spans="1:2" x14ac:dyDescent="0.35">
      <c r="A6108" s="14">
        <v>42336.078668981485</v>
      </c>
      <c r="B6108" s="5">
        <v>1</v>
      </c>
    </row>
    <row r="6109" spans="1:2" x14ac:dyDescent="0.35">
      <c r="A6109" s="14">
        <v>42336.078784722224</v>
      </c>
      <c r="B6109" s="5">
        <v>1</v>
      </c>
    </row>
    <row r="6110" spans="1:2" x14ac:dyDescent="0.35">
      <c r="A6110" s="14">
        <v>42336.082951388889</v>
      </c>
      <c r="B6110" s="5">
        <v>1</v>
      </c>
    </row>
    <row r="6111" spans="1:2" x14ac:dyDescent="0.35">
      <c r="A6111" s="14">
        <v>42336.087731481479</v>
      </c>
      <c r="B6111" s="5">
        <v>1</v>
      </c>
    </row>
    <row r="6112" spans="1:2" x14ac:dyDescent="0.35">
      <c r="A6112" s="14">
        <v>42336.18173611111</v>
      </c>
      <c r="B6112" s="5">
        <v>1</v>
      </c>
    </row>
    <row r="6113" spans="1:2" x14ac:dyDescent="0.35">
      <c r="A6113" s="14">
        <v>42336.207303240742</v>
      </c>
      <c r="B6113" s="5">
        <v>1</v>
      </c>
    </row>
    <row r="6114" spans="1:2" x14ac:dyDescent="0.35">
      <c r="A6114" s="14">
        <v>42336.22079861111</v>
      </c>
      <c r="B6114" s="5">
        <v>1</v>
      </c>
    </row>
    <row r="6115" spans="1:2" x14ac:dyDescent="0.35">
      <c r="A6115" s="14">
        <v>42336.403495370374</v>
      </c>
      <c r="B6115" s="5">
        <v>1</v>
      </c>
    </row>
    <row r="6116" spans="1:2" x14ac:dyDescent="0.35">
      <c r="A6116" s="14">
        <v>42336.686701388891</v>
      </c>
      <c r="B6116" s="5">
        <v>1</v>
      </c>
    </row>
    <row r="6117" spans="1:2" x14ac:dyDescent="0.35">
      <c r="A6117" s="14">
        <v>42336.704942129632</v>
      </c>
      <c r="B6117" s="5">
        <v>1</v>
      </c>
    </row>
    <row r="6118" spans="1:2" x14ac:dyDescent="0.35">
      <c r="A6118" s="14">
        <v>42336.710740740738</v>
      </c>
      <c r="B6118" s="5">
        <v>1</v>
      </c>
    </row>
    <row r="6119" spans="1:2" x14ac:dyDescent="0.35">
      <c r="A6119" s="14">
        <v>42336.727048611108</v>
      </c>
      <c r="B6119" s="5">
        <v>1</v>
      </c>
    </row>
    <row r="6120" spans="1:2" x14ac:dyDescent="0.35">
      <c r="A6120" s="14">
        <v>42336.745046296295</v>
      </c>
      <c r="B6120" s="5">
        <v>1</v>
      </c>
    </row>
    <row r="6121" spans="1:2" x14ac:dyDescent="0.35">
      <c r="A6121" s="14">
        <v>42336.781585648147</v>
      </c>
      <c r="B6121" s="5">
        <v>1</v>
      </c>
    </row>
    <row r="6122" spans="1:2" x14ac:dyDescent="0.35">
      <c r="A6122" s="14">
        <v>42336.799490740741</v>
      </c>
      <c r="B6122" s="5">
        <v>1</v>
      </c>
    </row>
    <row r="6123" spans="1:2" x14ac:dyDescent="0.35">
      <c r="A6123" s="14">
        <v>42336.809062499997</v>
      </c>
      <c r="B6123" s="5">
        <v>1</v>
      </c>
    </row>
    <row r="6124" spans="1:2" x14ac:dyDescent="0.35">
      <c r="A6124" s="14">
        <v>42336.842129629629</v>
      </c>
      <c r="B6124" s="5">
        <v>1</v>
      </c>
    </row>
    <row r="6125" spans="1:2" x14ac:dyDescent="0.35">
      <c r="A6125" s="14">
        <v>42336.845671296294</v>
      </c>
      <c r="B6125" s="5">
        <v>1</v>
      </c>
    </row>
    <row r="6126" spans="1:2" x14ac:dyDescent="0.35">
      <c r="A6126" s="14">
        <v>42336.848483796297</v>
      </c>
      <c r="B6126" s="5">
        <v>1</v>
      </c>
    </row>
    <row r="6127" spans="1:2" x14ac:dyDescent="0.35">
      <c r="A6127" s="14">
        <v>42336.862118055556</v>
      </c>
      <c r="B6127" s="5">
        <v>1</v>
      </c>
    </row>
    <row r="6128" spans="1:2" x14ac:dyDescent="0.35">
      <c r="A6128" s="14">
        <v>42336.877199074072</v>
      </c>
      <c r="B6128" s="5">
        <v>1</v>
      </c>
    </row>
    <row r="6129" spans="1:2" x14ac:dyDescent="0.35">
      <c r="A6129" s="14">
        <v>42336.929363425923</v>
      </c>
      <c r="B6129" s="5">
        <v>1</v>
      </c>
    </row>
    <row r="6130" spans="1:2" x14ac:dyDescent="0.35">
      <c r="A6130" s="14">
        <v>42336.929699074077</v>
      </c>
      <c r="B6130" s="5">
        <v>1</v>
      </c>
    </row>
    <row r="6131" spans="1:2" x14ac:dyDescent="0.35">
      <c r="A6131" s="14">
        <v>42336.933368055557</v>
      </c>
      <c r="B6131" s="5">
        <v>1</v>
      </c>
    </row>
    <row r="6132" spans="1:2" x14ac:dyDescent="0.35">
      <c r="A6132" s="14">
        <v>42336.939259259256</v>
      </c>
      <c r="B6132" s="5">
        <v>1</v>
      </c>
    </row>
    <row r="6133" spans="1:2" x14ac:dyDescent="0.35">
      <c r="A6133" s="14">
        <v>42336.96197916667</v>
      </c>
      <c r="B6133" s="5">
        <v>1</v>
      </c>
    </row>
    <row r="6134" spans="1:2" x14ac:dyDescent="0.35">
      <c r="A6134" s="14">
        <v>42336.987407407411</v>
      </c>
      <c r="B6134" s="5">
        <v>1</v>
      </c>
    </row>
    <row r="6135" spans="1:2" x14ac:dyDescent="0.35">
      <c r="A6135" s="14">
        <v>42336.987430555557</v>
      </c>
      <c r="B6135" s="5">
        <v>1</v>
      </c>
    </row>
    <row r="6136" spans="1:2" x14ac:dyDescent="0.35">
      <c r="A6136" s="14">
        <v>42337.022245370368</v>
      </c>
      <c r="B6136" s="5">
        <v>1</v>
      </c>
    </row>
    <row r="6137" spans="1:2" x14ac:dyDescent="0.35">
      <c r="A6137" s="14">
        <v>42337.036030092589</v>
      </c>
      <c r="B6137" s="5">
        <v>1</v>
      </c>
    </row>
    <row r="6138" spans="1:2" x14ac:dyDescent="0.35">
      <c r="A6138" s="14">
        <v>42337.04042824074</v>
      </c>
      <c r="B6138" s="5">
        <v>1</v>
      </c>
    </row>
    <row r="6139" spans="1:2" x14ac:dyDescent="0.35">
      <c r="A6139" s="14">
        <v>42337.112800925926</v>
      </c>
      <c r="B6139" s="5">
        <v>1</v>
      </c>
    </row>
    <row r="6140" spans="1:2" x14ac:dyDescent="0.35">
      <c r="A6140" s="14">
        <v>42337.152685185189</v>
      </c>
      <c r="B6140" s="5">
        <v>1</v>
      </c>
    </row>
    <row r="6141" spans="1:2" x14ac:dyDescent="0.35">
      <c r="A6141" s="14">
        <v>42337.162152777775</v>
      </c>
      <c r="B6141" s="5">
        <v>1</v>
      </c>
    </row>
    <row r="6142" spans="1:2" x14ac:dyDescent="0.35">
      <c r="A6142" s="14">
        <v>42337.174988425926</v>
      </c>
      <c r="B6142" s="5">
        <v>1</v>
      </c>
    </row>
    <row r="6143" spans="1:2" x14ac:dyDescent="0.35">
      <c r="A6143" s="14">
        <v>42337.187824074077</v>
      </c>
      <c r="B6143" s="5">
        <v>1</v>
      </c>
    </row>
    <row r="6144" spans="1:2" x14ac:dyDescent="0.35">
      <c r="A6144" s="14">
        <v>42337.232951388891</v>
      </c>
      <c r="B6144" s="5">
        <v>1</v>
      </c>
    </row>
    <row r="6145" spans="1:2" x14ac:dyDescent="0.35">
      <c r="A6145" s="14">
        <v>42337.609849537039</v>
      </c>
      <c r="B6145" s="5">
        <v>1</v>
      </c>
    </row>
    <row r="6146" spans="1:2" x14ac:dyDescent="0.35">
      <c r="A6146" s="14">
        <v>42337.635092592594</v>
      </c>
      <c r="B6146" s="5">
        <v>1</v>
      </c>
    </row>
    <row r="6147" spans="1:2" x14ac:dyDescent="0.35">
      <c r="A6147" s="14">
        <v>42337.675173611111</v>
      </c>
      <c r="B6147" s="5">
        <v>1</v>
      </c>
    </row>
    <row r="6148" spans="1:2" x14ac:dyDescent="0.35">
      <c r="A6148" s="14">
        <v>42337.684016203704</v>
      </c>
      <c r="B6148" s="5">
        <v>1</v>
      </c>
    </row>
    <row r="6149" spans="1:2" x14ac:dyDescent="0.35">
      <c r="A6149" s="14">
        <v>42337.692847222221</v>
      </c>
      <c r="B6149" s="5">
        <v>1</v>
      </c>
    </row>
    <row r="6150" spans="1:2" x14ac:dyDescent="0.35">
      <c r="A6150" s="14">
        <v>42337.741990740738</v>
      </c>
      <c r="B6150" s="5">
        <v>1</v>
      </c>
    </row>
    <row r="6151" spans="1:2" x14ac:dyDescent="0.35">
      <c r="A6151" s="14">
        <v>42337.850601851853</v>
      </c>
      <c r="B6151" s="5">
        <v>1</v>
      </c>
    </row>
    <row r="6152" spans="1:2" x14ac:dyDescent="0.35">
      <c r="A6152" s="14">
        <v>42337.858622685184</v>
      </c>
      <c r="B6152" s="5">
        <v>1</v>
      </c>
    </row>
    <row r="6153" spans="1:2" x14ac:dyDescent="0.35">
      <c r="A6153" s="14">
        <v>42337.869097222225</v>
      </c>
      <c r="B6153" s="5">
        <v>1</v>
      </c>
    </row>
    <row r="6154" spans="1:2" x14ac:dyDescent="0.35">
      <c r="A6154" s="14">
        <v>42337.873738425929</v>
      </c>
      <c r="B6154" s="5">
        <v>1</v>
      </c>
    </row>
    <row r="6155" spans="1:2" x14ac:dyDescent="0.35">
      <c r="A6155" s="14">
        <v>42337.88113425926</v>
      </c>
      <c r="B6155" s="5">
        <v>1</v>
      </c>
    </row>
    <row r="6156" spans="1:2" x14ac:dyDescent="0.35">
      <c r="A6156" s="14">
        <v>42337.890092592592</v>
      </c>
      <c r="B6156" s="5">
        <v>1</v>
      </c>
    </row>
    <row r="6157" spans="1:2" x14ac:dyDescent="0.35">
      <c r="A6157" s="14">
        <v>42337.892129629632</v>
      </c>
      <c r="B6157" s="5">
        <v>1</v>
      </c>
    </row>
    <row r="6158" spans="1:2" x14ac:dyDescent="0.35">
      <c r="A6158" s="14">
        <v>42337.897222222222</v>
      </c>
      <c r="B6158" s="5">
        <v>1</v>
      </c>
    </row>
    <row r="6159" spans="1:2" x14ac:dyDescent="0.35">
      <c r="A6159" s="14">
        <v>42337.900439814817</v>
      </c>
      <c r="B6159" s="5">
        <v>1</v>
      </c>
    </row>
    <row r="6160" spans="1:2" x14ac:dyDescent="0.35">
      <c r="A6160" s="14">
        <v>42337.906481481485</v>
      </c>
      <c r="B6160" s="5">
        <v>1</v>
      </c>
    </row>
    <row r="6161" spans="1:2" x14ac:dyDescent="0.35">
      <c r="A6161" s="14">
        <v>42337.908009259256</v>
      </c>
      <c r="B6161" s="5">
        <v>1</v>
      </c>
    </row>
    <row r="6162" spans="1:2" x14ac:dyDescent="0.35">
      <c r="A6162" s="14">
        <v>42337.909710648149</v>
      </c>
      <c r="B6162" s="5">
        <v>1</v>
      </c>
    </row>
    <row r="6163" spans="1:2" x14ac:dyDescent="0.35">
      <c r="A6163" s="14">
        <v>42337.912372685183</v>
      </c>
      <c r="B6163" s="5">
        <v>1</v>
      </c>
    </row>
    <row r="6164" spans="1:2" x14ac:dyDescent="0.35">
      <c r="A6164" s="14">
        <v>42337.931932870371</v>
      </c>
      <c r="B6164" s="5">
        <v>1</v>
      </c>
    </row>
    <row r="6165" spans="1:2" x14ac:dyDescent="0.35">
      <c r="A6165" s="14">
        <v>42337.933946759258</v>
      </c>
      <c r="B6165" s="5">
        <v>1</v>
      </c>
    </row>
    <row r="6166" spans="1:2" x14ac:dyDescent="0.35">
      <c r="A6166" s="14">
        <v>42337.939270833333</v>
      </c>
      <c r="B6166" s="5">
        <v>1</v>
      </c>
    </row>
    <row r="6167" spans="1:2" x14ac:dyDescent="0.35">
      <c r="A6167" s="14">
        <v>42337.946747685186</v>
      </c>
      <c r="B6167" s="5">
        <v>1</v>
      </c>
    </row>
    <row r="6168" spans="1:2" x14ac:dyDescent="0.35">
      <c r="A6168" s="14">
        <v>42337.950289351851</v>
      </c>
      <c r="B6168" s="5">
        <v>1</v>
      </c>
    </row>
    <row r="6169" spans="1:2" x14ac:dyDescent="0.35">
      <c r="A6169" s="14">
        <v>42337.979074074072</v>
      </c>
      <c r="B6169" s="5">
        <v>1</v>
      </c>
    </row>
    <row r="6170" spans="1:2" x14ac:dyDescent="0.35">
      <c r="A6170" s="14">
        <v>42337.987951388888</v>
      </c>
      <c r="B6170" s="5">
        <v>1</v>
      </c>
    </row>
    <row r="6171" spans="1:2" x14ac:dyDescent="0.35">
      <c r="A6171" s="14">
        <v>42338.008240740739</v>
      </c>
      <c r="B6171" s="5">
        <v>1</v>
      </c>
    </row>
    <row r="6172" spans="1:2" x14ac:dyDescent="0.35">
      <c r="A6172" s="14">
        <v>42338.022615740738</v>
      </c>
      <c r="B6172" s="5">
        <v>1</v>
      </c>
    </row>
    <row r="6173" spans="1:2" x14ac:dyDescent="0.35">
      <c r="A6173" s="14">
        <v>42338.030231481483</v>
      </c>
      <c r="B6173" s="5">
        <v>1</v>
      </c>
    </row>
    <row r="6174" spans="1:2" x14ac:dyDescent="0.35">
      <c r="A6174" s="14">
        <v>42338.038437499999</v>
      </c>
      <c r="B6174" s="5">
        <v>1</v>
      </c>
    </row>
    <row r="6175" spans="1:2" x14ac:dyDescent="0.35">
      <c r="A6175" s="14">
        <v>42338.046597222223</v>
      </c>
      <c r="B6175" s="5">
        <v>1</v>
      </c>
    </row>
    <row r="6176" spans="1:2" x14ac:dyDescent="0.35">
      <c r="A6176" s="14">
        <v>42338.061261574076</v>
      </c>
      <c r="B6176" s="5">
        <v>1</v>
      </c>
    </row>
    <row r="6177" spans="1:2" x14ac:dyDescent="0.35">
      <c r="A6177" s="14">
        <v>42338.080381944441</v>
      </c>
      <c r="B6177" s="5">
        <v>1</v>
      </c>
    </row>
    <row r="6178" spans="1:2" x14ac:dyDescent="0.35">
      <c r="A6178" s="14">
        <v>42338.084502314814</v>
      </c>
      <c r="B6178" s="5">
        <v>1</v>
      </c>
    </row>
    <row r="6179" spans="1:2" x14ac:dyDescent="0.35">
      <c r="A6179" s="14">
        <v>42338.091944444444</v>
      </c>
      <c r="B6179" s="5">
        <v>1</v>
      </c>
    </row>
    <row r="6180" spans="1:2" x14ac:dyDescent="0.35">
      <c r="A6180" s="14">
        <v>42338.109398148146</v>
      </c>
      <c r="B6180" s="5">
        <v>1</v>
      </c>
    </row>
    <row r="6181" spans="1:2" x14ac:dyDescent="0.35">
      <c r="A6181" s="14">
        <v>42338.119687500002</v>
      </c>
      <c r="B6181" s="5">
        <v>1</v>
      </c>
    </row>
    <row r="6182" spans="1:2" x14ac:dyDescent="0.35">
      <c r="A6182" s="14">
        <v>42338.120462962965</v>
      </c>
      <c r="B6182" s="5">
        <v>1</v>
      </c>
    </row>
    <row r="6183" spans="1:2" x14ac:dyDescent="0.35">
      <c r="A6183" s="14">
        <v>42338.127453703702</v>
      </c>
      <c r="B6183" s="5">
        <v>1</v>
      </c>
    </row>
    <row r="6184" spans="1:2" x14ac:dyDescent="0.35">
      <c r="A6184" s="14">
        <v>42338.144097222219</v>
      </c>
      <c r="B6184" s="5">
        <v>1</v>
      </c>
    </row>
    <row r="6185" spans="1:2" x14ac:dyDescent="0.35">
      <c r="A6185" s="14">
        <v>42338.153935185182</v>
      </c>
      <c r="B6185" s="5">
        <v>1</v>
      </c>
    </row>
    <row r="6186" spans="1:2" x14ac:dyDescent="0.35">
      <c r="A6186" s="14">
        <v>42338.16951388889</v>
      </c>
      <c r="B6186" s="5">
        <v>1</v>
      </c>
    </row>
    <row r="6187" spans="1:2" x14ac:dyDescent="0.35">
      <c r="A6187" s="14">
        <v>42338.183113425926</v>
      </c>
      <c r="B6187" s="5">
        <v>1</v>
      </c>
    </row>
    <row r="6188" spans="1:2" x14ac:dyDescent="0.35">
      <c r="A6188" s="14">
        <v>42338.184861111113</v>
      </c>
      <c r="B6188" s="5">
        <v>1</v>
      </c>
    </row>
    <row r="6189" spans="1:2" x14ac:dyDescent="0.35">
      <c r="A6189" s="14">
        <v>42338.184988425928</v>
      </c>
      <c r="B6189" s="5">
        <v>1</v>
      </c>
    </row>
    <row r="6190" spans="1:2" x14ac:dyDescent="0.35">
      <c r="A6190" s="14">
        <v>42338.188518518517</v>
      </c>
      <c r="B6190" s="5">
        <v>1</v>
      </c>
    </row>
    <row r="6191" spans="1:2" x14ac:dyDescent="0.35">
      <c r="A6191" s="14">
        <v>42338.190428240741</v>
      </c>
      <c r="B6191" s="5">
        <v>1</v>
      </c>
    </row>
    <row r="6192" spans="1:2" x14ac:dyDescent="0.35">
      <c r="A6192" s="14">
        <v>42338.199537037035</v>
      </c>
      <c r="B6192" s="5">
        <v>1</v>
      </c>
    </row>
    <row r="6193" spans="1:2" x14ac:dyDescent="0.35">
      <c r="A6193" s="14">
        <v>42338.210972222223</v>
      </c>
      <c r="B6193" s="5">
        <v>1</v>
      </c>
    </row>
    <row r="6194" spans="1:2" x14ac:dyDescent="0.35">
      <c r="A6194" s="14">
        <v>42338.240787037037</v>
      </c>
      <c r="B6194" s="5">
        <v>1</v>
      </c>
    </row>
    <row r="6195" spans="1:2" x14ac:dyDescent="0.35">
      <c r="A6195" s="14">
        <v>42338.257291666669</v>
      </c>
      <c r="B6195" s="5">
        <v>1</v>
      </c>
    </row>
    <row r="6196" spans="1:2" x14ac:dyDescent="0.35">
      <c r="A6196" s="14">
        <v>42338.257465277777</v>
      </c>
      <c r="B6196" s="5">
        <v>1</v>
      </c>
    </row>
    <row r="6197" spans="1:2" x14ac:dyDescent="0.35">
      <c r="A6197" s="14">
        <v>42338.272800925923</v>
      </c>
      <c r="B6197" s="5">
        <v>1</v>
      </c>
    </row>
    <row r="6198" spans="1:2" x14ac:dyDescent="0.35">
      <c r="A6198" s="14">
        <v>42338.538483796299</v>
      </c>
      <c r="B6198" s="5">
        <v>1</v>
      </c>
    </row>
    <row r="6199" spans="1:2" x14ac:dyDescent="0.35">
      <c r="A6199" s="14">
        <v>42338.573935185188</v>
      </c>
      <c r="B6199" s="5">
        <v>1</v>
      </c>
    </row>
    <row r="6200" spans="1:2" x14ac:dyDescent="0.35">
      <c r="A6200" s="14">
        <v>42338.575949074075</v>
      </c>
      <c r="B6200" s="5">
        <v>1</v>
      </c>
    </row>
    <row r="6201" spans="1:2" x14ac:dyDescent="0.35">
      <c r="A6201" s="14">
        <v>42338.579837962963</v>
      </c>
      <c r="B6201" s="5">
        <v>1</v>
      </c>
    </row>
    <row r="6202" spans="1:2" x14ac:dyDescent="0.35">
      <c r="A6202" s="14">
        <v>42338.587256944447</v>
      </c>
      <c r="B6202" s="5">
        <v>1</v>
      </c>
    </row>
    <row r="6203" spans="1:2" x14ac:dyDescent="0.35">
      <c r="A6203" s="14">
        <v>42338.609791666669</v>
      </c>
      <c r="B6203" s="5">
        <v>1</v>
      </c>
    </row>
    <row r="6204" spans="1:2" x14ac:dyDescent="0.35">
      <c r="A6204" s="14">
        <v>42338.617604166669</v>
      </c>
      <c r="B6204" s="5">
        <v>1</v>
      </c>
    </row>
    <row r="6205" spans="1:2" x14ac:dyDescent="0.35">
      <c r="A6205" s="14">
        <v>42338.638287037036</v>
      </c>
      <c r="B6205" s="5">
        <v>1</v>
      </c>
    </row>
    <row r="6206" spans="1:2" x14ac:dyDescent="0.35">
      <c r="A6206" s="14">
        <v>42338.645173611112</v>
      </c>
      <c r="B6206" s="5">
        <v>1</v>
      </c>
    </row>
    <row r="6207" spans="1:2" x14ac:dyDescent="0.35">
      <c r="A6207" s="14">
        <v>42338.645312499997</v>
      </c>
      <c r="B6207" s="5">
        <v>1</v>
      </c>
    </row>
    <row r="6208" spans="1:2" x14ac:dyDescent="0.35">
      <c r="A6208" s="14">
        <v>42338.652662037035</v>
      </c>
      <c r="B6208" s="5">
        <v>1</v>
      </c>
    </row>
    <row r="6209" spans="1:2" x14ac:dyDescent="0.35">
      <c r="A6209" s="14">
        <v>42338.663287037038</v>
      </c>
      <c r="B6209" s="5">
        <v>1</v>
      </c>
    </row>
    <row r="6210" spans="1:2" x14ac:dyDescent="0.35">
      <c r="A6210" s="14">
        <v>42338.684317129628</v>
      </c>
      <c r="B6210" s="5">
        <v>1</v>
      </c>
    </row>
    <row r="6211" spans="1:2" x14ac:dyDescent="0.35">
      <c r="A6211" s="14">
        <v>42338.68644675926</v>
      </c>
      <c r="B6211" s="5">
        <v>1</v>
      </c>
    </row>
    <row r="6212" spans="1:2" x14ac:dyDescent="0.35">
      <c r="A6212" s="14">
        <v>42338.699918981481</v>
      </c>
      <c r="B6212" s="5">
        <v>1</v>
      </c>
    </row>
    <row r="6213" spans="1:2" x14ac:dyDescent="0.35">
      <c r="A6213" s="14">
        <v>42338.703055555554</v>
      </c>
      <c r="B6213" s="5">
        <v>1</v>
      </c>
    </row>
    <row r="6214" spans="1:2" x14ac:dyDescent="0.35">
      <c r="A6214" s="14">
        <v>42338.7030787037</v>
      </c>
      <c r="B6214" s="5">
        <v>1</v>
      </c>
    </row>
    <row r="6215" spans="1:2" x14ac:dyDescent="0.35">
      <c r="A6215" s="14">
        <v>42338.70685185185</v>
      </c>
      <c r="B6215" s="5">
        <v>1</v>
      </c>
    </row>
    <row r="6216" spans="1:2" x14ac:dyDescent="0.35">
      <c r="A6216" s="14">
        <v>42338.715486111112</v>
      </c>
      <c r="B6216" s="5">
        <v>1</v>
      </c>
    </row>
    <row r="6217" spans="1:2" x14ac:dyDescent="0.35">
      <c r="A6217" s="14">
        <v>42338.719004629631</v>
      </c>
      <c r="B6217" s="5">
        <v>1</v>
      </c>
    </row>
    <row r="6218" spans="1:2" x14ac:dyDescent="0.35">
      <c r="A6218" s="14">
        <v>42338.724641203706</v>
      </c>
      <c r="B6218" s="5">
        <v>1</v>
      </c>
    </row>
    <row r="6219" spans="1:2" x14ac:dyDescent="0.35">
      <c r="A6219" s="14">
        <v>42338.795694444445</v>
      </c>
      <c r="B6219" s="5">
        <v>1</v>
      </c>
    </row>
    <row r="6220" spans="1:2" x14ac:dyDescent="0.35">
      <c r="A6220" s="14">
        <v>42338.796527777777</v>
      </c>
      <c r="B6220" s="5">
        <v>1</v>
      </c>
    </row>
    <row r="6221" spans="1:2" x14ac:dyDescent="0.35">
      <c r="A6221" s="14">
        <v>42338.797881944447</v>
      </c>
      <c r="B6221" s="5">
        <v>1</v>
      </c>
    </row>
    <row r="6222" spans="1:2" x14ac:dyDescent="0.35">
      <c r="A6222" s="14">
        <v>42338.820520833331</v>
      </c>
      <c r="B6222" s="5">
        <v>1</v>
      </c>
    </row>
    <row r="6223" spans="1:2" x14ac:dyDescent="0.35">
      <c r="A6223" s="14">
        <v>42338.824386574073</v>
      </c>
      <c r="B6223" s="5">
        <v>1</v>
      </c>
    </row>
    <row r="6224" spans="1:2" x14ac:dyDescent="0.35">
      <c r="A6224" s="14">
        <v>42338.828564814816</v>
      </c>
      <c r="B6224" s="5">
        <v>1</v>
      </c>
    </row>
    <row r="6225" spans="1:2" x14ac:dyDescent="0.35">
      <c r="A6225" s="14">
        <v>42338.828761574077</v>
      </c>
      <c r="B6225" s="5">
        <v>2</v>
      </c>
    </row>
    <row r="6226" spans="1:2" x14ac:dyDescent="0.35">
      <c r="A6226" s="14">
        <v>42338.831782407404</v>
      </c>
      <c r="B6226" s="5">
        <v>1</v>
      </c>
    </row>
    <row r="6227" spans="1:2" x14ac:dyDescent="0.35">
      <c r="A6227" s="14">
        <v>42338.864861111113</v>
      </c>
      <c r="B6227" s="5">
        <v>1</v>
      </c>
    </row>
    <row r="6228" spans="1:2" x14ac:dyDescent="0.35">
      <c r="A6228" s="14">
        <v>42338.870717592596</v>
      </c>
      <c r="B6228" s="5">
        <v>1</v>
      </c>
    </row>
    <row r="6229" spans="1:2" x14ac:dyDescent="0.35">
      <c r="A6229" s="14">
        <v>42338.883599537039</v>
      </c>
      <c r="B6229" s="5">
        <v>1</v>
      </c>
    </row>
    <row r="6230" spans="1:2" x14ac:dyDescent="0.35">
      <c r="A6230" s="14">
        <v>42338.907881944448</v>
      </c>
      <c r="B6230" s="5">
        <v>1</v>
      </c>
    </row>
    <row r="6231" spans="1:2" x14ac:dyDescent="0.35">
      <c r="A6231" s="14">
        <v>42338.908275462964</v>
      </c>
      <c r="B6231" s="5">
        <v>1</v>
      </c>
    </row>
    <row r="6232" spans="1:2" x14ac:dyDescent="0.35">
      <c r="A6232" s="14">
        <v>42338.915069444447</v>
      </c>
      <c r="B6232" s="5">
        <v>1</v>
      </c>
    </row>
    <row r="6233" spans="1:2" x14ac:dyDescent="0.35">
      <c r="A6233" s="14">
        <v>42338.917442129627</v>
      </c>
      <c r="B6233" s="5">
        <v>1</v>
      </c>
    </row>
    <row r="6234" spans="1:2" x14ac:dyDescent="0.35">
      <c r="A6234" s="14">
        <v>42338.934120370373</v>
      </c>
      <c r="B6234" s="5">
        <v>1</v>
      </c>
    </row>
    <row r="6235" spans="1:2" x14ac:dyDescent="0.35">
      <c r="A6235" s="14">
        <v>42338.935636574075</v>
      </c>
      <c r="B6235" s="5">
        <v>1</v>
      </c>
    </row>
    <row r="6236" spans="1:2" x14ac:dyDescent="0.35">
      <c r="A6236" s="14">
        <v>42338.939502314817</v>
      </c>
      <c r="B6236" s="5">
        <v>1</v>
      </c>
    </row>
    <row r="6237" spans="1:2" x14ac:dyDescent="0.35">
      <c r="A6237" s="14">
        <v>42338.939675925925</v>
      </c>
      <c r="B6237" s="5">
        <v>1</v>
      </c>
    </row>
    <row r="6238" spans="1:2" x14ac:dyDescent="0.35">
      <c r="A6238" s="14">
        <v>42338.941342592596</v>
      </c>
      <c r="B6238" s="5">
        <v>1</v>
      </c>
    </row>
    <row r="6239" spans="1:2" x14ac:dyDescent="0.35">
      <c r="A6239" s="14">
        <v>42338.945925925924</v>
      </c>
      <c r="B6239" s="5">
        <v>2</v>
      </c>
    </row>
    <row r="6240" spans="1:2" x14ac:dyDescent="0.35">
      <c r="A6240" s="14">
        <v>42338.94630787037</v>
      </c>
      <c r="B6240" s="5">
        <v>1</v>
      </c>
    </row>
    <row r="6241" spans="1:2" x14ac:dyDescent="0.35">
      <c r="A6241" s="14">
        <v>42338.947199074071</v>
      </c>
      <c r="B6241" s="5">
        <v>1</v>
      </c>
    </row>
    <row r="6242" spans="1:2" x14ac:dyDescent="0.35">
      <c r="A6242" s="14">
        <v>42338.971192129633</v>
      </c>
      <c r="B6242" s="5">
        <v>1</v>
      </c>
    </row>
    <row r="6243" spans="1:2" x14ac:dyDescent="0.35">
      <c r="A6243" s="14">
        <v>42338.979456018518</v>
      </c>
      <c r="B6243" s="5">
        <v>1</v>
      </c>
    </row>
    <row r="6244" spans="1:2" x14ac:dyDescent="0.35">
      <c r="A6244" s="14">
        <v>42338.980868055558</v>
      </c>
      <c r="B6244" s="5">
        <v>1</v>
      </c>
    </row>
    <row r="6245" spans="1:2" x14ac:dyDescent="0.35">
      <c r="A6245" s="14">
        <v>42338.992222222223</v>
      </c>
      <c r="B6245" s="5">
        <v>1</v>
      </c>
    </row>
    <row r="6246" spans="1:2" x14ac:dyDescent="0.35">
      <c r="A6246" s="14">
        <v>42339.001793981479</v>
      </c>
      <c r="B6246" s="5">
        <v>1</v>
      </c>
    </row>
    <row r="6247" spans="1:2" x14ac:dyDescent="0.35">
      <c r="A6247" s="14">
        <v>42339.002222222225</v>
      </c>
      <c r="B6247" s="5">
        <v>1</v>
      </c>
    </row>
    <row r="6248" spans="1:2" x14ac:dyDescent="0.35">
      <c r="A6248" s="14">
        <v>42339.02579861111</v>
      </c>
      <c r="B6248" s="5">
        <v>1</v>
      </c>
    </row>
    <row r="6249" spans="1:2" x14ac:dyDescent="0.35">
      <c r="A6249" s="14">
        <v>42339.049074074072</v>
      </c>
      <c r="B6249" s="5">
        <v>1</v>
      </c>
    </row>
    <row r="6250" spans="1:2" x14ac:dyDescent="0.35">
      <c r="A6250" s="14">
        <v>42339.055636574078</v>
      </c>
      <c r="B6250" s="5">
        <v>1</v>
      </c>
    </row>
    <row r="6251" spans="1:2" x14ac:dyDescent="0.35">
      <c r="A6251" s="14">
        <v>42339.065370370372</v>
      </c>
      <c r="B6251" s="5">
        <v>1</v>
      </c>
    </row>
    <row r="6252" spans="1:2" x14ac:dyDescent="0.35">
      <c r="A6252" s="14">
        <v>42339.068310185183</v>
      </c>
      <c r="B6252" s="5">
        <v>1</v>
      </c>
    </row>
    <row r="6253" spans="1:2" x14ac:dyDescent="0.35">
      <c r="A6253" s="14">
        <v>42339.071469907409</v>
      </c>
      <c r="B6253" s="5">
        <v>1</v>
      </c>
    </row>
    <row r="6254" spans="1:2" x14ac:dyDescent="0.35">
      <c r="A6254" s="14">
        <v>42339.071493055555</v>
      </c>
      <c r="B6254" s="5">
        <v>1</v>
      </c>
    </row>
    <row r="6255" spans="1:2" x14ac:dyDescent="0.35">
      <c r="A6255" s="14">
        <v>42339.077303240738</v>
      </c>
      <c r="B6255" s="5">
        <v>1</v>
      </c>
    </row>
    <row r="6256" spans="1:2" x14ac:dyDescent="0.35">
      <c r="A6256" s="14">
        <v>42339.077974537038</v>
      </c>
      <c r="B6256" s="5">
        <v>1</v>
      </c>
    </row>
    <row r="6257" spans="1:2" x14ac:dyDescent="0.35">
      <c r="A6257" s="14">
        <v>42339.090231481481</v>
      </c>
      <c r="B6257" s="5">
        <v>1</v>
      </c>
    </row>
    <row r="6258" spans="1:2" x14ac:dyDescent="0.35">
      <c r="A6258" s="14">
        <v>42339.091747685183</v>
      </c>
      <c r="B6258" s="5">
        <v>1</v>
      </c>
    </row>
    <row r="6259" spans="1:2" x14ac:dyDescent="0.35">
      <c r="A6259" s="14">
        <v>42339.092106481483</v>
      </c>
      <c r="B6259" s="5">
        <v>1</v>
      </c>
    </row>
    <row r="6260" spans="1:2" x14ac:dyDescent="0.35">
      <c r="A6260" s="14">
        <v>42339.098101851851</v>
      </c>
      <c r="B6260" s="5">
        <v>1</v>
      </c>
    </row>
    <row r="6261" spans="1:2" x14ac:dyDescent="0.35">
      <c r="A6261" s="14">
        <v>42339.106180555558</v>
      </c>
      <c r="B6261" s="5">
        <v>1</v>
      </c>
    </row>
    <row r="6262" spans="1:2" x14ac:dyDescent="0.35">
      <c r="A6262" s="14">
        <v>42339.106932870367</v>
      </c>
      <c r="B6262" s="5">
        <v>1</v>
      </c>
    </row>
    <row r="6263" spans="1:2" x14ac:dyDescent="0.35">
      <c r="A6263" s="14">
        <v>42339.11109953704</v>
      </c>
      <c r="B6263" s="5">
        <v>1</v>
      </c>
    </row>
    <row r="6264" spans="1:2" x14ac:dyDescent="0.35">
      <c r="A6264" s="14">
        <v>42339.120937500003</v>
      </c>
      <c r="B6264" s="5">
        <v>1</v>
      </c>
    </row>
    <row r="6265" spans="1:2" x14ac:dyDescent="0.35">
      <c r="A6265" s="14">
        <v>42339.126550925925</v>
      </c>
      <c r="B6265" s="5">
        <v>1</v>
      </c>
    </row>
    <row r="6266" spans="1:2" x14ac:dyDescent="0.35">
      <c r="A6266" s="14">
        <v>42339.130162037036</v>
      </c>
      <c r="B6266" s="5">
        <v>1</v>
      </c>
    </row>
    <row r="6267" spans="1:2" x14ac:dyDescent="0.35">
      <c r="A6267" s="14">
        <v>42339.130462962959</v>
      </c>
      <c r="B6267" s="5">
        <v>1</v>
      </c>
    </row>
    <row r="6268" spans="1:2" x14ac:dyDescent="0.35">
      <c r="A6268" s="14">
        <v>42339.135509259257</v>
      </c>
      <c r="B6268" s="5">
        <v>1</v>
      </c>
    </row>
    <row r="6269" spans="1:2" x14ac:dyDescent="0.35">
      <c r="A6269" s="14">
        <v>42339.135601851849</v>
      </c>
      <c r="B6269" s="5">
        <v>1</v>
      </c>
    </row>
    <row r="6270" spans="1:2" x14ac:dyDescent="0.35">
      <c r="A6270" s="14">
        <v>42339.136481481481</v>
      </c>
      <c r="B6270" s="5">
        <v>1</v>
      </c>
    </row>
    <row r="6271" spans="1:2" x14ac:dyDescent="0.35">
      <c r="A6271" s="14">
        <v>42339.139652777776</v>
      </c>
      <c r="B6271" s="5">
        <v>1</v>
      </c>
    </row>
    <row r="6272" spans="1:2" x14ac:dyDescent="0.35">
      <c r="A6272" s="14">
        <v>42339.141087962962</v>
      </c>
      <c r="B6272" s="5">
        <v>1</v>
      </c>
    </row>
    <row r="6273" spans="1:2" x14ac:dyDescent="0.35">
      <c r="A6273" s="14">
        <v>42339.154097222221</v>
      </c>
      <c r="B6273" s="5">
        <v>1</v>
      </c>
    </row>
    <row r="6274" spans="1:2" x14ac:dyDescent="0.35">
      <c r="A6274" s="14">
        <v>42339.156747685185</v>
      </c>
      <c r="B6274" s="5">
        <v>1</v>
      </c>
    </row>
    <row r="6275" spans="1:2" x14ac:dyDescent="0.35">
      <c r="A6275" s="14">
        <v>42339.173460648148</v>
      </c>
      <c r="B6275" s="5">
        <v>1</v>
      </c>
    </row>
    <row r="6276" spans="1:2" x14ac:dyDescent="0.35">
      <c r="A6276" s="14">
        <v>42339.191319444442</v>
      </c>
      <c r="B6276" s="5">
        <v>1</v>
      </c>
    </row>
    <row r="6277" spans="1:2" x14ac:dyDescent="0.35">
      <c r="A6277" s="14">
        <v>42339.19740740741</v>
      </c>
      <c r="B6277" s="5">
        <v>1</v>
      </c>
    </row>
    <row r="6278" spans="1:2" x14ac:dyDescent="0.35">
      <c r="A6278" s="14">
        <v>42339.202986111108</v>
      </c>
      <c r="B6278" s="5">
        <v>1</v>
      </c>
    </row>
    <row r="6279" spans="1:2" x14ac:dyDescent="0.35">
      <c r="A6279" s="14">
        <v>42339.238599537035</v>
      </c>
      <c r="B6279" s="5">
        <v>1</v>
      </c>
    </row>
    <row r="6280" spans="1:2" x14ac:dyDescent="0.35">
      <c r="A6280" s="14">
        <v>42339.258263888885</v>
      </c>
      <c r="B6280" s="5">
        <v>1</v>
      </c>
    </row>
    <row r="6281" spans="1:2" x14ac:dyDescent="0.35">
      <c r="A6281" s="14">
        <v>42339.271608796298</v>
      </c>
      <c r="B6281" s="5">
        <v>1</v>
      </c>
    </row>
    <row r="6282" spans="1:2" x14ac:dyDescent="0.35">
      <c r="A6282" s="14">
        <v>42339.463437500002</v>
      </c>
      <c r="B6282" s="5">
        <v>1</v>
      </c>
    </row>
    <row r="6283" spans="1:2" x14ac:dyDescent="0.35">
      <c r="A6283" s="14">
        <v>42339.569236111114</v>
      </c>
      <c r="B6283" s="5">
        <v>1</v>
      </c>
    </row>
    <row r="6284" spans="1:2" x14ac:dyDescent="0.35">
      <c r="A6284" s="14">
        <v>42339.597060185188</v>
      </c>
      <c r="B6284" s="5">
        <v>1</v>
      </c>
    </row>
    <row r="6285" spans="1:2" x14ac:dyDescent="0.35">
      <c r="A6285" s="14">
        <v>42339.597187500003</v>
      </c>
      <c r="B6285" s="5">
        <v>1</v>
      </c>
    </row>
    <row r="6286" spans="1:2" x14ac:dyDescent="0.35">
      <c r="A6286" s="14">
        <v>42339.600983796299</v>
      </c>
      <c r="B6286" s="5">
        <v>1</v>
      </c>
    </row>
    <row r="6287" spans="1:2" x14ac:dyDescent="0.35">
      <c r="A6287" s="14">
        <v>42339.603738425925</v>
      </c>
      <c r="B6287" s="5">
        <v>1</v>
      </c>
    </row>
    <row r="6288" spans="1:2" x14ac:dyDescent="0.35">
      <c r="A6288" s="14">
        <v>42339.606180555558</v>
      </c>
      <c r="B6288" s="5">
        <v>1</v>
      </c>
    </row>
    <row r="6289" spans="1:2" x14ac:dyDescent="0.35">
      <c r="A6289" s="14">
        <v>42339.610231481478</v>
      </c>
      <c r="B6289" s="5">
        <v>1</v>
      </c>
    </row>
    <row r="6290" spans="1:2" x14ac:dyDescent="0.35">
      <c r="A6290" s="14">
        <v>42339.613749999997</v>
      </c>
      <c r="B6290" s="5">
        <v>1</v>
      </c>
    </row>
    <row r="6291" spans="1:2" x14ac:dyDescent="0.35">
      <c r="A6291" s="14">
        <v>42339.640787037039</v>
      </c>
      <c r="B6291" s="5">
        <v>1</v>
      </c>
    </row>
    <row r="6292" spans="1:2" x14ac:dyDescent="0.35">
      <c r="A6292" s="14">
        <v>42339.675092592595</v>
      </c>
      <c r="B6292" s="5">
        <v>1</v>
      </c>
    </row>
    <row r="6293" spans="1:2" x14ac:dyDescent="0.35">
      <c r="A6293" s="14">
        <v>42339.709155092591</v>
      </c>
      <c r="B6293" s="5">
        <v>1</v>
      </c>
    </row>
    <row r="6294" spans="1:2" x14ac:dyDescent="0.35">
      <c r="A6294" s="14">
        <v>42339.711909722224</v>
      </c>
      <c r="B6294" s="5">
        <v>1</v>
      </c>
    </row>
    <row r="6295" spans="1:2" x14ac:dyDescent="0.35">
      <c r="A6295" s="14">
        <v>42339.715810185182</v>
      </c>
      <c r="B6295" s="5">
        <v>1</v>
      </c>
    </row>
    <row r="6296" spans="1:2" x14ac:dyDescent="0.35">
      <c r="A6296" s="14">
        <v>42339.722337962965</v>
      </c>
      <c r="B6296" s="5">
        <v>1</v>
      </c>
    </row>
    <row r="6297" spans="1:2" x14ac:dyDescent="0.35">
      <c r="A6297" s="14">
        <v>42339.723587962966</v>
      </c>
      <c r="B6297" s="5">
        <v>1</v>
      </c>
    </row>
    <row r="6298" spans="1:2" x14ac:dyDescent="0.35">
      <c r="A6298" s="14">
        <v>42339.724178240744</v>
      </c>
      <c r="B6298" s="5">
        <v>1</v>
      </c>
    </row>
    <row r="6299" spans="1:2" x14ac:dyDescent="0.35">
      <c r="A6299" s="14">
        <v>42339.728009259263</v>
      </c>
      <c r="B6299" s="5">
        <v>1</v>
      </c>
    </row>
    <row r="6300" spans="1:2" x14ac:dyDescent="0.35">
      <c r="A6300" s="14">
        <v>42339.731689814813</v>
      </c>
      <c r="B6300" s="5">
        <v>1</v>
      </c>
    </row>
    <row r="6301" spans="1:2" x14ac:dyDescent="0.35">
      <c r="A6301" s="14">
        <v>42339.732303240744</v>
      </c>
      <c r="B6301" s="5">
        <v>1</v>
      </c>
    </row>
    <row r="6302" spans="1:2" x14ac:dyDescent="0.35">
      <c r="A6302" s="14">
        <v>42339.742789351854</v>
      </c>
      <c r="B6302" s="5">
        <v>1</v>
      </c>
    </row>
    <row r="6303" spans="1:2" x14ac:dyDescent="0.35">
      <c r="A6303" s="14">
        <v>42339.753854166665</v>
      </c>
      <c r="B6303" s="5">
        <v>1</v>
      </c>
    </row>
    <row r="6304" spans="1:2" x14ac:dyDescent="0.35">
      <c r="A6304" s="14">
        <v>42339.76667824074</v>
      </c>
      <c r="B6304" s="5">
        <v>1</v>
      </c>
    </row>
    <row r="6305" spans="1:2" x14ac:dyDescent="0.35">
      <c r="A6305" s="14">
        <v>42339.775254629632</v>
      </c>
      <c r="B6305" s="5">
        <v>1</v>
      </c>
    </row>
    <row r="6306" spans="1:2" x14ac:dyDescent="0.35">
      <c r="A6306" s="14">
        <v>42339.778923611113</v>
      </c>
      <c r="B6306" s="5">
        <v>1</v>
      </c>
    </row>
    <row r="6307" spans="1:2" x14ac:dyDescent="0.35">
      <c r="A6307" s="14">
        <v>42339.782731481479</v>
      </c>
      <c r="B6307" s="5">
        <v>1</v>
      </c>
    </row>
    <row r="6308" spans="1:2" x14ac:dyDescent="0.35">
      <c r="A6308" s="14">
        <v>42339.783020833333</v>
      </c>
      <c r="B6308" s="5">
        <v>1</v>
      </c>
    </row>
    <row r="6309" spans="1:2" x14ac:dyDescent="0.35">
      <c r="A6309" s="14">
        <v>42339.796770833331</v>
      </c>
      <c r="B6309" s="5">
        <v>1</v>
      </c>
    </row>
    <row r="6310" spans="1:2" x14ac:dyDescent="0.35">
      <c r="A6310" s="14">
        <v>42339.820416666669</v>
      </c>
      <c r="B6310" s="5">
        <v>1</v>
      </c>
    </row>
    <row r="6311" spans="1:2" x14ac:dyDescent="0.35">
      <c r="A6311" s="14">
        <v>42339.829594907409</v>
      </c>
      <c r="B6311" s="5">
        <v>1</v>
      </c>
    </row>
    <row r="6312" spans="1:2" x14ac:dyDescent="0.35">
      <c r="A6312" s="14">
        <v>42339.831203703703</v>
      </c>
      <c r="B6312" s="5">
        <v>1</v>
      </c>
    </row>
    <row r="6313" spans="1:2" x14ac:dyDescent="0.35">
      <c r="A6313" s="14">
        <v>42339.832719907405</v>
      </c>
      <c r="B6313" s="5">
        <v>1</v>
      </c>
    </row>
    <row r="6314" spans="1:2" x14ac:dyDescent="0.35">
      <c r="A6314" s="14">
        <v>42339.83935185185</v>
      </c>
      <c r="B6314" s="5">
        <v>1</v>
      </c>
    </row>
    <row r="6315" spans="1:2" x14ac:dyDescent="0.35">
      <c r="A6315" s="14">
        <v>42339.840856481482</v>
      </c>
      <c r="B6315" s="5">
        <v>1</v>
      </c>
    </row>
    <row r="6316" spans="1:2" x14ac:dyDescent="0.35">
      <c r="A6316" s="14">
        <v>42339.845671296294</v>
      </c>
      <c r="B6316" s="5">
        <v>1</v>
      </c>
    </row>
    <row r="6317" spans="1:2" x14ac:dyDescent="0.35">
      <c r="A6317" s="14">
        <v>42339.848356481481</v>
      </c>
      <c r="B6317" s="5">
        <v>1</v>
      </c>
    </row>
    <row r="6318" spans="1:2" x14ac:dyDescent="0.35">
      <c r="A6318" s="14">
        <v>42339.856932870367</v>
      </c>
      <c r="B6318" s="5">
        <v>1</v>
      </c>
    </row>
    <row r="6319" spans="1:2" x14ac:dyDescent="0.35">
      <c r="A6319" s="14">
        <v>42339.861215277779</v>
      </c>
      <c r="B6319" s="5">
        <v>1</v>
      </c>
    </row>
    <row r="6320" spans="1:2" x14ac:dyDescent="0.35">
      <c r="A6320" s="14">
        <v>42339.891458333332</v>
      </c>
      <c r="B6320" s="5">
        <v>1</v>
      </c>
    </row>
    <row r="6321" spans="1:2" x14ac:dyDescent="0.35">
      <c r="A6321" s="14">
        <v>42339.899375000001</v>
      </c>
      <c r="B6321" s="5">
        <v>1</v>
      </c>
    </row>
    <row r="6322" spans="1:2" x14ac:dyDescent="0.35">
      <c r="A6322" s="14">
        <v>42339.914421296293</v>
      </c>
      <c r="B6322" s="5">
        <v>1</v>
      </c>
    </row>
    <row r="6323" spans="1:2" x14ac:dyDescent="0.35">
      <c r="A6323" s="14">
        <v>42339.921863425923</v>
      </c>
      <c r="B6323" s="5">
        <v>1</v>
      </c>
    </row>
    <row r="6324" spans="1:2" x14ac:dyDescent="0.35">
      <c r="A6324" s="14">
        <v>42339.926863425928</v>
      </c>
      <c r="B6324" s="5">
        <v>1</v>
      </c>
    </row>
    <row r="6325" spans="1:2" x14ac:dyDescent="0.35">
      <c r="A6325" s="14">
        <v>42339.930659722224</v>
      </c>
      <c r="B6325" s="5">
        <v>1</v>
      </c>
    </row>
    <row r="6326" spans="1:2" x14ac:dyDescent="0.35">
      <c r="A6326" s="14">
        <v>42339.937268518515</v>
      </c>
      <c r="B6326" s="5">
        <v>1</v>
      </c>
    </row>
    <row r="6327" spans="1:2" x14ac:dyDescent="0.35">
      <c r="A6327" s="14">
        <v>42339.937569444446</v>
      </c>
      <c r="B6327" s="5">
        <v>1</v>
      </c>
    </row>
    <row r="6328" spans="1:2" x14ac:dyDescent="0.35">
      <c r="A6328" s="14">
        <v>42339.946134259262</v>
      </c>
      <c r="B6328" s="5">
        <v>1</v>
      </c>
    </row>
    <row r="6329" spans="1:2" x14ac:dyDescent="0.35">
      <c r="A6329" s="14">
        <v>42339.956875000003</v>
      </c>
      <c r="B6329" s="5">
        <v>1</v>
      </c>
    </row>
    <row r="6330" spans="1:2" x14ac:dyDescent="0.35">
      <c r="A6330" s="14">
        <v>42339.968842592592</v>
      </c>
      <c r="B6330" s="5">
        <v>1</v>
      </c>
    </row>
    <row r="6331" spans="1:2" x14ac:dyDescent="0.35">
      <c r="A6331" s="14">
        <v>42339.968865740739</v>
      </c>
      <c r="B6331" s="5">
        <v>1</v>
      </c>
    </row>
    <row r="6332" spans="1:2" x14ac:dyDescent="0.35">
      <c r="A6332" s="14">
        <v>42339.98097222222</v>
      </c>
      <c r="B6332" s="5">
        <v>1</v>
      </c>
    </row>
    <row r="6333" spans="1:2" x14ac:dyDescent="0.35">
      <c r="A6333" s="14">
        <v>42339.982060185182</v>
      </c>
      <c r="B6333" s="5">
        <v>1</v>
      </c>
    </row>
    <row r="6334" spans="1:2" x14ac:dyDescent="0.35">
      <c r="A6334" s="14">
        <v>42340.005069444444</v>
      </c>
      <c r="B6334" s="5">
        <v>1</v>
      </c>
    </row>
    <row r="6335" spans="1:2" x14ac:dyDescent="0.35">
      <c r="A6335" s="14">
        <v>42340.010879629626</v>
      </c>
      <c r="B6335" s="5">
        <v>1</v>
      </c>
    </row>
    <row r="6336" spans="1:2" x14ac:dyDescent="0.35">
      <c r="A6336" s="14">
        <v>42340.018171296295</v>
      </c>
      <c r="B6336" s="5">
        <v>1</v>
      </c>
    </row>
    <row r="6337" spans="1:2" x14ac:dyDescent="0.35">
      <c r="A6337" s="14">
        <v>42340.023206018515</v>
      </c>
      <c r="B6337" s="5">
        <v>1</v>
      </c>
    </row>
    <row r="6338" spans="1:2" x14ac:dyDescent="0.35">
      <c r="A6338" s="14">
        <v>42340.026064814818</v>
      </c>
      <c r="B6338" s="5">
        <v>1</v>
      </c>
    </row>
    <row r="6339" spans="1:2" x14ac:dyDescent="0.35">
      <c r="A6339" s="14">
        <v>42340.028321759259</v>
      </c>
      <c r="B6339" s="5">
        <v>1</v>
      </c>
    </row>
    <row r="6340" spans="1:2" x14ac:dyDescent="0.35">
      <c r="A6340" s="14">
        <v>42340.045520833337</v>
      </c>
      <c r="B6340" s="5">
        <v>1</v>
      </c>
    </row>
    <row r="6341" spans="1:2" x14ac:dyDescent="0.35">
      <c r="A6341" s="14">
        <v>42340.046307870369</v>
      </c>
      <c r="B6341" s="5">
        <v>1</v>
      </c>
    </row>
    <row r="6342" spans="1:2" x14ac:dyDescent="0.35">
      <c r="A6342" s="14">
        <v>42340.04791666667</v>
      </c>
      <c r="B6342" s="5">
        <v>1</v>
      </c>
    </row>
    <row r="6343" spans="1:2" x14ac:dyDescent="0.35">
      <c r="A6343" s="14">
        <v>42340.051932870374</v>
      </c>
      <c r="B6343" s="5">
        <v>1</v>
      </c>
    </row>
    <row r="6344" spans="1:2" x14ac:dyDescent="0.35">
      <c r="A6344" s="14">
        <v>42340.058125000003</v>
      </c>
      <c r="B6344" s="5">
        <v>1</v>
      </c>
    </row>
    <row r="6345" spans="1:2" x14ac:dyDescent="0.35">
      <c r="A6345" s="14">
        <v>42340.058981481481</v>
      </c>
      <c r="B6345" s="5">
        <v>1</v>
      </c>
    </row>
    <row r="6346" spans="1:2" x14ac:dyDescent="0.35">
      <c r="A6346" s="14">
        <v>42340.067708333336</v>
      </c>
      <c r="B6346" s="5">
        <v>1</v>
      </c>
    </row>
    <row r="6347" spans="1:2" x14ac:dyDescent="0.35">
      <c r="A6347" s="14">
        <v>42340.090289351851</v>
      </c>
      <c r="B6347" s="5">
        <v>1</v>
      </c>
    </row>
    <row r="6348" spans="1:2" x14ac:dyDescent="0.35">
      <c r="A6348" s="14">
        <v>42340.098900462966</v>
      </c>
      <c r="B6348" s="5">
        <v>1</v>
      </c>
    </row>
    <row r="6349" spans="1:2" x14ac:dyDescent="0.35">
      <c r="A6349" s="14">
        <v>42340.103472222225</v>
      </c>
      <c r="B6349" s="5">
        <v>1</v>
      </c>
    </row>
    <row r="6350" spans="1:2" x14ac:dyDescent="0.35">
      <c r="A6350" s="14">
        <v>42340.124814814815</v>
      </c>
      <c r="B6350" s="5">
        <v>1</v>
      </c>
    </row>
    <row r="6351" spans="1:2" x14ac:dyDescent="0.35">
      <c r="A6351" s="14">
        <v>42340.143240740741</v>
      </c>
      <c r="B6351" s="5">
        <v>1</v>
      </c>
    </row>
    <row r="6352" spans="1:2" x14ac:dyDescent="0.35">
      <c r="A6352" s="14">
        <v>42340.149050925924</v>
      </c>
      <c r="B6352" s="5">
        <v>1</v>
      </c>
    </row>
    <row r="6353" spans="1:2" x14ac:dyDescent="0.35">
      <c r="A6353" s="14">
        <v>42340.188796296294</v>
      </c>
      <c r="B6353" s="5">
        <v>1</v>
      </c>
    </row>
    <row r="6354" spans="1:2" x14ac:dyDescent="0.35">
      <c r="A6354" s="14">
        <v>42340.214907407404</v>
      </c>
      <c r="B6354" s="5">
        <v>1</v>
      </c>
    </row>
    <row r="6355" spans="1:2" x14ac:dyDescent="0.35">
      <c r="A6355" s="14">
        <v>42340.226377314815</v>
      </c>
      <c r="B6355" s="5">
        <v>1</v>
      </c>
    </row>
    <row r="6356" spans="1:2" x14ac:dyDescent="0.35">
      <c r="A6356" s="14">
        <v>42340.237083333333</v>
      </c>
      <c r="B6356" s="5">
        <v>1</v>
      </c>
    </row>
    <row r="6357" spans="1:2" x14ac:dyDescent="0.35">
      <c r="A6357" s="14">
        <v>42340.369166666664</v>
      </c>
      <c r="B6357" s="5">
        <v>1</v>
      </c>
    </row>
    <row r="6358" spans="1:2" x14ac:dyDescent="0.35">
      <c r="A6358" s="14">
        <v>42340.394525462965</v>
      </c>
      <c r="B6358" s="5">
        <v>1</v>
      </c>
    </row>
    <row r="6359" spans="1:2" x14ac:dyDescent="0.35">
      <c r="A6359" s="14">
        <v>42340.42765046296</v>
      </c>
      <c r="B6359" s="5">
        <v>1</v>
      </c>
    </row>
    <row r="6360" spans="1:2" x14ac:dyDescent="0.35">
      <c r="A6360" s="14">
        <v>42340.429826388892</v>
      </c>
      <c r="B6360" s="5">
        <v>2</v>
      </c>
    </row>
    <row r="6361" spans="1:2" x14ac:dyDescent="0.35">
      <c r="A6361" s="14">
        <v>42340.549189814818</v>
      </c>
      <c r="B6361" s="5">
        <v>1</v>
      </c>
    </row>
    <row r="6362" spans="1:2" x14ac:dyDescent="0.35">
      <c r="A6362" s="14">
        <v>42340.56753472222</v>
      </c>
      <c r="B6362" s="5">
        <v>1</v>
      </c>
    </row>
    <row r="6363" spans="1:2" x14ac:dyDescent="0.35">
      <c r="A6363" s="14">
        <v>42340.583912037036</v>
      </c>
      <c r="B6363" s="5">
        <v>1</v>
      </c>
    </row>
    <row r="6364" spans="1:2" x14ac:dyDescent="0.35">
      <c r="A6364" s="14">
        <v>42340.588807870372</v>
      </c>
      <c r="B6364" s="5">
        <v>1</v>
      </c>
    </row>
    <row r="6365" spans="1:2" x14ac:dyDescent="0.35">
      <c r="A6365" s="14">
        <v>42340.596828703703</v>
      </c>
      <c r="B6365" s="5">
        <v>1</v>
      </c>
    </row>
    <row r="6366" spans="1:2" x14ac:dyDescent="0.35">
      <c r="A6366" s="14">
        <v>42340.601030092592</v>
      </c>
      <c r="B6366" s="5">
        <v>1</v>
      </c>
    </row>
    <row r="6367" spans="1:2" x14ac:dyDescent="0.35">
      <c r="A6367" s="14">
        <v>42340.606006944443</v>
      </c>
      <c r="B6367" s="5">
        <v>1</v>
      </c>
    </row>
    <row r="6368" spans="1:2" x14ac:dyDescent="0.35">
      <c r="A6368" s="14">
        <v>42340.61996527778</v>
      </c>
      <c r="B6368" s="5">
        <v>1</v>
      </c>
    </row>
    <row r="6369" spans="1:2" x14ac:dyDescent="0.35">
      <c r="A6369" s="14">
        <v>42340.640219907407</v>
      </c>
      <c r="B6369" s="5">
        <v>1</v>
      </c>
    </row>
    <row r="6370" spans="1:2" x14ac:dyDescent="0.35">
      <c r="A6370" s="14">
        <v>42340.642013888886</v>
      </c>
      <c r="B6370" s="5">
        <v>1</v>
      </c>
    </row>
    <row r="6371" spans="1:2" x14ac:dyDescent="0.35">
      <c r="A6371" s="14">
        <v>42340.643541666665</v>
      </c>
      <c r="B6371" s="5">
        <v>1</v>
      </c>
    </row>
    <row r="6372" spans="1:2" x14ac:dyDescent="0.35">
      <c r="A6372" s="14">
        <v>42340.644768518519</v>
      </c>
      <c r="B6372" s="5">
        <v>1</v>
      </c>
    </row>
    <row r="6373" spans="1:2" x14ac:dyDescent="0.35">
      <c r="A6373" s="14">
        <v>42340.645254629628</v>
      </c>
      <c r="B6373" s="5">
        <v>1</v>
      </c>
    </row>
    <row r="6374" spans="1:2" x14ac:dyDescent="0.35">
      <c r="A6374" s="14">
        <v>42340.648969907408</v>
      </c>
      <c r="B6374" s="5">
        <v>1</v>
      </c>
    </row>
    <row r="6375" spans="1:2" x14ac:dyDescent="0.35">
      <c r="A6375" s="14">
        <v>42340.650185185186</v>
      </c>
      <c r="B6375" s="5">
        <v>1</v>
      </c>
    </row>
    <row r="6376" spans="1:2" x14ac:dyDescent="0.35">
      <c r="A6376" s="14">
        <v>42340.655219907407</v>
      </c>
      <c r="B6376" s="5">
        <v>1</v>
      </c>
    </row>
    <row r="6377" spans="1:2" x14ac:dyDescent="0.35">
      <c r="A6377" s="14">
        <v>42340.656400462962</v>
      </c>
      <c r="B6377" s="5">
        <v>1</v>
      </c>
    </row>
    <row r="6378" spans="1:2" x14ac:dyDescent="0.35">
      <c r="A6378" s="14">
        <v>42340.660949074074</v>
      </c>
      <c r="B6378" s="5">
        <v>1</v>
      </c>
    </row>
    <row r="6379" spans="1:2" x14ac:dyDescent="0.35">
      <c r="A6379" s="14">
        <v>42340.662534722222</v>
      </c>
      <c r="B6379" s="5">
        <v>1</v>
      </c>
    </row>
    <row r="6380" spans="1:2" x14ac:dyDescent="0.35">
      <c r="A6380" s="14">
        <v>42340.688807870371</v>
      </c>
      <c r="B6380" s="5">
        <v>1</v>
      </c>
    </row>
    <row r="6381" spans="1:2" x14ac:dyDescent="0.35">
      <c r="A6381" s="14">
        <v>42340.696458333332</v>
      </c>
      <c r="B6381" s="5">
        <v>1</v>
      </c>
    </row>
    <row r="6382" spans="1:2" x14ac:dyDescent="0.35">
      <c r="A6382" s="14">
        <v>42340.728993055556</v>
      </c>
      <c r="B6382" s="5">
        <v>1</v>
      </c>
    </row>
    <row r="6383" spans="1:2" x14ac:dyDescent="0.35">
      <c r="A6383" s="14">
        <v>42340.732499999998</v>
      </c>
      <c r="B6383" s="5">
        <v>1</v>
      </c>
    </row>
    <row r="6384" spans="1:2" x14ac:dyDescent="0.35">
      <c r="A6384" s="14">
        <v>42340.733831018515</v>
      </c>
      <c r="B6384" s="5">
        <v>1</v>
      </c>
    </row>
    <row r="6385" spans="1:2" x14ac:dyDescent="0.35">
      <c r="A6385" s="14">
        <v>42340.736296296294</v>
      </c>
      <c r="B6385" s="5">
        <v>1</v>
      </c>
    </row>
    <row r="6386" spans="1:2" x14ac:dyDescent="0.35">
      <c r="A6386" s="14">
        <v>42340.739953703705</v>
      </c>
      <c r="B6386" s="5">
        <v>1</v>
      </c>
    </row>
    <row r="6387" spans="1:2" x14ac:dyDescent="0.35">
      <c r="A6387" s="14">
        <v>42340.741203703707</v>
      </c>
      <c r="B6387" s="5">
        <v>1</v>
      </c>
    </row>
    <row r="6388" spans="1:2" x14ac:dyDescent="0.35">
      <c r="A6388" s="14">
        <v>42340.744513888887</v>
      </c>
      <c r="B6388" s="5">
        <v>1</v>
      </c>
    </row>
    <row r="6389" spans="1:2" x14ac:dyDescent="0.35">
      <c r="A6389" s="14">
        <v>42340.779432870368</v>
      </c>
      <c r="B6389" s="5">
        <v>1</v>
      </c>
    </row>
    <row r="6390" spans="1:2" x14ac:dyDescent="0.35">
      <c r="A6390" s="14">
        <v>42340.782916666663</v>
      </c>
      <c r="B6390" s="5">
        <v>1</v>
      </c>
    </row>
    <row r="6391" spans="1:2" x14ac:dyDescent="0.35">
      <c r="A6391" s="14">
        <v>42340.797094907408</v>
      </c>
      <c r="B6391" s="5">
        <v>1</v>
      </c>
    </row>
    <row r="6392" spans="1:2" x14ac:dyDescent="0.35">
      <c r="A6392" s="14">
        <v>42340.797581018516</v>
      </c>
      <c r="B6392" s="5">
        <v>1</v>
      </c>
    </row>
    <row r="6393" spans="1:2" x14ac:dyDescent="0.35">
      <c r="A6393" s="14">
        <v>42340.805462962962</v>
      </c>
      <c r="B6393" s="5">
        <v>1</v>
      </c>
    </row>
    <row r="6394" spans="1:2" x14ac:dyDescent="0.35">
      <c r="A6394" s="14">
        <v>42340.813136574077</v>
      </c>
      <c r="B6394" s="5">
        <v>1</v>
      </c>
    </row>
    <row r="6395" spans="1:2" x14ac:dyDescent="0.35">
      <c r="A6395" s="14">
        <v>42340.819444444445</v>
      </c>
      <c r="B6395" s="5">
        <v>1</v>
      </c>
    </row>
    <row r="6396" spans="1:2" x14ac:dyDescent="0.35">
      <c r="A6396" s="14">
        <v>42340.820671296293</v>
      </c>
      <c r="B6396" s="5">
        <v>1</v>
      </c>
    </row>
    <row r="6397" spans="1:2" x14ac:dyDescent="0.35">
      <c r="A6397" s="14">
        <v>42340.826956018522</v>
      </c>
      <c r="B6397" s="5">
        <v>1</v>
      </c>
    </row>
    <row r="6398" spans="1:2" x14ac:dyDescent="0.35">
      <c r="A6398" s="14">
        <v>42340.831192129626</v>
      </c>
      <c r="B6398" s="5">
        <v>1</v>
      </c>
    </row>
    <row r="6399" spans="1:2" x14ac:dyDescent="0.35">
      <c r="A6399" s="14">
        <v>42340.837291666663</v>
      </c>
      <c r="B6399" s="5">
        <v>1</v>
      </c>
    </row>
    <row r="6400" spans="1:2" x14ac:dyDescent="0.35">
      <c r="A6400" s="14">
        <v>42340.838865740741</v>
      </c>
      <c r="B6400" s="5">
        <v>1</v>
      </c>
    </row>
    <row r="6401" spans="1:2" x14ac:dyDescent="0.35">
      <c r="A6401" s="14">
        <v>42340.840879629628</v>
      </c>
      <c r="B6401" s="5">
        <v>1</v>
      </c>
    </row>
    <row r="6402" spans="1:2" x14ac:dyDescent="0.35">
      <c r="A6402" s="14">
        <v>42340.847187500003</v>
      </c>
      <c r="B6402" s="5">
        <v>1</v>
      </c>
    </row>
    <row r="6403" spans="1:2" x14ac:dyDescent="0.35">
      <c r="A6403" s="14">
        <v>42340.847453703704</v>
      </c>
      <c r="B6403" s="5">
        <v>1</v>
      </c>
    </row>
    <row r="6404" spans="1:2" x14ac:dyDescent="0.35">
      <c r="A6404" s="14">
        <v>42340.855023148149</v>
      </c>
      <c r="B6404" s="5">
        <v>1</v>
      </c>
    </row>
    <row r="6405" spans="1:2" x14ac:dyDescent="0.35">
      <c r="A6405" s="14">
        <v>42340.867569444446</v>
      </c>
      <c r="B6405" s="5">
        <v>1</v>
      </c>
    </row>
    <row r="6406" spans="1:2" x14ac:dyDescent="0.35">
      <c r="A6406" s="14">
        <v>42340.87090277778</v>
      </c>
      <c r="B6406" s="5">
        <v>1</v>
      </c>
    </row>
    <row r="6407" spans="1:2" x14ac:dyDescent="0.35">
      <c r="A6407" s="14">
        <v>42340.871145833335</v>
      </c>
      <c r="B6407" s="5">
        <v>1</v>
      </c>
    </row>
    <row r="6408" spans="1:2" x14ac:dyDescent="0.35">
      <c r="A6408" s="14">
        <v>42340.882337962961</v>
      </c>
      <c r="B6408" s="5">
        <v>1</v>
      </c>
    </row>
    <row r="6409" spans="1:2" x14ac:dyDescent="0.35">
      <c r="A6409" s="14">
        <v>42340.915000000001</v>
      </c>
      <c r="B6409" s="5">
        <v>1</v>
      </c>
    </row>
    <row r="6410" spans="1:2" x14ac:dyDescent="0.35">
      <c r="A6410" s="14">
        <v>42340.922430555554</v>
      </c>
      <c r="B6410" s="5">
        <v>1</v>
      </c>
    </row>
    <row r="6411" spans="1:2" x14ac:dyDescent="0.35">
      <c r="A6411" s="14">
        <v>42340.943124999998</v>
      </c>
      <c r="B6411" s="5">
        <v>1</v>
      </c>
    </row>
    <row r="6412" spans="1:2" x14ac:dyDescent="0.35">
      <c r="A6412" s="14">
        <v>42340.957025462965</v>
      </c>
      <c r="B6412" s="5">
        <v>1</v>
      </c>
    </row>
    <row r="6413" spans="1:2" x14ac:dyDescent="0.35">
      <c r="A6413" s="14">
        <v>42340.980567129627</v>
      </c>
      <c r="B6413" s="5">
        <v>1</v>
      </c>
    </row>
    <row r="6414" spans="1:2" x14ac:dyDescent="0.35">
      <c r="A6414" s="14">
        <v>42340.9840625</v>
      </c>
      <c r="B6414" s="5">
        <v>1</v>
      </c>
    </row>
    <row r="6415" spans="1:2" x14ac:dyDescent="0.35">
      <c r="A6415" s="14">
        <v>42340.985902777778</v>
      </c>
      <c r="B6415" s="5">
        <v>1</v>
      </c>
    </row>
    <row r="6416" spans="1:2" x14ac:dyDescent="0.35">
      <c r="A6416" s="14">
        <v>42340.987812500003</v>
      </c>
      <c r="B6416" s="5">
        <v>1</v>
      </c>
    </row>
    <row r="6417" spans="1:2" x14ac:dyDescent="0.35">
      <c r="A6417" s="14">
        <v>42340.989548611113</v>
      </c>
      <c r="B6417" s="5">
        <v>1</v>
      </c>
    </row>
    <row r="6418" spans="1:2" x14ac:dyDescent="0.35">
      <c r="A6418" s="14">
        <v>42340.989814814813</v>
      </c>
      <c r="B6418" s="5">
        <v>1</v>
      </c>
    </row>
    <row r="6419" spans="1:2" x14ac:dyDescent="0.35">
      <c r="A6419" s="14">
        <v>42340.993668981479</v>
      </c>
      <c r="B6419" s="5">
        <v>1</v>
      </c>
    </row>
    <row r="6420" spans="1:2" x14ac:dyDescent="0.35">
      <c r="A6420" s="14">
        <v>42340.996041666665</v>
      </c>
      <c r="B6420" s="5">
        <v>1</v>
      </c>
    </row>
    <row r="6421" spans="1:2" x14ac:dyDescent="0.35">
      <c r="A6421" s="14">
        <v>42340.996145833335</v>
      </c>
      <c r="B6421" s="5">
        <v>1</v>
      </c>
    </row>
    <row r="6422" spans="1:2" x14ac:dyDescent="0.35">
      <c r="A6422" s="14">
        <v>42340.996249999997</v>
      </c>
      <c r="B6422" s="5">
        <v>1</v>
      </c>
    </row>
    <row r="6423" spans="1:2" x14ac:dyDescent="0.35">
      <c r="A6423" s="14">
        <v>42340.996620370373</v>
      </c>
      <c r="B6423" s="5">
        <v>1</v>
      </c>
    </row>
    <row r="6424" spans="1:2" x14ac:dyDescent="0.35">
      <c r="A6424" s="14">
        <v>42340.996747685182</v>
      </c>
      <c r="B6424" s="5">
        <v>1</v>
      </c>
    </row>
    <row r="6425" spans="1:2" x14ac:dyDescent="0.35">
      <c r="A6425" s="14">
        <v>42340.996851851851</v>
      </c>
      <c r="B6425" s="5">
        <v>1</v>
      </c>
    </row>
    <row r="6426" spans="1:2" x14ac:dyDescent="0.35">
      <c r="A6426" s="14">
        <v>42340.997175925928</v>
      </c>
      <c r="B6426" s="5">
        <v>2</v>
      </c>
    </row>
    <row r="6427" spans="1:2" x14ac:dyDescent="0.35">
      <c r="A6427" s="14">
        <v>42340.997893518521</v>
      </c>
      <c r="B6427" s="5">
        <v>1</v>
      </c>
    </row>
    <row r="6428" spans="1:2" x14ac:dyDescent="0.35">
      <c r="A6428" s="14">
        <v>42340.999351851853</v>
      </c>
      <c r="B6428" s="5">
        <v>1</v>
      </c>
    </row>
    <row r="6429" spans="1:2" x14ac:dyDescent="0.35">
      <c r="A6429" s="14">
        <v>42341.005856481483</v>
      </c>
      <c r="B6429" s="5">
        <v>1</v>
      </c>
    </row>
    <row r="6430" spans="1:2" x14ac:dyDescent="0.35">
      <c r="A6430" s="14">
        <v>42341.020891203705</v>
      </c>
      <c r="B6430" s="5">
        <v>1</v>
      </c>
    </row>
    <row r="6431" spans="1:2" x14ac:dyDescent="0.35">
      <c r="A6431" s="14">
        <v>42341.025034722225</v>
      </c>
      <c r="B6431" s="5">
        <v>1</v>
      </c>
    </row>
    <row r="6432" spans="1:2" x14ac:dyDescent="0.35">
      <c r="A6432" s="14">
        <v>42341.028067129628</v>
      </c>
      <c r="B6432" s="5">
        <v>1</v>
      </c>
    </row>
    <row r="6433" spans="1:2" x14ac:dyDescent="0.35">
      <c r="A6433" s="14">
        <v>42341.030775462961</v>
      </c>
      <c r="B6433" s="5">
        <v>1</v>
      </c>
    </row>
    <row r="6434" spans="1:2" x14ac:dyDescent="0.35">
      <c r="A6434" s="14">
        <v>42341.038101851853</v>
      </c>
      <c r="B6434" s="5">
        <v>1</v>
      </c>
    </row>
    <row r="6435" spans="1:2" x14ac:dyDescent="0.35">
      <c r="A6435" s="14">
        <v>42341.045069444444</v>
      </c>
      <c r="B6435" s="5">
        <v>1</v>
      </c>
    </row>
    <row r="6436" spans="1:2" x14ac:dyDescent="0.35">
      <c r="A6436" s="14">
        <v>42341.091597222221</v>
      </c>
      <c r="B6436" s="5">
        <v>1</v>
      </c>
    </row>
    <row r="6437" spans="1:2" x14ac:dyDescent="0.35">
      <c r="A6437" s="14">
        <v>42341.098182870373</v>
      </c>
      <c r="B6437" s="5">
        <v>1</v>
      </c>
    </row>
    <row r="6438" spans="1:2" x14ac:dyDescent="0.35">
      <c r="A6438" s="14">
        <v>42341.108842592592</v>
      </c>
      <c r="B6438" s="5">
        <v>1</v>
      </c>
    </row>
    <row r="6439" spans="1:2" x14ac:dyDescent="0.35">
      <c r="A6439" s="14">
        <v>42341.156481481485</v>
      </c>
      <c r="B6439" s="5">
        <v>1</v>
      </c>
    </row>
    <row r="6440" spans="1:2" x14ac:dyDescent="0.35">
      <c r="A6440" s="14">
        <v>42341.176631944443</v>
      </c>
      <c r="B6440" s="5">
        <v>1</v>
      </c>
    </row>
    <row r="6441" spans="1:2" x14ac:dyDescent="0.35">
      <c r="A6441" s="14">
        <v>42341.197604166664</v>
      </c>
      <c r="B6441" s="5">
        <v>1</v>
      </c>
    </row>
    <row r="6442" spans="1:2" x14ac:dyDescent="0.35">
      <c r="A6442" s="14">
        <v>42341.201261574075</v>
      </c>
      <c r="B6442" s="5">
        <v>1</v>
      </c>
    </row>
    <row r="6443" spans="1:2" x14ac:dyDescent="0.35">
      <c r="A6443" s="14">
        <v>42341.208877314813</v>
      </c>
      <c r="B6443" s="5">
        <v>1</v>
      </c>
    </row>
    <row r="6444" spans="1:2" x14ac:dyDescent="0.35">
      <c r="A6444" s="14">
        <v>42341.258217592593</v>
      </c>
      <c r="B6444" s="5">
        <v>1</v>
      </c>
    </row>
    <row r="6445" spans="1:2" x14ac:dyDescent="0.35">
      <c r="A6445" s="14">
        <v>42341.278564814813</v>
      </c>
      <c r="B6445" s="5">
        <v>1</v>
      </c>
    </row>
    <row r="6446" spans="1:2" x14ac:dyDescent="0.35">
      <c r="A6446" s="14">
        <v>42341.297615740739</v>
      </c>
      <c r="B6446" s="5">
        <v>1</v>
      </c>
    </row>
    <row r="6447" spans="1:2" x14ac:dyDescent="0.35">
      <c r="A6447" s="14">
        <v>42341.310208333336</v>
      </c>
      <c r="B6447" s="5">
        <v>1</v>
      </c>
    </row>
    <row r="6448" spans="1:2" x14ac:dyDescent="0.35">
      <c r="A6448" s="14">
        <v>42341.544525462959</v>
      </c>
      <c r="B6448" s="5">
        <v>1</v>
      </c>
    </row>
    <row r="6449" spans="1:2" x14ac:dyDescent="0.35">
      <c r="A6449" s="14">
        <v>42341.546655092592</v>
      </c>
      <c r="B6449" s="5">
        <v>1</v>
      </c>
    </row>
    <row r="6450" spans="1:2" x14ac:dyDescent="0.35">
      <c r="A6450" s="14">
        <v>42341.554189814815</v>
      </c>
      <c r="B6450" s="5">
        <v>1</v>
      </c>
    </row>
    <row r="6451" spans="1:2" x14ac:dyDescent="0.35">
      <c r="A6451" s="14">
        <v>42341.561249999999</v>
      </c>
      <c r="B6451" s="5">
        <v>1</v>
      </c>
    </row>
    <row r="6452" spans="1:2" x14ac:dyDescent="0.35">
      <c r="A6452" s="14">
        <v>42341.565891203703</v>
      </c>
      <c r="B6452" s="5">
        <v>1</v>
      </c>
    </row>
    <row r="6453" spans="1:2" x14ac:dyDescent="0.35">
      <c r="A6453" s="14">
        <v>42341.566423611112</v>
      </c>
      <c r="B6453" s="5">
        <v>1</v>
      </c>
    </row>
    <row r="6454" spans="1:2" x14ac:dyDescent="0.35">
      <c r="A6454" s="14">
        <v>42341.640613425923</v>
      </c>
      <c r="B6454" s="5">
        <v>1</v>
      </c>
    </row>
    <row r="6455" spans="1:2" x14ac:dyDescent="0.35">
      <c r="A6455" s="14">
        <v>42341.650046296294</v>
      </c>
      <c r="B6455" s="5">
        <v>1</v>
      </c>
    </row>
    <row r="6456" spans="1:2" x14ac:dyDescent="0.35">
      <c r="A6456" s="14">
        <v>42341.653668981482</v>
      </c>
      <c r="B6456" s="5">
        <v>1</v>
      </c>
    </row>
    <row r="6457" spans="1:2" x14ac:dyDescent="0.35">
      <c r="A6457" s="14">
        <v>42341.65792824074</v>
      </c>
      <c r="B6457" s="5">
        <v>1</v>
      </c>
    </row>
    <row r="6458" spans="1:2" x14ac:dyDescent="0.35">
      <c r="A6458" s="14">
        <v>42341.668946759259</v>
      </c>
      <c r="B6458" s="5">
        <v>1</v>
      </c>
    </row>
    <row r="6459" spans="1:2" x14ac:dyDescent="0.35">
      <c r="A6459" s="14">
        <v>42341.673564814817</v>
      </c>
      <c r="B6459" s="5">
        <v>1</v>
      </c>
    </row>
    <row r="6460" spans="1:2" x14ac:dyDescent="0.35">
      <c r="A6460" s="14">
        <v>42341.694594907407</v>
      </c>
      <c r="B6460" s="5">
        <v>1</v>
      </c>
    </row>
    <row r="6461" spans="1:2" x14ac:dyDescent="0.35">
      <c r="A6461" s="14">
        <v>42341.69872685185</v>
      </c>
      <c r="B6461" s="5">
        <v>1</v>
      </c>
    </row>
    <row r="6462" spans="1:2" x14ac:dyDescent="0.35">
      <c r="A6462" s="14">
        <v>42341.703356481485</v>
      </c>
      <c r="B6462" s="5">
        <v>1</v>
      </c>
    </row>
    <row r="6463" spans="1:2" x14ac:dyDescent="0.35">
      <c r="A6463" s="14">
        <v>42341.707546296297</v>
      </c>
      <c r="B6463" s="5">
        <v>1</v>
      </c>
    </row>
    <row r="6464" spans="1:2" x14ac:dyDescent="0.35">
      <c r="A6464" s="14">
        <v>42341.710243055553</v>
      </c>
      <c r="B6464" s="5">
        <v>1</v>
      </c>
    </row>
    <row r="6465" spans="1:2" x14ac:dyDescent="0.35">
      <c r="A6465" s="14">
        <v>42341.718414351853</v>
      </c>
      <c r="B6465" s="5">
        <v>1</v>
      </c>
    </row>
    <row r="6466" spans="1:2" x14ac:dyDescent="0.35">
      <c r="A6466" s="14">
        <v>42341.725046296298</v>
      </c>
      <c r="B6466" s="5">
        <v>1</v>
      </c>
    </row>
    <row r="6467" spans="1:2" x14ac:dyDescent="0.35">
      <c r="A6467" s="14">
        <v>42341.728912037041</v>
      </c>
      <c r="B6467" s="5">
        <v>1</v>
      </c>
    </row>
    <row r="6468" spans="1:2" x14ac:dyDescent="0.35">
      <c r="A6468" s="14">
        <v>42341.731805555559</v>
      </c>
      <c r="B6468" s="5">
        <v>1</v>
      </c>
    </row>
    <row r="6469" spans="1:2" x14ac:dyDescent="0.35">
      <c r="A6469" s="14">
        <v>42341.741018518522</v>
      </c>
      <c r="B6469" s="5">
        <v>1</v>
      </c>
    </row>
    <row r="6470" spans="1:2" x14ac:dyDescent="0.35">
      <c r="A6470" s="14">
        <v>42341.747291666667</v>
      </c>
      <c r="B6470" s="5">
        <v>1</v>
      </c>
    </row>
    <row r="6471" spans="1:2" x14ac:dyDescent="0.35">
      <c r="A6471" s="14">
        <v>42341.761331018519</v>
      </c>
      <c r="B6471" s="5">
        <v>1</v>
      </c>
    </row>
    <row r="6472" spans="1:2" x14ac:dyDescent="0.35">
      <c r="A6472" s="14">
        <v>42341.799837962964</v>
      </c>
      <c r="B6472" s="5">
        <v>1</v>
      </c>
    </row>
    <row r="6473" spans="1:2" x14ac:dyDescent="0.35">
      <c r="A6473" s="14">
        <v>42341.800833333335</v>
      </c>
      <c r="B6473" s="5">
        <v>1</v>
      </c>
    </row>
    <row r="6474" spans="1:2" x14ac:dyDescent="0.35">
      <c r="A6474" s="14">
        <v>42341.818298611113</v>
      </c>
      <c r="B6474" s="5">
        <v>1</v>
      </c>
    </row>
    <row r="6475" spans="1:2" x14ac:dyDescent="0.35">
      <c r="A6475" s="14">
        <v>42341.840081018519</v>
      </c>
      <c r="B6475" s="5">
        <v>1</v>
      </c>
    </row>
    <row r="6476" spans="1:2" x14ac:dyDescent="0.35">
      <c r="A6476" s="14">
        <v>42341.850914351853</v>
      </c>
      <c r="B6476" s="5">
        <v>1</v>
      </c>
    </row>
    <row r="6477" spans="1:2" x14ac:dyDescent="0.35">
      <c r="A6477" s="14">
        <v>42341.854467592595</v>
      </c>
      <c r="B6477" s="5">
        <v>1</v>
      </c>
    </row>
    <row r="6478" spans="1:2" x14ac:dyDescent="0.35">
      <c r="A6478" s="14">
        <v>42341.866793981484</v>
      </c>
      <c r="B6478" s="5">
        <v>1</v>
      </c>
    </row>
    <row r="6479" spans="1:2" x14ac:dyDescent="0.35">
      <c r="A6479" s="14">
        <v>42341.873414351852</v>
      </c>
      <c r="B6479" s="5">
        <v>1</v>
      </c>
    </row>
    <row r="6480" spans="1:2" x14ac:dyDescent="0.35">
      <c r="A6480" s="14">
        <v>42341.87400462963</v>
      </c>
      <c r="B6480" s="5">
        <v>1</v>
      </c>
    </row>
    <row r="6481" spans="1:2" x14ac:dyDescent="0.35">
      <c r="A6481" s="14">
        <v>42341.881238425929</v>
      </c>
      <c r="B6481" s="5">
        <v>1</v>
      </c>
    </row>
    <row r="6482" spans="1:2" x14ac:dyDescent="0.35">
      <c r="A6482" s="14">
        <v>42341.923784722225</v>
      </c>
      <c r="B6482" s="5">
        <v>1</v>
      </c>
    </row>
    <row r="6483" spans="1:2" x14ac:dyDescent="0.35">
      <c r="A6483" s="14">
        <v>42341.926932870374</v>
      </c>
      <c r="B6483" s="5">
        <v>1</v>
      </c>
    </row>
    <row r="6484" spans="1:2" x14ac:dyDescent="0.35">
      <c r="A6484" s="14">
        <v>42341.92864583333</v>
      </c>
      <c r="B6484" s="5">
        <v>1</v>
      </c>
    </row>
    <row r="6485" spans="1:2" x14ac:dyDescent="0.35">
      <c r="A6485" s="14">
        <v>42341.966805555552</v>
      </c>
      <c r="B6485" s="5">
        <v>1</v>
      </c>
    </row>
    <row r="6486" spans="1:2" x14ac:dyDescent="0.35">
      <c r="A6486" s="14">
        <v>42341.977858796294</v>
      </c>
      <c r="B6486" s="5">
        <v>1</v>
      </c>
    </row>
    <row r="6487" spans="1:2" x14ac:dyDescent="0.35">
      <c r="A6487" s="14">
        <v>42341.992337962962</v>
      </c>
      <c r="B6487" s="5">
        <v>1</v>
      </c>
    </row>
    <row r="6488" spans="1:2" x14ac:dyDescent="0.35">
      <c r="A6488" s="14">
        <v>42341.993159722224</v>
      </c>
      <c r="B6488" s="5">
        <v>2</v>
      </c>
    </row>
    <row r="6489" spans="1:2" x14ac:dyDescent="0.35">
      <c r="A6489" s="14">
        <v>42341.993576388886</v>
      </c>
      <c r="B6489" s="5">
        <v>1</v>
      </c>
    </row>
    <row r="6490" spans="1:2" x14ac:dyDescent="0.35">
      <c r="A6490" s="14">
        <v>42341.995254629626</v>
      </c>
      <c r="B6490" s="5">
        <v>1</v>
      </c>
    </row>
    <row r="6491" spans="1:2" x14ac:dyDescent="0.35">
      <c r="A6491" s="14">
        <v>42341.99560185185</v>
      </c>
      <c r="B6491" s="5">
        <v>1</v>
      </c>
    </row>
    <row r="6492" spans="1:2" x14ac:dyDescent="0.35">
      <c r="A6492" s="14">
        <v>42341.996365740742</v>
      </c>
      <c r="B6492" s="5">
        <v>1</v>
      </c>
    </row>
    <row r="6493" spans="1:2" x14ac:dyDescent="0.35">
      <c r="A6493" s="14">
        <v>42342.010636574072</v>
      </c>
      <c r="B6493" s="5">
        <v>1</v>
      </c>
    </row>
    <row r="6494" spans="1:2" x14ac:dyDescent="0.35">
      <c r="A6494" s="14">
        <v>42342.012743055559</v>
      </c>
      <c r="B6494" s="5">
        <v>1</v>
      </c>
    </row>
    <row r="6495" spans="1:2" x14ac:dyDescent="0.35">
      <c r="A6495" s="14">
        <v>42342.016701388886</v>
      </c>
      <c r="B6495" s="5">
        <v>1</v>
      </c>
    </row>
    <row r="6496" spans="1:2" x14ac:dyDescent="0.35">
      <c r="A6496" s="14">
        <v>42342.033680555556</v>
      </c>
      <c r="B6496" s="5">
        <v>1</v>
      </c>
    </row>
    <row r="6497" spans="1:2" x14ac:dyDescent="0.35">
      <c r="A6497" s="14">
        <v>42342.038680555554</v>
      </c>
      <c r="B6497" s="5">
        <v>1</v>
      </c>
    </row>
    <row r="6498" spans="1:2" x14ac:dyDescent="0.35">
      <c r="A6498" s="14">
        <v>42342.045972222222</v>
      </c>
      <c r="B6498" s="5">
        <v>1</v>
      </c>
    </row>
    <row r="6499" spans="1:2" x14ac:dyDescent="0.35">
      <c r="A6499" s="14">
        <v>42342.048263888886</v>
      </c>
      <c r="B6499" s="5">
        <v>1</v>
      </c>
    </row>
    <row r="6500" spans="1:2" x14ac:dyDescent="0.35">
      <c r="A6500" s="14">
        <v>42342.054652777777</v>
      </c>
      <c r="B6500" s="5">
        <v>1</v>
      </c>
    </row>
    <row r="6501" spans="1:2" x14ac:dyDescent="0.35">
      <c r="A6501" s="14">
        <v>42342.075474537036</v>
      </c>
      <c r="B6501" s="5">
        <v>1</v>
      </c>
    </row>
    <row r="6502" spans="1:2" x14ac:dyDescent="0.35">
      <c r="A6502" s="14">
        <v>42342.083761574075</v>
      </c>
      <c r="B6502" s="5">
        <v>1</v>
      </c>
    </row>
    <row r="6503" spans="1:2" x14ac:dyDescent="0.35">
      <c r="A6503" s="14">
        <v>42342.116284722222</v>
      </c>
      <c r="B6503" s="5">
        <v>1</v>
      </c>
    </row>
    <row r="6504" spans="1:2" x14ac:dyDescent="0.35">
      <c r="A6504" s="14">
        <v>42342.123912037037</v>
      </c>
      <c r="B6504" s="5">
        <v>1</v>
      </c>
    </row>
    <row r="6505" spans="1:2" x14ac:dyDescent="0.35">
      <c r="A6505" s="14">
        <v>42342.124768518515</v>
      </c>
      <c r="B6505" s="5">
        <v>2</v>
      </c>
    </row>
    <row r="6506" spans="1:2" x14ac:dyDescent="0.35">
      <c r="A6506" s="14">
        <v>42342.145578703705</v>
      </c>
      <c r="B6506" s="5">
        <v>1</v>
      </c>
    </row>
    <row r="6507" spans="1:2" x14ac:dyDescent="0.35">
      <c r="A6507" s="14">
        <v>42342.146527777775</v>
      </c>
      <c r="B6507" s="5">
        <v>1</v>
      </c>
    </row>
    <row r="6508" spans="1:2" x14ac:dyDescent="0.35">
      <c r="A6508" s="14">
        <v>42342.151030092595</v>
      </c>
      <c r="B6508" s="5">
        <v>1</v>
      </c>
    </row>
    <row r="6509" spans="1:2" x14ac:dyDescent="0.35">
      <c r="A6509" s="14">
        <v>42342.151643518519</v>
      </c>
      <c r="B6509" s="5">
        <v>1</v>
      </c>
    </row>
    <row r="6510" spans="1:2" x14ac:dyDescent="0.35">
      <c r="A6510" s="14">
        <v>42342.151689814818</v>
      </c>
      <c r="B6510" s="5">
        <v>1</v>
      </c>
    </row>
    <row r="6511" spans="1:2" x14ac:dyDescent="0.35">
      <c r="A6511" s="14">
        <v>42342.155335648145</v>
      </c>
      <c r="B6511" s="5">
        <v>1</v>
      </c>
    </row>
    <row r="6512" spans="1:2" x14ac:dyDescent="0.35">
      <c r="A6512" s="14">
        <v>42342.159224537034</v>
      </c>
      <c r="B6512" s="5">
        <v>1</v>
      </c>
    </row>
    <row r="6513" spans="1:2" x14ac:dyDescent="0.35">
      <c r="A6513" s="14">
        <v>42342.174930555557</v>
      </c>
      <c r="B6513" s="5">
        <v>1</v>
      </c>
    </row>
    <row r="6514" spans="1:2" x14ac:dyDescent="0.35">
      <c r="A6514" s="14">
        <v>42342.184479166666</v>
      </c>
      <c r="B6514" s="5">
        <v>1</v>
      </c>
    </row>
    <row r="6515" spans="1:2" x14ac:dyDescent="0.35">
      <c r="A6515" s="14">
        <v>42342.191689814812</v>
      </c>
      <c r="B6515" s="5">
        <v>1</v>
      </c>
    </row>
    <row r="6516" spans="1:2" x14ac:dyDescent="0.35">
      <c r="A6516" s="14">
        <v>42342.219027777777</v>
      </c>
      <c r="B6516" s="5">
        <v>1</v>
      </c>
    </row>
    <row r="6517" spans="1:2" x14ac:dyDescent="0.35">
      <c r="A6517" s="14">
        <v>42342.222905092596</v>
      </c>
      <c r="B6517" s="5">
        <v>1</v>
      </c>
    </row>
    <row r="6518" spans="1:2" x14ac:dyDescent="0.35">
      <c r="A6518" s="14">
        <v>42342.223402777781</v>
      </c>
      <c r="B6518" s="5">
        <v>1</v>
      </c>
    </row>
    <row r="6519" spans="1:2" x14ac:dyDescent="0.35">
      <c r="A6519" s="14">
        <v>42342.238611111112</v>
      </c>
      <c r="B6519" s="5">
        <v>1</v>
      </c>
    </row>
    <row r="6520" spans="1:2" x14ac:dyDescent="0.35">
      <c r="A6520" s="14">
        <v>42342.24113425926</v>
      </c>
      <c r="B6520" s="5">
        <v>1</v>
      </c>
    </row>
    <row r="6521" spans="1:2" x14ac:dyDescent="0.35">
      <c r="A6521" s="14">
        <v>42342.241215277776</v>
      </c>
      <c r="B6521" s="5">
        <v>1</v>
      </c>
    </row>
    <row r="6522" spans="1:2" x14ac:dyDescent="0.35">
      <c r="A6522" s="14">
        <v>42342.249166666668</v>
      </c>
      <c r="B6522" s="5">
        <v>1</v>
      </c>
    </row>
    <row r="6523" spans="1:2" x14ac:dyDescent="0.35">
      <c r="A6523" s="14">
        <v>42342.254155092596</v>
      </c>
      <c r="B6523" s="5">
        <v>1</v>
      </c>
    </row>
    <row r="6524" spans="1:2" x14ac:dyDescent="0.35">
      <c r="A6524" s="14">
        <v>42342.304884259262</v>
      </c>
      <c r="B6524" s="5">
        <v>1</v>
      </c>
    </row>
    <row r="6525" spans="1:2" x14ac:dyDescent="0.35">
      <c r="A6525" s="14">
        <v>42342.342175925929</v>
      </c>
      <c r="B6525" s="5">
        <v>1</v>
      </c>
    </row>
    <row r="6526" spans="1:2" x14ac:dyDescent="0.35">
      <c r="A6526" s="14">
        <v>42342.555590277778</v>
      </c>
      <c r="B6526" s="5">
        <v>1</v>
      </c>
    </row>
    <row r="6527" spans="1:2" x14ac:dyDescent="0.35">
      <c r="A6527" s="14">
        <v>42342.558715277781</v>
      </c>
      <c r="B6527" s="5">
        <v>1</v>
      </c>
    </row>
    <row r="6528" spans="1:2" x14ac:dyDescent="0.35">
      <c r="A6528" s="14">
        <v>42342.564733796295</v>
      </c>
      <c r="B6528" s="5">
        <v>1</v>
      </c>
    </row>
    <row r="6529" spans="1:2" x14ac:dyDescent="0.35">
      <c r="A6529" s="14">
        <v>42342.575312499997</v>
      </c>
      <c r="B6529" s="5">
        <v>1</v>
      </c>
    </row>
    <row r="6530" spans="1:2" x14ac:dyDescent="0.35">
      <c r="A6530" s="14">
        <v>42342.595821759256</v>
      </c>
      <c r="B6530" s="5">
        <v>1</v>
      </c>
    </row>
    <row r="6531" spans="1:2" x14ac:dyDescent="0.35">
      <c r="A6531" s="14">
        <v>42342.596493055556</v>
      </c>
      <c r="B6531" s="5">
        <v>1</v>
      </c>
    </row>
    <row r="6532" spans="1:2" x14ac:dyDescent="0.35">
      <c r="A6532" s="14">
        <v>42342.609594907408</v>
      </c>
      <c r="B6532" s="5">
        <v>1</v>
      </c>
    </row>
    <row r="6533" spans="1:2" x14ac:dyDescent="0.35">
      <c r="A6533" s="14">
        <v>42342.620416666665</v>
      </c>
      <c r="B6533" s="5">
        <v>1</v>
      </c>
    </row>
    <row r="6534" spans="1:2" x14ac:dyDescent="0.35">
      <c r="A6534" s="14">
        <v>42342.650509259256</v>
      </c>
      <c r="B6534" s="5">
        <v>1</v>
      </c>
    </row>
    <row r="6535" spans="1:2" x14ac:dyDescent="0.35">
      <c r="A6535" s="14">
        <v>42342.653344907405</v>
      </c>
      <c r="B6535" s="5">
        <v>1</v>
      </c>
    </row>
    <row r="6536" spans="1:2" x14ac:dyDescent="0.35">
      <c r="A6536" s="14">
        <v>42342.674016203702</v>
      </c>
      <c r="B6536" s="5">
        <v>1</v>
      </c>
    </row>
    <row r="6537" spans="1:2" x14ac:dyDescent="0.35">
      <c r="A6537" s="14">
        <v>42342.675046296295</v>
      </c>
      <c r="B6537" s="5">
        <v>1</v>
      </c>
    </row>
    <row r="6538" spans="1:2" x14ac:dyDescent="0.35">
      <c r="A6538" s="14">
        <v>42342.675983796296</v>
      </c>
      <c r="B6538" s="5">
        <v>1</v>
      </c>
    </row>
    <row r="6539" spans="1:2" x14ac:dyDescent="0.35">
      <c r="A6539" s="14">
        <v>42342.699363425927</v>
      </c>
      <c r="B6539" s="5">
        <v>1</v>
      </c>
    </row>
    <row r="6540" spans="1:2" x14ac:dyDescent="0.35">
      <c r="A6540" s="14">
        <v>42342.699641203704</v>
      </c>
      <c r="B6540" s="5">
        <v>1</v>
      </c>
    </row>
    <row r="6541" spans="1:2" x14ac:dyDescent="0.35">
      <c r="A6541" s="14">
        <v>42342.701585648145</v>
      </c>
      <c r="B6541" s="5">
        <v>1</v>
      </c>
    </row>
    <row r="6542" spans="1:2" x14ac:dyDescent="0.35">
      <c r="A6542" s="14">
        <v>42342.703553240739</v>
      </c>
      <c r="B6542" s="5">
        <v>1</v>
      </c>
    </row>
    <row r="6543" spans="1:2" x14ac:dyDescent="0.35">
      <c r="A6543" s="14">
        <v>42342.731192129628</v>
      </c>
      <c r="B6543" s="5">
        <v>1</v>
      </c>
    </row>
    <row r="6544" spans="1:2" x14ac:dyDescent="0.35">
      <c r="A6544" s="14">
        <v>42342.731990740744</v>
      </c>
      <c r="B6544" s="5">
        <v>1</v>
      </c>
    </row>
    <row r="6545" spans="1:2" x14ac:dyDescent="0.35">
      <c r="A6545" s="14">
        <v>42342.734571759262</v>
      </c>
      <c r="B6545" s="5">
        <v>1</v>
      </c>
    </row>
    <row r="6546" spans="1:2" x14ac:dyDescent="0.35">
      <c r="A6546" s="14">
        <v>42342.778645833336</v>
      </c>
      <c r="B6546" s="5">
        <v>1</v>
      </c>
    </row>
    <row r="6547" spans="1:2" x14ac:dyDescent="0.35">
      <c r="A6547" s="14">
        <v>42342.793807870374</v>
      </c>
      <c r="B6547" s="5">
        <v>1</v>
      </c>
    </row>
    <row r="6548" spans="1:2" x14ac:dyDescent="0.35">
      <c r="A6548" s="14">
        <v>42342.80091435185</v>
      </c>
      <c r="B6548" s="5">
        <v>1</v>
      </c>
    </row>
    <row r="6549" spans="1:2" x14ac:dyDescent="0.35">
      <c r="A6549" s="14">
        <v>42342.802627314813</v>
      </c>
      <c r="B6549" s="5">
        <v>2</v>
      </c>
    </row>
    <row r="6550" spans="1:2" x14ac:dyDescent="0.35">
      <c r="A6550" s="14">
        <v>42342.808437500003</v>
      </c>
      <c r="B6550" s="5">
        <v>1</v>
      </c>
    </row>
    <row r="6551" spans="1:2" x14ac:dyDescent="0.35">
      <c r="A6551" s="14">
        <v>42342.815949074073</v>
      </c>
      <c r="B6551" s="5">
        <v>1</v>
      </c>
    </row>
    <row r="6552" spans="1:2" x14ac:dyDescent="0.35">
      <c r="A6552" s="14">
        <v>42342.816655092596</v>
      </c>
      <c r="B6552" s="5">
        <v>1</v>
      </c>
    </row>
    <row r="6553" spans="1:2" x14ac:dyDescent="0.35">
      <c r="A6553" s="14">
        <v>42342.816666666666</v>
      </c>
      <c r="B6553" s="5">
        <v>1</v>
      </c>
    </row>
    <row r="6554" spans="1:2" x14ac:dyDescent="0.35">
      <c r="A6554" s="14">
        <v>42342.822523148148</v>
      </c>
      <c r="B6554" s="5">
        <v>1</v>
      </c>
    </row>
    <row r="6555" spans="1:2" x14ac:dyDescent="0.35">
      <c r="A6555" s="14">
        <v>42342.824803240743</v>
      </c>
      <c r="B6555" s="5">
        <v>2</v>
      </c>
    </row>
    <row r="6556" spans="1:2" x14ac:dyDescent="0.35">
      <c r="A6556" s="14">
        <v>42342.828206018516</v>
      </c>
      <c r="B6556" s="5">
        <v>1</v>
      </c>
    </row>
    <row r="6557" spans="1:2" x14ac:dyDescent="0.35">
      <c r="A6557" s="14">
        <v>42342.832824074074</v>
      </c>
      <c r="B6557" s="5">
        <v>1</v>
      </c>
    </row>
    <row r="6558" spans="1:2" x14ac:dyDescent="0.35">
      <c r="A6558" s="14">
        <v>42342.844409722224</v>
      </c>
      <c r="B6558" s="5">
        <v>1</v>
      </c>
    </row>
    <row r="6559" spans="1:2" x14ac:dyDescent="0.35">
      <c r="A6559" s="14">
        <v>42342.847233796296</v>
      </c>
      <c r="B6559" s="5">
        <v>1</v>
      </c>
    </row>
    <row r="6560" spans="1:2" x14ac:dyDescent="0.35">
      <c r="A6560" s="14">
        <v>42342.855023148149</v>
      </c>
      <c r="B6560" s="5">
        <v>1</v>
      </c>
    </row>
    <row r="6561" spans="1:2" x14ac:dyDescent="0.35">
      <c r="A6561" s="14">
        <v>42342.858229166668</v>
      </c>
      <c r="B6561" s="5">
        <v>1</v>
      </c>
    </row>
    <row r="6562" spans="1:2" x14ac:dyDescent="0.35">
      <c r="A6562" s="14">
        <v>42342.864108796297</v>
      </c>
      <c r="B6562" s="5">
        <v>1</v>
      </c>
    </row>
    <row r="6563" spans="1:2" x14ac:dyDescent="0.35">
      <c r="A6563" s="14">
        <v>42342.864479166667</v>
      </c>
      <c r="B6563" s="5">
        <v>1</v>
      </c>
    </row>
    <row r="6564" spans="1:2" x14ac:dyDescent="0.35">
      <c r="A6564" s="14">
        <v>42342.864490740743</v>
      </c>
      <c r="B6564" s="5">
        <v>1</v>
      </c>
    </row>
    <row r="6565" spans="1:2" x14ac:dyDescent="0.35">
      <c r="A6565" s="14">
        <v>42342.8747337963</v>
      </c>
      <c r="B6565" s="5">
        <v>1</v>
      </c>
    </row>
    <row r="6566" spans="1:2" x14ac:dyDescent="0.35">
      <c r="A6566" s="14">
        <v>42342.899745370371</v>
      </c>
      <c r="B6566" s="5">
        <v>1</v>
      </c>
    </row>
    <row r="6567" spans="1:2" x14ac:dyDescent="0.35">
      <c r="A6567" s="14">
        <v>42342.917581018519</v>
      </c>
      <c r="B6567" s="5">
        <v>1</v>
      </c>
    </row>
    <row r="6568" spans="1:2" x14ac:dyDescent="0.35">
      <c r="A6568" s="14">
        <v>42342.91946759259</v>
      </c>
      <c r="B6568" s="5">
        <v>2</v>
      </c>
    </row>
    <row r="6569" spans="1:2" x14ac:dyDescent="0.35">
      <c r="A6569" s="14">
        <v>42342.920717592591</v>
      </c>
      <c r="B6569" s="5">
        <v>1</v>
      </c>
    </row>
    <row r="6570" spans="1:2" x14ac:dyDescent="0.35">
      <c r="A6570" s="14">
        <v>42342.922789351855</v>
      </c>
      <c r="B6570" s="5">
        <v>1</v>
      </c>
    </row>
    <row r="6571" spans="1:2" x14ac:dyDescent="0.35">
      <c r="A6571" s="14">
        <v>42342.923229166663</v>
      </c>
      <c r="B6571" s="5">
        <v>1</v>
      </c>
    </row>
    <row r="6572" spans="1:2" x14ac:dyDescent="0.35">
      <c r="A6572" s="14">
        <v>42342.924618055556</v>
      </c>
      <c r="B6572" s="5">
        <v>1</v>
      </c>
    </row>
    <row r="6573" spans="1:2" x14ac:dyDescent="0.35">
      <c r="A6573" s="14">
        <v>42342.992627314816</v>
      </c>
      <c r="B6573" s="5">
        <v>1</v>
      </c>
    </row>
    <row r="6574" spans="1:2" x14ac:dyDescent="0.35">
      <c r="A6574" s="14">
        <v>42342.993032407408</v>
      </c>
      <c r="B6574" s="5">
        <v>1</v>
      </c>
    </row>
    <row r="6575" spans="1:2" x14ac:dyDescent="0.35">
      <c r="A6575" s="14">
        <v>42342.994872685187</v>
      </c>
      <c r="B6575" s="5">
        <v>1</v>
      </c>
    </row>
    <row r="6576" spans="1:2" x14ac:dyDescent="0.35">
      <c r="A6576" s="14">
        <v>42342.996655092589</v>
      </c>
      <c r="B6576" s="5">
        <v>1</v>
      </c>
    </row>
    <row r="6577" spans="1:2" x14ac:dyDescent="0.35">
      <c r="A6577" s="14">
        <v>42343.034641203703</v>
      </c>
      <c r="B6577" s="5">
        <v>1</v>
      </c>
    </row>
    <row r="6578" spans="1:2" x14ac:dyDescent="0.35">
      <c r="A6578" s="14">
        <v>42343.035069444442</v>
      </c>
      <c r="B6578" s="5">
        <v>1</v>
      </c>
    </row>
    <row r="6579" spans="1:2" x14ac:dyDescent="0.35">
      <c r="A6579" s="14">
        <v>42343.04414351852</v>
      </c>
      <c r="B6579" s="5">
        <v>1</v>
      </c>
    </row>
    <row r="6580" spans="1:2" x14ac:dyDescent="0.35">
      <c r="A6580" s="14">
        <v>42343.057997685188</v>
      </c>
      <c r="B6580" s="5">
        <v>1</v>
      </c>
    </row>
    <row r="6581" spans="1:2" x14ac:dyDescent="0.35">
      <c r="A6581" s="14">
        <v>42343.067557870374</v>
      </c>
      <c r="B6581" s="5">
        <v>1</v>
      </c>
    </row>
    <row r="6582" spans="1:2" x14ac:dyDescent="0.35">
      <c r="A6582" s="14">
        <v>42343.09648148148</v>
      </c>
      <c r="B6582" s="5">
        <v>1</v>
      </c>
    </row>
    <row r="6583" spans="1:2" x14ac:dyDescent="0.35">
      <c r="A6583" s="14">
        <v>42343.110775462963</v>
      </c>
      <c r="B6583" s="5">
        <v>1</v>
      </c>
    </row>
    <row r="6584" spans="1:2" x14ac:dyDescent="0.35">
      <c r="A6584" s="14">
        <v>42343.126273148147</v>
      </c>
      <c r="B6584" s="5">
        <v>1</v>
      </c>
    </row>
    <row r="6585" spans="1:2" x14ac:dyDescent="0.35">
      <c r="A6585" s="14">
        <v>42343.133229166669</v>
      </c>
      <c r="B6585" s="5">
        <v>1</v>
      </c>
    </row>
    <row r="6586" spans="1:2" x14ac:dyDescent="0.35">
      <c r="A6586" s="14">
        <v>42343.154942129629</v>
      </c>
      <c r="B6586" s="5">
        <v>1</v>
      </c>
    </row>
    <row r="6587" spans="1:2" x14ac:dyDescent="0.35">
      <c r="A6587" s="14">
        <v>42343.200671296298</v>
      </c>
      <c r="B6587" s="5">
        <v>1</v>
      </c>
    </row>
    <row r="6588" spans="1:2" x14ac:dyDescent="0.35">
      <c r="A6588" s="14">
        <v>42343.200810185182</v>
      </c>
      <c r="B6588" s="5">
        <v>1</v>
      </c>
    </row>
    <row r="6589" spans="1:2" x14ac:dyDescent="0.35">
      <c r="A6589" s="14">
        <v>42343.236377314817</v>
      </c>
      <c r="B6589" s="5">
        <v>1</v>
      </c>
    </row>
    <row r="6590" spans="1:2" x14ac:dyDescent="0.35">
      <c r="A6590" s="14">
        <v>42343.240347222221</v>
      </c>
      <c r="B6590" s="5">
        <v>1</v>
      </c>
    </row>
    <row r="6591" spans="1:2" x14ac:dyDescent="0.35">
      <c r="A6591" s="14">
        <v>42343.26295138889</v>
      </c>
      <c r="B6591" s="5">
        <v>1</v>
      </c>
    </row>
    <row r="6592" spans="1:2" x14ac:dyDescent="0.35">
      <c r="A6592" s="14">
        <v>42343.404756944445</v>
      </c>
      <c r="B6592" s="5">
        <v>1</v>
      </c>
    </row>
    <row r="6593" spans="1:2" x14ac:dyDescent="0.35">
      <c r="A6593" s="14">
        <v>42343.408229166664</v>
      </c>
      <c r="B6593" s="5">
        <v>1</v>
      </c>
    </row>
    <row r="6594" spans="1:2" x14ac:dyDescent="0.35">
      <c r="A6594" s="14">
        <v>42343.42359953704</v>
      </c>
      <c r="B6594" s="5">
        <v>1</v>
      </c>
    </row>
    <row r="6595" spans="1:2" x14ac:dyDescent="0.35">
      <c r="A6595" s="14">
        <v>42343.733923611115</v>
      </c>
      <c r="B6595" s="5">
        <v>1</v>
      </c>
    </row>
    <row r="6596" spans="1:2" x14ac:dyDescent="0.35">
      <c r="A6596" s="14">
        <v>42343.740960648145</v>
      </c>
      <c r="B6596" s="5">
        <v>1</v>
      </c>
    </row>
    <row r="6597" spans="1:2" x14ac:dyDescent="0.35">
      <c r="A6597" s="14">
        <v>42343.74554398148</v>
      </c>
      <c r="B6597" s="5">
        <v>1</v>
      </c>
    </row>
    <row r="6598" spans="1:2" x14ac:dyDescent="0.35">
      <c r="A6598" s="14">
        <v>42343.758240740739</v>
      </c>
      <c r="B6598" s="5">
        <v>1</v>
      </c>
    </row>
    <row r="6599" spans="1:2" x14ac:dyDescent="0.35">
      <c r="A6599" s="14">
        <v>42343.763668981483</v>
      </c>
      <c r="B6599" s="5">
        <v>1</v>
      </c>
    </row>
    <row r="6600" spans="1:2" x14ac:dyDescent="0.35">
      <c r="A6600" s="14">
        <v>42343.764293981483</v>
      </c>
      <c r="B6600" s="5">
        <v>1</v>
      </c>
    </row>
    <row r="6601" spans="1:2" x14ac:dyDescent="0.35">
      <c r="A6601" s="14">
        <v>42343.79351851852</v>
      </c>
      <c r="B6601" s="5">
        <v>1</v>
      </c>
    </row>
    <row r="6602" spans="1:2" x14ac:dyDescent="0.35">
      <c r="A6602" s="14">
        <v>42343.798043981478</v>
      </c>
      <c r="B6602" s="5">
        <v>1</v>
      </c>
    </row>
    <row r="6603" spans="1:2" x14ac:dyDescent="0.35">
      <c r="A6603" s="14">
        <v>42343.834467592591</v>
      </c>
      <c r="B6603" s="5">
        <v>1</v>
      </c>
    </row>
    <row r="6604" spans="1:2" x14ac:dyDescent="0.35">
      <c r="A6604" s="14">
        <v>42343.841886574075</v>
      </c>
      <c r="B6604" s="5">
        <v>1</v>
      </c>
    </row>
    <row r="6605" spans="1:2" x14ac:dyDescent="0.35">
      <c r="A6605" s="14">
        <v>42343.844074074077</v>
      </c>
      <c r="B6605" s="5">
        <v>1</v>
      </c>
    </row>
    <row r="6606" spans="1:2" x14ac:dyDescent="0.35">
      <c r="A6606" s="14">
        <v>42343.84646990741</v>
      </c>
      <c r="B6606" s="5">
        <v>1</v>
      </c>
    </row>
    <row r="6607" spans="1:2" x14ac:dyDescent="0.35">
      <c r="A6607" s="14">
        <v>42343.853865740741</v>
      </c>
      <c r="B6607" s="5">
        <v>1</v>
      </c>
    </row>
    <row r="6608" spans="1:2" x14ac:dyDescent="0.35">
      <c r="A6608" s="14">
        <v>42343.863587962966</v>
      </c>
      <c r="B6608" s="5">
        <v>1</v>
      </c>
    </row>
    <row r="6609" spans="1:2" x14ac:dyDescent="0.35">
      <c r="A6609" s="14">
        <v>42343.871863425928</v>
      </c>
      <c r="B6609" s="5">
        <v>1</v>
      </c>
    </row>
    <row r="6610" spans="1:2" x14ac:dyDescent="0.35">
      <c r="A6610" s="14">
        <v>42343.888749999998</v>
      </c>
      <c r="B6610" s="5">
        <v>1</v>
      </c>
    </row>
    <row r="6611" spans="1:2" x14ac:dyDescent="0.35">
      <c r="A6611" s="14">
        <v>42343.900289351855</v>
      </c>
      <c r="B6611" s="5">
        <v>1</v>
      </c>
    </row>
    <row r="6612" spans="1:2" x14ac:dyDescent="0.35">
      <c r="A6612" s="14">
        <v>42343.914826388886</v>
      </c>
      <c r="B6612" s="5">
        <v>1</v>
      </c>
    </row>
    <row r="6613" spans="1:2" x14ac:dyDescent="0.35">
      <c r="A6613" s="14">
        <v>42343.917291666665</v>
      </c>
      <c r="B6613" s="5">
        <v>1</v>
      </c>
    </row>
    <row r="6614" spans="1:2" x14ac:dyDescent="0.35">
      <c r="A6614" s="14">
        <v>42343.918391203704</v>
      </c>
      <c r="B6614" s="5">
        <v>1</v>
      </c>
    </row>
    <row r="6615" spans="1:2" x14ac:dyDescent="0.35">
      <c r="A6615" s="14">
        <v>42343.950659722221</v>
      </c>
      <c r="B6615" s="5">
        <v>1</v>
      </c>
    </row>
    <row r="6616" spans="1:2" x14ac:dyDescent="0.35">
      <c r="A6616" s="14">
        <v>42343.979594907411</v>
      </c>
      <c r="B6616" s="5">
        <v>1</v>
      </c>
    </row>
    <row r="6617" spans="1:2" x14ac:dyDescent="0.35">
      <c r="A6617" s="14">
        <v>42344.028726851851</v>
      </c>
      <c r="B6617" s="5">
        <v>1</v>
      </c>
    </row>
    <row r="6618" spans="1:2" x14ac:dyDescent="0.35">
      <c r="A6618" s="14">
        <v>42344.039780092593</v>
      </c>
      <c r="B6618" s="5">
        <v>1</v>
      </c>
    </row>
    <row r="6619" spans="1:2" x14ac:dyDescent="0.35">
      <c r="A6619" s="14">
        <v>42344.040590277778</v>
      </c>
      <c r="B6619" s="5">
        <v>1</v>
      </c>
    </row>
    <row r="6620" spans="1:2" x14ac:dyDescent="0.35">
      <c r="A6620" s="14">
        <v>42344.04792824074</v>
      </c>
      <c r="B6620" s="5">
        <v>1</v>
      </c>
    </row>
    <row r="6621" spans="1:2" x14ac:dyDescent="0.35">
      <c r="A6621" s="14">
        <v>42344.070925925924</v>
      </c>
      <c r="B6621" s="5">
        <v>1</v>
      </c>
    </row>
    <row r="6622" spans="1:2" x14ac:dyDescent="0.35">
      <c r="A6622" s="14">
        <v>42344.097685185188</v>
      </c>
      <c r="B6622" s="5">
        <v>1</v>
      </c>
    </row>
    <row r="6623" spans="1:2" x14ac:dyDescent="0.35">
      <c r="A6623" s="14">
        <v>42344.210335648146</v>
      </c>
      <c r="B6623" s="5">
        <v>1</v>
      </c>
    </row>
    <row r="6624" spans="1:2" x14ac:dyDescent="0.35">
      <c r="A6624" s="14">
        <v>42344.285486111112</v>
      </c>
      <c r="B6624" s="5">
        <v>1</v>
      </c>
    </row>
    <row r="6625" spans="1:2" x14ac:dyDescent="0.35">
      <c r="A6625" s="14">
        <v>42344.299722222226</v>
      </c>
      <c r="B6625" s="5">
        <v>1</v>
      </c>
    </row>
    <row r="6626" spans="1:2" x14ac:dyDescent="0.35">
      <c r="A6626" s="14">
        <v>42344.318495370368</v>
      </c>
      <c r="B6626" s="5">
        <v>1</v>
      </c>
    </row>
    <row r="6627" spans="1:2" x14ac:dyDescent="0.35">
      <c r="A6627" s="14">
        <v>42344.346574074072</v>
      </c>
      <c r="B6627" s="5">
        <v>1</v>
      </c>
    </row>
    <row r="6628" spans="1:2" x14ac:dyDescent="0.35">
      <c r="A6628" s="14">
        <v>42344.346851851849</v>
      </c>
      <c r="B6628" s="5">
        <v>1</v>
      </c>
    </row>
    <row r="6629" spans="1:2" x14ac:dyDescent="0.35">
      <c r="A6629" s="14">
        <v>42344.359490740739</v>
      </c>
      <c r="B6629" s="5">
        <v>1</v>
      </c>
    </row>
    <row r="6630" spans="1:2" x14ac:dyDescent="0.35">
      <c r="A6630" s="14">
        <v>42344.45988425926</v>
      </c>
      <c r="B6630" s="5">
        <v>1</v>
      </c>
    </row>
    <row r="6631" spans="1:2" x14ac:dyDescent="0.35">
      <c r="A6631" s="14">
        <v>42344.47148148148</v>
      </c>
      <c r="B6631" s="5">
        <v>1</v>
      </c>
    </row>
    <row r="6632" spans="1:2" x14ac:dyDescent="0.35">
      <c r="A6632" s="14">
        <v>42344.593888888892</v>
      </c>
      <c r="B6632" s="5">
        <v>1</v>
      </c>
    </row>
    <row r="6633" spans="1:2" x14ac:dyDescent="0.35">
      <c r="A6633" s="14">
        <v>42344.599247685182</v>
      </c>
      <c r="B6633" s="5">
        <v>1</v>
      </c>
    </row>
    <row r="6634" spans="1:2" x14ac:dyDescent="0.35">
      <c r="A6634" s="14">
        <v>42344.600462962961</v>
      </c>
      <c r="B6634" s="5">
        <v>1</v>
      </c>
    </row>
    <row r="6635" spans="1:2" x14ac:dyDescent="0.35">
      <c r="A6635" s="14">
        <v>42344.613692129627</v>
      </c>
      <c r="B6635" s="5">
        <v>1</v>
      </c>
    </row>
    <row r="6636" spans="1:2" x14ac:dyDescent="0.35">
      <c r="A6636" s="14">
        <v>42344.672349537039</v>
      </c>
      <c r="B6636" s="5">
        <v>1</v>
      </c>
    </row>
    <row r="6637" spans="1:2" x14ac:dyDescent="0.35">
      <c r="A6637" s="14">
        <v>42344.674490740741</v>
      </c>
      <c r="B6637" s="5">
        <v>1</v>
      </c>
    </row>
    <row r="6638" spans="1:2" x14ac:dyDescent="0.35">
      <c r="A6638" s="14">
        <v>42344.680659722224</v>
      </c>
      <c r="B6638" s="5">
        <v>1</v>
      </c>
    </row>
    <row r="6639" spans="1:2" x14ac:dyDescent="0.35">
      <c r="A6639" s="14">
        <v>42344.686168981483</v>
      </c>
      <c r="B6639" s="5">
        <v>1</v>
      </c>
    </row>
    <row r="6640" spans="1:2" x14ac:dyDescent="0.35">
      <c r="A6640" s="14">
        <v>42344.700578703705</v>
      </c>
      <c r="B6640" s="5">
        <v>1</v>
      </c>
    </row>
    <row r="6641" spans="1:2" x14ac:dyDescent="0.35">
      <c r="A6641" s="14">
        <v>42344.703414351854</v>
      </c>
      <c r="B6641" s="5">
        <v>1</v>
      </c>
    </row>
    <row r="6642" spans="1:2" x14ac:dyDescent="0.35">
      <c r="A6642" s="14">
        <v>42344.708182870374</v>
      </c>
      <c r="B6642" s="5">
        <v>1</v>
      </c>
    </row>
    <row r="6643" spans="1:2" x14ac:dyDescent="0.35">
      <c r="A6643" s="14">
        <v>42344.712500000001</v>
      </c>
      <c r="B6643" s="5">
        <v>1</v>
      </c>
    </row>
    <row r="6644" spans="1:2" x14ac:dyDescent="0.35">
      <c r="A6644" s="14">
        <v>42344.712916666664</v>
      </c>
      <c r="B6644" s="5">
        <v>1</v>
      </c>
    </row>
    <row r="6645" spans="1:2" x14ac:dyDescent="0.35">
      <c r="A6645" s="14">
        <v>42344.715266203704</v>
      </c>
      <c r="B6645" s="5">
        <v>1</v>
      </c>
    </row>
    <row r="6646" spans="1:2" x14ac:dyDescent="0.35">
      <c r="A6646" s="14">
        <v>42344.715601851851</v>
      </c>
      <c r="B6646" s="5">
        <v>1</v>
      </c>
    </row>
    <row r="6647" spans="1:2" x14ac:dyDescent="0.35">
      <c r="A6647" s="14">
        <v>42344.741365740738</v>
      </c>
      <c r="B6647" s="5">
        <v>1</v>
      </c>
    </row>
    <row r="6648" spans="1:2" x14ac:dyDescent="0.35">
      <c r="A6648" s="14">
        <v>42344.750196759262</v>
      </c>
      <c r="B6648" s="5">
        <v>1</v>
      </c>
    </row>
    <row r="6649" spans="1:2" x14ac:dyDescent="0.35">
      <c r="A6649" s="14">
        <v>42344.761157407411</v>
      </c>
      <c r="B6649" s="5">
        <v>1</v>
      </c>
    </row>
    <row r="6650" spans="1:2" x14ac:dyDescent="0.35">
      <c r="A6650" s="14">
        <v>42344.777372685188</v>
      </c>
      <c r="B6650" s="5">
        <v>1</v>
      </c>
    </row>
    <row r="6651" spans="1:2" x14ac:dyDescent="0.35">
      <c r="A6651" s="14">
        <v>42344.833518518521</v>
      </c>
      <c r="B6651" s="5">
        <v>1</v>
      </c>
    </row>
    <row r="6652" spans="1:2" x14ac:dyDescent="0.35">
      <c r="A6652" s="14">
        <v>42344.833958333336</v>
      </c>
      <c r="B6652" s="5">
        <v>1</v>
      </c>
    </row>
    <row r="6653" spans="1:2" x14ac:dyDescent="0.35">
      <c r="A6653" s="14">
        <v>42344.839050925926</v>
      </c>
      <c r="B6653" s="5">
        <v>1</v>
      </c>
    </row>
    <row r="6654" spans="1:2" x14ac:dyDescent="0.35">
      <c r="A6654" s="14">
        <v>42344.847557870373</v>
      </c>
      <c r="B6654" s="5">
        <v>1</v>
      </c>
    </row>
    <row r="6655" spans="1:2" x14ac:dyDescent="0.35">
      <c r="A6655" s="14">
        <v>42344.85050925926</v>
      </c>
      <c r="B6655" s="5">
        <v>1</v>
      </c>
    </row>
    <row r="6656" spans="1:2" x14ac:dyDescent="0.35">
      <c r="A6656" s="14">
        <v>42344.854351851849</v>
      </c>
      <c r="B6656" s="5">
        <v>1</v>
      </c>
    </row>
    <row r="6657" spans="1:2" x14ac:dyDescent="0.35">
      <c r="A6657" s="14">
        <v>42344.863067129627</v>
      </c>
      <c r="B6657" s="5">
        <v>1</v>
      </c>
    </row>
    <row r="6658" spans="1:2" x14ac:dyDescent="0.35">
      <c r="A6658" s="14">
        <v>42344.86377314815</v>
      </c>
      <c r="B6658" s="5">
        <v>1</v>
      </c>
    </row>
    <row r="6659" spans="1:2" x14ac:dyDescent="0.35">
      <c r="A6659" s="14">
        <v>42344.910694444443</v>
      </c>
      <c r="B6659" s="5">
        <v>1</v>
      </c>
    </row>
    <row r="6660" spans="1:2" x14ac:dyDescent="0.35">
      <c r="A6660" s="14">
        <v>42344.910949074074</v>
      </c>
      <c r="B6660" s="5">
        <v>1</v>
      </c>
    </row>
    <row r="6661" spans="1:2" x14ac:dyDescent="0.35">
      <c r="A6661" s="14">
        <v>42344.915543981479</v>
      </c>
      <c r="B6661" s="5">
        <v>1</v>
      </c>
    </row>
    <row r="6662" spans="1:2" x14ac:dyDescent="0.35">
      <c r="A6662" s="14">
        <v>42344.919548611113</v>
      </c>
      <c r="B6662" s="5">
        <v>1</v>
      </c>
    </row>
    <row r="6663" spans="1:2" x14ac:dyDescent="0.35">
      <c r="A6663" s="14">
        <v>42344.935393518521</v>
      </c>
      <c r="B6663" s="5">
        <v>1</v>
      </c>
    </row>
    <row r="6664" spans="1:2" x14ac:dyDescent="0.35">
      <c r="A6664" s="14">
        <v>42344.947210648148</v>
      </c>
      <c r="B6664" s="5">
        <v>1</v>
      </c>
    </row>
    <row r="6665" spans="1:2" x14ac:dyDescent="0.35">
      <c r="A6665" s="14">
        <v>42344.94804398148</v>
      </c>
      <c r="B6665" s="5">
        <v>1</v>
      </c>
    </row>
    <row r="6666" spans="1:2" x14ac:dyDescent="0.35">
      <c r="A6666" s="14">
        <v>42344.950671296298</v>
      </c>
      <c r="B6666" s="5">
        <v>1</v>
      </c>
    </row>
    <row r="6667" spans="1:2" x14ac:dyDescent="0.35">
      <c r="A6667" s="14">
        <v>42344.950752314813</v>
      </c>
      <c r="B6667" s="5">
        <v>1</v>
      </c>
    </row>
    <row r="6668" spans="1:2" x14ac:dyDescent="0.35">
      <c r="A6668" s="14">
        <v>42344.956238425926</v>
      </c>
      <c r="B6668" s="5">
        <v>1</v>
      </c>
    </row>
    <row r="6669" spans="1:2" x14ac:dyDescent="0.35">
      <c r="A6669" s="14">
        <v>42344.982129629629</v>
      </c>
      <c r="B6669" s="5">
        <v>1</v>
      </c>
    </row>
    <row r="6670" spans="1:2" x14ac:dyDescent="0.35">
      <c r="A6670" s="14">
        <v>42344.987569444442</v>
      </c>
      <c r="B6670" s="5">
        <v>1</v>
      </c>
    </row>
    <row r="6671" spans="1:2" x14ac:dyDescent="0.35">
      <c r="A6671" s="14">
        <v>42344.990231481483</v>
      </c>
      <c r="B6671" s="5">
        <v>1</v>
      </c>
    </row>
    <row r="6672" spans="1:2" x14ac:dyDescent="0.35">
      <c r="A6672" s="14">
        <v>42345.010844907411</v>
      </c>
      <c r="B6672" s="5">
        <v>1</v>
      </c>
    </row>
    <row r="6673" spans="1:2" x14ac:dyDescent="0.35">
      <c r="A6673" s="14">
        <v>42345.01121527778</v>
      </c>
      <c r="B6673" s="5">
        <v>1</v>
      </c>
    </row>
    <row r="6674" spans="1:2" x14ac:dyDescent="0.35">
      <c r="A6674" s="14">
        <v>42345.021469907406</v>
      </c>
      <c r="B6674" s="5">
        <v>1</v>
      </c>
    </row>
    <row r="6675" spans="1:2" x14ac:dyDescent="0.35">
      <c r="A6675" s="14">
        <v>42345.02207175926</v>
      </c>
      <c r="B6675" s="5">
        <v>1</v>
      </c>
    </row>
    <row r="6676" spans="1:2" x14ac:dyDescent="0.35">
      <c r="A6676" s="14">
        <v>42345.050763888888</v>
      </c>
      <c r="B6676" s="5">
        <v>1</v>
      </c>
    </row>
    <row r="6677" spans="1:2" x14ac:dyDescent="0.35">
      <c r="A6677" s="14">
        <v>42345.067071759258</v>
      </c>
      <c r="B6677" s="5">
        <v>1</v>
      </c>
    </row>
    <row r="6678" spans="1:2" x14ac:dyDescent="0.35">
      <c r="A6678" s="14">
        <v>42345.069687499999</v>
      </c>
      <c r="B6678" s="5">
        <v>1</v>
      </c>
    </row>
    <row r="6679" spans="1:2" x14ac:dyDescent="0.35">
      <c r="A6679" s="14">
        <v>42345.084062499998</v>
      </c>
      <c r="B6679" s="5">
        <v>1</v>
      </c>
    </row>
    <row r="6680" spans="1:2" x14ac:dyDescent="0.35">
      <c r="A6680" s="14">
        <v>42345.085659722223</v>
      </c>
      <c r="B6680" s="5">
        <v>1</v>
      </c>
    </row>
    <row r="6681" spans="1:2" x14ac:dyDescent="0.35">
      <c r="A6681" s="14">
        <v>42345.089398148149</v>
      </c>
      <c r="B6681" s="5">
        <v>1</v>
      </c>
    </row>
    <row r="6682" spans="1:2" x14ac:dyDescent="0.35">
      <c r="A6682" s="14">
        <v>42345.090208333335</v>
      </c>
      <c r="B6682" s="5">
        <v>1</v>
      </c>
    </row>
    <row r="6683" spans="1:2" x14ac:dyDescent="0.35">
      <c r="A6683" s="14">
        <v>42345.091006944444</v>
      </c>
      <c r="B6683" s="5">
        <v>1</v>
      </c>
    </row>
    <row r="6684" spans="1:2" x14ac:dyDescent="0.35">
      <c r="A6684" s="14">
        <v>42345.093171296299</v>
      </c>
      <c r="B6684" s="5">
        <v>1</v>
      </c>
    </row>
    <row r="6685" spans="1:2" x14ac:dyDescent="0.35">
      <c r="A6685" s="14">
        <v>42345.095057870371</v>
      </c>
      <c r="B6685" s="5">
        <v>1</v>
      </c>
    </row>
    <row r="6686" spans="1:2" x14ac:dyDescent="0.35">
      <c r="A6686" s="14">
        <v>42345.101215277777</v>
      </c>
      <c r="B6686" s="5">
        <v>1</v>
      </c>
    </row>
    <row r="6687" spans="1:2" x14ac:dyDescent="0.35">
      <c r="A6687" s="14">
        <v>42345.101319444446</v>
      </c>
      <c r="B6687" s="5">
        <v>1</v>
      </c>
    </row>
    <row r="6688" spans="1:2" x14ac:dyDescent="0.35">
      <c r="A6688" s="14">
        <v>42345.101701388892</v>
      </c>
      <c r="B6688" s="5">
        <v>1</v>
      </c>
    </row>
    <row r="6689" spans="1:2" x14ac:dyDescent="0.35">
      <c r="A6689" s="14">
        <v>42345.111527777779</v>
      </c>
      <c r="B6689" s="5">
        <v>1</v>
      </c>
    </row>
    <row r="6690" spans="1:2" x14ac:dyDescent="0.35">
      <c r="A6690" s="14">
        <v>42345.157881944448</v>
      </c>
      <c r="B6690" s="5">
        <v>1</v>
      </c>
    </row>
    <row r="6691" spans="1:2" x14ac:dyDescent="0.35">
      <c r="A6691" s="14">
        <v>42345.164178240739</v>
      </c>
      <c r="B6691" s="5">
        <v>1</v>
      </c>
    </row>
    <row r="6692" spans="1:2" x14ac:dyDescent="0.35">
      <c r="A6692" s="14">
        <v>42345.170381944445</v>
      </c>
      <c r="B6692" s="5">
        <v>1</v>
      </c>
    </row>
    <row r="6693" spans="1:2" x14ac:dyDescent="0.35">
      <c r="A6693" s="14">
        <v>42345.17396990741</v>
      </c>
      <c r="B6693" s="5">
        <v>1</v>
      </c>
    </row>
    <row r="6694" spans="1:2" x14ac:dyDescent="0.35">
      <c r="A6694" s="14">
        <v>42345.192569444444</v>
      </c>
      <c r="B6694" s="5">
        <v>1</v>
      </c>
    </row>
    <row r="6695" spans="1:2" x14ac:dyDescent="0.35">
      <c r="A6695" s="14">
        <v>42345.201724537037</v>
      </c>
      <c r="B6695" s="5">
        <v>1</v>
      </c>
    </row>
    <row r="6696" spans="1:2" x14ac:dyDescent="0.35">
      <c r="A6696" s="14">
        <v>42345.213587962964</v>
      </c>
      <c r="B6696" s="5">
        <v>1</v>
      </c>
    </row>
    <row r="6697" spans="1:2" x14ac:dyDescent="0.35">
      <c r="A6697" s="14">
        <v>42345.249432870369</v>
      </c>
      <c r="B6697" s="5">
        <v>1</v>
      </c>
    </row>
    <row r="6698" spans="1:2" x14ac:dyDescent="0.35">
      <c r="A6698" s="14">
        <v>42345.256655092591</v>
      </c>
      <c r="B6698" s="5">
        <v>1</v>
      </c>
    </row>
    <row r="6699" spans="1:2" x14ac:dyDescent="0.35">
      <c r="A6699" s="14">
        <v>42345.56144675926</v>
      </c>
      <c r="B6699" s="5">
        <v>1</v>
      </c>
    </row>
    <row r="6700" spans="1:2" x14ac:dyDescent="0.35">
      <c r="A6700" s="14">
        <v>42345.585300925923</v>
      </c>
      <c r="B6700" s="5">
        <v>1</v>
      </c>
    </row>
    <row r="6701" spans="1:2" x14ac:dyDescent="0.35">
      <c r="A6701" s="14">
        <v>42345.589432870373</v>
      </c>
      <c r="B6701" s="5">
        <v>1</v>
      </c>
    </row>
    <row r="6702" spans="1:2" x14ac:dyDescent="0.35">
      <c r="A6702" s="14">
        <v>42345.630509259259</v>
      </c>
      <c r="B6702" s="5">
        <v>1</v>
      </c>
    </row>
    <row r="6703" spans="1:2" x14ac:dyDescent="0.35">
      <c r="A6703" s="14">
        <v>42345.651550925926</v>
      </c>
      <c r="B6703" s="5">
        <v>1</v>
      </c>
    </row>
    <row r="6704" spans="1:2" x14ac:dyDescent="0.35">
      <c r="A6704" s="14">
        <v>42345.658634259256</v>
      </c>
      <c r="B6704" s="5">
        <v>1</v>
      </c>
    </row>
    <row r="6705" spans="1:2" x14ac:dyDescent="0.35">
      <c r="A6705" s="14">
        <v>42345.676516203705</v>
      </c>
      <c r="B6705" s="5">
        <v>1</v>
      </c>
    </row>
    <row r="6706" spans="1:2" x14ac:dyDescent="0.35">
      <c r="A6706" s="14">
        <v>42345.677164351851</v>
      </c>
      <c r="B6706" s="5">
        <v>1</v>
      </c>
    </row>
    <row r="6707" spans="1:2" x14ac:dyDescent="0.35">
      <c r="A6707" s="14">
        <v>42345.705520833333</v>
      </c>
      <c r="B6707" s="5">
        <v>1</v>
      </c>
    </row>
    <row r="6708" spans="1:2" x14ac:dyDescent="0.35">
      <c r="A6708" s="14">
        <v>42345.714305555557</v>
      </c>
      <c r="B6708" s="5">
        <v>1</v>
      </c>
    </row>
    <row r="6709" spans="1:2" x14ac:dyDescent="0.35">
      <c r="A6709" s="14">
        <v>42345.715624999997</v>
      </c>
      <c r="B6709" s="5">
        <v>2</v>
      </c>
    </row>
    <row r="6710" spans="1:2" x14ac:dyDescent="0.35">
      <c r="A6710" s="14">
        <v>42345.716180555559</v>
      </c>
      <c r="B6710" s="5">
        <v>1</v>
      </c>
    </row>
    <row r="6711" spans="1:2" x14ac:dyDescent="0.35">
      <c r="A6711" s="14">
        <v>42345.717106481483</v>
      </c>
      <c r="B6711" s="5">
        <v>1</v>
      </c>
    </row>
    <row r="6712" spans="1:2" x14ac:dyDescent="0.35">
      <c r="A6712" s="14">
        <v>42345.723252314812</v>
      </c>
      <c r="B6712" s="5">
        <v>1</v>
      </c>
    </row>
    <row r="6713" spans="1:2" x14ac:dyDescent="0.35">
      <c r="A6713" s="14">
        <v>42345.729884259257</v>
      </c>
      <c r="B6713" s="5">
        <v>1</v>
      </c>
    </row>
    <row r="6714" spans="1:2" x14ac:dyDescent="0.35">
      <c r="A6714" s="14">
        <v>42345.742523148147</v>
      </c>
      <c r="B6714" s="5">
        <v>1</v>
      </c>
    </row>
    <row r="6715" spans="1:2" x14ac:dyDescent="0.35">
      <c r="A6715" s="14">
        <v>42345.743854166663</v>
      </c>
      <c r="B6715" s="5">
        <v>1</v>
      </c>
    </row>
    <row r="6716" spans="1:2" x14ac:dyDescent="0.35">
      <c r="A6716" s="14">
        <v>42345.746087962965</v>
      </c>
      <c r="B6716" s="5">
        <v>1</v>
      </c>
    </row>
    <row r="6717" spans="1:2" x14ac:dyDescent="0.35">
      <c r="A6717" s="14">
        <v>42345.770277777781</v>
      </c>
      <c r="B6717" s="5">
        <v>1</v>
      </c>
    </row>
    <row r="6718" spans="1:2" x14ac:dyDescent="0.35">
      <c r="A6718" s="14">
        <v>42345.773240740738</v>
      </c>
      <c r="B6718" s="5">
        <v>1</v>
      </c>
    </row>
    <row r="6719" spans="1:2" x14ac:dyDescent="0.35">
      <c r="A6719" s="14">
        <v>42345.774340277778</v>
      </c>
      <c r="B6719" s="5">
        <v>1</v>
      </c>
    </row>
    <row r="6720" spans="1:2" x14ac:dyDescent="0.35">
      <c r="A6720" s="14">
        <v>42345.799108796295</v>
      </c>
      <c r="B6720" s="5">
        <v>1</v>
      </c>
    </row>
    <row r="6721" spans="1:2" x14ac:dyDescent="0.35">
      <c r="A6721" s="14">
        <v>42345.810659722221</v>
      </c>
      <c r="B6721" s="5">
        <v>1</v>
      </c>
    </row>
    <row r="6722" spans="1:2" x14ac:dyDescent="0.35">
      <c r="A6722" s="14">
        <v>42345.814259259256</v>
      </c>
      <c r="B6722" s="5">
        <v>1</v>
      </c>
    </row>
    <row r="6723" spans="1:2" x14ac:dyDescent="0.35">
      <c r="A6723" s="14">
        <v>42345.822685185187</v>
      </c>
      <c r="B6723" s="5">
        <v>1</v>
      </c>
    </row>
    <row r="6724" spans="1:2" x14ac:dyDescent="0.35">
      <c r="A6724" s="14">
        <v>42345.842361111114</v>
      </c>
      <c r="B6724" s="5">
        <v>1</v>
      </c>
    </row>
    <row r="6725" spans="1:2" x14ac:dyDescent="0.35">
      <c r="A6725" s="14">
        <v>42345.893472222226</v>
      </c>
      <c r="B6725" s="5">
        <v>1</v>
      </c>
    </row>
    <row r="6726" spans="1:2" x14ac:dyDescent="0.35">
      <c r="A6726" s="14">
        <v>42345.930312500001</v>
      </c>
      <c r="B6726" s="5">
        <v>1</v>
      </c>
    </row>
    <row r="6727" spans="1:2" x14ac:dyDescent="0.35">
      <c r="A6727" s="14">
        <v>42345.931562500002</v>
      </c>
      <c r="B6727" s="5">
        <v>1</v>
      </c>
    </row>
    <row r="6728" spans="1:2" x14ac:dyDescent="0.35">
      <c r="A6728" s="14">
        <v>42345.951423611114</v>
      </c>
      <c r="B6728" s="5">
        <v>1</v>
      </c>
    </row>
    <row r="6729" spans="1:2" x14ac:dyDescent="0.35">
      <c r="A6729" s="14">
        <v>42345.988576388889</v>
      </c>
      <c r="B6729" s="5">
        <v>1</v>
      </c>
    </row>
    <row r="6730" spans="1:2" x14ac:dyDescent="0.35">
      <c r="A6730" s="14">
        <v>42346.015752314815</v>
      </c>
      <c r="B6730" s="5">
        <v>1</v>
      </c>
    </row>
    <row r="6731" spans="1:2" x14ac:dyDescent="0.35">
      <c r="A6731" s="14">
        <v>42346.021157407406</v>
      </c>
      <c r="B6731" s="5">
        <v>1</v>
      </c>
    </row>
    <row r="6732" spans="1:2" x14ac:dyDescent="0.35">
      <c r="A6732" s="14">
        <v>42346.032418981478</v>
      </c>
      <c r="B6732" s="5">
        <v>1</v>
      </c>
    </row>
    <row r="6733" spans="1:2" x14ac:dyDescent="0.35">
      <c r="A6733" s="14">
        <v>42346.082881944443</v>
      </c>
      <c r="B6733" s="5">
        <v>1</v>
      </c>
    </row>
    <row r="6734" spans="1:2" x14ac:dyDescent="0.35">
      <c r="A6734" s="14">
        <v>42346.106261574074</v>
      </c>
      <c r="B6734" s="5">
        <v>1</v>
      </c>
    </row>
    <row r="6735" spans="1:2" x14ac:dyDescent="0.35">
      <c r="A6735" s="14">
        <v>42346.108344907407</v>
      </c>
      <c r="B6735" s="5">
        <v>1</v>
      </c>
    </row>
    <row r="6736" spans="1:2" x14ac:dyDescent="0.35">
      <c r="A6736" s="14">
        <v>42346.12054398148</v>
      </c>
      <c r="B6736" s="5">
        <v>1</v>
      </c>
    </row>
    <row r="6737" spans="1:2" x14ac:dyDescent="0.35">
      <c r="A6737" s="14">
        <v>42346.123472222222</v>
      </c>
      <c r="B6737" s="5">
        <v>1</v>
      </c>
    </row>
    <row r="6738" spans="1:2" x14ac:dyDescent="0.35">
      <c r="A6738" s="14">
        <v>42346.129236111112</v>
      </c>
      <c r="B6738" s="5">
        <v>1</v>
      </c>
    </row>
    <row r="6739" spans="1:2" x14ac:dyDescent="0.35">
      <c r="A6739" s="14">
        <v>42346.268784722219</v>
      </c>
      <c r="B6739" s="5">
        <v>1</v>
      </c>
    </row>
    <row r="6740" spans="1:2" x14ac:dyDescent="0.35">
      <c r="A6740" s="14">
        <v>42346.304826388892</v>
      </c>
      <c r="B6740" s="5">
        <v>1</v>
      </c>
    </row>
    <row r="6741" spans="1:2" x14ac:dyDescent="0.35">
      <c r="A6741" s="14">
        <v>42346.323194444441</v>
      </c>
      <c r="B6741" s="5">
        <v>1</v>
      </c>
    </row>
    <row r="6742" spans="1:2" x14ac:dyDescent="0.35">
      <c r="A6742" s="14">
        <v>42346.323321759257</v>
      </c>
      <c r="B6742" s="5">
        <v>1</v>
      </c>
    </row>
    <row r="6743" spans="1:2" x14ac:dyDescent="0.35">
      <c r="A6743" s="14">
        <v>42346.349907407406</v>
      </c>
      <c r="B6743" s="5">
        <v>1</v>
      </c>
    </row>
    <row r="6744" spans="1:2" x14ac:dyDescent="0.35">
      <c r="A6744" s="14">
        <v>42346.435335648152</v>
      </c>
      <c r="B6744" s="5">
        <v>1</v>
      </c>
    </row>
    <row r="6745" spans="1:2" x14ac:dyDescent="0.35">
      <c r="A6745" s="14">
        <v>42346.533553240741</v>
      </c>
      <c r="B6745" s="5">
        <v>1</v>
      </c>
    </row>
    <row r="6746" spans="1:2" x14ac:dyDescent="0.35">
      <c r="A6746" s="14">
        <v>42346.552928240744</v>
      </c>
      <c r="B6746" s="5">
        <v>1</v>
      </c>
    </row>
    <row r="6747" spans="1:2" x14ac:dyDescent="0.35">
      <c r="A6747" s="14">
        <v>42346.559444444443</v>
      </c>
      <c r="B6747" s="5">
        <v>1</v>
      </c>
    </row>
    <row r="6748" spans="1:2" x14ac:dyDescent="0.35">
      <c r="A6748" s="14">
        <v>42346.561018518521</v>
      </c>
      <c r="B6748" s="5">
        <v>1</v>
      </c>
    </row>
    <row r="6749" spans="1:2" x14ac:dyDescent="0.35">
      <c r="A6749" s="14">
        <v>42346.601493055554</v>
      </c>
      <c r="B6749" s="5">
        <v>1</v>
      </c>
    </row>
    <row r="6750" spans="1:2" x14ac:dyDescent="0.35">
      <c r="A6750" s="14">
        <v>42346.607418981483</v>
      </c>
      <c r="B6750" s="5">
        <v>1</v>
      </c>
    </row>
    <row r="6751" spans="1:2" x14ac:dyDescent="0.35">
      <c r="A6751" s="14">
        <v>42346.607627314814</v>
      </c>
      <c r="B6751" s="5">
        <v>1</v>
      </c>
    </row>
    <row r="6752" spans="1:2" x14ac:dyDescent="0.35">
      <c r="A6752" s="14">
        <v>42346.607800925929</v>
      </c>
      <c r="B6752" s="5">
        <v>1</v>
      </c>
    </row>
    <row r="6753" spans="1:2" x14ac:dyDescent="0.35">
      <c r="A6753" s="14">
        <v>42346.619490740741</v>
      </c>
      <c r="B6753" s="5">
        <v>1</v>
      </c>
    </row>
    <row r="6754" spans="1:2" x14ac:dyDescent="0.35">
      <c r="A6754" s="14">
        <v>42346.619710648149</v>
      </c>
      <c r="B6754" s="5">
        <v>1</v>
      </c>
    </row>
    <row r="6755" spans="1:2" x14ac:dyDescent="0.35">
      <c r="A6755" s="14">
        <v>42346.61990740741</v>
      </c>
      <c r="B6755" s="5">
        <v>1</v>
      </c>
    </row>
    <row r="6756" spans="1:2" x14ac:dyDescent="0.35">
      <c r="A6756" s="14">
        <v>42346.626087962963</v>
      </c>
      <c r="B6756" s="5">
        <v>1</v>
      </c>
    </row>
    <row r="6757" spans="1:2" x14ac:dyDescent="0.35">
      <c r="A6757" s="14">
        <v>42346.627002314817</v>
      </c>
      <c r="B6757" s="5">
        <v>1</v>
      </c>
    </row>
    <row r="6758" spans="1:2" x14ac:dyDescent="0.35">
      <c r="A6758" s="14">
        <v>42346.627847222226</v>
      </c>
      <c r="B6758" s="5">
        <v>1</v>
      </c>
    </row>
    <row r="6759" spans="1:2" x14ac:dyDescent="0.35">
      <c r="A6759" s="14">
        <v>42346.632569444446</v>
      </c>
      <c r="B6759" s="5">
        <v>1</v>
      </c>
    </row>
    <row r="6760" spans="1:2" x14ac:dyDescent="0.35">
      <c r="A6760" s="14">
        <v>42346.633356481485</v>
      </c>
      <c r="B6760" s="5">
        <v>1</v>
      </c>
    </row>
    <row r="6761" spans="1:2" x14ac:dyDescent="0.35">
      <c r="A6761" s="14">
        <v>42346.635208333333</v>
      </c>
      <c r="B6761" s="5">
        <v>1</v>
      </c>
    </row>
    <row r="6762" spans="1:2" x14ac:dyDescent="0.35">
      <c r="A6762" s="14">
        <v>42346.641770833332</v>
      </c>
      <c r="B6762" s="5">
        <v>1</v>
      </c>
    </row>
    <row r="6763" spans="1:2" x14ac:dyDescent="0.35">
      <c r="A6763" s="14">
        <v>42346.642025462963</v>
      </c>
      <c r="B6763" s="5">
        <v>1</v>
      </c>
    </row>
    <row r="6764" spans="1:2" x14ac:dyDescent="0.35">
      <c r="A6764" s="14">
        <v>42346.645057870373</v>
      </c>
      <c r="B6764" s="5">
        <v>1</v>
      </c>
    </row>
    <row r="6765" spans="1:2" x14ac:dyDescent="0.35">
      <c r="A6765" s="14">
        <v>42346.648240740738</v>
      </c>
      <c r="B6765" s="5">
        <v>1</v>
      </c>
    </row>
    <row r="6766" spans="1:2" x14ac:dyDescent="0.35">
      <c r="A6766" s="14">
        <v>42346.6559375</v>
      </c>
      <c r="B6766" s="5">
        <v>1</v>
      </c>
    </row>
    <row r="6767" spans="1:2" x14ac:dyDescent="0.35">
      <c r="A6767" s="14">
        <v>42346.66101851852</v>
      </c>
      <c r="B6767" s="5">
        <v>1</v>
      </c>
    </row>
    <row r="6768" spans="1:2" x14ac:dyDescent="0.35">
      <c r="A6768" s="14">
        <v>42346.664363425924</v>
      </c>
      <c r="B6768" s="5">
        <v>1</v>
      </c>
    </row>
    <row r="6769" spans="1:2" x14ac:dyDescent="0.35">
      <c r="A6769" s="14">
        <v>42346.665706018517</v>
      </c>
      <c r="B6769" s="5">
        <v>1</v>
      </c>
    </row>
    <row r="6770" spans="1:2" x14ac:dyDescent="0.35">
      <c r="A6770" s="14">
        <v>42346.671990740739</v>
      </c>
      <c r="B6770" s="5">
        <v>1</v>
      </c>
    </row>
    <row r="6771" spans="1:2" x14ac:dyDescent="0.35">
      <c r="A6771" s="14">
        <v>42346.679861111108</v>
      </c>
      <c r="B6771" s="5">
        <v>1</v>
      </c>
    </row>
    <row r="6772" spans="1:2" x14ac:dyDescent="0.35">
      <c r="A6772" s="14">
        <v>42346.680185185185</v>
      </c>
      <c r="B6772" s="5">
        <v>2</v>
      </c>
    </row>
    <row r="6773" spans="1:2" x14ac:dyDescent="0.35">
      <c r="A6773" s="14">
        <v>42346.693541666667</v>
      </c>
      <c r="B6773" s="5">
        <v>1</v>
      </c>
    </row>
    <row r="6774" spans="1:2" x14ac:dyDescent="0.35">
      <c r="A6774" s="14">
        <v>42346.747569444444</v>
      </c>
      <c r="B6774" s="5">
        <v>1</v>
      </c>
    </row>
    <row r="6775" spans="1:2" x14ac:dyDescent="0.35">
      <c r="A6775" s="14">
        <v>42346.759965277779</v>
      </c>
      <c r="B6775" s="5">
        <v>1</v>
      </c>
    </row>
    <row r="6776" spans="1:2" x14ac:dyDescent="0.35">
      <c r="A6776" s="14">
        <v>42346.766875000001</v>
      </c>
      <c r="B6776" s="5">
        <v>1</v>
      </c>
    </row>
    <row r="6777" spans="1:2" x14ac:dyDescent="0.35">
      <c r="A6777" s="14">
        <v>42346.780636574076</v>
      </c>
      <c r="B6777" s="5">
        <v>1</v>
      </c>
    </row>
    <row r="6778" spans="1:2" x14ac:dyDescent="0.35">
      <c r="A6778" s="14">
        <v>42346.781006944446</v>
      </c>
      <c r="B6778" s="5">
        <v>2</v>
      </c>
    </row>
    <row r="6779" spans="1:2" x14ac:dyDescent="0.35">
      <c r="A6779" s="14">
        <v>42346.784594907411</v>
      </c>
      <c r="B6779" s="5">
        <v>1</v>
      </c>
    </row>
    <row r="6780" spans="1:2" x14ac:dyDescent="0.35">
      <c r="A6780" s="14">
        <v>42346.785879629628</v>
      </c>
      <c r="B6780" s="5">
        <v>1</v>
      </c>
    </row>
    <row r="6781" spans="1:2" x14ac:dyDescent="0.35">
      <c r="A6781" s="14">
        <v>42346.786435185182</v>
      </c>
      <c r="B6781" s="5">
        <v>1</v>
      </c>
    </row>
    <row r="6782" spans="1:2" x14ac:dyDescent="0.35">
      <c r="A6782" s="14">
        <v>42346.795300925929</v>
      </c>
      <c r="B6782" s="5">
        <v>1</v>
      </c>
    </row>
    <row r="6783" spans="1:2" x14ac:dyDescent="0.35">
      <c r="A6783" s="14">
        <v>42346.796319444446</v>
      </c>
      <c r="B6783" s="5">
        <v>1</v>
      </c>
    </row>
    <row r="6784" spans="1:2" x14ac:dyDescent="0.35">
      <c r="A6784" s="14">
        <v>42346.796898148146</v>
      </c>
      <c r="B6784" s="5">
        <v>1</v>
      </c>
    </row>
    <row r="6785" spans="1:2" x14ac:dyDescent="0.35">
      <c r="A6785" s="14">
        <v>42346.802083333336</v>
      </c>
      <c r="B6785" s="5">
        <v>1</v>
      </c>
    </row>
    <row r="6786" spans="1:2" x14ac:dyDescent="0.35">
      <c r="A6786" s="14">
        <v>42346.815428240741</v>
      </c>
      <c r="B6786" s="5">
        <v>1</v>
      </c>
    </row>
    <row r="6787" spans="1:2" x14ac:dyDescent="0.35">
      <c r="A6787" s="14">
        <v>42346.824120370373</v>
      </c>
      <c r="B6787" s="5">
        <v>1</v>
      </c>
    </row>
    <row r="6788" spans="1:2" x14ac:dyDescent="0.35">
      <c r="A6788" s="14">
        <v>42346.830023148148</v>
      </c>
      <c r="B6788" s="5">
        <v>1</v>
      </c>
    </row>
    <row r="6789" spans="1:2" x14ac:dyDescent="0.35">
      <c r="A6789" s="14">
        <v>42346.837152777778</v>
      </c>
      <c r="B6789" s="5">
        <v>1</v>
      </c>
    </row>
    <row r="6790" spans="1:2" x14ac:dyDescent="0.35">
      <c r="A6790" s="14">
        <v>42346.849363425928</v>
      </c>
      <c r="B6790" s="5">
        <v>1</v>
      </c>
    </row>
    <row r="6791" spans="1:2" x14ac:dyDescent="0.35">
      <c r="A6791" s="14">
        <v>42346.859432870369</v>
      </c>
      <c r="B6791" s="5">
        <v>1</v>
      </c>
    </row>
    <row r="6792" spans="1:2" x14ac:dyDescent="0.35">
      <c r="A6792" s="14">
        <v>42346.867789351854</v>
      </c>
      <c r="B6792" s="5">
        <v>1</v>
      </c>
    </row>
    <row r="6793" spans="1:2" x14ac:dyDescent="0.35">
      <c r="A6793" s="14">
        <v>42346.872986111113</v>
      </c>
      <c r="B6793" s="5">
        <v>1</v>
      </c>
    </row>
    <row r="6794" spans="1:2" x14ac:dyDescent="0.35">
      <c r="A6794" s="14">
        <v>42346.875671296293</v>
      </c>
      <c r="B6794" s="5">
        <v>1</v>
      </c>
    </row>
    <row r="6795" spans="1:2" x14ac:dyDescent="0.35">
      <c r="A6795" s="14">
        <v>42346.876562500001</v>
      </c>
      <c r="B6795" s="5">
        <v>1</v>
      </c>
    </row>
    <row r="6796" spans="1:2" x14ac:dyDescent="0.35">
      <c r="A6796" s="14">
        <v>42346.877743055556</v>
      </c>
      <c r="B6796" s="5">
        <v>1</v>
      </c>
    </row>
    <row r="6797" spans="1:2" x14ac:dyDescent="0.35">
      <c r="A6797" s="14">
        <v>42346.90792824074</v>
      </c>
      <c r="B6797" s="5">
        <v>1</v>
      </c>
    </row>
    <row r="6798" spans="1:2" x14ac:dyDescent="0.35">
      <c r="A6798" s="14">
        <v>42346.916932870372</v>
      </c>
      <c r="B6798" s="5">
        <v>1</v>
      </c>
    </row>
    <row r="6799" spans="1:2" x14ac:dyDescent="0.35">
      <c r="A6799" s="14">
        <v>42346.921747685185</v>
      </c>
      <c r="B6799" s="5">
        <v>1</v>
      </c>
    </row>
    <row r="6800" spans="1:2" x14ac:dyDescent="0.35">
      <c r="A6800" s="14">
        <v>42346.968634259261</v>
      </c>
      <c r="B6800" s="5">
        <v>1</v>
      </c>
    </row>
    <row r="6801" spans="1:2" x14ac:dyDescent="0.35">
      <c r="A6801" s="14">
        <v>42346.975659722222</v>
      </c>
      <c r="B6801" s="5">
        <v>1</v>
      </c>
    </row>
    <row r="6802" spans="1:2" x14ac:dyDescent="0.35">
      <c r="A6802" s="14">
        <v>42346.97896990741</v>
      </c>
      <c r="B6802" s="5">
        <v>1</v>
      </c>
    </row>
    <row r="6803" spans="1:2" x14ac:dyDescent="0.35">
      <c r="A6803" s="14">
        <v>42346.980393518519</v>
      </c>
      <c r="B6803" s="5">
        <v>1</v>
      </c>
    </row>
    <row r="6804" spans="1:2" x14ac:dyDescent="0.35">
      <c r="A6804" s="14">
        <v>42346.98877314815</v>
      </c>
      <c r="B6804" s="5">
        <v>1</v>
      </c>
    </row>
    <row r="6805" spans="1:2" x14ac:dyDescent="0.35">
      <c r="A6805" s="14">
        <v>42346.995069444441</v>
      </c>
      <c r="B6805" s="5">
        <v>1</v>
      </c>
    </row>
    <row r="6806" spans="1:2" x14ac:dyDescent="0.35">
      <c r="A6806" s="14">
        <v>42347.019317129627</v>
      </c>
      <c r="B6806" s="5">
        <v>1</v>
      </c>
    </row>
    <row r="6807" spans="1:2" x14ac:dyDescent="0.35">
      <c r="A6807" s="14">
        <v>42347.064652777779</v>
      </c>
      <c r="B6807" s="5">
        <v>1</v>
      </c>
    </row>
    <row r="6808" spans="1:2" x14ac:dyDescent="0.35">
      <c r="A6808" s="14">
        <v>42347.07671296296</v>
      </c>
      <c r="B6808" s="5">
        <v>1</v>
      </c>
    </row>
    <row r="6809" spans="1:2" x14ac:dyDescent="0.35">
      <c r="A6809" s="14">
        <v>42347.083564814813</v>
      </c>
      <c r="B6809" s="5">
        <v>1</v>
      </c>
    </row>
    <row r="6810" spans="1:2" x14ac:dyDescent="0.35">
      <c r="A6810" s="14">
        <v>42347.093923611108</v>
      </c>
      <c r="B6810" s="5">
        <v>1</v>
      </c>
    </row>
    <row r="6811" spans="1:2" x14ac:dyDescent="0.35">
      <c r="A6811" s="14">
        <v>42347.103541666664</v>
      </c>
      <c r="B6811" s="5">
        <v>1</v>
      </c>
    </row>
    <row r="6812" spans="1:2" x14ac:dyDescent="0.35">
      <c r="A6812" s="14">
        <v>42347.137037037035</v>
      </c>
      <c r="B6812" s="5">
        <v>1</v>
      </c>
    </row>
    <row r="6813" spans="1:2" x14ac:dyDescent="0.35">
      <c r="A6813" s="14">
        <v>42347.139687499999</v>
      </c>
      <c r="B6813" s="5">
        <v>1</v>
      </c>
    </row>
    <row r="6814" spans="1:2" x14ac:dyDescent="0.35">
      <c r="A6814" s="14">
        <v>42347.14707175926</v>
      </c>
      <c r="B6814" s="5">
        <v>1</v>
      </c>
    </row>
    <row r="6815" spans="1:2" x14ac:dyDescent="0.35">
      <c r="A6815" s="14">
        <v>42347.17324074074</v>
      </c>
      <c r="B6815" s="5">
        <v>1</v>
      </c>
    </row>
    <row r="6816" spans="1:2" x14ac:dyDescent="0.35">
      <c r="A6816" s="14">
        <v>42347.173310185186</v>
      </c>
      <c r="B6816" s="5">
        <v>1</v>
      </c>
    </row>
    <row r="6817" spans="1:2" x14ac:dyDescent="0.35">
      <c r="A6817" s="14">
        <v>42347.181828703702</v>
      </c>
      <c r="B6817" s="5">
        <v>1</v>
      </c>
    </row>
    <row r="6818" spans="1:2" x14ac:dyDescent="0.35">
      <c r="A6818" s="14">
        <v>42347.18378472222</v>
      </c>
      <c r="B6818" s="5">
        <v>1</v>
      </c>
    </row>
    <row r="6819" spans="1:2" x14ac:dyDescent="0.35">
      <c r="A6819" s="14">
        <v>42347.212442129632</v>
      </c>
      <c r="B6819" s="5">
        <v>1</v>
      </c>
    </row>
    <row r="6820" spans="1:2" x14ac:dyDescent="0.35">
      <c r="A6820" s="14">
        <v>42347.399606481478</v>
      </c>
      <c r="B6820" s="5">
        <v>1</v>
      </c>
    </row>
    <row r="6821" spans="1:2" x14ac:dyDescent="0.35">
      <c r="A6821" s="14">
        <v>42347.551886574074</v>
      </c>
      <c r="B6821" s="5">
        <v>1</v>
      </c>
    </row>
    <row r="6822" spans="1:2" x14ac:dyDescent="0.35">
      <c r="A6822" s="14">
        <v>42347.572187500002</v>
      </c>
      <c r="B6822" s="5">
        <v>1</v>
      </c>
    </row>
    <row r="6823" spans="1:2" x14ac:dyDescent="0.35">
      <c r="A6823" s="14">
        <v>42347.574652777781</v>
      </c>
      <c r="B6823" s="5">
        <v>1</v>
      </c>
    </row>
    <row r="6824" spans="1:2" x14ac:dyDescent="0.35">
      <c r="A6824" s="14">
        <v>42347.590694444443</v>
      </c>
      <c r="B6824" s="5">
        <v>1</v>
      </c>
    </row>
    <row r="6825" spans="1:2" x14ac:dyDescent="0.35">
      <c r="A6825" s="14">
        <v>42347.59275462963</v>
      </c>
      <c r="B6825" s="5">
        <v>1</v>
      </c>
    </row>
    <row r="6826" spans="1:2" x14ac:dyDescent="0.35">
      <c r="A6826" s="14">
        <v>42347.606504629628</v>
      </c>
      <c r="B6826" s="5">
        <v>1</v>
      </c>
    </row>
    <row r="6827" spans="1:2" x14ac:dyDescent="0.35">
      <c r="A6827" s="14">
        <v>42347.615995370368</v>
      </c>
      <c r="B6827" s="5">
        <v>1</v>
      </c>
    </row>
    <row r="6828" spans="1:2" x14ac:dyDescent="0.35">
      <c r="A6828" s="14">
        <v>42347.663495370369</v>
      </c>
      <c r="B6828" s="5">
        <v>1</v>
      </c>
    </row>
    <row r="6829" spans="1:2" x14ac:dyDescent="0.35">
      <c r="A6829" s="14">
        <v>42347.677060185182</v>
      </c>
      <c r="B6829" s="5">
        <v>1</v>
      </c>
    </row>
    <row r="6830" spans="1:2" x14ac:dyDescent="0.35">
      <c r="A6830" s="14">
        <v>42347.678981481484</v>
      </c>
      <c r="B6830" s="5">
        <v>1</v>
      </c>
    </row>
    <row r="6831" spans="1:2" x14ac:dyDescent="0.35">
      <c r="A6831" s="14">
        <v>42347.684710648151</v>
      </c>
      <c r="B6831" s="5">
        <v>1</v>
      </c>
    </row>
    <row r="6832" spans="1:2" x14ac:dyDescent="0.35">
      <c r="A6832" s="14">
        <v>42347.697581018518</v>
      </c>
      <c r="B6832" s="5">
        <v>1</v>
      </c>
    </row>
    <row r="6833" spans="1:2" x14ac:dyDescent="0.35">
      <c r="A6833" s="14">
        <v>42347.697928240741</v>
      </c>
      <c r="B6833" s="5">
        <v>1</v>
      </c>
    </row>
    <row r="6834" spans="1:2" x14ac:dyDescent="0.35">
      <c r="A6834" s="14">
        <v>42347.700578703705</v>
      </c>
      <c r="B6834" s="5">
        <v>1</v>
      </c>
    </row>
    <row r="6835" spans="1:2" x14ac:dyDescent="0.35">
      <c r="A6835" s="14">
        <v>42347.701898148145</v>
      </c>
      <c r="B6835" s="5">
        <v>1</v>
      </c>
    </row>
    <row r="6836" spans="1:2" x14ac:dyDescent="0.35">
      <c r="A6836" s="14">
        <v>42347.702870370369</v>
      </c>
      <c r="B6836" s="5">
        <v>1</v>
      </c>
    </row>
    <row r="6837" spans="1:2" x14ac:dyDescent="0.35">
      <c r="A6837" s="14">
        <v>42347.710532407407</v>
      </c>
      <c r="B6837" s="5">
        <v>1</v>
      </c>
    </row>
    <row r="6838" spans="1:2" x14ac:dyDescent="0.35">
      <c r="A6838" s="14">
        <v>42347.714189814818</v>
      </c>
      <c r="B6838" s="5">
        <v>1</v>
      </c>
    </row>
    <row r="6839" spans="1:2" x14ac:dyDescent="0.35">
      <c r="A6839" s="14">
        <v>42347.715937499997</v>
      </c>
      <c r="B6839" s="5">
        <v>1</v>
      </c>
    </row>
    <row r="6840" spans="1:2" x14ac:dyDescent="0.35">
      <c r="A6840" s="14">
        <v>42347.717650462961</v>
      </c>
      <c r="B6840" s="5">
        <v>1</v>
      </c>
    </row>
    <row r="6841" spans="1:2" x14ac:dyDescent="0.35">
      <c r="A6841" s="14">
        <v>42347.722569444442</v>
      </c>
      <c r="B6841" s="5">
        <v>1</v>
      </c>
    </row>
    <row r="6842" spans="1:2" x14ac:dyDescent="0.35">
      <c r="A6842" s="14">
        <v>42347.727418981478</v>
      </c>
      <c r="B6842" s="5">
        <v>1</v>
      </c>
    </row>
    <row r="6843" spans="1:2" x14ac:dyDescent="0.35">
      <c r="A6843" s="14">
        <v>42347.728576388887</v>
      </c>
      <c r="B6843" s="5">
        <v>1</v>
      </c>
    </row>
    <row r="6844" spans="1:2" x14ac:dyDescent="0.35">
      <c r="A6844" s="14">
        <v>42347.734548611108</v>
      </c>
      <c r="B6844" s="5">
        <v>1</v>
      </c>
    </row>
    <row r="6845" spans="1:2" x14ac:dyDescent="0.35">
      <c r="A6845" s="14">
        <v>42347.743657407409</v>
      </c>
      <c r="B6845" s="5">
        <v>1</v>
      </c>
    </row>
    <row r="6846" spans="1:2" x14ac:dyDescent="0.35">
      <c r="A6846" s="14">
        <v>42347.757152777776</v>
      </c>
      <c r="B6846" s="5">
        <v>1</v>
      </c>
    </row>
    <row r="6847" spans="1:2" x14ac:dyDescent="0.35">
      <c r="A6847" s="14">
        <v>42347.781134259261</v>
      </c>
      <c r="B6847" s="5">
        <v>1</v>
      </c>
    </row>
    <row r="6848" spans="1:2" x14ac:dyDescent="0.35">
      <c r="A6848" s="14">
        <v>42347.783113425925</v>
      </c>
      <c r="B6848" s="5">
        <v>1</v>
      </c>
    </row>
    <row r="6849" spans="1:2" x14ac:dyDescent="0.35">
      <c r="A6849" s="14">
        <v>42347.80537037037</v>
      </c>
      <c r="B6849" s="5">
        <v>1</v>
      </c>
    </row>
    <row r="6850" spans="1:2" x14ac:dyDescent="0.35">
      <c r="A6850" s="14">
        <v>42347.805960648147</v>
      </c>
      <c r="B6850" s="5">
        <v>1</v>
      </c>
    </row>
    <row r="6851" spans="1:2" x14ac:dyDescent="0.35">
      <c r="A6851" s="14">
        <v>42347.809849537036</v>
      </c>
      <c r="B6851" s="5">
        <v>1</v>
      </c>
    </row>
    <row r="6852" spans="1:2" x14ac:dyDescent="0.35">
      <c r="A6852" s="14">
        <v>42347.816967592589</v>
      </c>
      <c r="B6852" s="5">
        <v>1</v>
      </c>
    </row>
    <row r="6853" spans="1:2" x14ac:dyDescent="0.35">
      <c r="A6853" s="14">
        <v>42347.820555555554</v>
      </c>
      <c r="B6853" s="5">
        <v>1</v>
      </c>
    </row>
    <row r="6854" spans="1:2" x14ac:dyDescent="0.35">
      <c r="A6854" s="14">
        <v>42347.826261574075</v>
      </c>
      <c r="B6854" s="5">
        <v>1</v>
      </c>
    </row>
    <row r="6855" spans="1:2" x14ac:dyDescent="0.35">
      <c r="A6855" s="14">
        <v>42347.839375000003</v>
      </c>
      <c r="B6855" s="5">
        <v>1</v>
      </c>
    </row>
    <row r="6856" spans="1:2" x14ac:dyDescent="0.35">
      <c r="A6856" s="14">
        <v>42347.850844907407</v>
      </c>
      <c r="B6856" s="5">
        <v>1</v>
      </c>
    </row>
    <row r="6857" spans="1:2" x14ac:dyDescent="0.35">
      <c r="A6857" s="14">
        <v>42347.886782407404</v>
      </c>
      <c r="B6857" s="5">
        <v>1</v>
      </c>
    </row>
    <row r="6858" spans="1:2" x14ac:dyDescent="0.35">
      <c r="A6858" s="14">
        <v>42347.902499999997</v>
      </c>
      <c r="B6858" s="5">
        <v>1</v>
      </c>
    </row>
    <row r="6859" spans="1:2" x14ac:dyDescent="0.35">
      <c r="A6859" s="14">
        <v>42347.906111111108</v>
      </c>
      <c r="B6859" s="5">
        <v>1</v>
      </c>
    </row>
    <row r="6860" spans="1:2" x14ac:dyDescent="0.35">
      <c r="A6860" s="14">
        <v>42347.908020833333</v>
      </c>
      <c r="B6860" s="5">
        <v>1</v>
      </c>
    </row>
    <row r="6861" spans="1:2" x14ac:dyDescent="0.35">
      <c r="A6861" s="14">
        <v>42347.914317129631</v>
      </c>
      <c r="B6861" s="5">
        <v>1</v>
      </c>
    </row>
    <row r="6862" spans="1:2" x14ac:dyDescent="0.35">
      <c r="A6862" s="14">
        <v>42347.919965277775</v>
      </c>
      <c r="B6862" s="5">
        <v>1</v>
      </c>
    </row>
    <row r="6863" spans="1:2" x14ac:dyDescent="0.35">
      <c r="A6863" s="14">
        <v>42347.934942129628</v>
      </c>
      <c r="B6863" s="5">
        <v>1</v>
      </c>
    </row>
    <row r="6864" spans="1:2" x14ac:dyDescent="0.35">
      <c r="A6864" s="14">
        <v>42347.935057870367</v>
      </c>
      <c r="B6864" s="5">
        <v>1</v>
      </c>
    </row>
    <row r="6865" spans="1:2" x14ac:dyDescent="0.35">
      <c r="A6865" s="14">
        <v>42347.935555555552</v>
      </c>
      <c r="B6865" s="5">
        <v>1</v>
      </c>
    </row>
    <row r="6866" spans="1:2" x14ac:dyDescent="0.35">
      <c r="A6866" s="14">
        <v>42347.943738425929</v>
      </c>
      <c r="B6866" s="5">
        <v>1</v>
      </c>
    </row>
    <row r="6867" spans="1:2" x14ac:dyDescent="0.35">
      <c r="A6867" s="14">
        <v>42347.950937499998</v>
      </c>
      <c r="B6867" s="5">
        <v>1</v>
      </c>
    </row>
    <row r="6868" spans="1:2" x14ac:dyDescent="0.35">
      <c r="A6868" s="14">
        <v>42347.966481481482</v>
      </c>
      <c r="B6868" s="5">
        <v>1</v>
      </c>
    </row>
    <row r="6869" spans="1:2" x14ac:dyDescent="0.35">
      <c r="A6869" s="14">
        <v>42347.977002314816</v>
      </c>
      <c r="B6869" s="5">
        <v>1</v>
      </c>
    </row>
    <row r="6870" spans="1:2" x14ac:dyDescent="0.35">
      <c r="A6870" s="14">
        <v>42348.018935185188</v>
      </c>
      <c r="B6870" s="5">
        <v>1</v>
      </c>
    </row>
    <row r="6871" spans="1:2" x14ac:dyDescent="0.35">
      <c r="A6871" s="14">
        <v>42348.029456018521</v>
      </c>
      <c r="B6871" s="5">
        <v>1</v>
      </c>
    </row>
    <row r="6872" spans="1:2" x14ac:dyDescent="0.35">
      <c r="A6872" s="14">
        <v>42348.03025462963</v>
      </c>
      <c r="B6872" s="5">
        <v>1</v>
      </c>
    </row>
    <row r="6873" spans="1:2" x14ac:dyDescent="0.35">
      <c r="A6873" s="14">
        <v>42348.054305555554</v>
      </c>
      <c r="B6873" s="5">
        <v>1</v>
      </c>
    </row>
    <row r="6874" spans="1:2" x14ac:dyDescent="0.35">
      <c r="A6874" s="14">
        <v>42348.058136574073</v>
      </c>
      <c r="B6874" s="5">
        <v>1</v>
      </c>
    </row>
    <row r="6875" spans="1:2" x14ac:dyDescent="0.35">
      <c r="A6875" s="14">
        <v>42348.058171296296</v>
      </c>
      <c r="B6875" s="5">
        <v>1</v>
      </c>
    </row>
    <row r="6876" spans="1:2" x14ac:dyDescent="0.35">
      <c r="A6876" s="14">
        <v>42348.064143518517</v>
      </c>
      <c r="B6876" s="5">
        <v>1</v>
      </c>
    </row>
    <row r="6877" spans="1:2" x14ac:dyDescent="0.35">
      <c r="A6877" s="14">
        <v>42348.064236111109</v>
      </c>
      <c r="B6877" s="5">
        <v>1</v>
      </c>
    </row>
    <row r="6878" spans="1:2" x14ac:dyDescent="0.35">
      <c r="A6878" s="14">
        <v>42348.065381944441</v>
      </c>
      <c r="B6878" s="5">
        <v>1</v>
      </c>
    </row>
    <row r="6879" spans="1:2" x14ac:dyDescent="0.35">
      <c r="A6879" s="14">
        <v>42348.080474537041</v>
      </c>
      <c r="B6879" s="5">
        <v>1</v>
      </c>
    </row>
    <row r="6880" spans="1:2" x14ac:dyDescent="0.35">
      <c r="A6880" s="14">
        <v>42348.087523148148</v>
      </c>
      <c r="B6880" s="5">
        <v>1</v>
      </c>
    </row>
    <row r="6881" spans="1:2" x14ac:dyDescent="0.35">
      <c r="A6881" s="14">
        <v>42348.089317129627</v>
      </c>
      <c r="B6881" s="5">
        <v>1</v>
      </c>
    </row>
    <row r="6882" spans="1:2" x14ac:dyDescent="0.35">
      <c r="A6882" s="14">
        <v>42348.09542824074</v>
      </c>
      <c r="B6882" s="5">
        <v>1</v>
      </c>
    </row>
    <row r="6883" spans="1:2" x14ac:dyDescent="0.35">
      <c r="A6883" s="14">
        <v>42348.1016087963</v>
      </c>
      <c r="B6883" s="5">
        <v>1</v>
      </c>
    </row>
    <row r="6884" spans="1:2" x14ac:dyDescent="0.35">
      <c r="A6884" s="14">
        <v>42348.108553240738</v>
      </c>
      <c r="B6884" s="5">
        <v>1</v>
      </c>
    </row>
    <row r="6885" spans="1:2" x14ac:dyDescent="0.35">
      <c r="A6885" s="14">
        <v>42348.1094212963</v>
      </c>
      <c r="B6885" s="5">
        <v>1</v>
      </c>
    </row>
    <row r="6886" spans="1:2" x14ac:dyDescent="0.35">
      <c r="A6886" s="14">
        <v>42348.143379629626</v>
      </c>
      <c r="B6886" s="5">
        <v>1</v>
      </c>
    </row>
    <row r="6887" spans="1:2" x14ac:dyDescent="0.35">
      <c r="A6887" s="14">
        <v>42348.150972222225</v>
      </c>
      <c r="B6887" s="5">
        <v>1</v>
      </c>
    </row>
    <row r="6888" spans="1:2" x14ac:dyDescent="0.35">
      <c r="A6888" s="14">
        <v>42348.151273148149</v>
      </c>
      <c r="B6888" s="5">
        <v>1</v>
      </c>
    </row>
    <row r="6889" spans="1:2" x14ac:dyDescent="0.35">
      <c r="A6889" s="14">
        <v>42348.17560185185</v>
      </c>
      <c r="B6889" s="5">
        <v>1</v>
      </c>
    </row>
    <row r="6890" spans="1:2" x14ac:dyDescent="0.35">
      <c r="A6890" s="14">
        <v>42348.176412037035</v>
      </c>
      <c r="B6890" s="5">
        <v>1</v>
      </c>
    </row>
    <row r="6891" spans="1:2" x14ac:dyDescent="0.35">
      <c r="A6891" s="14">
        <v>42348.204270833332</v>
      </c>
      <c r="B6891" s="5">
        <v>1</v>
      </c>
    </row>
    <row r="6892" spans="1:2" x14ac:dyDescent="0.35">
      <c r="A6892" s="14">
        <v>42348.23542824074</v>
      </c>
      <c r="B6892" s="5">
        <v>1</v>
      </c>
    </row>
    <row r="6893" spans="1:2" x14ac:dyDescent="0.35">
      <c r="A6893" s="14">
        <v>42348.242291666669</v>
      </c>
      <c r="B6893" s="5">
        <v>1</v>
      </c>
    </row>
    <row r="6894" spans="1:2" x14ac:dyDescent="0.35">
      <c r="A6894" s="14">
        <v>42348.249282407407</v>
      </c>
      <c r="B6894" s="5">
        <v>1</v>
      </c>
    </row>
    <row r="6895" spans="1:2" x14ac:dyDescent="0.35">
      <c r="A6895" s="14">
        <v>42348.262650462966</v>
      </c>
      <c r="B6895" s="5">
        <v>1</v>
      </c>
    </row>
    <row r="6896" spans="1:2" x14ac:dyDescent="0.35">
      <c r="A6896" s="14">
        <v>42348.270486111112</v>
      </c>
      <c r="B6896" s="5">
        <v>1</v>
      </c>
    </row>
    <row r="6897" spans="1:2" x14ac:dyDescent="0.35">
      <c r="A6897" s="14">
        <v>42348.295567129629</v>
      </c>
      <c r="B6897" s="5">
        <v>1</v>
      </c>
    </row>
    <row r="6898" spans="1:2" x14ac:dyDescent="0.35">
      <c r="A6898" s="14">
        <v>42348.376770833333</v>
      </c>
      <c r="B6898" s="5">
        <v>1</v>
      </c>
    </row>
    <row r="6899" spans="1:2" x14ac:dyDescent="0.35">
      <c r="A6899" s="14">
        <v>42348.568009259259</v>
      </c>
      <c r="B6899" s="5">
        <v>1</v>
      </c>
    </row>
    <row r="6900" spans="1:2" x14ac:dyDescent="0.35">
      <c r="A6900" s="14">
        <v>42348.600682870368</v>
      </c>
      <c r="B6900" s="5">
        <v>1</v>
      </c>
    </row>
    <row r="6901" spans="1:2" x14ac:dyDescent="0.35">
      <c r="A6901" s="14">
        <v>42348.604259259257</v>
      </c>
      <c r="B6901" s="5">
        <v>1</v>
      </c>
    </row>
    <row r="6902" spans="1:2" x14ac:dyDescent="0.35">
      <c r="A6902" s="14">
        <v>42348.604421296295</v>
      </c>
      <c r="B6902" s="5">
        <v>1</v>
      </c>
    </row>
    <row r="6903" spans="1:2" x14ac:dyDescent="0.35">
      <c r="A6903" s="14">
        <v>42348.608298611114</v>
      </c>
      <c r="B6903" s="5">
        <v>1</v>
      </c>
    </row>
    <row r="6904" spans="1:2" x14ac:dyDescent="0.35">
      <c r="A6904" s="14">
        <v>42348.618888888886</v>
      </c>
      <c r="B6904" s="5">
        <v>1</v>
      </c>
    </row>
    <row r="6905" spans="1:2" x14ac:dyDescent="0.35">
      <c r="A6905" s="14">
        <v>42348.658032407409</v>
      </c>
      <c r="B6905" s="5">
        <v>1</v>
      </c>
    </row>
    <row r="6906" spans="1:2" x14ac:dyDescent="0.35">
      <c r="A6906" s="14">
        <v>42348.661898148152</v>
      </c>
      <c r="B6906" s="5">
        <v>1</v>
      </c>
    </row>
    <row r="6907" spans="1:2" x14ac:dyDescent="0.35">
      <c r="A6907" s="14">
        <v>42348.66300925926</v>
      </c>
      <c r="B6907" s="5">
        <v>1</v>
      </c>
    </row>
    <row r="6908" spans="1:2" x14ac:dyDescent="0.35">
      <c r="A6908" s="14">
        <v>42348.670335648145</v>
      </c>
      <c r="B6908" s="5">
        <v>1</v>
      </c>
    </row>
    <row r="6909" spans="1:2" x14ac:dyDescent="0.35">
      <c r="A6909" s="14">
        <v>42348.687754629631</v>
      </c>
      <c r="B6909" s="5">
        <v>1</v>
      </c>
    </row>
    <row r="6910" spans="1:2" x14ac:dyDescent="0.35">
      <c r="A6910" s="14">
        <v>42348.68990740741</v>
      </c>
      <c r="B6910" s="5">
        <v>1</v>
      </c>
    </row>
    <row r="6911" spans="1:2" x14ac:dyDescent="0.35">
      <c r="A6911" s="14">
        <v>42348.690844907411</v>
      </c>
      <c r="B6911" s="5">
        <v>1</v>
      </c>
    </row>
    <row r="6912" spans="1:2" x14ac:dyDescent="0.35">
      <c r="A6912" s="14">
        <v>42348.695972222224</v>
      </c>
      <c r="B6912" s="5">
        <v>1</v>
      </c>
    </row>
    <row r="6913" spans="1:2" x14ac:dyDescent="0.35">
      <c r="A6913" s="14">
        <v>42348.712268518517</v>
      </c>
      <c r="B6913" s="5">
        <v>1</v>
      </c>
    </row>
    <row r="6914" spans="1:2" x14ac:dyDescent="0.35">
      <c r="A6914" s="14">
        <v>42348.722777777781</v>
      </c>
      <c r="B6914" s="5">
        <v>1</v>
      </c>
    </row>
    <row r="6915" spans="1:2" x14ac:dyDescent="0.35">
      <c r="A6915" s="14">
        <v>42348.751620370371</v>
      </c>
      <c r="B6915" s="5">
        <v>1</v>
      </c>
    </row>
    <row r="6916" spans="1:2" x14ac:dyDescent="0.35">
      <c r="A6916" s="14">
        <v>42348.756712962961</v>
      </c>
      <c r="B6916" s="5">
        <v>1</v>
      </c>
    </row>
    <row r="6917" spans="1:2" x14ac:dyDescent="0.35">
      <c r="A6917" s="14">
        <v>42348.757604166669</v>
      </c>
      <c r="B6917" s="5">
        <v>2</v>
      </c>
    </row>
    <row r="6918" spans="1:2" x14ac:dyDescent="0.35">
      <c r="A6918" s="14">
        <v>42348.76121527778</v>
      </c>
      <c r="B6918" s="5">
        <v>1</v>
      </c>
    </row>
    <row r="6919" spans="1:2" x14ac:dyDescent="0.35">
      <c r="A6919" s="14">
        <v>42348.761307870373</v>
      </c>
      <c r="B6919" s="5">
        <v>1</v>
      </c>
    </row>
    <row r="6920" spans="1:2" x14ac:dyDescent="0.35">
      <c r="A6920" s="14">
        <v>42348.761481481481</v>
      </c>
      <c r="B6920" s="5">
        <v>1</v>
      </c>
    </row>
    <row r="6921" spans="1:2" x14ac:dyDescent="0.35">
      <c r="A6921" s="14">
        <v>42348.761608796296</v>
      </c>
      <c r="B6921" s="5">
        <v>1</v>
      </c>
    </row>
    <row r="6922" spans="1:2" x14ac:dyDescent="0.35">
      <c r="A6922" s="14">
        <v>42348.761932870373</v>
      </c>
      <c r="B6922" s="5">
        <v>1</v>
      </c>
    </row>
    <row r="6923" spans="1:2" x14ac:dyDescent="0.35">
      <c r="A6923" s="14">
        <v>42348.805590277778</v>
      </c>
      <c r="B6923" s="5">
        <v>1</v>
      </c>
    </row>
    <row r="6924" spans="1:2" x14ac:dyDescent="0.35">
      <c r="A6924" s="14">
        <v>42348.806990740741</v>
      </c>
      <c r="B6924" s="5">
        <v>2</v>
      </c>
    </row>
    <row r="6925" spans="1:2" x14ac:dyDescent="0.35">
      <c r="A6925" s="14">
        <v>42348.831006944441</v>
      </c>
      <c r="B6925" s="5">
        <v>1</v>
      </c>
    </row>
    <row r="6926" spans="1:2" x14ac:dyDescent="0.35">
      <c r="A6926" s="14">
        <v>42348.831817129627</v>
      </c>
      <c r="B6926" s="5">
        <v>1</v>
      </c>
    </row>
    <row r="6927" spans="1:2" x14ac:dyDescent="0.35">
      <c r="A6927" s="14">
        <v>42348.831863425927</v>
      </c>
      <c r="B6927" s="5">
        <v>1</v>
      </c>
    </row>
    <row r="6928" spans="1:2" x14ac:dyDescent="0.35">
      <c r="A6928" s="14">
        <v>42348.834224537037</v>
      </c>
      <c r="B6928" s="5">
        <v>1</v>
      </c>
    </row>
    <row r="6929" spans="1:2" x14ac:dyDescent="0.35">
      <c r="A6929" s="14">
        <v>42348.838148148148</v>
      </c>
      <c r="B6929" s="5">
        <v>1</v>
      </c>
    </row>
    <row r="6930" spans="1:2" x14ac:dyDescent="0.35">
      <c r="A6930" s="14">
        <v>42348.857291666667</v>
      </c>
      <c r="B6930" s="5">
        <v>1</v>
      </c>
    </row>
    <row r="6931" spans="1:2" x14ac:dyDescent="0.35">
      <c r="A6931" s="14">
        <v>42348.904050925928</v>
      </c>
      <c r="B6931" s="5">
        <v>1</v>
      </c>
    </row>
    <row r="6932" spans="1:2" x14ac:dyDescent="0.35">
      <c r="A6932" s="14">
        <v>42348.904456018521</v>
      </c>
      <c r="B6932" s="5">
        <v>1</v>
      </c>
    </row>
    <row r="6933" spans="1:2" x14ac:dyDescent="0.35">
      <c r="A6933" s="14">
        <v>42348.906192129631</v>
      </c>
      <c r="B6933" s="5">
        <v>1</v>
      </c>
    </row>
    <row r="6934" spans="1:2" x14ac:dyDescent="0.35">
      <c r="A6934" s="14">
        <v>42348.916597222225</v>
      </c>
      <c r="B6934" s="5">
        <v>1</v>
      </c>
    </row>
    <row r="6935" spans="1:2" x14ac:dyDescent="0.35">
      <c r="A6935" s="14">
        <v>42348.918344907404</v>
      </c>
      <c r="B6935" s="5">
        <v>1</v>
      </c>
    </row>
    <row r="6936" spans="1:2" x14ac:dyDescent="0.35">
      <c r="A6936" s="14">
        <v>42348.93409722222</v>
      </c>
      <c r="B6936" s="5">
        <v>1</v>
      </c>
    </row>
    <row r="6937" spans="1:2" x14ac:dyDescent="0.35">
      <c r="A6937" s="14">
        <v>42348.93550925926</v>
      </c>
      <c r="B6937" s="5">
        <v>1</v>
      </c>
    </row>
    <row r="6938" spans="1:2" x14ac:dyDescent="0.35">
      <c r="A6938" s="14">
        <v>42348.937708333331</v>
      </c>
      <c r="B6938" s="5">
        <v>1</v>
      </c>
    </row>
    <row r="6939" spans="1:2" x14ac:dyDescent="0.35">
      <c r="A6939" s="14">
        <v>42348.942118055558</v>
      </c>
      <c r="B6939" s="5">
        <v>1</v>
      </c>
    </row>
    <row r="6940" spans="1:2" x14ac:dyDescent="0.35">
      <c r="A6940" s="14">
        <v>42348.965277777781</v>
      </c>
      <c r="B6940" s="5">
        <v>1</v>
      </c>
    </row>
    <row r="6941" spans="1:2" x14ac:dyDescent="0.35">
      <c r="A6941" s="14">
        <v>42348.971898148149</v>
      </c>
      <c r="B6941" s="5">
        <v>1</v>
      </c>
    </row>
    <row r="6942" spans="1:2" x14ac:dyDescent="0.35">
      <c r="A6942" s="14">
        <v>42348.976944444446</v>
      </c>
      <c r="B6942" s="5">
        <v>1</v>
      </c>
    </row>
    <row r="6943" spans="1:2" x14ac:dyDescent="0.35">
      <c r="A6943" s="14">
        <v>42349.005196759259</v>
      </c>
      <c r="B6943" s="5">
        <v>1</v>
      </c>
    </row>
    <row r="6944" spans="1:2" x14ac:dyDescent="0.35">
      <c r="A6944" s="14">
        <v>42349.01326388889</v>
      </c>
      <c r="B6944" s="5">
        <v>1</v>
      </c>
    </row>
    <row r="6945" spans="1:2" x14ac:dyDescent="0.35">
      <c r="A6945" s="14">
        <v>42349.066469907404</v>
      </c>
      <c r="B6945" s="5">
        <v>1</v>
      </c>
    </row>
    <row r="6946" spans="1:2" x14ac:dyDescent="0.35">
      <c r="A6946" s="14">
        <v>42349.070497685185</v>
      </c>
      <c r="B6946" s="5">
        <v>1</v>
      </c>
    </row>
    <row r="6947" spans="1:2" x14ac:dyDescent="0.35">
      <c r="A6947" s="14">
        <v>42349.077164351853</v>
      </c>
      <c r="B6947" s="5">
        <v>1</v>
      </c>
    </row>
    <row r="6948" spans="1:2" x14ac:dyDescent="0.35">
      <c r="A6948" s="14">
        <v>42349.098425925928</v>
      </c>
      <c r="B6948" s="5">
        <v>1</v>
      </c>
    </row>
    <row r="6949" spans="1:2" x14ac:dyDescent="0.35">
      <c r="A6949" s="14">
        <v>42349.122314814813</v>
      </c>
      <c r="B6949" s="5">
        <v>1</v>
      </c>
    </row>
    <row r="6950" spans="1:2" x14ac:dyDescent="0.35">
      <c r="A6950" s="14">
        <v>42349.151631944442</v>
      </c>
      <c r="B6950" s="5">
        <v>1</v>
      </c>
    </row>
    <row r="6951" spans="1:2" x14ac:dyDescent="0.35">
      <c r="A6951" s="14">
        <v>42349.166180555556</v>
      </c>
      <c r="B6951" s="5">
        <v>1</v>
      </c>
    </row>
    <row r="6952" spans="1:2" x14ac:dyDescent="0.35">
      <c r="A6952" s="14">
        <v>42349.191851851851</v>
      </c>
      <c r="B6952" s="5">
        <v>1</v>
      </c>
    </row>
    <row r="6953" spans="1:2" x14ac:dyDescent="0.35">
      <c r="A6953" s="14">
        <v>42349.381006944444</v>
      </c>
      <c r="B6953" s="5">
        <v>1</v>
      </c>
    </row>
    <row r="6954" spans="1:2" x14ac:dyDescent="0.35">
      <c r="A6954" s="14">
        <v>42349.385046296295</v>
      </c>
      <c r="B6954" s="5">
        <v>1</v>
      </c>
    </row>
    <row r="6955" spans="1:2" x14ac:dyDescent="0.35">
      <c r="A6955" s="14">
        <v>42349.570185185185</v>
      </c>
      <c r="B6955" s="5">
        <v>1</v>
      </c>
    </row>
    <row r="6956" spans="1:2" x14ac:dyDescent="0.35">
      <c r="A6956" s="14">
        <v>42349.592141203706</v>
      </c>
      <c r="B6956" s="5">
        <v>1</v>
      </c>
    </row>
    <row r="6957" spans="1:2" x14ac:dyDescent="0.35">
      <c r="A6957" s="14">
        <v>42349.596018518518</v>
      </c>
      <c r="B6957" s="5">
        <v>1</v>
      </c>
    </row>
    <row r="6958" spans="1:2" x14ac:dyDescent="0.35">
      <c r="A6958" s="14">
        <v>42349.64638888889</v>
      </c>
      <c r="B6958" s="5">
        <v>1</v>
      </c>
    </row>
    <row r="6959" spans="1:2" x14ac:dyDescent="0.35">
      <c r="A6959" s="14">
        <v>42349.655810185184</v>
      </c>
      <c r="B6959" s="5">
        <v>1</v>
      </c>
    </row>
    <row r="6960" spans="1:2" x14ac:dyDescent="0.35">
      <c r="A6960" s="14">
        <v>42349.656840277778</v>
      </c>
      <c r="B6960" s="5">
        <v>1</v>
      </c>
    </row>
    <row r="6961" spans="1:2" x14ac:dyDescent="0.35">
      <c r="A6961" s="14">
        <v>42349.764999999999</v>
      </c>
      <c r="B6961" s="5">
        <v>1</v>
      </c>
    </row>
    <row r="6962" spans="1:2" x14ac:dyDescent="0.35">
      <c r="A6962" s="14">
        <v>42349.801226851851</v>
      </c>
      <c r="B6962" s="5">
        <v>1</v>
      </c>
    </row>
    <row r="6963" spans="1:2" x14ac:dyDescent="0.35">
      <c r="A6963" s="14">
        <v>42349.803252314814</v>
      </c>
      <c r="B6963" s="5">
        <v>1</v>
      </c>
    </row>
    <row r="6964" spans="1:2" x14ac:dyDescent="0.35">
      <c r="A6964" s="14">
        <v>42349.805393518516</v>
      </c>
      <c r="B6964" s="5">
        <v>1</v>
      </c>
    </row>
    <row r="6965" spans="1:2" x14ac:dyDescent="0.35">
      <c r="A6965" s="14">
        <v>42349.813090277778</v>
      </c>
      <c r="B6965" s="5">
        <v>1</v>
      </c>
    </row>
    <row r="6966" spans="1:2" x14ac:dyDescent="0.35">
      <c r="A6966" s="14">
        <v>42349.824583333335</v>
      </c>
      <c r="B6966" s="5">
        <v>1</v>
      </c>
    </row>
    <row r="6967" spans="1:2" x14ac:dyDescent="0.35">
      <c r="A6967" s="14">
        <v>42349.832824074074</v>
      </c>
      <c r="B6967" s="5">
        <v>1</v>
      </c>
    </row>
    <row r="6968" spans="1:2" x14ac:dyDescent="0.35">
      <c r="A6968" s="14">
        <v>42349.851377314815</v>
      </c>
      <c r="B6968" s="5">
        <v>1</v>
      </c>
    </row>
    <row r="6969" spans="1:2" x14ac:dyDescent="0.35">
      <c r="A6969" s="14">
        <v>42349.851851851854</v>
      </c>
      <c r="B6969" s="5">
        <v>1</v>
      </c>
    </row>
    <row r="6970" spans="1:2" x14ac:dyDescent="0.35">
      <c r="A6970" s="14">
        <v>42349.858113425929</v>
      </c>
      <c r="B6970" s="5">
        <v>1</v>
      </c>
    </row>
    <row r="6971" spans="1:2" x14ac:dyDescent="0.35">
      <c r="A6971" s="14">
        <v>42349.865185185183</v>
      </c>
      <c r="B6971" s="5">
        <v>1</v>
      </c>
    </row>
    <row r="6972" spans="1:2" x14ac:dyDescent="0.35">
      <c r="A6972" s="14">
        <v>42349.868136574078</v>
      </c>
      <c r="B6972" s="5">
        <v>1</v>
      </c>
    </row>
    <row r="6973" spans="1:2" x14ac:dyDescent="0.35">
      <c r="A6973" s="14">
        <v>42349.868761574071</v>
      </c>
      <c r="B6973" s="5">
        <v>1</v>
      </c>
    </row>
    <row r="6974" spans="1:2" x14ac:dyDescent="0.35">
      <c r="A6974" s="14">
        <v>42349.868807870371</v>
      </c>
      <c r="B6974" s="5">
        <v>1</v>
      </c>
    </row>
    <row r="6975" spans="1:2" x14ac:dyDescent="0.35">
      <c r="A6975" s="14">
        <v>42349.869675925926</v>
      </c>
      <c r="B6975" s="5">
        <v>1</v>
      </c>
    </row>
    <row r="6976" spans="1:2" x14ac:dyDescent="0.35">
      <c r="A6976" s="14">
        <v>42349.894942129627</v>
      </c>
      <c r="B6976" s="5">
        <v>1</v>
      </c>
    </row>
    <row r="6977" spans="1:2" x14ac:dyDescent="0.35">
      <c r="A6977" s="14">
        <v>42350.128344907411</v>
      </c>
      <c r="B6977" s="5">
        <v>1</v>
      </c>
    </row>
    <row r="6978" spans="1:2" x14ac:dyDescent="0.35">
      <c r="A6978" s="14">
        <v>42350.129780092589</v>
      </c>
      <c r="B6978" s="5">
        <v>2</v>
      </c>
    </row>
    <row r="6979" spans="1:2" x14ac:dyDescent="0.35">
      <c r="A6979" s="14">
        <v>42350.368472222224</v>
      </c>
      <c r="B6979" s="5">
        <v>1</v>
      </c>
    </row>
    <row r="6980" spans="1:2" x14ac:dyDescent="0.35">
      <c r="A6980" s="14">
        <v>42350.376782407409</v>
      </c>
      <c r="B6980" s="5">
        <v>1</v>
      </c>
    </row>
    <row r="6981" spans="1:2" x14ac:dyDescent="0.35">
      <c r="A6981" s="14">
        <v>42350.590844907405</v>
      </c>
      <c r="B6981" s="5">
        <v>1</v>
      </c>
    </row>
    <row r="6982" spans="1:2" x14ac:dyDescent="0.35">
      <c r="A6982" s="14">
        <v>42350.594386574077</v>
      </c>
      <c r="B6982" s="5">
        <v>1</v>
      </c>
    </row>
    <row r="6983" spans="1:2" x14ac:dyDescent="0.35">
      <c r="A6983" s="14">
        <v>42350.62427083333</v>
      </c>
      <c r="B6983" s="5">
        <v>1</v>
      </c>
    </row>
    <row r="6984" spans="1:2" x14ac:dyDescent="0.35">
      <c r="A6984" s="14">
        <v>42350.624768518515</v>
      </c>
      <c r="B6984" s="5">
        <v>2</v>
      </c>
    </row>
    <row r="6985" spans="1:2" x14ac:dyDescent="0.35">
      <c r="A6985" s="14">
        <v>42350.626400462963</v>
      </c>
      <c r="B6985" s="5">
        <v>1</v>
      </c>
    </row>
    <row r="6986" spans="1:2" x14ac:dyDescent="0.35">
      <c r="A6986" s="14">
        <v>42350.77238425926</v>
      </c>
      <c r="B6986" s="5">
        <v>1</v>
      </c>
    </row>
    <row r="6987" spans="1:2" x14ac:dyDescent="0.35">
      <c r="A6987" s="14">
        <v>42350.772534722222</v>
      </c>
      <c r="B6987" s="5">
        <v>1</v>
      </c>
    </row>
    <row r="6988" spans="1:2" x14ac:dyDescent="0.35">
      <c r="A6988" s="14">
        <v>42350.772777777776</v>
      </c>
      <c r="B6988" s="5">
        <v>1</v>
      </c>
    </row>
    <row r="6989" spans="1:2" x14ac:dyDescent="0.35">
      <c r="A6989" s="14">
        <v>42350.779803240737</v>
      </c>
      <c r="B6989" s="5">
        <v>1</v>
      </c>
    </row>
    <row r="6990" spans="1:2" x14ac:dyDescent="0.35">
      <c r="A6990" s="14">
        <v>42350.782743055555</v>
      </c>
      <c r="B6990" s="5">
        <v>1</v>
      </c>
    </row>
    <row r="6991" spans="1:2" x14ac:dyDescent="0.35">
      <c r="A6991" s="14">
        <v>42350.787222222221</v>
      </c>
      <c r="B6991" s="5">
        <v>1</v>
      </c>
    </row>
    <row r="6992" spans="1:2" x14ac:dyDescent="0.35">
      <c r="A6992" s="14">
        <v>42350.85056712963</v>
      </c>
      <c r="B6992" s="5">
        <v>1</v>
      </c>
    </row>
    <row r="6993" spans="1:2" x14ac:dyDescent="0.35">
      <c r="A6993" s="14">
        <v>42350.894432870373</v>
      </c>
      <c r="B6993" s="5">
        <v>1</v>
      </c>
    </row>
    <row r="6994" spans="1:2" x14ac:dyDescent="0.35">
      <c r="A6994" s="14">
        <v>42350.951620370368</v>
      </c>
      <c r="B6994" s="5">
        <v>1</v>
      </c>
    </row>
    <row r="6995" spans="1:2" x14ac:dyDescent="0.35">
      <c r="A6995" s="14">
        <v>42351.019317129627</v>
      </c>
      <c r="B6995" s="5">
        <v>1</v>
      </c>
    </row>
    <row r="6996" spans="1:2" x14ac:dyDescent="0.35">
      <c r="A6996" s="14">
        <v>42351.023715277777</v>
      </c>
      <c r="B6996" s="5">
        <v>1</v>
      </c>
    </row>
    <row r="6997" spans="1:2" x14ac:dyDescent="0.35">
      <c r="A6997" s="14">
        <v>42351.108483796299</v>
      </c>
      <c r="B6997" s="5">
        <v>1</v>
      </c>
    </row>
    <row r="6998" spans="1:2" x14ac:dyDescent="0.35">
      <c r="A6998" s="14">
        <v>42351.162939814814</v>
      </c>
      <c r="B6998" s="5">
        <v>1</v>
      </c>
    </row>
    <row r="6999" spans="1:2" x14ac:dyDescent="0.35">
      <c r="A6999" s="14">
        <v>42351.175775462965</v>
      </c>
      <c r="B6999" s="5">
        <v>1</v>
      </c>
    </row>
    <row r="7000" spans="1:2" x14ac:dyDescent="0.35">
      <c r="A7000" s="14">
        <v>42351.182835648149</v>
      </c>
      <c r="B7000" s="5">
        <v>1</v>
      </c>
    </row>
    <row r="7001" spans="1:2" x14ac:dyDescent="0.35">
      <c r="A7001" s="14">
        <v>42351.221759259257</v>
      </c>
      <c r="B7001" s="5">
        <v>1</v>
      </c>
    </row>
    <row r="7002" spans="1:2" x14ac:dyDescent="0.35">
      <c r="A7002" s="14">
        <v>42351.221886574072</v>
      </c>
      <c r="B7002" s="5">
        <v>1</v>
      </c>
    </row>
    <row r="7003" spans="1:2" x14ac:dyDescent="0.35">
      <c r="A7003" s="14">
        <v>42351.261076388888</v>
      </c>
      <c r="B7003" s="5">
        <v>1</v>
      </c>
    </row>
    <row r="7004" spans="1:2" x14ac:dyDescent="0.35">
      <c r="A7004" s="14">
        <v>42351.633576388886</v>
      </c>
      <c r="B7004" s="5">
        <v>1</v>
      </c>
    </row>
    <row r="7005" spans="1:2" x14ac:dyDescent="0.35">
      <c r="A7005" s="14">
        <v>42351.716666666667</v>
      </c>
      <c r="B7005" s="5">
        <v>1</v>
      </c>
    </row>
    <row r="7006" spans="1:2" x14ac:dyDescent="0.35">
      <c r="A7006" s="14">
        <v>42351.79483796296</v>
      </c>
      <c r="B7006" s="5">
        <v>1</v>
      </c>
    </row>
    <row r="7007" spans="1:2" x14ac:dyDescent="0.35">
      <c r="A7007" s="14">
        <v>42351.798726851855</v>
      </c>
      <c r="B7007" s="5">
        <v>1</v>
      </c>
    </row>
    <row r="7008" spans="1:2" x14ac:dyDescent="0.35">
      <c r="A7008" s="14">
        <v>42351.801608796297</v>
      </c>
      <c r="B7008" s="5">
        <v>1</v>
      </c>
    </row>
    <row r="7009" spans="1:2" x14ac:dyDescent="0.35">
      <c r="A7009" s="14">
        <v>42351.803194444445</v>
      </c>
      <c r="B7009" s="5">
        <v>1</v>
      </c>
    </row>
    <row r="7010" spans="1:2" x14ac:dyDescent="0.35">
      <c r="A7010" s="14">
        <v>42351.805636574078</v>
      </c>
      <c r="B7010" s="5">
        <v>1</v>
      </c>
    </row>
    <row r="7011" spans="1:2" x14ac:dyDescent="0.35">
      <c r="A7011" s="14">
        <v>42351.806898148148</v>
      </c>
      <c r="B7011" s="5">
        <v>1</v>
      </c>
    </row>
    <row r="7012" spans="1:2" x14ac:dyDescent="0.35">
      <c r="A7012" s="14">
        <v>42351.810891203706</v>
      </c>
      <c r="B7012" s="5">
        <v>1</v>
      </c>
    </row>
    <row r="7013" spans="1:2" x14ac:dyDescent="0.35">
      <c r="A7013" s="14">
        <v>42351.824780092589</v>
      </c>
      <c r="B7013" s="5">
        <v>1</v>
      </c>
    </row>
    <row r="7014" spans="1:2" x14ac:dyDescent="0.35">
      <c r="A7014" s="14">
        <v>42351.845196759263</v>
      </c>
      <c r="B7014" s="5">
        <v>1</v>
      </c>
    </row>
    <row r="7015" spans="1:2" x14ac:dyDescent="0.35">
      <c r="A7015" s="14">
        <v>42351.849965277775</v>
      </c>
      <c r="B7015" s="5">
        <v>1</v>
      </c>
    </row>
    <row r="7016" spans="1:2" x14ac:dyDescent="0.35">
      <c r="A7016" s="14">
        <v>42351.8516087963</v>
      </c>
      <c r="B7016" s="5">
        <v>1</v>
      </c>
    </row>
    <row r="7017" spans="1:2" x14ac:dyDescent="0.35">
      <c r="A7017" s="14">
        <v>42351.857349537036</v>
      </c>
      <c r="B7017" s="5">
        <v>1</v>
      </c>
    </row>
    <row r="7018" spans="1:2" x14ac:dyDescent="0.35">
      <c r="A7018" s="14">
        <v>42351.868668981479</v>
      </c>
      <c r="B7018" s="5">
        <v>1</v>
      </c>
    </row>
    <row r="7019" spans="1:2" x14ac:dyDescent="0.35">
      <c r="A7019" s="14">
        <v>42351.876261574071</v>
      </c>
      <c r="B7019" s="5">
        <v>1</v>
      </c>
    </row>
    <row r="7020" spans="1:2" x14ac:dyDescent="0.35">
      <c r="A7020" s="14">
        <v>42351.921400462961</v>
      </c>
      <c r="B7020" s="5">
        <v>1</v>
      </c>
    </row>
    <row r="7021" spans="1:2" x14ac:dyDescent="0.35">
      <c r="A7021" s="14">
        <v>42351.924108796295</v>
      </c>
      <c r="B7021" s="5">
        <v>1</v>
      </c>
    </row>
    <row r="7022" spans="1:2" x14ac:dyDescent="0.35">
      <c r="A7022" s="14">
        <v>42351.924120370371</v>
      </c>
      <c r="B7022" s="5">
        <v>1</v>
      </c>
    </row>
    <row r="7023" spans="1:2" x14ac:dyDescent="0.35">
      <c r="A7023" s="14">
        <v>42351.968414351853</v>
      </c>
      <c r="B7023" s="5">
        <v>1</v>
      </c>
    </row>
    <row r="7024" spans="1:2" x14ac:dyDescent="0.35">
      <c r="A7024" s="14">
        <v>42351.968784722223</v>
      </c>
      <c r="B7024" s="5">
        <v>1</v>
      </c>
    </row>
    <row r="7025" spans="1:2" x14ac:dyDescent="0.35">
      <c r="A7025" s="14">
        <v>42351.974699074075</v>
      </c>
      <c r="B7025" s="5">
        <v>1</v>
      </c>
    </row>
    <row r="7026" spans="1:2" x14ac:dyDescent="0.35">
      <c r="A7026" s="14">
        <v>42352.012627314813</v>
      </c>
      <c r="B7026" s="5">
        <v>1</v>
      </c>
    </row>
    <row r="7027" spans="1:2" x14ac:dyDescent="0.35">
      <c r="A7027" s="14">
        <v>42352.020694444444</v>
      </c>
      <c r="B7027" s="5">
        <v>1</v>
      </c>
    </row>
    <row r="7028" spans="1:2" x14ac:dyDescent="0.35">
      <c r="A7028" s="14">
        <v>42352.032835648148</v>
      </c>
      <c r="B7028" s="5">
        <v>1</v>
      </c>
    </row>
    <row r="7029" spans="1:2" x14ac:dyDescent="0.35">
      <c r="A7029" s="14">
        <v>42352.036932870367</v>
      </c>
      <c r="B7029" s="5">
        <v>1</v>
      </c>
    </row>
    <row r="7030" spans="1:2" x14ac:dyDescent="0.35">
      <c r="A7030" s="14">
        <v>42352.102083333331</v>
      </c>
      <c r="B7030" s="5">
        <v>1</v>
      </c>
    </row>
    <row r="7031" spans="1:2" x14ac:dyDescent="0.35">
      <c r="A7031" s="14">
        <v>42352.109699074077</v>
      </c>
      <c r="B7031" s="5">
        <v>1</v>
      </c>
    </row>
    <row r="7032" spans="1:2" x14ac:dyDescent="0.35">
      <c r="A7032" s="14">
        <v>42352.110844907409</v>
      </c>
      <c r="B7032" s="5">
        <v>1</v>
      </c>
    </row>
    <row r="7033" spans="1:2" x14ac:dyDescent="0.35">
      <c r="A7033" s="14">
        <v>42352.116226851853</v>
      </c>
      <c r="B7033" s="5">
        <v>1</v>
      </c>
    </row>
    <row r="7034" spans="1:2" x14ac:dyDescent="0.35">
      <c r="A7034" s="14">
        <v>42352.116840277777</v>
      </c>
      <c r="B7034" s="5">
        <v>1</v>
      </c>
    </row>
    <row r="7035" spans="1:2" x14ac:dyDescent="0.35">
      <c r="A7035" s="14">
        <v>42352.126562500001</v>
      </c>
      <c r="B7035" s="5">
        <v>1</v>
      </c>
    </row>
    <row r="7036" spans="1:2" x14ac:dyDescent="0.35">
      <c r="A7036" s="14">
        <v>42352.13008101852</v>
      </c>
      <c r="B7036" s="5">
        <v>1</v>
      </c>
    </row>
    <row r="7037" spans="1:2" x14ac:dyDescent="0.35">
      <c r="A7037" s="14">
        <v>42352.133148148147</v>
      </c>
      <c r="B7037" s="5">
        <v>1</v>
      </c>
    </row>
    <row r="7038" spans="1:2" x14ac:dyDescent="0.35">
      <c r="A7038" s="14">
        <v>42352.133611111109</v>
      </c>
      <c r="B7038" s="5">
        <v>1</v>
      </c>
    </row>
    <row r="7039" spans="1:2" x14ac:dyDescent="0.35">
      <c r="A7039" s="14">
        <v>42352.137453703705</v>
      </c>
      <c r="B7039" s="5">
        <v>1</v>
      </c>
    </row>
    <row r="7040" spans="1:2" x14ac:dyDescent="0.35">
      <c r="A7040" s="14">
        <v>42352.143171296295</v>
      </c>
      <c r="B7040" s="5">
        <v>1</v>
      </c>
    </row>
    <row r="7041" spans="1:2" x14ac:dyDescent="0.35">
      <c r="A7041" s="14">
        <v>42352.150555555556</v>
      </c>
      <c r="B7041" s="5">
        <v>1</v>
      </c>
    </row>
    <row r="7042" spans="1:2" x14ac:dyDescent="0.35">
      <c r="A7042" s="14">
        <v>42352.156053240738</v>
      </c>
      <c r="B7042" s="5">
        <v>1</v>
      </c>
    </row>
    <row r="7043" spans="1:2" x14ac:dyDescent="0.35">
      <c r="A7043" s="14">
        <v>42352.157824074071</v>
      </c>
      <c r="B7043" s="5">
        <v>1</v>
      </c>
    </row>
    <row r="7044" spans="1:2" x14ac:dyDescent="0.35">
      <c r="A7044" s="14">
        <v>42352.161898148152</v>
      </c>
      <c r="B7044" s="5">
        <v>1</v>
      </c>
    </row>
    <row r="7045" spans="1:2" x14ac:dyDescent="0.35">
      <c r="A7045" s="14">
        <v>42352.165625000001</v>
      </c>
      <c r="B7045" s="5">
        <v>1</v>
      </c>
    </row>
    <row r="7046" spans="1:2" x14ac:dyDescent="0.35">
      <c r="A7046" s="14">
        <v>42352.168298611112</v>
      </c>
      <c r="B7046" s="5">
        <v>1</v>
      </c>
    </row>
    <row r="7047" spans="1:2" x14ac:dyDescent="0.35">
      <c r="A7047" s="14">
        <v>42352.169351851851</v>
      </c>
      <c r="B7047" s="5">
        <v>1</v>
      </c>
    </row>
    <row r="7048" spans="1:2" x14ac:dyDescent="0.35">
      <c r="A7048" s="14">
        <v>42352.223483796297</v>
      </c>
      <c r="B7048" s="5">
        <v>1</v>
      </c>
    </row>
    <row r="7049" spans="1:2" x14ac:dyDescent="0.35">
      <c r="A7049" s="14">
        <v>42352.226875</v>
      </c>
      <c r="B7049" s="5">
        <v>1</v>
      </c>
    </row>
    <row r="7050" spans="1:2" x14ac:dyDescent="0.35">
      <c r="A7050" s="14">
        <v>42352.327291666668</v>
      </c>
      <c r="B7050" s="5">
        <v>1</v>
      </c>
    </row>
    <row r="7051" spans="1:2" x14ac:dyDescent="0.35">
      <c r="A7051" s="14">
        <v>42352.522048611114</v>
      </c>
      <c r="B7051" s="5">
        <v>1</v>
      </c>
    </row>
    <row r="7052" spans="1:2" x14ac:dyDescent="0.35">
      <c r="A7052" s="14">
        <v>42352.529479166667</v>
      </c>
      <c r="B7052" s="5">
        <v>1</v>
      </c>
    </row>
    <row r="7053" spans="1:2" x14ac:dyDescent="0.35">
      <c r="A7053" s="14">
        <v>42352.542916666665</v>
      </c>
      <c r="B7053" s="5">
        <v>1</v>
      </c>
    </row>
    <row r="7054" spans="1:2" x14ac:dyDescent="0.35">
      <c r="A7054" s="14">
        <v>42352.603981481479</v>
      </c>
      <c r="B7054" s="5">
        <v>1</v>
      </c>
    </row>
    <row r="7055" spans="1:2" x14ac:dyDescent="0.35">
      <c r="A7055" s="14">
        <v>42352.62871527778</v>
      </c>
      <c r="B7055" s="5">
        <v>1</v>
      </c>
    </row>
    <row r="7056" spans="1:2" x14ac:dyDescent="0.35">
      <c r="A7056" s="14">
        <v>42352.641250000001</v>
      </c>
      <c r="B7056" s="5">
        <v>1</v>
      </c>
    </row>
    <row r="7057" spans="1:2" x14ac:dyDescent="0.35">
      <c r="A7057" s="14">
        <v>42352.64770833333</v>
      </c>
      <c r="B7057" s="5">
        <v>1</v>
      </c>
    </row>
    <row r="7058" spans="1:2" x14ac:dyDescent="0.35">
      <c r="A7058" s="14">
        <v>42352.659861111111</v>
      </c>
      <c r="B7058" s="5">
        <v>1</v>
      </c>
    </row>
    <row r="7059" spans="1:2" x14ac:dyDescent="0.35">
      <c r="A7059" s="14">
        <v>42352.730983796297</v>
      </c>
      <c r="B7059" s="5">
        <v>1</v>
      </c>
    </row>
    <row r="7060" spans="1:2" x14ac:dyDescent="0.35">
      <c r="A7060" s="14">
        <v>42352.739108796297</v>
      </c>
      <c r="B7060" s="5">
        <v>1</v>
      </c>
    </row>
    <row r="7061" spans="1:2" x14ac:dyDescent="0.35">
      <c r="A7061" s="14">
        <v>42352.742175925923</v>
      </c>
      <c r="B7061" s="5">
        <v>1</v>
      </c>
    </row>
    <row r="7062" spans="1:2" x14ac:dyDescent="0.35">
      <c r="A7062" s="14">
        <v>42352.750347222223</v>
      </c>
      <c r="B7062" s="5">
        <v>1</v>
      </c>
    </row>
    <row r="7063" spans="1:2" x14ac:dyDescent="0.35">
      <c r="A7063" s="14">
        <v>42352.753159722219</v>
      </c>
      <c r="B7063" s="5">
        <v>1</v>
      </c>
    </row>
    <row r="7064" spans="1:2" x14ac:dyDescent="0.35">
      <c r="A7064" s="14">
        <v>42352.755358796298</v>
      </c>
      <c r="B7064" s="5">
        <v>1</v>
      </c>
    </row>
    <row r="7065" spans="1:2" x14ac:dyDescent="0.35">
      <c r="A7065" s="14">
        <v>42352.757407407407</v>
      </c>
      <c r="B7065" s="5">
        <v>1</v>
      </c>
    </row>
    <row r="7066" spans="1:2" x14ac:dyDescent="0.35">
      <c r="A7066" s="14">
        <v>42352.770694444444</v>
      </c>
      <c r="B7066" s="5">
        <v>1</v>
      </c>
    </row>
    <row r="7067" spans="1:2" x14ac:dyDescent="0.35">
      <c r="A7067" s="14">
        <v>42352.772511574076</v>
      </c>
      <c r="B7067" s="5">
        <v>1</v>
      </c>
    </row>
    <row r="7068" spans="1:2" x14ac:dyDescent="0.35">
      <c r="A7068" s="14">
        <v>42352.776724537034</v>
      </c>
      <c r="B7068" s="5">
        <v>1</v>
      </c>
    </row>
    <row r="7069" spans="1:2" x14ac:dyDescent="0.35">
      <c r="A7069" s="14">
        <v>42352.781724537039</v>
      </c>
      <c r="B7069" s="5">
        <v>1</v>
      </c>
    </row>
    <row r="7070" spans="1:2" x14ac:dyDescent="0.35">
      <c r="A7070" s="14">
        <v>42352.788032407407</v>
      </c>
      <c r="B7070" s="5">
        <v>1</v>
      </c>
    </row>
    <row r="7071" spans="1:2" x14ac:dyDescent="0.35">
      <c r="A7071" s="14">
        <v>42352.797442129631</v>
      </c>
      <c r="B7071" s="5">
        <v>1</v>
      </c>
    </row>
    <row r="7072" spans="1:2" x14ac:dyDescent="0.35">
      <c r="A7072" s="14">
        <v>42352.805150462962</v>
      </c>
      <c r="B7072" s="5">
        <v>1</v>
      </c>
    </row>
    <row r="7073" spans="1:2" x14ac:dyDescent="0.35">
      <c r="A7073" s="14">
        <v>42352.819618055553</v>
      </c>
      <c r="B7073" s="5">
        <v>1</v>
      </c>
    </row>
    <row r="7074" spans="1:2" x14ac:dyDescent="0.35">
      <c r="A7074" s="14">
        <v>42352.825902777775</v>
      </c>
      <c r="B7074" s="5">
        <v>1</v>
      </c>
    </row>
    <row r="7075" spans="1:2" x14ac:dyDescent="0.35">
      <c r="A7075" s="14">
        <v>42352.82613425926</v>
      </c>
      <c r="B7075" s="5">
        <v>1</v>
      </c>
    </row>
    <row r="7076" spans="1:2" x14ac:dyDescent="0.35">
      <c r="A7076" s="14">
        <v>42352.829201388886</v>
      </c>
      <c r="B7076" s="5">
        <v>1</v>
      </c>
    </row>
    <row r="7077" spans="1:2" x14ac:dyDescent="0.35">
      <c r="A7077" s="14">
        <v>42352.82980324074</v>
      </c>
      <c r="B7077" s="5">
        <v>1</v>
      </c>
    </row>
    <row r="7078" spans="1:2" x14ac:dyDescent="0.35">
      <c r="A7078" s="14">
        <v>42352.833043981482</v>
      </c>
      <c r="B7078" s="5">
        <v>1</v>
      </c>
    </row>
    <row r="7079" spans="1:2" x14ac:dyDescent="0.35">
      <c r="A7079" s="14">
        <v>42352.839953703704</v>
      </c>
      <c r="B7079" s="5">
        <v>1</v>
      </c>
    </row>
    <row r="7080" spans="1:2" x14ac:dyDescent="0.35">
      <c r="A7080" s="14">
        <v>42352.840740740743</v>
      </c>
      <c r="B7080" s="5">
        <v>2</v>
      </c>
    </row>
    <row r="7081" spans="1:2" x14ac:dyDescent="0.35">
      <c r="A7081" s="14">
        <v>42352.841400462959</v>
      </c>
      <c r="B7081" s="5">
        <v>1</v>
      </c>
    </row>
    <row r="7082" spans="1:2" x14ac:dyDescent="0.35">
      <c r="A7082" s="14">
        <v>42352.843449074076</v>
      </c>
      <c r="B7082" s="5">
        <v>1</v>
      </c>
    </row>
    <row r="7083" spans="1:2" x14ac:dyDescent="0.35">
      <c r="A7083" s="14">
        <v>42352.848645833335</v>
      </c>
      <c r="B7083" s="5">
        <v>1</v>
      </c>
    </row>
    <row r="7084" spans="1:2" x14ac:dyDescent="0.35">
      <c r="A7084" s="14">
        <v>42352.861666666664</v>
      </c>
      <c r="B7084" s="5">
        <v>1</v>
      </c>
    </row>
    <row r="7085" spans="1:2" x14ac:dyDescent="0.35">
      <c r="A7085" s="14">
        <v>42352.882453703707</v>
      </c>
      <c r="B7085" s="5">
        <v>1</v>
      </c>
    </row>
    <row r="7086" spans="1:2" x14ac:dyDescent="0.35">
      <c r="A7086" s="14">
        <v>42352.88722222222</v>
      </c>
      <c r="B7086" s="5">
        <v>1</v>
      </c>
    </row>
    <row r="7087" spans="1:2" x14ac:dyDescent="0.35">
      <c r="A7087" s="14">
        <v>42352.888078703705</v>
      </c>
      <c r="B7087" s="5">
        <v>1</v>
      </c>
    </row>
    <row r="7088" spans="1:2" x14ac:dyDescent="0.35">
      <c r="A7088" s="14">
        <v>42352.911516203705</v>
      </c>
      <c r="B7088" s="5">
        <v>1</v>
      </c>
    </row>
    <row r="7089" spans="1:2" x14ac:dyDescent="0.35">
      <c r="A7089" s="14">
        <v>42352.912569444445</v>
      </c>
      <c r="B7089" s="5">
        <v>1</v>
      </c>
    </row>
    <row r="7090" spans="1:2" x14ac:dyDescent="0.35">
      <c r="A7090" s="14">
        <v>42352.924050925925</v>
      </c>
      <c r="B7090" s="5">
        <v>1</v>
      </c>
    </row>
    <row r="7091" spans="1:2" x14ac:dyDescent="0.35">
      <c r="A7091" s="14">
        <v>42352.925740740742</v>
      </c>
      <c r="B7091" s="5">
        <v>1</v>
      </c>
    </row>
    <row r="7092" spans="1:2" x14ac:dyDescent="0.35">
      <c r="A7092" s="14">
        <v>42352.936863425923</v>
      </c>
      <c r="B7092" s="5">
        <v>1</v>
      </c>
    </row>
    <row r="7093" spans="1:2" x14ac:dyDescent="0.35">
      <c r="A7093" s="14">
        <v>42352.940347222226</v>
      </c>
      <c r="B7093" s="5">
        <v>1</v>
      </c>
    </row>
    <row r="7094" spans="1:2" x14ac:dyDescent="0.35">
      <c r="A7094" s="14">
        <v>42352.942210648151</v>
      </c>
      <c r="B7094" s="5">
        <v>1</v>
      </c>
    </row>
    <row r="7095" spans="1:2" x14ac:dyDescent="0.35">
      <c r="A7095" s="14">
        <v>42352.958796296298</v>
      </c>
      <c r="B7095" s="5">
        <v>1</v>
      </c>
    </row>
    <row r="7096" spans="1:2" x14ac:dyDescent="0.35">
      <c r="A7096" s="14">
        <v>42353.02416666667</v>
      </c>
      <c r="B7096" s="5">
        <v>1</v>
      </c>
    </row>
    <row r="7097" spans="1:2" x14ac:dyDescent="0.35">
      <c r="A7097" s="14">
        <v>42353.025127314817</v>
      </c>
      <c r="B7097" s="5">
        <v>1</v>
      </c>
    </row>
    <row r="7098" spans="1:2" x14ac:dyDescent="0.35">
      <c r="A7098" s="14">
        <v>42353.034525462965</v>
      </c>
      <c r="B7098" s="5">
        <v>1</v>
      </c>
    </row>
    <row r="7099" spans="1:2" x14ac:dyDescent="0.35">
      <c r="A7099" s="14">
        <v>42353.036979166667</v>
      </c>
      <c r="B7099" s="5">
        <v>1</v>
      </c>
    </row>
    <row r="7100" spans="1:2" x14ac:dyDescent="0.35">
      <c r="A7100" s="14">
        <v>42353.03802083333</v>
      </c>
      <c r="B7100" s="5">
        <v>1</v>
      </c>
    </row>
    <row r="7101" spans="1:2" x14ac:dyDescent="0.35">
      <c r="A7101" s="14">
        <v>42353.040960648148</v>
      </c>
      <c r="B7101" s="5">
        <v>1</v>
      </c>
    </row>
    <row r="7102" spans="1:2" x14ac:dyDescent="0.35">
      <c r="A7102" s="14">
        <v>42353.041678240741</v>
      </c>
      <c r="B7102" s="5">
        <v>1</v>
      </c>
    </row>
    <row r="7103" spans="1:2" x14ac:dyDescent="0.35">
      <c r="A7103" s="14">
        <v>42353.044722222221</v>
      </c>
      <c r="B7103" s="5">
        <v>1</v>
      </c>
    </row>
    <row r="7104" spans="1:2" x14ac:dyDescent="0.35">
      <c r="A7104" s="14">
        <v>42353.095300925925</v>
      </c>
      <c r="B7104" s="5">
        <v>1</v>
      </c>
    </row>
    <row r="7105" spans="1:2" x14ac:dyDescent="0.35">
      <c r="A7105" s="14">
        <v>42353.111956018518</v>
      </c>
      <c r="B7105" s="5">
        <v>1</v>
      </c>
    </row>
    <row r="7106" spans="1:2" x14ac:dyDescent="0.35">
      <c r="A7106" s="14">
        <v>42353.117256944446</v>
      </c>
      <c r="B7106" s="5">
        <v>1</v>
      </c>
    </row>
    <row r="7107" spans="1:2" x14ac:dyDescent="0.35">
      <c r="A7107" s="14">
        <v>42353.13177083333</v>
      </c>
      <c r="B7107" s="5">
        <v>1</v>
      </c>
    </row>
    <row r="7108" spans="1:2" x14ac:dyDescent="0.35">
      <c r="A7108" s="14">
        <v>42353.133113425924</v>
      </c>
      <c r="B7108" s="5">
        <v>1</v>
      </c>
    </row>
    <row r="7109" spans="1:2" x14ac:dyDescent="0.35">
      <c r="A7109" s="14">
        <v>42353.14806712963</v>
      </c>
      <c r="B7109" s="5">
        <v>1</v>
      </c>
    </row>
    <row r="7110" spans="1:2" x14ac:dyDescent="0.35">
      <c r="A7110" s="14">
        <v>42353.166331018518</v>
      </c>
      <c r="B7110" s="5">
        <v>1</v>
      </c>
    </row>
    <row r="7111" spans="1:2" x14ac:dyDescent="0.35">
      <c r="A7111" s="14">
        <v>42353.171377314815</v>
      </c>
      <c r="B7111" s="5">
        <v>1</v>
      </c>
    </row>
    <row r="7112" spans="1:2" x14ac:dyDescent="0.35">
      <c r="A7112" s="14">
        <v>42353.192743055559</v>
      </c>
      <c r="B7112" s="5">
        <v>1</v>
      </c>
    </row>
    <row r="7113" spans="1:2" x14ac:dyDescent="0.35">
      <c r="A7113" s="14">
        <v>42353.201863425929</v>
      </c>
      <c r="B7113" s="5">
        <v>1</v>
      </c>
    </row>
    <row r="7114" spans="1:2" x14ac:dyDescent="0.35">
      <c r="A7114" s="14">
        <v>42353.21534722222</v>
      </c>
      <c r="B7114" s="5">
        <v>1</v>
      </c>
    </row>
    <row r="7115" spans="1:2" x14ac:dyDescent="0.35">
      <c r="A7115" s="14">
        <v>42353.216909722221</v>
      </c>
      <c r="B7115" s="5">
        <v>1</v>
      </c>
    </row>
    <row r="7116" spans="1:2" x14ac:dyDescent="0.35">
      <c r="A7116" s="14">
        <v>42353.249525462961</v>
      </c>
      <c r="B7116" s="5">
        <v>1</v>
      </c>
    </row>
    <row r="7117" spans="1:2" x14ac:dyDescent="0.35">
      <c r="A7117" s="14">
        <v>42353.331875000003</v>
      </c>
      <c r="B7117" s="5">
        <v>1</v>
      </c>
    </row>
    <row r="7118" spans="1:2" x14ac:dyDescent="0.35">
      <c r="A7118" s="14">
        <v>42353.355949074074</v>
      </c>
      <c r="B7118" s="5">
        <v>1</v>
      </c>
    </row>
    <row r="7119" spans="1:2" x14ac:dyDescent="0.35">
      <c r="A7119" s="14">
        <v>42353.559976851851</v>
      </c>
      <c r="B7119" s="5">
        <v>1</v>
      </c>
    </row>
    <row r="7120" spans="1:2" x14ac:dyDescent="0.35">
      <c r="A7120" s="14">
        <v>42353.5628125</v>
      </c>
      <c r="B7120" s="5">
        <v>1</v>
      </c>
    </row>
    <row r="7121" spans="1:2" x14ac:dyDescent="0.35">
      <c r="A7121" s="14">
        <v>42353.597245370373</v>
      </c>
      <c r="B7121" s="5">
        <v>1</v>
      </c>
    </row>
    <row r="7122" spans="1:2" x14ac:dyDescent="0.35">
      <c r="A7122" s="14">
        <v>42353.604259259257</v>
      </c>
      <c r="B7122" s="5">
        <v>1</v>
      </c>
    </row>
    <row r="7123" spans="1:2" x14ac:dyDescent="0.35">
      <c r="A7123" s="14">
        <v>42353.668622685182</v>
      </c>
      <c r="B7123" s="5">
        <v>1</v>
      </c>
    </row>
    <row r="7124" spans="1:2" x14ac:dyDescent="0.35">
      <c r="A7124" s="14">
        <v>42353.671365740738</v>
      </c>
      <c r="B7124" s="5">
        <v>1</v>
      </c>
    </row>
    <row r="7125" spans="1:2" x14ac:dyDescent="0.35">
      <c r="A7125" s="14">
        <v>42353.713379629633</v>
      </c>
      <c r="B7125" s="5">
        <v>1</v>
      </c>
    </row>
    <row r="7126" spans="1:2" x14ac:dyDescent="0.35">
      <c r="A7126" s="14">
        <v>42353.714803240742</v>
      </c>
      <c r="B7126" s="5">
        <v>1</v>
      </c>
    </row>
    <row r="7127" spans="1:2" x14ac:dyDescent="0.35">
      <c r="A7127" s="14">
        <v>42353.716192129628</v>
      </c>
      <c r="B7127" s="5">
        <v>1</v>
      </c>
    </row>
    <row r="7128" spans="1:2" x14ac:dyDescent="0.35">
      <c r="A7128" s="14">
        <v>42353.724270833336</v>
      </c>
      <c r="B7128" s="5">
        <v>1</v>
      </c>
    </row>
    <row r="7129" spans="1:2" x14ac:dyDescent="0.35">
      <c r="A7129" s="14">
        <v>42353.753657407404</v>
      </c>
      <c r="B7129" s="5">
        <v>1</v>
      </c>
    </row>
    <row r="7130" spans="1:2" x14ac:dyDescent="0.35">
      <c r="A7130" s="14">
        <v>42353.764791666668</v>
      </c>
      <c r="B7130" s="5">
        <v>1</v>
      </c>
    </row>
    <row r="7131" spans="1:2" x14ac:dyDescent="0.35">
      <c r="A7131" s="14">
        <v>42353.769293981481</v>
      </c>
      <c r="B7131" s="5">
        <v>1</v>
      </c>
    </row>
    <row r="7132" spans="1:2" x14ac:dyDescent="0.35">
      <c r="A7132" s="14">
        <v>42353.771493055552</v>
      </c>
      <c r="B7132" s="5">
        <v>1</v>
      </c>
    </row>
    <row r="7133" spans="1:2" x14ac:dyDescent="0.35">
      <c r="A7133" s="14">
        <v>42353.771724537037</v>
      </c>
      <c r="B7133" s="5">
        <v>1</v>
      </c>
    </row>
    <row r="7134" spans="1:2" x14ac:dyDescent="0.35">
      <c r="A7134" s="14">
        <v>42353.789907407408</v>
      </c>
      <c r="B7134" s="5">
        <v>1</v>
      </c>
    </row>
    <row r="7135" spans="1:2" x14ac:dyDescent="0.35">
      <c r="A7135" s="14">
        <v>42353.796817129631</v>
      </c>
      <c r="B7135" s="5">
        <v>1</v>
      </c>
    </row>
    <row r="7136" spans="1:2" x14ac:dyDescent="0.35">
      <c r="A7136" s="14">
        <v>42353.818981481483</v>
      </c>
      <c r="B7136" s="5">
        <v>1</v>
      </c>
    </row>
    <row r="7137" spans="1:2" x14ac:dyDescent="0.35">
      <c r="A7137" s="14">
        <v>42353.822743055556</v>
      </c>
      <c r="B7137" s="5">
        <v>1</v>
      </c>
    </row>
    <row r="7138" spans="1:2" x14ac:dyDescent="0.35">
      <c r="A7138" s="14">
        <v>42353.837222222224</v>
      </c>
      <c r="B7138" s="5">
        <v>1</v>
      </c>
    </row>
    <row r="7139" spans="1:2" x14ac:dyDescent="0.35">
      <c r="A7139" s="14">
        <v>42353.837314814817</v>
      </c>
      <c r="B7139" s="5">
        <v>1</v>
      </c>
    </row>
    <row r="7140" spans="1:2" x14ac:dyDescent="0.35">
      <c r="A7140" s="14">
        <v>42353.86347222222</v>
      </c>
      <c r="B7140" s="5">
        <v>1</v>
      </c>
    </row>
    <row r="7141" spans="1:2" x14ac:dyDescent="0.35">
      <c r="A7141" s="14">
        <v>42353.872037037036</v>
      </c>
      <c r="B7141" s="5">
        <v>1</v>
      </c>
    </row>
    <row r="7142" spans="1:2" x14ac:dyDescent="0.35">
      <c r="A7142" s="14">
        <v>42353.896967592591</v>
      </c>
      <c r="B7142" s="5">
        <v>1</v>
      </c>
    </row>
    <row r="7143" spans="1:2" x14ac:dyDescent="0.35">
      <c r="A7143" s="14">
        <v>42353.943935185183</v>
      </c>
      <c r="B7143" s="5">
        <v>1</v>
      </c>
    </row>
    <row r="7144" spans="1:2" x14ac:dyDescent="0.35">
      <c r="A7144" s="14">
        <v>42353.949386574073</v>
      </c>
      <c r="B7144" s="5">
        <v>1</v>
      </c>
    </row>
    <row r="7145" spans="1:2" x14ac:dyDescent="0.35">
      <c r="A7145" s="14">
        <v>42353.997199074074</v>
      </c>
      <c r="B7145" s="5">
        <v>1</v>
      </c>
    </row>
    <row r="7146" spans="1:2" x14ac:dyDescent="0.35">
      <c r="A7146" s="14">
        <v>42354.009398148148</v>
      </c>
      <c r="B7146" s="5">
        <v>1</v>
      </c>
    </row>
    <row r="7147" spans="1:2" x14ac:dyDescent="0.35">
      <c r="A7147" s="14">
        <v>42354.010381944441</v>
      </c>
      <c r="B7147" s="5">
        <v>1</v>
      </c>
    </row>
    <row r="7148" spans="1:2" x14ac:dyDescent="0.35">
      <c r="A7148" s="14">
        <v>42354.03800925926</v>
      </c>
      <c r="B7148" s="5">
        <v>1</v>
      </c>
    </row>
    <row r="7149" spans="1:2" x14ac:dyDescent="0.35">
      <c r="A7149" s="14">
        <v>42354.057650462964</v>
      </c>
      <c r="B7149" s="5">
        <v>1</v>
      </c>
    </row>
    <row r="7150" spans="1:2" x14ac:dyDescent="0.35">
      <c r="A7150" s="14">
        <v>42354.065011574072</v>
      </c>
      <c r="B7150" s="5">
        <v>1</v>
      </c>
    </row>
    <row r="7151" spans="1:2" x14ac:dyDescent="0.35">
      <c r="A7151" s="14">
        <v>42354.065729166665</v>
      </c>
      <c r="B7151" s="5">
        <v>1</v>
      </c>
    </row>
    <row r="7152" spans="1:2" x14ac:dyDescent="0.35">
      <c r="A7152" s="14">
        <v>42354.066840277781</v>
      </c>
      <c r="B7152" s="5">
        <v>1</v>
      </c>
    </row>
    <row r="7153" spans="1:2" x14ac:dyDescent="0.35">
      <c r="A7153" s="14">
        <v>42354.069976851853</v>
      </c>
      <c r="B7153" s="5">
        <v>1</v>
      </c>
    </row>
    <row r="7154" spans="1:2" x14ac:dyDescent="0.35">
      <c r="A7154" s="14">
        <v>42354.09778935185</v>
      </c>
      <c r="B7154" s="5">
        <v>1</v>
      </c>
    </row>
    <row r="7155" spans="1:2" x14ac:dyDescent="0.35">
      <c r="A7155" s="14">
        <v>42354.098645833335</v>
      </c>
      <c r="B7155" s="5">
        <v>1</v>
      </c>
    </row>
    <row r="7156" spans="1:2" x14ac:dyDescent="0.35">
      <c r="A7156" s="14">
        <v>42354.118969907409</v>
      </c>
      <c r="B7156" s="5">
        <v>1</v>
      </c>
    </row>
    <row r="7157" spans="1:2" x14ac:dyDescent="0.35">
      <c r="A7157" s="14">
        <v>42354.125555555554</v>
      </c>
      <c r="B7157" s="5">
        <v>1</v>
      </c>
    </row>
    <row r="7158" spans="1:2" x14ac:dyDescent="0.35">
      <c r="A7158" s="14">
        <v>42354.142500000002</v>
      </c>
      <c r="B7158" s="5">
        <v>1</v>
      </c>
    </row>
    <row r="7159" spans="1:2" x14ac:dyDescent="0.35">
      <c r="A7159" s="14">
        <v>42354.164756944447</v>
      </c>
      <c r="B7159" s="5">
        <v>1</v>
      </c>
    </row>
    <row r="7160" spans="1:2" x14ac:dyDescent="0.35">
      <c r="A7160" s="14">
        <v>42354.215451388889</v>
      </c>
      <c r="B7160" s="5">
        <v>1</v>
      </c>
    </row>
    <row r="7161" spans="1:2" x14ac:dyDescent="0.35">
      <c r="A7161" s="14">
        <v>42354.217141203706</v>
      </c>
      <c r="B7161" s="5">
        <v>1</v>
      </c>
    </row>
    <row r="7162" spans="1:2" x14ac:dyDescent="0.35">
      <c r="A7162" s="14">
        <v>42354.59</v>
      </c>
      <c r="B7162" s="5">
        <v>1</v>
      </c>
    </row>
    <row r="7163" spans="1:2" x14ac:dyDescent="0.35">
      <c r="A7163" s="14">
        <v>42354.6406712963</v>
      </c>
      <c r="B7163" s="5">
        <v>1</v>
      </c>
    </row>
    <row r="7164" spans="1:2" x14ac:dyDescent="0.35">
      <c r="A7164" s="14">
        <v>42354.671585648146</v>
      </c>
      <c r="B7164" s="5">
        <v>1</v>
      </c>
    </row>
    <row r="7165" spans="1:2" x14ac:dyDescent="0.35">
      <c r="A7165" s="14">
        <v>42354.739571759259</v>
      </c>
      <c r="B7165" s="5">
        <v>1</v>
      </c>
    </row>
    <row r="7166" spans="1:2" x14ac:dyDescent="0.35">
      <c r="A7166" s="14">
        <v>42354.761921296296</v>
      </c>
      <c r="B7166" s="5">
        <v>1</v>
      </c>
    </row>
    <row r="7167" spans="1:2" x14ac:dyDescent="0.35">
      <c r="A7167" s="14">
        <v>42354.762777777774</v>
      </c>
      <c r="B7167" s="5">
        <v>1</v>
      </c>
    </row>
    <row r="7168" spans="1:2" x14ac:dyDescent="0.35">
      <c r="A7168" s="14">
        <v>42354.772164351853</v>
      </c>
      <c r="B7168" s="5">
        <v>1</v>
      </c>
    </row>
    <row r="7169" spans="1:2" x14ac:dyDescent="0.35">
      <c r="A7169" s="14">
        <v>42354.79347222222</v>
      </c>
      <c r="B7169" s="5">
        <v>1</v>
      </c>
    </row>
    <row r="7170" spans="1:2" x14ac:dyDescent="0.35">
      <c r="A7170" s="14">
        <v>42354.795810185184</v>
      </c>
      <c r="B7170" s="5">
        <v>1</v>
      </c>
    </row>
    <row r="7171" spans="1:2" x14ac:dyDescent="0.35">
      <c r="A7171" s="14">
        <v>42354.805821759262</v>
      </c>
      <c r="B7171" s="5">
        <v>1</v>
      </c>
    </row>
    <row r="7172" spans="1:2" x14ac:dyDescent="0.35">
      <c r="A7172" s="14">
        <v>42354.83697916667</v>
      </c>
      <c r="B7172" s="5">
        <v>1</v>
      </c>
    </row>
    <row r="7173" spans="1:2" x14ac:dyDescent="0.35">
      <c r="A7173" s="14">
        <v>42354.84302083333</v>
      </c>
      <c r="B7173" s="5">
        <v>1</v>
      </c>
    </row>
    <row r="7174" spans="1:2" x14ac:dyDescent="0.35">
      <c r="A7174" s="14">
        <v>42354.886307870373</v>
      </c>
      <c r="B7174" s="5">
        <v>1</v>
      </c>
    </row>
    <row r="7175" spans="1:2" x14ac:dyDescent="0.35">
      <c r="A7175" s="14">
        <v>42354.907743055555</v>
      </c>
      <c r="B7175" s="5">
        <v>1</v>
      </c>
    </row>
    <row r="7176" spans="1:2" x14ac:dyDescent="0.35">
      <c r="A7176" s="14">
        <v>42354.909039351849</v>
      </c>
      <c r="B7176" s="5">
        <v>1</v>
      </c>
    </row>
    <row r="7177" spans="1:2" x14ac:dyDescent="0.35">
      <c r="A7177" s="14">
        <v>42354.930486111109</v>
      </c>
      <c r="B7177" s="5">
        <v>1</v>
      </c>
    </row>
    <row r="7178" spans="1:2" x14ac:dyDescent="0.35">
      <c r="A7178" s="14">
        <v>42354.940474537034</v>
      </c>
      <c r="B7178" s="5">
        <v>1</v>
      </c>
    </row>
    <row r="7179" spans="1:2" x14ac:dyDescent="0.35">
      <c r="A7179" s="14">
        <v>42354.946782407409</v>
      </c>
      <c r="B7179" s="5">
        <v>1</v>
      </c>
    </row>
    <row r="7180" spans="1:2" x14ac:dyDescent="0.35">
      <c r="A7180" s="14">
        <v>42354.951770833337</v>
      </c>
      <c r="B7180" s="5">
        <v>1</v>
      </c>
    </row>
    <row r="7181" spans="1:2" x14ac:dyDescent="0.35">
      <c r="A7181" s="14">
        <v>42354.955324074072</v>
      </c>
      <c r="B7181" s="5">
        <v>1</v>
      </c>
    </row>
    <row r="7182" spans="1:2" x14ac:dyDescent="0.35">
      <c r="A7182" s="14">
        <v>42354.999525462961</v>
      </c>
      <c r="B7182" s="5">
        <v>1</v>
      </c>
    </row>
    <row r="7183" spans="1:2" x14ac:dyDescent="0.35">
      <c r="A7183" s="14">
        <v>42354.999826388892</v>
      </c>
      <c r="B7183" s="5">
        <v>1</v>
      </c>
    </row>
    <row r="7184" spans="1:2" x14ac:dyDescent="0.35">
      <c r="A7184" s="14">
        <v>42355.130879629629</v>
      </c>
      <c r="B7184" s="5">
        <v>1</v>
      </c>
    </row>
    <row r="7185" spans="1:2" x14ac:dyDescent="0.35">
      <c r="A7185" s="14">
        <v>42355.134409722225</v>
      </c>
      <c r="B7185" s="5">
        <v>1</v>
      </c>
    </row>
    <row r="7186" spans="1:2" x14ac:dyDescent="0.35">
      <c r="A7186" s="14">
        <v>42355.145740740743</v>
      </c>
      <c r="B7186" s="5">
        <v>1</v>
      </c>
    </row>
    <row r="7187" spans="1:2" x14ac:dyDescent="0.35">
      <c r="A7187" s="14">
        <v>42355.166261574072</v>
      </c>
      <c r="B7187" s="5">
        <v>1</v>
      </c>
    </row>
    <row r="7188" spans="1:2" x14ac:dyDescent="0.35">
      <c r="A7188" s="14">
        <v>42355.166956018518</v>
      </c>
      <c r="B7188" s="5">
        <v>1</v>
      </c>
    </row>
    <row r="7189" spans="1:2" x14ac:dyDescent="0.35">
      <c r="A7189" s="14">
        <v>42355.168310185189</v>
      </c>
      <c r="B7189" s="5">
        <v>1</v>
      </c>
    </row>
    <row r="7190" spans="1:2" x14ac:dyDescent="0.35">
      <c r="A7190" s="14">
        <v>42355.172210648147</v>
      </c>
      <c r="B7190" s="5">
        <v>1</v>
      </c>
    </row>
    <row r="7191" spans="1:2" x14ac:dyDescent="0.35">
      <c r="A7191" s="14">
        <v>42355.188032407408</v>
      </c>
      <c r="B7191" s="5">
        <v>1</v>
      </c>
    </row>
    <row r="7192" spans="1:2" x14ac:dyDescent="0.35">
      <c r="A7192" s="14">
        <v>42355.191655092596</v>
      </c>
      <c r="B7192" s="5">
        <v>1</v>
      </c>
    </row>
    <row r="7193" spans="1:2" x14ac:dyDescent="0.35">
      <c r="A7193" s="14">
        <v>42355.192407407405</v>
      </c>
      <c r="B7193" s="5">
        <v>1</v>
      </c>
    </row>
    <row r="7194" spans="1:2" x14ac:dyDescent="0.35">
      <c r="A7194" s="14">
        <v>42355.1955787037</v>
      </c>
      <c r="B7194" s="5">
        <v>1</v>
      </c>
    </row>
    <row r="7195" spans="1:2" x14ac:dyDescent="0.35">
      <c r="A7195" s="14">
        <v>42355.209756944445</v>
      </c>
      <c r="B7195" s="5">
        <v>1</v>
      </c>
    </row>
    <row r="7196" spans="1:2" x14ac:dyDescent="0.35">
      <c r="A7196" s="14">
        <v>42355.209965277776</v>
      </c>
      <c r="B7196" s="5">
        <v>2</v>
      </c>
    </row>
    <row r="7197" spans="1:2" x14ac:dyDescent="0.35">
      <c r="A7197" s="14">
        <v>42355.270289351851</v>
      </c>
      <c r="B7197" s="5">
        <v>1</v>
      </c>
    </row>
    <row r="7198" spans="1:2" x14ac:dyDescent="0.35">
      <c r="A7198" s="14">
        <v>42355.274456018517</v>
      </c>
      <c r="B7198" s="5">
        <v>1</v>
      </c>
    </row>
    <row r="7199" spans="1:2" x14ac:dyDescent="0.35">
      <c r="A7199" s="14">
        <v>42355.292974537035</v>
      </c>
      <c r="B7199" s="5">
        <v>1</v>
      </c>
    </row>
    <row r="7200" spans="1:2" x14ac:dyDescent="0.35">
      <c r="A7200" s="14">
        <v>42355.368148148147</v>
      </c>
      <c r="B7200" s="5">
        <v>1</v>
      </c>
    </row>
    <row r="7201" spans="1:2" x14ac:dyDescent="0.35">
      <c r="A7201" s="14">
        <v>42355.401076388887</v>
      </c>
      <c r="B7201" s="5">
        <v>1</v>
      </c>
    </row>
    <row r="7202" spans="1:2" x14ac:dyDescent="0.35">
      <c r="A7202" s="14">
        <v>42355.584641203706</v>
      </c>
      <c r="B7202" s="5">
        <v>1</v>
      </c>
    </row>
    <row r="7203" spans="1:2" x14ac:dyDescent="0.35">
      <c r="A7203" s="14">
        <v>42355.598078703704</v>
      </c>
      <c r="B7203" s="5">
        <v>1</v>
      </c>
    </row>
    <row r="7204" spans="1:2" x14ac:dyDescent="0.35">
      <c r="A7204" s="14">
        <v>42355.645960648151</v>
      </c>
      <c r="B7204" s="5">
        <v>1</v>
      </c>
    </row>
    <row r="7205" spans="1:2" x14ac:dyDescent="0.35">
      <c r="A7205" s="14">
        <v>42355.658483796295</v>
      </c>
      <c r="B7205" s="5">
        <v>1</v>
      </c>
    </row>
    <row r="7206" spans="1:2" x14ac:dyDescent="0.35">
      <c r="A7206" s="14">
        <v>42355.661319444444</v>
      </c>
      <c r="B7206" s="5">
        <v>1</v>
      </c>
    </row>
    <row r="7207" spans="1:2" x14ac:dyDescent="0.35">
      <c r="A7207" s="14">
        <v>42355.665277777778</v>
      </c>
      <c r="B7207" s="5">
        <v>1</v>
      </c>
    </row>
    <row r="7208" spans="1:2" x14ac:dyDescent="0.35">
      <c r="A7208" s="14">
        <v>42355.674687500003</v>
      </c>
      <c r="B7208" s="5">
        <v>1</v>
      </c>
    </row>
    <row r="7209" spans="1:2" x14ac:dyDescent="0.35">
      <c r="A7209" s="14">
        <v>42355.678240740737</v>
      </c>
      <c r="B7209" s="5">
        <v>1</v>
      </c>
    </row>
    <row r="7210" spans="1:2" x14ac:dyDescent="0.35">
      <c r="A7210" s="14">
        <v>42355.684641203705</v>
      </c>
      <c r="B7210" s="5">
        <v>1</v>
      </c>
    </row>
    <row r="7211" spans="1:2" x14ac:dyDescent="0.35">
      <c r="A7211" s="14">
        <v>42355.688148148147</v>
      </c>
      <c r="B7211" s="5">
        <v>1</v>
      </c>
    </row>
    <row r="7212" spans="1:2" x14ac:dyDescent="0.35">
      <c r="A7212" s="14">
        <v>42355.691192129627</v>
      </c>
      <c r="B7212" s="5">
        <v>1</v>
      </c>
    </row>
    <row r="7213" spans="1:2" x14ac:dyDescent="0.35">
      <c r="A7213" s="14">
        <v>42355.691516203704</v>
      </c>
      <c r="B7213" s="5">
        <v>1</v>
      </c>
    </row>
    <row r="7214" spans="1:2" x14ac:dyDescent="0.35">
      <c r="A7214" s="14">
        <v>42355.715671296297</v>
      </c>
      <c r="B7214" s="5">
        <v>1</v>
      </c>
    </row>
    <row r="7215" spans="1:2" x14ac:dyDescent="0.35">
      <c r="A7215" s="14">
        <v>42355.71670138889</v>
      </c>
      <c r="B7215" s="5">
        <v>1</v>
      </c>
    </row>
    <row r="7216" spans="1:2" x14ac:dyDescent="0.35">
      <c r="A7216" s="14">
        <v>42355.717951388891</v>
      </c>
      <c r="B7216" s="5">
        <v>1</v>
      </c>
    </row>
    <row r="7217" spans="1:2" x14ac:dyDescent="0.35">
      <c r="A7217" s="14">
        <v>42355.718738425923</v>
      </c>
      <c r="B7217" s="5">
        <v>1</v>
      </c>
    </row>
    <row r="7218" spans="1:2" x14ac:dyDescent="0.35">
      <c r="A7218" s="14">
        <v>42355.720266203702</v>
      </c>
      <c r="B7218" s="5">
        <v>1</v>
      </c>
    </row>
    <row r="7219" spans="1:2" x14ac:dyDescent="0.35">
      <c r="A7219" s="14">
        <v>42355.7422337963</v>
      </c>
      <c r="B7219" s="5">
        <v>1</v>
      </c>
    </row>
    <row r="7220" spans="1:2" x14ac:dyDescent="0.35">
      <c r="A7220" s="14">
        <v>42355.747557870367</v>
      </c>
      <c r="B7220" s="5">
        <v>1</v>
      </c>
    </row>
    <row r="7221" spans="1:2" x14ac:dyDescent="0.35">
      <c r="A7221" s="14">
        <v>42355.751782407409</v>
      </c>
      <c r="B7221" s="5">
        <v>1</v>
      </c>
    </row>
    <row r="7222" spans="1:2" x14ac:dyDescent="0.35">
      <c r="A7222" s="14">
        <v>42355.752592592595</v>
      </c>
      <c r="B7222" s="5">
        <v>1</v>
      </c>
    </row>
    <row r="7223" spans="1:2" x14ac:dyDescent="0.35">
      <c r="A7223" s="14">
        <v>42355.757685185185</v>
      </c>
      <c r="B7223" s="5">
        <v>1</v>
      </c>
    </row>
    <row r="7224" spans="1:2" x14ac:dyDescent="0.35">
      <c r="A7224" s="14">
        <v>42355.761111111111</v>
      </c>
      <c r="B7224" s="5">
        <v>1</v>
      </c>
    </row>
    <row r="7225" spans="1:2" x14ac:dyDescent="0.35">
      <c r="A7225" s="14">
        <v>42355.76185185185</v>
      </c>
      <c r="B7225" s="5">
        <v>1</v>
      </c>
    </row>
    <row r="7226" spans="1:2" x14ac:dyDescent="0.35">
      <c r="A7226" s="14">
        <v>42355.766655092593</v>
      </c>
      <c r="B7226" s="5">
        <v>1</v>
      </c>
    </row>
    <row r="7227" spans="1:2" x14ac:dyDescent="0.35">
      <c r="A7227" s="14">
        <v>42355.780891203707</v>
      </c>
      <c r="B7227" s="5">
        <v>1</v>
      </c>
    </row>
    <row r="7228" spans="1:2" x14ac:dyDescent="0.35">
      <c r="A7228" s="14">
        <v>42355.820497685185</v>
      </c>
      <c r="B7228" s="5">
        <v>1</v>
      </c>
    </row>
    <row r="7229" spans="1:2" x14ac:dyDescent="0.35">
      <c r="A7229" s="14">
        <v>42355.832685185182</v>
      </c>
      <c r="B7229" s="5">
        <v>1</v>
      </c>
    </row>
    <row r="7230" spans="1:2" x14ac:dyDescent="0.35">
      <c r="A7230" s="14">
        <v>42355.877592592595</v>
      </c>
      <c r="B7230" s="5">
        <v>1</v>
      </c>
    </row>
    <row r="7231" spans="1:2" x14ac:dyDescent="0.35">
      <c r="A7231" s="14">
        <v>42355.895381944443</v>
      </c>
      <c r="B7231" s="5">
        <v>1</v>
      </c>
    </row>
    <row r="7232" spans="1:2" x14ac:dyDescent="0.35">
      <c r="A7232" s="14">
        <v>42355.917893518519</v>
      </c>
      <c r="B7232" s="5">
        <v>1</v>
      </c>
    </row>
    <row r="7233" spans="1:2" x14ac:dyDescent="0.35">
      <c r="A7233" s="14">
        <v>42356.026203703703</v>
      </c>
      <c r="B7233" s="5">
        <v>1</v>
      </c>
    </row>
    <row r="7234" spans="1:2" x14ac:dyDescent="0.35">
      <c r="A7234" s="14">
        <v>42356.026898148149</v>
      </c>
      <c r="B7234" s="5">
        <v>1</v>
      </c>
    </row>
    <row r="7235" spans="1:2" x14ac:dyDescent="0.35">
      <c r="A7235" s="14">
        <v>42356.026909722219</v>
      </c>
      <c r="B7235" s="5">
        <v>1</v>
      </c>
    </row>
    <row r="7236" spans="1:2" x14ac:dyDescent="0.35">
      <c r="A7236" s="14">
        <v>42356.027592592596</v>
      </c>
      <c r="B7236" s="5">
        <v>1</v>
      </c>
    </row>
    <row r="7237" spans="1:2" x14ac:dyDescent="0.35">
      <c r="A7237" s="14">
        <v>42356.031261574077</v>
      </c>
      <c r="B7237" s="5">
        <v>1</v>
      </c>
    </row>
    <row r="7238" spans="1:2" x14ac:dyDescent="0.35">
      <c r="A7238" s="14">
        <v>42356.040416666663</v>
      </c>
      <c r="B7238" s="5">
        <v>1</v>
      </c>
    </row>
    <row r="7239" spans="1:2" x14ac:dyDescent="0.35">
      <c r="A7239" s="14">
        <v>42356.132048611114</v>
      </c>
      <c r="B7239" s="5">
        <v>1</v>
      </c>
    </row>
    <row r="7240" spans="1:2" x14ac:dyDescent="0.35">
      <c r="A7240" s="14">
        <v>42356.13380787037</v>
      </c>
      <c r="B7240" s="5">
        <v>1</v>
      </c>
    </row>
    <row r="7241" spans="1:2" x14ac:dyDescent="0.35">
      <c r="A7241" s="14">
        <v>42356.1796875</v>
      </c>
      <c r="B7241" s="5">
        <v>1</v>
      </c>
    </row>
    <row r="7242" spans="1:2" x14ac:dyDescent="0.35">
      <c r="A7242" s="14">
        <v>42356.211053240739</v>
      </c>
      <c r="B7242" s="5">
        <v>1</v>
      </c>
    </row>
    <row r="7243" spans="1:2" x14ac:dyDescent="0.35">
      <c r="A7243" s="14">
        <v>42356.218645833331</v>
      </c>
      <c r="B7243" s="5">
        <v>1</v>
      </c>
    </row>
    <row r="7244" spans="1:2" x14ac:dyDescent="0.35">
      <c r="A7244" s="14">
        <v>42356.595509259256</v>
      </c>
      <c r="B7244" s="5">
        <v>1</v>
      </c>
    </row>
    <row r="7245" spans="1:2" x14ac:dyDescent="0.35">
      <c r="A7245" s="14">
        <v>42356.604004629633</v>
      </c>
      <c r="B7245" s="5">
        <v>1</v>
      </c>
    </row>
    <row r="7246" spans="1:2" x14ac:dyDescent="0.35">
      <c r="A7246" s="14">
        <v>42356.641157407408</v>
      </c>
      <c r="B7246" s="5">
        <v>1</v>
      </c>
    </row>
    <row r="7247" spans="1:2" x14ac:dyDescent="0.35">
      <c r="A7247" s="14">
        <v>42356.660034722219</v>
      </c>
      <c r="B7247" s="5">
        <v>1</v>
      </c>
    </row>
    <row r="7248" spans="1:2" x14ac:dyDescent="0.35">
      <c r="A7248" s="14">
        <v>42356.660428240742</v>
      </c>
      <c r="B7248" s="5">
        <v>1</v>
      </c>
    </row>
    <row r="7249" spans="1:2" x14ac:dyDescent="0.35">
      <c r="A7249" s="14">
        <v>42356.670300925929</v>
      </c>
      <c r="B7249" s="5">
        <v>1</v>
      </c>
    </row>
    <row r="7250" spans="1:2" x14ac:dyDescent="0.35">
      <c r="A7250" s="14">
        <v>42356.670844907407</v>
      </c>
      <c r="B7250" s="5">
        <v>1</v>
      </c>
    </row>
    <row r="7251" spans="1:2" x14ac:dyDescent="0.35">
      <c r="A7251" s="14">
        <v>42356.672430555554</v>
      </c>
      <c r="B7251" s="5">
        <v>1</v>
      </c>
    </row>
    <row r="7252" spans="1:2" x14ac:dyDescent="0.35">
      <c r="A7252" s="14">
        <v>42356.67763888889</v>
      </c>
      <c r="B7252" s="5">
        <v>1</v>
      </c>
    </row>
    <row r="7253" spans="1:2" x14ac:dyDescent="0.35">
      <c r="A7253" s="14">
        <v>42356.708622685182</v>
      </c>
      <c r="B7253" s="5">
        <v>1</v>
      </c>
    </row>
    <row r="7254" spans="1:2" x14ac:dyDescent="0.35">
      <c r="A7254" s="14">
        <v>42356.714895833335</v>
      </c>
      <c r="B7254" s="5">
        <v>1</v>
      </c>
    </row>
    <row r="7255" spans="1:2" x14ac:dyDescent="0.35">
      <c r="A7255" s="14">
        <v>42356.720497685186</v>
      </c>
      <c r="B7255" s="5">
        <v>1</v>
      </c>
    </row>
    <row r="7256" spans="1:2" x14ac:dyDescent="0.35">
      <c r="A7256" s="14">
        <v>42356.765925925924</v>
      </c>
      <c r="B7256" s="5">
        <v>1</v>
      </c>
    </row>
    <row r="7257" spans="1:2" x14ac:dyDescent="0.35">
      <c r="A7257" s="14">
        <v>42356.812175925923</v>
      </c>
      <c r="B7257" s="5">
        <v>1</v>
      </c>
    </row>
    <row r="7258" spans="1:2" x14ac:dyDescent="0.35">
      <c r="A7258" s="14">
        <v>42356.826655092591</v>
      </c>
      <c r="B7258" s="5">
        <v>1</v>
      </c>
    </row>
    <row r="7259" spans="1:2" x14ac:dyDescent="0.35">
      <c r="A7259" s="14">
        <v>42356.834849537037</v>
      </c>
      <c r="B7259" s="5">
        <v>1</v>
      </c>
    </row>
    <row r="7260" spans="1:2" x14ac:dyDescent="0.35">
      <c r="A7260" s="14">
        <v>42356.86241898148</v>
      </c>
      <c r="B7260" s="5">
        <v>1</v>
      </c>
    </row>
    <row r="7261" spans="1:2" x14ac:dyDescent="0.35">
      <c r="A7261" s="14">
        <v>42356.883402777778</v>
      </c>
      <c r="B7261" s="5">
        <v>1</v>
      </c>
    </row>
    <row r="7262" spans="1:2" x14ac:dyDescent="0.35">
      <c r="A7262" s="14">
        <v>42356.884270833332</v>
      </c>
      <c r="B7262" s="5">
        <v>1</v>
      </c>
    </row>
    <row r="7263" spans="1:2" x14ac:dyDescent="0.35">
      <c r="A7263" s="14">
        <v>42356.912951388891</v>
      </c>
      <c r="B7263" s="5">
        <v>1</v>
      </c>
    </row>
    <row r="7264" spans="1:2" x14ac:dyDescent="0.35">
      <c r="A7264" s="14">
        <v>42356.920995370368</v>
      </c>
      <c r="B7264" s="5">
        <v>1</v>
      </c>
    </row>
    <row r="7265" spans="1:2" x14ac:dyDescent="0.35">
      <c r="A7265" s="14">
        <v>42356.994803240741</v>
      </c>
      <c r="B7265" s="5">
        <v>1</v>
      </c>
    </row>
    <row r="7266" spans="1:2" x14ac:dyDescent="0.35">
      <c r="A7266" s="14">
        <v>42357.05364583333</v>
      </c>
      <c r="B7266" s="5">
        <v>1</v>
      </c>
    </row>
    <row r="7267" spans="1:2" x14ac:dyDescent="0.35">
      <c r="A7267" s="14">
        <v>42357.100752314815</v>
      </c>
      <c r="B7267" s="5">
        <v>1</v>
      </c>
    </row>
    <row r="7268" spans="1:2" x14ac:dyDescent="0.35">
      <c r="A7268" s="14">
        <v>42357.10497685185</v>
      </c>
      <c r="B7268" s="5">
        <v>1</v>
      </c>
    </row>
    <row r="7269" spans="1:2" x14ac:dyDescent="0.35">
      <c r="A7269" s="14">
        <v>42357.547835648147</v>
      </c>
      <c r="B7269" s="5">
        <v>1</v>
      </c>
    </row>
    <row r="7270" spans="1:2" x14ac:dyDescent="0.35">
      <c r="A7270" s="14">
        <v>42357.618101851855</v>
      </c>
      <c r="B7270" s="5">
        <v>1</v>
      </c>
    </row>
    <row r="7271" spans="1:2" x14ac:dyDescent="0.35">
      <c r="A7271" s="14">
        <v>42357.640925925924</v>
      </c>
      <c r="B7271" s="5">
        <v>1</v>
      </c>
    </row>
    <row r="7272" spans="1:2" x14ac:dyDescent="0.35">
      <c r="A7272" s="14">
        <v>42357.663472222222</v>
      </c>
      <c r="B7272" s="5">
        <v>1</v>
      </c>
    </row>
    <row r="7273" spans="1:2" x14ac:dyDescent="0.35">
      <c r="A7273" s="14">
        <v>42357.663715277777</v>
      </c>
      <c r="B7273" s="5">
        <v>1</v>
      </c>
    </row>
    <row r="7274" spans="1:2" x14ac:dyDescent="0.35">
      <c r="A7274" s="14">
        <v>42357.737905092596</v>
      </c>
      <c r="B7274" s="5">
        <v>1</v>
      </c>
    </row>
    <row r="7275" spans="1:2" x14ac:dyDescent="0.35">
      <c r="A7275" s="14">
        <v>42357.753229166665</v>
      </c>
      <c r="B7275" s="5">
        <v>1</v>
      </c>
    </row>
    <row r="7276" spans="1:2" x14ac:dyDescent="0.35">
      <c r="A7276" s="14">
        <v>42357.92527777778</v>
      </c>
      <c r="B7276" s="5">
        <v>1</v>
      </c>
    </row>
    <row r="7277" spans="1:2" x14ac:dyDescent="0.35">
      <c r="A7277" s="14">
        <v>42357.930081018516</v>
      </c>
      <c r="B7277" s="5">
        <v>1</v>
      </c>
    </row>
    <row r="7278" spans="1:2" x14ac:dyDescent="0.35">
      <c r="A7278" s="14">
        <v>42357.941574074073</v>
      </c>
      <c r="B7278" s="5">
        <v>1</v>
      </c>
    </row>
    <row r="7279" spans="1:2" x14ac:dyDescent="0.35">
      <c r="A7279" s="14">
        <v>42357.962592592594</v>
      </c>
      <c r="B7279" s="5">
        <v>1</v>
      </c>
    </row>
    <row r="7280" spans="1:2" x14ac:dyDescent="0.35">
      <c r="A7280" s="14">
        <v>42358.003553240742</v>
      </c>
      <c r="B7280" s="5">
        <v>1</v>
      </c>
    </row>
    <row r="7281" spans="1:2" x14ac:dyDescent="0.35">
      <c r="A7281" s="14">
        <v>42358.088090277779</v>
      </c>
      <c r="B7281" s="5">
        <v>1</v>
      </c>
    </row>
    <row r="7282" spans="1:2" x14ac:dyDescent="0.35">
      <c r="A7282" s="14">
        <v>42358.090057870373</v>
      </c>
      <c r="B7282" s="5">
        <v>1</v>
      </c>
    </row>
    <row r="7283" spans="1:2" x14ac:dyDescent="0.35">
      <c r="A7283" s="14">
        <v>42358.091539351852</v>
      </c>
      <c r="B7283" s="5">
        <v>2</v>
      </c>
    </row>
    <row r="7284" spans="1:2" x14ac:dyDescent="0.35">
      <c r="A7284" s="14">
        <v>42358.09171296296</v>
      </c>
      <c r="B7284" s="5">
        <v>1</v>
      </c>
    </row>
    <row r="7285" spans="1:2" x14ac:dyDescent="0.35">
      <c r="A7285" s="14">
        <v>42358.091909722221</v>
      </c>
      <c r="B7285" s="5">
        <v>1</v>
      </c>
    </row>
    <row r="7286" spans="1:2" x14ac:dyDescent="0.35">
      <c r="A7286" s="14">
        <v>42358.097384259258</v>
      </c>
      <c r="B7286" s="5">
        <v>1</v>
      </c>
    </row>
    <row r="7287" spans="1:2" x14ac:dyDescent="0.35">
      <c r="A7287" s="14">
        <v>42358.100405092591</v>
      </c>
      <c r="B7287" s="5">
        <v>1</v>
      </c>
    </row>
    <row r="7288" spans="1:2" x14ac:dyDescent="0.35">
      <c r="A7288" s="14">
        <v>42358.107835648145</v>
      </c>
      <c r="B7288" s="5">
        <v>1</v>
      </c>
    </row>
    <row r="7289" spans="1:2" x14ac:dyDescent="0.35">
      <c r="A7289" s="14">
        <v>42358.107881944445</v>
      </c>
      <c r="B7289" s="5">
        <v>1</v>
      </c>
    </row>
    <row r="7290" spans="1:2" x14ac:dyDescent="0.35">
      <c r="A7290" s="14">
        <v>42358.111655092594</v>
      </c>
      <c r="B7290" s="5">
        <v>1</v>
      </c>
    </row>
    <row r="7291" spans="1:2" x14ac:dyDescent="0.35">
      <c r="A7291" s="14">
        <v>42358.604513888888</v>
      </c>
      <c r="B7291" s="5">
        <v>1</v>
      </c>
    </row>
    <row r="7292" spans="1:2" x14ac:dyDescent="0.35">
      <c r="A7292" s="14">
        <v>42358.605509259258</v>
      </c>
      <c r="B7292" s="5">
        <v>2</v>
      </c>
    </row>
    <row r="7293" spans="1:2" x14ac:dyDescent="0.35">
      <c r="A7293" s="14">
        <v>42358.652071759258</v>
      </c>
      <c r="B7293" s="5">
        <v>1</v>
      </c>
    </row>
    <row r="7294" spans="1:2" x14ac:dyDescent="0.35">
      <c r="A7294" s="14">
        <v>42358.712500000001</v>
      </c>
      <c r="B7294" s="5">
        <v>1</v>
      </c>
    </row>
    <row r="7295" spans="1:2" x14ac:dyDescent="0.35">
      <c r="A7295" s="14">
        <v>42358.718310185184</v>
      </c>
      <c r="B7295" s="5">
        <v>1</v>
      </c>
    </row>
    <row r="7296" spans="1:2" x14ac:dyDescent="0.35">
      <c r="A7296" s="14">
        <v>42358.718715277777</v>
      </c>
      <c r="B7296" s="5">
        <v>1</v>
      </c>
    </row>
    <row r="7297" spans="1:2" x14ac:dyDescent="0.35">
      <c r="A7297" s="14">
        <v>42358.735509259262</v>
      </c>
      <c r="B7297" s="5">
        <v>1</v>
      </c>
    </row>
    <row r="7298" spans="1:2" x14ac:dyDescent="0.35">
      <c r="A7298" s="14">
        <v>42358.74113425926</v>
      </c>
      <c r="B7298" s="5">
        <v>1</v>
      </c>
    </row>
    <row r="7299" spans="1:2" x14ac:dyDescent="0.35">
      <c r="A7299" s="14">
        <v>42358.762430555558</v>
      </c>
      <c r="B7299" s="5">
        <v>1</v>
      </c>
    </row>
    <row r="7300" spans="1:2" x14ac:dyDescent="0.35">
      <c r="A7300" s="14">
        <v>42358.76363425926</v>
      </c>
      <c r="B7300" s="5">
        <v>1</v>
      </c>
    </row>
    <row r="7301" spans="1:2" x14ac:dyDescent="0.35">
      <c r="A7301" s="14">
        <v>42358.799421296295</v>
      </c>
      <c r="B7301" s="5">
        <v>1</v>
      </c>
    </row>
    <row r="7302" spans="1:2" x14ac:dyDescent="0.35">
      <c r="A7302" s="14">
        <v>42358.803946759261</v>
      </c>
      <c r="B7302" s="5">
        <v>1</v>
      </c>
    </row>
    <row r="7303" spans="1:2" x14ac:dyDescent="0.35">
      <c r="A7303" s="14">
        <v>42358.806956018518</v>
      </c>
      <c r="B7303" s="5">
        <v>1</v>
      </c>
    </row>
    <row r="7304" spans="1:2" x14ac:dyDescent="0.35">
      <c r="A7304" s="14">
        <v>42358.807824074072</v>
      </c>
      <c r="B7304" s="5">
        <v>1</v>
      </c>
    </row>
    <row r="7305" spans="1:2" x14ac:dyDescent="0.35">
      <c r="A7305" s="14">
        <v>42358.841226851851</v>
      </c>
      <c r="B7305" s="5">
        <v>1</v>
      </c>
    </row>
    <row r="7306" spans="1:2" x14ac:dyDescent="0.35">
      <c r="A7306" s="14">
        <v>42358.863587962966</v>
      </c>
      <c r="B7306" s="5">
        <v>1</v>
      </c>
    </row>
    <row r="7307" spans="1:2" x14ac:dyDescent="0.35">
      <c r="A7307" s="14">
        <v>42358.86445601852</v>
      </c>
      <c r="B7307" s="5">
        <v>1</v>
      </c>
    </row>
    <row r="7308" spans="1:2" x14ac:dyDescent="0.35">
      <c r="A7308" s="14">
        <v>42358.886689814812</v>
      </c>
      <c r="B7308" s="5">
        <v>1</v>
      </c>
    </row>
    <row r="7309" spans="1:2" x14ac:dyDescent="0.35">
      <c r="A7309" s="14">
        <v>42358.914074074077</v>
      </c>
      <c r="B7309" s="5">
        <v>1</v>
      </c>
    </row>
    <row r="7310" spans="1:2" x14ac:dyDescent="0.35">
      <c r="A7310" s="14">
        <v>42359.002245370371</v>
      </c>
      <c r="B7310" s="5">
        <v>1</v>
      </c>
    </row>
    <row r="7311" spans="1:2" x14ac:dyDescent="0.35">
      <c r="A7311" s="14">
        <v>42359.157395833332</v>
      </c>
      <c r="B7311" s="5">
        <v>1</v>
      </c>
    </row>
    <row r="7312" spans="1:2" x14ac:dyDescent="0.35">
      <c r="A7312" s="14">
        <v>42359.305891203701</v>
      </c>
      <c r="B7312" s="5">
        <v>1</v>
      </c>
    </row>
    <row r="7313" spans="1:2" x14ac:dyDescent="0.35">
      <c r="A7313" s="14">
        <v>42359.587638888886</v>
      </c>
      <c r="B7313" s="5">
        <v>1</v>
      </c>
    </row>
    <row r="7314" spans="1:2" x14ac:dyDescent="0.35">
      <c r="A7314" s="14">
        <v>42359.599490740744</v>
      </c>
      <c r="B7314" s="5">
        <v>1</v>
      </c>
    </row>
    <row r="7315" spans="1:2" x14ac:dyDescent="0.35">
      <c r="A7315" s="14">
        <v>42359.620243055557</v>
      </c>
      <c r="B7315" s="5">
        <v>1</v>
      </c>
    </row>
    <row r="7316" spans="1:2" x14ac:dyDescent="0.35">
      <c r="A7316" s="14">
        <v>42359.69667824074</v>
      </c>
      <c r="B7316" s="5">
        <v>1</v>
      </c>
    </row>
    <row r="7317" spans="1:2" x14ac:dyDescent="0.35">
      <c r="A7317" s="14">
        <v>42359.796886574077</v>
      </c>
      <c r="B7317" s="5">
        <v>1</v>
      </c>
    </row>
    <row r="7318" spans="1:2" x14ac:dyDescent="0.35">
      <c r="A7318" s="14">
        <v>42359.911898148152</v>
      </c>
      <c r="B7318" s="5">
        <v>1</v>
      </c>
    </row>
    <row r="7319" spans="1:2" x14ac:dyDescent="0.35">
      <c r="A7319" s="14">
        <v>42359.931111111109</v>
      </c>
      <c r="B7319" s="5">
        <v>1</v>
      </c>
    </row>
    <row r="7320" spans="1:2" x14ac:dyDescent="0.35">
      <c r="A7320" s="14">
        <v>42359.979201388887</v>
      </c>
      <c r="B7320" s="5">
        <v>2</v>
      </c>
    </row>
    <row r="7321" spans="1:2" x14ac:dyDescent="0.35">
      <c r="A7321" s="14">
        <v>42360.123194444444</v>
      </c>
      <c r="B7321" s="5">
        <v>1</v>
      </c>
    </row>
    <row r="7322" spans="1:2" x14ac:dyDescent="0.35">
      <c r="A7322" s="14">
        <v>42360.123668981483</v>
      </c>
      <c r="B7322" s="5">
        <v>2</v>
      </c>
    </row>
    <row r="7323" spans="1:2" x14ac:dyDescent="0.35">
      <c r="A7323" s="14">
        <v>42360.216724537036</v>
      </c>
      <c r="B7323" s="5">
        <v>1</v>
      </c>
    </row>
    <row r="7324" spans="1:2" x14ac:dyDescent="0.35">
      <c r="A7324" s="14">
        <v>42360.384386574071</v>
      </c>
      <c r="B7324" s="5">
        <v>1</v>
      </c>
    </row>
    <row r="7325" spans="1:2" x14ac:dyDescent="0.35">
      <c r="A7325" s="14">
        <v>42360.402094907404</v>
      </c>
      <c r="B7325" s="5">
        <v>1</v>
      </c>
    </row>
    <row r="7326" spans="1:2" x14ac:dyDescent="0.35">
      <c r="A7326" s="14">
        <v>42360.68681712963</v>
      </c>
      <c r="B7326" s="5">
        <v>1</v>
      </c>
    </row>
    <row r="7327" spans="1:2" x14ac:dyDescent="0.35">
      <c r="A7327" s="14">
        <v>42360.687083333331</v>
      </c>
      <c r="B7327" s="5">
        <v>2</v>
      </c>
    </row>
    <row r="7328" spans="1:2" x14ac:dyDescent="0.35">
      <c r="A7328" s="14">
        <v>42360.741793981484</v>
      </c>
      <c r="B7328" s="5">
        <v>1</v>
      </c>
    </row>
    <row r="7329" spans="1:2" x14ac:dyDescent="0.35">
      <c r="A7329" s="14">
        <v>42360.743043981478</v>
      </c>
      <c r="B7329" s="5">
        <v>1</v>
      </c>
    </row>
    <row r="7330" spans="1:2" x14ac:dyDescent="0.35">
      <c r="A7330" s="14">
        <v>42360.746064814812</v>
      </c>
      <c r="B7330" s="5">
        <v>1</v>
      </c>
    </row>
    <row r="7331" spans="1:2" x14ac:dyDescent="0.35">
      <c r="A7331" s="14">
        <v>42360.85869212963</v>
      </c>
      <c r="B7331" s="5">
        <v>1</v>
      </c>
    </row>
    <row r="7332" spans="1:2" x14ac:dyDescent="0.35">
      <c r="A7332" s="14">
        <v>42360.926261574074</v>
      </c>
      <c r="B7332" s="5">
        <v>1</v>
      </c>
    </row>
    <row r="7333" spans="1:2" x14ac:dyDescent="0.35">
      <c r="A7333" s="14">
        <v>42361.101284722223</v>
      </c>
      <c r="B7333" s="5">
        <v>1</v>
      </c>
    </row>
    <row r="7334" spans="1:2" x14ac:dyDescent="0.35">
      <c r="A7334" s="14">
        <v>42361.259548611109</v>
      </c>
      <c r="B7334" s="5">
        <v>1</v>
      </c>
    </row>
    <row r="7335" spans="1:2" x14ac:dyDescent="0.35">
      <c r="A7335" s="14">
        <v>42361.264849537038</v>
      </c>
      <c r="B7335" s="5">
        <v>1</v>
      </c>
    </row>
    <row r="7336" spans="1:2" x14ac:dyDescent="0.35">
      <c r="A7336" s="14">
        <v>42361.267291666663</v>
      </c>
      <c r="B7336" s="5">
        <v>1</v>
      </c>
    </row>
    <row r="7337" spans="1:2" x14ac:dyDescent="0.35">
      <c r="A7337" s="14">
        <v>42361.283009259256</v>
      </c>
      <c r="B7337" s="5">
        <v>1</v>
      </c>
    </row>
    <row r="7338" spans="1:2" x14ac:dyDescent="0.35">
      <c r="A7338" s="14">
        <v>42361.300115740742</v>
      </c>
      <c r="B7338" s="5">
        <v>1</v>
      </c>
    </row>
    <row r="7339" spans="1:2" x14ac:dyDescent="0.35">
      <c r="A7339" s="14">
        <v>42361.314745370371</v>
      </c>
      <c r="B7339" s="5">
        <v>1</v>
      </c>
    </row>
    <row r="7340" spans="1:2" x14ac:dyDescent="0.35">
      <c r="A7340" s="14">
        <v>42361.315775462965</v>
      </c>
      <c r="B7340" s="5">
        <v>1</v>
      </c>
    </row>
    <row r="7341" spans="1:2" x14ac:dyDescent="0.35">
      <c r="A7341" s="14">
        <v>42361.316724537035</v>
      </c>
      <c r="B7341" s="5">
        <v>1</v>
      </c>
    </row>
    <row r="7342" spans="1:2" x14ac:dyDescent="0.35">
      <c r="A7342" s="14">
        <v>42361.512754629628</v>
      </c>
      <c r="B7342" s="5">
        <v>1</v>
      </c>
    </row>
    <row r="7343" spans="1:2" x14ac:dyDescent="0.35">
      <c r="A7343" s="14">
        <v>42361.518483796295</v>
      </c>
      <c r="B7343" s="5">
        <v>1</v>
      </c>
    </row>
    <row r="7344" spans="1:2" x14ac:dyDescent="0.35">
      <c r="A7344" s="14">
        <v>42361.531365740739</v>
      </c>
      <c r="B7344" s="5">
        <v>1</v>
      </c>
    </row>
    <row r="7345" spans="1:2" x14ac:dyDescent="0.35">
      <c r="A7345" s="14">
        <v>42361.596620370372</v>
      </c>
      <c r="B7345" s="5">
        <v>1</v>
      </c>
    </row>
    <row r="7346" spans="1:2" x14ac:dyDescent="0.35">
      <c r="A7346" s="14">
        <v>42361.597268518519</v>
      </c>
      <c r="B7346" s="5">
        <v>1</v>
      </c>
    </row>
    <row r="7347" spans="1:2" x14ac:dyDescent="0.35">
      <c r="A7347" s="14">
        <v>42361.600104166668</v>
      </c>
      <c r="B7347" s="5">
        <v>1</v>
      </c>
    </row>
    <row r="7348" spans="1:2" x14ac:dyDescent="0.35">
      <c r="A7348" s="14">
        <v>42361.60423611111</v>
      </c>
      <c r="B7348" s="5">
        <v>1</v>
      </c>
    </row>
    <row r="7349" spans="1:2" x14ac:dyDescent="0.35">
      <c r="A7349" s="14">
        <v>42361.609282407408</v>
      </c>
      <c r="B7349" s="5">
        <v>1</v>
      </c>
    </row>
    <row r="7350" spans="1:2" x14ac:dyDescent="0.35">
      <c r="A7350" s="14">
        <v>42361.636203703703</v>
      </c>
      <c r="B7350" s="5">
        <v>1</v>
      </c>
    </row>
    <row r="7351" spans="1:2" x14ac:dyDescent="0.35">
      <c r="A7351" s="14">
        <v>42361.642395833333</v>
      </c>
      <c r="B7351" s="5">
        <v>1</v>
      </c>
    </row>
    <row r="7352" spans="1:2" x14ac:dyDescent="0.35">
      <c r="A7352" s="14">
        <v>42361.658182870371</v>
      </c>
      <c r="B7352" s="5">
        <v>1</v>
      </c>
    </row>
    <row r="7353" spans="1:2" x14ac:dyDescent="0.35">
      <c r="A7353" s="14">
        <v>42361.685706018521</v>
      </c>
      <c r="B7353" s="5">
        <v>1</v>
      </c>
    </row>
    <row r="7354" spans="1:2" x14ac:dyDescent="0.35">
      <c r="A7354" s="14">
        <v>42361.685925925929</v>
      </c>
      <c r="B7354" s="5">
        <v>1</v>
      </c>
    </row>
    <row r="7355" spans="1:2" x14ac:dyDescent="0.35">
      <c r="A7355" s="14">
        <v>42361.688252314816</v>
      </c>
      <c r="B7355" s="5">
        <v>1</v>
      </c>
    </row>
    <row r="7356" spans="1:2" x14ac:dyDescent="0.35">
      <c r="A7356" s="14">
        <v>42361.713923611111</v>
      </c>
      <c r="B7356" s="5">
        <v>1</v>
      </c>
    </row>
    <row r="7357" spans="1:2" x14ac:dyDescent="0.35">
      <c r="A7357" s="14">
        <v>42361.742314814815</v>
      </c>
      <c r="B7357" s="5">
        <v>1</v>
      </c>
    </row>
    <row r="7358" spans="1:2" x14ac:dyDescent="0.35">
      <c r="A7358" s="14">
        <v>42361.790162037039</v>
      </c>
      <c r="B7358" s="5">
        <v>1</v>
      </c>
    </row>
    <row r="7359" spans="1:2" x14ac:dyDescent="0.35">
      <c r="A7359" s="14">
        <v>42361.794571759259</v>
      </c>
      <c r="B7359" s="5">
        <v>1</v>
      </c>
    </row>
    <row r="7360" spans="1:2" x14ac:dyDescent="0.35">
      <c r="A7360" s="14">
        <v>42361.808009259257</v>
      </c>
      <c r="B7360" s="5">
        <v>1</v>
      </c>
    </row>
    <row r="7361" spans="1:2" x14ac:dyDescent="0.35">
      <c r="A7361" s="14">
        <v>42361.812280092592</v>
      </c>
      <c r="B7361" s="5">
        <v>1</v>
      </c>
    </row>
    <row r="7362" spans="1:2" x14ac:dyDescent="0.35">
      <c r="A7362" s="14">
        <v>42361.841006944444</v>
      </c>
      <c r="B7362" s="5">
        <v>1</v>
      </c>
    </row>
    <row r="7363" spans="1:2" x14ac:dyDescent="0.35">
      <c r="A7363" s="14">
        <v>42361.852106481485</v>
      </c>
      <c r="B7363" s="5">
        <v>1</v>
      </c>
    </row>
    <row r="7364" spans="1:2" x14ac:dyDescent="0.35">
      <c r="A7364" s="14">
        <v>42361.863576388889</v>
      </c>
      <c r="B7364" s="5">
        <v>1</v>
      </c>
    </row>
    <row r="7365" spans="1:2" x14ac:dyDescent="0.35">
      <c r="A7365" s="14">
        <v>42361.866249999999</v>
      </c>
      <c r="B7365" s="5">
        <v>1</v>
      </c>
    </row>
    <row r="7366" spans="1:2" x14ac:dyDescent="0.35">
      <c r="A7366" s="14">
        <v>42361.868287037039</v>
      </c>
      <c r="B7366" s="5">
        <v>1</v>
      </c>
    </row>
    <row r="7367" spans="1:2" x14ac:dyDescent="0.35">
      <c r="A7367" s="14">
        <v>42361.876157407409</v>
      </c>
      <c r="B7367" s="5">
        <v>1</v>
      </c>
    </row>
    <row r="7368" spans="1:2" x14ac:dyDescent="0.35">
      <c r="A7368" s="14">
        <v>42361.882094907407</v>
      </c>
      <c r="B7368" s="5">
        <v>1</v>
      </c>
    </row>
    <row r="7369" spans="1:2" x14ac:dyDescent="0.35">
      <c r="A7369" s="14">
        <v>42361.888854166667</v>
      </c>
      <c r="B7369" s="5">
        <v>1</v>
      </c>
    </row>
    <row r="7370" spans="1:2" x14ac:dyDescent="0.35">
      <c r="A7370" s="14">
        <v>42361.987997685188</v>
      </c>
      <c r="B7370" s="5">
        <v>1</v>
      </c>
    </row>
    <row r="7371" spans="1:2" x14ac:dyDescent="0.35">
      <c r="A7371" s="14">
        <v>42362.0703587963</v>
      </c>
      <c r="B7371" s="5">
        <v>1</v>
      </c>
    </row>
    <row r="7372" spans="1:2" x14ac:dyDescent="0.35">
      <c r="A7372" s="14">
        <v>42362.12771990741</v>
      </c>
      <c r="B7372" s="5">
        <v>1</v>
      </c>
    </row>
    <row r="7373" spans="1:2" x14ac:dyDescent="0.35">
      <c r="A7373" s="14">
        <v>42362.274097222224</v>
      </c>
      <c r="B7373" s="5">
        <v>1</v>
      </c>
    </row>
    <row r="7374" spans="1:2" x14ac:dyDescent="0.35">
      <c r="A7374" s="14">
        <v>42362.276574074072</v>
      </c>
      <c r="B7374" s="5">
        <v>1</v>
      </c>
    </row>
    <row r="7375" spans="1:2" x14ac:dyDescent="0.35">
      <c r="A7375" s="14">
        <v>42362.301747685182</v>
      </c>
      <c r="B7375" s="5">
        <v>1</v>
      </c>
    </row>
    <row r="7376" spans="1:2" x14ac:dyDescent="0.35">
      <c r="A7376" s="14">
        <v>42362.422465277778</v>
      </c>
      <c r="B7376" s="5">
        <v>1</v>
      </c>
    </row>
    <row r="7377" spans="1:2" x14ac:dyDescent="0.35">
      <c r="A7377" s="14">
        <v>42362.593865740739</v>
      </c>
      <c r="B7377" s="5">
        <v>1</v>
      </c>
    </row>
    <row r="7378" spans="1:2" x14ac:dyDescent="0.35">
      <c r="A7378" s="14">
        <v>42362.690324074072</v>
      </c>
      <c r="B7378" s="5">
        <v>1</v>
      </c>
    </row>
    <row r="7379" spans="1:2" x14ac:dyDescent="0.35">
      <c r="A7379" s="14">
        <v>42362.836944444447</v>
      </c>
      <c r="B7379" s="5">
        <v>1</v>
      </c>
    </row>
    <row r="7380" spans="1:2" x14ac:dyDescent="0.35">
      <c r="A7380" s="14">
        <v>42362.837141203701</v>
      </c>
      <c r="B7380" s="5">
        <v>2</v>
      </c>
    </row>
    <row r="7381" spans="1:2" x14ac:dyDescent="0.35">
      <c r="A7381" s="14">
        <v>42362.995520833334</v>
      </c>
      <c r="B7381" s="5">
        <v>1</v>
      </c>
    </row>
    <row r="7382" spans="1:2" x14ac:dyDescent="0.35">
      <c r="A7382" s="14">
        <v>42363.004004629627</v>
      </c>
      <c r="B7382" s="5">
        <v>1</v>
      </c>
    </row>
    <row r="7383" spans="1:2" x14ac:dyDescent="0.35">
      <c r="A7383" s="14">
        <v>42363.285219907404</v>
      </c>
      <c r="B7383" s="5">
        <v>1</v>
      </c>
    </row>
    <row r="7384" spans="1:2" x14ac:dyDescent="0.35">
      <c r="A7384" s="14">
        <v>42363.287129629629</v>
      </c>
      <c r="B7384" s="5">
        <v>1</v>
      </c>
    </row>
    <row r="7385" spans="1:2" x14ac:dyDescent="0.35">
      <c r="A7385" s="14">
        <v>42363.61</v>
      </c>
      <c r="B7385" s="5">
        <v>1</v>
      </c>
    </row>
    <row r="7386" spans="1:2" x14ac:dyDescent="0.35">
      <c r="A7386" s="14">
        <v>42363.615289351852</v>
      </c>
      <c r="B7386" s="5">
        <v>1</v>
      </c>
    </row>
    <row r="7387" spans="1:2" x14ac:dyDescent="0.35">
      <c r="A7387" s="14">
        <v>42363.615381944444</v>
      </c>
      <c r="B7387" s="5">
        <v>1</v>
      </c>
    </row>
    <row r="7388" spans="1:2" x14ac:dyDescent="0.35">
      <c r="A7388" s="14">
        <v>42363.643796296295</v>
      </c>
      <c r="B7388" s="5">
        <v>1</v>
      </c>
    </row>
    <row r="7389" spans="1:2" x14ac:dyDescent="0.35">
      <c r="A7389" s="14">
        <v>42363.64435185185</v>
      </c>
      <c r="B7389" s="5">
        <v>1</v>
      </c>
    </row>
    <row r="7390" spans="1:2" x14ac:dyDescent="0.35">
      <c r="A7390" s="14">
        <v>42363.782048611109</v>
      </c>
      <c r="B7390" s="5">
        <v>1</v>
      </c>
    </row>
    <row r="7391" spans="1:2" x14ac:dyDescent="0.35">
      <c r="A7391" s="14">
        <v>42363.92465277778</v>
      </c>
      <c r="B7391" s="5">
        <v>1</v>
      </c>
    </row>
    <row r="7392" spans="1:2" x14ac:dyDescent="0.35">
      <c r="A7392" s="14">
        <v>42363.927407407406</v>
      </c>
      <c r="B7392" s="5">
        <v>1</v>
      </c>
    </row>
    <row r="7393" spans="1:2" x14ac:dyDescent="0.35">
      <c r="A7393" s="14">
        <v>42364.190868055557</v>
      </c>
      <c r="B7393" s="5">
        <v>1</v>
      </c>
    </row>
    <row r="7394" spans="1:2" x14ac:dyDescent="0.35">
      <c r="A7394" s="14">
        <v>42364.192511574074</v>
      </c>
      <c r="B7394" s="5">
        <v>2</v>
      </c>
    </row>
    <row r="7395" spans="1:2" x14ac:dyDescent="0.35">
      <c r="A7395" s="14">
        <v>42364.326863425929</v>
      </c>
      <c r="B7395" s="5">
        <v>1</v>
      </c>
    </row>
    <row r="7396" spans="1:2" x14ac:dyDescent="0.35">
      <c r="A7396" s="14">
        <v>42364.335335648146</v>
      </c>
      <c r="B7396" s="5">
        <v>1</v>
      </c>
    </row>
    <row r="7397" spans="1:2" x14ac:dyDescent="0.35">
      <c r="A7397" s="14">
        <v>42364.564456018517</v>
      </c>
      <c r="B7397" s="5">
        <v>1</v>
      </c>
    </row>
    <row r="7398" spans="1:2" x14ac:dyDescent="0.35">
      <c r="A7398" s="14">
        <v>42364.621979166666</v>
      </c>
      <c r="B7398" s="5">
        <v>1</v>
      </c>
    </row>
    <row r="7399" spans="1:2" x14ac:dyDescent="0.35">
      <c r="A7399" s="14">
        <v>42364.622569444444</v>
      </c>
      <c r="B7399" s="5">
        <v>1</v>
      </c>
    </row>
    <row r="7400" spans="1:2" x14ac:dyDescent="0.35">
      <c r="A7400" s="14">
        <v>42364.623194444444</v>
      </c>
      <c r="B7400" s="5">
        <v>1</v>
      </c>
    </row>
    <row r="7401" spans="1:2" x14ac:dyDescent="0.35">
      <c r="A7401" s="14">
        <v>42364.893611111111</v>
      </c>
      <c r="B7401" s="5">
        <v>1</v>
      </c>
    </row>
    <row r="7402" spans="1:2" x14ac:dyDescent="0.35">
      <c r="A7402" s="14">
        <v>42364.901018518518</v>
      </c>
      <c r="B7402" s="5">
        <v>1</v>
      </c>
    </row>
    <row r="7403" spans="1:2" x14ac:dyDescent="0.35">
      <c r="A7403" s="14">
        <v>42364.926215277781</v>
      </c>
      <c r="B7403" s="5">
        <v>1</v>
      </c>
    </row>
    <row r="7404" spans="1:2" x14ac:dyDescent="0.35">
      <c r="A7404" s="14">
        <v>42364.95857638889</v>
      </c>
      <c r="B7404" s="5">
        <v>1</v>
      </c>
    </row>
    <row r="7405" spans="1:2" x14ac:dyDescent="0.35">
      <c r="A7405" s="14">
        <v>42364.986006944448</v>
      </c>
      <c r="B7405" s="5">
        <v>1</v>
      </c>
    </row>
    <row r="7406" spans="1:2" x14ac:dyDescent="0.35">
      <c r="A7406" s="14">
        <v>42365.008090277777</v>
      </c>
      <c r="B7406" s="5">
        <v>1</v>
      </c>
    </row>
    <row r="7407" spans="1:2" x14ac:dyDescent="0.35">
      <c r="A7407" s="14">
        <v>42365.008101851854</v>
      </c>
      <c r="B7407" s="5">
        <v>1</v>
      </c>
    </row>
    <row r="7408" spans="1:2" x14ac:dyDescent="0.35">
      <c r="A7408" s="14">
        <v>42365.547060185185</v>
      </c>
      <c r="B7408" s="5">
        <v>1</v>
      </c>
    </row>
    <row r="7409" spans="1:2" x14ac:dyDescent="0.35">
      <c r="A7409" s="14">
        <v>42365.705671296295</v>
      </c>
      <c r="B7409" s="5">
        <v>1</v>
      </c>
    </row>
    <row r="7410" spans="1:2" x14ac:dyDescent="0.35">
      <c r="A7410" s="14">
        <v>42365.746157407404</v>
      </c>
      <c r="B7410" s="5">
        <v>1</v>
      </c>
    </row>
    <row r="7411" spans="1:2" x14ac:dyDescent="0.35">
      <c r="A7411" s="14">
        <v>42365.758935185186</v>
      </c>
      <c r="B7411" s="5">
        <v>1</v>
      </c>
    </row>
    <row r="7412" spans="1:2" x14ac:dyDescent="0.35">
      <c r="A7412" s="14">
        <v>42365.766550925924</v>
      </c>
      <c r="B7412" s="5">
        <v>1</v>
      </c>
    </row>
    <row r="7413" spans="1:2" x14ac:dyDescent="0.35">
      <c r="A7413" s="14">
        <v>42365.928240740737</v>
      </c>
      <c r="B7413" s="5">
        <v>1</v>
      </c>
    </row>
    <row r="7414" spans="1:2" x14ac:dyDescent="0.35">
      <c r="A7414" s="14">
        <v>42365.939074074071</v>
      </c>
      <c r="B7414" s="5">
        <v>1</v>
      </c>
    </row>
    <row r="7415" spans="1:2" x14ac:dyDescent="0.35">
      <c r="A7415" s="14">
        <v>42365.957048611112</v>
      </c>
      <c r="B7415" s="5">
        <v>1</v>
      </c>
    </row>
    <row r="7416" spans="1:2" x14ac:dyDescent="0.35">
      <c r="A7416" s="14">
        <v>42366.045092592591</v>
      </c>
      <c r="B7416" s="5">
        <v>1</v>
      </c>
    </row>
    <row r="7417" spans="1:2" x14ac:dyDescent="0.35">
      <c r="A7417" s="14">
        <v>42366.04519675926</v>
      </c>
      <c r="B7417" s="5">
        <v>1</v>
      </c>
    </row>
    <row r="7418" spans="1:2" x14ac:dyDescent="0.35">
      <c r="A7418" s="14">
        <v>42366.046539351853</v>
      </c>
      <c r="B7418" s="5">
        <v>1</v>
      </c>
    </row>
    <row r="7419" spans="1:2" x14ac:dyDescent="0.35">
      <c r="A7419" s="14">
        <v>42366.073229166665</v>
      </c>
      <c r="B7419" s="5">
        <v>1</v>
      </c>
    </row>
    <row r="7420" spans="1:2" x14ac:dyDescent="0.35">
      <c r="A7420" s="14">
        <v>42366.139189814814</v>
      </c>
      <c r="B7420" s="5">
        <v>1</v>
      </c>
    </row>
    <row r="7421" spans="1:2" x14ac:dyDescent="0.35">
      <c r="A7421" s="14">
        <v>42366.642696759256</v>
      </c>
      <c r="B7421" s="5">
        <v>1</v>
      </c>
    </row>
    <row r="7422" spans="1:2" x14ac:dyDescent="0.35">
      <c r="A7422" s="14">
        <v>42366.643865740742</v>
      </c>
      <c r="B7422" s="5">
        <v>2</v>
      </c>
    </row>
    <row r="7423" spans="1:2" x14ac:dyDescent="0.35">
      <c r="A7423" s="14">
        <v>42366.652592592596</v>
      </c>
      <c r="B7423" s="5">
        <v>1</v>
      </c>
    </row>
    <row r="7424" spans="1:2" x14ac:dyDescent="0.35">
      <c r="A7424" s="14">
        <v>42366.656354166669</v>
      </c>
      <c r="B7424" s="5">
        <v>1</v>
      </c>
    </row>
    <row r="7425" spans="1:2" x14ac:dyDescent="0.35">
      <c r="A7425" s="14">
        <v>42366.67015046296</v>
      </c>
      <c r="B7425" s="5">
        <v>1</v>
      </c>
    </row>
    <row r="7426" spans="1:2" x14ac:dyDescent="0.35">
      <c r="A7426" s="14">
        <v>42366.673854166664</v>
      </c>
      <c r="B7426" s="5">
        <v>1</v>
      </c>
    </row>
    <row r="7427" spans="1:2" x14ac:dyDescent="0.35">
      <c r="A7427" s="14">
        <v>42366.684270833335</v>
      </c>
      <c r="B7427" s="5">
        <v>1</v>
      </c>
    </row>
    <row r="7428" spans="1:2" x14ac:dyDescent="0.35">
      <c r="A7428" s="14">
        <v>42366.687465277777</v>
      </c>
      <c r="B7428" s="5">
        <v>1</v>
      </c>
    </row>
    <row r="7429" spans="1:2" x14ac:dyDescent="0.35">
      <c r="A7429" s="14">
        <v>42366.691099537034</v>
      </c>
      <c r="B7429" s="5">
        <v>1</v>
      </c>
    </row>
    <row r="7430" spans="1:2" x14ac:dyDescent="0.35">
      <c r="A7430" s="14">
        <v>42366.698136574072</v>
      </c>
      <c r="B7430" s="5">
        <v>1</v>
      </c>
    </row>
    <row r="7431" spans="1:2" x14ac:dyDescent="0.35">
      <c r="A7431" s="14">
        <v>42366.718819444446</v>
      </c>
      <c r="B7431" s="5">
        <v>1</v>
      </c>
    </row>
    <row r="7432" spans="1:2" x14ac:dyDescent="0.35">
      <c r="A7432" s="14">
        <v>42366.74659722222</v>
      </c>
      <c r="B7432" s="5">
        <v>1</v>
      </c>
    </row>
    <row r="7433" spans="1:2" x14ac:dyDescent="0.35">
      <c r="A7433" s="14">
        <v>42366.857094907406</v>
      </c>
      <c r="B7433" s="5">
        <v>1</v>
      </c>
    </row>
    <row r="7434" spans="1:2" x14ac:dyDescent="0.35">
      <c r="A7434" s="14">
        <v>42366.882997685185</v>
      </c>
      <c r="B7434" s="5">
        <v>1</v>
      </c>
    </row>
    <row r="7435" spans="1:2" x14ac:dyDescent="0.35">
      <c r="A7435" s="14">
        <v>42366.887372685182</v>
      </c>
      <c r="B7435" s="5">
        <v>2</v>
      </c>
    </row>
    <row r="7436" spans="1:2" x14ac:dyDescent="0.35">
      <c r="A7436" s="14">
        <v>42366.892187500001</v>
      </c>
      <c r="B7436" s="5">
        <v>1</v>
      </c>
    </row>
    <row r="7437" spans="1:2" x14ac:dyDescent="0.35">
      <c r="A7437" s="14">
        <v>42366.894120370373</v>
      </c>
      <c r="B7437" s="5">
        <v>1</v>
      </c>
    </row>
    <row r="7438" spans="1:2" x14ac:dyDescent="0.35">
      <c r="A7438" s="14">
        <v>42366.89503472222</v>
      </c>
      <c r="B7438" s="5">
        <v>1</v>
      </c>
    </row>
    <row r="7439" spans="1:2" x14ac:dyDescent="0.35">
      <c r="A7439" s="14">
        <v>42366.934224537035</v>
      </c>
      <c r="B7439" s="5">
        <v>1</v>
      </c>
    </row>
    <row r="7440" spans="1:2" x14ac:dyDescent="0.35">
      <c r="A7440" s="14">
        <v>42366.934386574074</v>
      </c>
      <c r="B7440" s="5">
        <v>2</v>
      </c>
    </row>
    <row r="7441" spans="1:2" x14ac:dyDescent="0.35">
      <c r="A7441" s="14">
        <v>42366.934930555559</v>
      </c>
      <c r="B7441" s="5">
        <v>1</v>
      </c>
    </row>
    <row r="7442" spans="1:2" x14ac:dyDescent="0.35">
      <c r="A7442" s="14">
        <v>42366.959837962961</v>
      </c>
      <c r="B7442" s="5">
        <v>1</v>
      </c>
    </row>
    <row r="7443" spans="1:2" x14ac:dyDescent="0.35">
      <c r="A7443" s="14">
        <v>42366.961736111109</v>
      </c>
      <c r="B7443" s="5">
        <v>2</v>
      </c>
    </row>
    <row r="7444" spans="1:2" x14ac:dyDescent="0.35">
      <c r="A7444" s="14">
        <v>42366.965405092589</v>
      </c>
      <c r="B7444" s="5">
        <v>1</v>
      </c>
    </row>
    <row r="7445" spans="1:2" x14ac:dyDescent="0.35">
      <c r="A7445" s="14">
        <v>42366.968969907408</v>
      </c>
      <c r="B7445" s="5">
        <v>1</v>
      </c>
    </row>
    <row r="7446" spans="1:2" x14ac:dyDescent="0.35">
      <c r="A7446" s="14">
        <v>42367.006157407406</v>
      </c>
      <c r="B7446" s="5">
        <v>1</v>
      </c>
    </row>
    <row r="7447" spans="1:2" x14ac:dyDescent="0.35">
      <c r="A7447" s="14">
        <v>42367.046238425923</v>
      </c>
      <c r="B7447" s="5">
        <v>1</v>
      </c>
    </row>
    <row r="7448" spans="1:2" x14ac:dyDescent="0.35">
      <c r="A7448" s="14">
        <v>42367.047048611108</v>
      </c>
      <c r="B7448" s="5">
        <v>1</v>
      </c>
    </row>
    <row r="7449" spans="1:2" x14ac:dyDescent="0.35">
      <c r="A7449" s="14">
        <v>42367.060081018521</v>
      </c>
      <c r="B7449" s="5">
        <v>1</v>
      </c>
    </row>
    <row r="7450" spans="1:2" x14ac:dyDescent="0.35">
      <c r="A7450" s="14">
        <v>42367.060335648152</v>
      </c>
      <c r="B7450" s="5">
        <v>1</v>
      </c>
    </row>
    <row r="7451" spans="1:2" x14ac:dyDescent="0.35">
      <c r="A7451" s="14">
        <v>42367.081932870373</v>
      </c>
      <c r="B7451" s="5">
        <v>1</v>
      </c>
    </row>
    <row r="7452" spans="1:2" x14ac:dyDescent="0.35">
      <c r="A7452" s="14">
        <v>42367.085555555554</v>
      </c>
      <c r="B7452" s="5">
        <v>1</v>
      </c>
    </row>
    <row r="7453" spans="1:2" x14ac:dyDescent="0.35">
      <c r="A7453" s="14">
        <v>42367.277129629627</v>
      </c>
      <c r="B7453" s="5">
        <v>1</v>
      </c>
    </row>
    <row r="7454" spans="1:2" x14ac:dyDescent="0.35">
      <c r="A7454" s="14">
        <v>42367.318877314814</v>
      </c>
      <c r="B7454" s="5">
        <v>1</v>
      </c>
    </row>
    <row r="7455" spans="1:2" x14ac:dyDescent="0.35">
      <c r="A7455" s="14">
        <v>42367.320567129631</v>
      </c>
      <c r="B7455" s="5">
        <v>1</v>
      </c>
    </row>
    <row r="7456" spans="1:2" x14ac:dyDescent="0.35">
      <c r="A7456" s="14">
        <v>42367.322187500002</v>
      </c>
      <c r="B7456" s="5">
        <v>1</v>
      </c>
    </row>
    <row r="7457" spans="1:2" x14ac:dyDescent="0.35">
      <c r="A7457" s="14">
        <v>42367.450162037036</v>
      </c>
      <c r="B7457" s="5">
        <v>1</v>
      </c>
    </row>
    <row r="7458" spans="1:2" x14ac:dyDescent="0.35">
      <c r="A7458" s="14">
        <v>42367.601226851853</v>
      </c>
      <c r="B7458" s="5">
        <v>1</v>
      </c>
    </row>
    <row r="7459" spans="1:2" x14ac:dyDescent="0.35">
      <c r="A7459" s="14">
        <v>42367.639710648145</v>
      </c>
      <c r="B7459" s="5">
        <v>1</v>
      </c>
    </row>
    <row r="7460" spans="1:2" x14ac:dyDescent="0.35">
      <c r="A7460" s="14">
        <v>42367.665636574071</v>
      </c>
      <c r="B7460" s="5">
        <v>1</v>
      </c>
    </row>
    <row r="7461" spans="1:2" x14ac:dyDescent="0.35">
      <c r="A7461" s="14">
        <v>42367.668483796297</v>
      </c>
      <c r="B7461" s="5">
        <v>1</v>
      </c>
    </row>
    <row r="7462" spans="1:2" x14ac:dyDescent="0.35">
      <c r="A7462" s="14">
        <v>42367.688923611109</v>
      </c>
      <c r="B7462" s="5">
        <v>1</v>
      </c>
    </row>
    <row r="7463" spans="1:2" x14ac:dyDescent="0.35">
      <c r="A7463" s="14">
        <v>42367.696689814817</v>
      </c>
      <c r="B7463" s="5">
        <v>1</v>
      </c>
    </row>
    <row r="7464" spans="1:2" x14ac:dyDescent="0.35">
      <c r="A7464" s="14">
        <v>42367.749918981484</v>
      </c>
      <c r="B7464" s="5">
        <v>1</v>
      </c>
    </row>
    <row r="7465" spans="1:2" x14ac:dyDescent="0.35">
      <c r="A7465" s="14">
        <v>42367.750497685185</v>
      </c>
      <c r="B7465" s="5">
        <v>1</v>
      </c>
    </row>
    <row r="7466" spans="1:2" x14ac:dyDescent="0.35">
      <c r="A7466" s="14">
        <v>42367.75203703704</v>
      </c>
      <c r="B7466" s="5">
        <v>1</v>
      </c>
    </row>
    <row r="7467" spans="1:2" x14ac:dyDescent="0.35">
      <c r="A7467" s="14">
        <v>42367.779560185183</v>
      </c>
      <c r="B7467" s="5">
        <v>1</v>
      </c>
    </row>
    <row r="7468" spans="1:2" x14ac:dyDescent="0.35">
      <c r="A7468" s="14">
        <v>42367.823368055557</v>
      </c>
      <c r="B7468" s="5">
        <v>1</v>
      </c>
    </row>
    <row r="7469" spans="1:2" x14ac:dyDescent="0.35">
      <c r="A7469" s="14">
        <v>42367.865960648145</v>
      </c>
      <c r="B7469" s="5">
        <v>1</v>
      </c>
    </row>
    <row r="7470" spans="1:2" x14ac:dyDescent="0.35">
      <c r="A7470" s="14">
        <v>42367.879351851851</v>
      </c>
      <c r="B7470" s="5">
        <v>1</v>
      </c>
    </row>
    <row r="7471" spans="1:2" x14ac:dyDescent="0.35">
      <c r="A7471" s="14">
        <v>42367.883923611109</v>
      </c>
      <c r="B7471" s="5">
        <v>1</v>
      </c>
    </row>
    <row r="7472" spans="1:2" x14ac:dyDescent="0.35">
      <c r="A7472" s="14">
        <v>42367.939236111109</v>
      </c>
      <c r="B7472" s="5">
        <v>1</v>
      </c>
    </row>
    <row r="7473" spans="1:2" x14ac:dyDescent="0.35">
      <c r="A7473" s="14">
        <v>42367.953159722223</v>
      </c>
      <c r="B7473" s="5">
        <v>1</v>
      </c>
    </row>
    <row r="7474" spans="1:2" x14ac:dyDescent="0.35">
      <c r="A7474" s="14">
        <v>42367.955555555556</v>
      </c>
      <c r="B7474" s="5">
        <v>1</v>
      </c>
    </row>
    <row r="7475" spans="1:2" x14ac:dyDescent="0.35">
      <c r="A7475" s="14">
        <v>42367.961759259262</v>
      </c>
      <c r="B7475" s="5">
        <v>1</v>
      </c>
    </row>
    <row r="7476" spans="1:2" x14ac:dyDescent="0.35">
      <c r="A7476" s="14">
        <v>42367.980706018519</v>
      </c>
      <c r="B7476" s="5">
        <v>1</v>
      </c>
    </row>
    <row r="7477" spans="1:2" x14ac:dyDescent="0.35">
      <c r="A7477" s="14">
        <v>42367.982199074075</v>
      </c>
      <c r="B7477" s="5">
        <v>1</v>
      </c>
    </row>
    <row r="7478" spans="1:2" x14ac:dyDescent="0.35">
      <c r="A7478" s="14">
        <v>42367.984618055554</v>
      </c>
      <c r="B7478" s="5">
        <v>1</v>
      </c>
    </row>
    <row r="7479" spans="1:2" x14ac:dyDescent="0.35">
      <c r="A7479" s="14">
        <v>42368.123993055553</v>
      </c>
      <c r="B7479" s="5">
        <v>1</v>
      </c>
    </row>
    <row r="7480" spans="1:2" x14ac:dyDescent="0.35">
      <c r="A7480" s="14">
        <v>42368.131331018521</v>
      </c>
      <c r="B7480" s="5">
        <v>1</v>
      </c>
    </row>
    <row r="7481" spans="1:2" x14ac:dyDescent="0.35">
      <c r="A7481" s="14">
        <v>42368.134027777778</v>
      </c>
      <c r="B7481" s="5">
        <v>1</v>
      </c>
    </row>
    <row r="7482" spans="1:2" x14ac:dyDescent="0.35">
      <c r="A7482" s="14">
        <v>42368.179479166669</v>
      </c>
      <c r="B7482" s="5">
        <v>1</v>
      </c>
    </row>
    <row r="7483" spans="1:2" x14ac:dyDescent="0.35">
      <c r="A7483" s="14">
        <v>42368.487175925926</v>
      </c>
      <c r="B7483" s="5">
        <v>1</v>
      </c>
    </row>
    <row r="7484" spans="1:2" x14ac:dyDescent="0.35">
      <c r="A7484" s="14">
        <v>42368.600277777776</v>
      </c>
      <c r="B7484" s="5">
        <v>1</v>
      </c>
    </row>
    <row r="7485" spans="1:2" x14ac:dyDescent="0.35">
      <c r="A7485" s="14">
        <v>42368.608310185184</v>
      </c>
      <c r="B7485" s="5">
        <v>1</v>
      </c>
    </row>
    <row r="7486" spans="1:2" x14ac:dyDescent="0.35">
      <c r="A7486" s="14">
        <v>42368.634305555555</v>
      </c>
      <c r="B7486" s="5">
        <v>1</v>
      </c>
    </row>
    <row r="7487" spans="1:2" x14ac:dyDescent="0.35">
      <c r="A7487" s="14">
        <v>42368.645868055559</v>
      </c>
      <c r="B7487" s="5">
        <v>1</v>
      </c>
    </row>
    <row r="7488" spans="1:2" x14ac:dyDescent="0.35">
      <c r="A7488" s="14">
        <v>42368.648564814815</v>
      </c>
      <c r="B7488" s="5">
        <v>1</v>
      </c>
    </row>
    <row r="7489" spans="1:2" x14ac:dyDescent="0.35">
      <c r="A7489" s="14">
        <v>42368.665300925924</v>
      </c>
      <c r="B7489" s="5">
        <v>1</v>
      </c>
    </row>
    <row r="7490" spans="1:2" x14ac:dyDescent="0.35">
      <c r="A7490" s="14">
        <v>42368.666342592594</v>
      </c>
      <c r="B7490" s="5">
        <v>1</v>
      </c>
    </row>
    <row r="7491" spans="1:2" x14ac:dyDescent="0.35">
      <c r="A7491" s="14">
        <v>42368.668865740743</v>
      </c>
      <c r="B7491" s="5">
        <v>1</v>
      </c>
    </row>
    <row r="7492" spans="1:2" x14ac:dyDescent="0.35">
      <c r="A7492" s="14">
        <v>42368.669236111113</v>
      </c>
      <c r="B7492" s="5">
        <v>1</v>
      </c>
    </row>
    <row r="7493" spans="1:2" x14ac:dyDescent="0.35">
      <c r="A7493" s="14">
        <v>42368.691307870373</v>
      </c>
      <c r="B7493" s="5">
        <v>1</v>
      </c>
    </row>
    <row r="7494" spans="1:2" x14ac:dyDescent="0.35">
      <c r="A7494" s="14">
        <v>42368.698645833334</v>
      </c>
      <c r="B7494" s="5">
        <v>1</v>
      </c>
    </row>
    <row r="7495" spans="1:2" x14ac:dyDescent="0.35">
      <c r="A7495" s="14">
        <v>42368.699189814812</v>
      </c>
      <c r="B7495" s="5">
        <v>1</v>
      </c>
    </row>
    <row r="7496" spans="1:2" x14ac:dyDescent="0.35">
      <c r="A7496" s="14">
        <v>42368.700497685182</v>
      </c>
      <c r="B7496" s="5">
        <v>1</v>
      </c>
    </row>
    <row r="7497" spans="1:2" x14ac:dyDescent="0.35">
      <c r="A7497" s="14">
        <v>42368.700601851851</v>
      </c>
      <c r="B7497" s="5">
        <v>1</v>
      </c>
    </row>
    <row r="7498" spans="1:2" x14ac:dyDescent="0.35">
      <c r="A7498" s="14">
        <v>42368.701840277776</v>
      </c>
      <c r="B7498" s="5">
        <v>1</v>
      </c>
    </row>
    <row r="7499" spans="1:2" x14ac:dyDescent="0.35">
      <c r="A7499" s="14">
        <v>42368.702210648145</v>
      </c>
      <c r="B7499" s="5">
        <v>1</v>
      </c>
    </row>
    <row r="7500" spans="1:2" x14ac:dyDescent="0.35">
      <c r="A7500" s="14">
        <v>42368.707291666666</v>
      </c>
      <c r="B7500" s="5">
        <v>1</v>
      </c>
    </row>
    <row r="7501" spans="1:2" x14ac:dyDescent="0.35">
      <c r="A7501" s="14">
        <v>42368.709687499999</v>
      </c>
      <c r="B7501" s="5">
        <v>1</v>
      </c>
    </row>
    <row r="7502" spans="1:2" x14ac:dyDescent="0.35">
      <c r="A7502" s="14">
        <v>42368.714201388888</v>
      </c>
      <c r="B7502" s="5">
        <v>1</v>
      </c>
    </row>
    <row r="7503" spans="1:2" x14ac:dyDescent="0.35">
      <c r="A7503" s="14">
        <v>42368.754560185182</v>
      </c>
      <c r="B7503" s="5">
        <v>1</v>
      </c>
    </row>
    <row r="7504" spans="1:2" x14ac:dyDescent="0.35">
      <c r="A7504" s="14">
        <v>42368.757523148146</v>
      </c>
      <c r="B7504" s="5">
        <v>1</v>
      </c>
    </row>
    <row r="7505" spans="1:2" x14ac:dyDescent="0.35">
      <c r="A7505" s="14">
        <v>42368.791041666664</v>
      </c>
      <c r="B7505" s="5">
        <v>1</v>
      </c>
    </row>
    <row r="7506" spans="1:2" x14ac:dyDescent="0.35">
      <c r="A7506" s="14">
        <v>42368.795787037037</v>
      </c>
      <c r="B7506" s="5">
        <v>1</v>
      </c>
    </row>
    <row r="7507" spans="1:2" x14ac:dyDescent="0.35">
      <c r="A7507" s="14">
        <v>42368.802094907405</v>
      </c>
      <c r="B7507" s="5">
        <v>1</v>
      </c>
    </row>
    <row r="7508" spans="1:2" x14ac:dyDescent="0.35">
      <c r="A7508" s="14">
        <v>42368.805625000001</v>
      </c>
      <c r="B7508" s="5">
        <v>1</v>
      </c>
    </row>
    <row r="7509" spans="1:2" x14ac:dyDescent="0.35">
      <c r="A7509" s="14">
        <v>42368.806250000001</v>
      </c>
      <c r="B7509" s="5">
        <v>1</v>
      </c>
    </row>
    <row r="7510" spans="1:2" x14ac:dyDescent="0.35">
      <c r="A7510" s="14">
        <v>42368.816018518519</v>
      </c>
      <c r="B7510" s="5">
        <v>1</v>
      </c>
    </row>
    <row r="7511" spans="1:2" x14ac:dyDescent="0.35">
      <c r="A7511" s="14">
        <v>42368.817199074074</v>
      </c>
      <c r="B7511" s="5">
        <v>1</v>
      </c>
    </row>
    <row r="7512" spans="1:2" x14ac:dyDescent="0.35">
      <c r="A7512" s="14">
        <v>42368.822812500002</v>
      </c>
      <c r="B7512" s="5">
        <v>1</v>
      </c>
    </row>
    <row r="7513" spans="1:2" x14ac:dyDescent="0.35">
      <c r="A7513" s="14">
        <v>42368.85125</v>
      </c>
      <c r="B7513" s="5">
        <v>1</v>
      </c>
    </row>
    <row r="7514" spans="1:2" x14ac:dyDescent="0.35">
      <c r="A7514" s="14">
        <v>42368.857418981483</v>
      </c>
      <c r="B7514" s="5">
        <v>1</v>
      </c>
    </row>
    <row r="7515" spans="1:2" x14ac:dyDescent="0.35">
      <c r="A7515" s="14">
        <v>42368.923842592594</v>
      </c>
      <c r="B7515" s="5">
        <v>1</v>
      </c>
    </row>
    <row r="7516" spans="1:2" x14ac:dyDescent="0.35">
      <c r="A7516" s="14">
        <v>42369.070717592593</v>
      </c>
      <c r="B7516" s="5">
        <v>1</v>
      </c>
    </row>
    <row r="7517" spans="1:2" x14ac:dyDescent="0.35">
      <c r="A7517" s="14">
        <v>42369.114224537036</v>
      </c>
      <c r="B7517" s="5">
        <v>1</v>
      </c>
    </row>
    <row r="7518" spans="1:2" x14ac:dyDescent="0.35">
      <c r="A7518" s="14">
        <v>42369.126111111109</v>
      </c>
      <c r="B7518" s="5">
        <v>1</v>
      </c>
    </row>
    <row r="7519" spans="1:2" x14ac:dyDescent="0.35">
      <c r="A7519" s="14">
        <v>42369.126469907409</v>
      </c>
      <c r="B7519" s="5">
        <v>1</v>
      </c>
    </row>
    <row r="7520" spans="1:2" x14ac:dyDescent="0.35">
      <c r="A7520" s="14">
        <v>42369.129907407405</v>
      </c>
      <c r="B7520" s="5">
        <v>1</v>
      </c>
    </row>
    <row r="7521" spans="1:2" x14ac:dyDescent="0.35">
      <c r="A7521" s="14">
        <v>42369.165127314816</v>
      </c>
      <c r="B7521" s="5">
        <v>1</v>
      </c>
    </row>
    <row r="7522" spans="1:2" x14ac:dyDescent="0.35">
      <c r="A7522" s="14">
        <v>42369.165752314817</v>
      </c>
      <c r="B7522" s="5">
        <v>2</v>
      </c>
    </row>
    <row r="7523" spans="1:2" x14ac:dyDescent="0.35">
      <c r="A7523" s="14">
        <v>42369.169108796297</v>
      </c>
      <c r="B7523" s="5">
        <v>1</v>
      </c>
    </row>
    <row r="7524" spans="1:2" x14ac:dyDescent="0.35">
      <c r="A7524" s="14">
        <v>42369.547129629631</v>
      </c>
      <c r="B7524" s="5">
        <v>1</v>
      </c>
    </row>
    <row r="7525" spans="1:2" x14ac:dyDescent="0.35">
      <c r="A7525" s="14">
        <v>42369.582349537035</v>
      </c>
      <c r="B7525" s="5">
        <v>1</v>
      </c>
    </row>
    <row r="7526" spans="1:2" x14ac:dyDescent="0.35">
      <c r="A7526" s="14">
        <v>42369.63722222222</v>
      </c>
      <c r="B7526" s="5">
        <v>1</v>
      </c>
    </row>
    <row r="7527" spans="1:2" x14ac:dyDescent="0.35">
      <c r="A7527" s="14">
        <v>42369.649826388886</v>
      </c>
      <c r="B7527" s="5">
        <v>1</v>
      </c>
    </row>
    <row r="7528" spans="1:2" x14ac:dyDescent="0.35">
      <c r="A7528" s="14">
        <v>42369.651608796295</v>
      </c>
      <c r="B7528" s="5">
        <v>1</v>
      </c>
    </row>
    <row r="7529" spans="1:2" x14ac:dyDescent="0.35">
      <c r="A7529" s="14">
        <v>42369.652418981481</v>
      </c>
      <c r="B7529" s="5">
        <v>1</v>
      </c>
    </row>
    <row r="7530" spans="1:2" x14ac:dyDescent="0.35">
      <c r="A7530" s="14">
        <v>42369.65315972222</v>
      </c>
      <c r="B7530" s="5">
        <v>1</v>
      </c>
    </row>
    <row r="7531" spans="1:2" x14ac:dyDescent="0.35">
      <c r="A7531" s="14">
        <v>42369.655127314814</v>
      </c>
      <c r="B7531" s="5">
        <v>1</v>
      </c>
    </row>
    <row r="7532" spans="1:2" x14ac:dyDescent="0.35">
      <c r="A7532" s="14">
        <v>42369.657164351855</v>
      </c>
      <c r="B7532" s="5">
        <v>1</v>
      </c>
    </row>
    <row r="7533" spans="1:2" x14ac:dyDescent="0.35">
      <c r="A7533" s="14">
        <v>42369.70653935185</v>
      </c>
      <c r="B7533" s="5">
        <v>1</v>
      </c>
    </row>
    <row r="7534" spans="1:2" x14ac:dyDescent="0.35">
      <c r="A7534" s="14">
        <v>42369.765289351853</v>
      </c>
      <c r="B7534" s="5">
        <v>1</v>
      </c>
    </row>
    <row r="7535" spans="1:2" x14ac:dyDescent="0.35">
      <c r="A7535" s="14">
        <v>42369.767650462964</v>
      </c>
      <c r="B7535" s="5">
        <v>1</v>
      </c>
    </row>
    <row r="7536" spans="1:2" x14ac:dyDescent="0.35">
      <c r="A7536" s="14">
        <v>42369.781585648147</v>
      </c>
      <c r="B7536" s="5">
        <v>1</v>
      </c>
    </row>
    <row r="7537" spans="1:2" x14ac:dyDescent="0.35">
      <c r="A7537" s="14">
        <v>42369.797488425924</v>
      </c>
      <c r="B7537" s="5">
        <v>1</v>
      </c>
    </row>
    <row r="7538" spans="1:2" x14ac:dyDescent="0.35">
      <c r="A7538" s="14">
        <v>42369.943831018521</v>
      </c>
      <c r="B7538" s="5">
        <v>1</v>
      </c>
    </row>
    <row r="7539" spans="1:2" x14ac:dyDescent="0.35">
      <c r="A7539" s="14">
        <v>42369.950787037036</v>
      </c>
      <c r="B7539" s="5">
        <v>1</v>
      </c>
    </row>
    <row r="7540" spans="1:2" x14ac:dyDescent="0.35">
      <c r="A7540" s="14">
        <v>42370.04247685185</v>
      </c>
      <c r="B7540" s="5">
        <v>1</v>
      </c>
    </row>
    <row r="7541" spans="1:2" x14ac:dyDescent="0.35">
      <c r="A7541" s="14">
        <v>42370.042974537035</v>
      </c>
      <c r="B7541" s="5">
        <v>1</v>
      </c>
    </row>
    <row r="7542" spans="1:2" x14ac:dyDescent="0.35">
      <c r="A7542" s="14">
        <v>42370.060694444444</v>
      </c>
      <c r="B7542" s="5">
        <v>1</v>
      </c>
    </row>
    <row r="7543" spans="1:2" x14ac:dyDescent="0.35">
      <c r="A7543" s="14">
        <v>42370.131238425929</v>
      </c>
      <c r="B7543" s="5">
        <v>1</v>
      </c>
    </row>
    <row r="7544" spans="1:2" x14ac:dyDescent="0.35">
      <c r="A7544" s="14">
        <v>42370.633900462963</v>
      </c>
      <c r="B7544" s="5">
        <v>1</v>
      </c>
    </row>
    <row r="7545" spans="1:2" x14ac:dyDescent="0.35">
      <c r="A7545" s="14">
        <v>42370.680520833332</v>
      </c>
      <c r="B7545" s="5">
        <v>1</v>
      </c>
    </row>
    <row r="7546" spans="1:2" x14ac:dyDescent="0.35">
      <c r="A7546" s="14">
        <v>42370.694097222222</v>
      </c>
      <c r="B7546" s="5">
        <v>1</v>
      </c>
    </row>
    <row r="7547" spans="1:2" x14ac:dyDescent="0.35">
      <c r="A7547" s="14">
        <v>42370.7184375</v>
      </c>
      <c r="B7547" s="5">
        <v>1</v>
      </c>
    </row>
    <row r="7548" spans="1:2" x14ac:dyDescent="0.35">
      <c r="A7548" s="14">
        <v>42370.721782407411</v>
      </c>
      <c r="B7548" s="5">
        <v>1</v>
      </c>
    </row>
    <row r="7549" spans="1:2" x14ac:dyDescent="0.35">
      <c r="A7549" s="14">
        <v>42370.798090277778</v>
      </c>
      <c r="B7549" s="5">
        <v>1</v>
      </c>
    </row>
    <row r="7550" spans="1:2" x14ac:dyDescent="0.35">
      <c r="A7550" s="14">
        <v>42370.846701388888</v>
      </c>
      <c r="B7550" s="5">
        <v>1</v>
      </c>
    </row>
    <row r="7551" spans="1:2" x14ac:dyDescent="0.35">
      <c r="A7551" s="14">
        <v>42370.898622685185</v>
      </c>
      <c r="B7551" s="5">
        <v>1</v>
      </c>
    </row>
    <row r="7552" spans="1:2" x14ac:dyDescent="0.35">
      <c r="A7552" s="14">
        <v>42370.922974537039</v>
      </c>
      <c r="B7552" s="5">
        <v>1</v>
      </c>
    </row>
    <row r="7553" spans="1:2" x14ac:dyDescent="0.35">
      <c r="A7553" s="14">
        <v>42371.008391203701</v>
      </c>
      <c r="B7553" s="5">
        <v>1</v>
      </c>
    </row>
    <row r="7554" spans="1:2" x14ac:dyDescent="0.35">
      <c r="A7554" s="14">
        <v>42371.008553240739</v>
      </c>
      <c r="B7554" s="5">
        <v>2</v>
      </c>
    </row>
    <row r="7555" spans="1:2" x14ac:dyDescent="0.35">
      <c r="A7555" s="14">
        <v>42371.008796296293</v>
      </c>
      <c r="B7555" s="5">
        <v>1</v>
      </c>
    </row>
    <row r="7556" spans="1:2" x14ac:dyDescent="0.35">
      <c r="A7556" s="14">
        <v>42371.00886574074</v>
      </c>
      <c r="B7556" s="5">
        <v>1</v>
      </c>
    </row>
    <row r="7557" spans="1:2" x14ac:dyDescent="0.35">
      <c r="A7557" s="14">
        <v>42371.009675925925</v>
      </c>
      <c r="B7557" s="5">
        <v>1</v>
      </c>
    </row>
    <row r="7558" spans="1:2" x14ac:dyDescent="0.35">
      <c r="A7558" s="14">
        <v>42371.009814814817</v>
      </c>
      <c r="B7558" s="5">
        <v>1</v>
      </c>
    </row>
    <row r="7559" spans="1:2" x14ac:dyDescent="0.35">
      <c r="A7559" s="14">
        <v>42371.130995370368</v>
      </c>
      <c r="B7559" s="5">
        <v>1</v>
      </c>
    </row>
    <row r="7560" spans="1:2" x14ac:dyDescent="0.35">
      <c r="A7560" s="14">
        <v>42371.134479166663</v>
      </c>
      <c r="B7560" s="5">
        <v>1</v>
      </c>
    </row>
    <row r="7561" spans="1:2" x14ac:dyDescent="0.35">
      <c r="A7561" s="14">
        <v>42371.181608796294</v>
      </c>
      <c r="B7561" s="5">
        <v>1</v>
      </c>
    </row>
    <row r="7562" spans="1:2" x14ac:dyDescent="0.35">
      <c r="A7562" s="14">
        <v>42371.181909722225</v>
      </c>
      <c r="B7562" s="5">
        <v>2</v>
      </c>
    </row>
    <row r="7563" spans="1:2" x14ac:dyDescent="0.35">
      <c r="A7563" s="14">
        <v>42371.654479166667</v>
      </c>
      <c r="B7563" s="5">
        <v>1</v>
      </c>
    </row>
    <row r="7564" spans="1:2" x14ac:dyDescent="0.35">
      <c r="A7564" s="14">
        <v>42371.724895833337</v>
      </c>
      <c r="B7564" s="5">
        <v>1</v>
      </c>
    </row>
    <row r="7565" spans="1:2" x14ac:dyDescent="0.35">
      <c r="A7565" s="14">
        <v>42371.815208333333</v>
      </c>
      <c r="B7565" s="5">
        <v>1</v>
      </c>
    </row>
    <row r="7566" spans="1:2" x14ac:dyDescent="0.35">
      <c r="A7566" s="14">
        <v>42371.865763888891</v>
      </c>
      <c r="B7566" s="5">
        <v>1</v>
      </c>
    </row>
    <row r="7567" spans="1:2" x14ac:dyDescent="0.35">
      <c r="A7567" s="14">
        <v>42371.869814814818</v>
      </c>
      <c r="B7567" s="5">
        <v>1</v>
      </c>
    </row>
    <row r="7568" spans="1:2" x14ac:dyDescent="0.35">
      <c r="A7568" s="14">
        <v>42371.88208333333</v>
      </c>
      <c r="B7568" s="5">
        <v>1</v>
      </c>
    </row>
    <row r="7569" spans="1:2" x14ac:dyDescent="0.35">
      <c r="A7569" s="14">
        <v>42371.911030092589</v>
      </c>
      <c r="B7569" s="5">
        <v>1</v>
      </c>
    </row>
    <row r="7570" spans="1:2" x14ac:dyDescent="0.35">
      <c r="A7570" s="14">
        <v>42371.917094907411</v>
      </c>
      <c r="B7570" s="5">
        <v>1</v>
      </c>
    </row>
    <row r="7571" spans="1:2" x14ac:dyDescent="0.35">
      <c r="A7571" s="14">
        <v>42371.918576388889</v>
      </c>
      <c r="B7571" s="5">
        <v>1</v>
      </c>
    </row>
    <row r="7572" spans="1:2" x14ac:dyDescent="0.35">
      <c r="A7572" s="14">
        <v>42371.923101851855</v>
      </c>
      <c r="B7572" s="5">
        <v>1</v>
      </c>
    </row>
    <row r="7573" spans="1:2" x14ac:dyDescent="0.35">
      <c r="A7573" s="14">
        <v>42371.926296296297</v>
      </c>
      <c r="B7573" s="5">
        <v>1</v>
      </c>
    </row>
    <row r="7574" spans="1:2" x14ac:dyDescent="0.35">
      <c r="A7574" s="14">
        <v>42371.93408564815</v>
      </c>
      <c r="B7574" s="5">
        <v>1</v>
      </c>
    </row>
    <row r="7575" spans="1:2" x14ac:dyDescent="0.35">
      <c r="A7575" s="14">
        <v>42371.959143518521</v>
      </c>
      <c r="B7575" s="5">
        <v>1</v>
      </c>
    </row>
    <row r="7576" spans="1:2" x14ac:dyDescent="0.35">
      <c r="A7576" s="14">
        <v>42371.962777777779</v>
      </c>
      <c r="B7576" s="5">
        <v>1</v>
      </c>
    </row>
    <row r="7577" spans="1:2" x14ac:dyDescent="0.35">
      <c r="A7577" s="14">
        <v>42372.040312500001</v>
      </c>
      <c r="B7577" s="5">
        <v>1</v>
      </c>
    </row>
    <row r="7578" spans="1:2" x14ac:dyDescent="0.35">
      <c r="A7578" s="14">
        <v>42372.042002314818</v>
      </c>
      <c r="B7578" s="5">
        <v>1</v>
      </c>
    </row>
    <row r="7579" spans="1:2" x14ac:dyDescent="0.35">
      <c r="A7579" s="14">
        <v>42372.045428240737</v>
      </c>
      <c r="B7579" s="5">
        <v>1</v>
      </c>
    </row>
    <row r="7580" spans="1:2" x14ac:dyDescent="0.35">
      <c r="A7580" s="14">
        <v>42372.127928240741</v>
      </c>
      <c r="B7580" s="5">
        <v>1</v>
      </c>
    </row>
    <row r="7581" spans="1:2" x14ac:dyDescent="0.35">
      <c r="A7581" s="14">
        <v>42372.220034722224</v>
      </c>
      <c r="B7581" s="5">
        <v>1</v>
      </c>
    </row>
    <row r="7582" spans="1:2" x14ac:dyDescent="0.35">
      <c r="A7582" s="14">
        <v>42372.345949074072</v>
      </c>
      <c r="B7582" s="5">
        <v>1</v>
      </c>
    </row>
    <row r="7583" spans="1:2" x14ac:dyDescent="0.35">
      <c r="A7583" s="14">
        <v>42372.431319444448</v>
      </c>
      <c r="B7583" s="5">
        <v>1</v>
      </c>
    </row>
    <row r="7584" spans="1:2" x14ac:dyDescent="0.35">
      <c r="A7584" s="14">
        <v>42372.446886574071</v>
      </c>
      <c r="B7584" s="5">
        <v>1</v>
      </c>
    </row>
    <row r="7585" spans="1:2" x14ac:dyDescent="0.35">
      <c r="A7585" s="14">
        <v>42372.511620370373</v>
      </c>
      <c r="B7585" s="5">
        <v>1</v>
      </c>
    </row>
    <row r="7586" spans="1:2" x14ac:dyDescent="0.35">
      <c r="A7586" s="14">
        <v>42372.517222222225</v>
      </c>
      <c r="B7586" s="5">
        <v>1</v>
      </c>
    </row>
    <row r="7587" spans="1:2" x14ac:dyDescent="0.35">
      <c r="A7587" s="14">
        <v>42372.560590277775</v>
      </c>
      <c r="B7587" s="5">
        <v>1</v>
      </c>
    </row>
    <row r="7588" spans="1:2" x14ac:dyDescent="0.35">
      <c r="A7588" s="14">
        <v>42372.56417824074</v>
      </c>
      <c r="B7588" s="5">
        <v>1</v>
      </c>
    </row>
    <row r="7589" spans="1:2" x14ac:dyDescent="0.35">
      <c r="A7589" s="14">
        <v>42372.710046296299</v>
      </c>
      <c r="B7589" s="5">
        <v>1</v>
      </c>
    </row>
    <row r="7590" spans="1:2" x14ac:dyDescent="0.35">
      <c r="A7590" s="14">
        <v>42372.733206018522</v>
      </c>
      <c r="B7590" s="5">
        <v>1</v>
      </c>
    </row>
    <row r="7591" spans="1:2" x14ac:dyDescent="0.35">
      <c r="A7591" s="14">
        <v>42372.733460648145</v>
      </c>
      <c r="B7591" s="5">
        <v>1</v>
      </c>
    </row>
    <row r="7592" spans="1:2" x14ac:dyDescent="0.35">
      <c r="A7592" s="14">
        <v>42372.733819444446</v>
      </c>
      <c r="B7592" s="5">
        <v>2</v>
      </c>
    </row>
    <row r="7593" spans="1:2" x14ac:dyDescent="0.35">
      <c r="A7593" s="14">
        <v>42372.78162037037</v>
      </c>
      <c r="B7593" s="5">
        <v>1</v>
      </c>
    </row>
    <row r="7594" spans="1:2" x14ac:dyDescent="0.35">
      <c r="A7594" s="14">
        <v>42372.83421296296</v>
      </c>
      <c r="B7594" s="5">
        <v>1</v>
      </c>
    </row>
    <row r="7595" spans="1:2" x14ac:dyDescent="0.35">
      <c r="A7595" s="14">
        <v>42372.844386574077</v>
      </c>
      <c r="B7595" s="5">
        <v>1</v>
      </c>
    </row>
    <row r="7596" spans="1:2" x14ac:dyDescent="0.35">
      <c r="A7596" s="14">
        <v>42372.84443287037</v>
      </c>
      <c r="B7596" s="5">
        <v>1</v>
      </c>
    </row>
    <row r="7597" spans="1:2" x14ac:dyDescent="0.35">
      <c r="A7597" s="14">
        <v>42372.904722222222</v>
      </c>
      <c r="B7597" s="5">
        <v>1</v>
      </c>
    </row>
    <row r="7598" spans="1:2" x14ac:dyDescent="0.35">
      <c r="A7598" s="14">
        <v>42372.912997685184</v>
      </c>
      <c r="B7598" s="5">
        <v>1</v>
      </c>
    </row>
    <row r="7599" spans="1:2" x14ac:dyDescent="0.35">
      <c r="A7599" s="14">
        <v>42372.923796296294</v>
      </c>
      <c r="B7599" s="5">
        <v>1</v>
      </c>
    </row>
    <row r="7600" spans="1:2" x14ac:dyDescent="0.35">
      <c r="A7600" s="14">
        <v>42372.962048611109</v>
      </c>
      <c r="B7600" s="5">
        <v>1</v>
      </c>
    </row>
    <row r="7601" spans="1:2" x14ac:dyDescent="0.35">
      <c r="A7601" s="14">
        <v>42372.975185185183</v>
      </c>
      <c r="B7601" s="5">
        <v>1</v>
      </c>
    </row>
    <row r="7602" spans="1:2" x14ac:dyDescent="0.35">
      <c r="A7602" s="14">
        <v>42372.982812499999</v>
      </c>
      <c r="B7602" s="5">
        <v>1</v>
      </c>
    </row>
    <row r="7603" spans="1:2" x14ac:dyDescent="0.35">
      <c r="A7603" s="14">
        <v>42373.037685185183</v>
      </c>
      <c r="B7603" s="5">
        <v>1</v>
      </c>
    </row>
    <row r="7604" spans="1:2" x14ac:dyDescent="0.35">
      <c r="A7604" s="14">
        <v>42373.069432870368</v>
      </c>
      <c r="B7604" s="5">
        <v>1</v>
      </c>
    </row>
    <row r="7605" spans="1:2" x14ac:dyDescent="0.35">
      <c r="A7605" s="14">
        <v>42373.074756944443</v>
      </c>
      <c r="B7605" s="5">
        <v>1</v>
      </c>
    </row>
    <row r="7606" spans="1:2" x14ac:dyDescent="0.35">
      <c r="A7606" s="14">
        <v>42373.082337962966</v>
      </c>
      <c r="B7606" s="5">
        <v>1</v>
      </c>
    </row>
    <row r="7607" spans="1:2" x14ac:dyDescent="0.35">
      <c r="A7607" s="14">
        <v>42373.114247685182</v>
      </c>
      <c r="B7607" s="5">
        <v>1</v>
      </c>
    </row>
    <row r="7608" spans="1:2" x14ac:dyDescent="0.35">
      <c r="A7608" s="14">
        <v>42373.125740740739</v>
      </c>
      <c r="B7608" s="5">
        <v>1</v>
      </c>
    </row>
    <row r="7609" spans="1:2" x14ac:dyDescent="0.35">
      <c r="A7609" s="14">
        <v>42373.12672453704</v>
      </c>
      <c r="B7609" s="5">
        <v>1</v>
      </c>
    </row>
    <row r="7610" spans="1:2" x14ac:dyDescent="0.35">
      <c r="A7610" s="14">
        <v>42373.134467592594</v>
      </c>
      <c r="B7610" s="5">
        <v>1</v>
      </c>
    </row>
    <row r="7611" spans="1:2" x14ac:dyDescent="0.35">
      <c r="A7611" s="14">
        <v>42373.134976851848</v>
      </c>
      <c r="B7611" s="5">
        <v>1</v>
      </c>
    </row>
    <row r="7612" spans="1:2" x14ac:dyDescent="0.35">
      <c r="A7612" s="14">
        <v>42373.152650462966</v>
      </c>
      <c r="B7612" s="5">
        <v>1</v>
      </c>
    </row>
    <row r="7613" spans="1:2" x14ac:dyDescent="0.35">
      <c r="A7613" s="14">
        <v>42373.152743055558</v>
      </c>
      <c r="B7613" s="5">
        <v>1</v>
      </c>
    </row>
    <row r="7614" spans="1:2" x14ac:dyDescent="0.35">
      <c r="A7614" s="14">
        <v>42373.15452546296</v>
      </c>
      <c r="B7614" s="5">
        <v>1</v>
      </c>
    </row>
    <row r="7615" spans="1:2" x14ac:dyDescent="0.35">
      <c r="A7615" s="14">
        <v>42373.283703703702</v>
      </c>
      <c r="B7615" s="5">
        <v>1</v>
      </c>
    </row>
    <row r="7616" spans="1:2" x14ac:dyDescent="0.35">
      <c r="A7616" s="14">
        <v>42373.284409722219</v>
      </c>
      <c r="B7616" s="5">
        <v>2</v>
      </c>
    </row>
    <row r="7617" spans="1:2" x14ac:dyDescent="0.35">
      <c r="A7617" s="14">
        <v>42373.285601851851</v>
      </c>
      <c r="B7617" s="5">
        <v>1</v>
      </c>
    </row>
    <row r="7618" spans="1:2" x14ac:dyDescent="0.35">
      <c r="A7618" s="14">
        <v>42373.285636574074</v>
      </c>
      <c r="B7618" s="5">
        <v>1</v>
      </c>
    </row>
    <row r="7619" spans="1:2" x14ac:dyDescent="0.35">
      <c r="A7619" s="14">
        <v>42373.297488425924</v>
      </c>
      <c r="B7619" s="5">
        <v>1</v>
      </c>
    </row>
    <row r="7620" spans="1:2" x14ac:dyDescent="0.35">
      <c r="A7620" s="14">
        <v>42373.297719907408</v>
      </c>
      <c r="B7620" s="5">
        <v>1</v>
      </c>
    </row>
    <row r="7621" spans="1:2" x14ac:dyDescent="0.35">
      <c r="A7621" s="14">
        <v>42373.372164351851</v>
      </c>
      <c r="B7621" s="5">
        <v>1</v>
      </c>
    </row>
    <row r="7622" spans="1:2" x14ac:dyDescent="0.35">
      <c r="A7622" s="14">
        <v>42373.470023148147</v>
      </c>
      <c r="B7622" s="5">
        <v>1</v>
      </c>
    </row>
    <row r="7623" spans="1:2" x14ac:dyDescent="0.35">
      <c r="A7623" s="14">
        <v>42373.554652777777</v>
      </c>
      <c r="B7623" s="5">
        <v>1</v>
      </c>
    </row>
    <row r="7624" spans="1:2" x14ac:dyDescent="0.35">
      <c r="A7624" s="14">
        <v>42373.575590277775</v>
      </c>
      <c r="B7624" s="5">
        <v>1</v>
      </c>
    </row>
    <row r="7625" spans="1:2" x14ac:dyDescent="0.35">
      <c r="A7625" s="14">
        <v>42373.58258101852</v>
      </c>
      <c r="B7625" s="5">
        <v>1</v>
      </c>
    </row>
    <row r="7626" spans="1:2" x14ac:dyDescent="0.35">
      <c r="A7626" s="14">
        <v>42373.605127314811</v>
      </c>
      <c r="B7626" s="5">
        <v>1</v>
      </c>
    </row>
    <row r="7627" spans="1:2" x14ac:dyDescent="0.35">
      <c r="A7627" s="14">
        <v>42373.614756944444</v>
      </c>
      <c r="B7627" s="5">
        <v>1</v>
      </c>
    </row>
    <row r="7628" spans="1:2" x14ac:dyDescent="0.35">
      <c r="A7628" s="14">
        <v>42373.61577546296</v>
      </c>
      <c r="B7628" s="5">
        <v>2</v>
      </c>
    </row>
    <row r="7629" spans="1:2" x14ac:dyDescent="0.35">
      <c r="A7629" s="14">
        <v>42373.616006944445</v>
      </c>
      <c r="B7629" s="5">
        <v>1</v>
      </c>
    </row>
    <row r="7630" spans="1:2" x14ac:dyDescent="0.35">
      <c r="A7630" s="14">
        <v>42373.616319444445</v>
      </c>
      <c r="B7630" s="5">
        <v>1</v>
      </c>
    </row>
    <row r="7631" spans="1:2" x14ac:dyDescent="0.35">
      <c r="A7631" s="14">
        <v>42373.619270833333</v>
      </c>
      <c r="B7631" s="5">
        <v>1</v>
      </c>
    </row>
    <row r="7632" spans="1:2" x14ac:dyDescent="0.35">
      <c r="A7632" s="14">
        <v>42373.619502314818</v>
      </c>
      <c r="B7632" s="5">
        <v>1</v>
      </c>
    </row>
    <row r="7633" spans="1:2" x14ac:dyDescent="0.35">
      <c r="A7633" s="14">
        <v>42373.620393518519</v>
      </c>
      <c r="B7633" s="5">
        <v>1</v>
      </c>
    </row>
    <row r="7634" spans="1:2" x14ac:dyDescent="0.35">
      <c r="A7634" s="14">
        <v>42373.620659722219</v>
      </c>
      <c r="B7634" s="5">
        <v>1</v>
      </c>
    </row>
    <row r="7635" spans="1:2" x14ac:dyDescent="0.35">
      <c r="A7635" s="14">
        <v>42373.638310185182</v>
      </c>
      <c r="B7635" s="5">
        <v>1</v>
      </c>
    </row>
    <row r="7636" spans="1:2" x14ac:dyDescent="0.35">
      <c r="A7636" s="14">
        <v>42373.6796412037</v>
      </c>
      <c r="B7636" s="5">
        <v>1</v>
      </c>
    </row>
    <row r="7637" spans="1:2" x14ac:dyDescent="0.35">
      <c r="A7637" s="14">
        <v>42373.690069444441</v>
      </c>
      <c r="B7637" s="5">
        <v>1</v>
      </c>
    </row>
    <row r="7638" spans="1:2" x14ac:dyDescent="0.35">
      <c r="A7638" s="14">
        <v>42373.695115740738</v>
      </c>
      <c r="B7638" s="5">
        <v>1</v>
      </c>
    </row>
    <row r="7639" spans="1:2" x14ac:dyDescent="0.35">
      <c r="A7639" s="14">
        <v>42373.696979166663</v>
      </c>
      <c r="B7639" s="5">
        <v>1</v>
      </c>
    </row>
    <row r="7640" spans="1:2" x14ac:dyDescent="0.35">
      <c r="A7640" s="14">
        <v>42373.717314814814</v>
      </c>
      <c r="B7640" s="5">
        <v>1</v>
      </c>
    </row>
    <row r="7641" spans="1:2" x14ac:dyDescent="0.35">
      <c r="A7641" s="14">
        <v>42373.721041666664</v>
      </c>
      <c r="B7641" s="5">
        <v>1</v>
      </c>
    </row>
    <row r="7642" spans="1:2" x14ac:dyDescent="0.35">
      <c r="A7642" s="14">
        <v>42373.729479166665</v>
      </c>
      <c r="B7642" s="5">
        <v>1</v>
      </c>
    </row>
    <row r="7643" spans="1:2" x14ac:dyDescent="0.35">
      <c r="A7643" s="14">
        <v>42373.755300925928</v>
      </c>
      <c r="B7643" s="5">
        <v>1</v>
      </c>
    </row>
    <row r="7644" spans="1:2" x14ac:dyDescent="0.35">
      <c r="A7644" s="14">
        <v>42373.755682870367</v>
      </c>
      <c r="B7644" s="5">
        <v>1</v>
      </c>
    </row>
    <row r="7645" spans="1:2" x14ac:dyDescent="0.35">
      <c r="A7645" s="14">
        <v>42373.75681712963</v>
      </c>
      <c r="B7645" s="5">
        <v>1</v>
      </c>
    </row>
    <row r="7646" spans="1:2" x14ac:dyDescent="0.35">
      <c r="A7646" s="14">
        <v>42373.759456018517</v>
      </c>
      <c r="B7646" s="5">
        <v>1</v>
      </c>
    </row>
    <row r="7647" spans="1:2" x14ac:dyDescent="0.35">
      <c r="A7647" s="14">
        <v>42373.761550925927</v>
      </c>
      <c r="B7647" s="5">
        <v>1</v>
      </c>
    </row>
    <row r="7648" spans="1:2" x14ac:dyDescent="0.35">
      <c r="A7648" s="14">
        <v>42373.774872685186</v>
      </c>
      <c r="B7648" s="5">
        <v>1</v>
      </c>
    </row>
    <row r="7649" spans="1:2" x14ac:dyDescent="0.35">
      <c r="A7649" s="14">
        <v>42373.861018518517</v>
      </c>
      <c r="B7649" s="5">
        <v>1</v>
      </c>
    </row>
    <row r="7650" spans="1:2" x14ac:dyDescent="0.35">
      <c r="A7650" s="14">
        <v>42373.879108796296</v>
      </c>
      <c r="B7650" s="5">
        <v>1</v>
      </c>
    </row>
    <row r="7651" spans="1:2" x14ac:dyDescent="0.35">
      <c r="A7651" s="14">
        <v>42373.88585648148</v>
      </c>
      <c r="B7651" s="5">
        <v>1</v>
      </c>
    </row>
    <row r="7652" spans="1:2" x14ac:dyDescent="0.35">
      <c r="A7652" s="14">
        <v>42373.887013888889</v>
      </c>
      <c r="B7652" s="5">
        <v>1</v>
      </c>
    </row>
    <row r="7653" spans="1:2" x14ac:dyDescent="0.35">
      <c r="A7653" s="14">
        <v>42373.887175925927</v>
      </c>
      <c r="B7653" s="5">
        <v>1</v>
      </c>
    </row>
    <row r="7654" spans="1:2" x14ac:dyDescent="0.35">
      <c r="A7654" s="14">
        <v>42373.9</v>
      </c>
      <c r="B7654" s="5">
        <v>1</v>
      </c>
    </row>
    <row r="7655" spans="1:2" x14ac:dyDescent="0.35">
      <c r="A7655" s="14">
        <v>42373.923356481479</v>
      </c>
      <c r="B7655" s="5">
        <v>1</v>
      </c>
    </row>
    <row r="7656" spans="1:2" x14ac:dyDescent="0.35">
      <c r="A7656" s="14">
        <v>42373.955925925926</v>
      </c>
      <c r="B7656" s="5">
        <v>1</v>
      </c>
    </row>
    <row r="7657" spans="1:2" x14ac:dyDescent="0.35">
      <c r="A7657" s="14">
        <v>42373.996354166666</v>
      </c>
      <c r="B7657" s="5">
        <v>1</v>
      </c>
    </row>
    <row r="7658" spans="1:2" x14ac:dyDescent="0.35">
      <c r="A7658" s="14">
        <v>42373.999479166669</v>
      </c>
      <c r="B7658" s="5">
        <v>2</v>
      </c>
    </row>
    <row r="7659" spans="1:2" x14ac:dyDescent="0.35">
      <c r="A7659" s="14">
        <v>42374.037326388891</v>
      </c>
      <c r="B7659" s="5">
        <v>1</v>
      </c>
    </row>
    <row r="7660" spans="1:2" x14ac:dyDescent="0.35">
      <c r="A7660" s="14">
        <v>42374.043425925927</v>
      </c>
      <c r="B7660" s="5">
        <v>1</v>
      </c>
    </row>
    <row r="7661" spans="1:2" x14ac:dyDescent="0.35">
      <c r="A7661" s="14">
        <v>42374.091620370367</v>
      </c>
      <c r="B7661" s="5">
        <v>1</v>
      </c>
    </row>
    <row r="7662" spans="1:2" x14ac:dyDescent="0.35">
      <c r="A7662" s="14">
        <v>42374.10665509259</v>
      </c>
      <c r="B7662" s="5">
        <v>1</v>
      </c>
    </row>
    <row r="7663" spans="1:2" x14ac:dyDescent="0.35">
      <c r="A7663" s="14">
        <v>42374.109583333331</v>
      </c>
      <c r="B7663" s="5">
        <v>1</v>
      </c>
    </row>
    <row r="7664" spans="1:2" x14ac:dyDescent="0.35">
      <c r="A7664" s="14">
        <v>42374.118020833332</v>
      </c>
      <c r="B7664" s="5">
        <v>1</v>
      </c>
    </row>
    <row r="7665" spans="1:2" x14ac:dyDescent="0.35">
      <c r="A7665" s="14">
        <v>42374.119016203702</v>
      </c>
      <c r="B7665" s="5">
        <v>1</v>
      </c>
    </row>
    <row r="7666" spans="1:2" x14ac:dyDescent="0.35">
      <c r="A7666" s="14">
        <v>42374.11917824074</v>
      </c>
      <c r="B7666" s="5">
        <v>1</v>
      </c>
    </row>
    <row r="7667" spans="1:2" x14ac:dyDescent="0.35">
      <c r="A7667" s="14">
        <v>42374.122407407405</v>
      </c>
      <c r="B7667" s="5">
        <v>1</v>
      </c>
    </row>
    <row r="7668" spans="1:2" x14ac:dyDescent="0.35">
      <c r="A7668" s="14">
        <v>42374.122534722221</v>
      </c>
      <c r="B7668" s="5">
        <v>1</v>
      </c>
    </row>
    <row r="7669" spans="1:2" x14ac:dyDescent="0.35">
      <c r="A7669" s="14">
        <v>42374.158136574071</v>
      </c>
      <c r="B7669" s="5">
        <v>1</v>
      </c>
    </row>
    <row r="7670" spans="1:2" x14ac:dyDescent="0.35">
      <c r="A7670" s="14">
        <v>42374.165983796294</v>
      </c>
      <c r="B7670" s="5">
        <v>1</v>
      </c>
    </row>
    <row r="7671" spans="1:2" x14ac:dyDescent="0.35">
      <c r="A7671" s="14">
        <v>42374.171863425923</v>
      </c>
      <c r="B7671" s="5">
        <v>1</v>
      </c>
    </row>
    <row r="7672" spans="1:2" x14ac:dyDescent="0.35">
      <c r="A7672" s="14">
        <v>42374.554363425923</v>
      </c>
      <c r="B7672" s="5">
        <v>1</v>
      </c>
    </row>
    <row r="7673" spans="1:2" x14ac:dyDescent="0.35">
      <c r="A7673" s="14">
        <v>42374.561342592591</v>
      </c>
      <c r="B7673" s="5">
        <v>1</v>
      </c>
    </row>
    <row r="7674" spans="1:2" x14ac:dyDescent="0.35">
      <c r="A7674" s="14">
        <v>42374.567986111113</v>
      </c>
      <c r="B7674" s="5">
        <v>1</v>
      </c>
    </row>
    <row r="7675" spans="1:2" x14ac:dyDescent="0.35">
      <c r="A7675" s="14">
        <v>42374.569363425922</v>
      </c>
      <c r="B7675" s="5">
        <v>1</v>
      </c>
    </row>
    <row r="7676" spans="1:2" x14ac:dyDescent="0.35">
      <c r="A7676" s="14">
        <v>42374.573078703703</v>
      </c>
      <c r="B7676" s="5">
        <v>1</v>
      </c>
    </row>
    <row r="7677" spans="1:2" x14ac:dyDescent="0.35">
      <c r="A7677" s="14">
        <v>42374.6247337963</v>
      </c>
      <c r="B7677" s="5">
        <v>1</v>
      </c>
    </row>
    <row r="7678" spans="1:2" x14ac:dyDescent="0.35">
      <c r="A7678" s="14">
        <v>42374.624849537038</v>
      </c>
      <c r="B7678" s="5">
        <v>1</v>
      </c>
    </row>
    <row r="7679" spans="1:2" x14ac:dyDescent="0.35">
      <c r="A7679" s="14">
        <v>42374.631840277776</v>
      </c>
      <c r="B7679" s="5">
        <v>1</v>
      </c>
    </row>
    <row r="7680" spans="1:2" x14ac:dyDescent="0.35">
      <c r="A7680" s="14">
        <v>42374.634479166663</v>
      </c>
      <c r="B7680" s="5">
        <v>1</v>
      </c>
    </row>
    <row r="7681" spans="1:2" x14ac:dyDescent="0.35">
      <c r="A7681" s="14">
        <v>42374.641597222224</v>
      </c>
      <c r="B7681" s="5">
        <v>1</v>
      </c>
    </row>
    <row r="7682" spans="1:2" x14ac:dyDescent="0.35">
      <c r="A7682" s="14">
        <v>42374.641747685186</v>
      </c>
      <c r="B7682" s="5">
        <v>2</v>
      </c>
    </row>
    <row r="7683" spans="1:2" x14ac:dyDescent="0.35">
      <c r="A7683" s="14">
        <v>42374.645208333335</v>
      </c>
      <c r="B7683" s="5">
        <v>1</v>
      </c>
    </row>
    <row r="7684" spans="1:2" x14ac:dyDescent="0.35">
      <c r="A7684" s="14">
        <v>42374.645601851851</v>
      </c>
      <c r="B7684" s="5">
        <v>2</v>
      </c>
    </row>
    <row r="7685" spans="1:2" x14ac:dyDescent="0.35">
      <c r="A7685" s="14">
        <v>42374.671307870369</v>
      </c>
      <c r="B7685" s="5">
        <v>1</v>
      </c>
    </row>
    <row r="7686" spans="1:2" x14ac:dyDescent="0.35">
      <c r="A7686" s="14">
        <v>42374.689687500002</v>
      </c>
      <c r="B7686" s="5">
        <v>1</v>
      </c>
    </row>
    <row r="7687" spans="1:2" x14ac:dyDescent="0.35">
      <c r="A7687" s="14">
        <v>42374.70034722222</v>
      </c>
      <c r="B7687" s="5">
        <v>1</v>
      </c>
    </row>
    <row r="7688" spans="1:2" x14ac:dyDescent="0.35">
      <c r="A7688" s="14">
        <v>42374.728900462964</v>
      </c>
      <c r="B7688" s="5">
        <v>1</v>
      </c>
    </row>
    <row r="7689" spans="1:2" x14ac:dyDescent="0.35">
      <c r="A7689" s="14">
        <v>42374.730798611112</v>
      </c>
      <c r="B7689" s="5">
        <v>1</v>
      </c>
    </row>
    <row r="7690" spans="1:2" x14ac:dyDescent="0.35">
      <c r="A7690" s="14">
        <v>42374.791331018518</v>
      </c>
      <c r="B7690" s="5">
        <v>1</v>
      </c>
    </row>
    <row r="7691" spans="1:2" x14ac:dyDescent="0.35">
      <c r="A7691" s="14">
        <v>42374.792916666665</v>
      </c>
      <c r="B7691" s="5">
        <v>1</v>
      </c>
    </row>
    <row r="7692" spans="1:2" x14ac:dyDescent="0.35">
      <c r="A7692" s="14">
        <v>42374.793263888889</v>
      </c>
      <c r="B7692" s="5">
        <v>1</v>
      </c>
    </row>
    <row r="7693" spans="1:2" x14ac:dyDescent="0.35">
      <c r="A7693" s="14">
        <v>42374.795983796299</v>
      </c>
      <c r="B7693" s="5">
        <v>1</v>
      </c>
    </row>
    <row r="7694" spans="1:2" x14ac:dyDescent="0.35">
      <c r="A7694" s="14">
        <v>42374.796643518515</v>
      </c>
      <c r="B7694" s="5">
        <v>1</v>
      </c>
    </row>
    <row r="7695" spans="1:2" x14ac:dyDescent="0.35">
      <c r="A7695" s="14">
        <v>42374.798368055555</v>
      </c>
      <c r="B7695" s="5">
        <v>1</v>
      </c>
    </row>
    <row r="7696" spans="1:2" x14ac:dyDescent="0.35">
      <c r="A7696" s="14">
        <v>42374.798900462964</v>
      </c>
      <c r="B7696" s="5">
        <v>1</v>
      </c>
    </row>
    <row r="7697" spans="1:2" x14ac:dyDescent="0.35">
      <c r="A7697" s="14">
        <v>42374.800092592595</v>
      </c>
      <c r="B7697" s="5">
        <v>1</v>
      </c>
    </row>
    <row r="7698" spans="1:2" x14ac:dyDescent="0.35">
      <c r="A7698" s="14">
        <v>42374.801018518519</v>
      </c>
      <c r="B7698" s="5">
        <v>1</v>
      </c>
    </row>
    <row r="7699" spans="1:2" x14ac:dyDescent="0.35">
      <c r="A7699" s="14">
        <v>42374.803946759261</v>
      </c>
      <c r="B7699" s="5">
        <v>1</v>
      </c>
    </row>
    <row r="7700" spans="1:2" x14ac:dyDescent="0.35">
      <c r="A7700" s="14">
        <v>42374.8046875</v>
      </c>
      <c r="B7700" s="5">
        <v>1</v>
      </c>
    </row>
    <row r="7701" spans="1:2" x14ac:dyDescent="0.35">
      <c r="A7701" s="14">
        <v>42374.824050925927</v>
      </c>
      <c r="B7701" s="5">
        <v>1</v>
      </c>
    </row>
    <row r="7702" spans="1:2" x14ac:dyDescent="0.35">
      <c r="A7702" s="14">
        <v>42374.824293981481</v>
      </c>
      <c r="B7702" s="5">
        <v>2</v>
      </c>
    </row>
    <row r="7703" spans="1:2" x14ac:dyDescent="0.35">
      <c r="A7703" s="14">
        <v>42374.84107638889</v>
      </c>
      <c r="B7703" s="5">
        <v>1</v>
      </c>
    </row>
    <row r="7704" spans="1:2" x14ac:dyDescent="0.35">
      <c r="A7704" s="14">
        <v>42374.871863425928</v>
      </c>
      <c r="B7704" s="5">
        <v>1</v>
      </c>
    </row>
    <row r="7705" spans="1:2" x14ac:dyDescent="0.35">
      <c r="A7705" s="14">
        <v>42374.899618055555</v>
      </c>
      <c r="B7705" s="5">
        <v>1</v>
      </c>
    </row>
    <row r="7706" spans="1:2" x14ac:dyDescent="0.35">
      <c r="A7706" s="14">
        <v>42374.900729166664</v>
      </c>
      <c r="B7706" s="5">
        <v>1</v>
      </c>
    </row>
    <row r="7707" spans="1:2" x14ac:dyDescent="0.35">
      <c r="A7707" s="14">
        <v>42374.968321759261</v>
      </c>
      <c r="B7707" s="5">
        <v>1</v>
      </c>
    </row>
    <row r="7708" spans="1:2" x14ac:dyDescent="0.35">
      <c r="A7708" s="14">
        <v>42374.97388888889</v>
      </c>
      <c r="B7708" s="5">
        <v>1</v>
      </c>
    </row>
    <row r="7709" spans="1:2" x14ac:dyDescent="0.35">
      <c r="A7709" s="14">
        <v>42374.9843287037</v>
      </c>
      <c r="B7709" s="5">
        <v>1</v>
      </c>
    </row>
    <row r="7710" spans="1:2" x14ac:dyDescent="0.35">
      <c r="A7710" s="14">
        <v>42375.052939814814</v>
      </c>
      <c r="B7710" s="5">
        <v>1</v>
      </c>
    </row>
    <row r="7711" spans="1:2" x14ac:dyDescent="0.35">
      <c r="A7711" s="14">
        <v>42375.054930555554</v>
      </c>
      <c r="B7711" s="5">
        <v>1</v>
      </c>
    </row>
    <row r="7712" spans="1:2" x14ac:dyDescent="0.35">
      <c r="A7712" s="14">
        <v>42375.055671296293</v>
      </c>
      <c r="B7712" s="5">
        <v>1</v>
      </c>
    </row>
    <row r="7713" spans="1:2" x14ac:dyDescent="0.35">
      <c r="A7713" s="14">
        <v>42375.208379629628</v>
      </c>
      <c r="B7713" s="5">
        <v>1</v>
      </c>
    </row>
    <row r="7714" spans="1:2" x14ac:dyDescent="0.35">
      <c r="A7714" s="14">
        <v>42375.212523148148</v>
      </c>
      <c r="B7714" s="5">
        <v>1</v>
      </c>
    </row>
    <row r="7715" spans="1:2" x14ac:dyDescent="0.35">
      <c r="A7715" s="14">
        <v>42375.216608796298</v>
      </c>
      <c r="B7715" s="5">
        <v>1</v>
      </c>
    </row>
    <row r="7716" spans="1:2" x14ac:dyDescent="0.35">
      <c r="A7716" s="14">
        <v>42375.220358796294</v>
      </c>
      <c r="B7716" s="5">
        <v>1</v>
      </c>
    </row>
    <row r="7717" spans="1:2" x14ac:dyDescent="0.35">
      <c r="A7717" s="14">
        <v>42375.310173611113</v>
      </c>
      <c r="B7717" s="5">
        <v>1</v>
      </c>
    </row>
    <row r="7718" spans="1:2" x14ac:dyDescent="0.35">
      <c r="A7718" s="14">
        <v>42375.415185185186</v>
      </c>
      <c r="B7718" s="5">
        <v>1</v>
      </c>
    </row>
    <row r="7719" spans="1:2" x14ac:dyDescent="0.35">
      <c r="A7719" s="14">
        <v>42375.575057870374</v>
      </c>
      <c r="B7719" s="5">
        <v>1</v>
      </c>
    </row>
    <row r="7720" spans="1:2" x14ac:dyDescent="0.35">
      <c r="A7720" s="14">
        <v>42375.599444444444</v>
      </c>
      <c r="B7720" s="5">
        <v>1</v>
      </c>
    </row>
    <row r="7721" spans="1:2" x14ac:dyDescent="0.35">
      <c r="A7721" s="14">
        <v>42375.624247685184</v>
      </c>
      <c r="B7721" s="5">
        <v>1</v>
      </c>
    </row>
    <row r="7722" spans="1:2" x14ac:dyDescent="0.35">
      <c r="A7722" s="14">
        <v>42375.638298611113</v>
      </c>
      <c r="B7722" s="5">
        <v>1</v>
      </c>
    </row>
    <row r="7723" spans="1:2" x14ac:dyDescent="0.35">
      <c r="A7723" s="14">
        <v>42375.639317129629</v>
      </c>
      <c r="B7723" s="5">
        <v>1</v>
      </c>
    </row>
    <row r="7724" spans="1:2" x14ac:dyDescent="0.35">
      <c r="A7724" s="14">
        <v>42375.6487037037</v>
      </c>
      <c r="B7724" s="5">
        <v>1</v>
      </c>
    </row>
    <row r="7725" spans="1:2" x14ac:dyDescent="0.35">
      <c r="A7725" s="14">
        <v>42375.657164351855</v>
      </c>
      <c r="B7725" s="5">
        <v>1</v>
      </c>
    </row>
    <row r="7726" spans="1:2" x14ac:dyDescent="0.35">
      <c r="A7726" s="14">
        <v>42375.708935185183</v>
      </c>
      <c r="B7726" s="5">
        <v>1</v>
      </c>
    </row>
    <row r="7727" spans="1:2" x14ac:dyDescent="0.35">
      <c r="A7727" s="14">
        <v>42375.714571759258</v>
      </c>
      <c r="B7727" s="5">
        <v>1</v>
      </c>
    </row>
    <row r="7728" spans="1:2" x14ac:dyDescent="0.35">
      <c r="A7728" s="14">
        <v>42375.723124999997</v>
      </c>
      <c r="B7728" s="5">
        <v>1</v>
      </c>
    </row>
    <row r="7729" spans="1:2" x14ac:dyDescent="0.35">
      <c r="A7729" s="14">
        <v>42375.744826388887</v>
      </c>
      <c r="B7729" s="5">
        <v>1</v>
      </c>
    </row>
    <row r="7730" spans="1:2" x14ac:dyDescent="0.35">
      <c r="A7730" s="14">
        <v>42375.745763888888</v>
      </c>
      <c r="B7730" s="5">
        <v>1</v>
      </c>
    </row>
    <row r="7731" spans="1:2" x14ac:dyDescent="0.35">
      <c r="A7731" s="14">
        <v>42375.765081018515</v>
      </c>
      <c r="B7731" s="5">
        <v>1</v>
      </c>
    </row>
    <row r="7732" spans="1:2" x14ac:dyDescent="0.35">
      <c r="A7732" s="14">
        <v>42375.765856481485</v>
      </c>
      <c r="B7732" s="5">
        <v>1</v>
      </c>
    </row>
    <row r="7733" spans="1:2" x14ac:dyDescent="0.35">
      <c r="A7733" s="14">
        <v>42375.80877314815</v>
      </c>
      <c r="B7733" s="5">
        <v>1</v>
      </c>
    </row>
    <row r="7734" spans="1:2" x14ac:dyDescent="0.35">
      <c r="A7734" s="14">
        <v>42375.847997685189</v>
      </c>
      <c r="B7734" s="5">
        <v>1</v>
      </c>
    </row>
    <row r="7735" spans="1:2" x14ac:dyDescent="0.35">
      <c r="A7735" s="14">
        <v>42375.856053240743</v>
      </c>
      <c r="B7735" s="5">
        <v>1</v>
      </c>
    </row>
    <row r="7736" spans="1:2" x14ac:dyDescent="0.35">
      <c r="A7736" s="14">
        <v>42375.856400462966</v>
      </c>
      <c r="B7736" s="5">
        <v>1</v>
      </c>
    </row>
    <row r="7737" spans="1:2" x14ac:dyDescent="0.35">
      <c r="A7737" s="14">
        <v>42375.86855324074</v>
      </c>
      <c r="B7737" s="5">
        <v>1</v>
      </c>
    </row>
    <row r="7738" spans="1:2" x14ac:dyDescent="0.35">
      <c r="A7738" s="14">
        <v>42375.895266203705</v>
      </c>
      <c r="B7738" s="5">
        <v>1</v>
      </c>
    </row>
    <row r="7739" spans="1:2" x14ac:dyDescent="0.35">
      <c r="A7739" s="14">
        <v>42375.898136574076</v>
      </c>
      <c r="B7739" s="5">
        <v>1</v>
      </c>
    </row>
    <row r="7740" spans="1:2" x14ac:dyDescent="0.35">
      <c r="A7740" s="14">
        <v>42375.905451388891</v>
      </c>
      <c r="B7740" s="5">
        <v>1</v>
      </c>
    </row>
    <row r="7741" spans="1:2" x14ac:dyDescent="0.35">
      <c r="A7741" s="14">
        <v>42375.91202546296</v>
      </c>
      <c r="B7741" s="5">
        <v>1</v>
      </c>
    </row>
    <row r="7742" spans="1:2" x14ac:dyDescent="0.35">
      <c r="A7742" s="14">
        <v>42375.917627314811</v>
      </c>
      <c r="B7742" s="5">
        <v>1</v>
      </c>
    </row>
    <row r="7743" spans="1:2" x14ac:dyDescent="0.35">
      <c r="A7743" s="14">
        <v>42375.920138888891</v>
      </c>
      <c r="B7743" s="5">
        <v>1</v>
      </c>
    </row>
    <row r="7744" spans="1:2" x14ac:dyDescent="0.35">
      <c r="A7744" s="14">
        <v>42375.93346064815</v>
      </c>
      <c r="B7744" s="5">
        <v>1</v>
      </c>
    </row>
    <row r="7745" spans="1:2" x14ac:dyDescent="0.35">
      <c r="A7745" s="14">
        <v>42375.937106481484</v>
      </c>
      <c r="B7745" s="5">
        <v>1</v>
      </c>
    </row>
    <row r="7746" spans="1:2" x14ac:dyDescent="0.35">
      <c r="A7746" s="14">
        <v>42375.938576388886</v>
      </c>
      <c r="B7746" s="5">
        <v>1</v>
      </c>
    </row>
    <row r="7747" spans="1:2" x14ac:dyDescent="0.35">
      <c r="A7747" s="14">
        <v>42375.946539351855</v>
      </c>
      <c r="B7747" s="5">
        <v>1</v>
      </c>
    </row>
    <row r="7748" spans="1:2" x14ac:dyDescent="0.35">
      <c r="A7748" s="14">
        <v>42375.954212962963</v>
      </c>
      <c r="B7748" s="5">
        <v>1</v>
      </c>
    </row>
    <row r="7749" spans="1:2" x14ac:dyDescent="0.35">
      <c r="A7749" s="14">
        <v>42375.977870370371</v>
      </c>
      <c r="B7749" s="5">
        <v>1</v>
      </c>
    </row>
    <row r="7750" spans="1:2" x14ac:dyDescent="0.35">
      <c r="A7750" s="14">
        <v>42375.983078703706</v>
      </c>
      <c r="B7750" s="5">
        <v>1</v>
      </c>
    </row>
    <row r="7751" spans="1:2" x14ac:dyDescent="0.35">
      <c r="A7751" s="14">
        <v>42375.986018518517</v>
      </c>
      <c r="B7751" s="5">
        <v>1</v>
      </c>
    </row>
    <row r="7752" spans="1:2" x14ac:dyDescent="0.35">
      <c r="A7752" s="14">
        <v>42375.990717592591</v>
      </c>
      <c r="B7752" s="5">
        <v>1</v>
      </c>
    </row>
    <row r="7753" spans="1:2" x14ac:dyDescent="0.35">
      <c r="A7753" s="14">
        <v>42376.108240740738</v>
      </c>
      <c r="B7753" s="5">
        <v>1</v>
      </c>
    </row>
    <row r="7754" spans="1:2" x14ac:dyDescent="0.35">
      <c r="A7754" s="14">
        <v>42376.130694444444</v>
      </c>
      <c r="B7754" s="5">
        <v>1</v>
      </c>
    </row>
    <row r="7755" spans="1:2" x14ac:dyDescent="0.35">
      <c r="A7755" s="14">
        <v>42376.137696759259</v>
      </c>
      <c r="B7755" s="5">
        <v>1</v>
      </c>
    </row>
    <row r="7756" spans="1:2" x14ac:dyDescent="0.35">
      <c r="A7756" s="14">
        <v>42376.149421296293</v>
      </c>
      <c r="B7756" s="5">
        <v>1</v>
      </c>
    </row>
    <row r="7757" spans="1:2" x14ac:dyDescent="0.35">
      <c r="A7757" s="14">
        <v>42376.271782407406</v>
      </c>
      <c r="B7757" s="5">
        <v>1</v>
      </c>
    </row>
    <row r="7758" spans="1:2" x14ac:dyDescent="0.35">
      <c r="A7758" s="14">
        <v>42376.45888888889</v>
      </c>
      <c r="B7758" s="5">
        <v>1</v>
      </c>
    </row>
    <row r="7759" spans="1:2" x14ac:dyDescent="0.35">
      <c r="A7759" s="14">
        <v>42376.592303240737</v>
      </c>
      <c r="B7759" s="5">
        <v>1</v>
      </c>
    </row>
    <row r="7760" spans="1:2" x14ac:dyDescent="0.35">
      <c r="A7760" s="14">
        <v>42376.596041666664</v>
      </c>
      <c r="B7760" s="5">
        <v>2</v>
      </c>
    </row>
    <row r="7761" spans="1:2" x14ac:dyDescent="0.35">
      <c r="A7761" s="14">
        <v>42376.621006944442</v>
      </c>
      <c r="B7761" s="5">
        <v>1</v>
      </c>
    </row>
    <row r="7762" spans="1:2" x14ac:dyDescent="0.35">
      <c r="A7762" s="14">
        <v>42376.623680555553</v>
      </c>
      <c r="B7762" s="5">
        <v>1</v>
      </c>
    </row>
    <row r="7763" spans="1:2" x14ac:dyDescent="0.35">
      <c r="A7763" s="14">
        <v>42376.628263888888</v>
      </c>
      <c r="B7763" s="5">
        <v>1</v>
      </c>
    </row>
    <row r="7764" spans="1:2" x14ac:dyDescent="0.35">
      <c r="A7764" s="14">
        <v>42376.643449074072</v>
      </c>
      <c r="B7764" s="5">
        <v>1</v>
      </c>
    </row>
    <row r="7765" spans="1:2" x14ac:dyDescent="0.35">
      <c r="A7765" s="14">
        <v>42376.644513888888</v>
      </c>
      <c r="B7765" s="5">
        <v>1</v>
      </c>
    </row>
    <row r="7766" spans="1:2" x14ac:dyDescent="0.35">
      <c r="A7766" s="14">
        <v>42376.644525462965</v>
      </c>
      <c r="B7766" s="5">
        <v>1</v>
      </c>
    </row>
    <row r="7767" spans="1:2" x14ac:dyDescent="0.35">
      <c r="A7767" s="14">
        <v>42376.644791666666</v>
      </c>
      <c r="B7767" s="5">
        <v>1</v>
      </c>
    </row>
    <row r="7768" spans="1:2" x14ac:dyDescent="0.35">
      <c r="A7768" s="14">
        <v>42376.664444444446</v>
      </c>
      <c r="B7768" s="5">
        <v>1</v>
      </c>
    </row>
    <row r="7769" spans="1:2" x14ac:dyDescent="0.35">
      <c r="A7769" s="14">
        <v>42376.667928240742</v>
      </c>
      <c r="B7769" s="5">
        <v>1</v>
      </c>
    </row>
    <row r="7770" spans="1:2" x14ac:dyDescent="0.35">
      <c r="A7770" s="14">
        <v>42376.716956018521</v>
      </c>
      <c r="B7770" s="5">
        <v>1</v>
      </c>
    </row>
    <row r="7771" spans="1:2" x14ac:dyDescent="0.35">
      <c r="A7771" s="14">
        <v>42376.717222222222</v>
      </c>
      <c r="B7771" s="5">
        <v>1</v>
      </c>
    </row>
    <row r="7772" spans="1:2" x14ac:dyDescent="0.35">
      <c r="A7772" s="14">
        <v>42376.732800925929</v>
      </c>
      <c r="B7772" s="5">
        <v>1</v>
      </c>
    </row>
    <row r="7773" spans="1:2" x14ac:dyDescent="0.35">
      <c r="A7773" s="14">
        <v>42376.758530092593</v>
      </c>
      <c r="B7773" s="5">
        <v>1</v>
      </c>
    </row>
    <row r="7774" spans="1:2" x14ac:dyDescent="0.35">
      <c r="A7774" s="14">
        <v>42376.765856481485</v>
      </c>
      <c r="B7774" s="5">
        <v>1</v>
      </c>
    </row>
    <row r="7775" spans="1:2" x14ac:dyDescent="0.35">
      <c r="A7775" s="14">
        <v>42376.813634259262</v>
      </c>
      <c r="B7775" s="5">
        <v>1</v>
      </c>
    </row>
    <row r="7776" spans="1:2" x14ac:dyDescent="0.35">
      <c r="A7776" s="14">
        <v>42376.839421296296</v>
      </c>
      <c r="B7776" s="5">
        <v>1</v>
      </c>
    </row>
    <row r="7777" spans="1:2" x14ac:dyDescent="0.35">
      <c r="A7777" s="14">
        <v>42376.843148148146</v>
      </c>
      <c r="B7777" s="5">
        <v>1</v>
      </c>
    </row>
    <row r="7778" spans="1:2" x14ac:dyDescent="0.35">
      <c r="A7778" s="14">
        <v>42376.857361111113</v>
      </c>
      <c r="B7778" s="5">
        <v>1</v>
      </c>
    </row>
    <row r="7779" spans="1:2" x14ac:dyDescent="0.35">
      <c r="A7779" s="14">
        <v>42376.862002314818</v>
      </c>
      <c r="B7779" s="5">
        <v>1</v>
      </c>
    </row>
    <row r="7780" spans="1:2" x14ac:dyDescent="0.35">
      <c r="A7780" s="14">
        <v>42376.895428240743</v>
      </c>
      <c r="B7780" s="5">
        <v>1</v>
      </c>
    </row>
    <row r="7781" spans="1:2" x14ac:dyDescent="0.35">
      <c r="A7781" s="14">
        <v>42376.900960648149</v>
      </c>
      <c r="B7781" s="5">
        <v>1</v>
      </c>
    </row>
    <row r="7782" spans="1:2" x14ac:dyDescent="0.35">
      <c r="A7782" s="14">
        <v>42376.90116898148</v>
      </c>
      <c r="B7782" s="5">
        <v>1</v>
      </c>
    </row>
    <row r="7783" spans="1:2" x14ac:dyDescent="0.35">
      <c r="A7783" s="14">
        <v>42376.903321759259</v>
      </c>
      <c r="B7783" s="5">
        <v>1</v>
      </c>
    </row>
    <row r="7784" spans="1:2" x14ac:dyDescent="0.35">
      <c r="A7784" s="14">
        <v>42376.930358796293</v>
      </c>
      <c r="B7784" s="5">
        <v>1</v>
      </c>
    </row>
    <row r="7785" spans="1:2" x14ac:dyDescent="0.35">
      <c r="A7785" s="14">
        <v>42376.930983796294</v>
      </c>
      <c r="B7785" s="5">
        <v>1</v>
      </c>
    </row>
    <row r="7786" spans="1:2" x14ac:dyDescent="0.35">
      <c r="A7786" s="14">
        <v>42376.936400462961</v>
      </c>
      <c r="B7786" s="5">
        <v>1</v>
      </c>
    </row>
    <row r="7787" spans="1:2" x14ac:dyDescent="0.35">
      <c r="A7787" s="14">
        <v>42376.940567129626</v>
      </c>
      <c r="B7787" s="5">
        <v>1</v>
      </c>
    </row>
    <row r="7788" spans="1:2" x14ac:dyDescent="0.35">
      <c r="A7788" s="14">
        <v>42376.957349537035</v>
      </c>
      <c r="B7788" s="5">
        <v>1</v>
      </c>
    </row>
    <row r="7789" spans="1:2" x14ac:dyDescent="0.35">
      <c r="A7789" s="14">
        <v>42376.961412037039</v>
      </c>
      <c r="B7789" s="5">
        <v>1</v>
      </c>
    </row>
    <row r="7790" spans="1:2" x14ac:dyDescent="0.35">
      <c r="A7790" s="14">
        <v>42376.970972222225</v>
      </c>
      <c r="B7790" s="5">
        <v>1</v>
      </c>
    </row>
    <row r="7791" spans="1:2" x14ac:dyDescent="0.35">
      <c r="A7791" s="14">
        <v>42376.975243055553</v>
      </c>
      <c r="B7791" s="5">
        <v>1</v>
      </c>
    </row>
    <row r="7792" spans="1:2" x14ac:dyDescent="0.35">
      <c r="A7792" s="14">
        <v>42376.977199074077</v>
      </c>
      <c r="B7792" s="5">
        <v>1</v>
      </c>
    </row>
    <row r="7793" spans="1:2" x14ac:dyDescent="0.35">
      <c r="A7793" s="14">
        <v>42376.978148148148</v>
      </c>
      <c r="B7793" s="5">
        <v>1</v>
      </c>
    </row>
    <row r="7794" spans="1:2" x14ac:dyDescent="0.35">
      <c r="A7794" s="14">
        <v>42377.016458333332</v>
      </c>
      <c r="B7794" s="5">
        <v>1</v>
      </c>
    </row>
    <row r="7795" spans="1:2" x14ac:dyDescent="0.35">
      <c r="A7795" s="14">
        <v>42377.019988425927</v>
      </c>
      <c r="B7795" s="5">
        <v>1</v>
      </c>
    </row>
    <row r="7796" spans="1:2" x14ac:dyDescent="0.35">
      <c r="A7796" s="14">
        <v>42377.041168981479</v>
      </c>
      <c r="B7796" s="5">
        <v>1</v>
      </c>
    </row>
    <row r="7797" spans="1:2" x14ac:dyDescent="0.35">
      <c r="A7797" s="14">
        <v>42377.045474537037</v>
      </c>
      <c r="B7797" s="5">
        <v>1</v>
      </c>
    </row>
    <row r="7798" spans="1:2" x14ac:dyDescent="0.35">
      <c r="A7798" s="14">
        <v>42377.066620370373</v>
      </c>
      <c r="B7798" s="5">
        <v>1</v>
      </c>
    </row>
    <row r="7799" spans="1:2" x14ac:dyDescent="0.35">
      <c r="A7799" s="14">
        <v>42377.070972222224</v>
      </c>
      <c r="B7799" s="5">
        <v>1</v>
      </c>
    </row>
    <row r="7800" spans="1:2" x14ac:dyDescent="0.35">
      <c r="A7800" s="14">
        <v>42377.075231481482</v>
      </c>
      <c r="B7800" s="5">
        <v>1</v>
      </c>
    </row>
    <row r="7801" spans="1:2" x14ac:dyDescent="0.35">
      <c r="A7801" s="14">
        <v>42377.07644675926</v>
      </c>
      <c r="B7801" s="5">
        <v>1</v>
      </c>
    </row>
    <row r="7802" spans="1:2" x14ac:dyDescent="0.35">
      <c r="A7802" s="14">
        <v>42377.118888888886</v>
      </c>
      <c r="B7802" s="5">
        <v>1</v>
      </c>
    </row>
    <row r="7803" spans="1:2" x14ac:dyDescent="0.35">
      <c r="A7803" s="14">
        <v>42377.122546296298</v>
      </c>
      <c r="B7803" s="5">
        <v>1</v>
      </c>
    </row>
    <row r="7804" spans="1:2" x14ac:dyDescent="0.35">
      <c r="A7804" s="14">
        <v>42377.124050925922</v>
      </c>
      <c r="B7804" s="5">
        <v>1</v>
      </c>
    </row>
    <row r="7805" spans="1:2" x14ac:dyDescent="0.35">
      <c r="A7805" s="14">
        <v>42377.124166666668</v>
      </c>
      <c r="B7805" s="5">
        <v>1</v>
      </c>
    </row>
    <row r="7806" spans="1:2" x14ac:dyDescent="0.35">
      <c r="A7806" s="14">
        <v>42377.194837962961</v>
      </c>
      <c r="B7806" s="5">
        <v>1</v>
      </c>
    </row>
    <row r="7807" spans="1:2" x14ac:dyDescent="0.35">
      <c r="A7807" s="14">
        <v>42377.205069444448</v>
      </c>
      <c r="B7807" s="5">
        <v>1</v>
      </c>
    </row>
    <row r="7808" spans="1:2" x14ac:dyDescent="0.35">
      <c r="A7808" s="14">
        <v>42377.205590277779</v>
      </c>
      <c r="B7808" s="5">
        <v>2</v>
      </c>
    </row>
    <row r="7809" spans="1:2" x14ac:dyDescent="0.35">
      <c r="A7809" s="14">
        <v>42377.206122685187</v>
      </c>
      <c r="B7809" s="5">
        <v>1</v>
      </c>
    </row>
    <row r="7810" spans="1:2" x14ac:dyDescent="0.35">
      <c r="A7810" s="14">
        <v>42377.209849537037</v>
      </c>
      <c r="B7810" s="5">
        <v>1</v>
      </c>
    </row>
    <row r="7811" spans="1:2" x14ac:dyDescent="0.35">
      <c r="A7811" s="14">
        <v>42377.235335648147</v>
      </c>
      <c r="B7811" s="5">
        <v>1</v>
      </c>
    </row>
    <row r="7812" spans="1:2" x14ac:dyDescent="0.35">
      <c r="A7812" s="14">
        <v>42377.243194444447</v>
      </c>
      <c r="B7812" s="5">
        <v>1</v>
      </c>
    </row>
    <row r="7813" spans="1:2" x14ac:dyDescent="0.35">
      <c r="A7813" s="14">
        <v>42377.403912037036</v>
      </c>
      <c r="B7813" s="5">
        <v>1</v>
      </c>
    </row>
    <row r="7814" spans="1:2" x14ac:dyDescent="0.35">
      <c r="A7814" s="14">
        <v>42377.412615740737</v>
      </c>
      <c r="B7814" s="5">
        <v>1</v>
      </c>
    </row>
    <row r="7815" spans="1:2" x14ac:dyDescent="0.35">
      <c r="A7815" s="14">
        <v>42377.444803240738</v>
      </c>
      <c r="B7815" s="5">
        <v>1</v>
      </c>
    </row>
    <row r="7816" spans="1:2" x14ac:dyDescent="0.35">
      <c r="A7816" s="14">
        <v>42377.510995370372</v>
      </c>
      <c r="B7816" s="5">
        <v>1</v>
      </c>
    </row>
    <row r="7817" spans="1:2" x14ac:dyDescent="0.35">
      <c r="A7817" s="14">
        <v>42377.623171296298</v>
      </c>
      <c r="B7817" s="5">
        <v>1</v>
      </c>
    </row>
    <row r="7818" spans="1:2" x14ac:dyDescent="0.35">
      <c r="A7818" s="14">
        <v>42377.638831018521</v>
      </c>
      <c r="B7818" s="5">
        <v>1</v>
      </c>
    </row>
    <row r="7819" spans="1:2" x14ac:dyDescent="0.35">
      <c r="A7819" s="14">
        <v>42377.646331018521</v>
      </c>
      <c r="B7819" s="5">
        <v>1</v>
      </c>
    </row>
    <row r="7820" spans="1:2" x14ac:dyDescent="0.35">
      <c r="A7820" s="14">
        <v>42377.65353009259</v>
      </c>
      <c r="B7820" s="5">
        <v>1</v>
      </c>
    </row>
    <row r="7821" spans="1:2" x14ac:dyDescent="0.35">
      <c r="A7821" s="14">
        <v>42377.668194444443</v>
      </c>
      <c r="B7821" s="5">
        <v>1</v>
      </c>
    </row>
    <row r="7822" spans="1:2" x14ac:dyDescent="0.35">
      <c r="A7822" s="14">
        <v>42377.672106481485</v>
      </c>
      <c r="B7822" s="5">
        <v>1</v>
      </c>
    </row>
    <row r="7823" spans="1:2" x14ac:dyDescent="0.35">
      <c r="A7823" s="14">
        <v>42377.687662037039</v>
      </c>
      <c r="B7823" s="5">
        <v>1</v>
      </c>
    </row>
    <row r="7824" spans="1:2" x14ac:dyDescent="0.35">
      <c r="A7824" s="14">
        <v>42377.711643518516</v>
      </c>
      <c r="B7824" s="5">
        <v>1</v>
      </c>
    </row>
    <row r="7825" spans="1:2" x14ac:dyDescent="0.35">
      <c r="A7825" s="14">
        <v>42377.721886574072</v>
      </c>
      <c r="B7825" s="5">
        <v>1</v>
      </c>
    </row>
    <row r="7826" spans="1:2" x14ac:dyDescent="0.35">
      <c r="A7826" s="14">
        <v>42377.726412037038</v>
      </c>
      <c r="B7826" s="5">
        <v>1</v>
      </c>
    </row>
    <row r="7827" spans="1:2" x14ac:dyDescent="0.35">
      <c r="A7827" s="14">
        <v>42377.726655092592</v>
      </c>
      <c r="B7827" s="5">
        <v>1</v>
      </c>
    </row>
    <row r="7828" spans="1:2" x14ac:dyDescent="0.35">
      <c r="A7828" s="14">
        <v>42377.738067129627</v>
      </c>
      <c r="B7828" s="5">
        <v>1</v>
      </c>
    </row>
    <row r="7829" spans="1:2" x14ac:dyDescent="0.35">
      <c r="A7829" s="14">
        <v>42377.739444444444</v>
      </c>
      <c r="B7829" s="5">
        <v>1</v>
      </c>
    </row>
    <row r="7830" spans="1:2" x14ac:dyDescent="0.35">
      <c r="A7830" s="14">
        <v>42377.795914351853</v>
      </c>
      <c r="B7830" s="5">
        <v>1</v>
      </c>
    </row>
    <row r="7831" spans="1:2" x14ac:dyDescent="0.35">
      <c r="A7831" s="14">
        <v>42377.800081018519</v>
      </c>
      <c r="B7831" s="5">
        <v>1</v>
      </c>
    </row>
    <row r="7832" spans="1:2" x14ac:dyDescent="0.35">
      <c r="A7832" s="14">
        <v>42377.813888888886</v>
      </c>
      <c r="B7832" s="5">
        <v>1</v>
      </c>
    </row>
    <row r="7833" spans="1:2" x14ac:dyDescent="0.35">
      <c r="A7833" s="14">
        <v>42377.815578703703</v>
      </c>
      <c r="B7833" s="5">
        <v>1</v>
      </c>
    </row>
    <row r="7834" spans="1:2" x14ac:dyDescent="0.35">
      <c r="A7834" s="14">
        <v>42377.827881944446</v>
      </c>
      <c r="B7834" s="5">
        <v>1</v>
      </c>
    </row>
    <row r="7835" spans="1:2" x14ac:dyDescent="0.35">
      <c r="A7835" s="14">
        <v>42377.83289351852</v>
      </c>
      <c r="B7835" s="5">
        <v>1</v>
      </c>
    </row>
    <row r="7836" spans="1:2" x14ac:dyDescent="0.35">
      <c r="A7836" s="14">
        <v>42377.836076388892</v>
      </c>
      <c r="B7836" s="5">
        <v>1</v>
      </c>
    </row>
    <row r="7837" spans="1:2" x14ac:dyDescent="0.35">
      <c r="A7837" s="14">
        <v>42377.838935185187</v>
      </c>
      <c r="B7837" s="5">
        <v>1</v>
      </c>
    </row>
    <row r="7838" spans="1:2" x14ac:dyDescent="0.35">
      <c r="A7838" s="14">
        <v>42377.83997685185</v>
      </c>
      <c r="B7838" s="5">
        <v>1</v>
      </c>
    </row>
    <row r="7839" spans="1:2" x14ac:dyDescent="0.35">
      <c r="A7839" s="14">
        <v>42377.840486111112</v>
      </c>
      <c r="B7839" s="5">
        <v>1</v>
      </c>
    </row>
    <row r="7840" spans="1:2" x14ac:dyDescent="0.35">
      <c r="A7840" s="14">
        <v>42377.842615740738</v>
      </c>
      <c r="B7840" s="5">
        <v>2</v>
      </c>
    </row>
    <row r="7841" spans="1:2" x14ac:dyDescent="0.35">
      <c r="A7841" s="14">
        <v>42377.845729166664</v>
      </c>
      <c r="B7841" s="5">
        <v>1</v>
      </c>
    </row>
    <row r="7842" spans="1:2" x14ac:dyDescent="0.35">
      <c r="A7842" s="14">
        <v>42377.885520833333</v>
      </c>
      <c r="B7842" s="5">
        <v>1</v>
      </c>
    </row>
    <row r="7843" spans="1:2" x14ac:dyDescent="0.35">
      <c r="A7843" s="14">
        <v>42378.007928240739</v>
      </c>
      <c r="B7843" s="5">
        <v>1</v>
      </c>
    </row>
    <row r="7844" spans="1:2" x14ac:dyDescent="0.35">
      <c r="A7844" s="14">
        <v>42378.099224537036</v>
      </c>
      <c r="B7844" s="5">
        <v>1</v>
      </c>
    </row>
    <row r="7845" spans="1:2" x14ac:dyDescent="0.35">
      <c r="A7845" s="14">
        <v>42378.104733796295</v>
      </c>
      <c r="B7845" s="5">
        <v>1</v>
      </c>
    </row>
    <row r="7846" spans="1:2" x14ac:dyDescent="0.35">
      <c r="A7846" s="14">
        <v>42378.192650462966</v>
      </c>
      <c r="B7846" s="5">
        <v>1</v>
      </c>
    </row>
    <row r="7847" spans="1:2" x14ac:dyDescent="0.35">
      <c r="A7847" s="14">
        <v>42378.200416666667</v>
      </c>
      <c r="B7847" s="5">
        <v>1</v>
      </c>
    </row>
    <row r="7848" spans="1:2" x14ac:dyDescent="0.35">
      <c r="A7848" s="14">
        <v>42378.203900462962</v>
      </c>
      <c r="B7848" s="5">
        <v>1</v>
      </c>
    </row>
    <row r="7849" spans="1:2" x14ac:dyDescent="0.35">
      <c r="A7849" s="14">
        <v>42378.203969907408</v>
      </c>
      <c r="B7849" s="5">
        <v>1</v>
      </c>
    </row>
    <row r="7850" spans="1:2" x14ac:dyDescent="0.35">
      <c r="A7850" s="14">
        <v>42378.320208333331</v>
      </c>
      <c r="B7850" s="5">
        <v>1</v>
      </c>
    </row>
    <row r="7851" spans="1:2" x14ac:dyDescent="0.35">
      <c r="A7851" s="14">
        <v>42378.532013888886</v>
      </c>
      <c r="B7851" s="5">
        <v>1</v>
      </c>
    </row>
    <row r="7852" spans="1:2" x14ac:dyDescent="0.35">
      <c r="A7852" s="14">
        <v>42378.535520833335</v>
      </c>
      <c r="B7852" s="5">
        <v>1</v>
      </c>
    </row>
    <row r="7853" spans="1:2" x14ac:dyDescent="0.35">
      <c r="A7853" s="14">
        <v>42378.621747685182</v>
      </c>
      <c r="B7853" s="5">
        <v>1</v>
      </c>
    </row>
    <row r="7854" spans="1:2" x14ac:dyDescent="0.35">
      <c r="A7854" s="14">
        <v>42378.690370370372</v>
      </c>
      <c r="B7854" s="5">
        <v>1</v>
      </c>
    </row>
    <row r="7855" spans="1:2" x14ac:dyDescent="0.35">
      <c r="A7855" s="14">
        <v>42378.699918981481</v>
      </c>
      <c r="B7855" s="5">
        <v>1</v>
      </c>
    </row>
    <row r="7856" spans="1:2" x14ac:dyDescent="0.35">
      <c r="A7856" s="14">
        <v>42378.702743055554</v>
      </c>
      <c r="B7856" s="5">
        <v>1</v>
      </c>
    </row>
    <row r="7857" spans="1:2" x14ac:dyDescent="0.35">
      <c r="A7857" s="14">
        <v>42378.704039351855</v>
      </c>
      <c r="B7857" s="5">
        <v>1</v>
      </c>
    </row>
    <row r="7858" spans="1:2" x14ac:dyDescent="0.35">
      <c r="A7858" s="14">
        <v>42378.718657407408</v>
      </c>
      <c r="B7858" s="5">
        <v>1</v>
      </c>
    </row>
    <row r="7859" spans="1:2" x14ac:dyDescent="0.35">
      <c r="A7859" s="14">
        <v>42378.73164351852</v>
      </c>
      <c r="B7859" s="5">
        <v>1</v>
      </c>
    </row>
    <row r="7860" spans="1:2" x14ac:dyDescent="0.35">
      <c r="A7860" s="14">
        <v>42378.742974537039</v>
      </c>
      <c r="B7860" s="5">
        <v>1</v>
      </c>
    </row>
    <row r="7861" spans="1:2" x14ac:dyDescent="0.35">
      <c r="A7861" s="14">
        <v>42378.7890625</v>
      </c>
      <c r="B7861" s="5">
        <v>1</v>
      </c>
    </row>
    <row r="7862" spans="1:2" x14ac:dyDescent="0.35">
      <c r="A7862" s="14">
        <v>42378.789363425924</v>
      </c>
      <c r="B7862" s="5">
        <v>2</v>
      </c>
    </row>
    <row r="7863" spans="1:2" x14ac:dyDescent="0.35">
      <c r="A7863" s="14">
        <v>42378.812569444446</v>
      </c>
      <c r="B7863" s="5">
        <v>1</v>
      </c>
    </row>
    <row r="7864" spans="1:2" x14ac:dyDescent="0.35">
      <c r="A7864" s="14">
        <v>42378.81894675926</v>
      </c>
      <c r="B7864" s="5">
        <v>1</v>
      </c>
    </row>
    <row r="7865" spans="1:2" x14ac:dyDescent="0.35">
      <c r="A7865" s="14">
        <v>42378.933020833334</v>
      </c>
      <c r="B7865" s="5">
        <v>1</v>
      </c>
    </row>
    <row r="7866" spans="1:2" x14ac:dyDescent="0.35">
      <c r="A7866" s="14">
        <v>42378.933611111112</v>
      </c>
      <c r="B7866" s="5">
        <v>1</v>
      </c>
    </row>
    <row r="7867" spans="1:2" x14ac:dyDescent="0.35">
      <c r="A7867" s="14">
        <v>42378.98914351852</v>
      </c>
      <c r="B7867" s="5">
        <v>1</v>
      </c>
    </row>
    <row r="7868" spans="1:2" x14ac:dyDescent="0.35">
      <c r="A7868" s="14">
        <v>42379.020289351851</v>
      </c>
      <c r="B7868" s="5">
        <v>1</v>
      </c>
    </row>
    <row r="7869" spans="1:2" x14ac:dyDescent="0.35">
      <c r="A7869" s="14">
        <v>42379.020613425928</v>
      </c>
      <c r="B7869" s="5">
        <v>1</v>
      </c>
    </row>
    <row r="7870" spans="1:2" x14ac:dyDescent="0.35">
      <c r="A7870" s="14">
        <v>42379.05259259259</v>
      </c>
      <c r="B7870" s="5">
        <v>1</v>
      </c>
    </row>
    <row r="7871" spans="1:2" x14ac:dyDescent="0.35">
      <c r="A7871" s="14">
        <v>42379.056226851855</v>
      </c>
      <c r="B7871" s="5">
        <v>1</v>
      </c>
    </row>
    <row r="7872" spans="1:2" x14ac:dyDescent="0.35">
      <c r="A7872" s="14">
        <v>42379.124409722222</v>
      </c>
      <c r="B7872" s="5">
        <v>1</v>
      </c>
    </row>
    <row r="7873" spans="1:2" x14ac:dyDescent="0.35">
      <c r="A7873" s="14">
        <v>42379.1246875</v>
      </c>
      <c r="B7873" s="5">
        <v>1</v>
      </c>
    </row>
    <row r="7874" spans="1:2" x14ac:dyDescent="0.35">
      <c r="A7874" s="14">
        <v>42379.20207175926</v>
      </c>
      <c r="B7874" s="5">
        <v>1</v>
      </c>
    </row>
    <row r="7875" spans="1:2" x14ac:dyDescent="0.35">
      <c r="A7875" s="14">
        <v>42379.208564814813</v>
      </c>
      <c r="B7875" s="5">
        <v>1</v>
      </c>
    </row>
    <row r="7876" spans="1:2" x14ac:dyDescent="0.35">
      <c r="A7876" s="14">
        <v>42379.208738425928</v>
      </c>
      <c r="B7876" s="5">
        <v>1</v>
      </c>
    </row>
    <row r="7877" spans="1:2" x14ac:dyDescent="0.35">
      <c r="A7877" s="14">
        <v>42379.210439814815</v>
      </c>
      <c r="B7877" s="5">
        <v>1</v>
      </c>
    </row>
    <row r="7878" spans="1:2" x14ac:dyDescent="0.35">
      <c r="A7878" s="14">
        <v>42379.2109837963</v>
      </c>
      <c r="B7878" s="5">
        <v>1</v>
      </c>
    </row>
    <row r="7879" spans="1:2" x14ac:dyDescent="0.35">
      <c r="A7879" s="14">
        <v>42379.242951388886</v>
      </c>
      <c r="B7879" s="5">
        <v>1</v>
      </c>
    </row>
    <row r="7880" spans="1:2" x14ac:dyDescent="0.35">
      <c r="A7880" s="14">
        <v>42379.257696759261</v>
      </c>
      <c r="B7880" s="5">
        <v>1</v>
      </c>
    </row>
    <row r="7881" spans="1:2" x14ac:dyDescent="0.35">
      <c r="A7881" s="14">
        <v>42379.327604166669</v>
      </c>
      <c r="B7881" s="5">
        <v>1</v>
      </c>
    </row>
    <row r="7882" spans="1:2" x14ac:dyDescent="0.35">
      <c r="A7882" s="14">
        <v>42379.483298611114</v>
      </c>
      <c r="B7882" s="5">
        <v>1</v>
      </c>
    </row>
    <row r="7883" spans="1:2" x14ac:dyDescent="0.35">
      <c r="A7883" s="14">
        <v>42379.483553240738</v>
      </c>
      <c r="B7883" s="5">
        <v>2</v>
      </c>
    </row>
    <row r="7884" spans="1:2" x14ac:dyDescent="0.35">
      <c r="A7884" s="14">
        <v>42379.520300925928</v>
      </c>
      <c r="B7884" s="5">
        <v>1</v>
      </c>
    </row>
    <row r="7885" spans="1:2" x14ac:dyDescent="0.35">
      <c r="A7885" s="14">
        <v>42379.545277777775</v>
      </c>
      <c r="B7885" s="5">
        <v>1</v>
      </c>
    </row>
    <row r="7886" spans="1:2" x14ac:dyDescent="0.35">
      <c r="A7886" s="14">
        <v>42379.549305555556</v>
      </c>
      <c r="B7886" s="5">
        <v>1</v>
      </c>
    </row>
    <row r="7887" spans="1:2" x14ac:dyDescent="0.35">
      <c r="A7887" s="14">
        <v>42379.550300925926</v>
      </c>
      <c r="B7887" s="5">
        <v>1</v>
      </c>
    </row>
    <row r="7888" spans="1:2" x14ac:dyDescent="0.35">
      <c r="A7888" s="14">
        <v>42379.678518518522</v>
      </c>
      <c r="B7888" s="5">
        <v>1</v>
      </c>
    </row>
    <row r="7889" spans="1:2" x14ac:dyDescent="0.35">
      <c r="A7889" s="14">
        <v>42379.686851851853</v>
      </c>
      <c r="B7889" s="5">
        <v>1</v>
      </c>
    </row>
    <row r="7890" spans="1:2" x14ac:dyDescent="0.35">
      <c r="A7890" s="14">
        <v>42379.690520833334</v>
      </c>
      <c r="B7890" s="5">
        <v>1</v>
      </c>
    </row>
    <row r="7891" spans="1:2" x14ac:dyDescent="0.35">
      <c r="A7891" s="14">
        <v>42379.723009259258</v>
      </c>
      <c r="B7891" s="5">
        <v>1</v>
      </c>
    </row>
    <row r="7892" spans="1:2" x14ac:dyDescent="0.35">
      <c r="A7892" s="14">
        <v>42379.724826388891</v>
      </c>
      <c r="B7892" s="5">
        <v>1</v>
      </c>
    </row>
    <row r="7893" spans="1:2" x14ac:dyDescent="0.35">
      <c r="A7893" s="14">
        <v>42379.760497685187</v>
      </c>
      <c r="B7893" s="5">
        <v>1</v>
      </c>
    </row>
    <row r="7894" spans="1:2" x14ac:dyDescent="0.35">
      <c r="A7894" s="14">
        <v>42379.761180555557</v>
      </c>
      <c r="B7894" s="5">
        <v>1</v>
      </c>
    </row>
    <row r="7895" spans="1:2" x14ac:dyDescent="0.35">
      <c r="A7895" s="14">
        <v>42379.795891203707</v>
      </c>
      <c r="B7895" s="5">
        <v>1</v>
      </c>
    </row>
    <row r="7896" spans="1:2" x14ac:dyDescent="0.35">
      <c r="A7896" s="14">
        <v>42379.796099537038</v>
      </c>
      <c r="B7896" s="5">
        <v>1</v>
      </c>
    </row>
    <row r="7897" spans="1:2" x14ac:dyDescent="0.35">
      <c r="A7897" s="14">
        <v>42379.804212962961</v>
      </c>
      <c r="B7897" s="5">
        <v>1</v>
      </c>
    </row>
    <row r="7898" spans="1:2" x14ac:dyDescent="0.35">
      <c r="A7898" s="14">
        <v>42379.87736111111</v>
      </c>
      <c r="B7898" s="5">
        <v>1</v>
      </c>
    </row>
    <row r="7899" spans="1:2" x14ac:dyDescent="0.35">
      <c r="A7899" s="14">
        <v>42379.885289351849</v>
      </c>
      <c r="B7899" s="5">
        <v>1</v>
      </c>
    </row>
    <row r="7900" spans="1:2" x14ac:dyDescent="0.35">
      <c r="A7900" s="14">
        <v>42380.000115740739</v>
      </c>
      <c r="B7900" s="5">
        <v>1</v>
      </c>
    </row>
    <row r="7901" spans="1:2" x14ac:dyDescent="0.35">
      <c r="A7901" s="14">
        <v>42380.020532407405</v>
      </c>
      <c r="B7901" s="5">
        <v>1</v>
      </c>
    </row>
    <row r="7902" spans="1:2" x14ac:dyDescent="0.35">
      <c r="A7902" s="14">
        <v>42380.020567129628</v>
      </c>
      <c r="B7902" s="5">
        <v>1</v>
      </c>
    </row>
    <row r="7903" spans="1:2" x14ac:dyDescent="0.35">
      <c r="A7903" s="14">
        <v>42380.077233796299</v>
      </c>
      <c r="B7903" s="5">
        <v>1</v>
      </c>
    </row>
    <row r="7904" spans="1:2" x14ac:dyDescent="0.35">
      <c r="A7904" s="14">
        <v>42380.090497685182</v>
      </c>
      <c r="B7904" s="5">
        <v>1</v>
      </c>
    </row>
    <row r="7905" spans="1:2" x14ac:dyDescent="0.35">
      <c r="A7905" s="14">
        <v>42380.094699074078</v>
      </c>
      <c r="B7905" s="5">
        <v>1</v>
      </c>
    </row>
    <row r="7906" spans="1:2" x14ac:dyDescent="0.35">
      <c r="A7906" s="14">
        <v>42380.101446759261</v>
      </c>
      <c r="B7906" s="5">
        <v>1</v>
      </c>
    </row>
    <row r="7907" spans="1:2" x14ac:dyDescent="0.35">
      <c r="A7907" s="14">
        <v>42380.102939814817</v>
      </c>
      <c r="B7907" s="5">
        <v>1</v>
      </c>
    </row>
    <row r="7908" spans="1:2" x14ac:dyDescent="0.35">
      <c r="A7908" s="14">
        <v>42380.111793981479</v>
      </c>
      <c r="B7908" s="5">
        <v>1</v>
      </c>
    </row>
    <row r="7909" spans="1:2" x14ac:dyDescent="0.35">
      <c r="A7909" s="14">
        <v>42380.130381944444</v>
      </c>
      <c r="B7909" s="5">
        <v>1</v>
      </c>
    </row>
    <row r="7910" spans="1:2" x14ac:dyDescent="0.35">
      <c r="A7910" s="14">
        <v>42380.134259259263</v>
      </c>
      <c r="B7910" s="5">
        <v>1</v>
      </c>
    </row>
    <row r="7911" spans="1:2" x14ac:dyDescent="0.35">
      <c r="A7911" s="14">
        <v>42380.236446759256</v>
      </c>
      <c r="B7911" s="5">
        <v>1</v>
      </c>
    </row>
    <row r="7912" spans="1:2" x14ac:dyDescent="0.35">
      <c r="A7912" s="14">
        <v>42380.2965625</v>
      </c>
      <c r="B7912" s="5">
        <v>1</v>
      </c>
    </row>
    <row r="7913" spans="1:2" x14ac:dyDescent="0.35">
      <c r="A7913" s="14">
        <v>42380.560011574074</v>
      </c>
      <c r="B7913" s="5">
        <v>1</v>
      </c>
    </row>
    <row r="7914" spans="1:2" x14ac:dyDescent="0.35">
      <c r="A7914" s="14">
        <v>42380.603333333333</v>
      </c>
      <c r="B7914" s="5">
        <v>1</v>
      </c>
    </row>
    <row r="7915" spans="1:2" x14ac:dyDescent="0.35">
      <c r="A7915" s="14">
        <v>42380.607951388891</v>
      </c>
      <c r="B7915" s="5">
        <v>1</v>
      </c>
    </row>
    <row r="7916" spans="1:2" x14ac:dyDescent="0.35">
      <c r="A7916" s="14">
        <v>42380.642523148148</v>
      </c>
      <c r="B7916" s="5">
        <v>1</v>
      </c>
    </row>
    <row r="7917" spans="1:2" x14ac:dyDescent="0.35">
      <c r="A7917" s="14">
        <v>42380.656550925924</v>
      </c>
      <c r="B7917" s="5">
        <v>1</v>
      </c>
    </row>
    <row r="7918" spans="1:2" x14ac:dyDescent="0.35">
      <c r="A7918" s="14">
        <v>42380.662037037036</v>
      </c>
      <c r="B7918" s="5">
        <v>2</v>
      </c>
    </row>
    <row r="7919" spans="1:2" x14ac:dyDescent="0.35">
      <c r="A7919" s="14">
        <v>42380.678576388891</v>
      </c>
      <c r="B7919" s="5">
        <v>1</v>
      </c>
    </row>
    <row r="7920" spans="1:2" x14ac:dyDescent="0.35">
      <c r="A7920" s="14">
        <v>42380.685300925928</v>
      </c>
      <c r="B7920" s="5">
        <v>1</v>
      </c>
    </row>
    <row r="7921" spans="1:2" x14ac:dyDescent="0.35">
      <c r="A7921" s="14">
        <v>42380.709699074076</v>
      </c>
      <c r="B7921" s="5">
        <v>1</v>
      </c>
    </row>
    <row r="7922" spans="1:2" x14ac:dyDescent="0.35">
      <c r="A7922" s="14">
        <v>42380.71366898148</v>
      </c>
      <c r="B7922" s="5">
        <v>1</v>
      </c>
    </row>
    <row r="7923" spans="1:2" x14ac:dyDescent="0.35">
      <c r="A7923" s="14">
        <v>42380.725428240738</v>
      </c>
      <c r="B7923" s="5">
        <v>1</v>
      </c>
    </row>
    <row r="7924" spans="1:2" x14ac:dyDescent="0.35">
      <c r="A7924" s="14">
        <v>42380.737847222219</v>
      </c>
      <c r="B7924" s="5">
        <v>1</v>
      </c>
    </row>
    <row r="7925" spans="1:2" x14ac:dyDescent="0.35">
      <c r="A7925" s="14">
        <v>42380.75240740741</v>
      </c>
      <c r="B7925" s="5">
        <v>1</v>
      </c>
    </row>
    <row r="7926" spans="1:2" x14ac:dyDescent="0.35">
      <c r="A7926" s="14">
        <v>42380.857002314813</v>
      </c>
      <c r="B7926" s="5">
        <v>1</v>
      </c>
    </row>
    <row r="7927" spans="1:2" x14ac:dyDescent="0.35">
      <c r="A7927" s="14">
        <v>42380.864675925928</v>
      </c>
      <c r="B7927" s="5">
        <v>1</v>
      </c>
    </row>
    <row r="7928" spans="1:2" x14ac:dyDescent="0.35">
      <c r="A7928" s="14">
        <v>42380.872442129628</v>
      </c>
      <c r="B7928" s="5">
        <v>1</v>
      </c>
    </row>
    <row r="7929" spans="1:2" x14ac:dyDescent="0.35">
      <c r="A7929" s="14">
        <v>42380.873518518521</v>
      </c>
      <c r="B7929" s="5">
        <v>1</v>
      </c>
    </row>
    <row r="7930" spans="1:2" x14ac:dyDescent="0.35">
      <c r="A7930" s="14">
        <v>42380.876273148147</v>
      </c>
      <c r="B7930" s="5">
        <v>1</v>
      </c>
    </row>
    <row r="7931" spans="1:2" x14ac:dyDescent="0.35">
      <c r="A7931" s="14">
        <v>42380.878807870373</v>
      </c>
      <c r="B7931" s="5">
        <v>1</v>
      </c>
    </row>
    <row r="7932" spans="1:2" x14ac:dyDescent="0.35">
      <c r="A7932" s="14">
        <v>42380.880833333336</v>
      </c>
      <c r="B7932" s="5">
        <v>1</v>
      </c>
    </row>
    <row r="7933" spans="1:2" x14ac:dyDescent="0.35">
      <c r="A7933" s="14">
        <v>42380.882789351854</v>
      </c>
      <c r="B7933" s="5">
        <v>2</v>
      </c>
    </row>
    <row r="7934" spans="1:2" x14ac:dyDescent="0.35">
      <c r="A7934" s="14">
        <v>42380.884756944448</v>
      </c>
      <c r="B7934" s="5">
        <v>1</v>
      </c>
    </row>
    <row r="7935" spans="1:2" x14ac:dyDescent="0.35">
      <c r="A7935" s="14">
        <v>42380.912361111114</v>
      </c>
      <c r="B7935" s="5">
        <v>1</v>
      </c>
    </row>
    <row r="7936" spans="1:2" x14ac:dyDescent="0.35">
      <c r="A7936" s="14">
        <v>42380.912546296298</v>
      </c>
      <c r="B7936" s="5">
        <v>1</v>
      </c>
    </row>
    <row r="7937" spans="1:2" x14ac:dyDescent="0.35">
      <c r="A7937" s="14">
        <v>42380.922974537039</v>
      </c>
      <c r="B7937" s="5">
        <v>1</v>
      </c>
    </row>
    <row r="7938" spans="1:2" x14ac:dyDescent="0.35">
      <c r="A7938" s="14">
        <v>42380.936759259261</v>
      </c>
      <c r="B7938" s="5">
        <v>1</v>
      </c>
    </row>
    <row r="7939" spans="1:2" x14ac:dyDescent="0.35">
      <c r="A7939" s="14">
        <v>42380.956736111111</v>
      </c>
      <c r="B7939" s="5">
        <v>1</v>
      </c>
    </row>
    <row r="7940" spans="1:2" x14ac:dyDescent="0.35">
      <c r="A7940" s="14">
        <v>42380.988900462966</v>
      </c>
      <c r="B7940" s="5">
        <v>1</v>
      </c>
    </row>
    <row r="7941" spans="1:2" x14ac:dyDescent="0.35">
      <c r="A7941" s="14">
        <v>42380.993020833332</v>
      </c>
      <c r="B7941" s="5">
        <v>1</v>
      </c>
    </row>
    <row r="7942" spans="1:2" x14ac:dyDescent="0.35">
      <c r="A7942" s="14">
        <v>42380.995752314811</v>
      </c>
      <c r="B7942" s="5">
        <v>1</v>
      </c>
    </row>
    <row r="7943" spans="1:2" x14ac:dyDescent="0.35">
      <c r="A7943" s="14">
        <v>42380.995972222219</v>
      </c>
      <c r="B7943" s="5">
        <v>1</v>
      </c>
    </row>
    <row r="7944" spans="1:2" x14ac:dyDescent="0.35">
      <c r="A7944" s="14">
        <v>42381.014050925929</v>
      </c>
      <c r="B7944" s="5">
        <v>1</v>
      </c>
    </row>
    <row r="7945" spans="1:2" x14ac:dyDescent="0.35">
      <c r="A7945" s="14">
        <v>42381.018587962964</v>
      </c>
      <c r="B7945" s="5">
        <v>1</v>
      </c>
    </row>
    <row r="7946" spans="1:2" x14ac:dyDescent="0.35">
      <c r="A7946" s="14">
        <v>42381.034490740742</v>
      </c>
      <c r="B7946" s="5">
        <v>1</v>
      </c>
    </row>
    <row r="7947" spans="1:2" x14ac:dyDescent="0.35">
      <c r="A7947" s="14">
        <v>42381.0390162037</v>
      </c>
      <c r="B7947" s="5">
        <v>1</v>
      </c>
    </row>
    <row r="7948" spans="1:2" x14ac:dyDescent="0.35">
      <c r="A7948" s="14">
        <v>42381.054085648146</v>
      </c>
      <c r="B7948" s="5">
        <v>1</v>
      </c>
    </row>
    <row r="7949" spans="1:2" x14ac:dyDescent="0.35">
      <c r="A7949" s="14">
        <v>42381.054884259262</v>
      </c>
      <c r="B7949" s="5">
        <v>1</v>
      </c>
    </row>
    <row r="7950" spans="1:2" x14ac:dyDescent="0.35">
      <c r="A7950" s="14">
        <v>42381.060636574075</v>
      </c>
      <c r="B7950" s="5">
        <v>1</v>
      </c>
    </row>
    <row r="7951" spans="1:2" x14ac:dyDescent="0.35">
      <c r="A7951" s="14">
        <v>42381.064270833333</v>
      </c>
      <c r="B7951" s="5">
        <v>1</v>
      </c>
    </row>
    <row r="7952" spans="1:2" x14ac:dyDescent="0.35">
      <c r="A7952" s="14">
        <v>42381.125567129631</v>
      </c>
      <c r="B7952" s="5">
        <v>1</v>
      </c>
    </row>
    <row r="7953" spans="1:2" x14ac:dyDescent="0.35">
      <c r="A7953" s="14">
        <v>42381.131516203706</v>
      </c>
      <c r="B7953" s="5">
        <v>1</v>
      </c>
    </row>
    <row r="7954" spans="1:2" x14ac:dyDescent="0.35">
      <c r="A7954" s="14">
        <v>42381.131863425922</v>
      </c>
      <c r="B7954" s="5">
        <v>2</v>
      </c>
    </row>
    <row r="7955" spans="1:2" x14ac:dyDescent="0.35">
      <c r="A7955" s="14">
        <v>42381.132824074077</v>
      </c>
      <c r="B7955" s="5">
        <v>1</v>
      </c>
    </row>
    <row r="7956" spans="1:2" x14ac:dyDescent="0.35">
      <c r="A7956" s="14">
        <v>42381.139756944445</v>
      </c>
      <c r="B7956" s="5">
        <v>1</v>
      </c>
    </row>
    <row r="7957" spans="1:2" x14ac:dyDescent="0.35">
      <c r="A7957" s="14">
        <v>42381.143483796295</v>
      </c>
      <c r="B7957" s="5">
        <v>1</v>
      </c>
    </row>
    <row r="7958" spans="1:2" x14ac:dyDescent="0.35">
      <c r="A7958" s="14">
        <v>42381.212407407409</v>
      </c>
      <c r="B7958" s="5">
        <v>1</v>
      </c>
    </row>
    <row r="7959" spans="1:2" x14ac:dyDescent="0.35">
      <c r="A7959" s="14">
        <v>42381.324907407405</v>
      </c>
      <c r="B7959" s="5">
        <v>1</v>
      </c>
    </row>
    <row r="7960" spans="1:2" x14ac:dyDescent="0.35">
      <c r="A7960" s="14">
        <v>42381.563726851855</v>
      </c>
      <c r="B7960" s="5">
        <v>1</v>
      </c>
    </row>
    <row r="7961" spans="1:2" x14ac:dyDescent="0.35">
      <c r="A7961" s="14">
        <v>42381.567326388889</v>
      </c>
      <c r="B7961" s="5">
        <v>1</v>
      </c>
    </row>
    <row r="7962" spans="1:2" x14ac:dyDescent="0.35">
      <c r="A7962" s="14">
        <v>42381.572939814818</v>
      </c>
      <c r="B7962" s="5">
        <v>1</v>
      </c>
    </row>
    <row r="7963" spans="1:2" x14ac:dyDescent="0.35">
      <c r="A7963" s="14">
        <v>42381.652916666666</v>
      </c>
      <c r="B7963" s="5">
        <v>1</v>
      </c>
    </row>
    <row r="7964" spans="1:2" x14ac:dyDescent="0.35">
      <c r="A7964" s="14">
        <v>42381.653275462966</v>
      </c>
      <c r="B7964" s="5">
        <v>1</v>
      </c>
    </row>
    <row r="7965" spans="1:2" x14ac:dyDescent="0.35">
      <c r="A7965" s="14">
        <v>42381.68886574074</v>
      </c>
      <c r="B7965" s="5">
        <v>2</v>
      </c>
    </row>
    <row r="7966" spans="1:2" x14ac:dyDescent="0.35">
      <c r="A7966" s="14">
        <v>42381.689317129632</v>
      </c>
      <c r="B7966" s="5">
        <v>1</v>
      </c>
    </row>
    <row r="7967" spans="1:2" x14ac:dyDescent="0.35">
      <c r="A7967" s="14">
        <v>42381.69940972222</v>
      </c>
      <c r="B7967" s="5">
        <v>1</v>
      </c>
    </row>
    <row r="7968" spans="1:2" x14ac:dyDescent="0.35">
      <c r="A7968" s="14">
        <v>42381.738958333335</v>
      </c>
      <c r="B7968" s="5">
        <v>1</v>
      </c>
    </row>
    <row r="7969" spans="1:2" x14ac:dyDescent="0.35">
      <c r="A7969" s="14">
        <v>42381.750775462962</v>
      </c>
      <c r="B7969" s="5">
        <v>1</v>
      </c>
    </row>
    <row r="7970" spans="1:2" x14ac:dyDescent="0.35">
      <c r="A7970" s="14">
        <v>42381.752395833333</v>
      </c>
      <c r="B7970" s="5">
        <v>1</v>
      </c>
    </row>
    <row r="7971" spans="1:2" x14ac:dyDescent="0.35">
      <c r="A7971" s="14">
        <v>42381.767280092594</v>
      </c>
      <c r="B7971" s="5">
        <v>1</v>
      </c>
    </row>
    <row r="7972" spans="1:2" x14ac:dyDescent="0.35">
      <c r="A7972" s="14">
        <v>42381.767627314817</v>
      </c>
      <c r="B7972" s="5">
        <v>1</v>
      </c>
    </row>
    <row r="7973" spans="1:2" x14ac:dyDescent="0.35">
      <c r="A7973" s="14">
        <v>42381.768067129633</v>
      </c>
      <c r="B7973" s="5">
        <v>1</v>
      </c>
    </row>
    <row r="7974" spans="1:2" x14ac:dyDescent="0.35">
      <c r="A7974" s="14">
        <v>42381.857777777775</v>
      </c>
      <c r="B7974" s="5">
        <v>1</v>
      </c>
    </row>
    <row r="7975" spans="1:2" x14ac:dyDescent="0.35">
      <c r="A7975" s="14">
        <v>42381.862395833334</v>
      </c>
      <c r="B7975" s="5">
        <v>1</v>
      </c>
    </row>
    <row r="7976" spans="1:2" x14ac:dyDescent="0.35">
      <c r="A7976" s="14">
        <v>42381.865416666667</v>
      </c>
      <c r="B7976" s="5">
        <v>1</v>
      </c>
    </row>
    <row r="7977" spans="1:2" x14ac:dyDescent="0.35">
      <c r="A7977" s="14">
        <v>42381.86613425926</v>
      </c>
      <c r="B7977" s="5">
        <v>2</v>
      </c>
    </row>
    <row r="7978" spans="1:2" x14ac:dyDescent="0.35">
      <c r="A7978" s="14">
        <v>42381.936851851853</v>
      </c>
      <c r="B7978" s="5">
        <v>1</v>
      </c>
    </row>
    <row r="7979" spans="1:2" x14ac:dyDescent="0.35">
      <c r="A7979" s="14">
        <v>42381.936979166669</v>
      </c>
      <c r="B7979" s="5">
        <v>1</v>
      </c>
    </row>
    <row r="7980" spans="1:2" x14ac:dyDescent="0.35">
      <c r="A7980" s="14">
        <v>42381.940439814818</v>
      </c>
      <c r="B7980" s="5">
        <v>1</v>
      </c>
    </row>
    <row r="7981" spans="1:2" x14ac:dyDescent="0.35">
      <c r="A7981" s="14">
        <v>42381.956192129626</v>
      </c>
      <c r="B7981" s="5">
        <v>1</v>
      </c>
    </row>
    <row r="7982" spans="1:2" x14ac:dyDescent="0.35">
      <c r="A7982" s="14">
        <v>42382.001087962963</v>
      </c>
      <c r="B7982" s="5">
        <v>1</v>
      </c>
    </row>
    <row r="7983" spans="1:2" x14ac:dyDescent="0.35">
      <c r="A7983" s="14">
        <v>42382.003055555557</v>
      </c>
      <c r="B7983" s="5">
        <v>1</v>
      </c>
    </row>
    <row r="7984" spans="1:2" x14ac:dyDescent="0.35">
      <c r="A7984" s="14">
        <v>42382.043888888889</v>
      </c>
      <c r="B7984" s="5">
        <v>1</v>
      </c>
    </row>
    <row r="7985" spans="1:2" x14ac:dyDescent="0.35">
      <c r="A7985" s="14">
        <v>42382.053344907406</v>
      </c>
      <c r="B7985" s="5">
        <v>1</v>
      </c>
    </row>
    <row r="7986" spans="1:2" x14ac:dyDescent="0.35">
      <c r="A7986" s="14">
        <v>42382.112175925926</v>
      </c>
      <c r="B7986" s="5">
        <v>1</v>
      </c>
    </row>
    <row r="7987" spans="1:2" x14ac:dyDescent="0.35">
      <c r="A7987" s="14">
        <v>42382.11859953704</v>
      </c>
      <c r="B7987" s="5">
        <v>1</v>
      </c>
    </row>
    <row r="7988" spans="1:2" x14ac:dyDescent="0.35">
      <c r="A7988" s="14">
        <v>42382.122418981482</v>
      </c>
      <c r="B7988" s="5">
        <v>1</v>
      </c>
    </row>
    <row r="7989" spans="1:2" x14ac:dyDescent="0.35">
      <c r="A7989" s="14">
        <v>42382.138148148151</v>
      </c>
      <c r="B7989" s="5">
        <v>1</v>
      </c>
    </row>
    <row r="7990" spans="1:2" x14ac:dyDescent="0.35">
      <c r="A7990" s="14">
        <v>42382.149814814817</v>
      </c>
      <c r="B7990" s="5">
        <v>1</v>
      </c>
    </row>
    <row r="7991" spans="1:2" x14ac:dyDescent="0.35">
      <c r="A7991" s="14">
        <v>42382.269305555557</v>
      </c>
      <c r="B7991" s="5">
        <v>1</v>
      </c>
    </row>
    <row r="7992" spans="1:2" x14ac:dyDescent="0.35">
      <c r="A7992" s="14">
        <v>42382.285717592589</v>
      </c>
      <c r="B7992" s="5">
        <v>1</v>
      </c>
    </row>
    <row r="7993" spans="1:2" x14ac:dyDescent="0.35">
      <c r="A7993" s="14">
        <v>42382.556967592594</v>
      </c>
      <c r="B7993" s="5">
        <v>1</v>
      </c>
    </row>
    <row r="7994" spans="1:2" x14ac:dyDescent="0.35">
      <c r="A7994" s="14">
        <v>42382.578750000001</v>
      </c>
      <c r="B7994" s="5">
        <v>1</v>
      </c>
    </row>
    <row r="7995" spans="1:2" x14ac:dyDescent="0.35">
      <c r="A7995" s="14">
        <v>42382.583275462966</v>
      </c>
      <c r="B7995" s="5">
        <v>1</v>
      </c>
    </row>
    <row r="7996" spans="1:2" x14ac:dyDescent="0.35">
      <c r="A7996" s="14">
        <v>42382.600555555553</v>
      </c>
      <c r="B7996" s="5">
        <v>1</v>
      </c>
    </row>
    <row r="7997" spans="1:2" x14ac:dyDescent="0.35">
      <c r="A7997" s="14">
        <v>42382.608738425923</v>
      </c>
      <c r="B7997" s="5">
        <v>1</v>
      </c>
    </row>
    <row r="7998" spans="1:2" x14ac:dyDescent="0.35">
      <c r="A7998" s="14">
        <v>42382.6171412037</v>
      </c>
      <c r="B7998" s="5">
        <v>1</v>
      </c>
    </row>
    <row r="7999" spans="1:2" x14ac:dyDescent="0.35">
      <c r="A7999" s="14">
        <v>42382.641180555554</v>
      </c>
      <c r="B7999" s="5">
        <v>1</v>
      </c>
    </row>
    <row r="8000" spans="1:2" x14ac:dyDescent="0.35">
      <c r="A8000" s="14">
        <v>42382.644907407404</v>
      </c>
      <c r="B8000" s="5">
        <v>1</v>
      </c>
    </row>
    <row r="8001" spans="1:2" x14ac:dyDescent="0.35">
      <c r="A8001" s="14">
        <v>42382.652511574073</v>
      </c>
      <c r="B8001" s="5">
        <v>1</v>
      </c>
    </row>
    <row r="8002" spans="1:2" x14ac:dyDescent="0.35">
      <c r="A8002" s="14">
        <v>42382.653171296297</v>
      </c>
      <c r="B8002" s="5">
        <v>1</v>
      </c>
    </row>
    <row r="8003" spans="1:2" x14ac:dyDescent="0.35">
      <c r="A8003" s="14">
        <v>42382.659305555557</v>
      </c>
      <c r="B8003" s="5">
        <v>1</v>
      </c>
    </row>
    <row r="8004" spans="1:2" x14ac:dyDescent="0.35">
      <c r="A8004" s="14">
        <v>42382.662523148145</v>
      </c>
      <c r="B8004" s="5">
        <v>1</v>
      </c>
    </row>
    <row r="8005" spans="1:2" x14ac:dyDescent="0.35">
      <c r="A8005" s="14">
        <v>42382.670590277776</v>
      </c>
      <c r="B8005" s="5">
        <v>1</v>
      </c>
    </row>
    <row r="8006" spans="1:2" x14ac:dyDescent="0.35">
      <c r="A8006" s="14">
        <v>42382.707835648151</v>
      </c>
      <c r="B8006" s="5">
        <v>1</v>
      </c>
    </row>
    <row r="8007" spans="1:2" x14ac:dyDescent="0.35">
      <c r="A8007" s="14">
        <v>42382.708020833335</v>
      </c>
      <c r="B8007" s="5">
        <v>1</v>
      </c>
    </row>
    <row r="8008" spans="1:2" x14ac:dyDescent="0.35">
      <c r="A8008" s="14">
        <v>42382.712094907409</v>
      </c>
      <c r="B8008" s="5">
        <v>1</v>
      </c>
    </row>
    <row r="8009" spans="1:2" x14ac:dyDescent="0.35">
      <c r="A8009" s="14">
        <v>42382.714039351849</v>
      </c>
      <c r="B8009" s="5">
        <v>1</v>
      </c>
    </row>
    <row r="8010" spans="1:2" x14ac:dyDescent="0.35">
      <c r="A8010" s="14">
        <v>42382.751793981479</v>
      </c>
      <c r="B8010" s="5">
        <v>1</v>
      </c>
    </row>
    <row r="8011" spans="1:2" x14ac:dyDescent="0.35">
      <c r="A8011" s="14">
        <v>42382.75371527778</v>
      </c>
      <c r="B8011" s="5">
        <v>1</v>
      </c>
    </row>
    <row r="8012" spans="1:2" x14ac:dyDescent="0.35">
      <c r="A8012" s="14">
        <v>42382.756354166668</v>
      </c>
      <c r="B8012" s="5">
        <v>1</v>
      </c>
    </row>
    <row r="8013" spans="1:2" x14ac:dyDescent="0.35">
      <c r="A8013" s="14">
        <v>42382.756597222222</v>
      </c>
      <c r="B8013" s="5">
        <v>1</v>
      </c>
    </row>
    <row r="8014" spans="1:2" x14ac:dyDescent="0.35">
      <c r="A8014" s="14">
        <v>42382.763553240744</v>
      </c>
      <c r="B8014" s="5">
        <v>1</v>
      </c>
    </row>
    <row r="8015" spans="1:2" x14ac:dyDescent="0.35">
      <c r="A8015" s="14">
        <v>42382.766759259262</v>
      </c>
      <c r="B8015" s="5">
        <v>1</v>
      </c>
    </row>
    <row r="8016" spans="1:2" x14ac:dyDescent="0.35">
      <c r="A8016" s="14">
        <v>42382.768807870372</v>
      </c>
      <c r="B8016" s="5">
        <v>1</v>
      </c>
    </row>
    <row r="8017" spans="1:2" x14ac:dyDescent="0.35">
      <c r="A8017" s="14">
        <v>42382.772002314814</v>
      </c>
      <c r="B8017" s="5">
        <v>1</v>
      </c>
    </row>
    <row r="8018" spans="1:2" x14ac:dyDescent="0.35">
      <c r="A8018" s="14">
        <v>42382.772847222222</v>
      </c>
      <c r="B8018" s="5">
        <v>1</v>
      </c>
    </row>
    <row r="8019" spans="1:2" x14ac:dyDescent="0.35">
      <c r="A8019" s="14">
        <v>42382.773576388892</v>
      </c>
      <c r="B8019" s="5">
        <v>1</v>
      </c>
    </row>
    <row r="8020" spans="1:2" x14ac:dyDescent="0.35">
      <c r="A8020" s="14">
        <v>42382.789571759262</v>
      </c>
      <c r="B8020" s="5">
        <v>1</v>
      </c>
    </row>
    <row r="8021" spans="1:2" x14ac:dyDescent="0.35">
      <c r="A8021" s="14">
        <v>42382.866793981484</v>
      </c>
      <c r="B8021" s="5">
        <v>1</v>
      </c>
    </row>
    <row r="8022" spans="1:2" x14ac:dyDescent="0.35">
      <c r="A8022" s="14">
        <v>42382.927511574075</v>
      </c>
      <c r="B8022" s="5">
        <v>1</v>
      </c>
    </row>
    <row r="8023" spans="1:2" x14ac:dyDescent="0.35">
      <c r="A8023" s="14">
        <v>42382.931006944447</v>
      </c>
      <c r="B8023" s="5">
        <v>1</v>
      </c>
    </row>
    <row r="8024" spans="1:2" x14ac:dyDescent="0.35">
      <c r="A8024" s="14">
        <v>42382.954606481479</v>
      </c>
      <c r="B8024" s="5">
        <v>1</v>
      </c>
    </row>
    <row r="8025" spans="1:2" x14ac:dyDescent="0.35">
      <c r="A8025" s="14">
        <v>42382.982592592591</v>
      </c>
      <c r="B8025" s="5">
        <v>1</v>
      </c>
    </row>
    <row r="8026" spans="1:2" x14ac:dyDescent="0.35">
      <c r="A8026" s="14">
        <v>42382.988761574074</v>
      </c>
      <c r="B8026" s="5">
        <v>1</v>
      </c>
    </row>
    <row r="8027" spans="1:2" x14ac:dyDescent="0.35">
      <c r="A8027" s="14">
        <v>42383.001215277778</v>
      </c>
      <c r="B8027" s="5">
        <v>1</v>
      </c>
    </row>
    <row r="8028" spans="1:2" x14ac:dyDescent="0.35">
      <c r="A8028" s="14">
        <v>42383.004756944443</v>
      </c>
      <c r="B8028" s="5">
        <v>1</v>
      </c>
    </row>
    <row r="8029" spans="1:2" x14ac:dyDescent="0.35">
      <c r="A8029" s="14">
        <v>42383.011331018519</v>
      </c>
      <c r="B8029" s="5">
        <v>1</v>
      </c>
    </row>
    <row r="8030" spans="1:2" x14ac:dyDescent="0.35">
      <c r="A8030" s="14">
        <v>42383.013993055552</v>
      </c>
      <c r="B8030" s="5">
        <v>1</v>
      </c>
    </row>
    <row r="8031" spans="1:2" x14ac:dyDescent="0.35">
      <c r="A8031" s="14">
        <v>42383.022951388892</v>
      </c>
      <c r="B8031" s="5">
        <v>1</v>
      </c>
    </row>
    <row r="8032" spans="1:2" x14ac:dyDescent="0.35">
      <c r="A8032" s="14">
        <v>42383.026678240742</v>
      </c>
      <c r="B8032" s="5">
        <v>1</v>
      </c>
    </row>
    <row r="8033" spans="1:2" x14ac:dyDescent="0.35">
      <c r="A8033" s="14">
        <v>42383.027754629627</v>
      </c>
      <c r="B8033" s="5">
        <v>1</v>
      </c>
    </row>
    <row r="8034" spans="1:2" x14ac:dyDescent="0.35">
      <c r="A8034" s="14">
        <v>42383.056620370371</v>
      </c>
      <c r="B8034" s="5">
        <v>1</v>
      </c>
    </row>
    <row r="8035" spans="1:2" x14ac:dyDescent="0.35">
      <c r="A8035" s="14">
        <v>42383.061157407406</v>
      </c>
      <c r="B8035" s="5">
        <v>1</v>
      </c>
    </row>
    <row r="8036" spans="1:2" x14ac:dyDescent="0.35">
      <c r="A8036" s="14">
        <v>42383.172453703701</v>
      </c>
      <c r="B8036" s="5">
        <v>1</v>
      </c>
    </row>
    <row r="8037" spans="1:2" x14ac:dyDescent="0.35">
      <c r="A8037" s="14">
        <v>42383.182557870372</v>
      </c>
      <c r="B8037" s="5">
        <v>1</v>
      </c>
    </row>
    <row r="8038" spans="1:2" x14ac:dyDescent="0.35">
      <c r="A8038" s="14">
        <v>42383.502974537034</v>
      </c>
      <c r="B8038" s="5">
        <v>1</v>
      </c>
    </row>
    <row r="8039" spans="1:2" x14ac:dyDescent="0.35">
      <c r="A8039" s="14">
        <v>42383.585775462961</v>
      </c>
      <c r="B8039" s="5">
        <v>1</v>
      </c>
    </row>
    <row r="8040" spans="1:2" x14ac:dyDescent="0.35">
      <c r="A8040" s="14">
        <v>42383.61818287037</v>
      </c>
      <c r="B8040" s="5">
        <v>1</v>
      </c>
    </row>
    <row r="8041" spans="1:2" x14ac:dyDescent="0.35">
      <c r="A8041" s="14">
        <v>42383.622812499998</v>
      </c>
      <c r="B8041" s="5">
        <v>1</v>
      </c>
    </row>
    <row r="8042" spans="1:2" x14ac:dyDescent="0.35">
      <c r="A8042" s="14">
        <v>42383.629988425928</v>
      </c>
      <c r="B8042" s="5">
        <v>1</v>
      </c>
    </row>
    <row r="8043" spans="1:2" x14ac:dyDescent="0.35">
      <c r="A8043" s="14">
        <v>42383.631423611114</v>
      </c>
      <c r="B8043" s="5">
        <v>1</v>
      </c>
    </row>
    <row r="8044" spans="1:2" x14ac:dyDescent="0.35">
      <c r="A8044" s="14">
        <v>42383.631562499999</v>
      </c>
      <c r="B8044" s="5">
        <v>1</v>
      </c>
    </row>
    <row r="8045" spans="1:2" x14ac:dyDescent="0.35">
      <c r="A8045" s="14">
        <v>42383.63490740741</v>
      </c>
      <c r="B8045" s="5">
        <v>1</v>
      </c>
    </row>
    <row r="8046" spans="1:2" x14ac:dyDescent="0.35">
      <c r="A8046" s="14">
        <v>42383.63789351852</v>
      </c>
      <c r="B8046" s="5">
        <v>1</v>
      </c>
    </row>
    <row r="8047" spans="1:2" x14ac:dyDescent="0.35">
      <c r="A8047" s="14">
        <v>42383.638078703705</v>
      </c>
      <c r="B8047" s="5">
        <v>1</v>
      </c>
    </row>
    <row r="8048" spans="1:2" x14ac:dyDescent="0.35">
      <c r="A8048" s="14">
        <v>42383.640787037039</v>
      </c>
      <c r="B8048" s="5">
        <v>1</v>
      </c>
    </row>
    <row r="8049" spans="1:2" x14ac:dyDescent="0.35">
      <c r="A8049" s="14">
        <v>42383.653622685182</v>
      </c>
      <c r="B8049" s="5">
        <v>1</v>
      </c>
    </row>
    <row r="8050" spans="1:2" x14ac:dyDescent="0.35">
      <c r="A8050" s="14">
        <v>42383.671458333331</v>
      </c>
      <c r="B8050" s="5">
        <v>1</v>
      </c>
    </row>
    <row r="8051" spans="1:2" x14ac:dyDescent="0.35">
      <c r="A8051" s="14">
        <v>42383.672083333331</v>
      </c>
      <c r="B8051" s="5">
        <v>1</v>
      </c>
    </row>
    <row r="8052" spans="1:2" x14ac:dyDescent="0.35">
      <c r="A8052" s="14">
        <v>42383.67659722222</v>
      </c>
      <c r="B8052" s="5">
        <v>1</v>
      </c>
    </row>
    <row r="8053" spans="1:2" x14ac:dyDescent="0.35">
      <c r="A8053" s="14">
        <v>42383.686365740738</v>
      </c>
      <c r="B8053" s="5">
        <v>1</v>
      </c>
    </row>
    <row r="8054" spans="1:2" x14ac:dyDescent="0.35">
      <c r="A8054" s="14">
        <v>42383.689953703702</v>
      </c>
      <c r="B8054" s="5">
        <v>1</v>
      </c>
    </row>
    <row r="8055" spans="1:2" x14ac:dyDescent="0.35">
      <c r="A8055" s="14">
        <v>42383.690613425926</v>
      </c>
      <c r="B8055" s="5">
        <v>1</v>
      </c>
    </row>
    <row r="8056" spans="1:2" x14ac:dyDescent="0.35">
      <c r="A8056" s="14">
        <v>42383.69327546296</v>
      </c>
      <c r="B8056" s="5">
        <v>1</v>
      </c>
    </row>
    <row r="8057" spans="1:2" x14ac:dyDescent="0.35">
      <c r="A8057" s="14">
        <v>42383.693622685183</v>
      </c>
      <c r="B8057" s="5">
        <v>1</v>
      </c>
    </row>
    <row r="8058" spans="1:2" x14ac:dyDescent="0.35">
      <c r="A8058" s="14">
        <v>42383.69390046296</v>
      </c>
      <c r="B8058" s="5">
        <v>1</v>
      </c>
    </row>
    <row r="8059" spans="1:2" x14ac:dyDescent="0.35">
      <c r="A8059" s="14">
        <v>42383.69798611111</v>
      </c>
      <c r="B8059" s="5">
        <v>1</v>
      </c>
    </row>
    <row r="8060" spans="1:2" x14ac:dyDescent="0.35">
      <c r="A8060" s="14">
        <v>42383.698703703703</v>
      </c>
      <c r="B8060" s="5">
        <v>1</v>
      </c>
    </row>
    <row r="8061" spans="1:2" x14ac:dyDescent="0.35">
      <c r="A8061" s="14">
        <v>42383.699976851851</v>
      </c>
      <c r="B8061" s="5">
        <v>1</v>
      </c>
    </row>
    <row r="8062" spans="1:2" x14ac:dyDescent="0.35">
      <c r="A8062" s="14">
        <v>42383.701990740738</v>
      </c>
      <c r="B8062" s="5">
        <v>1</v>
      </c>
    </row>
    <row r="8063" spans="1:2" x14ac:dyDescent="0.35">
      <c r="A8063" s="14">
        <v>42383.70484953704</v>
      </c>
      <c r="B8063" s="5">
        <v>1</v>
      </c>
    </row>
    <row r="8064" spans="1:2" x14ac:dyDescent="0.35">
      <c r="A8064" s="14">
        <v>42383.706793981481</v>
      </c>
      <c r="B8064" s="5">
        <v>1</v>
      </c>
    </row>
    <row r="8065" spans="1:2" x14ac:dyDescent="0.35">
      <c r="A8065" s="14">
        <v>42383.710127314815</v>
      </c>
      <c r="B8065" s="5">
        <v>1</v>
      </c>
    </row>
    <row r="8066" spans="1:2" x14ac:dyDescent="0.35">
      <c r="A8066" s="14">
        <v>42383.713819444441</v>
      </c>
      <c r="B8066" s="5">
        <v>1</v>
      </c>
    </row>
    <row r="8067" spans="1:2" x14ac:dyDescent="0.35">
      <c r="A8067" s="14">
        <v>42383.729629629626</v>
      </c>
      <c r="B8067" s="5">
        <v>1</v>
      </c>
    </row>
    <row r="8068" spans="1:2" x14ac:dyDescent="0.35">
      <c r="A8068" s="14">
        <v>42383.740405092591</v>
      </c>
      <c r="B8068" s="5">
        <v>1</v>
      </c>
    </row>
    <row r="8069" spans="1:2" x14ac:dyDescent="0.35">
      <c r="A8069" s="14">
        <v>42383.747766203705</v>
      </c>
      <c r="B8069" s="5">
        <v>1</v>
      </c>
    </row>
    <row r="8070" spans="1:2" x14ac:dyDescent="0.35">
      <c r="A8070" s="14">
        <v>42383.762523148151</v>
      </c>
      <c r="B8070" s="5">
        <v>1</v>
      </c>
    </row>
    <row r="8071" spans="1:2" x14ac:dyDescent="0.35">
      <c r="A8071" s="14">
        <v>42383.763437499998</v>
      </c>
      <c r="B8071" s="5">
        <v>1</v>
      </c>
    </row>
    <row r="8072" spans="1:2" x14ac:dyDescent="0.35">
      <c r="A8072" s="14">
        <v>42383.785601851851</v>
      </c>
      <c r="B8072" s="5">
        <v>1</v>
      </c>
    </row>
    <row r="8073" spans="1:2" x14ac:dyDescent="0.35">
      <c r="A8073" s="14">
        <v>42383.789259259262</v>
      </c>
      <c r="B8073" s="5">
        <v>1</v>
      </c>
    </row>
    <row r="8074" spans="1:2" x14ac:dyDescent="0.35">
      <c r="A8074" s="14">
        <v>42383.790590277778</v>
      </c>
      <c r="B8074" s="5">
        <v>1</v>
      </c>
    </row>
    <row r="8075" spans="1:2" x14ac:dyDescent="0.35">
      <c r="A8075" s="14">
        <v>42383.835416666669</v>
      </c>
      <c r="B8075" s="5">
        <v>1</v>
      </c>
    </row>
    <row r="8076" spans="1:2" x14ac:dyDescent="0.35">
      <c r="A8076" s="14">
        <v>42383.854548611111</v>
      </c>
      <c r="B8076" s="5">
        <v>1</v>
      </c>
    </row>
    <row r="8077" spans="1:2" x14ac:dyDescent="0.35">
      <c r="A8077" s="14">
        <v>42383.855347222219</v>
      </c>
      <c r="B8077" s="5">
        <v>1</v>
      </c>
    </row>
    <row r="8078" spans="1:2" x14ac:dyDescent="0.35">
      <c r="A8078" s="14">
        <v>42383.864560185182</v>
      </c>
      <c r="B8078" s="5">
        <v>1</v>
      </c>
    </row>
    <row r="8079" spans="1:2" x14ac:dyDescent="0.35">
      <c r="A8079" s="14">
        <v>42383.879340277781</v>
      </c>
      <c r="B8079" s="5">
        <v>1</v>
      </c>
    </row>
    <row r="8080" spans="1:2" x14ac:dyDescent="0.35">
      <c r="A8080" s="14">
        <v>42383.883020833331</v>
      </c>
      <c r="B8080" s="5">
        <v>1</v>
      </c>
    </row>
    <row r="8081" spans="1:2" x14ac:dyDescent="0.35">
      <c r="A8081" s="14">
        <v>42383.903749999998</v>
      </c>
      <c r="B8081" s="5">
        <v>1</v>
      </c>
    </row>
    <row r="8082" spans="1:2" x14ac:dyDescent="0.35">
      <c r="A8082" s="14">
        <v>42383.921134259261</v>
      </c>
      <c r="B8082" s="5">
        <v>1</v>
      </c>
    </row>
    <row r="8083" spans="1:2" x14ac:dyDescent="0.35">
      <c r="A8083" s="14">
        <v>42383.9528587963</v>
      </c>
      <c r="B8083" s="5">
        <v>1</v>
      </c>
    </row>
    <row r="8084" spans="1:2" x14ac:dyDescent="0.35">
      <c r="A8084" s="14">
        <v>42383.974965277775</v>
      </c>
      <c r="B8084" s="5">
        <v>1</v>
      </c>
    </row>
    <row r="8085" spans="1:2" x14ac:dyDescent="0.35">
      <c r="A8085" s="14">
        <v>42383.991180555553</v>
      </c>
      <c r="B8085" s="5">
        <v>1</v>
      </c>
    </row>
    <row r="8086" spans="1:2" x14ac:dyDescent="0.35">
      <c r="A8086" s="14">
        <v>42384.037152777775</v>
      </c>
      <c r="B8086" s="5">
        <v>1</v>
      </c>
    </row>
    <row r="8087" spans="1:2" x14ac:dyDescent="0.35">
      <c r="A8087" s="14">
        <v>42384.081412037034</v>
      </c>
      <c r="B8087" s="5">
        <v>1</v>
      </c>
    </row>
    <row r="8088" spans="1:2" x14ac:dyDescent="0.35">
      <c r="A8088" s="14">
        <v>42384.095324074071</v>
      </c>
      <c r="B8088" s="5">
        <v>1</v>
      </c>
    </row>
    <row r="8089" spans="1:2" x14ac:dyDescent="0.35">
      <c r="A8089" s="14">
        <v>42384.119340277779</v>
      </c>
      <c r="B8089" s="5">
        <v>1</v>
      </c>
    </row>
    <row r="8090" spans="1:2" x14ac:dyDescent="0.35">
      <c r="A8090" s="14">
        <v>42384.121377314812</v>
      </c>
      <c r="B8090" s="5">
        <v>1</v>
      </c>
    </row>
    <row r="8091" spans="1:2" x14ac:dyDescent="0.35">
      <c r="A8091" s="14">
        <v>42384.126018518517</v>
      </c>
      <c r="B8091" s="5">
        <v>1</v>
      </c>
    </row>
    <row r="8092" spans="1:2" x14ac:dyDescent="0.35">
      <c r="A8092" s="14">
        <v>42384.135601851849</v>
      </c>
      <c r="B8092" s="5">
        <v>1</v>
      </c>
    </row>
    <row r="8093" spans="1:2" x14ac:dyDescent="0.35">
      <c r="A8093" s="14">
        <v>42384.233206018522</v>
      </c>
      <c r="B8093" s="5">
        <v>1</v>
      </c>
    </row>
    <row r="8094" spans="1:2" x14ac:dyDescent="0.35">
      <c r="A8094" s="14">
        <v>42384.296446759261</v>
      </c>
      <c r="B8094" s="5">
        <v>1</v>
      </c>
    </row>
    <row r="8095" spans="1:2" x14ac:dyDescent="0.35">
      <c r="A8095" s="14">
        <v>42384.296481481484</v>
      </c>
      <c r="B8095" s="5">
        <v>1</v>
      </c>
    </row>
    <row r="8096" spans="1:2" x14ac:dyDescent="0.35">
      <c r="A8096" s="14">
        <v>42384.409826388888</v>
      </c>
      <c r="B8096" s="5">
        <v>1</v>
      </c>
    </row>
    <row r="8097" spans="1:2" x14ac:dyDescent="0.35">
      <c r="A8097" s="14">
        <v>42384.626643518517</v>
      </c>
      <c r="B8097" s="5">
        <v>1</v>
      </c>
    </row>
    <row r="8098" spans="1:2" x14ac:dyDescent="0.35">
      <c r="A8098" s="14">
        <v>42384.629930555559</v>
      </c>
      <c r="B8098" s="5">
        <v>1</v>
      </c>
    </row>
    <row r="8099" spans="1:2" x14ac:dyDescent="0.35">
      <c r="A8099" s="14">
        <v>42384.637083333335</v>
      </c>
      <c r="B8099" s="5">
        <v>1</v>
      </c>
    </row>
    <row r="8100" spans="1:2" x14ac:dyDescent="0.35">
      <c r="A8100" s="14">
        <v>42384.638564814813</v>
      </c>
      <c r="B8100" s="5">
        <v>1</v>
      </c>
    </row>
    <row r="8101" spans="1:2" x14ac:dyDescent="0.35">
      <c r="A8101" s="14">
        <v>42384.642106481479</v>
      </c>
      <c r="B8101" s="5">
        <v>1</v>
      </c>
    </row>
    <row r="8102" spans="1:2" x14ac:dyDescent="0.35">
      <c r="A8102" s="14">
        <v>42384.661365740743</v>
      </c>
      <c r="B8102" s="5">
        <v>1</v>
      </c>
    </row>
    <row r="8103" spans="1:2" x14ac:dyDescent="0.35">
      <c r="A8103" s="14">
        <v>42384.685798611114</v>
      </c>
      <c r="B8103" s="5">
        <v>1</v>
      </c>
    </row>
    <row r="8104" spans="1:2" x14ac:dyDescent="0.35">
      <c r="A8104" s="14">
        <v>42384.686423611114</v>
      </c>
      <c r="B8104" s="5">
        <v>1</v>
      </c>
    </row>
    <row r="8105" spans="1:2" x14ac:dyDescent="0.35">
      <c r="A8105" s="14">
        <v>42384.734502314815</v>
      </c>
      <c r="B8105" s="5">
        <v>1</v>
      </c>
    </row>
    <row r="8106" spans="1:2" x14ac:dyDescent="0.35">
      <c r="A8106" s="14">
        <v>42384.789351851854</v>
      </c>
      <c r="B8106" s="5">
        <v>1</v>
      </c>
    </row>
    <row r="8107" spans="1:2" x14ac:dyDescent="0.35">
      <c r="A8107" s="14">
        <v>42384.794560185182</v>
      </c>
      <c r="B8107" s="5">
        <v>1</v>
      </c>
    </row>
    <row r="8108" spans="1:2" x14ac:dyDescent="0.35">
      <c r="A8108" s="14">
        <v>42384.794803240744</v>
      </c>
      <c r="B8108" s="5">
        <v>2</v>
      </c>
    </row>
    <row r="8109" spans="1:2" x14ac:dyDescent="0.35">
      <c r="A8109" s="14">
        <v>42384.795289351852</v>
      </c>
      <c r="B8109" s="5">
        <v>1</v>
      </c>
    </row>
    <row r="8110" spans="1:2" x14ac:dyDescent="0.35">
      <c r="A8110" s="14">
        <v>42384.937557870369</v>
      </c>
      <c r="B8110" s="5">
        <v>1</v>
      </c>
    </row>
    <row r="8111" spans="1:2" x14ac:dyDescent="0.35">
      <c r="A8111" s="14">
        <v>42384.940497685187</v>
      </c>
      <c r="B8111" s="5">
        <v>1</v>
      </c>
    </row>
    <row r="8112" spans="1:2" x14ac:dyDescent="0.35">
      <c r="A8112" s="14">
        <v>42384.944328703707</v>
      </c>
      <c r="B8112" s="5">
        <v>1</v>
      </c>
    </row>
    <row r="8113" spans="1:2" x14ac:dyDescent="0.35">
      <c r="A8113" s="14">
        <v>42384.945775462962</v>
      </c>
      <c r="B8113" s="5">
        <v>1</v>
      </c>
    </row>
    <row r="8114" spans="1:2" x14ac:dyDescent="0.35">
      <c r="A8114" s="14">
        <v>42384.957962962966</v>
      </c>
      <c r="B8114" s="5">
        <v>1</v>
      </c>
    </row>
    <row r="8115" spans="1:2" x14ac:dyDescent="0.35">
      <c r="A8115" s="14">
        <v>42384.967060185183</v>
      </c>
      <c r="B8115" s="5">
        <v>1</v>
      </c>
    </row>
    <row r="8116" spans="1:2" x14ac:dyDescent="0.35">
      <c r="A8116" s="14">
        <v>42385.077708333331</v>
      </c>
      <c r="B8116" s="5">
        <v>1</v>
      </c>
    </row>
    <row r="8117" spans="1:2" x14ac:dyDescent="0.35">
      <c r="A8117" s="14">
        <v>42385.082060185188</v>
      </c>
      <c r="B8117" s="5">
        <v>1</v>
      </c>
    </row>
    <row r="8118" spans="1:2" x14ac:dyDescent="0.35">
      <c r="A8118" s="14">
        <v>42385.083703703705</v>
      </c>
      <c r="B8118" s="5">
        <v>1</v>
      </c>
    </row>
    <row r="8119" spans="1:2" x14ac:dyDescent="0.35">
      <c r="A8119" s="14">
        <v>42385.087407407409</v>
      </c>
      <c r="B8119" s="5">
        <v>1</v>
      </c>
    </row>
    <row r="8120" spans="1:2" x14ac:dyDescent="0.35">
      <c r="A8120" s="14">
        <v>42385.137638888889</v>
      </c>
      <c r="B8120" s="5">
        <v>1</v>
      </c>
    </row>
    <row r="8121" spans="1:2" x14ac:dyDescent="0.35">
      <c r="A8121" s="14">
        <v>42385.143229166664</v>
      </c>
      <c r="B8121" s="5">
        <v>1</v>
      </c>
    </row>
    <row r="8122" spans="1:2" x14ac:dyDescent="0.35">
      <c r="A8122" s="14">
        <v>42385.156574074077</v>
      </c>
      <c r="B8122" s="5">
        <v>1</v>
      </c>
    </row>
    <row r="8123" spans="1:2" x14ac:dyDescent="0.35">
      <c r="A8123" s="14">
        <v>42385.324664351851</v>
      </c>
      <c r="B8123" s="5">
        <v>1</v>
      </c>
    </row>
    <row r="8124" spans="1:2" x14ac:dyDescent="0.35">
      <c r="A8124" s="14">
        <v>42385.665717592594</v>
      </c>
      <c r="B8124" s="5">
        <v>1</v>
      </c>
    </row>
    <row r="8125" spans="1:2" x14ac:dyDescent="0.35">
      <c r="A8125" s="14">
        <v>42385.669745370367</v>
      </c>
      <c r="B8125" s="5">
        <v>1</v>
      </c>
    </row>
    <row r="8126" spans="1:2" x14ac:dyDescent="0.35">
      <c r="A8126" s="14">
        <v>42385.682604166665</v>
      </c>
      <c r="B8126" s="5">
        <v>2</v>
      </c>
    </row>
    <row r="8127" spans="1:2" x14ac:dyDescent="0.35">
      <c r="A8127" s="14">
        <v>42385.687337962961</v>
      </c>
      <c r="B8127" s="5">
        <v>1</v>
      </c>
    </row>
    <row r="8128" spans="1:2" x14ac:dyDescent="0.35">
      <c r="A8128" s="14">
        <v>42385.687835648147</v>
      </c>
      <c r="B8128" s="5">
        <v>1</v>
      </c>
    </row>
    <row r="8129" spans="1:2" x14ac:dyDescent="0.35">
      <c r="A8129" s="14">
        <v>42385.688125000001</v>
      </c>
      <c r="B8129" s="5">
        <v>1</v>
      </c>
    </row>
    <row r="8130" spans="1:2" x14ac:dyDescent="0.35">
      <c r="A8130" s="14">
        <v>42385.688506944447</v>
      </c>
      <c r="B8130" s="5">
        <v>1</v>
      </c>
    </row>
    <row r="8131" spans="1:2" x14ac:dyDescent="0.35">
      <c r="A8131" s="14">
        <v>42385.69972222222</v>
      </c>
      <c r="B8131" s="5">
        <v>1</v>
      </c>
    </row>
    <row r="8132" spans="1:2" x14ac:dyDescent="0.35">
      <c r="A8132" s="14">
        <v>42385.81689814815</v>
      </c>
      <c r="B8132" s="5">
        <v>1</v>
      </c>
    </row>
    <row r="8133" spans="1:2" x14ac:dyDescent="0.35">
      <c r="A8133" s="14">
        <v>42385.859629629631</v>
      </c>
      <c r="B8133" s="5">
        <v>1</v>
      </c>
    </row>
    <row r="8134" spans="1:2" x14ac:dyDescent="0.35">
      <c r="A8134" s="14">
        <v>42385.876087962963</v>
      </c>
      <c r="B8134" s="5">
        <v>1</v>
      </c>
    </row>
    <row r="8135" spans="1:2" x14ac:dyDescent="0.35">
      <c r="A8135" s="14">
        <v>42385.883263888885</v>
      </c>
      <c r="B8135" s="5">
        <v>1</v>
      </c>
    </row>
    <row r="8136" spans="1:2" x14ac:dyDescent="0.35">
      <c r="A8136" s="14">
        <v>42386.001608796294</v>
      </c>
      <c r="B8136" s="5">
        <v>1</v>
      </c>
    </row>
    <row r="8137" spans="1:2" x14ac:dyDescent="0.35">
      <c r="A8137" s="14">
        <v>42386.048101851855</v>
      </c>
      <c r="B8137" s="5">
        <v>1</v>
      </c>
    </row>
    <row r="8138" spans="1:2" x14ac:dyDescent="0.35">
      <c r="A8138" s="14">
        <v>42386.07136574074</v>
      </c>
      <c r="B8138" s="5">
        <v>1</v>
      </c>
    </row>
    <row r="8139" spans="1:2" x14ac:dyDescent="0.35">
      <c r="A8139" s="14">
        <v>42386.098240740743</v>
      </c>
      <c r="B8139" s="5">
        <v>1</v>
      </c>
    </row>
    <row r="8140" spans="1:2" x14ac:dyDescent="0.35">
      <c r="A8140" s="14">
        <v>42386.106608796297</v>
      </c>
      <c r="B8140" s="5">
        <v>1</v>
      </c>
    </row>
    <row r="8141" spans="1:2" x14ac:dyDescent="0.35">
      <c r="A8141" s="14">
        <v>42386.158333333333</v>
      </c>
      <c r="B8141" s="5">
        <v>1</v>
      </c>
    </row>
    <row r="8142" spans="1:2" x14ac:dyDescent="0.35">
      <c r="A8142" s="14">
        <v>42386.188900462963</v>
      </c>
      <c r="B8142" s="5">
        <v>1</v>
      </c>
    </row>
    <row r="8143" spans="1:2" x14ac:dyDescent="0.35">
      <c r="A8143" s="14">
        <v>42386.190266203703</v>
      </c>
      <c r="B8143" s="5">
        <v>1</v>
      </c>
    </row>
    <row r="8144" spans="1:2" x14ac:dyDescent="0.35">
      <c r="A8144" s="14">
        <v>42386.461921296293</v>
      </c>
      <c r="B8144" s="5">
        <v>1</v>
      </c>
    </row>
    <row r="8145" spans="1:2" x14ac:dyDescent="0.35">
      <c r="A8145" s="14">
        <v>42386.639618055553</v>
      </c>
      <c r="B8145" s="5">
        <v>1</v>
      </c>
    </row>
    <row r="8146" spans="1:2" x14ac:dyDescent="0.35">
      <c r="A8146" s="14">
        <v>42386.706423611111</v>
      </c>
      <c r="B8146" s="5">
        <v>1</v>
      </c>
    </row>
    <row r="8147" spans="1:2" x14ac:dyDescent="0.35">
      <c r="A8147" s="14">
        <v>42386.799861111111</v>
      </c>
      <c r="B8147" s="5">
        <v>1</v>
      </c>
    </row>
    <row r="8148" spans="1:2" x14ac:dyDescent="0.35">
      <c r="A8148" s="14">
        <v>42386.806932870371</v>
      </c>
      <c r="B8148" s="5">
        <v>1</v>
      </c>
    </row>
    <row r="8149" spans="1:2" x14ac:dyDescent="0.35">
      <c r="A8149" s="14">
        <v>42386.906782407408</v>
      </c>
      <c r="B8149" s="5">
        <v>1</v>
      </c>
    </row>
    <row r="8150" spans="1:2" x14ac:dyDescent="0.35">
      <c r="A8150" s="14">
        <v>42386.996689814812</v>
      </c>
      <c r="B8150" s="5">
        <v>1</v>
      </c>
    </row>
    <row r="8151" spans="1:2" x14ac:dyDescent="0.35">
      <c r="A8151" s="14">
        <v>42387.044803240744</v>
      </c>
      <c r="B8151" s="5">
        <v>1</v>
      </c>
    </row>
    <row r="8152" spans="1:2" x14ac:dyDescent="0.35">
      <c r="A8152" s="14">
        <v>42387.212106481478</v>
      </c>
      <c r="B8152" s="5">
        <v>1</v>
      </c>
    </row>
    <row r="8153" spans="1:2" x14ac:dyDescent="0.35">
      <c r="A8153" s="14">
        <v>42387.239421296297</v>
      </c>
      <c r="B8153" s="5">
        <v>1</v>
      </c>
    </row>
    <row r="8154" spans="1:2" x14ac:dyDescent="0.35">
      <c r="A8154" s="14">
        <v>42387.295983796299</v>
      </c>
      <c r="B8154" s="5">
        <v>1</v>
      </c>
    </row>
    <row r="8155" spans="1:2" x14ac:dyDescent="0.35">
      <c r="A8155" s="14">
        <v>42387.296412037038</v>
      </c>
      <c r="B8155" s="5">
        <v>1</v>
      </c>
    </row>
    <row r="8156" spans="1:2" x14ac:dyDescent="0.35">
      <c r="A8156" s="14">
        <v>42387.551423611112</v>
      </c>
      <c r="B8156" s="5">
        <v>1</v>
      </c>
    </row>
    <row r="8157" spans="1:2" x14ac:dyDescent="0.35">
      <c r="A8157" s="14">
        <v>42387.551620370374</v>
      </c>
      <c r="B8157" s="5">
        <v>2</v>
      </c>
    </row>
    <row r="8158" spans="1:2" x14ac:dyDescent="0.35">
      <c r="A8158" s="14">
        <v>42387.552094907405</v>
      </c>
      <c r="B8158" s="5">
        <v>1</v>
      </c>
    </row>
    <row r="8159" spans="1:2" x14ac:dyDescent="0.35">
      <c r="A8159" s="14">
        <v>42387.552997685183</v>
      </c>
      <c r="B8159" s="5">
        <v>1</v>
      </c>
    </row>
    <row r="8160" spans="1:2" x14ac:dyDescent="0.35">
      <c r="A8160" s="14">
        <v>42387.568865740737</v>
      </c>
      <c r="B8160" s="5">
        <v>1</v>
      </c>
    </row>
    <row r="8161" spans="1:2" x14ac:dyDescent="0.35">
      <c r="A8161" s="14">
        <v>42387.5703587963</v>
      </c>
      <c r="B8161" s="5">
        <v>2</v>
      </c>
    </row>
    <row r="8162" spans="1:2" x14ac:dyDescent="0.35">
      <c r="A8162" s="14">
        <v>42387.584166666667</v>
      </c>
      <c r="B8162" s="5">
        <v>1</v>
      </c>
    </row>
    <row r="8163" spans="1:2" x14ac:dyDescent="0.35">
      <c r="A8163" s="14">
        <v>42387.632094907407</v>
      </c>
      <c r="B8163" s="5">
        <v>1</v>
      </c>
    </row>
    <row r="8164" spans="1:2" x14ac:dyDescent="0.35">
      <c r="A8164" s="14">
        <v>42387.632800925923</v>
      </c>
      <c r="B8164" s="5">
        <v>1</v>
      </c>
    </row>
    <row r="8165" spans="1:2" x14ac:dyDescent="0.35">
      <c r="A8165" s="14">
        <v>42387.634050925924</v>
      </c>
      <c r="B8165" s="5">
        <v>1</v>
      </c>
    </row>
    <row r="8166" spans="1:2" x14ac:dyDescent="0.35">
      <c r="A8166" s="14">
        <v>42387.644108796296</v>
      </c>
      <c r="B8166" s="5">
        <v>1</v>
      </c>
    </row>
    <row r="8167" spans="1:2" x14ac:dyDescent="0.35">
      <c r="A8167" s="14">
        <v>42387.713055555556</v>
      </c>
      <c r="B8167" s="5">
        <v>1</v>
      </c>
    </row>
    <row r="8168" spans="1:2" x14ac:dyDescent="0.35">
      <c r="A8168" s="14">
        <v>42387.714375000003</v>
      </c>
      <c r="B8168" s="5">
        <v>1</v>
      </c>
    </row>
    <row r="8169" spans="1:2" x14ac:dyDescent="0.35">
      <c r="A8169" s="14">
        <v>42387.715416666666</v>
      </c>
      <c r="B8169" s="5">
        <v>2</v>
      </c>
    </row>
    <row r="8170" spans="1:2" x14ac:dyDescent="0.35">
      <c r="A8170" s="14">
        <v>42387.716979166667</v>
      </c>
      <c r="B8170" s="5">
        <v>1</v>
      </c>
    </row>
    <row r="8171" spans="1:2" x14ac:dyDescent="0.35">
      <c r="A8171" s="14">
        <v>42387.717303240737</v>
      </c>
      <c r="B8171" s="5">
        <v>1</v>
      </c>
    </row>
    <row r="8172" spans="1:2" x14ac:dyDescent="0.35">
      <c r="A8172" s="14">
        <v>42387.745937500003</v>
      </c>
      <c r="B8172" s="5">
        <v>1</v>
      </c>
    </row>
    <row r="8173" spans="1:2" x14ac:dyDescent="0.35">
      <c r="A8173" s="14">
        <v>42387.746087962965</v>
      </c>
      <c r="B8173" s="5">
        <v>1</v>
      </c>
    </row>
    <row r="8174" spans="1:2" x14ac:dyDescent="0.35">
      <c r="A8174" s="14">
        <v>42387.76053240741</v>
      </c>
      <c r="B8174" s="5">
        <v>1</v>
      </c>
    </row>
    <row r="8175" spans="1:2" x14ac:dyDescent="0.35">
      <c r="A8175" s="14">
        <v>42387.793275462966</v>
      </c>
      <c r="B8175" s="5">
        <v>1</v>
      </c>
    </row>
    <row r="8176" spans="1:2" x14ac:dyDescent="0.35">
      <c r="A8176" s="14">
        <v>42387.798020833332</v>
      </c>
      <c r="B8176" s="5">
        <v>1</v>
      </c>
    </row>
    <row r="8177" spans="1:2" x14ac:dyDescent="0.35">
      <c r="A8177" s="14">
        <v>42387.827048611114</v>
      </c>
      <c r="B8177" s="5">
        <v>1</v>
      </c>
    </row>
    <row r="8178" spans="1:2" x14ac:dyDescent="0.35">
      <c r="A8178" s="14">
        <v>42387.847650462965</v>
      </c>
      <c r="B8178" s="5">
        <v>1</v>
      </c>
    </row>
    <row r="8179" spans="1:2" x14ac:dyDescent="0.35">
      <c r="A8179" s="14">
        <v>42387.99759259259</v>
      </c>
      <c r="B8179" s="5">
        <v>1</v>
      </c>
    </row>
    <row r="8180" spans="1:2" x14ac:dyDescent="0.35">
      <c r="A8180" s="14">
        <v>42387.99927083333</v>
      </c>
      <c r="B8180" s="5">
        <v>1</v>
      </c>
    </row>
    <row r="8181" spans="1:2" x14ac:dyDescent="0.35">
      <c r="A8181" s="14">
        <v>42388.019432870373</v>
      </c>
      <c r="B8181" s="5">
        <v>1</v>
      </c>
    </row>
    <row r="8182" spans="1:2" x14ac:dyDescent="0.35">
      <c r="A8182" s="14">
        <v>42388.12228009259</v>
      </c>
      <c r="B8182" s="5">
        <v>1</v>
      </c>
    </row>
    <row r="8183" spans="1:2" x14ac:dyDescent="0.35">
      <c r="A8183" s="14">
        <v>42388.126458333332</v>
      </c>
      <c r="B8183" s="5">
        <v>1</v>
      </c>
    </row>
    <row r="8184" spans="1:2" x14ac:dyDescent="0.35">
      <c r="A8184" s="14">
        <v>42388.178090277775</v>
      </c>
      <c r="B8184" s="5">
        <v>1</v>
      </c>
    </row>
    <row r="8185" spans="1:2" x14ac:dyDescent="0.35">
      <c r="A8185" s="14">
        <v>42388.203032407408</v>
      </c>
      <c r="B8185" s="5">
        <v>1</v>
      </c>
    </row>
    <row r="8186" spans="1:2" x14ac:dyDescent="0.35">
      <c r="A8186" s="14">
        <v>42388.204155092593</v>
      </c>
      <c r="B8186" s="5">
        <v>1</v>
      </c>
    </row>
    <row r="8187" spans="1:2" x14ac:dyDescent="0.35">
      <c r="A8187" s="14">
        <v>42388.211724537039</v>
      </c>
      <c r="B8187" s="5">
        <v>1</v>
      </c>
    </row>
    <row r="8188" spans="1:2" x14ac:dyDescent="0.35">
      <c r="A8188" s="14">
        <v>42388.21365740741</v>
      </c>
      <c r="B8188" s="5">
        <v>1</v>
      </c>
    </row>
    <row r="8189" spans="1:2" x14ac:dyDescent="0.35">
      <c r="A8189" s="14">
        <v>42388.590694444443</v>
      </c>
      <c r="B8189" s="5">
        <v>1</v>
      </c>
    </row>
    <row r="8190" spans="1:2" x14ac:dyDescent="0.35">
      <c r="A8190" s="14">
        <v>42388.594918981478</v>
      </c>
      <c r="B8190" s="5">
        <v>1</v>
      </c>
    </row>
    <row r="8191" spans="1:2" x14ac:dyDescent="0.35">
      <c r="A8191" s="14">
        <v>42388.618958333333</v>
      </c>
      <c r="B8191" s="5">
        <v>1</v>
      </c>
    </row>
    <row r="8192" spans="1:2" x14ac:dyDescent="0.35">
      <c r="A8192" s="14">
        <v>42388.642453703702</v>
      </c>
      <c r="B8192" s="5">
        <v>1</v>
      </c>
    </row>
    <row r="8193" spans="1:2" x14ac:dyDescent="0.35">
      <c r="A8193" s="14">
        <v>42388.661261574074</v>
      </c>
      <c r="B8193" s="5">
        <v>1</v>
      </c>
    </row>
    <row r="8194" spans="1:2" x14ac:dyDescent="0.35">
      <c r="A8194" s="14">
        <v>42388.697453703702</v>
      </c>
      <c r="B8194" s="5">
        <v>1</v>
      </c>
    </row>
    <row r="8195" spans="1:2" x14ac:dyDescent="0.35">
      <c r="A8195" s="14">
        <v>42388.702499999999</v>
      </c>
      <c r="B8195" s="5">
        <v>1</v>
      </c>
    </row>
    <row r="8196" spans="1:2" x14ac:dyDescent="0.35">
      <c r="A8196" s="14">
        <v>42388.721539351849</v>
      </c>
      <c r="B8196" s="5">
        <v>1</v>
      </c>
    </row>
    <row r="8197" spans="1:2" x14ac:dyDescent="0.35">
      <c r="A8197" s="14">
        <v>42388.723391203705</v>
      </c>
      <c r="B8197" s="5">
        <v>1</v>
      </c>
    </row>
    <row r="8198" spans="1:2" x14ac:dyDescent="0.35">
      <c r="A8198" s="14">
        <v>42388.752812500003</v>
      </c>
      <c r="B8198" s="5">
        <v>1</v>
      </c>
    </row>
    <row r="8199" spans="1:2" x14ac:dyDescent="0.35">
      <c r="A8199" s="14">
        <v>42388.785567129627</v>
      </c>
      <c r="B8199" s="5">
        <v>1</v>
      </c>
    </row>
    <row r="8200" spans="1:2" x14ac:dyDescent="0.35">
      <c r="A8200" s="14">
        <v>42388.812314814815</v>
      </c>
      <c r="B8200" s="5">
        <v>1</v>
      </c>
    </row>
    <row r="8201" spans="1:2" x14ac:dyDescent="0.35">
      <c r="A8201" s="14">
        <v>42388.85261574074</v>
      </c>
      <c r="B8201" s="5">
        <v>1</v>
      </c>
    </row>
    <row r="8202" spans="1:2" x14ac:dyDescent="0.35">
      <c r="A8202" s="14">
        <v>42388.853518518517</v>
      </c>
      <c r="B8202" s="5">
        <v>2</v>
      </c>
    </row>
    <row r="8203" spans="1:2" x14ac:dyDescent="0.35">
      <c r="A8203" s="14">
        <v>42388.861724537041</v>
      </c>
      <c r="B8203" s="5">
        <v>1</v>
      </c>
    </row>
    <row r="8204" spans="1:2" x14ac:dyDescent="0.35">
      <c r="A8204" s="14">
        <v>42388.861817129633</v>
      </c>
      <c r="B8204" s="5">
        <v>1</v>
      </c>
    </row>
    <row r="8205" spans="1:2" x14ac:dyDescent="0.35">
      <c r="A8205" s="14">
        <v>42388.862835648149</v>
      </c>
      <c r="B8205" s="5">
        <v>1</v>
      </c>
    </row>
    <row r="8206" spans="1:2" x14ac:dyDescent="0.35">
      <c r="A8206" s="14">
        <v>42388.971446759257</v>
      </c>
      <c r="B8206" s="5">
        <v>1</v>
      </c>
    </row>
    <row r="8207" spans="1:2" x14ac:dyDescent="0.35">
      <c r="A8207" s="14">
        <v>42388.975104166668</v>
      </c>
      <c r="B8207" s="5">
        <v>1</v>
      </c>
    </row>
    <row r="8208" spans="1:2" x14ac:dyDescent="0.35">
      <c r="A8208" s="14">
        <v>42389.081435185188</v>
      </c>
      <c r="B8208" s="5">
        <v>1</v>
      </c>
    </row>
    <row r="8209" spans="1:2" x14ac:dyDescent="0.35">
      <c r="A8209" s="14">
        <v>42389.089594907404</v>
      </c>
      <c r="B8209" s="5">
        <v>1</v>
      </c>
    </row>
    <row r="8210" spans="1:2" x14ac:dyDescent="0.35">
      <c r="A8210" s="14">
        <v>42389.178553240738</v>
      </c>
      <c r="B8210" s="5">
        <v>1</v>
      </c>
    </row>
    <row r="8211" spans="1:2" x14ac:dyDescent="0.35">
      <c r="A8211" s="14">
        <v>42389.178668981483</v>
      </c>
      <c r="B8211" s="5">
        <v>2</v>
      </c>
    </row>
    <row r="8212" spans="1:2" x14ac:dyDescent="0.35">
      <c r="A8212" s="14">
        <v>42389.239733796298</v>
      </c>
      <c r="B8212" s="5">
        <v>1</v>
      </c>
    </row>
    <row r="8213" spans="1:2" x14ac:dyDescent="0.35">
      <c r="A8213" s="14">
        <v>42389.260312500002</v>
      </c>
      <c r="B8213" s="5">
        <v>1</v>
      </c>
    </row>
    <row r="8214" spans="1:2" x14ac:dyDescent="0.35">
      <c r="A8214" s="14">
        <v>42389.299270833333</v>
      </c>
      <c r="B8214" s="5">
        <v>1</v>
      </c>
    </row>
    <row r="8215" spans="1:2" x14ac:dyDescent="0.35">
      <c r="A8215" s="14">
        <v>42389.575277777774</v>
      </c>
      <c r="B8215" s="5">
        <v>1</v>
      </c>
    </row>
    <row r="8216" spans="1:2" x14ac:dyDescent="0.35">
      <c r="A8216" s="14">
        <v>42389.577685185184</v>
      </c>
      <c r="B8216" s="5">
        <v>1</v>
      </c>
    </row>
    <row r="8217" spans="1:2" x14ac:dyDescent="0.35">
      <c r="A8217" s="14">
        <v>42389.598414351851</v>
      </c>
      <c r="B8217" s="5">
        <v>1</v>
      </c>
    </row>
    <row r="8218" spans="1:2" x14ac:dyDescent="0.35">
      <c r="A8218" s="14">
        <v>42389.616863425923</v>
      </c>
      <c r="B8218" s="5">
        <v>1</v>
      </c>
    </row>
    <row r="8219" spans="1:2" x14ac:dyDescent="0.35">
      <c r="A8219" s="14">
        <v>42389.628287037034</v>
      </c>
      <c r="B8219" s="5">
        <v>1</v>
      </c>
    </row>
    <row r="8220" spans="1:2" x14ac:dyDescent="0.35">
      <c r="A8220" s="14">
        <v>42389.630532407406</v>
      </c>
      <c r="B8220" s="5">
        <v>1</v>
      </c>
    </row>
    <row r="8221" spans="1:2" x14ac:dyDescent="0.35">
      <c r="A8221" s="14">
        <v>42389.63554398148</v>
      </c>
      <c r="B8221" s="5">
        <v>1</v>
      </c>
    </row>
    <row r="8222" spans="1:2" x14ac:dyDescent="0.35">
      <c r="A8222" s="14">
        <v>42389.639884259261</v>
      </c>
      <c r="B8222" s="5">
        <v>1</v>
      </c>
    </row>
    <row r="8223" spans="1:2" x14ac:dyDescent="0.35">
      <c r="A8223" s="14">
        <v>42389.640543981484</v>
      </c>
      <c r="B8223" s="5">
        <v>1</v>
      </c>
    </row>
    <row r="8224" spans="1:2" x14ac:dyDescent="0.35">
      <c r="A8224" s="14">
        <v>42389.641956018517</v>
      </c>
      <c r="B8224" s="5">
        <v>1</v>
      </c>
    </row>
    <row r="8225" spans="1:2" x14ac:dyDescent="0.35">
      <c r="A8225" s="14">
        <v>42389.642048611109</v>
      </c>
      <c r="B8225" s="5">
        <v>2</v>
      </c>
    </row>
    <row r="8226" spans="1:2" x14ac:dyDescent="0.35">
      <c r="A8226" s="14">
        <v>42389.65519675926</v>
      </c>
      <c r="B8226" s="5">
        <v>1</v>
      </c>
    </row>
    <row r="8227" spans="1:2" x14ac:dyDescent="0.35">
      <c r="A8227" s="14">
        <v>42389.655925925923</v>
      </c>
      <c r="B8227" s="5">
        <v>1</v>
      </c>
    </row>
    <row r="8228" spans="1:2" x14ac:dyDescent="0.35">
      <c r="A8228" s="14">
        <v>42389.656226851854</v>
      </c>
      <c r="B8228" s="5">
        <v>2</v>
      </c>
    </row>
    <row r="8229" spans="1:2" x14ac:dyDescent="0.35">
      <c r="A8229" s="14">
        <v>42389.657349537039</v>
      </c>
      <c r="B8229" s="5">
        <v>1</v>
      </c>
    </row>
    <row r="8230" spans="1:2" x14ac:dyDescent="0.35">
      <c r="A8230" s="14">
        <v>42389.661226851851</v>
      </c>
      <c r="B8230" s="5">
        <v>1</v>
      </c>
    </row>
    <row r="8231" spans="1:2" x14ac:dyDescent="0.35">
      <c r="A8231" s="14">
        <v>42389.662997685184</v>
      </c>
      <c r="B8231" s="5">
        <v>1</v>
      </c>
    </row>
    <row r="8232" spans="1:2" x14ac:dyDescent="0.35">
      <c r="A8232" s="14">
        <v>42389.66542824074</v>
      </c>
      <c r="B8232" s="5">
        <v>1</v>
      </c>
    </row>
    <row r="8233" spans="1:2" x14ac:dyDescent="0.35">
      <c r="A8233" s="14">
        <v>42389.676840277774</v>
      </c>
      <c r="B8233" s="5">
        <v>1</v>
      </c>
    </row>
    <row r="8234" spans="1:2" x14ac:dyDescent="0.35">
      <c r="A8234" s="14">
        <v>42389.680902777778</v>
      </c>
      <c r="B8234" s="5">
        <v>1</v>
      </c>
    </row>
    <row r="8235" spans="1:2" x14ac:dyDescent="0.35">
      <c r="A8235" s="14">
        <v>42389.683275462965</v>
      </c>
      <c r="B8235" s="5">
        <v>1</v>
      </c>
    </row>
    <row r="8236" spans="1:2" x14ac:dyDescent="0.35">
      <c r="A8236" s="14">
        <v>42389.683368055557</v>
      </c>
      <c r="B8236" s="5">
        <v>1</v>
      </c>
    </row>
    <row r="8237" spans="1:2" x14ac:dyDescent="0.35">
      <c r="A8237" s="14">
        <v>42389.689456018517</v>
      </c>
      <c r="B8237" s="5">
        <v>1</v>
      </c>
    </row>
    <row r="8238" spans="1:2" x14ac:dyDescent="0.35">
      <c r="A8238" s="14">
        <v>42389.699872685182</v>
      </c>
      <c r="B8238" s="5">
        <v>1</v>
      </c>
    </row>
    <row r="8239" spans="1:2" x14ac:dyDescent="0.35">
      <c r="A8239" s="14">
        <v>42389.728761574072</v>
      </c>
      <c r="B8239" s="5">
        <v>1</v>
      </c>
    </row>
    <row r="8240" spans="1:2" x14ac:dyDescent="0.35">
      <c r="A8240" s="14">
        <v>42389.736319444448</v>
      </c>
      <c r="B8240" s="5">
        <v>1</v>
      </c>
    </row>
    <row r="8241" spans="1:2" x14ac:dyDescent="0.35">
      <c r="A8241" s="14">
        <v>42389.738344907404</v>
      </c>
      <c r="B8241" s="5">
        <v>1</v>
      </c>
    </row>
    <row r="8242" spans="1:2" x14ac:dyDescent="0.35">
      <c r="A8242" s="14">
        <v>42389.742071759261</v>
      </c>
      <c r="B8242" s="5">
        <v>1</v>
      </c>
    </row>
    <row r="8243" spans="1:2" x14ac:dyDescent="0.35">
      <c r="A8243" s="14">
        <v>42389.742754629631</v>
      </c>
      <c r="B8243" s="5">
        <v>2</v>
      </c>
    </row>
    <row r="8244" spans="1:2" x14ac:dyDescent="0.35">
      <c r="A8244" s="14">
        <v>42389.746874999997</v>
      </c>
      <c r="B8244" s="5">
        <v>1</v>
      </c>
    </row>
    <row r="8245" spans="1:2" x14ac:dyDescent="0.35">
      <c r="A8245" s="14">
        <v>42389.758819444447</v>
      </c>
      <c r="B8245" s="5">
        <v>1</v>
      </c>
    </row>
    <row r="8246" spans="1:2" x14ac:dyDescent="0.35">
      <c r="A8246" s="14">
        <v>42389.760671296295</v>
      </c>
      <c r="B8246" s="5">
        <v>1</v>
      </c>
    </row>
    <row r="8247" spans="1:2" x14ac:dyDescent="0.35">
      <c r="A8247" s="14">
        <v>42389.760844907411</v>
      </c>
      <c r="B8247" s="5">
        <v>1</v>
      </c>
    </row>
    <row r="8248" spans="1:2" x14ac:dyDescent="0.35">
      <c r="A8248" s="14">
        <v>42389.770254629628</v>
      </c>
      <c r="B8248" s="5">
        <v>1</v>
      </c>
    </row>
    <row r="8249" spans="1:2" x14ac:dyDescent="0.35">
      <c r="A8249" s="14">
        <v>42389.787395833337</v>
      </c>
      <c r="B8249" s="5">
        <v>1</v>
      </c>
    </row>
    <row r="8250" spans="1:2" x14ac:dyDescent="0.35">
      <c r="A8250" s="14">
        <v>42389.79042824074</v>
      </c>
      <c r="B8250" s="5">
        <v>1</v>
      </c>
    </row>
    <row r="8251" spans="1:2" x14ac:dyDescent="0.35">
      <c r="A8251" s="14">
        <v>42389.828043981484</v>
      </c>
      <c r="B8251" s="5">
        <v>1</v>
      </c>
    </row>
    <row r="8252" spans="1:2" x14ac:dyDescent="0.35">
      <c r="A8252" s="14">
        <v>42389.83084490741</v>
      </c>
      <c r="B8252" s="5">
        <v>1</v>
      </c>
    </row>
    <row r="8253" spans="1:2" x14ac:dyDescent="0.35">
      <c r="A8253" s="14">
        <v>42389.839178240742</v>
      </c>
      <c r="B8253" s="5">
        <v>1</v>
      </c>
    </row>
    <row r="8254" spans="1:2" x14ac:dyDescent="0.35">
      <c r="A8254" s="14">
        <v>42389.852060185185</v>
      </c>
      <c r="B8254" s="5">
        <v>1</v>
      </c>
    </row>
    <row r="8255" spans="1:2" x14ac:dyDescent="0.35">
      <c r="A8255" s="14">
        <v>42389.856817129628</v>
      </c>
      <c r="B8255" s="5">
        <v>1</v>
      </c>
    </row>
    <row r="8256" spans="1:2" x14ac:dyDescent="0.35">
      <c r="A8256" s="14">
        <v>42389.863738425927</v>
      </c>
      <c r="B8256" s="5">
        <v>1</v>
      </c>
    </row>
    <row r="8257" spans="1:2" x14ac:dyDescent="0.35">
      <c r="A8257" s="14">
        <v>42389.867013888892</v>
      </c>
      <c r="B8257" s="5">
        <v>1</v>
      </c>
    </row>
    <row r="8258" spans="1:2" x14ac:dyDescent="0.35">
      <c r="A8258" s="14">
        <v>42389.874074074076</v>
      </c>
      <c r="B8258" s="5">
        <v>1</v>
      </c>
    </row>
    <row r="8259" spans="1:2" x14ac:dyDescent="0.35">
      <c r="A8259" s="14">
        <v>42389.901550925926</v>
      </c>
      <c r="B8259" s="5">
        <v>1</v>
      </c>
    </row>
    <row r="8260" spans="1:2" x14ac:dyDescent="0.35">
      <c r="A8260" s="14">
        <v>42389.908668981479</v>
      </c>
      <c r="B8260" s="5">
        <v>1</v>
      </c>
    </row>
    <row r="8261" spans="1:2" x14ac:dyDescent="0.35">
      <c r="A8261" s="14">
        <v>42389.99863425926</v>
      </c>
      <c r="B8261" s="5">
        <v>1</v>
      </c>
    </row>
    <row r="8262" spans="1:2" x14ac:dyDescent="0.35">
      <c r="A8262" s="14">
        <v>42390.022557870368</v>
      </c>
      <c r="B8262" s="5">
        <v>1</v>
      </c>
    </row>
    <row r="8263" spans="1:2" x14ac:dyDescent="0.35">
      <c r="A8263" s="14">
        <v>42390.048252314817</v>
      </c>
      <c r="B8263" s="5">
        <v>1</v>
      </c>
    </row>
    <row r="8264" spans="1:2" x14ac:dyDescent="0.35">
      <c r="A8264" s="14">
        <v>42390.048368055555</v>
      </c>
      <c r="B8264" s="5">
        <v>1</v>
      </c>
    </row>
    <row r="8265" spans="1:2" x14ac:dyDescent="0.35">
      <c r="A8265" s="14">
        <v>42390.04996527778</v>
      </c>
      <c r="B8265" s="5">
        <v>1</v>
      </c>
    </row>
    <row r="8266" spans="1:2" x14ac:dyDescent="0.35">
      <c r="A8266" s="14">
        <v>42390.050092592595</v>
      </c>
      <c r="B8266" s="5">
        <v>1</v>
      </c>
    </row>
    <row r="8267" spans="1:2" x14ac:dyDescent="0.35">
      <c r="A8267" s="14">
        <v>42390.050219907411</v>
      </c>
      <c r="B8267" s="5">
        <v>1</v>
      </c>
    </row>
    <row r="8268" spans="1:2" x14ac:dyDescent="0.35">
      <c r="A8268" s="14">
        <v>42390.094039351854</v>
      </c>
      <c r="B8268" s="5">
        <v>1</v>
      </c>
    </row>
    <row r="8269" spans="1:2" x14ac:dyDescent="0.35">
      <c r="A8269" s="14">
        <v>42390.095405092594</v>
      </c>
      <c r="B8269" s="5">
        <v>2</v>
      </c>
    </row>
    <row r="8270" spans="1:2" x14ac:dyDescent="0.35">
      <c r="A8270" s="14">
        <v>42390.16064814815</v>
      </c>
      <c r="B8270" s="5">
        <v>1</v>
      </c>
    </row>
    <row r="8271" spans="1:2" x14ac:dyDescent="0.35">
      <c r="A8271" s="14">
        <v>42390.164525462962</v>
      </c>
      <c r="B8271" s="5">
        <v>1</v>
      </c>
    </row>
    <row r="8272" spans="1:2" x14ac:dyDescent="0.35">
      <c r="A8272" s="14">
        <v>42390.509085648147</v>
      </c>
      <c r="B8272" s="5">
        <v>1</v>
      </c>
    </row>
    <row r="8273" spans="1:2" x14ac:dyDescent="0.35">
      <c r="A8273" s="14">
        <v>42390.582152777781</v>
      </c>
      <c r="B8273" s="5">
        <v>1</v>
      </c>
    </row>
    <row r="8274" spans="1:2" x14ac:dyDescent="0.35">
      <c r="A8274" s="14">
        <v>42390.58798611111</v>
      </c>
      <c r="B8274" s="5">
        <v>1</v>
      </c>
    </row>
    <row r="8275" spans="1:2" x14ac:dyDescent="0.35">
      <c r="A8275" s="14">
        <v>42390.60527777778</v>
      </c>
      <c r="B8275" s="5">
        <v>1</v>
      </c>
    </row>
    <row r="8276" spans="1:2" x14ac:dyDescent="0.35">
      <c r="A8276" s="14">
        <v>42390.606192129628</v>
      </c>
      <c r="B8276" s="5">
        <v>1</v>
      </c>
    </row>
    <row r="8277" spans="1:2" x14ac:dyDescent="0.35">
      <c r="A8277" s="14">
        <v>42390.615925925929</v>
      </c>
      <c r="B8277" s="5">
        <v>1</v>
      </c>
    </row>
    <row r="8278" spans="1:2" x14ac:dyDescent="0.35">
      <c r="A8278" s="14">
        <v>42390.616979166669</v>
      </c>
      <c r="B8278" s="5">
        <v>1</v>
      </c>
    </row>
    <row r="8279" spans="1:2" x14ac:dyDescent="0.35">
      <c r="A8279" s="14">
        <v>42390.617430555554</v>
      </c>
      <c r="B8279" s="5">
        <v>1</v>
      </c>
    </row>
    <row r="8280" spans="1:2" x14ac:dyDescent="0.35">
      <c r="A8280" s="14">
        <v>42390.628217592595</v>
      </c>
      <c r="B8280" s="5">
        <v>1</v>
      </c>
    </row>
    <row r="8281" spans="1:2" x14ac:dyDescent="0.35">
      <c r="A8281" s="14">
        <v>42390.628657407404</v>
      </c>
      <c r="B8281" s="5">
        <v>1</v>
      </c>
    </row>
    <row r="8282" spans="1:2" x14ac:dyDescent="0.35">
      <c r="A8282" s="14">
        <v>42390.629826388889</v>
      </c>
      <c r="B8282" s="5">
        <v>1</v>
      </c>
    </row>
    <row r="8283" spans="1:2" x14ac:dyDescent="0.35">
      <c r="A8283" s="14">
        <v>42390.644328703704</v>
      </c>
      <c r="B8283" s="5">
        <v>1</v>
      </c>
    </row>
    <row r="8284" spans="1:2" x14ac:dyDescent="0.35">
      <c r="A8284" s="14">
        <v>42390.655613425923</v>
      </c>
      <c r="B8284" s="5">
        <v>1</v>
      </c>
    </row>
    <row r="8285" spans="1:2" x14ac:dyDescent="0.35">
      <c r="A8285" s="14">
        <v>42390.661770833336</v>
      </c>
      <c r="B8285" s="5">
        <v>1</v>
      </c>
    </row>
    <row r="8286" spans="1:2" x14ac:dyDescent="0.35">
      <c r="A8286" s="14">
        <v>42390.666377314818</v>
      </c>
      <c r="B8286" s="5">
        <v>1</v>
      </c>
    </row>
    <row r="8287" spans="1:2" x14ac:dyDescent="0.35">
      <c r="A8287" s="14">
        <v>42390.667557870373</v>
      </c>
      <c r="B8287" s="5">
        <v>1</v>
      </c>
    </row>
    <row r="8288" spans="1:2" x14ac:dyDescent="0.35">
      <c r="A8288" s="14">
        <v>42390.66783564815</v>
      </c>
      <c r="B8288" s="5">
        <v>1</v>
      </c>
    </row>
    <row r="8289" spans="1:2" x14ac:dyDescent="0.35">
      <c r="A8289" s="14">
        <v>42390.674293981479</v>
      </c>
      <c r="B8289" s="5">
        <v>1</v>
      </c>
    </row>
    <row r="8290" spans="1:2" x14ac:dyDescent="0.35">
      <c r="A8290" s="14">
        <v>42390.676145833335</v>
      </c>
      <c r="B8290" s="5">
        <v>1</v>
      </c>
    </row>
    <row r="8291" spans="1:2" x14ac:dyDescent="0.35">
      <c r="A8291" s="14">
        <v>42390.678298611114</v>
      </c>
      <c r="B8291" s="5">
        <v>1</v>
      </c>
    </row>
    <row r="8292" spans="1:2" x14ac:dyDescent="0.35">
      <c r="A8292" s="14">
        <v>42390.744293981479</v>
      </c>
      <c r="B8292" s="5">
        <v>1</v>
      </c>
    </row>
    <row r="8293" spans="1:2" x14ac:dyDescent="0.35">
      <c r="A8293" s="14">
        <v>42390.745393518519</v>
      </c>
      <c r="B8293" s="5">
        <v>1</v>
      </c>
    </row>
    <row r="8294" spans="1:2" x14ac:dyDescent="0.35">
      <c r="A8294" s="14">
        <v>42390.781759259262</v>
      </c>
      <c r="B8294" s="5">
        <v>1</v>
      </c>
    </row>
    <row r="8295" spans="1:2" x14ac:dyDescent="0.35">
      <c r="A8295" s="14">
        <v>42390.782685185186</v>
      </c>
      <c r="B8295" s="5">
        <v>1</v>
      </c>
    </row>
    <row r="8296" spans="1:2" x14ac:dyDescent="0.35">
      <c r="A8296" s="14">
        <v>42390.80395833333</v>
      </c>
      <c r="B8296" s="5">
        <v>1</v>
      </c>
    </row>
    <row r="8297" spans="1:2" x14ac:dyDescent="0.35">
      <c r="A8297" s="14">
        <v>42390.853344907409</v>
      </c>
      <c r="B8297" s="5">
        <v>1</v>
      </c>
    </row>
    <row r="8298" spans="1:2" x14ac:dyDescent="0.35">
      <c r="A8298" s="14">
        <v>42390.856215277781</v>
      </c>
      <c r="B8298" s="5">
        <v>1</v>
      </c>
    </row>
    <row r="8299" spans="1:2" x14ac:dyDescent="0.35">
      <c r="A8299" s="14">
        <v>42390.858344907407</v>
      </c>
      <c r="B8299" s="5">
        <v>2</v>
      </c>
    </row>
    <row r="8300" spans="1:2" x14ac:dyDescent="0.35">
      <c r="A8300" s="14">
        <v>42390.860497685186</v>
      </c>
      <c r="B8300" s="5">
        <v>1</v>
      </c>
    </row>
    <row r="8301" spans="1:2" x14ac:dyDescent="0.35">
      <c r="A8301" s="14">
        <v>42390.860613425924</v>
      </c>
      <c r="B8301" s="5">
        <v>1</v>
      </c>
    </row>
    <row r="8302" spans="1:2" x14ac:dyDescent="0.35">
      <c r="A8302" s="14">
        <v>42390.860798611109</v>
      </c>
      <c r="B8302" s="5">
        <v>1</v>
      </c>
    </row>
    <row r="8303" spans="1:2" x14ac:dyDescent="0.35">
      <c r="A8303" s="14">
        <v>42390.863263888888</v>
      </c>
      <c r="B8303" s="5">
        <v>1</v>
      </c>
    </row>
    <row r="8304" spans="1:2" x14ac:dyDescent="0.35">
      <c r="A8304" s="14">
        <v>42390.866018518522</v>
      </c>
      <c r="B8304" s="5">
        <v>1</v>
      </c>
    </row>
    <row r="8305" spans="1:2" x14ac:dyDescent="0.35">
      <c r="A8305" s="14">
        <v>42390.867488425924</v>
      </c>
      <c r="B8305" s="5">
        <v>1</v>
      </c>
    </row>
    <row r="8306" spans="1:2" x14ac:dyDescent="0.35">
      <c r="A8306" s="14">
        <v>42390.869270833333</v>
      </c>
      <c r="B8306" s="5">
        <v>1</v>
      </c>
    </row>
    <row r="8307" spans="1:2" x14ac:dyDescent="0.35">
      <c r="A8307" s="14">
        <v>42390.872673611113</v>
      </c>
      <c r="B8307" s="5">
        <v>1</v>
      </c>
    </row>
    <row r="8308" spans="1:2" x14ac:dyDescent="0.35">
      <c r="A8308" s="14">
        <v>42390.876469907409</v>
      </c>
      <c r="B8308" s="5">
        <v>1</v>
      </c>
    </row>
    <row r="8309" spans="1:2" x14ac:dyDescent="0.35">
      <c r="A8309" s="14">
        <v>42390.880486111113</v>
      </c>
      <c r="B8309" s="5">
        <v>1</v>
      </c>
    </row>
    <row r="8310" spans="1:2" x14ac:dyDescent="0.35">
      <c r="A8310" s="14">
        <v>42390.8828125</v>
      </c>
      <c r="B8310" s="5">
        <v>1</v>
      </c>
    </row>
    <row r="8311" spans="1:2" x14ac:dyDescent="0.35">
      <c r="A8311" s="14">
        <v>42390.883136574077</v>
      </c>
      <c r="B8311" s="5">
        <v>1</v>
      </c>
    </row>
    <row r="8312" spans="1:2" x14ac:dyDescent="0.35">
      <c r="A8312" s="14">
        <v>42390.883599537039</v>
      </c>
      <c r="B8312" s="5">
        <v>1</v>
      </c>
    </row>
    <row r="8313" spans="1:2" x14ac:dyDescent="0.35">
      <c r="A8313" s="14">
        <v>42390.911469907405</v>
      </c>
      <c r="B8313" s="5">
        <v>1</v>
      </c>
    </row>
    <row r="8314" spans="1:2" x14ac:dyDescent="0.35">
      <c r="A8314" s="14">
        <v>42390.944108796299</v>
      </c>
      <c r="B8314" s="5">
        <v>1</v>
      </c>
    </row>
    <row r="8315" spans="1:2" x14ac:dyDescent="0.35">
      <c r="A8315" s="14">
        <v>42390.966122685182</v>
      </c>
      <c r="B8315" s="5">
        <v>1</v>
      </c>
    </row>
    <row r="8316" spans="1:2" x14ac:dyDescent="0.35">
      <c r="A8316" s="14">
        <v>42390.966238425928</v>
      </c>
      <c r="B8316" s="5">
        <v>1</v>
      </c>
    </row>
    <row r="8317" spans="1:2" x14ac:dyDescent="0.35">
      <c r="A8317" s="14">
        <v>42390.970891203702</v>
      </c>
      <c r="B8317" s="5">
        <v>1</v>
      </c>
    </row>
    <row r="8318" spans="1:2" x14ac:dyDescent="0.35">
      <c r="A8318" s="14">
        <v>42390.970960648148</v>
      </c>
      <c r="B8318" s="5">
        <v>1</v>
      </c>
    </row>
    <row r="8319" spans="1:2" x14ac:dyDescent="0.35">
      <c r="A8319" s="14">
        <v>42391.042962962965</v>
      </c>
      <c r="B8319" s="5">
        <v>1</v>
      </c>
    </row>
    <row r="8320" spans="1:2" x14ac:dyDescent="0.35">
      <c r="A8320" s="14">
        <v>42391.049166666664</v>
      </c>
      <c r="B8320" s="5">
        <v>1</v>
      </c>
    </row>
    <row r="8321" spans="1:2" x14ac:dyDescent="0.35">
      <c r="A8321" s="14">
        <v>42391.055486111109</v>
      </c>
      <c r="B8321" s="5">
        <v>1</v>
      </c>
    </row>
    <row r="8322" spans="1:2" x14ac:dyDescent="0.35">
      <c r="A8322" s="14">
        <v>42391.06417824074</v>
      </c>
      <c r="B8322" s="5">
        <v>1</v>
      </c>
    </row>
    <row r="8323" spans="1:2" x14ac:dyDescent="0.35">
      <c r="A8323" s="14">
        <v>42391.083472222221</v>
      </c>
      <c r="B8323" s="5">
        <v>1</v>
      </c>
    </row>
    <row r="8324" spans="1:2" x14ac:dyDescent="0.35">
      <c r="A8324" s="14">
        <v>42391.085347222222</v>
      </c>
      <c r="B8324" s="5">
        <v>1</v>
      </c>
    </row>
    <row r="8325" spans="1:2" x14ac:dyDescent="0.35">
      <c r="A8325" s="14">
        <v>42391.090254629627</v>
      </c>
      <c r="B8325" s="5">
        <v>1</v>
      </c>
    </row>
    <row r="8326" spans="1:2" x14ac:dyDescent="0.35">
      <c r="A8326" s="14">
        <v>42391.093576388892</v>
      </c>
      <c r="B8326" s="5">
        <v>1</v>
      </c>
    </row>
    <row r="8327" spans="1:2" x14ac:dyDescent="0.35">
      <c r="A8327" s="14">
        <v>42391.09884259259</v>
      </c>
      <c r="B8327" s="5">
        <v>1</v>
      </c>
    </row>
    <row r="8328" spans="1:2" x14ac:dyDescent="0.35">
      <c r="A8328" s="14">
        <v>42391.178194444445</v>
      </c>
      <c r="B8328" s="5">
        <v>1</v>
      </c>
    </row>
    <row r="8329" spans="1:2" x14ac:dyDescent="0.35">
      <c r="A8329" s="14">
        <v>42391.178715277776</v>
      </c>
      <c r="B8329" s="5">
        <v>1</v>
      </c>
    </row>
    <row r="8330" spans="1:2" x14ac:dyDescent="0.35">
      <c r="A8330" s="14">
        <v>42391.569444444445</v>
      </c>
      <c r="B8330" s="5">
        <v>1</v>
      </c>
    </row>
    <row r="8331" spans="1:2" x14ac:dyDescent="0.35">
      <c r="A8331" s="14">
        <v>42391.570347222223</v>
      </c>
      <c r="B8331" s="5">
        <v>1</v>
      </c>
    </row>
    <row r="8332" spans="1:2" x14ac:dyDescent="0.35">
      <c r="A8332" s="14">
        <v>42391.613402777781</v>
      </c>
      <c r="B8332" s="5">
        <v>1</v>
      </c>
    </row>
    <row r="8333" spans="1:2" x14ac:dyDescent="0.35">
      <c r="A8333" s="14">
        <v>42391.613657407404</v>
      </c>
      <c r="B8333" s="5">
        <v>1</v>
      </c>
    </row>
    <row r="8334" spans="1:2" x14ac:dyDescent="0.35">
      <c r="A8334" s="14">
        <v>42391.614374999997</v>
      </c>
      <c r="B8334" s="5">
        <v>1</v>
      </c>
    </row>
    <row r="8335" spans="1:2" x14ac:dyDescent="0.35">
      <c r="A8335" s="14">
        <v>42391.630902777775</v>
      </c>
      <c r="B8335" s="5">
        <v>1</v>
      </c>
    </row>
    <row r="8336" spans="1:2" x14ac:dyDescent="0.35">
      <c r="A8336" s="14">
        <v>42391.634745370371</v>
      </c>
      <c r="B8336" s="5">
        <v>1</v>
      </c>
    </row>
    <row r="8337" spans="1:2" x14ac:dyDescent="0.35">
      <c r="A8337" s="14">
        <v>42391.63784722222</v>
      </c>
      <c r="B8337" s="5">
        <v>1</v>
      </c>
    </row>
    <row r="8338" spans="1:2" x14ac:dyDescent="0.35">
      <c r="A8338" s="14">
        <v>42391.639641203707</v>
      </c>
      <c r="B8338" s="5">
        <v>1</v>
      </c>
    </row>
    <row r="8339" spans="1:2" x14ac:dyDescent="0.35">
      <c r="A8339" s="14">
        <v>42391.643449074072</v>
      </c>
      <c r="B8339" s="5">
        <v>1</v>
      </c>
    </row>
    <row r="8340" spans="1:2" x14ac:dyDescent="0.35">
      <c r="A8340" s="14">
        <v>42391.676111111112</v>
      </c>
      <c r="B8340" s="5">
        <v>1</v>
      </c>
    </row>
    <row r="8341" spans="1:2" x14ac:dyDescent="0.35">
      <c r="A8341" s="14">
        <v>42391.677789351852</v>
      </c>
      <c r="B8341" s="5">
        <v>1</v>
      </c>
    </row>
    <row r="8342" spans="1:2" x14ac:dyDescent="0.35">
      <c r="A8342" s="14">
        <v>42391.688483796293</v>
      </c>
      <c r="B8342" s="5">
        <v>1</v>
      </c>
    </row>
    <row r="8343" spans="1:2" x14ac:dyDescent="0.35">
      <c r="A8343" s="14">
        <v>42391.718171296299</v>
      </c>
      <c r="B8343" s="5">
        <v>1</v>
      </c>
    </row>
    <row r="8344" spans="1:2" x14ac:dyDescent="0.35">
      <c r="A8344" s="14">
        <v>42391.71974537037</v>
      </c>
      <c r="B8344" s="5">
        <v>1</v>
      </c>
    </row>
    <row r="8345" spans="1:2" x14ac:dyDescent="0.35">
      <c r="A8345" s="14">
        <v>42391.721666666665</v>
      </c>
      <c r="B8345" s="5">
        <v>1</v>
      </c>
    </row>
    <row r="8346" spans="1:2" x14ac:dyDescent="0.35">
      <c r="A8346" s="14">
        <v>42391.733831018515</v>
      </c>
      <c r="B8346" s="5">
        <v>1</v>
      </c>
    </row>
    <row r="8347" spans="1:2" x14ac:dyDescent="0.35">
      <c r="A8347" s="14">
        <v>42391.734918981485</v>
      </c>
      <c r="B8347" s="5">
        <v>1</v>
      </c>
    </row>
    <row r="8348" spans="1:2" x14ac:dyDescent="0.35">
      <c r="A8348" s="14">
        <v>42391.739745370367</v>
      </c>
      <c r="B8348" s="5">
        <v>1</v>
      </c>
    </row>
    <row r="8349" spans="1:2" x14ac:dyDescent="0.35">
      <c r="A8349" s="14">
        <v>42391.75744212963</v>
      </c>
      <c r="B8349" s="5">
        <v>1</v>
      </c>
    </row>
    <row r="8350" spans="1:2" x14ac:dyDescent="0.35">
      <c r="A8350" s="14">
        <v>42391.757881944446</v>
      </c>
      <c r="B8350" s="5">
        <v>1</v>
      </c>
    </row>
    <row r="8351" spans="1:2" x14ac:dyDescent="0.35">
      <c r="A8351" s="14">
        <v>42391.759097222224</v>
      </c>
      <c r="B8351" s="5">
        <v>1</v>
      </c>
    </row>
    <row r="8352" spans="1:2" x14ac:dyDescent="0.35">
      <c r="A8352" s="14">
        <v>42391.760706018518</v>
      </c>
      <c r="B8352" s="5">
        <v>1</v>
      </c>
    </row>
    <row r="8353" spans="1:2" x14ac:dyDescent="0.35">
      <c r="A8353" s="14">
        <v>42391.763124999998</v>
      </c>
      <c r="B8353" s="5">
        <v>1</v>
      </c>
    </row>
    <row r="8354" spans="1:2" x14ac:dyDescent="0.35">
      <c r="A8354" s="14">
        <v>42391.764050925929</v>
      </c>
      <c r="B8354" s="5">
        <v>1</v>
      </c>
    </row>
    <row r="8355" spans="1:2" x14ac:dyDescent="0.35">
      <c r="A8355" s="14">
        <v>42391.80027777778</v>
      </c>
      <c r="B8355" s="5">
        <v>1</v>
      </c>
    </row>
    <row r="8356" spans="1:2" x14ac:dyDescent="0.35">
      <c r="A8356" s="14">
        <v>42391.810682870368</v>
      </c>
      <c r="B8356" s="5">
        <v>1</v>
      </c>
    </row>
    <row r="8357" spans="1:2" x14ac:dyDescent="0.35">
      <c r="A8357" s="14">
        <v>42391.824745370373</v>
      </c>
      <c r="B8357" s="5">
        <v>1</v>
      </c>
    </row>
    <row r="8358" spans="1:2" x14ac:dyDescent="0.35">
      <c r="A8358" s="14">
        <v>42391.825740740744</v>
      </c>
      <c r="B8358" s="5">
        <v>1</v>
      </c>
    </row>
    <row r="8359" spans="1:2" x14ac:dyDescent="0.35">
      <c r="A8359" s="14">
        <v>42391.825949074075</v>
      </c>
      <c r="B8359" s="5">
        <v>1</v>
      </c>
    </row>
    <row r="8360" spans="1:2" x14ac:dyDescent="0.35">
      <c r="A8360" s="14">
        <v>42391.835405092592</v>
      </c>
      <c r="B8360" s="5">
        <v>1</v>
      </c>
    </row>
    <row r="8361" spans="1:2" x14ac:dyDescent="0.35">
      <c r="A8361" s="14">
        <v>42391.840289351851</v>
      </c>
      <c r="B8361" s="5">
        <v>1</v>
      </c>
    </row>
    <row r="8362" spans="1:2" x14ac:dyDescent="0.35">
      <c r="A8362" s="14">
        <v>42391.843923611108</v>
      </c>
      <c r="B8362" s="5">
        <v>1</v>
      </c>
    </row>
    <row r="8363" spans="1:2" x14ac:dyDescent="0.35">
      <c r="A8363" s="14">
        <v>42391.851527777777</v>
      </c>
      <c r="B8363" s="5">
        <v>1</v>
      </c>
    </row>
    <row r="8364" spans="1:2" x14ac:dyDescent="0.35">
      <c r="A8364" s="14">
        <v>42391.860821759263</v>
      </c>
      <c r="B8364" s="5">
        <v>1</v>
      </c>
    </row>
    <row r="8365" spans="1:2" x14ac:dyDescent="0.35">
      <c r="A8365" s="14">
        <v>42391.889884259261</v>
      </c>
      <c r="B8365" s="5">
        <v>1</v>
      </c>
    </row>
    <row r="8366" spans="1:2" x14ac:dyDescent="0.35">
      <c r="A8366" s="14">
        <v>42391.890300925923</v>
      </c>
      <c r="B8366" s="5">
        <v>2</v>
      </c>
    </row>
    <row r="8367" spans="1:2" x14ac:dyDescent="0.35">
      <c r="A8367" s="14">
        <v>42391.953125</v>
      </c>
      <c r="B8367" s="5">
        <v>1</v>
      </c>
    </row>
    <row r="8368" spans="1:2" x14ac:dyDescent="0.35">
      <c r="A8368" s="14">
        <v>42391.9534375</v>
      </c>
      <c r="B8368" s="5">
        <v>1</v>
      </c>
    </row>
    <row r="8369" spans="1:2" x14ac:dyDescent="0.35">
      <c r="A8369" s="14">
        <v>42391.955729166664</v>
      </c>
      <c r="B8369" s="5">
        <v>1</v>
      </c>
    </row>
    <row r="8370" spans="1:2" x14ac:dyDescent="0.35">
      <c r="A8370" s="14">
        <v>42391.956250000003</v>
      </c>
      <c r="B8370" s="5">
        <v>1</v>
      </c>
    </row>
    <row r="8371" spans="1:2" x14ac:dyDescent="0.35">
      <c r="A8371" s="14">
        <v>42392.067013888889</v>
      </c>
      <c r="B8371" s="5">
        <v>1</v>
      </c>
    </row>
    <row r="8372" spans="1:2" x14ac:dyDescent="0.35">
      <c r="A8372" s="14">
        <v>42392.080069444448</v>
      </c>
      <c r="B8372" s="5">
        <v>1</v>
      </c>
    </row>
    <row r="8373" spans="1:2" x14ac:dyDescent="0.35">
      <c r="A8373" s="14">
        <v>42392.080474537041</v>
      </c>
      <c r="B8373" s="5">
        <v>2</v>
      </c>
    </row>
    <row r="8374" spans="1:2" x14ac:dyDescent="0.35">
      <c r="A8374" s="14">
        <v>42392.114259259259</v>
      </c>
      <c r="B8374" s="5">
        <v>1</v>
      </c>
    </row>
    <row r="8375" spans="1:2" x14ac:dyDescent="0.35">
      <c r="A8375" s="14">
        <v>42392.170949074076</v>
      </c>
      <c r="B8375" s="5">
        <v>1</v>
      </c>
    </row>
    <row r="8376" spans="1:2" x14ac:dyDescent="0.35">
      <c r="A8376" s="14">
        <v>42392.200868055559</v>
      </c>
      <c r="B8376" s="5">
        <v>1</v>
      </c>
    </row>
    <row r="8377" spans="1:2" x14ac:dyDescent="0.35">
      <c r="A8377" s="14">
        <v>42392.206574074073</v>
      </c>
      <c r="B8377" s="5">
        <v>1</v>
      </c>
    </row>
    <row r="8378" spans="1:2" x14ac:dyDescent="0.35">
      <c r="A8378" s="14">
        <v>42392.207789351851</v>
      </c>
      <c r="B8378" s="5">
        <v>1</v>
      </c>
    </row>
    <row r="8379" spans="1:2" x14ac:dyDescent="0.35">
      <c r="A8379" s="14">
        <v>42392.22</v>
      </c>
      <c r="B8379" s="5">
        <v>1</v>
      </c>
    </row>
    <row r="8380" spans="1:2" x14ac:dyDescent="0.35">
      <c r="A8380" s="14">
        <v>42392.383402777778</v>
      </c>
      <c r="B8380" s="5">
        <v>1</v>
      </c>
    </row>
    <row r="8381" spans="1:2" x14ac:dyDescent="0.35">
      <c r="A8381" s="14">
        <v>42392.383634259262</v>
      </c>
      <c r="B8381" s="5">
        <v>2</v>
      </c>
    </row>
    <row r="8382" spans="1:2" x14ac:dyDescent="0.35">
      <c r="A8382" s="14">
        <v>42392.383888888886</v>
      </c>
      <c r="B8382" s="5">
        <v>1</v>
      </c>
    </row>
    <row r="8383" spans="1:2" x14ac:dyDescent="0.35">
      <c r="A8383" s="14">
        <v>42392.384143518517</v>
      </c>
      <c r="B8383" s="5">
        <v>1</v>
      </c>
    </row>
    <row r="8384" spans="1:2" x14ac:dyDescent="0.35">
      <c r="A8384" s="14">
        <v>42392.38585648148</v>
      </c>
      <c r="B8384" s="5">
        <v>1</v>
      </c>
    </row>
    <row r="8385" spans="1:2" x14ac:dyDescent="0.35">
      <c r="A8385" s="14">
        <v>42392.385995370372</v>
      </c>
      <c r="B8385" s="5">
        <v>2</v>
      </c>
    </row>
    <row r="8386" spans="1:2" x14ac:dyDescent="0.35">
      <c r="A8386" s="14">
        <v>42392.6484837963</v>
      </c>
      <c r="B8386" s="5">
        <v>1</v>
      </c>
    </row>
    <row r="8387" spans="1:2" x14ac:dyDescent="0.35">
      <c r="A8387" s="14">
        <v>42392.659745370373</v>
      </c>
      <c r="B8387" s="5">
        <v>1</v>
      </c>
    </row>
    <row r="8388" spans="1:2" x14ac:dyDescent="0.35">
      <c r="A8388" s="14">
        <v>42392.664849537039</v>
      </c>
      <c r="B8388" s="5">
        <v>1</v>
      </c>
    </row>
    <row r="8389" spans="1:2" x14ac:dyDescent="0.35">
      <c r="A8389" s="14">
        <v>42392.694421296299</v>
      </c>
      <c r="B8389" s="5">
        <v>1</v>
      </c>
    </row>
    <row r="8390" spans="1:2" x14ac:dyDescent="0.35">
      <c r="A8390" s="14">
        <v>42392.696377314816</v>
      </c>
      <c r="B8390" s="5">
        <v>1</v>
      </c>
    </row>
    <row r="8391" spans="1:2" x14ac:dyDescent="0.35">
      <c r="A8391" s="14">
        <v>42392.697743055556</v>
      </c>
      <c r="B8391" s="5">
        <v>1</v>
      </c>
    </row>
    <row r="8392" spans="1:2" x14ac:dyDescent="0.35">
      <c r="A8392" s="14">
        <v>42392.701365740744</v>
      </c>
      <c r="B8392" s="5">
        <v>1</v>
      </c>
    </row>
    <row r="8393" spans="1:2" x14ac:dyDescent="0.35">
      <c r="A8393" s="14">
        <v>42392.701944444445</v>
      </c>
      <c r="B8393" s="5">
        <v>1</v>
      </c>
    </row>
    <row r="8394" spans="1:2" x14ac:dyDescent="0.35">
      <c r="A8394" s="14">
        <v>42392.704548611109</v>
      </c>
      <c r="B8394" s="5">
        <v>1</v>
      </c>
    </row>
    <row r="8395" spans="1:2" x14ac:dyDescent="0.35">
      <c r="A8395" s="14">
        <v>42392.719826388886</v>
      </c>
      <c r="B8395" s="5">
        <v>1</v>
      </c>
    </row>
    <row r="8396" spans="1:2" x14ac:dyDescent="0.35">
      <c r="A8396" s="14">
        <v>42392.736956018518</v>
      </c>
      <c r="B8396" s="5">
        <v>1</v>
      </c>
    </row>
    <row r="8397" spans="1:2" x14ac:dyDescent="0.35">
      <c r="A8397" s="14">
        <v>42392.809907407405</v>
      </c>
      <c r="B8397" s="5">
        <v>1</v>
      </c>
    </row>
    <row r="8398" spans="1:2" x14ac:dyDescent="0.35">
      <c r="A8398" s="14">
        <v>42392.884236111109</v>
      </c>
      <c r="B8398" s="5">
        <v>1</v>
      </c>
    </row>
    <row r="8399" spans="1:2" x14ac:dyDescent="0.35">
      <c r="A8399" s="14">
        <v>42392.884560185186</v>
      </c>
      <c r="B8399" s="5">
        <v>2</v>
      </c>
    </row>
    <row r="8400" spans="1:2" x14ac:dyDescent="0.35">
      <c r="A8400" s="14">
        <v>42392.890763888892</v>
      </c>
      <c r="B8400" s="5">
        <v>1</v>
      </c>
    </row>
    <row r="8401" spans="1:2" x14ac:dyDescent="0.35">
      <c r="A8401" s="14">
        <v>42392.894826388889</v>
      </c>
      <c r="B8401" s="5">
        <v>1</v>
      </c>
    </row>
    <row r="8402" spans="1:2" x14ac:dyDescent="0.35">
      <c r="A8402" s="14">
        <v>42392.931712962964</v>
      </c>
      <c r="B8402" s="5">
        <v>1</v>
      </c>
    </row>
    <row r="8403" spans="1:2" x14ac:dyDescent="0.35">
      <c r="A8403" s="14">
        <v>42393.004826388889</v>
      </c>
      <c r="B8403" s="5">
        <v>1</v>
      </c>
    </row>
    <row r="8404" spans="1:2" x14ac:dyDescent="0.35">
      <c r="A8404" s="14">
        <v>42393.018055555556</v>
      </c>
      <c r="B8404" s="5">
        <v>1</v>
      </c>
    </row>
    <row r="8405" spans="1:2" x14ac:dyDescent="0.35">
      <c r="A8405" s="14">
        <v>42393.027280092596</v>
      </c>
      <c r="B8405" s="5">
        <v>1</v>
      </c>
    </row>
    <row r="8406" spans="1:2" x14ac:dyDescent="0.35">
      <c r="A8406" s="14">
        <v>42393.047905092593</v>
      </c>
      <c r="B8406" s="5">
        <v>1</v>
      </c>
    </row>
    <row r="8407" spans="1:2" x14ac:dyDescent="0.35">
      <c r="A8407" s="14">
        <v>42393.059652777774</v>
      </c>
      <c r="B8407" s="5">
        <v>1</v>
      </c>
    </row>
    <row r="8408" spans="1:2" x14ac:dyDescent="0.35">
      <c r="A8408" s="14">
        <v>42393.14099537037</v>
      </c>
      <c r="B8408" s="5">
        <v>1</v>
      </c>
    </row>
    <row r="8409" spans="1:2" x14ac:dyDescent="0.35">
      <c r="A8409" s="14">
        <v>42393.148946759262</v>
      </c>
      <c r="B8409" s="5">
        <v>1</v>
      </c>
    </row>
    <row r="8410" spans="1:2" x14ac:dyDescent="0.35">
      <c r="A8410" s="14">
        <v>42393.152881944443</v>
      </c>
      <c r="B8410" s="5">
        <v>1</v>
      </c>
    </row>
    <row r="8411" spans="1:2" x14ac:dyDescent="0.35">
      <c r="A8411" s="14">
        <v>42393.184108796297</v>
      </c>
      <c r="B8411" s="5">
        <v>1</v>
      </c>
    </row>
    <row r="8412" spans="1:2" x14ac:dyDescent="0.35">
      <c r="A8412" s="14">
        <v>42393.185104166667</v>
      </c>
      <c r="B8412" s="5">
        <v>2</v>
      </c>
    </row>
    <row r="8413" spans="1:2" x14ac:dyDescent="0.35">
      <c r="A8413" s="14">
        <v>42393.202534722222</v>
      </c>
      <c r="B8413" s="5">
        <v>1</v>
      </c>
    </row>
    <row r="8414" spans="1:2" x14ac:dyDescent="0.35">
      <c r="A8414" s="14">
        <v>42393.347083333334</v>
      </c>
      <c r="B8414" s="5">
        <v>1</v>
      </c>
    </row>
    <row r="8415" spans="1:2" x14ac:dyDescent="0.35">
      <c r="A8415" s="14">
        <v>42393.409768518519</v>
      </c>
      <c r="B8415" s="5">
        <v>1</v>
      </c>
    </row>
    <row r="8416" spans="1:2" x14ac:dyDescent="0.35">
      <c r="A8416" s="14">
        <v>42393.419976851852</v>
      </c>
      <c r="B8416" s="5">
        <v>1</v>
      </c>
    </row>
    <row r="8417" spans="1:2" x14ac:dyDescent="0.35">
      <c r="A8417" s="14">
        <v>42393.424884259257</v>
      </c>
      <c r="B8417" s="5">
        <v>1</v>
      </c>
    </row>
    <row r="8418" spans="1:2" x14ac:dyDescent="0.35">
      <c r="A8418" s="14">
        <v>42393.427453703705</v>
      </c>
      <c r="B8418" s="5">
        <v>1</v>
      </c>
    </row>
    <row r="8419" spans="1:2" x14ac:dyDescent="0.35">
      <c r="A8419" s="14">
        <v>42393.43445601852</v>
      </c>
      <c r="B8419" s="5">
        <v>1</v>
      </c>
    </row>
    <row r="8420" spans="1:2" x14ac:dyDescent="0.35">
      <c r="A8420" s="14">
        <v>42393.465590277781</v>
      </c>
      <c r="B8420" s="5">
        <v>1</v>
      </c>
    </row>
    <row r="8421" spans="1:2" x14ac:dyDescent="0.35">
      <c r="A8421" s="14">
        <v>42393.625023148146</v>
      </c>
      <c r="B8421" s="5">
        <v>1</v>
      </c>
    </row>
    <row r="8422" spans="1:2" x14ac:dyDescent="0.35">
      <c r="A8422" s="14">
        <v>42393.625324074077</v>
      </c>
      <c r="B8422" s="5">
        <v>1</v>
      </c>
    </row>
    <row r="8423" spans="1:2" x14ac:dyDescent="0.35">
      <c r="A8423" s="14">
        <v>42393.667291666665</v>
      </c>
      <c r="B8423" s="5">
        <v>1</v>
      </c>
    </row>
    <row r="8424" spans="1:2" x14ac:dyDescent="0.35">
      <c r="A8424" s="14">
        <v>42393.66914351852</v>
      </c>
      <c r="B8424" s="5">
        <v>1</v>
      </c>
    </row>
    <row r="8425" spans="1:2" x14ac:dyDescent="0.35">
      <c r="A8425" s="14">
        <v>42393.756423611114</v>
      </c>
      <c r="B8425" s="5">
        <v>1</v>
      </c>
    </row>
    <row r="8426" spans="1:2" x14ac:dyDescent="0.35">
      <c r="A8426" s="14">
        <v>42393.761620370373</v>
      </c>
      <c r="B8426" s="5">
        <v>1</v>
      </c>
    </row>
    <row r="8427" spans="1:2" x14ac:dyDescent="0.35">
      <c r="A8427" s="14">
        <v>42393.778611111113</v>
      </c>
      <c r="B8427" s="5">
        <v>1</v>
      </c>
    </row>
    <row r="8428" spans="1:2" x14ac:dyDescent="0.35">
      <c r="A8428" s="14">
        <v>42393.787106481483</v>
      </c>
      <c r="B8428" s="5">
        <v>1</v>
      </c>
    </row>
    <row r="8429" spans="1:2" x14ac:dyDescent="0.35">
      <c r="A8429" s="14">
        <v>42393.787407407406</v>
      </c>
      <c r="B8429" s="5">
        <v>1</v>
      </c>
    </row>
    <row r="8430" spans="1:2" x14ac:dyDescent="0.35">
      <c r="A8430" s="14">
        <v>42393.81009259259</v>
      </c>
      <c r="B8430" s="5">
        <v>1</v>
      </c>
    </row>
    <row r="8431" spans="1:2" x14ac:dyDescent="0.35">
      <c r="A8431" s="14">
        <v>42393.81795138889</v>
      </c>
      <c r="B8431" s="5">
        <v>1</v>
      </c>
    </row>
    <row r="8432" spans="1:2" x14ac:dyDescent="0.35">
      <c r="A8432" s="14">
        <v>42393.837997685187</v>
      </c>
      <c r="B8432" s="5">
        <v>1</v>
      </c>
    </row>
    <row r="8433" spans="1:2" x14ac:dyDescent="0.35">
      <c r="A8433" s="14">
        <v>42393.860567129632</v>
      </c>
      <c r="B8433" s="5">
        <v>1</v>
      </c>
    </row>
    <row r="8434" spans="1:2" x14ac:dyDescent="0.35">
      <c r="A8434" s="14">
        <v>42393.86519675926</v>
      </c>
      <c r="B8434" s="5">
        <v>1</v>
      </c>
    </row>
    <row r="8435" spans="1:2" x14ac:dyDescent="0.35">
      <c r="A8435" s="14">
        <v>42393.909467592595</v>
      </c>
      <c r="B8435" s="5">
        <v>1</v>
      </c>
    </row>
    <row r="8436" spans="1:2" x14ac:dyDescent="0.35">
      <c r="A8436" s="14">
        <v>42393.915381944447</v>
      </c>
      <c r="B8436" s="5">
        <v>1</v>
      </c>
    </row>
    <row r="8437" spans="1:2" x14ac:dyDescent="0.35">
      <c r="A8437" s="14">
        <v>42393.921770833331</v>
      </c>
      <c r="B8437" s="5">
        <v>1</v>
      </c>
    </row>
    <row r="8438" spans="1:2" x14ac:dyDescent="0.35">
      <c r="A8438" s="14">
        <v>42393.922997685186</v>
      </c>
      <c r="B8438" s="5">
        <v>1</v>
      </c>
    </row>
    <row r="8439" spans="1:2" x14ac:dyDescent="0.35">
      <c r="A8439" s="14">
        <v>42393.92728009259</v>
      </c>
      <c r="B8439" s="5">
        <v>1</v>
      </c>
    </row>
    <row r="8440" spans="1:2" x14ac:dyDescent="0.35">
      <c r="A8440" s="14">
        <v>42393.935787037037</v>
      </c>
      <c r="B8440" s="5">
        <v>1</v>
      </c>
    </row>
    <row r="8441" spans="1:2" x14ac:dyDescent="0.35">
      <c r="A8441" s="14">
        <v>42393.948611111111</v>
      </c>
      <c r="B8441" s="5">
        <v>1</v>
      </c>
    </row>
    <row r="8442" spans="1:2" x14ac:dyDescent="0.35">
      <c r="A8442" s="14">
        <v>42393.989884259259</v>
      </c>
      <c r="B8442" s="5">
        <v>1</v>
      </c>
    </row>
    <row r="8443" spans="1:2" x14ac:dyDescent="0.35">
      <c r="A8443" s="14">
        <v>42393.994953703703</v>
      </c>
      <c r="B8443" s="5">
        <v>1</v>
      </c>
    </row>
    <row r="8444" spans="1:2" x14ac:dyDescent="0.35">
      <c r="A8444" s="14">
        <v>42394.016701388886</v>
      </c>
      <c r="B8444" s="5">
        <v>1</v>
      </c>
    </row>
    <row r="8445" spans="1:2" x14ac:dyDescent="0.35">
      <c r="A8445" s="14">
        <v>42394.018819444442</v>
      </c>
      <c r="B8445" s="5">
        <v>1</v>
      </c>
    </row>
    <row r="8446" spans="1:2" x14ac:dyDescent="0.35">
      <c r="A8446" s="14">
        <v>42394.018969907411</v>
      </c>
      <c r="B8446" s="5">
        <v>1</v>
      </c>
    </row>
    <row r="8447" spans="1:2" x14ac:dyDescent="0.35">
      <c r="A8447" s="14">
        <v>42394.035787037035</v>
      </c>
      <c r="B8447" s="5">
        <v>1</v>
      </c>
    </row>
    <row r="8448" spans="1:2" x14ac:dyDescent="0.35">
      <c r="A8448" s="14">
        <v>42394.043726851851</v>
      </c>
      <c r="B8448" s="5">
        <v>1</v>
      </c>
    </row>
    <row r="8449" spans="1:2" x14ac:dyDescent="0.35">
      <c r="A8449" s="14">
        <v>42394.050821759258</v>
      </c>
      <c r="B8449" s="5">
        <v>1</v>
      </c>
    </row>
    <row r="8450" spans="1:2" x14ac:dyDescent="0.35">
      <c r="A8450" s="14">
        <v>42394.052465277775</v>
      </c>
      <c r="B8450" s="5">
        <v>1</v>
      </c>
    </row>
    <row r="8451" spans="1:2" x14ac:dyDescent="0.35">
      <c r="A8451" s="14">
        <v>42394.052708333336</v>
      </c>
      <c r="B8451" s="5">
        <v>1</v>
      </c>
    </row>
    <row r="8452" spans="1:2" x14ac:dyDescent="0.35">
      <c r="A8452" s="14">
        <v>42394.067372685182</v>
      </c>
      <c r="B8452" s="5">
        <v>1</v>
      </c>
    </row>
    <row r="8453" spans="1:2" x14ac:dyDescent="0.35">
      <c r="A8453" s="14">
        <v>42394.069293981483</v>
      </c>
      <c r="B8453" s="5">
        <v>1</v>
      </c>
    </row>
    <row r="8454" spans="1:2" x14ac:dyDescent="0.35">
      <c r="A8454" s="14">
        <v>42394.113425925927</v>
      </c>
      <c r="B8454" s="5">
        <v>1</v>
      </c>
    </row>
    <row r="8455" spans="1:2" x14ac:dyDescent="0.35">
      <c r="A8455" s="14">
        <v>42394.114606481482</v>
      </c>
      <c r="B8455" s="5">
        <v>1</v>
      </c>
    </row>
    <row r="8456" spans="1:2" x14ac:dyDescent="0.35">
      <c r="A8456" s="14">
        <v>42394.205370370371</v>
      </c>
      <c r="B8456" s="5">
        <v>1</v>
      </c>
    </row>
    <row r="8457" spans="1:2" x14ac:dyDescent="0.35">
      <c r="A8457" s="14">
        <v>42394.206111111111</v>
      </c>
      <c r="B8457" s="5">
        <v>1</v>
      </c>
    </row>
    <row r="8458" spans="1:2" x14ac:dyDescent="0.35">
      <c r="A8458" s="14">
        <v>42394.209224537037</v>
      </c>
      <c r="B8458" s="5">
        <v>1</v>
      </c>
    </row>
    <row r="8459" spans="1:2" x14ac:dyDescent="0.35">
      <c r="A8459" s="14">
        <v>42394.230196759258</v>
      </c>
      <c r="B8459" s="5">
        <v>1</v>
      </c>
    </row>
    <row r="8460" spans="1:2" x14ac:dyDescent="0.35">
      <c r="A8460" s="14">
        <v>42394.230428240742</v>
      </c>
      <c r="B8460" s="5">
        <v>2</v>
      </c>
    </row>
    <row r="8461" spans="1:2" x14ac:dyDescent="0.35">
      <c r="A8461" s="14">
        <v>42394.253217592595</v>
      </c>
      <c r="B8461" s="5">
        <v>1</v>
      </c>
    </row>
    <row r="8462" spans="1:2" x14ac:dyDescent="0.35">
      <c r="A8462" s="14">
        <v>42394.258506944447</v>
      </c>
      <c r="B8462" s="5">
        <v>1</v>
      </c>
    </row>
    <row r="8463" spans="1:2" x14ac:dyDescent="0.35">
      <c r="A8463" s="14">
        <v>42394.258645833332</v>
      </c>
      <c r="B8463" s="5">
        <v>1</v>
      </c>
    </row>
    <row r="8464" spans="1:2" x14ac:dyDescent="0.35">
      <c r="A8464" s="14">
        <v>42394.258900462963</v>
      </c>
      <c r="B8464" s="5">
        <v>1</v>
      </c>
    </row>
    <row r="8465" spans="1:2" x14ac:dyDescent="0.35">
      <c r="A8465" s="14">
        <v>42394.259050925924</v>
      </c>
      <c r="B8465" s="5">
        <v>2</v>
      </c>
    </row>
    <row r="8466" spans="1:2" x14ac:dyDescent="0.35">
      <c r="A8466" s="14">
        <v>42394.260601851849</v>
      </c>
      <c r="B8466" s="5">
        <v>1</v>
      </c>
    </row>
    <row r="8467" spans="1:2" x14ac:dyDescent="0.35">
      <c r="A8467" s="14">
        <v>42394.260775462964</v>
      </c>
      <c r="B8467" s="5">
        <v>1</v>
      </c>
    </row>
    <row r="8468" spans="1:2" x14ac:dyDescent="0.35">
      <c r="A8468" s="14">
        <v>42394.263749999998</v>
      </c>
      <c r="B8468" s="5">
        <v>1</v>
      </c>
    </row>
    <row r="8469" spans="1:2" x14ac:dyDescent="0.35">
      <c r="A8469" s="14">
        <v>42394.26390046296</v>
      </c>
      <c r="B8469" s="5">
        <v>1</v>
      </c>
    </row>
    <row r="8470" spans="1:2" x14ac:dyDescent="0.35">
      <c r="A8470" s="14">
        <v>42394.265115740738</v>
      </c>
      <c r="B8470" s="5">
        <v>1</v>
      </c>
    </row>
    <row r="8471" spans="1:2" x14ac:dyDescent="0.35">
      <c r="A8471" s="14">
        <v>42394.276585648149</v>
      </c>
      <c r="B8471" s="5">
        <v>1</v>
      </c>
    </row>
    <row r="8472" spans="1:2" x14ac:dyDescent="0.35">
      <c r="A8472" s="14">
        <v>42394.276736111111</v>
      </c>
      <c r="B8472" s="5">
        <v>1</v>
      </c>
    </row>
    <row r="8473" spans="1:2" x14ac:dyDescent="0.35">
      <c r="A8473" s="14">
        <v>42394.284710648149</v>
      </c>
      <c r="B8473" s="5">
        <v>1</v>
      </c>
    </row>
    <row r="8474" spans="1:2" x14ac:dyDescent="0.35">
      <c r="A8474" s="14">
        <v>42394.284988425927</v>
      </c>
      <c r="B8474" s="5">
        <v>1</v>
      </c>
    </row>
    <row r="8475" spans="1:2" x14ac:dyDescent="0.35">
      <c r="A8475" s="14">
        <v>42394.287546296298</v>
      </c>
      <c r="B8475" s="5">
        <v>1</v>
      </c>
    </row>
    <row r="8476" spans="1:2" x14ac:dyDescent="0.35">
      <c r="A8476" s="14">
        <v>42394.291250000002</v>
      </c>
      <c r="B8476" s="5">
        <v>1</v>
      </c>
    </row>
    <row r="8477" spans="1:2" x14ac:dyDescent="0.35">
      <c r="A8477" s="14">
        <v>42394.293854166666</v>
      </c>
      <c r="B8477" s="5">
        <v>1</v>
      </c>
    </row>
    <row r="8478" spans="1:2" x14ac:dyDescent="0.35">
      <c r="A8478" s="14">
        <v>42394.294444444444</v>
      </c>
      <c r="B8478" s="5">
        <v>1</v>
      </c>
    </row>
    <row r="8479" spans="1:2" x14ac:dyDescent="0.35">
      <c r="A8479" s="14">
        <v>42394.294710648152</v>
      </c>
      <c r="B8479" s="5">
        <v>2</v>
      </c>
    </row>
    <row r="8480" spans="1:2" x14ac:dyDescent="0.35">
      <c r="A8480" s="14">
        <v>42394.301631944443</v>
      </c>
      <c r="B8480" s="5">
        <v>1</v>
      </c>
    </row>
    <row r="8481" spans="1:2" x14ac:dyDescent="0.35">
      <c r="A8481" s="14">
        <v>42394.301863425928</v>
      </c>
      <c r="B8481" s="5">
        <v>1</v>
      </c>
    </row>
    <row r="8482" spans="1:2" x14ac:dyDescent="0.35">
      <c r="A8482" s="14">
        <v>42394.330138888887</v>
      </c>
      <c r="B8482" s="5">
        <v>1</v>
      </c>
    </row>
    <row r="8483" spans="1:2" x14ac:dyDescent="0.35">
      <c r="A8483" s="14">
        <v>42394.334062499998</v>
      </c>
      <c r="B8483" s="5">
        <v>1</v>
      </c>
    </row>
    <row r="8484" spans="1:2" x14ac:dyDescent="0.35">
      <c r="A8484" s="14">
        <v>42394.542256944442</v>
      </c>
      <c r="B8484" s="5">
        <v>1</v>
      </c>
    </row>
    <row r="8485" spans="1:2" x14ac:dyDescent="0.35">
      <c r="A8485" s="14">
        <v>42394.602326388886</v>
      </c>
      <c r="B8485" s="5">
        <v>1</v>
      </c>
    </row>
    <row r="8486" spans="1:2" x14ac:dyDescent="0.35">
      <c r="A8486" s="14">
        <v>42394.63449074074</v>
      </c>
      <c r="B8486" s="5">
        <v>1</v>
      </c>
    </row>
    <row r="8487" spans="1:2" x14ac:dyDescent="0.35">
      <c r="A8487" s="14">
        <v>42394.639560185184</v>
      </c>
      <c r="B8487" s="5">
        <v>1</v>
      </c>
    </row>
    <row r="8488" spans="1:2" x14ac:dyDescent="0.35">
      <c r="A8488" s="14">
        <v>42394.641377314816</v>
      </c>
      <c r="B8488" s="5">
        <v>1</v>
      </c>
    </row>
    <row r="8489" spans="1:2" x14ac:dyDescent="0.35">
      <c r="A8489" s="14">
        <v>42394.647303240738</v>
      </c>
      <c r="B8489" s="5">
        <v>1</v>
      </c>
    </row>
    <row r="8490" spans="1:2" x14ac:dyDescent="0.35">
      <c r="A8490" s="14">
        <v>42394.651006944441</v>
      </c>
      <c r="B8490" s="5">
        <v>1</v>
      </c>
    </row>
    <row r="8491" spans="1:2" x14ac:dyDescent="0.35">
      <c r="A8491" s="14">
        <v>42394.655821759261</v>
      </c>
      <c r="B8491" s="5">
        <v>1</v>
      </c>
    </row>
    <row r="8492" spans="1:2" x14ac:dyDescent="0.35">
      <c r="A8492" s="14">
        <v>42394.659768518519</v>
      </c>
      <c r="B8492" s="5">
        <v>1</v>
      </c>
    </row>
    <row r="8493" spans="1:2" x14ac:dyDescent="0.35">
      <c r="A8493" s="14">
        <v>42394.668206018519</v>
      </c>
      <c r="B8493" s="5">
        <v>1</v>
      </c>
    </row>
    <row r="8494" spans="1:2" x14ac:dyDescent="0.35">
      <c r="A8494" s="14">
        <v>42394.668807870374</v>
      </c>
      <c r="B8494" s="5">
        <v>1</v>
      </c>
    </row>
    <row r="8495" spans="1:2" x14ac:dyDescent="0.35">
      <c r="A8495" s="14">
        <v>42394.669641203705</v>
      </c>
      <c r="B8495" s="5">
        <v>1</v>
      </c>
    </row>
    <row r="8496" spans="1:2" x14ac:dyDescent="0.35">
      <c r="A8496" s="14">
        <v>42394.67</v>
      </c>
      <c r="B8496" s="5">
        <v>1</v>
      </c>
    </row>
    <row r="8497" spans="1:2" x14ac:dyDescent="0.35">
      <c r="A8497" s="14">
        <v>42394.670925925922</v>
      </c>
      <c r="B8497" s="5">
        <v>1</v>
      </c>
    </row>
    <row r="8498" spans="1:2" x14ac:dyDescent="0.35">
      <c r="A8498" s="14">
        <v>42394.6716087963</v>
      </c>
      <c r="B8498" s="5">
        <v>1</v>
      </c>
    </row>
    <row r="8499" spans="1:2" x14ac:dyDescent="0.35">
      <c r="A8499" s="14">
        <v>42394.6721412037</v>
      </c>
      <c r="B8499" s="5">
        <v>1</v>
      </c>
    </row>
    <row r="8500" spans="1:2" x14ac:dyDescent="0.35">
      <c r="A8500" s="14">
        <v>42394.674675925926</v>
      </c>
      <c r="B8500" s="5">
        <v>1</v>
      </c>
    </row>
    <row r="8501" spans="1:2" x14ac:dyDescent="0.35">
      <c r="A8501" s="14">
        <v>42394.683148148149</v>
      </c>
      <c r="B8501" s="5">
        <v>1</v>
      </c>
    </row>
    <row r="8502" spans="1:2" x14ac:dyDescent="0.35">
      <c r="A8502" s="14">
        <v>42394.68540509259</v>
      </c>
      <c r="B8502" s="5">
        <v>1</v>
      </c>
    </row>
    <row r="8503" spans="1:2" x14ac:dyDescent="0.35">
      <c r="A8503" s="14">
        <v>42394.685659722221</v>
      </c>
      <c r="B8503" s="5">
        <v>2</v>
      </c>
    </row>
    <row r="8504" spans="1:2" x14ac:dyDescent="0.35">
      <c r="A8504" s="14">
        <v>42394.688275462962</v>
      </c>
      <c r="B8504" s="5">
        <v>1</v>
      </c>
    </row>
    <row r="8505" spans="1:2" x14ac:dyDescent="0.35">
      <c r="A8505" s="14">
        <v>42394.689004629632</v>
      </c>
      <c r="B8505" s="5">
        <v>1</v>
      </c>
    </row>
    <row r="8506" spans="1:2" x14ac:dyDescent="0.35">
      <c r="A8506" s="14">
        <v>42394.696319444447</v>
      </c>
      <c r="B8506" s="5">
        <v>1</v>
      </c>
    </row>
    <row r="8507" spans="1:2" x14ac:dyDescent="0.35">
      <c r="A8507" s="14">
        <v>42394.696574074071</v>
      </c>
      <c r="B8507" s="5">
        <v>1</v>
      </c>
    </row>
    <row r="8508" spans="1:2" x14ac:dyDescent="0.35">
      <c r="A8508" s="14">
        <v>42394.697511574072</v>
      </c>
      <c r="B8508" s="5">
        <v>1</v>
      </c>
    </row>
    <row r="8509" spans="1:2" x14ac:dyDescent="0.35">
      <c r="A8509" s="14">
        <v>42394.698078703703</v>
      </c>
      <c r="B8509" s="5">
        <v>1</v>
      </c>
    </row>
    <row r="8510" spans="1:2" x14ac:dyDescent="0.35">
      <c r="A8510" s="14">
        <v>42394.701828703706</v>
      </c>
      <c r="B8510" s="5">
        <v>1</v>
      </c>
    </row>
    <row r="8511" spans="1:2" x14ac:dyDescent="0.35">
      <c r="A8511" s="14">
        <v>42394.723402777781</v>
      </c>
      <c r="B8511" s="5">
        <v>1</v>
      </c>
    </row>
    <row r="8512" spans="1:2" x14ac:dyDescent="0.35">
      <c r="A8512" s="14">
        <v>42394.788124999999</v>
      </c>
      <c r="B8512" s="5">
        <v>1</v>
      </c>
    </row>
    <row r="8513" spans="1:2" x14ac:dyDescent="0.35">
      <c r="A8513" s="14">
        <v>42394.795312499999</v>
      </c>
      <c r="B8513" s="5">
        <v>1</v>
      </c>
    </row>
    <row r="8514" spans="1:2" x14ac:dyDescent="0.35">
      <c r="A8514" s="14">
        <v>42394.821076388886</v>
      </c>
      <c r="B8514" s="5">
        <v>1</v>
      </c>
    </row>
    <row r="8515" spans="1:2" x14ac:dyDescent="0.35">
      <c r="A8515" s="14">
        <v>42394.834513888891</v>
      </c>
      <c r="B8515" s="5">
        <v>1</v>
      </c>
    </row>
    <row r="8516" spans="1:2" x14ac:dyDescent="0.35">
      <c r="A8516" s="14">
        <v>42394.856493055559</v>
      </c>
      <c r="B8516" s="5">
        <v>1</v>
      </c>
    </row>
    <row r="8517" spans="1:2" x14ac:dyDescent="0.35">
      <c r="A8517" s="14">
        <v>42394.864502314813</v>
      </c>
      <c r="B8517" s="5">
        <v>1</v>
      </c>
    </row>
    <row r="8518" spans="1:2" x14ac:dyDescent="0.35">
      <c r="A8518" s="14">
        <v>42394.87091435185</v>
      </c>
      <c r="B8518" s="5">
        <v>1</v>
      </c>
    </row>
    <row r="8519" spans="1:2" x14ac:dyDescent="0.35">
      <c r="A8519" s="14">
        <v>42394.927731481483</v>
      </c>
      <c r="B8519" s="5">
        <v>1</v>
      </c>
    </row>
    <row r="8520" spans="1:2" x14ac:dyDescent="0.35">
      <c r="A8520" s="14">
        <v>42394.935057870367</v>
      </c>
      <c r="B8520" s="5">
        <v>1</v>
      </c>
    </row>
    <row r="8521" spans="1:2" x14ac:dyDescent="0.35">
      <c r="A8521" s="14">
        <v>42394.97996527778</v>
      </c>
      <c r="B8521" s="5">
        <v>1</v>
      </c>
    </row>
    <row r="8522" spans="1:2" x14ac:dyDescent="0.35">
      <c r="A8522" s="14">
        <v>42394.995775462965</v>
      </c>
      <c r="B8522" s="5">
        <v>1</v>
      </c>
    </row>
    <row r="8523" spans="1:2" x14ac:dyDescent="0.35">
      <c r="A8523" s="14">
        <v>42395.005069444444</v>
      </c>
      <c r="B8523" s="5">
        <v>1</v>
      </c>
    </row>
    <row r="8524" spans="1:2" x14ac:dyDescent="0.35">
      <c r="A8524" s="14">
        <v>42395.005590277775</v>
      </c>
      <c r="B8524" s="5">
        <v>1</v>
      </c>
    </row>
    <row r="8525" spans="1:2" x14ac:dyDescent="0.35">
      <c r="A8525" s="14">
        <v>42395.005740740744</v>
      </c>
      <c r="B8525" s="5">
        <v>1</v>
      </c>
    </row>
    <row r="8526" spans="1:2" x14ac:dyDescent="0.35">
      <c r="A8526" s="14">
        <v>42395.005879629629</v>
      </c>
      <c r="B8526" s="5">
        <v>1</v>
      </c>
    </row>
    <row r="8527" spans="1:2" x14ac:dyDescent="0.35">
      <c r="A8527" s="14">
        <v>42395.007106481484</v>
      </c>
      <c r="B8527" s="5">
        <v>1</v>
      </c>
    </row>
    <row r="8528" spans="1:2" x14ac:dyDescent="0.35">
      <c r="A8528" s="14">
        <v>42395.011273148149</v>
      </c>
      <c r="B8528" s="5">
        <v>1</v>
      </c>
    </row>
    <row r="8529" spans="1:2" x14ac:dyDescent="0.35">
      <c r="A8529" s="14">
        <v>42395.013425925928</v>
      </c>
      <c r="B8529" s="5">
        <v>1</v>
      </c>
    </row>
    <row r="8530" spans="1:2" x14ac:dyDescent="0.35">
      <c r="A8530" s="14">
        <v>42395.016111111108</v>
      </c>
      <c r="B8530" s="5">
        <v>1</v>
      </c>
    </row>
    <row r="8531" spans="1:2" x14ac:dyDescent="0.35">
      <c r="A8531" s="14">
        <v>42395.023854166669</v>
      </c>
      <c r="B8531" s="5">
        <v>1</v>
      </c>
    </row>
    <row r="8532" spans="1:2" x14ac:dyDescent="0.35">
      <c r="A8532" s="14">
        <v>42395.043819444443</v>
      </c>
      <c r="B8532" s="5">
        <v>1</v>
      </c>
    </row>
    <row r="8533" spans="1:2" x14ac:dyDescent="0.35">
      <c r="A8533" s="14">
        <v>42395.056805555556</v>
      </c>
      <c r="B8533" s="5">
        <v>1</v>
      </c>
    </row>
    <row r="8534" spans="1:2" x14ac:dyDescent="0.35">
      <c r="A8534" s="14">
        <v>42395.074456018519</v>
      </c>
      <c r="B8534" s="5">
        <v>1</v>
      </c>
    </row>
    <row r="8535" spans="1:2" x14ac:dyDescent="0.35">
      <c r="A8535" s="14">
        <v>42395.074467592596</v>
      </c>
      <c r="B8535" s="5">
        <v>1</v>
      </c>
    </row>
    <row r="8536" spans="1:2" x14ac:dyDescent="0.35">
      <c r="A8536" s="14">
        <v>42395.074502314812</v>
      </c>
      <c r="B8536" s="5">
        <v>1</v>
      </c>
    </row>
    <row r="8537" spans="1:2" x14ac:dyDescent="0.35">
      <c r="A8537" s="14">
        <v>42395.074687499997</v>
      </c>
      <c r="B8537" s="5">
        <v>2</v>
      </c>
    </row>
    <row r="8538" spans="1:2" x14ac:dyDescent="0.35">
      <c r="A8538" s="14">
        <v>42395.074733796297</v>
      </c>
      <c r="B8538" s="5">
        <v>2</v>
      </c>
    </row>
    <row r="8539" spans="1:2" x14ac:dyDescent="0.35">
      <c r="A8539" s="14">
        <v>42395.088923611111</v>
      </c>
      <c r="B8539" s="5">
        <v>1</v>
      </c>
    </row>
    <row r="8540" spans="1:2" x14ac:dyDescent="0.35">
      <c r="A8540" s="14">
        <v>42395.090902777774</v>
      </c>
      <c r="B8540" s="5">
        <v>1</v>
      </c>
    </row>
    <row r="8541" spans="1:2" x14ac:dyDescent="0.35">
      <c r="A8541" s="14">
        <v>42395.140532407408</v>
      </c>
      <c r="B8541" s="5">
        <v>1</v>
      </c>
    </row>
    <row r="8542" spans="1:2" x14ac:dyDescent="0.35">
      <c r="A8542" s="14">
        <v>42395.158946759257</v>
      </c>
      <c r="B8542" s="5">
        <v>1</v>
      </c>
    </row>
    <row r="8543" spans="1:2" x14ac:dyDescent="0.35">
      <c r="A8543" s="14">
        <v>42395.164618055554</v>
      </c>
      <c r="B8543" s="5">
        <v>1</v>
      </c>
    </row>
    <row r="8544" spans="1:2" x14ac:dyDescent="0.35">
      <c r="A8544" s="14">
        <v>42395.167268518519</v>
      </c>
      <c r="B8544" s="5">
        <v>1</v>
      </c>
    </row>
    <row r="8545" spans="1:2" x14ac:dyDescent="0.35">
      <c r="A8545" s="14">
        <v>42395.16777777778</v>
      </c>
      <c r="B8545" s="5">
        <v>1</v>
      </c>
    </row>
    <row r="8546" spans="1:2" x14ac:dyDescent="0.35">
      <c r="A8546" s="14">
        <v>42395.17019675926</v>
      </c>
      <c r="B8546" s="5">
        <v>1</v>
      </c>
    </row>
    <row r="8547" spans="1:2" x14ac:dyDescent="0.35">
      <c r="A8547" s="14">
        <v>42395.170381944445</v>
      </c>
      <c r="B8547" s="5">
        <v>2</v>
      </c>
    </row>
    <row r="8548" spans="1:2" x14ac:dyDescent="0.35">
      <c r="A8548" s="14">
        <v>42395.213067129633</v>
      </c>
      <c r="B8548" s="5">
        <v>1</v>
      </c>
    </row>
    <row r="8549" spans="1:2" x14ac:dyDescent="0.35">
      <c r="A8549" s="14">
        <v>42395.220312500001</v>
      </c>
      <c r="B8549" s="5">
        <v>1</v>
      </c>
    </row>
    <row r="8550" spans="1:2" x14ac:dyDescent="0.35">
      <c r="A8550" s="14">
        <v>42395.25540509259</v>
      </c>
      <c r="B8550" s="5">
        <v>1</v>
      </c>
    </row>
    <row r="8551" spans="1:2" x14ac:dyDescent="0.35">
      <c r="A8551" s="14">
        <v>42395.256678240738</v>
      </c>
      <c r="B8551" s="5">
        <v>1</v>
      </c>
    </row>
    <row r="8552" spans="1:2" x14ac:dyDescent="0.35">
      <c r="A8552" s="14">
        <v>42395.256701388891</v>
      </c>
      <c r="B8552" s="5">
        <v>1</v>
      </c>
    </row>
    <row r="8553" spans="1:2" x14ac:dyDescent="0.35">
      <c r="A8553" s="14">
        <v>42395.259826388887</v>
      </c>
      <c r="B8553" s="5">
        <v>1</v>
      </c>
    </row>
    <row r="8554" spans="1:2" x14ac:dyDescent="0.35">
      <c r="A8554" s="14">
        <v>42395.260509259257</v>
      </c>
      <c r="B8554" s="5">
        <v>1</v>
      </c>
    </row>
    <row r="8555" spans="1:2" x14ac:dyDescent="0.35">
      <c r="A8555" s="14">
        <v>42395.262430555558</v>
      </c>
      <c r="B8555" s="5">
        <v>1</v>
      </c>
    </row>
    <row r="8556" spans="1:2" x14ac:dyDescent="0.35">
      <c r="A8556" s="14">
        <v>42395.277488425927</v>
      </c>
      <c r="B8556" s="5">
        <v>1</v>
      </c>
    </row>
    <row r="8557" spans="1:2" x14ac:dyDescent="0.35">
      <c r="A8557" s="14">
        <v>42395.278124999997</v>
      </c>
      <c r="B8557" s="5">
        <v>1</v>
      </c>
    </row>
    <row r="8558" spans="1:2" x14ac:dyDescent="0.35">
      <c r="A8558" s="14">
        <v>42395.282777777778</v>
      </c>
      <c r="B8558" s="5">
        <v>1</v>
      </c>
    </row>
    <row r="8559" spans="1:2" x14ac:dyDescent="0.35">
      <c r="A8559" s="14">
        <v>42395.309803240743</v>
      </c>
      <c r="B8559" s="5">
        <v>1</v>
      </c>
    </row>
    <row r="8560" spans="1:2" x14ac:dyDescent="0.35">
      <c r="A8560" s="14">
        <v>42395.311296296299</v>
      </c>
      <c r="B8560" s="5">
        <v>1</v>
      </c>
    </row>
    <row r="8561" spans="1:2" x14ac:dyDescent="0.35">
      <c r="A8561" s="14">
        <v>42395.327650462961</v>
      </c>
      <c r="B8561" s="5">
        <v>1</v>
      </c>
    </row>
    <row r="8562" spans="1:2" x14ac:dyDescent="0.35">
      <c r="A8562" s="14">
        <v>42395.340266203704</v>
      </c>
      <c r="B8562" s="5">
        <v>1</v>
      </c>
    </row>
    <row r="8563" spans="1:2" x14ac:dyDescent="0.35">
      <c r="A8563" s="14">
        <v>42395.346817129626</v>
      </c>
      <c r="B8563" s="5">
        <v>1</v>
      </c>
    </row>
    <row r="8564" spans="1:2" x14ac:dyDescent="0.35">
      <c r="A8564" s="14">
        <v>42395.37427083333</v>
      </c>
      <c r="B8564" s="5">
        <v>1</v>
      </c>
    </row>
    <row r="8565" spans="1:2" x14ac:dyDescent="0.35">
      <c r="A8565" s="14">
        <v>42395.527488425927</v>
      </c>
      <c r="B8565" s="5">
        <v>1</v>
      </c>
    </row>
    <row r="8566" spans="1:2" x14ac:dyDescent="0.35">
      <c r="A8566" s="14">
        <v>42395.556284722225</v>
      </c>
      <c r="B8566" s="5">
        <v>1</v>
      </c>
    </row>
    <row r="8567" spans="1:2" x14ac:dyDescent="0.35">
      <c r="A8567" s="14">
        <v>42395.575046296297</v>
      </c>
      <c r="B8567" s="5">
        <v>1</v>
      </c>
    </row>
    <row r="8568" spans="1:2" x14ac:dyDescent="0.35">
      <c r="A8568" s="14">
        <v>42395.581041666665</v>
      </c>
      <c r="B8568" s="5">
        <v>1</v>
      </c>
    </row>
    <row r="8569" spans="1:2" x14ac:dyDescent="0.35">
      <c r="A8569" s="14">
        <v>42395.582592592589</v>
      </c>
      <c r="B8569" s="5">
        <v>1</v>
      </c>
    </row>
    <row r="8570" spans="1:2" x14ac:dyDescent="0.35">
      <c r="A8570" s="14">
        <v>42395.593078703707</v>
      </c>
      <c r="B8570" s="5">
        <v>1</v>
      </c>
    </row>
    <row r="8571" spans="1:2" x14ac:dyDescent="0.35">
      <c r="A8571" s="14">
        <v>42395.609722222223</v>
      </c>
      <c r="B8571" s="5">
        <v>1</v>
      </c>
    </row>
    <row r="8572" spans="1:2" x14ac:dyDescent="0.35">
      <c r="A8572" s="14">
        <v>42395.635451388887</v>
      </c>
      <c r="B8572" s="5">
        <v>1</v>
      </c>
    </row>
    <row r="8573" spans="1:2" x14ac:dyDescent="0.35">
      <c r="A8573" s="14">
        <v>42395.641944444447</v>
      </c>
      <c r="B8573" s="5">
        <v>1</v>
      </c>
    </row>
    <row r="8574" spans="1:2" x14ac:dyDescent="0.35">
      <c r="A8574" s="14">
        <v>42395.642199074071</v>
      </c>
      <c r="B8574" s="5">
        <v>1</v>
      </c>
    </row>
    <row r="8575" spans="1:2" x14ac:dyDescent="0.35">
      <c r="A8575" s="14">
        <v>42395.663472222222</v>
      </c>
      <c r="B8575" s="5">
        <v>1</v>
      </c>
    </row>
    <row r="8576" spans="1:2" x14ac:dyDescent="0.35">
      <c r="A8576" s="14">
        <v>42395.663993055554</v>
      </c>
      <c r="B8576" s="5">
        <v>2</v>
      </c>
    </row>
    <row r="8577" spans="1:2" x14ac:dyDescent="0.35">
      <c r="A8577" s="14">
        <v>42395.668645833335</v>
      </c>
      <c r="B8577" s="5">
        <v>1</v>
      </c>
    </row>
    <row r="8578" spans="1:2" x14ac:dyDescent="0.35">
      <c r="A8578" s="14">
        <v>42395.73364583333</v>
      </c>
      <c r="B8578" s="5">
        <v>1</v>
      </c>
    </row>
    <row r="8579" spans="1:2" x14ac:dyDescent="0.35">
      <c r="A8579" s="14">
        <v>42395.737500000003</v>
      </c>
      <c r="B8579" s="5">
        <v>1</v>
      </c>
    </row>
    <row r="8580" spans="1:2" x14ac:dyDescent="0.35">
      <c r="A8580" s="14">
        <v>42395.73978009259</v>
      </c>
      <c r="B8580" s="5">
        <v>2</v>
      </c>
    </row>
    <row r="8581" spans="1:2" x14ac:dyDescent="0.35">
      <c r="A8581" s="14">
        <v>42395.742476851854</v>
      </c>
      <c r="B8581" s="5">
        <v>1</v>
      </c>
    </row>
    <row r="8582" spans="1:2" x14ac:dyDescent="0.35">
      <c r="A8582" s="14">
        <v>42395.764293981483</v>
      </c>
      <c r="B8582" s="5">
        <v>1</v>
      </c>
    </row>
    <row r="8583" spans="1:2" x14ac:dyDescent="0.35">
      <c r="A8583" s="14">
        <v>42395.764456018522</v>
      </c>
      <c r="B8583" s="5">
        <v>2</v>
      </c>
    </row>
    <row r="8584" spans="1:2" x14ac:dyDescent="0.35">
      <c r="A8584" s="14">
        <v>42395.804270833331</v>
      </c>
      <c r="B8584" s="5">
        <v>1</v>
      </c>
    </row>
    <row r="8585" spans="1:2" x14ac:dyDescent="0.35">
      <c r="A8585" s="14">
        <v>42395.811574074076</v>
      </c>
      <c r="B8585" s="5">
        <v>1</v>
      </c>
    </row>
    <row r="8586" spans="1:2" x14ac:dyDescent="0.35">
      <c r="A8586" s="14">
        <v>42395.827106481483</v>
      </c>
      <c r="B8586" s="5">
        <v>1</v>
      </c>
    </row>
    <row r="8587" spans="1:2" x14ac:dyDescent="0.35">
      <c r="A8587" s="14">
        <v>42395.827291666668</v>
      </c>
      <c r="B8587" s="5">
        <v>1</v>
      </c>
    </row>
    <row r="8588" spans="1:2" x14ac:dyDescent="0.35">
      <c r="A8588" s="14">
        <v>42395.828912037039</v>
      </c>
      <c r="B8588" s="5">
        <v>1</v>
      </c>
    </row>
    <row r="8589" spans="1:2" x14ac:dyDescent="0.35">
      <c r="A8589" s="14">
        <v>42395.860486111109</v>
      </c>
      <c r="B8589" s="5">
        <v>1</v>
      </c>
    </row>
    <row r="8590" spans="1:2" x14ac:dyDescent="0.35">
      <c r="A8590" s="14">
        <v>42395.871493055558</v>
      </c>
      <c r="B8590" s="5">
        <v>1</v>
      </c>
    </row>
    <row r="8591" spans="1:2" x14ac:dyDescent="0.35">
      <c r="A8591" s="14">
        <v>42395.897604166668</v>
      </c>
      <c r="B8591" s="5">
        <v>1</v>
      </c>
    </row>
    <row r="8592" spans="1:2" x14ac:dyDescent="0.35">
      <c r="A8592" s="14">
        <v>42395.899027777778</v>
      </c>
      <c r="B8592" s="5">
        <v>2</v>
      </c>
    </row>
    <row r="8593" spans="1:2" x14ac:dyDescent="0.35">
      <c r="A8593" s="14">
        <v>42395.899212962962</v>
      </c>
      <c r="B8593" s="5">
        <v>1</v>
      </c>
    </row>
    <row r="8594" spans="1:2" x14ac:dyDescent="0.35">
      <c r="A8594" s="14">
        <v>42395.899305555555</v>
      </c>
      <c r="B8594" s="5">
        <v>1</v>
      </c>
    </row>
    <row r="8595" spans="1:2" x14ac:dyDescent="0.35">
      <c r="A8595" s="14">
        <v>42395.902106481481</v>
      </c>
      <c r="B8595" s="5">
        <v>1</v>
      </c>
    </row>
    <row r="8596" spans="1:2" x14ac:dyDescent="0.35">
      <c r="A8596" s="14">
        <v>42395.903101851851</v>
      </c>
      <c r="B8596" s="5">
        <v>1</v>
      </c>
    </row>
    <row r="8597" spans="1:2" x14ac:dyDescent="0.35">
      <c r="A8597" s="14">
        <v>42395.905682870369</v>
      </c>
      <c r="B8597" s="5">
        <v>1</v>
      </c>
    </row>
    <row r="8598" spans="1:2" x14ac:dyDescent="0.35">
      <c r="A8598" s="14">
        <v>42395.905914351853</v>
      </c>
      <c r="B8598" s="5">
        <v>1</v>
      </c>
    </row>
    <row r="8599" spans="1:2" x14ac:dyDescent="0.35">
      <c r="A8599" s="14">
        <v>42395.915324074071</v>
      </c>
      <c r="B8599" s="5">
        <v>1</v>
      </c>
    </row>
    <row r="8600" spans="1:2" x14ac:dyDescent="0.35">
      <c r="A8600" s="14">
        <v>42395.917187500003</v>
      </c>
      <c r="B8600" s="5">
        <v>1</v>
      </c>
    </row>
    <row r="8601" spans="1:2" x14ac:dyDescent="0.35">
      <c r="A8601" s="14">
        <v>42395.918020833335</v>
      </c>
      <c r="B8601" s="5">
        <v>1</v>
      </c>
    </row>
    <row r="8602" spans="1:2" x14ac:dyDescent="0.35">
      <c r="A8602" s="14">
        <v>42395.918217592596</v>
      </c>
      <c r="B8602" s="5">
        <v>1</v>
      </c>
    </row>
    <row r="8603" spans="1:2" x14ac:dyDescent="0.35">
      <c r="A8603" s="14">
        <v>42395.924988425926</v>
      </c>
      <c r="B8603" s="5">
        <v>1</v>
      </c>
    </row>
    <row r="8604" spans="1:2" x14ac:dyDescent="0.35">
      <c r="A8604" s="14">
        <v>42395.929432870369</v>
      </c>
      <c r="B8604" s="5">
        <v>1</v>
      </c>
    </row>
    <row r="8605" spans="1:2" x14ac:dyDescent="0.35">
      <c r="A8605" s="14">
        <v>42395.929745370369</v>
      </c>
      <c r="B8605" s="5">
        <v>1</v>
      </c>
    </row>
    <row r="8606" spans="1:2" x14ac:dyDescent="0.35">
      <c r="A8606" s="14">
        <v>42395.932002314818</v>
      </c>
      <c r="B8606" s="5">
        <v>1</v>
      </c>
    </row>
    <row r="8607" spans="1:2" x14ac:dyDescent="0.35">
      <c r="A8607" s="14">
        <v>42395.936863425923</v>
      </c>
      <c r="B8607" s="5">
        <v>1</v>
      </c>
    </row>
    <row r="8608" spans="1:2" x14ac:dyDescent="0.35">
      <c r="A8608" s="14">
        <v>42395.937048611115</v>
      </c>
      <c r="B8608" s="5">
        <v>1</v>
      </c>
    </row>
    <row r="8609" spans="1:2" x14ac:dyDescent="0.35">
      <c r="A8609" s="14">
        <v>42395.980902777781</v>
      </c>
      <c r="B8609" s="5">
        <v>1</v>
      </c>
    </row>
    <row r="8610" spans="1:2" x14ac:dyDescent="0.35">
      <c r="A8610" s="14">
        <v>42396.009884259256</v>
      </c>
      <c r="B8610" s="5">
        <v>1</v>
      </c>
    </row>
    <row r="8611" spans="1:2" x14ac:dyDescent="0.35">
      <c r="A8611" s="14">
        <v>42396.017569444448</v>
      </c>
      <c r="B8611" s="5">
        <v>1</v>
      </c>
    </row>
    <row r="8612" spans="1:2" x14ac:dyDescent="0.35">
      <c r="A8612" s="14">
        <v>42396.028136574074</v>
      </c>
      <c r="B8612" s="5">
        <v>1</v>
      </c>
    </row>
    <row r="8613" spans="1:2" x14ac:dyDescent="0.35">
      <c r="A8613" s="14">
        <v>42396.045856481483</v>
      </c>
      <c r="B8613" s="5">
        <v>1</v>
      </c>
    </row>
    <row r="8614" spans="1:2" x14ac:dyDescent="0.35">
      <c r="A8614" s="14">
        <v>42396.058159722219</v>
      </c>
      <c r="B8614" s="5">
        <v>1</v>
      </c>
    </row>
    <row r="8615" spans="1:2" x14ac:dyDescent="0.35">
      <c r="A8615" s="14">
        <v>42396.058564814812</v>
      </c>
      <c r="B8615" s="5">
        <v>1</v>
      </c>
    </row>
    <row r="8616" spans="1:2" x14ac:dyDescent="0.35">
      <c r="A8616" s="14">
        <v>42396.063298611109</v>
      </c>
      <c r="B8616" s="5">
        <v>1</v>
      </c>
    </row>
    <row r="8617" spans="1:2" x14ac:dyDescent="0.35">
      <c r="A8617" s="14">
        <v>42396.064317129632</v>
      </c>
      <c r="B8617" s="5">
        <v>2</v>
      </c>
    </row>
    <row r="8618" spans="1:2" x14ac:dyDescent="0.35">
      <c r="A8618" s="14">
        <v>42396.078564814816</v>
      </c>
      <c r="B8618" s="5">
        <v>1</v>
      </c>
    </row>
    <row r="8619" spans="1:2" x14ac:dyDescent="0.35">
      <c r="A8619" s="14">
        <v>42396.131585648145</v>
      </c>
      <c r="B8619" s="5">
        <v>1</v>
      </c>
    </row>
    <row r="8620" spans="1:2" x14ac:dyDescent="0.35">
      <c r="A8620" s="14">
        <v>42396.132592592592</v>
      </c>
      <c r="B8620" s="5">
        <v>1</v>
      </c>
    </row>
    <row r="8621" spans="1:2" x14ac:dyDescent="0.35">
      <c r="A8621" s="14">
        <v>42396.133194444446</v>
      </c>
      <c r="B8621" s="5">
        <v>1</v>
      </c>
    </row>
    <row r="8622" spans="1:2" x14ac:dyDescent="0.35">
      <c r="A8622" s="14">
        <v>42396.167673611111</v>
      </c>
      <c r="B8622" s="5">
        <v>1</v>
      </c>
    </row>
    <row r="8623" spans="1:2" x14ac:dyDescent="0.35">
      <c r="A8623" s="14">
        <v>42396.263668981483</v>
      </c>
      <c r="B8623" s="5">
        <v>1</v>
      </c>
    </row>
    <row r="8624" spans="1:2" x14ac:dyDescent="0.35">
      <c r="A8624" s="14">
        <v>42396.263981481483</v>
      </c>
      <c r="B8624" s="5">
        <v>2</v>
      </c>
    </row>
    <row r="8625" spans="1:2" x14ac:dyDescent="0.35">
      <c r="A8625" s="14">
        <v>42396.265752314815</v>
      </c>
      <c r="B8625" s="5">
        <v>1</v>
      </c>
    </row>
    <row r="8626" spans="1:2" x14ac:dyDescent="0.35">
      <c r="A8626" s="14">
        <v>42396.337152777778</v>
      </c>
      <c r="B8626" s="5">
        <v>1</v>
      </c>
    </row>
    <row r="8627" spans="1:2" x14ac:dyDescent="0.35">
      <c r="A8627" s="14">
        <v>42396.352442129632</v>
      </c>
      <c r="B8627" s="5">
        <v>1</v>
      </c>
    </row>
    <row r="8628" spans="1:2" x14ac:dyDescent="0.35">
      <c r="A8628" s="14">
        <v>42396.352962962963</v>
      </c>
      <c r="B8628" s="5">
        <v>2</v>
      </c>
    </row>
    <row r="8629" spans="1:2" x14ac:dyDescent="0.35">
      <c r="A8629" s="14">
        <v>42396.407175925924</v>
      </c>
      <c r="B8629" s="5">
        <v>1</v>
      </c>
    </row>
    <row r="8630" spans="1:2" x14ac:dyDescent="0.35">
      <c r="A8630" s="14">
        <v>42396.42396990741</v>
      </c>
      <c r="B8630" s="5">
        <v>1</v>
      </c>
    </row>
    <row r="8631" spans="1:2" x14ac:dyDescent="0.35">
      <c r="A8631" s="14">
        <v>42396.439456018517</v>
      </c>
      <c r="B8631" s="5">
        <v>1</v>
      </c>
    </row>
    <row r="8632" spans="1:2" x14ac:dyDescent="0.35">
      <c r="A8632" s="14">
        <v>42396.559363425928</v>
      </c>
      <c r="B8632" s="5">
        <v>1</v>
      </c>
    </row>
    <row r="8633" spans="1:2" x14ac:dyDescent="0.35">
      <c r="A8633" s="14">
        <v>42396.588495370372</v>
      </c>
      <c r="B8633" s="5">
        <v>1</v>
      </c>
    </row>
    <row r="8634" spans="1:2" x14ac:dyDescent="0.35">
      <c r="A8634" s="14">
        <v>42396.611863425926</v>
      </c>
      <c r="B8634" s="5">
        <v>1</v>
      </c>
    </row>
    <row r="8635" spans="1:2" x14ac:dyDescent="0.35">
      <c r="A8635" s="14">
        <v>42396.614166666666</v>
      </c>
      <c r="B8635" s="5">
        <v>1</v>
      </c>
    </row>
    <row r="8636" spans="1:2" x14ac:dyDescent="0.35">
      <c r="A8636" s="14">
        <v>42396.614687499998</v>
      </c>
      <c r="B8636" s="5">
        <v>1</v>
      </c>
    </row>
    <row r="8637" spans="1:2" x14ac:dyDescent="0.35">
      <c r="A8637" s="14">
        <v>42396.615451388891</v>
      </c>
      <c r="B8637" s="5">
        <v>1</v>
      </c>
    </row>
    <row r="8638" spans="1:2" x14ac:dyDescent="0.35">
      <c r="A8638" s="14">
        <v>42396.616886574076</v>
      </c>
      <c r="B8638" s="5">
        <v>1</v>
      </c>
    </row>
    <row r="8639" spans="1:2" x14ac:dyDescent="0.35">
      <c r="A8639" s="14">
        <v>42396.617384259262</v>
      </c>
      <c r="B8639" s="5">
        <v>1</v>
      </c>
    </row>
    <row r="8640" spans="1:2" x14ac:dyDescent="0.35">
      <c r="A8640" s="14">
        <v>42396.618263888886</v>
      </c>
      <c r="B8640" s="5">
        <v>1</v>
      </c>
    </row>
    <row r="8641" spans="1:2" x14ac:dyDescent="0.35">
      <c r="A8641" s="14">
        <v>42396.61928240741</v>
      </c>
      <c r="B8641" s="5">
        <v>1</v>
      </c>
    </row>
    <row r="8642" spans="1:2" x14ac:dyDescent="0.35">
      <c r="A8642" s="14">
        <v>42396.619780092595</v>
      </c>
      <c r="B8642" s="5">
        <v>1</v>
      </c>
    </row>
    <row r="8643" spans="1:2" x14ac:dyDescent="0.35">
      <c r="A8643" s="14">
        <v>42396.621793981481</v>
      </c>
      <c r="B8643" s="5">
        <v>1</v>
      </c>
    </row>
    <row r="8644" spans="1:2" x14ac:dyDescent="0.35">
      <c r="A8644" s="14">
        <v>42396.62871527778</v>
      </c>
      <c r="B8644" s="5">
        <v>1</v>
      </c>
    </row>
    <row r="8645" spans="1:2" x14ac:dyDescent="0.35">
      <c r="A8645" s="14">
        <v>42396.631516203706</v>
      </c>
      <c r="B8645" s="5">
        <v>1</v>
      </c>
    </row>
    <row r="8646" spans="1:2" x14ac:dyDescent="0.35">
      <c r="A8646" s="14">
        <v>42396.633356481485</v>
      </c>
      <c r="B8646" s="5">
        <v>1</v>
      </c>
    </row>
    <row r="8647" spans="1:2" x14ac:dyDescent="0.35">
      <c r="A8647" s="14">
        <v>42396.638969907406</v>
      </c>
      <c r="B8647" s="5">
        <v>1</v>
      </c>
    </row>
    <row r="8648" spans="1:2" x14ac:dyDescent="0.35">
      <c r="A8648" s="14">
        <v>42396.653773148151</v>
      </c>
      <c r="B8648" s="5">
        <v>1</v>
      </c>
    </row>
    <row r="8649" spans="1:2" x14ac:dyDescent="0.35">
      <c r="A8649" s="14">
        <v>42396.655358796299</v>
      </c>
      <c r="B8649" s="5">
        <v>1</v>
      </c>
    </row>
    <row r="8650" spans="1:2" x14ac:dyDescent="0.35">
      <c r="A8650" s="14">
        <v>42396.656469907408</v>
      </c>
      <c r="B8650" s="5">
        <v>1</v>
      </c>
    </row>
    <row r="8651" spans="1:2" x14ac:dyDescent="0.35">
      <c r="A8651" s="14">
        <v>42396.656944444447</v>
      </c>
      <c r="B8651" s="5">
        <v>1</v>
      </c>
    </row>
    <row r="8652" spans="1:2" x14ac:dyDescent="0.35">
      <c r="A8652" s="14">
        <v>42396.657187500001</v>
      </c>
      <c r="B8652" s="5">
        <v>1</v>
      </c>
    </row>
    <row r="8653" spans="1:2" x14ac:dyDescent="0.35">
      <c r="A8653" s="14">
        <v>42396.65824074074</v>
      </c>
      <c r="B8653" s="5">
        <v>1</v>
      </c>
    </row>
    <row r="8654" spans="1:2" x14ac:dyDescent="0.35">
      <c r="A8654" s="14">
        <v>42396.662835648145</v>
      </c>
      <c r="B8654" s="5">
        <v>1</v>
      </c>
    </row>
    <row r="8655" spans="1:2" x14ac:dyDescent="0.35">
      <c r="A8655" s="14">
        <v>42396.664895833332</v>
      </c>
      <c r="B8655" s="5">
        <v>1</v>
      </c>
    </row>
    <row r="8656" spans="1:2" x14ac:dyDescent="0.35">
      <c r="A8656" s="14">
        <v>42396.666435185187</v>
      </c>
      <c r="B8656" s="5">
        <v>1</v>
      </c>
    </row>
    <row r="8657" spans="1:2" x14ac:dyDescent="0.35">
      <c r="A8657" s="14">
        <v>42396.680023148147</v>
      </c>
      <c r="B8657" s="5">
        <v>1</v>
      </c>
    </row>
    <row r="8658" spans="1:2" x14ac:dyDescent="0.35">
      <c r="A8658" s="14">
        <v>42396.688171296293</v>
      </c>
      <c r="B8658" s="5">
        <v>1</v>
      </c>
    </row>
    <row r="8659" spans="1:2" x14ac:dyDescent="0.35">
      <c r="A8659" s="14">
        <v>42396.695902777778</v>
      </c>
      <c r="B8659" s="5">
        <v>1</v>
      </c>
    </row>
    <row r="8660" spans="1:2" x14ac:dyDescent="0.35">
      <c r="A8660" s="14">
        <v>42396.698495370372</v>
      </c>
      <c r="B8660" s="5">
        <v>1</v>
      </c>
    </row>
    <row r="8661" spans="1:2" x14ac:dyDescent="0.35">
      <c r="A8661" s="14">
        <v>42396.70071759259</v>
      </c>
      <c r="B8661" s="5">
        <v>1</v>
      </c>
    </row>
    <row r="8662" spans="1:2" x14ac:dyDescent="0.35">
      <c r="A8662" s="14">
        <v>42396.701168981483</v>
      </c>
      <c r="B8662" s="5">
        <v>1</v>
      </c>
    </row>
    <row r="8663" spans="1:2" x14ac:dyDescent="0.35">
      <c r="A8663" s="14">
        <v>42396.70207175926</v>
      </c>
      <c r="B8663" s="5">
        <v>1</v>
      </c>
    </row>
    <row r="8664" spans="1:2" x14ac:dyDescent="0.35">
      <c r="A8664" s="14">
        <v>42396.705300925925</v>
      </c>
      <c r="B8664" s="5">
        <v>1</v>
      </c>
    </row>
    <row r="8665" spans="1:2" x14ac:dyDescent="0.35">
      <c r="A8665" s="14">
        <v>42396.706435185188</v>
      </c>
      <c r="B8665" s="5">
        <v>1</v>
      </c>
    </row>
    <row r="8666" spans="1:2" x14ac:dyDescent="0.35">
      <c r="A8666" s="14">
        <v>42396.707511574074</v>
      </c>
      <c r="B8666" s="5">
        <v>1</v>
      </c>
    </row>
    <row r="8667" spans="1:2" x14ac:dyDescent="0.35">
      <c r="A8667" s="14">
        <v>42396.710648148146</v>
      </c>
      <c r="B8667" s="5">
        <v>1</v>
      </c>
    </row>
    <row r="8668" spans="1:2" x14ac:dyDescent="0.35">
      <c r="A8668" s="14">
        <v>42396.714699074073</v>
      </c>
      <c r="B8668" s="5">
        <v>1</v>
      </c>
    </row>
    <row r="8669" spans="1:2" x14ac:dyDescent="0.35">
      <c r="A8669" s="14">
        <v>42396.73537037037</v>
      </c>
      <c r="B8669" s="5">
        <v>1</v>
      </c>
    </row>
    <row r="8670" spans="1:2" x14ac:dyDescent="0.35">
      <c r="A8670" s="14">
        <v>42396.73574074074</v>
      </c>
      <c r="B8670" s="5">
        <v>2</v>
      </c>
    </row>
    <row r="8671" spans="1:2" x14ac:dyDescent="0.35">
      <c r="A8671" s="14">
        <v>42396.737372685187</v>
      </c>
      <c r="B8671" s="5">
        <v>1</v>
      </c>
    </row>
    <row r="8672" spans="1:2" x14ac:dyDescent="0.35">
      <c r="A8672" s="14">
        <v>42396.742106481484</v>
      </c>
      <c r="B8672" s="5">
        <v>1</v>
      </c>
    </row>
    <row r="8673" spans="1:2" x14ac:dyDescent="0.35">
      <c r="A8673" s="14">
        <v>42396.743333333332</v>
      </c>
      <c r="B8673" s="5">
        <v>1</v>
      </c>
    </row>
    <row r="8674" spans="1:2" x14ac:dyDescent="0.35">
      <c r="A8674" s="14">
        <v>42396.745983796296</v>
      </c>
      <c r="B8674" s="5">
        <v>1</v>
      </c>
    </row>
    <row r="8675" spans="1:2" x14ac:dyDescent="0.35">
      <c r="A8675" s="14">
        <v>42396.749108796299</v>
      </c>
      <c r="B8675" s="5">
        <v>1</v>
      </c>
    </row>
    <row r="8676" spans="1:2" x14ac:dyDescent="0.35">
      <c r="A8676" s="14">
        <v>42396.755995370368</v>
      </c>
      <c r="B8676" s="5">
        <v>1</v>
      </c>
    </row>
    <row r="8677" spans="1:2" x14ac:dyDescent="0.35">
      <c r="A8677" s="14">
        <v>42396.773958333331</v>
      </c>
      <c r="B8677" s="5">
        <v>1</v>
      </c>
    </row>
    <row r="8678" spans="1:2" x14ac:dyDescent="0.35">
      <c r="A8678" s="14">
        <v>42396.774074074077</v>
      </c>
      <c r="B8678" s="5">
        <v>1</v>
      </c>
    </row>
    <row r="8679" spans="1:2" x14ac:dyDescent="0.35">
      <c r="A8679" s="14">
        <v>42396.774953703702</v>
      </c>
      <c r="B8679" s="5">
        <v>1</v>
      </c>
    </row>
    <row r="8680" spans="1:2" x14ac:dyDescent="0.35">
      <c r="A8680" s="14">
        <v>42396.775092592594</v>
      </c>
      <c r="B8680" s="5">
        <v>2</v>
      </c>
    </row>
    <row r="8681" spans="1:2" x14ac:dyDescent="0.35">
      <c r="A8681" s="14">
        <v>42396.776261574072</v>
      </c>
      <c r="B8681" s="5">
        <v>1</v>
      </c>
    </row>
    <row r="8682" spans="1:2" x14ac:dyDescent="0.35">
      <c r="A8682" s="14">
        <v>42396.779907407406</v>
      </c>
      <c r="B8682" s="5">
        <v>1</v>
      </c>
    </row>
    <row r="8683" spans="1:2" x14ac:dyDescent="0.35">
      <c r="A8683" s="14">
        <v>42396.786307870374</v>
      </c>
      <c r="B8683" s="5">
        <v>1</v>
      </c>
    </row>
    <row r="8684" spans="1:2" x14ac:dyDescent="0.35">
      <c r="A8684" s="14">
        <v>42396.790775462963</v>
      </c>
      <c r="B8684" s="5">
        <v>1</v>
      </c>
    </row>
    <row r="8685" spans="1:2" x14ac:dyDescent="0.35">
      <c r="A8685" s="14">
        <v>42396.804155092592</v>
      </c>
      <c r="B8685" s="5">
        <v>1</v>
      </c>
    </row>
    <row r="8686" spans="1:2" x14ac:dyDescent="0.35">
      <c r="A8686" s="14">
        <v>42396.806319444448</v>
      </c>
      <c r="B8686" s="5">
        <v>1</v>
      </c>
    </row>
    <row r="8687" spans="1:2" x14ac:dyDescent="0.35">
      <c r="A8687" s="14">
        <v>42396.812928240739</v>
      </c>
      <c r="B8687" s="5">
        <v>1</v>
      </c>
    </row>
    <row r="8688" spans="1:2" x14ac:dyDescent="0.35">
      <c r="A8688" s="14">
        <v>42396.832418981481</v>
      </c>
      <c r="B8688" s="5">
        <v>1</v>
      </c>
    </row>
    <row r="8689" spans="1:2" x14ac:dyDescent="0.35">
      <c r="A8689" s="14">
        <v>42396.848113425927</v>
      </c>
      <c r="B8689" s="5">
        <v>1</v>
      </c>
    </row>
    <row r="8690" spans="1:2" x14ac:dyDescent="0.35">
      <c r="A8690" s="14">
        <v>42396.855069444442</v>
      </c>
      <c r="B8690" s="5">
        <v>1</v>
      </c>
    </row>
    <row r="8691" spans="1:2" x14ac:dyDescent="0.35">
      <c r="A8691" s="14">
        <v>42396.870810185188</v>
      </c>
      <c r="B8691" s="5">
        <v>1</v>
      </c>
    </row>
    <row r="8692" spans="1:2" x14ac:dyDescent="0.35">
      <c r="A8692" s="14">
        <v>42396.910185185188</v>
      </c>
      <c r="B8692" s="5">
        <v>1</v>
      </c>
    </row>
    <row r="8693" spans="1:2" x14ac:dyDescent="0.35">
      <c r="A8693" s="14">
        <v>42396.912719907406</v>
      </c>
      <c r="B8693" s="5">
        <v>1</v>
      </c>
    </row>
    <row r="8694" spans="1:2" x14ac:dyDescent="0.35">
      <c r="A8694" s="14">
        <v>42396.918773148151</v>
      </c>
      <c r="B8694" s="5">
        <v>1</v>
      </c>
    </row>
    <row r="8695" spans="1:2" x14ac:dyDescent="0.35">
      <c r="A8695" s="14">
        <v>42396.929363425923</v>
      </c>
      <c r="B8695" s="5">
        <v>1</v>
      </c>
    </row>
    <row r="8696" spans="1:2" x14ac:dyDescent="0.35">
      <c r="A8696" s="14">
        <v>42396.929756944446</v>
      </c>
      <c r="B8696" s="5">
        <v>1</v>
      </c>
    </row>
    <row r="8697" spans="1:2" x14ac:dyDescent="0.35">
      <c r="A8697" s="14">
        <v>42396.94703703704</v>
      </c>
      <c r="B8697" s="5">
        <v>1</v>
      </c>
    </row>
    <row r="8698" spans="1:2" x14ac:dyDescent="0.35">
      <c r="A8698" s="14">
        <v>42397.020428240743</v>
      </c>
      <c r="B8698" s="5">
        <v>1</v>
      </c>
    </row>
    <row r="8699" spans="1:2" x14ac:dyDescent="0.35">
      <c r="A8699" s="14">
        <v>42397.058946759258</v>
      </c>
      <c r="B8699" s="5">
        <v>1</v>
      </c>
    </row>
    <row r="8700" spans="1:2" x14ac:dyDescent="0.35">
      <c r="A8700" s="14">
        <v>42397.112511574072</v>
      </c>
      <c r="B8700" s="5">
        <v>1</v>
      </c>
    </row>
    <row r="8701" spans="1:2" x14ac:dyDescent="0.35">
      <c r="A8701" s="14">
        <v>42397.115613425929</v>
      </c>
      <c r="B8701" s="5">
        <v>1</v>
      </c>
    </row>
    <row r="8702" spans="1:2" x14ac:dyDescent="0.35">
      <c r="A8702" s="14">
        <v>42397.128032407411</v>
      </c>
      <c r="B8702" s="5">
        <v>1</v>
      </c>
    </row>
    <row r="8703" spans="1:2" x14ac:dyDescent="0.35">
      <c r="A8703" s="14">
        <v>42397.161990740744</v>
      </c>
      <c r="B8703" s="5">
        <v>1</v>
      </c>
    </row>
    <row r="8704" spans="1:2" x14ac:dyDescent="0.35">
      <c r="A8704" s="14">
        <v>42397.234085648146</v>
      </c>
      <c r="B8704" s="5">
        <v>1</v>
      </c>
    </row>
    <row r="8705" spans="1:2" x14ac:dyDescent="0.35">
      <c r="A8705" s="14">
        <v>42397.234560185185</v>
      </c>
      <c r="B8705" s="5">
        <v>1</v>
      </c>
    </row>
    <row r="8706" spans="1:2" x14ac:dyDescent="0.35">
      <c r="A8706" s="14">
        <v>42397.235439814816</v>
      </c>
      <c r="B8706" s="5">
        <v>1</v>
      </c>
    </row>
    <row r="8707" spans="1:2" x14ac:dyDescent="0.35">
      <c r="A8707" s="14">
        <v>42397.25744212963</v>
      </c>
      <c r="B8707" s="5">
        <v>1</v>
      </c>
    </row>
    <row r="8708" spans="1:2" x14ac:dyDescent="0.35">
      <c r="A8708" s="14">
        <v>42397.262326388889</v>
      </c>
      <c r="B8708" s="5">
        <v>1</v>
      </c>
    </row>
    <row r="8709" spans="1:2" x14ac:dyDescent="0.35">
      <c r="A8709" s="14">
        <v>42397.264317129629</v>
      </c>
      <c r="B8709" s="5">
        <v>1</v>
      </c>
    </row>
    <row r="8710" spans="1:2" x14ac:dyDescent="0.35">
      <c r="A8710" s="14">
        <v>42397.284641203703</v>
      </c>
      <c r="B8710" s="5">
        <v>1</v>
      </c>
    </row>
    <row r="8711" spans="1:2" x14ac:dyDescent="0.35">
      <c r="A8711" s="14">
        <v>42397.286793981482</v>
      </c>
      <c r="B8711" s="5">
        <v>1</v>
      </c>
    </row>
    <row r="8712" spans="1:2" x14ac:dyDescent="0.35">
      <c r="A8712" s="14">
        <v>42397.286979166667</v>
      </c>
      <c r="B8712" s="5">
        <v>2</v>
      </c>
    </row>
    <row r="8713" spans="1:2" x14ac:dyDescent="0.35">
      <c r="A8713" s="14">
        <v>42397.294282407405</v>
      </c>
      <c r="B8713" s="5">
        <v>1</v>
      </c>
    </row>
    <row r="8714" spans="1:2" x14ac:dyDescent="0.35">
      <c r="A8714" s="14">
        <v>42397.30914351852</v>
      </c>
      <c r="B8714" s="5">
        <v>1</v>
      </c>
    </row>
    <row r="8715" spans="1:2" x14ac:dyDescent="0.35">
      <c r="A8715" s="14">
        <v>42397.309652777774</v>
      </c>
      <c r="B8715" s="5">
        <v>1</v>
      </c>
    </row>
    <row r="8716" spans="1:2" x14ac:dyDescent="0.35">
      <c r="A8716" s="14">
        <v>42397.312789351854</v>
      </c>
      <c r="B8716" s="5">
        <v>1</v>
      </c>
    </row>
    <row r="8717" spans="1:2" x14ac:dyDescent="0.35">
      <c r="A8717" s="14">
        <v>42397.321064814816</v>
      </c>
      <c r="B8717" s="5">
        <v>1</v>
      </c>
    </row>
    <row r="8718" spans="1:2" x14ac:dyDescent="0.35">
      <c r="A8718" s="14">
        <v>42397.376134259262</v>
      </c>
      <c r="B8718" s="5">
        <v>1</v>
      </c>
    </row>
    <row r="8719" spans="1:2" x14ac:dyDescent="0.35">
      <c r="A8719" s="14">
        <v>42397.377569444441</v>
      </c>
      <c r="B8719" s="5">
        <v>1</v>
      </c>
    </row>
    <row r="8720" spans="1:2" x14ac:dyDescent="0.35">
      <c r="A8720" s="14">
        <v>42397.380624999998</v>
      </c>
      <c r="B8720" s="5">
        <v>1</v>
      </c>
    </row>
    <row r="8721" spans="1:2" x14ac:dyDescent="0.35">
      <c r="A8721" s="14">
        <v>42397.381122685183</v>
      </c>
      <c r="B8721" s="5">
        <v>1</v>
      </c>
    </row>
    <row r="8722" spans="1:2" x14ac:dyDescent="0.35">
      <c r="A8722" s="14">
        <v>42397.563379629632</v>
      </c>
      <c r="B8722" s="5">
        <v>1</v>
      </c>
    </row>
    <row r="8723" spans="1:2" x14ac:dyDescent="0.35">
      <c r="A8723" s="14">
        <v>42397.564247685186</v>
      </c>
      <c r="B8723" s="5">
        <v>1</v>
      </c>
    </row>
    <row r="8724" spans="1:2" x14ac:dyDescent="0.35">
      <c r="A8724" s="14">
        <v>42397.595914351848</v>
      </c>
      <c r="B8724" s="5">
        <v>1</v>
      </c>
    </row>
    <row r="8725" spans="1:2" x14ac:dyDescent="0.35">
      <c r="A8725" s="14">
        <v>42397.596435185187</v>
      </c>
      <c r="B8725" s="5">
        <v>1</v>
      </c>
    </row>
    <row r="8726" spans="1:2" x14ac:dyDescent="0.35">
      <c r="A8726" s="14">
        <v>42397.597326388888</v>
      </c>
      <c r="B8726" s="5">
        <v>1</v>
      </c>
    </row>
    <row r="8727" spans="1:2" x14ac:dyDescent="0.35">
      <c r="A8727" s="14">
        <v>42397.597604166665</v>
      </c>
      <c r="B8727" s="5">
        <v>2</v>
      </c>
    </row>
    <row r="8728" spans="1:2" x14ac:dyDescent="0.35">
      <c r="A8728" s="14">
        <v>42397.598043981481</v>
      </c>
      <c r="B8728" s="5">
        <v>1</v>
      </c>
    </row>
    <row r="8729" spans="1:2" x14ac:dyDescent="0.35">
      <c r="A8729" s="14">
        <v>42397.598946759259</v>
      </c>
      <c r="B8729" s="5">
        <v>1</v>
      </c>
    </row>
    <row r="8730" spans="1:2" x14ac:dyDescent="0.35">
      <c r="A8730" s="14">
        <v>42397.612685185188</v>
      </c>
      <c r="B8730" s="5">
        <v>1</v>
      </c>
    </row>
    <row r="8731" spans="1:2" x14ac:dyDescent="0.35">
      <c r="A8731" s="14">
        <v>42397.613541666666</v>
      </c>
      <c r="B8731" s="5">
        <v>1</v>
      </c>
    </row>
    <row r="8732" spans="1:2" x14ac:dyDescent="0.35">
      <c r="A8732" s="14">
        <v>42397.613854166666</v>
      </c>
      <c r="B8732" s="5">
        <v>1</v>
      </c>
    </row>
    <row r="8733" spans="1:2" x14ac:dyDescent="0.35">
      <c r="A8733" s="14">
        <v>42397.644513888888</v>
      </c>
      <c r="B8733" s="5">
        <v>1</v>
      </c>
    </row>
    <row r="8734" spans="1:2" x14ac:dyDescent="0.35">
      <c r="A8734" s="14">
        <v>42397.64671296296</v>
      </c>
      <c r="B8734" s="5">
        <v>1</v>
      </c>
    </row>
    <row r="8735" spans="1:2" x14ac:dyDescent="0.35">
      <c r="A8735" s="14">
        <v>42397.652199074073</v>
      </c>
      <c r="B8735" s="5">
        <v>1</v>
      </c>
    </row>
    <row r="8736" spans="1:2" x14ac:dyDescent="0.35">
      <c r="A8736" s="14">
        <v>42397.653356481482</v>
      </c>
      <c r="B8736" s="5">
        <v>1</v>
      </c>
    </row>
    <row r="8737" spans="1:2" x14ac:dyDescent="0.35">
      <c r="A8737" s="14">
        <v>42397.658125000002</v>
      </c>
      <c r="B8737" s="5">
        <v>1</v>
      </c>
    </row>
    <row r="8738" spans="1:2" x14ac:dyDescent="0.35">
      <c r="A8738" s="14">
        <v>42397.658275462964</v>
      </c>
      <c r="B8738" s="5">
        <v>1</v>
      </c>
    </row>
    <row r="8739" spans="1:2" x14ac:dyDescent="0.35">
      <c r="A8739" s="14">
        <v>42397.658368055556</v>
      </c>
      <c r="B8739" s="5">
        <v>1</v>
      </c>
    </row>
    <row r="8740" spans="1:2" x14ac:dyDescent="0.35">
      <c r="A8740" s="14">
        <v>42397.664803240739</v>
      </c>
      <c r="B8740" s="5">
        <v>1</v>
      </c>
    </row>
    <row r="8741" spans="1:2" x14ac:dyDescent="0.35">
      <c r="A8741" s="14">
        <v>42397.668368055558</v>
      </c>
      <c r="B8741" s="5">
        <v>1</v>
      </c>
    </row>
    <row r="8742" spans="1:2" x14ac:dyDescent="0.35">
      <c r="A8742" s="14">
        <v>42397.672488425924</v>
      </c>
      <c r="B8742" s="5">
        <v>1</v>
      </c>
    </row>
    <row r="8743" spans="1:2" x14ac:dyDescent="0.35">
      <c r="A8743" s="14">
        <v>42397.677314814813</v>
      </c>
      <c r="B8743" s="5">
        <v>1</v>
      </c>
    </row>
    <row r="8744" spans="1:2" x14ac:dyDescent="0.35">
      <c r="A8744" s="14">
        <v>42397.696967592594</v>
      </c>
      <c r="B8744" s="5">
        <v>1</v>
      </c>
    </row>
    <row r="8745" spans="1:2" x14ac:dyDescent="0.35">
      <c r="A8745" s="14">
        <v>42397.700555555559</v>
      </c>
      <c r="B8745" s="5">
        <v>1</v>
      </c>
    </row>
    <row r="8746" spans="1:2" x14ac:dyDescent="0.35">
      <c r="A8746" s="14">
        <v>42397.701099537036</v>
      </c>
      <c r="B8746" s="5">
        <v>1</v>
      </c>
    </row>
    <row r="8747" spans="1:2" x14ac:dyDescent="0.35">
      <c r="A8747" s="14">
        <v>42397.706747685188</v>
      </c>
      <c r="B8747" s="5">
        <v>1</v>
      </c>
    </row>
    <row r="8748" spans="1:2" x14ac:dyDescent="0.35">
      <c r="A8748" s="14">
        <v>42397.708287037036</v>
      </c>
      <c r="B8748" s="5">
        <v>2</v>
      </c>
    </row>
    <row r="8749" spans="1:2" x14ac:dyDescent="0.35">
      <c r="A8749" s="14">
        <v>42397.712013888886</v>
      </c>
      <c r="B8749" s="5">
        <v>1</v>
      </c>
    </row>
    <row r="8750" spans="1:2" x14ac:dyDescent="0.35">
      <c r="A8750" s="14">
        <v>42397.722314814811</v>
      </c>
      <c r="B8750" s="5">
        <v>1</v>
      </c>
    </row>
    <row r="8751" spans="1:2" x14ac:dyDescent="0.35">
      <c r="A8751" s="14">
        <v>42397.740023148152</v>
      </c>
      <c r="B8751" s="5">
        <v>1</v>
      </c>
    </row>
    <row r="8752" spans="1:2" x14ac:dyDescent="0.35">
      <c r="A8752" s="14">
        <v>42397.741701388892</v>
      </c>
      <c r="B8752" s="5">
        <v>1</v>
      </c>
    </row>
    <row r="8753" spans="1:2" x14ac:dyDescent="0.35">
      <c r="A8753" s="14">
        <v>42397.745405092595</v>
      </c>
      <c r="B8753" s="5">
        <v>1</v>
      </c>
    </row>
    <row r="8754" spans="1:2" x14ac:dyDescent="0.35">
      <c r="A8754" s="14">
        <v>42397.767256944448</v>
      </c>
      <c r="B8754" s="5">
        <v>1</v>
      </c>
    </row>
    <row r="8755" spans="1:2" x14ac:dyDescent="0.35">
      <c r="A8755" s="14">
        <v>42397.767407407409</v>
      </c>
      <c r="B8755" s="5">
        <v>1</v>
      </c>
    </row>
    <row r="8756" spans="1:2" x14ac:dyDescent="0.35">
      <c r="A8756" s="14">
        <v>42397.788391203707</v>
      </c>
      <c r="B8756" s="5">
        <v>1</v>
      </c>
    </row>
    <row r="8757" spans="1:2" x14ac:dyDescent="0.35">
      <c r="A8757" s="14">
        <v>42397.788541666669</v>
      </c>
      <c r="B8757" s="5">
        <v>1</v>
      </c>
    </row>
    <row r="8758" spans="1:2" x14ac:dyDescent="0.35">
      <c r="A8758" s="14">
        <v>42397.788680555554</v>
      </c>
      <c r="B8758" s="5">
        <v>2</v>
      </c>
    </row>
    <row r="8759" spans="1:2" x14ac:dyDescent="0.35">
      <c r="A8759" s="14">
        <v>42397.788923611108</v>
      </c>
      <c r="B8759" s="5">
        <v>1</v>
      </c>
    </row>
    <row r="8760" spans="1:2" x14ac:dyDescent="0.35">
      <c r="A8760" s="14">
        <v>42397.792719907404</v>
      </c>
      <c r="B8760" s="5">
        <v>1</v>
      </c>
    </row>
    <row r="8761" spans="1:2" x14ac:dyDescent="0.35">
      <c r="A8761" s="14">
        <v>42397.80431712963</v>
      </c>
      <c r="B8761" s="5">
        <v>1</v>
      </c>
    </row>
    <row r="8762" spans="1:2" x14ac:dyDescent="0.35">
      <c r="A8762" s="14">
        <v>42397.809699074074</v>
      </c>
      <c r="B8762" s="5">
        <v>1</v>
      </c>
    </row>
    <row r="8763" spans="1:2" x14ac:dyDescent="0.35">
      <c r="A8763" s="14">
        <v>42397.810740740744</v>
      </c>
      <c r="B8763" s="5">
        <v>1</v>
      </c>
    </row>
    <row r="8764" spans="1:2" x14ac:dyDescent="0.35">
      <c r="A8764" s="14">
        <v>42397.811099537037</v>
      </c>
      <c r="B8764" s="5">
        <v>1</v>
      </c>
    </row>
    <row r="8765" spans="1:2" x14ac:dyDescent="0.35">
      <c r="A8765" s="14">
        <v>42397.811307870368</v>
      </c>
      <c r="B8765" s="5">
        <v>2</v>
      </c>
    </row>
    <row r="8766" spans="1:2" x14ac:dyDescent="0.35">
      <c r="A8766" s="14">
        <v>42397.812650462962</v>
      </c>
      <c r="B8766" s="5">
        <v>1</v>
      </c>
    </row>
    <row r="8767" spans="1:2" x14ac:dyDescent="0.35">
      <c r="A8767" s="14">
        <v>42397.814120370371</v>
      </c>
      <c r="B8767" s="5">
        <v>1</v>
      </c>
    </row>
    <row r="8768" spans="1:2" x14ac:dyDescent="0.35">
      <c r="A8768" s="14">
        <v>42397.814583333333</v>
      </c>
      <c r="B8768" s="5">
        <v>1</v>
      </c>
    </row>
    <row r="8769" spans="1:2" x14ac:dyDescent="0.35">
      <c r="A8769" s="14">
        <v>42397.815393518518</v>
      </c>
      <c r="B8769" s="5">
        <v>1</v>
      </c>
    </row>
    <row r="8770" spans="1:2" x14ac:dyDescent="0.35">
      <c r="A8770" s="14">
        <v>42397.823009259257</v>
      </c>
      <c r="B8770" s="5">
        <v>1</v>
      </c>
    </row>
    <row r="8771" spans="1:2" x14ac:dyDescent="0.35">
      <c r="A8771" s="14">
        <v>42397.851585648146</v>
      </c>
      <c r="B8771" s="5">
        <v>1</v>
      </c>
    </row>
    <row r="8772" spans="1:2" x14ac:dyDescent="0.35">
      <c r="A8772" s="14">
        <v>42397.853125000001</v>
      </c>
      <c r="B8772" s="5">
        <v>2</v>
      </c>
    </row>
    <row r="8773" spans="1:2" x14ac:dyDescent="0.35">
      <c r="A8773" s="14">
        <v>42397.853958333333</v>
      </c>
      <c r="B8773" s="5">
        <v>1</v>
      </c>
    </row>
    <row r="8774" spans="1:2" x14ac:dyDescent="0.35">
      <c r="A8774" s="14">
        <v>42397.886840277781</v>
      </c>
      <c r="B8774" s="5">
        <v>1</v>
      </c>
    </row>
    <row r="8775" spans="1:2" x14ac:dyDescent="0.35">
      <c r="A8775" s="14">
        <v>42397.887118055558</v>
      </c>
      <c r="B8775" s="5">
        <v>1</v>
      </c>
    </row>
    <row r="8776" spans="1:2" x14ac:dyDescent="0.35">
      <c r="A8776" s="14">
        <v>42397.890625</v>
      </c>
      <c r="B8776" s="5">
        <v>1</v>
      </c>
    </row>
    <row r="8777" spans="1:2" x14ac:dyDescent="0.35">
      <c r="A8777" s="14">
        <v>42397.891087962962</v>
      </c>
      <c r="B8777" s="5">
        <v>1</v>
      </c>
    </row>
    <row r="8778" spans="1:2" x14ac:dyDescent="0.35">
      <c r="A8778" s="14">
        <v>42397.891261574077</v>
      </c>
      <c r="B8778" s="5">
        <v>1</v>
      </c>
    </row>
    <row r="8779" spans="1:2" x14ac:dyDescent="0.35">
      <c r="A8779" s="14">
        <v>42397.89398148148</v>
      </c>
      <c r="B8779" s="5">
        <v>1</v>
      </c>
    </row>
    <row r="8780" spans="1:2" x14ac:dyDescent="0.35">
      <c r="A8780" s="14">
        <v>42397.895324074074</v>
      </c>
      <c r="B8780" s="5">
        <v>1</v>
      </c>
    </row>
    <row r="8781" spans="1:2" x14ac:dyDescent="0.35">
      <c r="A8781" s="14">
        <v>42397.896620370368</v>
      </c>
      <c r="B8781" s="5">
        <v>1</v>
      </c>
    </row>
    <row r="8782" spans="1:2" x14ac:dyDescent="0.35">
      <c r="A8782" s="14">
        <v>42397.899143518516</v>
      </c>
      <c r="B8782" s="5">
        <v>1</v>
      </c>
    </row>
    <row r="8783" spans="1:2" x14ac:dyDescent="0.35">
      <c r="A8783" s="14">
        <v>42397.900555555556</v>
      </c>
      <c r="B8783" s="5">
        <v>1</v>
      </c>
    </row>
    <row r="8784" spans="1:2" x14ac:dyDescent="0.35">
      <c r="A8784" s="14">
        <v>42397.909629629627</v>
      </c>
      <c r="B8784" s="5">
        <v>1</v>
      </c>
    </row>
    <row r="8785" spans="1:2" x14ac:dyDescent="0.35">
      <c r="A8785" s="14">
        <v>42397.912743055553</v>
      </c>
      <c r="B8785" s="5">
        <v>1</v>
      </c>
    </row>
    <row r="8786" spans="1:2" x14ac:dyDescent="0.35">
      <c r="A8786" s="14">
        <v>42397.91914351852</v>
      </c>
      <c r="B8786" s="5">
        <v>1</v>
      </c>
    </row>
    <row r="8787" spans="1:2" x14ac:dyDescent="0.35">
      <c r="A8787" s="14">
        <v>42397.966296296298</v>
      </c>
      <c r="B8787" s="5">
        <v>1</v>
      </c>
    </row>
    <row r="8788" spans="1:2" x14ac:dyDescent="0.35">
      <c r="A8788" s="14">
        <v>42397.966886574075</v>
      </c>
      <c r="B8788" s="5">
        <v>1</v>
      </c>
    </row>
    <row r="8789" spans="1:2" x14ac:dyDescent="0.35">
      <c r="A8789" s="14">
        <v>42397.967847222222</v>
      </c>
      <c r="B8789" s="5">
        <v>1</v>
      </c>
    </row>
    <row r="8790" spans="1:2" x14ac:dyDescent="0.35">
      <c r="A8790" s="14">
        <v>42398.005659722221</v>
      </c>
      <c r="B8790" s="5">
        <v>1</v>
      </c>
    </row>
    <row r="8791" spans="1:2" x14ac:dyDescent="0.35">
      <c r="A8791" s="14">
        <v>42398.009236111109</v>
      </c>
      <c r="B8791" s="5">
        <v>1</v>
      </c>
    </row>
    <row r="8792" spans="1:2" x14ac:dyDescent="0.35">
      <c r="A8792" s="14">
        <v>42398.009375000001</v>
      </c>
      <c r="B8792" s="5">
        <v>2</v>
      </c>
    </row>
    <row r="8793" spans="1:2" x14ac:dyDescent="0.35">
      <c r="A8793" s="14">
        <v>42398.00953703704</v>
      </c>
      <c r="B8793" s="5">
        <v>1</v>
      </c>
    </row>
    <row r="8794" spans="1:2" x14ac:dyDescent="0.35">
      <c r="A8794" s="14">
        <v>42398.009965277779</v>
      </c>
      <c r="B8794" s="5">
        <v>1</v>
      </c>
    </row>
    <row r="8795" spans="1:2" x14ac:dyDescent="0.35">
      <c r="A8795" s="14">
        <v>42398.013993055552</v>
      </c>
      <c r="B8795" s="5">
        <v>1</v>
      </c>
    </row>
    <row r="8796" spans="1:2" x14ac:dyDescent="0.35">
      <c r="A8796" s="14">
        <v>42398.017592592594</v>
      </c>
      <c r="B8796" s="5">
        <v>1</v>
      </c>
    </row>
    <row r="8797" spans="1:2" x14ac:dyDescent="0.35">
      <c r="A8797" s="14">
        <v>42398.020370370374</v>
      </c>
      <c r="B8797" s="5">
        <v>1</v>
      </c>
    </row>
    <row r="8798" spans="1:2" x14ac:dyDescent="0.35">
      <c r="A8798" s="14">
        <v>42398.026689814818</v>
      </c>
      <c r="B8798" s="5">
        <v>1</v>
      </c>
    </row>
    <row r="8799" spans="1:2" x14ac:dyDescent="0.35">
      <c r="A8799" s="14">
        <v>42398.042638888888</v>
      </c>
      <c r="B8799" s="5">
        <v>1</v>
      </c>
    </row>
    <row r="8800" spans="1:2" x14ac:dyDescent="0.35">
      <c r="A8800" s="14">
        <v>42398.060567129629</v>
      </c>
      <c r="B8800" s="5">
        <v>1</v>
      </c>
    </row>
    <row r="8801" spans="1:2" x14ac:dyDescent="0.35">
      <c r="A8801" s="14">
        <v>42398.083437499998</v>
      </c>
      <c r="B8801" s="5">
        <v>1</v>
      </c>
    </row>
    <row r="8802" spans="1:2" x14ac:dyDescent="0.35">
      <c r="A8802" s="14">
        <v>42398.084050925929</v>
      </c>
      <c r="B8802" s="5">
        <v>2</v>
      </c>
    </row>
    <row r="8803" spans="1:2" x14ac:dyDescent="0.35">
      <c r="A8803" s="14">
        <v>42398.107395833336</v>
      </c>
      <c r="B8803" s="5">
        <v>1</v>
      </c>
    </row>
    <row r="8804" spans="1:2" x14ac:dyDescent="0.35">
      <c r="A8804" s="14">
        <v>42398.1090625</v>
      </c>
      <c r="B8804" s="5">
        <v>1</v>
      </c>
    </row>
    <row r="8805" spans="1:2" x14ac:dyDescent="0.35">
      <c r="A8805" s="14">
        <v>42398.127858796295</v>
      </c>
      <c r="B8805" s="5">
        <v>1</v>
      </c>
    </row>
    <row r="8806" spans="1:2" x14ac:dyDescent="0.35">
      <c r="A8806" s="14">
        <v>42398.217488425929</v>
      </c>
      <c r="B8806" s="5">
        <v>1</v>
      </c>
    </row>
    <row r="8807" spans="1:2" x14ac:dyDescent="0.35">
      <c r="A8807" s="14">
        <v>42398.217743055553</v>
      </c>
      <c r="B8807" s="5">
        <v>2</v>
      </c>
    </row>
    <row r="8808" spans="1:2" x14ac:dyDescent="0.35">
      <c r="A8808" s="14">
        <v>42398.221018518518</v>
      </c>
      <c r="B8808" s="5">
        <v>1</v>
      </c>
    </row>
    <row r="8809" spans="1:2" x14ac:dyDescent="0.35">
      <c r="A8809" s="14">
        <v>42398.221342592595</v>
      </c>
      <c r="B8809" s="5">
        <v>2</v>
      </c>
    </row>
    <row r="8810" spans="1:2" x14ac:dyDescent="0.35">
      <c r="A8810" s="14">
        <v>42398.226956018516</v>
      </c>
      <c r="B8810" s="5">
        <v>1</v>
      </c>
    </row>
    <row r="8811" spans="1:2" x14ac:dyDescent="0.35">
      <c r="A8811" s="14">
        <v>42398.227303240739</v>
      </c>
      <c r="B8811" s="5">
        <v>2</v>
      </c>
    </row>
    <row r="8812" spans="1:2" x14ac:dyDescent="0.35">
      <c r="A8812" s="14">
        <v>42398.542037037034</v>
      </c>
      <c r="B8812" s="5">
        <v>1</v>
      </c>
    </row>
    <row r="8813" spans="1:2" x14ac:dyDescent="0.35">
      <c r="A8813" s="14">
        <v>42398.577303240738</v>
      </c>
      <c r="B8813" s="5">
        <v>1</v>
      </c>
    </row>
    <row r="8814" spans="1:2" x14ac:dyDescent="0.35">
      <c r="A8814" s="14">
        <v>42398.586550925924</v>
      </c>
      <c r="B8814" s="5">
        <v>1</v>
      </c>
    </row>
    <row r="8815" spans="1:2" x14ac:dyDescent="0.35">
      <c r="A8815" s="14">
        <v>42398.595312500001</v>
      </c>
      <c r="B8815" s="5">
        <v>1</v>
      </c>
    </row>
    <row r="8816" spans="1:2" x14ac:dyDescent="0.35">
      <c r="A8816" s="14">
        <v>42398.621620370373</v>
      </c>
      <c r="B8816" s="5">
        <v>1</v>
      </c>
    </row>
    <row r="8817" spans="1:2" x14ac:dyDescent="0.35">
      <c r="A8817" s="14">
        <v>42398.622025462966</v>
      </c>
      <c r="B8817" s="5">
        <v>1</v>
      </c>
    </row>
    <row r="8818" spans="1:2" x14ac:dyDescent="0.35">
      <c r="A8818" s="14">
        <v>42398.642523148148</v>
      </c>
      <c r="B8818" s="5">
        <v>1</v>
      </c>
    </row>
    <row r="8819" spans="1:2" x14ac:dyDescent="0.35">
      <c r="A8819" s="14">
        <v>42398.651307870372</v>
      </c>
      <c r="B8819" s="5">
        <v>1</v>
      </c>
    </row>
    <row r="8820" spans="1:2" x14ac:dyDescent="0.35">
      <c r="A8820" s="14">
        <v>42398.668715277781</v>
      </c>
      <c r="B8820" s="5">
        <v>1</v>
      </c>
    </row>
    <row r="8821" spans="1:2" x14ac:dyDescent="0.35">
      <c r="A8821" s="14">
        <v>42398.672337962962</v>
      </c>
      <c r="B8821" s="5">
        <v>1</v>
      </c>
    </row>
    <row r="8822" spans="1:2" x14ac:dyDescent="0.35">
      <c r="A8822" s="14">
        <v>42398.672731481478</v>
      </c>
      <c r="B8822" s="5">
        <v>1</v>
      </c>
    </row>
    <row r="8823" spans="1:2" x14ac:dyDescent="0.35">
      <c r="A8823" s="14">
        <v>42398.673587962963</v>
      </c>
      <c r="B8823" s="5">
        <v>1</v>
      </c>
    </row>
    <row r="8824" spans="1:2" x14ac:dyDescent="0.35">
      <c r="A8824" s="14">
        <v>42398.673784722225</v>
      </c>
      <c r="B8824" s="5">
        <v>1</v>
      </c>
    </row>
    <row r="8825" spans="1:2" x14ac:dyDescent="0.35">
      <c r="A8825" s="14">
        <v>42398.676412037035</v>
      </c>
      <c r="B8825" s="5">
        <v>1</v>
      </c>
    </row>
    <row r="8826" spans="1:2" x14ac:dyDescent="0.35">
      <c r="A8826" s="14">
        <v>42398.67728009259</v>
      </c>
      <c r="B8826" s="5">
        <v>1</v>
      </c>
    </row>
    <row r="8827" spans="1:2" x14ac:dyDescent="0.35">
      <c r="A8827" s="14">
        <v>42398.68478009259</v>
      </c>
      <c r="B8827" s="5">
        <v>1</v>
      </c>
    </row>
    <row r="8828" spans="1:2" x14ac:dyDescent="0.35">
      <c r="A8828" s="14">
        <v>42398.687604166669</v>
      </c>
      <c r="B8828" s="5">
        <v>1</v>
      </c>
    </row>
    <row r="8829" spans="1:2" x14ac:dyDescent="0.35">
      <c r="A8829" s="14">
        <v>42398.717997685184</v>
      </c>
      <c r="B8829" s="5">
        <v>1</v>
      </c>
    </row>
    <row r="8830" spans="1:2" x14ac:dyDescent="0.35">
      <c r="A8830" s="14">
        <v>42398.719074074077</v>
      </c>
      <c r="B8830" s="5">
        <v>1</v>
      </c>
    </row>
    <row r="8831" spans="1:2" x14ac:dyDescent="0.35">
      <c r="A8831" s="14">
        <v>42398.719560185185</v>
      </c>
      <c r="B8831" s="5">
        <v>1</v>
      </c>
    </row>
    <row r="8832" spans="1:2" x14ac:dyDescent="0.35">
      <c r="A8832" s="14">
        <v>42398.726354166669</v>
      </c>
      <c r="B8832" s="5">
        <v>1</v>
      </c>
    </row>
    <row r="8833" spans="1:2" x14ac:dyDescent="0.35">
      <c r="A8833" s="14">
        <v>42398.73165509259</v>
      </c>
      <c r="B8833" s="5">
        <v>1</v>
      </c>
    </row>
    <row r="8834" spans="1:2" x14ac:dyDescent="0.35">
      <c r="A8834" s="14">
        <v>42398.763969907406</v>
      </c>
      <c r="B8834" s="5">
        <v>1</v>
      </c>
    </row>
    <row r="8835" spans="1:2" x14ac:dyDescent="0.35">
      <c r="A8835" s="14">
        <v>42398.767106481479</v>
      </c>
      <c r="B8835" s="5">
        <v>1</v>
      </c>
    </row>
    <row r="8836" spans="1:2" x14ac:dyDescent="0.35">
      <c r="A8836" s="14">
        <v>42398.783032407409</v>
      </c>
      <c r="B8836" s="5">
        <v>1</v>
      </c>
    </row>
    <row r="8837" spans="1:2" x14ac:dyDescent="0.35">
      <c r="A8837" s="14">
        <v>42398.786620370367</v>
      </c>
      <c r="B8837" s="5">
        <v>1</v>
      </c>
    </row>
    <row r="8838" spans="1:2" x14ac:dyDescent="0.35">
      <c r="A8838" s="14">
        <v>42398.790868055556</v>
      </c>
      <c r="B8838" s="5">
        <v>1</v>
      </c>
    </row>
    <row r="8839" spans="1:2" x14ac:dyDescent="0.35">
      <c r="A8839" s="14">
        <v>42398.791898148149</v>
      </c>
      <c r="B8839" s="5">
        <v>1</v>
      </c>
    </row>
    <row r="8840" spans="1:2" x14ac:dyDescent="0.35">
      <c r="A8840" s="14">
        <v>42398.798564814817</v>
      </c>
      <c r="B8840" s="5">
        <v>1</v>
      </c>
    </row>
    <row r="8841" spans="1:2" x14ac:dyDescent="0.35">
      <c r="A8841" s="14">
        <v>42398.808344907404</v>
      </c>
      <c r="B8841" s="5">
        <v>1</v>
      </c>
    </row>
    <row r="8842" spans="1:2" x14ac:dyDescent="0.35">
      <c r="A8842" s="14">
        <v>42398.812581018516</v>
      </c>
      <c r="B8842" s="5">
        <v>1</v>
      </c>
    </row>
    <row r="8843" spans="1:2" x14ac:dyDescent="0.35">
      <c r="A8843" s="14">
        <v>42398.812800925924</v>
      </c>
      <c r="B8843" s="5">
        <v>2</v>
      </c>
    </row>
    <row r="8844" spans="1:2" x14ac:dyDescent="0.35">
      <c r="A8844" s="14">
        <v>42398.849537037036</v>
      </c>
      <c r="B8844" s="5">
        <v>1</v>
      </c>
    </row>
    <row r="8845" spans="1:2" x14ac:dyDescent="0.35">
      <c r="A8845" s="14">
        <v>42398.850208333337</v>
      </c>
      <c r="B8845" s="5">
        <v>1</v>
      </c>
    </row>
    <row r="8846" spans="1:2" x14ac:dyDescent="0.35">
      <c r="A8846" s="14">
        <v>42398.885428240741</v>
      </c>
      <c r="B8846" s="5">
        <v>1</v>
      </c>
    </row>
    <row r="8847" spans="1:2" x14ac:dyDescent="0.35">
      <c r="A8847" s="14">
        <v>42398.907060185185</v>
      </c>
      <c r="B8847" s="5">
        <v>1</v>
      </c>
    </row>
    <row r="8848" spans="1:2" x14ac:dyDescent="0.35">
      <c r="A8848" s="14">
        <v>42398.90724537037</v>
      </c>
      <c r="B8848" s="5">
        <v>2</v>
      </c>
    </row>
    <row r="8849" spans="1:2" x14ac:dyDescent="0.35">
      <c r="A8849" s="14">
        <v>42398.912002314813</v>
      </c>
      <c r="B8849" s="5">
        <v>1</v>
      </c>
    </row>
    <row r="8850" spans="1:2" x14ac:dyDescent="0.35">
      <c r="A8850" s="14">
        <v>42398.915405092594</v>
      </c>
      <c r="B8850" s="5">
        <v>1</v>
      </c>
    </row>
    <row r="8851" spans="1:2" x14ac:dyDescent="0.35">
      <c r="A8851" s="14">
        <v>42398.922418981485</v>
      </c>
      <c r="B8851" s="5">
        <v>1</v>
      </c>
    </row>
    <row r="8852" spans="1:2" x14ac:dyDescent="0.35">
      <c r="A8852" s="14">
        <v>42398.937951388885</v>
      </c>
      <c r="B8852" s="5">
        <v>1</v>
      </c>
    </row>
    <row r="8853" spans="1:2" x14ac:dyDescent="0.35">
      <c r="A8853" s="14">
        <v>42398.971967592595</v>
      </c>
      <c r="B8853" s="5">
        <v>1</v>
      </c>
    </row>
    <row r="8854" spans="1:2" x14ac:dyDescent="0.35">
      <c r="A8854" s="14">
        <v>42398.977743055555</v>
      </c>
      <c r="B8854" s="5">
        <v>1</v>
      </c>
    </row>
    <row r="8855" spans="1:2" x14ac:dyDescent="0.35">
      <c r="A8855" s="14">
        <v>42398.979328703703</v>
      </c>
      <c r="B8855" s="5">
        <v>1</v>
      </c>
    </row>
    <row r="8856" spans="1:2" x14ac:dyDescent="0.35">
      <c r="A8856" s="14">
        <v>42398.98814814815</v>
      </c>
      <c r="B8856" s="5">
        <v>1</v>
      </c>
    </row>
    <row r="8857" spans="1:2" x14ac:dyDescent="0.35">
      <c r="A8857" s="14">
        <v>42398.990393518521</v>
      </c>
      <c r="B8857" s="5">
        <v>1</v>
      </c>
    </row>
    <row r="8858" spans="1:2" x14ac:dyDescent="0.35">
      <c r="A8858" s="14">
        <v>42399.010636574072</v>
      </c>
      <c r="B8858" s="5">
        <v>1</v>
      </c>
    </row>
    <row r="8859" spans="1:2" x14ac:dyDescent="0.35">
      <c r="A8859" s="14">
        <v>42399.096944444442</v>
      </c>
      <c r="B8859" s="5">
        <v>1</v>
      </c>
    </row>
    <row r="8860" spans="1:2" x14ac:dyDescent="0.35">
      <c r="A8860" s="14">
        <v>42399.097511574073</v>
      </c>
      <c r="B8860" s="5">
        <v>1</v>
      </c>
    </row>
    <row r="8861" spans="1:2" x14ac:dyDescent="0.35">
      <c r="A8861" s="14">
        <v>42399.10465277778</v>
      </c>
      <c r="B8861" s="5">
        <v>1</v>
      </c>
    </row>
    <row r="8862" spans="1:2" x14ac:dyDescent="0.35">
      <c r="A8862" s="14">
        <v>42399.118657407409</v>
      </c>
      <c r="B8862" s="5">
        <v>1</v>
      </c>
    </row>
    <row r="8863" spans="1:2" x14ac:dyDescent="0.35">
      <c r="A8863" s="14">
        <v>42399.153020833335</v>
      </c>
      <c r="B8863" s="5">
        <v>1</v>
      </c>
    </row>
    <row r="8864" spans="1:2" x14ac:dyDescent="0.35">
      <c r="A8864" s="14">
        <v>42399.153425925928</v>
      </c>
      <c r="B8864" s="5">
        <v>1</v>
      </c>
    </row>
    <row r="8865" spans="1:2" x14ac:dyDescent="0.35">
      <c r="A8865" s="14">
        <v>42399.60460648148</v>
      </c>
      <c r="B8865" s="5">
        <v>1</v>
      </c>
    </row>
    <row r="8866" spans="1:2" x14ac:dyDescent="0.35">
      <c r="A8866" s="14">
        <v>42399.63</v>
      </c>
      <c r="B8866" s="5">
        <v>1</v>
      </c>
    </row>
    <row r="8867" spans="1:2" x14ac:dyDescent="0.35">
      <c r="A8867" s="14">
        <v>42399.635416666664</v>
      </c>
      <c r="B8867" s="5">
        <v>1</v>
      </c>
    </row>
    <row r="8868" spans="1:2" x14ac:dyDescent="0.35">
      <c r="A8868" s="14">
        <v>42399.636435185188</v>
      </c>
      <c r="B8868" s="5">
        <v>2</v>
      </c>
    </row>
    <row r="8869" spans="1:2" x14ac:dyDescent="0.35">
      <c r="A8869" s="14">
        <v>42399.642129629632</v>
      </c>
      <c r="B8869" s="5">
        <v>1</v>
      </c>
    </row>
    <row r="8870" spans="1:2" x14ac:dyDescent="0.35">
      <c r="A8870" s="14">
        <v>42399.642280092594</v>
      </c>
      <c r="B8870" s="5">
        <v>2</v>
      </c>
    </row>
    <row r="8871" spans="1:2" x14ac:dyDescent="0.35">
      <c r="A8871" s="14">
        <v>42399.64434027778</v>
      </c>
      <c r="B8871" s="5">
        <v>1</v>
      </c>
    </row>
    <row r="8872" spans="1:2" x14ac:dyDescent="0.35">
      <c r="A8872" s="14">
        <v>42399.644479166665</v>
      </c>
      <c r="B8872" s="5">
        <v>1</v>
      </c>
    </row>
    <row r="8873" spans="1:2" x14ac:dyDescent="0.35">
      <c r="A8873" s="14">
        <v>42399.645231481481</v>
      </c>
      <c r="B8873" s="5">
        <v>1</v>
      </c>
    </row>
    <row r="8874" spans="1:2" x14ac:dyDescent="0.35">
      <c r="A8874" s="14">
        <v>42399.669652777775</v>
      </c>
      <c r="B8874" s="5">
        <v>1</v>
      </c>
    </row>
    <row r="8875" spans="1:2" x14ac:dyDescent="0.35">
      <c r="A8875" s="14">
        <v>42399.682372685187</v>
      </c>
      <c r="B8875" s="5">
        <v>1</v>
      </c>
    </row>
    <row r="8876" spans="1:2" x14ac:dyDescent="0.35">
      <c r="A8876" s="14">
        <v>42399.68681712963</v>
      </c>
      <c r="B8876" s="5">
        <v>1</v>
      </c>
    </row>
    <row r="8877" spans="1:2" x14ac:dyDescent="0.35">
      <c r="A8877" s="14">
        <v>42399.704143518517</v>
      </c>
      <c r="B8877" s="5">
        <v>1</v>
      </c>
    </row>
    <row r="8878" spans="1:2" x14ac:dyDescent="0.35">
      <c r="A8878" s="14">
        <v>42399.720636574071</v>
      </c>
      <c r="B8878" s="5">
        <v>1</v>
      </c>
    </row>
    <row r="8879" spans="1:2" x14ac:dyDescent="0.35">
      <c r="A8879" s="14">
        <v>42399.720729166664</v>
      </c>
      <c r="B8879" s="5">
        <v>1</v>
      </c>
    </row>
    <row r="8880" spans="1:2" x14ac:dyDescent="0.35">
      <c r="A8880" s="14">
        <v>42399.720879629633</v>
      </c>
      <c r="B8880" s="5">
        <v>2</v>
      </c>
    </row>
    <row r="8881" spans="1:2" x14ac:dyDescent="0.35">
      <c r="A8881" s="14">
        <v>42399.727581018517</v>
      </c>
      <c r="B8881" s="5">
        <v>1</v>
      </c>
    </row>
    <row r="8882" spans="1:2" x14ac:dyDescent="0.35">
      <c r="A8882" s="14">
        <v>42399.727743055555</v>
      </c>
      <c r="B8882" s="5">
        <v>1</v>
      </c>
    </row>
    <row r="8883" spans="1:2" x14ac:dyDescent="0.35">
      <c r="A8883" s="14">
        <v>42399.737627314818</v>
      </c>
      <c r="B8883" s="5">
        <v>1</v>
      </c>
    </row>
    <row r="8884" spans="1:2" x14ac:dyDescent="0.35">
      <c r="A8884" s="14">
        <v>42399.737812500003</v>
      </c>
      <c r="B8884" s="5">
        <v>1</v>
      </c>
    </row>
    <row r="8885" spans="1:2" x14ac:dyDescent="0.35">
      <c r="A8885" s="14">
        <v>42399.750196759262</v>
      </c>
      <c r="B8885" s="5">
        <v>1</v>
      </c>
    </row>
    <row r="8886" spans="1:2" x14ac:dyDescent="0.35">
      <c r="A8886" s="14">
        <v>42399.756909722222</v>
      </c>
      <c r="B8886" s="5">
        <v>1</v>
      </c>
    </row>
    <row r="8887" spans="1:2" x14ac:dyDescent="0.35">
      <c r="A8887" s="14">
        <v>42399.758402777778</v>
      </c>
      <c r="B8887" s="5">
        <v>1</v>
      </c>
    </row>
    <row r="8888" spans="1:2" x14ac:dyDescent="0.35">
      <c r="A8888" s="14">
        <v>42399.761446759258</v>
      </c>
      <c r="B8888" s="5">
        <v>1</v>
      </c>
    </row>
    <row r="8889" spans="1:2" x14ac:dyDescent="0.35">
      <c r="A8889" s="14">
        <v>42399.768692129626</v>
      </c>
      <c r="B8889" s="5">
        <v>1</v>
      </c>
    </row>
    <row r="8890" spans="1:2" x14ac:dyDescent="0.35">
      <c r="A8890" s="14">
        <v>42399.776620370372</v>
      </c>
      <c r="B8890" s="5">
        <v>1</v>
      </c>
    </row>
    <row r="8891" spans="1:2" x14ac:dyDescent="0.35">
      <c r="A8891" s="14">
        <v>42399.78324074074</v>
      </c>
      <c r="B8891" s="5">
        <v>1</v>
      </c>
    </row>
    <row r="8892" spans="1:2" x14ac:dyDescent="0.35">
      <c r="A8892" s="14">
        <v>42399.78701388889</v>
      </c>
      <c r="B8892" s="5">
        <v>1</v>
      </c>
    </row>
    <row r="8893" spans="1:2" x14ac:dyDescent="0.35">
      <c r="A8893" s="14">
        <v>42399.796770833331</v>
      </c>
      <c r="B8893" s="5">
        <v>1</v>
      </c>
    </row>
    <row r="8894" spans="1:2" x14ac:dyDescent="0.35">
      <c r="A8894" s="14">
        <v>42399.817326388889</v>
      </c>
      <c r="B8894" s="5">
        <v>1</v>
      </c>
    </row>
    <row r="8895" spans="1:2" x14ac:dyDescent="0.35">
      <c r="A8895" s="14">
        <v>42399.915416666663</v>
      </c>
      <c r="B8895" s="5">
        <v>1</v>
      </c>
    </row>
    <row r="8896" spans="1:2" x14ac:dyDescent="0.35">
      <c r="A8896" s="14">
        <v>42399.97247685185</v>
      </c>
      <c r="B8896" s="5">
        <v>1</v>
      </c>
    </row>
    <row r="8897" spans="1:2" x14ac:dyDescent="0.35">
      <c r="A8897" s="14">
        <v>42400.040162037039</v>
      </c>
      <c r="B8897" s="5">
        <v>1</v>
      </c>
    </row>
    <row r="8898" spans="1:2" x14ac:dyDescent="0.35">
      <c r="A8898" s="14">
        <v>42400.042048611111</v>
      </c>
      <c r="B8898" s="5">
        <v>1</v>
      </c>
    </row>
    <row r="8899" spans="1:2" x14ac:dyDescent="0.35">
      <c r="A8899" s="14">
        <v>42400.155960648146</v>
      </c>
      <c r="B8899" s="5">
        <v>1</v>
      </c>
    </row>
    <row r="8900" spans="1:2" x14ac:dyDescent="0.35">
      <c r="A8900" s="14">
        <v>42400.157222222224</v>
      </c>
      <c r="B8900" s="5">
        <v>2</v>
      </c>
    </row>
    <row r="8901" spans="1:2" x14ac:dyDescent="0.35">
      <c r="A8901" s="14">
        <v>42400.16777777778</v>
      </c>
      <c r="B8901" s="5">
        <v>1</v>
      </c>
    </row>
    <row r="8902" spans="1:2" x14ac:dyDescent="0.35">
      <c r="A8902" s="14">
        <v>42400.16851851852</v>
      </c>
      <c r="B8902" s="5">
        <v>2</v>
      </c>
    </row>
    <row r="8903" spans="1:2" x14ac:dyDescent="0.35">
      <c r="A8903" s="14">
        <v>42400.251284722224</v>
      </c>
      <c r="B8903" s="5">
        <v>1</v>
      </c>
    </row>
    <row r="8904" spans="1:2" x14ac:dyDescent="0.35">
      <c r="A8904" s="14">
        <v>42400.624560185184</v>
      </c>
      <c r="B8904" s="5">
        <v>1</v>
      </c>
    </row>
    <row r="8905" spans="1:2" x14ac:dyDescent="0.35">
      <c r="A8905" s="14">
        <v>42400.627187500002</v>
      </c>
      <c r="B8905" s="5">
        <v>1</v>
      </c>
    </row>
    <row r="8906" spans="1:2" x14ac:dyDescent="0.35">
      <c r="A8906" s="14">
        <v>42400.627476851849</v>
      </c>
      <c r="B8906" s="5">
        <v>1</v>
      </c>
    </row>
    <row r="8907" spans="1:2" x14ac:dyDescent="0.35">
      <c r="A8907" s="14">
        <v>42400.65824074074</v>
      </c>
      <c r="B8907" s="5">
        <v>1</v>
      </c>
    </row>
    <row r="8908" spans="1:2" x14ac:dyDescent="0.35">
      <c r="A8908" s="14">
        <v>42400.711192129631</v>
      </c>
      <c r="B8908" s="5">
        <v>1</v>
      </c>
    </row>
    <row r="8909" spans="1:2" x14ac:dyDescent="0.35">
      <c r="A8909" s="14">
        <v>42400.712199074071</v>
      </c>
      <c r="B8909" s="5">
        <v>1</v>
      </c>
    </row>
    <row r="8910" spans="1:2" x14ac:dyDescent="0.35">
      <c r="A8910" s="14">
        <v>42400.721689814818</v>
      </c>
      <c r="B8910" s="5">
        <v>1</v>
      </c>
    </row>
    <row r="8911" spans="1:2" x14ac:dyDescent="0.35">
      <c r="A8911" s="14">
        <v>42400.734479166669</v>
      </c>
      <c r="B8911" s="5">
        <v>1</v>
      </c>
    </row>
    <row r="8912" spans="1:2" x14ac:dyDescent="0.35">
      <c r="A8912" s="14">
        <v>42400.734652777777</v>
      </c>
      <c r="B8912" s="5">
        <v>1</v>
      </c>
    </row>
    <row r="8913" spans="1:2" x14ac:dyDescent="0.35">
      <c r="A8913" s="14">
        <v>42400.734814814816</v>
      </c>
      <c r="B8913" s="5">
        <v>1</v>
      </c>
    </row>
    <row r="8914" spans="1:2" x14ac:dyDescent="0.35">
      <c r="A8914" s="14">
        <v>42400.741574074076</v>
      </c>
      <c r="B8914" s="5">
        <v>1</v>
      </c>
    </row>
    <row r="8915" spans="1:2" x14ac:dyDescent="0.35">
      <c r="A8915" s="14">
        <v>42400.742731481485</v>
      </c>
      <c r="B8915" s="5">
        <v>2</v>
      </c>
    </row>
    <row r="8916" spans="1:2" x14ac:dyDescent="0.35">
      <c r="A8916" s="14">
        <v>42400.755694444444</v>
      </c>
      <c r="B8916" s="5">
        <v>1</v>
      </c>
    </row>
    <row r="8917" spans="1:2" x14ac:dyDescent="0.35">
      <c r="A8917" s="14">
        <v>42400.75922453704</v>
      </c>
      <c r="B8917" s="5">
        <v>1</v>
      </c>
    </row>
    <row r="8918" spans="1:2" x14ac:dyDescent="0.35">
      <c r="A8918" s="14">
        <v>42400.769791666666</v>
      </c>
      <c r="B8918" s="5">
        <v>1</v>
      </c>
    </row>
    <row r="8919" spans="1:2" x14ac:dyDescent="0.35">
      <c r="A8919" s="14">
        <v>42400.770520833335</v>
      </c>
      <c r="B8919" s="5">
        <v>1</v>
      </c>
    </row>
    <row r="8920" spans="1:2" x14ac:dyDescent="0.35">
      <c r="A8920" s="14">
        <v>42400.778310185182</v>
      </c>
      <c r="B8920" s="5">
        <v>1</v>
      </c>
    </row>
    <row r="8921" spans="1:2" x14ac:dyDescent="0.35">
      <c r="A8921" s="14">
        <v>42400.779849537037</v>
      </c>
      <c r="B8921" s="5">
        <v>1</v>
      </c>
    </row>
    <row r="8922" spans="1:2" x14ac:dyDescent="0.35">
      <c r="A8922" s="14">
        <v>42400.787835648145</v>
      </c>
      <c r="B8922" s="5">
        <v>1</v>
      </c>
    </row>
    <row r="8923" spans="1:2" x14ac:dyDescent="0.35">
      <c r="A8923" s="14">
        <v>42400.820439814815</v>
      </c>
      <c r="B8923" s="5">
        <v>1</v>
      </c>
    </row>
    <row r="8924" spans="1:2" x14ac:dyDescent="0.35">
      <c r="A8924" s="14">
        <v>42400.823171296295</v>
      </c>
      <c r="B8924" s="5">
        <v>1</v>
      </c>
    </row>
    <row r="8925" spans="1:2" x14ac:dyDescent="0.35">
      <c r="A8925" s="14">
        <v>42400.823310185187</v>
      </c>
      <c r="B8925" s="5">
        <v>1</v>
      </c>
    </row>
    <row r="8926" spans="1:2" x14ac:dyDescent="0.35">
      <c r="A8926" s="14">
        <v>42400.83153935185</v>
      </c>
      <c r="B8926" s="5">
        <v>1</v>
      </c>
    </row>
    <row r="8927" spans="1:2" x14ac:dyDescent="0.35">
      <c r="A8927" s="14">
        <v>42400.850972222222</v>
      </c>
      <c r="B8927" s="5">
        <v>1</v>
      </c>
    </row>
    <row r="8928" spans="1:2" x14ac:dyDescent="0.35">
      <c r="A8928" s="14">
        <v>42400.88113425926</v>
      </c>
      <c r="B8928" s="5">
        <v>1</v>
      </c>
    </row>
    <row r="8929" spans="1:2" x14ac:dyDescent="0.35">
      <c r="A8929" s="14">
        <v>42400.907372685186</v>
      </c>
      <c r="B8929" s="5">
        <v>1</v>
      </c>
    </row>
    <row r="8930" spans="1:2" x14ac:dyDescent="0.35">
      <c r="A8930" s="14">
        <v>42400.914444444446</v>
      </c>
      <c r="B8930" s="5">
        <v>1</v>
      </c>
    </row>
    <row r="8931" spans="1:2" x14ac:dyDescent="0.35">
      <c r="A8931" s="14">
        <v>42400.919814814813</v>
      </c>
      <c r="B8931" s="5">
        <v>1</v>
      </c>
    </row>
    <row r="8932" spans="1:2" x14ac:dyDescent="0.35">
      <c r="A8932" s="14">
        <v>42400.929791666669</v>
      </c>
      <c r="B8932" s="5">
        <v>1</v>
      </c>
    </row>
    <row r="8933" spans="1:2" x14ac:dyDescent="0.35">
      <c r="A8933" s="14">
        <v>42400.931134259263</v>
      </c>
      <c r="B8933" s="5">
        <v>1</v>
      </c>
    </row>
    <row r="8934" spans="1:2" x14ac:dyDescent="0.35">
      <c r="A8934" s="14">
        <v>42400.931701388887</v>
      </c>
      <c r="B8934" s="5">
        <v>1</v>
      </c>
    </row>
    <row r="8935" spans="1:2" x14ac:dyDescent="0.35">
      <c r="A8935" s="14">
        <v>42400.931840277779</v>
      </c>
      <c r="B8935" s="5">
        <v>1</v>
      </c>
    </row>
    <row r="8936" spans="1:2" x14ac:dyDescent="0.35">
      <c r="A8936" s="14">
        <v>42400.932083333333</v>
      </c>
      <c r="B8936" s="5">
        <v>1</v>
      </c>
    </row>
    <row r="8937" spans="1:2" x14ac:dyDescent="0.35">
      <c r="A8937" s="14">
        <v>42400.932129629633</v>
      </c>
      <c r="B8937" s="5">
        <v>1</v>
      </c>
    </row>
    <row r="8938" spans="1:2" x14ac:dyDescent="0.35">
      <c r="A8938" s="14">
        <v>42400.932256944441</v>
      </c>
      <c r="B8938" s="5">
        <v>1</v>
      </c>
    </row>
    <row r="8939" spans="1:2" x14ac:dyDescent="0.35">
      <c r="A8939" s="14">
        <v>42400.93340277778</v>
      </c>
      <c r="B8939" s="5">
        <v>1</v>
      </c>
    </row>
    <row r="8940" spans="1:2" x14ac:dyDescent="0.35">
      <c r="A8940" s="14">
        <v>42400.934236111112</v>
      </c>
      <c r="B8940" s="5">
        <v>1</v>
      </c>
    </row>
    <row r="8941" spans="1:2" x14ac:dyDescent="0.35">
      <c r="A8941" s="14">
        <v>42400.934444444443</v>
      </c>
      <c r="B8941" s="5">
        <v>1</v>
      </c>
    </row>
    <row r="8942" spans="1:2" x14ac:dyDescent="0.35">
      <c r="A8942" s="14">
        <v>42400.948981481481</v>
      </c>
      <c r="B8942" s="5">
        <v>1</v>
      </c>
    </row>
    <row r="8943" spans="1:2" x14ac:dyDescent="0.35">
      <c r="A8943" s="14">
        <v>42400.983368055553</v>
      </c>
      <c r="B8943" s="5">
        <v>1</v>
      </c>
    </row>
    <row r="8944" spans="1:2" x14ac:dyDescent="0.35">
      <c r="A8944" s="14">
        <v>42400.984618055554</v>
      </c>
      <c r="B8944" s="5">
        <v>1</v>
      </c>
    </row>
    <row r="8945" spans="1:2" x14ac:dyDescent="0.35">
      <c r="A8945" s="14">
        <v>42400.985648148147</v>
      </c>
      <c r="B8945" s="5">
        <v>1</v>
      </c>
    </row>
    <row r="8946" spans="1:2" x14ac:dyDescent="0.35">
      <c r="A8946" s="14">
        <v>42400.986377314817</v>
      </c>
      <c r="B8946" s="5">
        <v>1</v>
      </c>
    </row>
    <row r="8947" spans="1:2" x14ac:dyDescent="0.35">
      <c r="A8947" s="14">
        <v>42400.990115740744</v>
      </c>
      <c r="B8947" s="5">
        <v>1</v>
      </c>
    </row>
    <row r="8948" spans="1:2" x14ac:dyDescent="0.35">
      <c r="A8948" s="14">
        <v>42400.990312499998</v>
      </c>
      <c r="B8948" s="5">
        <v>2</v>
      </c>
    </row>
    <row r="8949" spans="1:2" x14ac:dyDescent="0.35">
      <c r="A8949" s="14">
        <v>42400.995069444441</v>
      </c>
      <c r="B8949" s="5">
        <v>1</v>
      </c>
    </row>
    <row r="8950" spans="1:2" x14ac:dyDescent="0.35">
      <c r="A8950" s="14">
        <v>42400.995196759257</v>
      </c>
      <c r="B8950" s="5">
        <v>1</v>
      </c>
    </row>
    <row r="8951" spans="1:2" x14ac:dyDescent="0.35">
      <c r="A8951" s="14">
        <v>42400.996006944442</v>
      </c>
      <c r="B8951" s="5">
        <v>1</v>
      </c>
    </row>
    <row r="8952" spans="1:2" x14ac:dyDescent="0.35">
      <c r="A8952" s="15" t="s">
        <v>13111</v>
      </c>
      <c r="B8952" s="10">
        <v>9451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78"/>
  <sheetViews>
    <sheetView workbookViewId="0">
      <selection activeCell="D1976" sqref="D1976"/>
    </sheetView>
  </sheetViews>
  <sheetFormatPr defaultRowHeight="14.5" x14ac:dyDescent="0.35"/>
  <cols>
    <col min="1" max="1" width="69.1796875" customWidth="1"/>
    <col min="2" max="2" width="7.1796875" customWidth="1"/>
  </cols>
  <sheetData>
    <row r="1" spans="1:2" ht="15" x14ac:dyDescent="0.25">
      <c r="A1" s="6" t="s">
        <v>13113</v>
      </c>
      <c r="B1" s="6" t="s">
        <v>13110</v>
      </c>
    </row>
    <row r="2" spans="1:2" ht="15" x14ac:dyDescent="0.25">
      <c r="A2" s="8" t="s">
        <v>13112</v>
      </c>
      <c r="B2" s="7"/>
    </row>
    <row r="3" spans="1:2" ht="15" x14ac:dyDescent="0.25">
      <c r="A3" s="7" t="s">
        <v>13115</v>
      </c>
      <c r="B3" s="7" t="s">
        <v>13114</v>
      </c>
    </row>
    <row r="4" spans="1:2" ht="15" x14ac:dyDescent="0.25">
      <c r="A4" s="12" t="s">
        <v>1222</v>
      </c>
      <c r="B4" s="13">
        <v>465</v>
      </c>
    </row>
    <row r="5" spans="1:2" ht="15" x14ac:dyDescent="0.25">
      <c r="A5" s="11" t="s">
        <v>8265</v>
      </c>
      <c r="B5" s="5">
        <v>1</v>
      </c>
    </row>
    <row r="6" spans="1:2" ht="15" x14ac:dyDescent="0.25">
      <c r="A6" s="11" t="s">
        <v>11959</v>
      </c>
      <c r="B6" s="5">
        <v>1</v>
      </c>
    </row>
    <row r="7" spans="1:2" ht="15" x14ac:dyDescent="0.25">
      <c r="A7" s="11" t="s">
        <v>9599</v>
      </c>
      <c r="B7" s="5">
        <v>2</v>
      </c>
    </row>
    <row r="8" spans="1:2" ht="15" x14ac:dyDescent="0.25">
      <c r="A8" s="11" t="s">
        <v>8602</v>
      </c>
      <c r="B8" s="5">
        <v>1</v>
      </c>
    </row>
    <row r="9" spans="1:2" ht="15" x14ac:dyDescent="0.25">
      <c r="A9" s="11" t="s">
        <v>8404</v>
      </c>
      <c r="B9" s="5">
        <v>4</v>
      </c>
    </row>
    <row r="10" spans="1:2" ht="15" x14ac:dyDescent="0.25">
      <c r="A10" s="11" t="s">
        <v>12233</v>
      </c>
      <c r="B10" s="5">
        <v>1</v>
      </c>
    </row>
    <row r="11" spans="1:2" ht="15" x14ac:dyDescent="0.25">
      <c r="A11" s="11" t="s">
        <v>8461</v>
      </c>
      <c r="B11" s="5">
        <v>1</v>
      </c>
    </row>
    <row r="12" spans="1:2" ht="15" x14ac:dyDescent="0.25">
      <c r="A12" s="11" t="s">
        <v>1971</v>
      </c>
      <c r="B12" s="5">
        <v>5</v>
      </c>
    </row>
    <row r="13" spans="1:2" ht="15" x14ac:dyDescent="0.25">
      <c r="A13" s="11" t="s">
        <v>12585</v>
      </c>
      <c r="B13" s="5">
        <v>3</v>
      </c>
    </row>
    <row r="14" spans="1:2" ht="15" x14ac:dyDescent="0.25">
      <c r="A14" s="11" t="s">
        <v>8881</v>
      </c>
      <c r="B14" s="5">
        <v>1</v>
      </c>
    </row>
    <row r="15" spans="1:2" ht="15" x14ac:dyDescent="0.25">
      <c r="A15" s="11" t="s">
        <v>4876</v>
      </c>
      <c r="B15" s="5">
        <v>1</v>
      </c>
    </row>
    <row r="16" spans="1:2" ht="15" x14ac:dyDescent="0.25">
      <c r="A16" s="11" t="s">
        <v>10818</v>
      </c>
      <c r="B16" s="5">
        <v>1</v>
      </c>
    </row>
    <row r="17" spans="1:2" ht="15" x14ac:dyDescent="0.25">
      <c r="A17" s="11" t="s">
        <v>5389</v>
      </c>
      <c r="B17" s="5">
        <v>3</v>
      </c>
    </row>
    <row r="18" spans="1:2" ht="15" x14ac:dyDescent="0.25">
      <c r="A18" s="11" t="s">
        <v>10750</v>
      </c>
      <c r="B18" s="5">
        <v>3</v>
      </c>
    </row>
    <row r="19" spans="1:2" ht="15" x14ac:dyDescent="0.25">
      <c r="A19" s="11" t="s">
        <v>5743</v>
      </c>
      <c r="B19" s="5">
        <v>3</v>
      </c>
    </row>
    <row r="20" spans="1:2" ht="15" x14ac:dyDescent="0.25">
      <c r="A20" s="11" t="s">
        <v>7376</v>
      </c>
      <c r="B20" s="5">
        <v>2</v>
      </c>
    </row>
    <row r="21" spans="1:2" ht="15" x14ac:dyDescent="0.25">
      <c r="A21" s="11" t="s">
        <v>7913</v>
      </c>
      <c r="B21" s="5">
        <v>1</v>
      </c>
    </row>
    <row r="22" spans="1:2" x14ac:dyDescent="0.35">
      <c r="A22" s="11" t="s">
        <v>6732</v>
      </c>
      <c r="B22" s="5">
        <v>1</v>
      </c>
    </row>
    <row r="23" spans="1:2" x14ac:dyDescent="0.35">
      <c r="A23" s="11" t="s">
        <v>9734</v>
      </c>
      <c r="B23" s="5">
        <v>1</v>
      </c>
    </row>
    <row r="24" spans="1:2" x14ac:dyDescent="0.35">
      <c r="A24" s="11" t="s">
        <v>3934</v>
      </c>
      <c r="B24" s="5">
        <v>1</v>
      </c>
    </row>
    <row r="25" spans="1:2" x14ac:dyDescent="0.35">
      <c r="A25" s="11" t="s">
        <v>4717</v>
      </c>
      <c r="B25" s="5">
        <v>21</v>
      </c>
    </row>
    <row r="26" spans="1:2" x14ac:dyDescent="0.35">
      <c r="A26" s="11" t="s">
        <v>4713</v>
      </c>
      <c r="B26" s="5">
        <v>16</v>
      </c>
    </row>
    <row r="27" spans="1:2" x14ac:dyDescent="0.35">
      <c r="A27" s="11" t="s">
        <v>10041</v>
      </c>
      <c r="B27" s="5">
        <v>2</v>
      </c>
    </row>
    <row r="28" spans="1:2" x14ac:dyDescent="0.35">
      <c r="A28" s="11" t="s">
        <v>5515</v>
      </c>
      <c r="B28" s="5">
        <v>3</v>
      </c>
    </row>
    <row r="29" spans="1:2" x14ac:dyDescent="0.35">
      <c r="A29" s="11" t="s">
        <v>8706</v>
      </c>
      <c r="B29" s="5">
        <v>4</v>
      </c>
    </row>
    <row r="30" spans="1:2" x14ac:dyDescent="0.35">
      <c r="A30" s="11" t="s">
        <v>4681</v>
      </c>
      <c r="B30" s="5">
        <v>25</v>
      </c>
    </row>
    <row r="31" spans="1:2" x14ac:dyDescent="0.35">
      <c r="A31" s="11" t="s">
        <v>8354</v>
      </c>
      <c r="B31" s="5">
        <v>3</v>
      </c>
    </row>
    <row r="32" spans="1:2" x14ac:dyDescent="0.35">
      <c r="A32" s="11" t="s">
        <v>9737</v>
      </c>
      <c r="B32" s="5">
        <v>1</v>
      </c>
    </row>
    <row r="33" spans="1:2" x14ac:dyDescent="0.35">
      <c r="A33" s="11" t="s">
        <v>1786</v>
      </c>
      <c r="B33" s="5">
        <v>2</v>
      </c>
    </row>
    <row r="34" spans="1:2" x14ac:dyDescent="0.35">
      <c r="A34" s="11" t="s">
        <v>9809</v>
      </c>
      <c r="B34" s="5">
        <v>1</v>
      </c>
    </row>
    <row r="35" spans="1:2" x14ac:dyDescent="0.35">
      <c r="A35" s="11" t="s">
        <v>4756</v>
      </c>
      <c r="B35" s="5">
        <v>5</v>
      </c>
    </row>
    <row r="36" spans="1:2" x14ac:dyDescent="0.35">
      <c r="A36" s="11" t="s">
        <v>4889</v>
      </c>
      <c r="B36" s="5">
        <v>1</v>
      </c>
    </row>
    <row r="37" spans="1:2" x14ac:dyDescent="0.35">
      <c r="A37" s="11" t="s">
        <v>5394</v>
      </c>
      <c r="B37" s="5">
        <v>3</v>
      </c>
    </row>
    <row r="38" spans="1:2" x14ac:dyDescent="0.35">
      <c r="A38" s="11" t="s">
        <v>9833</v>
      </c>
      <c r="B38" s="5">
        <v>1</v>
      </c>
    </row>
    <row r="39" spans="1:2" x14ac:dyDescent="0.35">
      <c r="A39" s="11" t="s">
        <v>4217</v>
      </c>
      <c r="B39" s="5">
        <v>2</v>
      </c>
    </row>
    <row r="40" spans="1:2" x14ac:dyDescent="0.35">
      <c r="A40" s="11" t="s">
        <v>10264</v>
      </c>
      <c r="B40" s="5">
        <v>1</v>
      </c>
    </row>
    <row r="41" spans="1:2" x14ac:dyDescent="0.35">
      <c r="A41" s="11" t="s">
        <v>6675</v>
      </c>
      <c r="B41" s="5">
        <v>5</v>
      </c>
    </row>
    <row r="42" spans="1:2" x14ac:dyDescent="0.35">
      <c r="A42" s="11" t="s">
        <v>1624</v>
      </c>
      <c r="B42" s="5">
        <v>1</v>
      </c>
    </row>
    <row r="43" spans="1:2" x14ac:dyDescent="0.35">
      <c r="A43" s="11" t="s">
        <v>3583</v>
      </c>
      <c r="B43" s="5">
        <v>1</v>
      </c>
    </row>
    <row r="44" spans="1:2" x14ac:dyDescent="0.35">
      <c r="A44" s="11" t="s">
        <v>9917</v>
      </c>
      <c r="B44" s="5">
        <v>1</v>
      </c>
    </row>
    <row r="45" spans="1:2" x14ac:dyDescent="0.35">
      <c r="A45" s="11" t="s">
        <v>4161</v>
      </c>
      <c r="B45" s="5">
        <v>4</v>
      </c>
    </row>
    <row r="46" spans="1:2" x14ac:dyDescent="0.35">
      <c r="A46" s="11" t="s">
        <v>5961</v>
      </c>
      <c r="B46" s="5">
        <v>5</v>
      </c>
    </row>
    <row r="47" spans="1:2" x14ac:dyDescent="0.35">
      <c r="A47" s="11" t="s">
        <v>2679</v>
      </c>
      <c r="B47" s="5">
        <v>8</v>
      </c>
    </row>
    <row r="48" spans="1:2" x14ac:dyDescent="0.35">
      <c r="A48" s="11" t="s">
        <v>9219</v>
      </c>
      <c r="B48" s="5">
        <v>3</v>
      </c>
    </row>
    <row r="49" spans="1:2" x14ac:dyDescent="0.35">
      <c r="A49" s="11" t="s">
        <v>6739</v>
      </c>
      <c r="B49" s="5">
        <v>2</v>
      </c>
    </row>
    <row r="50" spans="1:2" x14ac:dyDescent="0.35">
      <c r="A50" s="11" t="s">
        <v>12608</v>
      </c>
      <c r="B50" s="5">
        <v>1</v>
      </c>
    </row>
    <row r="51" spans="1:2" x14ac:dyDescent="0.35">
      <c r="A51" s="11" t="s">
        <v>1999</v>
      </c>
      <c r="B51" s="5">
        <v>1</v>
      </c>
    </row>
    <row r="52" spans="1:2" x14ac:dyDescent="0.35">
      <c r="A52" s="11" t="s">
        <v>5650</v>
      </c>
      <c r="B52" s="5">
        <v>1</v>
      </c>
    </row>
    <row r="53" spans="1:2" x14ac:dyDescent="0.35">
      <c r="A53" s="11" t="s">
        <v>11648</v>
      </c>
      <c r="B53" s="5">
        <v>1</v>
      </c>
    </row>
    <row r="54" spans="1:2" x14ac:dyDescent="0.35">
      <c r="A54" s="11" t="s">
        <v>6466</v>
      </c>
      <c r="B54" s="5">
        <v>1</v>
      </c>
    </row>
    <row r="55" spans="1:2" x14ac:dyDescent="0.35">
      <c r="A55" s="11" t="s">
        <v>2664</v>
      </c>
      <c r="B55" s="5">
        <v>3</v>
      </c>
    </row>
    <row r="56" spans="1:2" x14ac:dyDescent="0.35">
      <c r="A56" s="11" t="s">
        <v>4288</v>
      </c>
      <c r="B56" s="5">
        <v>1</v>
      </c>
    </row>
    <row r="57" spans="1:2" x14ac:dyDescent="0.35">
      <c r="A57" s="11" t="s">
        <v>3529</v>
      </c>
      <c r="B57" s="5">
        <v>1</v>
      </c>
    </row>
    <row r="58" spans="1:2" x14ac:dyDescent="0.35">
      <c r="A58" s="11" t="s">
        <v>6670</v>
      </c>
      <c r="B58" s="5">
        <v>4</v>
      </c>
    </row>
    <row r="59" spans="1:2" x14ac:dyDescent="0.35">
      <c r="A59" s="11" t="s">
        <v>10255</v>
      </c>
      <c r="B59" s="5">
        <v>1</v>
      </c>
    </row>
    <row r="60" spans="1:2" x14ac:dyDescent="0.35">
      <c r="A60" s="11" t="s">
        <v>4213</v>
      </c>
      <c r="B60" s="5">
        <v>1</v>
      </c>
    </row>
    <row r="61" spans="1:2" x14ac:dyDescent="0.35">
      <c r="A61" s="11" t="s">
        <v>12625</v>
      </c>
      <c r="B61" s="5">
        <v>1</v>
      </c>
    </row>
    <row r="62" spans="1:2" x14ac:dyDescent="0.35">
      <c r="A62" s="11" t="s">
        <v>11283</v>
      </c>
      <c r="B62" s="5">
        <v>1</v>
      </c>
    </row>
    <row r="63" spans="1:2" x14ac:dyDescent="0.35">
      <c r="A63" s="11" t="s">
        <v>10265</v>
      </c>
      <c r="B63" s="5">
        <v>1</v>
      </c>
    </row>
    <row r="64" spans="1:2" x14ac:dyDescent="0.35">
      <c r="A64" s="11" t="s">
        <v>11961</v>
      </c>
      <c r="B64" s="5">
        <v>1</v>
      </c>
    </row>
    <row r="65" spans="1:2" x14ac:dyDescent="0.35">
      <c r="A65" s="11" t="s">
        <v>5630</v>
      </c>
      <c r="B65" s="5">
        <v>8</v>
      </c>
    </row>
    <row r="66" spans="1:2" x14ac:dyDescent="0.35">
      <c r="A66" s="11" t="s">
        <v>3968</v>
      </c>
      <c r="B66" s="5">
        <v>3</v>
      </c>
    </row>
    <row r="67" spans="1:2" x14ac:dyDescent="0.35">
      <c r="A67" s="11" t="s">
        <v>9983</v>
      </c>
      <c r="B67" s="5">
        <v>3</v>
      </c>
    </row>
    <row r="68" spans="1:2" x14ac:dyDescent="0.35">
      <c r="A68" s="11" t="s">
        <v>6081</v>
      </c>
      <c r="B68" s="5">
        <v>20</v>
      </c>
    </row>
    <row r="69" spans="1:2" x14ac:dyDescent="0.35">
      <c r="A69" s="11" t="s">
        <v>2131</v>
      </c>
      <c r="B69" s="5">
        <v>2</v>
      </c>
    </row>
    <row r="70" spans="1:2" x14ac:dyDescent="0.35">
      <c r="A70" s="11" t="s">
        <v>6930</v>
      </c>
      <c r="B70" s="5">
        <v>2</v>
      </c>
    </row>
    <row r="71" spans="1:2" x14ac:dyDescent="0.35">
      <c r="A71" s="11" t="s">
        <v>6464</v>
      </c>
      <c r="B71" s="5">
        <v>1</v>
      </c>
    </row>
    <row r="72" spans="1:2" x14ac:dyDescent="0.35">
      <c r="A72" s="11" t="s">
        <v>5247</v>
      </c>
      <c r="B72" s="5">
        <v>1</v>
      </c>
    </row>
    <row r="73" spans="1:2" x14ac:dyDescent="0.35">
      <c r="A73" s="11" t="s">
        <v>5800</v>
      </c>
      <c r="B73" s="5">
        <v>1</v>
      </c>
    </row>
    <row r="74" spans="1:2" x14ac:dyDescent="0.35">
      <c r="A74" s="11" t="s">
        <v>12814</v>
      </c>
      <c r="B74" s="5">
        <v>1</v>
      </c>
    </row>
    <row r="75" spans="1:2" x14ac:dyDescent="0.35">
      <c r="A75" s="11" t="s">
        <v>13009</v>
      </c>
      <c r="B75" s="5">
        <v>2</v>
      </c>
    </row>
    <row r="76" spans="1:2" x14ac:dyDescent="0.35">
      <c r="A76" s="11" t="s">
        <v>8743</v>
      </c>
      <c r="B76" s="5">
        <v>4</v>
      </c>
    </row>
    <row r="77" spans="1:2" x14ac:dyDescent="0.35">
      <c r="A77" s="11" t="s">
        <v>5511</v>
      </c>
      <c r="B77" s="5">
        <v>2</v>
      </c>
    </row>
    <row r="78" spans="1:2" x14ac:dyDescent="0.35">
      <c r="A78" s="11" t="s">
        <v>3952</v>
      </c>
      <c r="B78" s="5">
        <v>2</v>
      </c>
    </row>
    <row r="79" spans="1:2" x14ac:dyDescent="0.35">
      <c r="A79" s="11" t="s">
        <v>11504</v>
      </c>
      <c r="B79" s="5">
        <v>1</v>
      </c>
    </row>
    <row r="80" spans="1:2" x14ac:dyDescent="0.35">
      <c r="A80" s="11" t="s">
        <v>8329</v>
      </c>
      <c r="B80" s="5">
        <v>1</v>
      </c>
    </row>
    <row r="81" spans="1:2" x14ac:dyDescent="0.35">
      <c r="A81" s="11" t="s">
        <v>6551</v>
      </c>
      <c r="B81" s="5">
        <v>1</v>
      </c>
    </row>
    <row r="82" spans="1:2" x14ac:dyDescent="0.35">
      <c r="A82" s="11" t="s">
        <v>9739</v>
      </c>
      <c r="B82" s="5">
        <v>6</v>
      </c>
    </row>
    <row r="83" spans="1:2" x14ac:dyDescent="0.35">
      <c r="A83" s="11" t="s">
        <v>12428</v>
      </c>
      <c r="B83" s="5">
        <v>1</v>
      </c>
    </row>
    <row r="84" spans="1:2" x14ac:dyDescent="0.35">
      <c r="A84" s="11" t="s">
        <v>10256</v>
      </c>
      <c r="B84" s="5">
        <v>1</v>
      </c>
    </row>
    <row r="85" spans="1:2" x14ac:dyDescent="0.35">
      <c r="A85" s="11" t="s">
        <v>12355</v>
      </c>
      <c r="B85" s="5">
        <v>5</v>
      </c>
    </row>
    <row r="86" spans="1:2" x14ac:dyDescent="0.35">
      <c r="A86" s="11" t="s">
        <v>4585</v>
      </c>
      <c r="B86" s="5">
        <v>5</v>
      </c>
    </row>
    <row r="87" spans="1:2" x14ac:dyDescent="0.35">
      <c r="A87" s="11" t="s">
        <v>8969</v>
      </c>
      <c r="B87" s="5">
        <v>1</v>
      </c>
    </row>
    <row r="88" spans="1:2" x14ac:dyDescent="0.35">
      <c r="A88" s="11" t="s">
        <v>9836</v>
      </c>
      <c r="B88" s="5">
        <v>1</v>
      </c>
    </row>
    <row r="89" spans="1:2" x14ac:dyDescent="0.35">
      <c r="A89" s="11" t="s">
        <v>11825</v>
      </c>
      <c r="B89" s="5">
        <v>2</v>
      </c>
    </row>
    <row r="90" spans="1:2" x14ac:dyDescent="0.35">
      <c r="A90" s="11" t="s">
        <v>9217</v>
      </c>
      <c r="B90" s="5">
        <v>3</v>
      </c>
    </row>
    <row r="91" spans="1:2" x14ac:dyDescent="0.35">
      <c r="A91" s="11" t="s">
        <v>12457</v>
      </c>
      <c r="B91" s="5">
        <v>5</v>
      </c>
    </row>
    <row r="92" spans="1:2" x14ac:dyDescent="0.35">
      <c r="A92" s="11" t="s">
        <v>8120</v>
      </c>
      <c r="B92" s="5">
        <v>2</v>
      </c>
    </row>
    <row r="93" spans="1:2" x14ac:dyDescent="0.35">
      <c r="A93" s="11" t="s">
        <v>1439</v>
      </c>
      <c r="B93" s="5">
        <v>1</v>
      </c>
    </row>
    <row r="94" spans="1:2" x14ac:dyDescent="0.35">
      <c r="A94" s="11" t="s">
        <v>11134</v>
      </c>
      <c r="B94" s="5">
        <v>1</v>
      </c>
    </row>
    <row r="95" spans="1:2" x14ac:dyDescent="0.35">
      <c r="A95" s="11" t="s">
        <v>4094</v>
      </c>
      <c r="B95" s="5">
        <v>2</v>
      </c>
    </row>
    <row r="96" spans="1:2" x14ac:dyDescent="0.35">
      <c r="A96" s="11" t="s">
        <v>9840</v>
      </c>
      <c r="B96" s="5">
        <v>1</v>
      </c>
    </row>
    <row r="97" spans="1:2" x14ac:dyDescent="0.35">
      <c r="A97" s="11" t="s">
        <v>11874</v>
      </c>
      <c r="B97" s="5">
        <v>1</v>
      </c>
    </row>
    <row r="98" spans="1:2" x14ac:dyDescent="0.35">
      <c r="A98" s="11" t="s">
        <v>12361</v>
      </c>
      <c r="B98" s="5">
        <v>4</v>
      </c>
    </row>
    <row r="99" spans="1:2" x14ac:dyDescent="0.35">
      <c r="A99" s="11" t="s">
        <v>10147</v>
      </c>
      <c r="B99" s="5">
        <v>2</v>
      </c>
    </row>
    <row r="100" spans="1:2" x14ac:dyDescent="0.35">
      <c r="A100" s="11" t="s">
        <v>5356</v>
      </c>
      <c r="B100" s="5">
        <v>4</v>
      </c>
    </row>
    <row r="101" spans="1:2" x14ac:dyDescent="0.35">
      <c r="A101" s="11" t="s">
        <v>4947</v>
      </c>
      <c r="B101" s="5">
        <v>11</v>
      </c>
    </row>
    <row r="102" spans="1:2" x14ac:dyDescent="0.35">
      <c r="A102" s="11" t="s">
        <v>9329</v>
      </c>
      <c r="B102" s="5">
        <v>4</v>
      </c>
    </row>
    <row r="103" spans="1:2" x14ac:dyDescent="0.35">
      <c r="A103" s="11" t="s">
        <v>12765</v>
      </c>
      <c r="B103" s="5">
        <v>2</v>
      </c>
    </row>
    <row r="104" spans="1:2" x14ac:dyDescent="0.35">
      <c r="A104" s="11" t="s">
        <v>11496</v>
      </c>
      <c r="B104" s="5">
        <v>2</v>
      </c>
    </row>
    <row r="105" spans="1:2" x14ac:dyDescent="0.35">
      <c r="A105" s="11" t="s">
        <v>4074</v>
      </c>
      <c r="B105" s="5">
        <v>1</v>
      </c>
    </row>
    <row r="106" spans="1:2" x14ac:dyDescent="0.35">
      <c r="A106" s="11" t="s">
        <v>10394</v>
      </c>
      <c r="B106" s="5">
        <v>1</v>
      </c>
    </row>
    <row r="107" spans="1:2" x14ac:dyDescent="0.35">
      <c r="A107" s="11" t="s">
        <v>1689</v>
      </c>
      <c r="B107" s="5">
        <v>1</v>
      </c>
    </row>
    <row r="108" spans="1:2" x14ac:dyDescent="0.35">
      <c r="A108" s="11" t="s">
        <v>13065</v>
      </c>
      <c r="B108" s="5">
        <v>1</v>
      </c>
    </row>
    <row r="109" spans="1:2" x14ac:dyDescent="0.35">
      <c r="A109" s="11" t="s">
        <v>11957</v>
      </c>
      <c r="B109" s="5">
        <v>1</v>
      </c>
    </row>
    <row r="110" spans="1:2" x14ac:dyDescent="0.35">
      <c r="A110" s="11" t="s">
        <v>6811</v>
      </c>
      <c r="B110" s="5">
        <v>3</v>
      </c>
    </row>
    <row r="111" spans="1:2" x14ac:dyDescent="0.35">
      <c r="A111" s="11" t="s">
        <v>3262</v>
      </c>
      <c r="B111" s="5">
        <v>3</v>
      </c>
    </row>
    <row r="112" spans="1:2" x14ac:dyDescent="0.35">
      <c r="A112" s="11" t="s">
        <v>12953</v>
      </c>
      <c r="B112" s="5">
        <v>1</v>
      </c>
    </row>
    <row r="113" spans="1:2" x14ac:dyDescent="0.35">
      <c r="A113" s="11" t="s">
        <v>10259</v>
      </c>
      <c r="B113" s="5">
        <v>1</v>
      </c>
    </row>
    <row r="114" spans="1:2" x14ac:dyDescent="0.35">
      <c r="A114" s="11" t="s">
        <v>8127</v>
      </c>
      <c r="B114" s="5">
        <v>1</v>
      </c>
    </row>
    <row r="115" spans="1:2" x14ac:dyDescent="0.35">
      <c r="A115" s="11" t="s">
        <v>8635</v>
      </c>
      <c r="B115" s="5">
        <v>7</v>
      </c>
    </row>
    <row r="116" spans="1:2" x14ac:dyDescent="0.35">
      <c r="A116" s="11" t="s">
        <v>9013</v>
      </c>
      <c r="B116" s="5">
        <v>4</v>
      </c>
    </row>
    <row r="117" spans="1:2" x14ac:dyDescent="0.35">
      <c r="A117" s="11" t="s">
        <v>5023</v>
      </c>
      <c r="B117" s="5">
        <v>3</v>
      </c>
    </row>
    <row r="118" spans="1:2" x14ac:dyDescent="0.35">
      <c r="A118" s="11" t="s">
        <v>3800</v>
      </c>
      <c r="B118" s="5">
        <v>8</v>
      </c>
    </row>
    <row r="119" spans="1:2" x14ac:dyDescent="0.35">
      <c r="A119" s="11" t="s">
        <v>13016</v>
      </c>
      <c r="B119" s="5">
        <v>1</v>
      </c>
    </row>
    <row r="120" spans="1:2" x14ac:dyDescent="0.35">
      <c r="A120" s="11" t="s">
        <v>8279</v>
      </c>
      <c r="B120" s="5">
        <v>2</v>
      </c>
    </row>
    <row r="121" spans="1:2" x14ac:dyDescent="0.35">
      <c r="A121" s="11" t="s">
        <v>2567</v>
      </c>
      <c r="B121" s="5">
        <v>1</v>
      </c>
    </row>
    <row r="122" spans="1:2" x14ac:dyDescent="0.35">
      <c r="A122" s="11" t="s">
        <v>11819</v>
      </c>
      <c r="B122" s="5">
        <v>9</v>
      </c>
    </row>
    <row r="123" spans="1:2" x14ac:dyDescent="0.35">
      <c r="A123" s="11" t="s">
        <v>12553</v>
      </c>
      <c r="B123" s="5">
        <v>1</v>
      </c>
    </row>
    <row r="124" spans="1:2" x14ac:dyDescent="0.35">
      <c r="A124" s="11" t="s">
        <v>9835</v>
      </c>
      <c r="B124" s="5">
        <v>1</v>
      </c>
    </row>
    <row r="125" spans="1:2" x14ac:dyDescent="0.35">
      <c r="A125" s="11" t="s">
        <v>9834</v>
      </c>
      <c r="B125" s="5">
        <v>1</v>
      </c>
    </row>
    <row r="126" spans="1:2" x14ac:dyDescent="0.35">
      <c r="A126" s="11" t="s">
        <v>8299</v>
      </c>
      <c r="B126" s="5">
        <v>1</v>
      </c>
    </row>
    <row r="127" spans="1:2" x14ac:dyDescent="0.35">
      <c r="A127" s="11" t="s">
        <v>7864</v>
      </c>
      <c r="B127" s="5">
        <v>1</v>
      </c>
    </row>
    <row r="128" spans="1:2" x14ac:dyDescent="0.35">
      <c r="A128" s="11" t="s">
        <v>6578</v>
      </c>
      <c r="B128" s="5">
        <v>1</v>
      </c>
    </row>
    <row r="129" spans="1:2" x14ac:dyDescent="0.35">
      <c r="A129" s="11" t="s">
        <v>7081</v>
      </c>
      <c r="B129" s="5">
        <v>4</v>
      </c>
    </row>
    <row r="130" spans="1:2" x14ac:dyDescent="0.35">
      <c r="A130" s="11" t="s">
        <v>9844</v>
      </c>
      <c r="B130" s="5">
        <v>1</v>
      </c>
    </row>
    <row r="131" spans="1:2" x14ac:dyDescent="0.35">
      <c r="A131" s="11" t="s">
        <v>4741</v>
      </c>
      <c r="B131" s="5">
        <v>12</v>
      </c>
    </row>
    <row r="132" spans="1:2" x14ac:dyDescent="0.35">
      <c r="A132" s="11" t="s">
        <v>12130</v>
      </c>
      <c r="B132" s="5">
        <v>1</v>
      </c>
    </row>
    <row r="133" spans="1:2" x14ac:dyDescent="0.35">
      <c r="A133" s="11" t="s">
        <v>11685</v>
      </c>
      <c r="B133" s="5">
        <v>1</v>
      </c>
    </row>
    <row r="134" spans="1:2" x14ac:dyDescent="0.35">
      <c r="A134" s="11" t="s">
        <v>6324</v>
      </c>
      <c r="B134" s="5">
        <v>13</v>
      </c>
    </row>
    <row r="135" spans="1:2" x14ac:dyDescent="0.35">
      <c r="A135" s="11" t="s">
        <v>9735</v>
      </c>
      <c r="B135" s="5">
        <v>1</v>
      </c>
    </row>
    <row r="136" spans="1:2" x14ac:dyDescent="0.35">
      <c r="A136" s="11" t="s">
        <v>11956</v>
      </c>
      <c r="B136" s="5">
        <v>1</v>
      </c>
    </row>
    <row r="137" spans="1:2" x14ac:dyDescent="0.35">
      <c r="A137" s="11" t="s">
        <v>7548</v>
      </c>
      <c r="B137" s="5">
        <v>2</v>
      </c>
    </row>
    <row r="138" spans="1:2" x14ac:dyDescent="0.35">
      <c r="A138" s="11" t="s">
        <v>7641</v>
      </c>
      <c r="B138" s="5">
        <v>1</v>
      </c>
    </row>
    <row r="139" spans="1:2" x14ac:dyDescent="0.35">
      <c r="A139" s="11" t="s">
        <v>6308</v>
      </c>
      <c r="B139" s="5">
        <v>1</v>
      </c>
    </row>
    <row r="140" spans="1:2" x14ac:dyDescent="0.35">
      <c r="A140" s="11" t="s">
        <v>6450</v>
      </c>
      <c r="B140" s="5">
        <v>1</v>
      </c>
    </row>
    <row r="141" spans="1:2" x14ac:dyDescent="0.35">
      <c r="A141" s="11" t="s">
        <v>4051</v>
      </c>
      <c r="B141" s="5">
        <v>5</v>
      </c>
    </row>
    <row r="142" spans="1:2" x14ac:dyDescent="0.35">
      <c r="A142" s="11" t="s">
        <v>8615</v>
      </c>
      <c r="B142" s="5">
        <v>2</v>
      </c>
    </row>
    <row r="143" spans="1:2" x14ac:dyDescent="0.35">
      <c r="A143" s="11" t="s">
        <v>6132</v>
      </c>
      <c r="B143" s="5">
        <v>1</v>
      </c>
    </row>
    <row r="144" spans="1:2" x14ac:dyDescent="0.35">
      <c r="A144" s="11" t="s">
        <v>4259</v>
      </c>
      <c r="B144" s="5">
        <v>2</v>
      </c>
    </row>
    <row r="145" spans="1:2" x14ac:dyDescent="0.35">
      <c r="A145" s="11" t="s">
        <v>8625</v>
      </c>
      <c r="B145" s="5">
        <v>3</v>
      </c>
    </row>
    <row r="146" spans="1:2" x14ac:dyDescent="0.35">
      <c r="A146" s="11" t="s">
        <v>8343</v>
      </c>
      <c r="B146" s="5">
        <v>1</v>
      </c>
    </row>
    <row r="147" spans="1:2" x14ac:dyDescent="0.35">
      <c r="A147" s="11" t="s">
        <v>8383</v>
      </c>
      <c r="B147" s="5">
        <v>4</v>
      </c>
    </row>
    <row r="148" spans="1:2" x14ac:dyDescent="0.35">
      <c r="A148" s="11" t="s">
        <v>3315</v>
      </c>
      <c r="B148" s="5">
        <v>1</v>
      </c>
    </row>
    <row r="149" spans="1:2" x14ac:dyDescent="0.35">
      <c r="A149" s="11" t="s">
        <v>8345</v>
      </c>
      <c r="B149" s="5">
        <v>1</v>
      </c>
    </row>
    <row r="150" spans="1:2" x14ac:dyDescent="0.35">
      <c r="A150" s="11" t="s">
        <v>12118</v>
      </c>
      <c r="B150" s="5">
        <v>2</v>
      </c>
    </row>
    <row r="151" spans="1:2" x14ac:dyDescent="0.35">
      <c r="A151" s="11" t="s">
        <v>5578</v>
      </c>
      <c r="B151" s="5">
        <v>1</v>
      </c>
    </row>
    <row r="152" spans="1:2" x14ac:dyDescent="0.35">
      <c r="A152" s="11" t="s">
        <v>12847</v>
      </c>
      <c r="B152" s="5">
        <v>3</v>
      </c>
    </row>
    <row r="153" spans="1:2" x14ac:dyDescent="0.35">
      <c r="A153" s="11" t="s">
        <v>9838</v>
      </c>
      <c r="B153" s="5">
        <v>1</v>
      </c>
    </row>
    <row r="154" spans="1:2" x14ac:dyDescent="0.35">
      <c r="A154" s="11" t="s">
        <v>11538</v>
      </c>
      <c r="B154" s="5">
        <v>1</v>
      </c>
    </row>
    <row r="155" spans="1:2" x14ac:dyDescent="0.35">
      <c r="A155" s="11" t="s">
        <v>9762</v>
      </c>
      <c r="B155" s="5">
        <v>3</v>
      </c>
    </row>
    <row r="156" spans="1:2" x14ac:dyDescent="0.35">
      <c r="A156" s="11" t="s">
        <v>1832</v>
      </c>
      <c r="B156" s="5">
        <v>2</v>
      </c>
    </row>
    <row r="157" spans="1:2" x14ac:dyDescent="0.35">
      <c r="A157" s="11" t="s">
        <v>5484</v>
      </c>
      <c r="B157" s="5">
        <v>1</v>
      </c>
    </row>
    <row r="158" spans="1:2" x14ac:dyDescent="0.35">
      <c r="A158" s="11" t="s">
        <v>9839</v>
      </c>
      <c r="B158" s="5">
        <v>1</v>
      </c>
    </row>
    <row r="159" spans="1:2" x14ac:dyDescent="0.35">
      <c r="A159" s="11" t="s">
        <v>9842</v>
      </c>
      <c r="B159" s="5">
        <v>1</v>
      </c>
    </row>
    <row r="160" spans="1:2" x14ac:dyDescent="0.35">
      <c r="A160" s="11" t="s">
        <v>5176</v>
      </c>
      <c r="B160" s="5">
        <v>10</v>
      </c>
    </row>
    <row r="161" spans="1:2" x14ac:dyDescent="0.35">
      <c r="A161" s="11" t="s">
        <v>3588</v>
      </c>
      <c r="B161" s="5">
        <v>2</v>
      </c>
    </row>
    <row r="162" spans="1:2" x14ac:dyDescent="0.35">
      <c r="A162" s="11" t="s">
        <v>3494</v>
      </c>
      <c r="B162" s="5">
        <v>3</v>
      </c>
    </row>
    <row r="163" spans="1:2" x14ac:dyDescent="0.35">
      <c r="A163" s="11" t="s">
        <v>8305</v>
      </c>
      <c r="B163" s="5">
        <v>1</v>
      </c>
    </row>
    <row r="164" spans="1:2" x14ac:dyDescent="0.35">
      <c r="A164" s="11" t="s">
        <v>5132</v>
      </c>
      <c r="B164" s="5">
        <v>3</v>
      </c>
    </row>
    <row r="165" spans="1:2" x14ac:dyDescent="0.35">
      <c r="A165" s="11" t="s">
        <v>8252</v>
      </c>
      <c r="B165" s="5">
        <v>3</v>
      </c>
    </row>
    <row r="166" spans="1:2" x14ac:dyDescent="0.35">
      <c r="A166" s="11" t="s">
        <v>10260</v>
      </c>
      <c r="B166" s="5">
        <v>1</v>
      </c>
    </row>
    <row r="167" spans="1:2" x14ac:dyDescent="0.35">
      <c r="A167" s="11" t="s">
        <v>1221</v>
      </c>
      <c r="B167" s="5">
        <v>2</v>
      </c>
    </row>
    <row r="168" spans="1:2" x14ac:dyDescent="0.35">
      <c r="A168" s="11" t="s">
        <v>12886</v>
      </c>
      <c r="B168" s="5">
        <v>1</v>
      </c>
    </row>
    <row r="169" spans="1:2" x14ac:dyDescent="0.35">
      <c r="A169" s="11" t="s">
        <v>8538</v>
      </c>
      <c r="B169" s="5">
        <v>1</v>
      </c>
    </row>
    <row r="170" spans="1:2" x14ac:dyDescent="0.35">
      <c r="A170" s="11" t="s">
        <v>5958</v>
      </c>
      <c r="B170" s="5">
        <v>2</v>
      </c>
    </row>
    <row r="171" spans="1:2" x14ac:dyDescent="0.35">
      <c r="A171" s="11" t="s">
        <v>12155</v>
      </c>
      <c r="B171" s="5">
        <v>3</v>
      </c>
    </row>
    <row r="172" spans="1:2" x14ac:dyDescent="0.35">
      <c r="A172" s="11" t="s">
        <v>9841</v>
      </c>
      <c r="B172" s="5">
        <v>1</v>
      </c>
    </row>
    <row r="173" spans="1:2" x14ac:dyDescent="0.35">
      <c r="A173" s="11" t="s">
        <v>7630</v>
      </c>
      <c r="B173" s="5">
        <v>2</v>
      </c>
    </row>
    <row r="174" spans="1:2" x14ac:dyDescent="0.35">
      <c r="A174" s="12" t="s">
        <v>35</v>
      </c>
      <c r="B174" s="13">
        <v>1470</v>
      </c>
    </row>
    <row r="175" spans="1:2" x14ac:dyDescent="0.35">
      <c r="A175" s="11" t="s">
        <v>8713</v>
      </c>
      <c r="B175" s="5">
        <v>2</v>
      </c>
    </row>
    <row r="176" spans="1:2" x14ac:dyDescent="0.35">
      <c r="A176" s="11" t="s">
        <v>7347</v>
      </c>
      <c r="B176" s="5">
        <v>2</v>
      </c>
    </row>
    <row r="177" spans="1:2" x14ac:dyDescent="0.35">
      <c r="A177" s="11" t="s">
        <v>1399</v>
      </c>
      <c r="B177" s="5">
        <v>6</v>
      </c>
    </row>
    <row r="178" spans="1:2" x14ac:dyDescent="0.35">
      <c r="A178" s="11" t="s">
        <v>9864</v>
      </c>
      <c r="B178" s="5">
        <v>2</v>
      </c>
    </row>
    <row r="179" spans="1:2" x14ac:dyDescent="0.35">
      <c r="A179" s="11" t="s">
        <v>9155</v>
      </c>
      <c r="B179" s="5">
        <v>3</v>
      </c>
    </row>
    <row r="180" spans="1:2" x14ac:dyDescent="0.35">
      <c r="A180" s="11" t="s">
        <v>7819</v>
      </c>
      <c r="B180" s="5">
        <v>1</v>
      </c>
    </row>
    <row r="181" spans="1:2" x14ac:dyDescent="0.35">
      <c r="A181" s="11" t="s">
        <v>1003</v>
      </c>
      <c r="B181" s="5">
        <v>11</v>
      </c>
    </row>
    <row r="182" spans="1:2" x14ac:dyDescent="0.35">
      <c r="A182" s="11" t="s">
        <v>4547</v>
      </c>
      <c r="B182" s="5">
        <v>2</v>
      </c>
    </row>
    <row r="183" spans="1:2" x14ac:dyDescent="0.35">
      <c r="A183" s="11" t="s">
        <v>8505</v>
      </c>
      <c r="B183" s="5">
        <v>1</v>
      </c>
    </row>
    <row r="184" spans="1:2" x14ac:dyDescent="0.35">
      <c r="A184" s="11" t="s">
        <v>1976</v>
      </c>
      <c r="B184" s="5">
        <v>2</v>
      </c>
    </row>
    <row r="185" spans="1:2" x14ac:dyDescent="0.35">
      <c r="A185" s="11" t="s">
        <v>7498</v>
      </c>
      <c r="B185" s="5">
        <v>19</v>
      </c>
    </row>
    <row r="186" spans="1:2" x14ac:dyDescent="0.35">
      <c r="A186" s="11" t="s">
        <v>8197</v>
      </c>
      <c r="B186" s="5">
        <v>1</v>
      </c>
    </row>
    <row r="187" spans="1:2" x14ac:dyDescent="0.35">
      <c r="A187" s="11" t="s">
        <v>12560</v>
      </c>
      <c r="B187" s="5">
        <v>1</v>
      </c>
    </row>
    <row r="188" spans="1:2" x14ac:dyDescent="0.35">
      <c r="A188" s="11" t="s">
        <v>7750</v>
      </c>
      <c r="B188" s="5">
        <v>3</v>
      </c>
    </row>
    <row r="189" spans="1:2" x14ac:dyDescent="0.35">
      <c r="A189" s="11" t="s">
        <v>4678</v>
      </c>
      <c r="B189" s="5">
        <v>2</v>
      </c>
    </row>
    <row r="190" spans="1:2" x14ac:dyDescent="0.35">
      <c r="A190" s="11" t="s">
        <v>8663</v>
      </c>
      <c r="B190" s="5">
        <v>1</v>
      </c>
    </row>
    <row r="191" spans="1:2" x14ac:dyDescent="0.35">
      <c r="A191" s="11" t="s">
        <v>3213</v>
      </c>
      <c r="B191" s="5">
        <v>18</v>
      </c>
    </row>
    <row r="192" spans="1:2" x14ac:dyDescent="0.35">
      <c r="A192" s="11" t="s">
        <v>3623</v>
      </c>
      <c r="B192" s="5">
        <v>1</v>
      </c>
    </row>
    <row r="193" spans="1:2" x14ac:dyDescent="0.35">
      <c r="A193" s="11" t="s">
        <v>4720</v>
      </c>
      <c r="B193" s="5">
        <v>1</v>
      </c>
    </row>
    <row r="194" spans="1:2" x14ac:dyDescent="0.35">
      <c r="A194" s="11" t="s">
        <v>4563</v>
      </c>
      <c r="B194" s="5">
        <v>5</v>
      </c>
    </row>
    <row r="195" spans="1:2" x14ac:dyDescent="0.35">
      <c r="A195" s="11" t="s">
        <v>1090</v>
      </c>
      <c r="B195" s="5">
        <v>1</v>
      </c>
    </row>
    <row r="196" spans="1:2" x14ac:dyDescent="0.35">
      <c r="A196" s="11" t="s">
        <v>3852</v>
      </c>
      <c r="B196" s="5">
        <v>1</v>
      </c>
    </row>
    <row r="197" spans="1:2" x14ac:dyDescent="0.35">
      <c r="A197" s="11" t="s">
        <v>2271</v>
      </c>
      <c r="B197" s="5">
        <v>10</v>
      </c>
    </row>
    <row r="198" spans="1:2" x14ac:dyDescent="0.35">
      <c r="A198" s="11" t="s">
        <v>9667</v>
      </c>
      <c r="B198" s="5">
        <v>1</v>
      </c>
    </row>
    <row r="199" spans="1:2" x14ac:dyDescent="0.35">
      <c r="A199" s="11" t="s">
        <v>3008</v>
      </c>
      <c r="B199" s="5">
        <v>6</v>
      </c>
    </row>
    <row r="200" spans="1:2" x14ac:dyDescent="0.35">
      <c r="A200" s="11" t="s">
        <v>633</v>
      </c>
      <c r="B200" s="5">
        <v>4</v>
      </c>
    </row>
    <row r="201" spans="1:2" x14ac:dyDescent="0.35">
      <c r="A201" s="11" t="s">
        <v>3906</v>
      </c>
      <c r="B201" s="5">
        <v>16</v>
      </c>
    </row>
    <row r="202" spans="1:2" x14ac:dyDescent="0.35">
      <c r="A202" s="11" t="s">
        <v>12517</v>
      </c>
      <c r="B202" s="5">
        <v>1</v>
      </c>
    </row>
    <row r="203" spans="1:2" x14ac:dyDescent="0.35">
      <c r="A203" s="11" t="s">
        <v>7042</v>
      </c>
      <c r="B203" s="5">
        <v>3</v>
      </c>
    </row>
    <row r="204" spans="1:2" x14ac:dyDescent="0.35">
      <c r="A204" s="11" t="s">
        <v>4200</v>
      </c>
      <c r="B204" s="5">
        <v>1</v>
      </c>
    </row>
    <row r="205" spans="1:2" x14ac:dyDescent="0.35">
      <c r="A205" s="11" t="s">
        <v>7754</v>
      </c>
      <c r="B205" s="5">
        <v>2</v>
      </c>
    </row>
    <row r="206" spans="1:2" x14ac:dyDescent="0.35">
      <c r="A206" s="11" t="s">
        <v>6303</v>
      </c>
      <c r="B206" s="5">
        <v>1</v>
      </c>
    </row>
    <row r="207" spans="1:2" x14ac:dyDescent="0.35">
      <c r="A207" s="11" t="s">
        <v>8457</v>
      </c>
      <c r="B207" s="5">
        <v>1</v>
      </c>
    </row>
    <row r="208" spans="1:2" x14ac:dyDescent="0.35">
      <c r="A208" s="11" t="s">
        <v>4611</v>
      </c>
      <c r="B208" s="5">
        <v>1</v>
      </c>
    </row>
    <row r="209" spans="1:2" x14ac:dyDescent="0.35">
      <c r="A209" s="11" t="s">
        <v>8241</v>
      </c>
      <c r="B209" s="5">
        <v>12</v>
      </c>
    </row>
    <row r="210" spans="1:2" x14ac:dyDescent="0.35">
      <c r="A210" s="11" t="s">
        <v>3098</v>
      </c>
      <c r="B210" s="5">
        <v>1</v>
      </c>
    </row>
    <row r="211" spans="1:2" x14ac:dyDescent="0.35">
      <c r="A211" s="11" t="s">
        <v>6000</v>
      </c>
      <c r="B211" s="5">
        <v>12</v>
      </c>
    </row>
    <row r="212" spans="1:2" x14ac:dyDescent="0.35">
      <c r="A212" s="11" t="s">
        <v>11520</v>
      </c>
      <c r="B212" s="5">
        <v>10</v>
      </c>
    </row>
    <row r="213" spans="1:2" x14ac:dyDescent="0.35">
      <c r="A213" s="11" t="s">
        <v>13078</v>
      </c>
      <c r="B213" s="5">
        <v>1</v>
      </c>
    </row>
    <row r="214" spans="1:2" x14ac:dyDescent="0.35">
      <c r="A214" s="11" t="s">
        <v>11843</v>
      </c>
      <c r="B214" s="5">
        <v>3</v>
      </c>
    </row>
    <row r="215" spans="1:2" x14ac:dyDescent="0.35">
      <c r="A215" s="11" t="s">
        <v>3201</v>
      </c>
      <c r="B215" s="5">
        <v>4</v>
      </c>
    </row>
    <row r="216" spans="1:2" x14ac:dyDescent="0.35">
      <c r="A216" s="11" t="s">
        <v>9022</v>
      </c>
      <c r="B216" s="5">
        <v>1</v>
      </c>
    </row>
    <row r="217" spans="1:2" x14ac:dyDescent="0.35">
      <c r="A217" s="11" t="s">
        <v>3412</v>
      </c>
      <c r="B217" s="5">
        <v>1</v>
      </c>
    </row>
    <row r="218" spans="1:2" x14ac:dyDescent="0.35">
      <c r="A218" s="11" t="s">
        <v>6159</v>
      </c>
      <c r="B218" s="5">
        <v>2</v>
      </c>
    </row>
    <row r="219" spans="1:2" x14ac:dyDescent="0.35">
      <c r="A219" s="11" t="s">
        <v>8987</v>
      </c>
      <c r="B219" s="5">
        <v>8</v>
      </c>
    </row>
    <row r="220" spans="1:2" x14ac:dyDescent="0.35">
      <c r="A220" s="11" t="s">
        <v>6408</v>
      </c>
      <c r="B220" s="5">
        <v>14</v>
      </c>
    </row>
    <row r="221" spans="1:2" x14ac:dyDescent="0.35">
      <c r="A221" s="11" t="s">
        <v>11574</v>
      </c>
      <c r="B221" s="5">
        <v>2</v>
      </c>
    </row>
    <row r="222" spans="1:2" x14ac:dyDescent="0.35">
      <c r="A222" s="11" t="s">
        <v>5820</v>
      </c>
      <c r="B222" s="5">
        <v>2</v>
      </c>
    </row>
    <row r="223" spans="1:2" x14ac:dyDescent="0.35">
      <c r="A223" s="11" t="s">
        <v>4697</v>
      </c>
      <c r="B223" s="5">
        <v>6</v>
      </c>
    </row>
    <row r="224" spans="1:2" x14ac:dyDescent="0.35">
      <c r="A224" s="11" t="s">
        <v>2963</v>
      </c>
      <c r="B224" s="5">
        <v>9</v>
      </c>
    </row>
    <row r="225" spans="1:2" x14ac:dyDescent="0.35">
      <c r="A225" s="11" t="s">
        <v>7220</v>
      </c>
      <c r="B225" s="5">
        <v>2</v>
      </c>
    </row>
    <row r="226" spans="1:2" x14ac:dyDescent="0.35">
      <c r="A226" s="11" t="s">
        <v>2211</v>
      </c>
      <c r="B226" s="5">
        <v>3</v>
      </c>
    </row>
    <row r="227" spans="1:2" x14ac:dyDescent="0.35">
      <c r="A227" s="11" t="s">
        <v>195</v>
      </c>
      <c r="B227" s="5">
        <v>9</v>
      </c>
    </row>
    <row r="228" spans="1:2" x14ac:dyDescent="0.35">
      <c r="A228" s="11" t="s">
        <v>3400</v>
      </c>
      <c r="B228" s="5">
        <v>2</v>
      </c>
    </row>
    <row r="229" spans="1:2" x14ac:dyDescent="0.35">
      <c r="A229" s="11" t="s">
        <v>1557</v>
      </c>
      <c r="B229" s="5">
        <v>4</v>
      </c>
    </row>
    <row r="230" spans="1:2" x14ac:dyDescent="0.35">
      <c r="A230" s="11" t="s">
        <v>2425</v>
      </c>
      <c r="B230" s="5">
        <v>2</v>
      </c>
    </row>
    <row r="231" spans="1:2" x14ac:dyDescent="0.35">
      <c r="A231" s="11" t="s">
        <v>6763</v>
      </c>
      <c r="B231" s="5">
        <v>1</v>
      </c>
    </row>
    <row r="232" spans="1:2" x14ac:dyDescent="0.35">
      <c r="A232" s="11" t="s">
        <v>8385</v>
      </c>
      <c r="B232" s="5">
        <v>1</v>
      </c>
    </row>
    <row r="233" spans="1:2" x14ac:dyDescent="0.35">
      <c r="A233" s="11" t="s">
        <v>4514</v>
      </c>
      <c r="B233" s="5">
        <v>4</v>
      </c>
    </row>
    <row r="234" spans="1:2" x14ac:dyDescent="0.35">
      <c r="A234" s="11" t="s">
        <v>11932</v>
      </c>
      <c r="B234" s="5">
        <v>4</v>
      </c>
    </row>
    <row r="235" spans="1:2" x14ac:dyDescent="0.35">
      <c r="A235" s="11" t="s">
        <v>13001</v>
      </c>
      <c r="B235" s="5">
        <v>3</v>
      </c>
    </row>
    <row r="236" spans="1:2" x14ac:dyDescent="0.35">
      <c r="A236" s="11" t="s">
        <v>3672</v>
      </c>
      <c r="B236" s="5">
        <v>11</v>
      </c>
    </row>
    <row r="237" spans="1:2" x14ac:dyDescent="0.35">
      <c r="A237" s="11" t="s">
        <v>10755</v>
      </c>
      <c r="B237" s="5">
        <v>4</v>
      </c>
    </row>
    <row r="238" spans="1:2" x14ac:dyDescent="0.35">
      <c r="A238" s="11" t="s">
        <v>9267</v>
      </c>
      <c r="B238" s="5">
        <v>1</v>
      </c>
    </row>
    <row r="239" spans="1:2" x14ac:dyDescent="0.35">
      <c r="A239" s="11" t="s">
        <v>1954</v>
      </c>
      <c r="B239" s="5">
        <v>6</v>
      </c>
    </row>
    <row r="240" spans="1:2" x14ac:dyDescent="0.35">
      <c r="A240" s="11" t="s">
        <v>5603</v>
      </c>
      <c r="B240" s="5">
        <v>1</v>
      </c>
    </row>
    <row r="241" spans="1:2" x14ac:dyDescent="0.35">
      <c r="A241" s="11" t="s">
        <v>8545</v>
      </c>
      <c r="B241" s="5">
        <v>1</v>
      </c>
    </row>
    <row r="242" spans="1:2" x14ac:dyDescent="0.35">
      <c r="A242" s="11" t="s">
        <v>4389</v>
      </c>
      <c r="B242" s="5">
        <v>6</v>
      </c>
    </row>
    <row r="243" spans="1:2" x14ac:dyDescent="0.35">
      <c r="A243" s="11" t="s">
        <v>12752</v>
      </c>
      <c r="B243" s="5">
        <v>2</v>
      </c>
    </row>
    <row r="244" spans="1:2" x14ac:dyDescent="0.35">
      <c r="A244" s="11" t="s">
        <v>9204</v>
      </c>
      <c r="B244" s="5">
        <v>2</v>
      </c>
    </row>
    <row r="245" spans="1:2" x14ac:dyDescent="0.35">
      <c r="A245" s="11" t="s">
        <v>4551</v>
      </c>
      <c r="B245" s="5">
        <v>9</v>
      </c>
    </row>
    <row r="246" spans="1:2" x14ac:dyDescent="0.35">
      <c r="A246" s="11" t="s">
        <v>4759</v>
      </c>
      <c r="B246" s="5">
        <v>1</v>
      </c>
    </row>
    <row r="247" spans="1:2" x14ac:dyDescent="0.35">
      <c r="A247" s="11" t="s">
        <v>3203</v>
      </c>
      <c r="B247" s="5">
        <v>2</v>
      </c>
    </row>
    <row r="248" spans="1:2" x14ac:dyDescent="0.35">
      <c r="A248" s="11" t="s">
        <v>3536</v>
      </c>
      <c r="B248" s="5">
        <v>2</v>
      </c>
    </row>
    <row r="249" spans="1:2" x14ac:dyDescent="0.35">
      <c r="A249" s="11" t="s">
        <v>433</v>
      </c>
      <c r="B249" s="5">
        <v>2</v>
      </c>
    </row>
    <row r="250" spans="1:2" x14ac:dyDescent="0.35">
      <c r="A250" s="11" t="s">
        <v>1780</v>
      </c>
      <c r="B250" s="5">
        <v>1</v>
      </c>
    </row>
    <row r="251" spans="1:2" x14ac:dyDescent="0.35">
      <c r="A251" s="11" t="s">
        <v>11841</v>
      </c>
      <c r="B251" s="5">
        <v>5</v>
      </c>
    </row>
    <row r="252" spans="1:2" x14ac:dyDescent="0.35">
      <c r="A252" s="11" t="s">
        <v>11518</v>
      </c>
      <c r="B252" s="5">
        <v>9</v>
      </c>
    </row>
    <row r="253" spans="1:2" x14ac:dyDescent="0.35">
      <c r="A253" s="11" t="s">
        <v>4398</v>
      </c>
      <c r="B253" s="5">
        <v>2</v>
      </c>
    </row>
    <row r="254" spans="1:2" x14ac:dyDescent="0.35">
      <c r="A254" s="11" t="s">
        <v>1680</v>
      </c>
      <c r="B254" s="5">
        <v>10</v>
      </c>
    </row>
    <row r="255" spans="1:2" x14ac:dyDescent="0.35">
      <c r="A255" s="11" t="s">
        <v>5858</v>
      </c>
      <c r="B255" s="5">
        <v>4</v>
      </c>
    </row>
    <row r="256" spans="1:2" x14ac:dyDescent="0.35">
      <c r="A256" s="11" t="s">
        <v>101</v>
      </c>
      <c r="B256" s="5">
        <v>16</v>
      </c>
    </row>
    <row r="257" spans="1:2" x14ac:dyDescent="0.35">
      <c r="A257" s="11" t="s">
        <v>576</v>
      </c>
      <c r="B257" s="5">
        <v>10</v>
      </c>
    </row>
    <row r="258" spans="1:2" x14ac:dyDescent="0.35">
      <c r="A258" s="11" t="s">
        <v>790</v>
      </c>
      <c r="B258" s="5">
        <v>3</v>
      </c>
    </row>
    <row r="259" spans="1:2" x14ac:dyDescent="0.35">
      <c r="A259" s="11" t="s">
        <v>3574</v>
      </c>
      <c r="B259" s="5">
        <v>4</v>
      </c>
    </row>
    <row r="260" spans="1:2" x14ac:dyDescent="0.35">
      <c r="A260" s="11" t="s">
        <v>3409</v>
      </c>
      <c r="B260" s="5">
        <v>8</v>
      </c>
    </row>
    <row r="261" spans="1:2" x14ac:dyDescent="0.35">
      <c r="A261" s="11" t="s">
        <v>8596</v>
      </c>
      <c r="B261" s="5">
        <v>2</v>
      </c>
    </row>
    <row r="262" spans="1:2" x14ac:dyDescent="0.35">
      <c r="A262" s="11" t="s">
        <v>4655</v>
      </c>
      <c r="B262" s="5">
        <v>3</v>
      </c>
    </row>
    <row r="263" spans="1:2" x14ac:dyDescent="0.35">
      <c r="A263" s="11" t="s">
        <v>8818</v>
      </c>
      <c r="B263" s="5">
        <v>2</v>
      </c>
    </row>
    <row r="264" spans="1:2" x14ac:dyDescent="0.35">
      <c r="A264" s="11" t="s">
        <v>6845</v>
      </c>
      <c r="B264" s="5">
        <v>5</v>
      </c>
    </row>
    <row r="265" spans="1:2" x14ac:dyDescent="0.35">
      <c r="A265" s="11" t="s">
        <v>1839</v>
      </c>
      <c r="B265" s="5">
        <v>7</v>
      </c>
    </row>
    <row r="266" spans="1:2" x14ac:dyDescent="0.35">
      <c r="A266" s="11" t="s">
        <v>1722</v>
      </c>
      <c r="B266" s="5">
        <v>6</v>
      </c>
    </row>
    <row r="267" spans="1:2" x14ac:dyDescent="0.35">
      <c r="A267" s="11" t="s">
        <v>1825</v>
      </c>
      <c r="B267" s="5">
        <v>1</v>
      </c>
    </row>
    <row r="268" spans="1:2" x14ac:dyDescent="0.35">
      <c r="A268" s="11" t="s">
        <v>6794</v>
      </c>
      <c r="B268" s="5">
        <v>1</v>
      </c>
    </row>
    <row r="269" spans="1:2" x14ac:dyDescent="0.35">
      <c r="A269" s="11" t="s">
        <v>5774</v>
      </c>
      <c r="B269" s="5">
        <v>2</v>
      </c>
    </row>
    <row r="270" spans="1:2" x14ac:dyDescent="0.35">
      <c r="A270" s="11" t="s">
        <v>6047</v>
      </c>
      <c r="B270" s="5">
        <v>1</v>
      </c>
    </row>
    <row r="271" spans="1:2" x14ac:dyDescent="0.35">
      <c r="A271" s="11" t="s">
        <v>6624</v>
      </c>
      <c r="B271" s="5">
        <v>1</v>
      </c>
    </row>
    <row r="272" spans="1:2" x14ac:dyDescent="0.35">
      <c r="A272" s="11" t="s">
        <v>11266</v>
      </c>
      <c r="B272" s="5">
        <v>2</v>
      </c>
    </row>
    <row r="273" spans="1:2" x14ac:dyDescent="0.35">
      <c r="A273" s="11" t="s">
        <v>7118</v>
      </c>
      <c r="B273" s="5">
        <v>1</v>
      </c>
    </row>
    <row r="274" spans="1:2" x14ac:dyDescent="0.35">
      <c r="A274" s="11" t="s">
        <v>4109</v>
      </c>
      <c r="B274" s="5">
        <v>2</v>
      </c>
    </row>
    <row r="275" spans="1:2" x14ac:dyDescent="0.35">
      <c r="A275" s="11" t="s">
        <v>103</v>
      </c>
      <c r="B275" s="5">
        <v>2</v>
      </c>
    </row>
    <row r="276" spans="1:2" x14ac:dyDescent="0.35">
      <c r="A276" s="11" t="s">
        <v>8683</v>
      </c>
      <c r="B276" s="5">
        <v>7</v>
      </c>
    </row>
    <row r="277" spans="1:2" x14ac:dyDescent="0.35">
      <c r="A277" s="11" t="s">
        <v>6851</v>
      </c>
      <c r="B277" s="5">
        <v>1</v>
      </c>
    </row>
    <row r="278" spans="1:2" x14ac:dyDescent="0.35">
      <c r="A278" s="11" t="s">
        <v>7160</v>
      </c>
      <c r="B278" s="5">
        <v>2</v>
      </c>
    </row>
    <row r="279" spans="1:2" x14ac:dyDescent="0.35">
      <c r="A279" s="11" t="s">
        <v>6678</v>
      </c>
      <c r="B279" s="5">
        <v>7</v>
      </c>
    </row>
    <row r="280" spans="1:2" x14ac:dyDescent="0.35">
      <c r="A280" s="11" t="s">
        <v>11514</v>
      </c>
      <c r="B280" s="5">
        <v>3</v>
      </c>
    </row>
    <row r="281" spans="1:2" x14ac:dyDescent="0.35">
      <c r="A281" s="11" t="s">
        <v>12546</v>
      </c>
      <c r="B281" s="5">
        <v>1</v>
      </c>
    </row>
    <row r="282" spans="1:2" x14ac:dyDescent="0.35">
      <c r="A282" s="11" t="s">
        <v>10856</v>
      </c>
      <c r="B282" s="5">
        <v>3</v>
      </c>
    </row>
    <row r="283" spans="1:2" x14ac:dyDescent="0.35">
      <c r="A283" s="11" t="s">
        <v>9227</v>
      </c>
      <c r="B283" s="5">
        <v>1</v>
      </c>
    </row>
    <row r="284" spans="1:2" x14ac:dyDescent="0.35">
      <c r="A284" s="11" t="s">
        <v>1653</v>
      </c>
      <c r="B284" s="5">
        <v>8</v>
      </c>
    </row>
    <row r="285" spans="1:2" x14ac:dyDescent="0.35">
      <c r="A285" s="11" t="s">
        <v>11782</v>
      </c>
      <c r="B285" s="5">
        <v>4</v>
      </c>
    </row>
    <row r="286" spans="1:2" x14ac:dyDescent="0.35">
      <c r="A286" s="11" t="s">
        <v>3811</v>
      </c>
      <c r="B286" s="5">
        <v>6</v>
      </c>
    </row>
    <row r="287" spans="1:2" x14ac:dyDescent="0.35">
      <c r="A287" s="11" t="s">
        <v>4538</v>
      </c>
      <c r="B287" s="5">
        <v>4</v>
      </c>
    </row>
    <row r="288" spans="1:2" x14ac:dyDescent="0.35">
      <c r="A288" s="11" t="s">
        <v>5029</v>
      </c>
      <c r="B288" s="5">
        <v>1</v>
      </c>
    </row>
    <row r="289" spans="1:2" x14ac:dyDescent="0.35">
      <c r="A289" s="11" t="s">
        <v>4208</v>
      </c>
      <c r="B289" s="5">
        <v>1</v>
      </c>
    </row>
    <row r="290" spans="1:2" x14ac:dyDescent="0.35">
      <c r="A290" s="11" t="s">
        <v>9954</v>
      </c>
      <c r="B290" s="5">
        <v>2</v>
      </c>
    </row>
    <row r="291" spans="1:2" x14ac:dyDescent="0.35">
      <c r="A291" s="11" t="s">
        <v>4355</v>
      </c>
      <c r="B291" s="5">
        <v>2</v>
      </c>
    </row>
    <row r="292" spans="1:2" x14ac:dyDescent="0.35">
      <c r="A292" s="11" t="s">
        <v>2401</v>
      </c>
      <c r="B292" s="5">
        <v>4</v>
      </c>
    </row>
    <row r="293" spans="1:2" x14ac:dyDescent="0.35">
      <c r="A293" s="11" t="s">
        <v>690</v>
      </c>
      <c r="B293" s="5">
        <v>1</v>
      </c>
    </row>
    <row r="294" spans="1:2" x14ac:dyDescent="0.35">
      <c r="A294" s="11" t="s">
        <v>2630</v>
      </c>
      <c r="B294" s="5">
        <v>1</v>
      </c>
    </row>
    <row r="295" spans="1:2" x14ac:dyDescent="0.35">
      <c r="A295" s="11" t="s">
        <v>5811</v>
      </c>
      <c r="B295" s="5">
        <v>1</v>
      </c>
    </row>
    <row r="296" spans="1:2" x14ac:dyDescent="0.35">
      <c r="A296" s="11" t="s">
        <v>4285</v>
      </c>
      <c r="B296" s="5">
        <v>1</v>
      </c>
    </row>
    <row r="297" spans="1:2" x14ac:dyDescent="0.35">
      <c r="A297" s="11" t="s">
        <v>2378</v>
      </c>
      <c r="B297" s="5">
        <v>6</v>
      </c>
    </row>
    <row r="298" spans="1:2" x14ac:dyDescent="0.35">
      <c r="A298" s="11" t="s">
        <v>7896</v>
      </c>
      <c r="B298" s="5">
        <v>1</v>
      </c>
    </row>
    <row r="299" spans="1:2" x14ac:dyDescent="0.35">
      <c r="A299" s="11" t="s">
        <v>4082</v>
      </c>
      <c r="B299" s="5">
        <v>1</v>
      </c>
    </row>
    <row r="300" spans="1:2" x14ac:dyDescent="0.35">
      <c r="A300" s="11" t="s">
        <v>7710</v>
      </c>
      <c r="B300" s="5">
        <v>4</v>
      </c>
    </row>
    <row r="301" spans="1:2" x14ac:dyDescent="0.35">
      <c r="A301" s="11" t="s">
        <v>1893</v>
      </c>
      <c r="B301" s="5">
        <v>12</v>
      </c>
    </row>
    <row r="302" spans="1:2" x14ac:dyDescent="0.35">
      <c r="A302" s="11" t="s">
        <v>8813</v>
      </c>
      <c r="B302" s="5">
        <v>1</v>
      </c>
    </row>
    <row r="303" spans="1:2" x14ac:dyDescent="0.35">
      <c r="A303" s="11" t="s">
        <v>3303</v>
      </c>
      <c r="B303" s="5">
        <v>7</v>
      </c>
    </row>
    <row r="304" spans="1:2" x14ac:dyDescent="0.35">
      <c r="A304" s="11" t="s">
        <v>9152</v>
      </c>
      <c r="B304" s="5">
        <v>4</v>
      </c>
    </row>
    <row r="305" spans="1:2" x14ac:dyDescent="0.35">
      <c r="A305" s="11" t="s">
        <v>9754</v>
      </c>
      <c r="B305" s="5">
        <v>2</v>
      </c>
    </row>
    <row r="306" spans="1:2" x14ac:dyDescent="0.35">
      <c r="A306" s="11" t="s">
        <v>5792</v>
      </c>
      <c r="B306" s="5">
        <v>1</v>
      </c>
    </row>
    <row r="307" spans="1:2" x14ac:dyDescent="0.35">
      <c r="A307" s="11" t="s">
        <v>3981</v>
      </c>
      <c r="B307" s="5">
        <v>1</v>
      </c>
    </row>
    <row r="308" spans="1:2" x14ac:dyDescent="0.35">
      <c r="A308" s="11" t="s">
        <v>846</v>
      </c>
      <c r="B308" s="5">
        <v>3</v>
      </c>
    </row>
    <row r="309" spans="1:2" x14ac:dyDescent="0.35">
      <c r="A309" s="11" t="s">
        <v>3725</v>
      </c>
      <c r="B309" s="5">
        <v>7</v>
      </c>
    </row>
    <row r="310" spans="1:2" x14ac:dyDescent="0.35">
      <c r="A310" s="11" t="s">
        <v>5222</v>
      </c>
      <c r="B310" s="5">
        <v>2</v>
      </c>
    </row>
    <row r="311" spans="1:2" x14ac:dyDescent="0.35">
      <c r="A311" s="11" t="s">
        <v>8331</v>
      </c>
      <c r="B311" s="5">
        <v>3</v>
      </c>
    </row>
    <row r="312" spans="1:2" x14ac:dyDescent="0.35">
      <c r="A312" s="11" t="s">
        <v>5055</v>
      </c>
      <c r="B312" s="5">
        <v>2</v>
      </c>
    </row>
    <row r="313" spans="1:2" x14ac:dyDescent="0.35">
      <c r="A313" s="11" t="s">
        <v>6183</v>
      </c>
      <c r="B313" s="5">
        <v>2</v>
      </c>
    </row>
    <row r="314" spans="1:2" x14ac:dyDescent="0.35">
      <c r="A314" s="11" t="s">
        <v>3645</v>
      </c>
      <c r="B314" s="5">
        <v>3</v>
      </c>
    </row>
    <row r="315" spans="1:2" x14ac:dyDescent="0.35">
      <c r="A315" s="11" t="s">
        <v>866</v>
      </c>
      <c r="B315" s="5">
        <v>5</v>
      </c>
    </row>
    <row r="316" spans="1:2" x14ac:dyDescent="0.35">
      <c r="A316" s="11" t="s">
        <v>5802</v>
      </c>
      <c r="B316" s="5">
        <v>1</v>
      </c>
    </row>
    <row r="317" spans="1:2" x14ac:dyDescent="0.35">
      <c r="A317" s="11" t="s">
        <v>3998</v>
      </c>
      <c r="B317" s="5">
        <v>6</v>
      </c>
    </row>
    <row r="318" spans="1:2" x14ac:dyDescent="0.35">
      <c r="A318" s="11" t="s">
        <v>8784</v>
      </c>
      <c r="B318" s="5">
        <v>1</v>
      </c>
    </row>
    <row r="319" spans="1:2" x14ac:dyDescent="0.35">
      <c r="A319" s="11" t="s">
        <v>5827</v>
      </c>
      <c r="B319" s="5">
        <v>3</v>
      </c>
    </row>
    <row r="320" spans="1:2" x14ac:dyDescent="0.35">
      <c r="A320" s="11" t="s">
        <v>9688</v>
      </c>
      <c r="B320" s="5">
        <v>1</v>
      </c>
    </row>
    <row r="321" spans="1:2" x14ac:dyDescent="0.35">
      <c r="A321" s="11" t="s">
        <v>6228</v>
      </c>
      <c r="B321" s="5">
        <v>2</v>
      </c>
    </row>
    <row r="322" spans="1:2" x14ac:dyDescent="0.35">
      <c r="A322" s="11" t="s">
        <v>4386</v>
      </c>
      <c r="B322" s="5">
        <v>1</v>
      </c>
    </row>
    <row r="323" spans="1:2" x14ac:dyDescent="0.35">
      <c r="A323" s="11" t="s">
        <v>9349</v>
      </c>
      <c r="B323" s="5">
        <v>4</v>
      </c>
    </row>
    <row r="324" spans="1:2" x14ac:dyDescent="0.35">
      <c r="A324" s="11" t="s">
        <v>4004</v>
      </c>
      <c r="B324" s="5">
        <v>4</v>
      </c>
    </row>
    <row r="325" spans="1:2" x14ac:dyDescent="0.35">
      <c r="A325" s="11" t="s">
        <v>12242</v>
      </c>
      <c r="B325" s="5">
        <v>2</v>
      </c>
    </row>
    <row r="326" spans="1:2" x14ac:dyDescent="0.35">
      <c r="A326" s="11" t="s">
        <v>7146</v>
      </c>
      <c r="B326" s="5">
        <v>1</v>
      </c>
    </row>
    <row r="327" spans="1:2" x14ac:dyDescent="0.35">
      <c r="A327" s="11" t="s">
        <v>3753</v>
      </c>
      <c r="B327" s="5">
        <v>11</v>
      </c>
    </row>
    <row r="328" spans="1:2" x14ac:dyDescent="0.35">
      <c r="A328" s="11" t="s">
        <v>6020</v>
      </c>
      <c r="B328" s="5">
        <v>3</v>
      </c>
    </row>
    <row r="329" spans="1:2" x14ac:dyDescent="0.35">
      <c r="A329" s="11" t="s">
        <v>5658</v>
      </c>
      <c r="B329" s="5">
        <v>2</v>
      </c>
    </row>
    <row r="330" spans="1:2" x14ac:dyDescent="0.35">
      <c r="A330" s="11" t="s">
        <v>4942</v>
      </c>
      <c r="B330" s="5">
        <v>2</v>
      </c>
    </row>
    <row r="331" spans="1:2" x14ac:dyDescent="0.35">
      <c r="A331" s="11" t="s">
        <v>9137</v>
      </c>
      <c r="B331" s="5">
        <v>2</v>
      </c>
    </row>
    <row r="332" spans="1:2" x14ac:dyDescent="0.35">
      <c r="A332" s="11" t="s">
        <v>12509</v>
      </c>
      <c r="B332" s="5">
        <v>1</v>
      </c>
    </row>
    <row r="333" spans="1:2" x14ac:dyDescent="0.35">
      <c r="A333" s="11" t="s">
        <v>5019</v>
      </c>
      <c r="B333" s="5">
        <v>22</v>
      </c>
    </row>
    <row r="334" spans="1:2" x14ac:dyDescent="0.35">
      <c r="A334" s="11" t="s">
        <v>5138</v>
      </c>
      <c r="B334" s="5">
        <v>6</v>
      </c>
    </row>
    <row r="335" spans="1:2" x14ac:dyDescent="0.35">
      <c r="A335" s="11" t="s">
        <v>2020</v>
      </c>
      <c r="B335" s="5">
        <v>3</v>
      </c>
    </row>
    <row r="336" spans="1:2" x14ac:dyDescent="0.35">
      <c r="A336" s="11" t="s">
        <v>11444</v>
      </c>
      <c r="B336" s="5">
        <v>1</v>
      </c>
    </row>
    <row r="337" spans="1:2" x14ac:dyDescent="0.35">
      <c r="A337" s="11" t="s">
        <v>3416</v>
      </c>
      <c r="B337" s="5">
        <v>2</v>
      </c>
    </row>
    <row r="338" spans="1:2" x14ac:dyDescent="0.35">
      <c r="A338" s="11" t="s">
        <v>1341</v>
      </c>
      <c r="B338" s="5">
        <v>10</v>
      </c>
    </row>
    <row r="339" spans="1:2" x14ac:dyDescent="0.35">
      <c r="A339" s="11" t="s">
        <v>3577</v>
      </c>
      <c r="B339" s="5">
        <v>1</v>
      </c>
    </row>
    <row r="340" spans="1:2" x14ac:dyDescent="0.35">
      <c r="A340" s="11" t="s">
        <v>5307</v>
      </c>
      <c r="B340" s="5">
        <v>4</v>
      </c>
    </row>
    <row r="341" spans="1:2" x14ac:dyDescent="0.35">
      <c r="A341" s="11" t="s">
        <v>6769</v>
      </c>
      <c r="B341" s="5">
        <v>2</v>
      </c>
    </row>
    <row r="342" spans="1:2" x14ac:dyDescent="0.35">
      <c r="A342" s="11" t="s">
        <v>4667</v>
      </c>
      <c r="B342" s="5">
        <v>6</v>
      </c>
    </row>
    <row r="343" spans="1:2" x14ac:dyDescent="0.35">
      <c r="A343" s="11" t="s">
        <v>7960</v>
      </c>
      <c r="B343" s="5">
        <v>9</v>
      </c>
    </row>
    <row r="344" spans="1:2" x14ac:dyDescent="0.35">
      <c r="A344" s="11" t="s">
        <v>7205</v>
      </c>
      <c r="B344" s="5">
        <v>6</v>
      </c>
    </row>
    <row r="345" spans="1:2" x14ac:dyDescent="0.35">
      <c r="A345" s="11" t="s">
        <v>9883</v>
      </c>
      <c r="B345" s="5">
        <v>1</v>
      </c>
    </row>
    <row r="346" spans="1:2" x14ac:dyDescent="0.35">
      <c r="A346" s="11" t="s">
        <v>7510</v>
      </c>
      <c r="B346" s="5">
        <v>1</v>
      </c>
    </row>
    <row r="347" spans="1:2" x14ac:dyDescent="0.35">
      <c r="A347" s="11" t="s">
        <v>4836</v>
      </c>
      <c r="B347" s="5">
        <v>3</v>
      </c>
    </row>
    <row r="348" spans="1:2" x14ac:dyDescent="0.35">
      <c r="A348" s="11" t="s">
        <v>1563</v>
      </c>
      <c r="B348" s="5">
        <v>7</v>
      </c>
    </row>
    <row r="349" spans="1:2" x14ac:dyDescent="0.35">
      <c r="A349" s="11" t="s">
        <v>5722</v>
      </c>
      <c r="B349" s="5">
        <v>1</v>
      </c>
    </row>
    <row r="350" spans="1:2" x14ac:dyDescent="0.35">
      <c r="A350" s="11" t="s">
        <v>9799</v>
      </c>
      <c r="B350" s="5">
        <v>2</v>
      </c>
    </row>
    <row r="351" spans="1:2" x14ac:dyDescent="0.35">
      <c r="A351" s="11" t="s">
        <v>3942</v>
      </c>
      <c r="B351" s="5">
        <v>16</v>
      </c>
    </row>
    <row r="352" spans="1:2" x14ac:dyDescent="0.35">
      <c r="A352" s="11" t="s">
        <v>4632</v>
      </c>
      <c r="B352" s="5">
        <v>3</v>
      </c>
    </row>
    <row r="353" spans="1:2" x14ac:dyDescent="0.35">
      <c r="A353" s="11" t="s">
        <v>4647</v>
      </c>
      <c r="B353" s="5">
        <v>10</v>
      </c>
    </row>
    <row r="354" spans="1:2" x14ac:dyDescent="0.35">
      <c r="A354" s="11" t="s">
        <v>7334</v>
      </c>
      <c r="B354" s="5">
        <v>3</v>
      </c>
    </row>
    <row r="355" spans="1:2" x14ac:dyDescent="0.35">
      <c r="A355" s="11" t="s">
        <v>8671</v>
      </c>
      <c r="B355" s="5">
        <v>2</v>
      </c>
    </row>
    <row r="356" spans="1:2" x14ac:dyDescent="0.35">
      <c r="A356" s="11" t="s">
        <v>4571</v>
      </c>
      <c r="B356" s="5">
        <v>9</v>
      </c>
    </row>
    <row r="357" spans="1:2" x14ac:dyDescent="0.35">
      <c r="A357" s="11" t="s">
        <v>2386</v>
      </c>
      <c r="B357" s="5">
        <v>3</v>
      </c>
    </row>
    <row r="358" spans="1:2" x14ac:dyDescent="0.35">
      <c r="A358" s="11" t="s">
        <v>11509</v>
      </c>
      <c r="B358" s="5">
        <v>1</v>
      </c>
    </row>
    <row r="359" spans="1:2" x14ac:dyDescent="0.35">
      <c r="A359" s="11" t="s">
        <v>3012</v>
      </c>
      <c r="B359" s="5">
        <v>1</v>
      </c>
    </row>
    <row r="360" spans="1:2" x14ac:dyDescent="0.35">
      <c r="A360" s="11" t="s">
        <v>3114</v>
      </c>
      <c r="B360" s="5">
        <v>2</v>
      </c>
    </row>
    <row r="361" spans="1:2" x14ac:dyDescent="0.35">
      <c r="A361" s="11" t="s">
        <v>6088</v>
      </c>
      <c r="B361" s="5">
        <v>1</v>
      </c>
    </row>
    <row r="362" spans="1:2" x14ac:dyDescent="0.35">
      <c r="A362" s="11" t="s">
        <v>1263</v>
      </c>
      <c r="B362" s="5">
        <v>6</v>
      </c>
    </row>
    <row r="363" spans="1:2" x14ac:dyDescent="0.35">
      <c r="A363" s="11" t="s">
        <v>5902</v>
      </c>
      <c r="B363" s="5">
        <v>12</v>
      </c>
    </row>
    <row r="364" spans="1:2" x14ac:dyDescent="0.35">
      <c r="A364" s="11" t="s">
        <v>326</v>
      </c>
      <c r="B364" s="5">
        <v>6</v>
      </c>
    </row>
    <row r="365" spans="1:2" x14ac:dyDescent="0.35">
      <c r="A365" s="11" t="s">
        <v>5865</v>
      </c>
      <c r="B365" s="5">
        <v>16</v>
      </c>
    </row>
    <row r="366" spans="1:2" x14ac:dyDescent="0.35">
      <c r="A366" s="11" t="s">
        <v>3791</v>
      </c>
      <c r="B366" s="5">
        <v>2</v>
      </c>
    </row>
    <row r="367" spans="1:2" x14ac:dyDescent="0.35">
      <c r="A367" s="11" t="s">
        <v>3634</v>
      </c>
      <c r="B367" s="5">
        <v>1</v>
      </c>
    </row>
    <row r="368" spans="1:2" x14ac:dyDescent="0.35">
      <c r="A368" s="11" t="s">
        <v>4418</v>
      </c>
      <c r="B368" s="5">
        <v>2</v>
      </c>
    </row>
    <row r="369" spans="1:2" x14ac:dyDescent="0.35">
      <c r="A369" s="11" t="s">
        <v>4815</v>
      </c>
      <c r="B369" s="5">
        <v>2</v>
      </c>
    </row>
    <row r="370" spans="1:2" x14ac:dyDescent="0.35">
      <c r="A370" s="11" t="s">
        <v>992</v>
      </c>
      <c r="B370" s="5">
        <v>7</v>
      </c>
    </row>
    <row r="371" spans="1:2" x14ac:dyDescent="0.35">
      <c r="A371" s="11" t="s">
        <v>3898</v>
      </c>
      <c r="B371" s="5">
        <v>7</v>
      </c>
    </row>
    <row r="372" spans="1:2" x14ac:dyDescent="0.35">
      <c r="A372" s="11" t="s">
        <v>7379</v>
      </c>
      <c r="B372" s="5">
        <v>1</v>
      </c>
    </row>
    <row r="373" spans="1:2" x14ac:dyDescent="0.35">
      <c r="A373" s="11" t="s">
        <v>8860</v>
      </c>
      <c r="B373" s="5">
        <v>1</v>
      </c>
    </row>
    <row r="374" spans="1:2" x14ac:dyDescent="0.35">
      <c r="A374" s="11" t="s">
        <v>3768</v>
      </c>
      <c r="B374" s="5">
        <v>4</v>
      </c>
    </row>
    <row r="375" spans="1:2" x14ac:dyDescent="0.35">
      <c r="A375" s="11" t="s">
        <v>9880</v>
      </c>
      <c r="B375" s="5">
        <v>3</v>
      </c>
    </row>
    <row r="376" spans="1:2" x14ac:dyDescent="0.35">
      <c r="A376" s="11" t="s">
        <v>5815</v>
      </c>
      <c r="B376" s="5">
        <v>2</v>
      </c>
    </row>
    <row r="377" spans="1:2" x14ac:dyDescent="0.35">
      <c r="A377" s="11" t="s">
        <v>4580</v>
      </c>
      <c r="B377" s="5">
        <v>1</v>
      </c>
    </row>
    <row r="378" spans="1:2" x14ac:dyDescent="0.35">
      <c r="A378" s="11" t="s">
        <v>3278</v>
      </c>
      <c r="B378" s="5">
        <v>1</v>
      </c>
    </row>
    <row r="379" spans="1:2" x14ac:dyDescent="0.35">
      <c r="A379" s="11" t="s">
        <v>4684</v>
      </c>
      <c r="B379" s="5">
        <v>4</v>
      </c>
    </row>
    <row r="380" spans="1:2" x14ac:dyDescent="0.35">
      <c r="A380" s="11" t="s">
        <v>1850</v>
      </c>
      <c r="B380" s="5">
        <v>3</v>
      </c>
    </row>
    <row r="381" spans="1:2" x14ac:dyDescent="0.35">
      <c r="A381" s="11" t="s">
        <v>2581</v>
      </c>
      <c r="B381" s="5">
        <v>1</v>
      </c>
    </row>
    <row r="382" spans="1:2" x14ac:dyDescent="0.35">
      <c r="A382" s="11" t="s">
        <v>3092</v>
      </c>
      <c r="B382" s="5">
        <v>4</v>
      </c>
    </row>
    <row r="383" spans="1:2" x14ac:dyDescent="0.35">
      <c r="A383" s="11" t="s">
        <v>3598</v>
      </c>
      <c r="B383" s="5">
        <v>3</v>
      </c>
    </row>
    <row r="384" spans="1:2" x14ac:dyDescent="0.35">
      <c r="A384" s="11" t="s">
        <v>5202</v>
      </c>
      <c r="B384" s="5">
        <v>1</v>
      </c>
    </row>
    <row r="385" spans="1:2" x14ac:dyDescent="0.35">
      <c r="A385" s="11" t="s">
        <v>452</v>
      </c>
      <c r="B385" s="5">
        <v>1</v>
      </c>
    </row>
    <row r="386" spans="1:2" x14ac:dyDescent="0.35">
      <c r="A386" s="11" t="s">
        <v>4745</v>
      </c>
      <c r="B386" s="5">
        <v>9</v>
      </c>
    </row>
    <row r="387" spans="1:2" x14ac:dyDescent="0.35">
      <c r="A387" s="11" t="s">
        <v>8334</v>
      </c>
      <c r="B387" s="5">
        <v>1</v>
      </c>
    </row>
    <row r="388" spans="1:2" x14ac:dyDescent="0.35">
      <c r="A388" s="11" t="s">
        <v>8015</v>
      </c>
      <c r="B388" s="5">
        <v>4</v>
      </c>
    </row>
    <row r="389" spans="1:2" x14ac:dyDescent="0.35">
      <c r="A389" s="11" t="s">
        <v>2424</v>
      </c>
      <c r="B389" s="5">
        <v>2</v>
      </c>
    </row>
    <row r="390" spans="1:2" x14ac:dyDescent="0.35">
      <c r="A390" s="11" t="s">
        <v>3002</v>
      </c>
      <c r="B390" s="5">
        <v>4</v>
      </c>
    </row>
    <row r="391" spans="1:2" x14ac:dyDescent="0.35">
      <c r="A391" s="11" t="s">
        <v>6384</v>
      </c>
      <c r="B391" s="5">
        <v>1</v>
      </c>
    </row>
    <row r="392" spans="1:2" x14ac:dyDescent="0.35">
      <c r="A392" s="11" t="s">
        <v>9430</v>
      </c>
      <c r="B392" s="5">
        <v>1</v>
      </c>
    </row>
    <row r="393" spans="1:2" x14ac:dyDescent="0.35">
      <c r="A393" s="11" t="s">
        <v>9449</v>
      </c>
      <c r="B393" s="5">
        <v>4</v>
      </c>
    </row>
    <row r="394" spans="1:2" x14ac:dyDescent="0.35">
      <c r="A394" s="11" t="s">
        <v>376</v>
      </c>
      <c r="B394" s="5">
        <v>1</v>
      </c>
    </row>
    <row r="395" spans="1:2" x14ac:dyDescent="0.35">
      <c r="A395" s="11" t="s">
        <v>358</v>
      </c>
      <c r="B395" s="5">
        <v>11</v>
      </c>
    </row>
    <row r="396" spans="1:2" x14ac:dyDescent="0.35">
      <c r="A396" s="11" t="s">
        <v>12987</v>
      </c>
      <c r="B396" s="5">
        <v>3</v>
      </c>
    </row>
    <row r="397" spans="1:2" x14ac:dyDescent="0.35">
      <c r="A397" s="11" t="s">
        <v>11447</v>
      </c>
      <c r="B397" s="5">
        <v>1</v>
      </c>
    </row>
    <row r="398" spans="1:2" x14ac:dyDescent="0.35">
      <c r="A398" s="11" t="s">
        <v>5807</v>
      </c>
      <c r="B398" s="5">
        <v>2</v>
      </c>
    </row>
    <row r="399" spans="1:2" x14ac:dyDescent="0.35">
      <c r="A399" s="11" t="s">
        <v>2643</v>
      </c>
      <c r="B399" s="5">
        <v>3</v>
      </c>
    </row>
    <row r="400" spans="1:2" x14ac:dyDescent="0.35">
      <c r="A400" s="11" t="s">
        <v>3670</v>
      </c>
      <c r="B400" s="5">
        <v>25</v>
      </c>
    </row>
    <row r="401" spans="1:2" x14ac:dyDescent="0.35">
      <c r="A401" s="11" t="s">
        <v>4866</v>
      </c>
      <c r="B401" s="5">
        <v>5</v>
      </c>
    </row>
    <row r="402" spans="1:2" x14ac:dyDescent="0.35">
      <c r="A402" s="11" t="s">
        <v>1726</v>
      </c>
      <c r="B402" s="5">
        <v>8</v>
      </c>
    </row>
    <row r="403" spans="1:2" x14ac:dyDescent="0.35">
      <c r="A403" s="11" t="s">
        <v>7805</v>
      </c>
      <c r="B403" s="5">
        <v>1</v>
      </c>
    </row>
    <row r="404" spans="1:2" x14ac:dyDescent="0.35">
      <c r="A404" s="11" t="s">
        <v>3654</v>
      </c>
      <c r="B404" s="5">
        <v>2</v>
      </c>
    </row>
    <row r="405" spans="1:2" x14ac:dyDescent="0.35">
      <c r="A405" s="11" t="s">
        <v>3960</v>
      </c>
      <c r="B405" s="5">
        <v>1</v>
      </c>
    </row>
    <row r="406" spans="1:2" x14ac:dyDescent="0.35">
      <c r="A406" s="11" t="s">
        <v>66</v>
      </c>
      <c r="B406" s="5">
        <v>5</v>
      </c>
    </row>
    <row r="407" spans="1:2" x14ac:dyDescent="0.35">
      <c r="A407" s="11" t="s">
        <v>3216</v>
      </c>
      <c r="B407" s="5">
        <v>2</v>
      </c>
    </row>
    <row r="408" spans="1:2" x14ac:dyDescent="0.35">
      <c r="A408" s="11" t="s">
        <v>4854</v>
      </c>
      <c r="B408" s="5">
        <v>2</v>
      </c>
    </row>
    <row r="409" spans="1:2" x14ac:dyDescent="0.35">
      <c r="A409" s="11" t="s">
        <v>1389</v>
      </c>
      <c r="B409" s="5">
        <v>9</v>
      </c>
    </row>
    <row r="410" spans="1:2" x14ac:dyDescent="0.35">
      <c r="A410" s="11" t="s">
        <v>9659</v>
      </c>
      <c r="B410" s="5">
        <v>1</v>
      </c>
    </row>
    <row r="411" spans="1:2" x14ac:dyDescent="0.35">
      <c r="A411" s="11" t="s">
        <v>9118</v>
      </c>
      <c r="B411" s="5">
        <v>2</v>
      </c>
    </row>
    <row r="412" spans="1:2" x14ac:dyDescent="0.35">
      <c r="A412" s="11" t="s">
        <v>5214</v>
      </c>
      <c r="B412" s="5">
        <v>3</v>
      </c>
    </row>
    <row r="413" spans="1:2" x14ac:dyDescent="0.35">
      <c r="A413" s="11" t="s">
        <v>3127</v>
      </c>
      <c r="B413" s="5">
        <v>3</v>
      </c>
    </row>
    <row r="414" spans="1:2" x14ac:dyDescent="0.35">
      <c r="A414" s="11" t="s">
        <v>3492</v>
      </c>
      <c r="B414" s="5">
        <v>1</v>
      </c>
    </row>
    <row r="415" spans="1:2" x14ac:dyDescent="0.35">
      <c r="A415" s="11" t="s">
        <v>1986</v>
      </c>
      <c r="B415" s="5">
        <v>2</v>
      </c>
    </row>
    <row r="416" spans="1:2" x14ac:dyDescent="0.35">
      <c r="A416" s="11" t="s">
        <v>3320</v>
      </c>
      <c r="B416" s="5">
        <v>4</v>
      </c>
    </row>
    <row r="417" spans="1:2" x14ac:dyDescent="0.35">
      <c r="A417" s="11" t="s">
        <v>10715</v>
      </c>
      <c r="B417" s="5">
        <v>17</v>
      </c>
    </row>
    <row r="418" spans="1:2" x14ac:dyDescent="0.35">
      <c r="A418" s="11" t="s">
        <v>3434</v>
      </c>
      <c r="B418" s="5">
        <v>11</v>
      </c>
    </row>
    <row r="419" spans="1:2" x14ac:dyDescent="0.35">
      <c r="A419" s="11" t="s">
        <v>11771</v>
      </c>
      <c r="B419" s="5">
        <v>6</v>
      </c>
    </row>
    <row r="420" spans="1:2" x14ac:dyDescent="0.35">
      <c r="A420" s="11" t="s">
        <v>8425</v>
      </c>
      <c r="B420" s="5">
        <v>2</v>
      </c>
    </row>
    <row r="421" spans="1:2" x14ac:dyDescent="0.35">
      <c r="A421" s="11" t="s">
        <v>2047</v>
      </c>
      <c r="B421" s="5">
        <v>1</v>
      </c>
    </row>
    <row r="422" spans="1:2" x14ac:dyDescent="0.35">
      <c r="A422" s="11" t="s">
        <v>10463</v>
      </c>
      <c r="B422" s="5">
        <v>1</v>
      </c>
    </row>
    <row r="423" spans="1:2" x14ac:dyDescent="0.35">
      <c r="A423" s="11" t="s">
        <v>9040</v>
      </c>
      <c r="B423" s="5">
        <v>1</v>
      </c>
    </row>
    <row r="424" spans="1:2" x14ac:dyDescent="0.35">
      <c r="A424" s="11" t="s">
        <v>34</v>
      </c>
      <c r="B424" s="5">
        <v>3</v>
      </c>
    </row>
    <row r="425" spans="1:2" x14ac:dyDescent="0.35">
      <c r="A425" s="11" t="s">
        <v>864</v>
      </c>
      <c r="B425" s="5">
        <v>5</v>
      </c>
    </row>
    <row r="426" spans="1:2" x14ac:dyDescent="0.35">
      <c r="A426" s="11" t="s">
        <v>4222</v>
      </c>
      <c r="B426" s="5">
        <v>8</v>
      </c>
    </row>
    <row r="427" spans="1:2" x14ac:dyDescent="0.35">
      <c r="A427" s="11" t="s">
        <v>8106</v>
      </c>
      <c r="B427" s="5">
        <v>2</v>
      </c>
    </row>
    <row r="428" spans="1:2" x14ac:dyDescent="0.35">
      <c r="A428" s="11" t="s">
        <v>9993</v>
      </c>
      <c r="B428" s="5">
        <v>1</v>
      </c>
    </row>
    <row r="429" spans="1:2" x14ac:dyDescent="0.35">
      <c r="A429" s="11" t="s">
        <v>7493</v>
      </c>
      <c r="B429" s="5">
        <v>2</v>
      </c>
    </row>
    <row r="430" spans="1:2" x14ac:dyDescent="0.35">
      <c r="A430" s="11" t="s">
        <v>5498</v>
      </c>
      <c r="B430" s="5">
        <v>6</v>
      </c>
    </row>
    <row r="431" spans="1:2" x14ac:dyDescent="0.35">
      <c r="A431" s="11" t="s">
        <v>5545</v>
      </c>
      <c r="B431" s="5">
        <v>2</v>
      </c>
    </row>
    <row r="432" spans="1:2" x14ac:dyDescent="0.35">
      <c r="A432" s="11" t="s">
        <v>3740</v>
      </c>
      <c r="B432" s="5">
        <v>4</v>
      </c>
    </row>
    <row r="433" spans="1:2" x14ac:dyDescent="0.35">
      <c r="A433" s="11" t="s">
        <v>5582</v>
      </c>
      <c r="B433" s="5">
        <v>1</v>
      </c>
    </row>
    <row r="434" spans="1:2" x14ac:dyDescent="0.35">
      <c r="A434" s="11" t="s">
        <v>4974</v>
      </c>
      <c r="B434" s="5">
        <v>2</v>
      </c>
    </row>
    <row r="435" spans="1:2" x14ac:dyDescent="0.35">
      <c r="A435" s="11" t="s">
        <v>3081</v>
      </c>
      <c r="B435" s="5">
        <v>2</v>
      </c>
    </row>
    <row r="436" spans="1:2" x14ac:dyDescent="0.35">
      <c r="A436" s="11" t="s">
        <v>11563</v>
      </c>
      <c r="B436" s="5">
        <v>8</v>
      </c>
    </row>
    <row r="437" spans="1:2" x14ac:dyDescent="0.35">
      <c r="A437" s="11" t="s">
        <v>5424</v>
      </c>
      <c r="B437" s="5">
        <v>1</v>
      </c>
    </row>
    <row r="438" spans="1:2" x14ac:dyDescent="0.35">
      <c r="A438" s="11" t="s">
        <v>3429</v>
      </c>
      <c r="B438" s="5">
        <v>5</v>
      </c>
    </row>
    <row r="439" spans="1:2" x14ac:dyDescent="0.35">
      <c r="A439" s="11" t="s">
        <v>2701</v>
      </c>
      <c r="B439" s="5">
        <v>10</v>
      </c>
    </row>
    <row r="440" spans="1:2" x14ac:dyDescent="0.35">
      <c r="A440" s="11" t="s">
        <v>5924</v>
      </c>
      <c r="B440" s="5">
        <v>1</v>
      </c>
    </row>
    <row r="441" spans="1:2" x14ac:dyDescent="0.35">
      <c r="A441" s="11" t="s">
        <v>7776</v>
      </c>
      <c r="B441" s="5">
        <v>1</v>
      </c>
    </row>
    <row r="442" spans="1:2" x14ac:dyDescent="0.35">
      <c r="A442" s="11" t="s">
        <v>5541</v>
      </c>
      <c r="B442" s="5">
        <v>3</v>
      </c>
    </row>
    <row r="443" spans="1:2" x14ac:dyDescent="0.35">
      <c r="A443" s="11" t="s">
        <v>3843</v>
      </c>
      <c r="B443" s="5">
        <v>4</v>
      </c>
    </row>
    <row r="444" spans="1:2" x14ac:dyDescent="0.35">
      <c r="A444" s="11" t="s">
        <v>3274</v>
      </c>
      <c r="B444" s="5">
        <v>4</v>
      </c>
    </row>
    <row r="445" spans="1:2" x14ac:dyDescent="0.35">
      <c r="A445" s="11" t="s">
        <v>3510</v>
      </c>
      <c r="B445" s="5">
        <v>2</v>
      </c>
    </row>
    <row r="446" spans="1:2" x14ac:dyDescent="0.35">
      <c r="A446" s="11" t="s">
        <v>5179</v>
      </c>
      <c r="B446" s="5">
        <v>1</v>
      </c>
    </row>
    <row r="447" spans="1:2" x14ac:dyDescent="0.35">
      <c r="A447" s="11" t="s">
        <v>9618</v>
      </c>
      <c r="B447" s="5">
        <v>3</v>
      </c>
    </row>
    <row r="448" spans="1:2" x14ac:dyDescent="0.35">
      <c r="A448" s="11" t="s">
        <v>8685</v>
      </c>
      <c r="B448" s="5">
        <v>2</v>
      </c>
    </row>
    <row r="449" spans="1:2" x14ac:dyDescent="0.35">
      <c r="A449" s="11" t="s">
        <v>11423</v>
      </c>
      <c r="B449" s="5">
        <v>1</v>
      </c>
    </row>
    <row r="450" spans="1:2" x14ac:dyDescent="0.35">
      <c r="A450" s="11" t="s">
        <v>2674</v>
      </c>
      <c r="B450" s="5">
        <v>1</v>
      </c>
    </row>
    <row r="451" spans="1:2" x14ac:dyDescent="0.35">
      <c r="A451" s="11" t="s">
        <v>1904</v>
      </c>
      <c r="B451" s="5">
        <v>18</v>
      </c>
    </row>
    <row r="452" spans="1:2" x14ac:dyDescent="0.35">
      <c r="A452" s="11" t="s">
        <v>5657</v>
      </c>
      <c r="B452" s="5">
        <v>1</v>
      </c>
    </row>
    <row r="453" spans="1:2" x14ac:dyDescent="0.35">
      <c r="A453" s="11" t="s">
        <v>3659</v>
      </c>
      <c r="B453" s="5">
        <v>1</v>
      </c>
    </row>
    <row r="454" spans="1:2" x14ac:dyDescent="0.35">
      <c r="A454" s="11" t="s">
        <v>4766</v>
      </c>
      <c r="B454" s="5">
        <v>4</v>
      </c>
    </row>
    <row r="455" spans="1:2" x14ac:dyDescent="0.35">
      <c r="A455" s="11" t="s">
        <v>8469</v>
      </c>
      <c r="B455" s="5">
        <v>1</v>
      </c>
    </row>
    <row r="456" spans="1:2" x14ac:dyDescent="0.35">
      <c r="A456" s="11" t="s">
        <v>4183</v>
      </c>
      <c r="B456" s="5">
        <v>7</v>
      </c>
    </row>
    <row r="457" spans="1:2" x14ac:dyDescent="0.35">
      <c r="A457" s="11" t="s">
        <v>6009</v>
      </c>
      <c r="B457" s="5">
        <v>2</v>
      </c>
    </row>
    <row r="458" spans="1:2" x14ac:dyDescent="0.35">
      <c r="A458" s="11" t="s">
        <v>1054</v>
      </c>
      <c r="B458" s="5">
        <v>7</v>
      </c>
    </row>
    <row r="459" spans="1:2" x14ac:dyDescent="0.35">
      <c r="A459" s="11" t="s">
        <v>9282</v>
      </c>
      <c r="B459" s="5">
        <v>1</v>
      </c>
    </row>
    <row r="460" spans="1:2" x14ac:dyDescent="0.35">
      <c r="A460" s="11" t="s">
        <v>8215</v>
      </c>
      <c r="B460" s="5">
        <v>9</v>
      </c>
    </row>
    <row r="461" spans="1:2" x14ac:dyDescent="0.35">
      <c r="A461" s="11" t="s">
        <v>1875</v>
      </c>
      <c r="B461" s="5">
        <v>3</v>
      </c>
    </row>
    <row r="462" spans="1:2" x14ac:dyDescent="0.35">
      <c r="A462" s="11" t="s">
        <v>3684</v>
      </c>
      <c r="B462" s="5">
        <v>1</v>
      </c>
    </row>
    <row r="463" spans="1:2" x14ac:dyDescent="0.35">
      <c r="A463" s="11" t="s">
        <v>4751</v>
      </c>
      <c r="B463" s="5">
        <v>5</v>
      </c>
    </row>
    <row r="464" spans="1:2" x14ac:dyDescent="0.35">
      <c r="A464" s="11" t="s">
        <v>5564</v>
      </c>
      <c r="B464" s="5">
        <v>2</v>
      </c>
    </row>
    <row r="465" spans="1:2" x14ac:dyDescent="0.35">
      <c r="A465" s="11" t="s">
        <v>865</v>
      </c>
      <c r="B465" s="5">
        <v>3</v>
      </c>
    </row>
    <row r="466" spans="1:2" x14ac:dyDescent="0.35">
      <c r="A466" s="11" t="s">
        <v>8659</v>
      </c>
      <c r="B466" s="5">
        <v>3</v>
      </c>
    </row>
    <row r="467" spans="1:2" x14ac:dyDescent="0.35">
      <c r="A467" s="11" t="s">
        <v>5557</v>
      </c>
      <c r="B467" s="5">
        <v>5</v>
      </c>
    </row>
    <row r="468" spans="1:2" x14ac:dyDescent="0.35">
      <c r="A468" s="11" t="s">
        <v>736</v>
      </c>
      <c r="B468" s="5">
        <v>5</v>
      </c>
    </row>
    <row r="469" spans="1:2" x14ac:dyDescent="0.35">
      <c r="A469" s="11" t="s">
        <v>5465</v>
      </c>
      <c r="B469" s="5">
        <v>8</v>
      </c>
    </row>
    <row r="470" spans="1:2" x14ac:dyDescent="0.35">
      <c r="A470" s="11" t="s">
        <v>1809</v>
      </c>
      <c r="B470" s="5">
        <v>2</v>
      </c>
    </row>
    <row r="471" spans="1:2" x14ac:dyDescent="0.35">
      <c r="A471" s="11" t="s">
        <v>110</v>
      </c>
      <c r="B471" s="5">
        <v>5</v>
      </c>
    </row>
    <row r="472" spans="1:2" x14ac:dyDescent="0.35">
      <c r="A472" s="11" t="s">
        <v>1411</v>
      </c>
      <c r="B472" s="5">
        <v>10</v>
      </c>
    </row>
    <row r="473" spans="1:2" x14ac:dyDescent="0.35">
      <c r="A473" s="11" t="s">
        <v>5709</v>
      </c>
      <c r="B473" s="5">
        <v>3</v>
      </c>
    </row>
    <row r="474" spans="1:2" x14ac:dyDescent="0.35">
      <c r="A474" s="11" t="s">
        <v>9995</v>
      </c>
      <c r="B474" s="5">
        <v>1</v>
      </c>
    </row>
    <row r="475" spans="1:2" x14ac:dyDescent="0.35">
      <c r="A475" s="11" t="s">
        <v>3362</v>
      </c>
      <c r="B475" s="5">
        <v>2</v>
      </c>
    </row>
    <row r="476" spans="1:2" x14ac:dyDescent="0.35">
      <c r="A476" s="11" t="s">
        <v>2232</v>
      </c>
      <c r="B476" s="5">
        <v>3</v>
      </c>
    </row>
    <row r="477" spans="1:2" x14ac:dyDescent="0.35">
      <c r="A477" s="11" t="s">
        <v>8038</v>
      </c>
      <c r="B477" s="5">
        <v>7</v>
      </c>
    </row>
    <row r="478" spans="1:2" x14ac:dyDescent="0.35">
      <c r="A478" s="11" t="s">
        <v>3835</v>
      </c>
      <c r="B478" s="5">
        <v>2</v>
      </c>
    </row>
    <row r="479" spans="1:2" x14ac:dyDescent="0.35">
      <c r="A479" s="11" t="s">
        <v>13108</v>
      </c>
      <c r="B479" s="5">
        <v>1</v>
      </c>
    </row>
    <row r="480" spans="1:2" x14ac:dyDescent="0.35">
      <c r="A480" s="11" t="s">
        <v>6146</v>
      </c>
      <c r="B480" s="5">
        <v>1</v>
      </c>
    </row>
    <row r="481" spans="1:2" x14ac:dyDescent="0.35">
      <c r="A481" s="11" t="s">
        <v>9698</v>
      </c>
      <c r="B481" s="5">
        <v>6</v>
      </c>
    </row>
    <row r="482" spans="1:2" x14ac:dyDescent="0.35">
      <c r="A482" s="11" t="s">
        <v>4845</v>
      </c>
      <c r="B482" s="5">
        <v>7</v>
      </c>
    </row>
    <row r="483" spans="1:2" x14ac:dyDescent="0.35">
      <c r="A483" s="11" t="s">
        <v>620</v>
      </c>
      <c r="B483" s="5">
        <v>10</v>
      </c>
    </row>
    <row r="484" spans="1:2" x14ac:dyDescent="0.35">
      <c r="A484" s="11" t="s">
        <v>9534</v>
      </c>
      <c r="B484" s="5">
        <v>1</v>
      </c>
    </row>
    <row r="485" spans="1:2" x14ac:dyDescent="0.35">
      <c r="A485" s="11" t="s">
        <v>6537</v>
      </c>
      <c r="B485" s="5">
        <v>2</v>
      </c>
    </row>
    <row r="486" spans="1:2" x14ac:dyDescent="0.35">
      <c r="A486" s="11" t="s">
        <v>6691</v>
      </c>
      <c r="B486" s="5">
        <v>1</v>
      </c>
    </row>
    <row r="487" spans="1:2" x14ac:dyDescent="0.35">
      <c r="A487" s="11" t="s">
        <v>5165</v>
      </c>
      <c r="B487" s="5">
        <v>1</v>
      </c>
    </row>
    <row r="488" spans="1:2" x14ac:dyDescent="0.35">
      <c r="A488" s="11" t="s">
        <v>8632</v>
      </c>
      <c r="B488" s="5">
        <v>1</v>
      </c>
    </row>
    <row r="489" spans="1:2" x14ac:dyDescent="0.35">
      <c r="A489" s="11" t="s">
        <v>6955</v>
      </c>
      <c r="B489" s="5">
        <v>1</v>
      </c>
    </row>
    <row r="490" spans="1:2" x14ac:dyDescent="0.35">
      <c r="A490" s="11" t="s">
        <v>2468</v>
      </c>
      <c r="B490" s="5">
        <v>14</v>
      </c>
    </row>
    <row r="491" spans="1:2" x14ac:dyDescent="0.35">
      <c r="A491" s="11" t="s">
        <v>3329</v>
      </c>
      <c r="B491" s="5">
        <v>1</v>
      </c>
    </row>
    <row r="492" spans="1:2" x14ac:dyDescent="0.35">
      <c r="A492" s="11" t="s">
        <v>981</v>
      </c>
      <c r="B492" s="5">
        <v>2</v>
      </c>
    </row>
    <row r="493" spans="1:2" x14ac:dyDescent="0.35">
      <c r="A493" s="11" t="s">
        <v>8312</v>
      </c>
      <c r="B493" s="5">
        <v>3</v>
      </c>
    </row>
    <row r="494" spans="1:2" x14ac:dyDescent="0.35">
      <c r="A494" s="11" t="s">
        <v>11876</v>
      </c>
      <c r="B494" s="5">
        <v>1</v>
      </c>
    </row>
    <row r="495" spans="1:2" x14ac:dyDescent="0.35">
      <c r="A495" s="11" t="s">
        <v>3391</v>
      </c>
      <c r="B495" s="5">
        <v>2</v>
      </c>
    </row>
    <row r="496" spans="1:2" x14ac:dyDescent="0.35">
      <c r="A496" s="11" t="s">
        <v>5846</v>
      </c>
      <c r="B496" s="5">
        <v>2</v>
      </c>
    </row>
    <row r="497" spans="1:2" x14ac:dyDescent="0.35">
      <c r="A497" s="11" t="s">
        <v>8555</v>
      </c>
      <c r="B497" s="5">
        <v>1</v>
      </c>
    </row>
    <row r="498" spans="1:2" x14ac:dyDescent="0.35">
      <c r="A498" s="11" t="s">
        <v>6042</v>
      </c>
      <c r="B498" s="5">
        <v>1</v>
      </c>
    </row>
    <row r="499" spans="1:2" x14ac:dyDescent="0.35">
      <c r="A499" s="11" t="s">
        <v>13100</v>
      </c>
      <c r="B499" s="5">
        <v>2</v>
      </c>
    </row>
    <row r="500" spans="1:2" x14ac:dyDescent="0.35">
      <c r="A500" s="11" t="s">
        <v>2537</v>
      </c>
      <c r="B500" s="5">
        <v>3</v>
      </c>
    </row>
    <row r="501" spans="1:2" x14ac:dyDescent="0.35">
      <c r="A501" s="11" t="s">
        <v>5263</v>
      </c>
      <c r="B501" s="5">
        <v>2</v>
      </c>
    </row>
    <row r="502" spans="1:2" x14ac:dyDescent="0.35">
      <c r="A502" s="11" t="s">
        <v>5318</v>
      </c>
      <c r="B502" s="5">
        <v>1</v>
      </c>
    </row>
    <row r="503" spans="1:2" x14ac:dyDescent="0.35">
      <c r="A503" s="11" t="s">
        <v>5609</v>
      </c>
      <c r="B503" s="5">
        <v>4</v>
      </c>
    </row>
    <row r="504" spans="1:2" x14ac:dyDescent="0.35">
      <c r="A504" s="11" t="s">
        <v>6030</v>
      </c>
      <c r="B504" s="5">
        <v>6</v>
      </c>
    </row>
    <row r="505" spans="1:2" x14ac:dyDescent="0.35">
      <c r="A505" s="11" t="s">
        <v>5062</v>
      </c>
      <c r="B505" s="5">
        <v>12</v>
      </c>
    </row>
    <row r="506" spans="1:2" x14ac:dyDescent="0.35">
      <c r="A506" s="11" t="s">
        <v>5210</v>
      </c>
      <c r="B506" s="5">
        <v>13</v>
      </c>
    </row>
    <row r="507" spans="1:2" x14ac:dyDescent="0.35">
      <c r="A507" s="11" t="s">
        <v>11449</v>
      </c>
      <c r="B507" s="5">
        <v>1</v>
      </c>
    </row>
    <row r="508" spans="1:2" x14ac:dyDescent="0.35">
      <c r="A508" s="11" t="s">
        <v>8864</v>
      </c>
      <c r="B508" s="5">
        <v>2</v>
      </c>
    </row>
    <row r="509" spans="1:2" x14ac:dyDescent="0.35">
      <c r="A509" s="11" t="s">
        <v>11314</v>
      </c>
      <c r="B509" s="5">
        <v>1</v>
      </c>
    </row>
    <row r="510" spans="1:2" x14ac:dyDescent="0.35">
      <c r="A510" s="11" t="s">
        <v>3527</v>
      </c>
      <c r="B510" s="5">
        <v>5</v>
      </c>
    </row>
    <row r="511" spans="1:2" x14ac:dyDescent="0.35">
      <c r="A511" s="11" t="s">
        <v>3861</v>
      </c>
      <c r="B511" s="5">
        <v>2</v>
      </c>
    </row>
    <row r="512" spans="1:2" x14ac:dyDescent="0.35">
      <c r="A512" s="11" t="s">
        <v>10851</v>
      </c>
      <c r="B512" s="5">
        <v>2</v>
      </c>
    </row>
    <row r="513" spans="1:2" x14ac:dyDescent="0.35">
      <c r="A513" s="11" t="s">
        <v>12872</v>
      </c>
      <c r="B513" s="5">
        <v>5</v>
      </c>
    </row>
    <row r="514" spans="1:2" x14ac:dyDescent="0.35">
      <c r="A514" s="11" t="s">
        <v>1238</v>
      </c>
      <c r="B514" s="5">
        <v>7</v>
      </c>
    </row>
    <row r="515" spans="1:2" x14ac:dyDescent="0.35">
      <c r="A515" s="11" t="s">
        <v>1234</v>
      </c>
      <c r="B515" s="5">
        <v>4</v>
      </c>
    </row>
    <row r="516" spans="1:2" x14ac:dyDescent="0.35">
      <c r="A516" s="11" t="s">
        <v>4029</v>
      </c>
      <c r="B516" s="5">
        <v>1</v>
      </c>
    </row>
    <row r="517" spans="1:2" x14ac:dyDescent="0.35">
      <c r="A517" s="11" t="s">
        <v>5785</v>
      </c>
      <c r="B517" s="5">
        <v>2</v>
      </c>
    </row>
    <row r="518" spans="1:2" x14ac:dyDescent="0.35">
      <c r="A518" s="11" t="s">
        <v>3720</v>
      </c>
      <c r="B518" s="5">
        <v>1</v>
      </c>
    </row>
    <row r="519" spans="1:2" x14ac:dyDescent="0.35">
      <c r="A519" s="11" t="s">
        <v>4840</v>
      </c>
      <c r="B519" s="5">
        <v>1</v>
      </c>
    </row>
    <row r="520" spans="1:2" x14ac:dyDescent="0.35">
      <c r="A520" s="11" t="s">
        <v>5489</v>
      </c>
      <c r="B520" s="5">
        <v>1</v>
      </c>
    </row>
    <row r="521" spans="1:2" x14ac:dyDescent="0.35">
      <c r="A521" s="11" t="s">
        <v>8446</v>
      </c>
      <c r="B521" s="5">
        <v>8</v>
      </c>
    </row>
    <row r="522" spans="1:2" x14ac:dyDescent="0.35">
      <c r="A522" s="11" t="s">
        <v>203</v>
      </c>
      <c r="B522" s="5">
        <v>5</v>
      </c>
    </row>
    <row r="523" spans="1:2" x14ac:dyDescent="0.35">
      <c r="A523" s="11" t="s">
        <v>9787</v>
      </c>
      <c r="B523" s="5">
        <v>2</v>
      </c>
    </row>
    <row r="524" spans="1:2" x14ac:dyDescent="0.35">
      <c r="A524" s="11" t="s">
        <v>58</v>
      </c>
      <c r="B524" s="5">
        <v>2</v>
      </c>
    </row>
    <row r="525" spans="1:2" x14ac:dyDescent="0.35">
      <c r="A525" s="11" t="s">
        <v>3920</v>
      </c>
      <c r="B525" s="5">
        <v>1</v>
      </c>
    </row>
    <row r="526" spans="1:2" x14ac:dyDescent="0.35">
      <c r="A526" s="11" t="s">
        <v>5735</v>
      </c>
      <c r="B526" s="5">
        <v>2</v>
      </c>
    </row>
    <row r="527" spans="1:2" x14ac:dyDescent="0.35">
      <c r="A527" s="11" t="s">
        <v>11556</v>
      </c>
      <c r="B527" s="5">
        <v>2</v>
      </c>
    </row>
    <row r="528" spans="1:2" x14ac:dyDescent="0.35">
      <c r="A528" s="11" t="s">
        <v>1045</v>
      </c>
      <c r="B528" s="5">
        <v>2</v>
      </c>
    </row>
    <row r="529" spans="1:2" x14ac:dyDescent="0.35">
      <c r="A529" s="11" t="s">
        <v>9358</v>
      </c>
      <c r="B529" s="5">
        <v>3</v>
      </c>
    </row>
    <row r="530" spans="1:2" x14ac:dyDescent="0.35">
      <c r="A530" s="11" t="s">
        <v>12342</v>
      </c>
      <c r="B530" s="5">
        <v>1</v>
      </c>
    </row>
    <row r="531" spans="1:2" x14ac:dyDescent="0.35">
      <c r="A531" s="11" t="s">
        <v>4991</v>
      </c>
      <c r="B531" s="5">
        <v>4</v>
      </c>
    </row>
    <row r="532" spans="1:2" x14ac:dyDescent="0.35">
      <c r="A532" s="11" t="s">
        <v>11206</v>
      </c>
      <c r="B532" s="5">
        <v>1</v>
      </c>
    </row>
    <row r="533" spans="1:2" x14ac:dyDescent="0.35">
      <c r="A533" s="11" t="s">
        <v>1284</v>
      </c>
      <c r="B533" s="5">
        <v>7</v>
      </c>
    </row>
    <row r="534" spans="1:2" x14ac:dyDescent="0.35">
      <c r="A534" s="11" t="s">
        <v>5458</v>
      </c>
      <c r="B534" s="5">
        <v>1</v>
      </c>
    </row>
    <row r="535" spans="1:2" x14ac:dyDescent="0.35">
      <c r="A535" s="11" t="s">
        <v>6171</v>
      </c>
      <c r="B535" s="5">
        <v>9</v>
      </c>
    </row>
    <row r="536" spans="1:2" x14ac:dyDescent="0.35">
      <c r="A536" s="11" t="s">
        <v>7187</v>
      </c>
      <c r="B536" s="5">
        <v>1</v>
      </c>
    </row>
    <row r="537" spans="1:2" x14ac:dyDescent="0.35">
      <c r="A537" s="11" t="s">
        <v>5517</v>
      </c>
      <c r="B537" s="5">
        <v>3</v>
      </c>
    </row>
    <row r="538" spans="1:2" x14ac:dyDescent="0.35">
      <c r="A538" s="11" t="s">
        <v>1626</v>
      </c>
      <c r="B538" s="5">
        <v>10</v>
      </c>
    </row>
    <row r="539" spans="1:2" x14ac:dyDescent="0.35">
      <c r="A539" s="11" t="s">
        <v>11117</v>
      </c>
      <c r="B539" s="5">
        <v>2</v>
      </c>
    </row>
    <row r="540" spans="1:2" x14ac:dyDescent="0.35">
      <c r="A540" s="11" t="s">
        <v>1717</v>
      </c>
      <c r="B540" s="5">
        <v>6</v>
      </c>
    </row>
    <row r="541" spans="1:2" x14ac:dyDescent="0.35">
      <c r="A541" s="11" t="s">
        <v>3243</v>
      </c>
      <c r="B541" s="5">
        <v>3</v>
      </c>
    </row>
    <row r="542" spans="1:2" x14ac:dyDescent="0.35">
      <c r="A542" s="11" t="s">
        <v>2866</v>
      </c>
      <c r="B542" s="5">
        <v>12</v>
      </c>
    </row>
    <row r="543" spans="1:2" x14ac:dyDescent="0.35">
      <c r="A543" s="11" t="s">
        <v>3326</v>
      </c>
      <c r="B543" s="5">
        <v>3</v>
      </c>
    </row>
    <row r="544" spans="1:2" x14ac:dyDescent="0.35">
      <c r="A544" s="11" t="s">
        <v>1230</v>
      </c>
      <c r="B544" s="5">
        <v>2</v>
      </c>
    </row>
    <row r="545" spans="1:2" x14ac:dyDescent="0.35">
      <c r="A545" s="11" t="s">
        <v>2153</v>
      </c>
      <c r="B545" s="5">
        <v>5</v>
      </c>
    </row>
    <row r="546" spans="1:2" x14ac:dyDescent="0.35">
      <c r="A546" s="11" t="s">
        <v>6949</v>
      </c>
      <c r="B546" s="5">
        <v>2</v>
      </c>
    </row>
    <row r="547" spans="1:2" x14ac:dyDescent="0.35">
      <c r="A547" s="11" t="s">
        <v>1755</v>
      </c>
      <c r="B547" s="5">
        <v>13</v>
      </c>
    </row>
    <row r="548" spans="1:2" x14ac:dyDescent="0.35">
      <c r="A548" s="11" t="s">
        <v>8762</v>
      </c>
      <c r="B548" s="5">
        <v>3</v>
      </c>
    </row>
    <row r="549" spans="1:2" x14ac:dyDescent="0.35">
      <c r="A549" s="11" t="s">
        <v>4504</v>
      </c>
      <c r="B549" s="5">
        <v>1</v>
      </c>
    </row>
    <row r="550" spans="1:2" x14ac:dyDescent="0.35">
      <c r="A550" s="11" t="s">
        <v>11892</v>
      </c>
      <c r="B550" s="5">
        <v>3</v>
      </c>
    </row>
    <row r="551" spans="1:2" x14ac:dyDescent="0.35">
      <c r="A551" s="11" t="s">
        <v>12896</v>
      </c>
      <c r="B551" s="5">
        <v>1</v>
      </c>
    </row>
    <row r="552" spans="1:2" x14ac:dyDescent="0.35">
      <c r="A552" s="11" t="s">
        <v>5975</v>
      </c>
      <c r="B552" s="5">
        <v>1</v>
      </c>
    </row>
    <row r="553" spans="1:2" x14ac:dyDescent="0.35">
      <c r="A553" s="11" t="s">
        <v>1153</v>
      </c>
      <c r="B553" s="5">
        <v>4</v>
      </c>
    </row>
    <row r="554" spans="1:2" x14ac:dyDescent="0.35">
      <c r="A554" s="11" t="s">
        <v>531</v>
      </c>
      <c r="B554" s="5">
        <v>3</v>
      </c>
    </row>
    <row r="555" spans="1:2" x14ac:dyDescent="0.35">
      <c r="A555" s="11" t="s">
        <v>7378</v>
      </c>
      <c r="B555" s="5">
        <v>1</v>
      </c>
    </row>
    <row r="556" spans="1:2" x14ac:dyDescent="0.35">
      <c r="A556" s="11" t="s">
        <v>12295</v>
      </c>
      <c r="B556" s="5">
        <v>2</v>
      </c>
    </row>
    <row r="557" spans="1:2" x14ac:dyDescent="0.35">
      <c r="A557" s="11" t="s">
        <v>4156</v>
      </c>
      <c r="B557" s="5">
        <v>2</v>
      </c>
    </row>
    <row r="558" spans="1:2" x14ac:dyDescent="0.35">
      <c r="A558" s="11" t="s">
        <v>9116</v>
      </c>
      <c r="B558" s="5">
        <v>1</v>
      </c>
    </row>
    <row r="559" spans="1:2" x14ac:dyDescent="0.35">
      <c r="A559" s="11" t="s">
        <v>1566</v>
      </c>
      <c r="B559" s="5">
        <v>6</v>
      </c>
    </row>
    <row r="560" spans="1:2" x14ac:dyDescent="0.35">
      <c r="A560" s="11" t="s">
        <v>3389</v>
      </c>
      <c r="B560" s="5">
        <v>2</v>
      </c>
    </row>
    <row r="561" spans="1:2" x14ac:dyDescent="0.35">
      <c r="A561" s="11" t="s">
        <v>2383</v>
      </c>
      <c r="B561" s="5">
        <v>3</v>
      </c>
    </row>
    <row r="562" spans="1:2" x14ac:dyDescent="0.35">
      <c r="A562" s="12" t="s">
        <v>423</v>
      </c>
      <c r="B562" s="13">
        <v>18</v>
      </c>
    </row>
    <row r="563" spans="1:2" x14ac:dyDescent="0.35">
      <c r="A563" s="11" t="s">
        <v>1405</v>
      </c>
      <c r="B563" s="5">
        <v>5</v>
      </c>
    </row>
    <row r="564" spans="1:2" x14ac:dyDescent="0.35">
      <c r="A564" s="11" t="s">
        <v>422</v>
      </c>
      <c r="B564" s="5">
        <v>1</v>
      </c>
    </row>
    <row r="565" spans="1:2" x14ac:dyDescent="0.35">
      <c r="A565" s="11" t="s">
        <v>12996</v>
      </c>
      <c r="B565" s="5">
        <v>1</v>
      </c>
    </row>
    <row r="566" spans="1:2" x14ac:dyDescent="0.35">
      <c r="A566" s="11" t="s">
        <v>2452</v>
      </c>
      <c r="B566" s="5">
        <v>10</v>
      </c>
    </row>
    <row r="567" spans="1:2" x14ac:dyDescent="0.35">
      <c r="A567" s="11" t="s">
        <v>7738</v>
      </c>
      <c r="B567" s="5">
        <v>1</v>
      </c>
    </row>
    <row r="568" spans="1:2" x14ac:dyDescent="0.35">
      <c r="A568" s="12" t="s">
        <v>158</v>
      </c>
      <c r="B568" s="13">
        <v>232</v>
      </c>
    </row>
    <row r="569" spans="1:2" x14ac:dyDescent="0.35">
      <c r="A569" s="11" t="s">
        <v>388</v>
      </c>
      <c r="B569" s="5">
        <v>3</v>
      </c>
    </row>
    <row r="570" spans="1:2" x14ac:dyDescent="0.35">
      <c r="A570" s="11" t="s">
        <v>10867</v>
      </c>
      <c r="B570" s="5">
        <v>1</v>
      </c>
    </row>
    <row r="571" spans="1:2" x14ac:dyDescent="0.35">
      <c r="A571" s="11" t="s">
        <v>12577</v>
      </c>
      <c r="B571" s="5">
        <v>2</v>
      </c>
    </row>
    <row r="572" spans="1:2" x14ac:dyDescent="0.35">
      <c r="A572" s="11" t="s">
        <v>5110</v>
      </c>
      <c r="B572" s="5">
        <v>5</v>
      </c>
    </row>
    <row r="573" spans="1:2" x14ac:dyDescent="0.35">
      <c r="A573" s="11" t="s">
        <v>11310</v>
      </c>
      <c r="B573" s="5">
        <v>1</v>
      </c>
    </row>
    <row r="574" spans="1:2" x14ac:dyDescent="0.35">
      <c r="A574" s="11" t="s">
        <v>6787</v>
      </c>
      <c r="B574" s="5">
        <v>1</v>
      </c>
    </row>
    <row r="575" spans="1:2" x14ac:dyDescent="0.35">
      <c r="A575" s="11" t="s">
        <v>7062</v>
      </c>
      <c r="B575" s="5">
        <v>4</v>
      </c>
    </row>
    <row r="576" spans="1:2" x14ac:dyDescent="0.35">
      <c r="A576" s="11" t="s">
        <v>9706</v>
      </c>
      <c r="B576" s="5">
        <v>2</v>
      </c>
    </row>
    <row r="577" spans="1:2" x14ac:dyDescent="0.35">
      <c r="A577" s="11" t="s">
        <v>157</v>
      </c>
      <c r="B577" s="5">
        <v>4</v>
      </c>
    </row>
    <row r="578" spans="1:2" x14ac:dyDescent="0.35">
      <c r="A578" s="11" t="s">
        <v>1583</v>
      </c>
      <c r="B578" s="5">
        <v>9</v>
      </c>
    </row>
    <row r="579" spans="1:2" x14ac:dyDescent="0.35">
      <c r="A579" s="11" t="s">
        <v>3878</v>
      </c>
      <c r="B579" s="5">
        <v>5</v>
      </c>
    </row>
    <row r="580" spans="1:2" x14ac:dyDescent="0.35">
      <c r="A580" s="11" t="s">
        <v>11389</v>
      </c>
      <c r="B580" s="5">
        <v>2</v>
      </c>
    </row>
    <row r="581" spans="1:2" x14ac:dyDescent="0.35">
      <c r="A581" s="11" t="s">
        <v>3295</v>
      </c>
      <c r="B581" s="5">
        <v>2</v>
      </c>
    </row>
    <row r="582" spans="1:2" x14ac:dyDescent="0.35">
      <c r="A582" s="11" t="s">
        <v>6557</v>
      </c>
      <c r="B582" s="5">
        <v>5</v>
      </c>
    </row>
    <row r="583" spans="1:2" x14ac:dyDescent="0.35">
      <c r="A583" s="11" t="s">
        <v>9209</v>
      </c>
      <c r="B583" s="5">
        <v>1</v>
      </c>
    </row>
    <row r="584" spans="1:2" x14ac:dyDescent="0.35">
      <c r="A584" s="11" t="s">
        <v>7021</v>
      </c>
      <c r="B584" s="5">
        <v>3</v>
      </c>
    </row>
    <row r="585" spans="1:2" x14ac:dyDescent="0.35">
      <c r="A585" s="11" t="s">
        <v>6376</v>
      </c>
      <c r="B585" s="5">
        <v>4</v>
      </c>
    </row>
    <row r="586" spans="1:2" x14ac:dyDescent="0.35">
      <c r="A586" s="11" t="s">
        <v>9050</v>
      </c>
      <c r="B586" s="5">
        <v>1</v>
      </c>
    </row>
    <row r="587" spans="1:2" x14ac:dyDescent="0.35">
      <c r="A587" s="11" t="s">
        <v>9622</v>
      </c>
      <c r="B587" s="5">
        <v>2</v>
      </c>
    </row>
    <row r="588" spans="1:2" x14ac:dyDescent="0.35">
      <c r="A588" s="11" t="s">
        <v>10770</v>
      </c>
      <c r="B588" s="5">
        <v>2</v>
      </c>
    </row>
    <row r="589" spans="1:2" x14ac:dyDescent="0.35">
      <c r="A589" s="11" t="s">
        <v>11897</v>
      </c>
      <c r="B589" s="5">
        <v>1</v>
      </c>
    </row>
    <row r="590" spans="1:2" x14ac:dyDescent="0.35">
      <c r="A590" s="11" t="s">
        <v>3463</v>
      </c>
      <c r="B590" s="5">
        <v>1</v>
      </c>
    </row>
    <row r="591" spans="1:2" x14ac:dyDescent="0.35">
      <c r="A591" s="11" t="s">
        <v>6782</v>
      </c>
      <c r="B591" s="5">
        <v>1</v>
      </c>
    </row>
    <row r="592" spans="1:2" x14ac:dyDescent="0.35">
      <c r="A592" s="11" t="s">
        <v>4179</v>
      </c>
      <c r="B592" s="5">
        <v>4</v>
      </c>
    </row>
    <row r="593" spans="1:2" x14ac:dyDescent="0.35">
      <c r="A593" s="11" t="s">
        <v>9380</v>
      </c>
      <c r="B593" s="5">
        <v>3</v>
      </c>
    </row>
    <row r="594" spans="1:2" x14ac:dyDescent="0.35">
      <c r="A594" s="11" t="s">
        <v>9683</v>
      </c>
      <c r="B594" s="5">
        <v>3</v>
      </c>
    </row>
    <row r="595" spans="1:2" x14ac:dyDescent="0.35">
      <c r="A595" s="11" t="s">
        <v>8004</v>
      </c>
      <c r="B595" s="5">
        <v>1</v>
      </c>
    </row>
    <row r="596" spans="1:2" x14ac:dyDescent="0.35">
      <c r="A596" s="11" t="s">
        <v>2648</v>
      </c>
      <c r="B596" s="5">
        <v>1</v>
      </c>
    </row>
    <row r="597" spans="1:2" x14ac:dyDescent="0.35">
      <c r="A597" s="11" t="s">
        <v>9554</v>
      </c>
      <c r="B597" s="5">
        <v>1</v>
      </c>
    </row>
    <row r="598" spans="1:2" x14ac:dyDescent="0.35">
      <c r="A598" s="11" t="s">
        <v>4772</v>
      </c>
      <c r="B598" s="5">
        <v>3</v>
      </c>
    </row>
    <row r="599" spans="1:2" x14ac:dyDescent="0.35">
      <c r="A599" s="11" t="s">
        <v>10470</v>
      </c>
      <c r="B599" s="5">
        <v>3</v>
      </c>
    </row>
    <row r="600" spans="1:2" x14ac:dyDescent="0.35">
      <c r="A600" s="11" t="s">
        <v>9356</v>
      </c>
      <c r="B600" s="5">
        <v>1</v>
      </c>
    </row>
    <row r="601" spans="1:2" x14ac:dyDescent="0.35">
      <c r="A601" s="11" t="s">
        <v>5529</v>
      </c>
      <c r="B601" s="5">
        <v>1</v>
      </c>
    </row>
    <row r="602" spans="1:2" x14ac:dyDescent="0.35">
      <c r="A602" s="11" t="s">
        <v>5106</v>
      </c>
      <c r="B602" s="5">
        <v>3</v>
      </c>
    </row>
    <row r="603" spans="1:2" x14ac:dyDescent="0.35">
      <c r="A603" s="11" t="s">
        <v>4726</v>
      </c>
      <c r="B603" s="5">
        <v>8</v>
      </c>
    </row>
    <row r="604" spans="1:2" x14ac:dyDescent="0.35">
      <c r="A604" s="11" t="s">
        <v>10723</v>
      </c>
      <c r="B604" s="5">
        <v>2</v>
      </c>
    </row>
    <row r="605" spans="1:2" x14ac:dyDescent="0.35">
      <c r="A605" s="11" t="s">
        <v>12023</v>
      </c>
      <c r="B605" s="5">
        <v>1</v>
      </c>
    </row>
    <row r="606" spans="1:2" x14ac:dyDescent="0.35">
      <c r="A606" s="11" t="s">
        <v>5027</v>
      </c>
      <c r="B606" s="5">
        <v>4</v>
      </c>
    </row>
    <row r="607" spans="1:2" x14ac:dyDescent="0.35">
      <c r="A607" s="11" t="s">
        <v>7898</v>
      </c>
      <c r="B607" s="5">
        <v>6</v>
      </c>
    </row>
    <row r="608" spans="1:2" x14ac:dyDescent="0.35">
      <c r="A608" s="11" t="s">
        <v>8093</v>
      </c>
      <c r="B608" s="5">
        <v>2</v>
      </c>
    </row>
    <row r="609" spans="1:2" x14ac:dyDescent="0.35">
      <c r="A609" s="11" t="s">
        <v>10733</v>
      </c>
      <c r="B609" s="5">
        <v>2</v>
      </c>
    </row>
    <row r="610" spans="1:2" x14ac:dyDescent="0.35">
      <c r="A610" s="11" t="s">
        <v>485</v>
      </c>
      <c r="B610" s="5">
        <v>6</v>
      </c>
    </row>
    <row r="611" spans="1:2" x14ac:dyDescent="0.35">
      <c r="A611" s="11" t="s">
        <v>3356</v>
      </c>
      <c r="B611" s="5">
        <v>1</v>
      </c>
    </row>
    <row r="612" spans="1:2" x14ac:dyDescent="0.35">
      <c r="A612" s="11" t="s">
        <v>9657</v>
      </c>
      <c r="B612" s="5">
        <v>2</v>
      </c>
    </row>
    <row r="613" spans="1:2" x14ac:dyDescent="0.35">
      <c r="A613" s="11" t="s">
        <v>3590</v>
      </c>
      <c r="B613" s="5">
        <v>5</v>
      </c>
    </row>
    <row r="614" spans="1:2" x14ac:dyDescent="0.35">
      <c r="A614" s="11" t="s">
        <v>4043</v>
      </c>
      <c r="B614" s="5">
        <v>5</v>
      </c>
    </row>
    <row r="615" spans="1:2" x14ac:dyDescent="0.35">
      <c r="A615" s="11" t="s">
        <v>7069</v>
      </c>
      <c r="B615" s="5">
        <v>1</v>
      </c>
    </row>
    <row r="616" spans="1:2" x14ac:dyDescent="0.35">
      <c r="A616" s="11" t="s">
        <v>8314</v>
      </c>
      <c r="B616" s="5">
        <v>2</v>
      </c>
    </row>
    <row r="617" spans="1:2" x14ac:dyDescent="0.35">
      <c r="A617" s="11" t="s">
        <v>8593</v>
      </c>
      <c r="B617" s="5">
        <v>4</v>
      </c>
    </row>
    <row r="618" spans="1:2" x14ac:dyDescent="0.35">
      <c r="A618" s="11" t="s">
        <v>6235</v>
      </c>
      <c r="B618" s="5">
        <v>2</v>
      </c>
    </row>
    <row r="619" spans="1:2" x14ac:dyDescent="0.35">
      <c r="A619" s="11" t="s">
        <v>8841</v>
      </c>
      <c r="B619" s="5">
        <v>1</v>
      </c>
    </row>
    <row r="620" spans="1:2" x14ac:dyDescent="0.35">
      <c r="A620" s="11" t="s">
        <v>12713</v>
      </c>
      <c r="B620" s="5">
        <v>1</v>
      </c>
    </row>
    <row r="621" spans="1:2" x14ac:dyDescent="0.35">
      <c r="A621" s="11" t="s">
        <v>12644</v>
      </c>
      <c r="B621" s="5">
        <v>1</v>
      </c>
    </row>
    <row r="622" spans="1:2" x14ac:dyDescent="0.35">
      <c r="A622" s="11" t="s">
        <v>12297</v>
      </c>
      <c r="B622" s="5">
        <v>2</v>
      </c>
    </row>
    <row r="623" spans="1:2" x14ac:dyDescent="0.35">
      <c r="A623" s="11" t="s">
        <v>1306</v>
      </c>
      <c r="B623" s="5">
        <v>6</v>
      </c>
    </row>
    <row r="624" spans="1:2" x14ac:dyDescent="0.35">
      <c r="A624" s="11" t="s">
        <v>346</v>
      </c>
      <c r="B624" s="5">
        <v>1</v>
      </c>
    </row>
    <row r="625" spans="1:2" x14ac:dyDescent="0.35">
      <c r="A625" s="11" t="s">
        <v>9455</v>
      </c>
      <c r="B625" s="5">
        <v>1</v>
      </c>
    </row>
    <row r="626" spans="1:2" x14ac:dyDescent="0.35">
      <c r="A626" s="11" t="s">
        <v>4871</v>
      </c>
      <c r="B626" s="5">
        <v>1</v>
      </c>
    </row>
    <row r="627" spans="1:2" x14ac:dyDescent="0.35">
      <c r="A627" s="11" t="s">
        <v>9043</v>
      </c>
      <c r="B627" s="5">
        <v>3</v>
      </c>
    </row>
    <row r="628" spans="1:2" x14ac:dyDescent="0.35">
      <c r="A628" s="11" t="s">
        <v>8572</v>
      </c>
      <c r="B628" s="5">
        <v>8</v>
      </c>
    </row>
    <row r="629" spans="1:2" x14ac:dyDescent="0.35">
      <c r="A629" s="11" t="s">
        <v>6720</v>
      </c>
      <c r="B629" s="5">
        <v>1</v>
      </c>
    </row>
    <row r="630" spans="1:2" x14ac:dyDescent="0.35">
      <c r="A630" s="11" t="s">
        <v>12916</v>
      </c>
      <c r="B630" s="5">
        <v>3</v>
      </c>
    </row>
    <row r="631" spans="1:2" x14ac:dyDescent="0.35">
      <c r="A631" s="11" t="s">
        <v>8675</v>
      </c>
      <c r="B631" s="5">
        <v>2</v>
      </c>
    </row>
    <row r="632" spans="1:2" x14ac:dyDescent="0.35">
      <c r="A632" s="11" t="s">
        <v>11813</v>
      </c>
      <c r="B632" s="5">
        <v>2</v>
      </c>
    </row>
    <row r="633" spans="1:2" x14ac:dyDescent="0.35">
      <c r="A633" s="11" t="s">
        <v>8104</v>
      </c>
      <c r="B633" s="5">
        <v>2</v>
      </c>
    </row>
    <row r="634" spans="1:2" x14ac:dyDescent="0.35">
      <c r="A634" s="11" t="s">
        <v>12650</v>
      </c>
      <c r="B634" s="5">
        <v>1</v>
      </c>
    </row>
    <row r="635" spans="1:2" x14ac:dyDescent="0.35">
      <c r="A635" s="11" t="s">
        <v>6957</v>
      </c>
      <c r="B635" s="5">
        <v>1</v>
      </c>
    </row>
    <row r="636" spans="1:2" x14ac:dyDescent="0.35">
      <c r="A636" s="11" t="s">
        <v>9856</v>
      </c>
      <c r="B636" s="5">
        <v>2</v>
      </c>
    </row>
    <row r="637" spans="1:2" x14ac:dyDescent="0.35">
      <c r="A637" s="11" t="s">
        <v>6453</v>
      </c>
      <c r="B637" s="5">
        <v>3</v>
      </c>
    </row>
    <row r="638" spans="1:2" x14ac:dyDescent="0.35">
      <c r="A638" s="11" t="s">
        <v>6143</v>
      </c>
      <c r="B638" s="5">
        <v>1</v>
      </c>
    </row>
    <row r="639" spans="1:2" x14ac:dyDescent="0.35">
      <c r="A639" s="11" t="s">
        <v>12962</v>
      </c>
      <c r="B639" s="5">
        <v>1</v>
      </c>
    </row>
    <row r="640" spans="1:2" x14ac:dyDescent="0.35">
      <c r="A640" s="11" t="s">
        <v>2628</v>
      </c>
      <c r="B640" s="5">
        <v>6</v>
      </c>
    </row>
    <row r="641" spans="1:2" x14ac:dyDescent="0.35">
      <c r="A641" s="11" t="s">
        <v>8407</v>
      </c>
      <c r="B641" s="5">
        <v>4</v>
      </c>
    </row>
    <row r="642" spans="1:2" x14ac:dyDescent="0.35">
      <c r="A642" s="11" t="s">
        <v>12663</v>
      </c>
      <c r="B642" s="5">
        <v>1</v>
      </c>
    </row>
    <row r="643" spans="1:2" x14ac:dyDescent="0.35">
      <c r="A643" s="11" t="s">
        <v>8852</v>
      </c>
      <c r="B643" s="5">
        <v>1</v>
      </c>
    </row>
    <row r="644" spans="1:2" x14ac:dyDescent="0.35">
      <c r="A644" s="11" t="s">
        <v>5346</v>
      </c>
      <c r="B644" s="5">
        <v>2</v>
      </c>
    </row>
    <row r="645" spans="1:2" x14ac:dyDescent="0.35">
      <c r="A645" s="11" t="s">
        <v>4404</v>
      </c>
      <c r="B645" s="5">
        <v>3</v>
      </c>
    </row>
    <row r="646" spans="1:2" x14ac:dyDescent="0.35">
      <c r="A646" s="11" t="s">
        <v>3132</v>
      </c>
      <c r="B646" s="5">
        <v>27</v>
      </c>
    </row>
    <row r="647" spans="1:2" x14ac:dyDescent="0.35">
      <c r="A647" s="11" t="s">
        <v>7445</v>
      </c>
      <c r="B647" s="5">
        <v>2</v>
      </c>
    </row>
    <row r="648" spans="1:2" x14ac:dyDescent="0.35">
      <c r="A648" s="11" t="s">
        <v>6687</v>
      </c>
      <c r="B648" s="5">
        <v>1</v>
      </c>
    </row>
    <row r="649" spans="1:2" x14ac:dyDescent="0.35">
      <c r="A649" s="11" t="s">
        <v>7609</v>
      </c>
      <c r="B649" s="5">
        <v>1</v>
      </c>
    </row>
    <row r="650" spans="1:2" x14ac:dyDescent="0.35">
      <c r="A650" s="11" t="s">
        <v>3966</v>
      </c>
      <c r="B650" s="5">
        <v>1</v>
      </c>
    </row>
    <row r="651" spans="1:2" x14ac:dyDescent="0.35">
      <c r="A651" s="12" t="s">
        <v>117</v>
      </c>
      <c r="B651" s="13">
        <v>80</v>
      </c>
    </row>
    <row r="652" spans="1:2" x14ac:dyDescent="0.35">
      <c r="A652" s="11" t="s">
        <v>12799</v>
      </c>
      <c r="B652" s="5">
        <v>2</v>
      </c>
    </row>
    <row r="653" spans="1:2" x14ac:dyDescent="0.35">
      <c r="A653" s="11" t="s">
        <v>6004</v>
      </c>
      <c r="B653" s="5">
        <v>18</v>
      </c>
    </row>
    <row r="654" spans="1:2" x14ac:dyDescent="0.35">
      <c r="A654" s="11" t="s">
        <v>2890</v>
      </c>
      <c r="B654" s="5">
        <v>8</v>
      </c>
    </row>
    <row r="655" spans="1:2" x14ac:dyDescent="0.35">
      <c r="A655" s="11" t="s">
        <v>3208</v>
      </c>
      <c r="B655" s="5">
        <v>6</v>
      </c>
    </row>
    <row r="656" spans="1:2" x14ac:dyDescent="0.35">
      <c r="A656" s="11" t="s">
        <v>12197</v>
      </c>
      <c r="B656" s="5">
        <v>1</v>
      </c>
    </row>
    <row r="657" spans="1:2" x14ac:dyDescent="0.35">
      <c r="A657" s="11" t="s">
        <v>869</v>
      </c>
      <c r="B657" s="5">
        <v>1</v>
      </c>
    </row>
    <row r="658" spans="1:2" x14ac:dyDescent="0.35">
      <c r="A658" s="11" t="s">
        <v>2525</v>
      </c>
      <c r="B658" s="5">
        <v>23</v>
      </c>
    </row>
    <row r="659" spans="1:2" x14ac:dyDescent="0.35">
      <c r="A659" s="11" t="s">
        <v>116</v>
      </c>
      <c r="B659" s="5">
        <v>1</v>
      </c>
    </row>
    <row r="660" spans="1:2" x14ac:dyDescent="0.35">
      <c r="A660" s="11" t="s">
        <v>12818</v>
      </c>
      <c r="B660" s="5">
        <v>1</v>
      </c>
    </row>
    <row r="661" spans="1:2" x14ac:dyDescent="0.35">
      <c r="A661" s="11" t="s">
        <v>6074</v>
      </c>
      <c r="B661" s="5">
        <v>3</v>
      </c>
    </row>
    <row r="662" spans="1:2" x14ac:dyDescent="0.35">
      <c r="A662" s="11" t="s">
        <v>3761</v>
      </c>
      <c r="B662" s="5">
        <v>2</v>
      </c>
    </row>
    <row r="663" spans="1:2" x14ac:dyDescent="0.35">
      <c r="A663" s="11" t="s">
        <v>12809</v>
      </c>
      <c r="B663" s="5">
        <v>1</v>
      </c>
    </row>
    <row r="664" spans="1:2" x14ac:dyDescent="0.35">
      <c r="A664" s="11" t="s">
        <v>2302</v>
      </c>
      <c r="B664" s="5">
        <v>4</v>
      </c>
    </row>
    <row r="665" spans="1:2" x14ac:dyDescent="0.35">
      <c r="A665" s="11" t="s">
        <v>11294</v>
      </c>
      <c r="B665" s="5">
        <v>1</v>
      </c>
    </row>
    <row r="666" spans="1:2" x14ac:dyDescent="0.35">
      <c r="A666" s="11" t="s">
        <v>6098</v>
      </c>
      <c r="B666" s="5">
        <v>3</v>
      </c>
    </row>
    <row r="667" spans="1:2" x14ac:dyDescent="0.35">
      <c r="A667" s="11" t="s">
        <v>1588</v>
      </c>
      <c r="B667" s="5">
        <v>1</v>
      </c>
    </row>
    <row r="668" spans="1:2" x14ac:dyDescent="0.35">
      <c r="A668" s="11" t="s">
        <v>6244</v>
      </c>
      <c r="B668" s="5">
        <v>1</v>
      </c>
    </row>
    <row r="669" spans="1:2" x14ac:dyDescent="0.35">
      <c r="A669" s="11" t="s">
        <v>4242</v>
      </c>
      <c r="B669" s="5">
        <v>3</v>
      </c>
    </row>
    <row r="670" spans="1:2" x14ac:dyDescent="0.35">
      <c r="A670" s="12" t="s">
        <v>1482</v>
      </c>
      <c r="B670" s="13">
        <v>29</v>
      </c>
    </row>
    <row r="671" spans="1:2" x14ac:dyDescent="0.35">
      <c r="A671" s="11" t="s">
        <v>10791</v>
      </c>
      <c r="B671" s="5">
        <v>2</v>
      </c>
    </row>
    <row r="672" spans="1:2" x14ac:dyDescent="0.35">
      <c r="A672" s="11" t="s">
        <v>6586</v>
      </c>
      <c r="B672" s="5">
        <v>2</v>
      </c>
    </row>
    <row r="673" spans="1:2" x14ac:dyDescent="0.35">
      <c r="A673" s="11" t="s">
        <v>10879</v>
      </c>
      <c r="B673" s="5">
        <v>1</v>
      </c>
    </row>
    <row r="674" spans="1:2" x14ac:dyDescent="0.35">
      <c r="A674" s="11" t="s">
        <v>10610</v>
      </c>
      <c r="B674" s="5">
        <v>3</v>
      </c>
    </row>
    <row r="675" spans="1:2" x14ac:dyDescent="0.35">
      <c r="A675" s="11" t="s">
        <v>8564</v>
      </c>
      <c r="B675" s="5">
        <v>2</v>
      </c>
    </row>
    <row r="676" spans="1:2" x14ac:dyDescent="0.35">
      <c r="A676" s="11" t="s">
        <v>9660</v>
      </c>
      <c r="B676" s="5">
        <v>2</v>
      </c>
    </row>
    <row r="677" spans="1:2" x14ac:dyDescent="0.35">
      <c r="A677" s="11" t="s">
        <v>10215</v>
      </c>
      <c r="B677" s="5">
        <v>4</v>
      </c>
    </row>
    <row r="678" spans="1:2" x14ac:dyDescent="0.35">
      <c r="A678" s="11" t="s">
        <v>3948</v>
      </c>
      <c r="B678" s="5">
        <v>9</v>
      </c>
    </row>
    <row r="679" spans="1:2" x14ac:dyDescent="0.35">
      <c r="A679" s="11" t="s">
        <v>3957</v>
      </c>
      <c r="B679" s="5">
        <v>3</v>
      </c>
    </row>
    <row r="680" spans="1:2" x14ac:dyDescent="0.35">
      <c r="A680" s="11" t="s">
        <v>1481</v>
      </c>
      <c r="B680" s="5">
        <v>1</v>
      </c>
    </row>
    <row r="681" spans="1:2" x14ac:dyDescent="0.35">
      <c r="A681" s="12" t="s">
        <v>146</v>
      </c>
      <c r="B681" s="13">
        <v>115</v>
      </c>
    </row>
    <row r="682" spans="1:2" x14ac:dyDescent="0.35">
      <c r="A682" s="11" t="s">
        <v>9388</v>
      </c>
      <c r="B682" s="5">
        <v>4</v>
      </c>
    </row>
    <row r="683" spans="1:2" x14ac:dyDescent="0.35">
      <c r="A683" s="11" t="s">
        <v>5342</v>
      </c>
      <c r="B683" s="5">
        <v>1</v>
      </c>
    </row>
    <row r="684" spans="1:2" x14ac:dyDescent="0.35">
      <c r="A684" s="11" t="s">
        <v>6936</v>
      </c>
      <c r="B684" s="5">
        <v>11</v>
      </c>
    </row>
    <row r="685" spans="1:2" x14ac:dyDescent="0.35">
      <c r="A685" s="11" t="s">
        <v>1171</v>
      </c>
      <c r="B685" s="5">
        <v>4</v>
      </c>
    </row>
    <row r="686" spans="1:2" x14ac:dyDescent="0.35">
      <c r="A686" s="11" t="s">
        <v>524</v>
      </c>
      <c r="B686" s="5">
        <v>9</v>
      </c>
    </row>
    <row r="687" spans="1:2" x14ac:dyDescent="0.35">
      <c r="A687" s="11" t="s">
        <v>5530</v>
      </c>
      <c r="B687" s="5">
        <v>5</v>
      </c>
    </row>
    <row r="688" spans="1:2" x14ac:dyDescent="0.35">
      <c r="A688" s="11" t="s">
        <v>809</v>
      </c>
      <c r="B688" s="5">
        <v>4</v>
      </c>
    </row>
    <row r="689" spans="1:2" x14ac:dyDescent="0.35">
      <c r="A689" s="11" t="s">
        <v>4499</v>
      </c>
      <c r="B689" s="5">
        <v>5</v>
      </c>
    </row>
    <row r="690" spans="1:2" x14ac:dyDescent="0.35">
      <c r="A690" s="11" t="s">
        <v>145</v>
      </c>
      <c r="B690" s="5">
        <v>13</v>
      </c>
    </row>
    <row r="691" spans="1:2" x14ac:dyDescent="0.35">
      <c r="A691" s="11" t="s">
        <v>774</v>
      </c>
      <c r="B691" s="5">
        <v>9</v>
      </c>
    </row>
    <row r="692" spans="1:2" x14ac:dyDescent="0.35">
      <c r="A692" s="11" t="s">
        <v>3076</v>
      </c>
      <c r="B692" s="5">
        <v>5</v>
      </c>
    </row>
    <row r="693" spans="1:2" x14ac:dyDescent="0.35">
      <c r="A693" s="11" t="s">
        <v>2958</v>
      </c>
      <c r="B693" s="5">
        <v>11</v>
      </c>
    </row>
    <row r="694" spans="1:2" x14ac:dyDescent="0.35">
      <c r="A694" s="11" t="s">
        <v>7071</v>
      </c>
      <c r="B694" s="5">
        <v>1</v>
      </c>
    </row>
    <row r="695" spans="1:2" x14ac:dyDescent="0.35">
      <c r="A695" s="11" t="s">
        <v>659</v>
      </c>
      <c r="B695" s="5">
        <v>18</v>
      </c>
    </row>
    <row r="696" spans="1:2" x14ac:dyDescent="0.35">
      <c r="A696" s="11" t="s">
        <v>4788</v>
      </c>
      <c r="B696" s="5">
        <v>5</v>
      </c>
    </row>
    <row r="697" spans="1:2" x14ac:dyDescent="0.35">
      <c r="A697" s="11" t="s">
        <v>2226</v>
      </c>
      <c r="B697" s="5">
        <v>7</v>
      </c>
    </row>
    <row r="698" spans="1:2" x14ac:dyDescent="0.35">
      <c r="A698" s="11" t="s">
        <v>7195</v>
      </c>
      <c r="B698" s="5">
        <v>1</v>
      </c>
    </row>
    <row r="699" spans="1:2" x14ac:dyDescent="0.35">
      <c r="A699" s="11" t="s">
        <v>6645</v>
      </c>
      <c r="B699" s="5">
        <v>2</v>
      </c>
    </row>
    <row r="700" spans="1:2" x14ac:dyDescent="0.35">
      <c r="A700" s="12" t="s">
        <v>6396</v>
      </c>
      <c r="B700" s="13">
        <v>569</v>
      </c>
    </row>
    <row r="701" spans="1:2" x14ac:dyDescent="0.35">
      <c r="A701" s="11" t="s">
        <v>6976</v>
      </c>
      <c r="B701" s="5">
        <v>5</v>
      </c>
    </row>
    <row r="702" spans="1:2" x14ac:dyDescent="0.35">
      <c r="A702" s="11" t="s">
        <v>6591</v>
      </c>
      <c r="B702" s="5">
        <v>2</v>
      </c>
    </row>
    <row r="703" spans="1:2" x14ac:dyDescent="0.35">
      <c r="A703" s="11" t="s">
        <v>9483</v>
      </c>
      <c r="B703" s="5">
        <v>4</v>
      </c>
    </row>
    <row r="704" spans="1:2" x14ac:dyDescent="0.35">
      <c r="A704" s="11" t="s">
        <v>10509</v>
      </c>
      <c r="B704" s="5">
        <v>1</v>
      </c>
    </row>
    <row r="705" spans="1:2" x14ac:dyDescent="0.35">
      <c r="A705" s="11" t="s">
        <v>8751</v>
      </c>
      <c r="B705" s="5">
        <v>2</v>
      </c>
    </row>
    <row r="706" spans="1:2" x14ac:dyDescent="0.35">
      <c r="A706" s="11" t="s">
        <v>9915</v>
      </c>
      <c r="B706" s="5">
        <v>1</v>
      </c>
    </row>
    <row r="707" spans="1:2" x14ac:dyDescent="0.35">
      <c r="A707" s="11" t="s">
        <v>7369</v>
      </c>
      <c r="B707" s="5">
        <v>1</v>
      </c>
    </row>
    <row r="708" spans="1:2" x14ac:dyDescent="0.35">
      <c r="A708" s="11" t="s">
        <v>6395</v>
      </c>
      <c r="B708" s="5">
        <v>1</v>
      </c>
    </row>
    <row r="709" spans="1:2" x14ac:dyDescent="0.35">
      <c r="A709" s="11" t="s">
        <v>11903</v>
      </c>
      <c r="B709" s="5">
        <v>1</v>
      </c>
    </row>
    <row r="710" spans="1:2" x14ac:dyDescent="0.35">
      <c r="A710" s="11" t="s">
        <v>6437</v>
      </c>
      <c r="B710" s="5">
        <v>2</v>
      </c>
    </row>
    <row r="711" spans="1:2" x14ac:dyDescent="0.35">
      <c r="A711" s="11" t="s">
        <v>9876</v>
      </c>
      <c r="B711" s="5">
        <v>4</v>
      </c>
    </row>
    <row r="712" spans="1:2" x14ac:dyDescent="0.35">
      <c r="A712" s="11" t="s">
        <v>6584</v>
      </c>
      <c r="B712" s="5">
        <v>3</v>
      </c>
    </row>
    <row r="713" spans="1:2" x14ac:dyDescent="0.35">
      <c r="A713" s="11" t="s">
        <v>6693</v>
      </c>
      <c r="B713" s="5">
        <v>517</v>
      </c>
    </row>
    <row r="714" spans="1:2" x14ac:dyDescent="0.35">
      <c r="A714" s="11" t="s">
        <v>8052</v>
      </c>
      <c r="B714" s="5">
        <v>3</v>
      </c>
    </row>
    <row r="715" spans="1:2" x14ac:dyDescent="0.35">
      <c r="A715" s="11" t="s">
        <v>9471</v>
      </c>
      <c r="B715" s="5">
        <v>7</v>
      </c>
    </row>
    <row r="716" spans="1:2" x14ac:dyDescent="0.35">
      <c r="A716" s="11" t="s">
        <v>6403</v>
      </c>
      <c r="B716" s="5">
        <v>2</v>
      </c>
    </row>
    <row r="717" spans="1:2" x14ac:dyDescent="0.35">
      <c r="A717" s="11" t="s">
        <v>12880</v>
      </c>
      <c r="B717" s="5">
        <v>2</v>
      </c>
    </row>
    <row r="718" spans="1:2" x14ac:dyDescent="0.35">
      <c r="A718" s="11" t="s">
        <v>12173</v>
      </c>
      <c r="B718" s="5">
        <v>1</v>
      </c>
    </row>
    <row r="719" spans="1:2" x14ac:dyDescent="0.35">
      <c r="A719" s="11" t="s">
        <v>6609</v>
      </c>
      <c r="B719" s="5">
        <v>1</v>
      </c>
    </row>
    <row r="720" spans="1:2" x14ac:dyDescent="0.35">
      <c r="A720" s="11" t="s">
        <v>10300</v>
      </c>
      <c r="B720" s="5">
        <v>2</v>
      </c>
    </row>
    <row r="721" spans="1:2" x14ac:dyDescent="0.35">
      <c r="A721" s="11" t="s">
        <v>6661</v>
      </c>
      <c r="B721" s="5">
        <v>5</v>
      </c>
    </row>
    <row r="722" spans="1:2" x14ac:dyDescent="0.35">
      <c r="A722" s="11" t="s">
        <v>10424</v>
      </c>
      <c r="B722" s="5">
        <v>1</v>
      </c>
    </row>
    <row r="723" spans="1:2" x14ac:dyDescent="0.35">
      <c r="A723" s="11" t="s">
        <v>7814</v>
      </c>
      <c r="B723" s="5">
        <v>1</v>
      </c>
    </row>
    <row r="724" spans="1:2" x14ac:dyDescent="0.35">
      <c r="A724" s="12" t="s">
        <v>2519</v>
      </c>
      <c r="B724" s="13">
        <v>115</v>
      </c>
    </row>
    <row r="725" spans="1:2" x14ac:dyDescent="0.35">
      <c r="A725" s="11" t="s">
        <v>4035</v>
      </c>
      <c r="B725" s="5">
        <v>5</v>
      </c>
    </row>
    <row r="726" spans="1:2" x14ac:dyDescent="0.35">
      <c r="A726" s="11" t="s">
        <v>11954</v>
      </c>
      <c r="B726" s="5">
        <v>1</v>
      </c>
    </row>
    <row r="727" spans="1:2" x14ac:dyDescent="0.35">
      <c r="A727" s="11" t="s">
        <v>10366</v>
      </c>
      <c r="B727" s="5">
        <v>1</v>
      </c>
    </row>
    <row r="728" spans="1:2" x14ac:dyDescent="0.35">
      <c r="A728" s="11" t="s">
        <v>11846</v>
      </c>
      <c r="B728" s="5">
        <v>1</v>
      </c>
    </row>
    <row r="729" spans="1:2" x14ac:dyDescent="0.35">
      <c r="A729" s="11" t="s">
        <v>6058</v>
      </c>
      <c r="B729" s="5">
        <v>20</v>
      </c>
    </row>
    <row r="730" spans="1:2" x14ac:dyDescent="0.35">
      <c r="A730" s="11" t="s">
        <v>9718</v>
      </c>
      <c r="B730" s="5">
        <v>3</v>
      </c>
    </row>
    <row r="731" spans="1:2" x14ac:dyDescent="0.35">
      <c r="A731" s="11" t="s">
        <v>8902</v>
      </c>
      <c r="B731" s="5">
        <v>3</v>
      </c>
    </row>
    <row r="732" spans="1:2" x14ac:dyDescent="0.35">
      <c r="A732" s="11" t="s">
        <v>10577</v>
      </c>
      <c r="B732" s="5">
        <v>2</v>
      </c>
    </row>
    <row r="733" spans="1:2" x14ac:dyDescent="0.35">
      <c r="A733" s="11" t="s">
        <v>9911</v>
      </c>
      <c r="B733" s="5">
        <v>7</v>
      </c>
    </row>
    <row r="734" spans="1:2" x14ac:dyDescent="0.35">
      <c r="A734" s="11" t="s">
        <v>8510</v>
      </c>
      <c r="B734" s="5">
        <v>1</v>
      </c>
    </row>
    <row r="735" spans="1:2" x14ac:dyDescent="0.35">
      <c r="A735" s="11" t="s">
        <v>4046</v>
      </c>
      <c r="B735" s="5">
        <v>1</v>
      </c>
    </row>
    <row r="736" spans="1:2" x14ac:dyDescent="0.35">
      <c r="A736" s="11" t="s">
        <v>5047</v>
      </c>
      <c r="B736" s="5">
        <v>1</v>
      </c>
    </row>
    <row r="737" spans="1:2" x14ac:dyDescent="0.35">
      <c r="A737" s="11" t="s">
        <v>6799</v>
      </c>
      <c r="B737" s="5">
        <v>1</v>
      </c>
    </row>
    <row r="738" spans="1:2" x14ac:dyDescent="0.35">
      <c r="A738" s="11" t="s">
        <v>7318</v>
      </c>
      <c r="B738" s="5">
        <v>2</v>
      </c>
    </row>
    <row r="739" spans="1:2" x14ac:dyDescent="0.35">
      <c r="A739" s="11" t="s">
        <v>6753</v>
      </c>
      <c r="B739" s="5">
        <v>10</v>
      </c>
    </row>
    <row r="740" spans="1:2" x14ac:dyDescent="0.35">
      <c r="A740" s="11" t="s">
        <v>5728</v>
      </c>
      <c r="B740" s="5">
        <v>2</v>
      </c>
    </row>
    <row r="741" spans="1:2" x14ac:dyDescent="0.35">
      <c r="A741" s="11" t="s">
        <v>9637</v>
      </c>
      <c r="B741" s="5">
        <v>2</v>
      </c>
    </row>
    <row r="742" spans="1:2" x14ac:dyDescent="0.35">
      <c r="A742" s="11" t="s">
        <v>12351</v>
      </c>
      <c r="B742" s="5">
        <v>1</v>
      </c>
    </row>
    <row r="743" spans="1:2" x14ac:dyDescent="0.35">
      <c r="A743" s="11" t="s">
        <v>8992</v>
      </c>
      <c r="B743" s="5">
        <v>2</v>
      </c>
    </row>
    <row r="744" spans="1:2" x14ac:dyDescent="0.35">
      <c r="A744" s="11" t="s">
        <v>6923</v>
      </c>
      <c r="B744" s="5">
        <v>1</v>
      </c>
    </row>
    <row r="745" spans="1:2" x14ac:dyDescent="0.35">
      <c r="A745" s="11" t="s">
        <v>9548</v>
      </c>
      <c r="B745" s="5">
        <v>9</v>
      </c>
    </row>
    <row r="746" spans="1:2" x14ac:dyDescent="0.35">
      <c r="A746" s="11" t="s">
        <v>9966</v>
      </c>
      <c r="B746" s="5">
        <v>10</v>
      </c>
    </row>
    <row r="747" spans="1:2" x14ac:dyDescent="0.35">
      <c r="A747" s="11" t="s">
        <v>2518</v>
      </c>
      <c r="B747" s="5">
        <v>1</v>
      </c>
    </row>
    <row r="748" spans="1:2" x14ac:dyDescent="0.35">
      <c r="A748" s="11" t="s">
        <v>4236</v>
      </c>
      <c r="B748" s="5">
        <v>1</v>
      </c>
    </row>
    <row r="749" spans="1:2" x14ac:dyDescent="0.35">
      <c r="A749" s="11" t="s">
        <v>10885</v>
      </c>
      <c r="B749" s="5">
        <v>1</v>
      </c>
    </row>
    <row r="750" spans="1:2" x14ac:dyDescent="0.35">
      <c r="A750" s="11" t="s">
        <v>5000</v>
      </c>
      <c r="B750" s="5">
        <v>4</v>
      </c>
    </row>
    <row r="751" spans="1:2" x14ac:dyDescent="0.35">
      <c r="A751" s="11" t="s">
        <v>7796</v>
      </c>
      <c r="B751" s="5">
        <v>1</v>
      </c>
    </row>
    <row r="752" spans="1:2" x14ac:dyDescent="0.35">
      <c r="A752" s="11" t="s">
        <v>10564</v>
      </c>
      <c r="B752" s="5">
        <v>1</v>
      </c>
    </row>
    <row r="753" spans="1:2" x14ac:dyDescent="0.35">
      <c r="A753" s="11" t="s">
        <v>6914</v>
      </c>
      <c r="B753" s="5">
        <v>1</v>
      </c>
    </row>
    <row r="754" spans="1:2" x14ac:dyDescent="0.35">
      <c r="A754" s="11" t="s">
        <v>4233</v>
      </c>
      <c r="B754" s="5">
        <v>1</v>
      </c>
    </row>
    <row r="755" spans="1:2" x14ac:dyDescent="0.35">
      <c r="A755" s="11" t="s">
        <v>9368</v>
      </c>
      <c r="B755" s="5">
        <v>3</v>
      </c>
    </row>
    <row r="756" spans="1:2" x14ac:dyDescent="0.35">
      <c r="A756" s="11" t="s">
        <v>8919</v>
      </c>
      <c r="B756" s="5">
        <v>1</v>
      </c>
    </row>
    <row r="757" spans="1:2" x14ac:dyDescent="0.35">
      <c r="A757" s="11" t="s">
        <v>6895</v>
      </c>
      <c r="B757" s="5">
        <v>1</v>
      </c>
    </row>
    <row r="758" spans="1:2" x14ac:dyDescent="0.35">
      <c r="A758" s="11" t="s">
        <v>5787</v>
      </c>
      <c r="B758" s="5">
        <v>1</v>
      </c>
    </row>
    <row r="759" spans="1:2" x14ac:dyDescent="0.35">
      <c r="A759" s="11" t="s">
        <v>3820</v>
      </c>
      <c r="B759" s="5">
        <v>2</v>
      </c>
    </row>
    <row r="760" spans="1:2" x14ac:dyDescent="0.35">
      <c r="A760" s="11" t="s">
        <v>4483</v>
      </c>
      <c r="B760" s="5">
        <v>5</v>
      </c>
    </row>
    <row r="761" spans="1:2" x14ac:dyDescent="0.35">
      <c r="A761" s="11" t="s">
        <v>3783</v>
      </c>
      <c r="B761" s="5">
        <v>5</v>
      </c>
    </row>
    <row r="762" spans="1:2" x14ac:dyDescent="0.35">
      <c r="A762" s="12" t="s">
        <v>335</v>
      </c>
      <c r="B762" s="13">
        <v>143</v>
      </c>
    </row>
    <row r="763" spans="1:2" x14ac:dyDescent="0.35">
      <c r="A763" s="11" t="s">
        <v>7693</v>
      </c>
      <c r="B763" s="5">
        <v>1</v>
      </c>
    </row>
    <row r="764" spans="1:2" x14ac:dyDescent="0.35">
      <c r="A764" s="11" t="s">
        <v>8729</v>
      </c>
      <c r="B764" s="5">
        <v>4</v>
      </c>
    </row>
    <row r="765" spans="1:2" x14ac:dyDescent="0.35">
      <c r="A765" s="11" t="s">
        <v>4324</v>
      </c>
      <c r="B765" s="5">
        <v>25</v>
      </c>
    </row>
    <row r="766" spans="1:2" x14ac:dyDescent="0.35">
      <c r="A766" s="11" t="s">
        <v>6640</v>
      </c>
      <c r="B766" s="5">
        <v>2</v>
      </c>
    </row>
    <row r="767" spans="1:2" x14ac:dyDescent="0.35">
      <c r="A767" s="11" t="s">
        <v>10892</v>
      </c>
      <c r="B767" s="5">
        <v>5</v>
      </c>
    </row>
    <row r="768" spans="1:2" x14ac:dyDescent="0.35">
      <c r="A768" s="11" t="s">
        <v>4013</v>
      </c>
      <c r="B768" s="5">
        <v>5</v>
      </c>
    </row>
    <row r="769" spans="1:2" x14ac:dyDescent="0.35">
      <c r="A769" s="11" t="s">
        <v>9317</v>
      </c>
      <c r="B769" s="5">
        <v>1</v>
      </c>
    </row>
    <row r="770" spans="1:2" x14ac:dyDescent="0.35">
      <c r="A770" s="11" t="s">
        <v>3360</v>
      </c>
      <c r="B770" s="5">
        <v>21</v>
      </c>
    </row>
    <row r="771" spans="1:2" x14ac:dyDescent="0.35">
      <c r="A771" s="11" t="s">
        <v>8122</v>
      </c>
      <c r="B771" s="5">
        <v>1</v>
      </c>
    </row>
    <row r="772" spans="1:2" x14ac:dyDescent="0.35">
      <c r="A772" s="11" t="s">
        <v>8870</v>
      </c>
      <c r="B772" s="5">
        <v>2</v>
      </c>
    </row>
    <row r="773" spans="1:2" x14ac:dyDescent="0.35">
      <c r="A773" s="11" t="s">
        <v>9030</v>
      </c>
      <c r="B773" s="5">
        <v>2</v>
      </c>
    </row>
    <row r="774" spans="1:2" x14ac:dyDescent="0.35">
      <c r="A774" s="11" t="s">
        <v>12481</v>
      </c>
      <c r="B774" s="5">
        <v>1</v>
      </c>
    </row>
    <row r="775" spans="1:2" x14ac:dyDescent="0.35">
      <c r="A775" s="11" t="s">
        <v>5266</v>
      </c>
      <c r="B775" s="5">
        <v>2</v>
      </c>
    </row>
    <row r="776" spans="1:2" x14ac:dyDescent="0.35">
      <c r="A776" s="11" t="s">
        <v>2391</v>
      </c>
      <c r="B776" s="5">
        <v>1</v>
      </c>
    </row>
    <row r="777" spans="1:2" x14ac:dyDescent="0.35">
      <c r="A777" s="11" t="s">
        <v>7860</v>
      </c>
      <c r="B777" s="5">
        <v>1</v>
      </c>
    </row>
    <row r="778" spans="1:2" x14ac:dyDescent="0.35">
      <c r="A778" s="11" t="s">
        <v>4173</v>
      </c>
      <c r="B778" s="5">
        <v>4</v>
      </c>
    </row>
    <row r="779" spans="1:2" x14ac:dyDescent="0.35">
      <c r="A779" s="11" t="s">
        <v>3521</v>
      </c>
      <c r="B779" s="5">
        <v>8</v>
      </c>
    </row>
    <row r="780" spans="1:2" x14ac:dyDescent="0.35">
      <c r="A780" s="11" t="s">
        <v>5467</v>
      </c>
      <c r="B780" s="5">
        <v>6</v>
      </c>
    </row>
    <row r="781" spans="1:2" x14ac:dyDescent="0.35">
      <c r="A781" s="11" t="s">
        <v>3798</v>
      </c>
      <c r="B781" s="5">
        <v>1</v>
      </c>
    </row>
    <row r="782" spans="1:2" x14ac:dyDescent="0.35">
      <c r="A782" s="11" t="s">
        <v>12369</v>
      </c>
      <c r="B782" s="5">
        <v>1</v>
      </c>
    </row>
    <row r="783" spans="1:2" x14ac:dyDescent="0.35">
      <c r="A783" s="11" t="s">
        <v>9685</v>
      </c>
      <c r="B783" s="5">
        <v>1</v>
      </c>
    </row>
    <row r="784" spans="1:2" x14ac:dyDescent="0.35">
      <c r="A784" s="11" t="s">
        <v>6218</v>
      </c>
      <c r="B784" s="5">
        <v>2</v>
      </c>
    </row>
    <row r="785" spans="1:2" x14ac:dyDescent="0.35">
      <c r="A785" s="11" t="s">
        <v>5339</v>
      </c>
      <c r="B785" s="5">
        <v>1</v>
      </c>
    </row>
    <row r="786" spans="1:2" x14ac:dyDescent="0.35">
      <c r="A786" s="11" t="s">
        <v>11917</v>
      </c>
      <c r="B786" s="5">
        <v>1</v>
      </c>
    </row>
    <row r="787" spans="1:2" x14ac:dyDescent="0.35">
      <c r="A787" s="11" t="s">
        <v>9319</v>
      </c>
      <c r="B787" s="5">
        <v>1</v>
      </c>
    </row>
    <row r="788" spans="1:2" x14ac:dyDescent="0.35">
      <c r="A788" s="11" t="s">
        <v>11920</v>
      </c>
      <c r="B788" s="5">
        <v>1</v>
      </c>
    </row>
    <row r="789" spans="1:2" x14ac:dyDescent="0.35">
      <c r="A789" s="11" t="s">
        <v>4301</v>
      </c>
      <c r="B789" s="5">
        <v>1</v>
      </c>
    </row>
    <row r="790" spans="1:2" x14ac:dyDescent="0.35">
      <c r="A790" s="11" t="s">
        <v>5101</v>
      </c>
      <c r="B790" s="5">
        <v>1</v>
      </c>
    </row>
    <row r="791" spans="1:2" x14ac:dyDescent="0.35">
      <c r="A791" s="11" t="s">
        <v>4508</v>
      </c>
      <c r="B791" s="5">
        <v>4</v>
      </c>
    </row>
    <row r="792" spans="1:2" x14ac:dyDescent="0.35">
      <c r="A792" s="11" t="s">
        <v>8618</v>
      </c>
      <c r="B792" s="5">
        <v>2</v>
      </c>
    </row>
    <row r="793" spans="1:2" x14ac:dyDescent="0.35">
      <c r="A793" s="11" t="s">
        <v>8805</v>
      </c>
      <c r="B793" s="5">
        <v>1</v>
      </c>
    </row>
    <row r="794" spans="1:2" x14ac:dyDescent="0.35">
      <c r="A794" s="11" t="s">
        <v>5995</v>
      </c>
      <c r="B794" s="5">
        <v>12</v>
      </c>
    </row>
    <row r="795" spans="1:2" x14ac:dyDescent="0.35">
      <c r="A795" s="11" t="s">
        <v>8474</v>
      </c>
      <c r="B795" s="5">
        <v>1</v>
      </c>
    </row>
    <row r="796" spans="1:2" x14ac:dyDescent="0.35">
      <c r="A796" s="11" t="s">
        <v>3162</v>
      </c>
      <c r="B796" s="5">
        <v>5</v>
      </c>
    </row>
    <row r="797" spans="1:2" x14ac:dyDescent="0.35">
      <c r="A797" s="11" t="s">
        <v>4498</v>
      </c>
      <c r="B797" s="5">
        <v>1</v>
      </c>
    </row>
    <row r="798" spans="1:2" x14ac:dyDescent="0.35">
      <c r="A798" s="11" t="s">
        <v>12260</v>
      </c>
      <c r="B798" s="5">
        <v>1</v>
      </c>
    </row>
    <row r="799" spans="1:2" x14ac:dyDescent="0.35">
      <c r="A799" s="11" t="s">
        <v>4375</v>
      </c>
      <c r="B799" s="5">
        <v>3</v>
      </c>
    </row>
    <row r="800" spans="1:2" x14ac:dyDescent="0.35">
      <c r="A800" s="11" t="s">
        <v>2602</v>
      </c>
      <c r="B800" s="5">
        <v>4</v>
      </c>
    </row>
    <row r="801" spans="1:2" x14ac:dyDescent="0.35">
      <c r="A801" s="11" t="s">
        <v>334</v>
      </c>
      <c r="B801" s="5">
        <v>1</v>
      </c>
    </row>
    <row r="802" spans="1:2" x14ac:dyDescent="0.35">
      <c r="A802" s="11" t="s">
        <v>8148</v>
      </c>
      <c r="B802" s="5">
        <v>4</v>
      </c>
    </row>
    <row r="803" spans="1:2" x14ac:dyDescent="0.35">
      <c r="A803" s="11" t="s">
        <v>7057</v>
      </c>
      <c r="B803" s="5">
        <v>1</v>
      </c>
    </row>
    <row r="804" spans="1:2" x14ac:dyDescent="0.35">
      <c r="A804" s="12" t="s">
        <v>211</v>
      </c>
      <c r="B804" s="13">
        <v>526</v>
      </c>
    </row>
    <row r="805" spans="1:2" x14ac:dyDescent="0.35">
      <c r="A805" s="11" t="s">
        <v>471</v>
      </c>
      <c r="B805" s="5">
        <v>89</v>
      </c>
    </row>
    <row r="806" spans="1:2" x14ac:dyDescent="0.35">
      <c r="A806" s="11" t="s">
        <v>5155</v>
      </c>
      <c r="B806" s="5">
        <v>3</v>
      </c>
    </row>
    <row r="807" spans="1:2" x14ac:dyDescent="0.35">
      <c r="A807" s="11" t="s">
        <v>11492</v>
      </c>
      <c r="B807" s="5">
        <v>4</v>
      </c>
    </row>
    <row r="808" spans="1:2" x14ac:dyDescent="0.35">
      <c r="A808" s="11" t="s">
        <v>8356</v>
      </c>
      <c r="B808" s="5">
        <v>3</v>
      </c>
    </row>
    <row r="809" spans="1:2" x14ac:dyDescent="0.35">
      <c r="A809" s="11" t="s">
        <v>8179</v>
      </c>
      <c r="B809" s="5">
        <v>1</v>
      </c>
    </row>
    <row r="810" spans="1:2" x14ac:dyDescent="0.35">
      <c r="A810" s="11" t="s">
        <v>9132</v>
      </c>
      <c r="B810" s="5">
        <v>3</v>
      </c>
    </row>
    <row r="811" spans="1:2" x14ac:dyDescent="0.35">
      <c r="A811" s="11" t="s">
        <v>6076</v>
      </c>
      <c r="B811" s="5">
        <v>2</v>
      </c>
    </row>
    <row r="812" spans="1:2" x14ac:dyDescent="0.35">
      <c r="A812" s="11" t="s">
        <v>9173</v>
      </c>
      <c r="B812" s="5">
        <v>4</v>
      </c>
    </row>
    <row r="813" spans="1:2" x14ac:dyDescent="0.35">
      <c r="A813" s="11" t="s">
        <v>10605</v>
      </c>
      <c r="B813" s="5">
        <v>7</v>
      </c>
    </row>
    <row r="814" spans="1:2" x14ac:dyDescent="0.35">
      <c r="A814" s="11" t="s">
        <v>10832</v>
      </c>
      <c r="B814" s="5">
        <v>8</v>
      </c>
    </row>
    <row r="815" spans="1:2" x14ac:dyDescent="0.35">
      <c r="A815" s="11" t="s">
        <v>5594</v>
      </c>
      <c r="B815" s="5">
        <v>3</v>
      </c>
    </row>
    <row r="816" spans="1:2" x14ac:dyDescent="0.35">
      <c r="A816" s="11" t="s">
        <v>9166</v>
      </c>
      <c r="B816" s="5">
        <v>3</v>
      </c>
    </row>
    <row r="817" spans="1:2" x14ac:dyDescent="0.35">
      <c r="A817" s="11" t="s">
        <v>1744</v>
      </c>
      <c r="B817" s="5">
        <v>17</v>
      </c>
    </row>
    <row r="818" spans="1:2" x14ac:dyDescent="0.35">
      <c r="A818" s="11" t="s">
        <v>11149</v>
      </c>
      <c r="B818" s="5">
        <v>3</v>
      </c>
    </row>
    <row r="819" spans="1:2" x14ac:dyDescent="0.35">
      <c r="A819" s="11" t="s">
        <v>6509</v>
      </c>
      <c r="B819" s="5">
        <v>7</v>
      </c>
    </row>
    <row r="820" spans="1:2" x14ac:dyDescent="0.35">
      <c r="A820" s="11" t="s">
        <v>6034</v>
      </c>
      <c r="B820" s="5">
        <v>1</v>
      </c>
    </row>
    <row r="821" spans="1:2" x14ac:dyDescent="0.35">
      <c r="A821" s="11" t="s">
        <v>11368</v>
      </c>
      <c r="B821" s="5">
        <v>2</v>
      </c>
    </row>
    <row r="822" spans="1:2" x14ac:dyDescent="0.35">
      <c r="A822" s="11" t="s">
        <v>1147</v>
      </c>
      <c r="B822" s="5">
        <v>4</v>
      </c>
    </row>
    <row r="823" spans="1:2" x14ac:dyDescent="0.35">
      <c r="A823" s="11" t="s">
        <v>6968</v>
      </c>
      <c r="B823" s="5">
        <v>1</v>
      </c>
    </row>
    <row r="824" spans="1:2" x14ac:dyDescent="0.35">
      <c r="A824" s="11" t="s">
        <v>1885</v>
      </c>
      <c r="B824" s="5">
        <v>3</v>
      </c>
    </row>
    <row r="825" spans="1:2" x14ac:dyDescent="0.35">
      <c r="A825" s="11" t="s">
        <v>8444</v>
      </c>
      <c r="B825" s="5">
        <v>3</v>
      </c>
    </row>
    <row r="826" spans="1:2" x14ac:dyDescent="0.35">
      <c r="A826" s="11" t="s">
        <v>7179</v>
      </c>
      <c r="B826" s="5">
        <v>2</v>
      </c>
    </row>
    <row r="827" spans="1:2" x14ac:dyDescent="0.35">
      <c r="A827" s="11" t="s">
        <v>9461</v>
      </c>
      <c r="B827" s="5">
        <v>2</v>
      </c>
    </row>
    <row r="828" spans="1:2" x14ac:dyDescent="0.35">
      <c r="A828" s="11" t="s">
        <v>994</v>
      </c>
      <c r="B828" s="5">
        <v>3</v>
      </c>
    </row>
    <row r="829" spans="1:2" x14ac:dyDescent="0.35">
      <c r="A829" s="11" t="s">
        <v>9170</v>
      </c>
      <c r="B829" s="5">
        <v>3</v>
      </c>
    </row>
    <row r="830" spans="1:2" x14ac:dyDescent="0.35">
      <c r="A830" s="11" t="s">
        <v>3541</v>
      </c>
      <c r="B830" s="5">
        <v>2</v>
      </c>
    </row>
    <row r="831" spans="1:2" x14ac:dyDescent="0.35">
      <c r="A831" s="11" t="s">
        <v>9213</v>
      </c>
      <c r="B831" s="5">
        <v>3</v>
      </c>
    </row>
    <row r="832" spans="1:2" x14ac:dyDescent="0.35">
      <c r="A832" s="11" t="s">
        <v>9885</v>
      </c>
      <c r="B832" s="5">
        <v>1</v>
      </c>
    </row>
    <row r="833" spans="1:2" x14ac:dyDescent="0.35">
      <c r="A833" s="11" t="s">
        <v>6648</v>
      </c>
      <c r="B833" s="5">
        <v>2</v>
      </c>
    </row>
    <row r="834" spans="1:2" x14ac:dyDescent="0.35">
      <c r="A834" s="11" t="s">
        <v>5313</v>
      </c>
      <c r="B834" s="5">
        <v>1</v>
      </c>
    </row>
    <row r="835" spans="1:2" x14ac:dyDescent="0.35">
      <c r="A835" s="11" t="s">
        <v>3258</v>
      </c>
      <c r="B835" s="5">
        <v>1</v>
      </c>
    </row>
    <row r="836" spans="1:2" x14ac:dyDescent="0.35">
      <c r="A836" s="11" t="s">
        <v>5219</v>
      </c>
      <c r="B836" s="5">
        <v>28</v>
      </c>
    </row>
    <row r="837" spans="1:2" x14ac:dyDescent="0.35">
      <c r="A837" s="11" t="s">
        <v>9265</v>
      </c>
      <c r="B837" s="5">
        <v>5</v>
      </c>
    </row>
    <row r="838" spans="1:2" x14ac:dyDescent="0.35">
      <c r="A838" s="11" t="s">
        <v>490</v>
      </c>
      <c r="B838" s="5">
        <v>7</v>
      </c>
    </row>
    <row r="839" spans="1:2" x14ac:dyDescent="0.35">
      <c r="A839" s="11" t="s">
        <v>6912</v>
      </c>
      <c r="B839" s="5">
        <v>1</v>
      </c>
    </row>
    <row r="840" spans="1:2" x14ac:dyDescent="0.35">
      <c r="A840" s="11" t="s">
        <v>5871</v>
      </c>
      <c r="B840" s="5">
        <v>4</v>
      </c>
    </row>
    <row r="841" spans="1:2" x14ac:dyDescent="0.35">
      <c r="A841" s="11" t="s">
        <v>5237</v>
      </c>
      <c r="B841" s="5">
        <v>2</v>
      </c>
    </row>
    <row r="842" spans="1:2" x14ac:dyDescent="0.35">
      <c r="A842" s="11" t="s">
        <v>9417</v>
      </c>
      <c r="B842" s="5">
        <v>2</v>
      </c>
    </row>
    <row r="843" spans="1:2" x14ac:dyDescent="0.35">
      <c r="A843" s="11" t="s">
        <v>9178</v>
      </c>
      <c r="B843" s="5">
        <v>2</v>
      </c>
    </row>
    <row r="844" spans="1:2" x14ac:dyDescent="0.35">
      <c r="A844" s="11" t="s">
        <v>12889</v>
      </c>
      <c r="B844" s="5">
        <v>4</v>
      </c>
    </row>
    <row r="845" spans="1:2" x14ac:dyDescent="0.35">
      <c r="A845" s="11" t="s">
        <v>10672</v>
      </c>
      <c r="B845" s="5">
        <v>1</v>
      </c>
    </row>
    <row r="846" spans="1:2" x14ac:dyDescent="0.35">
      <c r="A846" s="11" t="s">
        <v>9903</v>
      </c>
      <c r="B846" s="5">
        <v>4</v>
      </c>
    </row>
    <row r="847" spans="1:2" x14ac:dyDescent="0.35">
      <c r="A847" s="11" t="s">
        <v>5227</v>
      </c>
      <c r="B847" s="5">
        <v>10</v>
      </c>
    </row>
    <row r="848" spans="1:2" x14ac:dyDescent="0.35">
      <c r="A848" s="11" t="s">
        <v>5274</v>
      </c>
      <c r="B848" s="5">
        <v>4</v>
      </c>
    </row>
    <row r="849" spans="1:2" x14ac:dyDescent="0.35">
      <c r="A849" s="11" t="s">
        <v>13004</v>
      </c>
      <c r="B849" s="5">
        <v>2</v>
      </c>
    </row>
    <row r="850" spans="1:2" x14ac:dyDescent="0.35">
      <c r="A850" s="11" t="s">
        <v>4124</v>
      </c>
      <c r="B850" s="5">
        <v>16</v>
      </c>
    </row>
    <row r="851" spans="1:2" x14ac:dyDescent="0.35">
      <c r="A851" s="11" t="s">
        <v>4434</v>
      </c>
      <c r="B851" s="5">
        <v>5</v>
      </c>
    </row>
    <row r="852" spans="1:2" x14ac:dyDescent="0.35">
      <c r="A852" s="11" t="s">
        <v>12348</v>
      </c>
      <c r="B852" s="5">
        <v>2</v>
      </c>
    </row>
    <row r="853" spans="1:2" x14ac:dyDescent="0.35">
      <c r="A853" s="11" t="s">
        <v>1273</v>
      </c>
      <c r="B853" s="5">
        <v>5</v>
      </c>
    </row>
    <row r="854" spans="1:2" x14ac:dyDescent="0.35">
      <c r="A854" s="11" t="s">
        <v>9451</v>
      </c>
      <c r="B854" s="5">
        <v>2</v>
      </c>
    </row>
    <row r="855" spans="1:2" x14ac:dyDescent="0.35">
      <c r="A855" s="11" t="s">
        <v>1591</v>
      </c>
      <c r="B855" s="5">
        <v>1</v>
      </c>
    </row>
    <row r="856" spans="1:2" x14ac:dyDescent="0.35">
      <c r="A856" s="11" t="s">
        <v>210</v>
      </c>
      <c r="B856" s="5">
        <v>195</v>
      </c>
    </row>
    <row r="857" spans="1:2" x14ac:dyDescent="0.35">
      <c r="A857" s="11" t="s">
        <v>1024</v>
      </c>
      <c r="B857" s="5">
        <v>1</v>
      </c>
    </row>
    <row r="858" spans="1:2" x14ac:dyDescent="0.35">
      <c r="A858" s="11" t="s">
        <v>4925</v>
      </c>
      <c r="B858" s="5">
        <v>4</v>
      </c>
    </row>
    <row r="859" spans="1:2" x14ac:dyDescent="0.35">
      <c r="A859" s="11" t="s">
        <v>7973</v>
      </c>
      <c r="B859" s="5">
        <v>5</v>
      </c>
    </row>
    <row r="860" spans="1:2" x14ac:dyDescent="0.35">
      <c r="A860" s="11" t="s">
        <v>9573</v>
      </c>
      <c r="B860" s="5">
        <v>2</v>
      </c>
    </row>
    <row r="861" spans="1:2" x14ac:dyDescent="0.35">
      <c r="A861" s="11" t="s">
        <v>10436</v>
      </c>
      <c r="B861" s="5">
        <v>2</v>
      </c>
    </row>
    <row r="862" spans="1:2" x14ac:dyDescent="0.35">
      <c r="A862" s="11" t="s">
        <v>4309</v>
      </c>
      <c r="B862" s="5">
        <v>1</v>
      </c>
    </row>
    <row r="863" spans="1:2" x14ac:dyDescent="0.35">
      <c r="A863" s="11" t="s">
        <v>6261</v>
      </c>
      <c r="B863" s="5">
        <v>2</v>
      </c>
    </row>
    <row r="864" spans="1:2" x14ac:dyDescent="0.35">
      <c r="A864" s="11" t="s">
        <v>2729</v>
      </c>
      <c r="B864" s="5">
        <v>3</v>
      </c>
    </row>
    <row r="865" spans="1:2" x14ac:dyDescent="0.35">
      <c r="A865" s="11" t="s">
        <v>1016</v>
      </c>
      <c r="B865" s="5">
        <v>2</v>
      </c>
    </row>
    <row r="866" spans="1:2" x14ac:dyDescent="0.35">
      <c r="A866" s="11" t="s">
        <v>2691</v>
      </c>
      <c r="B866" s="5">
        <v>2</v>
      </c>
    </row>
    <row r="867" spans="1:2" x14ac:dyDescent="0.35">
      <c r="A867" s="11" t="s">
        <v>5607</v>
      </c>
      <c r="B867" s="5">
        <v>1</v>
      </c>
    </row>
    <row r="868" spans="1:2" x14ac:dyDescent="0.35">
      <c r="A868" s="11" t="s">
        <v>2619</v>
      </c>
      <c r="B868" s="5">
        <v>3</v>
      </c>
    </row>
    <row r="869" spans="1:2" x14ac:dyDescent="0.35">
      <c r="A869" s="11" t="s">
        <v>6468</v>
      </c>
      <c r="B869" s="5">
        <v>3</v>
      </c>
    </row>
    <row r="870" spans="1:2" x14ac:dyDescent="0.35">
      <c r="A870" s="11" t="s">
        <v>5938</v>
      </c>
      <c r="B870" s="5">
        <v>1</v>
      </c>
    </row>
    <row r="871" spans="1:2" x14ac:dyDescent="0.35">
      <c r="A871" s="11" t="s">
        <v>10582</v>
      </c>
      <c r="B871" s="5">
        <v>1</v>
      </c>
    </row>
    <row r="872" spans="1:2" x14ac:dyDescent="0.35">
      <c r="A872" s="12" t="s">
        <v>125</v>
      </c>
      <c r="B872" s="13">
        <v>59</v>
      </c>
    </row>
    <row r="873" spans="1:2" x14ac:dyDescent="0.35">
      <c r="A873" s="11" t="s">
        <v>9798</v>
      </c>
      <c r="B873" s="5">
        <v>2</v>
      </c>
    </row>
    <row r="874" spans="1:2" x14ac:dyDescent="0.35">
      <c r="A874" s="11" t="s">
        <v>781</v>
      </c>
      <c r="B874" s="5">
        <v>1</v>
      </c>
    </row>
    <row r="875" spans="1:2" x14ac:dyDescent="0.35">
      <c r="A875" s="11" t="s">
        <v>10402</v>
      </c>
      <c r="B875" s="5">
        <v>2</v>
      </c>
    </row>
    <row r="876" spans="1:2" x14ac:dyDescent="0.35">
      <c r="A876" s="11" t="s">
        <v>7363</v>
      </c>
      <c r="B876" s="5">
        <v>1</v>
      </c>
    </row>
    <row r="877" spans="1:2" x14ac:dyDescent="0.35">
      <c r="A877" s="11" t="s">
        <v>9601</v>
      </c>
      <c r="B877" s="5">
        <v>1</v>
      </c>
    </row>
    <row r="878" spans="1:2" x14ac:dyDescent="0.35">
      <c r="A878" s="11" t="s">
        <v>12414</v>
      </c>
      <c r="B878" s="5">
        <v>1</v>
      </c>
    </row>
    <row r="879" spans="1:2" x14ac:dyDescent="0.35">
      <c r="A879" s="11" t="s">
        <v>9189</v>
      </c>
      <c r="B879" s="5">
        <v>1</v>
      </c>
    </row>
    <row r="880" spans="1:2" x14ac:dyDescent="0.35">
      <c r="A880" s="11" t="s">
        <v>8452</v>
      </c>
      <c r="B880" s="5">
        <v>3</v>
      </c>
    </row>
    <row r="881" spans="1:2" x14ac:dyDescent="0.35">
      <c r="A881" s="11" t="s">
        <v>124</v>
      </c>
      <c r="B881" s="5">
        <v>4</v>
      </c>
    </row>
    <row r="882" spans="1:2" x14ac:dyDescent="0.35">
      <c r="A882" s="11" t="s">
        <v>571</v>
      </c>
      <c r="B882" s="5">
        <v>3</v>
      </c>
    </row>
    <row r="883" spans="1:2" x14ac:dyDescent="0.35">
      <c r="A883" s="11" t="s">
        <v>6380</v>
      </c>
      <c r="B883" s="5">
        <v>4</v>
      </c>
    </row>
    <row r="884" spans="1:2" x14ac:dyDescent="0.35">
      <c r="A884" s="11" t="s">
        <v>509</v>
      </c>
      <c r="B884" s="5">
        <v>1</v>
      </c>
    </row>
    <row r="885" spans="1:2" x14ac:dyDescent="0.35">
      <c r="A885" s="11" t="s">
        <v>839</v>
      </c>
      <c r="B885" s="5">
        <v>1</v>
      </c>
    </row>
    <row r="886" spans="1:2" x14ac:dyDescent="0.35">
      <c r="A886" s="11" t="s">
        <v>9458</v>
      </c>
      <c r="B886" s="5">
        <v>1</v>
      </c>
    </row>
    <row r="887" spans="1:2" x14ac:dyDescent="0.35">
      <c r="A887" s="11" t="s">
        <v>9542</v>
      </c>
      <c r="B887" s="5">
        <v>2</v>
      </c>
    </row>
    <row r="888" spans="1:2" x14ac:dyDescent="0.35">
      <c r="A888" s="11" t="s">
        <v>11288</v>
      </c>
      <c r="B888" s="5">
        <v>5</v>
      </c>
    </row>
    <row r="889" spans="1:2" x14ac:dyDescent="0.35">
      <c r="A889" s="11" t="s">
        <v>770</v>
      </c>
      <c r="B889" s="5">
        <v>1</v>
      </c>
    </row>
    <row r="890" spans="1:2" x14ac:dyDescent="0.35">
      <c r="A890" s="11" t="s">
        <v>9457</v>
      </c>
      <c r="B890" s="5">
        <v>10</v>
      </c>
    </row>
    <row r="891" spans="1:2" x14ac:dyDescent="0.35">
      <c r="A891" s="11" t="s">
        <v>4965</v>
      </c>
      <c r="B891" s="5">
        <v>4</v>
      </c>
    </row>
    <row r="892" spans="1:2" x14ac:dyDescent="0.35">
      <c r="A892" s="11" t="s">
        <v>8111</v>
      </c>
      <c r="B892" s="5">
        <v>2</v>
      </c>
    </row>
    <row r="893" spans="1:2" x14ac:dyDescent="0.35">
      <c r="A893" s="11" t="s">
        <v>12754</v>
      </c>
      <c r="B893" s="5">
        <v>1</v>
      </c>
    </row>
    <row r="894" spans="1:2" x14ac:dyDescent="0.35">
      <c r="A894" s="11" t="s">
        <v>9250</v>
      </c>
      <c r="B894" s="5">
        <v>8</v>
      </c>
    </row>
    <row r="895" spans="1:2" x14ac:dyDescent="0.35">
      <c r="A895" s="12" t="s">
        <v>597</v>
      </c>
      <c r="B895" s="13">
        <v>89</v>
      </c>
    </row>
    <row r="896" spans="1:2" x14ac:dyDescent="0.35">
      <c r="A896" s="11" t="s">
        <v>11125</v>
      </c>
      <c r="B896" s="5">
        <v>1</v>
      </c>
    </row>
    <row r="897" spans="1:2" x14ac:dyDescent="0.35">
      <c r="A897" s="11" t="s">
        <v>7924</v>
      </c>
      <c r="B897" s="5">
        <v>8</v>
      </c>
    </row>
    <row r="898" spans="1:2" x14ac:dyDescent="0.35">
      <c r="A898" s="11" t="s">
        <v>8560</v>
      </c>
      <c r="B898" s="5">
        <v>9</v>
      </c>
    </row>
    <row r="899" spans="1:2" x14ac:dyDescent="0.35">
      <c r="A899" s="11" t="s">
        <v>3601</v>
      </c>
      <c r="B899" s="5">
        <v>2</v>
      </c>
    </row>
    <row r="900" spans="1:2" x14ac:dyDescent="0.35">
      <c r="A900" s="11" t="s">
        <v>11112</v>
      </c>
      <c r="B900" s="5">
        <v>3</v>
      </c>
    </row>
    <row r="901" spans="1:2" x14ac:dyDescent="0.35">
      <c r="A901" s="11" t="s">
        <v>596</v>
      </c>
      <c r="B901" s="5">
        <v>1</v>
      </c>
    </row>
    <row r="902" spans="1:2" x14ac:dyDescent="0.35">
      <c r="A902" s="11" t="s">
        <v>12060</v>
      </c>
      <c r="B902" s="5">
        <v>6</v>
      </c>
    </row>
    <row r="903" spans="1:2" x14ac:dyDescent="0.35">
      <c r="A903" s="11" t="s">
        <v>12158</v>
      </c>
      <c r="B903" s="5">
        <v>1</v>
      </c>
    </row>
    <row r="904" spans="1:2" x14ac:dyDescent="0.35">
      <c r="A904" s="11" t="s">
        <v>4205</v>
      </c>
      <c r="B904" s="5">
        <v>53</v>
      </c>
    </row>
    <row r="905" spans="1:2" x14ac:dyDescent="0.35">
      <c r="A905" s="11" t="s">
        <v>6507</v>
      </c>
      <c r="B905" s="5">
        <v>1</v>
      </c>
    </row>
    <row r="906" spans="1:2" x14ac:dyDescent="0.35">
      <c r="A906" s="11" t="s">
        <v>6689</v>
      </c>
      <c r="B906" s="5">
        <v>1</v>
      </c>
    </row>
    <row r="907" spans="1:2" x14ac:dyDescent="0.35">
      <c r="A907" s="11" t="s">
        <v>11498</v>
      </c>
      <c r="B907" s="5">
        <v>3</v>
      </c>
    </row>
    <row r="908" spans="1:2" x14ac:dyDescent="0.35">
      <c r="A908" s="12" t="s">
        <v>261</v>
      </c>
      <c r="B908" s="13">
        <v>252</v>
      </c>
    </row>
    <row r="909" spans="1:2" x14ac:dyDescent="0.35">
      <c r="A909" s="11" t="s">
        <v>5114</v>
      </c>
      <c r="B909" s="5">
        <v>1</v>
      </c>
    </row>
    <row r="910" spans="1:2" x14ac:dyDescent="0.35">
      <c r="A910" s="11" t="s">
        <v>9298</v>
      </c>
      <c r="B910" s="5">
        <v>1</v>
      </c>
    </row>
    <row r="911" spans="1:2" x14ac:dyDescent="0.35">
      <c r="A911" s="11" t="s">
        <v>6520</v>
      </c>
      <c r="B911" s="5">
        <v>1</v>
      </c>
    </row>
    <row r="912" spans="1:2" x14ac:dyDescent="0.35">
      <c r="A912" s="11" t="s">
        <v>6982</v>
      </c>
      <c r="B912" s="5">
        <v>10</v>
      </c>
    </row>
    <row r="913" spans="1:2" x14ac:dyDescent="0.35">
      <c r="A913" s="11" t="s">
        <v>5074</v>
      </c>
      <c r="B913" s="5">
        <v>5</v>
      </c>
    </row>
    <row r="914" spans="1:2" x14ac:dyDescent="0.35">
      <c r="A914" s="11" t="s">
        <v>10587</v>
      </c>
      <c r="B914" s="5">
        <v>4</v>
      </c>
    </row>
    <row r="915" spans="1:2" x14ac:dyDescent="0.35">
      <c r="A915" s="11" t="s">
        <v>12772</v>
      </c>
      <c r="B915" s="5">
        <v>1</v>
      </c>
    </row>
    <row r="916" spans="1:2" x14ac:dyDescent="0.35">
      <c r="A916" s="11" t="s">
        <v>6044</v>
      </c>
      <c r="B916" s="5">
        <v>4</v>
      </c>
    </row>
    <row r="917" spans="1:2" x14ac:dyDescent="0.35">
      <c r="A917" s="11" t="s">
        <v>8522</v>
      </c>
      <c r="B917" s="5">
        <v>10</v>
      </c>
    </row>
    <row r="918" spans="1:2" x14ac:dyDescent="0.35">
      <c r="A918" s="11" t="s">
        <v>7339</v>
      </c>
      <c r="B918" s="5">
        <v>1</v>
      </c>
    </row>
    <row r="919" spans="1:2" x14ac:dyDescent="0.35">
      <c r="A919" s="11" t="s">
        <v>10377</v>
      </c>
      <c r="B919" s="5">
        <v>1</v>
      </c>
    </row>
    <row r="920" spans="1:2" x14ac:dyDescent="0.35">
      <c r="A920" s="11" t="s">
        <v>8430</v>
      </c>
      <c r="B920" s="5">
        <v>2</v>
      </c>
    </row>
    <row r="921" spans="1:2" x14ac:dyDescent="0.35">
      <c r="A921" s="11" t="s">
        <v>8235</v>
      </c>
      <c r="B921" s="5">
        <v>1</v>
      </c>
    </row>
    <row r="922" spans="1:2" x14ac:dyDescent="0.35">
      <c r="A922" s="11" t="s">
        <v>6606</v>
      </c>
      <c r="B922" s="5">
        <v>4</v>
      </c>
    </row>
    <row r="923" spans="1:2" x14ac:dyDescent="0.35">
      <c r="A923" s="11" t="s">
        <v>8273</v>
      </c>
      <c r="B923" s="5">
        <v>2</v>
      </c>
    </row>
    <row r="924" spans="1:2" x14ac:dyDescent="0.35">
      <c r="A924" s="11" t="s">
        <v>11869</v>
      </c>
      <c r="B924" s="5">
        <v>1</v>
      </c>
    </row>
    <row r="925" spans="1:2" x14ac:dyDescent="0.35">
      <c r="A925" s="11" t="s">
        <v>8230</v>
      </c>
      <c r="B925" s="5">
        <v>14</v>
      </c>
    </row>
    <row r="926" spans="1:2" x14ac:dyDescent="0.35">
      <c r="A926" s="11" t="s">
        <v>11907</v>
      </c>
      <c r="B926" s="5">
        <v>1</v>
      </c>
    </row>
    <row r="927" spans="1:2" x14ac:dyDescent="0.35">
      <c r="A927" s="11" t="s">
        <v>5505</v>
      </c>
      <c r="B927" s="5">
        <v>4</v>
      </c>
    </row>
    <row r="928" spans="1:2" x14ac:dyDescent="0.35">
      <c r="A928" s="11" t="s">
        <v>5980</v>
      </c>
      <c r="B928" s="5">
        <v>1</v>
      </c>
    </row>
    <row r="929" spans="1:2" x14ac:dyDescent="0.35">
      <c r="A929" s="11" t="s">
        <v>5403</v>
      </c>
      <c r="B929" s="5">
        <v>4</v>
      </c>
    </row>
    <row r="930" spans="1:2" x14ac:dyDescent="0.35">
      <c r="A930" s="11" t="s">
        <v>4743</v>
      </c>
      <c r="B930" s="5">
        <v>1</v>
      </c>
    </row>
    <row r="931" spans="1:2" x14ac:dyDescent="0.35">
      <c r="A931" s="11" t="s">
        <v>10482</v>
      </c>
      <c r="B931" s="5">
        <v>2</v>
      </c>
    </row>
    <row r="932" spans="1:2" x14ac:dyDescent="0.35">
      <c r="A932" s="11" t="s">
        <v>3884</v>
      </c>
      <c r="B932" s="5">
        <v>10</v>
      </c>
    </row>
    <row r="933" spans="1:2" x14ac:dyDescent="0.35">
      <c r="A933" s="11" t="s">
        <v>8099</v>
      </c>
      <c r="B933" s="5">
        <v>2</v>
      </c>
    </row>
    <row r="934" spans="1:2" x14ac:dyDescent="0.35">
      <c r="A934" s="11" t="s">
        <v>7136</v>
      </c>
      <c r="B934" s="5">
        <v>1</v>
      </c>
    </row>
    <row r="935" spans="1:2" x14ac:dyDescent="0.35">
      <c r="A935" s="11" t="s">
        <v>3826</v>
      </c>
      <c r="B935" s="5">
        <v>3</v>
      </c>
    </row>
    <row r="936" spans="1:2" x14ac:dyDescent="0.35">
      <c r="A936" s="11" t="s">
        <v>1509</v>
      </c>
      <c r="B936" s="5">
        <v>3</v>
      </c>
    </row>
    <row r="937" spans="1:2" x14ac:dyDescent="0.35">
      <c r="A937" s="11" t="s">
        <v>10490</v>
      </c>
      <c r="B937" s="5">
        <v>1</v>
      </c>
    </row>
    <row r="938" spans="1:2" x14ac:dyDescent="0.35">
      <c r="A938" s="11" t="s">
        <v>6330</v>
      </c>
      <c r="B938" s="5">
        <v>3</v>
      </c>
    </row>
    <row r="939" spans="1:2" x14ac:dyDescent="0.35">
      <c r="A939" s="11" t="s">
        <v>9896</v>
      </c>
      <c r="B939" s="5">
        <v>1</v>
      </c>
    </row>
    <row r="940" spans="1:2" x14ac:dyDescent="0.35">
      <c r="A940" s="11" t="s">
        <v>6742</v>
      </c>
      <c r="B940" s="5">
        <v>1</v>
      </c>
    </row>
    <row r="941" spans="1:2" x14ac:dyDescent="0.35">
      <c r="A941" s="11" t="s">
        <v>1190</v>
      </c>
      <c r="B941" s="5">
        <v>2</v>
      </c>
    </row>
    <row r="942" spans="1:2" x14ac:dyDescent="0.35">
      <c r="A942" s="11" t="s">
        <v>8398</v>
      </c>
      <c r="B942" s="5">
        <v>2</v>
      </c>
    </row>
    <row r="943" spans="1:2" x14ac:dyDescent="0.35">
      <c r="A943" s="11" t="s">
        <v>3174</v>
      </c>
      <c r="B943" s="5">
        <v>3</v>
      </c>
    </row>
    <row r="944" spans="1:2" x14ac:dyDescent="0.35">
      <c r="A944" s="11" t="s">
        <v>3749</v>
      </c>
      <c r="B944" s="5">
        <v>2</v>
      </c>
    </row>
    <row r="945" spans="1:2" x14ac:dyDescent="0.35">
      <c r="A945" s="11" t="s">
        <v>4617</v>
      </c>
      <c r="B945" s="5">
        <v>2</v>
      </c>
    </row>
    <row r="946" spans="1:2" x14ac:dyDescent="0.35">
      <c r="A946" s="11" t="s">
        <v>12048</v>
      </c>
      <c r="B946" s="5">
        <v>1</v>
      </c>
    </row>
    <row r="947" spans="1:2" x14ac:dyDescent="0.35">
      <c r="A947" s="11" t="s">
        <v>6186</v>
      </c>
      <c r="B947" s="5">
        <v>1</v>
      </c>
    </row>
    <row r="948" spans="1:2" x14ac:dyDescent="0.35">
      <c r="A948" s="11" t="s">
        <v>6457</v>
      </c>
      <c r="B948" s="5">
        <v>3</v>
      </c>
    </row>
    <row r="949" spans="1:2" x14ac:dyDescent="0.35">
      <c r="A949" s="11" t="s">
        <v>3331</v>
      </c>
      <c r="B949" s="5">
        <v>2</v>
      </c>
    </row>
    <row r="950" spans="1:2" x14ac:dyDescent="0.35">
      <c r="A950" s="11" t="s">
        <v>6068</v>
      </c>
      <c r="B950" s="5">
        <v>1</v>
      </c>
    </row>
    <row r="951" spans="1:2" x14ac:dyDescent="0.35">
      <c r="A951" s="11" t="s">
        <v>12683</v>
      </c>
      <c r="B951" s="5">
        <v>1</v>
      </c>
    </row>
    <row r="952" spans="1:2" x14ac:dyDescent="0.35">
      <c r="A952" s="11" t="s">
        <v>12610</v>
      </c>
      <c r="B952" s="5">
        <v>1</v>
      </c>
    </row>
    <row r="953" spans="1:2" x14ac:dyDescent="0.35">
      <c r="A953" s="11" t="s">
        <v>4953</v>
      </c>
      <c r="B953" s="5">
        <v>10</v>
      </c>
    </row>
    <row r="954" spans="1:2" x14ac:dyDescent="0.35">
      <c r="A954" s="11" t="s">
        <v>3471</v>
      </c>
      <c r="B954" s="5">
        <v>1</v>
      </c>
    </row>
    <row r="955" spans="1:2" x14ac:dyDescent="0.35">
      <c r="A955" s="11" t="s">
        <v>3248</v>
      </c>
      <c r="B955" s="5">
        <v>2</v>
      </c>
    </row>
    <row r="956" spans="1:2" x14ac:dyDescent="0.35">
      <c r="A956" s="11" t="s">
        <v>370</v>
      </c>
      <c r="B956" s="5">
        <v>2</v>
      </c>
    </row>
    <row r="957" spans="1:2" x14ac:dyDescent="0.35">
      <c r="A957" s="11" t="s">
        <v>3483</v>
      </c>
      <c r="B957" s="5">
        <v>3</v>
      </c>
    </row>
    <row r="958" spans="1:2" x14ac:dyDescent="0.35">
      <c r="A958" s="11" t="s">
        <v>11863</v>
      </c>
      <c r="B958" s="5">
        <v>1</v>
      </c>
    </row>
    <row r="959" spans="1:2" x14ac:dyDescent="0.35">
      <c r="A959" s="11" t="s">
        <v>3040</v>
      </c>
      <c r="B959" s="5">
        <v>2</v>
      </c>
    </row>
    <row r="960" spans="1:2" x14ac:dyDescent="0.35">
      <c r="A960" s="11" t="s">
        <v>8236</v>
      </c>
      <c r="B960" s="5">
        <v>1</v>
      </c>
    </row>
    <row r="961" spans="1:2" x14ac:dyDescent="0.35">
      <c r="A961" s="11" t="s">
        <v>8186</v>
      </c>
      <c r="B961" s="5">
        <v>1</v>
      </c>
    </row>
    <row r="962" spans="1:2" x14ac:dyDescent="0.35">
      <c r="A962" s="11" t="s">
        <v>8192</v>
      </c>
      <c r="B962" s="5">
        <v>2</v>
      </c>
    </row>
    <row r="963" spans="1:2" x14ac:dyDescent="0.35">
      <c r="A963" s="11" t="s">
        <v>303</v>
      </c>
      <c r="B963" s="5">
        <v>2</v>
      </c>
    </row>
    <row r="964" spans="1:2" x14ac:dyDescent="0.35">
      <c r="A964" s="11" t="s">
        <v>5380</v>
      </c>
      <c r="B964" s="5">
        <v>3</v>
      </c>
    </row>
    <row r="965" spans="1:2" x14ac:dyDescent="0.35">
      <c r="A965" s="11" t="s">
        <v>8352</v>
      </c>
      <c r="B965" s="5">
        <v>2</v>
      </c>
    </row>
    <row r="966" spans="1:2" x14ac:dyDescent="0.35">
      <c r="A966" s="11" t="s">
        <v>6711</v>
      </c>
      <c r="B966" s="5">
        <v>1</v>
      </c>
    </row>
    <row r="967" spans="1:2" x14ac:dyDescent="0.35">
      <c r="A967" s="11" t="s">
        <v>3307</v>
      </c>
      <c r="B967" s="5">
        <v>2</v>
      </c>
    </row>
    <row r="968" spans="1:2" x14ac:dyDescent="0.35">
      <c r="A968" s="11" t="s">
        <v>9338</v>
      </c>
      <c r="B968" s="5">
        <v>1</v>
      </c>
    </row>
    <row r="969" spans="1:2" x14ac:dyDescent="0.35">
      <c r="A969" s="11" t="s">
        <v>3022</v>
      </c>
      <c r="B969" s="5">
        <v>1</v>
      </c>
    </row>
    <row r="970" spans="1:2" x14ac:dyDescent="0.35">
      <c r="A970" s="11" t="s">
        <v>3423</v>
      </c>
      <c r="B970" s="5">
        <v>4</v>
      </c>
    </row>
    <row r="971" spans="1:2" x14ac:dyDescent="0.35">
      <c r="A971" s="11" t="s">
        <v>6363</v>
      </c>
      <c r="B971" s="5">
        <v>2</v>
      </c>
    </row>
    <row r="972" spans="1:2" x14ac:dyDescent="0.35">
      <c r="A972" s="11" t="s">
        <v>7825</v>
      </c>
      <c r="B972" s="5">
        <v>3</v>
      </c>
    </row>
    <row r="973" spans="1:2" x14ac:dyDescent="0.35">
      <c r="A973" s="11" t="s">
        <v>8436</v>
      </c>
      <c r="B973" s="5">
        <v>2</v>
      </c>
    </row>
    <row r="974" spans="1:2" x14ac:dyDescent="0.35">
      <c r="A974" s="11" t="s">
        <v>5386</v>
      </c>
      <c r="B974" s="5">
        <v>6</v>
      </c>
    </row>
    <row r="975" spans="1:2" x14ac:dyDescent="0.35">
      <c r="A975" s="11" t="s">
        <v>5415</v>
      </c>
      <c r="B975" s="5">
        <v>2</v>
      </c>
    </row>
    <row r="976" spans="1:2" x14ac:dyDescent="0.35">
      <c r="A976" s="11" t="s">
        <v>4379</v>
      </c>
      <c r="B976" s="5">
        <v>1</v>
      </c>
    </row>
    <row r="977" spans="1:2" x14ac:dyDescent="0.35">
      <c r="A977" s="11" t="s">
        <v>342</v>
      </c>
      <c r="B977" s="5">
        <v>3</v>
      </c>
    </row>
    <row r="978" spans="1:2" x14ac:dyDescent="0.35">
      <c r="A978" s="11" t="s">
        <v>5639</v>
      </c>
      <c r="B978" s="5">
        <v>2</v>
      </c>
    </row>
    <row r="979" spans="1:2" x14ac:dyDescent="0.35">
      <c r="A979" s="11" t="s">
        <v>2942</v>
      </c>
      <c r="B979" s="5">
        <v>1</v>
      </c>
    </row>
    <row r="980" spans="1:2" x14ac:dyDescent="0.35">
      <c r="A980" s="11" t="s">
        <v>10744</v>
      </c>
      <c r="B980" s="5">
        <v>1</v>
      </c>
    </row>
    <row r="981" spans="1:2" x14ac:dyDescent="0.35">
      <c r="A981" s="11" t="s">
        <v>8218</v>
      </c>
      <c r="B981" s="5">
        <v>1</v>
      </c>
    </row>
    <row r="982" spans="1:2" x14ac:dyDescent="0.35">
      <c r="A982" s="11" t="s">
        <v>4302</v>
      </c>
      <c r="B982" s="5">
        <v>3</v>
      </c>
    </row>
    <row r="983" spans="1:2" x14ac:dyDescent="0.35">
      <c r="A983" s="11" t="s">
        <v>6848</v>
      </c>
      <c r="B983" s="5">
        <v>2</v>
      </c>
    </row>
    <row r="984" spans="1:2" x14ac:dyDescent="0.35">
      <c r="A984" s="11" t="s">
        <v>1632</v>
      </c>
      <c r="B984" s="5">
        <v>7</v>
      </c>
    </row>
    <row r="985" spans="1:2" x14ac:dyDescent="0.35">
      <c r="A985" s="11" t="s">
        <v>260</v>
      </c>
      <c r="B985" s="5">
        <v>8</v>
      </c>
    </row>
    <row r="986" spans="1:2" x14ac:dyDescent="0.35">
      <c r="A986" s="11" t="s">
        <v>3288</v>
      </c>
      <c r="B986" s="5">
        <v>1</v>
      </c>
    </row>
    <row r="987" spans="1:2" x14ac:dyDescent="0.35">
      <c r="A987" s="11" t="s">
        <v>11402</v>
      </c>
      <c r="B987" s="5">
        <v>1</v>
      </c>
    </row>
    <row r="988" spans="1:2" x14ac:dyDescent="0.35">
      <c r="A988" s="11" t="s">
        <v>2732</v>
      </c>
      <c r="B988" s="5">
        <v>1</v>
      </c>
    </row>
    <row r="989" spans="1:2" x14ac:dyDescent="0.35">
      <c r="A989" s="11" t="s">
        <v>5141</v>
      </c>
      <c r="B989" s="5">
        <v>2</v>
      </c>
    </row>
    <row r="990" spans="1:2" x14ac:dyDescent="0.35">
      <c r="A990" s="11" t="s">
        <v>6733</v>
      </c>
      <c r="B990" s="5">
        <v>2</v>
      </c>
    </row>
    <row r="991" spans="1:2" x14ac:dyDescent="0.35">
      <c r="A991" s="11" t="s">
        <v>8056</v>
      </c>
      <c r="B991" s="5">
        <v>3</v>
      </c>
    </row>
    <row r="992" spans="1:2" x14ac:dyDescent="0.35">
      <c r="A992" s="11" t="s">
        <v>8590</v>
      </c>
      <c r="B992" s="5">
        <v>1</v>
      </c>
    </row>
    <row r="993" spans="1:2" x14ac:dyDescent="0.35">
      <c r="A993" s="11" t="s">
        <v>4430</v>
      </c>
      <c r="B993" s="5">
        <v>1</v>
      </c>
    </row>
    <row r="994" spans="1:2" x14ac:dyDescent="0.35">
      <c r="A994" s="11" t="s">
        <v>6532</v>
      </c>
      <c r="B994" s="5">
        <v>4</v>
      </c>
    </row>
    <row r="995" spans="1:2" x14ac:dyDescent="0.35">
      <c r="A995" s="11" t="s">
        <v>5573</v>
      </c>
      <c r="B995" s="5">
        <v>6</v>
      </c>
    </row>
    <row r="996" spans="1:2" x14ac:dyDescent="0.35">
      <c r="A996" s="11" t="s">
        <v>3874</v>
      </c>
      <c r="B996" s="5">
        <v>4</v>
      </c>
    </row>
    <row r="997" spans="1:2" x14ac:dyDescent="0.35">
      <c r="A997" s="11" t="s">
        <v>4820</v>
      </c>
      <c r="B997" s="5">
        <v>2</v>
      </c>
    </row>
    <row r="998" spans="1:2" x14ac:dyDescent="0.35">
      <c r="A998" s="11" t="s">
        <v>6615</v>
      </c>
      <c r="B998" s="5">
        <v>1</v>
      </c>
    </row>
    <row r="999" spans="1:2" x14ac:dyDescent="0.35">
      <c r="A999" s="11" t="s">
        <v>8788</v>
      </c>
      <c r="B999" s="5">
        <v>2</v>
      </c>
    </row>
    <row r="1000" spans="1:2" x14ac:dyDescent="0.35">
      <c r="A1000" s="11" t="s">
        <v>8749</v>
      </c>
      <c r="B1000" s="5">
        <v>1</v>
      </c>
    </row>
    <row r="1001" spans="1:2" x14ac:dyDescent="0.35">
      <c r="A1001" s="11" t="s">
        <v>7946</v>
      </c>
      <c r="B1001" s="5">
        <v>4</v>
      </c>
    </row>
    <row r="1002" spans="1:2" x14ac:dyDescent="0.35">
      <c r="A1002" s="11" t="s">
        <v>2967</v>
      </c>
      <c r="B1002" s="5">
        <v>1</v>
      </c>
    </row>
    <row r="1003" spans="1:2" x14ac:dyDescent="0.35">
      <c r="A1003" s="11" t="s">
        <v>9114</v>
      </c>
      <c r="B1003" s="5">
        <v>1</v>
      </c>
    </row>
    <row r="1004" spans="1:2" x14ac:dyDescent="0.35">
      <c r="A1004" s="11" t="s">
        <v>11261</v>
      </c>
      <c r="B1004" s="5">
        <v>2</v>
      </c>
    </row>
    <row r="1005" spans="1:2" x14ac:dyDescent="0.35">
      <c r="A1005" s="11" t="s">
        <v>4715</v>
      </c>
      <c r="B1005" s="5">
        <v>1</v>
      </c>
    </row>
    <row r="1006" spans="1:2" x14ac:dyDescent="0.35">
      <c r="A1006" s="11" t="s">
        <v>9347</v>
      </c>
      <c r="B1006" s="5">
        <v>4</v>
      </c>
    </row>
    <row r="1007" spans="1:2" x14ac:dyDescent="0.35">
      <c r="A1007" s="12" t="s">
        <v>623</v>
      </c>
      <c r="B1007" s="13">
        <v>535</v>
      </c>
    </row>
    <row r="1008" spans="1:2" x14ac:dyDescent="0.35">
      <c r="A1008" s="11" t="s">
        <v>9898</v>
      </c>
      <c r="B1008" s="5">
        <v>1</v>
      </c>
    </row>
    <row r="1009" spans="1:2" x14ac:dyDescent="0.35">
      <c r="A1009" s="11" t="s">
        <v>7017</v>
      </c>
      <c r="B1009" s="5">
        <v>1</v>
      </c>
    </row>
    <row r="1010" spans="1:2" x14ac:dyDescent="0.35">
      <c r="A1010" s="11" t="s">
        <v>10025</v>
      </c>
      <c r="B1010" s="5">
        <v>2</v>
      </c>
    </row>
    <row r="1011" spans="1:2" x14ac:dyDescent="0.35">
      <c r="A1011" s="11" t="s">
        <v>6258</v>
      </c>
      <c r="B1011" s="5">
        <v>6</v>
      </c>
    </row>
    <row r="1012" spans="1:2" x14ac:dyDescent="0.35">
      <c r="A1012" s="11" t="s">
        <v>5900</v>
      </c>
      <c r="B1012" s="5">
        <v>16</v>
      </c>
    </row>
    <row r="1013" spans="1:2" x14ac:dyDescent="0.35">
      <c r="A1013" s="11" t="s">
        <v>5867</v>
      </c>
      <c r="B1013" s="5">
        <v>2</v>
      </c>
    </row>
    <row r="1014" spans="1:2" x14ac:dyDescent="0.35">
      <c r="A1014" s="11" t="s">
        <v>5908</v>
      </c>
      <c r="B1014" s="5">
        <v>4</v>
      </c>
    </row>
    <row r="1015" spans="1:2" x14ac:dyDescent="0.35">
      <c r="A1015" s="11" t="s">
        <v>6483</v>
      </c>
      <c r="B1015" s="5">
        <v>3</v>
      </c>
    </row>
    <row r="1016" spans="1:2" x14ac:dyDescent="0.35">
      <c r="A1016" s="11" t="s">
        <v>1432</v>
      </c>
      <c r="B1016" s="5">
        <v>3</v>
      </c>
    </row>
    <row r="1017" spans="1:2" x14ac:dyDescent="0.35">
      <c r="A1017" s="11" t="s">
        <v>9959</v>
      </c>
      <c r="B1017" s="5">
        <v>3</v>
      </c>
    </row>
    <row r="1018" spans="1:2" x14ac:dyDescent="0.35">
      <c r="A1018" s="11" t="s">
        <v>8439</v>
      </c>
      <c r="B1018" s="5">
        <v>1</v>
      </c>
    </row>
    <row r="1019" spans="1:2" x14ac:dyDescent="0.35">
      <c r="A1019" s="11" t="s">
        <v>7461</v>
      </c>
      <c r="B1019" s="5">
        <v>5</v>
      </c>
    </row>
    <row r="1020" spans="1:2" x14ac:dyDescent="0.35">
      <c r="A1020" s="11" t="s">
        <v>7212</v>
      </c>
      <c r="B1020" s="5">
        <v>2</v>
      </c>
    </row>
    <row r="1021" spans="1:2" x14ac:dyDescent="0.35">
      <c r="A1021" s="11" t="s">
        <v>7954</v>
      </c>
      <c r="B1021" s="5">
        <v>3</v>
      </c>
    </row>
    <row r="1022" spans="1:2" x14ac:dyDescent="0.35">
      <c r="A1022" s="11" t="s">
        <v>12071</v>
      </c>
      <c r="B1022" s="5">
        <v>2</v>
      </c>
    </row>
    <row r="1023" spans="1:2" x14ac:dyDescent="0.35">
      <c r="A1023" s="11" t="s">
        <v>9722</v>
      </c>
      <c r="B1023" s="5">
        <v>1</v>
      </c>
    </row>
    <row r="1024" spans="1:2" x14ac:dyDescent="0.35">
      <c r="A1024" s="11" t="s">
        <v>3938</v>
      </c>
      <c r="B1024" s="5">
        <v>5</v>
      </c>
    </row>
    <row r="1025" spans="1:2" x14ac:dyDescent="0.35">
      <c r="A1025" s="11" t="s">
        <v>7464</v>
      </c>
      <c r="B1025" s="5">
        <v>1</v>
      </c>
    </row>
    <row r="1026" spans="1:2" x14ac:dyDescent="0.35">
      <c r="A1026" s="11" t="s">
        <v>7515</v>
      </c>
      <c r="B1026" s="5">
        <v>1</v>
      </c>
    </row>
    <row r="1027" spans="1:2" x14ac:dyDescent="0.35">
      <c r="A1027" s="11" t="s">
        <v>4282</v>
      </c>
      <c r="B1027" s="5">
        <v>8</v>
      </c>
    </row>
    <row r="1028" spans="1:2" x14ac:dyDescent="0.35">
      <c r="A1028" s="11" t="s">
        <v>6014</v>
      </c>
      <c r="B1028" s="5">
        <v>1</v>
      </c>
    </row>
    <row r="1029" spans="1:2" x14ac:dyDescent="0.35">
      <c r="A1029" s="11" t="s">
        <v>4557</v>
      </c>
      <c r="B1029" s="5">
        <v>6</v>
      </c>
    </row>
    <row r="1030" spans="1:2" x14ac:dyDescent="0.35">
      <c r="A1030" s="11" t="s">
        <v>8614</v>
      </c>
      <c r="B1030" s="5">
        <v>2</v>
      </c>
    </row>
    <row r="1031" spans="1:2" x14ac:dyDescent="0.35">
      <c r="A1031" s="11" t="s">
        <v>7614</v>
      </c>
      <c r="B1031" s="5">
        <v>8</v>
      </c>
    </row>
    <row r="1032" spans="1:2" x14ac:dyDescent="0.35">
      <c r="A1032" s="11" t="s">
        <v>6248</v>
      </c>
      <c r="B1032" s="5">
        <v>3</v>
      </c>
    </row>
    <row r="1033" spans="1:2" x14ac:dyDescent="0.35">
      <c r="A1033" s="11" t="s">
        <v>7621</v>
      </c>
      <c r="B1033" s="5">
        <v>2</v>
      </c>
    </row>
    <row r="1034" spans="1:2" x14ac:dyDescent="0.35">
      <c r="A1034" s="11" t="s">
        <v>8536</v>
      </c>
      <c r="B1034" s="5">
        <v>1</v>
      </c>
    </row>
    <row r="1035" spans="1:2" x14ac:dyDescent="0.35">
      <c r="A1035" s="11" t="s">
        <v>7541</v>
      </c>
      <c r="B1035" s="5">
        <v>5</v>
      </c>
    </row>
    <row r="1036" spans="1:2" x14ac:dyDescent="0.35">
      <c r="A1036" s="11" t="s">
        <v>8516</v>
      </c>
      <c r="B1036" s="5">
        <v>4</v>
      </c>
    </row>
    <row r="1037" spans="1:2" x14ac:dyDescent="0.35">
      <c r="A1037" s="11" t="s">
        <v>10360</v>
      </c>
      <c r="B1037" s="5">
        <v>3</v>
      </c>
    </row>
    <row r="1038" spans="1:2" x14ac:dyDescent="0.35">
      <c r="A1038" s="11" t="s">
        <v>5750</v>
      </c>
      <c r="B1038" s="5">
        <v>1</v>
      </c>
    </row>
    <row r="1039" spans="1:2" x14ac:dyDescent="0.35">
      <c r="A1039" s="11" t="s">
        <v>4728</v>
      </c>
      <c r="B1039" s="5">
        <v>38</v>
      </c>
    </row>
    <row r="1040" spans="1:2" x14ac:dyDescent="0.35">
      <c r="A1040" s="11" t="s">
        <v>7746</v>
      </c>
      <c r="B1040" s="5">
        <v>2</v>
      </c>
    </row>
    <row r="1041" spans="1:2" x14ac:dyDescent="0.35">
      <c r="A1041" s="11" t="s">
        <v>11605</v>
      </c>
      <c r="B1041" s="5">
        <v>7</v>
      </c>
    </row>
    <row r="1042" spans="1:2" x14ac:dyDescent="0.35">
      <c r="A1042" s="11" t="s">
        <v>3773</v>
      </c>
      <c r="B1042" s="5">
        <v>3</v>
      </c>
    </row>
    <row r="1043" spans="1:2" x14ac:dyDescent="0.35">
      <c r="A1043" s="11" t="s">
        <v>7717</v>
      </c>
      <c r="B1043" s="5">
        <v>3</v>
      </c>
    </row>
    <row r="1044" spans="1:2" x14ac:dyDescent="0.35">
      <c r="A1044" s="11" t="s">
        <v>7532</v>
      </c>
      <c r="B1044" s="5">
        <v>3</v>
      </c>
    </row>
    <row r="1045" spans="1:2" x14ac:dyDescent="0.35">
      <c r="A1045" s="11" t="s">
        <v>2317</v>
      </c>
      <c r="B1045" s="5">
        <v>2</v>
      </c>
    </row>
    <row r="1046" spans="1:2" x14ac:dyDescent="0.35">
      <c r="A1046" s="11" t="s">
        <v>7705</v>
      </c>
      <c r="B1046" s="5">
        <v>1</v>
      </c>
    </row>
    <row r="1047" spans="1:2" x14ac:dyDescent="0.35">
      <c r="A1047" s="11" t="s">
        <v>5077</v>
      </c>
      <c r="B1047" s="5">
        <v>1</v>
      </c>
    </row>
    <row r="1048" spans="1:2" x14ac:dyDescent="0.35">
      <c r="A1048" s="11" t="s">
        <v>8259</v>
      </c>
      <c r="B1048" s="5">
        <v>2</v>
      </c>
    </row>
    <row r="1049" spans="1:2" x14ac:dyDescent="0.35">
      <c r="A1049" s="11" t="s">
        <v>7707</v>
      </c>
      <c r="B1049" s="5">
        <v>1</v>
      </c>
    </row>
    <row r="1050" spans="1:2" x14ac:dyDescent="0.35">
      <c r="A1050" s="11" t="s">
        <v>6758</v>
      </c>
      <c r="B1050" s="5">
        <v>1</v>
      </c>
    </row>
    <row r="1051" spans="1:2" x14ac:dyDescent="0.35">
      <c r="A1051" s="11" t="s">
        <v>7761</v>
      </c>
      <c r="B1051" s="5">
        <v>1</v>
      </c>
    </row>
    <row r="1052" spans="1:2" x14ac:dyDescent="0.35">
      <c r="A1052" s="11" t="s">
        <v>7768</v>
      </c>
      <c r="B1052" s="5">
        <v>2</v>
      </c>
    </row>
    <row r="1053" spans="1:2" x14ac:dyDescent="0.35">
      <c r="A1053" s="11" t="s">
        <v>6122</v>
      </c>
      <c r="B1053" s="5">
        <v>1</v>
      </c>
    </row>
    <row r="1054" spans="1:2" x14ac:dyDescent="0.35">
      <c r="A1054" s="11" t="s">
        <v>8063</v>
      </c>
      <c r="B1054" s="5">
        <v>4</v>
      </c>
    </row>
    <row r="1055" spans="1:2" x14ac:dyDescent="0.35">
      <c r="A1055" s="11" t="s">
        <v>6983</v>
      </c>
      <c r="B1055" s="5">
        <v>1</v>
      </c>
    </row>
    <row r="1056" spans="1:2" x14ac:dyDescent="0.35">
      <c r="A1056" s="11" t="s">
        <v>7783</v>
      </c>
      <c r="B1056" s="5">
        <v>35</v>
      </c>
    </row>
    <row r="1057" spans="1:2" x14ac:dyDescent="0.35">
      <c r="A1057" s="11" t="s">
        <v>8820</v>
      </c>
      <c r="B1057" s="5">
        <v>1</v>
      </c>
    </row>
    <row r="1058" spans="1:2" x14ac:dyDescent="0.35">
      <c r="A1058" s="11" t="s">
        <v>10573</v>
      </c>
      <c r="B1058" s="5">
        <v>1</v>
      </c>
    </row>
    <row r="1059" spans="1:2" x14ac:dyDescent="0.35">
      <c r="A1059" s="11" t="s">
        <v>12846</v>
      </c>
      <c r="B1059" s="5">
        <v>1</v>
      </c>
    </row>
    <row r="1060" spans="1:2" x14ac:dyDescent="0.35">
      <c r="A1060" s="11" t="s">
        <v>8951</v>
      </c>
      <c r="B1060" s="5">
        <v>1</v>
      </c>
    </row>
    <row r="1061" spans="1:2" x14ac:dyDescent="0.35">
      <c r="A1061" s="11" t="s">
        <v>7174</v>
      </c>
      <c r="B1061" s="5">
        <v>2</v>
      </c>
    </row>
    <row r="1062" spans="1:2" x14ac:dyDescent="0.35">
      <c r="A1062" s="11" t="s">
        <v>9998</v>
      </c>
      <c r="B1062" s="5">
        <v>11</v>
      </c>
    </row>
    <row r="1063" spans="1:2" x14ac:dyDescent="0.35">
      <c r="A1063" s="11" t="s">
        <v>1199</v>
      </c>
      <c r="B1063" s="5">
        <v>8</v>
      </c>
    </row>
    <row r="1064" spans="1:2" x14ac:dyDescent="0.35">
      <c r="A1064" s="11" t="s">
        <v>7064</v>
      </c>
      <c r="B1064" s="5">
        <v>2</v>
      </c>
    </row>
    <row r="1065" spans="1:2" x14ac:dyDescent="0.35">
      <c r="A1065" s="11" t="s">
        <v>5592</v>
      </c>
      <c r="B1065" s="5">
        <v>12</v>
      </c>
    </row>
    <row r="1066" spans="1:2" x14ac:dyDescent="0.35">
      <c r="A1066" s="11" t="s">
        <v>9807</v>
      </c>
      <c r="B1066" s="5">
        <v>1</v>
      </c>
    </row>
    <row r="1067" spans="1:2" x14ac:dyDescent="0.35">
      <c r="A1067" s="11" t="s">
        <v>9825</v>
      </c>
      <c r="B1067" s="5">
        <v>2</v>
      </c>
    </row>
    <row r="1068" spans="1:2" x14ac:dyDescent="0.35">
      <c r="A1068" s="11" t="s">
        <v>9333</v>
      </c>
      <c r="B1068" s="5">
        <v>1</v>
      </c>
    </row>
    <row r="1069" spans="1:2" x14ac:dyDescent="0.35">
      <c r="A1069" s="11" t="s">
        <v>6209</v>
      </c>
      <c r="B1069" s="5">
        <v>1</v>
      </c>
    </row>
    <row r="1070" spans="1:2" x14ac:dyDescent="0.35">
      <c r="A1070" s="11" t="s">
        <v>7442</v>
      </c>
      <c r="B1070" s="5">
        <v>15</v>
      </c>
    </row>
    <row r="1071" spans="1:2" x14ac:dyDescent="0.35">
      <c r="A1071" s="11" t="s">
        <v>4732</v>
      </c>
      <c r="B1071" s="5">
        <v>1</v>
      </c>
    </row>
    <row r="1072" spans="1:2" x14ac:dyDescent="0.35">
      <c r="A1072" s="11" t="s">
        <v>9745</v>
      </c>
      <c r="B1072" s="5">
        <v>1</v>
      </c>
    </row>
    <row r="1073" spans="1:2" x14ac:dyDescent="0.35">
      <c r="A1073" s="11" t="s">
        <v>5088</v>
      </c>
      <c r="B1073" s="5">
        <v>2</v>
      </c>
    </row>
    <row r="1074" spans="1:2" x14ac:dyDescent="0.35">
      <c r="A1074" s="11" t="s">
        <v>8347</v>
      </c>
      <c r="B1074" s="5">
        <v>1</v>
      </c>
    </row>
    <row r="1075" spans="1:2" x14ac:dyDescent="0.35">
      <c r="A1075" s="11" t="s">
        <v>3372</v>
      </c>
      <c r="B1075" s="5">
        <v>3</v>
      </c>
    </row>
    <row r="1076" spans="1:2" x14ac:dyDescent="0.35">
      <c r="A1076" s="11" t="s">
        <v>1421</v>
      </c>
      <c r="B1076" s="5">
        <v>15</v>
      </c>
    </row>
    <row r="1077" spans="1:2" x14ac:dyDescent="0.35">
      <c r="A1077" s="11" t="s">
        <v>10447</v>
      </c>
      <c r="B1077" s="5">
        <v>2</v>
      </c>
    </row>
    <row r="1078" spans="1:2" x14ac:dyDescent="0.35">
      <c r="A1078" s="11" t="s">
        <v>805</v>
      </c>
      <c r="B1078" s="5">
        <v>5</v>
      </c>
    </row>
    <row r="1079" spans="1:2" x14ac:dyDescent="0.35">
      <c r="A1079" s="11" t="s">
        <v>7389</v>
      </c>
      <c r="B1079" s="5">
        <v>9</v>
      </c>
    </row>
    <row r="1080" spans="1:2" x14ac:dyDescent="0.35">
      <c r="A1080" s="11" t="s">
        <v>10388</v>
      </c>
      <c r="B1080" s="5">
        <v>2</v>
      </c>
    </row>
    <row r="1081" spans="1:2" x14ac:dyDescent="0.35">
      <c r="A1081" s="11" t="s">
        <v>1702</v>
      </c>
      <c r="B1081" s="5">
        <v>5</v>
      </c>
    </row>
    <row r="1082" spans="1:2" x14ac:dyDescent="0.35">
      <c r="A1082" s="11" t="s">
        <v>9497</v>
      </c>
      <c r="B1082" s="5">
        <v>1</v>
      </c>
    </row>
    <row r="1083" spans="1:2" x14ac:dyDescent="0.35">
      <c r="A1083" s="11" t="s">
        <v>2325</v>
      </c>
      <c r="B1083" s="5">
        <v>11</v>
      </c>
    </row>
    <row r="1084" spans="1:2" x14ac:dyDescent="0.35">
      <c r="A1084" s="11" t="s">
        <v>4849</v>
      </c>
      <c r="B1084" s="5">
        <v>2</v>
      </c>
    </row>
    <row r="1085" spans="1:2" x14ac:dyDescent="0.35">
      <c r="A1085" s="11" t="s">
        <v>9426</v>
      </c>
      <c r="B1085" s="5">
        <v>1</v>
      </c>
    </row>
    <row r="1086" spans="1:2" x14ac:dyDescent="0.35">
      <c r="A1086" s="11" t="s">
        <v>7625</v>
      </c>
      <c r="B1086" s="5">
        <v>1</v>
      </c>
    </row>
    <row r="1087" spans="1:2" x14ac:dyDescent="0.35">
      <c r="A1087" s="11" t="s">
        <v>7000</v>
      </c>
      <c r="B1087" s="5">
        <v>2</v>
      </c>
    </row>
    <row r="1088" spans="1:2" x14ac:dyDescent="0.35">
      <c r="A1088" s="11" t="s">
        <v>10046</v>
      </c>
      <c r="B1088" s="5">
        <v>2</v>
      </c>
    </row>
    <row r="1089" spans="1:2" x14ac:dyDescent="0.35">
      <c r="A1089" s="11" t="s">
        <v>7569</v>
      </c>
      <c r="B1089" s="5">
        <v>4</v>
      </c>
    </row>
    <row r="1090" spans="1:2" x14ac:dyDescent="0.35">
      <c r="A1090" s="11" t="s">
        <v>950</v>
      </c>
      <c r="B1090" s="5">
        <v>29</v>
      </c>
    </row>
    <row r="1091" spans="1:2" x14ac:dyDescent="0.35">
      <c r="A1091" s="11" t="s">
        <v>10762</v>
      </c>
      <c r="B1091" s="5">
        <v>1</v>
      </c>
    </row>
    <row r="1092" spans="1:2" x14ac:dyDescent="0.35">
      <c r="A1092" s="11" t="s">
        <v>6111</v>
      </c>
      <c r="B1092" s="5">
        <v>6</v>
      </c>
    </row>
    <row r="1093" spans="1:2" x14ac:dyDescent="0.35">
      <c r="A1093" s="11" t="s">
        <v>8873</v>
      </c>
      <c r="B1093" s="5">
        <v>2</v>
      </c>
    </row>
    <row r="1094" spans="1:2" x14ac:dyDescent="0.35">
      <c r="A1094" s="11" t="s">
        <v>10594</v>
      </c>
      <c r="B1094" s="5">
        <v>2</v>
      </c>
    </row>
    <row r="1095" spans="1:2" x14ac:dyDescent="0.35">
      <c r="A1095" s="11" t="s">
        <v>3406</v>
      </c>
      <c r="B1095" s="5">
        <v>2</v>
      </c>
    </row>
    <row r="1096" spans="1:2" x14ac:dyDescent="0.35">
      <c r="A1096" s="11" t="s">
        <v>3282</v>
      </c>
      <c r="B1096" s="5">
        <v>5</v>
      </c>
    </row>
    <row r="1097" spans="1:2" x14ac:dyDescent="0.35">
      <c r="A1097" s="11" t="s">
        <v>4313</v>
      </c>
      <c r="B1097" s="5">
        <v>1</v>
      </c>
    </row>
    <row r="1098" spans="1:2" x14ac:dyDescent="0.35">
      <c r="A1098" s="11" t="s">
        <v>12918</v>
      </c>
      <c r="B1098" s="5">
        <v>1</v>
      </c>
    </row>
    <row r="1099" spans="1:2" x14ac:dyDescent="0.35">
      <c r="A1099" s="11" t="s">
        <v>10471</v>
      </c>
      <c r="B1099" s="5">
        <v>2</v>
      </c>
    </row>
    <row r="1100" spans="1:2" x14ac:dyDescent="0.35">
      <c r="A1100" s="11" t="s">
        <v>8307</v>
      </c>
      <c r="B1100" s="5">
        <v>2</v>
      </c>
    </row>
    <row r="1101" spans="1:2" x14ac:dyDescent="0.35">
      <c r="A1101" s="11" t="s">
        <v>3613</v>
      </c>
      <c r="B1101" s="5">
        <v>1</v>
      </c>
    </row>
    <row r="1102" spans="1:2" x14ac:dyDescent="0.35">
      <c r="A1102" s="11" t="s">
        <v>6223</v>
      </c>
      <c r="B1102" s="5">
        <v>6</v>
      </c>
    </row>
    <row r="1103" spans="1:2" x14ac:dyDescent="0.35">
      <c r="A1103" s="11" t="s">
        <v>3824</v>
      </c>
      <c r="B1103" s="5">
        <v>1</v>
      </c>
    </row>
    <row r="1104" spans="1:2" x14ac:dyDescent="0.35">
      <c r="A1104" s="11" t="s">
        <v>7757</v>
      </c>
      <c r="B1104" s="5">
        <v>1</v>
      </c>
    </row>
    <row r="1105" spans="1:2" x14ac:dyDescent="0.35">
      <c r="A1105" s="11" t="s">
        <v>7929</v>
      </c>
      <c r="B1105" s="5">
        <v>5</v>
      </c>
    </row>
    <row r="1106" spans="1:2" x14ac:dyDescent="0.35">
      <c r="A1106" s="11" t="s">
        <v>6735</v>
      </c>
      <c r="B1106" s="5">
        <v>13</v>
      </c>
    </row>
    <row r="1107" spans="1:2" x14ac:dyDescent="0.35">
      <c r="A1107" s="11" t="s">
        <v>8281</v>
      </c>
      <c r="B1107" s="5">
        <v>1</v>
      </c>
    </row>
    <row r="1108" spans="1:2" x14ac:dyDescent="0.35">
      <c r="A1108" s="11" t="s">
        <v>7527</v>
      </c>
      <c r="B1108" s="5">
        <v>1</v>
      </c>
    </row>
    <row r="1109" spans="1:2" x14ac:dyDescent="0.35">
      <c r="A1109" s="11" t="s">
        <v>10552</v>
      </c>
      <c r="B1109" s="5">
        <v>1</v>
      </c>
    </row>
    <row r="1110" spans="1:2" x14ac:dyDescent="0.35">
      <c r="A1110" s="11" t="s">
        <v>4122</v>
      </c>
      <c r="B1110" s="5">
        <v>1</v>
      </c>
    </row>
    <row r="1111" spans="1:2" x14ac:dyDescent="0.35">
      <c r="A1111" s="11" t="s">
        <v>5014</v>
      </c>
      <c r="B1111" s="5">
        <v>1</v>
      </c>
    </row>
    <row r="1112" spans="1:2" x14ac:dyDescent="0.35">
      <c r="A1112" s="11" t="s">
        <v>8499</v>
      </c>
      <c r="B1112" s="5">
        <v>1</v>
      </c>
    </row>
    <row r="1113" spans="1:2" x14ac:dyDescent="0.35">
      <c r="A1113" s="11" t="s">
        <v>622</v>
      </c>
      <c r="B1113" s="5">
        <v>6</v>
      </c>
    </row>
    <row r="1114" spans="1:2" x14ac:dyDescent="0.35">
      <c r="A1114" s="11" t="s">
        <v>6138</v>
      </c>
      <c r="B1114" s="5">
        <v>7</v>
      </c>
    </row>
    <row r="1115" spans="1:2" x14ac:dyDescent="0.35">
      <c r="A1115" s="11" t="s">
        <v>4101</v>
      </c>
      <c r="B1115" s="5">
        <v>1</v>
      </c>
    </row>
    <row r="1116" spans="1:2" x14ac:dyDescent="0.35">
      <c r="A1116" s="11" t="s">
        <v>6988</v>
      </c>
      <c r="B1116" s="5">
        <v>2</v>
      </c>
    </row>
    <row r="1117" spans="1:2" x14ac:dyDescent="0.35">
      <c r="A1117" s="11" t="s">
        <v>7420</v>
      </c>
      <c r="B1117" s="5">
        <v>3</v>
      </c>
    </row>
    <row r="1118" spans="1:2" x14ac:dyDescent="0.35">
      <c r="A1118" s="11" t="s">
        <v>4006</v>
      </c>
      <c r="B1118" s="5">
        <v>19</v>
      </c>
    </row>
    <row r="1119" spans="1:2" x14ac:dyDescent="0.35">
      <c r="A1119" s="11" t="s">
        <v>6176</v>
      </c>
      <c r="B1119" s="5">
        <v>2</v>
      </c>
    </row>
    <row r="1120" spans="1:2" x14ac:dyDescent="0.35">
      <c r="A1120" s="11" t="s">
        <v>7004</v>
      </c>
      <c r="B1120" s="5">
        <v>3</v>
      </c>
    </row>
    <row r="1121" spans="1:2" x14ac:dyDescent="0.35">
      <c r="A1121" s="11" t="s">
        <v>8782</v>
      </c>
      <c r="B1121" s="5">
        <v>1</v>
      </c>
    </row>
    <row r="1122" spans="1:2" x14ac:dyDescent="0.35">
      <c r="A1122" s="11" t="s">
        <v>6887</v>
      </c>
      <c r="B1122" s="5">
        <v>1</v>
      </c>
    </row>
    <row r="1123" spans="1:2" x14ac:dyDescent="0.35">
      <c r="A1123" s="11" t="s">
        <v>5739</v>
      </c>
      <c r="B1123" s="5">
        <v>1</v>
      </c>
    </row>
    <row r="1124" spans="1:2" x14ac:dyDescent="0.35">
      <c r="A1124" s="11" t="s">
        <v>5643</v>
      </c>
      <c r="B1124" s="5">
        <v>2</v>
      </c>
    </row>
    <row r="1125" spans="1:2" x14ac:dyDescent="0.35">
      <c r="A1125" s="11" t="s">
        <v>7261</v>
      </c>
      <c r="B1125" s="5">
        <v>11</v>
      </c>
    </row>
    <row r="1126" spans="1:2" x14ac:dyDescent="0.35">
      <c r="A1126" s="11" t="s">
        <v>12733</v>
      </c>
      <c r="B1126" s="5">
        <v>1</v>
      </c>
    </row>
    <row r="1127" spans="1:2" x14ac:dyDescent="0.35">
      <c r="A1127" s="11" t="s">
        <v>8586</v>
      </c>
      <c r="B1127" s="5">
        <v>1</v>
      </c>
    </row>
    <row r="1128" spans="1:2" x14ac:dyDescent="0.35">
      <c r="A1128" s="11" t="s">
        <v>3316</v>
      </c>
      <c r="B1128" s="5">
        <v>1</v>
      </c>
    </row>
    <row r="1129" spans="1:2" x14ac:dyDescent="0.35">
      <c r="A1129" s="11" t="s">
        <v>7764</v>
      </c>
      <c r="B1129" s="5">
        <v>1</v>
      </c>
    </row>
    <row r="1130" spans="1:2" x14ac:dyDescent="0.35">
      <c r="A1130" s="11" t="s">
        <v>12612</v>
      </c>
      <c r="B1130" s="5">
        <v>2</v>
      </c>
    </row>
    <row r="1131" spans="1:2" x14ac:dyDescent="0.35">
      <c r="A1131" s="11" t="s">
        <v>4693</v>
      </c>
      <c r="B1131" s="5">
        <v>1</v>
      </c>
    </row>
    <row r="1132" spans="1:2" x14ac:dyDescent="0.35">
      <c r="A1132" s="11" t="s">
        <v>7355</v>
      </c>
      <c r="B1132" s="5">
        <v>2</v>
      </c>
    </row>
    <row r="1133" spans="1:2" x14ac:dyDescent="0.35">
      <c r="A1133" s="11" t="s">
        <v>3649</v>
      </c>
      <c r="B1133" s="5">
        <v>1</v>
      </c>
    </row>
    <row r="1134" spans="1:2" x14ac:dyDescent="0.35">
      <c r="A1134" s="11" t="s">
        <v>8847</v>
      </c>
      <c r="B1134" s="5">
        <v>2</v>
      </c>
    </row>
    <row r="1135" spans="1:2" x14ac:dyDescent="0.35">
      <c r="A1135" s="11" t="s">
        <v>7051</v>
      </c>
      <c r="B1135" s="5">
        <v>7</v>
      </c>
    </row>
    <row r="1136" spans="1:2" x14ac:dyDescent="0.35">
      <c r="A1136" s="11" t="s">
        <v>10029</v>
      </c>
      <c r="B1136" s="5">
        <v>1</v>
      </c>
    </row>
    <row r="1137" spans="1:2" x14ac:dyDescent="0.35">
      <c r="A1137" s="11" t="s">
        <v>4267</v>
      </c>
      <c r="B1137" s="5">
        <v>1</v>
      </c>
    </row>
    <row r="1138" spans="1:2" x14ac:dyDescent="0.35">
      <c r="A1138" s="11" t="s">
        <v>5616</v>
      </c>
      <c r="B1138" s="5">
        <v>4</v>
      </c>
    </row>
    <row r="1139" spans="1:2" x14ac:dyDescent="0.35">
      <c r="A1139" s="11" t="s">
        <v>7759</v>
      </c>
      <c r="B1139" s="5">
        <v>1</v>
      </c>
    </row>
    <row r="1140" spans="1:2" x14ac:dyDescent="0.35">
      <c r="A1140" s="11" t="s">
        <v>8843</v>
      </c>
      <c r="B1140" s="5">
        <v>1</v>
      </c>
    </row>
    <row r="1141" spans="1:2" x14ac:dyDescent="0.35">
      <c r="A1141" s="11" t="s">
        <v>7894</v>
      </c>
      <c r="B1141" s="5">
        <v>2</v>
      </c>
    </row>
    <row r="1142" spans="1:2" x14ac:dyDescent="0.35">
      <c r="A1142" s="11" t="s">
        <v>10503</v>
      </c>
      <c r="B1142" s="5">
        <v>2</v>
      </c>
    </row>
    <row r="1143" spans="1:2" x14ac:dyDescent="0.35">
      <c r="A1143" s="11" t="s">
        <v>11830</v>
      </c>
      <c r="B1143" s="5">
        <v>2</v>
      </c>
    </row>
    <row r="1144" spans="1:2" x14ac:dyDescent="0.35">
      <c r="A1144" s="11" t="s">
        <v>6427</v>
      </c>
      <c r="B1144" s="5">
        <v>2</v>
      </c>
    </row>
    <row r="1145" spans="1:2" x14ac:dyDescent="0.35">
      <c r="A1145" s="11" t="s">
        <v>9192</v>
      </c>
      <c r="B1145" s="5">
        <v>7</v>
      </c>
    </row>
    <row r="1146" spans="1:2" x14ac:dyDescent="0.35">
      <c r="A1146" s="11" t="s">
        <v>10649</v>
      </c>
      <c r="B1146" s="5">
        <v>1</v>
      </c>
    </row>
    <row r="1147" spans="1:2" x14ac:dyDescent="0.35">
      <c r="A1147" s="11" t="s">
        <v>5439</v>
      </c>
      <c r="B1147" s="5">
        <v>3</v>
      </c>
    </row>
    <row r="1148" spans="1:2" x14ac:dyDescent="0.35">
      <c r="A1148" s="11" t="s">
        <v>9940</v>
      </c>
      <c r="B1148" s="5">
        <v>1</v>
      </c>
    </row>
    <row r="1149" spans="1:2" x14ac:dyDescent="0.35">
      <c r="A1149" s="12" t="s">
        <v>360</v>
      </c>
      <c r="B1149" s="13">
        <v>501</v>
      </c>
    </row>
    <row r="1150" spans="1:2" x14ac:dyDescent="0.35">
      <c r="A1150" s="11" t="s">
        <v>8580</v>
      </c>
      <c r="B1150" s="5">
        <v>5</v>
      </c>
    </row>
    <row r="1151" spans="1:2" x14ac:dyDescent="0.35">
      <c r="A1151" s="11" t="s">
        <v>9576</v>
      </c>
      <c r="B1151" s="5">
        <v>36</v>
      </c>
    </row>
    <row r="1152" spans="1:2" x14ac:dyDescent="0.35">
      <c r="A1152" s="11" t="s">
        <v>5337</v>
      </c>
      <c r="B1152" s="5">
        <v>3</v>
      </c>
    </row>
    <row r="1153" spans="1:2" x14ac:dyDescent="0.35">
      <c r="A1153" s="11" t="s">
        <v>10716</v>
      </c>
      <c r="B1153" s="5">
        <v>1</v>
      </c>
    </row>
    <row r="1154" spans="1:2" x14ac:dyDescent="0.35">
      <c r="A1154" s="11" t="s">
        <v>4896</v>
      </c>
      <c r="B1154" s="5">
        <v>4</v>
      </c>
    </row>
    <row r="1155" spans="1:2" x14ac:dyDescent="0.35">
      <c r="A1155" s="11" t="s">
        <v>359</v>
      </c>
      <c r="B1155" s="5">
        <v>1</v>
      </c>
    </row>
    <row r="1156" spans="1:2" x14ac:dyDescent="0.35">
      <c r="A1156" s="11" t="s">
        <v>11915</v>
      </c>
      <c r="B1156" s="5">
        <v>1</v>
      </c>
    </row>
    <row r="1157" spans="1:2" x14ac:dyDescent="0.35">
      <c r="A1157" s="11" t="s">
        <v>4629</v>
      </c>
      <c r="B1157" s="5">
        <v>1</v>
      </c>
    </row>
    <row r="1158" spans="1:2" x14ac:dyDescent="0.35">
      <c r="A1158" s="11" t="s">
        <v>5438</v>
      </c>
      <c r="B1158" s="5">
        <v>64</v>
      </c>
    </row>
    <row r="1159" spans="1:2" x14ac:dyDescent="0.35">
      <c r="A1159" s="11" t="s">
        <v>11577</v>
      </c>
      <c r="B1159" s="5">
        <v>1</v>
      </c>
    </row>
    <row r="1160" spans="1:2" x14ac:dyDescent="0.35">
      <c r="A1160" s="11" t="s">
        <v>9775</v>
      </c>
      <c r="B1160" s="5">
        <v>1</v>
      </c>
    </row>
    <row r="1161" spans="1:2" x14ac:dyDescent="0.35">
      <c r="A1161" s="11" t="s">
        <v>10957</v>
      </c>
      <c r="B1161" s="5">
        <v>4</v>
      </c>
    </row>
    <row r="1162" spans="1:2" x14ac:dyDescent="0.35">
      <c r="A1162" s="11" t="s">
        <v>11315</v>
      </c>
      <c r="B1162" s="5">
        <v>1</v>
      </c>
    </row>
    <row r="1163" spans="1:2" x14ac:dyDescent="0.35">
      <c r="A1163" s="11" t="s">
        <v>3618</v>
      </c>
      <c r="B1163" s="5">
        <v>6</v>
      </c>
    </row>
    <row r="1164" spans="1:2" x14ac:dyDescent="0.35">
      <c r="A1164" s="11" t="s">
        <v>916</v>
      </c>
      <c r="B1164" s="5">
        <v>1</v>
      </c>
    </row>
    <row r="1165" spans="1:2" x14ac:dyDescent="0.35">
      <c r="A1165" s="11" t="s">
        <v>5332</v>
      </c>
      <c r="B1165" s="5">
        <v>10</v>
      </c>
    </row>
    <row r="1166" spans="1:2" x14ac:dyDescent="0.35">
      <c r="A1166" s="11" t="s">
        <v>7138</v>
      </c>
      <c r="B1166" s="5">
        <v>42</v>
      </c>
    </row>
    <row r="1167" spans="1:2" x14ac:dyDescent="0.35">
      <c r="A1167" s="11" t="s">
        <v>4426</v>
      </c>
      <c r="B1167" s="5">
        <v>4</v>
      </c>
    </row>
    <row r="1168" spans="1:2" x14ac:dyDescent="0.35">
      <c r="A1168" s="11" t="s">
        <v>5196</v>
      </c>
      <c r="B1168" s="5">
        <v>5</v>
      </c>
    </row>
    <row r="1169" spans="1:2" x14ac:dyDescent="0.35">
      <c r="A1169" s="11" t="s">
        <v>7013</v>
      </c>
      <c r="B1169" s="5">
        <v>4</v>
      </c>
    </row>
    <row r="1170" spans="1:2" x14ac:dyDescent="0.35">
      <c r="A1170" s="11" t="s">
        <v>3731</v>
      </c>
      <c r="B1170" s="5">
        <v>10</v>
      </c>
    </row>
    <row r="1171" spans="1:2" x14ac:dyDescent="0.35">
      <c r="A1171" s="11" t="s">
        <v>11157</v>
      </c>
      <c r="B1171" s="5">
        <v>223</v>
      </c>
    </row>
    <row r="1172" spans="1:2" x14ac:dyDescent="0.35">
      <c r="A1172" s="11" t="s">
        <v>1098</v>
      </c>
      <c r="B1172" s="5">
        <v>40</v>
      </c>
    </row>
    <row r="1173" spans="1:2" x14ac:dyDescent="0.35">
      <c r="A1173" s="11" t="s">
        <v>10119</v>
      </c>
      <c r="B1173" s="5">
        <v>14</v>
      </c>
    </row>
    <row r="1174" spans="1:2" x14ac:dyDescent="0.35">
      <c r="A1174" s="11" t="s">
        <v>4949</v>
      </c>
      <c r="B1174" s="5">
        <v>6</v>
      </c>
    </row>
    <row r="1175" spans="1:2" x14ac:dyDescent="0.35">
      <c r="A1175" s="11" t="s">
        <v>7471</v>
      </c>
      <c r="B1175" s="5">
        <v>13</v>
      </c>
    </row>
    <row r="1176" spans="1:2" x14ac:dyDescent="0.35">
      <c r="A1176" s="12" t="s">
        <v>23</v>
      </c>
      <c r="B1176" s="13">
        <v>4253</v>
      </c>
    </row>
    <row r="1177" spans="1:2" x14ac:dyDescent="0.35">
      <c r="A1177" s="11" t="s">
        <v>8048</v>
      </c>
      <c r="B1177" s="5">
        <v>1</v>
      </c>
    </row>
    <row r="1178" spans="1:2" x14ac:dyDescent="0.35">
      <c r="A1178" s="11" t="s">
        <v>5917</v>
      </c>
      <c r="B1178" s="5">
        <v>4</v>
      </c>
    </row>
    <row r="1179" spans="1:2" x14ac:dyDescent="0.35">
      <c r="A1179" s="11" t="s">
        <v>8371</v>
      </c>
      <c r="B1179" s="5">
        <v>3</v>
      </c>
    </row>
    <row r="1180" spans="1:2" x14ac:dyDescent="0.35">
      <c r="A1180" s="11" t="s">
        <v>3678</v>
      </c>
      <c r="B1180" s="5">
        <v>2</v>
      </c>
    </row>
    <row r="1181" spans="1:2" x14ac:dyDescent="0.35">
      <c r="A1181" s="11" t="s">
        <v>12852</v>
      </c>
      <c r="B1181" s="5">
        <v>1</v>
      </c>
    </row>
    <row r="1182" spans="1:2" x14ac:dyDescent="0.35">
      <c r="A1182" s="11" t="s">
        <v>2374</v>
      </c>
      <c r="B1182" s="5">
        <v>2</v>
      </c>
    </row>
    <row r="1183" spans="1:2" x14ac:dyDescent="0.35">
      <c r="A1183" s="11" t="s">
        <v>670</v>
      </c>
      <c r="B1183" s="5">
        <v>2</v>
      </c>
    </row>
    <row r="1184" spans="1:2" x14ac:dyDescent="0.35">
      <c r="A1184" s="11" t="s">
        <v>12238</v>
      </c>
      <c r="B1184" s="5">
        <v>1</v>
      </c>
    </row>
    <row r="1185" spans="1:2" x14ac:dyDescent="0.35">
      <c r="A1185" s="11" t="s">
        <v>1447</v>
      </c>
      <c r="B1185" s="5">
        <v>3</v>
      </c>
    </row>
    <row r="1186" spans="1:2" x14ac:dyDescent="0.35">
      <c r="A1186" s="11" t="s">
        <v>10647</v>
      </c>
      <c r="B1186" s="5">
        <v>1</v>
      </c>
    </row>
    <row r="1187" spans="1:2" x14ac:dyDescent="0.35">
      <c r="A1187" s="11" t="s">
        <v>137</v>
      </c>
      <c r="B1187" s="5">
        <v>4</v>
      </c>
    </row>
    <row r="1188" spans="1:2" x14ac:dyDescent="0.35">
      <c r="A1188" s="11" t="s">
        <v>12929</v>
      </c>
      <c r="B1188" s="5">
        <v>3</v>
      </c>
    </row>
    <row r="1189" spans="1:2" x14ac:dyDescent="0.35">
      <c r="A1189" s="11" t="s">
        <v>1076</v>
      </c>
      <c r="B1189" s="5">
        <v>2</v>
      </c>
    </row>
    <row r="1190" spans="1:2" x14ac:dyDescent="0.35">
      <c r="A1190" s="11" t="s">
        <v>881</v>
      </c>
      <c r="B1190" s="5">
        <v>1</v>
      </c>
    </row>
    <row r="1191" spans="1:2" x14ac:dyDescent="0.35">
      <c r="A1191" s="11" t="s">
        <v>7103</v>
      </c>
      <c r="B1191" s="5">
        <v>4</v>
      </c>
    </row>
    <row r="1192" spans="1:2" x14ac:dyDescent="0.35">
      <c r="A1192" s="11" t="s">
        <v>12978</v>
      </c>
      <c r="B1192" s="5">
        <v>3</v>
      </c>
    </row>
    <row r="1193" spans="1:2" x14ac:dyDescent="0.35">
      <c r="A1193" s="11" t="s">
        <v>584</v>
      </c>
      <c r="B1193" s="5">
        <v>1</v>
      </c>
    </row>
    <row r="1194" spans="1:2" x14ac:dyDescent="0.35">
      <c r="A1194" s="11" t="s">
        <v>11469</v>
      </c>
      <c r="B1194" s="5">
        <v>14</v>
      </c>
    </row>
    <row r="1195" spans="1:2" x14ac:dyDescent="0.35">
      <c r="A1195" s="11" t="s">
        <v>12947</v>
      </c>
      <c r="B1195" s="5">
        <v>2</v>
      </c>
    </row>
    <row r="1196" spans="1:2" x14ac:dyDescent="0.35">
      <c r="A1196" s="11" t="s">
        <v>5527</v>
      </c>
      <c r="B1196" s="5">
        <v>1</v>
      </c>
    </row>
    <row r="1197" spans="1:2" x14ac:dyDescent="0.35">
      <c r="A1197" s="11" t="s">
        <v>555</v>
      </c>
      <c r="B1197" s="5">
        <v>2</v>
      </c>
    </row>
    <row r="1198" spans="1:2" x14ac:dyDescent="0.35">
      <c r="A1198" s="11" t="s">
        <v>3454</v>
      </c>
      <c r="B1198" s="5">
        <v>15</v>
      </c>
    </row>
    <row r="1199" spans="1:2" x14ac:dyDescent="0.35">
      <c r="A1199" s="11" t="s">
        <v>12132</v>
      </c>
      <c r="B1199" s="5">
        <v>3</v>
      </c>
    </row>
    <row r="1200" spans="1:2" x14ac:dyDescent="0.35">
      <c r="A1200" s="11" t="s">
        <v>2539</v>
      </c>
      <c r="B1200" s="5">
        <v>2</v>
      </c>
    </row>
    <row r="1201" spans="1:2" x14ac:dyDescent="0.35">
      <c r="A1201" s="11" t="s">
        <v>12857</v>
      </c>
      <c r="B1201" s="5">
        <v>1</v>
      </c>
    </row>
    <row r="1202" spans="1:2" x14ac:dyDescent="0.35">
      <c r="A1202" s="11" t="s">
        <v>10978</v>
      </c>
      <c r="B1202" s="5">
        <v>6</v>
      </c>
    </row>
    <row r="1203" spans="1:2" x14ac:dyDescent="0.35">
      <c r="A1203" s="11" t="s">
        <v>1854</v>
      </c>
      <c r="B1203" s="5">
        <v>2</v>
      </c>
    </row>
    <row r="1204" spans="1:2" x14ac:dyDescent="0.35">
      <c r="A1204" s="11" t="s">
        <v>2118</v>
      </c>
      <c r="B1204" s="5">
        <v>1</v>
      </c>
    </row>
    <row r="1205" spans="1:2" x14ac:dyDescent="0.35">
      <c r="A1205" s="11" t="s">
        <v>5006</v>
      </c>
      <c r="B1205" s="5">
        <v>2</v>
      </c>
    </row>
    <row r="1206" spans="1:2" x14ac:dyDescent="0.35">
      <c r="A1206" s="11" t="s">
        <v>2555</v>
      </c>
      <c r="B1206" s="5">
        <v>1</v>
      </c>
    </row>
    <row r="1207" spans="1:2" x14ac:dyDescent="0.35">
      <c r="A1207" s="11" t="s">
        <v>7330</v>
      </c>
      <c r="B1207" s="5">
        <v>3</v>
      </c>
    </row>
    <row r="1208" spans="1:2" x14ac:dyDescent="0.35">
      <c r="A1208" s="11" t="s">
        <v>1951</v>
      </c>
      <c r="B1208" s="5">
        <v>2</v>
      </c>
    </row>
    <row r="1209" spans="1:2" x14ac:dyDescent="0.35">
      <c r="A1209" s="11" t="s">
        <v>2358</v>
      </c>
      <c r="B1209" s="5">
        <v>2</v>
      </c>
    </row>
    <row r="1210" spans="1:2" x14ac:dyDescent="0.35">
      <c r="A1210" s="11" t="s">
        <v>11861</v>
      </c>
      <c r="B1210" s="5">
        <v>1</v>
      </c>
    </row>
    <row r="1211" spans="1:2" x14ac:dyDescent="0.35">
      <c r="A1211" s="11" t="s">
        <v>694</v>
      </c>
      <c r="B1211" s="5">
        <v>5</v>
      </c>
    </row>
    <row r="1212" spans="1:2" x14ac:dyDescent="0.35">
      <c r="A1212" s="11" t="s">
        <v>655</v>
      </c>
      <c r="B1212" s="5">
        <v>7</v>
      </c>
    </row>
    <row r="1213" spans="1:2" x14ac:dyDescent="0.35">
      <c r="A1213" s="11" t="s">
        <v>11900</v>
      </c>
      <c r="B1213" s="5">
        <v>2</v>
      </c>
    </row>
    <row r="1214" spans="1:2" x14ac:dyDescent="0.35">
      <c r="A1214" s="11" t="s">
        <v>2972</v>
      </c>
      <c r="B1214" s="5">
        <v>4</v>
      </c>
    </row>
    <row r="1215" spans="1:2" x14ac:dyDescent="0.35">
      <c r="A1215" s="11" t="s">
        <v>4590</v>
      </c>
      <c r="B1215" s="5">
        <v>2</v>
      </c>
    </row>
    <row r="1216" spans="1:2" x14ac:dyDescent="0.35">
      <c r="A1216" s="11" t="s">
        <v>738</v>
      </c>
      <c r="B1216" s="5">
        <v>4</v>
      </c>
    </row>
    <row r="1217" spans="1:2" x14ac:dyDescent="0.35">
      <c r="A1217" s="11" t="s">
        <v>1713</v>
      </c>
      <c r="B1217" s="5">
        <v>3</v>
      </c>
    </row>
    <row r="1218" spans="1:2" x14ac:dyDescent="0.35">
      <c r="A1218" s="11" t="s">
        <v>2736</v>
      </c>
      <c r="B1218" s="5">
        <v>3</v>
      </c>
    </row>
    <row r="1219" spans="1:2" x14ac:dyDescent="0.35">
      <c r="A1219" s="11" t="s">
        <v>11055</v>
      </c>
      <c r="B1219" s="5">
        <v>2</v>
      </c>
    </row>
    <row r="1220" spans="1:2" x14ac:dyDescent="0.35">
      <c r="A1220" s="11" t="s">
        <v>5033</v>
      </c>
      <c r="B1220" s="5">
        <v>9</v>
      </c>
    </row>
    <row r="1221" spans="1:2" x14ac:dyDescent="0.35">
      <c r="A1221" s="11" t="s">
        <v>6390</v>
      </c>
      <c r="B1221" s="5">
        <v>29</v>
      </c>
    </row>
    <row r="1222" spans="1:2" x14ac:dyDescent="0.35">
      <c r="A1222" s="11" t="s">
        <v>3859</v>
      </c>
      <c r="B1222" s="5">
        <v>1</v>
      </c>
    </row>
    <row r="1223" spans="1:2" x14ac:dyDescent="0.35">
      <c r="A1223" s="11" t="s">
        <v>9957</v>
      </c>
      <c r="B1223" s="5">
        <v>2</v>
      </c>
    </row>
    <row r="1224" spans="1:2" x14ac:dyDescent="0.35">
      <c r="A1224" s="11" t="s">
        <v>12958</v>
      </c>
      <c r="B1224" s="5">
        <v>1</v>
      </c>
    </row>
    <row r="1225" spans="1:2" x14ac:dyDescent="0.35">
      <c r="A1225" s="11" t="s">
        <v>404</v>
      </c>
      <c r="B1225" s="5">
        <v>4</v>
      </c>
    </row>
    <row r="1226" spans="1:2" x14ac:dyDescent="0.35">
      <c r="A1226" s="11" t="s">
        <v>11400</v>
      </c>
      <c r="B1226" s="5">
        <v>1</v>
      </c>
    </row>
    <row r="1227" spans="1:2" x14ac:dyDescent="0.35">
      <c r="A1227" s="11" t="s">
        <v>6865</v>
      </c>
      <c r="B1227" s="5">
        <v>2</v>
      </c>
    </row>
    <row r="1228" spans="1:2" x14ac:dyDescent="0.35">
      <c r="A1228" s="11" t="s">
        <v>1931</v>
      </c>
      <c r="B1228" s="5">
        <v>4</v>
      </c>
    </row>
    <row r="1229" spans="1:2" x14ac:dyDescent="0.35">
      <c r="A1229" s="11" t="s">
        <v>2240</v>
      </c>
      <c r="B1229" s="5">
        <v>6</v>
      </c>
    </row>
    <row r="1230" spans="1:2" x14ac:dyDescent="0.35">
      <c r="A1230" s="11" t="s">
        <v>4907</v>
      </c>
      <c r="B1230" s="5">
        <v>5</v>
      </c>
    </row>
    <row r="1231" spans="1:2" x14ac:dyDescent="0.35">
      <c r="A1231" s="11" t="s">
        <v>8858</v>
      </c>
      <c r="B1231" s="5">
        <v>5</v>
      </c>
    </row>
    <row r="1232" spans="1:2" x14ac:dyDescent="0.35">
      <c r="A1232" s="11" t="s">
        <v>11898</v>
      </c>
      <c r="B1232" s="5">
        <v>1</v>
      </c>
    </row>
    <row r="1233" spans="1:2" x14ac:dyDescent="0.35">
      <c r="A1233" s="11" t="s">
        <v>11155</v>
      </c>
      <c r="B1233" s="5">
        <v>1</v>
      </c>
    </row>
    <row r="1234" spans="1:2" x14ac:dyDescent="0.35">
      <c r="A1234" s="11" t="s">
        <v>2163</v>
      </c>
      <c r="B1234" s="5">
        <v>2</v>
      </c>
    </row>
    <row r="1235" spans="1:2" x14ac:dyDescent="0.35">
      <c r="A1235" s="11" t="s">
        <v>5887</v>
      </c>
      <c r="B1235" s="5">
        <v>19</v>
      </c>
    </row>
    <row r="1236" spans="1:2" x14ac:dyDescent="0.35">
      <c r="A1236" s="11" t="s">
        <v>10950</v>
      </c>
      <c r="B1236" s="5">
        <v>4</v>
      </c>
    </row>
    <row r="1237" spans="1:2" x14ac:dyDescent="0.35">
      <c r="A1237" s="11" t="s">
        <v>11050</v>
      </c>
      <c r="B1237" s="5">
        <v>2</v>
      </c>
    </row>
    <row r="1238" spans="1:2" x14ac:dyDescent="0.35">
      <c r="A1238" s="11" t="s">
        <v>6095</v>
      </c>
      <c r="B1238" s="5">
        <v>3</v>
      </c>
    </row>
    <row r="1239" spans="1:2" x14ac:dyDescent="0.35">
      <c r="A1239" s="11" t="s">
        <v>928</v>
      </c>
      <c r="B1239" s="5">
        <v>1</v>
      </c>
    </row>
    <row r="1240" spans="1:2" x14ac:dyDescent="0.35">
      <c r="A1240" s="11" t="s">
        <v>1333</v>
      </c>
      <c r="B1240" s="5">
        <v>4</v>
      </c>
    </row>
    <row r="1241" spans="1:2" x14ac:dyDescent="0.35">
      <c r="A1241" s="11" t="s">
        <v>384</v>
      </c>
      <c r="B1241" s="5">
        <v>1</v>
      </c>
    </row>
    <row r="1242" spans="1:2" x14ac:dyDescent="0.35">
      <c r="A1242" s="11" t="s">
        <v>12324</v>
      </c>
      <c r="B1242" s="5">
        <v>4</v>
      </c>
    </row>
    <row r="1243" spans="1:2" x14ac:dyDescent="0.35">
      <c r="A1243" s="11" t="s">
        <v>3844</v>
      </c>
      <c r="B1243" s="5">
        <v>1</v>
      </c>
    </row>
    <row r="1244" spans="1:2" x14ac:dyDescent="0.35">
      <c r="A1244" s="11" t="s">
        <v>7802</v>
      </c>
      <c r="B1244" s="5">
        <v>3</v>
      </c>
    </row>
    <row r="1245" spans="1:2" x14ac:dyDescent="0.35">
      <c r="A1245" s="11" t="s">
        <v>1269</v>
      </c>
      <c r="B1245" s="5">
        <v>2</v>
      </c>
    </row>
    <row r="1246" spans="1:2" x14ac:dyDescent="0.35">
      <c r="A1246" s="11" t="s">
        <v>538</v>
      </c>
      <c r="B1246" s="5">
        <v>2</v>
      </c>
    </row>
    <row r="1247" spans="1:2" x14ac:dyDescent="0.35">
      <c r="A1247" s="11" t="s">
        <v>5049</v>
      </c>
      <c r="B1247" s="5">
        <v>2</v>
      </c>
    </row>
    <row r="1248" spans="1:2" x14ac:dyDescent="0.35">
      <c r="A1248" s="11" t="s">
        <v>8975</v>
      </c>
      <c r="B1248" s="5">
        <v>16</v>
      </c>
    </row>
    <row r="1249" spans="1:2" x14ac:dyDescent="0.35">
      <c r="A1249" s="11" t="s">
        <v>11073</v>
      </c>
      <c r="B1249" s="5">
        <v>1</v>
      </c>
    </row>
    <row r="1250" spans="1:2" x14ac:dyDescent="0.35">
      <c r="A1250" s="11" t="s">
        <v>5851</v>
      </c>
      <c r="B1250" s="5">
        <v>5</v>
      </c>
    </row>
    <row r="1251" spans="1:2" x14ac:dyDescent="0.35">
      <c r="A1251" s="11" t="s">
        <v>10914</v>
      </c>
      <c r="B1251" s="5">
        <v>2</v>
      </c>
    </row>
    <row r="1252" spans="1:2" x14ac:dyDescent="0.35">
      <c r="A1252" s="11" t="s">
        <v>320</v>
      </c>
      <c r="B1252" s="5">
        <v>11</v>
      </c>
    </row>
    <row r="1253" spans="1:2" x14ac:dyDescent="0.35">
      <c r="A1253" s="11" t="s">
        <v>5326</v>
      </c>
      <c r="B1253" s="5">
        <v>19</v>
      </c>
    </row>
    <row r="1254" spans="1:2" x14ac:dyDescent="0.35">
      <c r="A1254" s="11" t="s">
        <v>3170</v>
      </c>
      <c r="B1254" s="5">
        <v>8</v>
      </c>
    </row>
    <row r="1255" spans="1:2" x14ac:dyDescent="0.35">
      <c r="A1255" s="11" t="s">
        <v>968</v>
      </c>
      <c r="B1255" s="5">
        <v>2</v>
      </c>
    </row>
    <row r="1256" spans="1:2" x14ac:dyDescent="0.35">
      <c r="A1256" s="11" t="s">
        <v>3223</v>
      </c>
      <c r="B1256" s="5">
        <v>26</v>
      </c>
    </row>
    <row r="1257" spans="1:2" x14ac:dyDescent="0.35">
      <c r="A1257" s="11" t="s">
        <v>553</v>
      </c>
      <c r="B1257" s="5">
        <v>9</v>
      </c>
    </row>
    <row r="1258" spans="1:2" x14ac:dyDescent="0.35">
      <c r="A1258" s="11" t="s">
        <v>8318</v>
      </c>
      <c r="B1258" s="5">
        <v>3</v>
      </c>
    </row>
    <row r="1259" spans="1:2" x14ac:dyDescent="0.35">
      <c r="A1259" s="11" t="s">
        <v>4168</v>
      </c>
      <c r="B1259" s="5">
        <v>2</v>
      </c>
    </row>
    <row r="1260" spans="1:2" x14ac:dyDescent="0.35">
      <c r="A1260" s="11" t="s">
        <v>2576</v>
      </c>
      <c r="B1260" s="5">
        <v>30</v>
      </c>
    </row>
    <row r="1261" spans="1:2" x14ac:dyDescent="0.35">
      <c r="A1261" s="11" t="s">
        <v>12182</v>
      </c>
      <c r="B1261" s="5">
        <v>1</v>
      </c>
    </row>
    <row r="1262" spans="1:2" x14ac:dyDescent="0.35">
      <c r="A1262" s="11" t="s">
        <v>1501</v>
      </c>
      <c r="B1262" s="5">
        <v>1</v>
      </c>
    </row>
    <row r="1263" spans="1:2" x14ac:dyDescent="0.35">
      <c r="A1263" s="11" t="s">
        <v>1675</v>
      </c>
      <c r="B1263" s="5">
        <v>1</v>
      </c>
    </row>
    <row r="1264" spans="1:2" x14ac:dyDescent="0.35">
      <c r="A1264" s="11" t="s">
        <v>12001</v>
      </c>
      <c r="B1264" s="5">
        <v>1</v>
      </c>
    </row>
    <row r="1265" spans="1:2" x14ac:dyDescent="0.35">
      <c r="A1265" s="11" t="s">
        <v>2587</v>
      </c>
      <c r="B1265" s="5">
        <v>2</v>
      </c>
    </row>
    <row r="1266" spans="1:2" x14ac:dyDescent="0.35">
      <c r="A1266" s="11" t="s">
        <v>4253</v>
      </c>
      <c r="B1266" s="5">
        <v>2</v>
      </c>
    </row>
    <row r="1267" spans="1:2" x14ac:dyDescent="0.35">
      <c r="A1267" s="11" t="s">
        <v>2981</v>
      </c>
      <c r="B1267" s="5">
        <v>7</v>
      </c>
    </row>
    <row r="1268" spans="1:2" x14ac:dyDescent="0.35">
      <c r="A1268" s="11" t="s">
        <v>9334</v>
      </c>
      <c r="B1268" s="5">
        <v>3</v>
      </c>
    </row>
    <row r="1269" spans="1:2" x14ac:dyDescent="0.35">
      <c r="A1269" s="11" t="s">
        <v>4129</v>
      </c>
      <c r="B1269" s="5">
        <v>6</v>
      </c>
    </row>
    <row r="1270" spans="1:2" x14ac:dyDescent="0.35">
      <c r="A1270" s="11" t="s">
        <v>11471</v>
      </c>
      <c r="B1270" s="5">
        <v>2</v>
      </c>
    </row>
    <row r="1271" spans="1:2" x14ac:dyDescent="0.35">
      <c r="A1271" s="11" t="s">
        <v>7194</v>
      </c>
      <c r="B1271" s="5">
        <v>1</v>
      </c>
    </row>
    <row r="1272" spans="1:2" x14ac:dyDescent="0.35">
      <c r="A1272" s="11" t="s">
        <v>12496</v>
      </c>
      <c r="B1272" s="5">
        <v>2</v>
      </c>
    </row>
    <row r="1273" spans="1:2" x14ac:dyDescent="0.35">
      <c r="A1273" s="11" t="s">
        <v>6257</v>
      </c>
      <c r="B1273" s="5">
        <v>1</v>
      </c>
    </row>
    <row r="1274" spans="1:2" x14ac:dyDescent="0.35">
      <c r="A1274" s="11" t="s">
        <v>2407</v>
      </c>
      <c r="B1274" s="5">
        <v>6</v>
      </c>
    </row>
    <row r="1275" spans="1:2" x14ac:dyDescent="0.35">
      <c r="A1275" s="11" t="s">
        <v>11484</v>
      </c>
      <c r="B1275" s="5">
        <v>1</v>
      </c>
    </row>
    <row r="1276" spans="1:2" x14ac:dyDescent="0.35">
      <c r="A1276" s="11" t="s">
        <v>7437</v>
      </c>
      <c r="B1276" s="5">
        <v>1</v>
      </c>
    </row>
    <row r="1277" spans="1:2" x14ac:dyDescent="0.35">
      <c r="A1277" s="11" t="s">
        <v>10601</v>
      </c>
      <c r="B1277" s="5">
        <v>19</v>
      </c>
    </row>
    <row r="1278" spans="1:2" x14ac:dyDescent="0.35">
      <c r="A1278" s="11" t="s">
        <v>8945</v>
      </c>
      <c r="B1278" s="5">
        <v>3</v>
      </c>
    </row>
    <row r="1279" spans="1:2" x14ac:dyDescent="0.35">
      <c r="A1279" s="11" t="s">
        <v>10940</v>
      </c>
      <c r="B1279" s="5">
        <v>5</v>
      </c>
    </row>
    <row r="1280" spans="1:2" x14ac:dyDescent="0.35">
      <c r="A1280" s="11" t="s">
        <v>9305</v>
      </c>
      <c r="B1280" s="5">
        <v>1</v>
      </c>
    </row>
    <row r="1281" spans="1:2" x14ac:dyDescent="0.35">
      <c r="A1281" s="11" t="s">
        <v>1574</v>
      </c>
      <c r="B1281" s="5">
        <v>2</v>
      </c>
    </row>
    <row r="1282" spans="1:2" x14ac:dyDescent="0.35">
      <c r="A1282" s="11" t="s">
        <v>11013</v>
      </c>
      <c r="B1282" s="5">
        <v>3</v>
      </c>
    </row>
    <row r="1283" spans="1:2" x14ac:dyDescent="0.35">
      <c r="A1283" s="11" t="s">
        <v>2834</v>
      </c>
      <c r="B1283" s="5">
        <v>3</v>
      </c>
    </row>
    <row r="1284" spans="1:2" x14ac:dyDescent="0.35">
      <c r="A1284" s="11" t="s">
        <v>9937</v>
      </c>
      <c r="B1284" s="5">
        <v>8</v>
      </c>
    </row>
    <row r="1285" spans="1:2" x14ac:dyDescent="0.35">
      <c r="A1285" s="11" t="s">
        <v>11079</v>
      </c>
      <c r="B1285" s="5">
        <v>3</v>
      </c>
    </row>
    <row r="1286" spans="1:2" x14ac:dyDescent="0.35">
      <c r="A1286" s="11" t="s">
        <v>10860</v>
      </c>
      <c r="B1286" s="5">
        <v>1</v>
      </c>
    </row>
    <row r="1287" spans="1:2" x14ac:dyDescent="0.35">
      <c r="A1287" s="11" t="s">
        <v>10993</v>
      </c>
      <c r="B1287" s="5">
        <v>3</v>
      </c>
    </row>
    <row r="1288" spans="1:2" x14ac:dyDescent="0.35">
      <c r="A1288" s="11" t="s">
        <v>10767</v>
      </c>
      <c r="B1288" s="5">
        <v>5</v>
      </c>
    </row>
    <row r="1289" spans="1:2" x14ac:dyDescent="0.35">
      <c r="A1289" s="11" t="s">
        <v>10954</v>
      </c>
      <c r="B1289" s="5">
        <v>5</v>
      </c>
    </row>
    <row r="1290" spans="1:2" x14ac:dyDescent="0.35">
      <c r="A1290" s="11" t="s">
        <v>6319</v>
      </c>
      <c r="B1290" s="5">
        <v>1</v>
      </c>
    </row>
    <row r="1291" spans="1:2" x14ac:dyDescent="0.35">
      <c r="A1291" s="11" t="s">
        <v>2742</v>
      </c>
      <c r="B1291" s="5">
        <v>9</v>
      </c>
    </row>
    <row r="1292" spans="1:2" x14ac:dyDescent="0.35">
      <c r="A1292" s="11" t="s">
        <v>1020</v>
      </c>
      <c r="B1292" s="5">
        <v>1</v>
      </c>
    </row>
    <row r="1293" spans="1:2" x14ac:dyDescent="0.35">
      <c r="A1293" s="11" t="s">
        <v>11000</v>
      </c>
      <c r="B1293" s="5">
        <v>3</v>
      </c>
    </row>
    <row r="1294" spans="1:2" x14ac:dyDescent="0.35">
      <c r="A1294" s="11" t="s">
        <v>3829</v>
      </c>
      <c r="B1294" s="5">
        <v>6</v>
      </c>
    </row>
    <row r="1295" spans="1:2" x14ac:dyDescent="0.35">
      <c r="A1295" s="11" t="s">
        <v>2705</v>
      </c>
      <c r="B1295" s="5">
        <v>41</v>
      </c>
    </row>
    <row r="1296" spans="1:2" x14ac:dyDescent="0.35">
      <c r="A1296" s="11" t="s">
        <v>4116</v>
      </c>
      <c r="B1296" s="5">
        <v>6</v>
      </c>
    </row>
    <row r="1297" spans="1:2" x14ac:dyDescent="0.35">
      <c r="A1297" s="11" t="s">
        <v>2186</v>
      </c>
      <c r="B1297" s="5">
        <v>2</v>
      </c>
    </row>
    <row r="1298" spans="1:2" x14ac:dyDescent="0.35">
      <c r="A1298" s="11" t="s">
        <v>11657</v>
      </c>
      <c r="B1298" s="5">
        <v>2</v>
      </c>
    </row>
    <row r="1299" spans="1:2" x14ac:dyDescent="0.35">
      <c r="A1299" s="11" t="s">
        <v>1599</v>
      </c>
      <c r="B1299" s="5">
        <v>3</v>
      </c>
    </row>
    <row r="1300" spans="1:2" x14ac:dyDescent="0.35">
      <c r="A1300" s="11" t="s">
        <v>272</v>
      </c>
      <c r="B1300" s="5">
        <v>2</v>
      </c>
    </row>
    <row r="1301" spans="1:2" x14ac:dyDescent="0.35">
      <c r="A1301" s="11" t="s">
        <v>1946</v>
      </c>
      <c r="B1301" s="5">
        <v>1</v>
      </c>
    </row>
    <row r="1302" spans="1:2" x14ac:dyDescent="0.35">
      <c r="A1302" s="11" t="s">
        <v>1771</v>
      </c>
      <c r="B1302" s="5">
        <v>1</v>
      </c>
    </row>
    <row r="1303" spans="1:2" x14ac:dyDescent="0.35">
      <c r="A1303" s="11" t="s">
        <v>1037</v>
      </c>
      <c r="B1303" s="5">
        <v>3</v>
      </c>
    </row>
    <row r="1304" spans="1:2" x14ac:dyDescent="0.35">
      <c r="A1304" s="11" t="s">
        <v>2470</v>
      </c>
      <c r="B1304" s="5">
        <v>1</v>
      </c>
    </row>
    <row r="1305" spans="1:2" x14ac:dyDescent="0.35">
      <c r="A1305" s="11" t="s">
        <v>4813</v>
      </c>
      <c r="B1305" s="5">
        <v>9</v>
      </c>
    </row>
    <row r="1306" spans="1:2" x14ac:dyDescent="0.35">
      <c r="A1306" s="11" t="s">
        <v>2199</v>
      </c>
      <c r="B1306" s="5">
        <v>7</v>
      </c>
    </row>
    <row r="1307" spans="1:2" x14ac:dyDescent="0.35">
      <c r="A1307" s="11" t="s">
        <v>8912</v>
      </c>
      <c r="B1307" s="5">
        <v>2</v>
      </c>
    </row>
    <row r="1308" spans="1:2" x14ac:dyDescent="0.35">
      <c r="A1308" s="11" t="s">
        <v>3867</v>
      </c>
      <c r="B1308" s="5">
        <v>2</v>
      </c>
    </row>
    <row r="1309" spans="1:2" x14ac:dyDescent="0.35">
      <c r="A1309" s="11" t="s">
        <v>3572</v>
      </c>
      <c r="B1309" s="5">
        <v>3</v>
      </c>
    </row>
    <row r="1310" spans="1:2" x14ac:dyDescent="0.35">
      <c r="A1310" s="11" t="s">
        <v>1530</v>
      </c>
      <c r="B1310" s="5">
        <v>2</v>
      </c>
    </row>
    <row r="1311" spans="1:2" x14ac:dyDescent="0.35">
      <c r="A1311" s="11" t="s">
        <v>3691</v>
      </c>
      <c r="B1311" s="5">
        <v>1</v>
      </c>
    </row>
    <row r="1312" spans="1:2" x14ac:dyDescent="0.35">
      <c r="A1312" s="11" t="s">
        <v>2291</v>
      </c>
      <c r="B1312" s="5">
        <v>2</v>
      </c>
    </row>
    <row r="1313" spans="1:2" x14ac:dyDescent="0.35">
      <c r="A1313" s="11" t="s">
        <v>10820</v>
      </c>
      <c r="B1313" s="5">
        <v>3</v>
      </c>
    </row>
    <row r="1314" spans="1:2" x14ac:dyDescent="0.35">
      <c r="A1314" s="11" t="s">
        <v>4545</v>
      </c>
      <c r="B1314" s="5">
        <v>7</v>
      </c>
    </row>
    <row r="1315" spans="1:2" x14ac:dyDescent="0.35">
      <c r="A1315" s="11" t="s">
        <v>11090</v>
      </c>
      <c r="B1315" s="5">
        <v>4</v>
      </c>
    </row>
    <row r="1316" spans="1:2" x14ac:dyDescent="0.35">
      <c r="A1316" s="11" t="s">
        <v>10575</v>
      </c>
      <c r="B1316" s="5">
        <v>7</v>
      </c>
    </row>
    <row r="1317" spans="1:2" x14ac:dyDescent="0.35">
      <c r="A1317" s="11" t="s">
        <v>8888</v>
      </c>
      <c r="B1317" s="5">
        <v>3</v>
      </c>
    </row>
    <row r="1318" spans="1:2" x14ac:dyDescent="0.35">
      <c r="A1318" s="11" t="s">
        <v>7556</v>
      </c>
      <c r="B1318" s="5">
        <v>2</v>
      </c>
    </row>
    <row r="1319" spans="1:2" x14ac:dyDescent="0.35">
      <c r="A1319" s="11" t="s">
        <v>12580</v>
      </c>
      <c r="B1319" s="5">
        <v>1</v>
      </c>
    </row>
    <row r="1320" spans="1:2" x14ac:dyDescent="0.35">
      <c r="A1320" s="11" t="s">
        <v>7734</v>
      </c>
      <c r="B1320" s="5">
        <v>2</v>
      </c>
    </row>
    <row r="1321" spans="1:2" x14ac:dyDescent="0.35">
      <c r="A1321" s="11" t="s">
        <v>1806</v>
      </c>
      <c r="B1321" s="5">
        <v>3</v>
      </c>
    </row>
    <row r="1322" spans="1:2" x14ac:dyDescent="0.35">
      <c r="A1322" s="11" t="s">
        <v>3567</v>
      </c>
      <c r="B1322" s="5">
        <v>1</v>
      </c>
    </row>
    <row r="1323" spans="1:2" x14ac:dyDescent="0.35">
      <c r="A1323" s="11" t="s">
        <v>8540</v>
      </c>
      <c r="B1323" s="5">
        <v>1</v>
      </c>
    </row>
    <row r="1324" spans="1:2" x14ac:dyDescent="0.35">
      <c r="A1324" s="11" t="s">
        <v>2414</v>
      </c>
      <c r="B1324" s="5">
        <v>1</v>
      </c>
    </row>
    <row r="1325" spans="1:2" x14ac:dyDescent="0.35">
      <c r="A1325" s="11" t="s">
        <v>5271</v>
      </c>
      <c r="B1325" s="5">
        <v>22</v>
      </c>
    </row>
    <row r="1326" spans="1:2" x14ac:dyDescent="0.35">
      <c r="A1326" s="11" t="s">
        <v>5097</v>
      </c>
      <c r="B1326" s="5">
        <v>1</v>
      </c>
    </row>
    <row r="1327" spans="1:2" x14ac:dyDescent="0.35">
      <c r="A1327" s="11" t="s">
        <v>1661</v>
      </c>
      <c r="B1327" s="5">
        <v>3</v>
      </c>
    </row>
    <row r="1328" spans="1:2" x14ac:dyDescent="0.35">
      <c r="A1328" s="11" t="s">
        <v>13029</v>
      </c>
      <c r="B1328" s="5">
        <v>2</v>
      </c>
    </row>
    <row r="1329" spans="1:2" x14ac:dyDescent="0.35">
      <c r="A1329" s="11" t="s">
        <v>6818</v>
      </c>
      <c r="B1329" s="5">
        <v>1</v>
      </c>
    </row>
    <row r="1330" spans="1:2" x14ac:dyDescent="0.35">
      <c r="A1330" s="11" t="s">
        <v>3105</v>
      </c>
      <c r="B1330" s="5">
        <v>1</v>
      </c>
    </row>
    <row r="1331" spans="1:2" x14ac:dyDescent="0.35">
      <c r="A1331" s="11" t="s">
        <v>1464</v>
      </c>
      <c r="B1331" s="5">
        <v>2</v>
      </c>
    </row>
    <row r="1332" spans="1:2" x14ac:dyDescent="0.35">
      <c r="A1332" s="11" t="s">
        <v>10916</v>
      </c>
      <c r="B1332" s="5">
        <v>2</v>
      </c>
    </row>
    <row r="1333" spans="1:2" x14ac:dyDescent="0.35">
      <c r="A1333" s="11" t="s">
        <v>828</v>
      </c>
      <c r="B1333" s="5">
        <v>3</v>
      </c>
    </row>
    <row r="1334" spans="1:2" x14ac:dyDescent="0.35">
      <c r="A1334" s="11" t="s">
        <v>455</v>
      </c>
      <c r="B1334" s="5">
        <v>2</v>
      </c>
    </row>
    <row r="1335" spans="1:2" x14ac:dyDescent="0.35">
      <c r="A1335" s="11" t="s">
        <v>12965</v>
      </c>
      <c r="B1335" s="5">
        <v>1</v>
      </c>
    </row>
    <row r="1336" spans="1:2" x14ac:dyDescent="0.35">
      <c r="A1336" s="11" t="s">
        <v>12203</v>
      </c>
      <c r="B1336" s="5">
        <v>3</v>
      </c>
    </row>
    <row r="1337" spans="1:2" x14ac:dyDescent="0.35">
      <c r="A1337" s="11" t="s">
        <v>2121</v>
      </c>
      <c r="B1337" s="5">
        <v>4</v>
      </c>
    </row>
    <row r="1338" spans="1:2" x14ac:dyDescent="0.35">
      <c r="A1338" s="11" t="s">
        <v>10875</v>
      </c>
      <c r="B1338" s="5">
        <v>3</v>
      </c>
    </row>
    <row r="1339" spans="1:2" x14ac:dyDescent="0.35">
      <c r="A1339" s="11" t="s">
        <v>9568</v>
      </c>
      <c r="B1339" s="5">
        <v>2</v>
      </c>
    </row>
    <row r="1340" spans="1:2" x14ac:dyDescent="0.35">
      <c r="A1340" s="11" t="s">
        <v>8292</v>
      </c>
      <c r="B1340" s="5">
        <v>1</v>
      </c>
    </row>
    <row r="1341" spans="1:2" x14ac:dyDescent="0.35">
      <c r="A1341" s="11" t="s">
        <v>1125</v>
      </c>
      <c r="B1341" s="5">
        <v>8</v>
      </c>
    </row>
    <row r="1342" spans="1:2" x14ac:dyDescent="0.35">
      <c r="A1342" s="11" t="s">
        <v>5969</v>
      </c>
      <c r="B1342" s="5">
        <v>11</v>
      </c>
    </row>
    <row r="1343" spans="1:2" x14ac:dyDescent="0.35">
      <c r="A1343" s="11" t="s">
        <v>6630</v>
      </c>
      <c r="B1343" s="5">
        <v>1</v>
      </c>
    </row>
    <row r="1344" spans="1:2" x14ac:dyDescent="0.35">
      <c r="A1344" s="11" t="s">
        <v>8366</v>
      </c>
      <c r="B1344" s="5">
        <v>1</v>
      </c>
    </row>
    <row r="1345" spans="1:2" x14ac:dyDescent="0.35">
      <c r="A1345" s="11" t="s">
        <v>8362</v>
      </c>
      <c r="B1345" s="5">
        <v>1</v>
      </c>
    </row>
    <row r="1346" spans="1:2" x14ac:dyDescent="0.35">
      <c r="A1346" s="11" t="s">
        <v>474</v>
      </c>
      <c r="B1346" s="5">
        <v>3</v>
      </c>
    </row>
    <row r="1347" spans="1:2" x14ac:dyDescent="0.35">
      <c r="A1347" s="11" t="s">
        <v>11465</v>
      </c>
      <c r="B1347" s="5">
        <v>2</v>
      </c>
    </row>
    <row r="1348" spans="1:2" x14ac:dyDescent="0.35">
      <c r="A1348" s="11" t="s">
        <v>2083</v>
      </c>
      <c r="B1348" s="5">
        <v>1</v>
      </c>
    </row>
    <row r="1349" spans="1:2" x14ac:dyDescent="0.35">
      <c r="A1349" s="11" t="s">
        <v>245</v>
      </c>
      <c r="B1349" s="5">
        <v>3</v>
      </c>
    </row>
    <row r="1350" spans="1:2" x14ac:dyDescent="0.35">
      <c r="A1350" s="11" t="s">
        <v>3556</v>
      </c>
      <c r="B1350" s="5">
        <v>26</v>
      </c>
    </row>
    <row r="1351" spans="1:2" x14ac:dyDescent="0.35">
      <c r="A1351" s="11" t="s">
        <v>706</v>
      </c>
      <c r="B1351" s="5">
        <v>1</v>
      </c>
    </row>
    <row r="1352" spans="1:2" x14ac:dyDescent="0.35">
      <c r="A1352" s="11" t="s">
        <v>283</v>
      </c>
      <c r="B1352" s="5">
        <v>9</v>
      </c>
    </row>
    <row r="1353" spans="1:2" x14ac:dyDescent="0.35">
      <c r="A1353" s="11" t="s">
        <v>11769</v>
      </c>
      <c r="B1353" s="5">
        <v>1</v>
      </c>
    </row>
    <row r="1354" spans="1:2" x14ac:dyDescent="0.35">
      <c r="A1354" s="11" t="s">
        <v>1664</v>
      </c>
      <c r="B1354" s="5">
        <v>2</v>
      </c>
    </row>
    <row r="1355" spans="1:2" x14ac:dyDescent="0.35">
      <c r="A1355" s="11" t="s">
        <v>11238</v>
      </c>
      <c r="B1355" s="5">
        <v>5</v>
      </c>
    </row>
    <row r="1356" spans="1:2" x14ac:dyDescent="0.35">
      <c r="A1356" s="11" t="s">
        <v>2556</v>
      </c>
      <c r="B1356" s="5">
        <v>3</v>
      </c>
    </row>
    <row r="1357" spans="1:2" x14ac:dyDescent="0.35">
      <c r="A1357" s="11" t="s">
        <v>7816</v>
      </c>
      <c r="B1357" s="5">
        <v>12</v>
      </c>
    </row>
    <row r="1358" spans="1:2" x14ac:dyDescent="0.35">
      <c r="A1358" s="11" t="s">
        <v>677</v>
      </c>
      <c r="B1358" s="5">
        <v>1</v>
      </c>
    </row>
    <row r="1359" spans="1:2" x14ac:dyDescent="0.35">
      <c r="A1359" s="11" t="s">
        <v>3487</v>
      </c>
      <c r="B1359" s="5">
        <v>7</v>
      </c>
    </row>
    <row r="1360" spans="1:2" x14ac:dyDescent="0.35">
      <c r="A1360" s="11" t="s">
        <v>11458</v>
      </c>
      <c r="B1360" s="5">
        <v>1</v>
      </c>
    </row>
    <row r="1361" spans="1:2" x14ac:dyDescent="0.35">
      <c r="A1361" s="11" t="s">
        <v>12899</v>
      </c>
      <c r="B1361" s="5">
        <v>4</v>
      </c>
    </row>
    <row r="1362" spans="1:2" x14ac:dyDescent="0.35">
      <c r="A1362" s="11" t="s">
        <v>5554</v>
      </c>
      <c r="B1362" s="5">
        <v>2</v>
      </c>
    </row>
    <row r="1363" spans="1:2" x14ac:dyDescent="0.35">
      <c r="A1363" s="11" t="s">
        <v>10127</v>
      </c>
      <c r="B1363" s="5">
        <v>1</v>
      </c>
    </row>
    <row r="1364" spans="1:2" x14ac:dyDescent="0.35">
      <c r="A1364" s="11" t="s">
        <v>12063</v>
      </c>
      <c r="B1364" s="5">
        <v>7</v>
      </c>
    </row>
    <row r="1365" spans="1:2" x14ac:dyDescent="0.35">
      <c r="A1365" s="11" t="s">
        <v>10932</v>
      </c>
      <c r="B1365" s="5">
        <v>3</v>
      </c>
    </row>
    <row r="1366" spans="1:2" x14ac:dyDescent="0.35">
      <c r="A1366" s="11" t="s">
        <v>12822</v>
      </c>
      <c r="B1366" s="5">
        <v>1</v>
      </c>
    </row>
    <row r="1367" spans="1:2" x14ac:dyDescent="0.35">
      <c r="A1367" s="11" t="s">
        <v>10719</v>
      </c>
      <c r="B1367" s="5">
        <v>7</v>
      </c>
    </row>
    <row r="1368" spans="1:2" x14ac:dyDescent="0.35">
      <c r="A1368" s="11" t="s">
        <v>1965</v>
      </c>
      <c r="B1368" s="5">
        <v>1</v>
      </c>
    </row>
    <row r="1369" spans="1:2" x14ac:dyDescent="0.35">
      <c r="A1369" s="11" t="s">
        <v>12594</v>
      </c>
      <c r="B1369" s="5">
        <v>2</v>
      </c>
    </row>
    <row r="1370" spans="1:2" x14ac:dyDescent="0.35">
      <c r="A1370" s="11" t="s">
        <v>10995</v>
      </c>
      <c r="B1370" s="5">
        <v>7</v>
      </c>
    </row>
    <row r="1371" spans="1:2" x14ac:dyDescent="0.35">
      <c r="A1371" s="11" t="s">
        <v>701</v>
      </c>
      <c r="B1371" s="5">
        <v>19</v>
      </c>
    </row>
    <row r="1372" spans="1:2" x14ac:dyDescent="0.35">
      <c r="A1372" s="11" t="s">
        <v>2818</v>
      </c>
      <c r="B1372" s="5">
        <v>2</v>
      </c>
    </row>
    <row r="1373" spans="1:2" x14ac:dyDescent="0.35">
      <c r="A1373" s="11" t="s">
        <v>3549</v>
      </c>
      <c r="B1373" s="5">
        <v>2</v>
      </c>
    </row>
    <row r="1374" spans="1:2" x14ac:dyDescent="0.35">
      <c r="A1374" s="11" t="s">
        <v>1554</v>
      </c>
      <c r="B1374" s="5">
        <v>11</v>
      </c>
    </row>
    <row r="1375" spans="1:2" x14ac:dyDescent="0.35">
      <c r="A1375" s="11" t="s">
        <v>8175</v>
      </c>
      <c r="B1375" s="5">
        <v>4</v>
      </c>
    </row>
    <row r="1376" spans="1:2" x14ac:dyDescent="0.35">
      <c r="A1376" s="11" t="s">
        <v>12031</v>
      </c>
      <c r="B1376" s="5">
        <v>2</v>
      </c>
    </row>
    <row r="1377" spans="1:2" x14ac:dyDescent="0.35">
      <c r="A1377" s="11" t="s">
        <v>10890</v>
      </c>
      <c r="B1377" s="5">
        <v>6</v>
      </c>
    </row>
    <row r="1378" spans="1:2" x14ac:dyDescent="0.35">
      <c r="A1378" s="11" t="s">
        <v>11612</v>
      </c>
      <c r="B1378" s="5">
        <v>6</v>
      </c>
    </row>
    <row r="1379" spans="1:2" x14ac:dyDescent="0.35">
      <c r="A1379" s="11" t="s">
        <v>818</v>
      </c>
      <c r="B1379" s="5">
        <v>4</v>
      </c>
    </row>
    <row r="1380" spans="1:2" x14ac:dyDescent="0.35">
      <c r="A1380" s="11" t="s">
        <v>11235</v>
      </c>
      <c r="B1380" s="5">
        <v>1</v>
      </c>
    </row>
    <row r="1381" spans="1:2" x14ac:dyDescent="0.35">
      <c r="A1381" s="11" t="s">
        <v>8128</v>
      </c>
      <c r="B1381" s="5">
        <v>1</v>
      </c>
    </row>
    <row r="1382" spans="1:2" x14ac:dyDescent="0.35">
      <c r="A1382" s="11" t="s">
        <v>10980</v>
      </c>
      <c r="B1382" s="5">
        <v>2</v>
      </c>
    </row>
    <row r="1383" spans="1:2" x14ac:dyDescent="0.35">
      <c r="A1383" s="11" t="s">
        <v>744</v>
      </c>
      <c r="B1383" s="5">
        <v>9</v>
      </c>
    </row>
    <row r="1384" spans="1:2" x14ac:dyDescent="0.35">
      <c r="A1384" s="11" t="s">
        <v>2170</v>
      </c>
      <c r="B1384" s="5">
        <v>8</v>
      </c>
    </row>
    <row r="1385" spans="1:2" x14ac:dyDescent="0.35">
      <c r="A1385" s="11" t="s">
        <v>9790</v>
      </c>
      <c r="B1385" s="5">
        <v>4</v>
      </c>
    </row>
    <row r="1386" spans="1:2" x14ac:dyDescent="0.35">
      <c r="A1386" s="11" t="s">
        <v>12747</v>
      </c>
      <c r="B1386" s="5">
        <v>1</v>
      </c>
    </row>
    <row r="1387" spans="1:2" x14ac:dyDescent="0.35">
      <c r="A1387" s="11" t="s">
        <v>11039</v>
      </c>
      <c r="B1387" s="5">
        <v>2</v>
      </c>
    </row>
    <row r="1388" spans="1:2" x14ac:dyDescent="0.35">
      <c r="A1388" s="11" t="s">
        <v>1558</v>
      </c>
      <c r="B1388" s="5">
        <v>1</v>
      </c>
    </row>
    <row r="1389" spans="1:2" x14ac:dyDescent="0.35">
      <c r="A1389" s="11" t="s">
        <v>2062</v>
      </c>
      <c r="B1389" s="5">
        <v>3</v>
      </c>
    </row>
    <row r="1390" spans="1:2" x14ac:dyDescent="0.35">
      <c r="A1390" s="11" t="s">
        <v>8210</v>
      </c>
      <c r="B1390" s="5">
        <v>6</v>
      </c>
    </row>
    <row r="1391" spans="1:2" x14ac:dyDescent="0.35">
      <c r="A1391" s="11" t="s">
        <v>7208</v>
      </c>
      <c r="B1391" s="5">
        <v>2</v>
      </c>
    </row>
    <row r="1392" spans="1:2" x14ac:dyDescent="0.35">
      <c r="A1392" s="11" t="s">
        <v>7192</v>
      </c>
      <c r="B1392" s="5">
        <v>3</v>
      </c>
    </row>
    <row r="1393" spans="1:2" x14ac:dyDescent="0.35">
      <c r="A1393" s="11" t="s">
        <v>4196</v>
      </c>
      <c r="B1393" s="5">
        <v>1</v>
      </c>
    </row>
    <row r="1394" spans="1:2" x14ac:dyDescent="0.35">
      <c r="A1394" s="11" t="s">
        <v>9625</v>
      </c>
      <c r="B1394" s="5">
        <v>1</v>
      </c>
    </row>
    <row r="1395" spans="1:2" x14ac:dyDescent="0.35">
      <c r="A1395" s="11" t="s">
        <v>7513</v>
      </c>
      <c r="B1395" s="5">
        <v>2</v>
      </c>
    </row>
    <row r="1396" spans="1:2" x14ac:dyDescent="0.35">
      <c r="A1396" s="11" t="s">
        <v>7561</v>
      </c>
      <c r="B1396" s="5">
        <v>1</v>
      </c>
    </row>
    <row r="1397" spans="1:2" x14ac:dyDescent="0.35">
      <c r="A1397" s="11" t="s">
        <v>9785</v>
      </c>
      <c r="B1397" s="5">
        <v>14</v>
      </c>
    </row>
    <row r="1398" spans="1:2" x14ac:dyDescent="0.35">
      <c r="A1398" s="11" t="s">
        <v>503</v>
      </c>
      <c r="B1398" s="5">
        <v>4</v>
      </c>
    </row>
    <row r="1399" spans="1:2" x14ac:dyDescent="0.35">
      <c r="A1399" s="11" t="s">
        <v>11069</v>
      </c>
      <c r="B1399" s="5">
        <v>2</v>
      </c>
    </row>
    <row r="1400" spans="1:2" x14ac:dyDescent="0.35">
      <c r="A1400" s="11" t="s">
        <v>11028</v>
      </c>
      <c r="B1400" s="5">
        <v>1</v>
      </c>
    </row>
    <row r="1401" spans="1:2" x14ac:dyDescent="0.35">
      <c r="A1401" s="11" t="s">
        <v>4320</v>
      </c>
      <c r="B1401" s="5">
        <v>3</v>
      </c>
    </row>
    <row r="1402" spans="1:2" x14ac:dyDescent="0.35">
      <c r="A1402" s="11" t="s">
        <v>1143</v>
      </c>
      <c r="B1402" s="5">
        <v>1</v>
      </c>
    </row>
    <row r="1403" spans="1:2" x14ac:dyDescent="0.35">
      <c r="A1403" s="11" t="s">
        <v>1880</v>
      </c>
      <c r="B1403" s="5">
        <v>2</v>
      </c>
    </row>
    <row r="1404" spans="1:2" x14ac:dyDescent="0.35">
      <c r="A1404" s="11" t="s">
        <v>184</v>
      </c>
      <c r="B1404" s="5">
        <v>1</v>
      </c>
    </row>
    <row r="1405" spans="1:2" x14ac:dyDescent="0.35">
      <c r="A1405" s="11" t="s">
        <v>3757</v>
      </c>
      <c r="B1405" s="5">
        <v>1</v>
      </c>
    </row>
    <row r="1406" spans="1:2" x14ac:dyDescent="0.35">
      <c r="A1406" s="11" t="s">
        <v>1328</v>
      </c>
      <c r="B1406" s="5">
        <v>4</v>
      </c>
    </row>
    <row r="1407" spans="1:2" x14ac:dyDescent="0.35">
      <c r="A1407" s="11" t="s">
        <v>1042</v>
      </c>
      <c r="B1407" s="5">
        <v>2</v>
      </c>
    </row>
    <row r="1408" spans="1:2" x14ac:dyDescent="0.35">
      <c r="A1408" s="11" t="s">
        <v>9989</v>
      </c>
      <c r="B1408" s="5">
        <v>3</v>
      </c>
    </row>
    <row r="1409" spans="1:2" x14ac:dyDescent="0.35">
      <c r="A1409" s="11" t="s">
        <v>8478</v>
      </c>
      <c r="B1409" s="5">
        <v>1</v>
      </c>
    </row>
    <row r="1410" spans="1:2" x14ac:dyDescent="0.35">
      <c r="A1410" s="11" t="s">
        <v>3985</v>
      </c>
      <c r="B1410" s="5">
        <v>2</v>
      </c>
    </row>
    <row r="1411" spans="1:2" x14ac:dyDescent="0.35">
      <c r="A1411" s="11" t="s">
        <v>1956</v>
      </c>
      <c r="B1411" s="5">
        <v>3</v>
      </c>
    </row>
    <row r="1412" spans="1:2" x14ac:dyDescent="0.35">
      <c r="A1412" s="11" t="s">
        <v>564</v>
      </c>
      <c r="B1412" s="5">
        <v>3</v>
      </c>
    </row>
    <row r="1413" spans="1:2" x14ac:dyDescent="0.35">
      <c r="A1413" s="11" t="s">
        <v>250</v>
      </c>
      <c r="B1413" s="5">
        <v>1</v>
      </c>
    </row>
    <row r="1414" spans="1:2" x14ac:dyDescent="0.35">
      <c r="A1414" s="11" t="s">
        <v>848</v>
      </c>
      <c r="B1414" s="5">
        <v>3</v>
      </c>
    </row>
    <row r="1415" spans="1:2" x14ac:dyDescent="0.35">
      <c r="A1415" s="11" t="s">
        <v>610</v>
      </c>
      <c r="B1415" s="5">
        <v>1</v>
      </c>
    </row>
    <row r="1416" spans="1:2" x14ac:dyDescent="0.35">
      <c r="A1416" s="11" t="s">
        <v>3036</v>
      </c>
      <c r="B1416" s="5">
        <v>9</v>
      </c>
    </row>
    <row r="1417" spans="1:2" x14ac:dyDescent="0.35">
      <c r="A1417" s="11" t="s">
        <v>1160</v>
      </c>
      <c r="B1417" s="5">
        <v>5</v>
      </c>
    </row>
    <row r="1418" spans="1:2" x14ac:dyDescent="0.35">
      <c r="A1418" s="11" t="s">
        <v>10737</v>
      </c>
      <c r="B1418" s="5">
        <v>3</v>
      </c>
    </row>
    <row r="1419" spans="1:2" x14ac:dyDescent="0.35">
      <c r="A1419" s="11" t="s">
        <v>1468</v>
      </c>
      <c r="B1419" s="5">
        <v>2</v>
      </c>
    </row>
    <row r="1420" spans="1:2" x14ac:dyDescent="0.35">
      <c r="A1420" s="11" t="s">
        <v>11286</v>
      </c>
      <c r="B1420" s="5">
        <v>3</v>
      </c>
    </row>
    <row r="1421" spans="1:2" x14ac:dyDescent="0.35">
      <c r="A1421" s="11" t="s">
        <v>198</v>
      </c>
      <c r="B1421" s="5">
        <v>2</v>
      </c>
    </row>
    <row r="1422" spans="1:2" x14ac:dyDescent="0.35">
      <c r="A1422" s="11" t="s">
        <v>10972</v>
      </c>
      <c r="B1422" s="5">
        <v>5</v>
      </c>
    </row>
    <row r="1423" spans="1:2" x14ac:dyDescent="0.35">
      <c r="A1423" s="11" t="s">
        <v>2766</v>
      </c>
      <c r="B1423" s="5">
        <v>3</v>
      </c>
    </row>
    <row r="1424" spans="1:2" x14ac:dyDescent="0.35">
      <c r="A1424" s="11" t="s">
        <v>2040</v>
      </c>
      <c r="B1424" s="5">
        <v>6</v>
      </c>
    </row>
    <row r="1425" spans="1:2" x14ac:dyDescent="0.35">
      <c r="A1425" s="11" t="s">
        <v>95</v>
      </c>
      <c r="B1425" s="5">
        <v>1</v>
      </c>
    </row>
    <row r="1426" spans="1:2" x14ac:dyDescent="0.35">
      <c r="A1426" s="11" t="s">
        <v>6297</v>
      </c>
      <c r="B1426" s="5">
        <v>2</v>
      </c>
    </row>
    <row r="1427" spans="1:2" x14ac:dyDescent="0.35">
      <c r="A1427" s="11" t="s">
        <v>4644</v>
      </c>
      <c r="B1427" s="5">
        <v>8</v>
      </c>
    </row>
    <row r="1428" spans="1:2" x14ac:dyDescent="0.35">
      <c r="A1428" s="11" t="s">
        <v>798</v>
      </c>
      <c r="B1428" s="5">
        <v>4</v>
      </c>
    </row>
    <row r="1429" spans="1:2" x14ac:dyDescent="0.35">
      <c r="A1429" s="11" t="s">
        <v>5678</v>
      </c>
      <c r="B1429" s="5">
        <v>4</v>
      </c>
    </row>
    <row r="1430" spans="1:2" x14ac:dyDescent="0.35">
      <c r="A1430" s="11" t="s">
        <v>11543</v>
      </c>
      <c r="B1430" s="5">
        <v>2</v>
      </c>
    </row>
    <row r="1431" spans="1:2" x14ac:dyDescent="0.35">
      <c r="A1431" s="11" t="s">
        <v>2485</v>
      </c>
      <c r="B1431" s="5">
        <v>2</v>
      </c>
    </row>
    <row r="1432" spans="1:2" x14ac:dyDescent="0.35">
      <c r="A1432" s="11" t="s">
        <v>7325</v>
      </c>
      <c r="B1432" s="5">
        <v>2</v>
      </c>
    </row>
    <row r="1433" spans="1:2" x14ac:dyDescent="0.35">
      <c r="A1433" s="11" t="s">
        <v>11045</v>
      </c>
      <c r="B1433" s="5">
        <v>3</v>
      </c>
    </row>
    <row r="1434" spans="1:2" x14ac:dyDescent="0.35">
      <c r="A1434" s="11" t="s">
        <v>165</v>
      </c>
      <c r="B1434" s="5">
        <v>3</v>
      </c>
    </row>
    <row r="1435" spans="1:2" x14ac:dyDescent="0.35">
      <c r="A1435" s="11" t="s">
        <v>2505</v>
      </c>
      <c r="B1435" s="5">
        <v>3</v>
      </c>
    </row>
    <row r="1436" spans="1:2" x14ac:dyDescent="0.35">
      <c r="A1436" s="11" t="s">
        <v>3017</v>
      </c>
      <c r="B1436" s="5">
        <v>1</v>
      </c>
    </row>
    <row r="1437" spans="1:2" x14ac:dyDescent="0.35">
      <c r="A1437" s="11" t="s">
        <v>3166</v>
      </c>
      <c r="B1437" s="5">
        <v>1</v>
      </c>
    </row>
    <row r="1438" spans="1:2" x14ac:dyDescent="0.35">
      <c r="A1438" s="11" t="s">
        <v>10688</v>
      </c>
      <c r="B1438" s="5">
        <v>6</v>
      </c>
    </row>
    <row r="1439" spans="1:2" x14ac:dyDescent="0.35">
      <c r="A1439" s="11" t="s">
        <v>12126</v>
      </c>
      <c r="B1439" s="5">
        <v>3</v>
      </c>
    </row>
    <row r="1440" spans="1:2" x14ac:dyDescent="0.35">
      <c r="A1440" s="11" t="s">
        <v>8489</v>
      </c>
      <c r="B1440" s="5">
        <v>1</v>
      </c>
    </row>
    <row r="1441" spans="1:2" x14ac:dyDescent="0.35">
      <c r="A1441" s="11" t="s">
        <v>6834</v>
      </c>
      <c r="B1441" s="5">
        <v>1</v>
      </c>
    </row>
    <row r="1442" spans="1:2" x14ac:dyDescent="0.35">
      <c r="A1442" s="11" t="s">
        <v>9827</v>
      </c>
      <c r="B1442" s="5">
        <v>2</v>
      </c>
    </row>
    <row r="1443" spans="1:2" x14ac:dyDescent="0.35">
      <c r="A1443" s="11" t="s">
        <v>11211</v>
      </c>
      <c r="B1443" s="5">
        <v>1</v>
      </c>
    </row>
    <row r="1444" spans="1:2" x14ac:dyDescent="0.35">
      <c r="A1444" s="11" t="s">
        <v>11784</v>
      </c>
      <c r="B1444" s="5">
        <v>4</v>
      </c>
    </row>
    <row r="1445" spans="1:2" x14ac:dyDescent="0.35">
      <c r="A1445" s="11" t="s">
        <v>11603</v>
      </c>
      <c r="B1445" s="5">
        <v>1</v>
      </c>
    </row>
    <row r="1446" spans="1:2" x14ac:dyDescent="0.35">
      <c r="A1446" s="11" t="s">
        <v>256</v>
      </c>
      <c r="B1446" s="5">
        <v>11</v>
      </c>
    </row>
    <row r="1447" spans="1:2" x14ac:dyDescent="0.35">
      <c r="A1447" s="11" t="s">
        <v>9635</v>
      </c>
      <c r="B1447" s="5">
        <v>1</v>
      </c>
    </row>
    <row r="1448" spans="1:2" x14ac:dyDescent="0.35">
      <c r="A1448" s="11" t="s">
        <v>12845</v>
      </c>
      <c r="B1448" s="5">
        <v>1</v>
      </c>
    </row>
    <row r="1449" spans="1:2" x14ac:dyDescent="0.35">
      <c r="A1449" s="11" t="s">
        <v>12512</v>
      </c>
      <c r="B1449" s="5">
        <v>7</v>
      </c>
    </row>
    <row r="1450" spans="1:2" x14ac:dyDescent="0.35">
      <c r="A1450" s="11" t="s">
        <v>11733</v>
      </c>
      <c r="B1450" s="5">
        <v>1</v>
      </c>
    </row>
    <row r="1451" spans="1:2" x14ac:dyDescent="0.35">
      <c r="A1451" s="11" t="s">
        <v>12053</v>
      </c>
      <c r="B1451" s="5">
        <v>1</v>
      </c>
    </row>
    <row r="1452" spans="1:2" x14ac:dyDescent="0.35">
      <c r="A1452" s="11" t="s">
        <v>12566</v>
      </c>
      <c r="B1452" s="5">
        <v>1</v>
      </c>
    </row>
    <row r="1453" spans="1:2" x14ac:dyDescent="0.35">
      <c r="A1453" s="11" t="s">
        <v>10455</v>
      </c>
      <c r="B1453" s="5">
        <v>2</v>
      </c>
    </row>
    <row r="1454" spans="1:2" x14ac:dyDescent="0.35">
      <c r="A1454" s="11" t="s">
        <v>1031</v>
      </c>
      <c r="B1454" s="5">
        <v>2</v>
      </c>
    </row>
    <row r="1455" spans="1:2" x14ac:dyDescent="0.35">
      <c r="A1455" s="11" t="s">
        <v>5688</v>
      </c>
      <c r="B1455" s="5">
        <v>3</v>
      </c>
    </row>
    <row r="1456" spans="1:2" x14ac:dyDescent="0.35">
      <c r="A1456" s="11" t="s">
        <v>7383</v>
      </c>
      <c r="B1456" s="5">
        <v>1</v>
      </c>
    </row>
    <row r="1457" spans="1:2" x14ac:dyDescent="0.35">
      <c r="A1457" s="11" t="s">
        <v>12336</v>
      </c>
      <c r="B1457" s="5">
        <v>1</v>
      </c>
    </row>
    <row r="1458" spans="1:2" x14ac:dyDescent="0.35">
      <c r="A1458" s="11" t="s">
        <v>2109</v>
      </c>
      <c r="B1458" s="5">
        <v>2</v>
      </c>
    </row>
    <row r="1459" spans="1:2" x14ac:dyDescent="0.35">
      <c r="A1459" s="11" t="s">
        <v>1697</v>
      </c>
      <c r="B1459" s="5">
        <v>1</v>
      </c>
    </row>
    <row r="1460" spans="1:2" x14ac:dyDescent="0.35">
      <c r="A1460" s="11" t="s">
        <v>5493</v>
      </c>
      <c r="B1460" s="5">
        <v>2</v>
      </c>
    </row>
    <row r="1461" spans="1:2" x14ac:dyDescent="0.35">
      <c r="A1461" s="11" t="s">
        <v>2462</v>
      </c>
      <c r="B1461" s="5">
        <v>1</v>
      </c>
    </row>
    <row r="1462" spans="1:2" x14ac:dyDescent="0.35">
      <c r="A1462" s="11" t="s">
        <v>9241</v>
      </c>
      <c r="B1462" s="5">
        <v>3</v>
      </c>
    </row>
    <row r="1463" spans="1:2" x14ac:dyDescent="0.35">
      <c r="A1463" s="11" t="s">
        <v>8323</v>
      </c>
      <c r="B1463" s="5">
        <v>1</v>
      </c>
    </row>
    <row r="1464" spans="1:2" x14ac:dyDescent="0.35">
      <c r="A1464" s="11" t="s">
        <v>1895</v>
      </c>
      <c r="B1464" s="5">
        <v>3</v>
      </c>
    </row>
    <row r="1465" spans="1:2" x14ac:dyDescent="0.35">
      <c r="A1465" s="11" t="s">
        <v>3192</v>
      </c>
      <c r="B1465" s="5">
        <v>8</v>
      </c>
    </row>
    <row r="1466" spans="1:2" x14ac:dyDescent="0.35">
      <c r="A1466" s="11" t="s">
        <v>4135</v>
      </c>
      <c r="B1466" s="5">
        <v>1</v>
      </c>
    </row>
    <row r="1467" spans="1:2" x14ac:dyDescent="0.35">
      <c r="A1467" s="11" t="s">
        <v>11750</v>
      </c>
      <c r="B1467" s="5">
        <v>2</v>
      </c>
    </row>
    <row r="1468" spans="1:2" x14ac:dyDescent="0.35">
      <c r="A1468" s="11" t="s">
        <v>11101</v>
      </c>
      <c r="B1468" s="5">
        <v>3</v>
      </c>
    </row>
    <row r="1469" spans="1:2" x14ac:dyDescent="0.35">
      <c r="A1469" s="11" t="s">
        <v>9345</v>
      </c>
      <c r="B1469" s="5">
        <v>1</v>
      </c>
    </row>
    <row r="1470" spans="1:2" x14ac:dyDescent="0.35">
      <c r="A1470" s="11" t="s">
        <v>9248</v>
      </c>
      <c r="B1470" s="5">
        <v>1</v>
      </c>
    </row>
    <row r="1471" spans="1:2" x14ac:dyDescent="0.35">
      <c r="A1471" s="11" t="s">
        <v>10934</v>
      </c>
      <c r="B1471" s="5">
        <v>2</v>
      </c>
    </row>
    <row r="1472" spans="1:2" x14ac:dyDescent="0.35">
      <c r="A1472" s="11" t="s">
        <v>2932</v>
      </c>
      <c r="B1472" s="5">
        <v>6</v>
      </c>
    </row>
    <row r="1473" spans="1:2" x14ac:dyDescent="0.35">
      <c r="A1473" s="11" t="s">
        <v>2490</v>
      </c>
      <c r="B1473" s="5">
        <v>3</v>
      </c>
    </row>
    <row r="1474" spans="1:2" x14ac:dyDescent="0.35">
      <c r="A1474" s="11" t="s">
        <v>11220</v>
      </c>
      <c r="B1474" s="5">
        <v>2</v>
      </c>
    </row>
    <row r="1475" spans="1:2" x14ac:dyDescent="0.35">
      <c r="A1475" s="11" t="s">
        <v>4295</v>
      </c>
      <c r="B1475" s="5">
        <v>2</v>
      </c>
    </row>
    <row r="1476" spans="1:2" x14ac:dyDescent="0.35">
      <c r="A1476" s="11" t="s">
        <v>558</v>
      </c>
      <c r="B1476" s="5">
        <v>38</v>
      </c>
    </row>
    <row r="1477" spans="1:2" x14ac:dyDescent="0.35">
      <c r="A1477" s="11" t="s">
        <v>5045</v>
      </c>
      <c r="B1477" s="5">
        <v>1</v>
      </c>
    </row>
    <row r="1478" spans="1:2" x14ac:dyDescent="0.35">
      <c r="A1478" s="11" t="s">
        <v>3647</v>
      </c>
      <c r="B1478" s="5">
        <v>3</v>
      </c>
    </row>
    <row r="1479" spans="1:2" x14ac:dyDescent="0.35">
      <c r="A1479" s="11" t="s">
        <v>2806</v>
      </c>
      <c r="B1479" s="5">
        <v>2</v>
      </c>
    </row>
    <row r="1480" spans="1:2" x14ac:dyDescent="0.35">
      <c r="A1480" s="11" t="s">
        <v>11307</v>
      </c>
      <c r="B1480" s="5">
        <v>3</v>
      </c>
    </row>
    <row r="1481" spans="1:2" x14ac:dyDescent="0.35">
      <c r="A1481" s="11" t="s">
        <v>11765</v>
      </c>
      <c r="B1481" s="5">
        <v>2</v>
      </c>
    </row>
    <row r="1482" spans="1:2" x14ac:dyDescent="0.35">
      <c r="A1482" s="11" t="s">
        <v>11115</v>
      </c>
      <c r="B1482" s="5">
        <v>3</v>
      </c>
    </row>
    <row r="1483" spans="1:2" x14ac:dyDescent="0.35">
      <c r="A1483" s="11" t="s">
        <v>2373</v>
      </c>
      <c r="B1483" s="5">
        <v>2</v>
      </c>
    </row>
    <row r="1484" spans="1:2" x14ac:dyDescent="0.35">
      <c r="A1484" s="11" t="s">
        <v>2873</v>
      </c>
      <c r="B1484" s="5">
        <v>1</v>
      </c>
    </row>
    <row r="1485" spans="1:2" x14ac:dyDescent="0.35">
      <c r="A1485" s="11" t="s">
        <v>647</v>
      </c>
      <c r="B1485" s="5">
        <v>3</v>
      </c>
    </row>
    <row r="1486" spans="1:2" x14ac:dyDescent="0.35">
      <c r="A1486" s="11" t="s">
        <v>2113</v>
      </c>
      <c r="B1486" s="5">
        <v>1</v>
      </c>
    </row>
    <row r="1487" spans="1:2" x14ac:dyDescent="0.35">
      <c r="A1487" s="11" t="s">
        <v>12723</v>
      </c>
      <c r="B1487" s="5">
        <v>2</v>
      </c>
    </row>
    <row r="1488" spans="1:2" x14ac:dyDescent="0.35">
      <c r="A1488" s="11" t="s">
        <v>12247</v>
      </c>
      <c r="B1488" s="5">
        <v>2</v>
      </c>
    </row>
    <row r="1489" spans="1:2" x14ac:dyDescent="0.35">
      <c r="A1489" s="11" t="s">
        <v>11993</v>
      </c>
      <c r="B1489" s="5">
        <v>2</v>
      </c>
    </row>
    <row r="1490" spans="1:2" x14ac:dyDescent="0.35">
      <c r="A1490" s="11" t="s">
        <v>10369</v>
      </c>
      <c r="B1490" s="5">
        <v>1</v>
      </c>
    </row>
    <row r="1491" spans="1:2" x14ac:dyDescent="0.35">
      <c r="A1491" s="11" t="s">
        <v>12805</v>
      </c>
      <c r="B1491" s="5">
        <v>3</v>
      </c>
    </row>
    <row r="1492" spans="1:2" x14ac:dyDescent="0.35">
      <c r="A1492" s="11" t="s">
        <v>8944</v>
      </c>
      <c r="B1492" s="5">
        <v>4</v>
      </c>
    </row>
    <row r="1493" spans="1:2" x14ac:dyDescent="0.35">
      <c r="A1493" s="11" t="s">
        <v>9693</v>
      </c>
      <c r="B1493" s="5">
        <v>2</v>
      </c>
    </row>
    <row r="1494" spans="1:2" x14ac:dyDescent="0.35">
      <c r="A1494" s="11" t="s">
        <v>5552</v>
      </c>
      <c r="B1494" s="5">
        <v>11</v>
      </c>
    </row>
    <row r="1495" spans="1:2" x14ac:dyDescent="0.35">
      <c r="A1495" s="11" t="s">
        <v>12319</v>
      </c>
      <c r="B1495" s="5">
        <v>4</v>
      </c>
    </row>
    <row r="1496" spans="1:2" x14ac:dyDescent="0.35">
      <c r="A1496" s="11" t="s">
        <v>2101</v>
      </c>
      <c r="B1496" s="5">
        <v>1</v>
      </c>
    </row>
    <row r="1497" spans="1:2" x14ac:dyDescent="0.35">
      <c r="A1497" s="11" t="s">
        <v>5290</v>
      </c>
      <c r="B1497" s="5">
        <v>6</v>
      </c>
    </row>
    <row r="1498" spans="1:2" x14ac:dyDescent="0.35">
      <c r="A1498" s="11" t="s">
        <v>12696</v>
      </c>
      <c r="B1498" s="5">
        <v>2</v>
      </c>
    </row>
    <row r="1499" spans="1:2" x14ac:dyDescent="0.35">
      <c r="A1499" s="11" t="s">
        <v>8135</v>
      </c>
      <c r="B1499" s="5">
        <v>7</v>
      </c>
    </row>
    <row r="1500" spans="1:2" x14ac:dyDescent="0.35">
      <c r="A1500" s="11" t="s">
        <v>9605</v>
      </c>
      <c r="B1500" s="5">
        <v>1</v>
      </c>
    </row>
    <row r="1501" spans="1:2" x14ac:dyDescent="0.35">
      <c r="A1501" s="11" t="s">
        <v>2948</v>
      </c>
      <c r="B1501" s="5">
        <v>1</v>
      </c>
    </row>
    <row r="1502" spans="1:2" x14ac:dyDescent="0.35">
      <c r="A1502" s="11" t="s">
        <v>12006</v>
      </c>
      <c r="B1502" s="5">
        <v>4</v>
      </c>
    </row>
    <row r="1503" spans="1:2" x14ac:dyDescent="0.35">
      <c r="A1503" s="11" t="s">
        <v>4673</v>
      </c>
      <c r="B1503" s="5">
        <v>14</v>
      </c>
    </row>
    <row r="1504" spans="1:2" x14ac:dyDescent="0.35">
      <c r="A1504" s="11" t="s">
        <v>2368</v>
      </c>
      <c r="B1504" s="5">
        <v>1</v>
      </c>
    </row>
    <row r="1505" spans="1:2" x14ac:dyDescent="0.35">
      <c r="A1505" s="11" t="s">
        <v>11909</v>
      </c>
      <c r="B1505" s="5">
        <v>2</v>
      </c>
    </row>
    <row r="1506" spans="1:2" x14ac:dyDescent="0.35">
      <c r="A1506" s="11" t="s">
        <v>6447</v>
      </c>
      <c r="B1506" s="5">
        <v>3</v>
      </c>
    </row>
    <row r="1507" spans="1:2" x14ac:dyDescent="0.35">
      <c r="A1507" s="11" t="s">
        <v>11011</v>
      </c>
      <c r="B1507" s="5">
        <v>4</v>
      </c>
    </row>
    <row r="1508" spans="1:2" x14ac:dyDescent="0.35">
      <c r="A1508" s="11" t="s">
        <v>5487</v>
      </c>
      <c r="B1508" s="5">
        <v>1</v>
      </c>
    </row>
    <row r="1509" spans="1:2" x14ac:dyDescent="0.35">
      <c r="A1509" s="11" t="s">
        <v>12810</v>
      </c>
      <c r="B1509" s="5">
        <v>4</v>
      </c>
    </row>
    <row r="1510" spans="1:2" x14ac:dyDescent="0.35">
      <c r="A1510" s="11" t="s">
        <v>12790</v>
      </c>
      <c r="B1510" s="5">
        <v>2</v>
      </c>
    </row>
    <row r="1511" spans="1:2" x14ac:dyDescent="0.35">
      <c r="A1511" s="11" t="s">
        <v>12210</v>
      </c>
      <c r="B1511" s="5">
        <v>1</v>
      </c>
    </row>
    <row r="1512" spans="1:2" x14ac:dyDescent="0.35">
      <c r="A1512" s="11" t="s">
        <v>1550</v>
      </c>
      <c r="B1512" s="5">
        <v>1</v>
      </c>
    </row>
    <row r="1513" spans="1:2" x14ac:dyDescent="0.35">
      <c r="A1513" s="11" t="s">
        <v>7068</v>
      </c>
      <c r="B1513" s="5">
        <v>1</v>
      </c>
    </row>
    <row r="1514" spans="1:2" x14ac:dyDescent="0.35">
      <c r="A1514" s="11" t="s">
        <v>10924</v>
      </c>
      <c r="B1514" s="5">
        <v>1</v>
      </c>
    </row>
    <row r="1515" spans="1:2" x14ac:dyDescent="0.35">
      <c r="A1515" s="11" t="s">
        <v>10630</v>
      </c>
      <c r="B1515" s="5">
        <v>2</v>
      </c>
    </row>
    <row r="1516" spans="1:2" x14ac:dyDescent="0.35">
      <c r="A1516" s="11" t="s">
        <v>2530</v>
      </c>
      <c r="B1516" s="5">
        <v>7</v>
      </c>
    </row>
    <row r="1517" spans="1:2" x14ac:dyDescent="0.35">
      <c r="A1517" s="11" t="s">
        <v>4350</v>
      </c>
      <c r="B1517" s="5">
        <v>2</v>
      </c>
    </row>
    <row r="1518" spans="1:2" x14ac:dyDescent="0.35">
      <c r="A1518" s="11" t="s">
        <v>3478</v>
      </c>
      <c r="B1518" s="5">
        <v>4</v>
      </c>
    </row>
    <row r="1519" spans="1:2" x14ac:dyDescent="0.35">
      <c r="A1519" s="11" t="s">
        <v>9312</v>
      </c>
      <c r="B1519" s="5">
        <v>5</v>
      </c>
    </row>
    <row r="1520" spans="1:2" x14ac:dyDescent="0.35">
      <c r="A1520" s="11" t="s">
        <v>11063</v>
      </c>
      <c r="B1520" s="5">
        <v>3</v>
      </c>
    </row>
    <row r="1521" spans="1:2" x14ac:dyDescent="0.35">
      <c r="A1521" s="11" t="s">
        <v>3696</v>
      </c>
      <c r="B1521" s="5">
        <v>1</v>
      </c>
    </row>
    <row r="1522" spans="1:2" x14ac:dyDescent="0.35">
      <c r="A1522" s="11" t="s">
        <v>9645</v>
      </c>
      <c r="B1522" s="5">
        <v>4</v>
      </c>
    </row>
    <row r="1523" spans="1:2" x14ac:dyDescent="0.35">
      <c r="A1523" s="11" t="s">
        <v>12505</v>
      </c>
      <c r="B1523" s="5">
        <v>6</v>
      </c>
    </row>
    <row r="1524" spans="1:2" x14ac:dyDescent="0.35">
      <c r="A1524" s="11" t="s">
        <v>6523</v>
      </c>
      <c r="B1524" s="5">
        <v>1</v>
      </c>
    </row>
    <row r="1525" spans="1:2" x14ac:dyDescent="0.35">
      <c r="A1525" s="11" t="s">
        <v>985</v>
      </c>
      <c r="B1525" s="5">
        <v>10</v>
      </c>
    </row>
    <row r="1526" spans="1:2" x14ac:dyDescent="0.35">
      <c r="A1526" s="11" t="s">
        <v>6747</v>
      </c>
      <c r="B1526" s="5">
        <v>2</v>
      </c>
    </row>
    <row r="1527" spans="1:2" x14ac:dyDescent="0.35">
      <c r="A1527" s="11" t="s">
        <v>1670</v>
      </c>
      <c r="B1527" s="5">
        <v>2</v>
      </c>
    </row>
    <row r="1528" spans="1:2" x14ac:dyDescent="0.35">
      <c r="A1528" s="11" t="s">
        <v>5235</v>
      </c>
      <c r="B1528" s="5">
        <v>1</v>
      </c>
    </row>
    <row r="1529" spans="1:2" x14ac:dyDescent="0.35">
      <c r="A1529" s="11" t="s">
        <v>12558</v>
      </c>
      <c r="B1529" s="5">
        <v>1</v>
      </c>
    </row>
    <row r="1530" spans="1:2" x14ac:dyDescent="0.35">
      <c r="A1530" s="11" t="s">
        <v>1794</v>
      </c>
      <c r="B1530" s="5">
        <v>2</v>
      </c>
    </row>
    <row r="1531" spans="1:2" x14ac:dyDescent="0.35">
      <c r="A1531" s="11" t="s">
        <v>9177</v>
      </c>
      <c r="B1531" s="5">
        <v>1</v>
      </c>
    </row>
    <row r="1532" spans="1:2" x14ac:dyDescent="0.35">
      <c r="A1532" s="11" t="s">
        <v>12445</v>
      </c>
      <c r="B1532" s="5">
        <v>3</v>
      </c>
    </row>
    <row r="1533" spans="1:2" x14ac:dyDescent="0.35">
      <c r="A1533" s="11" t="s">
        <v>2707</v>
      </c>
      <c r="B1533" s="5">
        <v>5</v>
      </c>
    </row>
    <row r="1534" spans="1:2" x14ac:dyDescent="0.35">
      <c r="A1534" s="11" t="s">
        <v>1570</v>
      </c>
      <c r="B1534" s="5">
        <v>1</v>
      </c>
    </row>
    <row r="1535" spans="1:2" x14ac:dyDescent="0.35">
      <c r="A1535" s="11" t="s">
        <v>4367</v>
      </c>
      <c r="B1535" s="5">
        <v>2</v>
      </c>
    </row>
    <row r="1536" spans="1:2" x14ac:dyDescent="0.35">
      <c r="A1536" s="11" t="s">
        <v>5837</v>
      </c>
      <c r="B1536" s="5">
        <v>1</v>
      </c>
    </row>
    <row r="1537" spans="1:2" x14ac:dyDescent="0.35">
      <c r="A1537" s="11" t="s">
        <v>12774</v>
      </c>
      <c r="B1537" s="5">
        <v>1</v>
      </c>
    </row>
    <row r="1538" spans="1:2" x14ac:dyDescent="0.35">
      <c r="A1538" s="11" t="s">
        <v>8465</v>
      </c>
      <c r="B1538" s="5">
        <v>4</v>
      </c>
    </row>
    <row r="1539" spans="1:2" x14ac:dyDescent="0.35">
      <c r="A1539" s="11" t="s">
        <v>6066</v>
      </c>
      <c r="B1539" s="5">
        <v>8</v>
      </c>
    </row>
    <row r="1540" spans="1:2" x14ac:dyDescent="0.35">
      <c r="A1540" s="11" t="s">
        <v>82</v>
      </c>
      <c r="B1540" s="5">
        <v>1</v>
      </c>
    </row>
    <row r="1541" spans="1:2" x14ac:dyDescent="0.35">
      <c r="A1541" s="11" t="s">
        <v>6570</v>
      </c>
      <c r="B1541" s="5">
        <v>1</v>
      </c>
    </row>
    <row r="1542" spans="1:2" x14ac:dyDescent="0.35">
      <c r="A1542" s="11" t="s">
        <v>12257</v>
      </c>
      <c r="B1542" s="5">
        <v>3</v>
      </c>
    </row>
    <row r="1543" spans="1:2" x14ac:dyDescent="0.35">
      <c r="A1543" s="11" t="s">
        <v>2838</v>
      </c>
      <c r="B1543" s="5">
        <v>5</v>
      </c>
    </row>
    <row r="1544" spans="1:2" x14ac:dyDescent="0.35">
      <c r="A1544" s="11" t="s">
        <v>5834</v>
      </c>
      <c r="B1544" s="5">
        <v>1</v>
      </c>
    </row>
    <row r="1545" spans="1:2" x14ac:dyDescent="0.35">
      <c r="A1545" s="11" t="s">
        <v>12062</v>
      </c>
      <c r="B1545" s="5">
        <v>3</v>
      </c>
    </row>
    <row r="1546" spans="1:2" x14ac:dyDescent="0.35">
      <c r="A1546" s="11" t="s">
        <v>4442</v>
      </c>
      <c r="B1546" s="5">
        <v>12</v>
      </c>
    </row>
    <row r="1547" spans="1:2" x14ac:dyDescent="0.35">
      <c r="A1547" s="11" t="s">
        <v>1081</v>
      </c>
      <c r="B1547" s="5">
        <v>4</v>
      </c>
    </row>
    <row r="1548" spans="1:2" x14ac:dyDescent="0.35">
      <c r="A1548" s="11" t="s">
        <v>8979</v>
      </c>
      <c r="B1548" s="5">
        <v>9</v>
      </c>
    </row>
    <row r="1549" spans="1:2" x14ac:dyDescent="0.35">
      <c r="A1549" s="11" t="s">
        <v>12922</v>
      </c>
      <c r="B1549" s="5">
        <v>1</v>
      </c>
    </row>
    <row r="1550" spans="1:2" x14ac:dyDescent="0.35">
      <c r="A1550" s="11" t="s">
        <v>551</v>
      </c>
      <c r="B1550" s="5">
        <v>6</v>
      </c>
    </row>
    <row r="1551" spans="1:2" x14ac:dyDescent="0.35">
      <c r="A1551" s="11" t="s">
        <v>11650</v>
      </c>
      <c r="B1551" s="5">
        <v>2</v>
      </c>
    </row>
    <row r="1552" spans="1:2" x14ac:dyDescent="0.35">
      <c r="A1552" s="11" t="s">
        <v>7354</v>
      </c>
      <c r="B1552" s="5">
        <v>1</v>
      </c>
    </row>
    <row r="1553" spans="1:2" x14ac:dyDescent="0.35">
      <c r="A1553" s="11" t="s">
        <v>465</v>
      </c>
      <c r="B1553" s="5">
        <v>1</v>
      </c>
    </row>
    <row r="1554" spans="1:2" x14ac:dyDescent="0.35">
      <c r="A1554" s="11" t="s">
        <v>5680</v>
      </c>
      <c r="B1554" s="5">
        <v>5</v>
      </c>
    </row>
    <row r="1555" spans="1:2" x14ac:dyDescent="0.35">
      <c r="A1555" s="11" t="s">
        <v>6288</v>
      </c>
      <c r="B1555" s="5">
        <v>15</v>
      </c>
    </row>
    <row r="1556" spans="1:2" x14ac:dyDescent="0.35">
      <c r="A1556" s="11" t="s">
        <v>2906</v>
      </c>
      <c r="B1556" s="5">
        <v>7</v>
      </c>
    </row>
    <row r="1557" spans="1:2" x14ac:dyDescent="0.35">
      <c r="A1557" s="11" t="s">
        <v>7385</v>
      </c>
      <c r="B1557" s="5">
        <v>16</v>
      </c>
    </row>
    <row r="1558" spans="1:2" x14ac:dyDescent="0.35">
      <c r="A1558" s="11" t="s">
        <v>11232</v>
      </c>
      <c r="B1558" s="5">
        <v>11</v>
      </c>
    </row>
    <row r="1559" spans="1:2" x14ac:dyDescent="0.35">
      <c r="A1559" s="11" t="s">
        <v>7372</v>
      </c>
      <c r="B1559" s="5">
        <v>3</v>
      </c>
    </row>
    <row r="1560" spans="1:2" x14ac:dyDescent="0.35">
      <c r="A1560" s="11" t="s">
        <v>12783</v>
      </c>
      <c r="B1560" s="5">
        <v>1</v>
      </c>
    </row>
    <row r="1561" spans="1:2" x14ac:dyDescent="0.35">
      <c r="A1561" s="11" t="s">
        <v>2781</v>
      </c>
      <c r="B1561" s="5">
        <v>2</v>
      </c>
    </row>
    <row r="1562" spans="1:2" x14ac:dyDescent="0.35">
      <c r="A1562" s="11" t="s">
        <v>415</v>
      </c>
      <c r="B1562" s="5">
        <v>2</v>
      </c>
    </row>
    <row r="1563" spans="1:2" x14ac:dyDescent="0.35">
      <c r="A1563" s="11" t="s">
        <v>8508</v>
      </c>
      <c r="B1563" s="5">
        <v>10</v>
      </c>
    </row>
    <row r="1564" spans="1:2" x14ac:dyDescent="0.35">
      <c r="A1564" s="11" t="s">
        <v>922</v>
      </c>
      <c r="B1564" s="5">
        <v>2</v>
      </c>
    </row>
    <row r="1565" spans="1:2" x14ac:dyDescent="0.35">
      <c r="A1565" s="11" t="s">
        <v>4393</v>
      </c>
      <c r="B1565" s="5">
        <v>3</v>
      </c>
    </row>
    <row r="1566" spans="1:2" x14ac:dyDescent="0.35">
      <c r="A1566" s="11" t="s">
        <v>2432</v>
      </c>
      <c r="B1566" s="5">
        <v>2</v>
      </c>
    </row>
    <row r="1567" spans="1:2" x14ac:dyDescent="0.35">
      <c r="A1567" s="11" t="s">
        <v>2920</v>
      </c>
      <c r="B1567" s="5">
        <v>2</v>
      </c>
    </row>
    <row r="1568" spans="1:2" x14ac:dyDescent="0.35">
      <c r="A1568" s="11" t="s">
        <v>2148</v>
      </c>
      <c r="B1568" s="5">
        <v>4</v>
      </c>
    </row>
    <row r="1569" spans="1:2" x14ac:dyDescent="0.35">
      <c r="A1569" s="11" t="s">
        <v>11437</v>
      </c>
      <c r="B1569" s="5">
        <v>1</v>
      </c>
    </row>
    <row r="1570" spans="1:2" x14ac:dyDescent="0.35">
      <c r="A1570" s="11" t="s">
        <v>1244</v>
      </c>
      <c r="B1570" s="5">
        <v>2</v>
      </c>
    </row>
    <row r="1571" spans="1:2" x14ac:dyDescent="0.35">
      <c r="A1571" s="11" t="s">
        <v>1799</v>
      </c>
      <c r="B1571" s="5">
        <v>2</v>
      </c>
    </row>
    <row r="1572" spans="1:2" x14ac:dyDescent="0.35">
      <c r="A1572" s="11" t="s">
        <v>6202</v>
      </c>
      <c r="B1572" s="5">
        <v>1</v>
      </c>
    </row>
    <row r="1573" spans="1:2" x14ac:dyDescent="0.35">
      <c r="A1573" s="11" t="s">
        <v>550</v>
      </c>
      <c r="B1573" s="5">
        <v>13</v>
      </c>
    </row>
    <row r="1574" spans="1:2" x14ac:dyDescent="0.35">
      <c r="A1574" s="11" t="s">
        <v>10912</v>
      </c>
      <c r="B1574" s="5">
        <v>3</v>
      </c>
    </row>
    <row r="1575" spans="1:2" x14ac:dyDescent="0.35">
      <c r="A1575" s="11" t="s">
        <v>1005</v>
      </c>
      <c r="B1575" s="5">
        <v>1</v>
      </c>
    </row>
    <row r="1576" spans="1:2" x14ac:dyDescent="0.35">
      <c r="A1576" s="11" t="s">
        <v>10966</v>
      </c>
      <c r="B1576" s="5">
        <v>11</v>
      </c>
    </row>
    <row r="1577" spans="1:2" x14ac:dyDescent="0.35">
      <c r="A1577" s="11" t="s">
        <v>7408</v>
      </c>
      <c r="B1577" s="5">
        <v>23</v>
      </c>
    </row>
    <row r="1578" spans="1:2" x14ac:dyDescent="0.35">
      <c r="A1578" s="11" t="s">
        <v>6512</v>
      </c>
      <c r="B1578" s="5">
        <v>4</v>
      </c>
    </row>
    <row r="1579" spans="1:2" x14ac:dyDescent="0.35">
      <c r="A1579" s="11" t="s">
        <v>12499</v>
      </c>
      <c r="B1579" s="5">
        <v>10</v>
      </c>
    </row>
    <row r="1580" spans="1:2" x14ac:dyDescent="0.35">
      <c r="A1580" s="11" t="s">
        <v>9110</v>
      </c>
      <c r="B1580" s="5">
        <v>1</v>
      </c>
    </row>
    <row r="1581" spans="1:2" x14ac:dyDescent="0.35">
      <c r="A1581" s="11" t="s">
        <v>11859</v>
      </c>
      <c r="B1581" s="5">
        <v>1</v>
      </c>
    </row>
    <row r="1582" spans="1:2" x14ac:dyDescent="0.35">
      <c r="A1582" s="11" t="s">
        <v>1866</v>
      </c>
      <c r="B1582" s="5">
        <v>1</v>
      </c>
    </row>
    <row r="1583" spans="1:2" x14ac:dyDescent="0.35">
      <c r="A1583" s="11" t="s">
        <v>10918</v>
      </c>
      <c r="B1583" s="5">
        <v>2</v>
      </c>
    </row>
    <row r="1584" spans="1:2" x14ac:dyDescent="0.35">
      <c r="A1584" s="11" t="s">
        <v>2985</v>
      </c>
      <c r="B1584" s="5">
        <v>10</v>
      </c>
    </row>
    <row r="1585" spans="1:2" x14ac:dyDescent="0.35">
      <c r="A1585" s="11" t="s">
        <v>5826</v>
      </c>
      <c r="B1585" s="5">
        <v>3</v>
      </c>
    </row>
    <row r="1586" spans="1:2" x14ac:dyDescent="0.35">
      <c r="A1586" s="11" t="s">
        <v>5520</v>
      </c>
      <c r="B1586" s="5">
        <v>11</v>
      </c>
    </row>
    <row r="1587" spans="1:2" x14ac:dyDescent="0.35">
      <c r="A1587" s="11" t="s">
        <v>51</v>
      </c>
      <c r="B1587" s="5">
        <v>2</v>
      </c>
    </row>
    <row r="1588" spans="1:2" x14ac:dyDescent="0.35">
      <c r="A1588" s="11" t="s">
        <v>8612</v>
      </c>
      <c r="B1588" s="5">
        <v>1</v>
      </c>
    </row>
    <row r="1589" spans="1:2" x14ac:dyDescent="0.35">
      <c r="A1589" s="11" t="s">
        <v>395</v>
      </c>
      <c r="B1589" s="5">
        <v>1</v>
      </c>
    </row>
    <row r="1590" spans="1:2" x14ac:dyDescent="0.35">
      <c r="A1590" s="11" t="s">
        <v>685</v>
      </c>
      <c r="B1590" s="5">
        <v>6</v>
      </c>
    </row>
    <row r="1591" spans="1:2" x14ac:dyDescent="0.35">
      <c r="A1591" s="11" t="s">
        <v>8694</v>
      </c>
      <c r="B1591" s="5">
        <v>1</v>
      </c>
    </row>
    <row r="1592" spans="1:2" x14ac:dyDescent="0.35">
      <c r="A1592" s="11" t="s">
        <v>8374</v>
      </c>
      <c r="B1592" s="5">
        <v>3</v>
      </c>
    </row>
    <row r="1593" spans="1:2" x14ac:dyDescent="0.35">
      <c r="A1593" s="11" t="s">
        <v>1655</v>
      </c>
      <c r="B1593" s="5">
        <v>1</v>
      </c>
    </row>
    <row r="1594" spans="1:2" x14ac:dyDescent="0.35">
      <c r="A1594" s="11" t="s">
        <v>9710</v>
      </c>
      <c r="B1594" s="5">
        <v>1</v>
      </c>
    </row>
    <row r="1595" spans="1:2" x14ac:dyDescent="0.35">
      <c r="A1595" s="11" t="s">
        <v>479</v>
      </c>
      <c r="B1595" s="5">
        <v>2</v>
      </c>
    </row>
    <row r="1596" spans="1:2" x14ac:dyDescent="0.35">
      <c r="A1596" s="11" t="s">
        <v>4537</v>
      </c>
      <c r="B1596" s="5">
        <v>3</v>
      </c>
    </row>
    <row r="1597" spans="1:2" x14ac:dyDescent="0.35">
      <c r="A1597" s="11" t="s">
        <v>5485</v>
      </c>
      <c r="B1597" s="5">
        <v>3</v>
      </c>
    </row>
    <row r="1598" spans="1:2" x14ac:dyDescent="0.35">
      <c r="A1598" s="11" t="s">
        <v>5675</v>
      </c>
      <c r="B1598" s="5">
        <v>9</v>
      </c>
    </row>
    <row r="1599" spans="1:2" x14ac:dyDescent="0.35">
      <c r="A1599" s="11" t="s">
        <v>1050</v>
      </c>
      <c r="B1599" s="5">
        <v>11</v>
      </c>
    </row>
    <row r="1600" spans="1:2" x14ac:dyDescent="0.35">
      <c r="A1600" s="11" t="s">
        <v>6561</v>
      </c>
      <c r="B1600" s="5">
        <v>1</v>
      </c>
    </row>
    <row r="1601" spans="1:2" x14ac:dyDescent="0.35">
      <c r="A1601" s="11" t="s">
        <v>4064</v>
      </c>
      <c r="B1601" s="5">
        <v>1</v>
      </c>
    </row>
    <row r="1602" spans="1:2" x14ac:dyDescent="0.35">
      <c r="A1602" s="11" t="s">
        <v>12675</v>
      </c>
      <c r="B1602" s="5">
        <v>2</v>
      </c>
    </row>
    <row r="1603" spans="1:2" x14ac:dyDescent="0.35">
      <c r="A1603" s="11" t="s">
        <v>6565</v>
      </c>
      <c r="B1603" s="5">
        <v>2</v>
      </c>
    </row>
    <row r="1604" spans="1:2" x14ac:dyDescent="0.35">
      <c r="A1604" s="11" t="s">
        <v>5893</v>
      </c>
      <c r="B1604" s="5">
        <v>1</v>
      </c>
    </row>
    <row r="1605" spans="1:2" x14ac:dyDescent="0.35">
      <c r="A1605" s="11" t="s">
        <v>1818</v>
      </c>
      <c r="B1605" s="5">
        <v>2</v>
      </c>
    </row>
    <row r="1606" spans="1:2" x14ac:dyDescent="0.35">
      <c r="A1606" s="11" t="s">
        <v>7299</v>
      </c>
      <c r="B1606" s="5">
        <v>2</v>
      </c>
    </row>
    <row r="1607" spans="1:2" x14ac:dyDescent="0.35">
      <c r="A1607" s="11" t="s">
        <v>7987</v>
      </c>
      <c r="B1607" s="5">
        <v>2</v>
      </c>
    </row>
    <row r="1608" spans="1:2" x14ac:dyDescent="0.35">
      <c r="A1608" s="11" t="s">
        <v>5746</v>
      </c>
      <c r="B1608" s="5">
        <v>2</v>
      </c>
    </row>
    <row r="1609" spans="1:2" x14ac:dyDescent="0.35">
      <c r="A1609" s="11" t="s">
        <v>12992</v>
      </c>
      <c r="B1609" s="5">
        <v>1</v>
      </c>
    </row>
    <row r="1610" spans="1:2" x14ac:dyDescent="0.35">
      <c r="A1610" s="11" t="s">
        <v>4410</v>
      </c>
      <c r="B1610" s="5">
        <v>5</v>
      </c>
    </row>
    <row r="1611" spans="1:2" x14ac:dyDescent="0.35">
      <c r="A1611" s="11" t="s">
        <v>1067</v>
      </c>
      <c r="B1611" s="5">
        <v>1</v>
      </c>
    </row>
    <row r="1612" spans="1:2" x14ac:dyDescent="0.35">
      <c r="A1612" s="11" t="s">
        <v>5431</v>
      </c>
      <c r="B1612" s="5">
        <v>12</v>
      </c>
    </row>
    <row r="1613" spans="1:2" x14ac:dyDescent="0.35">
      <c r="A1613" s="11" t="s">
        <v>12927</v>
      </c>
      <c r="B1613" s="5">
        <v>1</v>
      </c>
    </row>
    <row r="1614" spans="1:2" x14ac:dyDescent="0.35">
      <c r="A1614" s="11" t="s">
        <v>3145</v>
      </c>
      <c r="B1614" s="5">
        <v>2</v>
      </c>
    </row>
    <row r="1615" spans="1:2" x14ac:dyDescent="0.35">
      <c r="A1615" s="11" t="s">
        <v>3297</v>
      </c>
      <c r="B1615" s="5">
        <v>10</v>
      </c>
    </row>
    <row r="1616" spans="1:2" x14ac:dyDescent="0.35">
      <c r="A1616" s="11" t="s">
        <v>7433</v>
      </c>
      <c r="B1616" s="5">
        <v>1</v>
      </c>
    </row>
    <row r="1617" spans="1:2" x14ac:dyDescent="0.35">
      <c r="A1617" s="11" t="s">
        <v>988</v>
      </c>
      <c r="B1617" s="5">
        <v>21</v>
      </c>
    </row>
    <row r="1618" spans="1:2" x14ac:dyDescent="0.35">
      <c r="A1618" s="11" t="s">
        <v>640</v>
      </c>
      <c r="B1618" s="5">
        <v>2</v>
      </c>
    </row>
    <row r="1619" spans="1:2" x14ac:dyDescent="0.35">
      <c r="A1619" s="11" t="s">
        <v>11277</v>
      </c>
      <c r="B1619" s="5">
        <v>2</v>
      </c>
    </row>
    <row r="1620" spans="1:2" x14ac:dyDescent="0.35">
      <c r="A1620" s="11" t="s">
        <v>7968</v>
      </c>
      <c r="B1620" s="5">
        <v>3</v>
      </c>
    </row>
    <row r="1621" spans="1:2" x14ac:dyDescent="0.35">
      <c r="A1621" s="11" t="s">
        <v>2276</v>
      </c>
      <c r="B1621" s="5">
        <v>7</v>
      </c>
    </row>
    <row r="1622" spans="1:2" x14ac:dyDescent="0.35">
      <c r="A1622" s="11" t="s">
        <v>4025</v>
      </c>
      <c r="B1622" s="5">
        <v>6</v>
      </c>
    </row>
    <row r="1623" spans="1:2" x14ac:dyDescent="0.35">
      <c r="A1623" s="11" t="s">
        <v>60</v>
      </c>
      <c r="B1623" s="5">
        <v>8</v>
      </c>
    </row>
    <row r="1624" spans="1:2" x14ac:dyDescent="0.35">
      <c r="A1624" s="11" t="s">
        <v>3380</v>
      </c>
      <c r="B1624" s="5">
        <v>2</v>
      </c>
    </row>
    <row r="1625" spans="1:2" x14ac:dyDescent="0.35">
      <c r="A1625" s="11" t="s">
        <v>11067</v>
      </c>
      <c r="B1625" s="5">
        <v>8</v>
      </c>
    </row>
    <row r="1626" spans="1:2" x14ac:dyDescent="0.35">
      <c r="A1626" s="11" t="s">
        <v>603</v>
      </c>
      <c r="B1626" s="5">
        <v>1</v>
      </c>
    </row>
    <row r="1627" spans="1:2" x14ac:dyDescent="0.35">
      <c r="A1627" s="11" t="s">
        <v>5694</v>
      </c>
      <c r="B1627" s="5">
        <v>5</v>
      </c>
    </row>
    <row r="1628" spans="1:2" x14ac:dyDescent="0.35">
      <c r="A1628" s="11" t="s">
        <v>11748</v>
      </c>
      <c r="B1628" s="5">
        <v>2</v>
      </c>
    </row>
    <row r="1629" spans="1:2" x14ac:dyDescent="0.35">
      <c r="A1629" s="11" t="s">
        <v>11240</v>
      </c>
      <c r="B1629" s="5">
        <v>3</v>
      </c>
    </row>
    <row r="1630" spans="1:2" x14ac:dyDescent="0.35">
      <c r="A1630" s="11" t="s">
        <v>3872</v>
      </c>
      <c r="B1630" s="5">
        <v>5</v>
      </c>
    </row>
    <row r="1631" spans="1:2" x14ac:dyDescent="0.35">
      <c r="A1631" s="11" t="s">
        <v>349</v>
      </c>
      <c r="B1631" s="5">
        <v>99</v>
      </c>
    </row>
    <row r="1632" spans="1:2" x14ac:dyDescent="0.35">
      <c r="A1632" s="11" t="s">
        <v>4936</v>
      </c>
      <c r="B1632" s="5">
        <v>1</v>
      </c>
    </row>
    <row r="1633" spans="1:2" x14ac:dyDescent="0.35">
      <c r="A1633" s="11" t="s">
        <v>222</v>
      </c>
      <c r="B1633" s="5">
        <v>9</v>
      </c>
    </row>
    <row r="1634" spans="1:2" x14ac:dyDescent="0.35">
      <c r="A1634" s="11" t="s">
        <v>4481</v>
      </c>
      <c r="B1634" s="5">
        <v>1</v>
      </c>
    </row>
    <row r="1635" spans="1:2" x14ac:dyDescent="0.35">
      <c r="A1635" s="11" t="s">
        <v>7502</v>
      </c>
      <c r="B1635" s="5">
        <v>5</v>
      </c>
    </row>
    <row r="1636" spans="1:2" x14ac:dyDescent="0.35">
      <c r="A1636" s="11" t="s">
        <v>11380</v>
      </c>
      <c r="B1636" s="5">
        <v>5</v>
      </c>
    </row>
    <row r="1637" spans="1:2" x14ac:dyDescent="0.35">
      <c r="A1637" s="11" t="s">
        <v>12113</v>
      </c>
      <c r="B1637" s="5">
        <v>1</v>
      </c>
    </row>
    <row r="1638" spans="1:2" x14ac:dyDescent="0.35">
      <c r="A1638" s="11" t="s">
        <v>2069</v>
      </c>
      <c r="B1638" s="5">
        <v>4</v>
      </c>
    </row>
    <row r="1639" spans="1:2" x14ac:dyDescent="0.35">
      <c r="A1639" s="11" t="s">
        <v>1648</v>
      </c>
      <c r="B1639" s="5">
        <v>1</v>
      </c>
    </row>
    <row r="1640" spans="1:2" x14ac:dyDescent="0.35">
      <c r="A1640" s="11" t="s">
        <v>10695</v>
      </c>
      <c r="B1640" s="5">
        <v>2</v>
      </c>
    </row>
    <row r="1641" spans="1:2" x14ac:dyDescent="0.35">
      <c r="A1641" s="11" t="s">
        <v>12466</v>
      </c>
      <c r="B1641" s="5">
        <v>10</v>
      </c>
    </row>
    <row r="1642" spans="1:2" x14ac:dyDescent="0.35">
      <c r="A1642" s="11" t="s">
        <v>9500</v>
      </c>
      <c r="B1642" s="5">
        <v>4</v>
      </c>
    </row>
    <row r="1643" spans="1:2" x14ac:dyDescent="0.35">
      <c r="A1643" s="11" t="s">
        <v>4810</v>
      </c>
      <c r="B1643" s="5">
        <v>2</v>
      </c>
    </row>
    <row r="1644" spans="1:2" x14ac:dyDescent="0.35">
      <c r="A1644" s="11" t="s">
        <v>2014</v>
      </c>
      <c r="B1644" s="5">
        <v>5</v>
      </c>
    </row>
    <row r="1645" spans="1:2" x14ac:dyDescent="0.35">
      <c r="A1645" s="11" t="s">
        <v>12222</v>
      </c>
      <c r="B1645" s="5">
        <v>5</v>
      </c>
    </row>
    <row r="1646" spans="1:2" x14ac:dyDescent="0.35">
      <c r="A1646" s="11" t="s">
        <v>6126</v>
      </c>
      <c r="B1646" s="5">
        <v>4</v>
      </c>
    </row>
    <row r="1647" spans="1:2" x14ac:dyDescent="0.35">
      <c r="A1647" s="11" t="s">
        <v>11362</v>
      </c>
      <c r="B1647" s="5">
        <v>5</v>
      </c>
    </row>
    <row r="1648" spans="1:2" x14ac:dyDescent="0.35">
      <c r="A1648" s="11" t="s">
        <v>10634</v>
      </c>
      <c r="B1648" s="5">
        <v>5</v>
      </c>
    </row>
    <row r="1649" spans="1:2" x14ac:dyDescent="0.35">
      <c r="A1649" s="11" t="s">
        <v>448</v>
      </c>
      <c r="B1649" s="5">
        <v>6</v>
      </c>
    </row>
    <row r="1650" spans="1:2" x14ac:dyDescent="0.35">
      <c r="A1650" s="11" t="s">
        <v>3519</v>
      </c>
      <c r="B1650" s="5">
        <v>11</v>
      </c>
    </row>
    <row r="1651" spans="1:2" x14ac:dyDescent="0.35">
      <c r="A1651" s="11" t="s">
        <v>10590</v>
      </c>
      <c r="B1651" s="5">
        <v>5</v>
      </c>
    </row>
    <row r="1652" spans="1:2" x14ac:dyDescent="0.35">
      <c r="A1652" s="11" t="s">
        <v>2658</v>
      </c>
      <c r="B1652" s="5">
        <v>4</v>
      </c>
    </row>
    <row r="1653" spans="1:2" x14ac:dyDescent="0.35">
      <c r="A1653" s="11" t="s">
        <v>11746</v>
      </c>
      <c r="B1653" s="5">
        <v>2</v>
      </c>
    </row>
    <row r="1654" spans="1:2" x14ac:dyDescent="0.35">
      <c r="A1654" s="11" t="s">
        <v>8475</v>
      </c>
      <c r="B1654" s="5">
        <v>2</v>
      </c>
    </row>
    <row r="1655" spans="1:2" x14ac:dyDescent="0.35">
      <c r="A1655" s="11" t="s">
        <v>11004</v>
      </c>
      <c r="B1655" s="5">
        <v>1</v>
      </c>
    </row>
    <row r="1656" spans="1:2" x14ac:dyDescent="0.35">
      <c r="A1656" s="11" t="s">
        <v>3595</v>
      </c>
      <c r="B1656" s="5">
        <v>22</v>
      </c>
    </row>
    <row r="1657" spans="1:2" x14ac:dyDescent="0.35">
      <c r="A1657" s="11" t="s">
        <v>6836</v>
      </c>
      <c r="B1657" s="5">
        <v>5</v>
      </c>
    </row>
    <row r="1658" spans="1:2" x14ac:dyDescent="0.35">
      <c r="A1658" s="11" t="s">
        <v>12013</v>
      </c>
      <c r="B1658" s="5">
        <v>4</v>
      </c>
    </row>
    <row r="1659" spans="1:2" x14ac:dyDescent="0.35">
      <c r="A1659" s="11" t="s">
        <v>721</v>
      </c>
      <c r="B1659" s="5">
        <v>3</v>
      </c>
    </row>
    <row r="1660" spans="1:2" x14ac:dyDescent="0.35">
      <c r="A1660" s="11" t="s">
        <v>12838</v>
      </c>
      <c r="B1660" s="5">
        <v>3</v>
      </c>
    </row>
    <row r="1661" spans="1:2" x14ac:dyDescent="0.35">
      <c r="A1661" s="11" t="s">
        <v>946</v>
      </c>
      <c r="B1661" s="5">
        <v>1</v>
      </c>
    </row>
    <row r="1662" spans="1:2" x14ac:dyDescent="0.35">
      <c r="A1662" s="11" t="s">
        <v>1642</v>
      </c>
      <c r="B1662" s="5">
        <v>5</v>
      </c>
    </row>
    <row r="1663" spans="1:2" x14ac:dyDescent="0.35">
      <c r="A1663" s="11" t="s">
        <v>1130</v>
      </c>
      <c r="B1663" s="5">
        <v>2</v>
      </c>
    </row>
    <row r="1664" spans="1:2" x14ac:dyDescent="0.35">
      <c r="A1664" s="11" t="s">
        <v>7305</v>
      </c>
      <c r="B1664" s="5">
        <v>1</v>
      </c>
    </row>
    <row r="1665" spans="1:2" x14ac:dyDescent="0.35">
      <c r="A1665" s="11" t="s">
        <v>874</v>
      </c>
      <c r="B1665" s="5">
        <v>2</v>
      </c>
    </row>
    <row r="1666" spans="1:2" x14ac:dyDescent="0.35">
      <c r="A1666" s="11" t="s">
        <v>11626</v>
      </c>
      <c r="B1666" s="5">
        <v>3</v>
      </c>
    </row>
    <row r="1667" spans="1:2" x14ac:dyDescent="0.35">
      <c r="A1667" s="11" t="s">
        <v>12671</v>
      </c>
      <c r="B1667" s="5">
        <v>3</v>
      </c>
    </row>
    <row r="1668" spans="1:2" x14ac:dyDescent="0.35">
      <c r="A1668" s="11" t="s">
        <v>2261</v>
      </c>
      <c r="B1668" s="5">
        <v>1</v>
      </c>
    </row>
    <row r="1669" spans="1:2" x14ac:dyDescent="0.35">
      <c r="A1669" s="11" t="s">
        <v>9909</v>
      </c>
      <c r="B1669" s="5">
        <v>1</v>
      </c>
    </row>
    <row r="1670" spans="1:2" x14ac:dyDescent="0.35">
      <c r="A1670" s="11" t="s">
        <v>11481</v>
      </c>
      <c r="B1670" s="5">
        <v>3</v>
      </c>
    </row>
    <row r="1671" spans="1:2" x14ac:dyDescent="0.35">
      <c r="A1671" s="11" t="s">
        <v>11251</v>
      </c>
      <c r="B1671" s="5">
        <v>1</v>
      </c>
    </row>
    <row r="1672" spans="1:2" x14ac:dyDescent="0.35">
      <c r="A1672" s="11" t="s">
        <v>4462</v>
      </c>
      <c r="B1672" s="5">
        <v>2</v>
      </c>
    </row>
    <row r="1673" spans="1:2" x14ac:dyDescent="0.35">
      <c r="A1673" s="11" t="s">
        <v>1382</v>
      </c>
      <c r="B1673" s="5">
        <v>3</v>
      </c>
    </row>
    <row r="1674" spans="1:2" x14ac:dyDescent="0.35">
      <c r="A1674" s="11" t="s">
        <v>6417</v>
      </c>
      <c r="B1674" s="5">
        <v>13</v>
      </c>
    </row>
    <row r="1675" spans="1:2" x14ac:dyDescent="0.35">
      <c r="A1675" s="11" t="s">
        <v>10554</v>
      </c>
      <c r="B1675" s="5">
        <v>9</v>
      </c>
    </row>
    <row r="1676" spans="1:2" x14ac:dyDescent="0.35">
      <c r="A1676" s="11" t="s">
        <v>2560</v>
      </c>
      <c r="B1676" s="5">
        <v>2</v>
      </c>
    </row>
    <row r="1677" spans="1:2" x14ac:dyDescent="0.35">
      <c r="A1677" s="11" t="s">
        <v>2810</v>
      </c>
      <c r="B1677" s="5">
        <v>3</v>
      </c>
    </row>
    <row r="1678" spans="1:2" x14ac:dyDescent="0.35">
      <c r="A1678" s="11" t="s">
        <v>1870</v>
      </c>
      <c r="B1678" s="5">
        <v>2</v>
      </c>
    </row>
    <row r="1679" spans="1:2" x14ac:dyDescent="0.35">
      <c r="A1679" s="11" t="s">
        <v>2652</v>
      </c>
      <c r="B1679" s="5">
        <v>3</v>
      </c>
    </row>
    <row r="1680" spans="1:2" x14ac:dyDescent="0.35">
      <c r="A1680" s="11" t="s">
        <v>7313</v>
      </c>
      <c r="B1680" s="5">
        <v>1</v>
      </c>
    </row>
    <row r="1681" spans="1:2" x14ac:dyDescent="0.35">
      <c r="A1681" s="11" t="s">
        <v>3712</v>
      </c>
      <c r="B1681" s="5">
        <v>13</v>
      </c>
    </row>
    <row r="1682" spans="1:2" x14ac:dyDescent="0.35">
      <c r="A1682" s="11" t="s">
        <v>3059</v>
      </c>
      <c r="B1682" s="5">
        <v>5</v>
      </c>
    </row>
    <row r="1683" spans="1:2" x14ac:dyDescent="0.35">
      <c r="A1683" s="11" t="s">
        <v>308</v>
      </c>
      <c r="B1683" s="5">
        <v>3</v>
      </c>
    </row>
    <row r="1684" spans="1:2" x14ac:dyDescent="0.35">
      <c r="A1684" s="11" t="s">
        <v>10987</v>
      </c>
      <c r="B1684" s="5">
        <v>8</v>
      </c>
    </row>
    <row r="1685" spans="1:2" x14ac:dyDescent="0.35">
      <c r="A1685" s="11" t="s">
        <v>11078</v>
      </c>
      <c r="B1685" s="5">
        <v>1</v>
      </c>
    </row>
    <row r="1686" spans="1:2" x14ac:dyDescent="0.35">
      <c r="A1686" s="11" t="s">
        <v>10803</v>
      </c>
      <c r="B1686" s="5">
        <v>2</v>
      </c>
    </row>
    <row r="1687" spans="1:2" x14ac:dyDescent="0.35">
      <c r="A1687" s="11" t="s">
        <v>2279</v>
      </c>
      <c r="B1687" s="5">
        <v>5</v>
      </c>
    </row>
    <row r="1688" spans="1:2" x14ac:dyDescent="0.35">
      <c r="A1688" s="11" t="s">
        <v>5411</v>
      </c>
      <c r="B1688" s="5">
        <v>40</v>
      </c>
    </row>
    <row r="1689" spans="1:2" x14ac:dyDescent="0.35">
      <c r="A1689" s="11" t="s">
        <v>3766</v>
      </c>
      <c r="B1689" s="5">
        <v>1</v>
      </c>
    </row>
    <row r="1690" spans="1:2" x14ac:dyDescent="0.35">
      <c r="A1690" s="11" t="s">
        <v>11945</v>
      </c>
      <c r="B1690" s="5">
        <v>1</v>
      </c>
    </row>
    <row r="1691" spans="1:2" x14ac:dyDescent="0.35">
      <c r="A1691" s="11" t="s">
        <v>1184</v>
      </c>
      <c r="B1691" s="5">
        <v>2</v>
      </c>
    </row>
    <row r="1692" spans="1:2" x14ac:dyDescent="0.35">
      <c r="A1692" s="11" t="s">
        <v>2547</v>
      </c>
      <c r="B1692" s="5">
        <v>5</v>
      </c>
    </row>
    <row r="1693" spans="1:2" x14ac:dyDescent="0.35">
      <c r="A1693" s="11" t="s">
        <v>11020</v>
      </c>
      <c r="B1693" s="5">
        <v>2</v>
      </c>
    </row>
    <row r="1694" spans="1:2" x14ac:dyDescent="0.35">
      <c r="A1694" s="11" t="s">
        <v>170</v>
      </c>
      <c r="B1694" s="5">
        <v>5</v>
      </c>
    </row>
    <row r="1695" spans="1:2" x14ac:dyDescent="0.35">
      <c r="A1695" s="11" t="s">
        <v>1250</v>
      </c>
      <c r="B1695" s="5">
        <v>2</v>
      </c>
    </row>
    <row r="1696" spans="1:2" x14ac:dyDescent="0.35">
      <c r="A1696" s="11" t="s">
        <v>6653</v>
      </c>
      <c r="B1696" s="5">
        <v>1</v>
      </c>
    </row>
    <row r="1697" spans="1:2" x14ac:dyDescent="0.35">
      <c r="A1697" s="11" t="s">
        <v>9950</v>
      </c>
      <c r="B1697" s="5">
        <v>12</v>
      </c>
    </row>
    <row r="1698" spans="1:2" x14ac:dyDescent="0.35">
      <c r="A1698" s="11" t="s">
        <v>5697</v>
      </c>
      <c r="B1698" s="5">
        <v>6</v>
      </c>
    </row>
    <row r="1699" spans="1:2" x14ac:dyDescent="0.35">
      <c r="A1699" s="11" t="s">
        <v>1707</v>
      </c>
      <c r="B1699" s="5">
        <v>2</v>
      </c>
    </row>
    <row r="1700" spans="1:2" x14ac:dyDescent="0.35">
      <c r="A1700" s="11" t="s">
        <v>5296</v>
      </c>
      <c r="B1700" s="5">
        <v>3</v>
      </c>
    </row>
    <row r="1701" spans="1:2" x14ac:dyDescent="0.35">
      <c r="A1701" s="11" t="s">
        <v>6155</v>
      </c>
      <c r="B1701" s="5">
        <v>8</v>
      </c>
    </row>
    <row r="1702" spans="1:2" x14ac:dyDescent="0.35">
      <c r="A1702" s="11" t="s">
        <v>4086</v>
      </c>
      <c r="B1702" s="5">
        <v>2</v>
      </c>
    </row>
    <row r="1703" spans="1:2" x14ac:dyDescent="0.35">
      <c r="A1703" s="11" t="s">
        <v>234</v>
      </c>
      <c r="B1703" s="5">
        <v>3</v>
      </c>
    </row>
    <row r="1704" spans="1:2" x14ac:dyDescent="0.35">
      <c r="A1704" s="11" t="s">
        <v>5798</v>
      </c>
      <c r="B1704" s="5">
        <v>3</v>
      </c>
    </row>
    <row r="1705" spans="1:2" x14ac:dyDescent="0.35">
      <c r="A1705" s="11" t="s">
        <v>10663</v>
      </c>
      <c r="B1705" s="5">
        <v>7</v>
      </c>
    </row>
    <row r="1706" spans="1:2" x14ac:dyDescent="0.35">
      <c r="A1706" s="11" t="s">
        <v>12827</v>
      </c>
      <c r="B1706" s="5">
        <v>3</v>
      </c>
    </row>
    <row r="1707" spans="1:2" x14ac:dyDescent="0.35">
      <c r="A1707" s="11" t="s">
        <v>822</v>
      </c>
      <c r="B1707" s="5">
        <v>2</v>
      </c>
    </row>
    <row r="1708" spans="1:2" x14ac:dyDescent="0.35">
      <c r="A1708" s="11" t="s">
        <v>9028</v>
      </c>
      <c r="B1708" s="5">
        <v>45</v>
      </c>
    </row>
    <row r="1709" spans="1:2" x14ac:dyDescent="0.35">
      <c r="A1709" s="11" t="s">
        <v>12054</v>
      </c>
      <c r="B1709" s="5">
        <v>2</v>
      </c>
    </row>
    <row r="1710" spans="1:2" x14ac:dyDescent="0.35">
      <c r="A1710" s="11" t="s">
        <v>2158</v>
      </c>
      <c r="B1710" s="5">
        <v>1</v>
      </c>
    </row>
    <row r="1711" spans="1:2" x14ac:dyDescent="0.35">
      <c r="A1711" s="11" t="s">
        <v>2248</v>
      </c>
      <c r="B1711" s="5">
        <v>2</v>
      </c>
    </row>
    <row r="1712" spans="1:2" x14ac:dyDescent="0.35">
      <c r="A1712" s="11" t="s">
        <v>3404</v>
      </c>
      <c r="B1712" s="5">
        <v>1</v>
      </c>
    </row>
    <row r="1713" spans="1:2" x14ac:dyDescent="0.35">
      <c r="A1713" s="11" t="s">
        <v>1820</v>
      </c>
      <c r="B1713" s="5">
        <v>3</v>
      </c>
    </row>
    <row r="1714" spans="1:2" x14ac:dyDescent="0.35">
      <c r="A1714" s="11" t="s">
        <v>9851</v>
      </c>
      <c r="B1714" s="5">
        <v>1</v>
      </c>
    </row>
    <row r="1715" spans="1:2" x14ac:dyDescent="0.35">
      <c r="A1715" s="11" t="s">
        <v>10022</v>
      </c>
      <c r="B1715" s="5">
        <v>2</v>
      </c>
    </row>
    <row r="1716" spans="1:2" x14ac:dyDescent="0.35">
      <c r="A1716" s="11" t="s">
        <v>9631</v>
      </c>
      <c r="B1716" s="5">
        <v>1</v>
      </c>
    </row>
    <row r="1717" spans="1:2" x14ac:dyDescent="0.35">
      <c r="A1717" s="11" t="s">
        <v>270</v>
      </c>
      <c r="B1717" s="5">
        <v>1</v>
      </c>
    </row>
    <row r="1718" spans="1:2" x14ac:dyDescent="0.35">
      <c r="A1718" s="11" t="s">
        <v>10814</v>
      </c>
      <c r="B1718" s="5">
        <v>7</v>
      </c>
    </row>
    <row r="1719" spans="1:2" x14ac:dyDescent="0.35">
      <c r="A1719" s="11" t="s">
        <v>6251</v>
      </c>
      <c r="B1719" s="5">
        <v>1</v>
      </c>
    </row>
    <row r="1720" spans="1:2" x14ac:dyDescent="0.35">
      <c r="A1720" s="11" t="s">
        <v>1911</v>
      </c>
      <c r="B1720" s="5">
        <v>7</v>
      </c>
    </row>
    <row r="1721" spans="1:2" x14ac:dyDescent="0.35">
      <c r="A1721" s="11" t="s">
        <v>6605</v>
      </c>
      <c r="B1721" s="5">
        <v>1</v>
      </c>
    </row>
    <row r="1722" spans="1:2" x14ac:dyDescent="0.35">
      <c r="A1722" s="11" t="s">
        <v>11689</v>
      </c>
      <c r="B1722" s="5">
        <v>1</v>
      </c>
    </row>
    <row r="1723" spans="1:2" x14ac:dyDescent="0.35">
      <c r="A1723" s="11" t="s">
        <v>11421</v>
      </c>
      <c r="B1723" s="5">
        <v>2</v>
      </c>
    </row>
    <row r="1724" spans="1:2" x14ac:dyDescent="0.35">
      <c r="A1724" s="11" t="s">
        <v>9442</v>
      </c>
      <c r="B1724" s="5">
        <v>14</v>
      </c>
    </row>
    <row r="1725" spans="1:2" x14ac:dyDescent="0.35">
      <c r="A1725" s="11" t="s">
        <v>2409</v>
      </c>
      <c r="B1725" s="5">
        <v>1</v>
      </c>
    </row>
    <row r="1726" spans="1:2" x14ac:dyDescent="0.35">
      <c r="A1726" s="11" t="s">
        <v>3581</v>
      </c>
      <c r="B1726" s="5">
        <v>1</v>
      </c>
    </row>
    <row r="1727" spans="1:2" x14ac:dyDescent="0.35">
      <c r="A1727" s="11" t="s">
        <v>22</v>
      </c>
      <c r="B1727" s="5">
        <v>12</v>
      </c>
    </row>
    <row r="1728" spans="1:2" x14ac:dyDescent="0.35">
      <c r="A1728" s="11" t="s">
        <v>8571</v>
      </c>
      <c r="B1728" s="5">
        <v>6</v>
      </c>
    </row>
    <row r="1729" spans="1:2" x14ac:dyDescent="0.35">
      <c r="A1729" s="11" t="s">
        <v>1496</v>
      </c>
      <c r="B1729" s="5">
        <v>15</v>
      </c>
    </row>
    <row r="1730" spans="1:2" x14ac:dyDescent="0.35">
      <c r="A1730" s="11" t="s">
        <v>1107</v>
      </c>
      <c r="B1730" s="5">
        <v>8</v>
      </c>
    </row>
    <row r="1731" spans="1:2" x14ac:dyDescent="0.35">
      <c r="A1731" s="11" t="s">
        <v>1009</v>
      </c>
      <c r="B1731" s="5">
        <v>4</v>
      </c>
    </row>
    <row r="1732" spans="1:2" x14ac:dyDescent="0.35">
      <c r="A1732" s="11" t="s">
        <v>5457</v>
      </c>
      <c r="B1732" s="5">
        <v>1</v>
      </c>
    </row>
    <row r="1733" spans="1:2" x14ac:dyDescent="0.35">
      <c r="A1733" s="11" t="s">
        <v>7921</v>
      </c>
      <c r="B1733" s="5">
        <v>1</v>
      </c>
    </row>
    <row r="1734" spans="1:2" x14ac:dyDescent="0.35">
      <c r="A1734" s="11" t="s">
        <v>12140</v>
      </c>
      <c r="B1734" s="5">
        <v>1</v>
      </c>
    </row>
    <row r="1735" spans="1:2" x14ac:dyDescent="0.35">
      <c r="A1735" s="11" t="s">
        <v>10441</v>
      </c>
      <c r="B1735" s="5">
        <v>2</v>
      </c>
    </row>
    <row r="1736" spans="1:2" x14ac:dyDescent="0.35">
      <c r="A1736" s="11" t="s">
        <v>10676</v>
      </c>
      <c r="B1736" s="5">
        <v>2</v>
      </c>
    </row>
    <row r="1737" spans="1:2" x14ac:dyDescent="0.35">
      <c r="A1737" s="11" t="s">
        <v>1751</v>
      </c>
      <c r="B1737" s="5">
        <v>4</v>
      </c>
    </row>
    <row r="1738" spans="1:2" x14ac:dyDescent="0.35">
      <c r="A1738" s="11" t="s">
        <v>4735</v>
      </c>
      <c r="B1738" s="5">
        <v>1</v>
      </c>
    </row>
    <row r="1739" spans="1:2" x14ac:dyDescent="0.35">
      <c r="A1739" s="11" t="s">
        <v>2760</v>
      </c>
      <c r="B1739" s="5">
        <v>2</v>
      </c>
    </row>
    <row r="1740" spans="1:2" x14ac:dyDescent="0.35">
      <c r="A1740" s="11" t="s">
        <v>2190</v>
      </c>
      <c r="B1740" s="5">
        <v>5</v>
      </c>
    </row>
    <row r="1741" spans="1:2" x14ac:dyDescent="0.35">
      <c r="A1741" s="11" t="s">
        <v>12311</v>
      </c>
      <c r="B1741" s="5">
        <v>3</v>
      </c>
    </row>
    <row r="1742" spans="1:2" x14ac:dyDescent="0.35">
      <c r="A1742" s="11" t="s">
        <v>3708</v>
      </c>
      <c r="B1742" s="5">
        <v>3</v>
      </c>
    </row>
    <row r="1743" spans="1:2" x14ac:dyDescent="0.35">
      <c r="A1743" s="11" t="s">
        <v>7664</v>
      </c>
      <c r="B1743" s="5">
        <v>1</v>
      </c>
    </row>
    <row r="1744" spans="1:2" x14ac:dyDescent="0.35">
      <c r="A1744" s="11" t="s">
        <v>9922</v>
      </c>
      <c r="B1744" s="5">
        <v>2</v>
      </c>
    </row>
    <row r="1745" spans="1:2" x14ac:dyDescent="0.35">
      <c r="A1745" s="11" t="s">
        <v>6496</v>
      </c>
      <c r="B1745" s="5">
        <v>2</v>
      </c>
    </row>
    <row r="1746" spans="1:2" x14ac:dyDescent="0.35">
      <c r="A1746" s="11" t="s">
        <v>10989</v>
      </c>
      <c r="B1746" s="5">
        <v>5</v>
      </c>
    </row>
    <row r="1747" spans="1:2" x14ac:dyDescent="0.35">
      <c r="A1747" s="11" t="s">
        <v>2788</v>
      </c>
      <c r="B1747" s="5">
        <v>4</v>
      </c>
    </row>
    <row r="1748" spans="1:2" x14ac:dyDescent="0.35">
      <c r="A1748" s="11" t="s">
        <v>1595</v>
      </c>
      <c r="B1748" s="5">
        <v>63</v>
      </c>
    </row>
    <row r="1749" spans="1:2" x14ac:dyDescent="0.35">
      <c r="A1749" s="11" t="s">
        <v>11218</v>
      </c>
      <c r="B1749" s="5">
        <v>2</v>
      </c>
    </row>
    <row r="1750" spans="1:2" x14ac:dyDescent="0.35">
      <c r="A1750" s="11" t="s">
        <v>2774</v>
      </c>
      <c r="B1750" s="5">
        <v>1</v>
      </c>
    </row>
    <row r="1751" spans="1:2" x14ac:dyDescent="0.35">
      <c r="A1751" s="11" t="s">
        <v>11535</v>
      </c>
      <c r="B1751" s="5">
        <v>2</v>
      </c>
    </row>
    <row r="1752" spans="1:2" x14ac:dyDescent="0.35">
      <c r="A1752" s="11" t="s">
        <v>11948</v>
      </c>
      <c r="B1752" s="5">
        <v>1</v>
      </c>
    </row>
    <row r="1753" spans="1:2" x14ac:dyDescent="0.35">
      <c r="A1753" s="11" t="s">
        <v>4862</v>
      </c>
      <c r="B1753" s="5">
        <v>1</v>
      </c>
    </row>
    <row r="1754" spans="1:2" x14ac:dyDescent="0.35">
      <c r="A1754" s="11" t="s">
        <v>2955</v>
      </c>
      <c r="B1754" s="5">
        <v>1</v>
      </c>
    </row>
    <row r="1755" spans="1:2" x14ac:dyDescent="0.35">
      <c r="A1755" s="11" t="s">
        <v>11971</v>
      </c>
      <c r="B1755" s="5">
        <v>3</v>
      </c>
    </row>
    <row r="1756" spans="1:2" x14ac:dyDescent="0.35">
      <c r="A1756" s="11" t="s">
        <v>2442</v>
      </c>
      <c r="B1756" s="5">
        <v>2</v>
      </c>
    </row>
    <row r="1757" spans="1:2" x14ac:dyDescent="0.35">
      <c r="A1757" s="11" t="s">
        <v>9596</v>
      </c>
      <c r="B1757" s="5">
        <v>5</v>
      </c>
    </row>
    <row r="1758" spans="1:2" x14ac:dyDescent="0.35">
      <c r="A1758" s="11" t="s">
        <v>12453</v>
      </c>
      <c r="B1758" s="5">
        <v>1</v>
      </c>
    </row>
    <row r="1759" spans="1:2" x14ac:dyDescent="0.35">
      <c r="A1759" s="11" t="s">
        <v>3227</v>
      </c>
      <c r="B1759" s="5">
        <v>2</v>
      </c>
    </row>
    <row r="1760" spans="1:2" x14ac:dyDescent="0.35">
      <c r="A1760" s="11" t="s">
        <v>1459</v>
      </c>
      <c r="B1760" s="5">
        <v>1</v>
      </c>
    </row>
    <row r="1761" spans="1:2" x14ac:dyDescent="0.35">
      <c r="A1761" s="11" t="s">
        <v>715</v>
      </c>
      <c r="B1761" s="5">
        <v>4</v>
      </c>
    </row>
    <row r="1762" spans="1:2" x14ac:dyDescent="0.35">
      <c r="A1762" s="11" t="s">
        <v>6724</v>
      </c>
      <c r="B1762" s="5">
        <v>25</v>
      </c>
    </row>
    <row r="1763" spans="1:2" x14ac:dyDescent="0.35">
      <c r="A1763" s="11" t="s">
        <v>9991</v>
      </c>
      <c r="B1763" s="5">
        <v>1</v>
      </c>
    </row>
    <row r="1764" spans="1:2" x14ac:dyDescent="0.35">
      <c r="A1764" s="11" t="s">
        <v>10910</v>
      </c>
      <c r="B1764" s="5">
        <v>2</v>
      </c>
    </row>
    <row r="1765" spans="1:2" x14ac:dyDescent="0.35">
      <c r="A1765" s="11" t="s">
        <v>10946</v>
      </c>
      <c r="B1765" s="5">
        <v>5</v>
      </c>
    </row>
    <row r="1766" spans="1:2" x14ac:dyDescent="0.35">
      <c r="A1766" s="11" t="s">
        <v>5169</v>
      </c>
      <c r="B1766" s="5">
        <v>2</v>
      </c>
    </row>
    <row r="1767" spans="1:2" x14ac:dyDescent="0.35">
      <c r="A1767" s="11" t="s">
        <v>5353</v>
      </c>
      <c r="B1767" s="5">
        <v>2</v>
      </c>
    </row>
    <row r="1768" spans="1:2" x14ac:dyDescent="0.35">
      <c r="A1768" s="11" t="s">
        <v>7228</v>
      </c>
      <c r="B1768" s="5">
        <v>2</v>
      </c>
    </row>
    <row r="1769" spans="1:2" x14ac:dyDescent="0.35">
      <c r="A1769" s="11" t="s">
        <v>461</v>
      </c>
      <c r="B1769" s="5">
        <v>1</v>
      </c>
    </row>
    <row r="1770" spans="1:2" x14ac:dyDescent="0.35">
      <c r="A1770" s="11" t="s">
        <v>5190</v>
      </c>
      <c r="B1770" s="5">
        <v>2</v>
      </c>
    </row>
    <row r="1771" spans="1:2" x14ac:dyDescent="0.35">
      <c r="A1771" s="11" t="s">
        <v>4623</v>
      </c>
      <c r="B1771" s="5">
        <v>1</v>
      </c>
    </row>
    <row r="1772" spans="1:2" x14ac:dyDescent="0.35">
      <c r="A1772" s="11" t="s">
        <v>3150</v>
      </c>
      <c r="B1772" s="5">
        <v>1</v>
      </c>
    </row>
    <row r="1773" spans="1:2" x14ac:dyDescent="0.35">
      <c r="A1773" s="11" t="s">
        <v>9415</v>
      </c>
      <c r="B1773" s="5">
        <v>15</v>
      </c>
    </row>
    <row r="1774" spans="1:2" x14ac:dyDescent="0.35">
      <c r="A1774" s="11" t="s">
        <v>3185</v>
      </c>
      <c r="B1774" s="5">
        <v>26</v>
      </c>
    </row>
    <row r="1775" spans="1:2" x14ac:dyDescent="0.35">
      <c r="A1775" s="11" t="s">
        <v>548</v>
      </c>
      <c r="B1775" s="5">
        <v>3</v>
      </c>
    </row>
    <row r="1776" spans="1:2" x14ac:dyDescent="0.35">
      <c r="A1776" s="11" t="s">
        <v>8883</v>
      </c>
      <c r="B1776" s="5">
        <v>2</v>
      </c>
    </row>
    <row r="1777" spans="1:2" x14ac:dyDescent="0.35">
      <c r="A1777" s="11" t="s">
        <v>1612</v>
      </c>
      <c r="B1777" s="5">
        <v>1</v>
      </c>
    </row>
    <row r="1778" spans="1:2" x14ac:dyDescent="0.35">
      <c r="A1778" s="11" t="s">
        <v>10907</v>
      </c>
      <c r="B1778" s="5">
        <v>3</v>
      </c>
    </row>
    <row r="1779" spans="1:2" x14ac:dyDescent="0.35">
      <c r="A1779" s="11" t="s">
        <v>10410</v>
      </c>
      <c r="B1779" s="5">
        <v>2</v>
      </c>
    </row>
    <row r="1780" spans="1:2" x14ac:dyDescent="0.35">
      <c r="A1780" s="11" t="s">
        <v>9613</v>
      </c>
      <c r="B1780" s="5">
        <v>2</v>
      </c>
    </row>
    <row r="1781" spans="1:2" x14ac:dyDescent="0.35">
      <c r="A1781" s="11" t="s">
        <v>9035</v>
      </c>
      <c r="B1781" s="5">
        <v>1</v>
      </c>
    </row>
    <row r="1782" spans="1:2" x14ac:dyDescent="0.35">
      <c r="A1782" s="11" t="s">
        <v>2793</v>
      </c>
      <c r="B1782" s="5">
        <v>6</v>
      </c>
    </row>
    <row r="1783" spans="1:2" x14ac:dyDescent="0.35">
      <c r="A1783" s="11" t="s">
        <v>5674</v>
      </c>
      <c r="B1783" s="5">
        <v>1</v>
      </c>
    </row>
    <row r="1784" spans="1:2" x14ac:dyDescent="0.35">
      <c r="A1784" s="11" t="s">
        <v>1103</v>
      </c>
      <c r="B1784" s="5">
        <v>19</v>
      </c>
    </row>
    <row r="1785" spans="1:2" x14ac:dyDescent="0.35">
      <c r="A1785" s="11" t="s">
        <v>5379</v>
      </c>
      <c r="B1785" s="5">
        <v>1</v>
      </c>
    </row>
    <row r="1786" spans="1:2" x14ac:dyDescent="0.35">
      <c r="A1786" s="11" t="s">
        <v>762</v>
      </c>
      <c r="B1786" s="5">
        <v>1</v>
      </c>
    </row>
    <row r="1787" spans="1:2" x14ac:dyDescent="0.35">
      <c r="A1787" s="11" t="s">
        <v>1337</v>
      </c>
      <c r="B1787" s="5">
        <v>6</v>
      </c>
    </row>
    <row r="1788" spans="1:2" x14ac:dyDescent="0.35">
      <c r="A1788" s="11" t="s">
        <v>7571</v>
      </c>
      <c r="B1788" s="5">
        <v>2</v>
      </c>
    </row>
    <row r="1789" spans="1:2" x14ac:dyDescent="0.35">
      <c r="A1789" s="11" t="s">
        <v>879</v>
      </c>
      <c r="B1789" s="5">
        <v>1</v>
      </c>
    </row>
    <row r="1790" spans="1:2" x14ac:dyDescent="0.35">
      <c r="A1790" s="11" t="s">
        <v>5260</v>
      </c>
      <c r="B1790" s="5">
        <v>4</v>
      </c>
    </row>
    <row r="1791" spans="1:2" x14ac:dyDescent="0.35">
      <c r="A1791" s="11" t="s">
        <v>2256</v>
      </c>
      <c r="B1791" s="5">
        <v>1</v>
      </c>
    </row>
    <row r="1792" spans="1:2" x14ac:dyDescent="0.35">
      <c r="A1792" s="11" t="s">
        <v>12835</v>
      </c>
      <c r="B1792" s="5">
        <v>1</v>
      </c>
    </row>
    <row r="1793" spans="1:2" x14ac:dyDescent="0.35">
      <c r="A1793" s="11" t="s">
        <v>11921</v>
      </c>
      <c r="B1793" s="5">
        <v>3</v>
      </c>
    </row>
    <row r="1794" spans="1:2" x14ac:dyDescent="0.35">
      <c r="A1794" s="11" t="s">
        <v>12690</v>
      </c>
      <c r="B1794" s="5">
        <v>4</v>
      </c>
    </row>
    <row r="1795" spans="1:2" x14ac:dyDescent="0.35">
      <c r="A1795" s="11" t="s">
        <v>10930</v>
      </c>
      <c r="B1795" s="5">
        <v>2</v>
      </c>
    </row>
    <row r="1796" spans="1:2" x14ac:dyDescent="0.35">
      <c r="A1796" s="11" t="s">
        <v>12677</v>
      </c>
      <c r="B1796" s="5">
        <v>4</v>
      </c>
    </row>
    <row r="1797" spans="1:2" x14ac:dyDescent="0.35">
      <c r="A1797" s="11" t="s">
        <v>1538</v>
      </c>
      <c r="B1797" s="5">
        <v>2</v>
      </c>
    </row>
    <row r="1798" spans="1:2" x14ac:dyDescent="0.35">
      <c r="A1798" s="11" t="s">
        <v>43</v>
      </c>
      <c r="B1798" s="5">
        <v>2</v>
      </c>
    </row>
    <row r="1799" spans="1:2" x14ac:dyDescent="0.35">
      <c r="A1799" s="11" t="s">
        <v>651</v>
      </c>
      <c r="B1799" s="5">
        <v>8</v>
      </c>
    </row>
    <row r="1800" spans="1:2" x14ac:dyDescent="0.35">
      <c r="A1800" s="11" t="s">
        <v>11596</v>
      </c>
      <c r="B1800" s="5">
        <v>2</v>
      </c>
    </row>
    <row r="1801" spans="1:2" x14ac:dyDescent="0.35">
      <c r="A1801" s="11" t="s">
        <v>1513</v>
      </c>
      <c r="B1801" s="5">
        <v>8</v>
      </c>
    </row>
    <row r="1802" spans="1:2" x14ac:dyDescent="0.35">
      <c r="A1802" s="11" t="s">
        <v>8170</v>
      </c>
      <c r="B1802" s="5">
        <v>2</v>
      </c>
    </row>
    <row r="1803" spans="1:2" x14ac:dyDescent="0.35">
      <c r="A1803" s="11" t="s">
        <v>4229</v>
      </c>
      <c r="B1803" s="5">
        <v>1</v>
      </c>
    </row>
    <row r="1804" spans="1:2" x14ac:dyDescent="0.35">
      <c r="A1804" s="11" t="s">
        <v>8163</v>
      </c>
      <c r="B1804" s="5">
        <v>2</v>
      </c>
    </row>
    <row r="1805" spans="1:2" x14ac:dyDescent="0.35">
      <c r="A1805" s="11" t="s">
        <v>12377</v>
      </c>
      <c r="B1805" s="5">
        <v>1</v>
      </c>
    </row>
    <row r="1806" spans="1:2" x14ac:dyDescent="0.35">
      <c r="A1806" s="11" t="s">
        <v>12706</v>
      </c>
      <c r="B1806" s="5">
        <v>2</v>
      </c>
    </row>
    <row r="1807" spans="1:2" x14ac:dyDescent="0.35">
      <c r="A1807" s="11" t="s">
        <v>7435</v>
      </c>
      <c r="B1807" s="5">
        <v>1</v>
      </c>
    </row>
    <row r="1808" spans="1:2" x14ac:dyDescent="0.35">
      <c r="A1808" s="11" t="s">
        <v>1491</v>
      </c>
      <c r="B1808" s="5">
        <v>4</v>
      </c>
    </row>
    <row r="1809" spans="1:2" x14ac:dyDescent="0.35">
      <c r="A1809" s="11" t="s">
        <v>6806</v>
      </c>
      <c r="B1809" s="5">
        <v>1</v>
      </c>
    </row>
    <row r="1810" spans="1:2" x14ac:dyDescent="0.35">
      <c r="A1810" s="11" t="s">
        <v>6909</v>
      </c>
      <c r="B1810" s="5">
        <v>2</v>
      </c>
    </row>
    <row r="1811" spans="1:2" x14ac:dyDescent="0.35">
      <c r="A1811" s="11" t="s">
        <v>3558</v>
      </c>
      <c r="B1811" s="5">
        <v>8</v>
      </c>
    </row>
    <row r="1812" spans="1:2" x14ac:dyDescent="0.35">
      <c r="A1812" s="11" t="s">
        <v>1120</v>
      </c>
      <c r="B1812" s="5">
        <v>2</v>
      </c>
    </row>
    <row r="1813" spans="1:2" x14ac:dyDescent="0.35">
      <c r="A1813" s="11" t="s">
        <v>953</v>
      </c>
      <c r="B1813" s="5">
        <v>1</v>
      </c>
    </row>
    <row r="1814" spans="1:2" x14ac:dyDescent="0.35">
      <c r="A1814" s="11" t="s">
        <v>12763</v>
      </c>
      <c r="B1814" s="5">
        <v>7</v>
      </c>
    </row>
    <row r="1815" spans="1:2" x14ac:dyDescent="0.35">
      <c r="A1815" s="11" t="s">
        <v>6204</v>
      </c>
      <c r="B1815" s="5">
        <v>1</v>
      </c>
    </row>
    <row r="1816" spans="1:2" x14ac:dyDescent="0.35">
      <c r="A1816" s="11" t="s">
        <v>6410</v>
      </c>
      <c r="B1816" s="5">
        <v>11</v>
      </c>
    </row>
    <row r="1817" spans="1:2" x14ac:dyDescent="0.35">
      <c r="A1817" s="11" t="s">
        <v>520</v>
      </c>
      <c r="B1817" s="5">
        <v>27</v>
      </c>
    </row>
    <row r="1818" spans="1:2" x14ac:dyDescent="0.35">
      <c r="A1818" s="11" t="s">
        <v>11646</v>
      </c>
      <c r="B1818" s="5">
        <v>10</v>
      </c>
    </row>
    <row r="1819" spans="1:2" x14ac:dyDescent="0.35">
      <c r="A1819" s="11" t="s">
        <v>12078</v>
      </c>
      <c r="B1819" s="5">
        <v>2</v>
      </c>
    </row>
    <row r="1820" spans="1:2" x14ac:dyDescent="0.35">
      <c r="A1820" s="11" t="s">
        <v>910</v>
      </c>
      <c r="B1820" s="5">
        <v>8</v>
      </c>
    </row>
    <row r="1821" spans="1:2" x14ac:dyDescent="0.35">
      <c r="A1821" s="11" t="s">
        <v>9406</v>
      </c>
      <c r="B1821" s="5">
        <v>1</v>
      </c>
    </row>
    <row r="1822" spans="1:2" x14ac:dyDescent="0.35">
      <c r="A1822" s="11" t="s">
        <v>2869</v>
      </c>
      <c r="B1822" s="5">
        <v>1</v>
      </c>
    </row>
    <row r="1823" spans="1:2" x14ac:dyDescent="0.35">
      <c r="A1823" s="11" t="s">
        <v>3807</v>
      </c>
      <c r="B1823" s="5">
        <v>4</v>
      </c>
    </row>
    <row r="1824" spans="1:2" x14ac:dyDescent="0.35">
      <c r="A1824" s="11" t="s">
        <v>12785</v>
      </c>
      <c r="B1824" s="5">
        <v>4</v>
      </c>
    </row>
    <row r="1825" spans="1:2" x14ac:dyDescent="0.35">
      <c r="A1825" s="11" t="s">
        <v>13019</v>
      </c>
      <c r="B1825" s="5">
        <v>1</v>
      </c>
    </row>
    <row r="1826" spans="1:2" x14ac:dyDescent="0.35">
      <c r="A1826" s="11" t="s">
        <v>3046</v>
      </c>
      <c r="B1826" s="5">
        <v>2</v>
      </c>
    </row>
    <row r="1827" spans="1:2" x14ac:dyDescent="0.35">
      <c r="A1827" s="11" t="s">
        <v>7140</v>
      </c>
      <c r="B1827" s="5">
        <v>2</v>
      </c>
    </row>
    <row r="1828" spans="1:2" x14ac:dyDescent="0.35">
      <c r="A1828" s="11" t="s">
        <v>10844</v>
      </c>
      <c r="B1828" s="5">
        <v>1</v>
      </c>
    </row>
    <row r="1829" spans="1:2" x14ac:dyDescent="0.35">
      <c r="A1829" s="11" t="s">
        <v>4334</v>
      </c>
      <c r="B1829" s="5">
        <v>2</v>
      </c>
    </row>
    <row r="1830" spans="1:2" x14ac:dyDescent="0.35">
      <c r="A1830" s="11" t="s">
        <v>2749</v>
      </c>
      <c r="B1830" s="5">
        <v>1</v>
      </c>
    </row>
    <row r="1831" spans="1:2" x14ac:dyDescent="0.35">
      <c r="A1831" s="11" t="s">
        <v>754</v>
      </c>
      <c r="B1831" s="5">
        <v>2</v>
      </c>
    </row>
    <row r="1832" spans="1:2" x14ac:dyDescent="0.35">
      <c r="A1832" s="11" t="s">
        <v>11547</v>
      </c>
      <c r="B1832" s="5">
        <v>3</v>
      </c>
    </row>
    <row r="1833" spans="1:2" x14ac:dyDescent="0.35">
      <c r="A1833" s="11" t="s">
        <v>12575</v>
      </c>
      <c r="B1833" s="5">
        <v>1</v>
      </c>
    </row>
    <row r="1834" spans="1:2" x14ac:dyDescent="0.35">
      <c r="A1834" s="11" t="s">
        <v>5601</v>
      </c>
      <c r="B1834" s="5">
        <v>1</v>
      </c>
    </row>
    <row r="1835" spans="1:2" x14ac:dyDescent="0.35">
      <c r="A1835" s="11" t="s">
        <v>380</v>
      </c>
      <c r="B1835" s="5">
        <v>6</v>
      </c>
    </row>
    <row r="1836" spans="1:2" x14ac:dyDescent="0.35">
      <c r="A1836" s="11" t="s">
        <v>10710</v>
      </c>
      <c r="B1836" s="5">
        <v>6</v>
      </c>
    </row>
    <row r="1837" spans="1:2" x14ac:dyDescent="0.35">
      <c r="A1837" s="11" t="s">
        <v>4983</v>
      </c>
      <c r="B1837" s="5">
        <v>2</v>
      </c>
    </row>
    <row r="1838" spans="1:2" x14ac:dyDescent="0.35">
      <c r="A1838" s="11" t="s">
        <v>5340</v>
      </c>
      <c r="B1838" s="5">
        <v>14</v>
      </c>
    </row>
    <row r="1839" spans="1:2" x14ac:dyDescent="0.35">
      <c r="A1839" s="11" t="s">
        <v>1362</v>
      </c>
      <c r="B1839" s="5">
        <v>1</v>
      </c>
    </row>
    <row r="1840" spans="1:2" x14ac:dyDescent="0.35">
      <c r="A1840" s="11" t="s">
        <v>10546</v>
      </c>
      <c r="B1840" s="5">
        <v>4</v>
      </c>
    </row>
    <row r="1841" spans="1:2" x14ac:dyDescent="0.35">
      <c r="A1841" s="11" t="s">
        <v>6077</v>
      </c>
      <c r="B1841" s="5">
        <v>8</v>
      </c>
    </row>
    <row r="1842" spans="1:2" x14ac:dyDescent="0.35">
      <c r="A1842" s="11" t="s">
        <v>9143</v>
      </c>
      <c r="B1842" s="5">
        <v>9</v>
      </c>
    </row>
    <row r="1843" spans="1:2" x14ac:dyDescent="0.35">
      <c r="A1843" s="11" t="s">
        <v>3457</v>
      </c>
      <c r="B1843" s="5">
        <v>3</v>
      </c>
    </row>
    <row r="1844" spans="1:2" x14ac:dyDescent="0.35">
      <c r="A1844" s="11" t="s">
        <v>11816</v>
      </c>
      <c r="B1844" s="5">
        <v>2</v>
      </c>
    </row>
    <row r="1845" spans="1:2" x14ac:dyDescent="0.35">
      <c r="A1845" s="11" t="s">
        <v>10281</v>
      </c>
      <c r="B1845" s="5">
        <v>1</v>
      </c>
    </row>
    <row r="1846" spans="1:2" x14ac:dyDescent="0.35">
      <c r="A1846" s="11" t="s">
        <v>8894</v>
      </c>
      <c r="B1846" s="5">
        <v>2</v>
      </c>
    </row>
    <row r="1847" spans="1:2" x14ac:dyDescent="0.35">
      <c r="A1847" s="11" t="s">
        <v>4920</v>
      </c>
      <c r="B1847" s="5">
        <v>5</v>
      </c>
    </row>
    <row r="1848" spans="1:2" x14ac:dyDescent="0.35">
      <c r="A1848" s="11" t="s">
        <v>1454</v>
      </c>
      <c r="B1848" s="5">
        <v>1</v>
      </c>
    </row>
    <row r="1849" spans="1:2" x14ac:dyDescent="0.35">
      <c r="A1849" s="11" t="s">
        <v>607</v>
      </c>
      <c r="B1849" s="5">
        <v>11</v>
      </c>
    </row>
    <row r="1850" spans="1:2" x14ac:dyDescent="0.35">
      <c r="A1850" s="11" t="s">
        <v>748</v>
      </c>
      <c r="B1850" s="5">
        <v>1</v>
      </c>
    </row>
    <row r="1851" spans="1:2" x14ac:dyDescent="0.35">
      <c r="A1851" s="11" t="s">
        <v>902</v>
      </c>
      <c r="B1851" s="5">
        <v>4</v>
      </c>
    </row>
    <row r="1852" spans="1:2" x14ac:dyDescent="0.35">
      <c r="A1852" s="11" t="s">
        <v>2181</v>
      </c>
      <c r="B1852" s="5">
        <v>3</v>
      </c>
    </row>
    <row r="1853" spans="1:2" x14ac:dyDescent="0.35">
      <c r="A1853" s="11" t="s">
        <v>4041</v>
      </c>
      <c r="B1853" s="5">
        <v>25</v>
      </c>
    </row>
    <row r="1854" spans="1:2" x14ac:dyDescent="0.35">
      <c r="A1854" s="11" t="s">
        <v>6214</v>
      </c>
      <c r="B1854" s="5">
        <v>6</v>
      </c>
    </row>
    <row r="1855" spans="1:2" x14ac:dyDescent="0.35">
      <c r="A1855" s="11" t="s">
        <v>10005</v>
      </c>
      <c r="B1855" s="5">
        <v>1</v>
      </c>
    </row>
    <row r="1856" spans="1:2" x14ac:dyDescent="0.35">
      <c r="A1856" s="11" t="s">
        <v>12635</v>
      </c>
      <c r="B1856" s="5">
        <v>4</v>
      </c>
    </row>
    <row r="1857" spans="1:2" x14ac:dyDescent="0.35">
      <c r="A1857" s="11" t="s">
        <v>1323</v>
      </c>
      <c r="B1857" s="5">
        <v>4</v>
      </c>
    </row>
    <row r="1858" spans="1:2" x14ac:dyDescent="0.35">
      <c r="A1858" s="11" t="s">
        <v>1169</v>
      </c>
      <c r="B1858" s="5">
        <v>1</v>
      </c>
    </row>
    <row r="1859" spans="1:2" x14ac:dyDescent="0.35">
      <c r="A1859" s="11" t="s">
        <v>11023</v>
      </c>
      <c r="B1859" s="5">
        <v>2</v>
      </c>
    </row>
    <row r="1860" spans="1:2" x14ac:dyDescent="0.35">
      <c r="A1860" s="11" t="s">
        <v>12715</v>
      </c>
      <c r="B1860" s="5">
        <v>2</v>
      </c>
    </row>
    <row r="1861" spans="1:2" x14ac:dyDescent="0.35">
      <c r="A1861" s="11" t="s">
        <v>11807</v>
      </c>
      <c r="B1861" s="5">
        <v>9</v>
      </c>
    </row>
    <row r="1862" spans="1:2" x14ac:dyDescent="0.35">
      <c r="A1862" s="11" t="s">
        <v>9796</v>
      </c>
      <c r="B1862" s="5">
        <v>6</v>
      </c>
    </row>
    <row r="1863" spans="1:2" x14ac:dyDescent="0.35">
      <c r="A1863" s="11" t="s">
        <v>10765</v>
      </c>
      <c r="B1863" s="5">
        <v>1</v>
      </c>
    </row>
    <row r="1864" spans="1:2" x14ac:dyDescent="0.35">
      <c r="A1864" s="11" t="s">
        <v>6518</v>
      </c>
      <c r="B1864" s="5">
        <v>18</v>
      </c>
    </row>
    <row r="1865" spans="1:2" x14ac:dyDescent="0.35">
      <c r="A1865" s="11" t="s">
        <v>697</v>
      </c>
      <c r="B1865" s="5">
        <v>2</v>
      </c>
    </row>
    <row r="1866" spans="1:2" x14ac:dyDescent="0.35">
      <c r="A1866" s="11" t="s">
        <v>5453</v>
      </c>
      <c r="B1866" s="5">
        <v>1</v>
      </c>
    </row>
    <row r="1867" spans="1:2" x14ac:dyDescent="0.35">
      <c r="A1867" s="11" t="s">
        <v>289</v>
      </c>
      <c r="B1867" s="5">
        <v>3</v>
      </c>
    </row>
    <row r="1868" spans="1:2" x14ac:dyDescent="0.35">
      <c r="A1868" s="11" t="s">
        <v>5448</v>
      </c>
      <c r="B1868" s="5">
        <v>6</v>
      </c>
    </row>
    <row r="1869" spans="1:2" x14ac:dyDescent="0.35">
      <c r="A1869" s="11" t="s">
        <v>1280</v>
      </c>
      <c r="B1869" s="5">
        <v>1</v>
      </c>
    </row>
    <row r="1870" spans="1:2" x14ac:dyDescent="0.35">
      <c r="A1870" s="11" t="s">
        <v>2052</v>
      </c>
      <c r="B1870" s="5">
        <v>4</v>
      </c>
    </row>
    <row r="1871" spans="1:2" x14ac:dyDescent="0.35">
      <c r="A1871" s="11" t="s">
        <v>9662</v>
      </c>
      <c r="B1871" s="5">
        <v>1</v>
      </c>
    </row>
    <row r="1872" spans="1:2" x14ac:dyDescent="0.35">
      <c r="A1872" s="11" t="s">
        <v>1194</v>
      </c>
      <c r="B1872" s="5">
        <v>1</v>
      </c>
    </row>
    <row r="1873" spans="1:2" x14ac:dyDescent="0.35">
      <c r="A1873" s="11" t="s">
        <v>6275</v>
      </c>
      <c r="B1873" s="5">
        <v>8</v>
      </c>
    </row>
    <row r="1874" spans="1:2" x14ac:dyDescent="0.35">
      <c r="A1874" s="11" t="s">
        <v>860</v>
      </c>
      <c r="B1874" s="5">
        <v>5</v>
      </c>
    </row>
    <row r="1875" spans="1:2" x14ac:dyDescent="0.35">
      <c r="A1875" s="11" t="s">
        <v>12086</v>
      </c>
      <c r="B1875" s="5">
        <v>2</v>
      </c>
    </row>
    <row r="1876" spans="1:2" x14ac:dyDescent="0.35">
      <c r="A1876" s="11" t="s">
        <v>1622</v>
      </c>
      <c r="B1876" s="5">
        <v>1</v>
      </c>
    </row>
    <row r="1877" spans="1:2" x14ac:dyDescent="0.35">
      <c r="A1877" s="11" t="s">
        <v>12615</v>
      </c>
      <c r="B1877" s="5">
        <v>2</v>
      </c>
    </row>
    <row r="1878" spans="1:2" x14ac:dyDescent="0.35">
      <c r="A1878" s="11" t="s">
        <v>11968</v>
      </c>
      <c r="B1878" s="5">
        <v>2</v>
      </c>
    </row>
    <row r="1879" spans="1:2" x14ac:dyDescent="0.35">
      <c r="A1879" s="11" t="s">
        <v>12448</v>
      </c>
      <c r="B1879" s="5">
        <v>1</v>
      </c>
    </row>
    <row r="1880" spans="1:2" x14ac:dyDescent="0.35">
      <c r="A1880" s="11" t="s">
        <v>1921</v>
      </c>
      <c r="B1880" s="5">
        <v>10</v>
      </c>
    </row>
    <row r="1881" spans="1:2" x14ac:dyDescent="0.35">
      <c r="A1881" s="11" t="s">
        <v>5287</v>
      </c>
      <c r="B1881" s="5">
        <v>1</v>
      </c>
    </row>
    <row r="1882" spans="1:2" x14ac:dyDescent="0.35">
      <c r="A1882" s="11" t="s">
        <v>10968</v>
      </c>
      <c r="B1882" s="5">
        <v>4</v>
      </c>
    </row>
    <row r="1883" spans="1:2" x14ac:dyDescent="0.35">
      <c r="A1883" s="11" t="s">
        <v>1760</v>
      </c>
      <c r="B1883" s="5">
        <v>4</v>
      </c>
    </row>
    <row r="1884" spans="1:2" x14ac:dyDescent="0.35">
      <c r="A1884" s="11" t="s">
        <v>2861</v>
      </c>
      <c r="B1884" s="5">
        <v>2</v>
      </c>
    </row>
    <row r="1885" spans="1:2" x14ac:dyDescent="0.35">
      <c r="A1885" s="11" t="s">
        <v>12973</v>
      </c>
      <c r="B1885" s="5">
        <v>3</v>
      </c>
    </row>
    <row r="1886" spans="1:2" x14ac:dyDescent="0.35">
      <c r="A1886" s="11" t="s">
        <v>8208</v>
      </c>
      <c r="B1886" s="5">
        <v>3</v>
      </c>
    </row>
    <row r="1887" spans="1:2" x14ac:dyDescent="0.35">
      <c r="A1887" s="11" t="s">
        <v>12020</v>
      </c>
      <c r="B1887" s="5">
        <v>3</v>
      </c>
    </row>
    <row r="1888" spans="1:2" x14ac:dyDescent="0.35">
      <c r="A1888" s="11" t="s">
        <v>7170</v>
      </c>
      <c r="B1888" s="5">
        <v>2</v>
      </c>
    </row>
    <row r="1889" spans="1:2" x14ac:dyDescent="0.35">
      <c r="A1889" s="11" t="s">
        <v>2142</v>
      </c>
      <c r="B1889" s="5">
        <v>1</v>
      </c>
    </row>
    <row r="1890" spans="1:2" x14ac:dyDescent="0.35">
      <c r="A1890" s="11" t="s">
        <v>1291</v>
      </c>
      <c r="B1890" s="5">
        <v>8</v>
      </c>
    </row>
    <row r="1891" spans="1:2" x14ac:dyDescent="0.35">
      <c r="A1891" s="11" t="s">
        <v>3499</v>
      </c>
      <c r="B1891" s="5">
        <v>3</v>
      </c>
    </row>
    <row r="1892" spans="1:2" x14ac:dyDescent="0.35">
      <c r="A1892" s="11" t="s">
        <v>5368</v>
      </c>
      <c r="B1892" s="5">
        <v>3</v>
      </c>
    </row>
    <row r="1893" spans="1:2" x14ac:dyDescent="0.35">
      <c r="A1893" s="11" t="s">
        <v>2714</v>
      </c>
      <c r="B1893" s="5">
        <v>1</v>
      </c>
    </row>
    <row r="1894" spans="1:2" x14ac:dyDescent="0.35">
      <c r="A1894" s="11" t="s">
        <v>13022</v>
      </c>
      <c r="B1894" s="5">
        <v>1</v>
      </c>
    </row>
    <row r="1895" spans="1:2" x14ac:dyDescent="0.35">
      <c r="A1895" s="11" t="s">
        <v>3238</v>
      </c>
      <c r="B1895" s="5">
        <v>3</v>
      </c>
    </row>
    <row r="1896" spans="1:2" x14ac:dyDescent="0.35">
      <c r="A1896" s="11" t="s">
        <v>4615</v>
      </c>
      <c r="B1896" s="5">
        <v>6</v>
      </c>
    </row>
    <row r="1897" spans="1:2" x14ac:dyDescent="0.35">
      <c r="A1897" s="11" t="s">
        <v>3987</v>
      </c>
      <c r="B1897" s="5">
        <v>3</v>
      </c>
    </row>
    <row r="1898" spans="1:2" x14ac:dyDescent="0.35">
      <c r="A1898" s="11" t="s">
        <v>11698</v>
      </c>
      <c r="B1898" s="5">
        <v>2</v>
      </c>
    </row>
    <row r="1899" spans="1:2" x14ac:dyDescent="0.35">
      <c r="A1899" s="11" t="s">
        <v>10037</v>
      </c>
      <c r="B1899" s="5">
        <v>2</v>
      </c>
    </row>
    <row r="1900" spans="1:2" x14ac:dyDescent="0.35">
      <c r="A1900" s="11" t="s">
        <v>7774</v>
      </c>
      <c r="B1900" s="5">
        <v>15</v>
      </c>
    </row>
    <row r="1901" spans="1:2" x14ac:dyDescent="0.35">
      <c r="A1901" s="11" t="s">
        <v>106</v>
      </c>
      <c r="B1901" s="5">
        <v>875</v>
      </c>
    </row>
    <row r="1902" spans="1:2" x14ac:dyDescent="0.35">
      <c r="A1902" s="11" t="s">
        <v>617</v>
      </c>
      <c r="B1902" s="5">
        <v>8</v>
      </c>
    </row>
    <row r="1903" spans="1:2" x14ac:dyDescent="0.35">
      <c r="A1903" s="11" t="s">
        <v>3507</v>
      </c>
      <c r="B1903" s="5">
        <v>11</v>
      </c>
    </row>
    <row r="1904" spans="1:2" x14ac:dyDescent="0.35">
      <c r="A1904" s="11" t="s">
        <v>792</v>
      </c>
      <c r="B1904" s="5">
        <v>5</v>
      </c>
    </row>
    <row r="1905" spans="1:2" x14ac:dyDescent="0.35">
      <c r="A1905" s="11" t="s">
        <v>5879</v>
      </c>
      <c r="B1905" s="5">
        <v>3</v>
      </c>
    </row>
    <row r="1906" spans="1:2" x14ac:dyDescent="0.35">
      <c r="A1906" s="11" t="s">
        <v>11002</v>
      </c>
      <c r="B1906" s="5">
        <v>2</v>
      </c>
    </row>
    <row r="1907" spans="1:2" x14ac:dyDescent="0.35">
      <c r="A1907" s="11" t="s">
        <v>6441</v>
      </c>
      <c r="B1907" s="5">
        <v>2</v>
      </c>
    </row>
    <row r="1908" spans="1:2" x14ac:dyDescent="0.35">
      <c r="A1908" s="11" t="s">
        <v>7044</v>
      </c>
      <c r="B1908" s="5">
        <v>1</v>
      </c>
    </row>
    <row r="1909" spans="1:2" x14ac:dyDescent="0.35">
      <c r="A1909" s="11" t="s">
        <v>365</v>
      </c>
      <c r="B1909" s="5">
        <v>3</v>
      </c>
    </row>
    <row r="1910" spans="1:2" x14ac:dyDescent="0.35">
      <c r="A1910" s="11" t="s">
        <v>3051</v>
      </c>
      <c r="B1910" s="5">
        <v>1</v>
      </c>
    </row>
    <row r="1911" spans="1:2" x14ac:dyDescent="0.35">
      <c r="A1911" s="11" t="s">
        <v>1728</v>
      </c>
      <c r="B1911" s="5">
        <v>2</v>
      </c>
    </row>
    <row r="1912" spans="1:2" x14ac:dyDescent="0.35">
      <c r="A1912" s="11" t="s">
        <v>7114</v>
      </c>
      <c r="B1912" s="5">
        <v>9</v>
      </c>
    </row>
    <row r="1913" spans="1:2" x14ac:dyDescent="0.35">
      <c r="A1913" s="11" t="s">
        <v>3350</v>
      </c>
      <c r="B1913" s="5">
        <v>1</v>
      </c>
    </row>
    <row r="1914" spans="1:2" x14ac:dyDescent="0.35">
      <c r="A1914" s="11" t="s">
        <v>10806</v>
      </c>
      <c r="B1914" s="5">
        <v>1</v>
      </c>
    </row>
    <row r="1915" spans="1:2" x14ac:dyDescent="0.35">
      <c r="A1915" s="11" t="s">
        <v>5162</v>
      </c>
      <c r="B1915" s="5">
        <v>1</v>
      </c>
    </row>
    <row r="1916" spans="1:2" x14ac:dyDescent="0.35">
      <c r="A1916" s="11" t="s">
        <v>996</v>
      </c>
      <c r="B1916" s="5">
        <v>1</v>
      </c>
    </row>
    <row r="1917" spans="1:2" x14ac:dyDescent="0.35">
      <c r="A1917" s="11" t="s">
        <v>5444</v>
      </c>
      <c r="B1917" s="5">
        <v>2</v>
      </c>
    </row>
    <row r="1918" spans="1:2" x14ac:dyDescent="0.35">
      <c r="A1918" s="11" t="s">
        <v>1204</v>
      </c>
      <c r="B1918" s="5">
        <v>2</v>
      </c>
    </row>
    <row r="1919" spans="1:2" x14ac:dyDescent="0.35">
      <c r="A1919" s="11" t="s">
        <v>2717</v>
      </c>
      <c r="B1919" s="5">
        <v>2</v>
      </c>
    </row>
    <row r="1920" spans="1:2" x14ac:dyDescent="0.35">
      <c r="A1920" s="11" t="s">
        <v>5349</v>
      </c>
      <c r="B1920" s="5">
        <v>4</v>
      </c>
    </row>
    <row r="1921" spans="1:2" x14ac:dyDescent="0.35">
      <c r="A1921" s="11" t="s">
        <v>1543</v>
      </c>
      <c r="B1921" s="5">
        <v>1</v>
      </c>
    </row>
    <row r="1922" spans="1:2" x14ac:dyDescent="0.35">
      <c r="A1922" s="11" t="s">
        <v>1371</v>
      </c>
      <c r="B1922" s="5">
        <v>1</v>
      </c>
    </row>
    <row r="1923" spans="1:2" x14ac:dyDescent="0.35">
      <c r="A1923" s="11" t="s">
        <v>4311</v>
      </c>
      <c r="B1923" s="5">
        <v>18</v>
      </c>
    </row>
    <row r="1924" spans="1:2" x14ac:dyDescent="0.35">
      <c r="A1924" s="11" t="s">
        <v>12781</v>
      </c>
      <c r="B1924" s="5">
        <v>2</v>
      </c>
    </row>
    <row r="1925" spans="1:2" x14ac:dyDescent="0.35">
      <c r="A1925" s="11" t="s">
        <v>6790</v>
      </c>
      <c r="B1925" s="5">
        <v>19</v>
      </c>
    </row>
    <row r="1926" spans="1:2" x14ac:dyDescent="0.35">
      <c r="A1926" s="11" t="s">
        <v>89</v>
      </c>
      <c r="B1926" s="5">
        <v>5</v>
      </c>
    </row>
    <row r="1927" spans="1:2" x14ac:dyDescent="0.35">
      <c r="A1927" s="11" t="s">
        <v>11800</v>
      </c>
      <c r="B1927" s="5">
        <v>3</v>
      </c>
    </row>
    <row r="1928" spans="1:2" x14ac:dyDescent="0.35">
      <c r="A1928" s="11" t="s">
        <v>2494</v>
      </c>
      <c r="B1928" s="5">
        <v>2</v>
      </c>
    </row>
    <row r="1929" spans="1:2" x14ac:dyDescent="0.35">
      <c r="A1929" s="11" t="s">
        <v>2595</v>
      </c>
      <c r="B1929" s="5">
        <v>7</v>
      </c>
    </row>
    <row r="1930" spans="1:2" x14ac:dyDescent="0.35">
      <c r="A1930" s="11" t="s">
        <v>5979</v>
      </c>
      <c r="B1930" s="5">
        <v>3</v>
      </c>
    </row>
    <row r="1931" spans="1:2" x14ac:dyDescent="0.35">
      <c r="A1931" s="11" t="s">
        <v>77</v>
      </c>
      <c r="B1931" s="5">
        <v>18</v>
      </c>
    </row>
    <row r="1932" spans="1:2" x14ac:dyDescent="0.35">
      <c r="A1932" s="11" t="s">
        <v>11411</v>
      </c>
      <c r="B1932" s="5">
        <v>3</v>
      </c>
    </row>
    <row r="1933" spans="1:2" x14ac:dyDescent="0.35">
      <c r="A1933" s="11" t="s">
        <v>5315</v>
      </c>
      <c r="B1933" s="5">
        <v>14</v>
      </c>
    </row>
    <row r="1934" spans="1:2" x14ac:dyDescent="0.35">
      <c r="A1934" s="11" t="s">
        <v>5094</v>
      </c>
      <c r="B1934" s="5">
        <v>3</v>
      </c>
    </row>
    <row r="1935" spans="1:2" x14ac:dyDescent="0.35">
      <c r="A1935" s="11" t="s">
        <v>7702</v>
      </c>
      <c r="B1935" s="5">
        <v>3</v>
      </c>
    </row>
    <row r="1936" spans="1:2" x14ac:dyDescent="0.35">
      <c r="A1936" s="11" t="s">
        <v>10826</v>
      </c>
      <c r="B1936" s="5">
        <v>1</v>
      </c>
    </row>
    <row r="1937" spans="1:2" x14ac:dyDescent="0.35">
      <c r="A1937" s="11" t="s">
        <v>9606</v>
      </c>
      <c r="B1937" s="5">
        <v>4</v>
      </c>
    </row>
    <row r="1938" spans="1:2" x14ac:dyDescent="0.35">
      <c r="A1938" s="11" t="s">
        <v>2928</v>
      </c>
      <c r="B1938" s="5">
        <v>1</v>
      </c>
    </row>
    <row r="1939" spans="1:2" x14ac:dyDescent="0.35">
      <c r="A1939" s="11" t="s">
        <v>1861</v>
      </c>
      <c r="B1939" s="5">
        <v>1</v>
      </c>
    </row>
    <row r="1940" spans="1:2" x14ac:dyDescent="0.35">
      <c r="A1940" s="11" t="s">
        <v>7780</v>
      </c>
      <c r="B1940" s="5">
        <v>2</v>
      </c>
    </row>
    <row r="1941" spans="1:2" x14ac:dyDescent="0.35">
      <c r="A1941" s="11" t="s">
        <v>4059</v>
      </c>
      <c r="B1941" s="5">
        <v>10</v>
      </c>
    </row>
    <row r="1942" spans="1:2" x14ac:dyDescent="0.35">
      <c r="A1942" s="11" t="s">
        <v>6110</v>
      </c>
      <c r="B1942" s="5">
        <v>1</v>
      </c>
    </row>
    <row r="1943" spans="1:2" x14ac:dyDescent="0.35">
      <c r="A1943" s="11" t="s">
        <v>6444</v>
      </c>
      <c r="B1943" s="5">
        <v>4</v>
      </c>
    </row>
    <row r="1944" spans="1:2" x14ac:dyDescent="0.35">
      <c r="A1944" s="11" t="s">
        <v>12250</v>
      </c>
      <c r="B1944" s="5">
        <v>1</v>
      </c>
    </row>
    <row r="1945" spans="1:2" x14ac:dyDescent="0.35">
      <c r="A1945" s="11" t="s">
        <v>13039</v>
      </c>
      <c r="B1945" s="5">
        <v>1</v>
      </c>
    </row>
    <row r="1946" spans="1:2" x14ac:dyDescent="0.35">
      <c r="A1946" s="11" t="s">
        <v>12282</v>
      </c>
      <c r="B1946" s="5">
        <v>2</v>
      </c>
    </row>
    <row r="1947" spans="1:2" x14ac:dyDescent="0.35">
      <c r="A1947" s="11" t="s">
        <v>12292</v>
      </c>
      <c r="B1947" s="5">
        <v>6</v>
      </c>
    </row>
    <row r="1948" spans="1:2" x14ac:dyDescent="0.35">
      <c r="A1948" s="11" t="s">
        <v>976</v>
      </c>
      <c r="B1948" s="5">
        <v>3</v>
      </c>
    </row>
    <row r="1949" spans="1:2" x14ac:dyDescent="0.35">
      <c r="A1949" s="11" t="s">
        <v>10961</v>
      </c>
      <c r="B1949" s="5">
        <v>2</v>
      </c>
    </row>
    <row r="1950" spans="1:2" x14ac:dyDescent="0.35">
      <c r="A1950" s="11" t="s">
        <v>11071</v>
      </c>
      <c r="B1950" s="5">
        <v>2</v>
      </c>
    </row>
    <row r="1951" spans="1:2" x14ac:dyDescent="0.35">
      <c r="A1951" s="11" t="s">
        <v>3053</v>
      </c>
      <c r="B1951" s="5">
        <v>2</v>
      </c>
    </row>
    <row r="1952" spans="1:2" x14ac:dyDescent="0.35">
      <c r="A1952" s="11" t="s">
        <v>8069</v>
      </c>
      <c r="B1952" s="5">
        <v>10</v>
      </c>
    </row>
    <row r="1953" spans="1:2" x14ac:dyDescent="0.35">
      <c r="A1953" s="11" t="s">
        <v>3120</v>
      </c>
      <c r="B1953" s="5">
        <v>16</v>
      </c>
    </row>
    <row r="1954" spans="1:2" x14ac:dyDescent="0.35">
      <c r="A1954" s="11" t="s">
        <v>6611</v>
      </c>
      <c r="B1954" s="5">
        <v>2</v>
      </c>
    </row>
    <row r="1955" spans="1:2" x14ac:dyDescent="0.35">
      <c r="A1955" s="11" t="s">
        <v>12016</v>
      </c>
      <c r="B1955" s="5">
        <v>1</v>
      </c>
    </row>
    <row r="1956" spans="1:2" x14ac:dyDescent="0.35">
      <c r="A1956" s="11" t="s">
        <v>2306</v>
      </c>
      <c r="B1956" s="5">
        <v>2</v>
      </c>
    </row>
    <row r="1957" spans="1:2" x14ac:dyDescent="0.35">
      <c r="A1957" s="11" t="s">
        <v>543</v>
      </c>
      <c r="B1957" s="5">
        <v>2</v>
      </c>
    </row>
    <row r="1958" spans="1:2" x14ac:dyDescent="0.35">
      <c r="A1958" s="11" t="s">
        <v>10985</v>
      </c>
      <c r="B1958" s="5">
        <v>3</v>
      </c>
    </row>
    <row r="1959" spans="1:2" x14ac:dyDescent="0.35">
      <c r="A1959" s="11" t="s">
        <v>10363</v>
      </c>
      <c r="B1959" s="5">
        <v>7</v>
      </c>
    </row>
    <row r="1960" spans="1:2" x14ac:dyDescent="0.35">
      <c r="A1960" s="11" t="s">
        <v>241</v>
      </c>
      <c r="B1960" s="5">
        <v>1</v>
      </c>
    </row>
    <row r="1961" spans="1:2" x14ac:dyDescent="0.35">
      <c r="A1961" s="11" t="s">
        <v>8396</v>
      </c>
      <c r="B1961" s="5">
        <v>1</v>
      </c>
    </row>
    <row r="1962" spans="1:2" x14ac:dyDescent="0.35">
      <c r="A1962" s="11" t="s">
        <v>11719</v>
      </c>
      <c r="B1962" s="5">
        <v>5</v>
      </c>
    </row>
    <row r="1963" spans="1:2" x14ac:dyDescent="0.35">
      <c r="A1963" s="11" t="s">
        <v>10665</v>
      </c>
      <c r="B1963" s="5">
        <v>5</v>
      </c>
    </row>
    <row r="1964" spans="1:2" x14ac:dyDescent="0.35">
      <c r="A1964" s="11" t="s">
        <v>9944</v>
      </c>
      <c r="B1964" s="5">
        <v>2</v>
      </c>
    </row>
    <row r="1965" spans="1:2" x14ac:dyDescent="0.35">
      <c r="A1965" s="11" t="s">
        <v>9707</v>
      </c>
      <c r="B1965" s="5">
        <v>6</v>
      </c>
    </row>
    <row r="1966" spans="1:2" x14ac:dyDescent="0.35">
      <c r="A1966" s="11" t="s">
        <v>7649</v>
      </c>
      <c r="B1966" s="5">
        <v>4</v>
      </c>
    </row>
    <row r="1967" spans="1:2" x14ac:dyDescent="0.35">
      <c r="A1967" s="11" t="s">
        <v>9163</v>
      </c>
      <c r="B1967" s="5">
        <v>1</v>
      </c>
    </row>
    <row r="1968" spans="1:2" x14ac:dyDescent="0.35">
      <c r="A1968" s="11" t="s">
        <v>12531</v>
      </c>
      <c r="B1968" s="5">
        <v>2</v>
      </c>
    </row>
    <row r="1969" spans="1:2" x14ac:dyDescent="0.35">
      <c r="A1969" s="11" t="s">
        <v>1393</v>
      </c>
      <c r="B1969" s="5">
        <v>11</v>
      </c>
    </row>
    <row r="1970" spans="1:2" x14ac:dyDescent="0.35">
      <c r="A1970" s="11" t="s">
        <v>8606</v>
      </c>
      <c r="B1970" s="5">
        <v>5</v>
      </c>
    </row>
    <row r="1971" spans="1:2" x14ac:dyDescent="0.35">
      <c r="A1971" s="11" t="s">
        <v>2826</v>
      </c>
      <c r="B1971" s="5">
        <v>2</v>
      </c>
    </row>
    <row r="1972" spans="1:2" x14ac:dyDescent="0.35">
      <c r="A1972" s="11" t="s">
        <v>6271</v>
      </c>
      <c r="B1972" s="5">
        <v>12</v>
      </c>
    </row>
    <row r="1973" spans="1:2" x14ac:dyDescent="0.35">
      <c r="A1973" s="11" t="s">
        <v>8922</v>
      </c>
      <c r="B1973" s="5">
        <v>2</v>
      </c>
    </row>
    <row r="1974" spans="1:2" x14ac:dyDescent="0.35">
      <c r="A1974" s="11" t="s">
        <v>12600</v>
      </c>
      <c r="B1974" s="5">
        <v>2</v>
      </c>
    </row>
    <row r="1975" spans="1:2" x14ac:dyDescent="0.35">
      <c r="A1975" s="11" t="s">
        <v>1735</v>
      </c>
      <c r="B1975" s="5">
        <v>1</v>
      </c>
    </row>
    <row r="1976" spans="1:2" x14ac:dyDescent="0.35">
      <c r="A1976" s="11" t="s">
        <v>12135</v>
      </c>
      <c r="B1976" s="5">
        <v>7</v>
      </c>
    </row>
    <row r="1977" spans="1:2" x14ac:dyDescent="0.35">
      <c r="A1977" s="11" t="s">
        <v>723</v>
      </c>
      <c r="B1977" s="5">
        <v>2</v>
      </c>
    </row>
    <row r="1978" spans="1:2" x14ac:dyDescent="0.35">
      <c r="A1978" s="9" t="s">
        <v>13111</v>
      </c>
      <c r="B1978" s="10">
        <v>9451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52"/>
  <sheetViews>
    <sheetView workbookViewId="0">
      <selection activeCell="G16" sqref="G16"/>
    </sheetView>
  </sheetViews>
  <sheetFormatPr defaultRowHeight="14.5" x14ac:dyDescent="0.35"/>
  <cols>
    <col min="1" max="1" width="15.81640625" bestFit="1" customWidth="1"/>
    <col min="22" max="22" width="11" customWidth="1"/>
  </cols>
  <sheetData>
    <row r="1" spans="1:22" ht="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ht="15" x14ac:dyDescent="0.25">
      <c r="A2" s="1">
        <v>42400.996006944442</v>
      </c>
      <c r="B2" s="2">
        <v>0</v>
      </c>
      <c r="C2" t="s">
        <v>22</v>
      </c>
      <c r="D2" t="s">
        <v>23</v>
      </c>
      <c r="E2" t="s">
        <v>24</v>
      </c>
      <c r="F2" t="s">
        <v>25</v>
      </c>
      <c r="G2">
        <v>1120290</v>
      </c>
      <c r="H2" t="s">
        <v>26</v>
      </c>
      <c r="I2" t="s">
        <v>27</v>
      </c>
      <c r="J2" t="str">
        <f>"9781118347478"</f>
        <v>9781118347478</v>
      </c>
      <c r="L2">
        <v>0</v>
      </c>
      <c r="O2" t="s">
        <v>28</v>
      </c>
      <c r="P2" t="s">
        <v>29</v>
      </c>
      <c r="Q2" s="1">
        <v>42395.220312500001</v>
      </c>
      <c r="R2">
        <v>7</v>
      </c>
      <c r="S2" t="s">
        <v>31</v>
      </c>
      <c r="T2" t="s">
        <v>32</v>
      </c>
      <c r="U2">
        <v>421</v>
      </c>
      <c r="V2" s="3">
        <v>41101</v>
      </c>
    </row>
    <row r="3" spans="1:22" ht="15" x14ac:dyDescent="0.25">
      <c r="A3" s="1">
        <v>42400.995196759257</v>
      </c>
      <c r="B3" s="2">
        <v>0</v>
      </c>
      <c r="C3" t="s">
        <v>22</v>
      </c>
      <c r="D3" t="s">
        <v>23</v>
      </c>
      <c r="E3" t="s">
        <v>24</v>
      </c>
      <c r="F3" t="s">
        <v>25</v>
      </c>
      <c r="G3">
        <v>1120290</v>
      </c>
      <c r="H3" t="s">
        <v>26</v>
      </c>
      <c r="I3" t="s">
        <v>27</v>
      </c>
      <c r="J3" t="str">
        <f>"9781118347478"</f>
        <v>9781118347478</v>
      </c>
      <c r="L3">
        <v>0</v>
      </c>
      <c r="O3" t="s">
        <v>28</v>
      </c>
      <c r="P3" t="s">
        <v>29</v>
      </c>
      <c r="Q3" s="1">
        <v>42395.220312500001</v>
      </c>
      <c r="R3">
        <v>7</v>
      </c>
      <c r="S3" t="s">
        <v>31</v>
      </c>
      <c r="T3" t="s">
        <v>32</v>
      </c>
      <c r="U3">
        <v>421</v>
      </c>
      <c r="V3" s="3">
        <v>41101</v>
      </c>
    </row>
    <row r="4" spans="1:22" ht="15" x14ac:dyDescent="0.25">
      <c r="A4" s="1">
        <v>42400.995069444441</v>
      </c>
      <c r="B4" s="2">
        <v>3.4722222222222222E-5</v>
      </c>
      <c r="C4" t="s">
        <v>22</v>
      </c>
      <c r="D4" t="s">
        <v>23</v>
      </c>
      <c r="E4" t="s">
        <v>24</v>
      </c>
      <c r="F4" t="s">
        <v>25</v>
      </c>
      <c r="G4">
        <v>1120290</v>
      </c>
      <c r="H4" t="s">
        <v>26</v>
      </c>
      <c r="I4" t="s">
        <v>27</v>
      </c>
      <c r="J4" t="str">
        <f>"9781118347478"</f>
        <v>9781118347478</v>
      </c>
      <c r="K4" t="s">
        <v>33</v>
      </c>
      <c r="L4">
        <v>3</v>
      </c>
      <c r="O4" t="s">
        <v>30</v>
      </c>
      <c r="P4" t="s">
        <v>29</v>
      </c>
      <c r="Q4" s="1">
        <v>42395.220312500001</v>
      </c>
      <c r="R4">
        <v>7</v>
      </c>
      <c r="S4" t="s">
        <v>31</v>
      </c>
      <c r="T4" t="s">
        <v>32</v>
      </c>
      <c r="U4">
        <v>421</v>
      </c>
      <c r="V4" s="3">
        <v>41101</v>
      </c>
    </row>
    <row r="5" spans="1:22" ht="15" x14ac:dyDescent="0.25">
      <c r="A5" s="1">
        <v>42400.990312499998</v>
      </c>
      <c r="B5" s="2">
        <v>3.5879629629629635E-4</v>
      </c>
      <c r="C5" t="s">
        <v>34</v>
      </c>
      <c r="D5" t="s">
        <v>35</v>
      </c>
      <c r="E5" t="s">
        <v>36</v>
      </c>
      <c r="F5" t="s">
        <v>37</v>
      </c>
      <c r="G5">
        <v>1684620</v>
      </c>
      <c r="H5" t="s">
        <v>26</v>
      </c>
      <c r="I5" t="s">
        <v>38</v>
      </c>
      <c r="J5" t="str">
        <f>"9781118418925"</f>
        <v>9781118418925</v>
      </c>
      <c r="K5" t="s">
        <v>39</v>
      </c>
      <c r="L5">
        <v>7</v>
      </c>
      <c r="O5" t="s">
        <v>28</v>
      </c>
      <c r="P5" t="s">
        <v>29</v>
      </c>
      <c r="Q5" s="1">
        <v>42400.990312499998</v>
      </c>
      <c r="R5">
        <v>7</v>
      </c>
      <c r="S5" t="s">
        <v>40</v>
      </c>
      <c r="T5" t="s">
        <v>41</v>
      </c>
      <c r="U5">
        <v>362.10680000000002</v>
      </c>
      <c r="V5" s="3">
        <v>41759</v>
      </c>
    </row>
    <row r="6" spans="1:22" ht="15" x14ac:dyDescent="0.25">
      <c r="A6" s="1">
        <v>42400.990312499998</v>
      </c>
      <c r="B6" s="2">
        <v>0</v>
      </c>
      <c r="C6" t="s">
        <v>34</v>
      </c>
      <c r="D6" t="s">
        <v>35</v>
      </c>
      <c r="E6" t="s">
        <v>36</v>
      </c>
      <c r="F6" t="s">
        <v>37</v>
      </c>
      <c r="G6">
        <v>1684620</v>
      </c>
      <c r="H6" t="s">
        <v>26</v>
      </c>
      <c r="I6" t="s">
        <v>38</v>
      </c>
      <c r="J6" t="str">
        <f>"9781118418925"</f>
        <v>9781118418925</v>
      </c>
      <c r="L6">
        <v>0</v>
      </c>
      <c r="O6" t="s">
        <v>30</v>
      </c>
      <c r="P6" t="s">
        <v>29</v>
      </c>
      <c r="Q6" s="1">
        <v>42400.990312499998</v>
      </c>
      <c r="R6">
        <v>7</v>
      </c>
      <c r="S6" t="s">
        <v>40</v>
      </c>
      <c r="T6" t="s">
        <v>41</v>
      </c>
      <c r="U6">
        <v>362.10680000000002</v>
      </c>
      <c r="V6" s="3">
        <v>41759</v>
      </c>
    </row>
    <row r="7" spans="1:22" ht="15" x14ac:dyDescent="0.25">
      <c r="A7" s="1">
        <v>42400.990115740744</v>
      </c>
      <c r="B7" s="2">
        <v>1.9675925925925926E-4</v>
      </c>
      <c r="C7" t="s">
        <v>34</v>
      </c>
      <c r="D7" t="s">
        <v>35</v>
      </c>
      <c r="E7" t="s">
        <v>36</v>
      </c>
      <c r="F7" t="s">
        <v>37</v>
      </c>
      <c r="G7">
        <v>1684620</v>
      </c>
      <c r="H7" t="s">
        <v>26</v>
      </c>
      <c r="I7" t="s">
        <v>38</v>
      </c>
      <c r="J7" t="str">
        <f>"9781118418925"</f>
        <v>9781118418925</v>
      </c>
      <c r="K7" t="s">
        <v>33</v>
      </c>
      <c r="L7">
        <v>3</v>
      </c>
      <c r="O7" t="s">
        <v>30</v>
      </c>
      <c r="P7" t="s">
        <v>42</v>
      </c>
      <c r="S7" t="s">
        <v>40</v>
      </c>
      <c r="T7" t="s">
        <v>41</v>
      </c>
      <c r="U7">
        <v>362.10680000000002</v>
      </c>
      <c r="V7" s="3">
        <v>41759</v>
      </c>
    </row>
    <row r="8" spans="1:22" ht="15" x14ac:dyDescent="0.25">
      <c r="A8" s="1">
        <v>42400.986377314817</v>
      </c>
      <c r="B8" s="2">
        <v>0</v>
      </c>
      <c r="C8" t="s">
        <v>43</v>
      </c>
      <c r="D8" t="s">
        <v>23</v>
      </c>
      <c r="E8" t="s">
        <v>24</v>
      </c>
      <c r="F8" t="s">
        <v>44</v>
      </c>
      <c r="G8">
        <v>2068034</v>
      </c>
      <c r="H8" t="s">
        <v>45</v>
      </c>
      <c r="J8" t="str">
        <f>"9781472416742"</f>
        <v>9781472416742</v>
      </c>
      <c r="L8">
        <v>0</v>
      </c>
      <c r="N8" t="s">
        <v>46</v>
      </c>
      <c r="O8" t="s">
        <v>30</v>
      </c>
      <c r="P8" t="s">
        <v>47</v>
      </c>
      <c r="Q8" s="1">
        <v>42400.986377314817</v>
      </c>
      <c r="R8">
        <v>1</v>
      </c>
      <c r="S8" t="s">
        <v>31</v>
      </c>
      <c r="U8" t="s">
        <v>48</v>
      </c>
      <c r="V8" s="3">
        <v>42244</v>
      </c>
    </row>
    <row r="9" spans="1:22" ht="15" x14ac:dyDescent="0.25">
      <c r="A9" s="1">
        <v>42400.985648148147</v>
      </c>
      <c r="B9" s="2">
        <v>7.291666666666667E-4</v>
      </c>
      <c r="C9" t="s">
        <v>43</v>
      </c>
      <c r="D9" t="s">
        <v>23</v>
      </c>
      <c r="E9" t="s">
        <v>24</v>
      </c>
      <c r="F9" t="s">
        <v>44</v>
      </c>
      <c r="G9">
        <v>2068034</v>
      </c>
      <c r="H9" t="s">
        <v>45</v>
      </c>
      <c r="J9" t="str">
        <f>"9781472416742"</f>
        <v>9781472416742</v>
      </c>
      <c r="K9" t="s">
        <v>49</v>
      </c>
      <c r="L9">
        <v>7</v>
      </c>
      <c r="O9" t="s">
        <v>30</v>
      </c>
      <c r="P9" t="s">
        <v>50</v>
      </c>
      <c r="S9" t="s">
        <v>31</v>
      </c>
      <c r="U9" t="s">
        <v>48</v>
      </c>
      <c r="V9" s="3">
        <v>42244</v>
      </c>
    </row>
    <row r="10" spans="1:22" ht="15" x14ac:dyDescent="0.25">
      <c r="A10" s="1">
        <v>42400.984618055554</v>
      </c>
      <c r="B10" s="2">
        <v>8.2175925925925917E-4</v>
      </c>
      <c r="C10" t="s">
        <v>51</v>
      </c>
      <c r="D10" t="s">
        <v>23</v>
      </c>
      <c r="E10" t="s">
        <v>24</v>
      </c>
      <c r="F10" t="s">
        <v>52</v>
      </c>
      <c r="G10">
        <v>822040</v>
      </c>
      <c r="H10" t="s">
        <v>26</v>
      </c>
      <c r="I10" t="s">
        <v>53</v>
      </c>
      <c r="J10" t="str">
        <f>"9781118289099"</f>
        <v>9781118289099</v>
      </c>
      <c r="K10" t="s">
        <v>54</v>
      </c>
      <c r="L10">
        <v>3</v>
      </c>
      <c r="O10" t="s">
        <v>30</v>
      </c>
      <c r="P10" t="s">
        <v>29</v>
      </c>
      <c r="Q10" s="1">
        <v>42400.984606481485</v>
      </c>
      <c r="R10">
        <v>7</v>
      </c>
      <c r="S10" t="s">
        <v>31</v>
      </c>
      <c r="T10" t="s">
        <v>55</v>
      </c>
      <c r="U10" t="s">
        <v>56</v>
      </c>
      <c r="V10" s="3">
        <v>40990</v>
      </c>
    </row>
    <row r="11" spans="1:22" ht="15" x14ac:dyDescent="0.25">
      <c r="A11" s="1">
        <v>42400.983368055553</v>
      </c>
      <c r="B11" s="2">
        <v>1.2384259259259258E-3</v>
      </c>
      <c r="C11" t="s">
        <v>51</v>
      </c>
      <c r="D11" t="s">
        <v>23</v>
      </c>
      <c r="E11" t="s">
        <v>24</v>
      </c>
      <c r="F11" t="s">
        <v>52</v>
      </c>
      <c r="G11">
        <v>822040</v>
      </c>
      <c r="H11" t="s">
        <v>26</v>
      </c>
      <c r="I11" t="s">
        <v>53</v>
      </c>
      <c r="J11" t="str">
        <f>"9781118289099"</f>
        <v>9781118289099</v>
      </c>
      <c r="K11" t="s">
        <v>57</v>
      </c>
      <c r="L11">
        <v>33</v>
      </c>
      <c r="O11" t="s">
        <v>30</v>
      </c>
      <c r="P11" t="s">
        <v>42</v>
      </c>
      <c r="S11" t="s">
        <v>31</v>
      </c>
      <c r="T11" t="s">
        <v>55</v>
      </c>
      <c r="U11" t="s">
        <v>56</v>
      </c>
      <c r="V11" s="3">
        <v>40990</v>
      </c>
    </row>
    <row r="12" spans="1:22" ht="15" x14ac:dyDescent="0.25">
      <c r="A12" s="1">
        <v>42400.948981481481</v>
      </c>
      <c r="B12" s="2">
        <v>0.10055555555555555</v>
      </c>
      <c r="C12" t="s">
        <v>58</v>
      </c>
      <c r="D12" t="s">
        <v>35</v>
      </c>
      <c r="E12" t="s">
        <v>36</v>
      </c>
      <c r="F12" t="s">
        <v>37</v>
      </c>
      <c r="G12">
        <v>1684620</v>
      </c>
      <c r="H12" t="s">
        <v>26</v>
      </c>
      <c r="I12" t="s">
        <v>38</v>
      </c>
      <c r="J12" t="str">
        <f>"9781118418925"</f>
        <v>9781118418925</v>
      </c>
      <c r="K12" t="s">
        <v>59</v>
      </c>
      <c r="L12">
        <v>46</v>
      </c>
      <c r="O12" t="s">
        <v>30</v>
      </c>
      <c r="P12" t="s">
        <v>29</v>
      </c>
      <c r="Q12" s="1">
        <v>42400.948981481481</v>
      </c>
      <c r="R12">
        <v>7</v>
      </c>
      <c r="S12" t="s">
        <v>40</v>
      </c>
      <c r="T12" t="s">
        <v>41</v>
      </c>
      <c r="U12">
        <v>362.10680000000002</v>
      </c>
      <c r="V12" s="3">
        <v>41759</v>
      </c>
    </row>
    <row r="13" spans="1:22" ht="15" x14ac:dyDescent="0.25">
      <c r="A13" s="1">
        <v>42400.934444444443</v>
      </c>
      <c r="B13" s="2">
        <v>6.9444444444444444E-5</v>
      </c>
      <c r="C13" t="s">
        <v>60</v>
      </c>
      <c r="D13" t="s">
        <v>23</v>
      </c>
      <c r="E13" t="s">
        <v>24</v>
      </c>
      <c r="F13" t="s">
        <v>61</v>
      </c>
      <c r="G13">
        <v>699526</v>
      </c>
      <c r="H13" t="s">
        <v>26</v>
      </c>
      <c r="I13" t="s">
        <v>62</v>
      </c>
      <c r="J13" t="str">
        <f>"9781118586006"</f>
        <v>9781118586006</v>
      </c>
      <c r="K13" t="s">
        <v>63</v>
      </c>
      <c r="L13">
        <v>1</v>
      </c>
      <c r="O13" t="s">
        <v>28</v>
      </c>
      <c r="P13" t="s">
        <v>29</v>
      </c>
      <c r="Q13" s="1">
        <v>42400.932129629633</v>
      </c>
      <c r="R13">
        <v>7</v>
      </c>
      <c r="S13" t="s">
        <v>31</v>
      </c>
      <c r="T13" t="s">
        <v>64</v>
      </c>
      <c r="U13">
        <v>6.4</v>
      </c>
      <c r="V13" s="3">
        <v>41222</v>
      </c>
    </row>
    <row r="14" spans="1:22" ht="15" x14ac:dyDescent="0.25">
      <c r="A14" s="1">
        <v>42400.934236111112</v>
      </c>
      <c r="B14" s="2">
        <v>6.9444444444444444E-5</v>
      </c>
      <c r="C14" t="s">
        <v>60</v>
      </c>
      <c r="D14" t="s">
        <v>23</v>
      </c>
      <c r="E14" t="s">
        <v>24</v>
      </c>
      <c r="F14" t="s">
        <v>61</v>
      </c>
      <c r="G14">
        <v>699526</v>
      </c>
      <c r="H14" t="s">
        <v>26</v>
      </c>
      <c r="I14" t="s">
        <v>62</v>
      </c>
      <c r="J14" t="str">
        <f>"9781118586006"</f>
        <v>9781118586006</v>
      </c>
      <c r="K14" t="s">
        <v>65</v>
      </c>
      <c r="L14">
        <v>3</v>
      </c>
      <c r="O14" t="s">
        <v>30</v>
      </c>
      <c r="P14" t="s">
        <v>29</v>
      </c>
      <c r="Q14" s="1">
        <v>42400.932129629633</v>
      </c>
      <c r="R14">
        <v>7</v>
      </c>
      <c r="S14" t="s">
        <v>31</v>
      </c>
      <c r="T14" t="s">
        <v>64</v>
      </c>
      <c r="U14">
        <v>6.4</v>
      </c>
      <c r="V14" s="3">
        <v>41222</v>
      </c>
    </row>
    <row r="15" spans="1:22" ht="15" x14ac:dyDescent="0.25">
      <c r="A15" s="1">
        <v>42400.93340277778</v>
      </c>
      <c r="B15" s="2">
        <v>3.4872685185185187E-2</v>
      </c>
      <c r="C15" t="s">
        <v>66</v>
      </c>
      <c r="D15" t="s">
        <v>35</v>
      </c>
      <c r="E15" t="s">
        <v>36</v>
      </c>
      <c r="F15" t="s">
        <v>67</v>
      </c>
      <c r="G15">
        <v>1474788</v>
      </c>
      <c r="H15" t="s">
        <v>68</v>
      </c>
      <c r="I15" t="s">
        <v>69</v>
      </c>
      <c r="J15" t="str">
        <f>"9781317922407"</f>
        <v>9781317922407</v>
      </c>
      <c r="K15" t="s">
        <v>70</v>
      </c>
      <c r="L15">
        <v>81</v>
      </c>
      <c r="M15" t="s">
        <v>71</v>
      </c>
      <c r="O15" t="s">
        <v>30</v>
      </c>
      <c r="P15" t="s">
        <v>47</v>
      </c>
      <c r="Q15" s="1">
        <v>42400.93340277778</v>
      </c>
      <c r="R15">
        <v>1</v>
      </c>
      <c r="S15" t="s">
        <v>40</v>
      </c>
      <c r="T15" t="s">
        <v>72</v>
      </c>
      <c r="U15">
        <v>371.19200000000001</v>
      </c>
      <c r="V15" s="3">
        <v>41558</v>
      </c>
    </row>
    <row r="16" spans="1:22" ht="15" x14ac:dyDescent="0.25">
      <c r="A16" s="1">
        <v>42400.932256944441</v>
      </c>
      <c r="B16" s="2">
        <v>0</v>
      </c>
      <c r="C16" t="s">
        <v>60</v>
      </c>
      <c r="D16" t="s">
        <v>23</v>
      </c>
      <c r="E16" t="s">
        <v>24</v>
      </c>
      <c r="F16" t="s">
        <v>61</v>
      </c>
      <c r="G16">
        <v>699526</v>
      </c>
      <c r="H16" t="s">
        <v>26</v>
      </c>
      <c r="I16" t="s">
        <v>62</v>
      </c>
      <c r="J16" t="str">
        <f>"9781118586006"</f>
        <v>9781118586006</v>
      </c>
      <c r="L16">
        <v>0</v>
      </c>
      <c r="O16" t="s">
        <v>28</v>
      </c>
      <c r="P16" t="s">
        <v>29</v>
      </c>
      <c r="Q16" s="1">
        <v>42400.932129629633</v>
      </c>
      <c r="R16">
        <v>7</v>
      </c>
      <c r="S16" t="s">
        <v>31</v>
      </c>
      <c r="T16" t="s">
        <v>64</v>
      </c>
      <c r="U16">
        <v>6.4</v>
      </c>
      <c r="V16" s="3">
        <v>41222</v>
      </c>
    </row>
    <row r="17" spans="1:22" ht="15" x14ac:dyDescent="0.25">
      <c r="A17" s="1">
        <v>42400.932129629633</v>
      </c>
      <c r="B17" s="2">
        <v>4.6296296296296294E-5</v>
      </c>
      <c r="C17" t="s">
        <v>60</v>
      </c>
      <c r="D17" t="s">
        <v>23</v>
      </c>
      <c r="E17" t="s">
        <v>24</v>
      </c>
      <c r="F17" t="s">
        <v>61</v>
      </c>
      <c r="G17">
        <v>699526</v>
      </c>
      <c r="H17" t="s">
        <v>26</v>
      </c>
      <c r="I17" t="s">
        <v>62</v>
      </c>
      <c r="J17" t="str">
        <f>"9781118586006"</f>
        <v>9781118586006</v>
      </c>
      <c r="K17" t="s">
        <v>73</v>
      </c>
      <c r="L17">
        <v>3</v>
      </c>
      <c r="O17" t="s">
        <v>30</v>
      </c>
      <c r="P17" t="s">
        <v>29</v>
      </c>
      <c r="Q17" s="1">
        <v>42400.932129629633</v>
      </c>
      <c r="R17">
        <v>7</v>
      </c>
      <c r="S17" t="s">
        <v>31</v>
      </c>
      <c r="T17" t="s">
        <v>64</v>
      </c>
      <c r="U17">
        <v>6.4</v>
      </c>
      <c r="V17" s="3">
        <v>41222</v>
      </c>
    </row>
    <row r="18" spans="1:22" ht="15" x14ac:dyDescent="0.25">
      <c r="A18" s="1">
        <v>42400.932083333333</v>
      </c>
      <c r="B18" s="2">
        <v>4.6296296296296294E-5</v>
      </c>
      <c r="C18" t="s">
        <v>60</v>
      </c>
      <c r="D18" t="s">
        <v>23</v>
      </c>
      <c r="E18" t="s">
        <v>24</v>
      </c>
      <c r="F18" t="s">
        <v>61</v>
      </c>
      <c r="G18">
        <v>699526</v>
      </c>
      <c r="H18" t="s">
        <v>26</v>
      </c>
      <c r="I18" t="s">
        <v>62</v>
      </c>
      <c r="J18" t="str">
        <f>"9781118586006"</f>
        <v>9781118586006</v>
      </c>
      <c r="L18">
        <v>0</v>
      </c>
      <c r="O18" t="s">
        <v>30</v>
      </c>
      <c r="P18" t="s">
        <v>42</v>
      </c>
      <c r="S18" t="s">
        <v>31</v>
      </c>
      <c r="T18" t="s">
        <v>64</v>
      </c>
      <c r="U18">
        <v>6.4</v>
      </c>
      <c r="V18" s="3">
        <v>41222</v>
      </c>
    </row>
    <row r="19" spans="1:22" ht="15" x14ac:dyDescent="0.25">
      <c r="A19" s="1">
        <v>42400.931840277779</v>
      </c>
      <c r="B19" s="2">
        <v>1.7141203703703704E-2</v>
      </c>
      <c r="C19" t="s">
        <v>58</v>
      </c>
      <c r="D19" t="s">
        <v>35</v>
      </c>
      <c r="E19" t="s">
        <v>36</v>
      </c>
      <c r="F19" t="s">
        <v>37</v>
      </c>
      <c r="G19">
        <v>1684620</v>
      </c>
      <c r="H19" t="s">
        <v>26</v>
      </c>
      <c r="I19" t="s">
        <v>38</v>
      </c>
      <c r="J19" t="str">
        <f>"9781118418925"</f>
        <v>9781118418925</v>
      </c>
      <c r="K19" t="s">
        <v>74</v>
      </c>
      <c r="L19">
        <v>28</v>
      </c>
      <c r="O19" t="s">
        <v>30</v>
      </c>
      <c r="P19" t="s">
        <v>42</v>
      </c>
      <c r="S19" t="s">
        <v>40</v>
      </c>
      <c r="T19" t="s">
        <v>41</v>
      </c>
      <c r="U19">
        <v>362.10680000000002</v>
      </c>
      <c r="V19" s="3">
        <v>41759</v>
      </c>
    </row>
    <row r="20" spans="1:22" ht="15" x14ac:dyDescent="0.25">
      <c r="A20" s="1">
        <v>42400.931701388887</v>
      </c>
      <c r="B20" s="2">
        <v>5.7870370370370366E-5</v>
      </c>
      <c r="C20" t="s">
        <v>60</v>
      </c>
      <c r="D20" t="s">
        <v>23</v>
      </c>
      <c r="E20" t="s">
        <v>24</v>
      </c>
      <c r="F20" t="s">
        <v>61</v>
      </c>
      <c r="G20">
        <v>699526</v>
      </c>
      <c r="H20" t="s">
        <v>26</v>
      </c>
      <c r="I20" t="s">
        <v>62</v>
      </c>
      <c r="J20" t="str">
        <f>"9781118586006"</f>
        <v>9781118586006</v>
      </c>
      <c r="K20" t="s">
        <v>33</v>
      </c>
      <c r="L20">
        <v>3</v>
      </c>
      <c r="O20" t="s">
        <v>30</v>
      </c>
      <c r="P20" t="s">
        <v>42</v>
      </c>
      <c r="S20" t="s">
        <v>31</v>
      </c>
      <c r="T20" t="s">
        <v>64</v>
      </c>
      <c r="U20">
        <v>6.4</v>
      </c>
      <c r="V20" s="3">
        <v>41222</v>
      </c>
    </row>
    <row r="21" spans="1:22" ht="15" x14ac:dyDescent="0.25">
      <c r="A21" s="1">
        <v>42400.931134259263</v>
      </c>
      <c r="B21" s="2">
        <v>4.6296296296296294E-5</v>
      </c>
      <c r="C21" t="s">
        <v>60</v>
      </c>
      <c r="D21" t="s">
        <v>23</v>
      </c>
      <c r="E21" t="s">
        <v>24</v>
      </c>
      <c r="F21" t="s">
        <v>61</v>
      </c>
      <c r="G21">
        <v>699526</v>
      </c>
      <c r="H21" t="s">
        <v>26</v>
      </c>
      <c r="I21" t="s">
        <v>62</v>
      </c>
      <c r="J21" t="str">
        <f>"9781118586006"</f>
        <v>9781118586006</v>
      </c>
      <c r="K21" t="s">
        <v>33</v>
      </c>
      <c r="L21">
        <v>3</v>
      </c>
      <c r="O21" t="s">
        <v>30</v>
      </c>
      <c r="P21" t="s">
        <v>42</v>
      </c>
      <c r="S21" t="s">
        <v>31</v>
      </c>
      <c r="T21" t="s">
        <v>64</v>
      </c>
      <c r="U21">
        <v>6.4</v>
      </c>
      <c r="V21" s="3">
        <v>41222</v>
      </c>
    </row>
    <row r="22" spans="1:22" x14ac:dyDescent="0.35">
      <c r="A22" s="1">
        <v>42400.929791666669</v>
      </c>
      <c r="B22" s="2">
        <v>3.6111111111111114E-3</v>
      </c>
      <c r="C22" t="s">
        <v>66</v>
      </c>
      <c r="D22" t="s">
        <v>35</v>
      </c>
      <c r="E22" t="s">
        <v>36</v>
      </c>
      <c r="F22" t="s">
        <v>67</v>
      </c>
      <c r="G22">
        <v>1474788</v>
      </c>
      <c r="H22" t="s">
        <v>68</v>
      </c>
      <c r="I22" t="s">
        <v>69</v>
      </c>
      <c r="J22" t="str">
        <f>"9781317922407"</f>
        <v>9781317922407</v>
      </c>
      <c r="K22" t="s">
        <v>75</v>
      </c>
      <c r="L22">
        <v>30</v>
      </c>
      <c r="O22" t="s">
        <v>30</v>
      </c>
      <c r="P22" t="s">
        <v>50</v>
      </c>
      <c r="S22" t="s">
        <v>40</v>
      </c>
      <c r="T22" t="s">
        <v>72</v>
      </c>
      <c r="U22">
        <v>371.19200000000001</v>
      </c>
      <c r="V22" s="3">
        <v>41558</v>
      </c>
    </row>
    <row r="23" spans="1:22" x14ac:dyDescent="0.35">
      <c r="A23" s="1">
        <v>42400.919814814813</v>
      </c>
      <c r="B23" s="2">
        <v>6.8171296296296287E-3</v>
      </c>
      <c r="C23" t="s">
        <v>60</v>
      </c>
      <c r="D23" t="s">
        <v>23</v>
      </c>
      <c r="E23" t="s">
        <v>24</v>
      </c>
      <c r="F23" t="s">
        <v>61</v>
      </c>
      <c r="G23">
        <v>699526</v>
      </c>
      <c r="H23" t="s">
        <v>26</v>
      </c>
      <c r="I23" t="s">
        <v>62</v>
      </c>
      <c r="J23" t="str">
        <f>"9781118586006"</f>
        <v>9781118586006</v>
      </c>
      <c r="K23" t="s">
        <v>76</v>
      </c>
      <c r="L23">
        <v>13</v>
      </c>
      <c r="O23" t="s">
        <v>30</v>
      </c>
      <c r="P23" t="s">
        <v>42</v>
      </c>
      <c r="S23" t="s">
        <v>31</v>
      </c>
      <c r="T23" t="s">
        <v>64</v>
      </c>
      <c r="U23">
        <v>6.4</v>
      </c>
      <c r="V23" s="3">
        <v>41222</v>
      </c>
    </row>
    <row r="24" spans="1:22" x14ac:dyDescent="0.35">
      <c r="A24" s="1">
        <v>42400.914444444446</v>
      </c>
      <c r="B24" s="2">
        <v>3.3703703703703701E-2</v>
      </c>
      <c r="C24" t="s">
        <v>77</v>
      </c>
      <c r="D24" t="s">
        <v>23</v>
      </c>
      <c r="E24" t="s">
        <v>24</v>
      </c>
      <c r="F24" t="s">
        <v>78</v>
      </c>
      <c r="G24">
        <v>1635363</v>
      </c>
      <c r="H24" t="s">
        <v>26</v>
      </c>
      <c r="I24" t="s">
        <v>79</v>
      </c>
      <c r="J24" t="str">
        <f>"9781118678206"</f>
        <v>9781118678206</v>
      </c>
      <c r="K24" t="s">
        <v>80</v>
      </c>
      <c r="L24">
        <v>24</v>
      </c>
      <c r="O24" t="s">
        <v>30</v>
      </c>
      <c r="P24" t="s">
        <v>29</v>
      </c>
      <c r="Q24" s="1">
        <v>42395.007106481484</v>
      </c>
      <c r="R24">
        <v>7</v>
      </c>
      <c r="S24" t="s">
        <v>31</v>
      </c>
      <c r="T24" t="s">
        <v>81</v>
      </c>
      <c r="U24">
        <v>340.07600000000002</v>
      </c>
      <c r="V24" s="3">
        <v>41684</v>
      </c>
    </row>
    <row r="25" spans="1:22" x14ac:dyDescent="0.35">
      <c r="A25" s="1">
        <v>42400.907372685186</v>
      </c>
      <c r="B25" s="2">
        <v>1.273148148148148E-4</v>
      </c>
      <c r="C25" t="s">
        <v>82</v>
      </c>
      <c r="D25" t="s">
        <v>23</v>
      </c>
      <c r="E25" t="s">
        <v>24</v>
      </c>
      <c r="F25" t="s">
        <v>83</v>
      </c>
      <c r="G25">
        <v>1711065</v>
      </c>
      <c r="H25" t="s">
        <v>84</v>
      </c>
      <c r="I25" t="s">
        <v>85</v>
      </c>
      <c r="J25" t="str">
        <f>"9780520959156"</f>
        <v>9780520959156</v>
      </c>
      <c r="K25" t="s">
        <v>86</v>
      </c>
      <c r="L25">
        <v>5</v>
      </c>
      <c r="O25" t="s">
        <v>30</v>
      </c>
      <c r="P25" t="s">
        <v>42</v>
      </c>
      <c r="S25" t="s">
        <v>31</v>
      </c>
      <c r="T25" t="s">
        <v>87</v>
      </c>
      <c r="U25" t="s">
        <v>88</v>
      </c>
      <c r="V25" s="3">
        <v>41881</v>
      </c>
    </row>
    <row r="26" spans="1:22" x14ac:dyDescent="0.35">
      <c r="A26" s="1">
        <v>42400.88113425926</v>
      </c>
      <c r="B26" s="2">
        <v>2.5543981481481483E-2</v>
      </c>
      <c r="C26" t="s">
        <v>89</v>
      </c>
      <c r="D26" t="s">
        <v>23</v>
      </c>
      <c r="E26" t="s">
        <v>24</v>
      </c>
      <c r="F26" t="s">
        <v>90</v>
      </c>
      <c r="G26">
        <v>1683360</v>
      </c>
      <c r="H26" t="s">
        <v>91</v>
      </c>
      <c r="I26" t="s">
        <v>92</v>
      </c>
      <c r="J26" t="str">
        <f>"9781462516032"</f>
        <v>9781462516032</v>
      </c>
      <c r="K26" t="s">
        <v>93</v>
      </c>
      <c r="L26">
        <v>42</v>
      </c>
      <c r="O26" t="s">
        <v>30</v>
      </c>
      <c r="P26" t="s">
        <v>29</v>
      </c>
      <c r="Q26" s="1">
        <v>42400.627476851849</v>
      </c>
      <c r="R26">
        <v>7</v>
      </c>
      <c r="S26" t="s">
        <v>31</v>
      </c>
      <c r="T26" t="s">
        <v>94</v>
      </c>
      <c r="U26">
        <v>1.42</v>
      </c>
      <c r="V26" s="3">
        <v>41823</v>
      </c>
    </row>
    <row r="27" spans="1:22" x14ac:dyDescent="0.35">
      <c r="A27" s="1">
        <v>42400.850972222222</v>
      </c>
      <c r="B27" s="2">
        <v>1.273148148148148E-4</v>
      </c>
      <c r="C27" t="s">
        <v>95</v>
      </c>
      <c r="D27" t="s">
        <v>23</v>
      </c>
      <c r="E27" t="s">
        <v>24</v>
      </c>
      <c r="F27" t="s">
        <v>96</v>
      </c>
      <c r="G27">
        <v>1882153</v>
      </c>
      <c r="H27" t="s">
        <v>26</v>
      </c>
      <c r="I27" t="s">
        <v>97</v>
      </c>
      <c r="J27" t="str">
        <f>"9781118896891"</f>
        <v>9781118896891</v>
      </c>
      <c r="K27" t="s">
        <v>98</v>
      </c>
      <c r="L27">
        <v>7</v>
      </c>
      <c r="O27" t="s">
        <v>30</v>
      </c>
      <c r="P27" t="s">
        <v>50</v>
      </c>
      <c r="S27" t="s">
        <v>31</v>
      </c>
      <c r="T27" t="s">
        <v>99</v>
      </c>
      <c r="U27" t="s">
        <v>100</v>
      </c>
      <c r="V27" s="3">
        <v>41974</v>
      </c>
    </row>
    <row r="28" spans="1:22" x14ac:dyDescent="0.35">
      <c r="A28" s="1">
        <v>42400.83153935185</v>
      </c>
      <c r="B28" s="2">
        <v>0.11537037037037036</v>
      </c>
      <c r="C28" t="s">
        <v>101</v>
      </c>
      <c r="D28" t="s">
        <v>35</v>
      </c>
      <c r="E28" t="s">
        <v>36</v>
      </c>
      <c r="F28" t="s">
        <v>37</v>
      </c>
      <c r="G28">
        <v>1684620</v>
      </c>
      <c r="H28" t="s">
        <v>26</v>
      </c>
      <c r="I28" t="s">
        <v>38</v>
      </c>
      <c r="J28" t="str">
        <f>"9781118418925"</f>
        <v>9781118418925</v>
      </c>
      <c r="K28" t="s">
        <v>102</v>
      </c>
      <c r="L28">
        <v>67</v>
      </c>
      <c r="O28" t="s">
        <v>30</v>
      </c>
      <c r="P28" t="s">
        <v>29</v>
      </c>
      <c r="Q28" s="1">
        <v>42397.811307870368</v>
      </c>
      <c r="R28">
        <v>7</v>
      </c>
      <c r="S28" t="s">
        <v>40</v>
      </c>
      <c r="T28" t="s">
        <v>41</v>
      </c>
      <c r="U28">
        <v>362.10680000000002</v>
      </c>
      <c r="V28" s="3">
        <v>41759</v>
      </c>
    </row>
    <row r="29" spans="1:22" x14ac:dyDescent="0.35">
      <c r="A29" s="1">
        <v>42400.823310185187</v>
      </c>
      <c r="B29" s="2">
        <v>3.1481481481481482E-3</v>
      </c>
      <c r="C29" t="s">
        <v>103</v>
      </c>
      <c r="D29" t="s">
        <v>35</v>
      </c>
      <c r="E29" t="s">
        <v>36</v>
      </c>
      <c r="F29" t="s">
        <v>37</v>
      </c>
      <c r="G29">
        <v>1684620</v>
      </c>
      <c r="H29" t="s">
        <v>26</v>
      </c>
      <c r="I29" t="s">
        <v>38</v>
      </c>
      <c r="J29" t="str">
        <f>"9781118418925"</f>
        <v>9781118418925</v>
      </c>
      <c r="K29" t="s">
        <v>104</v>
      </c>
      <c r="L29">
        <v>16</v>
      </c>
      <c r="M29" t="s">
        <v>105</v>
      </c>
      <c r="O29" t="s">
        <v>30</v>
      </c>
      <c r="P29" t="s">
        <v>29</v>
      </c>
      <c r="Q29" s="1">
        <v>42400.823310185187</v>
      </c>
      <c r="R29">
        <v>7</v>
      </c>
      <c r="S29" t="s">
        <v>40</v>
      </c>
      <c r="T29" t="s">
        <v>41</v>
      </c>
      <c r="U29">
        <v>362.10680000000002</v>
      </c>
      <c r="V29" s="3">
        <v>41759</v>
      </c>
    </row>
    <row r="30" spans="1:22" x14ac:dyDescent="0.35">
      <c r="A30" s="1">
        <v>42400.823171296295</v>
      </c>
      <c r="B30" s="2">
        <v>1.3888888888888889E-4</v>
      </c>
      <c r="C30" t="s">
        <v>103</v>
      </c>
      <c r="D30" t="s">
        <v>35</v>
      </c>
      <c r="E30" t="s">
        <v>36</v>
      </c>
      <c r="F30" t="s">
        <v>37</v>
      </c>
      <c r="G30">
        <v>1684620</v>
      </c>
      <c r="H30" t="s">
        <v>26</v>
      </c>
      <c r="I30" t="s">
        <v>38</v>
      </c>
      <c r="J30" t="str">
        <f>"9781118418925"</f>
        <v>9781118418925</v>
      </c>
      <c r="K30" t="s">
        <v>33</v>
      </c>
      <c r="L30">
        <v>3</v>
      </c>
      <c r="O30" t="s">
        <v>30</v>
      </c>
      <c r="P30" t="s">
        <v>42</v>
      </c>
      <c r="S30" t="s">
        <v>40</v>
      </c>
      <c r="T30" t="s">
        <v>41</v>
      </c>
      <c r="U30">
        <v>362.10680000000002</v>
      </c>
      <c r="V30" s="3">
        <v>41759</v>
      </c>
    </row>
    <row r="31" spans="1:22" x14ac:dyDescent="0.35">
      <c r="A31" s="1">
        <v>42400.820439814815</v>
      </c>
      <c r="B31" s="2">
        <v>9.2592592592592588E-5</v>
      </c>
      <c r="C31" t="s">
        <v>106</v>
      </c>
      <c r="D31" t="s">
        <v>23</v>
      </c>
      <c r="E31" t="s">
        <v>24</v>
      </c>
      <c r="F31" t="s">
        <v>107</v>
      </c>
      <c r="G31">
        <v>4035861</v>
      </c>
      <c r="H31" t="s">
        <v>26</v>
      </c>
      <c r="I31" t="s">
        <v>108</v>
      </c>
      <c r="J31" t="str">
        <f>"9781118498927"</f>
        <v>9781118498927</v>
      </c>
      <c r="K31" t="s">
        <v>86</v>
      </c>
      <c r="L31">
        <v>5</v>
      </c>
      <c r="O31" t="s">
        <v>30</v>
      </c>
      <c r="P31" t="s">
        <v>50</v>
      </c>
      <c r="S31" t="s">
        <v>31</v>
      </c>
      <c r="T31" t="s">
        <v>109</v>
      </c>
      <c r="U31">
        <v>332.63204200000001</v>
      </c>
      <c r="V31" s="3">
        <v>42163</v>
      </c>
    </row>
    <row r="32" spans="1:22" x14ac:dyDescent="0.35">
      <c r="A32" s="1">
        <v>42400.787835648145</v>
      </c>
      <c r="B32" s="2">
        <v>5.4282407407407404E-3</v>
      </c>
      <c r="C32" t="s">
        <v>110</v>
      </c>
      <c r="D32" t="s">
        <v>35</v>
      </c>
      <c r="E32" t="s">
        <v>36</v>
      </c>
      <c r="F32" t="s">
        <v>111</v>
      </c>
      <c r="G32">
        <v>693176</v>
      </c>
      <c r="H32" t="s">
        <v>26</v>
      </c>
      <c r="I32" t="s">
        <v>112</v>
      </c>
      <c r="J32" t="str">
        <f>"9781118017746"</f>
        <v>9781118017746</v>
      </c>
      <c r="K32" t="s">
        <v>113</v>
      </c>
      <c r="L32">
        <v>29</v>
      </c>
      <c r="O32" t="s">
        <v>30</v>
      </c>
      <c r="P32" t="s">
        <v>29</v>
      </c>
      <c r="Q32" s="1">
        <v>42395.924988425926</v>
      </c>
      <c r="R32">
        <v>7</v>
      </c>
      <c r="S32" t="s">
        <v>40</v>
      </c>
      <c r="T32" t="s">
        <v>114</v>
      </c>
      <c r="U32" t="s">
        <v>115</v>
      </c>
      <c r="V32" s="3">
        <v>40835</v>
      </c>
    </row>
    <row r="33" spans="1:22" x14ac:dyDescent="0.35">
      <c r="A33" s="1">
        <v>42400.779849537037</v>
      </c>
      <c r="B33" s="2">
        <v>3.4722222222222222E-5</v>
      </c>
      <c r="C33" t="s">
        <v>116</v>
      </c>
      <c r="D33" t="s">
        <v>117</v>
      </c>
      <c r="E33" t="s">
        <v>118</v>
      </c>
      <c r="F33" t="s">
        <v>119</v>
      </c>
      <c r="G33">
        <v>1154341</v>
      </c>
      <c r="H33" t="s">
        <v>26</v>
      </c>
      <c r="I33" t="s">
        <v>120</v>
      </c>
      <c r="J33" t="str">
        <f>"9781118505014"</f>
        <v>9781118505014</v>
      </c>
      <c r="K33" t="s">
        <v>33</v>
      </c>
      <c r="L33">
        <v>3</v>
      </c>
      <c r="O33" t="s">
        <v>30</v>
      </c>
      <c r="P33" t="s">
        <v>42</v>
      </c>
      <c r="S33" t="s">
        <v>121</v>
      </c>
      <c r="T33" t="s">
        <v>122</v>
      </c>
      <c r="U33" t="s">
        <v>123</v>
      </c>
      <c r="V33" s="3">
        <v>41344</v>
      </c>
    </row>
    <row r="34" spans="1:22" x14ac:dyDescent="0.35">
      <c r="A34" s="1">
        <v>42400.778310185182</v>
      </c>
      <c r="B34" s="2">
        <v>3.2407407407407406E-3</v>
      </c>
      <c r="C34" t="s">
        <v>124</v>
      </c>
      <c r="D34" t="s">
        <v>125</v>
      </c>
      <c r="E34" t="s">
        <v>126</v>
      </c>
      <c r="F34" t="s">
        <v>111</v>
      </c>
      <c r="G34">
        <v>693176</v>
      </c>
      <c r="H34" t="s">
        <v>26</v>
      </c>
      <c r="I34" t="s">
        <v>112</v>
      </c>
      <c r="J34" t="str">
        <f>"9781118017746"</f>
        <v>9781118017746</v>
      </c>
      <c r="K34" t="s">
        <v>127</v>
      </c>
      <c r="L34">
        <v>74</v>
      </c>
      <c r="O34" t="s">
        <v>30</v>
      </c>
      <c r="P34" t="s">
        <v>29</v>
      </c>
      <c r="Q34" s="1">
        <v>42400.778310185182</v>
      </c>
      <c r="R34">
        <v>7</v>
      </c>
      <c r="S34" t="s">
        <v>128</v>
      </c>
      <c r="T34" t="s">
        <v>114</v>
      </c>
      <c r="U34" t="s">
        <v>115</v>
      </c>
      <c r="V34" s="3">
        <v>40835</v>
      </c>
    </row>
    <row r="35" spans="1:22" x14ac:dyDescent="0.35">
      <c r="A35" s="1">
        <v>42400.770520833335</v>
      </c>
      <c r="B35" s="2">
        <v>2.9039351851851854E-2</v>
      </c>
      <c r="C35" t="s">
        <v>66</v>
      </c>
      <c r="D35" t="s">
        <v>35</v>
      </c>
      <c r="E35" t="s">
        <v>36</v>
      </c>
      <c r="F35" t="s">
        <v>129</v>
      </c>
      <c r="G35">
        <v>1474736</v>
      </c>
      <c r="H35" t="s">
        <v>68</v>
      </c>
      <c r="J35" t="str">
        <f>"9781317923275"</f>
        <v>9781317923275</v>
      </c>
      <c r="K35" t="s">
        <v>130</v>
      </c>
      <c r="L35">
        <v>15</v>
      </c>
      <c r="O35" t="s">
        <v>28</v>
      </c>
      <c r="P35" t="s">
        <v>47</v>
      </c>
      <c r="Q35" s="1">
        <v>42400.75922453704</v>
      </c>
      <c r="R35">
        <v>1</v>
      </c>
      <c r="S35" t="s">
        <v>40</v>
      </c>
      <c r="V35" s="3">
        <v>41558</v>
      </c>
    </row>
    <row r="36" spans="1:22" x14ac:dyDescent="0.35">
      <c r="A36" s="1">
        <v>42400.769791666666</v>
      </c>
      <c r="B36" s="2">
        <v>8.518518518518519E-3</v>
      </c>
      <c r="C36" t="s">
        <v>124</v>
      </c>
      <c r="D36" t="s">
        <v>125</v>
      </c>
      <c r="E36" t="s">
        <v>126</v>
      </c>
      <c r="F36" t="s">
        <v>111</v>
      </c>
      <c r="G36">
        <v>693176</v>
      </c>
      <c r="H36" t="s">
        <v>26</v>
      </c>
      <c r="I36" t="s">
        <v>112</v>
      </c>
      <c r="J36" t="str">
        <f>"9781118017746"</f>
        <v>9781118017746</v>
      </c>
      <c r="K36" t="s">
        <v>131</v>
      </c>
      <c r="L36">
        <v>20</v>
      </c>
      <c r="O36" t="s">
        <v>30</v>
      </c>
      <c r="P36" t="s">
        <v>42</v>
      </c>
      <c r="S36" t="s">
        <v>128</v>
      </c>
      <c r="T36" t="s">
        <v>114</v>
      </c>
      <c r="U36" t="s">
        <v>115</v>
      </c>
      <c r="V36" s="3">
        <v>40835</v>
      </c>
    </row>
    <row r="37" spans="1:22" x14ac:dyDescent="0.35">
      <c r="A37" s="1">
        <v>42400.75922453704</v>
      </c>
      <c r="B37" s="2">
        <v>1.0949074074074075E-2</v>
      </c>
      <c r="C37" t="s">
        <v>66</v>
      </c>
      <c r="D37" t="s">
        <v>35</v>
      </c>
      <c r="E37" t="s">
        <v>36</v>
      </c>
      <c r="F37" t="s">
        <v>129</v>
      </c>
      <c r="G37">
        <v>1474736</v>
      </c>
      <c r="H37" t="s">
        <v>68</v>
      </c>
      <c r="J37" t="str">
        <f>"9781317923275"</f>
        <v>9781317923275</v>
      </c>
      <c r="K37" t="s">
        <v>132</v>
      </c>
      <c r="L37">
        <v>57</v>
      </c>
      <c r="O37" t="s">
        <v>30</v>
      </c>
      <c r="P37" t="s">
        <v>47</v>
      </c>
      <c r="Q37" s="1">
        <v>42400.75922453704</v>
      </c>
      <c r="R37">
        <v>1</v>
      </c>
      <c r="S37" t="s">
        <v>40</v>
      </c>
      <c r="V37" s="3">
        <v>41558</v>
      </c>
    </row>
    <row r="38" spans="1:22" x14ac:dyDescent="0.35">
      <c r="A38" s="1">
        <v>42400.755694444444</v>
      </c>
      <c r="B38" s="2">
        <v>3.530092592592592E-3</v>
      </c>
      <c r="C38" t="s">
        <v>66</v>
      </c>
      <c r="D38" t="s">
        <v>35</v>
      </c>
      <c r="E38" t="s">
        <v>36</v>
      </c>
      <c r="F38" t="s">
        <v>129</v>
      </c>
      <c r="G38">
        <v>1474736</v>
      </c>
      <c r="H38" t="s">
        <v>68</v>
      </c>
      <c r="J38" t="str">
        <f>"9781317923275"</f>
        <v>9781317923275</v>
      </c>
      <c r="K38" t="s">
        <v>133</v>
      </c>
      <c r="L38">
        <v>52</v>
      </c>
      <c r="O38" t="s">
        <v>30</v>
      </c>
      <c r="P38" t="s">
        <v>50</v>
      </c>
      <c r="S38" t="s">
        <v>40</v>
      </c>
      <c r="V38" s="3">
        <v>41558</v>
      </c>
    </row>
    <row r="39" spans="1:22" x14ac:dyDescent="0.35">
      <c r="A39" s="1">
        <v>42400.742731481485</v>
      </c>
      <c r="B39" s="2">
        <v>0</v>
      </c>
      <c r="C39" t="s">
        <v>106</v>
      </c>
      <c r="D39" t="s">
        <v>23</v>
      </c>
      <c r="E39" t="s">
        <v>24</v>
      </c>
      <c r="F39" t="s">
        <v>134</v>
      </c>
      <c r="G39">
        <v>4054152</v>
      </c>
      <c r="H39" t="s">
        <v>26</v>
      </c>
      <c r="J39" t="str">
        <f>"9781119078197"</f>
        <v>9781119078197</v>
      </c>
      <c r="L39">
        <v>0</v>
      </c>
      <c r="O39" t="s">
        <v>28</v>
      </c>
      <c r="P39" t="s">
        <v>29</v>
      </c>
      <c r="Q39" s="1">
        <v>42400.742731481485</v>
      </c>
      <c r="R39">
        <v>7</v>
      </c>
      <c r="S39" t="s">
        <v>31</v>
      </c>
      <c r="V39" s="3">
        <v>42268</v>
      </c>
    </row>
    <row r="40" spans="1:22" x14ac:dyDescent="0.35">
      <c r="A40" s="1">
        <v>42400.742731481485</v>
      </c>
      <c r="B40" s="2">
        <v>0</v>
      </c>
      <c r="C40" t="s">
        <v>106</v>
      </c>
      <c r="D40" t="s">
        <v>23</v>
      </c>
      <c r="E40" t="s">
        <v>24</v>
      </c>
      <c r="F40" t="s">
        <v>134</v>
      </c>
      <c r="G40">
        <v>4054152</v>
      </c>
      <c r="H40" t="s">
        <v>26</v>
      </c>
      <c r="J40" t="str">
        <f>"9781119078197"</f>
        <v>9781119078197</v>
      </c>
      <c r="L40">
        <v>0</v>
      </c>
      <c r="O40" t="s">
        <v>30</v>
      </c>
      <c r="P40" t="s">
        <v>29</v>
      </c>
      <c r="Q40" s="1">
        <v>42400.742731481485</v>
      </c>
      <c r="R40">
        <v>7</v>
      </c>
      <c r="S40" t="s">
        <v>31</v>
      </c>
      <c r="V40" s="3">
        <v>42268</v>
      </c>
    </row>
    <row r="41" spans="1:22" x14ac:dyDescent="0.35">
      <c r="A41" s="1">
        <v>42400.741574074076</v>
      </c>
      <c r="B41" s="2">
        <v>1.1458333333333333E-3</v>
      </c>
      <c r="C41" t="s">
        <v>106</v>
      </c>
      <c r="D41" t="s">
        <v>23</v>
      </c>
      <c r="E41" t="s">
        <v>24</v>
      </c>
      <c r="F41" t="s">
        <v>134</v>
      </c>
      <c r="G41">
        <v>4054152</v>
      </c>
      <c r="H41" t="s">
        <v>26</v>
      </c>
      <c r="J41" t="str">
        <f>"9781119078197"</f>
        <v>9781119078197</v>
      </c>
      <c r="K41" t="s">
        <v>135</v>
      </c>
      <c r="L41">
        <v>11</v>
      </c>
      <c r="O41" t="s">
        <v>30</v>
      </c>
      <c r="P41" t="s">
        <v>50</v>
      </c>
      <c r="S41" t="s">
        <v>31</v>
      </c>
      <c r="V41" s="3">
        <v>42268</v>
      </c>
    </row>
    <row r="42" spans="1:22" x14ac:dyDescent="0.35">
      <c r="A42" s="1">
        <v>42400.734814814816</v>
      </c>
      <c r="B42" s="2">
        <v>4.221064814814815E-2</v>
      </c>
      <c r="C42" t="s">
        <v>101</v>
      </c>
      <c r="D42" t="s">
        <v>35</v>
      </c>
      <c r="E42" t="s">
        <v>36</v>
      </c>
      <c r="F42" t="s">
        <v>37</v>
      </c>
      <c r="G42">
        <v>1684620</v>
      </c>
      <c r="H42" t="s">
        <v>26</v>
      </c>
      <c r="I42" t="s">
        <v>38</v>
      </c>
      <c r="J42" t="str">
        <f>"9781118418925"</f>
        <v>9781118418925</v>
      </c>
      <c r="K42" t="s">
        <v>136</v>
      </c>
      <c r="L42">
        <v>21</v>
      </c>
      <c r="O42" t="s">
        <v>28</v>
      </c>
      <c r="P42" t="s">
        <v>29</v>
      </c>
      <c r="Q42" s="1">
        <v>42397.811307870368</v>
      </c>
      <c r="R42">
        <v>7</v>
      </c>
      <c r="S42" t="s">
        <v>40</v>
      </c>
      <c r="T42" t="s">
        <v>41</v>
      </c>
      <c r="U42">
        <v>362.10680000000002</v>
      </c>
      <c r="V42" s="3">
        <v>41759</v>
      </c>
    </row>
    <row r="43" spans="1:22" x14ac:dyDescent="0.35">
      <c r="A43" s="1">
        <v>42400.734652777777</v>
      </c>
      <c r="B43" s="2">
        <v>9.2592592592592588E-5</v>
      </c>
      <c r="C43" t="s">
        <v>101</v>
      </c>
      <c r="D43" t="s">
        <v>35</v>
      </c>
      <c r="E43" t="s">
        <v>36</v>
      </c>
      <c r="F43" t="s">
        <v>37</v>
      </c>
      <c r="G43">
        <v>1684620</v>
      </c>
      <c r="H43" t="s">
        <v>26</v>
      </c>
      <c r="I43" t="s">
        <v>38</v>
      </c>
      <c r="J43" t="str">
        <f>"9781118418925"</f>
        <v>9781118418925</v>
      </c>
      <c r="K43" t="s">
        <v>33</v>
      </c>
      <c r="L43">
        <v>3</v>
      </c>
      <c r="O43" t="s">
        <v>28</v>
      </c>
      <c r="P43" t="s">
        <v>29</v>
      </c>
      <c r="Q43" s="1">
        <v>42397.811307870368</v>
      </c>
      <c r="R43">
        <v>7</v>
      </c>
      <c r="S43" t="s">
        <v>40</v>
      </c>
      <c r="T43" t="s">
        <v>41</v>
      </c>
      <c r="U43">
        <v>362.10680000000002</v>
      </c>
      <c r="V43" s="3">
        <v>41759</v>
      </c>
    </row>
    <row r="44" spans="1:22" x14ac:dyDescent="0.35">
      <c r="A44" s="1">
        <v>42400.734479166669</v>
      </c>
      <c r="B44" s="2">
        <v>3.4722222222222222E-5</v>
      </c>
      <c r="C44" t="s">
        <v>101</v>
      </c>
      <c r="D44" t="s">
        <v>35</v>
      </c>
      <c r="E44" t="s">
        <v>36</v>
      </c>
      <c r="F44" t="s">
        <v>37</v>
      </c>
      <c r="G44">
        <v>1684620</v>
      </c>
      <c r="H44" t="s">
        <v>26</v>
      </c>
      <c r="I44" t="s">
        <v>38</v>
      </c>
      <c r="J44" t="str">
        <f>"9781118418925"</f>
        <v>9781118418925</v>
      </c>
      <c r="K44" t="s">
        <v>33</v>
      </c>
      <c r="L44">
        <v>3</v>
      </c>
      <c r="O44" t="s">
        <v>30</v>
      </c>
      <c r="P44" t="s">
        <v>29</v>
      </c>
      <c r="Q44" s="1">
        <v>42397.811307870368</v>
      </c>
      <c r="R44">
        <v>7</v>
      </c>
      <c r="S44" t="s">
        <v>40</v>
      </c>
      <c r="T44" t="s">
        <v>41</v>
      </c>
      <c r="U44">
        <v>362.10680000000002</v>
      </c>
      <c r="V44" s="3">
        <v>41759</v>
      </c>
    </row>
    <row r="45" spans="1:22" x14ac:dyDescent="0.35">
      <c r="A45" s="1">
        <v>42400.721689814818</v>
      </c>
      <c r="B45" s="2">
        <v>1.6666666666666668E-3</v>
      </c>
      <c r="C45" t="s">
        <v>137</v>
      </c>
      <c r="D45" t="s">
        <v>23</v>
      </c>
      <c r="E45" t="s">
        <v>24</v>
      </c>
      <c r="F45" t="s">
        <v>138</v>
      </c>
      <c r="G45">
        <v>3564338</v>
      </c>
      <c r="H45" t="s">
        <v>139</v>
      </c>
      <c r="I45" t="s">
        <v>120</v>
      </c>
      <c r="J45" t="str">
        <f>"9781479824700"</f>
        <v>9781479824700</v>
      </c>
      <c r="K45" t="s">
        <v>140</v>
      </c>
      <c r="L45">
        <v>9</v>
      </c>
      <c r="O45" t="s">
        <v>30</v>
      </c>
      <c r="P45" t="s">
        <v>29</v>
      </c>
      <c r="Q45" s="1">
        <v>42399.817326388889</v>
      </c>
      <c r="R45">
        <v>7</v>
      </c>
      <c r="S45" t="s">
        <v>31</v>
      </c>
      <c r="T45" t="s">
        <v>141</v>
      </c>
      <c r="U45" t="s">
        <v>142</v>
      </c>
      <c r="V45" s="3">
        <v>42132</v>
      </c>
    </row>
    <row r="46" spans="1:22" x14ac:dyDescent="0.35">
      <c r="A46" s="1">
        <v>42400.712199074071</v>
      </c>
      <c r="B46" s="2">
        <v>5.2777777777777771E-3</v>
      </c>
      <c r="C46" t="s">
        <v>101</v>
      </c>
      <c r="D46" t="s">
        <v>35</v>
      </c>
      <c r="E46" t="s">
        <v>36</v>
      </c>
      <c r="F46" t="s">
        <v>37</v>
      </c>
      <c r="G46">
        <v>1684620</v>
      </c>
      <c r="H46" t="s">
        <v>26</v>
      </c>
      <c r="I46" t="s">
        <v>38</v>
      </c>
      <c r="J46" t="str">
        <f>"9781118418925"</f>
        <v>9781118418925</v>
      </c>
      <c r="K46" t="s">
        <v>143</v>
      </c>
      <c r="L46">
        <v>1</v>
      </c>
      <c r="O46" t="s">
        <v>28</v>
      </c>
      <c r="P46" t="s">
        <v>29</v>
      </c>
      <c r="Q46" s="1">
        <v>42397.811307870368</v>
      </c>
      <c r="R46">
        <v>7</v>
      </c>
      <c r="S46" t="s">
        <v>40</v>
      </c>
      <c r="T46" t="s">
        <v>41</v>
      </c>
      <c r="U46">
        <v>362.10680000000002</v>
      </c>
      <c r="V46" s="3">
        <v>41759</v>
      </c>
    </row>
    <row r="47" spans="1:22" x14ac:dyDescent="0.35">
      <c r="A47" s="1">
        <v>42400.711192129631</v>
      </c>
      <c r="B47" s="2">
        <v>7.407407407407407E-4</v>
      </c>
      <c r="C47" t="s">
        <v>101</v>
      </c>
      <c r="D47" t="s">
        <v>35</v>
      </c>
      <c r="E47" t="s">
        <v>36</v>
      </c>
      <c r="F47" t="s">
        <v>37</v>
      </c>
      <c r="G47">
        <v>1684620</v>
      </c>
      <c r="H47" t="s">
        <v>26</v>
      </c>
      <c r="I47" t="s">
        <v>38</v>
      </c>
      <c r="J47" t="str">
        <f>"9781118418925"</f>
        <v>9781118418925</v>
      </c>
      <c r="K47" t="s">
        <v>144</v>
      </c>
      <c r="L47">
        <v>15</v>
      </c>
      <c r="O47" t="s">
        <v>30</v>
      </c>
      <c r="P47" t="s">
        <v>29</v>
      </c>
      <c r="Q47" s="1">
        <v>42397.811307870368</v>
      </c>
      <c r="R47">
        <v>7</v>
      </c>
      <c r="S47" t="s">
        <v>40</v>
      </c>
      <c r="T47" t="s">
        <v>41</v>
      </c>
      <c r="U47">
        <v>362.10680000000002</v>
      </c>
      <c r="V47" s="3">
        <v>41759</v>
      </c>
    </row>
    <row r="48" spans="1:22" x14ac:dyDescent="0.35">
      <c r="A48" s="1">
        <v>42400.65824074074</v>
      </c>
      <c r="B48" s="2">
        <v>8.5069444444444437E-3</v>
      </c>
      <c r="C48" t="s">
        <v>145</v>
      </c>
      <c r="D48" t="s">
        <v>146</v>
      </c>
      <c r="E48" t="s">
        <v>147</v>
      </c>
      <c r="F48" t="s">
        <v>148</v>
      </c>
      <c r="G48">
        <v>877717</v>
      </c>
      <c r="H48" t="s">
        <v>149</v>
      </c>
      <c r="I48" t="s">
        <v>150</v>
      </c>
      <c r="J48" t="str">
        <f>"9781438139265"</f>
        <v>9781438139265</v>
      </c>
      <c r="K48" t="s">
        <v>151</v>
      </c>
      <c r="L48">
        <v>9</v>
      </c>
      <c r="O48" t="s">
        <v>30</v>
      </c>
      <c r="P48" t="s">
        <v>29</v>
      </c>
      <c r="Q48" s="1">
        <v>42399.776620370372</v>
      </c>
      <c r="R48">
        <v>7</v>
      </c>
      <c r="S48" t="s">
        <v>152</v>
      </c>
      <c r="T48" t="s">
        <v>153</v>
      </c>
      <c r="U48" t="s">
        <v>154</v>
      </c>
      <c r="V48" s="3">
        <v>40909</v>
      </c>
    </row>
    <row r="49" spans="1:22" x14ac:dyDescent="0.35">
      <c r="A49" s="1">
        <v>42400.627476851849</v>
      </c>
      <c r="B49" s="2">
        <v>0</v>
      </c>
      <c r="C49" t="s">
        <v>89</v>
      </c>
      <c r="D49" t="s">
        <v>23</v>
      </c>
      <c r="E49" t="s">
        <v>24</v>
      </c>
      <c r="F49" t="s">
        <v>90</v>
      </c>
      <c r="G49">
        <v>1683360</v>
      </c>
      <c r="H49" t="s">
        <v>91</v>
      </c>
      <c r="I49" t="s">
        <v>92</v>
      </c>
      <c r="J49" t="str">
        <f>"9781462516032"</f>
        <v>9781462516032</v>
      </c>
      <c r="L49">
        <v>0</v>
      </c>
      <c r="O49" t="s">
        <v>30</v>
      </c>
      <c r="P49" t="s">
        <v>29</v>
      </c>
      <c r="Q49" s="1">
        <v>42400.627476851849</v>
      </c>
      <c r="R49">
        <v>7</v>
      </c>
      <c r="S49" t="s">
        <v>31</v>
      </c>
      <c r="T49" t="s">
        <v>94</v>
      </c>
      <c r="U49">
        <v>1.42</v>
      </c>
      <c r="V49" s="3">
        <v>41823</v>
      </c>
    </row>
    <row r="50" spans="1:22" x14ac:dyDescent="0.35">
      <c r="A50" s="1">
        <v>42400.627187500002</v>
      </c>
      <c r="B50" s="2">
        <v>2.8935185185185189E-4</v>
      </c>
      <c r="C50" t="s">
        <v>89</v>
      </c>
      <c r="D50" t="s">
        <v>23</v>
      </c>
      <c r="E50" t="s">
        <v>24</v>
      </c>
      <c r="F50" t="s">
        <v>90</v>
      </c>
      <c r="G50">
        <v>1683360</v>
      </c>
      <c r="H50" t="s">
        <v>91</v>
      </c>
      <c r="I50" t="s">
        <v>92</v>
      </c>
      <c r="J50" t="str">
        <f>"9781462516032"</f>
        <v>9781462516032</v>
      </c>
      <c r="K50" t="s">
        <v>155</v>
      </c>
      <c r="L50">
        <v>8</v>
      </c>
      <c r="O50" t="s">
        <v>30</v>
      </c>
      <c r="P50" t="s">
        <v>42</v>
      </c>
      <c r="S50" t="s">
        <v>31</v>
      </c>
      <c r="T50" t="s">
        <v>94</v>
      </c>
      <c r="U50">
        <v>1.42</v>
      </c>
      <c r="V50" s="3">
        <v>41823</v>
      </c>
    </row>
    <row r="51" spans="1:22" x14ac:dyDescent="0.35">
      <c r="A51" s="1">
        <v>42400.624560185184</v>
      </c>
      <c r="B51" s="2">
        <v>9.4907407407407408E-4</v>
      </c>
      <c r="C51" t="s">
        <v>89</v>
      </c>
      <c r="D51" t="s">
        <v>23</v>
      </c>
      <c r="E51" t="s">
        <v>24</v>
      </c>
      <c r="F51" t="s">
        <v>90</v>
      </c>
      <c r="G51">
        <v>1683360</v>
      </c>
      <c r="H51" t="s">
        <v>91</v>
      </c>
      <c r="I51" t="s">
        <v>92</v>
      </c>
      <c r="J51" t="str">
        <f>"9781462516032"</f>
        <v>9781462516032</v>
      </c>
      <c r="K51" t="s">
        <v>156</v>
      </c>
      <c r="L51">
        <v>11</v>
      </c>
      <c r="O51" t="s">
        <v>30</v>
      </c>
      <c r="P51" t="s">
        <v>42</v>
      </c>
      <c r="S51" t="s">
        <v>31</v>
      </c>
      <c r="T51" t="s">
        <v>94</v>
      </c>
      <c r="U51">
        <v>1.42</v>
      </c>
      <c r="V51" s="3">
        <v>41823</v>
      </c>
    </row>
    <row r="52" spans="1:22" x14ac:dyDescent="0.35">
      <c r="A52" s="1">
        <v>42400.251284722224</v>
      </c>
      <c r="B52" s="2">
        <v>5.0925925925925921E-4</v>
      </c>
      <c r="C52" t="s">
        <v>157</v>
      </c>
      <c r="D52" t="s">
        <v>158</v>
      </c>
      <c r="E52" t="s">
        <v>159</v>
      </c>
      <c r="F52" t="s">
        <v>160</v>
      </c>
      <c r="G52">
        <v>3059079</v>
      </c>
      <c r="H52" t="s">
        <v>26</v>
      </c>
      <c r="I52" t="s">
        <v>161</v>
      </c>
      <c r="J52" t="str">
        <f>"9781118473818"</f>
        <v>9781118473818</v>
      </c>
      <c r="K52" t="s">
        <v>162</v>
      </c>
      <c r="L52">
        <v>8</v>
      </c>
      <c r="O52" t="s">
        <v>30</v>
      </c>
      <c r="P52" t="s">
        <v>50</v>
      </c>
      <c r="S52" t="s">
        <v>163</v>
      </c>
      <c r="T52" t="s">
        <v>164</v>
      </c>
      <c r="U52">
        <v>530</v>
      </c>
      <c r="V52" s="3">
        <v>41401</v>
      </c>
    </row>
    <row r="53" spans="1:22" x14ac:dyDescent="0.35">
      <c r="A53" s="1">
        <v>42400.16851851852</v>
      </c>
      <c r="B53" s="2">
        <v>0</v>
      </c>
      <c r="C53" t="s">
        <v>165</v>
      </c>
      <c r="D53" t="s">
        <v>23</v>
      </c>
      <c r="E53" t="s">
        <v>24</v>
      </c>
      <c r="F53" t="s">
        <v>166</v>
      </c>
      <c r="G53">
        <v>3564336</v>
      </c>
      <c r="H53" t="s">
        <v>139</v>
      </c>
      <c r="I53" t="s">
        <v>120</v>
      </c>
      <c r="J53" t="str">
        <f>"9781479840595"</f>
        <v>9781479840595</v>
      </c>
      <c r="L53">
        <v>0</v>
      </c>
      <c r="N53" t="s">
        <v>167</v>
      </c>
      <c r="O53" t="s">
        <v>28</v>
      </c>
      <c r="P53" t="s">
        <v>29</v>
      </c>
      <c r="Q53" s="1">
        <v>42400.16851851852</v>
      </c>
      <c r="R53">
        <v>7</v>
      </c>
      <c r="S53" t="s">
        <v>31</v>
      </c>
      <c r="T53" t="s">
        <v>168</v>
      </c>
      <c r="U53">
        <v>305.26097299999998</v>
      </c>
      <c r="V53" s="3">
        <v>42146</v>
      </c>
    </row>
    <row r="54" spans="1:22" x14ac:dyDescent="0.35">
      <c r="A54" s="1">
        <v>42400.16851851852</v>
      </c>
      <c r="B54" s="2">
        <v>0</v>
      </c>
      <c r="C54" t="s">
        <v>165</v>
      </c>
      <c r="D54" t="s">
        <v>23</v>
      </c>
      <c r="E54" t="s">
        <v>24</v>
      </c>
      <c r="F54" t="s">
        <v>166</v>
      </c>
      <c r="G54">
        <v>3564336</v>
      </c>
      <c r="H54" t="s">
        <v>139</v>
      </c>
      <c r="I54" t="s">
        <v>120</v>
      </c>
      <c r="J54" t="str">
        <f>"9781479840595"</f>
        <v>9781479840595</v>
      </c>
      <c r="L54">
        <v>0</v>
      </c>
      <c r="O54" t="s">
        <v>30</v>
      </c>
      <c r="P54" t="s">
        <v>29</v>
      </c>
      <c r="Q54" s="1">
        <v>42400.16851851852</v>
      </c>
      <c r="R54">
        <v>7</v>
      </c>
      <c r="S54" t="s">
        <v>31</v>
      </c>
      <c r="T54" t="s">
        <v>168</v>
      </c>
      <c r="U54">
        <v>305.26097299999998</v>
      </c>
      <c r="V54" s="3">
        <v>42146</v>
      </c>
    </row>
    <row r="55" spans="1:22" x14ac:dyDescent="0.35">
      <c r="A55" s="1">
        <v>42400.16777777778</v>
      </c>
      <c r="B55" s="2">
        <v>7.407407407407407E-4</v>
      </c>
      <c r="C55" t="s">
        <v>165</v>
      </c>
      <c r="D55" t="s">
        <v>23</v>
      </c>
      <c r="E55" t="s">
        <v>24</v>
      </c>
      <c r="F55" t="s">
        <v>166</v>
      </c>
      <c r="G55">
        <v>3564336</v>
      </c>
      <c r="H55" t="s">
        <v>139</v>
      </c>
      <c r="I55" t="s">
        <v>120</v>
      </c>
      <c r="J55" t="str">
        <f>"9781479840595"</f>
        <v>9781479840595</v>
      </c>
      <c r="K55" t="s">
        <v>169</v>
      </c>
      <c r="L55">
        <v>9</v>
      </c>
      <c r="O55" t="s">
        <v>30</v>
      </c>
      <c r="P55" t="s">
        <v>50</v>
      </c>
      <c r="S55" t="s">
        <v>31</v>
      </c>
      <c r="T55" t="s">
        <v>168</v>
      </c>
      <c r="U55">
        <v>305.26097299999998</v>
      </c>
      <c r="V55" s="3">
        <v>42146</v>
      </c>
    </row>
    <row r="56" spans="1:22" x14ac:dyDescent="0.35">
      <c r="A56" s="1">
        <v>42400.157222222224</v>
      </c>
      <c r="B56" s="2">
        <v>4.7453703703703704E-4</v>
      </c>
      <c r="C56" t="s">
        <v>170</v>
      </c>
      <c r="D56" t="s">
        <v>23</v>
      </c>
      <c r="E56" t="s">
        <v>24</v>
      </c>
      <c r="F56" t="s">
        <v>171</v>
      </c>
      <c r="G56">
        <v>1816951</v>
      </c>
      <c r="H56" t="s">
        <v>26</v>
      </c>
      <c r="I56" t="s">
        <v>172</v>
      </c>
      <c r="J56" t="str">
        <f>"9781118776131"</f>
        <v>9781118776131</v>
      </c>
      <c r="K56" t="s">
        <v>173</v>
      </c>
      <c r="L56">
        <v>1</v>
      </c>
      <c r="O56" t="s">
        <v>28</v>
      </c>
      <c r="P56" t="s">
        <v>47</v>
      </c>
      <c r="Q56" s="1">
        <v>42400.157222222224</v>
      </c>
      <c r="R56">
        <v>1</v>
      </c>
      <c r="S56" t="s">
        <v>31</v>
      </c>
      <c r="T56" t="s">
        <v>174</v>
      </c>
      <c r="U56">
        <v>943.08699999999999</v>
      </c>
      <c r="V56" s="3">
        <v>41925</v>
      </c>
    </row>
    <row r="57" spans="1:22" x14ac:dyDescent="0.35">
      <c r="A57" s="1">
        <v>42400.157222222224</v>
      </c>
      <c r="B57" s="2">
        <v>0</v>
      </c>
      <c r="C57" t="s">
        <v>170</v>
      </c>
      <c r="D57" t="s">
        <v>23</v>
      </c>
      <c r="E57" t="s">
        <v>24</v>
      </c>
      <c r="F57" t="s">
        <v>171</v>
      </c>
      <c r="G57">
        <v>1816951</v>
      </c>
      <c r="H57" t="s">
        <v>26</v>
      </c>
      <c r="I57" t="s">
        <v>172</v>
      </c>
      <c r="J57" t="str">
        <f>"9781118776131"</f>
        <v>9781118776131</v>
      </c>
      <c r="L57">
        <v>0</v>
      </c>
      <c r="O57" t="s">
        <v>30</v>
      </c>
      <c r="P57" t="s">
        <v>47</v>
      </c>
      <c r="Q57" s="1">
        <v>42400.157222222224</v>
      </c>
      <c r="R57">
        <v>1</v>
      </c>
      <c r="S57" t="s">
        <v>31</v>
      </c>
      <c r="T57" t="s">
        <v>174</v>
      </c>
      <c r="U57">
        <v>943.08699999999999</v>
      </c>
      <c r="V57" s="3">
        <v>41925</v>
      </c>
    </row>
    <row r="58" spans="1:22" x14ac:dyDescent="0.35">
      <c r="A58" s="1">
        <v>42400.155960648146</v>
      </c>
      <c r="B58" s="2">
        <v>1.25E-3</v>
      </c>
      <c r="C58" t="s">
        <v>170</v>
      </c>
      <c r="D58" t="s">
        <v>23</v>
      </c>
      <c r="E58" t="s">
        <v>24</v>
      </c>
      <c r="F58" t="s">
        <v>171</v>
      </c>
      <c r="G58">
        <v>1816951</v>
      </c>
      <c r="H58" t="s">
        <v>26</v>
      </c>
      <c r="I58" t="s">
        <v>172</v>
      </c>
      <c r="J58" t="str">
        <f>"9781118776131"</f>
        <v>9781118776131</v>
      </c>
      <c r="K58" t="s">
        <v>175</v>
      </c>
      <c r="L58">
        <v>17</v>
      </c>
      <c r="O58" t="s">
        <v>30</v>
      </c>
      <c r="P58" t="s">
        <v>50</v>
      </c>
      <c r="S58" t="s">
        <v>31</v>
      </c>
      <c r="T58" t="s">
        <v>174</v>
      </c>
      <c r="U58">
        <v>943.08699999999999</v>
      </c>
      <c r="V58" s="3">
        <v>41925</v>
      </c>
    </row>
    <row r="59" spans="1:22" x14ac:dyDescent="0.35">
      <c r="A59" s="1">
        <v>42400.042048611111</v>
      </c>
      <c r="B59" s="2">
        <v>5.4398148148148144E-4</v>
      </c>
      <c r="C59" t="s">
        <v>137</v>
      </c>
      <c r="D59" t="s">
        <v>23</v>
      </c>
      <c r="E59" t="s">
        <v>24</v>
      </c>
      <c r="F59" t="s">
        <v>138</v>
      </c>
      <c r="G59">
        <v>3564338</v>
      </c>
      <c r="H59" t="s">
        <v>139</v>
      </c>
      <c r="I59" t="s">
        <v>120</v>
      </c>
      <c r="J59" t="str">
        <f>"9781479824700"</f>
        <v>9781479824700</v>
      </c>
      <c r="K59" t="s">
        <v>176</v>
      </c>
      <c r="L59">
        <v>8</v>
      </c>
      <c r="O59" t="s">
        <v>30</v>
      </c>
      <c r="P59" t="s">
        <v>29</v>
      </c>
      <c r="Q59" s="1">
        <v>42399.817326388889</v>
      </c>
      <c r="R59">
        <v>7</v>
      </c>
      <c r="S59" t="s">
        <v>31</v>
      </c>
      <c r="T59" t="s">
        <v>141</v>
      </c>
      <c r="U59" t="s">
        <v>142</v>
      </c>
      <c r="V59" s="3">
        <v>42132</v>
      </c>
    </row>
    <row r="60" spans="1:22" x14ac:dyDescent="0.35">
      <c r="A60" s="1">
        <v>42400.040162037039</v>
      </c>
      <c r="B60" s="2">
        <v>8.1770833333333334E-2</v>
      </c>
      <c r="C60" t="s">
        <v>77</v>
      </c>
      <c r="D60" t="s">
        <v>23</v>
      </c>
      <c r="E60" t="s">
        <v>24</v>
      </c>
      <c r="F60" t="s">
        <v>78</v>
      </c>
      <c r="G60">
        <v>1635363</v>
      </c>
      <c r="H60" t="s">
        <v>26</v>
      </c>
      <c r="I60" t="s">
        <v>79</v>
      </c>
      <c r="J60" t="str">
        <f>"9781118678206"</f>
        <v>9781118678206</v>
      </c>
      <c r="K60" t="s">
        <v>177</v>
      </c>
      <c r="L60">
        <v>42</v>
      </c>
      <c r="O60" t="s">
        <v>30</v>
      </c>
      <c r="P60" t="s">
        <v>29</v>
      </c>
      <c r="Q60" s="1">
        <v>42395.007106481484</v>
      </c>
      <c r="R60">
        <v>7</v>
      </c>
      <c r="S60" t="s">
        <v>31</v>
      </c>
      <c r="T60" t="s">
        <v>81</v>
      </c>
      <c r="U60">
        <v>340.07600000000002</v>
      </c>
      <c r="V60" s="3">
        <v>41684</v>
      </c>
    </row>
    <row r="61" spans="1:22" x14ac:dyDescent="0.35">
      <c r="A61" s="1">
        <v>42399.97247685185</v>
      </c>
      <c r="B61" s="2">
        <v>3.4722222222222222E-5</v>
      </c>
      <c r="C61" t="s">
        <v>106</v>
      </c>
      <c r="D61" t="s">
        <v>23</v>
      </c>
      <c r="E61" t="s">
        <v>24</v>
      </c>
      <c r="F61" t="s">
        <v>178</v>
      </c>
      <c r="G61">
        <v>1158634</v>
      </c>
      <c r="H61" t="s">
        <v>26</v>
      </c>
      <c r="I61" t="s">
        <v>179</v>
      </c>
      <c r="J61" t="str">
        <f>"9781118681961"</f>
        <v>9781118681961</v>
      </c>
      <c r="K61" t="s">
        <v>33</v>
      </c>
      <c r="L61">
        <v>3</v>
      </c>
      <c r="O61" t="s">
        <v>30</v>
      </c>
      <c r="P61" t="s">
        <v>42</v>
      </c>
      <c r="S61" t="s">
        <v>31</v>
      </c>
      <c r="T61" t="s">
        <v>180</v>
      </c>
      <c r="U61">
        <v>547</v>
      </c>
      <c r="V61" s="3">
        <v>41366</v>
      </c>
    </row>
    <row r="62" spans="1:22" x14ac:dyDescent="0.35">
      <c r="A62" s="1">
        <v>42399.915416666663</v>
      </c>
      <c r="B62" s="2">
        <v>4.071759259259259E-2</v>
      </c>
      <c r="C62" t="s">
        <v>77</v>
      </c>
      <c r="D62" t="s">
        <v>23</v>
      </c>
      <c r="E62" t="s">
        <v>24</v>
      </c>
      <c r="F62" t="s">
        <v>78</v>
      </c>
      <c r="G62">
        <v>1635363</v>
      </c>
      <c r="H62" t="s">
        <v>26</v>
      </c>
      <c r="I62" t="s">
        <v>79</v>
      </c>
      <c r="J62" t="str">
        <f>"9781118678206"</f>
        <v>9781118678206</v>
      </c>
      <c r="K62" t="s">
        <v>181</v>
      </c>
      <c r="L62">
        <v>51</v>
      </c>
      <c r="O62" t="s">
        <v>30</v>
      </c>
      <c r="P62" t="s">
        <v>29</v>
      </c>
      <c r="Q62" s="1">
        <v>42395.007106481484</v>
      </c>
      <c r="R62">
        <v>7</v>
      </c>
      <c r="S62" t="s">
        <v>31</v>
      </c>
      <c r="T62" t="s">
        <v>81</v>
      </c>
      <c r="U62">
        <v>340.07600000000002</v>
      </c>
      <c r="V62" s="3">
        <v>41684</v>
      </c>
    </row>
    <row r="63" spans="1:22" x14ac:dyDescent="0.35">
      <c r="A63" s="1">
        <v>42399.817326388889</v>
      </c>
      <c r="B63" s="2">
        <v>0</v>
      </c>
      <c r="C63" t="s">
        <v>137</v>
      </c>
      <c r="D63" t="s">
        <v>23</v>
      </c>
      <c r="E63" t="s">
        <v>24</v>
      </c>
      <c r="F63" t="s">
        <v>138</v>
      </c>
      <c r="G63">
        <v>3564338</v>
      </c>
      <c r="H63" t="s">
        <v>139</v>
      </c>
      <c r="I63" t="s">
        <v>120</v>
      </c>
      <c r="J63" t="str">
        <f>"9781479824700"</f>
        <v>9781479824700</v>
      </c>
      <c r="K63" t="s">
        <v>182</v>
      </c>
      <c r="L63">
        <v>1</v>
      </c>
      <c r="O63" t="s">
        <v>30</v>
      </c>
      <c r="P63" t="s">
        <v>29</v>
      </c>
      <c r="Q63" s="1">
        <v>42399.817326388889</v>
      </c>
      <c r="R63">
        <v>7</v>
      </c>
      <c r="S63" t="s">
        <v>31</v>
      </c>
      <c r="T63" t="s">
        <v>141</v>
      </c>
      <c r="U63" t="s">
        <v>142</v>
      </c>
      <c r="V63" s="3">
        <v>42132</v>
      </c>
    </row>
    <row r="64" spans="1:22" x14ac:dyDescent="0.35">
      <c r="A64" s="1">
        <v>42399.796770833331</v>
      </c>
      <c r="B64" s="2">
        <v>2.0543981481481479E-2</v>
      </c>
      <c r="C64" t="s">
        <v>137</v>
      </c>
      <c r="D64" t="s">
        <v>23</v>
      </c>
      <c r="E64" t="s">
        <v>24</v>
      </c>
      <c r="F64" t="s">
        <v>138</v>
      </c>
      <c r="G64">
        <v>3564338</v>
      </c>
      <c r="H64" t="s">
        <v>139</v>
      </c>
      <c r="I64" t="s">
        <v>120</v>
      </c>
      <c r="J64" t="str">
        <f>"9781479824700"</f>
        <v>9781479824700</v>
      </c>
      <c r="K64" t="s">
        <v>183</v>
      </c>
      <c r="L64">
        <v>14</v>
      </c>
      <c r="O64" t="s">
        <v>30</v>
      </c>
      <c r="P64" t="s">
        <v>50</v>
      </c>
      <c r="S64" t="s">
        <v>31</v>
      </c>
      <c r="T64" t="s">
        <v>141</v>
      </c>
      <c r="U64" t="s">
        <v>142</v>
      </c>
      <c r="V64" s="3">
        <v>42132</v>
      </c>
    </row>
    <row r="65" spans="1:22" x14ac:dyDescent="0.35">
      <c r="A65" s="1">
        <v>42399.78701388889</v>
      </c>
      <c r="B65" s="2">
        <v>9.0277777777777784E-4</v>
      </c>
      <c r="C65" t="s">
        <v>184</v>
      </c>
      <c r="D65" t="s">
        <v>23</v>
      </c>
      <c r="E65" t="s">
        <v>24</v>
      </c>
      <c r="F65" t="s">
        <v>185</v>
      </c>
      <c r="G65">
        <v>1158037</v>
      </c>
      <c r="H65" t="s">
        <v>186</v>
      </c>
      <c r="I65" t="s">
        <v>187</v>
      </c>
      <c r="J65" t="str">
        <f>"9781780642987"</f>
        <v>9781780642987</v>
      </c>
      <c r="K65" t="s">
        <v>188</v>
      </c>
      <c r="L65">
        <v>26</v>
      </c>
      <c r="O65" t="s">
        <v>30</v>
      </c>
      <c r="P65" t="s">
        <v>50</v>
      </c>
      <c r="S65" t="s">
        <v>31</v>
      </c>
      <c r="U65">
        <v>636.08320000000003</v>
      </c>
      <c r="V65" s="3">
        <v>41337</v>
      </c>
    </row>
    <row r="66" spans="1:22" x14ac:dyDescent="0.35">
      <c r="A66" s="1">
        <v>42399.78324074074</v>
      </c>
      <c r="B66" s="2">
        <v>1.1921296296296296E-3</v>
      </c>
      <c r="C66" t="s">
        <v>106</v>
      </c>
      <c r="D66" t="s">
        <v>23</v>
      </c>
      <c r="E66" t="s">
        <v>24</v>
      </c>
      <c r="F66" t="s">
        <v>189</v>
      </c>
      <c r="G66">
        <v>1882235</v>
      </c>
      <c r="H66" t="s">
        <v>26</v>
      </c>
      <c r="I66" t="s">
        <v>190</v>
      </c>
      <c r="J66" t="str">
        <f>"9781118935217"</f>
        <v>9781118935217</v>
      </c>
      <c r="K66" t="s">
        <v>191</v>
      </c>
      <c r="L66">
        <v>18</v>
      </c>
      <c r="O66" t="s">
        <v>30</v>
      </c>
      <c r="P66" t="s">
        <v>50</v>
      </c>
      <c r="S66" t="s">
        <v>31</v>
      </c>
      <c r="T66" t="s">
        <v>192</v>
      </c>
      <c r="U66" t="s">
        <v>193</v>
      </c>
      <c r="V66" s="3">
        <v>41978</v>
      </c>
    </row>
    <row r="67" spans="1:22" x14ac:dyDescent="0.35">
      <c r="A67" s="1">
        <v>42399.776620370372</v>
      </c>
      <c r="B67" s="2">
        <v>4.6296296296296294E-5</v>
      </c>
      <c r="C67" t="s">
        <v>145</v>
      </c>
      <c r="D67" t="s">
        <v>146</v>
      </c>
      <c r="E67" t="s">
        <v>147</v>
      </c>
      <c r="F67" t="s">
        <v>148</v>
      </c>
      <c r="G67">
        <v>877717</v>
      </c>
      <c r="H67" t="s">
        <v>149</v>
      </c>
      <c r="I67" t="s">
        <v>150</v>
      </c>
      <c r="J67" t="str">
        <f>"9781438139265"</f>
        <v>9781438139265</v>
      </c>
      <c r="K67" t="s">
        <v>194</v>
      </c>
      <c r="L67">
        <v>4</v>
      </c>
      <c r="O67" t="s">
        <v>30</v>
      </c>
      <c r="P67" t="s">
        <v>29</v>
      </c>
      <c r="Q67" s="1">
        <v>42399.776620370372</v>
      </c>
      <c r="R67">
        <v>7</v>
      </c>
      <c r="S67" t="s">
        <v>152</v>
      </c>
      <c r="T67" t="s">
        <v>153</v>
      </c>
      <c r="U67" t="s">
        <v>154</v>
      </c>
      <c r="V67" s="3">
        <v>40909</v>
      </c>
    </row>
    <row r="68" spans="1:22" x14ac:dyDescent="0.35">
      <c r="A68" s="1">
        <v>42399.768692129626</v>
      </c>
      <c r="B68" s="2">
        <v>7.9282407407407409E-3</v>
      </c>
      <c r="C68" t="s">
        <v>145</v>
      </c>
      <c r="D68" t="s">
        <v>146</v>
      </c>
      <c r="E68" t="s">
        <v>147</v>
      </c>
      <c r="F68" t="s">
        <v>148</v>
      </c>
      <c r="G68">
        <v>877717</v>
      </c>
      <c r="H68" t="s">
        <v>149</v>
      </c>
      <c r="I68" t="s">
        <v>150</v>
      </c>
      <c r="J68" t="str">
        <f>"9781438139265"</f>
        <v>9781438139265</v>
      </c>
      <c r="K68" t="s">
        <v>33</v>
      </c>
      <c r="L68">
        <v>3</v>
      </c>
      <c r="O68" t="s">
        <v>30</v>
      </c>
      <c r="P68" t="s">
        <v>42</v>
      </c>
      <c r="S68" t="s">
        <v>152</v>
      </c>
      <c r="T68" t="s">
        <v>153</v>
      </c>
      <c r="U68" t="s">
        <v>154</v>
      </c>
      <c r="V68" s="3">
        <v>40909</v>
      </c>
    </row>
    <row r="69" spans="1:22" x14ac:dyDescent="0.35">
      <c r="A69" s="1">
        <v>42399.761446759258</v>
      </c>
      <c r="B69" s="2">
        <v>4.8611111111111104E-4</v>
      </c>
      <c r="C69" t="s">
        <v>195</v>
      </c>
      <c r="D69" t="s">
        <v>35</v>
      </c>
      <c r="E69" t="s">
        <v>36</v>
      </c>
      <c r="F69" t="s">
        <v>111</v>
      </c>
      <c r="G69">
        <v>693176</v>
      </c>
      <c r="H69" t="s">
        <v>26</v>
      </c>
      <c r="I69" t="s">
        <v>112</v>
      </c>
      <c r="J69" t="str">
        <f>"9781118017746"</f>
        <v>9781118017746</v>
      </c>
      <c r="K69" t="s">
        <v>196</v>
      </c>
      <c r="L69">
        <v>9</v>
      </c>
      <c r="O69" t="s">
        <v>30</v>
      </c>
      <c r="P69" t="s">
        <v>29</v>
      </c>
      <c r="Q69" s="1">
        <v>42396.707511574074</v>
      </c>
      <c r="R69">
        <v>7</v>
      </c>
      <c r="S69" t="s">
        <v>40</v>
      </c>
      <c r="T69" t="s">
        <v>114</v>
      </c>
      <c r="U69" t="s">
        <v>115</v>
      </c>
      <c r="V69" s="3">
        <v>40835</v>
      </c>
    </row>
    <row r="70" spans="1:22" x14ac:dyDescent="0.35">
      <c r="A70" s="1">
        <v>42399.758402777778</v>
      </c>
      <c r="B70" s="2">
        <v>0</v>
      </c>
      <c r="C70" t="s">
        <v>195</v>
      </c>
      <c r="D70" t="s">
        <v>35</v>
      </c>
      <c r="E70" t="s">
        <v>36</v>
      </c>
      <c r="F70" t="s">
        <v>111</v>
      </c>
      <c r="G70">
        <v>693176</v>
      </c>
      <c r="H70" t="s">
        <v>26</v>
      </c>
      <c r="I70" t="s">
        <v>112</v>
      </c>
      <c r="J70" t="str">
        <f>"9781118017746"</f>
        <v>9781118017746</v>
      </c>
      <c r="L70">
        <v>0</v>
      </c>
      <c r="O70" t="s">
        <v>28</v>
      </c>
      <c r="P70" t="s">
        <v>29</v>
      </c>
      <c r="Q70" s="1">
        <v>42396.707511574074</v>
      </c>
      <c r="R70">
        <v>7</v>
      </c>
      <c r="S70" t="s">
        <v>40</v>
      </c>
      <c r="T70" t="s">
        <v>114</v>
      </c>
      <c r="U70" t="s">
        <v>115</v>
      </c>
      <c r="V70" s="3">
        <v>40835</v>
      </c>
    </row>
    <row r="71" spans="1:22" x14ac:dyDescent="0.35">
      <c r="A71" s="1">
        <v>42399.756909722222</v>
      </c>
      <c r="B71" s="2">
        <v>4.1666666666666669E-4</v>
      </c>
      <c r="C71" t="s">
        <v>195</v>
      </c>
      <c r="D71" t="s">
        <v>35</v>
      </c>
      <c r="E71" t="s">
        <v>36</v>
      </c>
      <c r="F71" t="s">
        <v>111</v>
      </c>
      <c r="G71">
        <v>693176</v>
      </c>
      <c r="H71" t="s">
        <v>26</v>
      </c>
      <c r="I71" t="s">
        <v>112</v>
      </c>
      <c r="J71" t="str">
        <f>"9781118017746"</f>
        <v>9781118017746</v>
      </c>
      <c r="K71" t="s">
        <v>197</v>
      </c>
      <c r="L71">
        <v>8</v>
      </c>
      <c r="M71" t="s">
        <v>173</v>
      </c>
      <c r="O71" t="s">
        <v>30</v>
      </c>
      <c r="P71" t="s">
        <v>29</v>
      </c>
      <c r="Q71" s="1">
        <v>42396.707511574074</v>
      </c>
      <c r="R71">
        <v>7</v>
      </c>
      <c r="S71" t="s">
        <v>40</v>
      </c>
      <c r="T71" t="s">
        <v>114</v>
      </c>
      <c r="U71" t="s">
        <v>115</v>
      </c>
      <c r="V71" s="3">
        <v>40835</v>
      </c>
    </row>
    <row r="72" spans="1:22" x14ac:dyDescent="0.35">
      <c r="A72" s="1">
        <v>42399.750196759262</v>
      </c>
      <c r="B72" s="2">
        <v>2.3263888888888887E-3</v>
      </c>
      <c r="C72" t="s">
        <v>195</v>
      </c>
      <c r="D72" t="s">
        <v>35</v>
      </c>
      <c r="E72" t="s">
        <v>36</v>
      </c>
      <c r="F72" t="s">
        <v>111</v>
      </c>
      <c r="G72">
        <v>693176</v>
      </c>
      <c r="H72" t="s">
        <v>26</v>
      </c>
      <c r="I72" t="s">
        <v>112</v>
      </c>
      <c r="J72" t="str">
        <f>"9781118017746"</f>
        <v>9781118017746</v>
      </c>
      <c r="K72" t="s">
        <v>197</v>
      </c>
      <c r="L72">
        <v>8</v>
      </c>
      <c r="M72" t="s">
        <v>173</v>
      </c>
      <c r="O72" t="s">
        <v>30</v>
      </c>
      <c r="P72" t="s">
        <v>29</v>
      </c>
      <c r="Q72" s="1">
        <v>42396.707511574074</v>
      </c>
      <c r="R72">
        <v>7</v>
      </c>
      <c r="S72" t="s">
        <v>40</v>
      </c>
      <c r="T72" t="s">
        <v>114</v>
      </c>
      <c r="U72" t="s">
        <v>115</v>
      </c>
      <c r="V72" s="3">
        <v>40835</v>
      </c>
    </row>
    <row r="73" spans="1:22" x14ac:dyDescent="0.35">
      <c r="A73" s="1">
        <v>42399.737812500003</v>
      </c>
      <c r="B73" s="2">
        <v>2.7777777777777778E-4</v>
      </c>
      <c r="C73" t="s">
        <v>198</v>
      </c>
      <c r="D73" t="s">
        <v>23</v>
      </c>
      <c r="E73" t="s">
        <v>24</v>
      </c>
      <c r="F73" t="s">
        <v>199</v>
      </c>
      <c r="G73">
        <v>1120063</v>
      </c>
      <c r="H73" t="s">
        <v>26</v>
      </c>
      <c r="I73" t="s">
        <v>200</v>
      </c>
      <c r="J73" t="str">
        <f>"9781118418932"</f>
        <v>9781118418932</v>
      </c>
      <c r="K73" t="s">
        <v>105</v>
      </c>
      <c r="L73">
        <v>1</v>
      </c>
      <c r="M73" t="s">
        <v>105</v>
      </c>
      <c r="O73" t="s">
        <v>30</v>
      </c>
      <c r="P73" t="s">
        <v>29</v>
      </c>
      <c r="Q73" s="1">
        <v>42399.737812500003</v>
      </c>
      <c r="R73">
        <v>7</v>
      </c>
      <c r="S73" t="s">
        <v>31</v>
      </c>
      <c r="T73" t="s">
        <v>201</v>
      </c>
      <c r="U73">
        <v>720.28</v>
      </c>
      <c r="V73" s="3">
        <v>41303</v>
      </c>
    </row>
    <row r="74" spans="1:22" x14ac:dyDescent="0.35">
      <c r="A74" s="1">
        <v>42399.737627314818</v>
      </c>
      <c r="B74" s="2">
        <v>1.8518518518518518E-4</v>
      </c>
      <c r="C74" t="s">
        <v>198</v>
      </c>
      <c r="D74" t="s">
        <v>23</v>
      </c>
      <c r="E74" t="s">
        <v>24</v>
      </c>
      <c r="F74" t="s">
        <v>199</v>
      </c>
      <c r="G74">
        <v>1120063</v>
      </c>
      <c r="H74" t="s">
        <v>26</v>
      </c>
      <c r="I74" t="s">
        <v>200</v>
      </c>
      <c r="J74" t="str">
        <f>"9781118418932"</f>
        <v>9781118418932</v>
      </c>
      <c r="K74" t="s">
        <v>202</v>
      </c>
      <c r="L74">
        <v>3</v>
      </c>
      <c r="O74" t="s">
        <v>30</v>
      </c>
      <c r="P74" t="s">
        <v>42</v>
      </c>
      <c r="S74" t="s">
        <v>31</v>
      </c>
      <c r="T74" t="s">
        <v>201</v>
      </c>
      <c r="U74">
        <v>720.28</v>
      </c>
      <c r="V74" s="3">
        <v>41303</v>
      </c>
    </row>
    <row r="75" spans="1:22" x14ac:dyDescent="0.35">
      <c r="A75" s="1">
        <v>42399.727743055555</v>
      </c>
      <c r="B75" s="2">
        <v>1.0763888888888889E-3</v>
      </c>
      <c r="C75" t="s">
        <v>203</v>
      </c>
      <c r="D75" t="s">
        <v>35</v>
      </c>
      <c r="E75" t="s">
        <v>36</v>
      </c>
      <c r="F75" t="s">
        <v>37</v>
      </c>
      <c r="G75">
        <v>1684620</v>
      </c>
      <c r="H75" t="s">
        <v>26</v>
      </c>
      <c r="I75" t="s">
        <v>38</v>
      </c>
      <c r="J75" t="str">
        <f>"9781118418925"</f>
        <v>9781118418925</v>
      </c>
      <c r="K75" t="s">
        <v>105</v>
      </c>
      <c r="L75">
        <v>1</v>
      </c>
      <c r="O75" t="s">
        <v>28</v>
      </c>
      <c r="P75" t="s">
        <v>29</v>
      </c>
      <c r="Q75" s="1">
        <v>42399.720879629633</v>
      </c>
      <c r="R75">
        <v>7</v>
      </c>
      <c r="S75" t="s">
        <v>40</v>
      </c>
      <c r="T75" t="s">
        <v>41</v>
      </c>
      <c r="U75">
        <v>362.10680000000002</v>
      </c>
      <c r="V75" s="3">
        <v>41759</v>
      </c>
    </row>
    <row r="76" spans="1:22" x14ac:dyDescent="0.35">
      <c r="A76" s="1">
        <v>42399.727581018517</v>
      </c>
      <c r="B76" s="2">
        <v>3.4722222222222222E-5</v>
      </c>
      <c r="C76" t="s">
        <v>203</v>
      </c>
      <c r="D76" t="s">
        <v>35</v>
      </c>
      <c r="E76" t="s">
        <v>36</v>
      </c>
      <c r="F76" t="s">
        <v>37</v>
      </c>
      <c r="G76">
        <v>1684620</v>
      </c>
      <c r="H76" t="s">
        <v>26</v>
      </c>
      <c r="I76" t="s">
        <v>38</v>
      </c>
      <c r="J76" t="str">
        <f>"9781118418925"</f>
        <v>9781118418925</v>
      </c>
      <c r="K76" t="s">
        <v>33</v>
      </c>
      <c r="L76">
        <v>3</v>
      </c>
      <c r="O76" t="s">
        <v>30</v>
      </c>
      <c r="P76" t="s">
        <v>29</v>
      </c>
      <c r="Q76" s="1">
        <v>42399.720879629633</v>
      </c>
      <c r="R76">
        <v>7</v>
      </c>
      <c r="S76" t="s">
        <v>40</v>
      </c>
      <c r="T76" t="s">
        <v>41</v>
      </c>
      <c r="U76">
        <v>362.10680000000002</v>
      </c>
      <c r="V76" s="3">
        <v>41759</v>
      </c>
    </row>
    <row r="77" spans="1:22" x14ac:dyDescent="0.35">
      <c r="A77" s="1">
        <v>42399.720879629633</v>
      </c>
      <c r="B77" s="2">
        <v>9.0856481481481483E-3</v>
      </c>
      <c r="C77" t="s">
        <v>203</v>
      </c>
      <c r="D77" t="s">
        <v>35</v>
      </c>
      <c r="E77" t="s">
        <v>36</v>
      </c>
      <c r="F77" t="s">
        <v>37</v>
      </c>
      <c r="G77">
        <v>1684620</v>
      </c>
      <c r="H77" t="s">
        <v>26</v>
      </c>
      <c r="I77" t="s">
        <v>38</v>
      </c>
      <c r="J77" t="str">
        <f>"9781118418925"</f>
        <v>9781118418925</v>
      </c>
      <c r="K77" t="s">
        <v>204</v>
      </c>
      <c r="L77">
        <v>7</v>
      </c>
      <c r="O77" t="s">
        <v>28</v>
      </c>
      <c r="P77" t="s">
        <v>29</v>
      </c>
      <c r="Q77" s="1">
        <v>42399.720879629633</v>
      </c>
      <c r="R77">
        <v>7</v>
      </c>
      <c r="S77" t="s">
        <v>40</v>
      </c>
      <c r="T77" t="s">
        <v>41</v>
      </c>
      <c r="U77">
        <v>362.10680000000002</v>
      </c>
      <c r="V77" s="3">
        <v>41759</v>
      </c>
    </row>
    <row r="78" spans="1:22" x14ac:dyDescent="0.35">
      <c r="A78" s="1">
        <v>42399.720879629633</v>
      </c>
      <c r="B78" s="2">
        <v>0</v>
      </c>
      <c r="C78" t="s">
        <v>203</v>
      </c>
      <c r="D78" t="s">
        <v>35</v>
      </c>
      <c r="E78" t="s">
        <v>36</v>
      </c>
      <c r="F78" t="s">
        <v>37</v>
      </c>
      <c r="G78">
        <v>1684620</v>
      </c>
      <c r="H78" t="s">
        <v>26</v>
      </c>
      <c r="I78" t="s">
        <v>38</v>
      </c>
      <c r="J78" t="str">
        <f>"9781118418925"</f>
        <v>9781118418925</v>
      </c>
      <c r="L78">
        <v>0</v>
      </c>
      <c r="O78" t="s">
        <v>30</v>
      </c>
      <c r="P78" t="s">
        <v>29</v>
      </c>
      <c r="Q78" s="1">
        <v>42399.720879629633</v>
      </c>
      <c r="R78">
        <v>7</v>
      </c>
      <c r="S78" t="s">
        <v>40</v>
      </c>
      <c r="T78" t="s">
        <v>41</v>
      </c>
      <c r="U78">
        <v>362.10680000000002</v>
      </c>
      <c r="V78" s="3">
        <v>41759</v>
      </c>
    </row>
    <row r="79" spans="1:22" x14ac:dyDescent="0.35">
      <c r="A79" s="1">
        <v>42399.720729166664</v>
      </c>
      <c r="B79" s="2">
        <v>3.4722222222222222E-5</v>
      </c>
      <c r="C79" t="s">
        <v>124</v>
      </c>
      <c r="D79" t="s">
        <v>125</v>
      </c>
      <c r="E79" t="s">
        <v>126</v>
      </c>
      <c r="F79" t="s">
        <v>205</v>
      </c>
      <c r="G79">
        <v>849909</v>
      </c>
      <c r="H79" t="s">
        <v>26</v>
      </c>
      <c r="I79" t="s">
        <v>206</v>
      </c>
      <c r="J79" t="str">
        <f>"9781118319451"</f>
        <v>9781118319451</v>
      </c>
      <c r="K79" t="s">
        <v>33</v>
      </c>
      <c r="L79">
        <v>3</v>
      </c>
      <c r="O79" t="s">
        <v>30</v>
      </c>
      <c r="P79" t="s">
        <v>42</v>
      </c>
      <c r="S79" t="s">
        <v>128</v>
      </c>
      <c r="T79" t="s">
        <v>207</v>
      </c>
      <c r="U79" t="s">
        <v>208</v>
      </c>
      <c r="V79" s="3">
        <v>40932</v>
      </c>
    </row>
    <row r="80" spans="1:22" x14ac:dyDescent="0.35">
      <c r="A80" s="1">
        <v>42399.720636574071</v>
      </c>
      <c r="B80" s="2">
        <v>2.4305555555555552E-4</v>
      </c>
      <c r="C80" t="s">
        <v>203</v>
      </c>
      <c r="D80" t="s">
        <v>35</v>
      </c>
      <c r="E80" t="s">
        <v>36</v>
      </c>
      <c r="F80" t="s">
        <v>37</v>
      </c>
      <c r="G80">
        <v>1684620</v>
      </c>
      <c r="H80" t="s">
        <v>26</v>
      </c>
      <c r="I80" t="s">
        <v>38</v>
      </c>
      <c r="J80" t="str">
        <f>"9781118418925"</f>
        <v>9781118418925</v>
      </c>
      <c r="K80" t="s">
        <v>209</v>
      </c>
      <c r="L80">
        <v>4</v>
      </c>
      <c r="O80" t="s">
        <v>30</v>
      </c>
      <c r="P80" t="s">
        <v>42</v>
      </c>
      <c r="S80" t="s">
        <v>40</v>
      </c>
      <c r="T80" t="s">
        <v>41</v>
      </c>
      <c r="U80">
        <v>362.10680000000002</v>
      </c>
      <c r="V80" s="3">
        <v>41759</v>
      </c>
    </row>
    <row r="81" spans="1:22" x14ac:dyDescent="0.35">
      <c r="A81" s="1">
        <v>42399.704143518517</v>
      </c>
      <c r="B81" s="2">
        <v>3.2754629629629631E-3</v>
      </c>
      <c r="C81" t="s">
        <v>210</v>
      </c>
      <c r="D81" t="s">
        <v>211</v>
      </c>
      <c r="E81" t="s">
        <v>212</v>
      </c>
      <c r="F81" t="s">
        <v>52</v>
      </c>
      <c r="G81">
        <v>822040</v>
      </c>
      <c r="H81" t="s">
        <v>26</v>
      </c>
      <c r="I81" t="s">
        <v>53</v>
      </c>
      <c r="J81" t="str">
        <f>"9781118289099"</f>
        <v>9781118289099</v>
      </c>
      <c r="K81" t="s">
        <v>213</v>
      </c>
      <c r="L81">
        <v>22</v>
      </c>
      <c r="O81" t="s">
        <v>30</v>
      </c>
      <c r="P81" t="s">
        <v>42</v>
      </c>
      <c r="S81" t="s">
        <v>214</v>
      </c>
      <c r="T81" t="s">
        <v>55</v>
      </c>
      <c r="U81" t="s">
        <v>56</v>
      </c>
      <c r="V81" s="3">
        <v>40990</v>
      </c>
    </row>
    <row r="82" spans="1:22" x14ac:dyDescent="0.35">
      <c r="A82" s="1">
        <v>42399.68681712963</v>
      </c>
      <c r="B82" s="2">
        <v>1.1238425925925928E-2</v>
      </c>
      <c r="C82" t="s">
        <v>106</v>
      </c>
      <c r="D82" t="s">
        <v>23</v>
      </c>
      <c r="E82" t="s">
        <v>24</v>
      </c>
      <c r="F82" t="s">
        <v>215</v>
      </c>
      <c r="G82">
        <v>1574790</v>
      </c>
      <c r="H82" t="s">
        <v>68</v>
      </c>
      <c r="I82" t="s">
        <v>27</v>
      </c>
      <c r="J82" t="str">
        <f>"9781317898610"</f>
        <v>9781317898610</v>
      </c>
      <c r="K82" t="s">
        <v>216</v>
      </c>
      <c r="L82">
        <v>19</v>
      </c>
      <c r="O82" t="s">
        <v>30</v>
      </c>
      <c r="P82" t="s">
        <v>47</v>
      </c>
      <c r="Q82" s="1">
        <v>42399.68681712963</v>
      </c>
      <c r="R82">
        <v>1</v>
      </c>
      <c r="S82" t="s">
        <v>31</v>
      </c>
      <c r="T82">
        <v>90024335</v>
      </c>
      <c r="U82">
        <v>401.93</v>
      </c>
      <c r="V82" s="3">
        <v>41610</v>
      </c>
    </row>
    <row r="83" spans="1:22" x14ac:dyDescent="0.35">
      <c r="A83" s="1">
        <v>42399.682372685187</v>
      </c>
      <c r="B83" s="2">
        <v>4.4444444444444444E-3</v>
      </c>
      <c r="C83" t="s">
        <v>106</v>
      </c>
      <c r="D83" t="s">
        <v>23</v>
      </c>
      <c r="E83" t="s">
        <v>24</v>
      </c>
      <c r="F83" t="s">
        <v>215</v>
      </c>
      <c r="G83">
        <v>1574790</v>
      </c>
      <c r="H83" t="s">
        <v>68</v>
      </c>
      <c r="I83" t="s">
        <v>27</v>
      </c>
      <c r="J83" t="str">
        <f>"9781317898610"</f>
        <v>9781317898610</v>
      </c>
      <c r="K83" t="s">
        <v>217</v>
      </c>
      <c r="L83">
        <v>12</v>
      </c>
      <c r="O83" t="s">
        <v>30</v>
      </c>
      <c r="P83" t="s">
        <v>50</v>
      </c>
      <c r="S83" t="s">
        <v>31</v>
      </c>
      <c r="T83">
        <v>90024335</v>
      </c>
      <c r="U83">
        <v>401.93</v>
      </c>
      <c r="V83" s="3">
        <v>41610</v>
      </c>
    </row>
    <row r="84" spans="1:22" x14ac:dyDescent="0.35">
      <c r="A84" s="1">
        <v>42399.669652777775</v>
      </c>
      <c r="B84" s="2">
        <v>3.4722222222222222E-5</v>
      </c>
      <c r="C84" t="s">
        <v>210</v>
      </c>
      <c r="D84" t="s">
        <v>211</v>
      </c>
      <c r="E84" t="s">
        <v>212</v>
      </c>
      <c r="F84" t="s">
        <v>218</v>
      </c>
      <c r="G84">
        <v>1895579</v>
      </c>
      <c r="H84" t="s">
        <v>26</v>
      </c>
      <c r="I84" t="s">
        <v>219</v>
      </c>
      <c r="J84" t="str">
        <f>"9781118757178"</f>
        <v>9781118757178</v>
      </c>
      <c r="K84" t="s">
        <v>33</v>
      </c>
      <c r="L84">
        <v>3</v>
      </c>
      <c r="O84" t="s">
        <v>30</v>
      </c>
      <c r="P84" t="s">
        <v>50</v>
      </c>
      <c r="S84" t="s">
        <v>214</v>
      </c>
      <c r="T84" t="s">
        <v>220</v>
      </c>
      <c r="U84" t="s">
        <v>221</v>
      </c>
      <c r="V84" s="3">
        <v>42072</v>
      </c>
    </row>
    <row r="85" spans="1:22" x14ac:dyDescent="0.35">
      <c r="A85" s="1">
        <v>42399.645231481481</v>
      </c>
      <c r="B85" s="2">
        <v>2.8935185185185188E-3</v>
      </c>
      <c r="C85" t="s">
        <v>222</v>
      </c>
      <c r="D85" t="s">
        <v>23</v>
      </c>
      <c r="E85" t="s">
        <v>24</v>
      </c>
      <c r="F85" t="s">
        <v>223</v>
      </c>
      <c r="G85">
        <v>1895140</v>
      </c>
      <c r="H85" t="s">
        <v>26</v>
      </c>
      <c r="I85" t="s">
        <v>69</v>
      </c>
      <c r="J85" t="str">
        <f t="shared" ref="J85:J90" si="0">"9781118911488"</f>
        <v>9781118911488</v>
      </c>
      <c r="K85" t="s">
        <v>224</v>
      </c>
      <c r="L85">
        <v>1</v>
      </c>
      <c r="O85" t="s">
        <v>28</v>
      </c>
      <c r="P85" t="s">
        <v>29</v>
      </c>
      <c r="Q85" s="1">
        <v>42399.642280092594</v>
      </c>
      <c r="R85">
        <v>7</v>
      </c>
      <c r="S85" t="s">
        <v>31</v>
      </c>
      <c r="T85" t="s">
        <v>225</v>
      </c>
      <c r="U85">
        <v>378.1662</v>
      </c>
      <c r="V85" s="3">
        <v>42086</v>
      </c>
    </row>
    <row r="86" spans="1:22" x14ac:dyDescent="0.35">
      <c r="A86" s="1">
        <v>42399.644479166665</v>
      </c>
      <c r="B86" s="2">
        <v>0</v>
      </c>
      <c r="C86" t="s">
        <v>222</v>
      </c>
      <c r="D86" t="s">
        <v>23</v>
      </c>
      <c r="E86" t="s">
        <v>24</v>
      </c>
      <c r="F86" t="s">
        <v>223</v>
      </c>
      <c r="G86">
        <v>1895140</v>
      </c>
      <c r="H86" t="s">
        <v>26</v>
      </c>
      <c r="I86" t="s">
        <v>69</v>
      </c>
      <c r="J86" t="str">
        <f t="shared" si="0"/>
        <v>9781118911488</v>
      </c>
      <c r="L86">
        <v>0</v>
      </c>
      <c r="O86" t="s">
        <v>28</v>
      </c>
      <c r="P86" t="s">
        <v>29</v>
      </c>
      <c r="Q86" s="1">
        <v>42399.642280092594</v>
      </c>
      <c r="R86">
        <v>7</v>
      </c>
      <c r="S86" t="s">
        <v>31</v>
      </c>
      <c r="T86" t="s">
        <v>225</v>
      </c>
      <c r="U86">
        <v>378.1662</v>
      </c>
      <c r="V86" s="3">
        <v>42086</v>
      </c>
    </row>
    <row r="87" spans="1:22" x14ac:dyDescent="0.35">
      <c r="A87" s="1">
        <v>42399.64434027778</v>
      </c>
      <c r="B87" s="2">
        <v>3.4722222222222222E-5</v>
      </c>
      <c r="C87" t="s">
        <v>222</v>
      </c>
      <c r="D87" t="s">
        <v>23</v>
      </c>
      <c r="E87" t="s">
        <v>24</v>
      </c>
      <c r="F87" t="s">
        <v>223</v>
      </c>
      <c r="G87">
        <v>1895140</v>
      </c>
      <c r="H87" t="s">
        <v>26</v>
      </c>
      <c r="I87" t="s">
        <v>69</v>
      </c>
      <c r="J87" t="str">
        <f t="shared" si="0"/>
        <v>9781118911488</v>
      </c>
      <c r="K87" t="s">
        <v>33</v>
      </c>
      <c r="L87">
        <v>3</v>
      </c>
      <c r="O87" t="s">
        <v>30</v>
      </c>
      <c r="P87" t="s">
        <v>29</v>
      </c>
      <c r="Q87" s="1">
        <v>42399.642280092594</v>
      </c>
      <c r="R87">
        <v>7</v>
      </c>
      <c r="S87" t="s">
        <v>31</v>
      </c>
      <c r="T87" t="s">
        <v>225</v>
      </c>
      <c r="U87">
        <v>378.1662</v>
      </c>
      <c r="V87" s="3">
        <v>42086</v>
      </c>
    </row>
    <row r="88" spans="1:22" x14ac:dyDescent="0.35">
      <c r="A88" s="1">
        <v>42399.642280092594</v>
      </c>
      <c r="B88" s="2">
        <v>0</v>
      </c>
      <c r="C88" t="s">
        <v>222</v>
      </c>
      <c r="D88" t="s">
        <v>23</v>
      </c>
      <c r="E88" t="s">
        <v>24</v>
      </c>
      <c r="F88" t="s">
        <v>223</v>
      </c>
      <c r="G88">
        <v>1895140</v>
      </c>
      <c r="H88" t="s">
        <v>26</v>
      </c>
      <c r="I88" t="s">
        <v>69</v>
      </c>
      <c r="J88" t="str">
        <f t="shared" si="0"/>
        <v>9781118911488</v>
      </c>
      <c r="L88">
        <v>0</v>
      </c>
      <c r="O88" t="s">
        <v>28</v>
      </c>
      <c r="P88" t="s">
        <v>29</v>
      </c>
      <c r="Q88" s="1">
        <v>42399.642280092594</v>
      </c>
      <c r="R88">
        <v>7</v>
      </c>
      <c r="S88" t="s">
        <v>31</v>
      </c>
      <c r="T88" t="s">
        <v>225</v>
      </c>
      <c r="U88">
        <v>378.1662</v>
      </c>
      <c r="V88" s="3">
        <v>42086</v>
      </c>
    </row>
    <row r="89" spans="1:22" x14ac:dyDescent="0.35">
      <c r="A89" s="1">
        <v>42399.642280092594</v>
      </c>
      <c r="B89" s="2">
        <v>0</v>
      </c>
      <c r="C89" t="s">
        <v>222</v>
      </c>
      <c r="D89" t="s">
        <v>23</v>
      </c>
      <c r="E89" t="s">
        <v>24</v>
      </c>
      <c r="F89" t="s">
        <v>223</v>
      </c>
      <c r="G89">
        <v>1895140</v>
      </c>
      <c r="H89" t="s">
        <v>26</v>
      </c>
      <c r="I89" t="s">
        <v>69</v>
      </c>
      <c r="J89" t="str">
        <f t="shared" si="0"/>
        <v>9781118911488</v>
      </c>
      <c r="L89">
        <v>0</v>
      </c>
      <c r="O89" t="s">
        <v>30</v>
      </c>
      <c r="P89" t="s">
        <v>29</v>
      </c>
      <c r="Q89" s="1">
        <v>42399.642280092594</v>
      </c>
      <c r="R89">
        <v>7</v>
      </c>
      <c r="S89" t="s">
        <v>31</v>
      </c>
      <c r="T89" t="s">
        <v>225</v>
      </c>
      <c r="U89">
        <v>378.1662</v>
      </c>
      <c r="V89" s="3">
        <v>42086</v>
      </c>
    </row>
    <row r="90" spans="1:22" x14ac:dyDescent="0.35">
      <c r="A90" s="1">
        <v>42399.642129629632</v>
      </c>
      <c r="B90" s="2">
        <v>1.5046296296296297E-4</v>
      </c>
      <c r="C90" t="s">
        <v>222</v>
      </c>
      <c r="D90" t="s">
        <v>23</v>
      </c>
      <c r="E90" t="s">
        <v>24</v>
      </c>
      <c r="F90" t="s">
        <v>223</v>
      </c>
      <c r="G90">
        <v>1895140</v>
      </c>
      <c r="H90" t="s">
        <v>26</v>
      </c>
      <c r="I90" t="s">
        <v>69</v>
      </c>
      <c r="J90" t="str">
        <f t="shared" si="0"/>
        <v>9781118911488</v>
      </c>
      <c r="K90" t="s">
        <v>33</v>
      </c>
      <c r="L90">
        <v>3</v>
      </c>
      <c r="O90" t="s">
        <v>30</v>
      </c>
      <c r="P90" t="s">
        <v>50</v>
      </c>
      <c r="S90" t="s">
        <v>31</v>
      </c>
      <c r="T90" t="s">
        <v>225</v>
      </c>
      <c r="U90">
        <v>378.1662</v>
      </c>
      <c r="V90" s="3">
        <v>42086</v>
      </c>
    </row>
    <row r="91" spans="1:22" x14ac:dyDescent="0.35">
      <c r="A91" s="1">
        <v>42399.636435185188</v>
      </c>
      <c r="B91" s="2">
        <v>0</v>
      </c>
      <c r="C91" t="s">
        <v>222</v>
      </c>
      <c r="D91" t="s">
        <v>23</v>
      </c>
      <c r="E91" t="s">
        <v>24</v>
      </c>
      <c r="F91" t="s">
        <v>226</v>
      </c>
      <c r="G91">
        <v>1895348</v>
      </c>
      <c r="H91" t="s">
        <v>26</v>
      </c>
      <c r="I91" t="s">
        <v>69</v>
      </c>
      <c r="J91" t="str">
        <f>"9781119068839"</f>
        <v>9781119068839</v>
      </c>
      <c r="L91">
        <v>0</v>
      </c>
      <c r="O91" t="s">
        <v>28</v>
      </c>
      <c r="P91" t="s">
        <v>29</v>
      </c>
      <c r="Q91" s="1">
        <v>42399.636435185188</v>
      </c>
      <c r="R91">
        <v>7</v>
      </c>
      <c r="S91" t="s">
        <v>31</v>
      </c>
      <c r="T91" t="s">
        <v>227</v>
      </c>
      <c r="U91">
        <v>378.16640000000001</v>
      </c>
      <c r="V91" s="3">
        <v>42151</v>
      </c>
    </row>
    <row r="92" spans="1:22" x14ac:dyDescent="0.35">
      <c r="A92" s="1">
        <v>42399.636435185188</v>
      </c>
      <c r="B92" s="2">
        <v>0</v>
      </c>
      <c r="C92" t="s">
        <v>222</v>
      </c>
      <c r="D92" t="s">
        <v>23</v>
      </c>
      <c r="E92" t="s">
        <v>24</v>
      </c>
      <c r="F92" t="s">
        <v>226</v>
      </c>
      <c r="G92">
        <v>1895348</v>
      </c>
      <c r="H92" t="s">
        <v>26</v>
      </c>
      <c r="I92" t="s">
        <v>69</v>
      </c>
      <c r="J92" t="str">
        <f>"9781119068839"</f>
        <v>9781119068839</v>
      </c>
      <c r="L92">
        <v>0</v>
      </c>
      <c r="O92" t="s">
        <v>30</v>
      </c>
      <c r="P92" t="s">
        <v>29</v>
      </c>
      <c r="Q92" s="1">
        <v>42399.636435185188</v>
      </c>
      <c r="R92">
        <v>7</v>
      </c>
      <c r="S92" t="s">
        <v>31</v>
      </c>
      <c r="T92" t="s">
        <v>227</v>
      </c>
      <c r="U92">
        <v>378.16640000000001</v>
      </c>
      <c r="V92" s="3">
        <v>42151</v>
      </c>
    </row>
    <row r="93" spans="1:22" x14ac:dyDescent="0.35">
      <c r="A93" s="1">
        <v>42399.635416666664</v>
      </c>
      <c r="B93" s="2">
        <v>1.0185185185185186E-3</v>
      </c>
      <c r="C93" t="s">
        <v>222</v>
      </c>
      <c r="D93" t="s">
        <v>23</v>
      </c>
      <c r="E93" t="s">
        <v>24</v>
      </c>
      <c r="F93" t="s">
        <v>226</v>
      </c>
      <c r="G93">
        <v>1895348</v>
      </c>
      <c r="H93" t="s">
        <v>26</v>
      </c>
      <c r="I93" t="s">
        <v>69</v>
      </c>
      <c r="J93" t="str">
        <f>"9781119068839"</f>
        <v>9781119068839</v>
      </c>
      <c r="K93" t="s">
        <v>228</v>
      </c>
      <c r="L93">
        <v>20</v>
      </c>
      <c r="O93" t="s">
        <v>30</v>
      </c>
      <c r="P93" t="s">
        <v>42</v>
      </c>
      <c r="S93" t="s">
        <v>31</v>
      </c>
      <c r="T93" t="s">
        <v>227</v>
      </c>
      <c r="U93">
        <v>378.16640000000001</v>
      </c>
      <c r="V93" s="3">
        <v>42151</v>
      </c>
    </row>
    <row r="94" spans="1:22" x14ac:dyDescent="0.35">
      <c r="A94" s="1">
        <v>42399.63</v>
      </c>
      <c r="B94" s="2">
        <v>4.7337962962962958E-3</v>
      </c>
      <c r="C94" t="s">
        <v>145</v>
      </c>
      <c r="D94" t="s">
        <v>146</v>
      </c>
      <c r="E94" t="s">
        <v>147</v>
      </c>
      <c r="F94" t="s">
        <v>148</v>
      </c>
      <c r="G94">
        <v>877717</v>
      </c>
      <c r="H94" t="s">
        <v>149</v>
      </c>
      <c r="I94" t="s">
        <v>150</v>
      </c>
      <c r="J94" t="str">
        <f>"9781438139265"</f>
        <v>9781438139265</v>
      </c>
      <c r="K94" t="s">
        <v>229</v>
      </c>
      <c r="L94">
        <v>25</v>
      </c>
      <c r="O94" t="s">
        <v>30</v>
      </c>
      <c r="P94" t="s">
        <v>42</v>
      </c>
      <c r="S94" t="s">
        <v>152</v>
      </c>
      <c r="T94" t="s">
        <v>153</v>
      </c>
      <c r="U94" t="s">
        <v>154</v>
      </c>
      <c r="V94" s="3">
        <v>40909</v>
      </c>
    </row>
    <row r="95" spans="1:22" x14ac:dyDescent="0.35">
      <c r="A95" s="1">
        <v>42399.60460648148</v>
      </c>
      <c r="B95" s="2">
        <v>2.342592592592593E-2</v>
      </c>
      <c r="C95" t="s">
        <v>110</v>
      </c>
      <c r="D95" t="s">
        <v>35</v>
      </c>
      <c r="E95" t="s">
        <v>36</v>
      </c>
      <c r="F95" t="s">
        <v>111</v>
      </c>
      <c r="G95">
        <v>693176</v>
      </c>
      <c r="H95" t="s">
        <v>26</v>
      </c>
      <c r="I95" t="s">
        <v>112</v>
      </c>
      <c r="J95" t="str">
        <f>"9781118017746"</f>
        <v>9781118017746</v>
      </c>
      <c r="K95" t="s">
        <v>230</v>
      </c>
      <c r="L95">
        <v>20</v>
      </c>
      <c r="O95" t="s">
        <v>30</v>
      </c>
      <c r="P95" t="s">
        <v>29</v>
      </c>
      <c r="Q95" s="1">
        <v>42395.924988425926</v>
      </c>
      <c r="R95">
        <v>7</v>
      </c>
      <c r="S95" t="s">
        <v>40</v>
      </c>
      <c r="T95" t="s">
        <v>114</v>
      </c>
      <c r="U95" t="s">
        <v>115</v>
      </c>
      <c r="V95" s="3">
        <v>40835</v>
      </c>
    </row>
    <row r="96" spans="1:22" x14ac:dyDescent="0.35">
      <c r="A96" s="1">
        <v>42399.153425925928</v>
      </c>
      <c r="B96" s="2">
        <v>1.4351851851851852E-2</v>
      </c>
      <c r="C96" t="s">
        <v>22</v>
      </c>
      <c r="D96" t="s">
        <v>23</v>
      </c>
      <c r="E96" t="s">
        <v>24</v>
      </c>
      <c r="F96" t="s">
        <v>25</v>
      </c>
      <c r="G96">
        <v>1120290</v>
      </c>
      <c r="H96" t="s">
        <v>26</v>
      </c>
      <c r="I96" t="s">
        <v>27</v>
      </c>
      <c r="J96" t="str">
        <f t="shared" ref="J96:J101" si="1">"9781118347478"</f>
        <v>9781118347478</v>
      </c>
      <c r="K96" t="s">
        <v>231</v>
      </c>
      <c r="L96">
        <v>18</v>
      </c>
      <c r="O96" t="s">
        <v>30</v>
      </c>
      <c r="P96" t="s">
        <v>29</v>
      </c>
      <c r="Q96" s="1">
        <v>42395.220312500001</v>
      </c>
      <c r="R96">
        <v>7</v>
      </c>
      <c r="S96" t="s">
        <v>31</v>
      </c>
      <c r="T96" t="s">
        <v>32</v>
      </c>
      <c r="U96">
        <v>421</v>
      </c>
      <c r="V96" s="3">
        <v>41101</v>
      </c>
    </row>
    <row r="97" spans="1:22" x14ac:dyDescent="0.35">
      <c r="A97" s="1">
        <v>42399.153020833335</v>
      </c>
      <c r="B97" s="2">
        <v>0</v>
      </c>
      <c r="C97" t="s">
        <v>22</v>
      </c>
      <c r="D97" t="s">
        <v>23</v>
      </c>
      <c r="E97" t="s">
        <v>24</v>
      </c>
      <c r="F97" t="s">
        <v>25</v>
      </c>
      <c r="G97">
        <v>1120290</v>
      </c>
      <c r="H97" t="s">
        <v>26</v>
      </c>
      <c r="I97" t="s">
        <v>27</v>
      </c>
      <c r="J97" t="str">
        <f t="shared" si="1"/>
        <v>9781118347478</v>
      </c>
      <c r="L97">
        <v>0</v>
      </c>
      <c r="O97" t="s">
        <v>28</v>
      </c>
      <c r="P97" t="s">
        <v>29</v>
      </c>
      <c r="Q97" s="1">
        <v>42395.220312500001</v>
      </c>
      <c r="R97">
        <v>7</v>
      </c>
      <c r="S97" t="s">
        <v>31</v>
      </c>
      <c r="T97" t="s">
        <v>32</v>
      </c>
      <c r="U97">
        <v>421</v>
      </c>
      <c r="V97" s="3">
        <v>41101</v>
      </c>
    </row>
    <row r="98" spans="1:22" x14ac:dyDescent="0.35">
      <c r="A98" s="1">
        <v>42399.118657407409</v>
      </c>
      <c r="B98" s="2">
        <v>0</v>
      </c>
      <c r="C98" t="s">
        <v>22</v>
      </c>
      <c r="D98" t="s">
        <v>23</v>
      </c>
      <c r="E98" t="s">
        <v>24</v>
      </c>
      <c r="F98" t="s">
        <v>25</v>
      </c>
      <c r="G98">
        <v>1120290</v>
      </c>
      <c r="H98" t="s">
        <v>26</v>
      </c>
      <c r="I98" t="s">
        <v>27</v>
      </c>
      <c r="J98" t="str">
        <f t="shared" si="1"/>
        <v>9781118347478</v>
      </c>
      <c r="L98">
        <v>0</v>
      </c>
      <c r="O98" t="s">
        <v>28</v>
      </c>
      <c r="P98" t="s">
        <v>29</v>
      </c>
      <c r="Q98" s="1">
        <v>42395.220312500001</v>
      </c>
      <c r="R98">
        <v>7</v>
      </c>
      <c r="S98" t="s">
        <v>31</v>
      </c>
      <c r="T98" t="s">
        <v>32</v>
      </c>
      <c r="U98">
        <v>421</v>
      </c>
      <c r="V98" s="3">
        <v>41101</v>
      </c>
    </row>
    <row r="99" spans="1:22" x14ac:dyDescent="0.35">
      <c r="A99" s="1">
        <v>42399.10465277778</v>
      </c>
      <c r="B99" s="2">
        <v>1.1331018518518518E-2</v>
      </c>
      <c r="C99" t="s">
        <v>22</v>
      </c>
      <c r="D99" t="s">
        <v>23</v>
      </c>
      <c r="E99" t="s">
        <v>24</v>
      </c>
      <c r="F99" t="s">
        <v>25</v>
      </c>
      <c r="G99">
        <v>1120290</v>
      </c>
      <c r="H99" t="s">
        <v>26</v>
      </c>
      <c r="I99" t="s">
        <v>27</v>
      </c>
      <c r="J99" t="str">
        <f t="shared" si="1"/>
        <v>9781118347478</v>
      </c>
      <c r="K99" t="s">
        <v>232</v>
      </c>
      <c r="L99">
        <v>1</v>
      </c>
      <c r="O99" t="s">
        <v>28</v>
      </c>
      <c r="P99" t="s">
        <v>29</v>
      </c>
      <c r="Q99" s="1">
        <v>42395.220312500001</v>
      </c>
      <c r="R99">
        <v>7</v>
      </c>
      <c r="S99" t="s">
        <v>31</v>
      </c>
      <c r="T99" t="s">
        <v>32</v>
      </c>
      <c r="U99">
        <v>421</v>
      </c>
      <c r="V99" s="3">
        <v>41101</v>
      </c>
    </row>
    <row r="100" spans="1:22" x14ac:dyDescent="0.35">
      <c r="A100" s="1">
        <v>42399.097511574073</v>
      </c>
      <c r="B100" s="2">
        <v>0</v>
      </c>
      <c r="C100" t="s">
        <v>22</v>
      </c>
      <c r="D100" t="s">
        <v>23</v>
      </c>
      <c r="E100" t="s">
        <v>24</v>
      </c>
      <c r="F100" t="s">
        <v>25</v>
      </c>
      <c r="G100">
        <v>1120290</v>
      </c>
      <c r="H100" t="s">
        <v>26</v>
      </c>
      <c r="I100" t="s">
        <v>27</v>
      </c>
      <c r="J100" t="str">
        <f t="shared" si="1"/>
        <v>9781118347478</v>
      </c>
      <c r="L100">
        <v>0</v>
      </c>
      <c r="O100" t="s">
        <v>28</v>
      </c>
      <c r="P100" t="s">
        <v>29</v>
      </c>
      <c r="Q100" s="1">
        <v>42395.220312500001</v>
      </c>
      <c r="R100">
        <v>7</v>
      </c>
      <c r="S100" t="s">
        <v>31</v>
      </c>
      <c r="T100" t="s">
        <v>32</v>
      </c>
      <c r="U100">
        <v>421</v>
      </c>
      <c r="V100" s="3">
        <v>41101</v>
      </c>
    </row>
    <row r="101" spans="1:22" x14ac:dyDescent="0.35">
      <c r="A101" s="1">
        <v>42399.096944444442</v>
      </c>
      <c r="B101" s="2">
        <v>3.2407407407407406E-4</v>
      </c>
      <c r="C101" t="s">
        <v>22</v>
      </c>
      <c r="D101" t="s">
        <v>23</v>
      </c>
      <c r="E101" t="s">
        <v>24</v>
      </c>
      <c r="F101" t="s">
        <v>25</v>
      </c>
      <c r="G101">
        <v>1120290</v>
      </c>
      <c r="H101" t="s">
        <v>26</v>
      </c>
      <c r="I101" t="s">
        <v>27</v>
      </c>
      <c r="J101" t="str">
        <f t="shared" si="1"/>
        <v>9781118347478</v>
      </c>
      <c r="K101" t="s">
        <v>233</v>
      </c>
      <c r="L101">
        <v>8</v>
      </c>
      <c r="O101" t="s">
        <v>30</v>
      </c>
      <c r="P101" t="s">
        <v>29</v>
      </c>
      <c r="Q101" s="1">
        <v>42395.220312500001</v>
      </c>
      <c r="R101">
        <v>7</v>
      </c>
      <c r="S101" t="s">
        <v>31</v>
      </c>
      <c r="T101" t="s">
        <v>32</v>
      </c>
      <c r="U101">
        <v>421</v>
      </c>
      <c r="V101" s="3">
        <v>41101</v>
      </c>
    </row>
    <row r="102" spans="1:22" x14ac:dyDescent="0.35">
      <c r="A102" s="1">
        <v>42399.010636574072</v>
      </c>
      <c r="B102" s="2">
        <v>2.1435185185185186E-2</v>
      </c>
      <c r="C102" t="s">
        <v>234</v>
      </c>
      <c r="D102" t="s">
        <v>23</v>
      </c>
      <c r="E102" t="s">
        <v>24</v>
      </c>
      <c r="F102" t="s">
        <v>235</v>
      </c>
      <c r="G102">
        <v>1935742</v>
      </c>
      <c r="H102" t="s">
        <v>236</v>
      </c>
      <c r="I102" t="s">
        <v>237</v>
      </c>
      <c r="J102" t="str">
        <f>"9781118473252"</f>
        <v>9781118473252</v>
      </c>
      <c r="K102" t="s">
        <v>238</v>
      </c>
      <c r="L102">
        <v>8</v>
      </c>
      <c r="O102" t="s">
        <v>30</v>
      </c>
      <c r="P102" t="s">
        <v>29</v>
      </c>
      <c r="Q102" s="1">
        <v>42399.010636574072</v>
      </c>
      <c r="R102">
        <v>7</v>
      </c>
      <c r="S102" t="s">
        <v>31</v>
      </c>
      <c r="T102" t="s">
        <v>239</v>
      </c>
      <c r="U102">
        <v>550</v>
      </c>
      <c r="V102" s="3">
        <v>41360</v>
      </c>
    </row>
    <row r="103" spans="1:22" x14ac:dyDescent="0.35">
      <c r="A103" s="1">
        <v>42398.990393518521</v>
      </c>
      <c r="B103" s="2">
        <v>2.0243055555555552E-2</v>
      </c>
      <c r="C103" t="s">
        <v>234</v>
      </c>
      <c r="D103" t="s">
        <v>23</v>
      </c>
      <c r="E103" t="s">
        <v>24</v>
      </c>
      <c r="F103" t="s">
        <v>235</v>
      </c>
      <c r="G103">
        <v>1935742</v>
      </c>
      <c r="H103" t="s">
        <v>236</v>
      </c>
      <c r="I103" t="s">
        <v>237</v>
      </c>
      <c r="J103" t="str">
        <f>"9781118473252"</f>
        <v>9781118473252</v>
      </c>
      <c r="K103" t="s">
        <v>33</v>
      </c>
      <c r="L103">
        <v>3</v>
      </c>
      <c r="O103" t="s">
        <v>30</v>
      </c>
      <c r="P103" t="s">
        <v>42</v>
      </c>
      <c r="S103" t="s">
        <v>31</v>
      </c>
      <c r="T103" t="s">
        <v>239</v>
      </c>
      <c r="U103">
        <v>550</v>
      </c>
      <c r="V103" s="3">
        <v>41360</v>
      </c>
    </row>
    <row r="104" spans="1:22" x14ac:dyDescent="0.35">
      <c r="A104" s="1">
        <v>42398.98814814815</v>
      </c>
      <c r="B104" s="2">
        <v>3.7037037037037035E-4</v>
      </c>
      <c r="C104" t="s">
        <v>145</v>
      </c>
      <c r="D104" t="s">
        <v>146</v>
      </c>
      <c r="E104" t="s">
        <v>147</v>
      </c>
      <c r="F104" t="s">
        <v>148</v>
      </c>
      <c r="G104">
        <v>877717</v>
      </c>
      <c r="H104" t="s">
        <v>149</v>
      </c>
      <c r="I104" t="s">
        <v>150</v>
      </c>
      <c r="J104" t="str">
        <f>"9781438139265"</f>
        <v>9781438139265</v>
      </c>
      <c r="K104" t="s">
        <v>240</v>
      </c>
      <c r="L104">
        <v>14</v>
      </c>
      <c r="O104" t="s">
        <v>30</v>
      </c>
      <c r="P104" t="s">
        <v>42</v>
      </c>
      <c r="S104" t="s">
        <v>152</v>
      </c>
      <c r="T104" t="s">
        <v>153</v>
      </c>
      <c r="U104" t="s">
        <v>154</v>
      </c>
      <c r="V104" s="3">
        <v>40909</v>
      </c>
    </row>
    <row r="105" spans="1:22" x14ac:dyDescent="0.35">
      <c r="A105" s="1">
        <v>42398.979328703703</v>
      </c>
      <c r="B105" s="2">
        <v>3.4722222222222222E-5</v>
      </c>
      <c r="C105" t="s">
        <v>241</v>
      </c>
      <c r="D105" t="s">
        <v>23</v>
      </c>
      <c r="E105" t="s">
        <v>24</v>
      </c>
      <c r="F105" t="s">
        <v>242</v>
      </c>
      <c r="G105">
        <v>1708807</v>
      </c>
      <c r="H105" t="s">
        <v>26</v>
      </c>
      <c r="I105" t="s">
        <v>243</v>
      </c>
      <c r="J105" t="str">
        <f>"9781118932490"</f>
        <v>9781118932490</v>
      </c>
      <c r="K105" t="s">
        <v>33</v>
      </c>
      <c r="L105">
        <v>3</v>
      </c>
      <c r="O105" t="s">
        <v>30</v>
      </c>
      <c r="P105" t="s">
        <v>50</v>
      </c>
      <c r="S105" t="s">
        <v>31</v>
      </c>
      <c r="T105" t="s">
        <v>244</v>
      </c>
      <c r="U105">
        <v>6.6868999999999996</v>
      </c>
      <c r="V105" s="3">
        <v>41793</v>
      </c>
    </row>
    <row r="106" spans="1:22" x14ac:dyDescent="0.35">
      <c r="A106" s="1">
        <v>42398.977743055555</v>
      </c>
      <c r="B106" s="2">
        <v>4.6296296296296294E-5</v>
      </c>
      <c r="C106" t="s">
        <v>234</v>
      </c>
      <c r="D106" t="s">
        <v>23</v>
      </c>
      <c r="E106" t="s">
        <v>24</v>
      </c>
      <c r="F106" t="s">
        <v>235</v>
      </c>
      <c r="G106">
        <v>1935742</v>
      </c>
      <c r="H106" t="s">
        <v>236</v>
      </c>
      <c r="I106" t="s">
        <v>237</v>
      </c>
      <c r="J106" t="str">
        <f>"9781118473252"</f>
        <v>9781118473252</v>
      </c>
      <c r="K106" t="s">
        <v>33</v>
      </c>
      <c r="L106">
        <v>3</v>
      </c>
      <c r="O106" t="s">
        <v>30</v>
      </c>
      <c r="P106" t="s">
        <v>42</v>
      </c>
      <c r="S106" t="s">
        <v>31</v>
      </c>
      <c r="T106" t="s">
        <v>239</v>
      </c>
      <c r="U106">
        <v>550</v>
      </c>
      <c r="V106" s="3">
        <v>41360</v>
      </c>
    </row>
    <row r="107" spans="1:22" x14ac:dyDescent="0.35">
      <c r="A107" s="1">
        <v>42398.971967592595</v>
      </c>
      <c r="B107" s="2">
        <v>3.0787037037037037E-3</v>
      </c>
      <c r="C107" t="s">
        <v>245</v>
      </c>
      <c r="D107" t="s">
        <v>23</v>
      </c>
      <c r="E107" t="s">
        <v>24</v>
      </c>
      <c r="F107" t="s">
        <v>246</v>
      </c>
      <c r="G107">
        <v>1682559</v>
      </c>
      <c r="H107" t="s">
        <v>91</v>
      </c>
      <c r="I107" t="s">
        <v>247</v>
      </c>
      <c r="J107" t="str">
        <f>"9781462515431"</f>
        <v>9781462515431</v>
      </c>
      <c r="K107" t="s">
        <v>248</v>
      </c>
      <c r="L107">
        <v>15</v>
      </c>
      <c r="O107" t="s">
        <v>30</v>
      </c>
      <c r="P107" t="s">
        <v>42</v>
      </c>
      <c r="S107" t="s">
        <v>31</v>
      </c>
      <c r="T107" t="s">
        <v>249</v>
      </c>
      <c r="U107">
        <v>616.89</v>
      </c>
      <c r="V107" s="3">
        <v>41769</v>
      </c>
    </row>
    <row r="108" spans="1:22" x14ac:dyDescent="0.35">
      <c r="A108" s="1">
        <v>42398.937951388885</v>
      </c>
      <c r="B108" s="2">
        <v>2.6620370370370372E-4</v>
      </c>
      <c r="C108" t="s">
        <v>250</v>
      </c>
      <c r="D108" t="s">
        <v>23</v>
      </c>
      <c r="E108" t="s">
        <v>24</v>
      </c>
      <c r="F108" t="s">
        <v>251</v>
      </c>
      <c r="G108">
        <v>1896020</v>
      </c>
      <c r="H108" t="s">
        <v>26</v>
      </c>
      <c r="I108" t="s">
        <v>252</v>
      </c>
      <c r="J108" t="str">
        <f>"9781119058304"</f>
        <v>9781119058304</v>
      </c>
      <c r="K108" t="s">
        <v>253</v>
      </c>
      <c r="L108">
        <v>12</v>
      </c>
      <c r="O108" t="s">
        <v>30</v>
      </c>
      <c r="P108" t="s">
        <v>50</v>
      </c>
      <c r="S108" t="s">
        <v>31</v>
      </c>
      <c r="T108" t="s">
        <v>254</v>
      </c>
      <c r="U108" t="s">
        <v>255</v>
      </c>
      <c r="V108" s="3">
        <v>42060</v>
      </c>
    </row>
    <row r="109" spans="1:22" x14ac:dyDescent="0.35">
      <c r="A109" s="1">
        <v>42398.922418981485</v>
      </c>
      <c r="B109" s="2">
        <v>0</v>
      </c>
      <c r="C109" t="s">
        <v>256</v>
      </c>
      <c r="D109" t="s">
        <v>23</v>
      </c>
      <c r="E109" t="s">
        <v>24</v>
      </c>
      <c r="F109" t="s">
        <v>257</v>
      </c>
      <c r="G109">
        <v>1356283</v>
      </c>
      <c r="H109" t="s">
        <v>68</v>
      </c>
      <c r="I109" t="s">
        <v>27</v>
      </c>
      <c r="J109" t="str">
        <f>"9781136488801"</f>
        <v>9781136488801</v>
      </c>
      <c r="K109" t="s">
        <v>258</v>
      </c>
      <c r="L109">
        <v>1</v>
      </c>
      <c r="O109" t="s">
        <v>30</v>
      </c>
      <c r="P109" t="s">
        <v>47</v>
      </c>
      <c r="Q109" s="1">
        <v>42398.922418981485</v>
      </c>
      <c r="R109">
        <v>1</v>
      </c>
      <c r="S109" t="s">
        <v>31</v>
      </c>
      <c r="T109" t="s">
        <v>259</v>
      </c>
      <c r="U109">
        <v>401.93</v>
      </c>
      <c r="V109" s="3">
        <v>41507</v>
      </c>
    </row>
    <row r="110" spans="1:22" x14ac:dyDescent="0.35">
      <c r="A110" s="1">
        <v>42398.915405092594</v>
      </c>
      <c r="B110" s="2">
        <v>3.4722222222222222E-5</v>
      </c>
      <c r="C110" t="s">
        <v>260</v>
      </c>
      <c r="D110" t="s">
        <v>261</v>
      </c>
      <c r="E110" t="s">
        <v>262</v>
      </c>
      <c r="F110" t="s">
        <v>263</v>
      </c>
      <c r="G110">
        <v>1895434</v>
      </c>
      <c r="H110" t="s">
        <v>26</v>
      </c>
      <c r="J110" t="str">
        <f>"9781118384206"</f>
        <v>9781118384206</v>
      </c>
      <c r="K110" t="s">
        <v>33</v>
      </c>
      <c r="L110">
        <v>3</v>
      </c>
      <c r="O110" t="s">
        <v>30</v>
      </c>
      <c r="P110" t="s">
        <v>50</v>
      </c>
      <c r="S110" t="s">
        <v>264</v>
      </c>
      <c r="V110" s="3">
        <v>42122</v>
      </c>
    </row>
    <row r="111" spans="1:22" x14ac:dyDescent="0.35">
      <c r="A111" s="1">
        <v>42398.912002314813</v>
      </c>
      <c r="B111" s="2">
        <v>1.0416666666666666E-2</v>
      </c>
      <c r="C111" t="s">
        <v>256</v>
      </c>
      <c r="D111" t="s">
        <v>23</v>
      </c>
      <c r="E111" t="s">
        <v>24</v>
      </c>
      <c r="F111" t="s">
        <v>257</v>
      </c>
      <c r="G111">
        <v>1356283</v>
      </c>
      <c r="H111" t="s">
        <v>68</v>
      </c>
      <c r="I111" t="s">
        <v>27</v>
      </c>
      <c r="J111" t="str">
        <f>"9781136488801"</f>
        <v>9781136488801</v>
      </c>
      <c r="K111" t="s">
        <v>265</v>
      </c>
      <c r="L111">
        <v>20</v>
      </c>
      <c r="O111" t="s">
        <v>30</v>
      </c>
      <c r="P111" t="s">
        <v>50</v>
      </c>
      <c r="S111" t="s">
        <v>31</v>
      </c>
      <c r="T111" t="s">
        <v>259</v>
      </c>
      <c r="U111">
        <v>401.93</v>
      </c>
      <c r="V111" s="3">
        <v>41507</v>
      </c>
    </row>
    <row r="112" spans="1:22" x14ac:dyDescent="0.35">
      <c r="A112" s="1">
        <v>42398.90724537037</v>
      </c>
      <c r="B112" s="2">
        <v>4.8611111111111104E-4</v>
      </c>
      <c r="C112" t="s">
        <v>106</v>
      </c>
      <c r="D112" t="s">
        <v>23</v>
      </c>
      <c r="E112" t="s">
        <v>24</v>
      </c>
      <c r="F112" t="s">
        <v>266</v>
      </c>
      <c r="G112">
        <v>1180918</v>
      </c>
      <c r="H112" t="s">
        <v>26</v>
      </c>
      <c r="I112" t="s">
        <v>267</v>
      </c>
      <c r="J112" t="str">
        <f>"9780745658070"</f>
        <v>9780745658070</v>
      </c>
      <c r="K112" t="s">
        <v>268</v>
      </c>
      <c r="L112">
        <v>8</v>
      </c>
      <c r="O112" t="s">
        <v>28</v>
      </c>
      <c r="P112" t="s">
        <v>47</v>
      </c>
      <c r="Q112" s="1">
        <v>42398.907233796293</v>
      </c>
      <c r="R112">
        <v>1</v>
      </c>
      <c r="S112" t="s">
        <v>31</v>
      </c>
      <c r="T112" t="s">
        <v>269</v>
      </c>
      <c r="U112">
        <v>306.34201899999999</v>
      </c>
      <c r="V112" s="3">
        <v>41387</v>
      </c>
    </row>
    <row r="113" spans="1:22" x14ac:dyDescent="0.35">
      <c r="A113" s="1">
        <v>42398.90724537037</v>
      </c>
      <c r="B113" s="2">
        <v>0</v>
      </c>
      <c r="C113" t="s">
        <v>106</v>
      </c>
      <c r="D113" t="s">
        <v>23</v>
      </c>
      <c r="E113" t="s">
        <v>24</v>
      </c>
      <c r="F113" t="s">
        <v>266</v>
      </c>
      <c r="G113">
        <v>1180918</v>
      </c>
      <c r="H113" t="s">
        <v>26</v>
      </c>
      <c r="I113" t="s">
        <v>267</v>
      </c>
      <c r="J113" t="str">
        <f>"9780745658070"</f>
        <v>9780745658070</v>
      </c>
      <c r="L113">
        <v>0</v>
      </c>
      <c r="O113" t="s">
        <v>30</v>
      </c>
      <c r="P113" t="s">
        <v>47</v>
      </c>
      <c r="Q113" s="1">
        <v>42398.907233796293</v>
      </c>
      <c r="R113">
        <v>1</v>
      </c>
      <c r="S113" t="s">
        <v>31</v>
      </c>
      <c r="T113" t="s">
        <v>269</v>
      </c>
      <c r="U113">
        <v>306.34201899999999</v>
      </c>
      <c r="V113" s="3">
        <v>41387</v>
      </c>
    </row>
    <row r="114" spans="1:22" x14ac:dyDescent="0.35">
      <c r="A114" s="1">
        <v>42398.907060185185</v>
      </c>
      <c r="B114" s="2">
        <v>1.7361111111111112E-4</v>
      </c>
      <c r="C114" t="s">
        <v>106</v>
      </c>
      <c r="D114" t="s">
        <v>23</v>
      </c>
      <c r="E114" t="s">
        <v>24</v>
      </c>
      <c r="F114" t="s">
        <v>266</v>
      </c>
      <c r="G114">
        <v>1180918</v>
      </c>
      <c r="H114" t="s">
        <v>26</v>
      </c>
      <c r="I114" t="s">
        <v>267</v>
      </c>
      <c r="J114" t="str">
        <f>"9780745658070"</f>
        <v>9780745658070</v>
      </c>
      <c r="K114" t="s">
        <v>73</v>
      </c>
      <c r="L114">
        <v>3</v>
      </c>
      <c r="O114" t="s">
        <v>30</v>
      </c>
      <c r="P114" t="s">
        <v>50</v>
      </c>
      <c r="S114" t="s">
        <v>31</v>
      </c>
      <c r="T114" t="s">
        <v>269</v>
      </c>
      <c r="U114">
        <v>306.34201899999999</v>
      </c>
      <c r="V114" s="3">
        <v>41387</v>
      </c>
    </row>
    <row r="115" spans="1:22" x14ac:dyDescent="0.35">
      <c r="A115" s="1">
        <v>42398.885428240741</v>
      </c>
      <c r="B115" s="2">
        <v>2.3726851851851851E-3</v>
      </c>
      <c r="C115" t="s">
        <v>270</v>
      </c>
      <c r="D115" t="s">
        <v>23</v>
      </c>
      <c r="E115" t="s">
        <v>24</v>
      </c>
      <c r="F115" t="s">
        <v>61</v>
      </c>
      <c r="G115">
        <v>699526</v>
      </c>
      <c r="H115" t="s">
        <v>26</v>
      </c>
      <c r="I115" t="s">
        <v>62</v>
      </c>
      <c r="J115" t="str">
        <f>"9781118586006"</f>
        <v>9781118586006</v>
      </c>
      <c r="K115" t="s">
        <v>271</v>
      </c>
      <c r="L115">
        <v>27</v>
      </c>
      <c r="O115" t="s">
        <v>30</v>
      </c>
      <c r="P115" t="s">
        <v>42</v>
      </c>
      <c r="S115" t="s">
        <v>31</v>
      </c>
      <c r="T115" t="s">
        <v>64</v>
      </c>
      <c r="U115">
        <v>6.4</v>
      </c>
      <c r="V115" s="3">
        <v>41222</v>
      </c>
    </row>
    <row r="116" spans="1:22" x14ac:dyDescent="0.35">
      <c r="A116" s="1">
        <v>42398.850208333337</v>
      </c>
      <c r="B116" s="2">
        <v>5.9884259259259255E-2</v>
      </c>
      <c r="C116" t="s">
        <v>272</v>
      </c>
      <c r="D116" t="s">
        <v>23</v>
      </c>
      <c r="E116" t="s">
        <v>24</v>
      </c>
      <c r="F116" t="s">
        <v>83</v>
      </c>
      <c r="G116">
        <v>1711065</v>
      </c>
      <c r="H116" t="s">
        <v>84</v>
      </c>
      <c r="I116" t="s">
        <v>85</v>
      </c>
      <c r="J116" t="str">
        <f>"9780520959156"</f>
        <v>9780520959156</v>
      </c>
      <c r="K116" t="s">
        <v>273</v>
      </c>
      <c r="L116">
        <v>69</v>
      </c>
      <c r="O116" t="s">
        <v>30</v>
      </c>
      <c r="P116" t="s">
        <v>42</v>
      </c>
      <c r="S116" t="s">
        <v>31</v>
      </c>
      <c r="T116" t="s">
        <v>87</v>
      </c>
      <c r="U116" t="s">
        <v>88</v>
      </c>
      <c r="V116" s="3">
        <v>41881</v>
      </c>
    </row>
    <row r="117" spans="1:22" x14ac:dyDescent="0.35">
      <c r="A117" s="1">
        <v>42398.849537037036</v>
      </c>
      <c r="B117" s="2">
        <v>4.8136574074074075E-2</v>
      </c>
      <c r="C117" t="s">
        <v>77</v>
      </c>
      <c r="D117" t="s">
        <v>23</v>
      </c>
      <c r="E117" t="s">
        <v>24</v>
      </c>
      <c r="F117" t="s">
        <v>78</v>
      </c>
      <c r="G117">
        <v>1635363</v>
      </c>
      <c r="H117" t="s">
        <v>26</v>
      </c>
      <c r="I117" t="s">
        <v>79</v>
      </c>
      <c r="J117" t="str">
        <f>"9781118678206"</f>
        <v>9781118678206</v>
      </c>
      <c r="K117" t="s">
        <v>274</v>
      </c>
      <c r="L117">
        <v>18</v>
      </c>
      <c r="O117" t="s">
        <v>30</v>
      </c>
      <c r="P117" t="s">
        <v>29</v>
      </c>
      <c r="Q117" s="1">
        <v>42395.007106481484</v>
      </c>
      <c r="R117">
        <v>7</v>
      </c>
      <c r="S117" t="s">
        <v>31</v>
      </c>
      <c r="T117" t="s">
        <v>81</v>
      </c>
      <c r="U117">
        <v>340.07600000000002</v>
      </c>
      <c r="V117" s="3">
        <v>41684</v>
      </c>
    </row>
    <row r="118" spans="1:22" x14ac:dyDescent="0.35">
      <c r="A118" s="1">
        <v>42398.812800925924</v>
      </c>
      <c r="B118" s="2">
        <v>0</v>
      </c>
      <c r="C118" t="s">
        <v>106</v>
      </c>
      <c r="D118" t="s">
        <v>23</v>
      </c>
      <c r="E118" t="s">
        <v>24</v>
      </c>
      <c r="F118" t="s">
        <v>275</v>
      </c>
      <c r="G118">
        <v>4040731</v>
      </c>
      <c r="H118" t="s">
        <v>26</v>
      </c>
      <c r="I118" t="s">
        <v>276</v>
      </c>
      <c r="J118" t="str">
        <f>"9781119042754"</f>
        <v>9781119042754</v>
      </c>
      <c r="L118">
        <v>0</v>
      </c>
      <c r="O118" t="s">
        <v>28</v>
      </c>
      <c r="P118" t="s">
        <v>29</v>
      </c>
      <c r="Q118" s="1">
        <v>42398.812800925924</v>
      </c>
      <c r="R118">
        <v>7</v>
      </c>
      <c r="S118" t="s">
        <v>31</v>
      </c>
      <c r="T118" t="s">
        <v>277</v>
      </c>
      <c r="U118">
        <v>5.8</v>
      </c>
      <c r="V118" s="3">
        <v>42258</v>
      </c>
    </row>
    <row r="119" spans="1:22" x14ac:dyDescent="0.35">
      <c r="A119" s="1">
        <v>42398.812800925924</v>
      </c>
      <c r="B119" s="2">
        <v>0</v>
      </c>
      <c r="C119" t="s">
        <v>106</v>
      </c>
      <c r="D119" t="s">
        <v>23</v>
      </c>
      <c r="E119" t="s">
        <v>24</v>
      </c>
      <c r="F119" t="s">
        <v>275</v>
      </c>
      <c r="G119">
        <v>4040731</v>
      </c>
      <c r="H119" t="s">
        <v>26</v>
      </c>
      <c r="I119" t="s">
        <v>276</v>
      </c>
      <c r="J119" t="str">
        <f>"9781119042754"</f>
        <v>9781119042754</v>
      </c>
      <c r="L119">
        <v>0</v>
      </c>
      <c r="O119" t="s">
        <v>30</v>
      </c>
      <c r="P119" t="s">
        <v>29</v>
      </c>
      <c r="Q119" s="1">
        <v>42398.812800925924</v>
      </c>
      <c r="R119">
        <v>7</v>
      </c>
      <c r="S119" t="s">
        <v>31</v>
      </c>
      <c r="T119" t="s">
        <v>277</v>
      </c>
      <c r="U119">
        <v>5.8</v>
      </c>
      <c r="V119" s="3">
        <v>42258</v>
      </c>
    </row>
    <row r="120" spans="1:22" x14ac:dyDescent="0.35">
      <c r="A120" s="1">
        <v>42398.812581018516</v>
      </c>
      <c r="B120" s="2">
        <v>2.199074074074074E-4</v>
      </c>
      <c r="C120" t="s">
        <v>106</v>
      </c>
      <c r="D120" t="s">
        <v>23</v>
      </c>
      <c r="E120" t="s">
        <v>24</v>
      </c>
      <c r="F120" t="s">
        <v>275</v>
      </c>
      <c r="G120">
        <v>4040731</v>
      </c>
      <c r="H120" t="s">
        <v>26</v>
      </c>
      <c r="I120" t="s">
        <v>276</v>
      </c>
      <c r="J120" t="str">
        <f>"9781119042754"</f>
        <v>9781119042754</v>
      </c>
      <c r="K120" t="s">
        <v>33</v>
      </c>
      <c r="L120">
        <v>3</v>
      </c>
      <c r="O120" t="s">
        <v>30</v>
      </c>
      <c r="P120" t="s">
        <v>50</v>
      </c>
      <c r="S120" t="s">
        <v>31</v>
      </c>
      <c r="T120" t="s">
        <v>277</v>
      </c>
      <c r="U120">
        <v>5.8</v>
      </c>
      <c r="V120" s="3">
        <v>42258</v>
      </c>
    </row>
    <row r="121" spans="1:22" x14ac:dyDescent="0.35">
      <c r="A121" s="1">
        <v>42398.808344907404</v>
      </c>
      <c r="B121" s="2">
        <v>6.4814814814814813E-4</v>
      </c>
      <c r="C121" t="s">
        <v>106</v>
      </c>
      <c r="D121" t="s">
        <v>23</v>
      </c>
      <c r="E121" t="s">
        <v>24</v>
      </c>
      <c r="F121" t="s">
        <v>275</v>
      </c>
      <c r="G121">
        <v>4040731</v>
      </c>
      <c r="H121" t="s">
        <v>26</v>
      </c>
      <c r="I121" t="s">
        <v>276</v>
      </c>
      <c r="J121" t="str">
        <f>"9781119042754"</f>
        <v>9781119042754</v>
      </c>
      <c r="K121" t="s">
        <v>278</v>
      </c>
      <c r="L121">
        <v>21</v>
      </c>
      <c r="O121" t="s">
        <v>30</v>
      </c>
      <c r="P121" t="s">
        <v>50</v>
      </c>
      <c r="S121" t="s">
        <v>31</v>
      </c>
      <c r="T121" t="s">
        <v>277</v>
      </c>
      <c r="U121">
        <v>5.8</v>
      </c>
      <c r="V121" s="3">
        <v>42258</v>
      </c>
    </row>
    <row r="122" spans="1:22" x14ac:dyDescent="0.35">
      <c r="A122" s="1">
        <v>42398.798564814817</v>
      </c>
      <c r="B122" s="2">
        <v>2.0856481481481479E-2</v>
      </c>
      <c r="C122" t="s">
        <v>106</v>
      </c>
      <c r="D122" t="s">
        <v>23</v>
      </c>
      <c r="E122" t="s">
        <v>24</v>
      </c>
      <c r="F122" t="s">
        <v>279</v>
      </c>
      <c r="G122">
        <v>1575985</v>
      </c>
      <c r="H122" t="s">
        <v>68</v>
      </c>
      <c r="I122" t="s">
        <v>280</v>
      </c>
      <c r="J122" t="str">
        <f>"9781135921811"</f>
        <v>9781135921811</v>
      </c>
      <c r="K122" t="s">
        <v>281</v>
      </c>
      <c r="L122">
        <v>15</v>
      </c>
      <c r="O122" t="s">
        <v>30</v>
      </c>
      <c r="P122" t="s">
        <v>47</v>
      </c>
      <c r="Q122" s="1">
        <v>42398.798564814817</v>
      </c>
      <c r="R122">
        <v>1</v>
      </c>
      <c r="S122" t="s">
        <v>31</v>
      </c>
      <c r="T122" t="s">
        <v>282</v>
      </c>
      <c r="U122">
        <v>794.81525999999997</v>
      </c>
      <c r="V122" s="3">
        <v>41612</v>
      </c>
    </row>
    <row r="123" spans="1:22" x14ac:dyDescent="0.35">
      <c r="A123" s="1">
        <v>42398.791898148149</v>
      </c>
      <c r="B123" s="2">
        <v>1.4120370370370369E-3</v>
      </c>
      <c r="C123" t="s">
        <v>283</v>
      </c>
      <c r="D123" t="s">
        <v>23</v>
      </c>
      <c r="E123" t="s">
        <v>24</v>
      </c>
      <c r="F123" t="s">
        <v>284</v>
      </c>
      <c r="G123">
        <v>1463596</v>
      </c>
      <c r="H123" t="s">
        <v>139</v>
      </c>
      <c r="I123" t="s">
        <v>120</v>
      </c>
      <c r="J123" t="str">
        <f>"9780814760567"</f>
        <v>9780814760567</v>
      </c>
      <c r="K123" t="s">
        <v>285</v>
      </c>
      <c r="L123">
        <v>19</v>
      </c>
      <c r="N123" t="s">
        <v>286</v>
      </c>
      <c r="O123" t="s">
        <v>30</v>
      </c>
      <c r="P123" t="s">
        <v>47</v>
      </c>
      <c r="Q123" s="1">
        <v>42398.791898148149</v>
      </c>
      <c r="R123">
        <v>1</v>
      </c>
      <c r="S123" t="s">
        <v>31</v>
      </c>
      <c r="T123" t="s">
        <v>287</v>
      </c>
      <c r="U123">
        <v>305.30950000000001</v>
      </c>
      <c r="V123" s="3">
        <v>41600</v>
      </c>
    </row>
    <row r="124" spans="1:22" x14ac:dyDescent="0.35">
      <c r="A124" s="1">
        <v>42398.790868055556</v>
      </c>
      <c r="B124" s="2">
        <v>1.0300925925925926E-3</v>
      </c>
      <c r="C124" t="s">
        <v>283</v>
      </c>
      <c r="D124" t="s">
        <v>23</v>
      </c>
      <c r="E124" t="s">
        <v>24</v>
      </c>
      <c r="F124" t="s">
        <v>284</v>
      </c>
      <c r="G124">
        <v>1463596</v>
      </c>
      <c r="H124" t="s">
        <v>139</v>
      </c>
      <c r="I124" t="s">
        <v>120</v>
      </c>
      <c r="J124" t="str">
        <f>"9780814760567"</f>
        <v>9780814760567</v>
      </c>
      <c r="K124" t="s">
        <v>288</v>
      </c>
      <c r="L124">
        <v>49</v>
      </c>
      <c r="O124" t="s">
        <v>30</v>
      </c>
      <c r="P124" t="s">
        <v>50</v>
      </c>
      <c r="S124" t="s">
        <v>31</v>
      </c>
      <c r="T124" t="s">
        <v>287</v>
      </c>
      <c r="U124">
        <v>305.30950000000001</v>
      </c>
      <c r="V124" s="3">
        <v>41600</v>
      </c>
    </row>
    <row r="125" spans="1:22" x14ac:dyDescent="0.35">
      <c r="A125" s="1">
        <v>42398.786620370367</v>
      </c>
      <c r="B125" s="2">
        <v>1.0706018518518517E-2</v>
      </c>
      <c r="C125" t="s">
        <v>289</v>
      </c>
      <c r="D125" t="s">
        <v>23</v>
      </c>
      <c r="E125" t="s">
        <v>24</v>
      </c>
      <c r="F125" t="s">
        <v>290</v>
      </c>
      <c r="G125">
        <v>1569855</v>
      </c>
      <c r="H125" t="s">
        <v>68</v>
      </c>
      <c r="I125" t="s">
        <v>291</v>
      </c>
      <c r="J125" t="str">
        <f>"9781317863878"</f>
        <v>9781317863878</v>
      </c>
      <c r="K125" t="s">
        <v>292</v>
      </c>
      <c r="L125">
        <v>20</v>
      </c>
      <c r="O125" t="s">
        <v>30</v>
      </c>
      <c r="P125" t="s">
        <v>47</v>
      </c>
      <c r="Q125" s="1">
        <v>42398.786620370367</v>
      </c>
      <c r="R125">
        <v>1</v>
      </c>
      <c r="S125" t="s">
        <v>31</v>
      </c>
      <c r="T125" t="s">
        <v>293</v>
      </c>
      <c r="U125">
        <v>327.47073</v>
      </c>
      <c r="V125" s="3">
        <v>41582</v>
      </c>
    </row>
    <row r="126" spans="1:22" x14ac:dyDescent="0.35">
      <c r="A126" s="1">
        <v>42398.783032407409</v>
      </c>
      <c r="B126" s="2">
        <v>3.5879629629629629E-3</v>
      </c>
      <c r="C126" t="s">
        <v>289</v>
      </c>
      <c r="D126" t="s">
        <v>23</v>
      </c>
      <c r="E126" t="s">
        <v>24</v>
      </c>
      <c r="F126" t="s">
        <v>290</v>
      </c>
      <c r="G126">
        <v>1569855</v>
      </c>
      <c r="H126" t="s">
        <v>68</v>
      </c>
      <c r="I126" t="s">
        <v>291</v>
      </c>
      <c r="J126" t="str">
        <f>"9781317863878"</f>
        <v>9781317863878</v>
      </c>
      <c r="K126" t="s">
        <v>294</v>
      </c>
      <c r="L126">
        <v>15</v>
      </c>
      <c r="O126" t="s">
        <v>30</v>
      </c>
      <c r="P126" t="s">
        <v>50</v>
      </c>
      <c r="S126" t="s">
        <v>31</v>
      </c>
      <c r="T126" t="s">
        <v>293</v>
      </c>
      <c r="U126">
        <v>327.47073</v>
      </c>
      <c r="V126" s="3">
        <v>41582</v>
      </c>
    </row>
    <row r="127" spans="1:22" x14ac:dyDescent="0.35">
      <c r="A127" s="1">
        <v>42398.767106481479</v>
      </c>
      <c r="B127" s="2">
        <v>3.1458333333333331E-2</v>
      </c>
      <c r="C127" t="s">
        <v>106</v>
      </c>
      <c r="D127" t="s">
        <v>23</v>
      </c>
      <c r="E127" t="s">
        <v>24</v>
      </c>
      <c r="F127" t="s">
        <v>279</v>
      </c>
      <c r="G127">
        <v>1575985</v>
      </c>
      <c r="H127" t="s">
        <v>68</v>
      </c>
      <c r="I127" t="s">
        <v>280</v>
      </c>
      <c r="J127" t="str">
        <f>"9781135921811"</f>
        <v>9781135921811</v>
      </c>
      <c r="K127" t="s">
        <v>295</v>
      </c>
      <c r="L127">
        <v>22</v>
      </c>
      <c r="O127" t="s">
        <v>30</v>
      </c>
      <c r="P127" t="s">
        <v>50</v>
      </c>
      <c r="S127" t="s">
        <v>31</v>
      </c>
      <c r="T127" t="s">
        <v>282</v>
      </c>
      <c r="U127">
        <v>794.81525999999997</v>
      </c>
      <c r="V127" s="3">
        <v>41612</v>
      </c>
    </row>
    <row r="128" spans="1:22" x14ac:dyDescent="0.35">
      <c r="A128" s="1">
        <v>42398.763969907406</v>
      </c>
      <c r="B128" s="2">
        <v>2.0486111111111111E-2</v>
      </c>
      <c r="C128" t="s">
        <v>106</v>
      </c>
      <c r="D128" t="s">
        <v>23</v>
      </c>
      <c r="E128" t="s">
        <v>24</v>
      </c>
      <c r="F128" t="s">
        <v>296</v>
      </c>
      <c r="G128">
        <v>1695071</v>
      </c>
      <c r="H128" t="s">
        <v>26</v>
      </c>
      <c r="I128" t="s">
        <v>297</v>
      </c>
      <c r="J128" t="str">
        <f>"9781118895054"</f>
        <v>9781118895054</v>
      </c>
      <c r="K128" t="s">
        <v>298</v>
      </c>
      <c r="L128">
        <v>12</v>
      </c>
      <c r="O128" t="s">
        <v>30</v>
      </c>
      <c r="P128" t="s">
        <v>47</v>
      </c>
      <c r="Q128" s="1">
        <v>42398.763969907406</v>
      </c>
      <c r="R128">
        <v>1</v>
      </c>
      <c r="S128" t="s">
        <v>31</v>
      </c>
      <c r="T128" t="s">
        <v>299</v>
      </c>
      <c r="U128" t="s">
        <v>300</v>
      </c>
      <c r="V128" s="3">
        <v>41782</v>
      </c>
    </row>
    <row r="129" spans="1:22" x14ac:dyDescent="0.35">
      <c r="A129" s="1">
        <v>42398.73165509259</v>
      </c>
      <c r="B129" s="2">
        <v>3.2314814814814817E-2</v>
      </c>
      <c r="C129" t="s">
        <v>106</v>
      </c>
      <c r="D129" t="s">
        <v>23</v>
      </c>
      <c r="E129" t="s">
        <v>24</v>
      </c>
      <c r="F129" t="s">
        <v>296</v>
      </c>
      <c r="G129">
        <v>1695071</v>
      </c>
      <c r="H129" t="s">
        <v>26</v>
      </c>
      <c r="I129" t="s">
        <v>297</v>
      </c>
      <c r="J129" t="str">
        <f>"9781118895054"</f>
        <v>9781118895054</v>
      </c>
      <c r="K129" t="s">
        <v>33</v>
      </c>
      <c r="L129">
        <v>3</v>
      </c>
      <c r="O129" t="s">
        <v>30</v>
      </c>
      <c r="P129" t="s">
        <v>50</v>
      </c>
      <c r="S129" t="s">
        <v>31</v>
      </c>
      <c r="T129" t="s">
        <v>299</v>
      </c>
      <c r="U129" t="s">
        <v>300</v>
      </c>
      <c r="V129" s="3">
        <v>41782</v>
      </c>
    </row>
    <row r="130" spans="1:22" x14ac:dyDescent="0.35">
      <c r="A130" s="1">
        <v>42398.726354166669</v>
      </c>
      <c r="B130" s="2">
        <v>0</v>
      </c>
      <c r="C130" t="s">
        <v>106</v>
      </c>
      <c r="D130" t="s">
        <v>23</v>
      </c>
      <c r="E130" t="s">
        <v>24</v>
      </c>
      <c r="F130" t="s">
        <v>301</v>
      </c>
      <c r="G130">
        <v>945113</v>
      </c>
      <c r="H130" t="s">
        <v>26</v>
      </c>
      <c r="I130" t="s">
        <v>297</v>
      </c>
      <c r="J130" t="str">
        <f>"9781118359754"</f>
        <v>9781118359754</v>
      </c>
      <c r="K130" t="s">
        <v>224</v>
      </c>
      <c r="L130">
        <v>1</v>
      </c>
      <c r="O130" t="s">
        <v>30</v>
      </c>
      <c r="P130" t="s">
        <v>29</v>
      </c>
      <c r="Q130" s="1">
        <v>42398.726354166669</v>
      </c>
      <c r="R130">
        <v>7</v>
      </c>
      <c r="S130" t="s">
        <v>31</v>
      </c>
      <c r="T130" t="s">
        <v>302</v>
      </c>
      <c r="U130" t="s">
        <v>300</v>
      </c>
      <c r="V130" s="3">
        <v>41072</v>
      </c>
    </row>
    <row r="131" spans="1:22" x14ac:dyDescent="0.35">
      <c r="A131" s="1">
        <v>42398.719560185185</v>
      </c>
      <c r="B131" s="2">
        <v>0</v>
      </c>
      <c r="C131" t="s">
        <v>303</v>
      </c>
      <c r="D131" t="s">
        <v>261</v>
      </c>
      <c r="E131" t="s">
        <v>262</v>
      </c>
      <c r="F131" t="s">
        <v>304</v>
      </c>
      <c r="G131">
        <v>570368</v>
      </c>
      <c r="H131" t="s">
        <v>91</v>
      </c>
      <c r="I131" t="s">
        <v>247</v>
      </c>
      <c r="J131" t="str">
        <f>"9781606238974"</f>
        <v>9781606238974</v>
      </c>
      <c r="L131">
        <v>0</v>
      </c>
      <c r="N131" t="s">
        <v>305</v>
      </c>
      <c r="O131" t="s">
        <v>30</v>
      </c>
      <c r="P131" t="s">
        <v>47</v>
      </c>
      <c r="Q131" s="1">
        <v>42398.719560185185</v>
      </c>
      <c r="R131">
        <v>1</v>
      </c>
      <c r="S131" t="s">
        <v>264</v>
      </c>
      <c r="T131" t="s">
        <v>306</v>
      </c>
      <c r="U131">
        <v>616.00189999999998</v>
      </c>
      <c r="V131" s="3">
        <v>41773</v>
      </c>
    </row>
    <row r="132" spans="1:22" x14ac:dyDescent="0.35">
      <c r="A132" s="1">
        <v>42398.719074074077</v>
      </c>
      <c r="B132" s="2">
        <v>7.2800925925925915E-3</v>
      </c>
      <c r="C132" t="s">
        <v>106</v>
      </c>
      <c r="D132" t="s">
        <v>23</v>
      </c>
      <c r="E132" t="s">
        <v>24</v>
      </c>
      <c r="F132" t="s">
        <v>301</v>
      </c>
      <c r="G132">
        <v>945113</v>
      </c>
      <c r="H132" t="s">
        <v>26</v>
      </c>
      <c r="I132" t="s">
        <v>297</v>
      </c>
      <c r="J132" t="str">
        <f>"9781118359754"</f>
        <v>9781118359754</v>
      </c>
      <c r="K132" t="s">
        <v>33</v>
      </c>
      <c r="L132">
        <v>3</v>
      </c>
      <c r="O132" t="s">
        <v>30</v>
      </c>
      <c r="P132" t="s">
        <v>42</v>
      </c>
      <c r="S132" t="s">
        <v>31</v>
      </c>
      <c r="T132" t="s">
        <v>302</v>
      </c>
      <c r="U132" t="s">
        <v>300</v>
      </c>
      <c r="V132" s="3">
        <v>41072</v>
      </c>
    </row>
    <row r="133" spans="1:22" x14ac:dyDescent="0.35">
      <c r="A133" s="1">
        <v>42398.717997685184</v>
      </c>
      <c r="B133" s="2">
        <v>1.5624999999999999E-3</v>
      </c>
      <c r="C133" t="s">
        <v>303</v>
      </c>
      <c r="D133" t="s">
        <v>261</v>
      </c>
      <c r="E133" t="s">
        <v>262</v>
      </c>
      <c r="F133" t="s">
        <v>304</v>
      </c>
      <c r="G133">
        <v>570368</v>
      </c>
      <c r="H133" t="s">
        <v>91</v>
      </c>
      <c r="I133" t="s">
        <v>247</v>
      </c>
      <c r="J133" t="str">
        <f>"9781606238974"</f>
        <v>9781606238974</v>
      </c>
      <c r="K133" t="s">
        <v>307</v>
      </c>
      <c r="L133">
        <v>24</v>
      </c>
      <c r="O133" t="s">
        <v>30</v>
      </c>
      <c r="P133" t="s">
        <v>50</v>
      </c>
      <c r="S133" t="s">
        <v>264</v>
      </c>
      <c r="T133" t="s">
        <v>306</v>
      </c>
      <c r="U133">
        <v>616.00189999999998</v>
      </c>
      <c r="V133" s="3">
        <v>41773</v>
      </c>
    </row>
    <row r="134" spans="1:22" x14ac:dyDescent="0.35">
      <c r="A134" s="1">
        <v>42398.687604166669</v>
      </c>
      <c r="B134" s="2">
        <v>1.0416666666666667E-3</v>
      </c>
      <c r="C134" t="s">
        <v>308</v>
      </c>
      <c r="D134" t="s">
        <v>23</v>
      </c>
      <c r="E134" t="s">
        <v>24</v>
      </c>
      <c r="F134" t="s">
        <v>309</v>
      </c>
      <c r="G134">
        <v>1565213</v>
      </c>
      <c r="H134" t="s">
        <v>68</v>
      </c>
      <c r="I134" t="s">
        <v>310</v>
      </c>
      <c r="J134" t="str">
        <f>"9781317761181"</f>
        <v>9781317761181</v>
      </c>
      <c r="K134" t="s">
        <v>311</v>
      </c>
      <c r="L134">
        <v>17</v>
      </c>
      <c r="M134" t="s">
        <v>105</v>
      </c>
      <c r="N134" t="s">
        <v>312</v>
      </c>
      <c r="O134" t="s">
        <v>30</v>
      </c>
      <c r="P134" t="s">
        <v>47</v>
      </c>
      <c r="Q134" s="1">
        <v>42397.895324074074</v>
      </c>
      <c r="R134">
        <v>1</v>
      </c>
      <c r="S134" t="s">
        <v>31</v>
      </c>
      <c r="T134" t="s">
        <v>313</v>
      </c>
      <c r="U134">
        <v>880.09</v>
      </c>
      <c r="V134" s="3">
        <v>41597</v>
      </c>
    </row>
    <row r="135" spans="1:22" x14ac:dyDescent="0.35">
      <c r="A135" s="1">
        <v>42398.68478009259</v>
      </c>
      <c r="B135" s="2">
        <v>4.3981481481481481E-4</v>
      </c>
      <c r="C135" t="s">
        <v>289</v>
      </c>
      <c r="D135" t="s">
        <v>23</v>
      </c>
      <c r="E135" t="s">
        <v>24</v>
      </c>
      <c r="F135" t="s">
        <v>290</v>
      </c>
      <c r="G135">
        <v>1569855</v>
      </c>
      <c r="H135" t="s">
        <v>68</v>
      </c>
      <c r="I135" t="s">
        <v>291</v>
      </c>
      <c r="J135" t="str">
        <f>"9781317863878"</f>
        <v>9781317863878</v>
      </c>
      <c r="K135" t="s">
        <v>314</v>
      </c>
      <c r="L135">
        <v>9</v>
      </c>
      <c r="O135" t="s">
        <v>30</v>
      </c>
      <c r="P135" t="s">
        <v>50</v>
      </c>
      <c r="S135" t="s">
        <v>31</v>
      </c>
      <c r="T135" t="s">
        <v>293</v>
      </c>
      <c r="U135">
        <v>327.47073</v>
      </c>
      <c r="V135" s="3">
        <v>41582</v>
      </c>
    </row>
    <row r="136" spans="1:22" x14ac:dyDescent="0.35">
      <c r="A136" s="1">
        <v>42398.67728009259</v>
      </c>
      <c r="B136" s="2">
        <v>5.2997685185185182E-2</v>
      </c>
      <c r="C136" t="s">
        <v>101</v>
      </c>
      <c r="D136" t="s">
        <v>35</v>
      </c>
      <c r="E136" t="s">
        <v>36</v>
      </c>
      <c r="F136" t="s">
        <v>37</v>
      </c>
      <c r="G136">
        <v>1684620</v>
      </c>
      <c r="H136" t="s">
        <v>26</v>
      </c>
      <c r="I136" t="s">
        <v>38</v>
      </c>
      <c r="J136" t="str">
        <f t="shared" ref="J136:J141" si="2">"9781118418925"</f>
        <v>9781118418925</v>
      </c>
      <c r="K136" t="s">
        <v>315</v>
      </c>
      <c r="L136">
        <v>99</v>
      </c>
      <c r="M136" t="s">
        <v>316</v>
      </c>
      <c r="O136" t="s">
        <v>28</v>
      </c>
      <c r="P136" t="s">
        <v>29</v>
      </c>
      <c r="Q136" s="1">
        <v>42397.811307870368</v>
      </c>
      <c r="R136">
        <v>7</v>
      </c>
      <c r="S136" t="s">
        <v>40</v>
      </c>
      <c r="T136" t="s">
        <v>41</v>
      </c>
      <c r="U136">
        <v>362.10680000000002</v>
      </c>
      <c r="V136" s="3">
        <v>41759</v>
      </c>
    </row>
    <row r="137" spans="1:22" x14ac:dyDescent="0.35">
      <c r="A137" s="1">
        <v>42398.676412037035</v>
      </c>
      <c r="B137" s="2">
        <v>3.4722222222222222E-5</v>
      </c>
      <c r="C137" t="s">
        <v>101</v>
      </c>
      <c r="D137" t="s">
        <v>35</v>
      </c>
      <c r="E137" t="s">
        <v>36</v>
      </c>
      <c r="F137" t="s">
        <v>37</v>
      </c>
      <c r="G137">
        <v>1684620</v>
      </c>
      <c r="H137" t="s">
        <v>26</v>
      </c>
      <c r="I137" t="s">
        <v>38</v>
      </c>
      <c r="J137" t="str">
        <f t="shared" si="2"/>
        <v>9781118418925</v>
      </c>
      <c r="K137" t="s">
        <v>33</v>
      </c>
      <c r="L137">
        <v>3</v>
      </c>
      <c r="O137" t="s">
        <v>30</v>
      </c>
      <c r="P137" t="s">
        <v>29</v>
      </c>
      <c r="Q137" s="1">
        <v>42397.811307870368</v>
      </c>
      <c r="R137">
        <v>7</v>
      </c>
      <c r="S137" t="s">
        <v>40</v>
      </c>
      <c r="T137" t="s">
        <v>41</v>
      </c>
      <c r="U137">
        <v>362.10680000000002</v>
      </c>
      <c r="V137" s="3">
        <v>41759</v>
      </c>
    </row>
    <row r="138" spans="1:22" x14ac:dyDescent="0.35">
      <c r="A138" s="1">
        <v>42398.673784722225</v>
      </c>
      <c r="B138" s="2">
        <v>3.5879629629629635E-4</v>
      </c>
      <c r="C138" t="s">
        <v>101</v>
      </c>
      <c r="D138" t="s">
        <v>35</v>
      </c>
      <c r="E138" t="s">
        <v>36</v>
      </c>
      <c r="F138" t="s">
        <v>37</v>
      </c>
      <c r="G138">
        <v>1684620</v>
      </c>
      <c r="H138" t="s">
        <v>26</v>
      </c>
      <c r="I138" t="s">
        <v>38</v>
      </c>
      <c r="J138" t="str">
        <f t="shared" si="2"/>
        <v>9781118418925</v>
      </c>
      <c r="K138" t="s">
        <v>317</v>
      </c>
      <c r="L138">
        <v>9</v>
      </c>
      <c r="M138" t="s">
        <v>318</v>
      </c>
      <c r="O138" t="s">
        <v>30</v>
      </c>
      <c r="P138" t="s">
        <v>29</v>
      </c>
      <c r="Q138" s="1">
        <v>42397.811307870368</v>
      </c>
      <c r="R138">
        <v>7</v>
      </c>
      <c r="S138" t="s">
        <v>40</v>
      </c>
      <c r="T138" t="s">
        <v>41</v>
      </c>
      <c r="U138">
        <v>362.10680000000002</v>
      </c>
      <c r="V138" s="3">
        <v>41759</v>
      </c>
    </row>
    <row r="139" spans="1:22" x14ac:dyDescent="0.35">
      <c r="A139" s="1">
        <v>42398.673587962963</v>
      </c>
      <c r="B139" s="2">
        <v>0</v>
      </c>
      <c r="C139" t="s">
        <v>101</v>
      </c>
      <c r="D139" t="s">
        <v>35</v>
      </c>
      <c r="E139" t="s">
        <v>36</v>
      </c>
      <c r="F139" t="s">
        <v>37</v>
      </c>
      <c r="G139">
        <v>1684620</v>
      </c>
      <c r="H139" t="s">
        <v>26</v>
      </c>
      <c r="I139" t="s">
        <v>38</v>
      </c>
      <c r="J139" t="str">
        <f t="shared" si="2"/>
        <v>9781118418925</v>
      </c>
      <c r="L139">
        <v>0</v>
      </c>
      <c r="O139" t="s">
        <v>28</v>
      </c>
      <c r="P139" t="s">
        <v>29</v>
      </c>
      <c r="Q139" s="1">
        <v>42397.811307870368</v>
      </c>
      <c r="R139">
        <v>7</v>
      </c>
      <c r="S139" t="s">
        <v>40</v>
      </c>
      <c r="T139" t="s">
        <v>41</v>
      </c>
      <c r="U139">
        <v>362.10680000000002</v>
      </c>
      <c r="V139" s="3">
        <v>41759</v>
      </c>
    </row>
    <row r="140" spans="1:22" x14ac:dyDescent="0.35">
      <c r="A140" s="1">
        <v>42398.672731481478</v>
      </c>
      <c r="B140" s="2">
        <v>0</v>
      </c>
      <c r="C140" t="s">
        <v>101</v>
      </c>
      <c r="D140" t="s">
        <v>35</v>
      </c>
      <c r="E140" t="s">
        <v>36</v>
      </c>
      <c r="F140" t="s">
        <v>37</v>
      </c>
      <c r="G140">
        <v>1684620</v>
      </c>
      <c r="H140" t="s">
        <v>26</v>
      </c>
      <c r="I140" t="s">
        <v>38</v>
      </c>
      <c r="J140" t="str">
        <f t="shared" si="2"/>
        <v>9781118418925</v>
      </c>
      <c r="L140">
        <v>0</v>
      </c>
      <c r="O140" t="s">
        <v>28</v>
      </c>
      <c r="P140" t="s">
        <v>29</v>
      </c>
      <c r="Q140" s="1">
        <v>42397.811307870368</v>
      </c>
      <c r="R140">
        <v>7</v>
      </c>
      <c r="S140" t="s">
        <v>40</v>
      </c>
      <c r="T140" t="s">
        <v>41</v>
      </c>
      <c r="U140">
        <v>362.10680000000002</v>
      </c>
      <c r="V140" s="3">
        <v>41759</v>
      </c>
    </row>
    <row r="141" spans="1:22" x14ac:dyDescent="0.35">
      <c r="A141" s="1">
        <v>42398.672337962962</v>
      </c>
      <c r="B141" s="2">
        <v>6.9444444444444444E-5</v>
      </c>
      <c r="C141" t="s">
        <v>101</v>
      </c>
      <c r="D141" t="s">
        <v>35</v>
      </c>
      <c r="E141" t="s">
        <v>36</v>
      </c>
      <c r="F141" t="s">
        <v>37</v>
      </c>
      <c r="G141">
        <v>1684620</v>
      </c>
      <c r="H141" t="s">
        <v>26</v>
      </c>
      <c r="I141" t="s">
        <v>38</v>
      </c>
      <c r="J141" t="str">
        <f t="shared" si="2"/>
        <v>9781118418925</v>
      </c>
      <c r="K141" t="s">
        <v>33</v>
      </c>
      <c r="L141">
        <v>3</v>
      </c>
      <c r="M141" t="s">
        <v>105</v>
      </c>
      <c r="O141" t="s">
        <v>30</v>
      </c>
      <c r="P141" t="s">
        <v>29</v>
      </c>
      <c r="Q141" s="1">
        <v>42397.811307870368</v>
      </c>
      <c r="R141">
        <v>7</v>
      </c>
      <c r="S141" t="s">
        <v>40</v>
      </c>
      <c r="T141" t="s">
        <v>41</v>
      </c>
      <c r="U141">
        <v>362.10680000000002</v>
      </c>
      <c r="V141" s="3">
        <v>41759</v>
      </c>
    </row>
    <row r="142" spans="1:22" x14ac:dyDescent="0.35">
      <c r="A142" s="1">
        <v>42398.668715277781</v>
      </c>
      <c r="B142" s="2">
        <v>6.2488425925925926E-2</v>
      </c>
      <c r="C142" t="s">
        <v>272</v>
      </c>
      <c r="D142" t="s">
        <v>23</v>
      </c>
      <c r="E142" t="s">
        <v>24</v>
      </c>
      <c r="F142" t="s">
        <v>83</v>
      </c>
      <c r="G142">
        <v>1711065</v>
      </c>
      <c r="H142" t="s">
        <v>84</v>
      </c>
      <c r="I142" t="s">
        <v>85</v>
      </c>
      <c r="J142" t="str">
        <f>"9780520959156"</f>
        <v>9780520959156</v>
      </c>
      <c r="K142" t="s">
        <v>319</v>
      </c>
      <c r="L142">
        <v>22</v>
      </c>
      <c r="O142" t="s">
        <v>30</v>
      </c>
      <c r="P142" t="s">
        <v>42</v>
      </c>
      <c r="S142" t="s">
        <v>31</v>
      </c>
      <c r="T142" t="s">
        <v>87</v>
      </c>
      <c r="U142" t="s">
        <v>88</v>
      </c>
      <c r="V142" s="3">
        <v>41881</v>
      </c>
    </row>
    <row r="143" spans="1:22" x14ac:dyDescent="0.35">
      <c r="A143" s="1">
        <v>42398.651307870372</v>
      </c>
      <c r="B143" s="2">
        <v>5.3935185185185188E-3</v>
      </c>
      <c r="C143" t="s">
        <v>320</v>
      </c>
      <c r="D143" t="s">
        <v>23</v>
      </c>
      <c r="E143" t="s">
        <v>24</v>
      </c>
      <c r="F143" t="s">
        <v>321</v>
      </c>
      <c r="G143">
        <v>1794558</v>
      </c>
      <c r="H143" t="s">
        <v>26</v>
      </c>
      <c r="I143" t="s">
        <v>322</v>
      </c>
      <c r="J143" t="str">
        <f>"9781118821725"</f>
        <v>9781118821725</v>
      </c>
      <c r="K143" t="s">
        <v>323</v>
      </c>
      <c r="L143">
        <v>72</v>
      </c>
      <c r="O143" t="s">
        <v>30</v>
      </c>
      <c r="P143" t="s">
        <v>47</v>
      </c>
      <c r="Q143" s="1">
        <v>42398.651307870372</v>
      </c>
      <c r="R143">
        <v>1</v>
      </c>
      <c r="S143" t="s">
        <v>31</v>
      </c>
      <c r="T143" t="s">
        <v>324</v>
      </c>
      <c r="U143">
        <v>697</v>
      </c>
      <c r="V143" s="3">
        <v>41905</v>
      </c>
    </row>
    <row r="144" spans="1:22" x14ac:dyDescent="0.35">
      <c r="A144" s="1">
        <v>42398.642523148148</v>
      </c>
      <c r="B144" s="2">
        <v>8.7847222222222233E-3</v>
      </c>
      <c r="C144" t="s">
        <v>320</v>
      </c>
      <c r="D144" t="s">
        <v>23</v>
      </c>
      <c r="E144" t="s">
        <v>24</v>
      </c>
      <c r="F144" t="s">
        <v>321</v>
      </c>
      <c r="G144">
        <v>1794558</v>
      </c>
      <c r="H144" t="s">
        <v>26</v>
      </c>
      <c r="I144" t="s">
        <v>322</v>
      </c>
      <c r="J144" t="str">
        <f>"9781118821725"</f>
        <v>9781118821725</v>
      </c>
      <c r="K144" t="s">
        <v>325</v>
      </c>
      <c r="L144">
        <v>17</v>
      </c>
      <c r="O144" t="s">
        <v>30</v>
      </c>
      <c r="P144" t="s">
        <v>50</v>
      </c>
      <c r="S144" t="s">
        <v>31</v>
      </c>
      <c r="T144" t="s">
        <v>324</v>
      </c>
      <c r="U144">
        <v>697</v>
      </c>
      <c r="V144" s="3">
        <v>41905</v>
      </c>
    </row>
    <row r="145" spans="1:22" x14ac:dyDescent="0.35">
      <c r="A145" s="1">
        <v>42398.622025462966</v>
      </c>
      <c r="B145" s="2">
        <v>3.0208333333333333E-3</v>
      </c>
      <c r="C145" t="s">
        <v>326</v>
      </c>
      <c r="D145" t="s">
        <v>35</v>
      </c>
      <c r="E145" t="s">
        <v>36</v>
      </c>
      <c r="F145" t="s">
        <v>327</v>
      </c>
      <c r="G145">
        <v>1691426</v>
      </c>
      <c r="H145" t="s">
        <v>26</v>
      </c>
      <c r="I145" t="s">
        <v>328</v>
      </c>
      <c r="J145" t="str">
        <f>"9781118839492"</f>
        <v>9781118839492</v>
      </c>
      <c r="K145" t="s">
        <v>329</v>
      </c>
      <c r="L145">
        <v>27</v>
      </c>
      <c r="N145" t="s">
        <v>330</v>
      </c>
      <c r="O145" t="s">
        <v>30</v>
      </c>
      <c r="P145" t="s">
        <v>29</v>
      </c>
      <c r="Q145" s="1">
        <v>42398.622025462966</v>
      </c>
      <c r="R145">
        <v>7</v>
      </c>
      <c r="S145" t="s">
        <v>40</v>
      </c>
      <c r="T145" t="s">
        <v>331</v>
      </c>
      <c r="U145">
        <v>613.70460000000003</v>
      </c>
      <c r="V145" s="3">
        <v>41772</v>
      </c>
    </row>
    <row r="146" spans="1:22" x14ac:dyDescent="0.35">
      <c r="A146" s="1">
        <v>42398.621620370373</v>
      </c>
      <c r="B146" s="2">
        <v>4.0509259259259258E-4</v>
      </c>
      <c r="C146" t="s">
        <v>326</v>
      </c>
      <c r="D146" t="s">
        <v>35</v>
      </c>
      <c r="E146" t="s">
        <v>36</v>
      </c>
      <c r="F146" t="s">
        <v>327</v>
      </c>
      <c r="G146">
        <v>1691426</v>
      </c>
      <c r="H146" t="s">
        <v>26</v>
      </c>
      <c r="I146" t="s">
        <v>328</v>
      </c>
      <c r="J146" t="str">
        <f>"9781118839492"</f>
        <v>9781118839492</v>
      </c>
      <c r="K146" t="s">
        <v>332</v>
      </c>
      <c r="L146">
        <v>9</v>
      </c>
      <c r="O146" t="s">
        <v>30</v>
      </c>
      <c r="P146" t="s">
        <v>42</v>
      </c>
      <c r="S146" t="s">
        <v>40</v>
      </c>
      <c r="T146" t="s">
        <v>331</v>
      </c>
      <c r="U146">
        <v>613.70460000000003</v>
      </c>
      <c r="V146" s="3">
        <v>41772</v>
      </c>
    </row>
    <row r="147" spans="1:22" x14ac:dyDescent="0.35">
      <c r="A147" s="1">
        <v>42398.595312500001</v>
      </c>
      <c r="B147" s="2">
        <v>2.3379629629629629E-2</v>
      </c>
      <c r="C147" t="s">
        <v>106</v>
      </c>
      <c r="D147" t="s">
        <v>23</v>
      </c>
      <c r="E147" t="s">
        <v>24</v>
      </c>
      <c r="F147" t="s">
        <v>83</v>
      </c>
      <c r="G147">
        <v>1711065</v>
      </c>
      <c r="H147" t="s">
        <v>84</v>
      </c>
      <c r="I147" t="s">
        <v>85</v>
      </c>
      <c r="J147" t="str">
        <f>"9780520959156"</f>
        <v>9780520959156</v>
      </c>
      <c r="K147" t="s">
        <v>333</v>
      </c>
      <c r="L147">
        <v>16</v>
      </c>
      <c r="O147" t="s">
        <v>30</v>
      </c>
      <c r="P147" t="s">
        <v>42</v>
      </c>
      <c r="S147" t="s">
        <v>31</v>
      </c>
      <c r="T147" t="s">
        <v>87</v>
      </c>
      <c r="U147" t="s">
        <v>88</v>
      </c>
      <c r="V147" s="3">
        <v>41881</v>
      </c>
    </row>
    <row r="148" spans="1:22" x14ac:dyDescent="0.35">
      <c r="A148" s="1">
        <v>42398.586550925924</v>
      </c>
      <c r="B148" s="2">
        <v>2.6620370370370372E-4</v>
      </c>
      <c r="C148" t="s">
        <v>334</v>
      </c>
      <c r="D148" t="s">
        <v>335</v>
      </c>
      <c r="E148" t="s">
        <v>336</v>
      </c>
      <c r="F148" t="s">
        <v>337</v>
      </c>
      <c r="G148">
        <v>1602291</v>
      </c>
      <c r="H148" t="s">
        <v>26</v>
      </c>
      <c r="I148" t="s">
        <v>338</v>
      </c>
      <c r="J148" t="str">
        <f>"9781118817001"</f>
        <v>9781118817001</v>
      </c>
      <c r="K148" t="s">
        <v>339</v>
      </c>
      <c r="L148">
        <v>18</v>
      </c>
      <c r="O148" t="s">
        <v>30</v>
      </c>
      <c r="P148" t="s">
        <v>42</v>
      </c>
      <c r="S148" t="s">
        <v>340</v>
      </c>
      <c r="T148" t="s">
        <v>341</v>
      </c>
      <c r="U148">
        <v>362.29</v>
      </c>
      <c r="V148" s="3">
        <v>41649</v>
      </c>
    </row>
    <row r="149" spans="1:22" x14ac:dyDescent="0.35">
      <c r="A149" s="1">
        <v>42398.577303240738</v>
      </c>
      <c r="B149" s="2">
        <v>8.3333333333333339E-4</v>
      </c>
      <c r="C149" t="s">
        <v>342</v>
      </c>
      <c r="D149" t="s">
        <v>261</v>
      </c>
      <c r="E149" t="s">
        <v>262</v>
      </c>
      <c r="F149" t="s">
        <v>343</v>
      </c>
      <c r="G149">
        <v>4036197</v>
      </c>
      <c r="H149" t="s">
        <v>26</v>
      </c>
      <c r="I149" t="s">
        <v>187</v>
      </c>
      <c r="J149" t="str">
        <f>"9781118540633"</f>
        <v>9781118540633</v>
      </c>
      <c r="K149" t="s">
        <v>344</v>
      </c>
      <c r="L149">
        <v>5</v>
      </c>
      <c r="O149" t="s">
        <v>30</v>
      </c>
      <c r="P149" t="s">
        <v>29</v>
      </c>
      <c r="Q149" s="1">
        <v>42397.896620370368</v>
      </c>
      <c r="R149">
        <v>7</v>
      </c>
      <c r="S149" t="s">
        <v>264</v>
      </c>
      <c r="T149" t="s">
        <v>345</v>
      </c>
      <c r="U149">
        <v>631.4</v>
      </c>
      <c r="V149" s="3">
        <v>42282</v>
      </c>
    </row>
    <row r="150" spans="1:22" x14ac:dyDescent="0.35">
      <c r="A150" s="1">
        <v>42398.542037037034</v>
      </c>
      <c r="B150" s="2">
        <v>2.8935185185185189E-4</v>
      </c>
      <c r="C150" t="s">
        <v>346</v>
      </c>
      <c r="D150" t="s">
        <v>158</v>
      </c>
      <c r="E150" t="s">
        <v>159</v>
      </c>
      <c r="F150" t="s">
        <v>347</v>
      </c>
      <c r="G150">
        <v>4217944</v>
      </c>
      <c r="H150" t="s">
        <v>68</v>
      </c>
      <c r="I150" t="s">
        <v>348</v>
      </c>
      <c r="J150" t="str">
        <f>"9781317216247"</f>
        <v>9781317216247</v>
      </c>
      <c r="K150" t="s">
        <v>98</v>
      </c>
      <c r="L150">
        <v>7</v>
      </c>
      <c r="O150" t="s">
        <v>30</v>
      </c>
      <c r="P150" t="s">
        <v>50</v>
      </c>
      <c r="S150" t="s">
        <v>163</v>
      </c>
      <c r="U150">
        <v>351.06066900000002</v>
      </c>
      <c r="V150" s="3">
        <v>41638</v>
      </c>
    </row>
    <row r="151" spans="1:22" x14ac:dyDescent="0.35">
      <c r="A151" s="1">
        <v>42398.227303240739</v>
      </c>
      <c r="B151" s="2">
        <v>0</v>
      </c>
      <c r="C151" t="s">
        <v>349</v>
      </c>
      <c r="D151" t="s">
        <v>23</v>
      </c>
      <c r="E151" t="s">
        <v>24</v>
      </c>
      <c r="F151" t="s">
        <v>350</v>
      </c>
      <c r="G151">
        <v>1581687</v>
      </c>
      <c r="H151" t="s">
        <v>68</v>
      </c>
      <c r="I151" t="s">
        <v>27</v>
      </c>
      <c r="J151" t="str">
        <f>"9781136722257"</f>
        <v>9781136722257</v>
      </c>
      <c r="L151">
        <v>0</v>
      </c>
      <c r="O151" t="s">
        <v>28</v>
      </c>
      <c r="P151" t="s">
        <v>47</v>
      </c>
      <c r="Q151" s="1">
        <v>42398.227303240739</v>
      </c>
      <c r="R151">
        <v>1</v>
      </c>
      <c r="S151" t="s">
        <v>31</v>
      </c>
      <c r="T151" t="s">
        <v>351</v>
      </c>
      <c r="U151">
        <v>495.65</v>
      </c>
      <c r="V151" s="3">
        <v>41624</v>
      </c>
    </row>
    <row r="152" spans="1:22" x14ac:dyDescent="0.35">
      <c r="A152" s="1">
        <v>42398.227303240739</v>
      </c>
      <c r="B152" s="2">
        <v>0</v>
      </c>
      <c r="C152" t="s">
        <v>349</v>
      </c>
      <c r="D152" t="s">
        <v>23</v>
      </c>
      <c r="E152" t="s">
        <v>24</v>
      </c>
      <c r="F152" t="s">
        <v>350</v>
      </c>
      <c r="G152">
        <v>1581687</v>
      </c>
      <c r="H152" t="s">
        <v>68</v>
      </c>
      <c r="I152" t="s">
        <v>27</v>
      </c>
      <c r="J152" t="str">
        <f>"9781136722257"</f>
        <v>9781136722257</v>
      </c>
      <c r="L152">
        <v>0</v>
      </c>
      <c r="O152" t="s">
        <v>30</v>
      </c>
      <c r="P152" t="s">
        <v>47</v>
      </c>
      <c r="Q152" s="1">
        <v>42398.227303240739</v>
      </c>
      <c r="R152">
        <v>1</v>
      </c>
      <c r="S152" t="s">
        <v>31</v>
      </c>
      <c r="T152" t="s">
        <v>351</v>
      </c>
      <c r="U152">
        <v>495.65</v>
      </c>
      <c r="V152" s="3">
        <v>41624</v>
      </c>
    </row>
    <row r="153" spans="1:22" x14ac:dyDescent="0.35">
      <c r="A153" s="1">
        <v>42398.226956018516</v>
      </c>
      <c r="B153" s="2">
        <v>3.4722222222222224E-4</v>
      </c>
      <c r="C153" t="s">
        <v>349</v>
      </c>
      <c r="D153" t="s">
        <v>23</v>
      </c>
      <c r="E153" t="s">
        <v>24</v>
      </c>
      <c r="F153" t="s">
        <v>350</v>
      </c>
      <c r="G153">
        <v>1581687</v>
      </c>
      <c r="H153" t="s">
        <v>68</v>
      </c>
      <c r="I153" t="s">
        <v>27</v>
      </c>
      <c r="J153" t="str">
        <f>"9781136722257"</f>
        <v>9781136722257</v>
      </c>
      <c r="K153" t="s">
        <v>98</v>
      </c>
      <c r="L153">
        <v>7</v>
      </c>
      <c r="O153" t="s">
        <v>30</v>
      </c>
      <c r="P153" t="s">
        <v>50</v>
      </c>
      <c r="S153" t="s">
        <v>31</v>
      </c>
      <c r="T153" t="s">
        <v>351</v>
      </c>
      <c r="U153">
        <v>495.65</v>
      </c>
      <c r="V153" s="3">
        <v>41624</v>
      </c>
    </row>
    <row r="154" spans="1:22" x14ac:dyDescent="0.35">
      <c r="A154" s="1">
        <v>42398.221342592595</v>
      </c>
      <c r="B154" s="2">
        <v>0</v>
      </c>
      <c r="C154" t="s">
        <v>349</v>
      </c>
      <c r="D154" t="s">
        <v>23</v>
      </c>
      <c r="E154" t="s">
        <v>24</v>
      </c>
      <c r="F154" t="s">
        <v>352</v>
      </c>
      <c r="G154">
        <v>1895498</v>
      </c>
      <c r="H154" t="s">
        <v>26</v>
      </c>
      <c r="I154" t="s">
        <v>97</v>
      </c>
      <c r="J154" t="str">
        <f>"9781118573020"</f>
        <v>9781118573020</v>
      </c>
      <c r="L154">
        <v>0</v>
      </c>
      <c r="O154" t="s">
        <v>28</v>
      </c>
      <c r="P154" t="s">
        <v>47</v>
      </c>
      <c r="Q154" s="1">
        <v>42398.221342592595</v>
      </c>
      <c r="R154">
        <v>1</v>
      </c>
      <c r="S154" t="s">
        <v>31</v>
      </c>
      <c r="T154" t="s">
        <v>353</v>
      </c>
      <c r="U154" t="s">
        <v>354</v>
      </c>
      <c r="V154" s="3">
        <v>42024</v>
      </c>
    </row>
    <row r="155" spans="1:22" x14ac:dyDescent="0.35">
      <c r="A155" s="1">
        <v>42398.221342592595</v>
      </c>
      <c r="B155" s="2">
        <v>0</v>
      </c>
      <c r="C155" t="s">
        <v>349</v>
      </c>
      <c r="D155" t="s">
        <v>23</v>
      </c>
      <c r="E155" t="s">
        <v>24</v>
      </c>
      <c r="F155" t="s">
        <v>352</v>
      </c>
      <c r="G155">
        <v>1895498</v>
      </c>
      <c r="H155" t="s">
        <v>26</v>
      </c>
      <c r="I155" t="s">
        <v>97</v>
      </c>
      <c r="J155" t="str">
        <f>"9781118573020"</f>
        <v>9781118573020</v>
      </c>
      <c r="L155">
        <v>0</v>
      </c>
      <c r="O155" t="s">
        <v>30</v>
      </c>
      <c r="P155" t="s">
        <v>47</v>
      </c>
      <c r="Q155" s="1">
        <v>42398.221342592595</v>
      </c>
      <c r="R155">
        <v>1</v>
      </c>
      <c r="S155" t="s">
        <v>31</v>
      </c>
      <c r="T155" t="s">
        <v>353</v>
      </c>
      <c r="U155" t="s">
        <v>354</v>
      </c>
      <c r="V155" s="3">
        <v>42024</v>
      </c>
    </row>
    <row r="156" spans="1:22" x14ac:dyDescent="0.35">
      <c r="A156" s="1">
        <v>42398.221018518518</v>
      </c>
      <c r="B156" s="2">
        <v>3.1250000000000001E-4</v>
      </c>
      <c r="C156" t="s">
        <v>349</v>
      </c>
      <c r="D156" t="s">
        <v>23</v>
      </c>
      <c r="E156" t="s">
        <v>24</v>
      </c>
      <c r="F156" t="s">
        <v>352</v>
      </c>
      <c r="G156">
        <v>1895498</v>
      </c>
      <c r="H156" t="s">
        <v>26</v>
      </c>
      <c r="I156" t="s">
        <v>97</v>
      </c>
      <c r="J156" t="str">
        <f>"9781118573020"</f>
        <v>9781118573020</v>
      </c>
      <c r="K156" t="s">
        <v>355</v>
      </c>
      <c r="L156">
        <v>8</v>
      </c>
      <c r="O156" t="s">
        <v>30</v>
      </c>
      <c r="P156" t="s">
        <v>50</v>
      </c>
      <c r="S156" t="s">
        <v>31</v>
      </c>
      <c r="T156" t="s">
        <v>353</v>
      </c>
      <c r="U156" t="s">
        <v>354</v>
      </c>
      <c r="V156" s="3">
        <v>42024</v>
      </c>
    </row>
    <row r="157" spans="1:22" x14ac:dyDescent="0.35">
      <c r="A157" s="1">
        <v>42398.217743055553</v>
      </c>
      <c r="B157" s="2">
        <v>0</v>
      </c>
      <c r="C157" t="s">
        <v>349</v>
      </c>
      <c r="D157" t="s">
        <v>23</v>
      </c>
      <c r="E157" t="s">
        <v>24</v>
      </c>
      <c r="F157" t="s">
        <v>356</v>
      </c>
      <c r="G157">
        <v>4093335</v>
      </c>
      <c r="H157" t="s">
        <v>26</v>
      </c>
      <c r="J157" t="str">
        <f>"9781118489864"</f>
        <v>9781118489864</v>
      </c>
      <c r="L157">
        <v>0</v>
      </c>
      <c r="O157" t="s">
        <v>28</v>
      </c>
      <c r="P157" t="s">
        <v>29</v>
      </c>
      <c r="Q157" s="1">
        <v>42398.217743055553</v>
      </c>
      <c r="R157">
        <v>7</v>
      </c>
      <c r="S157" t="s">
        <v>31</v>
      </c>
      <c r="V157" s="3">
        <v>42095</v>
      </c>
    </row>
    <row r="158" spans="1:22" x14ac:dyDescent="0.35">
      <c r="A158" s="1">
        <v>42398.217743055553</v>
      </c>
      <c r="B158" s="2">
        <v>0</v>
      </c>
      <c r="C158" t="s">
        <v>349</v>
      </c>
      <c r="D158" t="s">
        <v>23</v>
      </c>
      <c r="E158" t="s">
        <v>24</v>
      </c>
      <c r="F158" t="s">
        <v>356</v>
      </c>
      <c r="G158">
        <v>4093335</v>
      </c>
      <c r="H158" t="s">
        <v>26</v>
      </c>
      <c r="J158" t="str">
        <f>"9781118489864"</f>
        <v>9781118489864</v>
      </c>
      <c r="L158">
        <v>0</v>
      </c>
      <c r="O158" t="s">
        <v>30</v>
      </c>
      <c r="P158" t="s">
        <v>29</v>
      </c>
      <c r="Q158" s="1">
        <v>42398.217743055553</v>
      </c>
      <c r="R158">
        <v>7</v>
      </c>
      <c r="S158" t="s">
        <v>31</v>
      </c>
      <c r="V158" s="3">
        <v>42095</v>
      </c>
    </row>
    <row r="159" spans="1:22" x14ac:dyDescent="0.35">
      <c r="A159" s="1">
        <v>42398.217488425929</v>
      </c>
      <c r="B159" s="2">
        <v>2.5462962962962961E-4</v>
      </c>
      <c r="C159" t="s">
        <v>349</v>
      </c>
      <c r="D159" t="s">
        <v>23</v>
      </c>
      <c r="E159" t="s">
        <v>24</v>
      </c>
      <c r="F159" t="s">
        <v>356</v>
      </c>
      <c r="G159">
        <v>4093335</v>
      </c>
      <c r="H159" t="s">
        <v>26</v>
      </c>
      <c r="J159" t="str">
        <f>"9781118489864"</f>
        <v>9781118489864</v>
      </c>
      <c r="K159" t="s">
        <v>33</v>
      </c>
      <c r="L159">
        <v>3</v>
      </c>
      <c r="O159" t="s">
        <v>30</v>
      </c>
      <c r="P159" t="s">
        <v>50</v>
      </c>
      <c r="S159" t="s">
        <v>31</v>
      </c>
      <c r="V159" s="3">
        <v>42095</v>
      </c>
    </row>
    <row r="160" spans="1:22" x14ac:dyDescent="0.35">
      <c r="A160" s="1">
        <v>42398.127858796295</v>
      </c>
      <c r="B160" s="2">
        <v>7.4189814814814813E-3</v>
      </c>
      <c r="C160" t="s">
        <v>195</v>
      </c>
      <c r="D160" t="s">
        <v>35</v>
      </c>
      <c r="E160" t="s">
        <v>36</v>
      </c>
      <c r="F160" t="s">
        <v>111</v>
      </c>
      <c r="G160">
        <v>693176</v>
      </c>
      <c r="H160" t="s">
        <v>26</v>
      </c>
      <c r="I160" t="s">
        <v>112</v>
      </c>
      <c r="J160" t="str">
        <f>"9781118017746"</f>
        <v>9781118017746</v>
      </c>
      <c r="K160" t="s">
        <v>357</v>
      </c>
      <c r="L160">
        <v>10</v>
      </c>
      <c r="M160" t="s">
        <v>173</v>
      </c>
      <c r="O160" t="s">
        <v>30</v>
      </c>
      <c r="P160" t="s">
        <v>29</v>
      </c>
      <c r="Q160" s="1">
        <v>42396.707511574074</v>
      </c>
      <c r="R160">
        <v>7</v>
      </c>
      <c r="S160" t="s">
        <v>40</v>
      </c>
      <c r="T160" t="s">
        <v>114</v>
      </c>
      <c r="U160" t="s">
        <v>115</v>
      </c>
      <c r="V160" s="3">
        <v>40835</v>
      </c>
    </row>
    <row r="161" spans="1:22" x14ac:dyDescent="0.35">
      <c r="A161" s="1">
        <v>42398.1090625</v>
      </c>
      <c r="B161" s="2">
        <v>0</v>
      </c>
      <c r="C161" t="s">
        <v>358</v>
      </c>
      <c r="D161" t="s">
        <v>35</v>
      </c>
      <c r="E161" t="s">
        <v>36</v>
      </c>
      <c r="F161" t="s">
        <v>37</v>
      </c>
      <c r="G161">
        <v>1684620</v>
      </c>
      <c r="H161" t="s">
        <v>26</v>
      </c>
      <c r="I161" t="s">
        <v>38</v>
      </c>
      <c r="J161" t="str">
        <f>"9781118418925"</f>
        <v>9781118418925</v>
      </c>
      <c r="L161">
        <v>0</v>
      </c>
      <c r="O161" t="s">
        <v>28</v>
      </c>
      <c r="P161" t="s">
        <v>29</v>
      </c>
      <c r="Q161" s="1">
        <v>42397.853125000001</v>
      </c>
      <c r="R161">
        <v>7</v>
      </c>
      <c r="S161" t="s">
        <v>40</v>
      </c>
      <c r="T161" t="s">
        <v>41</v>
      </c>
      <c r="U161">
        <v>362.10680000000002</v>
      </c>
      <c r="V161" s="3">
        <v>41759</v>
      </c>
    </row>
    <row r="162" spans="1:22" x14ac:dyDescent="0.35">
      <c r="A162" s="1">
        <v>42398.107395833336</v>
      </c>
      <c r="B162" s="2">
        <v>4.6296296296296294E-5</v>
      </c>
      <c r="C162" t="s">
        <v>359</v>
      </c>
      <c r="D162" t="s">
        <v>360</v>
      </c>
      <c r="E162" t="s">
        <v>361</v>
      </c>
      <c r="F162" t="s">
        <v>362</v>
      </c>
      <c r="G162">
        <v>1272892</v>
      </c>
      <c r="H162" t="s">
        <v>68</v>
      </c>
      <c r="I162" t="s">
        <v>69</v>
      </c>
      <c r="J162" t="str">
        <f>"9781136564529"</f>
        <v>9781136564529</v>
      </c>
      <c r="K162" t="s">
        <v>33</v>
      </c>
      <c r="L162">
        <v>3</v>
      </c>
      <c r="O162" t="s">
        <v>30</v>
      </c>
      <c r="P162" t="s">
        <v>50</v>
      </c>
      <c r="S162" t="s">
        <v>363</v>
      </c>
      <c r="T162" t="s">
        <v>364</v>
      </c>
      <c r="U162">
        <v>371.26013</v>
      </c>
      <c r="V162" s="3">
        <v>41459</v>
      </c>
    </row>
    <row r="163" spans="1:22" x14ac:dyDescent="0.35">
      <c r="A163" s="1">
        <v>42398.084050925929</v>
      </c>
      <c r="B163" s="2">
        <v>0</v>
      </c>
      <c r="C163" t="s">
        <v>365</v>
      </c>
      <c r="D163" t="s">
        <v>23</v>
      </c>
      <c r="E163" t="s">
        <v>24</v>
      </c>
      <c r="F163" t="s">
        <v>366</v>
      </c>
      <c r="G163">
        <v>1896074</v>
      </c>
      <c r="H163" t="s">
        <v>26</v>
      </c>
      <c r="I163" t="s">
        <v>161</v>
      </c>
      <c r="J163" t="str">
        <f>"9783527682171"</f>
        <v>9783527682171</v>
      </c>
      <c r="L163">
        <v>0</v>
      </c>
      <c r="O163" t="s">
        <v>28</v>
      </c>
      <c r="P163" t="s">
        <v>47</v>
      </c>
      <c r="Q163" s="1">
        <v>42398.084050925929</v>
      </c>
      <c r="R163">
        <v>7</v>
      </c>
      <c r="S163" t="s">
        <v>31</v>
      </c>
      <c r="T163" t="s">
        <v>367</v>
      </c>
      <c r="U163">
        <v>530.41300000000001</v>
      </c>
      <c r="V163" s="3">
        <v>41995</v>
      </c>
    </row>
    <row r="164" spans="1:22" x14ac:dyDescent="0.35">
      <c r="A164" s="1">
        <v>42398.084050925929</v>
      </c>
      <c r="B164" s="2">
        <v>0</v>
      </c>
      <c r="C164" t="s">
        <v>365</v>
      </c>
      <c r="D164" t="s">
        <v>23</v>
      </c>
      <c r="E164" t="s">
        <v>24</v>
      </c>
      <c r="F164" t="s">
        <v>366</v>
      </c>
      <c r="G164">
        <v>1896074</v>
      </c>
      <c r="H164" t="s">
        <v>26</v>
      </c>
      <c r="I164" t="s">
        <v>161</v>
      </c>
      <c r="J164" t="str">
        <f>"9783527682171"</f>
        <v>9783527682171</v>
      </c>
      <c r="L164">
        <v>0</v>
      </c>
      <c r="O164" t="s">
        <v>30</v>
      </c>
      <c r="P164" t="s">
        <v>47</v>
      </c>
      <c r="Q164" s="1">
        <v>42398.084050925929</v>
      </c>
      <c r="R164">
        <v>7</v>
      </c>
      <c r="S164" t="s">
        <v>31</v>
      </c>
      <c r="T164" t="s">
        <v>367</v>
      </c>
      <c r="U164">
        <v>530.41300000000001</v>
      </c>
      <c r="V164" s="3">
        <v>41995</v>
      </c>
    </row>
    <row r="165" spans="1:22" x14ac:dyDescent="0.35">
      <c r="A165" s="1">
        <v>42398.083437499998</v>
      </c>
      <c r="B165" s="2">
        <v>6.134259259259259E-4</v>
      </c>
      <c r="C165" t="s">
        <v>365</v>
      </c>
      <c r="D165" t="s">
        <v>23</v>
      </c>
      <c r="E165" t="s">
        <v>24</v>
      </c>
      <c r="F165" t="s">
        <v>366</v>
      </c>
      <c r="G165">
        <v>1896074</v>
      </c>
      <c r="H165" t="s">
        <v>26</v>
      </c>
      <c r="I165" t="s">
        <v>161</v>
      </c>
      <c r="J165" t="str">
        <f>"9783527682171"</f>
        <v>9783527682171</v>
      </c>
      <c r="K165" t="s">
        <v>368</v>
      </c>
      <c r="L165">
        <v>8</v>
      </c>
      <c r="O165" t="s">
        <v>30</v>
      </c>
      <c r="P165" t="s">
        <v>50</v>
      </c>
      <c r="S165" t="s">
        <v>31</v>
      </c>
      <c r="T165" t="s">
        <v>367</v>
      </c>
      <c r="U165">
        <v>530.41300000000001</v>
      </c>
      <c r="V165" s="3">
        <v>41995</v>
      </c>
    </row>
    <row r="166" spans="1:22" x14ac:dyDescent="0.35">
      <c r="A166" s="1">
        <v>42398.060567129629</v>
      </c>
      <c r="B166" s="2">
        <v>0</v>
      </c>
      <c r="C166" t="s">
        <v>358</v>
      </c>
      <c r="D166" t="s">
        <v>35</v>
      </c>
      <c r="E166" t="s">
        <v>36</v>
      </c>
      <c r="F166" t="s">
        <v>37</v>
      </c>
      <c r="G166">
        <v>1684620</v>
      </c>
      <c r="H166" t="s">
        <v>26</v>
      </c>
      <c r="I166" t="s">
        <v>38</v>
      </c>
      <c r="J166" t="str">
        <f>"9781118418925"</f>
        <v>9781118418925</v>
      </c>
      <c r="L166">
        <v>0</v>
      </c>
      <c r="O166" t="s">
        <v>28</v>
      </c>
      <c r="P166" t="s">
        <v>29</v>
      </c>
      <c r="Q166" s="1">
        <v>42397.853125000001</v>
      </c>
      <c r="R166">
        <v>7</v>
      </c>
      <c r="S166" t="s">
        <v>40</v>
      </c>
      <c r="T166" t="s">
        <v>41</v>
      </c>
      <c r="U166">
        <v>362.10680000000002</v>
      </c>
      <c r="V166" s="3">
        <v>41759</v>
      </c>
    </row>
    <row r="167" spans="1:22" x14ac:dyDescent="0.35">
      <c r="A167" s="1">
        <v>42398.042638888888</v>
      </c>
      <c r="B167" s="2">
        <v>6.9444444444444444E-5</v>
      </c>
      <c r="C167" t="s">
        <v>358</v>
      </c>
      <c r="D167" t="s">
        <v>35</v>
      </c>
      <c r="E167" t="s">
        <v>36</v>
      </c>
      <c r="F167" t="s">
        <v>37</v>
      </c>
      <c r="G167">
        <v>1684620</v>
      </c>
      <c r="H167" t="s">
        <v>26</v>
      </c>
      <c r="I167" t="s">
        <v>38</v>
      </c>
      <c r="J167" t="str">
        <f>"9781118418925"</f>
        <v>9781118418925</v>
      </c>
      <c r="K167" t="s">
        <v>33</v>
      </c>
      <c r="L167">
        <v>3</v>
      </c>
      <c r="O167" t="s">
        <v>30</v>
      </c>
      <c r="P167" t="s">
        <v>29</v>
      </c>
      <c r="Q167" s="1">
        <v>42397.853125000001</v>
      </c>
      <c r="R167">
        <v>7</v>
      </c>
      <c r="S167" t="s">
        <v>40</v>
      </c>
      <c r="T167" t="s">
        <v>41</v>
      </c>
      <c r="U167">
        <v>362.10680000000002</v>
      </c>
      <c r="V167" s="3">
        <v>41759</v>
      </c>
    </row>
    <row r="168" spans="1:22" x14ac:dyDescent="0.35">
      <c r="A168" s="1">
        <v>42398.026689814818</v>
      </c>
      <c r="B168" s="2">
        <v>5.2083333333333333E-4</v>
      </c>
      <c r="C168" t="s">
        <v>106</v>
      </c>
      <c r="D168" t="s">
        <v>23</v>
      </c>
      <c r="E168" t="s">
        <v>24</v>
      </c>
      <c r="F168" t="s">
        <v>83</v>
      </c>
      <c r="G168">
        <v>1711065</v>
      </c>
      <c r="H168" t="s">
        <v>84</v>
      </c>
      <c r="I168" t="s">
        <v>85</v>
      </c>
      <c r="J168" t="str">
        <f>"9780520959156"</f>
        <v>9780520959156</v>
      </c>
      <c r="K168" t="s">
        <v>369</v>
      </c>
      <c r="L168">
        <v>31</v>
      </c>
      <c r="O168" t="s">
        <v>30</v>
      </c>
      <c r="P168" t="s">
        <v>42</v>
      </c>
      <c r="S168" t="s">
        <v>31</v>
      </c>
      <c r="T168" t="s">
        <v>87</v>
      </c>
      <c r="U168" t="s">
        <v>88</v>
      </c>
      <c r="V168" s="3">
        <v>41881</v>
      </c>
    </row>
    <row r="169" spans="1:22" x14ac:dyDescent="0.35">
      <c r="A169" s="1">
        <v>42398.020370370374</v>
      </c>
      <c r="B169" s="2">
        <v>3.4722222222222222E-5</v>
      </c>
      <c r="C169" t="s">
        <v>106</v>
      </c>
      <c r="D169" t="s">
        <v>23</v>
      </c>
      <c r="E169" t="s">
        <v>24</v>
      </c>
      <c r="F169" t="s">
        <v>83</v>
      </c>
      <c r="G169">
        <v>1711065</v>
      </c>
      <c r="H169" t="s">
        <v>84</v>
      </c>
      <c r="I169" t="s">
        <v>85</v>
      </c>
      <c r="J169" t="str">
        <f>"9780520959156"</f>
        <v>9780520959156</v>
      </c>
      <c r="K169" t="s">
        <v>33</v>
      </c>
      <c r="L169">
        <v>3</v>
      </c>
      <c r="O169" t="s">
        <v>30</v>
      </c>
      <c r="P169" t="s">
        <v>42</v>
      </c>
      <c r="S169" t="s">
        <v>31</v>
      </c>
      <c r="T169" t="s">
        <v>87</v>
      </c>
      <c r="U169" t="s">
        <v>88</v>
      </c>
      <c r="V169" s="3">
        <v>41881</v>
      </c>
    </row>
    <row r="170" spans="1:22" x14ac:dyDescent="0.35">
      <c r="A170" s="1">
        <v>42398.017592592594</v>
      </c>
      <c r="B170" s="2">
        <v>2.7777777777777778E-4</v>
      </c>
      <c r="C170" t="s">
        <v>370</v>
      </c>
      <c r="D170" t="s">
        <v>261</v>
      </c>
      <c r="E170" t="s">
        <v>262</v>
      </c>
      <c r="F170" t="s">
        <v>371</v>
      </c>
      <c r="G170">
        <v>1895729</v>
      </c>
      <c r="H170" t="s">
        <v>26</v>
      </c>
      <c r="I170" t="s">
        <v>69</v>
      </c>
      <c r="J170" t="str">
        <f>"9781118904817"</f>
        <v>9781118904817</v>
      </c>
      <c r="K170" t="s">
        <v>372</v>
      </c>
      <c r="L170">
        <v>8</v>
      </c>
      <c r="O170" t="s">
        <v>30</v>
      </c>
      <c r="P170" t="s">
        <v>29</v>
      </c>
      <c r="Q170" s="1">
        <v>42398.017592592594</v>
      </c>
      <c r="R170">
        <v>7</v>
      </c>
      <c r="S170" t="s">
        <v>264</v>
      </c>
      <c r="T170" t="s">
        <v>373</v>
      </c>
      <c r="U170">
        <v>371.10199999999998</v>
      </c>
      <c r="V170" s="3">
        <v>42045</v>
      </c>
    </row>
    <row r="171" spans="1:22" x14ac:dyDescent="0.35">
      <c r="A171" s="1">
        <v>42398.013993055552</v>
      </c>
      <c r="B171" s="2">
        <v>3.5995370370370369E-3</v>
      </c>
      <c r="C171" t="s">
        <v>370</v>
      </c>
      <c r="D171" t="s">
        <v>261</v>
      </c>
      <c r="E171" t="s">
        <v>262</v>
      </c>
      <c r="F171" t="s">
        <v>371</v>
      </c>
      <c r="G171">
        <v>1895729</v>
      </c>
      <c r="H171" t="s">
        <v>26</v>
      </c>
      <c r="I171" t="s">
        <v>69</v>
      </c>
      <c r="J171" t="str">
        <f>"9781118904817"</f>
        <v>9781118904817</v>
      </c>
      <c r="K171" t="s">
        <v>374</v>
      </c>
      <c r="L171">
        <v>44</v>
      </c>
      <c r="O171" t="s">
        <v>30</v>
      </c>
      <c r="P171" t="s">
        <v>50</v>
      </c>
      <c r="S171" t="s">
        <v>264</v>
      </c>
      <c r="T171" t="s">
        <v>373</v>
      </c>
      <c r="U171">
        <v>371.10199999999998</v>
      </c>
      <c r="V171" s="3">
        <v>42045</v>
      </c>
    </row>
    <row r="172" spans="1:22" x14ac:dyDescent="0.35">
      <c r="A172" s="1">
        <v>42398.009965277779</v>
      </c>
      <c r="B172" s="2">
        <v>1.6724537037037034E-2</v>
      </c>
      <c r="C172" t="s">
        <v>106</v>
      </c>
      <c r="D172" t="s">
        <v>23</v>
      </c>
      <c r="E172" t="s">
        <v>24</v>
      </c>
      <c r="F172" t="s">
        <v>83</v>
      </c>
      <c r="G172">
        <v>1711065</v>
      </c>
      <c r="H172" t="s">
        <v>84</v>
      </c>
      <c r="I172" t="s">
        <v>85</v>
      </c>
      <c r="J172" t="str">
        <f>"9780520959156"</f>
        <v>9780520959156</v>
      </c>
      <c r="K172" t="s">
        <v>375</v>
      </c>
      <c r="L172">
        <v>10</v>
      </c>
      <c r="O172" t="s">
        <v>30</v>
      </c>
      <c r="P172" t="s">
        <v>42</v>
      </c>
      <c r="S172" t="s">
        <v>31</v>
      </c>
      <c r="T172" t="s">
        <v>87</v>
      </c>
      <c r="U172" t="s">
        <v>88</v>
      </c>
      <c r="V172" s="3">
        <v>41881</v>
      </c>
    </row>
    <row r="173" spans="1:22" x14ac:dyDescent="0.35">
      <c r="A173" s="1">
        <v>42398.00953703704</v>
      </c>
      <c r="B173" s="2">
        <v>2.199074074074074E-4</v>
      </c>
      <c r="C173" t="s">
        <v>376</v>
      </c>
      <c r="D173" t="s">
        <v>35</v>
      </c>
      <c r="E173" t="s">
        <v>36</v>
      </c>
      <c r="F173" t="s">
        <v>377</v>
      </c>
      <c r="G173">
        <v>1524194</v>
      </c>
      <c r="H173" t="s">
        <v>68</v>
      </c>
      <c r="I173" t="s">
        <v>120</v>
      </c>
      <c r="J173" t="str">
        <f>"9781134577590"</f>
        <v>9781134577590</v>
      </c>
      <c r="K173" t="s">
        <v>378</v>
      </c>
      <c r="L173">
        <v>9</v>
      </c>
      <c r="O173" t="s">
        <v>30</v>
      </c>
      <c r="P173" t="s">
        <v>50</v>
      </c>
      <c r="S173" t="s">
        <v>40</v>
      </c>
      <c r="T173" t="s">
        <v>379</v>
      </c>
      <c r="U173">
        <v>305.90800000000002</v>
      </c>
      <c r="V173" s="3">
        <v>41554</v>
      </c>
    </row>
    <row r="174" spans="1:22" x14ac:dyDescent="0.35">
      <c r="A174" s="1">
        <v>42398.009375000001</v>
      </c>
      <c r="B174" s="2">
        <v>0</v>
      </c>
      <c r="C174" t="s">
        <v>380</v>
      </c>
      <c r="D174" t="s">
        <v>23</v>
      </c>
      <c r="E174" t="s">
        <v>24</v>
      </c>
      <c r="F174" t="s">
        <v>381</v>
      </c>
      <c r="G174">
        <v>4000652</v>
      </c>
      <c r="H174" t="s">
        <v>91</v>
      </c>
      <c r="I174" t="s">
        <v>382</v>
      </c>
      <c r="J174" t="str">
        <f>"9781462522200"</f>
        <v>9781462522200</v>
      </c>
      <c r="L174">
        <v>0</v>
      </c>
      <c r="O174" t="s">
        <v>28</v>
      </c>
      <c r="P174" t="s">
        <v>47</v>
      </c>
      <c r="Q174" s="1">
        <v>42398.009375000001</v>
      </c>
      <c r="R174">
        <v>7</v>
      </c>
      <c r="S174" t="s">
        <v>31</v>
      </c>
      <c r="T174" t="s">
        <v>383</v>
      </c>
      <c r="U174">
        <v>910.28499999999997</v>
      </c>
      <c r="V174" s="3">
        <v>42331</v>
      </c>
    </row>
    <row r="175" spans="1:22" x14ac:dyDescent="0.35">
      <c r="A175" s="1">
        <v>42398.009375000001</v>
      </c>
      <c r="B175" s="2">
        <v>0</v>
      </c>
      <c r="C175" t="s">
        <v>380</v>
      </c>
      <c r="D175" t="s">
        <v>23</v>
      </c>
      <c r="E175" t="s">
        <v>24</v>
      </c>
      <c r="F175" t="s">
        <v>381</v>
      </c>
      <c r="G175">
        <v>4000652</v>
      </c>
      <c r="H175" t="s">
        <v>91</v>
      </c>
      <c r="I175" t="s">
        <v>382</v>
      </c>
      <c r="J175" t="str">
        <f>"9781462522200"</f>
        <v>9781462522200</v>
      </c>
      <c r="L175">
        <v>0</v>
      </c>
      <c r="O175" t="s">
        <v>30</v>
      </c>
      <c r="P175" t="s">
        <v>47</v>
      </c>
      <c r="Q175" s="1">
        <v>42398.009375000001</v>
      </c>
      <c r="R175">
        <v>7</v>
      </c>
      <c r="S175" t="s">
        <v>31</v>
      </c>
      <c r="T175" t="s">
        <v>383</v>
      </c>
      <c r="U175">
        <v>910.28499999999997</v>
      </c>
      <c r="V175" s="3">
        <v>42331</v>
      </c>
    </row>
    <row r="176" spans="1:22" x14ac:dyDescent="0.35">
      <c r="A176" s="1">
        <v>42398.009236111109</v>
      </c>
      <c r="B176" s="2">
        <v>1.3888888888888889E-4</v>
      </c>
      <c r="C176" t="s">
        <v>380</v>
      </c>
      <c r="D176" t="s">
        <v>23</v>
      </c>
      <c r="E176" t="s">
        <v>24</v>
      </c>
      <c r="F176" t="s">
        <v>381</v>
      </c>
      <c r="G176">
        <v>4000652</v>
      </c>
      <c r="H176" t="s">
        <v>91</v>
      </c>
      <c r="I176" t="s">
        <v>382</v>
      </c>
      <c r="J176" t="str">
        <f>"9781462522200"</f>
        <v>9781462522200</v>
      </c>
      <c r="K176" t="s">
        <v>33</v>
      </c>
      <c r="L176">
        <v>3</v>
      </c>
      <c r="O176" t="s">
        <v>30</v>
      </c>
      <c r="P176" t="s">
        <v>50</v>
      </c>
      <c r="S176" t="s">
        <v>31</v>
      </c>
      <c r="T176" t="s">
        <v>383</v>
      </c>
      <c r="U176">
        <v>910.28499999999997</v>
      </c>
      <c r="V176" s="3">
        <v>42331</v>
      </c>
    </row>
    <row r="177" spans="1:22" x14ac:dyDescent="0.35">
      <c r="A177" s="1">
        <v>42398.005659722221</v>
      </c>
      <c r="B177" s="2">
        <v>2.5462962962962961E-4</v>
      </c>
      <c r="C177" t="s">
        <v>384</v>
      </c>
      <c r="D177" t="s">
        <v>23</v>
      </c>
      <c r="E177" t="s">
        <v>24</v>
      </c>
      <c r="F177" t="s">
        <v>385</v>
      </c>
      <c r="G177">
        <v>290052</v>
      </c>
      <c r="H177" t="s">
        <v>68</v>
      </c>
      <c r="I177" t="s">
        <v>386</v>
      </c>
      <c r="J177" t="str">
        <f>"9781136750168"</f>
        <v>9781136750168</v>
      </c>
      <c r="K177" t="s">
        <v>86</v>
      </c>
      <c r="L177">
        <v>5</v>
      </c>
      <c r="O177" t="s">
        <v>30</v>
      </c>
      <c r="P177" t="s">
        <v>50</v>
      </c>
      <c r="S177" t="s">
        <v>31</v>
      </c>
      <c r="T177" t="s">
        <v>387</v>
      </c>
      <c r="U177">
        <v>362.29</v>
      </c>
      <c r="V177" s="3">
        <v>41502</v>
      </c>
    </row>
    <row r="178" spans="1:22" x14ac:dyDescent="0.35">
      <c r="A178" s="1">
        <v>42397.967847222222</v>
      </c>
      <c r="B178" s="2">
        <v>4.6064814814814814E-3</v>
      </c>
      <c r="C178" t="s">
        <v>388</v>
      </c>
      <c r="D178" t="s">
        <v>158</v>
      </c>
      <c r="E178" t="s">
        <v>159</v>
      </c>
      <c r="F178" t="s">
        <v>389</v>
      </c>
      <c r="G178">
        <v>822062</v>
      </c>
      <c r="H178" t="s">
        <v>26</v>
      </c>
      <c r="I178" t="s">
        <v>390</v>
      </c>
      <c r="J178" t="str">
        <f>"9780857083272"</f>
        <v>9780857083272</v>
      </c>
      <c r="K178" t="s">
        <v>391</v>
      </c>
      <c r="L178">
        <v>28</v>
      </c>
      <c r="O178" t="s">
        <v>30</v>
      </c>
      <c r="P178" t="s">
        <v>29</v>
      </c>
      <c r="Q178" s="1">
        <v>42396.017557870371</v>
      </c>
      <c r="R178">
        <v>7</v>
      </c>
      <c r="S178" t="s">
        <v>163</v>
      </c>
      <c r="T178" t="s">
        <v>392</v>
      </c>
      <c r="U178" t="s">
        <v>393</v>
      </c>
      <c r="V178" s="3">
        <v>41025</v>
      </c>
    </row>
    <row r="179" spans="1:22" x14ac:dyDescent="0.35">
      <c r="A179" s="1">
        <v>42397.966886574075</v>
      </c>
      <c r="B179" s="2">
        <v>6.018518518518519E-4</v>
      </c>
      <c r="C179" t="s">
        <v>106</v>
      </c>
      <c r="D179" t="s">
        <v>23</v>
      </c>
      <c r="E179" t="s">
        <v>24</v>
      </c>
      <c r="F179" t="s">
        <v>61</v>
      </c>
      <c r="G179">
        <v>699526</v>
      </c>
      <c r="H179" t="s">
        <v>26</v>
      </c>
      <c r="I179" t="s">
        <v>62</v>
      </c>
      <c r="J179" t="str">
        <f>"9781118586006"</f>
        <v>9781118586006</v>
      </c>
      <c r="K179" t="s">
        <v>394</v>
      </c>
      <c r="L179">
        <v>8</v>
      </c>
      <c r="O179" t="s">
        <v>30</v>
      </c>
      <c r="P179" t="s">
        <v>29</v>
      </c>
      <c r="Q179" s="1">
        <v>42396.855069444442</v>
      </c>
      <c r="R179">
        <v>7</v>
      </c>
      <c r="S179" t="s">
        <v>31</v>
      </c>
      <c r="T179" t="s">
        <v>64</v>
      </c>
      <c r="U179">
        <v>6.4</v>
      </c>
      <c r="V179" s="3">
        <v>41222</v>
      </c>
    </row>
    <row r="180" spans="1:22" x14ac:dyDescent="0.35">
      <c r="A180" s="1">
        <v>42397.966296296298</v>
      </c>
      <c r="B180" s="2">
        <v>4.6296296296296294E-5</v>
      </c>
      <c r="C180" t="s">
        <v>106</v>
      </c>
      <c r="D180" t="s">
        <v>23</v>
      </c>
      <c r="E180" t="s">
        <v>24</v>
      </c>
      <c r="F180" t="s">
        <v>61</v>
      </c>
      <c r="G180">
        <v>699526</v>
      </c>
      <c r="H180" t="s">
        <v>26</v>
      </c>
      <c r="I180" t="s">
        <v>62</v>
      </c>
      <c r="J180" t="str">
        <f>"9781118586006"</f>
        <v>9781118586006</v>
      </c>
      <c r="K180" t="s">
        <v>33</v>
      </c>
      <c r="L180">
        <v>3</v>
      </c>
      <c r="O180" t="s">
        <v>30</v>
      </c>
      <c r="P180" t="s">
        <v>29</v>
      </c>
      <c r="Q180" s="1">
        <v>42396.855069444442</v>
      </c>
      <c r="R180">
        <v>7</v>
      </c>
      <c r="S180" t="s">
        <v>31</v>
      </c>
      <c r="T180" t="s">
        <v>64</v>
      </c>
      <c r="U180">
        <v>6.4</v>
      </c>
      <c r="V180" s="3">
        <v>41222</v>
      </c>
    </row>
    <row r="181" spans="1:22" x14ac:dyDescent="0.35">
      <c r="A181" s="1">
        <v>42397.91914351852</v>
      </c>
      <c r="B181" s="2">
        <v>2.4421296296296296E-3</v>
      </c>
      <c r="C181" t="s">
        <v>395</v>
      </c>
      <c r="D181" t="s">
        <v>23</v>
      </c>
      <c r="E181" t="s">
        <v>24</v>
      </c>
      <c r="F181" t="s">
        <v>396</v>
      </c>
      <c r="G181">
        <v>1034772</v>
      </c>
      <c r="H181" t="s">
        <v>91</v>
      </c>
      <c r="I181" t="s">
        <v>247</v>
      </c>
      <c r="J181" t="str">
        <f>"9781462507184"</f>
        <v>9781462507184</v>
      </c>
      <c r="K181" t="s">
        <v>397</v>
      </c>
      <c r="L181">
        <v>45</v>
      </c>
      <c r="O181" t="s">
        <v>30</v>
      </c>
      <c r="P181" t="s">
        <v>50</v>
      </c>
      <c r="S181" t="s">
        <v>31</v>
      </c>
      <c r="T181" t="s">
        <v>398</v>
      </c>
      <c r="U181">
        <v>616.85599999999999</v>
      </c>
      <c r="V181" s="3">
        <v>41815</v>
      </c>
    </row>
    <row r="182" spans="1:22" x14ac:dyDescent="0.35">
      <c r="A182" s="1">
        <v>42397.912743055553</v>
      </c>
      <c r="B182" s="2">
        <v>0</v>
      </c>
      <c r="C182" t="s">
        <v>358</v>
      </c>
      <c r="D182" t="s">
        <v>35</v>
      </c>
      <c r="E182" t="s">
        <v>36</v>
      </c>
      <c r="F182" t="s">
        <v>37</v>
      </c>
      <c r="G182">
        <v>1684620</v>
      </c>
      <c r="H182" t="s">
        <v>26</v>
      </c>
      <c r="I182" t="s">
        <v>38</v>
      </c>
      <c r="J182" t="str">
        <f>"9781118418925"</f>
        <v>9781118418925</v>
      </c>
      <c r="L182">
        <v>0</v>
      </c>
      <c r="O182" t="s">
        <v>28</v>
      </c>
      <c r="P182" t="s">
        <v>29</v>
      </c>
      <c r="Q182" s="1">
        <v>42397.853125000001</v>
      </c>
      <c r="R182">
        <v>7</v>
      </c>
      <c r="S182" t="s">
        <v>40</v>
      </c>
      <c r="T182" t="s">
        <v>41</v>
      </c>
      <c r="U182">
        <v>362.10680000000002</v>
      </c>
      <c r="V182" s="3">
        <v>41759</v>
      </c>
    </row>
    <row r="183" spans="1:22" x14ac:dyDescent="0.35">
      <c r="A183" s="1">
        <v>42397.909629629627</v>
      </c>
      <c r="B183" s="2">
        <v>1.3425925925925925E-3</v>
      </c>
      <c r="C183" t="s">
        <v>358</v>
      </c>
      <c r="D183" t="s">
        <v>35</v>
      </c>
      <c r="E183" t="s">
        <v>36</v>
      </c>
      <c r="F183" t="s">
        <v>37</v>
      </c>
      <c r="G183">
        <v>1684620</v>
      </c>
      <c r="H183" t="s">
        <v>26</v>
      </c>
      <c r="I183" t="s">
        <v>38</v>
      </c>
      <c r="J183" t="str">
        <f>"9781118418925"</f>
        <v>9781118418925</v>
      </c>
      <c r="K183" t="s">
        <v>399</v>
      </c>
      <c r="L183">
        <v>42</v>
      </c>
      <c r="O183" t="s">
        <v>30</v>
      </c>
      <c r="P183" t="s">
        <v>29</v>
      </c>
      <c r="Q183" s="1">
        <v>42397.853125000001</v>
      </c>
      <c r="R183">
        <v>7</v>
      </c>
      <c r="S183" t="s">
        <v>40</v>
      </c>
      <c r="T183" t="s">
        <v>41</v>
      </c>
      <c r="U183">
        <v>362.10680000000002</v>
      </c>
      <c r="V183" s="3">
        <v>41759</v>
      </c>
    </row>
    <row r="184" spans="1:22" x14ac:dyDescent="0.35">
      <c r="A184" s="1">
        <v>42397.900555555556</v>
      </c>
      <c r="B184" s="2">
        <v>5.4398148148148144E-4</v>
      </c>
      <c r="C184" t="s">
        <v>358</v>
      </c>
      <c r="D184" t="s">
        <v>35</v>
      </c>
      <c r="E184" t="s">
        <v>36</v>
      </c>
      <c r="F184" t="s">
        <v>37</v>
      </c>
      <c r="G184">
        <v>1684620</v>
      </c>
      <c r="H184" t="s">
        <v>26</v>
      </c>
      <c r="I184" t="s">
        <v>38</v>
      </c>
      <c r="J184" t="str">
        <f>"9781118418925"</f>
        <v>9781118418925</v>
      </c>
      <c r="K184" t="s">
        <v>400</v>
      </c>
      <c r="L184">
        <v>3</v>
      </c>
      <c r="O184" t="s">
        <v>28</v>
      </c>
      <c r="P184" t="s">
        <v>29</v>
      </c>
      <c r="Q184" s="1">
        <v>42397.853125000001</v>
      </c>
      <c r="R184">
        <v>7</v>
      </c>
      <c r="S184" t="s">
        <v>40</v>
      </c>
      <c r="T184" t="s">
        <v>41</v>
      </c>
      <c r="U184">
        <v>362.10680000000002</v>
      </c>
      <c r="V184" s="3">
        <v>41759</v>
      </c>
    </row>
    <row r="185" spans="1:22" x14ac:dyDescent="0.35">
      <c r="A185" s="1">
        <v>42397.899143518516</v>
      </c>
      <c r="B185" s="2">
        <v>0</v>
      </c>
      <c r="C185" t="s">
        <v>358</v>
      </c>
      <c r="D185" t="s">
        <v>35</v>
      </c>
      <c r="E185" t="s">
        <v>36</v>
      </c>
      <c r="F185" t="s">
        <v>37</v>
      </c>
      <c r="G185">
        <v>1684620</v>
      </c>
      <c r="H185" t="s">
        <v>26</v>
      </c>
      <c r="I185" t="s">
        <v>38</v>
      </c>
      <c r="J185" t="str">
        <f>"9781118418925"</f>
        <v>9781118418925</v>
      </c>
      <c r="L185">
        <v>0</v>
      </c>
      <c r="O185" t="s">
        <v>28</v>
      </c>
      <c r="P185" t="s">
        <v>29</v>
      </c>
      <c r="Q185" s="1">
        <v>42397.853125000001</v>
      </c>
      <c r="R185">
        <v>7</v>
      </c>
      <c r="S185" t="s">
        <v>40</v>
      </c>
      <c r="T185" t="s">
        <v>41</v>
      </c>
      <c r="U185">
        <v>362.10680000000002</v>
      </c>
      <c r="V185" s="3">
        <v>41759</v>
      </c>
    </row>
    <row r="186" spans="1:22" x14ac:dyDescent="0.35">
      <c r="A186" s="1">
        <v>42397.896620370368</v>
      </c>
      <c r="B186" s="2">
        <v>2.568287037037037E-2</v>
      </c>
      <c r="C186" t="s">
        <v>342</v>
      </c>
      <c r="D186" t="s">
        <v>261</v>
      </c>
      <c r="E186" t="s">
        <v>262</v>
      </c>
      <c r="F186" t="s">
        <v>343</v>
      </c>
      <c r="G186">
        <v>4036197</v>
      </c>
      <c r="H186" t="s">
        <v>26</v>
      </c>
      <c r="I186" t="s">
        <v>187</v>
      </c>
      <c r="J186" t="str">
        <f>"9781118540633"</f>
        <v>9781118540633</v>
      </c>
      <c r="K186" t="s">
        <v>401</v>
      </c>
      <c r="L186">
        <v>5</v>
      </c>
      <c r="O186" t="s">
        <v>30</v>
      </c>
      <c r="P186" t="s">
        <v>29</v>
      </c>
      <c r="Q186" s="1">
        <v>42397.896620370368</v>
      </c>
      <c r="R186">
        <v>7</v>
      </c>
      <c r="S186" t="s">
        <v>264</v>
      </c>
      <c r="T186" t="s">
        <v>345</v>
      </c>
      <c r="U186">
        <v>631.4</v>
      </c>
      <c r="V186" s="3">
        <v>42282</v>
      </c>
    </row>
    <row r="187" spans="1:22" x14ac:dyDescent="0.35">
      <c r="A187" s="1">
        <v>42397.895324074074</v>
      </c>
      <c r="B187" s="2">
        <v>0</v>
      </c>
      <c r="C187" t="s">
        <v>308</v>
      </c>
      <c r="D187" t="s">
        <v>23</v>
      </c>
      <c r="E187" t="s">
        <v>24</v>
      </c>
      <c r="F187" t="s">
        <v>309</v>
      </c>
      <c r="G187">
        <v>1565213</v>
      </c>
      <c r="H187" t="s">
        <v>68</v>
      </c>
      <c r="I187" t="s">
        <v>310</v>
      </c>
      <c r="J187" t="str">
        <f>"9781317761181"</f>
        <v>9781317761181</v>
      </c>
      <c r="L187">
        <v>0</v>
      </c>
      <c r="O187" t="s">
        <v>30</v>
      </c>
      <c r="P187" t="s">
        <v>47</v>
      </c>
      <c r="Q187" s="1">
        <v>42397.895324074074</v>
      </c>
      <c r="R187">
        <v>1</v>
      </c>
      <c r="S187" t="s">
        <v>31</v>
      </c>
      <c r="T187" t="s">
        <v>313</v>
      </c>
      <c r="U187">
        <v>880.09</v>
      </c>
      <c r="V187" s="3">
        <v>41597</v>
      </c>
    </row>
    <row r="188" spans="1:22" x14ac:dyDescent="0.35">
      <c r="A188" s="1">
        <v>42397.89398148148</v>
      </c>
      <c r="B188" s="2">
        <v>1.3425925925925925E-3</v>
      </c>
      <c r="C188" t="s">
        <v>308</v>
      </c>
      <c r="D188" t="s">
        <v>23</v>
      </c>
      <c r="E188" t="s">
        <v>24</v>
      </c>
      <c r="F188" t="s">
        <v>309</v>
      </c>
      <c r="G188">
        <v>1565213</v>
      </c>
      <c r="H188" t="s">
        <v>68</v>
      </c>
      <c r="I188" t="s">
        <v>310</v>
      </c>
      <c r="J188" t="str">
        <f>"9781317761181"</f>
        <v>9781317761181</v>
      </c>
      <c r="K188" t="s">
        <v>402</v>
      </c>
      <c r="L188">
        <v>31</v>
      </c>
      <c r="O188" t="s">
        <v>30</v>
      </c>
      <c r="P188" t="s">
        <v>50</v>
      </c>
      <c r="S188" t="s">
        <v>31</v>
      </c>
      <c r="T188" t="s">
        <v>313</v>
      </c>
      <c r="U188">
        <v>880.09</v>
      </c>
      <c r="V188" s="3">
        <v>41597</v>
      </c>
    </row>
    <row r="189" spans="1:22" x14ac:dyDescent="0.35">
      <c r="A189" s="1">
        <v>42397.891261574077</v>
      </c>
      <c r="B189" s="2">
        <v>5.3587962962962964E-3</v>
      </c>
      <c r="C189" t="s">
        <v>342</v>
      </c>
      <c r="D189" t="s">
        <v>261</v>
      </c>
      <c r="E189" t="s">
        <v>262</v>
      </c>
      <c r="F189" t="s">
        <v>343</v>
      </c>
      <c r="G189">
        <v>4036197</v>
      </c>
      <c r="H189" t="s">
        <v>26</v>
      </c>
      <c r="I189" t="s">
        <v>187</v>
      </c>
      <c r="J189" t="str">
        <f>"9781118540633"</f>
        <v>9781118540633</v>
      </c>
      <c r="K189" t="s">
        <v>403</v>
      </c>
      <c r="L189">
        <v>8</v>
      </c>
      <c r="O189" t="s">
        <v>30</v>
      </c>
      <c r="P189" t="s">
        <v>50</v>
      </c>
      <c r="S189" t="s">
        <v>264</v>
      </c>
      <c r="T189" t="s">
        <v>345</v>
      </c>
      <c r="U189">
        <v>631.4</v>
      </c>
      <c r="V189" s="3">
        <v>42282</v>
      </c>
    </row>
    <row r="190" spans="1:22" x14ac:dyDescent="0.35">
      <c r="A190" s="1">
        <v>42397.891087962962</v>
      </c>
      <c r="B190" s="2">
        <v>1.1574074074074073E-5</v>
      </c>
      <c r="C190" t="s">
        <v>404</v>
      </c>
      <c r="D190" t="s">
        <v>23</v>
      </c>
      <c r="E190" t="s">
        <v>24</v>
      </c>
      <c r="F190" t="s">
        <v>405</v>
      </c>
      <c r="G190">
        <v>1211842</v>
      </c>
      <c r="H190" t="s">
        <v>26</v>
      </c>
      <c r="I190" t="s">
        <v>297</v>
      </c>
      <c r="J190" t="str">
        <f>"9781118626214"</f>
        <v>9781118626214</v>
      </c>
      <c r="K190" t="s">
        <v>406</v>
      </c>
      <c r="L190">
        <v>2</v>
      </c>
      <c r="O190" t="s">
        <v>30</v>
      </c>
      <c r="P190" t="s">
        <v>29</v>
      </c>
      <c r="Q190" s="1">
        <v>42397.891087962962</v>
      </c>
      <c r="R190">
        <v>7</v>
      </c>
      <c r="S190" t="s">
        <v>31</v>
      </c>
      <c r="T190" t="s">
        <v>407</v>
      </c>
      <c r="U190" t="s">
        <v>408</v>
      </c>
      <c r="V190" s="3">
        <v>41430</v>
      </c>
    </row>
    <row r="191" spans="1:22" x14ac:dyDescent="0.35">
      <c r="A191" s="1">
        <v>42397.890625</v>
      </c>
      <c r="B191" s="2">
        <v>4.3981481481481481E-4</v>
      </c>
      <c r="C191" t="s">
        <v>404</v>
      </c>
      <c r="D191" t="s">
        <v>23</v>
      </c>
      <c r="E191" t="s">
        <v>24</v>
      </c>
      <c r="F191" t="s">
        <v>405</v>
      </c>
      <c r="G191">
        <v>4040556</v>
      </c>
      <c r="H191" t="s">
        <v>26</v>
      </c>
      <c r="I191" t="s">
        <v>297</v>
      </c>
      <c r="J191" t="str">
        <f>"9781119018469"</f>
        <v>9781119018469</v>
      </c>
      <c r="K191" t="s">
        <v>409</v>
      </c>
      <c r="L191">
        <v>6</v>
      </c>
      <c r="O191" t="s">
        <v>30</v>
      </c>
      <c r="P191" t="s">
        <v>29</v>
      </c>
      <c r="Q191" s="1">
        <v>42397.890625</v>
      </c>
      <c r="R191">
        <v>7</v>
      </c>
      <c r="S191" t="s">
        <v>31</v>
      </c>
      <c r="T191" t="s">
        <v>410</v>
      </c>
      <c r="U191" t="s">
        <v>411</v>
      </c>
      <c r="V191" s="3">
        <v>42263</v>
      </c>
    </row>
    <row r="192" spans="1:22" x14ac:dyDescent="0.35">
      <c r="A192" s="1">
        <v>42397.887118055558</v>
      </c>
      <c r="B192" s="2">
        <v>3.5069444444444445E-3</v>
      </c>
      <c r="C192" t="s">
        <v>404</v>
      </c>
      <c r="D192" t="s">
        <v>23</v>
      </c>
      <c r="E192" t="s">
        <v>24</v>
      </c>
      <c r="F192" t="s">
        <v>405</v>
      </c>
      <c r="G192">
        <v>4040556</v>
      </c>
      <c r="H192" t="s">
        <v>26</v>
      </c>
      <c r="I192" t="s">
        <v>297</v>
      </c>
      <c r="J192" t="str">
        <f>"9781119018469"</f>
        <v>9781119018469</v>
      </c>
      <c r="K192" t="s">
        <v>412</v>
      </c>
      <c r="L192">
        <v>26</v>
      </c>
      <c r="O192" t="s">
        <v>30</v>
      </c>
      <c r="P192" t="s">
        <v>50</v>
      </c>
      <c r="S192" t="s">
        <v>31</v>
      </c>
      <c r="T192" t="s">
        <v>410</v>
      </c>
      <c r="U192" t="s">
        <v>411</v>
      </c>
      <c r="V192" s="3">
        <v>42263</v>
      </c>
    </row>
    <row r="193" spans="1:22" x14ac:dyDescent="0.35">
      <c r="A193" s="1">
        <v>42397.886840277781</v>
      </c>
      <c r="B193" s="2">
        <v>4.2476851851851851E-3</v>
      </c>
      <c r="C193" t="s">
        <v>404</v>
      </c>
      <c r="D193" t="s">
        <v>23</v>
      </c>
      <c r="E193" t="s">
        <v>24</v>
      </c>
      <c r="F193" t="s">
        <v>405</v>
      </c>
      <c r="G193">
        <v>1211842</v>
      </c>
      <c r="H193" t="s">
        <v>26</v>
      </c>
      <c r="I193" t="s">
        <v>297</v>
      </c>
      <c r="J193" t="str">
        <f>"9781118626214"</f>
        <v>9781118626214</v>
      </c>
      <c r="K193" t="s">
        <v>413</v>
      </c>
      <c r="L193">
        <v>9</v>
      </c>
      <c r="O193" t="s">
        <v>30</v>
      </c>
      <c r="P193" t="s">
        <v>50</v>
      </c>
      <c r="S193" t="s">
        <v>31</v>
      </c>
      <c r="T193" t="s">
        <v>407</v>
      </c>
      <c r="U193" t="s">
        <v>408</v>
      </c>
      <c r="V193" s="3">
        <v>41430</v>
      </c>
    </row>
    <row r="194" spans="1:22" x14ac:dyDescent="0.35">
      <c r="A194" s="1">
        <v>42397.853958333333</v>
      </c>
      <c r="B194" s="2">
        <v>6.5972222222222213E-4</v>
      </c>
      <c r="C194" t="s">
        <v>358</v>
      </c>
      <c r="D194" t="s">
        <v>35</v>
      </c>
      <c r="E194" t="s">
        <v>36</v>
      </c>
      <c r="F194" t="s">
        <v>37</v>
      </c>
      <c r="G194">
        <v>1684620</v>
      </c>
      <c r="H194" t="s">
        <v>26</v>
      </c>
      <c r="I194" t="s">
        <v>38</v>
      </c>
      <c r="J194" t="str">
        <f>"9781118418925"</f>
        <v>9781118418925</v>
      </c>
      <c r="K194" t="s">
        <v>414</v>
      </c>
      <c r="L194">
        <v>2</v>
      </c>
      <c r="O194" t="s">
        <v>28</v>
      </c>
      <c r="P194" t="s">
        <v>29</v>
      </c>
      <c r="Q194" s="1">
        <v>42397.853125000001</v>
      </c>
      <c r="R194">
        <v>7</v>
      </c>
      <c r="S194" t="s">
        <v>40</v>
      </c>
      <c r="T194" t="s">
        <v>41</v>
      </c>
      <c r="U194">
        <v>362.10680000000002</v>
      </c>
      <c r="V194" s="3">
        <v>41759</v>
      </c>
    </row>
    <row r="195" spans="1:22" x14ac:dyDescent="0.35">
      <c r="A195" s="1">
        <v>42397.853125000001</v>
      </c>
      <c r="B195" s="2">
        <v>0</v>
      </c>
      <c r="C195" t="s">
        <v>358</v>
      </c>
      <c r="D195" t="s">
        <v>35</v>
      </c>
      <c r="E195" t="s">
        <v>36</v>
      </c>
      <c r="F195" t="s">
        <v>37</v>
      </c>
      <c r="G195">
        <v>1684620</v>
      </c>
      <c r="H195" t="s">
        <v>26</v>
      </c>
      <c r="I195" t="s">
        <v>38</v>
      </c>
      <c r="J195" t="str">
        <f>"9781118418925"</f>
        <v>9781118418925</v>
      </c>
      <c r="L195">
        <v>0</v>
      </c>
      <c r="O195" t="s">
        <v>28</v>
      </c>
      <c r="P195" t="s">
        <v>29</v>
      </c>
      <c r="Q195" s="1">
        <v>42397.853125000001</v>
      </c>
      <c r="R195">
        <v>7</v>
      </c>
      <c r="S195" t="s">
        <v>40</v>
      </c>
      <c r="T195" t="s">
        <v>41</v>
      </c>
      <c r="U195">
        <v>362.10680000000002</v>
      </c>
      <c r="V195" s="3">
        <v>41759</v>
      </c>
    </row>
    <row r="196" spans="1:22" x14ac:dyDescent="0.35">
      <c r="A196" s="1">
        <v>42397.853125000001</v>
      </c>
      <c r="B196" s="2">
        <v>0</v>
      </c>
      <c r="C196" t="s">
        <v>358</v>
      </c>
      <c r="D196" t="s">
        <v>35</v>
      </c>
      <c r="E196" t="s">
        <v>36</v>
      </c>
      <c r="F196" t="s">
        <v>37</v>
      </c>
      <c r="G196">
        <v>1684620</v>
      </c>
      <c r="H196" t="s">
        <v>26</v>
      </c>
      <c r="I196" t="s">
        <v>38</v>
      </c>
      <c r="J196" t="str">
        <f>"9781118418925"</f>
        <v>9781118418925</v>
      </c>
      <c r="L196">
        <v>0</v>
      </c>
      <c r="O196" t="s">
        <v>30</v>
      </c>
      <c r="P196" t="s">
        <v>29</v>
      </c>
      <c r="Q196" s="1">
        <v>42397.853125000001</v>
      </c>
      <c r="R196">
        <v>7</v>
      </c>
      <c r="S196" t="s">
        <v>40</v>
      </c>
      <c r="T196" t="s">
        <v>41</v>
      </c>
      <c r="U196">
        <v>362.10680000000002</v>
      </c>
      <c r="V196" s="3">
        <v>41759</v>
      </c>
    </row>
    <row r="197" spans="1:22" x14ac:dyDescent="0.35">
      <c r="A197" s="1">
        <v>42397.851585648146</v>
      </c>
      <c r="B197" s="2">
        <v>1.5393518518518519E-3</v>
      </c>
      <c r="C197" t="s">
        <v>358</v>
      </c>
      <c r="D197" t="s">
        <v>35</v>
      </c>
      <c r="E197" t="s">
        <v>36</v>
      </c>
      <c r="F197" t="s">
        <v>37</v>
      </c>
      <c r="G197">
        <v>1684620</v>
      </c>
      <c r="H197" t="s">
        <v>26</v>
      </c>
      <c r="I197" t="s">
        <v>38</v>
      </c>
      <c r="J197" t="str">
        <f>"9781118418925"</f>
        <v>9781118418925</v>
      </c>
      <c r="K197" t="s">
        <v>33</v>
      </c>
      <c r="L197">
        <v>3</v>
      </c>
      <c r="O197" t="s">
        <v>30</v>
      </c>
      <c r="P197" t="s">
        <v>42</v>
      </c>
      <c r="S197" t="s">
        <v>40</v>
      </c>
      <c r="T197" t="s">
        <v>41</v>
      </c>
      <c r="U197">
        <v>362.10680000000002</v>
      </c>
      <c r="V197" s="3">
        <v>41759</v>
      </c>
    </row>
    <row r="198" spans="1:22" x14ac:dyDescent="0.35">
      <c r="A198" s="1">
        <v>42397.823009259257</v>
      </c>
      <c r="B198" s="2">
        <v>3.7037037037037035E-4</v>
      </c>
      <c r="C198" t="s">
        <v>415</v>
      </c>
      <c r="D198" t="s">
        <v>23</v>
      </c>
      <c r="E198" t="s">
        <v>24</v>
      </c>
      <c r="F198" t="s">
        <v>416</v>
      </c>
      <c r="G198">
        <v>1092851</v>
      </c>
      <c r="H198" t="s">
        <v>26</v>
      </c>
      <c r="I198" t="s">
        <v>417</v>
      </c>
      <c r="J198" t="str">
        <f>"9781118333051"</f>
        <v>9781118333051</v>
      </c>
      <c r="K198" t="s">
        <v>418</v>
      </c>
      <c r="L198">
        <v>2</v>
      </c>
      <c r="O198" t="s">
        <v>30</v>
      </c>
      <c r="P198" t="s">
        <v>29</v>
      </c>
      <c r="Q198" s="1">
        <v>42397.823009259257</v>
      </c>
      <c r="R198">
        <v>7</v>
      </c>
      <c r="S198" t="s">
        <v>31</v>
      </c>
      <c r="T198" t="s">
        <v>419</v>
      </c>
      <c r="U198" t="s">
        <v>420</v>
      </c>
      <c r="V198" s="3">
        <v>41240</v>
      </c>
    </row>
    <row r="199" spans="1:22" x14ac:dyDescent="0.35">
      <c r="A199" s="1">
        <v>42397.815393518518</v>
      </c>
      <c r="B199" s="2">
        <v>7.6157407407407415E-3</v>
      </c>
      <c r="C199" t="s">
        <v>415</v>
      </c>
      <c r="D199" t="s">
        <v>23</v>
      </c>
      <c r="E199" t="s">
        <v>24</v>
      </c>
      <c r="F199" t="s">
        <v>416</v>
      </c>
      <c r="G199">
        <v>1092851</v>
      </c>
      <c r="H199" t="s">
        <v>26</v>
      </c>
      <c r="I199" t="s">
        <v>417</v>
      </c>
      <c r="J199" t="str">
        <f>"9781118333051"</f>
        <v>9781118333051</v>
      </c>
      <c r="K199" t="s">
        <v>421</v>
      </c>
      <c r="L199">
        <v>19</v>
      </c>
      <c r="O199" t="s">
        <v>30</v>
      </c>
      <c r="P199" t="s">
        <v>42</v>
      </c>
      <c r="S199" t="s">
        <v>31</v>
      </c>
      <c r="T199" t="s">
        <v>419</v>
      </c>
      <c r="U199" t="s">
        <v>420</v>
      </c>
      <c r="V199" s="3">
        <v>41240</v>
      </c>
    </row>
    <row r="200" spans="1:22" x14ac:dyDescent="0.35">
      <c r="A200" s="1">
        <v>42397.814583333333</v>
      </c>
      <c r="B200" s="2">
        <v>1.8750000000000001E-3</v>
      </c>
      <c r="C200" t="s">
        <v>422</v>
      </c>
      <c r="D200" t="s">
        <v>423</v>
      </c>
      <c r="E200" t="s">
        <v>424</v>
      </c>
      <c r="F200" t="s">
        <v>425</v>
      </c>
      <c r="G200">
        <v>1501538</v>
      </c>
      <c r="H200" t="s">
        <v>68</v>
      </c>
      <c r="I200" t="s">
        <v>426</v>
      </c>
      <c r="J200" t="str">
        <f>"9781317971245"</f>
        <v>9781317971245</v>
      </c>
      <c r="K200" t="s">
        <v>427</v>
      </c>
      <c r="L200">
        <v>36</v>
      </c>
      <c r="O200" t="s">
        <v>30</v>
      </c>
      <c r="P200" t="s">
        <v>50</v>
      </c>
      <c r="S200" t="s">
        <v>428</v>
      </c>
      <c r="T200" t="s">
        <v>429</v>
      </c>
      <c r="U200">
        <v>248.32</v>
      </c>
      <c r="V200" s="3">
        <v>41570</v>
      </c>
    </row>
    <row r="201" spans="1:22" x14ac:dyDescent="0.35">
      <c r="A201" s="1">
        <v>42397.814120370371</v>
      </c>
      <c r="B201" s="2">
        <v>7.407407407407407E-4</v>
      </c>
      <c r="C201" t="s">
        <v>106</v>
      </c>
      <c r="D201" t="s">
        <v>23</v>
      </c>
      <c r="E201" t="s">
        <v>24</v>
      </c>
      <c r="F201" t="s">
        <v>160</v>
      </c>
      <c r="G201">
        <v>3059079</v>
      </c>
      <c r="H201" t="s">
        <v>26</v>
      </c>
      <c r="I201" t="s">
        <v>161</v>
      </c>
      <c r="J201" t="str">
        <f>"9781118473818"</f>
        <v>9781118473818</v>
      </c>
      <c r="K201" t="s">
        <v>430</v>
      </c>
      <c r="L201">
        <v>15</v>
      </c>
      <c r="O201" t="s">
        <v>30</v>
      </c>
      <c r="P201" t="s">
        <v>50</v>
      </c>
      <c r="S201" t="s">
        <v>31</v>
      </c>
      <c r="T201" t="s">
        <v>164</v>
      </c>
      <c r="U201">
        <v>530</v>
      </c>
      <c r="V201" s="3">
        <v>41401</v>
      </c>
    </row>
    <row r="202" spans="1:22" x14ac:dyDescent="0.35">
      <c r="A202" s="1">
        <v>42397.812650462962</v>
      </c>
      <c r="B202" s="2">
        <v>3.9467592592592592E-3</v>
      </c>
      <c r="C202" t="s">
        <v>101</v>
      </c>
      <c r="D202" t="s">
        <v>35</v>
      </c>
      <c r="E202" t="s">
        <v>36</v>
      </c>
      <c r="F202" t="s">
        <v>37</v>
      </c>
      <c r="G202">
        <v>1684620</v>
      </c>
      <c r="H202" t="s">
        <v>26</v>
      </c>
      <c r="I202" t="s">
        <v>38</v>
      </c>
      <c r="J202" t="str">
        <f>"9781118418925"</f>
        <v>9781118418925</v>
      </c>
      <c r="K202" t="s">
        <v>431</v>
      </c>
      <c r="L202">
        <v>14</v>
      </c>
      <c r="M202" t="s">
        <v>432</v>
      </c>
      <c r="O202" t="s">
        <v>28</v>
      </c>
      <c r="P202" t="s">
        <v>29</v>
      </c>
      <c r="Q202" s="1">
        <v>42397.811307870368</v>
      </c>
      <c r="R202">
        <v>7</v>
      </c>
      <c r="S202" t="s">
        <v>40</v>
      </c>
      <c r="T202" t="s">
        <v>41</v>
      </c>
      <c r="U202">
        <v>362.10680000000002</v>
      </c>
      <c r="V202" s="3">
        <v>41759</v>
      </c>
    </row>
    <row r="203" spans="1:22" x14ac:dyDescent="0.35">
      <c r="A203" s="1">
        <v>42397.811307870368</v>
      </c>
      <c r="B203" s="2">
        <v>0</v>
      </c>
      <c r="C203" t="s">
        <v>101</v>
      </c>
      <c r="D203" t="s">
        <v>35</v>
      </c>
      <c r="E203" t="s">
        <v>36</v>
      </c>
      <c r="F203" t="s">
        <v>37</v>
      </c>
      <c r="G203">
        <v>1684620</v>
      </c>
      <c r="H203" t="s">
        <v>26</v>
      </c>
      <c r="I203" t="s">
        <v>38</v>
      </c>
      <c r="J203" t="str">
        <f>"9781118418925"</f>
        <v>9781118418925</v>
      </c>
      <c r="L203">
        <v>0</v>
      </c>
      <c r="O203" t="s">
        <v>28</v>
      </c>
      <c r="P203" t="s">
        <v>29</v>
      </c>
      <c r="Q203" s="1">
        <v>42397.811307870368</v>
      </c>
      <c r="R203">
        <v>7</v>
      </c>
      <c r="S203" t="s">
        <v>40</v>
      </c>
      <c r="T203" t="s">
        <v>41</v>
      </c>
      <c r="U203">
        <v>362.10680000000002</v>
      </c>
      <c r="V203" s="3">
        <v>41759</v>
      </c>
    </row>
    <row r="204" spans="1:22" x14ac:dyDescent="0.35">
      <c r="A204" s="1">
        <v>42397.811307870368</v>
      </c>
      <c r="B204" s="2">
        <v>0</v>
      </c>
      <c r="C204" t="s">
        <v>101</v>
      </c>
      <c r="D204" t="s">
        <v>35</v>
      </c>
      <c r="E204" t="s">
        <v>36</v>
      </c>
      <c r="F204" t="s">
        <v>37</v>
      </c>
      <c r="G204">
        <v>1684620</v>
      </c>
      <c r="H204" t="s">
        <v>26</v>
      </c>
      <c r="I204" t="s">
        <v>38</v>
      </c>
      <c r="J204" t="str">
        <f>"9781118418925"</f>
        <v>9781118418925</v>
      </c>
      <c r="L204">
        <v>0</v>
      </c>
      <c r="O204" t="s">
        <v>30</v>
      </c>
      <c r="P204" t="s">
        <v>29</v>
      </c>
      <c r="Q204" s="1">
        <v>42397.811307870368</v>
      </c>
      <c r="R204">
        <v>7</v>
      </c>
      <c r="S204" t="s">
        <v>40</v>
      </c>
      <c r="T204" t="s">
        <v>41</v>
      </c>
      <c r="U204">
        <v>362.10680000000002</v>
      </c>
      <c r="V204" s="3">
        <v>41759</v>
      </c>
    </row>
    <row r="205" spans="1:22" x14ac:dyDescent="0.35">
      <c r="A205" s="1">
        <v>42397.811099537037</v>
      </c>
      <c r="B205" s="2">
        <v>2.0833333333333335E-4</v>
      </c>
      <c r="C205" t="s">
        <v>101</v>
      </c>
      <c r="D205" t="s">
        <v>35</v>
      </c>
      <c r="E205" t="s">
        <v>36</v>
      </c>
      <c r="F205" t="s">
        <v>37</v>
      </c>
      <c r="G205">
        <v>1684620</v>
      </c>
      <c r="H205" t="s">
        <v>26</v>
      </c>
      <c r="I205" t="s">
        <v>38</v>
      </c>
      <c r="J205" t="str">
        <f>"9781118418925"</f>
        <v>9781118418925</v>
      </c>
      <c r="K205" t="s">
        <v>33</v>
      </c>
      <c r="L205">
        <v>3</v>
      </c>
      <c r="O205" t="s">
        <v>30</v>
      </c>
      <c r="P205" t="s">
        <v>42</v>
      </c>
      <c r="S205" t="s">
        <v>40</v>
      </c>
      <c r="T205" t="s">
        <v>41</v>
      </c>
      <c r="U205">
        <v>362.10680000000002</v>
      </c>
      <c r="V205" s="3">
        <v>41759</v>
      </c>
    </row>
    <row r="206" spans="1:22" x14ac:dyDescent="0.35">
      <c r="A206" s="1">
        <v>42397.810740740744</v>
      </c>
      <c r="B206" s="2">
        <v>0</v>
      </c>
      <c r="C206" t="s">
        <v>433</v>
      </c>
      <c r="D206" t="s">
        <v>35</v>
      </c>
      <c r="E206" t="s">
        <v>36</v>
      </c>
      <c r="F206" t="s">
        <v>434</v>
      </c>
      <c r="G206">
        <v>2144898</v>
      </c>
      <c r="H206" t="s">
        <v>26</v>
      </c>
      <c r="I206" t="s">
        <v>435</v>
      </c>
      <c r="J206" t="str">
        <f>"9781118893692"</f>
        <v>9781118893692</v>
      </c>
      <c r="L206">
        <v>0</v>
      </c>
      <c r="N206" t="s">
        <v>436</v>
      </c>
      <c r="O206" t="s">
        <v>30</v>
      </c>
      <c r="P206" t="s">
        <v>29</v>
      </c>
      <c r="Q206" s="1">
        <v>42397.810729166667</v>
      </c>
      <c r="R206">
        <v>7</v>
      </c>
      <c r="S206" t="s">
        <v>40</v>
      </c>
      <c r="T206" t="s">
        <v>437</v>
      </c>
      <c r="U206">
        <v>658.4</v>
      </c>
      <c r="V206" s="3">
        <v>42222</v>
      </c>
    </row>
    <row r="207" spans="1:22" x14ac:dyDescent="0.35">
      <c r="A207" s="1">
        <v>42397.809699074074</v>
      </c>
      <c r="B207" s="2">
        <v>1.0300925925925926E-3</v>
      </c>
      <c r="C207" t="s">
        <v>433</v>
      </c>
      <c r="D207" t="s">
        <v>35</v>
      </c>
      <c r="E207" t="s">
        <v>36</v>
      </c>
      <c r="F207" t="s">
        <v>434</v>
      </c>
      <c r="G207">
        <v>2144898</v>
      </c>
      <c r="H207" t="s">
        <v>26</v>
      </c>
      <c r="I207" t="s">
        <v>435</v>
      </c>
      <c r="J207" t="str">
        <f>"9781118893692"</f>
        <v>9781118893692</v>
      </c>
      <c r="K207" t="s">
        <v>438</v>
      </c>
      <c r="L207">
        <v>33</v>
      </c>
      <c r="O207" t="s">
        <v>30</v>
      </c>
      <c r="P207" t="s">
        <v>50</v>
      </c>
      <c r="S207" t="s">
        <v>40</v>
      </c>
      <c r="T207" t="s">
        <v>437</v>
      </c>
      <c r="U207">
        <v>658.4</v>
      </c>
      <c r="V207" s="3">
        <v>42222</v>
      </c>
    </row>
    <row r="208" spans="1:22" x14ac:dyDescent="0.35">
      <c r="A208" s="1">
        <v>42397.80431712963</v>
      </c>
      <c r="B208" s="2">
        <v>4.4201388888888887E-2</v>
      </c>
      <c r="C208" t="s">
        <v>106</v>
      </c>
      <c r="D208" t="s">
        <v>23</v>
      </c>
      <c r="E208" t="s">
        <v>24</v>
      </c>
      <c r="F208" t="s">
        <v>439</v>
      </c>
      <c r="G208">
        <v>836614</v>
      </c>
      <c r="H208" t="s">
        <v>440</v>
      </c>
      <c r="I208" t="s">
        <v>27</v>
      </c>
      <c r="J208" t="str">
        <f>"9781118315958"</f>
        <v>9781118315958</v>
      </c>
      <c r="K208" t="s">
        <v>441</v>
      </c>
      <c r="L208">
        <v>50</v>
      </c>
      <c r="O208" t="s">
        <v>30</v>
      </c>
      <c r="P208" t="s">
        <v>29</v>
      </c>
      <c r="Q208" s="1">
        <v>42397.80431712963</v>
      </c>
      <c r="R208">
        <v>7</v>
      </c>
      <c r="S208" t="s">
        <v>31</v>
      </c>
      <c r="T208" t="s">
        <v>442</v>
      </c>
      <c r="U208">
        <v>414</v>
      </c>
      <c r="V208" s="3">
        <v>40892</v>
      </c>
    </row>
    <row r="209" spans="1:22" x14ac:dyDescent="0.35">
      <c r="A209" s="1">
        <v>42397.792719907404</v>
      </c>
      <c r="B209" s="2">
        <v>1.1597222222222222E-2</v>
      </c>
      <c r="C209" t="s">
        <v>106</v>
      </c>
      <c r="D209" t="s">
        <v>23</v>
      </c>
      <c r="E209" t="s">
        <v>24</v>
      </c>
      <c r="F209" t="s">
        <v>439</v>
      </c>
      <c r="G209">
        <v>836614</v>
      </c>
      <c r="H209" t="s">
        <v>440</v>
      </c>
      <c r="I209" t="s">
        <v>27</v>
      </c>
      <c r="J209" t="str">
        <f>"9781118315958"</f>
        <v>9781118315958</v>
      </c>
      <c r="K209" t="s">
        <v>443</v>
      </c>
      <c r="L209">
        <v>19</v>
      </c>
      <c r="O209" t="s">
        <v>30</v>
      </c>
      <c r="P209" t="s">
        <v>42</v>
      </c>
      <c r="S209" t="s">
        <v>31</v>
      </c>
      <c r="T209" t="s">
        <v>442</v>
      </c>
      <c r="U209">
        <v>414</v>
      </c>
      <c r="V209" s="3">
        <v>40892</v>
      </c>
    </row>
    <row r="210" spans="1:22" x14ac:dyDescent="0.35">
      <c r="A210" s="1">
        <v>42397.788923611108</v>
      </c>
      <c r="B210" s="2">
        <v>3.2407407407407406E-4</v>
      </c>
      <c r="C210" t="s">
        <v>106</v>
      </c>
      <c r="D210" t="s">
        <v>23</v>
      </c>
      <c r="E210" t="s">
        <v>24</v>
      </c>
      <c r="F210" t="s">
        <v>444</v>
      </c>
      <c r="G210">
        <v>1273518</v>
      </c>
      <c r="H210" t="s">
        <v>26</v>
      </c>
      <c r="I210" t="s">
        <v>445</v>
      </c>
      <c r="J210" t="str">
        <f>"9781118572818"</f>
        <v>9781118572818</v>
      </c>
      <c r="K210" t="s">
        <v>446</v>
      </c>
      <c r="L210">
        <v>25</v>
      </c>
      <c r="O210" t="s">
        <v>30</v>
      </c>
      <c r="P210" t="s">
        <v>50</v>
      </c>
      <c r="S210" t="s">
        <v>31</v>
      </c>
      <c r="T210" t="s">
        <v>447</v>
      </c>
      <c r="U210">
        <v>333.33076</v>
      </c>
      <c r="V210" s="3">
        <v>41453</v>
      </c>
    </row>
    <row r="211" spans="1:22" x14ac:dyDescent="0.35">
      <c r="A211" s="1">
        <v>42397.788680555554</v>
      </c>
      <c r="B211" s="2">
        <v>0</v>
      </c>
      <c r="C211" t="s">
        <v>448</v>
      </c>
      <c r="D211" t="s">
        <v>23</v>
      </c>
      <c r="E211" t="s">
        <v>24</v>
      </c>
      <c r="F211" t="s">
        <v>449</v>
      </c>
      <c r="G211">
        <v>1569644</v>
      </c>
      <c r="H211" t="s">
        <v>26</v>
      </c>
      <c r="I211" t="s">
        <v>450</v>
      </c>
      <c r="J211" t="str">
        <f>"9783527674756"</f>
        <v>9783527674756</v>
      </c>
      <c r="L211">
        <v>0</v>
      </c>
      <c r="O211" t="s">
        <v>28</v>
      </c>
      <c r="P211" t="s">
        <v>29</v>
      </c>
      <c r="Q211" s="1">
        <v>42397.788680555554</v>
      </c>
      <c r="R211">
        <v>7</v>
      </c>
      <c r="S211" t="s">
        <v>31</v>
      </c>
      <c r="T211" t="s">
        <v>451</v>
      </c>
      <c r="U211">
        <v>543.08770000000004</v>
      </c>
      <c r="V211" s="3">
        <v>41600</v>
      </c>
    </row>
    <row r="212" spans="1:22" x14ac:dyDescent="0.35">
      <c r="A212" s="1">
        <v>42397.788680555554</v>
      </c>
      <c r="B212" s="2">
        <v>0</v>
      </c>
      <c r="C212" t="s">
        <v>448</v>
      </c>
      <c r="D212" t="s">
        <v>23</v>
      </c>
      <c r="E212" t="s">
        <v>24</v>
      </c>
      <c r="F212" t="s">
        <v>449</v>
      </c>
      <c r="G212">
        <v>1569644</v>
      </c>
      <c r="H212" t="s">
        <v>26</v>
      </c>
      <c r="I212" t="s">
        <v>450</v>
      </c>
      <c r="J212" t="str">
        <f>"9783527674756"</f>
        <v>9783527674756</v>
      </c>
      <c r="L212">
        <v>0</v>
      </c>
      <c r="O212" t="s">
        <v>30</v>
      </c>
      <c r="P212" t="s">
        <v>29</v>
      </c>
      <c r="Q212" s="1">
        <v>42397.788680555554</v>
      </c>
      <c r="R212">
        <v>7</v>
      </c>
      <c r="S212" t="s">
        <v>31</v>
      </c>
      <c r="T212" t="s">
        <v>451</v>
      </c>
      <c r="U212">
        <v>543.08770000000004</v>
      </c>
      <c r="V212" s="3">
        <v>41600</v>
      </c>
    </row>
    <row r="213" spans="1:22" x14ac:dyDescent="0.35">
      <c r="A213" s="1">
        <v>42397.788541666669</v>
      </c>
      <c r="B213" s="2">
        <v>1.6203703703703703E-3</v>
      </c>
      <c r="C213" t="s">
        <v>452</v>
      </c>
      <c r="D213" t="s">
        <v>35</v>
      </c>
      <c r="E213" t="s">
        <v>36</v>
      </c>
      <c r="F213" t="s">
        <v>37</v>
      </c>
      <c r="G213">
        <v>1684620</v>
      </c>
      <c r="H213" t="s">
        <v>26</v>
      </c>
      <c r="I213" t="s">
        <v>38</v>
      </c>
      <c r="J213" t="str">
        <f>"9781118418925"</f>
        <v>9781118418925</v>
      </c>
      <c r="K213" t="s">
        <v>453</v>
      </c>
      <c r="L213">
        <v>24</v>
      </c>
      <c r="O213" t="s">
        <v>30</v>
      </c>
      <c r="P213" t="s">
        <v>42</v>
      </c>
      <c r="S213" t="s">
        <v>40</v>
      </c>
      <c r="T213" t="s">
        <v>41</v>
      </c>
      <c r="U213">
        <v>362.10680000000002</v>
      </c>
      <c r="V213" s="3">
        <v>41759</v>
      </c>
    </row>
    <row r="214" spans="1:22" x14ac:dyDescent="0.35">
      <c r="A214" s="1">
        <v>42397.788391203707</v>
      </c>
      <c r="B214" s="2">
        <v>2.8935185185185189E-4</v>
      </c>
      <c r="C214" t="s">
        <v>448</v>
      </c>
      <c r="D214" t="s">
        <v>23</v>
      </c>
      <c r="E214" t="s">
        <v>24</v>
      </c>
      <c r="F214" t="s">
        <v>449</v>
      </c>
      <c r="G214">
        <v>1569644</v>
      </c>
      <c r="H214" t="s">
        <v>26</v>
      </c>
      <c r="I214" t="s">
        <v>450</v>
      </c>
      <c r="J214" t="str">
        <f>"9783527674756"</f>
        <v>9783527674756</v>
      </c>
      <c r="K214" t="s">
        <v>454</v>
      </c>
      <c r="L214">
        <v>5</v>
      </c>
      <c r="O214" t="s">
        <v>30</v>
      </c>
      <c r="P214" t="s">
        <v>50</v>
      </c>
      <c r="S214" t="s">
        <v>31</v>
      </c>
      <c r="T214" t="s">
        <v>451</v>
      </c>
      <c r="U214">
        <v>543.08770000000004</v>
      </c>
      <c r="V214" s="3">
        <v>41600</v>
      </c>
    </row>
    <row r="215" spans="1:22" x14ac:dyDescent="0.35">
      <c r="A215" s="1">
        <v>42397.767407407409</v>
      </c>
      <c r="B215" s="2">
        <v>6.134259259259259E-4</v>
      </c>
      <c r="C215" t="s">
        <v>455</v>
      </c>
      <c r="D215" t="s">
        <v>23</v>
      </c>
      <c r="E215" t="s">
        <v>24</v>
      </c>
      <c r="F215" t="s">
        <v>456</v>
      </c>
      <c r="G215">
        <v>1474672</v>
      </c>
      <c r="H215" t="s">
        <v>68</v>
      </c>
      <c r="I215" t="s">
        <v>120</v>
      </c>
      <c r="J215" t="str">
        <f>"9781134438808"</f>
        <v>9781134438808</v>
      </c>
      <c r="K215" t="s">
        <v>457</v>
      </c>
      <c r="L215">
        <v>9</v>
      </c>
      <c r="O215" t="s">
        <v>30</v>
      </c>
      <c r="P215" t="s">
        <v>47</v>
      </c>
      <c r="Q215" s="1">
        <v>42397.767407407409</v>
      </c>
      <c r="R215">
        <v>1</v>
      </c>
      <c r="S215" t="s">
        <v>31</v>
      </c>
      <c r="T215" t="s">
        <v>458</v>
      </c>
      <c r="U215">
        <v>301</v>
      </c>
      <c r="V215" s="3">
        <v>41558</v>
      </c>
    </row>
    <row r="216" spans="1:22" x14ac:dyDescent="0.35">
      <c r="A216" s="1">
        <v>42397.767256944448</v>
      </c>
      <c r="B216" s="2">
        <v>1.5046296296296297E-4</v>
      </c>
      <c r="C216" t="s">
        <v>455</v>
      </c>
      <c r="D216" t="s">
        <v>23</v>
      </c>
      <c r="E216" t="s">
        <v>24</v>
      </c>
      <c r="F216" t="s">
        <v>456</v>
      </c>
      <c r="G216">
        <v>1474672</v>
      </c>
      <c r="H216" t="s">
        <v>68</v>
      </c>
      <c r="I216" t="s">
        <v>120</v>
      </c>
      <c r="J216" t="str">
        <f>"9781134438808"</f>
        <v>9781134438808</v>
      </c>
      <c r="K216" t="s">
        <v>459</v>
      </c>
      <c r="L216">
        <v>11</v>
      </c>
      <c r="O216" t="s">
        <v>30</v>
      </c>
      <c r="P216" t="s">
        <v>50</v>
      </c>
      <c r="S216" t="s">
        <v>31</v>
      </c>
      <c r="T216" t="s">
        <v>458</v>
      </c>
      <c r="U216">
        <v>301</v>
      </c>
      <c r="V216" s="3">
        <v>41558</v>
      </c>
    </row>
    <row r="217" spans="1:22" x14ac:dyDescent="0.35">
      <c r="A217" s="1">
        <v>42397.745405092595</v>
      </c>
      <c r="B217" s="2">
        <v>1.6782407407407406E-3</v>
      </c>
      <c r="C217" t="s">
        <v>157</v>
      </c>
      <c r="D217" t="s">
        <v>158</v>
      </c>
      <c r="E217" t="s">
        <v>159</v>
      </c>
      <c r="F217" t="s">
        <v>160</v>
      </c>
      <c r="G217">
        <v>3059079</v>
      </c>
      <c r="H217" t="s">
        <v>26</v>
      </c>
      <c r="I217" t="s">
        <v>161</v>
      </c>
      <c r="J217" t="str">
        <f>"9781118473818"</f>
        <v>9781118473818</v>
      </c>
      <c r="K217" t="s">
        <v>460</v>
      </c>
      <c r="L217">
        <v>1</v>
      </c>
      <c r="O217" t="s">
        <v>28</v>
      </c>
      <c r="P217" t="s">
        <v>47</v>
      </c>
      <c r="Q217" s="1">
        <v>42397.672488425924</v>
      </c>
      <c r="R217">
        <v>1</v>
      </c>
      <c r="S217" t="s">
        <v>163</v>
      </c>
      <c r="T217" t="s">
        <v>164</v>
      </c>
      <c r="U217">
        <v>530</v>
      </c>
      <c r="V217" s="3">
        <v>41401</v>
      </c>
    </row>
    <row r="218" spans="1:22" x14ac:dyDescent="0.35">
      <c r="A218" s="1">
        <v>42397.741701388892</v>
      </c>
      <c r="B218" s="2">
        <v>9.3750000000000007E-4</v>
      </c>
      <c r="C218" t="s">
        <v>461</v>
      </c>
      <c r="D218" t="s">
        <v>23</v>
      </c>
      <c r="E218" t="s">
        <v>24</v>
      </c>
      <c r="F218" t="s">
        <v>462</v>
      </c>
      <c r="G218">
        <v>1822529</v>
      </c>
      <c r="H218" t="s">
        <v>26</v>
      </c>
      <c r="I218" t="s">
        <v>297</v>
      </c>
      <c r="J218" t="str">
        <f>"9781118824344"</f>
        <v>9781118824344</v>
      </c>
      <c r="K218" t="s">
        <v>463</v>
      </c>
      <c r="L218">
        <v>9</v>
      </c>
      <c r="O218" t="s">
        <v>30</v>
      </c>
      <c r="P218" t="s">
        <v>42</v>
      </c>
      <c r="S218" t="s">
        <v>31</v>
      </c>
      <c r="T218" t="s">
        <v>464</v>
      </c>
      <c r="U218">
        <v>519.4</v>
      </c>
      <c r="V218" s="3">
        <v>41932</v>
      </c>
    </row>
    <row r="219" spans="1:22" x14ac:dyDescent="0.35">
      <c r="A219" s="1">
        <v>42397.740023148152</v>
      </c>
      <c r="B219" s="2">
        <v>9.2592592592592588E-5</v>
      </c>
      <c r="C219" t="s">
        <v>465</v>
      </c>
      <c r="D219" t="s">
        <v>23</v>
      </c>
      <c r="E219" t="s">
        <v>24</v>
      </c>
      <c r="F219" t="s">
        <v>466</v>
      </c>
      <c r="G219">
        <v>1810513</v>
      </c>
      <c r="H219" t="s">
        <v>26</v>
      </c>
      <c r="I219" t="s">
        <v>467</v>
      </c>
      <c r="J219" t="str">
        <f>"9781118901694"</f>
        <v>9781118901694</v>
      </c>
      <c r="K219" t="s">
        <v>33</v>
      </c>
      <c r="L219">
        <v>3</v>
      </c>
      <c r="O219" t="s">
        <v>30</v>
      </c>
      <c r="P219" t="s">
        <v>50</v>
      </c>
      <c r="S219" t="s">
        <v>31</v>
      </c>
      <c r="T219" t="s">
        <v>468</v>
      </c>
      <c r="U219" t="s">
        <v>469</v>
      </c>
      <c r="V219" s="3">
        <v>41913</v>
      </c>
    </row>
    <row r="220" spans="1:22" x14ac:dyDescent="0.35">
      <c r="A220" s="1">
        <v>42397.722314814811</v>
      </c>
      <c r="B220" s="2">
        <v>2.4074074074074076E-3</v>
      </c>
      <c r="C220" t="s">
        <v>448</v>
      </c>
      <c r="D220" t="s">
        <v>23</v>
      </c>
      <c r="E220" t="s">
        <v>24</v>
      </c>
      <c r="F220" t="s">
        <v>449</v>
      </c>
      <c r="G220">
        <v>1569644</v>
      </c>
      <c r="H220" t="s">
        <v>26</v>
      </c>
      <c r="I220" t="s">
        <v>450</v>
      </c>
      <c r="J220" t="str">
        <f>"9783527674756"</f>
        <v>9783527674756</v>
      </c>
      <c r="K220" t="s">
        <v>470</v>
      </c>
      <c r="L220">
        <v>74</v>
      </c>
      <c r="O220" t="s">
        <v>30</v>
      </c>
      <c r="P220" t="s">
        <v>50</v>
      </c>
      <c r="S220" t="s">
        <v>31</v>
      </c>
      <c r="T220" t="s">
        <v>451</v>
      </c>
      <c r="U220">
        <v>543.08770000000004</v>
      </c>
      <c r="V220" s="3">
        <v>41600</v>
      </c>
    </row>
    <row r="221" spans="1:22" x14ac:dyDescent="0.35">
      <c r="A221" s="1">
        <v>42397.712013888886</v>
      </c>
      <c r="B221" s="2">
        <v>3.4722222222222222E-5</v>
      </c>
      <c r="C221" t="s">
        <v>471</v>
      </c>
      <c r="D221" t="s">
        <v>211</v>
      </c>
      <c r="E221" t="s">
        <v>212</v>
      </c>
      <c r="F221" t="s">
        <v>472</v>
      </c>
      <c r="G221">
        <v>1222131</v>
      </c>
      <c r="H221" t="s">
        <v>26</v>
      </c>
      <c r="I221" t="s">
        <v>97</v>
      </c>
      <c r="J221" t="str">
        <f>"9781118760048"</f>
        <v>9781118760048</v>
      </c>
      <c r="K221" t="s">
        <v>33</v>
      </c>
      <c r="L221">
        <v>3</v>
      </c>
      <c r="O221" t="s">
        <v>30</v>
      </c>
      <c r="P221" t="s">
        <v>42</v>
      </c>
      <c r="S221" t="s">
        <v>214</v>
      </c>
      <c r="T221" t="s">
        <v>473</v>
      </c>
      <c r="U221">
        <v>657</v>
      </c>
      <c r="V221" s="3">
        <v>41446</v>
      </c>
    </row>
    <row r="222" spans="1:22" x14ac:dyDescent="0.35">
      <c r="A222" s="1">
        <v>42397.708287037036</v>
      </c>
      <c r="B222" s="2">
        <v>3.3217592592592591E-3</v>
      </c>
      <c r="C222" t="s">
        <v>474</v>
      </c>
      <c r="D222" t="s">
        <v>23</v>
      </c>
      <c r="E222" t="s">
        <v>24</v>
      </c>
      <c r="F222" t="s">
        <v>475</v>
      </c>
      <c r="G222">
        <v>1251060</v>
      </c>
      <c r="H222" t="s">
        <v>68</v>
      </c>
      <c r="I222" t="s">
        <v>150</v>
      </c>
      <c r="J222" t="str">
        <f>"9781136126222"</f>
        <v>9781136126222</v>
      </c>
      <c r="K222" t="s">
        <v>476</v>
      </c>
      <c r="L222">
        <v>31</v>
      </c>
      <c r="O222" t="s">
        <v>28</v>
      </c>
      <c r="P222" t="s">
        <v>47</v>
      </c>
      <c r="Q222" s="1">
        <v>42397.708287037036</v>
      </c>
      <c r="R222">
        <v>1</v>
      </c>
      <c r="S222" t="s">
        <v>31</v>
      </c>
      <c r="T222" t="s">
        <v>477</v>
      </c>
      <c r="U222">
        <v>781.49</v>
      </c>
      <c r="V222" s="3">
        <v>41459</v>
      </c>
    </row>
    <row r="223" spans="1:22" x14ac:dyDescent="0.35">
      <c r="A223" s="1">
        <v>42397.708287037036</v>
      </c>
      <c r="B223" s="2">
        <v>0</v>
      </c>
      <c r="C223" t="s">
        <v>474</v>
      </c>
      <c r="D223" t="s">
        <v>23</v>
      </c>
      <c r="E223" t="s">
        <v>24</v>
      </c>
      <c r="F223" t="s">
        <v>475</v>
      </c>
      <c r="G223">
        <v>1251060</v>
      </c>
      <c r="H223" t="s">
        <v>68</v>
      </c>
      <c r="I223" t="s">
        <v>150</v>
      </c>
      <c r="J223" t="str">
        <f>"9781136126222"</f>
        <v>9781136126222</v>
      </c>
      <c r="L223">
        <v>0</v>
      </c>
      <c r="O223" t="s">
        <v>30</v>
      </c>
      <c r="P223" t="s">
        <v>47</v>
      </c>
      <c r="Q223" s="1">
        <v>42397.708287037036</v>
      </c>
      <c r="R223">
        <v>1</v>
      </c>
      <c r="S223" t="s">
        <v>31</v>
      </c>
      <c r="T223" t="s">
        <v>477</v>
      </c>
      <c r="U223">
        <v>781.49</v>
      </c>
      <c r="V223" s="3">
        <v>41459</v>
      </c>
    </row>
    <row r="224" spans="1:22" x14ac:dyDescent="0.35">
      <c r="A224" s="1">
        <v>42397.706747685188</v>
      </c>
      <c r="B224" s="2">
        <v>1.5393518518518519E-3</v>
      </c>
      <c r="C224" t="s">
        <v>474</v>
      </c>
      <c r="D224" t="s">
        <v>23</v>
      </c>
      <c r="E224" t="s">
        <v>24</v>
      </c>
      <c r="F224" t="s">
        <v>475</v>
      </c>
      <c r="G224">
        <v>1251060</v>
      </c>
      <c r="H224" t="s">
        <v>68</v>
      </c>
      <c r="I224" t="s">
        <v>150</v>
      </c>
      <c r="J224" t="str">
        <f>"9781136126222"</f>
        <v>9781136126222</v>
      </c>
      <c r="K224" t="s">
        <v>478</v>
      </c>
      <c r="L224">
        <v>8</v>
      </c>
      <c r="O224" t="s">
        <v>30</v>
      </c>
      <c r="P224" t="s">
        <v>50</v>
      </c>
      <c r="S224" t="s">
        <v>31</v>
      </c>
      <c r="T224" t="s">
        <v>477</v>
      </c>
      <c r="U224">
        <v>781.49</v>
      </c>
      <c r="V224" s="3">
        <v>41459</v>
      </c>
    </row>
    <row r="225" spans="1:22" x14ac:dyDescent="0.35">
      <c r="A225" s="1">
        <v>42397.701099537036</v>
      </c>
      <c r="B225" s="2">
        <v>0</v>
      </c>
      <c r="C225" t="s">
        <v>479</v>
      </c>
      <c r="D225" t="s">
        <v>23</v>
      </c>
      <c r="E225" t="s">
        <v>24</v>
      </c>
      <c r="F225" t="s">
        <v>480</v>
      </c>
      <c r="G225">
        <v>1166794</v>
      </c>
      <c r="H225" t="s">
        <v>26</v>
      </c>
      <c r="I225" t="s">
        <v>120</v>
      </c>
      <c r="J225" t="str">
        <f>"9780745663906"</f>
        <v>9780745663906</v>
      </c>
      <c r="L225">
        <v>0</v>
      </c>
      <c r="N225" t="s">
        <v>481</v>
      </c>
      <c r="O225" t="s">
        <v>30</v>
      </c>
      <c r="P225" t="s">
        <v>47</v>
      </c>
      <c r="Q225" s="1">
        <v>42397.701099537036</v>
      </c>
      <c r="R225">
        <v>1</v>
      </c>
      <c r="S225" t="s">
        <v>31</v>
      </c>
      <c r="T225" t="s">
        <v>482</v>
      </c>
      <c r="U225">
        <v>394.12</v>
      </c>
      <c r="V225" s="3">
        <v>41367</v>
      </c>
    </row>
    <row r="226" spans="1:22" x14ac:dyDescent="0.35">
      <c r="A226" s="1">
        <v>42397.700555555559</v>
      </c>
      <c r="B226" s="2">
        <v>3.530092592592592E-3</v>
      </c>
      <c r="C226" t="s">
        <v>106</v>
      </c>
      <c r="D226" t="s">
        <v>23</v>
      </c>
      <c r="E226" t="s">
        <v>24</v>
      </c>
      <c r="F226" t="s">
        <v>78</v>
      </c>
      <c r="G226">
        <v>1635363</v>
      </c>
      <c r="H226" t="s">
        <v>26</v>
      </c>
      <c r="I226" t="s">
        <v>79</v>
      </c>
      <c r="J226" t="str">
        <f>"9781118678206"</f>
        <v>9781118678206</v>
      </c>
      <c r="K226" t="s">
        <v>483</v>
      </c>
      <c r="L226">
        <v>34</v>
      </c>
      <c r="O226" t="s">
        <v>30</v>
      </c>
      <c r="P226" t="s">
        <v>42</v>
      </c>
      <c r="S226" t="s">
        <v>31</v>
      </c>
      <c r="T226" t="s">
        <v>81</v>
      </c>
      <c r="U226">
        <v>340.07600000000002</v>
      </c>
      <c r="V226" s="3">
        <v>41684</v>
      </c>
    </row>
    <row r="227" spans="1:22" x14ac:dyDescent="0.35">
      <c r="A227" s="1">
        <v>42397.696967592594</v>
      </c>
      <c r="B227" s="2">
        <v>4.1319444444444442E-3</v>
      </c>
      <c r="C227" t="s">
        <v>479</v>
      </c>
      <c r="D227" t="s">
        <v>23</v>
      </c>
      <c r="E227" t="s">
        <v>24</v>
      </c>
      <c r="F227" t="s">
        <v>480</v>
      </c>
      <c r="G227">
        <v>1166794</v>
      </c>
      <c r="H227" t="s">
        <v>26</v>
      </c>
      <c r="I227" t="s">
        <v>120</v>
      </c>
      <c r="J227" t="str">
        <f>"9780745663906"</f>
        <v>9780745663906</v>
      </c>
      <c r="K227" t="s">
        <v>484</v>
      </c>
      <c r="L227">
        <v>8</v>
      </c>
      <c r="O227" t="s">
        <v>30</v>
      </c>
      <c r="P227" t="s">
        <v>50</v>
      </c>
      <c r="S227" t="s">
        <v>31</v>
      </c>
      <c r="T227" t="s">
        <v>482</v>
      </c>
      <c r="U227">
        <v>394.12</v>
      </c>
      <c r="V227" s="3">
        <v>41367</v>
      </c>
    </row>
    <row r="228" spans="1:22" x14ac:dyDescent="0.35">
      <c r="A228" s="1">
        <v>42397.677314814813</v>
      </c>
      <c r="B228" s="2">
        <v>3.4722222222222222E-5</v>
      </c>
      <c r="C228" t="s">
        <v>485</v>
      </c>
      <c r="D228" t="s">
        <v>158</v>
      </c>
      <c r="E228" t="s">
        <v>159</v>
      </c>
      <c r="F228" t="s">
        <v>486</v>
      </c>
      <c r="G228">
        <v>1119505</v>
      </c>
      <c r="H228" t="s">
        <v>26</v>
      </c>
      <c r="I228" t="s">
        <v>450</v>
      </c>
      <c r="J228" t="str">
        <f>"9781118355015"</f>
        <v>9781118355015</v>
      </c>
      <c r="K228" t="s">
        <v>33</v>
      </c>
      <c r="L228">
        <v>3</v>
      </c>
      <c r="O228" t="s">
        <v>30</v>
      </c>
      <c r="P228" t="s">
        <v>42</v>
      </c>
      <c r="S228" t="s">
        <v>163</v>
      </c>
      <c r="T228" t="s">
        <v>487</v>
      </c>
      <c r="U228" t="s">
        <v>488</v>
      </c>
      <c r="V228" s="3">
        <v>41302</v>
      </c>
    </row>
    <row r="229" spans="1:22" x14ac:dyDescent="0.35">
      <c r="A229" s="1">
        <v>42397.672488425924</v>
      </c>
      <c r="B229" s="2">
        <v>0</v>
      </c>
      <c r="C229" t="s">
        <v>157</v>
      </c>
      <c r="D229" t="s">
        <v>158</v>
      </c>
      <c r="E229" t="s">
        <v>159</v>
      </c>
      <c r="F229" t="s">
        <v>160</v>
      </c>
      <c r="G229">
        <v>3059079</v>
      </c>
      <c r="H229" t="s">
        <v>26</v>
      </c>
      <c r="I229" t="s">
        <v>161</v>
      </c>
      <c r="J229" t="str">
        <f>"9781118473818"</f>
        <v>9781118473818</v>
      </c>
      <c r="K229" t="s">
        <v>489</v>
      </c>
      <c r="L229">
        <v>1</v>
      </c>
      <c r="O229" t="s">
        <v>30</v>
      </c>
      <c r="P229" t="s">
        <v>47</v>
      </c>
      <c r="Q229" s="1">
        <v>42397.672488425924</v>
      </c>
      <c r="R229">
        <v>1</v>
      </c>
      <c r="S229" t="s">
        <v>163</v>
      </c>
      <c r="T229" t="s">
        <v>164</v>
      </c>
      <c r="U229">
        <v>530</v>
      </c>
      <c r="V229" s="3">
        <v>41401</v>
      </c>
    </row>
    <row r="230" spans="1:22" x14ac:dyDescent="0.35">
      <c r="A230" s="1">
        <v>42397.668368055558</v>
      </c>
      <c r="B230" s="2">
        <v>4.5231481481481484E-2</v>
      </c>
      <c r="C230" t="s">
        <v>490</v>
      </c>
      <c r="D230" t="s">
        <v>211</v>
      </c>
      <c r="E230" t="s">
        <v>212</v>
      </c>
      <c r="F230" t="s">
        <v>491</v>
      </c>
      <c r="G230">
        <v>768534</v>
      </c>
      <c r="H230" t="s">
        <v>492</v>
      </c>
      <c r="I230" t="s">
        <v>493</v>
      </c>
      <c r="J230" t="str">
        <f>"9781400839704"</f>
        <v>9781400839704</v>
      </c>
      <c r="K230" t="s">
        <v>494</v>
      </c>
      <c r="L230">
        <v>30</v>
      </c>
      <c r="O230" t="s">
        <v>30</v>
      </c>
      <c r="P230" t="s">
        <v>42</v>
      </c>
      <c r="S230" t="s">
        <v>214</v>
      </c>
      <c r="T230" t="s">
        <v>495</v>
      </c>
      <c r="U230" t="s">
        <v>496</v>
      </c>
      <c r="V230" s="3">
        <v>40847</v>
      </c>
    </row>
    <row r="231" spans="1:22" x14ac:dyDescent="0.35">
      <c r="A231" s="1">
        <v>42397.664803240739</v>
      </c>
      <c r="B231" s="2">
        <v>4.597222222222222E-2</v>
      </c>
      <c r="C231" t="s">
        <v>471</v>
      </c>
      <c r="D231" t="s">
        <v>211</v>
      </c>
      <c r="E231" t="s">
        <v>212</v>
      </c>
      <c r="F231" t="s">
        <v>497</v>
      </c>
      <c r="G231">
        <v>1986951</v>
      </c>
      <c r="H231" t="s">
        <v>26</v>
      </c>
      <c r="I231" t="s">
        <v>97</v>
      </c>
      <c r="J231" t="str">
        <f>"9781119130468"</f>
        <v>9781119130468</v>
      </c>
      <c r="K231" t="s">
        <v>498</v>
      </c>
      <c r="L231">
        <v>15</v>
      </c>
      <c r="M231" t="s">
        <v>499</v>
      </c>
      <c r="O231" t="s">
        <v>30</v>
      </c>
      <c r="P231" t="s">
        <v>29</v>
      </c>
      <c r="Q231" s="1">
        <v>42394.659768518519</v>
      </c>
      <c r="R231">
        <v>7</v>
      </c>
      <c r="S231" t="s">
        <v>214</v>
      </c>
      <c r="T231" t="s">
        <v>500</v>
      </c>
      <c r="U231">
        <v>657.07600000000002</v>
      </c>
      <c r="V231" s="3">
        <v>42143</v>
      </c>
    </row>
    <row r="232" spans="1:22" x14ac:dyDescent="0.35">
      <c r="A232" s="1">
        <v>42397.658368055556</v>
      </c>
      <c r="B232" s="2">
        <v>1.4120370370370368E-2</v>
      </c>
      <c r="C232" t="s">
        <v>157</v>
      </c>
      <c r="D232" t="s">
        <v>158</v>
      </c>
      <c r="E232" t="s">
        <v>159</v>
      </c>
      <c r="F232" t="s">
        <v>160</v>
      </c>
      <c r="G232">
        <v>3059079</v>
      </c>
      <c r="H232" t="s">
        <v>26</v>
      </c>
      <c r="I232" t="s">
        <v>161</v>
      </c>
      <c r="J232" t="str">
        <f>"9781118473818"</f>
        <v>9781118473818</v>
      </c>
      <c r="K232" t="s">
        <v>501</v>
      </c>
      <c r="L232">
        <v>8</v>
      </c>
      <c r="O232" t="s">
        <v>30</v>
      </c>
      <c r="P232" t="s">
        <v>50</v>
      </c>
      <c r="S232" t="s">
        <v>163</v>
      </c>
      <c r="T232" t="s">
        <v>164</v>
      </c>
      <c r="U232">
        <v>530</v>
      </c>
      <c r="V232" s="3">
        <v>41401</v>
      </c>
    </row>
    <row r="233" spans="1:22" x14ac:dyDescent="0.35">
      <c r="A233" s="1">
        <v>42397.658275462964</v>
      </c>
      <c r="B233" s="2">
        <v>0</v>
      </c>
      <c r="C233" t="s">
        <v>283</v>
      </c>
      <c r="D233" t="s">
        <v>23</v>
      </c>
      <c r="E233" t="s">
        <v>24</v>
      </c>
      <c r="F233" t="s">
        <v>502</v>
      </c>
      <c r="G233">
        <v>4004181</v>
      </c>
      <c r="H233" t="s">
        <v>139</v>
      </c>
      <c r="J233" t="str">
        <f>"9781479846757"</f>
        <v>9781479846757</v>
      </c>
      <c r="L233">
        <v>0</v>
      </c>
      <c r="O233" t="s">
        <v>30</v>
      </c>
      <c r="P233" t="s">
        <v>29</v>
      </c>
      <c r="Q233" s="1">
        <v>42397.658275462964</v>
      </c>
      <c r="R233">
        <v>7</v>
      </c>
      <c r="S233" t="s">
        <v>31</v>
      </c>
      <c r="V233" s="3">
        <v>42307</v>
      </c>
    </row>
    <row r="234" spans="1:22" x14ac:dyDescent="0.35">
      <c r="A234" s="1">
        <v>42397.658125000002</v>
      </c>
      <c r="B234" s="2">
        <v>1.5046296296296297E-4</v>
      </c>
      <c r="C234" t="s">
        <v>283</v>
      </c>
      <c r="D234" t="s">
        <v>23</v>
      </c>
      <c r="E234" t="s">
        <v>24</v>
      </c>
      <c r="F234" t="s">
        <v>502</v>
      </c>
      <c r="G234">
        <v>4004181</v>
      </c>
      <c r="H234" t="s">
        <v>139</v>
      </c>
      <c r="J234" t="str">
        <f>"9781479846757"</f>
        <v>9781479846757</v>
      </c>
      <c r="K234" t="s">
        <v>33</v>
      </c>
      <c r="L234">
        <v>3</v>
      </c>
      <c r="O234" t="s">
        <v>30</v>
      </c>
      <c r="P234" t="s">
        <v>50</v>
      </c>
      <c r="S234" t="s">
        <v>31</v>
      </c>
      <c r="V234" s="3">
        <v>42307</v>
      </c>
    </row>
    <row r="235" spans="1:22" x14ac:dyDescent="0.35">
      <c r="A235" s="1">
        <v>42397.653356481482</v>
      </c>
      <c r="B235" s="2">
        <v>4.5254629629629629E-3</v>
      </c>
      <c r="C235" t="s">
        <v>503</v>
      </c>
      <c r="D235" t="s">
        <v>23</v>
      </c>
      <c r="E235" t="s">
        <v>24</v>
      </c>
      <c r="F235" t="s">
        <v>504</v>
      </c>
      <c r="G235">
        <v>1760735</v>
      </c>
      <c r="H235" t="s">
        <v>91</v>
      </c>
      <c r="I235" t="s">
        <v>328</v>
      </c>
      <c r="J235" t="str">
        <f>"9781462518289"</f>
        <v>9781462518289</v>
      </c>
      <c r="K235" t="s">
        <v>505</v>
      </c>
      <c r="L235">
        <v>43</v>
      </c>
      <c r="N235" t="s">
        <v>506</v>
      </c>
      <c r="O235" t="s">
        <v>28</v>
      </c>
      <c r="P235" t="s">
        <v>47</v>
      </c>
      <c r="Q235" s="1">
        <v>42397.652199074073</v>
      </c>
      <c r="R235">
        <v>1</v>
      </c>
      <c r="S235" t="s">
        <v>31</v>
      </c>
      <c r="T235" t="s">
        <v>507</v>
      </c>
      <c r="U235">
        <v>613</v>
      </c>
      <c r="V235" s="3">
        <v>41992</v>
      </c>
    </row>
    <row r="236" spans="1:22" x14ac:dyDescent="0.35">
      <c r="A236" s="1">
        <v>42397.652199074073</v>
      </c>
      <c r="B236" s="2">
        <v>1.0300925925925926E-3</v>
      </c>
      <c r="C236" t="s">
        <v>503</v>
      </c>
      <c r="D236" t="s">
        <v>23</v>
      </c>
      <c r="E236" t="s">
        <v>24</v>
      </c>
      <c r="F236" t="s">
        <v>504</v>
      </c>
      <c r="G236">
        <v>1760735</v>
      </c>
      <c r="H236" t="s">
        <v>91</v>
      </c>
      <c r="I236" t="s">
        <v>328</v>
      </c>
      <c r="J236" t="str">
        <f>"9781462518289"</f>
        <v>9781462518289</v>
      </c>
      <c r="K236" t="s">
        <v>508</v>
      </c>
      <c r="L236">
        <v>25</v>
      </c>
      <c r="O236" t="s">
        <v>30</v>
      </c>
      <c r="P236" t="s">
        <v>47</v>
      </c>
      <c r="Q236" s="1">
        <v>42397.652199074073</v>
      </c>
      <c r="R236">
        <v>1</v>
      </c>
      <c r="S236" t="s">
        <v>31</v>
      </c>
      <c r="T236" t="s">
        <v>507</v>
      </c>
      <c r="U236">
        <v>613</v>
      </c>
      <c r="V236" s="3">
        <v>41992</v>
      </c>
    </row>
    <row r="237" spans="1:22" x14ac:dyDescent="0.35">
      <c r="A237" s="1">
        <v>42397.64671296296</v>
      </c>
      <c r="B237" s="2">
        <v>3.1597222222222222E-3</v>
      </c>
      <c r="C237" t="s">
        <v>509</v>
      </c>
      <c r="D237" t="s">
        <v>125</v>
      </c>
      <c r="E237" t="s">
        <v>126</v>
      </c>
      <c r="F237" t="s">
        <v>510</v>
      </c>
      <c r="G237">
        <v>2039131</v>
      </c>
      <c r="H237" t="s">
        <v>45</v>
      </c>
      <c r="I237" t="s">
        <v>150</v>
      </c>
      <c r="J237" t="str">
        <f>"9781472471314"</f>
        <v>9781472471314</v>
      </c>
      <c r="K237" t="s">
        <v>511</v>
      </c>
      <c r="L237">
        <v>17</v>
      </c>
      <c r="O237" t="s">
        <v>30</v>
      </c>
      <c r="P237" t="s">
        <v>50</v>
      </c>
      <c r="S237" t="s">
        <v>128</v>
      </c>
      <c r="T237" t="s">
        <v>512</v>
      </c>
      <c r="U237" t="s">
        <v>513</v>
      </c>
      <c r="V237" s="3">
        <v>42183</v>
      </c>
    </row>
    <row r="238" spans="1:22" x14ac:dyDescent="0.35">
      <c r="A238" s="1">
        <v>42397.644513888888</v>
      </c>
      <c r="B238" s="2">
        <v>7.6851851851851847E-3</v>
      </c>
      <c r="C238" t="s">
        <v>503</v>
      </c>
      <c r="D238" t="s">
        <v>23</v>
      </c>
      <c r="E238" t="s">
        <v>24</v>
      </c>
      <c r="F238" t="s">
        <v>504</v>
      </c>
      <c r="G238">
        <v>1760735</v>
      </c>
      <c r="H238" t="s">
        <v>91</v>
      </c>
      <c r="I238" t="s">
        <v>328</v>
      </c>
      <c r="J238" t="str">
        <f>"9781462518289"</f>
        <v>9781462518289</v>
      </c>
      <c r="K238" t="s">
        <v>514</v>
      </c>
      <c r="L238">
        <v>29</v>
      </c>
      <c r="O238" t="s">
        <v>30</v>
      </c>
      <c r="P238" t="s">
        <v>50</v>
      </c>
      <c r="S238" t="s">
        <v>31</v>
      </c>
      <c r="T238" t="s">
        <v>507</v>
      </c>
      <c r="U238">
        <v>613</v>
      </c>
      <c r="V238" s="3">
        <v>41992</v>
      </c>
    </row>
    <row r="239" spans="1:22" x14ac:dyDescent="0.35">
      <c r="A239" s="1">
        <v>42397.613854166666</v>
      </c>
      <c r="B239" s="2">
        <v>0</v>
      </c>
      <c r="C239" t="s">
        <v>485</v>
      </c>
      <c r="D239" t="s">
        <v>158</v>
      </c>
      <c r="E239" t="s">
        <v>159</v>
      </c>
      <c r="F239" t="s">
        <v>515</v>
      </c>
      <c r="G239">
        <v>1757960</v>
      </c>
      <c r="H239" t="s">
        <v>26</v>
      </c>
      <c r="I239" t="s">
        <v>247</v>
      </c>
      <c r="J239" t="str">
        <f>"9781118780770"</f>
        <v>9781118780770</v>
      </c>
      <c r="L239">
        <v>0</v>
      </c>
      <c r="M239" t="s">
        <v>516</v>
      </c>
      <c r="O239" t="s">
        <v>30</v>
      </c>
      <c r="P239" t="s">
        <v>29</v>
      </c>
      <c r="Q239" s="1">
        <v>42397.613854166666</v>
      </c>
      <c r="R239">
        <v>7</v>
      </c>
      <c r="S239" t="s">
        <v>163</v>
      </c>
      <c r="T239" t="s">
        <v>517</v>
      </c>
      <c r="U239" t="s">
        <v>518</v>
      </c>
      <c r="V239" s="3">
        <v>41850</v>
      </c>
    </row>
    <row r="240" spans="1:22" x14ac:dyDescent="0.35">
      <c r="A240" s="1">
        <v>42397.613541666666</v>
      </c>
      <c r="B240" s="2">
        <v>3.1250000000000001E-4</v>
      </c>
      <c r="C240" t="s">
        <v>485</v>
      </c>
      <c r="D240" t="s">
        <v>158</v>
      </c>
      <c r="E240" t="s">
        <v>159</v>
      </c>
      <c r="F240" t="s">
        <v>515</v>
      </c>
      <c r="G240">
        <v>1757960</v>
      </c>
      <c r="H240" t="s">
        <v>26</v>
      </c>
      <c r="I240" t="s">
        <v>247</v>
      </c>
      <c r="J240" t="str">
        <f>"9781118780770"</f>
        <v>9781118780770</v>
      </c>
      <c r="K240" t="s">
        <v>519</v>
      </c>
      <c r="L240">
        <v>8</v>
      </c>
      <c r="O240" t="s">
        <v>30</v>
      </c>
      <c r="P240" t="s">
        <v>42</v>
      </c>
      <c r="S240" t="s">
        <v>163</v>
      </c>
      <c r="T240" t="s">
        <v>517</v>
      </c>
      <c r="U240" t="s">
        <v>518</v>
      </c>
      <c r="V240" s="3">
        <v>41850</v>
      </c>
    </row>
    <row r="241" spans="1:22" x14ac:dyDescent="0.35">
      <c r="A241" s="1">
        <v>42397.612685185188</v>
      </c>
      <c r="B241" s="2">
        <v>1.0347222222222223E-2</v>
      </c>
      <c r="C241" t="s">
        <v>520</v>
      </c>
      <c r="D241" t="s">
        <v>23</v>
      </c>
      <c r="E241" t="s">
        <v>24</v>
      </c>
      <c r="F241" t="s">
        <v>521</v>
      </c>
      <c r="G241">
        <v>1603265</v>
      </c>
      <c r="H241" t="s">
        <v>26</v>
      </c>
      <c r="I241" t="s">
        <v>445</v>
      </c>
      <c r="J241" t="str">
        <f>"9781118808139"</f>
        <v>9781118808139</v>
      </c>
      <c r="K241" t="s">
        <v>522</v>
      </c>
      <c r="L241">
        <v>12</v>
      </c>
      <c r="O241" t="s">
        <v>30</v>
      </c>
      <c r="P241" t="s">
        <v>29</v>
      </c>
      <c r="Q241" s="1">
        <v>42397.294282407405</v>
      </c>
      <c r="R241">
        <v>7</v>
      </c>
      <c r="S241" t="s">
        <v>31</v>
      </c>
      <c r="T241" t="s">
        <v>523</v>
      </c>
      <c r="U241">
        <v>332.642</v>
      </c>
      <c r="V241" s="3">
        <v>41663</v>
      </c>
    </row>
    <row r="242" spans="1:22" x14ac:dyDescent="0.35">
      <c r="A242" s="1">
        <v>42397.598946759259</v>
      </c>
      <c r="B242" s="2">
        <v>2.4305555555555552E-4</v>
      </c>
      <c r="C242" t="s">
        <v>524</v>
      </c>
      <c r="D242" t="s">
        <v>146</v>
      </c>
      <c r="E242" t="s">
        <v>147</v>
      </c>
      <c r="F242" t="s">
        <v>525</v>
      </c>
      <c r="G242">
        <v>3038781</v>
      </c>
      <c r="H242" t="s">
        <v>526</v>
      </c>
      <c r="I242" t="s">
        <v>219</v>
      </c>
      <c r="J242" t="str">
        <f>"9780226238753"</f>
        <v>9780226238753</v>
      </c>
      <c r="K242" t="s">
        <v>527</v>
      </c>
      <c r="L242">
        <v>9</v>
      </c>
      <c r="O242" t="s">
        <v>30</v>
      </c>
      <c r="P242" t="s">
        <v>50</v>
      </c>
      <c r="S242" t="s">
        <v>528</v>
      </c>
      <c r="T242" t="s">
        <v>529</v>
      </c>
      <c r="U242">
        <v>153</v>
      </c>
      <c r="V242" s="3">
        <v>42095</v>
      </c>
    </row>
    <row r="243" spans="1:22" x14ac:dyDescent="0.35">
      <c r="A243" s="1">
        <v>42397.598043981481</v>
      </c>
      <c r="B243" s="2">
        <v>4.8611111111111104E-4</v>
      </c>
      <c r="C243" t="s">
        <v>524</v>
      </c>
      <c r="D243" t="s">
        <v>146</v>
      </c>
      <c r="E243" t="s">
        <v>147</v>
      </c>
      <c r="F243" t="s">
        <v>525</v>
      </c>
      <c r="G243">
        <v>3038781</v>
      </c>
      <c r="H243" t="s">
        <v>526</v>
      </c>
      <c r="I243" t="s">
        <v>219</v>
      </c>
      <c r="J243" t="str">
        <f>"9780226238753"</f>
        <v>9780226238753</v>
      </c>
      <c r="K243" t="s">
        <v>530</v>
      </c>
      <c r="L243">
        <v>11</v>
      </c>
      <c r="O243" t="s">
        <v>30</v>
      </c>
      <c r="P243" t="s">
        <v>50</v>
      </c>
      <c r="S243" t="s">
        <v>528</v>
      </c>
      <c r="T243" t="s">
        <v>529</v>
      </c>
      <c r="U243">
        <v>153</v>
      </c>
      <c r="V243" s="3">
        <v>42095</v>
      </c>
    </row>
    <row r="244" spans="1:22" x14ac:dyDescent="0.35">
      <c r="A244" s="1">
        <v>42397.597604166665</v>
      </c>
      <c r="B244" s="2">
        <v>0</v>
      </c>
      <c r="C244" t="s">
        <v>531</v>
      </c>
      <c r="D244" t="s">
        <v>35</v>
      </c>
      <c r="E244" t="s">
        <v>36</v>
      </c>
      <c r="F244" t="s">
        <v>532</v>
      </c>
      <c r="G244">
        <v>821714</v>
      </c>
      <c r="H244" t="s">
        <v>26</v>
      </c>
      <c r="I244" t="s">
        <v>533</v>
      </c>
      <c r="J244" t="str">
        <f>"9781118192009"</f>
        <v>9781118192009</v>
      </c>
      <c r="L244">
        <v>0</v>
      </c>
      <c r="O244" t="s">
        <v>28</v>
      </c>
      <c r="P244" t="s">
        <v>29</v>
      </c>
      <c r="Q244" s="1">
        <v>42397.597604166665</v>
      </c>
      <c r="R244">
        <v>7</v>
      </c>
      <c r="S244" t="s">
        <v>40</v>
      </c>
      <c r="T244" t="s">
        <v>534</v>
      </c>
      <c r="U244" t="s">
        <v>535</v>
      </c>
      <c r="V244" s="3">
        <v>41012</v>
      </c>
    </row>
    <row r="245" spans="1:22" x14ac:dyDescent="0.35">
      <c r="A245" s="1">
        <v>42397.597604166665</v>
      </c>
      <c r="B245" s="2">
        <v>0</v>
      </c>
      <c r="C245" t="s">
        <v>531</v>
      </c>
      <c r="D245" t="s">
        <v>35</v>
      </c>
      <c r="E245" t="s">
        <v>36</v>
      </c>
      <c r="F245" t="s">
        <v>532</v>
      </c>
      <c r="G245">
        <v>821714</v>
      </c>
      <c r="H245" t="s">
        <v>26</v>
      </c>
      <c r="I245" t="s">
        <v>533</v>
      </c>
      <c r="J245" t="str">
        <f>"9781118192009"</f>
        <v>9781118192009</v>
      </c>
      <c r="L245">
        <v>0</v>
      </c>
      <c r="O245" t="s">
        <v>30</v>
      </c>
      <c r="P245" t="s">
        <v>29</v>
      </c>
      <c r="Q245" s="1">
        <v>42397.597604166665</v>
      </c>
      <c r="R245">
        <v>7</v>
      </c>
      <c r="S245" t="s">
        <v>40</v>
      </c>
      <c r="T245" t="s">
        <v>534</v>
      </c>
      <c r="U245" t="s">
        <v>535</v>
      </c>
      <c r="V245" s="3">
        <v>41012</v>
      </c>
    </row>
    <row r="246" spans="1:22" x14ac:dyDescent="0.35">
      <c r="A246" s="1">
        <v>42397.597326388888</v>
      </c>
      <c r="B246" s="2">
        <v>2.7777777777777778E-4</v>
      </c>
      <c r="C246" t="s">
        <v>531</v>
      </c>
      <c r="D246" t="s">
        <v>35</v>
      </c>
      <c r="E246" t="s">
        <v>36</v>
      </c>
      <c r="F246" t="s">
        <v>532</v>
      </c>
      <c r="G246">
        <v>821714</v>
      </c>
      <c r="H246" t="s">
        <v>26</v>
      </c>
      <c r="I246" t="s">
        <v>533</v>
      </c>
      <c r="J246" t="str">
        <f>"9781118192009"</f>
        <v>9781118192009</v>
      </c>
      <c r="K246" t="s">
        <v>536</v>
      </c>
      <c r="L246">
        <v>3</v>
      </c>
      <c r="O246" t="s">
        <v>30</v>
      </c>
      <c r="P246" t="s">
        <v>42</v>
      </c>
      <c r="S246" t="s">
        <v>40</v>
      </c>
      <c r="T246" t="s">
        <v>534</v>
      </c>
      <c r="U246" t="s">
        <v>535</v>
      </c>
      <c r="V246" s="3">
        <v>41012</v>
      </c>
    </row>
    <row r="247" spans="1:22" x14ac:dyDescent="0.35">
      <c r="A247" s="1">
        <v>42397.596435185187</v>
      </c>
      <c r="B247" s="2">
        <v>2.0138888888888888E-3</v>
      </c>
      <c r="C247" t="s">
        <v>106</v>
      </c>
      <c r="D247" t="s">
        <v>23</v>
      </c>
      <c r="E247" t="s">
        <v>24</v>
      </c>
      <c r="F247" t="s">
        <v>61</v>
      </c>
      <c r="G247">
        <v>699526</v>
      </c>
      <c r="H247" t="s">
        <v>26</v>
      </c>
      <c r="I247" t="s">
        <v>62</v>
      </c>
      <c r="J247" t="str">
        <f>"9781118586006"</f>
        <v>9781118586006</v>
      </c>
      <c r="K247" t="s">
        <v>537</v>
      </c>
      <c r="L247">
        <v>18</v>
      </c>
      <c r="O247" t="s">
        <v>28</v>
      </c>
      <c r="P247" t="s">
        <v>29</v>
      </c>
      <c r="Q247" s="1">
        <v>42396.855069444442</v>
      </c>
      <c r="R247">
        <v>7</v>
      </c>
      <c r="S247" t="s">
        <v>31</v>
      </c>
      <c r="T247" t="s">
        <v>64</v>
      </c>
      <c r="U247">
        <v>6.4</v>
      </c>
      <c r="V247" s="3">
        <v>41222</v>
      </c>
    </row>
    <row r="248" spans="1:22" x14ac:dyDescent="0.35">
      <c r="A248" s="1">
        <v>42397.595914351848</v>
      </c>
      <c r="B248" s="2">
        <v>4.6296296296296294E-5</v>
      </c>
      <c r="C248" t="s">
        <v>106</v>
      </c>
      <c r="D248" t="s">
        <v>23</v>
      </c>
      <c r="E248" t="s">
        <v>24</v>
      </c>
      <c r="F248" t="s">
        <v>61</v>
      </c>
      <c r="G248">
        <v>699526</v>
      </c>
      <c r="H248" t="s">
        <v>26</v>
      </c>
      <c r="I248" t="s">
        <v>62</v>
      </c>
      <c r="J248" t="str">
        <f>"9781118586006"</f>
        <v>9781118586006</v>
      </c>
      <c r="K248" t="s">
        <v>33</v>
      </c>
      <c r="L248">
        <v>3</v>
      </c>
      <c r="O248" t="s">
        <v>30</v>
      </c>
      <c r="P248" t="s">
        <v>29</v>
      </c>
      <c r="Q248" s="1">
        <v>42396.855069444442</v>
      </c>
      <c r="R248">
        <v>7</v>
      </c>
      <c r="S248" t="s">
        <v>31</v>
      </c>
      <c r="T248" t="s">
        <v>64</v>
      </c>
      <c r="U248">
        <v>6.4</v>
      </c>
      <c r="V248" s="3">
        <v>41222</v>
      </c>
    </row>
    <row r="249" spans="1:22" x14ac:dyDescent="0.35">
      <c r="A249" s="1">
        <v>42397.564247685186</v>
      </c>
      <c r="B249" s="2">
        <v>1.4351851851851854E-3</v>
      </c>
      <c r="C249" t="s">
        <v>538</v>
      </c>
      <c r="D249" t="s">
        <v>23</v>
      </c>
      <c r="E249" t="s">
        <v>24</v>
      </c>
      <c r="F249" t="s">
        <v>539</v>
      </c>
      <c r="G249">
        <v>554836</v>
      </c>
      <c r="H249" t="s">
        <v>91</v>
      </c>
      <c r="I249" t="s">
        <v>120</v>
      </c>
      <c r="J249" t="str">
        <f>"9781606239117"</f>
        <v>9781606239117</v>
      </c>
      <c r="K249" t="s">
        <v>540</v>
      </c>
      <c r="L249">
        <v>51</v>
      </c>
      <c r="O249" t="s">
        <v>30</v>
      </c>
      <c r="P249" t="s">
        <v>47</v>
      </c>
      <c r="Q249" s="1">
        <v>42397.564247685186</v>
      </c>
      <c r="R249">
        <v>1</v>
      </c>
      <c r="S249" t="s">
        <v>31</v>
      </c>
      <c r="T249" t="s">
        <v>541</v>
      </c>
      <c r="U249">
        <v>362.7</v>
      </c>
      <c r="V249" s="3">
        <v>41773</v>
      </c>
    </row>
    <row r="250" spans="1:22" x14ac:dyDescent="0.35">
      <c r="A250" s="1">
        <v>42397.563379629632</v>
      </c>
      <c r="B250" s="2">
        <v>8.6805555555555551E-4</v>
      </c>
      <c r="C250" t="s">
        <v>538</v>
      </c>
      <c r="D250" t="s">
        <v>23</v>
      </c>
      <c r="E250" t="s">
        <v>24</v>
      </c>
      <c r="F250" t="s">
        <v>539</v>
      </c>
      <c r="G250">
        <v>554836</v>
      </c>
      <c r="H250" t="s">
        <v>91</v>
      </c>
      <c r="I250" t="s">
        <v>120</v>
      </c>
      <c r="J250" t="str">
        <f>"9781606239117"</f>
        <v>9781606239117</v>
      </c>
      <c r="K250" t="s">
        <v>542</v>
      </c>
      <c r="L250">
        <v>13</v>
      </c>
      <c r="O250" t="s">
        <v>30</v>
      </c>
      <c r="P250" t="s">
        <v>50</v>
      </c>
      <c r="S250" t="s">
        <v>31</v>
      </c>
      <c r="T250" t="s">
        <v>541</v>
      </c>
      <c r="U250">
        <v>362.7</v>
      </c>
      <c r="V250" s="3">
        <v>41773</v>
      </c>
    </row>
    <row r="251" spans="1:22" x14ac:dyDescent="0.35">
      <c r="A251" s="1">
        <v>42397.381122685183</v>
      </c>
      <c r="B251" s="2">
        <v>0</v>
      </c>
      <c r="C251" t="s">
        <v>543</v>
      </c>
      <c r="D251" t="s">
        <v>23</v>
      </c>
      <c r="E251" t="s">
        <v>24</v>
      </c>
      <c r="F251" t="s">
        <v>544</v>
      </c>
      <c r="G251">
        <v>615860</v>
      </c>
      <c r="H251" t="s">
        <v>68</v>
      </c>
      <c r="I251" t="s">
        <v>545</v>
      </c>
      <c r="J251" t="str">
        <f t="shared" ref="J251:J258" si="3">"9781444128277"</f>
        <v>9781444128277</v>
      </c>
      <c r="L251">
        <v>0</v>
      </c>
      <c r="N251" t="s">
        <v>546</v>
      </c>
      <c r="O251" t="s">
        <v>30</v>
      </c>
      <c r="P251" t="s">
        <v>29</v>
      </c>
      <c r="Q251" s="1">
        <v>42397.381122685183</v>
      </c>
      <c r="R251">
        <v>7</v>
      </c>
      <c r="S251" t="s">
        <v>31</v>
      </c>
      <c r="T251" t="s">
        <v>547</v>
      </c>
      <c r="U251">
        <v>153</v>
      </c>
      <c r="V251" s="3">
        <v>41604</v>
      </c>
    </row>
    <row r="252" spans="1:22" x14ac:dyDescent="0.35">
      <c r="A252" s="1">
        <v>42397.380624999998</v>
      </c>
      <c r="B252" s="2">
        <v>4.9768518518518521E-4</v>
      </c>
      <c r="C252" t="s">
        <v>543</v>
      </c>
      <c r="D252" t="s">
        <v>23</v>
      </c>
      <c r="E252" t="s">
        <v>24</v>
      </c>
      <c r="F252" t="s">
        <v>544</v>
      </c>
      <c r="G252">
        <v>615860</v>
      </c>
      <c r="H252" t="s">
        <v>68</v>
      </c>
      <c r="I252" t="s">
        <v>545</v>
      </c>
      <c r="J252" t="str">
        <f t="shared" si="3"/>
        <v>9781444128277</v>
      </c>
      <c r="K252" t="s">
        <v>202</v>
      </c>
      <c r="L252">
        <v>3</v>
      </c>
      <c r="O252" t="s">
        <v>30</v>
      </c>
      <c r="P252" t="s">
        <v>42</v>
      </c>
      <c r="S252" t="s">
        <v>31</v>
      </c>
      <c r="T252" t="s">
        <v>547</v>
      </c>
      <c r="U252">
        <v>153</v>
      </c>
      <c r="V252" s="3">
        <v>41604</v>
      </c>
    </row>
    <row r="253" spans="1:22" x14ac:dyDescent="0.35">
      <c r="A253" s="1">
        <v>42397.377569444441</v>
      </c>
      <c r="B253" s="2">
        <v>5.2083333333333333E-4</v>
      </c>
      <c r="C253" t="s">
        <v>548</v>
      </c>
      <c r="D253" t="s">
        <v>23</v>
      </c>
      <c r="E253" t="s">
        <v>24</v>
      </c>
      <c r="F253" t="s">
        <v>544</v>
      </c>
      <c r="G253">
        <v>615860</v>
      </c>
      <c r="H253" t="s">
        <v>68</v>
      </c>
      <c r="I253" t="s">
        <v>545</v>
      </c>
      <c r="J253" t="str">
        <f t="shared" si="3"/>
        <v>9781444128277</v>
      </c>
      <c r="K253" t="s">
        <v>202</v>
      </c>
      <c r="L253">
        <v>3</v>
      </c>
      <c r="N253" t="s">
        <v>549</v>
      </c>
      <c r="O253" t="s">
        <v>30</v>
      </c>
      <c r="P253" t="s">
        <v>29</v>
      </c>
      <c r="Q253" s="1">
        <v>42396.680023148147</v>
      </c>
      <c r="R253">
        <v>7</v>
      </c>
      <c r="S253" t="s">
        <v>31</v>
      </c>
      <c r="T253" t="s">
        <v>547</v>
      </c>
      <c r="U253">
        <v>153</v>
      </c>
      <c r="V253" s="3">
        <v>41604</v>
      </c>
    </row>
    <row r="254" spans="1:22" x14ac:dyDescent="0.35">
      <c r="A254" s="1">
        <v>42397.376134259262</v>
      </c>
      <c r="B254" s="2">
        <v>1.7361111111111112E-4</v>
      </c>
      <c r="C254" t="s">
        <v>550</v>
      </c>
      <c r="D254" t="s">
        <v>23</v>
      </c>
      <c r="E254" t="s">
        <v>24</v>
      </c>
      <c r="F254" t="s">
        <v>544</v>
      </c>
      <c r="G254">
        <v>615860</v>
      </c>
      <c r="H254" t="s">
        <v>68</v>
      </c>
      <c r="I254" t="s">
        <v>545</v>
      </c>
      <c r="J254" t="str">
        <f t="shared" si="3"/>
        <v>9781444128277</v>
      </c>
      <c r="K254" t="s">
        <v>33</v>
      </c>
      <c r="L254">
        <v>3</v>
      </c>
      <c r="O254" t="s">
        <v>30</v>
      </c>
      <c r="P254" t="s">
        <v>29</v>
      </c>
      <c r="Q254" s="1">
        <v>42396.439456018517</v>
      </c>
      <c r="R254">
        <v>7</v>
      </c>
      <c r="S254" t="s">
        <v>31</v>
      </c>
      <c r="T254" t="s">
        <v>547</v>
      </c>
      <c r="U254">
        <v>153</v>
      </c>
      <c r="V254" s="3">
        <v>41604</v>
      </c>
    </row>
    <row r="255" spans="1:22" x14ac:dyDescent="0.35">
      <c r="A255" s="1">
        <v>42397.321064814816</v>
      </c>
      <c r="B255" s="2">
        <v>3.0787037037037037E-3</v>
      </c>
      <c r="C255" t="s">
        <v>551</v>
      </c>
      <c r="D255" t="s">
        <v>23</v>
      </c>
      <c r="E255" t="s">
        <v>24</v>
      </c>
      <c r="F255" t="s">
        <v>544</v>
      </c>
      <c r="G255">
        <v>615860</v>
      </c>
      <c r="H255" t="s">
        <v>68</v>
      </c>
      <c r="I255" t="s">
        <v>545</v>
      </c>
      <c r="J255" t="str">
        <f t="shared" si="3"/>
        <v>9781444128277</v>
      </c>
      <c r="K255" t="s">
        <v>552</v>
      </c>
      <c r="L255">
        <v>9</v>
      </c>
      <c r="O255" t="s">
        <v>30</v>
      </c>
      <c r="P255" t="s">
        <v>42</v>
      </c>
      <c r="S255" t="s">
        <v>31</v>
      </c>
      <c r="T255" t="s">
        <v>547</v>
      </c>
      <c r="U255">
        <v>153</v>
      </c>
      <c r="V255" s="3">
        <v>41604</v>
      </c>
    </row>
    <row r="256" spans="1:22" x14ac:dyDescent="0.35">
      <c r="A256" s="1">
        <v>42397.312789351854</v>
      </c>
      <c r="B256" s="2">
        <v>5.3240740740740744E-4</v>
      </c>
      <c r="C256" t="s">
        <v>553</v>
      </c>
      <c r="D256" t="s">
        <v>23</v>
      </c>
      <c r="E256" t="s">
        <v>24</v>
      </c>
      <c r="F256" t="s">
        <v>544</v>
      </c>
      <c r="G256">
        <v>615860</v>
      </c>
      <c r="H256" t="s">
        <v>68</v>
      </c>
      <c r="I256" t="s">
        <v>545</v>
      </c>
      <c r="J256" t="str">
        <f t="shared" si="3"/>
        <v>9781444128277</v>
      </c>
      <c r="K256" t="s">
        <v>202</v>
      </c>
      <c r="L256">
        <v>3</v>
      </c>
      <c r="N256" t="s">
        <v>554</v>
      </c>
      <c r="O256" t="s">
        <v>30</v>
      </c>
      <c r="P256" t="s">
        <v>29</v>
      </c>
      <c r="Q256" s="1">
        <v>42396.61928240741</v>
      </c>
      <c r="R256">
        <v>7</v>
      </c>
      <c r="S256" t="s">
        <v>31</v>
      </c>
      <c r="T256" t="s">
        <v>547</v>
      </c>
      <c r="U256">
        <v>153</v>
      </c>
      <c r="V256" s="3">
        <v>41604</v>
      </c>
    </row>
    <row r="257" spans="1:22" x14ac:dyDescent="0.35">
      <c r="A257" s="1">
        <v>42397.309652777774</v>
      </c>
      <c r="B257" s="2">
        <v>0</v>
      </c>
      <c r="C257" t="s">
        <v>555</v>
      </c>
      <c r="D257" t="s">
        <v>23</v>
      </c>
      <c r="E257" t="s">
        <v>24</v>
      </c>
      <c r="F257" t="s">
        <v>544</v>
      </c>
      <c r="G257">
        <v>615860</v>
      </c>
      <c r="H257" t="s">
        <v>68</v>
      </c>
      <c r="I257" t="s">
        <v>545</v>
      </c>
      <c r="J257" t="str">
        <f t="shared" si="3"/>
        <v>9781444128277</v>
      </c>
      <c r="L257">
        <v>0</v>
      </c>
      <c r="N257" t="s">
        <v>556</v>
      </c>
      <c r="O257" t="s">
        <v>30</v>
      </c>
      <c r="P257" t="s">
        <v>29</v>
      </c>
      <c r="Q257" s="1">
        <v>42397.309652777774</v>
      </c>
      <c r="R257">
        <v>7</v>
      </c>
      <c r="S257" t="s">
        <v>31</v>
      </c>
      <c r="T257" t="s">
        <v>547</v>
      </c>
      <c r="U257">
        <v>153</v>
      </c>
      <c r="V257" s="3">
        <v>41604</v>
      </c>
    </row>
    <row r="258" spans="1:22" x14ac:dyDescent="0.35">
      <c r="A258" s="1">
        <v>42397.30914351852</v>
      </c>
      <c r="B258" s="2">
        <v>5.0925925925925921E-4</v>
      </c>
      <c r="C258" t="s">
        <v>555</v>
      </c>
      <c r="D258" t="s">
        <v>23</v>
      </c>
      <c r="E258" t="s">
        <v>24</v>
      </c>
      <c r="F258" t="s">
        <v>544</v>
      </c>
      <c r="G258">
        <v>615860</v>
      </c>
      <c r="H258" t="s">
        <v>68</v>
      </c>
      <c r="I258" t="s">
        <v>545</v>
      </c>
      <c r="J258" t="str">
        <f t="shared" si="3"/>
        <v>9781444128277</v>
      </c>
      <c r="K258" t="s">
        <v>202</v>
      </c>
      <c r="L258">
        <v>3</v>
      </c>
      <c r="O258" t="s">
        <v>30</v>
      </c>
      <c r="P258" t="s">
        <v>42</v>
      </c>
      <c r="S258" t="s">
        <v>31</v>
      </c>
      <c r="T258" t="s">
        <v>547</v>
      </c>
      <c r="U258">
        <v>153</v>
      </c>
      <c r="V258" s="3">
        <v>41604</v>
      </c>
    </row>
    <row r="259" spans="1:22" x14ac:dyDescent="0.35">
      <c r="A259" s="1">
        <v>42397.294282407405</v>
      </c>
      <c r="B259" s="2">
        <v>3.0914351851851849E-2</v>
      </c>
      <c r="C259" t="s">
        <v>520</v>
      </c>
      <c r="D259" t="s">
        <v>23</v>
      </c>
      <c r="E259" t="s">
        <v>24</v>
      </c>
      <c r="F259" t="s">
        <v>521</v>
      </c>
      <c r="G259">
        <v>1603265</v>
      </c>
      <c r="H259" t="s">
        <v>26</v>
      </c>
      <c r="I259" t="s">
        <v>445</v>
      </c>
      <c r="J259" t="str">
        <f>"9781118808139"</f>
        <v>9781118808139</v>
      </c>
      <c r="K259" t="s">
        <v>557</v>
      </c>
      <c r="L259">
        <v>42</v>
      </c>
      <c r="O259" t="s">
        <v>30</v>
      </c>
      <c r="P259" t="s">
        <v>29</v>
      </c>
      <c r="Q259" s="1">
        <v>42397.294282407405</v>
      </c>
      <c r="R259">
        <v>7</v>
      </c>
      <c r="S259" t="s">
        <v>31</v>
      </c>
      <c r="T259" t="s">
        <v>523</v>
      </c>
      <c r="U259">
        <v>332.642</v>
      </c>
      <c r="V259" s="3">
        <v>41663</v>
      </c>
    </row>
    <row r="260" spans="1:22" x14ac:dyDescent="0.35">
      <c r="A260" s="1">
        <v>42397.286979166667</v>
      </c>
      <c r="B260" s="2">
        <v>0</v>
      </c>
      <c r="C260" t="s">
        <v>558</v>
      </c>
      <c r="D260" t="s">
        <v>23</v>
      </c>
      <c r="E260" t="s">
        <v>24</v>
      </c>
      <c r="F260" t="s">
        <v>559</v>
      </c>
      <c r="G260">
        <v>1895855</v>
      </c>
      <c r="H260" t="s">
        <v>26</v>
      </c>
      <c r="I260" t="s">
        <v>445</v>
      </c>
      <c r="J260" t="str">
        <f>"9781118980958"</f>
        <v>9781118980958</v>
      </c>
      <c r="L260">
        <v>0</v>
      </c>
      <c r="O260" t="s">
        <v>28</v>
      </c>
      <c r="P260" t="s">
        <v>29</v>
      </c>
      <c r="Q260" s="1">
        <v>42397.286979166667</v>
      </c>
      <c r="R260">
        <v>7</v>
      </c>
      <c r="S260" t="s">
        <v>31</v>
      </c>
      <c r="T260" t="s">
        <v>560</v>
      </c>
      <c r="U260" t="s">
        <v>561</v>
      </c>
      <c r="V260" s="3">
        <v>42034</v>
      </c>
    </row>
    <row r="261" spans="1:22" x14ac:dyDescent="0.35">
      <c r="A261" s="1">
        <v>42397.286979166667</v>
      </c>
      <c r="B261" s="2">
        <v>0</v>
      </c>
      <c r="C261" t="s">
        <v>558</v>
      </c>
      <c r="D261" t="s">
        <v>23</v>
      </c>
      <c r="E261" t="s">
        <v>24</v>
      </c>
      <c r="F261" t="s">
        <v>559</v>
      </c>
      <c r="G261">
        <v>1895855</v>
      </c>
      <c r="H261" t="s">
        <v>26</v>
      </c>
      <c r="I261" t="s">
        <v>445</v>
      </c>
      <c r="J261" t="str">
        <f>"9781118980958"</f>
        <v>9781118980958</v>
      </c>
      <c r="L261">
        <v>0</v>
      </c>
      <c r="O261" t="s">
        <v>30</v>
      </c>
      <c r="P261" t="s">
        <v>29</v>
      </c>
      <c r="Q261" s="1">
        <v>42397.286979166667</v>
      </c>
      <c r="R261">
        <v>7</v>
      </c>
      <c r="S261" t="s">
        <v>31</v>
      </c>
      <c r="T261" t="s">
        <v>560</v>
      </c>
      <c r="U261" t="s">
        <v>561</v>
      </c>
      <c r="V261" s="3">
        <v>42034</v>
      </c>
    </row>
    <row r="262" spans="1:22" x14ac:dyDescent="0.35">
      <c r="A262" s="1">
        <v>42397.286793981482</v>
      </c>
      <c r="B262" s="2">
        <v>1.8518518518518518E-4</v>
      </c>
      <c r="C262" t="s">
        <v>558</v>
      </c>
      <c r="D262" t="s">
        <v>23</v>
      </c>
      <c r="E262" t="s">
        <v>24</v>
      </c>
      <c r="F262" t="s">
        <v>559</v>
      </c>
      <c r="G262">
        <v>1895855</v>
      </c>
      <c r="H262" t="s">
        <v>26</v>
      </c>
      <c r="I262" t="s">
        <v>445</v>
      </c>
      <c r="J262" t="str">
        <f>"9781118980958"</f>
        <v>9781118980958</v>
      </c>
      <c r="K262" t="s">
        <v>33</v>
      </c>
      <c r="L262">
        <v>3</v>
      </c>
      <c r="O262" t="s">
        <v>30</v>
      </c>
      <c r="P262" t="s">
        <v>42</v>
      </c>
      <c r="S262" t="s">
        <v>31</v>
      </c>
      <c r="T262" t="s">
        <v>560</v>
      </c>
      <c r="U262" t="s">
        <v>561</v>
      </c>
      <c r="V262" s="3">
        <v>42034</v>
      </c>
    </row>
    <row r="263" spans="1:22" x14ac:dyDescent="0.35">
      <c r="A263" s="1">
        <v>42397.284641203703</v>
      </c>
      <c r="B263" s="2">
        <v>9.6412037037037039E-3</v>
      </c>
      <c r="C263" t="s">
        <v>520</v>
      </c>
      <c r="D263" t="s">
        <v>23</v>
      </c>
      <c r="E263" t="s">
        <v>24</v>
      </c>
      <c r="F263" t="s">
        <v>521</v>
      </c>
      <c r="G263">
        <v>1603265</v>
      </c>
      <c r="H263" t="s">
        <v>26</v>
      </c>
      <c r="I263" t="s">
        <v>445</v>
      </c>
      <c r="J263" t="str">
        <f>"9781118808139"</f>
        <v>9781118808139</v>
      </c>
      <c r="K263" t="s">
        <v>562</v>
      </c>
      <c r="L263">
        <v>19</v>
      </c>
      <c r="O263" t="s">
        <v>30</v>
      </c>
      <c r="P263" t="s">
        <v>42</v>
      </c>
      <c r="S263" t="s">
        <v>31</v>
      </c>
      <c r="T263" t="s">
        <v>523</v>
      </c>
      <c r="U263">
        <v>332.642</v>
      </c>
      <c r="V263" s="3">
        <v>41663</v>
      </c>
    </row>
    <row r="264" spans="1:22" x14ac:dyDescent="0.35">
      <c r="A264" s="1">
        <v>42397.264317129629</v>
      </c>
      <c r="B264" s="2">
        <v>3.5243055555555555E-2</v>
      </c>
      <c r="C264" t="s">
        <v>553</v>
      </c>
      <c r="D264" t="s">
        <v>23</v>
      </c>
      <c r="E264" t="s">
        <v>24</v>
      </c>
      <c r="F264" t="s">
        <v>544</v>
      </c>
      <c r="G264">
        <v>615860</v>
      </c>
      <c r="H264" t="s">
        <v>68</v>
      </c>
      <c r="I264" t="s">
        <v>545</v>
      </c>
      <c r="J264" t="str">
        <f>"9781444128277"</f>
        <v>9781444128277</v>
      </c>
      <c r="K264" t="s">
        <v>563</v>
      </c>
      <c r="L264">
        <v>34</v>
      </c>
      <c r="O264" t="s">
        <v>30</v>
      </c>
      <c r="P264" t="s">
        <v>29</v>
      </c>
      <c r="Q264" s="1">
        <v>42396.61928240741</v>
      </c>
      <c r="R264">
        <v>7</v>
      </c>
      <c r="S264" t="s">
        <v>31</v>
      </c>
      <c r="T264" t="s">
        <v>547</v>
      </c>
      <c r="U264">
        <v>153</v>
      </c>
      <c r="V264" s="3">
        <v>41604</v>
      </c>
    </row>
    <row r="265" spans="1:22" x14ac:dyDescent="0.35">
      <c r="A265" s="1">
        <v>42397.262326388889</v>
      </c>
      <c r="B265" s="2">
        <v>3.5879629629629629E-3</v>
      </c>
      <c r="C265" t="s">
        <v>564</v>
      </c>
      <c r="D265" t="s">
        <v>23</v>
      </c>
      <c r="E265" t="s">
        <v>24</v>
      </c>
      <c r="F265" t="s">
        <v>565</v>
      </c>
      <c r="G265">
        <v>4043002</v>
      </c>
      <c r="H265" t="s">
        <v>26</v>
      </c>
      <c r="I265" t="s">
        <v>120</v>
      </c>
      <c r="J265" t="str">
        <f>"9781119045076"</f>
        <v>9781119045076</v>
      </c>
      <c r="K265" t="s">
        <v>566</v>
      </c>
      <c r="L265">
        <v>2</v>
      </c>
      <c r="O265" t="s">
        <v>30</v>
      </c>
      <c r="P265" t="s">
        <v>29</v>
      </c>
      <c r="Q265" s="1">
        <v>42397.262326388889</v>
      </c>
      <c r="R265">
        <v>7</v>
      </c>
      <c r="S265" t="s">
        <v>31</v>
      </c>
      <c r="T265" t="s">
        <v>567</v>
      </c>
      <c r="U265">
        <v>307.1216</v>
      </c>
      <c r="V265" s="3">
        <v>42296</v>
      </c>
    </row>
    <row r="266" spans="1:22" x14ac:dyDescent="0.35">
      <c r="A266" s="1">
        <v>42397.25744212963</v>
      </c>
      <c r="B266" s="2">
        <v>4.8842592592592592E-3</v>
      </c>
      <c r="C266" t="s">
        <v>564</v>
      </c>
      <c r="D266" t="s">
        <v>23</v>
      </c>
      <c r="E266" t="s">
        <v>24</v>
      </c>
      <c r="F266" t="s">
        <v>565</v>
      </c>
      <c r="G266">
        <v>4043002</v>
      </c>
      <c r="H266" t="s">
        <v>26</v>
      </c>
      <c r="I266" t="s">
        <v>120</v>
      </c>
      <c r="J266" t="str">
        <f>"9781119045076"</f>
        <v>9781119045076</v>
      </c>
      <c r="K266" t="s">
        <v>568</v>
      </c>
      <c r="L266">
        <v>12</v>
      </c>
      <c r="O266" t="s">
        <v>30</v>
      </c>
      <c r="P266" t="s">
        <v>50</v>
      </c>
      <c r="S266" t="s">
        <v>31</v>
      </c>
      <c r="T266" t="s">
        <v>567</v>
      </c>
      <c r="U266">
        <v>307.1216</v>
      </c>
      <c r="V266" s="3">
        <v>42296</v>
      </c>
    </row>
    <row r="267" spans="1:22" x14ac:dyDescent="0.35">
      <c r="A267" s="1">
        <v>42397.235439814816</v>
      </c>
      <c r="B267" s="2">
        <v>1.3888888888888889E-4</v>
      </c>
      <c r="C267" t="s">
        <v>551</v>
      </c>
      <c r="D267" t="s">
        <v>23</v>
      </c>
      <c r="E267" t="s">
        <v>24</v>
      </c>
      <c r="F267" t="s">
        <v>544</v>
      </c>
      <c r="G267">
        <v>615860</v>
      </c>
      <c r="H267" t="s">
        <v>68</v>
      </c>
      <c r="I267" t="s">
        <v>545</v>
      </c>
      <c r="J267" t="str">
        <f>"9781444128277"</f>
        <v>9781444128277</v>
      </c>
      <c r="K267" t="s">
        <v>33</v>
      </c>
      <c r="L267">
        <v>3</v>
      </c>
      <c r="O267" t="s">
        <v>30</v>
      </c>
      <c r="P267" t="s">
        <v>42</v>
      </c>
      <c r="S267" t="s">
        <v>31</v>
      </c>
      <c r="T267" t="s">
        <v>547</v>
      </c>
      <c r="U267">
        <v>153</v>
      </c>
      <c r="V267" s="3">
        <v>41604</v>
      </c>
    </row>
    <row r="268" spans="1:22" x14ac:dyDescent="0.35">
      <c r="A268" s="1">
        <v>42397.234560185185</v>
      </c>
      <c r="B268" s="2">
        <v>5.7916666666666665E-2</v>
      </c>
      <c r="C268" t="s">
        <v>550</v>
      </c>
      <c r="D268" t="s">
        <v>23</v>
      </c>
      <c r="E268" t="s">
        <v>24</v>
      </c>
      <c r="F268" t="s">
        <v>544</v>
      </c>
      <c r="G268">
        <v>615860</v>
      </c>
      <c r="H268" t="s">
        <v>68</v>
      </c>
      <c r="I268" t="s">
        <v>545</v>
      </c>
      <c r="J268" t="str">
        <f>"9781444128277"</f>
        <v>9781444128277</v>
      </c>
      <c r="K268" t="s">
        <v>569</v>
      </c>
      <c r="L268">
        <v>24</v>
      </c>
      <c r="N268" t="s">
        <v>570</v>
      </c>
      <c r="O268" t="s">
        <v>28</v>
      </c>
      <c r="P268" t="s">
        <v>29</v>
      </c>
      <c r="Q268" s="1">
        <v>42396.439456018517</v>
      </c>
      <c r="R268">
        <v>7</v>
      </c>
      <c r="S268" t="s">
        <v>31</v>
      </c>
      <c r="T268" t="s">
        <v>547</v>
      </c>
      <c r="U268">
        <v>153</v>
      </c>
      <c r="V268" s="3">
        <v>41604</v>
      </c>
    </row>
    <row r="269" spans="1:22" x14ac:dyDescent="0.35">
      <c r="A269" s="1">
        <v>42397.234085648146</v>
      </c>
      <c r="B269" s="2">
        <v>1.273148148148148E-4</v>
      </c>
      <c r="C269" t="s">
        <v>550</v>
      </c>
      <c r="D269" t="s">
        <v>23</v>
      </c>
      <c r="E269" t="s">
        <v>24</v>
      </c>
      <c r="F269" t="s">
        <v>544</v>
      </c>
      <c r="G269">
        <v>615860</v>
      </c>
      <c r="H269" t="s">
        <v>68</v>
      </c>
      <c r="I269" t="s">
        <v>545</v>
      </c>
      <c r="J269" t="str">
        <f>"9781444128277"</f>
        <v>9781444128277</v>
      </c>
      <c r="K269" t="s">
        <v>33</v>
      </c>
      <c r="L269">
        <v>3</v>
      </c>
      <c r="O269" t="s">
        <v>30</v>
      </c>
      <c r="P269" t="s">
        <v>29</v>
      </c>
      <c r="Q269" s="1">
        <v>42396.439456018517</v>
      </c>
      <c r="R269">
        <v>7</v>
      </c>
      <c r="S269" t="s">
        <v>31</v>
      </c>
      <c r="T269" t="s">
        <v>547</v>
      </c>
      <c r="U269">
        <v>153</v>
      </c>
      <c r="V269" s="3">
        <v>41604</v>
      </c>
    </row>
    <row r="270" spans="1:22" x14ac:dyDescent="0.35">
      <c r="A270" s="1">
        <v>42397.161990740744</v>
      </c>
      <c r="B270" s="2">
        <v>5.8912037037037032E-3</v>
      </c>
      <c r="C270" t="s">
        <v>571</v>
      </c>
      <c r="D270" t="s">
        <v>125</v>
      </c>
      <c r="E270" t="s">
        <v>126</v>
      </c>
      <c r="F270" t="s">
        <v>572</v>
      </c>
      <c r="G270">
        <v>1597004</v>
      </c>
      <c r="H270" t="s">
        <v>84</v>
      </c>
      <c r="I270" t="s">
        <v>120</v>
      </c>
      <c r="J270" t="str">
        <f>"9780520958173"</f>
        <v>9780520958173</v>
      </c>
      <c r="K270" t="s">
        <v>573</v>
      </c>
      <c r="L270">
        <v>28</v>
      </c>
      <c r="O270" t="s">
        <v>30</v>
      </c>
      <c r="P270" t="s">
        <v>42</v>
      </c>
      <c r="S270" t="s">
        <v>128</v>
      </c>
      <c r="T270" t="s">
        <v>574</v>
      </c>
      <c r="U270" t="s">
        <v>575</v>
      </c>
      <c r="V270" s="3">
        <v>41760</v>
      </c>
    </row>
    <row r="271" spans="1:22" x14ac:dyDescent="0.35">
      <c r="A271" s="1">
        <v>42397.128032407411</v>
      </c>
      <c r="B271" s="2">
        <v>3.6111111111111114E-3</v>
      </c>
      <c r="C271" t="s">
        <v>576</v>
      </c>
      <c r="D271" t="s">
        <v>35</v>
      </c>
      <c r="E271" t="s">
        <v>36</v>
      </c>
      <c r="F271" t="s">
        <v>577</v>
      </c>
      <c r="G271">
        <v>1434024</v>
      </c>
      <c r="H271" t="s">
        <v>68</v>
      </c>
      <c r="I271" t="s">
        <v>578</v>
      </c>
      <c r="J271" t="str">
        <f>"9781135016906"</f>
        <v>9781135016906</v>
      </c>
      <c r="K271" t="s">
        <v>579</v>
      </c>
      <c r="L271">
        <v>38</v>
      </c>
      <c r="O271" t="s">
        <v>30</v>
      </c>
      <c r="P271" t="s">
        <v>50</v>
      </c>
      <c r="S271" t="s">
        <v>40</v>
      </c>
      <c r="T271" t="s">
        <v>580</v>
      </c>
      <c r="U271">
        <v>352.34</v>
      </c>
      <c r="V271" s="3">
        <v>41548</v>
      </c>
    </row>
    <row r="272" spans="1:22" x14ac:dyDescent="0.35">
      <c r="A272" s="1">
        <v>42397.115613425929</v>
      </c>
      <c r="B272" s="2">
        <v>7.0231481481481492E-2</v>
      </c>
      <c r="C272" t="s">
        <v>22</v>
      </c>
      <c r="D272" t="s">
        <v>23</v>
      </c>
      <c r="E272" t="s">
        <v>24</v>
      </c>
      <c r="F272" t="s">
        <v>25</v>
      </c>
      <c r="G272">
        <v>1120290</v>
      </c>
      <c r="H272" t="s">
        <v>26</v>
      </c>
      <c r="I272" t="s">
        <v>27</v>
      </c>
      <c r="J272" t="str">
        <f>"9781118347478"</f>
        <v>9781118347478</v>
      </c>
      <c r="K272" t="s">
        <v>581</v>
      </c>
      <c r="L272">
        <v>20</v>
      </c>
      <c r="O272" t="s">
        <v>30</v>
      </c>
      <c r="P272" t="s">
        <v>29</v>
      </c>
      <c r="Q272" s="1">
        <v>42395.220312500001</v>
      </c>
      <c r="R272">
        <v>7</v>
      </c>
      <c r="S272" t="s">
        <v>31</v>
      </c>
      <c r="T272" t="s">
        <v>32</v>
      </c>
      <c r="U272">
        <v>421</v>
      </c>
      <c r="V272" s="3">
        <v>41101</v>
      </c>
    </row>
    <row r="273" spans="1:22" x14ac:dyDescent="0.35">
      <c r="A273" s="1">
        <v>42397.112511574072</v>
      </c>
      <c r="B273" s="2">
        <v>0.11324074074074075</v>
      </c>
      <c r="C273" t="s">
        <v>77</v>
      </c>
      <c r="D273" t="s">
        <v>23</v>
      </c>
      <c r="E273" t="s">
        <v>24</v>
      </c>
      <c r="F273" t="s">
        <v>78</v>
      </c>
      <c r="G273">
        <v>1635363</v>
      </c>
      <c r="H273" t="s">
        <v>26</v>
      </c>
      <c r="I273" t="s">
        <v>79</v>
      </c>
      <c r="J273" t="str">
        <f>"9781118678206"</f>
        <v>9781118678206</v>
      </c>
      <c r="K273" t="s">
        <v>582</v>
      </c>
      <c r="L273">
        <v>27</v>
      </c>
      <c r="O273" t="s">
        <v>30</v>
      </c>
      <c r="P273" t="s">
        <v>29</v>
      </c>
      <c r="Q273" s="1">
        <v>42395.007106481484</v>
      </c>
      <c r="R273">
        <v>7</v>
      </c>
      <c r="S273" t="s">
        <v>31</v>
      </c>
      <c r="T273" t="s">
        <v>81</v>
      </c>
      <c r="U273">
        <v>340.07600000000002</v>
      </c>
      <c r="V273" s="3">
        <v>41684</v>
      </c>
    </row>
    <row r="274" spans="1:22" x14ac:dyDescent="0.35">
      <c r="A274" s="1">
        <v>42397.058946759258</v>
      </c>
      <c r="B274" s="2">
        <v>4.2939814814814811E-3</v>
      </c>
      <c r="C274" t="s">
        <v>553</v>
      </c>
      <c r="D274" t="s">
        <v>23</v>
      </c>
      <c r="E274" t="s">
        <v>24</v>
      </c>
      <c r="F274" t="s">
        <v>544</v>
      </c>
      <c r="G274">
        <v>615860</v>
      </c>
      <c r="H274" t="s">
        <v>68</v>
      </c>
      <c r="I274" t="s">
        <v>545</v>
      </c>
      <c r="J274" t="str">
        <f>"9781444128277"</f>
        <v>9781444128277</v>
      </c>
      <c r="K274" t="s">
        <v>583</v>
      </c>
      <c r="L274">
        <v>18</v>
      </c>
      <c r="O274" t="s">
        <v>30</v>
      </c>
      <c r="P274" t="s">
        <v>29</v>
      </c>
      <c r="Q274" s="1">
        <v>42396.61928240741</v>
      </c>
      <c r="R274">
        <v>7</v>
      </c>
      <c r="S274" t="s">
        <v>31</v>
      </c>
      <c r="T274" t="s">
        <v>547</v>
      </c>
      <c r="U274">
        <v>153</v>
      </c>
      <c r="V274" s="3">
        <v>41604</v>
      </c>
    </row>
    <row r="275" spans="1:22" x14ac:dyDescent="0.35">
      <c r="A275" s="1">
        <v>42397.020428240743</v>
      </c>
      <c r="B275" s="2">
        <v>1.1921296296296296E-3</v>
      </c>
      <c r="C275" t="s">
        <v>584</v>
      </c>
      <c r="D275" t="s">
        <v>23</v>
      </c>
      <c r="E275" t="s">
        <v>24</v>
      </c>
      <c r="F275" t="s">
        <v>585</v>
      </c>
      <c r="G275">
        <v>1396513</v>
      </c>
      <c r="H275" t="s">
        <v>68</v>
      </c>
      <c r="I275" t="s">
        <v>120</v>
      </c>
      <c r="J275" t="str">
        <f>"9781317992165"</f>
        <v>9781317992165</v>
      </c>
      <c r="K275" t="s">
        <v>586</v>
      </c>
      <c r="L275">
        <v>10</v>
      </c>
      <c r="O275" t="s">
        <v>30</v>
      </c>
      <c r="P275" t="s">
        <v>50</v>
      </c>
      <c r="S275" t="s">
        <v>31</v>
      </c>
      <c r="U275">
        <v>306.7660846</v>
      </c>
      <c r="V275" s="3">
        <v>41530</v>
      </c>
    </row>
    <row r="276" spans="1:22" x14ac:dyDescent="0.35">
      <c r="A276" s="1">
        <v>42396.94703703704</v>
      </c>
      <c r="B276" s="2">
        <v>3.3969907407407407E-2</v>
      </c>
      <c r="C276" t="s">
        <v>77</v>
      </c>
      <c r="D276" t="s">
        <v>23</v>
      </c>
      <c r="E276" t="s">
        <v>24</v>
      </c>
      <c r="F276" t="s">
        <v>78</v>
      </c>
      <c r="G276">
        <v>1635363</v>
      </c>
      <c r="H276" t="s">
        <v>26</v>
      </c>
      <c r="I276" t="s">
        <v>79</v>
      </c>
      <c r="J276" t="str">
        <f>"9781118678206"</f>
        <v>9781118678206</v>
      </c>
      <c r="K276" t="s">
        <v>587</v>
      </c>
      <c r="L276">
        <v>15</v>
      </c>
      <c r="O276" t="s">
        <v>30</v>
      </c>
      <c r="P276" t="s">
        <v>29</v>
      </c>
      <c r="Q276" s="1">
        <v>42395.007106481484</v>
      </c>
      <c r="R276">
        <v>7</v>
      </c>
      <c r="S276" t="s">
        <v>31</v>
      </c>
      <c r="T276" t="s">
        <v>81</v>
      </c>
      <c r="U276">
        <v>340.07600000000002</v>
      </c>
      <c r="V276" s="3">
        <v>41684</v>
      </c>
    </row>
    <row r="277" spans="1:22" x14ac:dyDescent="0.35">
      <c r="A277" s="1">
        <v>42396.929756944446</v>
      </c>
      <c r="B277" s="2">
        <v>2.0486111111111113E-3</v>
      </c>
      <c r="C277" t="s">
        <v>553</v>
      </c>
      <c r="D277" t="s">
        <v>23</v>
      </c>
      <c r="E277" t="s">
        <v>24</v>
      </c>
      <c r="F277" t="s">
        <v>544</v>
      </c>
      <c r="G277">
        <v>615860</v>
      </c>
      <c r="H277" t="s">
        <v>68</v>
      </c>
      <c r="I277" t="s">
        <v>545</v>
      </c>
      <c r="J277" t="str">
        <f>"9781444128277"</f>
        <v>9781444128277</v>
      </c>
      <c r="K277" t="s">
        <v>588</v>
      </c>
      <c r="L277">
        <v>36</v>
      </c>
      <c r="O277" t="s">
        <v>28</v>
      </c>
      <c r="P277" t="s">
        <v>29</v>
      </c>
      <c r="Q277" s="1">
        <v>42396.61928240741</v>
      </c>
      <c r="R277">
        <v>7</v>
      </c>
      <c r="S277" t="s">
        <v>31</v>
      </c>
      <c r="T277" t="s">
        <v>547</v>
      </c>
      <c r="U277">
        <v>153</v>
      </c>
      <c r="V277" s="3">
        <v>41604</v>
      </c>
    </row>
    <row r="278" spans="1:22" x14ac:dyDescent="0.35">
      <c r="A278" s="1">
        <v>42396.929363425923</v>
      </c>
      <c r="B278" s="2">
        <v>9.2592592592592588E-5</v>
      </c>
      <c r="C278" t="s">
        <v>553</v>
      </c>
      <c r="D278" t="s">
        <v>23</v>
      </c>
      <c r="E278" t="s">
        <v>24</v>
      </c>
      <c r="F278" t="s">
        <v>544</v>
      </c>
      <c r="G278">
        <v>615860</v>
      </c>
      <c r="H278" t="s">
        <v>68</v>
      </c>
      <c r="I278" t="s">
        <v>545</v>
      </c>
      <c r="J278" t="str">
        <f>"9781444128277"</f>
        <v>9781444128277</v>
      </c>
      <c r="K278" t="s">
        <v>33</v>
      </c>
      <c r="L278">
        <v>3</v>
      </c>
      <c r="O278" t="s">
        <v>30</v>
      </c>
      <c r="P278" t="s">
        <v>29</v>
      </c>
      <c r="Q278" s="1">
        <v>42396.61928240741</v>
      </c>
      <c r="R278">
        <v>7</v>
      </c>
      <c r="S278" t="s">
        <v>31</v>
      </c>
      <c r="T278" t="s">
        <v>547</v>
      </c>
      <c r="U278">
        <v>153</v>
      </c>
      <c r="V278" s="3">
        <v>41604</v>
      </c>
    </row>
    <row r="279" spans="1:22" x14ac:dyDescent="0.35">
      <c r="A279" s="1">
        <v>42396.918773148151</v>
      </c>
      <c r="B279" s="2">
        <v>2.199074074074074E-4</v>
      </c>
      <c r="C279" t="s">
        <v>124</v>
      </c>
      <c r="D279" t="s">
        <v>125</v>
      </c>
      <c r="E279" t="s">
        <v>126</v>
      </c>
      <c r="F279" t="s">
        <v>111</v>
      </c>
      <c r="G279">
        <v>693176</v>
      </c>
      <c r="H279" t="s">
        <v>26</v>
      </c>
      <c r="I279" t="s">
        <v>112</v>
      </c>
      <c r="J279" t="str">
        <f>"9781118017746"</f>
        <v>9781118017746</v>
      </c>
      <c r="K279" t="s">
        <v>589</v>
      </c>
      <c r="L279">
        <v>10</v>
      </c>
      <c r="O279" t="s">
        <v>30</v>
      </c>
      <c r="P279" t="s">
        <v>42</v>
      </c>
      <c r="S279" t="s">
        <v>128</v>
      </c>
      <c r="T279" t="s">
        <v>114</v>
      </c>
      <c r="U279" t="s">
        <v>115</v>
      </c>
      <c r="V279" s="3">
        <v>40835</v>
      </c>
    </row>
    <row r="280" spans="1:22" x14ac:dyDescent="0.35">
      <c r="A280" s="1">
        <v>42396.912719907406</v>
      </c>
      <c r="B280" s="2">
        <v>3.4722222222222222E-5</v>
      </c>
      <c r="C280" t="s">
        <v>524</v>
      </c>
      <c r="D280" t="s">
        <v>146</v>
      </c>
      <c r="E280" t="s">
        <v>147</v>
      </c>
      <c r="F280" t="s">
        <v>590</v>
      </c>
      <c r="G280">
        <v>915765</v>
      </c>
      <c r="H280" t="s">
        <v>26</v>
      </c>
      <c r="I280" t="s">
        <v>97</v>
      </c>
      <c r="J280" t="str">
        <f>"9781118461983"</f>
        <v>9781118461983</v>
      </c>
      <c r="K280" t="s">
        <v>33</v>
      </c>
      <c r="L280">
        <v>3</v>
      </c>
      <c r="O280" t="s">
        <v>30</v>
      </c>
      <c r="P280" t="s">
        <v>42</v>
      </c>
      <c r="S280" t="s">
        <v>591</v>
      </c>
      <c r="T280" t="s">
        <v>592</v>
      </c>
      <c r="U280">
        <v>657.02855360000001</v>
      </c>
      <c r="V280" s="3">
        <v>41191</v>
      </c>
    </row>
    <row r="281" spans="1:22" x14ac:dyDescent="0.35">
      <c r="A281" s="1">
        <v>42396.910185185188</v>
      </c>
      <c r="B281" s="2">
        <v>1.1574074074074073E-3</v>
      </c>
      <c r="C281" t="s">
        <v>524</v>
      </c>
      <c r="D281" t="s">
        <v>146</v>
      </c>
      <c r="E281" t="s">
        <v>147</v>
      </c>
      <c r="F281" t="s">
        <v>593</v>
      </c>
      <c r="G281">
        <v>1273524</v>
      </c>
      <c r="H281" t="s">
        <v>26</v>
      </c>
      <c r="I281" t="s">
        <v>243</v>
      </c>
      <c r="J281" t="str">
        <f>"9781118738771"</f>
        <v>9781118738771</v>
      </c>
      <c r="K281" t="s">
        <v>594</v>
      </c>
      <c r="L281">
        <v>15</v>
      </c>
      <c r="O281" t="s">
        <v>30</v>
      </c>
      <c r="P281" t="s">
        <v>42</v>
      </c>
      <c r="S281" t="s">
        <v>591</v>
      </c>
      <c r="T281" t="s">
        <v>595</v>
      </c>
      <c r="U281">
        <v>6.6859999999999999</v>
      </c>
      <c r="V281" s="3">
        <v>41457</v>
      </c>
    </row>
    <row r="282" spans="1:22" x14ac:dyDescent="0.35">
      <c r="A282" s="1">
        <v>42396.870810185188</v>
      </c>
      <c r="B282" s="2">
        <v>1.7939814814814815E-3</v>
      </c>
      <c r="C282" t="s">
        <v>596</v>
      </c>
      <c r="D282" t="s">
        <v>597</v>
      </c>
      <c r="E282" t="s">
        <v>598</v>
      </c>
      <c r="F282" t="s">
        <v>205</v>
      </c>
      <c r="G282">
        <v>849909</v>
      </c>
      <c r="H282" t="s">
        <v>26</v>
      </c>
      <c r="I282" t="s">
        <v>206</v>
      </c>
      <c r="J282" t="str">
        <f>"9781118319451"</f>
        <v>9781118319451</v>
      </c>
      <c r="K282" t="s">
        <v>599</v>
      </c>
      <c r="L282">
        <v>45</v>
      </c>
      <c r="O282" t="s">
        <v>30</v>
      </c>
      <c r="P282" t="s">
        <v>42</v>
      </c>
      <c r="S282" t="s">
        <v>600</v>
      </c>
      <c r="T282" t="s">
        <v>207</v>
      </c>
      <c r="U282" t="s">
        <v>208</v>
      </c>
      <c r="V282" s="3">
        <v>40932</v>
      </c>
    </row>
    <row r="283" spans="1:22" x14ac:dyDescent="0.35">
      <c r="A283" s="1">
        <v>42396.855069444442</v>
      </c>
      <c r="B283" s="2">
        <v>1.6979166666666667E-2</v>
      </c>
      <c r="C283" t="s">
        <v>106</v>
      </c>
      <c r="D283" t="s">
        <v>23</v>
      </c>
      <c r="E283" t="s">
        <v>24</v>
      </c>
      <c r="F283" t="s">
        <v>61</v>
      </c>
      <c r="G283">
        <v>699526</v>
      </c>
      <c r="H283" t="s">
        <v>26</v>
      </c>
      <c r="I283" t="s">
        <v>62</v>
      </c>
      <c r="J283" t="str">
        <f>"9781118586006"</f>
        <v>9781118586006</v>
      </c>
      <c r="K283" t="s">
        <v>601</v>
      </c>
      <c r="L283">
        <v>18</v>
      </c>
      <c r="O283" t="s">
        <v>30</v>
      </c>
      <c r="P283" t="s">
        <v>29</v>
      </c>
      <c r="Q283" s="1">
        <v>42396.855069444442</v>
      </c>
      <c r="R283">
        <v>7</v>
      </c>
      <c r="S283" t="s">
        <v>31</v>
      </c>
      <c r="T283" t="s">
        <v>64</v>
      </c>
      <c r="U283">
        <v>6.4</v>
      </c>
      <c r="V283" s="3">
        <v>41222</v>
      </c>
    </row>
    <row r="284" spans="1:22" x14ac:dyDescent="0.35">
      <c r="A284" s="1">
        <v>42396.848113425927</v>
      </c>
      <c r="B284" s="2">
        <v>6.9560185185185185E-3</v>
      </c>
      <c r="C284" t="s">
        <v>106</v>
      </c>
      <c r="D284" t="s">
        <v>23</v>
      </c>
      <c r="E284" t="s">
        <v>24</v>
      </c>
      <c r="F284" t="s">
        <v>61</v>
      </c>
      <c r="G284">
        <v>699526</v>
      </c>
      <c r="H284" t="s">
        <v>26</v>
      </c>
      <c r="I284" t="s">
        <v>62</v>
      </c>
      <c r="J284" t="str">
        <f>"9781118586006"</f>
        <v>9781118586006</v>
      </c>
      <c r="K284" t="s">
        <v>602</v>
      </c>
      <c r="L284">
        <v>121</v>
      </c>
      <c r="O284" t="s">
        <v>30</v>
      </c>
      <c r="P284" t="s">
        <v>42</v>
      </c>
      <c r="S284" t="s">
        <v>31</v>
      </c>
      <c r="T284" t="s">
        <v>64</v>
      </c>
      <c r="U284">
        <v>6.4</v>
      </c>
      <c r="V284" s="3">
        <v>41222</v>
      </c>
    </row>
    <row r="285" spans="1:22" x14ac:dyDescent="0.35">
      <c r="A285" s="1">
        <v>42396.832418981481</v>
      </c>
      <c r="B285" s="2">
        <v>4.0509259259259258E-4</v>
      </c>
      <c r="C285" t="s">
        <v>603</v>
      </c>
      <c r="D285" t="s">
        <v>23</v>
      </c>
      <c r="E285" t="s">
        <v>24</v>
      </c>
      <c r="F285" t="s">
        <v>604</v>
      </c>
      <c r="G285">
        <v>2166474</v>
      </c>
      <c r="H285" t="s">
        <v>26</v>
      </c>
      <c r="I285" t="s">
        <v>247</v>
      </c>
      <c r="J285" t="str">
        <f>"9781118929285"</f>
        <v>9781118929285</v>
      </c>
      <c r="K285" t="s">
        <v>605</v>
      </c>
      <c r="L285">
        <v>10</v>
      </c>
      <c r="O285" t="s">
        <v>30</v>
      </c>
      <c r="P285" t="s">
        <v>42</v>
      </c>
      <c r="S285" t="s">
        <v>31</v>
      </c>
      <c r="T285" t="s">
        <v>606</v>
      </c>
      <c r="U285">
        <v>617.6</v>
      </c>
      <c r="V285" s="3">
        <v>42156</v>
      </c>
    </row>
    <row r="286" spans="1:22" x14ac:dyDescent="0.35">
      <c r="A286" s="1">
        <v>42396.812928240739</v>
      </c>
      <c r="B286" s="2">
        <v>6.0995370370370361E-3</v>
      </c>
      <c r="C286" t="s">
        <v>607</v>
      </c>
      <c r="D286" t="s">
        <v>23</v>
      </c>
      <c r="E286" t="s">
        <v>24</v>
      </c>
      <c r="F286" t="s">
        <v>44</v>
      </c>
      <c r="G286">
        <v>2068034</v>
      </c>
      <c r="H286" t="s">
        <v>45</v>
      </c>
      <c r="J286" t="str">
        <f>"9781472416742"</f>
        <v>9781472416742</v>
      </c>
      <c r="K286" t="s">
        <v>608</v>
      </c>
      <c r="L286">
        <v>13</v>
      </c>
      <c r="O286" t="s">
        <v>30</v>
      </c>
      <c r="P286" t="s">
        <v>47</v>
      </c>
      <c r="Q286" s="1">
        <v>42396.812928240739</v>
      </c>
      <c r="R286">
        <v>1</v>
      </c>
      <c r="S286" t="s">
        <v>31</v>
      </c>
      <c r="U286" t="s">
        <v>48</v>
      </c>
      <c r="V286" s="3">
        <v>42244</v>
      </c>
    </row>
    <row r="287" spans="1:22" x14ac:dyDescent="0.35">
      <c r="A287" s="1">
        <v>42396.806319444448</v>
      </c>
      <c r="B287" s="2">
        <v>6.6087962962962966E-3</v>
      </c>
      <c r="C287" t="s">
        <v>607</v>
      </c>
      <c r="D287" t="s">
        <v>23</v>
      </c>
      <c r="E287" t="s">
        <v>24</v>
      </c>
      <c r="F287" t="s">
        <v>44</v>
      </c>
      <c r="G287">
        <v>2068034</v>
      </c>
      <c r="H287" t="s">
        <v>45</v>
      </c>
      <c r="J287" t="str">
        <f>"9781472416742"</f>
        <v>9781472416742</v>
      </c>
      <c r="K287" t="s">
        <v>609</v>
      </c>
      <c r="L287">
        <v>15</v>
      </c>
      <c r="O287" t="s">
        <v>30</v>
      </c>
      <c r="P287" t="s">
        <v>50</v>
      </c>
      <c r="S287" t="s">
        <v>31</v>
      </c>
      <c r="U287" t="s">
        <v>48</v>
      </c>
      <c r="V287" s="3">
        <v>42244</v>
      </c>
    </row>
    <row r="288" spans="1:22" x14ac:dyDescent="0.35">
      <c r="A288" s="1">
        <v>42396.804155092592</v>
      </c>
      <c r="B288" s="2">
        <v>8.1018518518518516E-5</v>
      </c>
      <c r="C288" t="s">
        <v>610</v>
      </c>
      <c r="D288" t="s">
        <v>23</v>
      </c>
      <c r="E288" t="s">
        <v>24</v>
      </c>
      <c r="F288" t="s">
        <v>439</v>
      </c>
      <c r="G288">
        <v>836614</v>
      </c>
      <c r="H288" t="s">
        <v>440</v>
      </c>
      <c r="I288" t="s">
        <v>27</v>
      </c>
      <c r="J288" t="str">
        <f>"9781118315958"</f>
        <v>9781118315958</v>
      </c>
      <c r="K288" t="s">
        <v>611</v>
      </c>
      <c r="L288">
        <v>3</v>
      </c>
      <c r="O288" t="s">
        <v>30</v>
      </c>
      <c r="P288" t="s">
        <v>42</v>
      </c>
      <c r="S288" t="s">
        <v>31</v>
      </c>
      <c r="T288" t="s">
        <v>442</v>
      </c>
      <c r="U288">
        <v>414</v>
      </c>
      <c r="V288" s="3">
        <v>40892</v>
      </c>
    </row>
    <row r="289" spans="1:22" x14ac:dyDescent="0.35">
      <c r="A289" s="1">
        <v>42396.790775462963</v>
      </c>
      <c r="B289" s="2">
        <v>3.2523148148148151E-3</v>
      </c>
      <c r="C289" t="s">
        <v>106</v>
      </c>
      <c r="D289" t="s">
        <v>23</v>
      </c>
      <c r="E289" t="s">
        <v>24</v>
      </c>
      <c r="F289" t="s">
        <v>612</v>
      </c>
      <c r="G289">
        <v>1120523</v>
      </c>
      <c r="H289" t="s">
        <v>613</v>
      </c>
      <c r="I289" t="s">
        <v>172</v>
      </c>
      <c r="J289" t="str">
        <f>"9781469607924"</f>
        <v>9781469607924</v>
      </c>
      <c r="K289" t="s">
        <v>614</v>
      </c>
      <c r="L289">
        <v>4</v>
      </c>
      <c r="O289" t="s">
        <v>30</v>
      </c>
      <c r="P289" t="s">
        <v>47</v>
      </c>
      <c r="Q289" s="1">
        <v>42396.790763888886</v>
      </c>
      <c r="R289">
        <v>1</v>
      </c>
      <c r="S289" t="s">
        <v>31</v>
      </c>
      <c r="T289" t="s">
        <v>615</v>
      </c>
      <c r="U289">
        <v>973.91800000000001</v>
      </c>
      <c r="V289" s="3">
        <v>41421</v>
      </c>
    </row>
    <row r="290" spans="1:22" x14ac:dyDescent="0.35">
      <c r="A290" s="1">
        <v>42396.786307870374</v>
      </c>
      <c r="B290" s="2">
        <v>4.4560185185185189E-3</v>
      </c>
      <c r="C290" t="s">
        <v>106</v>
      </c>
      <c r="D290" t="s">
        <v>23</v>
      </c>
      <c r="E290" t="s">
        <v>24</v>
      </c>
      <c r="F290" t="s">
        <v>612</v>
      </c>
      <c r="G290">
        <v>1120523</v>
      </c>
      <c r="H290" t="s">
        <v>613</v>
      </c>
      <c r="I290" t="s">
        <v>172</v>
      </c>
      <c r="J290" t="str">
        <f>"9781469607924"</f>
        <v>9781469607924</v>
      </c>
      <c r="K290" t="s">
        <v>616</v>
      </c>
      <c r="L290">
        <v>12</v>
      </c>
      <c r="O290" t="s">
        <v>30</v>
      </c>
      <c r="P290" t="s">
        <v>50</v>
      </c>
      <c r="S290" t="s">
        <v>31</v>
      </c>
      <c r="T290" t="s">
        <v>615</v>
      </c>
      <c r="U290">
        <v>973.91800000000001</v>
      </c>
      <c r="V290" s="3">
        <v>41421</v>
      </c>
    </row>
    <row r="291" spans="1:22" x14ac:dyDescent="0.35">
      <c r="A291" s="1">
        <v>42396.779907407406</v>
      </c>
      <c r="B291" s="2">
        <v>0</v>
      </c>
      <c r="C291" t="s">
        <v>617</v>
      </c>
      <c r="D291" t="s">
        <v>23</v>
      </c>
      <c r="E291" t="s">
        <v>24</v>
      </c>
      <c r="F291" t="s">
        <v>618</v>
      </c>
      <c r="G291">
        <v>4040911</v>
      </c>
      <c r="H291" t="s">
        <v>26</v>
      </c>
      <c r="I291" t="s">
        <v>247</v>
      </c>
      <c r="J291" t="str">
        <f>"9781119067337"</f>
        <v>9781119067337</v>
      </c>
      <c r="L291">
        <v>0</v>
      </c>
      <c r="O291" t="s">
        <v>28</v>
      </c>
      <c r="P291" t="s">
        <v>29</v>
      </c>
      <c r="Q291" s="1">
        <v>42396.775092592594</v>
      </c>
      <c r="R291">
        <v>7</v>
      </c>
      <c r="S291" t="s">
        <v>31</v>
      </c>
      <c r="T291" t="s">
        <v>619</v>
      </c>
      <c r="U291">
        <v>616.79999999999995</v>
      </c>
      <c r="V291" s="3">
        <v>42255</v>
      </c>
    </row>
    <row r="292" spans="1:22" x14ac:dyDescent="0.35">
      <c r="A292" s="1">
        <v>42396.776261574072</v>
      </c>
      <c r="B292" s="2">
        <v>0</v>
      </c>
      <c r="C292" t="s">
        <v>620</v>
      </c>
      <c r="D292" t="s">
        <v>35</v>
      </c>
      <c r="E292" t="s">
        <v>36</v>
      </c>
      <c r="F292" t="s">
        <v>37</v>
      </c>
      <c r="G292">
        <v>1684620</v>
      </c>
      <c r="H292" t="s">
        <v>26</v>
      </c>
      <c r="I292" t="s">
        <v>38</v>
      </c>
      <c r="J292" t="str">
        <f>"9781118418925"</f>
        <v>9781118418925</v>
      </c>
      <c r="L292">
        <v>0</v>
      </c>
      <c r="O292" t="s">
        <v>28</v>
      </c>
      <c r="P292" t="s">
        <v>29</v>
      </c>
      <c r="Q292" s="1">
        <v>42395.899027777778</v>
      </c>
      <c r="R292">
        <v>7</v>
      </c>
      <c r="S292" t="s">
        <v>40</v>
      </c>
      <c r="T292" t="s">
        <v>41</v>
      </c>
      <c r="U292">
        <v>362.10680000000002</v>
      </c>
      <c r="V292" s="3">
        <v>41759</v>
      </c>
    </row>
    <row r="293" spans="1:22" x14ac:dyDescent="0.35">
      <c r="A293" s="1">
        <v>42396.775092592594</v>
      </c>
      <c r="B293" s="2">
        <v>2.0833333333333335E-4</v>
      </c>
      <c r="C293" t="s">
        <v>617</v>
      </c>
      <c r="D293" t="s">
        <v>23</v>
      </c>
      <c r="E293" t="s">
        <v>24</v>
      </c>
      <c r="F293" t="s">
        <v>618</v>
      </c>
      <c r="G293">
        <v>4040911</v>
      </c>
      <c r="H293" t="s">
        <v>26</v>
      </c>
      <c r="I293" t="s">
        <v>247</v>
      </c>
      <c r="J293" t="str">
        <f>"9781119067337"</f>
        <v>9781119067337</v>
      </c>
      <c r="K293" t="s">
        <v>63</v>
      </c>
      <c r="L293">
        <v>1</v>
      </c>
      <c r="O293" t="s">
        <v>28</v>
      </c>
      <c r="P293" t="s">
        <v>29</v>
      </c>
      <c r="Q293" s="1">
        <v>42396.775092592594</v>
      </c>
      <c r="R293">
        <v>7</v>
      </c>
      <c r="S293" t="s">
        <v>31</v>
      </c>
      <c r="T293" t="s">
        <v>619</v>
      </c>
      <c r="U293">
        <v>616.79999999999995</v>
      </c>
      <c r="V293" s="3">
        <v>42255</v>
      </c>
    </row>
    <row r="294" spans="1:22" x14ac:dyDescent="0.35">
      <c r="A294" s="1">
        <v>42396.775092592594</v>
      </c>
      <c r="B294" s="2">
        <v>0</v>
      </c>
      <c r="C294" t="s">
        <v>617</v>
      </c>
      <c r="D294" t="s">
        <v>23</v>
      </c>
      <c r="E294" t="s">
        <v>24</v>
      </c>
      <c r="F294" t="s">
        <v>618</v>
      </c>
      <c r="G294">
        <v>4040911</v>
      </c>
      <c r="H294" t="s">
        <v>26</v>
      </c>
      <c r="I294" t="s">
        <v>247</v>
      </c>
      <c r="J294" t="str">
        <f>"9781119067337"</f>
        <v>9781119067337</v>
      </c>
      <c r="L294">
        <v>0</v>
      </c>
      <c r="O294" t="s">
        <v>30</v>
      </c>
      <c r="P294" t="s">
        <v>29</v>
      </c>
      <c r="Q294" s="1">
        <v>42396.775092592594</v>
      </c>
      <c r="R294">
        <v>7</v>
      </c>
      <c r="S294" t="s">
        <v>31</v>
      </c>
      <c r="T294" t="s">
        <v>619</v>
      </c>
      <c r="U294">
        <v>616.79999999999995</v>
      </c>
      <c r="V294" s="3">
        <v>42255</v>
      </c>
    </row>
    <row r="295" spans="1:22" x14ac:dyDescent="0.35">
      <c r="A295" s="1">
        <v>42396.774953703702</v>
      </c>
      <c r="B295" s="2">
        <v>1.3888888888888889E-4</v>
      </c>
      <c r="C295" t="s">
        <v>617</v>
      </c>
      <c r="D295" t="s">
        <v>23</v>
      </c>
      <c r="E295" t="s">
        <v>24</v>
      </c>
      <c r="F295" t="s">
        <v>618</v>
      </c>
      <c r="G295">
        <v>4040911</v>
      </c>
      <c r="H295" t="s">
        <v>26</v>
      </c>
      <c r="I295" t="s">
        <v>247</v>
      </c>
      <c r="J295" t="str">
        <f>"9781119067337"</f>
        <v>9781119067337</v>
      </c>
      <c r="K295" t="s">
        <v>621</v>
      </c>
      <c r="L295">
        <v>3</v>
      </c>
      <c r="O295" t="s">
        <v>30</v>
      </c>
      <c r="P295" t="s">
        <v>50</v>
      </c>
      <c r="S295" t="s">
        <v>31</v>
      </c>
      <c r="T295" t="s">
        <v>619</v>
      </c>
      <c r="U295">
        <v>616.79999999999995</v>
      </c>
      <c r="V295" s="3">
        <v>42255</v>
      </c>
    </row>
    <row r="296" spans="1:22" x14ac:dyDescent="0.35">
      <c r="A296" s="1">
        <v>42396.774074074077</v>
      </c>
      <c r="B296" s="2">
        <v>0</v>
      </c>
      <c r="C296" t="s">
        <v>620</v>
      </c>
      <c r="D296" t="s">
        <v>35</v>
      </c>
      <c r="E296" t="s">
        <v>36</v>
      </c>
      <c r="F296" t="s">
        <v>37</v>
      </c>
      <c r="G296">
        <v>1684620</v>
      </c>
      <c r="H296" t="s">
        <v>26</v>
      </c>
      <c r="I296" t="s">
        <v>38</v>
      </c>
      <c r="J296" t="str">
        <f>"9781118418925"</f>
        <v>9781118418925</v>
      </c>
      <c r="L296">
        <v>0</v>
      </c>
      <c r="O296" t="s">
        <v>28</v>
      </c>
      <c r="P296" t="s">
        <v>29</v>
      </c>
      <c r="Q296" s="1">
        <v>42395.899027777778</v>
      </c>
      <c r="R296">
        <v>7</v>
      </c>
      <c r="S296" t="s">
        <v>40</v>
      </c>
      <c r="T296" t="s">
        <v>41</v>
      </c>
      <c r="U296">
        <v>362.10680000000002</v>
      </c>
      <c r="V296" s="3">
        <v>41759</v>
      </c>
    </row>
    <row r="297" spans="1:22" x14ac:dyDescent="0.35">
      <c r="A297" s="1">
        <v>42396.773958333331</v>
      </c>
      <c r="B297" s="2">
        <v>5.7870370370370366E-5</v>
      </c>
      <c r="C297" t="s">
        <v>620</v>
      </c>
      <c r="D297" t="s">
        <v>35</v>
      </c>
      <c r="E297" t="s">
        <v>36</v>
      </c>
      <c r="F297" t="s">
        <v>37</v>
      </c>
      <c r="G297">
        <v>1684620</v>
      </c>
      <c r="H297" t="s">
        <v>26</v>
      </c>
      <c r="I297" t="s">
        <v>38</v>
      </c>
      <c r="J297" t="str">
        <f>"9781118418925"</f>
        <v>9781118418925</v>
      </c>
      <c r="K297" t="s">
        <v>33</v>
      </c>
      <c r="L297">
        <v>3</v>
      </c>
      <c r="O297" t="s">
        <v>30</v>
      </c>
      <c r="P297" t="s">
        <v>29</v>
      </c>
      <c r="Q297" s="1">
        <v>42395.899027777778</v>
      </c>
      <c r="R297">
        <v>7</v>
      </c>
      <c r="S297" t="s">
        <v>40</v>
      </c>
      <c r="T297" t="s">
        <v>41</v>
      </c>
      <c r="U297">
        <v>362.10680000000002</v>
      </c>
      <c r="V297" s="3">
        <v>41759</v>
      </c>
    </row>
    <row r="298" spans="1:22" x14ac:dyDescent="0.35">
      <c r="A298" s="1">
        <v>42396.755995370368</v>
      </c>
      <c r="B298" s="2">
        <v>3.1250000000000001E-4</v>
      </c>
      <c r="C298" t="s">
        <v>622</v>
      </c>
      <c r="D298" t="s">
        <v>623</v>
      </c>
      <c r="E298" t="s">
        <v>624</v>
      </c>
      <c r="F298" t="s">
        <v>625</v>
      </c>
      <c r="G298">
        <v>1566387</v>
      </c>
      <c r="H298" t="s">
        <v>26</v>
      </c>
      <c r="I298" t="s">
        <v>120</v>
      </c>
      <c r="J298" t="str">
        <f>"9781118471906"</f>
        <v>9781118471906</v>
      </c>
      <c r="K298" t="s">
        <v>626</v>
      </c>
      <c r="L298">
        <v>11</v>
      </c>
      <c r="O298" t="s">
        <v>30</v>
      </c>
      <c r="P298" t="s">
        <v>29</v>
      </c>
      <c r="Q298" s="1">
        <v>42394.669641203705</v>
      </c>
      <c r="R298">
        <v>7</v>
      </c>
      <c r="S298" t="s">
        <v>627</v>
      </c>
      <c r="T298" t="s">
        <v>628</v>
      </c>
      <c r="U298">
        <v>301</v>
      </c>
      <c r="V298" s="3">
        <v>41596</v>
      </c>
    </row>
    <row r="299" spans="1:22" x14ac:dyDescent="0.35">
      <c r="A299" s="1">
        <v>42396.749108796299</v>
      </c>
      <c r="B299" s="2">
        <v>1.0416666666666667E-4</v>
      </c>
      <c r="C299" t="s">
        <v>551</v>
      </c>
      <c r="D299" t="s">
        <v>23</v>
      </c>
      <c r="E299" t="s">
        <v>24</v>
      </c>
      <c r="F299" t="s">
        <v>544</v>
      </c>
      <c r="G299">
        <v>615860</v>
      </c>
      <c r="H299" t="s">
        <v>68</v>
      </c>
      <c r="I299" t="s">
        <v>545</v>
      </c>
      <c r="J299" t="str">
        <f>"9781444128277"</f>
        <v>9781444128277</v>
      </c>
      <c r="K299" t="s">
        <v>33</v>
      </c>
      <c r="L299">
        <v>3</v>
      </c>
      <c r="O299" t="s">
        <v>30</v>
      </c>
      <c r="P299" t="s">
        <v>42</v>
      </c>
      <c r="S299" t="s">
        <v>31</v>
      </c>
      <c r="T299" t="s">
        <v>547</v>
      </c>
      <c r="U299">
        <v>153</v>
      </c>
      <c r="V299" s="3">
        <v>41604</v>
      </c>
    </row>
    <row r="300" spans="1:22" x14ac:dyDescent="0.35">
      <c r="A300" s="1">
        <v>42396.745983796296</v>
      </c>
      <c r="B300" s="2">
        <v>8.6805555555555551E-4</v>
      </c>
      <c r="C300" t="s">
        <v>106</v>
      </c>
      <c r="D300" t="s">
        <v>23</v>
      </c>
      <c r="E300" t="s">
        <v>24</v>
      </c>
      <c r="F300" t="s">
        <v>629</v>
      </c>
      <c r="G300">
        <v>1414118</v>
      </c>
      <c r="H300" t="s">
        <v>26</v>
      </c>
      <c r="I300" t="s">
        <v>630</v>
      </c>
      <c r="J300" t="str">
        <f>"9780745679006"</f>
        <v>9780745679006</v>
      </c>
      <c r="K300" t="s">
        <v>631</v>
      </c>
      <c r="L300">
        <v>2</v>
      </c>
      <c r="O300" t="s">
        <v>30</v>
      </c>
      <c r="P300" t="s">
        <v>47</v>
      </c>
      <c r="Q300" s="1">
        <v>42396.745983796296</v>
      </c>
      <c r="R300">
        <v>1</v>
      </c>
      <c r="S300" t="s">
        <v>31</v>
      </c>
      <c r="T300" t="s">
        <v>632</v>
      </c>
      <c r="U300">
        <v>193</v>
      </c>
      <c r="V300" s="3">
        <v>41535</v>
      </c>
    </row>
    <row r="301" spans="1:22" x14ac:dyDescent="0.35">
      <c r="A301" s="1">
        <v>42396.743333333332</v>
      </c>
      <c r="B301" s="2">
        <v>3.4722222222222222E-5</v>
      </c>
      <c r="C301" t="s">
        <v>633</v>
      </c>
      <c r="D301" t="s">
        <v>35</v>
      </c>
      <c r="E301" t="s">
        <v>36</v>
      </c>
      <c r="F301" t="s">
        <v>37</v>
      </c>
      <c r="G301">
        <v>1684620</v>
      </c>
      <c r="H301" t="s">
        <v>26</v>
      </c>
      <c r="I301" t="s">
        <v>38</v>
      </c>
      <c r="J301" t="str">
        <f>"9781118418925"</f>
        <v>9781118418925</v>
      </c>
      <c r="K301" t="s">
        <v>33</v>
      </c>
      <c r="L301">
        <v>3</v>
      </c>
      <c r="O301" t="s">
        <v>30</v>
      </c>
      <c r="P301" t="s">
        <v>29</v>
      </c>
      <c r="Q301" s="1">
        <v>42396.73574074074</v>
      </c>
      <c r="R301">
        <v>7</v>
      </c>
      <c r="S301" t="s">
        <v>40</v>
      </c>
      <c r="T301" t="s">
        <v>41</v>
      </c>
      <c r="U301">
        <v>362.10680000000002</v>
      </c>
      <c r="V301" s="3">
        <v>41759</v>
      </c>
    </row>
    <row r="302" spans="1:22" x14ac:dyDescent="0.35">
      <c r="A302" s="1">
        <v>42396.742106481484</v>
      </c>
      <c r="B302" s="2">
        <v>3.8773148148148143E-3</v>
      </c>
      <c r="C302" t="s">
        <v>106</v>
      </c>
      <c r="D302" t="s">
        <v>23</v>
      </c>
      <c r="E302" t="s">
        <v>24</v>
      </c>
      <c r="F302" t="s">
        <v>629</v>
      </c>
      <c r="G302">
        <v>1414118</v>
      </c>
      <c r="H302" t="s">
        <v>26</v>
      </c>
      <c r="I302" t="s">
        <v>630</v>
      </c>
      <c r="J302" t="str">
        <f>"9780745679006"</f>
        <v>9780745679006</v>
      </c>
      <c r="K302" t="s">
        <v>634</v>
      </c>
      <c r="L302">
        <v>24</v>
      </c>
      <c r="O302" t="s">
        <v>30</v>
      </c>
      <c r="P302" t="s">
        <v>50</v>
      </c>
      <c r="S302" t="s">
        <v>31</v>
      </c>
      <c r="T302" t="s">
        <v>632</v>
      </c>
      <c r="U302">
        <v>193</v>
      </c>
      <c r="V302" s="3">
        <v>41535</v>
      </c>
    </row>
    <row r="303" spans="1:22" x14ac:dyDescent="0.35">
      <c r="A303" s="1">
        <v>42396.737372685187</v>
      </c>
      <c r="B303" s="2">
        <v>7.8587962962962957E-2</v>
      </c>
      <c r="C303" t="s">
        <v>471</v>
      </c>
      <c r="D303" t="s">
        <v>211</v>
      </c>
      <c r="E303" t="s">
        <v>212</v>
      </c>
      <c r="F303" t="s">
        <v>497</v>
      </c>
      <c r="G303">
        <v>1986951</v>
      </c>
      <c r="H303" t="s">
        <v>26</v>
      </c>
      <c r="I303" t="s">
        <v>97</v>
      </c>
      <c r="J303" t="str">
        <f>"9781119130468"</f>
        <v>9781119130468</v>
      </c>
      <c r="K303" t="s">
        <v>635</v>
      </c>
      <c r="L303">
        <v>47</v>
      </c>
      <c r="M303" t="s">
        <v>636</v>
      </c>
      <c r="O303" t="s">
        <v>30</v>
      </c>
      <c r="P303" t="s">
        <v>29</v>
      </c>
      <c r="Q303" s="1">
        <v>42394.659768518519</v>
      </c>
      <c r="R303">
        <v>7</v>
      </c>
      <c r="S303" t="s">
        <v>214</v>
      </c>
      <c r="T303" t="s">
        <v>500</v>
      </c>
      <c r="U303">
        <v>657.07600000000002</v>
      </c>
      <c r="V303" s="3">
        <v>42143</v>
      </c>
    </row>
    <row r="304" spans="1:22" x14ac:dyDescent="0.35">
      <c r="A304" s="1">
        <v>42396.73574074074</v>
      </c>
      <c r="B304" s="2">
        <v>5.3009259259259251E-3</v>
      </c>
      <c r="C304" t="s">
        <v>633</v>
      </c>
      <c r="D304" t="s">
        <v>35</v>
      </c>
      <c r="E304" t="s">
        <v>36</v>
      </c>
      <c r="F304" t="s">
        <v>37</v>
      </c>
      <c r="G304">
        <v>1684620</v>
      </c>
      <c r="H304" t="s">
        <v>26</v>
      </c>
      <c r="I304" t="s">
        <v>38</v>
      </c>
      <c r="J304" t="str">
        <f>"9781118418925"</f>
        <v>9781118418925</v>
      </c>
      <c r="K304" t="s">
        <v>637</v>
      </c>
      <c r="L304">
        <v>28</v>
      </c>
      <c r="O304" t="s">
        <v>28</v>
      </c>
      <c r="P304" t="s">
        <v>29</v>
      </c>
      <c r="Q304" s="1">
        <v>42396.73574074074</v>
      </c>
      <c r="R304">
        <v>7</v>
      </c>
      <c r="S304" t="s">
        <v>40</v>
      </c>
      <c r="T304" t="s">
        <v>41</v>
      </c>
      <c r="U304">
        <v>362.10680000000002</v>
      </c>
      <c r="V304" s="3">
        <v>41759</v>
      </c>
    </row>
    <row r="305" spans="1:22" x14ac:dyDescent="0.35">
      <c r="A305" s="1">
        <v>42396.73574074074</v>
      </c>
      <c r="B305" s="2">
        <v>0</v>
      </c>
      <c r="C305" t="s">
        <v>633</v>
      </c>
      <c r="D305" t="s">
        <v>35</v>
      </c>
      <c r="E305" t="s">
        <v>36</v>
      </c>
      <c r="F305" t="s">
        <v>37</v>
      </c>
      <c r="G305">
        <v>1684620</v>
      </c>
      <c r="H305" t="s">
        <v>26</v>
      </c>
      <c r="I305" t="s">
        <v>38</v>
      </c>
      <c r="J305" t="str">
        <f>"9781118418925"</f>
        <v>9781118418925</v>
      </c>
      <c r="L305">
        <v>0</v>
      </c>
      <c r="O305" t="s">
        <v>30</v>
      </c>
      <c r="P305" t="s">
        <v>29</v>
      </c>
      <c r="Q305" s="1">
        <v>42396.73574074074</v>
      </c>
      <c r="R305">
        <v>7</v>
      </c>
      <c r="S305" t="s">
        <v>40</v>
      </c>
      <c r="T305" t="s">
        <v>41</v>
      </c>
      <c r="U305">
        <v>362.10680000000002</v>
      </c>
      <c r="V305" s="3">
        <v>41759</v>
      </c>
    </row>
    <row r="306" spans="1:22" x14ac:dyDescent="0.35">
      <c r="A306" s="1">
        <v>42396.73537037037</v>
      </c>
      <c r="B306" s="2">
        <v>3.7037037037037035E-4</v>
      </c>
      <c r="C306" t="s">
        <v>633</v>
      </c>
      <c r="D306" t="s">
        <v>35</v>
      </c>
      <c r="E306" t="s">
        <v>36</v>
      </c>
      <c r="F306" t="s">
        <v>37</v>
      </c>
      <c r="G306">
        <v>1684620</v>
      </c>
      <c r="H306" t="s">
        <v>26</v>
      </c>
      <c r="I306" t="s">
        <v>38</v>
      </c>
      <c r="J306" t="str">
        <f>"9781118418925"</f>
        <v>9781118418925</v>
      </c>
      <c r="K306" t="s">
        <v>33</v>
      </c>
      <c r="L306">
        <v>3</v>
      </c>
      <c r="O306" t="s">
        <v>30</v>
      </c>
      <c r="P306" t="s">
        <v>42</v>
      </c>
      <c r="S306" t="s">
        <v>40</v>
      </c>
      <c r="T306" t="s">
        <v>41</v>
      </c>
      <c r="U306">
        <v>362.10680000000002</v>
      </c>
      <c r="V306" s="3">
        <v>41759</v>
      </c>
    </row>
    <row r="307" spans="1:22" x14ac:dyDescent="0.35">
      <c r="A307" s="1">
        <v>42396.714699074073</v>
      </c>
      <c r="B307" s="2">
        <v>5.1041666666666666E-3</v>
      </c>
      <c r="C307" t="s">
        <v>195</v>
      </c>
      <c r="D307" t="s">
        <v>35</v>
      </c>
      <c r="E307" t="s">
        <v>36</v>
      </c>
      <c r="F307" t="s">
        <v>111</v>
      </c>
      <c r="G307">
        <v>693176</v>
      </c>
      <c r="H307" t="s">
        <v>26</v>
      </c>
      <c r="I307" t="s">
        <v>112</v>
      </c>
      <c r="J307" t="str">
        <f>"9781118017746"</f>
        <v>9781118017746</v>
      </c>
      <c r="K307" t="s">
        <v>638</v>
      </c>
      <c r="L307">
        <v>17</v>
      </c>
      <c r="M307" t="s">
        <v>639</v>
      </c>
      <c r="O307" t="s">
        <v>30</v>
      </c>
      <c r="P307" t="s">
        <v>29</v>
      </c>
      <c r="Q307" s="1">
        <v>42396.714699074073</v>
      </c>
      <c r="R307">
        <v>7</v>
      </c>
      <c r="S307" t="s">
        <v>40</v>
      </c>
      <c r="T307" t="s">
        <v>114</v>
      </c>
      <c r="U307" t="s">
        <v>115</v>
      </c>
      <c r="V307" s="3">
        <v>40835</v>
      </c>
    </row>
    <row r="308" spans="1:22" x14ac:dyDescent="0.35">
      <c r="A308" s="1">
        <v>42396.710648148146</v>
      </c>
      <c r="B308" s="2">
        <v>2.7546296296296294E-3</v>
      </c>
      <c r="C308" t="s">
        <v>640</v>
      </c>
      <c r="D308" t="s">
        <v>23</v>
      </c>
      <c r="E308" t="s">
        <v>24</v>
      </c>
      <c r="F308" t="s">
        <v>641</v>
      </c>
      <c r="G308">
        <v>4036752</v>
      </c>
      <c r="H308" t="s">
        <v>26</v>
      </c>
      <c r="I308" t="s">
        <v>310</v>
      </c>
      <c r="J308" t="str">
        <f>"9781118608425"</f>
        <v>9781118608425</v>
      </c>
      <c r="K308" t="s">
        <v>642</v>
      </c>
      <c r="L308">
        <v>21</v>
      </c>
      <c r="O308" t="s">
        <v>30</v>
      </c>
      <c r="P308" t="s">
        <v>47</v>
      </c>
      <c r="Q308" s="1">
        <v>42396.710648148146</v>
      </c>
      <c r="R308">
        <v>1</v>
      </c>
      <c r="S308" t="s">
        <v>31</v>
      </c>
      <c r="U308">
        <v>813.08729089999997</v>
      </c>
      <c r="V308" s="3">
        <v>41527</v>
      </c>
    </row>
    <row r="309" spans="1:22" x14ac:dyDescent="0.35">
      <c r="A309" s="1">
        <v>42396.707511574074</v>
      </c>
      <c r="B309" s="2">
        <v>4.0682870370370376E-2</v>
      </c>
      <c r="C309" t="s">
        <v>195</v>
      </c>
      <c r="D309" t="s">
        <v>35</v>
      </c>
      <c r="E309" t="s">
        <v>36</v>
      </c>
      <c r="F309" t="s">
        <v>111</v>
      </c>
      <c r="G309">
        <v>693176</v>
      </c>
      <c r="H309" t="s">
        <v>26</v>
      </c>
      <c r="I309" t="s">
        <v>112</v>
      </c>
      <c r="J309" t="str">
        <f>"9781118017746"</f>
        <v>9781118017746</v>
      </c>
      <c r="K309" t="s">
        <v>643</v>
      </c>
      <c r="L309">
        <v>43</v>
      </c>
      <c r="M309" t="s">
        <v>644</v>
      </c>
      <c r="O309" t="s">
        <v>30</v>
      </c>
      <c r="P309" t="s">
        <v>29</v>
      </c>
      <c r="Q309" s="1">
        <v>42396.707511574074</v>
      </c>
      <c r="R309">
        <v>7</v>
      </c>
      <c r="S309" t="s">
        <v>40</v>
      </c>
      <c r="T309" t="s">
        <v>114</v>
      </c>
      <c r="U309" t="s">
        <v>115</v>
      </c>
      <c r="V309" s="3">
        <v>40835</v>
      </c>
    </row>
    <row r="310" spans="1:22" x14ac:dyDescent="0.35">
      <c r="A310" s="1">
        <v>42396.706435185188</v>
      </c>
      <c r="B310" s="2">
        <v>1.0763888888888889E-3</v>
      </c>
      <c r="C310" t="s">
        <v>195</v>
      </c>
      <c r="D310" t="s">
        <v>35</v>
      </c>
      <c r="E310" t="s">
        <v>36</v>
      </c>
      <c r="F310" t="s">
        <v>111</v>
      </c>
      <c r="G310">
        <v>693176</v>
      </c>
      <c r="H310" t="s">
        <v>26</v>
      </c>
      <c r="I310" t="s">
        <v>112</v>
      </c>
      <c r="J310" t="str">
        <f>"9781118017746"</f>
        <v>9781118017746</v>
      </c>
      <c r="K310" t="s">
        <v>645</v>
      </c>
      <c r="L310">
        <v>13</v>
      </c>
      <c r="O310" t="s">
        <v>30</v>
      </c>
      <c r="P310" t="s">
        <v>42</v>
      </c>
      <c r="S310" t="s">
        <v>40</v>
      </c>
      <c r="T310" t="s">
        <v>114</v>
      </c>
      <c r="U310" t="s">
        <v>115</v>
      </c>
      <c r="V310" s="3">
        <v>40835</v>
      </c>
    </row>
    <row r="311" spans="1:22" x14ac:dyDescent="0.35">
      <c r="A311" s="1">
        <v>42396.705300925925</v>
      </c>
      <c r="B311" s="2">
        <v>5.347222222222222E-3</v>
      </c>
      <c r="C311" t="s">
        <v>640</v>
      </c>
      <c r="D311" t="s">
        <v>23</v>
      </c>
      <c r="E311" t="s">
        <v>24</v>
      </c>
      <c r="F311" t="s">
        <v>641</v>
      </c>
      <c r="G311">
        <v>4036752</v>
      </c>
      <c r="H311" t="s">
        <v>26</v>
      </c>
      <c r="I311" t="s">
        <v>310</v>
      </c>
      <c r="J311" t="str">
        <f>"9781118608425"</f>
        <v>9781118608425</v>
      </c>
      <c r="K311" t="s">
        <v>646</v>
      </c>
      <c r="L311">
        <v>29</v>
      </c>
      <c r="O311" t="s">
        <v>30</v>
      </c>
      <c r="P311" t="s">
        <v>50</v>
      </c>
      <c r="S311" t="s">
        <v>31</v>
      </c>
      <c r="U311">
        <v>813.08729089999997</v>
      </c>
      <c r="V311" s="3">
        <v>41527</v>
      </c>
    </row>
    <row r="312" spans="1:22" x14ac:dyDescent="0.35">
      <c r="A312" s="1">
        <v>42396.70207175926</v>
      </c>
      <c r="B312" s="2">
        <v>0</v>
      </c>
      <c r="C312" t="s">
        <v>647</v>
      </c>
      <c r="D312" t="s">
        <v>23</v>
      </c>
      <c r="E312" t="s">
        <v>24</v>
      </c>
      <c r="F312" t="s">
        <v>246</v>
      </c>
      <c r="G312">
        <v>1682559</v>
      </c>
      <c r="H312" t="s">
        <v>91</v>
      </c>
      <c r="I312" t="s">
        <v>247</v>
      </c>
      <c r="J312" t="str">
        <f>"9781462515431"</f>
        <v>9781462515431</v>
      </c>
      <c r="L312">
        <v>0</v>
      </c>
      <c r="O312" t="s">
        <v>28</v>
      </c>
      <c r="P312" t="s">
        <v>29</v>
      </c>
      <c r="Q312" s="1">
        <v>42396.701168981483</v>
      </c>
      <c r="R312">
        <v>7</v>
      </c>
      <c r="S312" t="s">
        <v>31</v>
      </c>
      <c r="T312" t="s">
        <v>249</v>
      </c>
      <c r="U312">
        <v>616.89</v>
      </c>
      <c r="V312" s="3">
        <v>41769</v>
      </c>
    </row>
    <row r="313" spans="1:22" x14ac:dyDescent="0.35">
      <c r="A313" s="1">
        <v>42396.701168981483</v>
      </c>
      <c r="B313" s="2">
        <v>8.1018518518518516E-4</v>
      </c>
      <c r="C313" t="s">
        <v>647</v>
      </c>
      <c r="D313" t="s">
        <v>23</v>
      </c>
      <c r="E313" t="s">
        <v>24</v>
      </c>
      <c r="F313" t="s">
        <v>246</v>
      </c>
      <c r="G313">
        <v>1682559</v>
      </c>
      <c r="H313" t="s">
        <v>91</v>
      </c>
      <c r="I313" t="s">
        <v>247</v>
      </c>
      <c r="J313" t="str">
        <f>"9781462515431"</f>
        <v>9781462515431</v>
      </c>
      <c r="K313" t="s">
        <v>648</v>
      </c>
      <c r="L313">
        <v>1</v>
      </c>
      <c r="O313" t="s">
        <v>30</v>
      </c>
      <c r="P313" t="s">
        <v>29</v>
      </c>
      <c r="Q313" s="1">
        <v>42396.701168981483</v>
      </c>
      <c r="R313">
        <v>7</v>
      </c>
      <c r="S313" t="s">
        <v>31</v>
      </c>
      <c r="T313" t="s">
        <v>249</v>
      </c>
      <c r="U313">
        <v>616.89</v>
      </c>
      <c r="V313" s="3">
        <v>41769</v>
      </c>
    </row>
    <row r="314" spans="1:22" x14ac:dyDescent="0.35">
      <c r="A314" s="1">
        <v>42396.70071759259</v>
      </c>
      <c r="B314" s="2">
        <v>1.3981481481481482E-2</v>
      </c>
      <c r="C314" t="s">
        <v>195</v>
      </c>
      <c r="D314" t="s">
        <v>35</v>
      </c>
      <c r="E314" t="s">
        <v>36</v>
      </c>
      <c r="F314" t="s">
        <v>111</v>
      </c>
      <c r="G314">
        <v>693176</v>
      </c>
      <c r="H314" t="s">
        <v>26</v>
      </c>
      <c r="I314" t="s">
        <v>112</v>
      </c>
      <c r="J314" t="str">
        <f>"9781118017746"</f>
        <v>9781118017746</v>
      </c>
      <c r="K314" t="s">
        <v>649</v>
      </c>
      <c r="L314">
        <v>43</v>
      </c>
      <c r="O314" t="s">
        <v>30</v>
      </c>
      <c r="P314" t="s">
        <v>42</v>
      </c>
      <c r="S314" t="s">
        <v>40</v>
      </c>
      <c r="T314" t="s">
        <v>114</v>
      </c>
      <c r="U314" t="s">
        <v>115</v>
      </c>
      <c r="V314" s="3">
        <v>40835</v>
      </c>
    </row>
    <row r="315" spans="1:22" x14ac:dyDescent="0.35">
      <c r="A315" s="1">
        <v>42396.698495370372</v>
      </c>
      <c r="B315" s="2">
        <v>2.673611111111111E-3</v>
      </c>
      <c r="C315" t="s">
        <v>647</v>
      </c>
      <c r="D315" t="s">
        <v>23</v>
      </c>
      <c r="E315" t="s">
        <v>24</v>
      </c>
      <c r="F315" t="s">
        <v>246</v>
      </c>
      <c r="G315">
        <v>1682559</v>
      </c>
      <c r="H315" t="s">
        <v>91</v>
      </c>
      <c r="I315" t="s">
        <v>247</v>
      </c>
      <c r="J315" t="str">
        <f>"9781462515431"</f>
        <v>9781462515431</v>
      </c>
      <c r="K315" t="s">
        <v>650</v>
      </c>
      <c r="L315">
        <v>8</v>
      </c>
      <c r="O315" t="s">
        <v>30</v>
      </c>
      <c r="P315" t="s">
        <v>42</v>
      </c>
      <c r="S315" t="s">
        <v>31</v>
      </c>
      <c r="T315" t="s">
        <v>249</v>
      </c>
      <c r="U315">
        <v>616.89</v>
      </c>
      <c r="V315" s="3">
        <v>41769</v>
      </c>
    </row>
    <row r="316" spans="1:22" x14ac:dyDescent="0.35">
      <c r="A316" s="1">
        <v>42396.695902777778</v>
      </c>
      <c r="B316" s="2">
        <v>5.7175925925925927E-3</v>
      </c>
      <c r="C316" t="s">
        <v>651</v>
      </c>
      <c r="D316" t="s">
        <v>23</v>
      </c>
      <c r="E316" t="s">
        <v>24</v>
      </c>
      <c r="F316" t="s">
        <v>652</v>
      </c>
      <c r="G316">
        <v>735603</v>
      </c>
      <c r="H316" t="s">
        <v>91</v>
      </c>
      <c r="I316" t="s">
        <v>247</v>
      </c>
      <c r="J316" t="str">
        <f>"9781609184971"</f>
        <v>9781609184971</v>
      </c>
      <c r="K316" t="s">
        <v>653</v>
      </c>
      <c r="L316">
        <v>308</v>
      </c>
      <c r="O316" t="s">
        <v>30</v>
      </c>
      <c r="P316" t="s">
        <v>47</v>
      </c>
      <c r="Q316" s="1">
        <v>42393.185104166667</v>
      </c>
      <c r="R316">
        <v>7</v>
      </c>
      <c r="S316" t="s">
        <v>31</v>
      </c>
      <c r="T316" t="s">
        <v>654</v>
      </c>
      <c r="U316">
        <v>616.89170000000001</v>
      </c>
      <c r="V316" s="3">
        <v>41773</v>
      </c>
    </row>
    <row r="317" spans="1:22" x14ac:dyDescent="0.35">
      <c r="A317" s="1">
        <v>42396.688171296293</v>
      </c>
      <c r="B317" s="2">
        <v>3.4722222222222222E-5</v>
      </c>
      <c r="C317" t="s">
        <v>655</v>
      </c>
      <c r="D317" t="s">
        <v>23</v>
      </c>
      <c r="E317" t="s">
        <v>24</v>
      </c>
      <c r="F317" t="s">
        <v>61</v>
      </c>
      <c r="G317">
        <v>699526</v>
      </c>
      <c r="H317" t="s">
        <v>26</v>
      </c>
      <c r="I317" t="s">
        <v>62</v>
      </c>
      <c r="J317" t="str">
        <f>"9781118586006"</f>
        <v>9781118586006</v>
      </c>
      <c r="K317" t="s">
        <v>33</v>
      </c>
      <c r="L317">
        <v>3</v>
      </c>
      <c r="M317" t="s">
        <v>105</v>
      </c>
      <c r="O317" t="s">
        <v>30</v>
      </c>
      <c r="P317" t="s">
        <v>29</v>
      </c>
      <c r="Q317" s="1">
        <v>42396.656469907408</v>
      </c>
      <c r="R317">
        <v>7</v>
      </c>
      <c r="S317" t="s">
        <v>31</v>
      </c>
      <c r="T317" t="s">
        <v>64</v>
      </c>
      <c r="U317">
        <v>6.4</v>
      </c>
      <c r="V317" s="3">
        <v>41222</v>
      </c>
    </row>
    <row r="318" spans="1:22" x14ac:dyDescent="0.35">
      <c r="A318" s="1">
        <v>42396.680023148147</v>
      </c>
      <c r="B318" s="2">
        <v>5.2314814814814819E-3</v>
      </c>
      <c r="C318" t="s">
        <v>548</v>
      </c>
      <c r="D318" t="s">
        <v>23</v>
      </c>
      <c r="E318" t="s">
        <v>24</v>
      </c>
      <c r="F318" t="s">
        <v>544</v>
      </c>
      <c r="G318">
        <v>615860</v>
      </c>
      <c r="H318" t="s">
        <v>68</v>
      </c>
      <c r="I318" t="s">
        <v>545</v>
      </c>
      <c r="J318" t="str">
        <f>"9781444128277"</f>
        <v>9781444128277</v>
      </c>
      <c r="K318" t="s">
        <v>656</v>
      </c>
      <c r="L318">
        <v>3</v>
      </c>
      <c r="O318" t="s">
        <v>30</v>
      </c>
      <c r="P318" t="s">
        <v>29</v>
      </c>
      <c r="Q318" s="1">
        <v>42396.680023148147</v>
      </c>
      <c r="R318">
        <v>7</v>
      </c>
      <c r="S318" t="s">
        <v>31</v>
      </c>
      <c r="T318" t="s">
        <v>547</v>
      </c>
      <c r="U318">
        <v>153</v>
      </c>
      <c r="V318" s="3">
        <v>41604</v>
      </c>
    </row>
    <row r="319" spans="1:22" x14ac:dyDescent="0.35">
      <c r="A319" s="1">
        <v>42396.666435185187</v>
      </c>
      <c r="B319" s="2">
        <v>3.4722222222222222E-5</v>
      </c>
      <c r="C319" t="s">
        <v>655</v>
      </c>
      <c r="D319" t="s">
        <v>23</v>
      </c>
      <c r="E319" t="s">
        <v>24</v>
      </c>
      <c r="F319" t="s">
        <v>61</v>
      </c>
      <c r="G319">
        <v>699526</v>
      </c>
      <c r="H319" t="s">
        <v>26</v>
      </c>
      <c r="I319" t="s">
        <v>62</v>
      </c>
      <c r="J319" t="str">
        <f>"9781118586006"</f>
        <v>9781118586006</v>
      </c>
      <c r="K319" t="s">
        <v>33</v>
      </c>
      <c r="L319">
        <v>3</v>
      </c>
      <c r="N319" t="s">
        <v>657</v>
      </c>
      <c r="O319" t="s">
        <v>30</v>
      </c>
      <c r="P319" t="s">
        <v>29</v>
      </c>
      <c r="Q319" s="1">
        <v>42396.656469907408</v>
      </c>
      <c r="R319">
        <v>7</v>
      </c>
      <c r="S319" t="s">
        <v>31</v>
      </c>
      <c r="T319" t="s">
        <v>64</v>
      </c>
      <c r="U319">
        <v>6.4</v>
      </c>
      <c r="V319" s="3">
        <v>41222</v>
      </c>
    </row>
    <row r="320" spans="1:22" x14ac:dyDescent="0.35">
      <c r="A320" s="1">
        <v>42396.664895833332</v>
      </c>
      <c r="B320" s="2">
        <v>0</v>
      </c>
      <c r="C320" t="s">
        <v>655</v>
      </c>
      <c r="D320" t="s">
        <v>23</v>
      </c>
      <c r="E320" t="s">
        <v>24</v>
      </c>
      <c r="F320" t="s">
        <v>61</v>
      </c>
      <c r="G320">
        <v>699526</v>
      </c>
      <c r="H320" t="s">
        <v>26</v>
      </c>
      <c r="I320" t="s">
        <v>62</v>
      </c>
      <c r="J320" t="str">
        <f>"9781118586006"</f>
        <v>9781118586006</v>
      </c>
      <c r="L320">
        <v>0</v>
      </c>
      <c r="N320" t="s">
        <v>658</v>
      </c>
      <c r="O320" t="s">
        <v>28</v>
      </c>
      <c r="P320" t="s">
        <v>29</v>
      </c>
      <c r="Q320" s="1">
        <v>42396.656469907408</v>
      </c>
      <c r="R320">
        <v>7</v>
      </c>
      <c r="S320" t="s">
        <v>31</v>
      </c>
      <c r="T320" t="s">
        <v>64</v>
      </c>
      <c r="U320">
        <v>6.4</v>
      </c>
      <c r="V320" s="3">
        <v>41222</v>
      </c>
    </row>
    <row r="321" spans="1:22" x14ac:dyDescent="0.35">
      <c r="A321" s="1">
        <v>42396.662835648145</v>
      </c>
      <c r="B321" s="2">
        <v>0</v>
      </c>
      <c r="C321" t="s">
        <v>655</v>
      </c>
      <c r="D321" t="s">
        <v>23</v>
      </c>
      <c r="E321" t="s">
        <v>24</v>
      </c>
      <c r="F321" t="s">
        <v>61</v>
      </c>
      <c r="G321">
        <v>699526</v>
      </c>
      <c r="H321" t="s">
        <v>26</v>
      </c>
      <c r="I321" t="s">
        <v>62</v>
      </c>
      <c r="J321" t="str">
        <f>"9781118586006"</f>
        <v>9781118586006</v>
      </c>
      <c r="L321">
        <v>0</v>
      </c>
      <c r="O321" t="s">
        <v>28</v>
      </c>
      <c r="P321" t="s">
        <v>29</v>
      </c>
      <c r="Q321" s="1">
        <v>42396.656469907408</v>
      </c>
      <c r="R321">
        <v>7</v>
      </c>
      <c r="S321" t="s">
        <v>31</v>
      </c>
      <c r="T321" t="s">
        <v>64</v>
      </c>
      <c r="U321">
        <v>6.4</v>
      </c>
      <c r="V321" s="3">
        <v>41222</v>
      </c>
    </row>
    <row r="322" spans="1:22" x14ac:dyDescent="0.35">
      <c r="A322" s="1">
        <v>42396.65824074074</v>
      </c>
      <c r="B322" s="2">
        <v>6.5972222222222213E-4</v>
      </c>
      <c r="C322" t="s">
        <v>659</v>
      </c>
      <c r="D322" t="s">
        <v>146</v>
      </c>
      <c r="E322" t="s">
        <v>147</v>
      </c>
      <c r="F322" t="s">
        <v>660</v>
      </c>
      <c r="G322">
        <v>3570607</v>
      </c>
      <c r="H322" t="s">
        <v>526</v>
      </c>
      <c r="I322" t="s">
        <v>661</v>
      </c>
      <c r="J322" t="str">
        <f>"9780226093000"</f>
        <v>9780226093000</v>
      </c>
      <c r="K322" t="s">
        <v>662</v>
      </c>
      <c r="L322">
        <v>15</v>
      </c>
      <c r="O322" t="s">
        <v>30</v>
      </c>
      <c r="P322" t="s">
        <v>50</v>
      </c>
      <c r="S322" t="s">
        <v>528</v>
      </c>
      <c r="T322" t="s">
        <v>663</v>
      </c>
      <c r="U322" t="s">
        <v>664</v>
      </c>
      <c r="V322" s="3">
        <v>42248</v>
      </c>
    </row>
    <row r="323" spans="1:22" x14ac:dyDescent="0.35">
      <c r="A323" s="1">
        <v>42396.657187500001</v>
      </c>
      <c r="B323" s="2">
        <v>2.2835648148148147E-2</v>
      </c>
      <c r="C323" t="s">
        <v>548</v>
      </c>
      <c r="D323" t="s">
        <v>23</v>
      </c>
      <c r="E323" t="s">
        <v>24</v>
      </c>
      <c r="F323" t="s">
        <v>544</v>
      </c>
      <c r="G323">
        <v>615860</v>
      </c>
      <c r="H323" t="s">
        <v>68</v>
      </c>
      <c r="I323" t="s">
        <v>545</v>
      </c>
      <c r="J323" t="str">
        <f>"9781444128277"</f>
        <v>9781444128277</v>
      </c>
      <c r="K323" t="s">
        <v>665</v>
      </c>
      <c r="L323">
        <v>17</v>
      </c>
      <c r="O323" t="s">
        <v>30</v>
      </c>
      <c r="P323" t="s">
        <v>42</v>
      </c>
      <c r="S323" t="s">
        <v>31</v>
      </c>
      <c r="T323" t="s">
        <v>547</v>
      </c>
      <c r="U323">
        <v>153</v>
      </c>
      <c r="V323" s="3">
        <v>41604</v>
      </c>
    </row>
    <row r="324" spans="1:22" x14ac:dyDescent="0.35">
      <c r="A324" s="1">
        <v>42396.656944444447</v>
      </c>
      <c r="B324" s="2">
        <v>3.4722222222222222E-5</v>
      </c>
      <c r="C324" t="s">
        <v>655</v>
      </c>
      <c r="D324" t="s">
        <v>23</v>
      </c>
      <c r="E324" t="s">
        <v>24</v>
      </c>
      <c r="F324" t="s">
        <v>61</v>
      </c>
      <c r="G324">
        <v>699526</v>
      </c>
      <c r="H324" t="s">
        <v>26</v>
      </c>
      <c r="I324" t="s">
        <v>62</v>
      </c>
      <c r="J324" t="str">
        <f>"9781118586006"</f>
        <v>9781118586006</v>
      </c>
      <c r="K324" t="s">
        <v>33</v>
      </c>
      <c r="L324">
        <v>3</v>
      </c>
      <c r="N324" t="s">
        <v>666</v>
      </c>
      <c r="O324" t="s">
        <v>30</v>
      </c>
      <c r="P324" t="s">
        <v>29</v>
      </c>
      <c r="Q324" s="1">
        <v>42396.656469907408</v>
      </c>
      <c r="R324">
        <v>7</v>
      </c>
      <c r="S324" t="s">
        <v>31</v>
      </c>
      <c r="T324" t="s">
        <v>64</v>
      </c>
      <c r="U324">
        <v>6.4</v>
      </c>
      <c r="V324" s="3">
        <v>41222</v>
      </c>
    </row>
    <row r="325" spans="1:22" x14ac:dyDescent="0.35">
      <c r="A325" s="1">
        <v>42396.656469907408</v>
      </c>
      <c r="B325" s="2">
        <v>0</v>
      </c>
      <c r="C325" t="s">
        <v>655</v>
      </c>
      <c r="D325" t="s">
        <v>23</v>
      </c>
      <c r="E325" t="s">
        <v>24</v>
      </c>
      <c r="F325" t="s">
        <v>61</v>
      </c>
      <c r="G325">
        <v>699526</v>
      </c>
      <c r="H325" t="s">
        <v>26</v>
      </c>
      <c r="I325" t="s">
        <v>62</v>
      </c>
      <c r="J325" t="str">
        <f>"9781118586006"</f>
        <v>9781118586006</v>
      </c>
      <c r="L325">
        <v>0</v>
      </c>
      <c r="O325" t="s">
        <v>30</v>
      </c>
      <c r="P325" t="s">
        <v>29</v>
      </c>
      <c r="Q325" s="1">
        <v>42396.656469907408</v>
      </c>
      <c r="R325">
        <v>7</v>
      </c>
      <c r="S325" t="s">
        <v>31</v>
      </c>
      <c r="T325" t="s">
        <v>64</v>
      </c>
      <c r="U325">
        <v>6.4</v>
      </c>
      <c r="V325" s="3">
        <v>41222</v>
      </c>
    </row>
    <row r="326" spans="1:22" x14ac:dyDescent="0.35">
      <c r="A326" s="1">
        <v>42396.655358796299</v>
      </c>
      <c r="B326" s="2">
        <v>1.1111111111111111E-3</v>
      </c>
      <c r="C326" t="s">
        <v>655</v>
      </c>
      <c r="D326" t="s">
        <v>23</v>
      </c>
      <c r="E326" t="s">
        <v>24</v>
      </c>
      <c r="F326" t="s">
        <v>61</v>
      </c>
      <c r="G326">
        <v>699526</v>
      </c>
      <c r="H326" t="s">
        <v>26</v>
      </c>
      <c r="I326" t="s">
        <v>62</v>
      </c>
      <c r="J326" t="str">
        <f>"9781118586006"</f>
        <v>9781118586006</v>
      </c>
      <c r="K326" t="s">
        <v>667</v>
      </c>
      <c r="L326">
        <v>22</v>
      </c>
      <c r="O326" t="s">
        <v>30</v>
      </c>
      <c r="P326" t="s">
        <v>42</v>
      </c>
      <c r="S326" t="s">
        <v>31</v>
      </c>
      <c r="T326" t="s">
        <v>64</v>
      </c>
      <c r="U326">
        <v>6.4</v>
      </c>
      <c r="V326" s="3">
        <v>41222</v>
      </c>
    </row>
    <row r="327" spans="1:22" x14ac:dyDescent="0.35">
      <c r="A327" s="1">
        <v>42396.653773148151</v>
      </c>
      <c r="B327" s="2">
        <v>2.372685185185185E-2</v>
      </c>
      <c r="C327" t="s">
        <v>471</v>
      </c>
      <c r="D327" t="s">
        <v>211</v>
      </c>
      <c r="E327" t="s">
        <v>212</v>
      </c>
      <c r="F327" t="s">
        <v>497</v>
      </c>
      <c r="G327">
        <v>1986951</v>
      </c>
      <c r="H327" t="s">
        <v>26</v>
      </c>
      <c r="I327" t="s">
        <v>97</v>
      </c>
      <c r="J327" t="str">
        <f>"9781119130468"</f>
        <v>9781119130468</v>
      </c>
      <c r="K327" t="s">
        <v>668</v>
      </c>
      <c r="L327">
        <v>25</v>
      </c>
      <c r="M327" t="s">
        <v>669</v>
      </c>
      <c r="O327" t="s">
        <v>30</v>
      </c>
      <c r="P327" t="s">
        <v>29</v>
      </c>
      <c r="Q327" s="1">
        <v>42394.659768518519</v>
      </c>
      <c r="R327">
        <v>7</v>
      </c>
      <c r="S327" t="s">
        <v>214</v>
      </c>
      <c r="T327" t="s">
        <v>500</v>
      </c>
      <c r="U327">
        <v>657.07600000000002</v>
      </c>
      <c r="V327" s="3">
        <v>42143</v>
      </c>
    </row>
    <row r="328" spans="1:22" x14ac:dyDescent="0.35">
      <c r="A328" s="1">
        <v>42396.638969907406</v>
      </c>
      <c r="B328" s="2">
        <v>7.4652777777777781E-3</v>
      </c>
      <c r="C328" t="s">
        <v>670</v>
      </c>
      <c r="D328" t="s">
        <v>23</v>
      </c>
      <c r="E328" t="s">
        <v>24</v>
      </c>
      <c r="F328" t="s">
        <v>83</v>
      </c>
      <c r="G328">
        <v>1711065</v>
      </c>
      <c r="H328" t="s">
        <v>84</v>
      </c>
      <c r="I328" t="s">
        <v>85</v>
      </c>
      <c r="J328" t="str">
        <f>"9780520959156"</f>
        <v>9780520959156</v>
      </c>
      <c r="K328" t="s">
        <v>671</v>
      </c>
      <c r="L328">
        <v>60</v>
      </c>
      <c r="O328" t="s">
        <v>30</v>
      </c>
      <c r="P328" t="s">
        <v>29</v>
      </c>
      <c r="Q328" s="1">
        <v>42396.638969907406</v>
      </c>
      <c r="R328">
        <v>7</v>
      </c>
      <c r="S328" t="s">
        <v>31</v>
      </c>
      <c r="T328" t="s">
        <v>87</v>
      </c>
      <c r="U328" t="s">
        <v>88</v>
      </c>
      <c r="V328" s="3">
        <v>41881</v>
      </c>
    </row>
    <row r="329" spans="1:22" x14ac:dyDescent="0.35">
      <c r="A329" s="1">
        <v>42396.633356481485</v>
      </c>
      <c r="B329" s="2">
        <v>8.1018518518518516E-5</v>
      </c>
      <c r="C329" t="s">
        <v>659</v>
      </c>
      <c r="D329" t="s">
        <v>146</v>
      </c>
      <c r="E329" t="s">
        <v>147</v>
      </c>
      <c r="F329" t="s">
        <v>672</v>
      </c>
      <c r="G329">
        <v>821783</v>
      </c>
      <c r="H329" t="s">
        <v>26</v>
      </c>
      <c r="I329" t="s">
        <v>150</v>
      </c>
      <c r="J329" t="str">
        <f>"9781118222522"</f>
        <v>9781118222522</v>
      </c>
      <c r="K329" t="s">
        <v>673</v>
      </c>
      <c r="L329">
        <v>8</v>
      </c>
      <c r="O329" t="s">
        <v>30</v>
      </c>
      <c r="P329" t="s">
        <v>42</v>
      </c>
      <c r="S329" t="s">
        <v>528</v>
      </c>
      <c r="T329" t="s">
        <v>674</v>
      </c>
      <c r="U329" t="s">
        <v>675</v>
      </c>
      <c r="V329" s="3">
        <v>40998</v>
      </c>
    </row>
    <row r="330" spans="1:22" x14ac:dyDescent="0.35">
      <c r="A330" s="1">
        <v>42396.631516203706</v>
      </c>
      <c r="B330" s="2">
        <v>7.4537037037037028E-3</v>
      </c>
      <c r="C330" t="s">
        <v>670</v>
      </c>
      <c r="D330" t="s">
        <v>23</v>
      </c>
      <c r="E330" t="s">
        <v>24</v>
      </c>
      <c r="F330" t="s">
        <v>83</v>
      </c>
      <c r="G330">
        <v>1711065</v>
      </c>
      <c r="H330" t="s">
        <v>84</v>
      </c>
      <c r="I330" t="s">
        <v>85</v>
      </c>
      <c r="J330" t="str">
        <f>"9780520959156"</f>
        <v>9780520959156</v>
      </c>
      <c r="K330" t="s">
        <v>676</v>
      </c>
      <c r="L330">
        <v>11</v>
      </c>
      <c r="O330" t="s">
        <v>30</v>
      </c>
      <c r="P330" t="s">
        <v>42</v>
      </c>
      <c r="S330" t="s">
        <v>31</v>
      </c>
      <c r="T330" t="s">
        <v>87</v>
      </c>
      <c r="U330" t="s">
        <v>88</v>
      </c>
      <c r="V330" s="3">
        <v>41881</v>
      </c>
    </row>
    <row r="331" spans="1:22" x14ac:dyDescent="0.35">
      <c r="A331" s="1">
        <v>42396.62871527778</v>
      </c>
      <c r="B331" s="2">
        <v>2.0833333333333335E-4</v>
      </c>
      <c r="C331" t="s">
        <v>677</v>
      </c>
      <c r="D331" t="s">
        <v>23</v>
      </c>
      <c r="E331" t="s">
        <v>24</v>
      </c>
      <c r="F331" t="s">
        <v>678</v>
      </c>
      <c r="G331">
        <v>1895761</v>
      </c>
      <c r="H331" t="s">
        <v>26</v>
      </c>
      <c r="I331" t="s">
        <v>150</v>
      </c>
      <c r="J331" t="str">
        <f>"9781118926963"</f>
        <v>9781118926963</v>
      </c>
      <c r="K331" t="s">
        <v>679</v>
      </c>
      <c r="L331">
        <v>11</v>
      </c>
      <c r="O331" t="s">
        <v>30</v>
      </c>
      <c r="P331" t="s">
        <v>50</v>
      </c>
      <c r="S331" t="s">
        <v>31</v>
      </c>
      <c r="T331" t="s">
        <v>680</v>
      </c>
      <c r="U331" t="s">
        <v>681</v>
      </c>
      <c r="V331" s="3">
        <v>42044</v>
      </c>
    </row>
    <row r="332" spans="1:22" x14ac:dyDescent="0.35">
      <c r="A332" s="1">
        <v>42396.621793981481</v>
      </c>
      <c r="B332" s="2">
        <v>2.5821759259259256E-2</v>
      </c>
      <c r="C332" t="s">
        <v>550</v>
      </c>
      <c r="D332" t="s">
        <v>23</v>
      </c>
      <c r="E332" t="s">
        <v>24</v>
      </c>
      <c r="F332" t="s">
        <v>544</v>
      </c>
      <c r="G332">
        <v>615860</v>
      </c>
      <c r="H332" t="s">
        <v>68</v>
      </c>
      <c r="I332" t="s">
        <v>545</v>
      </c>
      <c r="J332" t="str">
        <f t="shared" ref="J332:J341" si="4">"9781444128277"</f>
        <v>9781444128277</v>
      </c>
      <c r="K332" t="s">
        <v>682</v>
      </c>
      <c r="L332">
        <v>9</v>
      </c>
      <c r="O332" t="s">
        <v>30</v>
      </c>
      <c r="P332" t="s">
        <v>29</v>
      </c>
      <c r="Q332" s="1">
        <v>42396.439456018517</v>
      </c>
      <c r="R332">
        <v>7</v>
      </c>
      <c r="S332" t="s">
        <v>31</v>
      </c>
      <c r="T332" t="s">
        <v>547</v>
      </c>
      <c r="U332">
        <v>153</v>
      </c>
      <c r="V332" s="3">
        <v>41604</v>
      </c>
    </row>
    <row r="333" spans="1:22" x14ac:dyDescent="0.35">
      <c r="A333" s="1">
        <v>42396.619780092595</v>
      </c>
      <c r="B333" s="2">
        <v>1.7013888888888892E-3</v>
      </c>
      <c r="C333" t="s">
        <v>550</v>
      </c>
      <c r="D333" t="s">
        <v>23</v>
      </c>
      <c r="E333" t="s">
        <v>24</v>
      </c>
      <c r="F333" t="s">
        <v>544</v>
      </c>
      <c r="G333">
        <v>615860</v>
      </c>
      <c r="H333" t="s">
        <v>68</v>
      </c>
      <c r="I333" t="s">
        <v>545</v>
      </c>
      <c r="J333" t="str">
        <f t="shared" si="4"/>
        <v>9781444128277</v>
      </c>
      <c r="K333" t="s">
        <v>683</v>
      </c>
      <c r="L333">
        <v>7</v>
      </c>
      <c r="O333" t="s">
        <v>30</v>
      </c>
      <c r="P333" t="s">
        <v>29</v>
      </c>
      <c r="Q333" s="1">
        <v>42396.439456018517</v>
      </c>
      <c r="R333">
        <v>7</v>
      </c>
      <c r="S333" t="s">
        <v>31</v>
      </c>
      <c r="T333" t="s">
        <v>547</v>
      </c>
      <c r="U333">
        <v>153</v>
      </c>
      <c r="V333" s="3">
        <v>41604</v>
      </c>
    </row>
    <row r="334" spans="1:22" x14ac:dyDescent="0.35">
      <c r="A334" s="1">
        <v>42396.61928240741</v>
      </c>
      <c r="B334" s="2">
        <v>7.3958333333333341E-3</v>
      </c>
      <c r="C334" t="s">
        <v>553</v>
      </c>
      <c r="D334" t="s">
        <v>23</v>
      </c>
      <c r="E334" t="s">
        <v>24</v>
      </c>
      <c r="F334" t="s">
        <v>544</v>
      </c>
      <c r="G334">
        <v>615860</v>
      </c>
      <c r="H334" t="s">
        <v>68</v>
      </c>
      <c r="I334" t="s">
        <v>545</v>
      </c>
      <c r="J334" t="str">
        <f t="shared" si="4"/>
        <v>9781444128277</v>
      </c>
      <c r="K334" t="s">
        <v>684</v>
      </c>
      <c r="L334">
        <v>5</v>
      </c>
      <c r="O334" t="s">
        <v>30</v>
      </c>
      <c r="P334" t="s">
        <v>29</v>
      </c>
      <c r="Q334" s="1">
        <v>42396.61928240741</v>
      </c>
      <c r="R334">
        <v>7</v>
      </c>
      <c r="S334" t="s">
        <v>31</v>
      </c>
      <c r="T334" t="s">
        <v>547</v>
      </c>
      <c r="U334">
        <v>153</v>
      </c>
      <c r="V334" s="3">
        <v>41604</v>
      </c>
    </row>
    <row r="335" spans="1:22" x14ac:dyDescent="0.35">
      <c r="A335" s="1">
        <v>42396.618263888886</v>
      </c>
      <c r="B335" s="2">
        <v>2.3148148148148146E-4</v>
      </c>
      <c r="C335" t="s">
        <v>685</v>
      </c>
      <c r="D335" t="s">
        <v>23</v>
      </c>
      <c r="E335" t="s">
        <v>24</v>
      </c>
      <c r="F335" t="s">
        <v>544</v>
      </c>
      <c r="G335">
        <v>615860</v>
      </c>
      <c r="H335" t="s">
        <v>68</v>
      </c>
      <c r="I335" t="s">
        <v>545</v>
      </c>
      <c r="J335" t="str">
        <f t="shared" si="4"/>
        <v>9781444128277</v>
      </c>
      <c r="K335" t="s">
        <v>686</v>
      </c>
      <c r="L335">
        <v>4</v>
      </c>
      <c r="O335" t="s">
        <v>28</v>
      </c>
      <c r="P335" t="s">
        <v>29</v>
      </c>
      <c r="Q335" s="1">
        <v>42396.614687499998</v>
      </c>
      <c r="R335">
        <v>7</v>
      </c>
      <c r="S335" t="s">
        <v>31</v>
      </c>
      <c r="T335" t="s">
        <v>547</v>
      </c>
      <c r="U335">
        <v>153</v>
      </c>
      <c r="V335" s="3">
        <v>41604</v>
      </c>
    </row>
    <row r="336" spans="1:22" x14ac:dyDescent="0.35">
      <c r="A336" s="1">
        <v>42396.617384259262</v>
      </c>
      <c r="B336" s="2">
        <v>6.5972222222222213E-4</v>
      </c>
      <c r="C336" t="s">
        <v>685</v>
      </c>
      <c r="D336" t="s">
        <v>23</v>
      </c>
      <c r="E336" t="s">
        <v>24</v>
      </c>
      <c r="F336" t="s">
        <v>544</v>
      </c>
      <c r="G336">
        <v>615860</v>
      </c>
      <c r="H336" t="s">
        <v>68</v>
      </c>
      <c r="I336" t="s">
        <v>545</v>
      </c>
      <c r="J336" t="str">
        <f t="shared" si="4"/>
        <v>9781444128277</v>
      </c>
      <c r="K336" t="s">
        <v>687</v>
      </c>
      <c r="L336">
        <v>12</v>
      </c>
      <c r="O336" t="s">
        <v>30</v>
      </c>
      <c r="P336" t="s">
        <v>29</v>
      </c>
      <c r="Q336" s="1">
        <v>42396.614687499998</v>
      </c>
      <c r="R336">
        <v>7</v>
      </c>
      <c r="S336" t="s">
        <v>31</v>
      </c>
      <c r="T336" t="s">
        <v>547</v>
      </c>
      <c r="U336">
        <v>153</v>
      </c>
      <c r="V336" s="3">
        <v>41604</v>
      </c>
    </row>
    <row r="337" spans="1:22" x14ac:dyDescent="0.35">
      <c r="A337" s="1">
        <v>42396.616886574076</v>
      </c>
      <c r="B337" s="2">
        <v>0</v>
      </c>
      <c r="C337" t="s">
        <v>685</v>
      </c>
      <c r="D337" t="s">
        <v>23</v>
      </c>
      <c r="E337" t="s">
        <v>24</v>
      </c>
      <c r="F337" t="s">
        <v>544</v>
      </c>
      <c r="G337">
        <v>615860</v>
      </c>
      <c r="H337" t="s">
        <v>68</v>
      </c>
      <c r="I337" t="s">
        <v>545</v>
      </c>
      <c r="J337" t="str">
        <f t="shared" si="4"/>
        <v>9781444128277</v>
      </c>
      <c r="L337">
        <v>0</v>
      </c>
      <c r="O337" t="s">
        <v>28</v>
      </c>
      <c r="P337" t="s">
        <v>29</v>
      </c>
      <c r="Q337" s="1">
        <v>42396.614687499998</v>
      </c>
      <c r="R337">
        <v>7</v>
      </c>
      <c r="S337" t="s">
        <v>31</v>
      </c>
      <c r="T337" t="s">
        <v>547</v>
      </c>
      <c r="U337">
        <v>153</v>
      </c>
      <c r="V337" s="3">
        <v>41604</v>
      </c>
    </row>
    <row r="338" spans="1:22" x14ac:dyDescent="0.35">
      <c r="A338" s="1">
        <v>42396.615451388891</v>
      </c>
      <c r="B338" s="2">
        <v>0</v>
      </c>
      <c r="C338" t="s">
        <v>685</v>
      </c>
      <c r="D338" t="s">
        <v>23</v>
      </c>
      <c r="E338" t="s">
        <v>24</v>
      </c>
      <c r="F338" t="s">
        <v>544</v>
      </c>
      <c r="G338">
        <v>615860</v>
      </c>
      <c r="H338" t="s">
        <v>68</v>
      </c>
      <c r="I338" t="s">
        <v>545</v>
      </c>
      <c r="J338" t="str">
        <f t="shared" si="4"/>
        <v>9781444128277</v>
      </c>
      <c r="L338">
        <v>0</v>
      </c>
      <c r="O338" t="s">
        <v>28</v>
      </c>
      <c r="P338" t="s">
        <v>29</v>
      </c>
      <c r="Q338" s="1">
        <v>42396.614687499998</v>
      </c>
      <c r="R338">
        <v>7</v>
      </c>
      <c r="S338" t="s">
        <v>31</v>
      </c>
      <c r="T338" t="s">
        <v>547</v>
      </c>
      <c r="U338">
        <v>153</v>
      </c>
      <c r="V338" s="3">
        <v>41604</v>
      </c>
    </row>
    <row r="339" spans="1:22" x14ac:dyDescent="0.35">
      <c r="A339" s="1">
        <v>42396.614687499998</v>
      </c>
      <c r="B339" s="2">
        <v>0</v>
      </c>
      <c r="C339" t="s">
        <v>685</v>
      </c>
      <c r="D339" t="s">
        <v>23</v>
      </c>
      <c r="E339" t="s">
        <v>24</v>
      </c>
      <c r="F339" t="s">
        <v>544</v>
      </c>
      <c r="G339">
        <v>615860</v>
      </c>
      <c r="H339" t="s">
        <v>68</v>
      </c>
      <c r="I339" t="s">
        <v>545</v>
      </c>
      <c r="J339" t="str">
        <f t="shared" si="4"/>
        <v>9781444128277</v>
      </c>
      <c r="L339">
        <v>0</v>
      </c>
      <c r="O339" t="s">
        <v>30</v>
      </c>
      <c r="P339" t="s">
        <v>29</v>
      </c>
      <c r="Q339" s="1">
        <v>42396.614687499998</v>
      </c>
      <c r="R339">
        <v>7</v>
      </c>
      <c r="S339" t="s">
        <v>31</v>
      </c>
      <c r="T339" t="s">
        <v>547</v>
      </c>
      <c r="U339">
        <v>153</v>
      </c>
      <c r="V339" s="3">
        <v>41604</v>
      </c>
    </row>
    <row r="340" spans="1:22" x14ac:dyDescent="0.35">
      <c r="A340" s="1">
        <v>42396.614166666666</v>
      </c>
      <c r="B340" s="2">
        <v>5.2083333333333333E-4</v>
      </c>
      <c r="C340" t="s">
        <v>685</v>
      </c>
      <c r="D340" t="s">
        <v>23</v>
      </c>
      <c r="E340" t="s">
        <v>24</v>
      </c>
      <c r="F340" t="s">
        <v>544</v>
      </c>
      <c r="G340">
        <v>615860</v>
      </c>
      <c r="H340" t="s">
        <v>68</v>
      </c>
      <c r="I340" t="s">
        <v>545</v>
      </c>
      <c r="J340" t="str">
        <f t="shared" si="4"/>
        <v>9781444128277</v>
      </c>
      <c r="K340" t="s">
        <v>688</v>
      </c>
      <c r="L340">
        <v>4</v>
      </c>
      <c r="O340" t="s">
        <v>30</v>
      </c>
      <c r="P340" t="s">
        <v>42</v>
      </c>
      <c r="S340" t="s">
        <v>31</v>
      </c>
      <c r="T340" t="s">
        <v>547</v>
      </c>
      <c r="U340">
        <v>153</v>
      </c>
      <c r="V340" s="3">
        <v>41604</v>
      </c>
    </row>
    <row r="341" spans="1:22" x14ac:dyDescent="0.35">
      <c r="A341" s="1">
        <v>42396.611863425926</v>
      </c>
      <c r="B341" s="2">
        <v>7.4189814814814813E-3</v>
      </c>
      <c r="C341" t="s">
        <v>553</v>
      </c>
      <c r="D341" t="s">
        <v>23</v>
      </c>
      <c r="E341" t="s">
        <v>24</v>
      </c>
      <c r="F341" t="s">
        <v>544</v>
      </c>
      <c r="G341">
        <v>615860</v>
      </c>
      <c r="H341" t="s">
        <v>68</v>
      </c>
      <c r="I341" t="s">
        <v>545</v>
      </c>
      <c r="J341" t="str">
        <f t="shared" si="4"/>
        <v>9781444128277</v>
      </c>
      <c r="K341" t="s">
        <v>689</v>
      </c>
      <c r="L341">
        <v>10</v>
      </c>
      <c r="O341" t="s">
        <v>30</v>
      </c>
      <c r="P341" t="s">
        <v>42</v>
      </c>
      <c r="S341" t="s">
        <v>31</v>
      </c>
      <c r="T341" t="s">
        <v>547</v>
      </c>
      <c r="U341">
        <v>153</v>
      </c>
      <c r="V341" s="3">
        <v>41604</v>
      </c>
    </row>
    <row r="342" spans="1:22" x14ac:dyDescent="0.35">
      <c r="A342" s="1">
        <v>42396.588495370372</v>
      </c>
      <c r="B342" s="2">
        <v>1.3888888888888889E-3</v>
      </c>
      <c r="C342" t="s">
        <v>690</v>
      </c>
      <c r="D342" t="s">
        <v>35</v>
      </c>
      <c r="E342" t="s">
        <v>36</v>
      </c>
      <c r="F342" t="s">
        <v>691</v>
      </c>
      <c r="G342">
        <v>1358560</v>
      </c>
      <c r="H342" t="s">
        <v>26</v>
      </c>
      <c r="I342" t="s">
        <v>150</v>
      </c>
      <c r="J342" t="str">
        <f>"9781118407523"</f>
        <v>9781118407523</v>
      </c>
      <c r="K342" t="s">
        <v>692</v>
      </c>
      <c r="L342">
        <v>29</v>
      </c>
      <c r="O342" t="s">
        <v>30</v>
      </c>
      <c r="P342" t="s">
        <v>50</v>
      </c>
      <c r="S342" t="s">
        <v>40</v>
      </c>
      <c r="T342" t="s">
        <v>693</v>
      </c>
      <c r="U342">
        <v>779.24</v>
      </c>
      <c r="V342" s="3">
        <v>41507</v>
      </c>
    </row>
    <row r="343" spans="1:22" x14ac:dyDescent="0.35">
      <c r="A343" s="1">
        <v>42396.559363425928</v>
      </c>
      <c r="B343" s="2">
        <v>1.744212962962963E-2</v>
      </c>
      <c r="C343" t="s">
        <v>694</v>
      </c>
      <c r="D343" t="s">
        <v>23</v>
      </c>
      <c r="E343" t="s">
        <v>24</v>
      </c>
      <c r="F343" t="s">
        <v>439</v>
      </c>
      <c r="G343">
        <v>836614</v>
      </c>
      <c r="H343" t="s">
        <v>440</v>
      </c>
      <c r="I343" t="s">
        <v>27</v>
      </c>
      <c r="J343" t="str">
        <f>"9781118315958"</f>
        <v>9781118315958</v>
      </c>
      <c r="K343" t="s">
        <v>695</v>
      </c>
      <c r="L343">
        <v>27</v>
      </c>
      <c r="O343" t="s">
        <v>30</v>
      </c>
      <c r="P343" t="s">
        <v>29</v>
      </c>
      <c r="Q343" s="1">
        <v>42392.884560185186</v>
      </c>
      <c r="R343">
        <v>7</v>
      </c>
      <c r="S343" t="s">
        <v>31</v>
      </c>
      <c r="T343" t="s">
        <v>442</v>
      </c>
      <c r="U343">
        <v>414</v>
      </c>
      <c r="V343" s="3">
        <v>40892</v>
      </c>
    </row>
    <row r="344" spans="1:22" x14ac:dyDescent="0.35">
      <c r="A344" s="1">
        <v>42396.439456018517</v>
      </c>
      <c r="B344" s="2">
        <v>6.9444444444444444E-5</v>
      </c>
      <c r="C344" t="s">
        <v>550</v>
      </c>
      <c r="D344" t="s">
        <v>23</v>
      </c>
      <c r="E344" t="s">
        <v>24</v>
      </c>
      <c r="F344" t="s">
        <v>544</v>
      </c>
      <c r="G344">
        <v>615860</v>
      </c>
      <c r="H344" t="s">
        <v>68</v>
      </c>
      <c r="I344" t="s">
        <v>545</v>
      </c>
      <c r="J344" t="str">
        <f>"9781444128277"</f>
        <v>9781444128277</v>
      </c>
      <c r="K344" t="s">
        <v>696</v>
      </c>
      <c r="L344">
        <v>3</v>
      </c>
      <c r="O344" t="s">
        <v>30</v>
      </c>
      <c r="P344" t="s">
        <v>29</v>
      </c>
      <c r="Q344" s="1">
        <v>42396.439456018517</v>
      </c>
      <c r="R344">
        <v>7</v>
      </c>
      <c r="S344" t="s">
        <v>31</v>
      </c>
      <c r="T344" t="s">
        <v>547</v>
      </c>
      <c r="U344">
        <v>153</v>
      </c>
      <c r="V344" s="3">
        <v>41604</v>
      </c>
    </row>
    <row r="345" spans="1:22" x14ac:dyDescent="0.35">
      <c r="A345" s="1">
        <v>42396.42396990741</v>
      </c>
      <c r="B345" s="2">
        <v>1.5486111111111112E-2</v>
      </c>
      <c r="C345" t="s">
        <v>550</v>
      </c>
      <c r="D345" t="s">
        <v>23</v>
      </c>
      <c r="E345" t="s">
        <v>24</v>
      </c>
      <c r="F345" t="s">
        <v>544</v>
      </c>
      <c r="G345">
        <v>615860</v>
      </c>
      <c r="H345" t="s">
        <v>68</v>
      </c>
      <c r="I345" t="s">
        <v>545</v>
      </c>
      <c r="J345" t="str">
        <f>"9781444128277"</f>
        <v>9781444128277</v>
      </c>
      <c r="K345" t="s">
        <v>202</v>
      </c>
      <c r="L345">
        <v>3</v>
      </c>
      <c r="O345" t="s">
        <v>30</v>
      </c>
      <c r="P345" t="s">
        <v>42</v>
      </c>
      <c r="S345" t="s">
        <v>31</v>
      </c>
      <c r="T345" t="s">
        <v>547</v>
      </c>
      <c r="U345">
        <v>153</v>
      </c>
      <c r="V345" s="3">
        <v>41604</v>
      </c>
    </row>
    <row r="346" spans="1:22" x14ac:dyDescent="0.35">
      <c r="A346" s="1">
        <v>42396.407175925924</v>
      </c>
      <c r="B346" s="2">
        <v>1.5046296296296297E-4</v>
      </c>
      <c r="C346" t="s">
        <v>697</v>
      </c>
      <c r="D346" t="s">
        <v>23</v>
      </c>
      <c r="E346" t="s">
        <v>24</v>
      </c>
      <c r="F346" t="s">
        <v>698</v>
      </c>
      <c r="G346">
        <v>865191</v>
      </c>
      <c r="H346" t="s">
        <v>26</v>
      </c>
      <c r="I346" t="s">
        <v>120</v>
      </c>
      <c r="J346" t="str">
        <f>"9781118101681"</f>
        <v>9781118101681</v>
      </c>
      <c r="K346" t="s">
        <v>202</v>
      </c>
      <c r="L346">
        <v>3</v>
      </c>
      <c r="O346" t="s">
        <v>30</v>
      </c>
      <c r="P346" t="s">
        <v>42</v>
      </c>
      <c r="S346" t="s">
        <v>31</v>
      </c>
      <c r="T346" t="s">
        <v>699</v>
      </c>
      <c r="U346" t="s">
        <v>700</v>
      </c>
      <c r="V346" s="3">
        <v>40960</v>
      </c>
    </row>
    <row r="347" spans="1:22" x14ac:dyDescent="0.35">
      <c r="A347" s="1">
        <v>42396.352962962963</v>
      </c>
      <c r="B347" s="2">
        <v>2.5000000000000001E-3</v>
      </c>
      <c r="C347" t="s">
        <v>701</v>
      </c>
      <c r="D347" t="s">
        <v>23</v>
      </c>
      <c r="E347" t="s">
        <v>24</v>
      </c>
      <c r="F347" t="s">
        <v>702</v>
      </c>
      <c r="G347">
        <v>1569834</v>
      </c>
      <c r="H347" t="s">
        <v>68</v>
      </c>
      <c r="I347" t="s">
        <v>150</v>
      </c>
      <c r="J347" t="str">
        <f>"9781317972471"</f>
        <v>9781317972471</v>
      </c>
      <c r="K347" t="s">
        <v>703</v>
      </c>
      <c r="L347">
        <v>14</v>
      </c>
      <c r="N347" t="s">
        <v>704</v>
      </c>
      <c r="O347" t="s">
        <v>28</v>
      </c>
      <c r="P347" t="s">
        <v>47</v>
      </c>
      <c r="Q347" s="1">
        <v>42396.352962962963</v>
      </c>
      <c r="R347">
        <v>7</v>
      </c>
      <c r="S347" t="s">
        <v>31</v>
      </c>
      <c r="T347" t="s">
        <v>705</v>
      </c>
      <c r="U347">
        <v>709.04</v>
      </c>
      <c r="V347" s="3">
        <v>41604</v>
      </c>
    </row>
    <row r="348" spans="1:22" x14ac:dyDescent="0.35">
      <c r="A348" s="1">
        <v>42396.352962962963</v>
      </c>
      <c r="B348" s="2">
        <v>0</v>
      </c>
      <c r="C348" t="s">
        <v>701</v>
      </c>
      <c r="D348" t="s">
        <v>23</v>
      </c>
      <c r="E348" t="s">
        <v>24</v>
      </c>
      <c r="F348" t="s">
        <v>702</v>
      </c>
      <c r="G348">
        <v>1569834</v>
      </c>
      <c r="H348" t="s">
        <v>68</v>
      </c>
      <c r="I348" t="s">
        <v>150</v>
      </c>
      <c r="J348" t="str">
        <f>"9781317972471"</f>
        <v>9781317972471</v>
      </c>
      <c r="L348">
        <v>0</v>
      </c>
      <c r="O348" t="s">
        <v>30</v>
      </c>
      <c r="P348" t="s">
        <v>47</v>
      </c>
      <c r="Q348" s="1">
        <v>42396.352962962963</v>
      </c>
      <c r="R348">
        <v>7</v>
      </c>
      <c r="S348" t="s">
        <v>31</v>
      </c>
      <c r="T348" t="s">
        <v>705</v>
      </c>
      <c r="U348">
        <v>709.04</v>
      </c>
      <c r="V348" s="3">
        <v>41604</v>
      </c>
    </row>
    <row r="349" spans="1:22" x14ac:dyDescent="0.35">
      <c r="A349" s="1">
        <v>42396.352442129632</v>
      </c>
      <c r="B349" s="2">
        <v>5.2083333333333333E-4</v>
      </c>
      <c r="C349" t="s">
        <v>701</v>
      </c>
      <c r="D349" t="s">
        <v>23</v>
      </c>
      <c r="E349" t="s">
        <v>24</v>
      </c>
      <c r="F349" t="s">
        <v>702</v>
      </c>
      <c r="G349">
        <v>1569834</v>
      </c>
      <c r="H349" t="s">
        <v>68</v>
      </c>
      <c r="I349" t="s">
        <v>150</v>
      </c>
      <c r="J349" t="str">
        <f>"9781317972471"</f>
        <v>9781317972471</v>
      </c>
      <c r="K349" t="s">
        <v>33</v>
      </c>
      <c r="L349">
        <v>3</v>
      </c>
      <c r="O349" t="s">
        <v>30</v>
      </c>
      <c r="P349" t="s">
        <v>50</v>
      </c>
      <c r="S349" t="s">
        <v>31</v>
      </c>
      <c r="T349" t="s">
        <v>705</v>
      </c>
      <c r="U349">
        <v>709.04</v>
      </c>
      <c r="V349" s="3">
        <v>41604</v>
      </c>
    </row>
    <row r="350" spans="1:22" x14ac:dyDescent="0.35">
      <c r="A350" s="1">
        <v>42396.337152777778</v>
      </c>
      <c r="B350" s="2">
        <v>9.8379629629629642E-4</v>
      </c>
      <c r="C350" t="s">
        <v>706</v>
      </c>
      <c r="D350" t="s">
        <v>23</v>
      </c>
      <c r="E350" t="s">
        <v>24</v>
      </c>
      <c r="F350" t="s">
        <v>707</v>
      </c>
      <c r="G350">
        <v>1775206</v>
      </c>
      <c r="H350" t="s">
        <v>26</v>
      </c>
      <c r="I350" t="s">
        <v>708</v>
      </c>
      <c r="J350" t="str">
        <f>"9781118845356"</f>
        <v>9781118845356</v>
      </c>
      <c r="K350" t="s">
        <v>709</v>
      </c>
      <c r="L350">
        <v>20</v>
      </c>
      <c r="O350" t="s">
        <v>30</v>
      </c>
      <c r="P350" t="s">
        <v>50</v>
      </c>
      <c r="S350" t="s">
        <v>31</v>
      </c>
      <c r="T350" t="s">
        <v>710</v>
      </c>
      <c r="U350" t="s">
        <v>711</v>
      </c>
      <c r="V350" s="3">
        <v>41876</v>
      </c>
    </row>
    <row r="351" spans="1:22" x14ac:dyDescent="0.35">
      <c r="A351" s="1">
        <v>42396.265752314815</v>
      </c>
      <c r="B351" s="2">
        <v>4.5833333333333334E-3</v>
      </c>
      <c r="C351" t="s">
        <v>550</v>
      </c>
      <c r="D351" t="s">
        <v>23</v>
      </c>
      <c r="E351" t="s">
        <v>24</v>
      </c>
      <c r="F351" t="s">
        <v>544</v>
      </c>
      <c r="G351">
        <v>615860</v>
      </c>
      <c r="H351" t="s">
        <v>68</v>
      </c>
      <c r="I351" t="s">
        <v>545</v>
      </c>
      <c r="J351" t="str">
        <f>"9781444128277"</f>
        <v>9781444128277</v>
      </c>
      <c r="K351" t="s">
        <v>712</v>
      </c>
      <c r="L351">
        <v>17</v>
      </c>
      <c r="O351" t="s">
        <v>30</v>
      </c>
      <c r="P351" t="s">
        <v>42</v>
      </c>
      <c r="S351" t="s">
        <v>31</v>
      </c>
      <c r="T351" t="s">
        <v>547</v>
      </c>
      <c r="U351">
        <v>153</v>
      </c>
      <c r="V351" s="3">
        <v>41604</v>
      </c>
    </row>
    <row r="352" spans="1:22" x14ac:dyDescent="0.35">
      <c r="A352" s="1">
        <v>42396.263981481483</v>
      </c>
      <c r="B352" s="2">
        <v>0</v>
      </c>
      <c r="C352" t="s">
        <v>701</v>
      </c>
      <c r="D352" t="s">
        <v>23</v>
      </c>
      <c r="E352" t="s">
        <v>24</v>
      </c>
      <c r="F352" t="s">
        <v>713</v>
      </c>
      <c r="G352">
        <v>1397236</v>
      </c>
      <c r="H352" t="s">
        <v>68</v>
      </c>
      <c r="I352" t="s">
        <v>150</v>
      </c>
      <c r="J352" t="str">
        <f>"9781135871451"</f>
        <v>9781135871451</v>
      </c>
      <c r="L352">
        <v>0</v>
      </c>
      <c r="O352" t="s">
        <v>28</v>
      </c>
      <c r="P352" t="s">
        <v>47</v>
      </c>
      <c r="Q352" s="1">
        <v>42396.263981481483</v>
      </c>
      <c r="R352">
        <v>7</v>
      </c>
      <c r="S352" t="s">
        <v>31</v>
      </c>
      <c r="T352" t="s">
        <v>714</v>
      </c>
      <c r="U352">
        <v>701.18</v>
      </c>
      <c r="V352" s="3">
        <v>41530</v>
      </c>
    </row>
    <row r="353" spans="1:22" x14ac:dyDescent="0.35">
      <c r="A353" s="1">
        <v>42396.263981481483</v>
      </c>
      <c r="B353" s="2">
        <v>0</v>
      </c>
      <c r="C353" t="s">
        <v>701</v>
      </c>
      <c r="D353" t="s">
        <v>23</v>
      </c>
      <c r="E353" t="s">
        <v>24</v>
      </c>
      <c r="F353" t="s">
        <v>713</v>
      </c>
      <c r="G353">
        <v>1397236</v>
      </c>
      <c r="H353" t="s">
        <v>68</v>
      </c>
      <c r="I353" t="s">
        <v>150</v>
      </c>
      <c r="J353" t="str">
        <f>"9781135871451"</f>
        <v>9781135871451</v>
      </c>
      <c r="L353">
        <v>0</v>
      </c>
      <c r="O353" t="s">
        <v>30</v>
      </c>
      <c r="P353" t="s">
        <v>47</v>
      </c>
      <c r="Q353" s="1">
        <v>42396.263981481483</v>
      </c>
      <c r="R353">
        <v>7</v>
      </c>
      <c r="S353" t="s">
        <v>31</v>
      </c>
      <c r="T353" t="s">
        <v>714</v>
      </c>
      <c r="U353">
        <v>701.18</v>
      </c>
      <c r="V353" s="3">
        <v>41530</v>
      </c>
    </row>
    <row r="354" spans="1:22" x14ac:dyDescent="0.35">
      <c r="A354" s="1">
        <v>42396.263668981483</v>
      </c>
      <c r="B354" s="2">
        <v>3.1250000000000001E-4</v>
      </c>
      <c r="C354" t="s">
        <v>701</v>
      </c>
      <c r="D354" t="s">
        <v>23</v>
      </c>
      <c r="E354" t="s">
        <v>24</v>
      </c>
      <c r="F354" t="s">
        <v>713</v>
      </c>
      <c r="G354">
        <v>1397236</v>
      </c>
      <c r="H354" t="s">
        <v>68</v>
      </c>
      <c r="I354" t="s">
        <v>150</v>
      </c>
      <c r="J354" t="str">
        <f>"9781135871451"</f>
        <v>9781135871451</v>
      </c>
      <c r="K354" t="s">
        <v>33</v>
      </c>
      <c r="L354">
        <v>3</v>
      </c>
      <c r="O354" t="s">
        <v>30</v>
      </c>
      <c r="P354" t="s">
        <v>50</v>
      </c>
      <c r="S354" t="s">
        <v>31</v>
      </c>
      <c r="T354" t="s">
        <v>714</v>
      </c>
      <c r="U354">
        <v>701.18</v>
      </c>
      <c r="V354" s="3">
        <v>41530</v>
      </c>
    </row>
    <row r="355" spans="1:22" x14ac:dyDescent="0.35">
      <c r="A355" s="1">
        <v>42396.167673611111</v>
      </c>
      <c r="B355" s="2">
        <v>1.1574074074074075E-2</v>
      </c>
      <c r="C355" t="s">
        <v>715</v>
      </c>
      <c r="D355" t="s">
        <v>23</v>
      </c>
      <c r="E355" t="s">
        <v>24</v>
      </c>
      <c r="F355" t="s">
        <v>160</v>
      </c>
      <c r="G355">
        <v>3059079</v>
      </c>
      <c r="H355" t="s">
        <v>26</v>
      </c>
      <c r="I355" t="s">
        <v>161</v>
      </c>
      <c r="J355" t="str">
        <f>"9781118473818"</f>
        <v>9781118473818</v>
      </c>
      <c r="K355" t="s">
        <v>716</v>
      </c>
      <c r="L355">
        <v>26</v>
      </c>
      <c r="O355" t="s">
        <v>30</v>
      </c>
      <c r="P355" t="s">
        <v>47</v>
      </c>
      <c r="Q355" s="1">
        <v>42396.167673611111</v>
      </c>
      <c r="R355">
        <v>1</v>
      </c>
      <c r="S355" t="s">
        <v>31</v>
      </c>
      <c r="T355" t="s">
        <v>164</v>
      </c>
      <c r="U355">
        <v>530</v>
      </c>
      <c r="V355" s="3">
        <v>41401</v>
      </c>
    </row>
    <row r="356" spans="1:22" x14ac:dyDescent="0.35">
      <c r="A356" s="1">
        <v>42396.133194444446</v>
      </c>
      <c r="B356" s="2">
        <v>3.4479166666666665E-2</v>
      </c>
      <c r="C356" t="s">
        <v>715</v>
      </c>
      <c r="D356" t="s">
        <v>23</v>
      </c>
      <c r="E356" t="s">
        <v>24</v>
      </c>
      <c r="F356" t="s">
        <v>160</v>
      </c>
      <c r="G356">
        <v>3059079</v>
      </c>
      <c r="H356" t="s">
        <v>26</v>
      </c>
      <c r="I356" t="s">
        <v>161</v>
      </c>
      <c r="J356" t="str">
        <f>"9781118473818"</f>
        <v>9781118473818</v>
      </c>
      <c r="K356" t="s">
        <v>717</v>
      </c>
      <c r="L356">
        <v>7</v>
      </c>
      <c r="O356" t="s">
        <v>30</v>
      </c>
      <c r="P356" t="s">
        <v>50</v>
      </c>
      <c r="S356" t="s">
        <v>31</v>
      </c>
      <c r="T356" t="s">
        <v>164</v>
      </c>
      <c r="U356">
        <v>530</v>
      </c>
      <c r="V356" s="3">
        <v>41401</v>
      </c>
    </row>
    <row r="357" spans="1:22" x14ac:dyDescent="0.35">
      <c r="A357" s="1">
        <v>42396.132592592592</v>
      </c>
      <c r="B357" s="2">
        <v>2.3148148148148146E-4</v>
      </c>
      <c r="C357" t="s">
        <v>715</v>
      </c>
      <c r="D357" t="s">
        <v>23</v>
      </c>
      <c r="E357" t="s">
        <v>24</v>
      </c>
      <c r="F357" t="s">
        <v>160</v>
      </c>
      <c r="G357">
        <v>3059079</v>
      </c>
      <c r="H357" t="s">
        <v>26</v>
      </c>
      <c r="I357" t="s">
        <v>161</v>
      </c>
      <c r="J357" t="str">
        <f>"9781118473818"</f>
        <v>9781118473818</v>
      </c>
      <c r="K357" t="s">
        <v>718</v>
      </c>
      <c r="L357">
        <v>5</v>
      </c>
      <c r="O357" t="s">
        <v>30</v>
      </c>
      <c r="P357" t="s">
        <v>50</v>
      </c>
      <c r="S357" t="s">
        <v>31</v>
      </c>
      <c r="T357" t="s">
        <v>164</v>
      </c>
      <c r="U357">
        <v>530</v>
      </c>
      <c r="V357" s="3">
        <v>41401</v>
      </c>
    </row>
    <row r="358" spans="1:22" x14ac:dyDescent="0.35">
      <c r="A358" s="1">
        <v>42396.131585648145</v>
      </c>
      <c r="B358" s="2">
        <v>5.0925925925925921E-4</v>
      </c>
      <c r="C358" t="s">
        <v>715</v>
      </c>
      <c r="D358" t="s">
        <v>23</v>
      </c>
      <c r="E358" t="s">
        <v>24</v>
      </c>
      <c r="F358" t="s">
        <v>160</v>
      </c>
      <c r="G358">
        <v>3059079</v>
      </c>
      <c r="H358" t="s">
        <v>26</v>
      </c>
      <c r="I358" t="s">
        <v>161</v>
      </c>
      <c r="J358" t="str">
        <f>"9781118473818"</f>
        <v>9781118473818</v>
      </c>
      <c r="K358" t="s">
        <v>719</v>
      </c>
      <c r="L358">
        <v>4</v>
      </c>
      <c r="O358" t="s">
        <v>30</v>
      </c>
      <c r="P358" t="s">
        <v>50</v>
      </c>
      <c r="S358" t="s">
        <v>31</v>
      </c>
      <c r="T358" t="s">
        <v>164</v>
      </c>
      <c r="U358">
        <v>530</v>
      </c>
      <c r="V358" s="3">
        <v>41401</v>
      </c>
    </row>
    <row r="359" spans="1:22" x14ac:dyDescent="0.35">
      <c r="A359" s="1">
        <v>42396.078564814816</v>
      </c>
      <c r="B359" s="2">
        <v>1.1574074074074073E-4</v>
      </c>
      <c r="C359" t="s">
        <v>571</v>
      </c>
      <c r="D359" t="s">
        <v>125</v>
      </c>
      <c r="E359" t="s">
        <v>126</v>
      </c>
      <c r="F359" t="s">
        <v>720</v>
      </c>
      <c r="G359">
        <v>4000670</v>
      </c>
      <c r="H359" t="s">
        <v>91</v>
      </c>
      <c r="J359" t="str">
        <f>"9781462523740"</f>
        <v>9781462523740</v>
      </c>
      <c r="K359" t="s">
        <v>611</v>
      </c>
      <c r="L359">
        <v>3</v>
      </c>
      <c r="O359" t="s">
        <v>30</v>
      </c>
      <c r="P359" t="s">
        <v>50</v>
      </c>
      <c r="S359" t="s">
        <v>128</v>
      </c>
      <c r="V359" s="3">
        <v>42339</v>
      </c>
    </row>
    <row r="360" spans="1:22" x14ac:dyDescent="0.35">
      <c r="A360" s="1">
        <v>42396.064317129632</v>
      </c>
      <c r="B360" s="2">
        <v>0</v>
      </c>
      <c r="C360" t="s">
        <v>721</v>
      </c>
      <c r="D360" t="s">
        <v>23</v>
      </c>
      <c r="E360" t="s">
        <v>24</v>
      </c>
      <c r="F360" t="s">
        <v>199</v>
      </c>
      <c r="G360">
        <v>1120063</v>
      </c>
      <c r="H360" t="s">
        <v>26</v>
      </c>
      <c r="I360" t="s">
        <v>200</v>
      </c>
      <c r="J360" t="str">
        <f>"9781118418932"</f>
        <v>9781118418932</v>
      </c>
      <c r="L360">
        <v>0</v>
      </c>
      <c r="O360" t="s">
        <v>28</v>
      </c>
      <c r="P360" t="s">
        <v>29</v>
      </c>
      <c r="Q360" s="1">
        <v>42396.064317129632</v>
      </c>
      <c r="R360">
        <v>7</v>
      </c>
      <c r="S360" t="s">
        <v>31</v>
      </c>
      <c r="T360" t="s">
        <v>201</v>
      </c>
      <c r="U360">
        <v>720.28</v>
      </c>
      <c r="V360" s="3">
        <v>41303</v>
      </c>
    </row>
    <row r="361" spans="1:22" x14ac:dyDescent="0.35">
      <c r="A361" s="1">
        <v>42396.064317129632</v>
      </c>
      <c r="B361" s="2">
        <v>0</v>
      </c>
      <c r="C361" t="s">
        <v>721</v>
      </c>
      <c r="D361" t="s">
        <v>23</v>
      </c>
      <c r="E361" t="s">
        <v>24</v>
      </c>
      <c r="F361" t="s">
        <v>199</v>
      </c>
      <c r="G361">
        <v>1120063</v>
      </c>
      <c r="H361" t="s">
        <v>26</v>
      </c>
      <c r="I361" t="s">
        <v>200</v>
      </c>
      <c r="J361" t="str">
        <f>"9781118418932"</f>
        <v>9781118418932</v>
      </c>
      <c r="L361">
        <v>0</v>
      </c>
      <c r="O361" t="s">
        <v>30</v>
      </c>
      <c r="P361" t="s">
        <v>29</v>
      </c>
      <c r="Q361" s="1">
        <v>42396.064317129632</v>
      </c>
      <c r="R361">
        <v>7</v>
      </c>
      <c r="S361" t="s">
        <v>31</v>
      </c>
      <c r="T361" t="s">
        <v>201</v>
      </c>
      <c r="U361">
        <v>720.28</v>
      </c>
      <c r="V361" s="3">
        <v>41303</v>
      </c>
    </row>
    <row r="362" spans="1:22" x14ac:dyDescent="0.35">
      <c r="A362" s="1">
        <v>42396.063298611109</v>
      </c>
      <c r="B362" s="2">
        <v>1.0185185185185186E-3</v>
      </c>
      <c r="C362" t="s">
        <v>721</v>
      </c>
      <c r="D362" t="s">
        <v>23</v>
      </c>
      <c r="E362" t="s">
        <v>24</v>
      </c>
      <c r="F362" t="s">
        <v>199</v>
      </c>
      <c r="G362">
        <v>1120063</v>
      </c>
      <c r="H362" t="s">
        <v>26</v>
      </c>
      <c r="I362" t="s">
        <v>200</v>
      </c>
      <c r="J362" t="str">
        <f>"9781118418932"</f>
        <v>9781118418932</v>
      </c>
      <c r="K362" t="s">
        <v>722</v>
      </c>
      <c r="L362">
        <v>3</v>
      </c>
      <c r="O362" t="s">
        <v>30</v>
      </c>
      <c r="P362" t="s">
        <v>42</v>
      </c>
      <c r="S362" t="s">
        <v>31</v>
      </c>
      <c r="T362" t="s">
        <v>201</v>
      </c>
      <c r="U362">
        <v>720.28</v>
      </c>
      <c r="V362" s="3">
        <v>41303</v>
      </c>
    </row>
    <row r="363" spans="1:22" x14ac:dyDescent="0.35">
      <c r="A363" s="1">
        <v>42396.058564814812</v>
      </c>
      <c r="B363" s="2">
        <v>2.2453703703703702E-3</v>
      </c>
      <c r="C363" t="s">
        <v>723</v>
      </c>
      <c r="D363" t="s">
        <v>23</v>
      </c>
      <c r="E363" t="s">
        <v>24</v>
      </c>
      <c r="F363" t="s">
        <v>724</v>
      </c>
      <c r="G363">
        <v>1524130</v>
      </c>
      <c r="H363" t="s">
        <v>68</v>
      </c>
      <c r="I363" t="s">
        <v>69</v>
      </c>
      <c r="J363" t="str">
        <f>"9781136276804"</f>
        <v>9781136276804</v>
      </c>
      <c r="K363" t="s">
        <v>725</v>
      </c>
      <c r="L363">
        <v>14</v>
      </c>
      <c r="M363" t="s">
        <v>726</v>
      </c>
      <c r="O363" t="s">
        <v>30</v>
      </c>
      <c r="P363" t="s">
        <v>47</v>
      </c>
      <c r="Q363" s="1">
        <v>42396.058564814812</v>
      </c>
      <c r="R363">
        <v>1</v>
      </c>
      <c r="S363" t="s">
        <v>31</v>
      </c>
      <c r="T363" t="s">
        <v>727</v>
      </c>
      <c r="U363">
        <v>378.161</v>
      </c>
      <c r="V363" s="3">
        <v>41577</v>
      </c>
    </row>
    <row r="364" spans="1:22" x14ac:dyDescent="0.35">
      <c r="A364" s="1">
        <v>42396.058159722219</v>
      </c>
      <c r="B364" s="2">
        <v>4.0509259259259258E-4</v>
      </c>
      <c r="C364" t="s">
        <v>723</v>
      </c>
      <c r="D364" t="s">
        <v>23</v>
      </c>
      <c r="E364" t="s">
        <v>24</v>
      </c>
      <c r="F364" t="s">
        <v>724</v>
      </c>
      <c r="G364">
        <v>1524130</v>
      </c>
      <c r="H364" t="s">
        <v>68</v>
      </c>
      <c r="I364" t="s">
        <v>69</v>
      </c>
      <c r="J364" t="str">
        <f>"9781136276804"</f>
        <v>9781136276804</v>
      </c>
      <c r="K364" t="s">
        <v>86</v>
      </c>
      <c r="L364">
        <v>5</v>
      </c>
      <c r="O364" t="s">
        <v>30</v>
      </c>
      <c r="P364" t="s">
        <v>50</v>
      </c>
      <c r="S364" t="s">
        <v>31</v>
      </c>
      <c r="T364" t="s">
        <v>727</v>
      </c>
      <c r="U364">
        <v>378.161</v>
      </c>
      <c r="V364" s="3">
        <v>41577</v>
      </c>
    </row>
    <row r="365" spans="1:22" x14ac:dyDescent="0.35">
      <c r="A365" s="1">
        <v>42396.045856481483</v>
      </c>
      <c r="B365" s="2">
        <v>4.6296296296296294E-5</v>
      </c>
      <c r="C365" t="s">
        <v>283</v>
      </c>
      <c r="D365" t="s">
        <v>23</v>
      </c>
      <c r="E365" t="s">
        <v>24</v>
      </c>
      <c r="F365" t="s">
        <v>502</v>
      </c>
      <c r="G365">
        <v>4004181</v>
      </c>
      <c r="H365" t="s">
        <v>139</v>
      </c>
      <c r="J365" t="str">
        <f>"9781479846757"</f>
        <v>9781479846757</v>
      </c>
      <c r="K365" t="s">
        <v>33</v>
      </c>
      <c r="L365">
        <v>3</v>
      </c>
      <c r="O365" t="s">
        <v>30</v>
      </c>
      <c r="P365" t="s">
        <v>50</v>
      </c>
      <c r="S365" t="s">
        <v>31</v>
      </c>
      <c r="V365" s="3">
        <v>42307</v>
      </c>
    </row>
    <row r="366" spans="1:22" x14ac:dyDescent="0.35">
      <c r="A366" s="1">
        <v>42396.028136574074</v>
      </c>
      <c r="B366" s="2">
        <v>4.2824074074074075E-4</v>
      </c>
      <c r="C366" t="s">
        <v>106</v>
      </c>
      <c r="D366" t="s">
        <v>23</v>
      </c>
      <c r="E366" t="s">
        <v>24</v>
      </c>
      <c r="F366" t="s">
        <v>728</v>
      </c>
      <c r="G366">
        <v>1273192</v>
      </c>
      <c r="H366" t="s">
        <v>68</v>
      </c>
      <c r="I366" t="s">
        <v>348</v>
      </c>
      <c r="J366" t="str">
        <f>"9781315065670"</f>
        <v>9781315065670</v>
      </c>
      <c r="K366" t="s">
        <v>729</v>
      </c>
      <c r="L366">
        <v>11</v>
      </c>
      <c r="O366" t="s">
        <v>30</v>
      </c>
      <c r="P366" t="s">
        <v>50</v>
      </c>
      <c r="S366" t="s">
        <v>31</v>
      </c>
      <c r="T366" t="s">
        <v>730</v>
      </c>
      <c r="U366" t="s">
        <v>731</v>
      </c>
      <c r="V366" s="3">
        <v>41456</v>
      </c>
    </row>
    <row r="367" spans="1:22" x14ac:dyDescent="0.35">
      <c r="A367" s="1">
        <v>42396.017569444448</v>
      </c>
      <c r="B367" s="2">
        <v>7.3090277777777782E-2</v>
      </c>
      <c r="C367" t="s">
        <v>388</v>
      </c>
      <c r="D367" t="s">
        <v>158</v>
      </c>
      <c r="E367" t="s">
        <v>159</v>
      </c>
      <c r="F367" t="s">
        <v>389</v>
      </c>
      <c r="G367">
        <v>822062</v>
      </c>
      <c r="H367" t="s">
        <v>26</v>
      </c>
      <c r="I367" t="s">
        <v>390</v>
      </c>
      <c r="J367" t="str">
        <f>"9780857083272"</f>
        <v>9780857083272</v>
      </c>
      <c r="K367" t="s">
        <v>732</v>
      </c>
      <c r="L367">
        <v>34</v>
      </c>
      <c r="O367" t="s">
        <v>30</v>
      </c>
      <c r="P367" t="s">
        <v>29</v>
      </c>
      <c r="Q367" s="1">
        <v>42396.017557870371</v>
      </c>
      <c r="R367">
        <v>7</v>
      </c>
      <c r="S367" t="s">
        <v>163</v>
      </c>
      <c r="T367" t="s">
        <v>392</v>
      </c>
      <c r="U367" t="s">
        <v>393</v>
      </c>
      <c r="V367" s="3">
        <v>41025</v>
      </c>
    </row>
    <row r="368" spans="1:22" x14ac:dyDescent="0.35">
      <c r="A368" s="1">
        <v>42396.009884259256</v>
      </c>
      <c r="B368" s="2">
        <v>3.4722222222222222E-5</v>
      </c>
      <c r="C368" t="s">
        <v>106</v>
      </c>
      <c r="D368" t="s">
        <v>23</v>
      </c>
      <c r="E368" t="s">
        <v>24</v>
      </c>
      <c r="F368" t="s">
        <v>733</v>
      </c>
      <c r="G368">
        <v>865178</v>
      </c>
      <c r="H368" t="s">
        <v>26</v>
      </c>
      <c r="I368" t="s">
        <v>445</v>
      </c>
      <c r="J368" t="str">
        <f>"9781444362367"</f>
        <v>9781444362367</v>
      </c>
      <c r="K368" t="s">
        <v>33</v>
      </c>
      <c r="L368">
        <v>3</v>
      </c>
      <c r="O368" t="s">
        <v>30</v>
      </c>
      <c r="P368" t="s">
        <v>42</v>
      </c>
      <c r="S368" t="s">
        <v>31</v>
      </c>
      <c r="T368" t="s">
        <v>734</v>
      </c>
      <c r="U368">
        <v>330.9</v>
      </c>
      <c r="V368" s="3">
        <v>40945</v>
      </c>
    </row>
    <row r="369" spans="1:22" x14ac:dyDescent="0.35">
      <c r="A369" s="1">
        <v>42395.980902777781</v>
      </c>
      <c r="B369" s="2">
        <v>3.6655092592592593E-2</v>
      </c>
      <c r="C369" t="s">
        <v>388</v>
      </c>
      <c r="D369" t="s">
        <v>158</v>
      </c>
      <c r="E369" t="s">
        <v>159</v>
      </c>
      <c r="F369" t="s">
        <v>389</v>
      </c>
      <c r="G369">
        <v>822062</v>
      </c>
      <c r="H369" t="s">
        <v>26</v>
      </c>
      <c r="I369" t="s">
        <v>390</v>
      </c>
      <c r="J369" t="str">
        <f>"9780857083272"</f>
        <v>9780857083272</v>
      </c>
      <c r="K369" t="s">
        <v>735</v>
      </c>
      <c r="L369">
        <v>16</v>
      </c>
      <c r="O369" t="s">
        <v>30</v>
      </c>
      <c r="P369" t="s">
        <v>42</v>
      </c>
      <c r="S369" t="s">
        <v>163</v>
      </c>
      <c r="T369" t="s">
        <v>392</v>
      </c>
      <c r="U369" t="s">
        <v>393</v>
      </c>
      <c r="V369" s="3">
        <v>41025</v>
      </c>
    </row>
    <row r="370" spans="1:22" x14ac:dyDescent="0.35">
      <c r="A370" s="1">
        <v>42395.937048611115</v>
      </c>
      <c r="B370" s="2">
        <v>1.8518518518518518E-4</v>
      </c>
      <c r="C370" t="s">
        <v>736</v>
      </c>
      <c r="D370" t="s">
        <v>35</v>
      </c>
      <c r="E370" t="s">
        <v>36</v>
      </c>
      <c r="F370" t="s">
        <v>37</v>
      </c>
      <c r="G370">
        <v>1684620</v>
      </c>
      <c r="H370" t="s">
        <v>26</v>
      </c>
      <c r="I370" t="s">
        <v>38</v>
      </c>
      <c r="J370" t="str">
        <f>"9781118418925"</f>
        <v>9781118418925</v>
      </c>
      <c r="K370" t="s">
        <v>63</v>
      </c>
      <c r="L370">
        <v>1</v>
      </c>
      <c r="O370" t="s">
        <v>28</v>
      </c>
      <c r="P370" t="s">
        <v>29</v>
      </c>
      <c r="Q370" s="1">
        <v>42395.764456018522</v>
      </c>
      <c r="R370">
        <v>7</v>
      </c>
      <c r="S370" t="s">
        <v>40</v>
      </c>
      <c r="T370" t="s">
        <v>41</v>
      </c>
      <c r="U370">
        <v>362.10680000000002</v>
      </c>
      <c r="V370" s="3">
        <v>41759</v>
      </c>
    </row>
    <row r="371" spans="1:22" x14ac:dyDescent="0.35">
      <c r="A371" s="1">
        <v>42395.936863425923</v>
      </c>
      <c r="B371" s="2">
        <v>8.1018518518518516E-5</v>
      </c>
      <c r="C371" t="s">
        <v>736</v>
      </c>
      <c r="D371" t="s">
        <v>35</v>
      </c>
      <c r="E371" t="s">
        <v>36</v>
      </c>
      <c r="F371" t="s">
        <v>37</v>
      </c>
      <c r="G371">
        <v>1684620</v>
      </c>
      <c r="H371" t="s">
        <v>26</v>
      </c>
      <c r="I371" t="s">
        <v>38</v>
      </c>
      <c r="J371" t="str">
        <f>"9781118418925"</f>
        <v>9781118418925</v>
      </c>
      <c r="K371" t="s">
        <v>737</v>
      </c>
      <c r="L371">
        <v>3</v>
      </c>
      <c r="O371" t="s">
        <v>30</v>
      </c>
      <c r="P371" t="s">
        <v>29</v>
      </c>
      <c r="Q371" s="1">
        <v>42395.764456018522</v>
      </c>
      <c r="R371">
        <v>7</v>
      </c>
      <c r="S371" t="s">
        <v>40</v>
      </c>
      <c r="T371" t="s">
        <v>41</v>
      </c>
      <c r="U371">
        <v>362.10680000000002</v>
      </c>
      <c r="V371" s="3">
        <v>41759</v>
      </c>
    </row>
    <row r="372" spans="1:22" x14ac:dyDescent="0.35">
      <c r="A372" s="1">
        <v>42395.932002314818</v>
      </c>
      <c r="B372" s="2">
        <v>4.2824074074074075E-4</v>
      </c>
      <c r="C372" t="s">
        <v>738</v>
      </c>
      <c r="D372" t="s">
        <v>23</v>
      </c>
      <c r="E372" t="s">
        <v>24</v>
      </c>
      <c r="F372" t="s">
        <v>61</v>
      </c>
      <c r="G372">
        <v>699526</v>
      </c>
      <c r="H372" t="s">
        <v>26</v>
      </c>
      <c r="I372" t="s">
        <v>62</v>
      </c>
      <c r="J372" t="str">
        <f>"9781118586006"</f>
        <v>9781118586006</v>
      </c>
      <c r="K372" t="s">
        <v>739</v>
      </c>
      <c r="L372">
        <v>4</v>
      </c>
      <c r="N372" t="s">
        <v>740</v>
      </c>
      <c r="O372" t="s">
        <v>30</v>
      </c>
      <c r="P372" t="s">
        <v>29</v>
      </c>
      <c r="Q372" s="1">
        <v>42395.929745370369</v>
      </c>
      <c r="R372">
        <v>7</v>
      </c>
      <c r="S372" t="s">
        <v>31</v>
      </c>
      <c r="T372" t="s">
        <v>64</v>
      </c>
      <c r="U372">
        <v>6.4</v>
      </c>
      <c r="V372" s="3">
        <v>41222</v>
      </c>
    </row>
    <row r="373" spans="1:22" x14ac:dyDescent="0.35">
      <c r="A373" s="1">
        <v>42395.929745370369</v>
      </c>
      <c r="B373" s="2">
        <v>0</v>
      </c>
      <c r="C373" t="s">
        <v>738</v>
      </c>
      <c r="D373" t="s">
        <v>23</v>
      </c>
      <c r="E373" t="s">
        <v>24</v>
      </c>
      <c r="F373" t="s">
        <v>61</v>
      </c>
      <c r="G373">
        <v>699526</v>
      </c>
      <c r="H373" t="s">
        <v>26</v>
      </c>
      <c r="I373" t="s">
        <v>62</v>
      </c>
      <c r="J373" t="str">
        <f>"9781118586006"</f>
        <v>9781118586006</v>
      </c>
      <c r="L373">
        <v>0</v>
      </c>
      <c r="N373" t="s">
        <v>741</v>
      </c>
      <c r="O373" t="s">
        <v>30</v>
      </c>
      <c r="P373" t="s">
        <v>29</v>
      </c>
      <c r="Q373" s="1">
        <v>42395.929745370369</v>
      </c>
      <c r="R373">
        <v>7</v>
      </c>
      <c r="S373" t="s">
        <v>31</v>
      </c>
      <c r="T373" t="s">
        <v>64</v>
      </c>
      <c r="U373">
        <v>6.4</v>
      </c>
      <c r="V373" s="3">
        <v>41222</v>
      </c>
    </row>
    <row r="374" spans="1:22" x14ac:dyDescent="0.35">
      <c r="A374" s="1">
        <v>42395.929432870369</v>
      </c>
      <c r="B374" s="2">
        <v>3.1250000000000001E-4</v>
      </c>
      <c r="C374" t="s">
        <v>738</v>
      </c>
      <c r="D374" t="s">
        <v>23</v>
      </c>
      <c r="E374" t="s">
        <v>24</v>
      </c>
      <c r="F374" t="s">
        <v>61</v>
      </c>
      <c r="G374">
        <v>699526</v>
      </c>
      <c r="H374" t="s">
        <v>26</v>
      </c>
      <c r="I374" t="s">
        <v>62</v>
      </c>
      <c r="J374" t="str">
        <f>"9781118586006"</f>
        <v>9781118586006</v>
      </c>
      <c r="K374" t="s">
        <v>742</v>
      </c>
      <c r="L374">
        <v>4</v>
      </c>
      <c r="O374" t="s">
        <v>30</v>
      </c>
      <c r="P374" t="s">
        <v>42</v>
      </c>
      <c r="S374" t="s">
        <v>31</v>
      </c>
      <c r="T374" t="s">
        <v>64</v>
      </c>
      <c r="U374">
        <v>6.4</v>
      </c>
      <c r="V374" s="3">
        <v>41222</v>
      </c>
    </row>
    <row r="375" spans="1:22" x14ac:dyDescent="0.35">
      <c r="A375" s="1">
        <v>42395.924988425926</v>
      </c>
      <c r="B375" s="2">
        <v>6.875E-3</v>
      </c>
      <c r="C375" t="s">
        <v>110</v>
      </c>
      <c r="D375" t="s">
        <v>35</v>
      </c>
      <c r="E375" t="s">
        <v>36</v>
      </c>
      <c r="F375" t="s">
        <v>111</v>
      </c>
      <c r="G375">
        <v>693176</v>
      </c>
      <c r="H375" t="s">
        <v>26</v>
      </c>
      <c r="I375" t="s">
        <v>112</v>
      </c>
      <c r="J375" t="str">
        <f>"9781118017746"</f>
        <v>9781118017746</v>
      </c>
      <c r="K375" t="s">
        <v>743</v>
      </c>
      <c r="L375">
        <v>14</v>
      </c>
      <c r="O375" t="s">
        <v>30</v>
      </c>
      <c r="P375" t="s">
        <v>29</v>
      </c>
      <c r="Q375" s="1">
        <v>42395.924988425926</v>
      </c>
      <c r="R375">
        <v>7</v>
      </c>
      <c r="S375" t="s">
        <v>40</v>
      </c>
      <c r="T375" t="s">
        <v>114</v>
      </c>
      <c r="U375" t="s">
        <v>115</v>
      </c>
      <c r="V375" s="3">
        <v>40835</v>
      </c>
    </row>
    <row r="376" spans="1:22" x14ac:dyDescent="0.35">
      <c r="A376" s="1">
        <v>42395.918217592596</v>
      </c>
      <c r="B376" s="2">
        <v>0</v>
      </c>
      <c r="C376" t="s">
        <v>744</v>
      </c>
      <c r="D376" t="s">
        <v>23</v>
      </c>
      <c r="E376" t="s">
        <v>24</v>
      </c>
      <c r="F376" t="s">
        <v>745</v>
      </c>
      <c r="G376">
        <v>1166322</v>
      </c>
      <c r="H376" t="s">
        <v>26</v>
      </c>
      <c r="I376" t="s">
        <v>200</v>
      </c>
      <c r="J376" t="str">
        <f>"9781118418512"</f>
        <v>9781118418512</v>
      </c>
      <c r="L376">
        <v>0</v>
      </c>
      <c r="N376" t="s">
        <v>746</v>
      </c>
      <c r="O376" t="s">
        <v>28</v>
      </c>
      <c r="P376" t="s">
        <v>29</v>
      </c>
      <c r="Q376" s="1">
        <v>42395.73978009259</v>
      </c>
      <c r="R376">
        <v>7</v>
      </c>
      <c r="S376" t="s">
        <v>31</v>
      </c>
      <c r="T376" t="s">
        <v>747</v>
      </c>
      <c r="U376">
        <v>720.072</v>
      </c>
      <c r="V376" s="3">
        <v>41367</v>
      </c>
    </row>
    <row r="377" spans="1:22" x14ac:dyDescent="0.35">
      <c r="A377" s="1">
        <v>42395.918020833335</v>
      </c>
      <c r="B377" s="2">
        <v>3.4722222222222222E-5</v>
      </c>
      <c r="C377" t="s">
        <v>744</v>
      </c>
      <c r="D377" t="s">
        <v>23</v>
      </c>
      <c r="E377" t="s">
        <v>24</v>
      </c>
      <c r="F377" t="s">
        <v>745</v>
      </c>
      <c r="G377">
        <v>1166322</v>
      </c>
      <c r="H377" t="s">
        <v>26</v>
      </c>
      <c r="I377" t="s">
        <v>200</v>
      </c>
      <c r="J377" t="str">
        <f>"9781118418512"</f>
        <v>9781118418512</v>
      </c>
      <c r="K377" t="s">
        <v>33</v>
      </c>
      <c r="L377">
        <v>3</v>
      </c>
      <c r="O377" t="s">
        <v>30</v>
      </c>
      <c r="P377" t="s">
        <v>29</v>
      </c>
      <c r="Q377" s="1">
        <v>42395.73978009259</v>
      </c>
      <c r="R377">
        <v>7</v>
      </c>
      <c r="S377" t="s">
        <v>31</v>
      </c>
      <c r="T377" t="s">
        <v>747</v>
      </c>
      <c r="U377">
        <v>720.072</v>
      </c>
      <c r="V377" s="3">
        <v>41367</v>
      </c>
    </row>
    <row r="378" spans="1:22" x14ac:dyDescent="0.35">
      <c r="A378" s="1">
        <v>42395.917187500003</v>
      </c>
      <c r="B378" s="2">
        <v>2.7777777777777778E-4</v>
      </c>
      <c r="C378" t="s">
        <v>748</v>
      </c>
      <c r="D378" t="s">
        <v>23</v>
      </c>
      <c r="E378" t="s">
        <v>24</v>
      </c>
      <c r="F378" t="s">
        <v>749</v>
      </c>
      <c r="G378">
        <v>694178</v>
      </c>
      <c r="H378" t="s">
        <v>26</v>
      </c>
      <c r="I378" t="s">
        <v>750</v>
      </c>
      <c r="J378" t="str">
        <f>"9780632057528"</f>
        <v>9780632057528</v>
      </c>
      <c r="K378" t="s">
        <v>751</v>
      </c>
      <c r="L378">
        <v>4</v>
      </c>
      <c r="O378" t="s">
        <v>30</v>
      </c>
      <c r="P378" t="s">
        <v>50</v>
      </c>
      <c r="S378" t="s">
        <v>31</v>
      </c>
      <c r="T378" t="s">
        <v>752</v>
      </c>
      <c r="U378">
        <v>391</v>
      </c>
      <c r="V378" s="3">
        <v>41520</v>
      </c>
    </row>
    <row r="379" spans="1:22" x14ac:dyDescent="0.35">
      <c r="A379" s="1">
        <v>42395.915324074071</v>
      </c>
      <c r="B379" s="2">
        <v>9.6643518518518511E-3</v>
      </c>
      <c r="C379" t="s">
        <v>110</v>
      </c>
      <c r="D379" t="s">
        <v>35</v>
      </c>
      <c r="E379" t="s">
        <v>36</v>
      </c>
      <c r="F379" t="s">
        <v>111</v>
      </c>
      <c r="G379">
        <v>693176</v>
      </c>
      <c r="H379" t="s">
        <v>26</v>
      </c>
      <c r="I379" t="s">
        <v>112</v>
      </c>
      <c r="J379" t="str">
        <f>"9781118017746"</f>
        <v>9781118017746</v>
      </c>
      <c r="K379" t="s">
        <v>753</v>
      </c>
      <c r="L379">
        <v>10</v>
      </c>
      <c r="O379" t="s">
        <v>30</v>
      </c>
      <c r="P379" t="s">
        <v>42</v>
      </c>
      <c r="S379" t="s">
        <v>40</v>
      </c>
      <c r="T379" t="s">
        <v>114</v>
      </c>
      <c r="U379" t="s">
        <v>115</v>
      </c>
      <c r="V379" s="3">
        <v>40835</v>
      </c>
    </row>
    <row r="380" spans="1:22" x14ac:dyDescent="0.35">
      <c r="A380" s="1">
        <v>42395.905914351853</v>
      </c>
      <c r="B380" s="2">
        <v>0</v>
      </c>
      <c r="C380" t="s">
        <v>620</v>
      </c>
      <c r="D380" t="s">
        <v>35</v>
      </c>
      <c r="E380" t="s">
        <v>36</v>
      </c>
      <c r="F380" t="s">
        <v>37</v>
      </c>
      <c r="G380">
        <v>1684620</v>
      </c>
      <c r="H380" t="s">
        <v>26</v>
      </c>
      <c r="I380" t="s">
        <v>38</v>
      </c>
      <c r="J380" t="str">
        <f>"9781118418925"</f>
        <v>9781118418925</v>
      </c>
      <c r="L380">
        <v>0</v>
      </c>
      <c r="O380" t="s">
        <v>28</v>
      </c>
      <c r="P380" t="s">
        <v>29</v>
      </c>
      <c r="Q380" s="1">
        <v>42395.899027777778</v>
      </c>
      <c r="R380">
        <v>7</v>
      </c>
      <c r="S380" t="s">
        <v>40</v>
      </c>
      <c r="T380" t="s">
        <v>41</v>
      </c>
      <c r="U380">
        <v>362.10680000000002</v>
      </c>
      <c r="V380" s="3">
        <v>41759</v>
      </c>
    </row>
    <row r="381" spans="1:22" x14ac:dyDescent="0.35">
      <c r="A381" s="1">
        <v>42395.905682870369</v>
      </c>
      <c r="B381" s="2">
        <v>0</v>
      </c>
      <c r="C381" t="s">
        <v>620</v>
      </c>
      <c r="D381" t="s">
        <v>35</v>
      </c>
      <c r="E381" t="s">
        <v>36</v>
      </c>
      <c r="F381" t="s">
        <v>37</v>
      </c>
      <c r="G381">
        <v>1684620</v>
      </c>
      <c r="H381" t="s">
        <v>26</v>
      </c>
      <c r="I381" t="s">
        <v>38</v>
      </c>
      <c r="J381" t="str">
        <f>"9781118418925"</f>
        <v>9781118418925</v>
      </c>
      <c r="L381">
        <v>0</v>
      </c>
      <c r="O381" t="s">
        <v>28</v>
      </c>
      <c r="P381" t="s">
        <v>29</v>
      </c>
      <c r="Q381" s="1">
        <v>42395.899027777778</v>
      </c>
      <c r="R381">
        <v>7</v>
      </c>
      <c r="S381" t="s">
        <v>40</v>
      </c>
      <c r="T381" t="s">
        <v>41</v>
      </c>
      <c r="U381">
        <v>362.10680000000002</v>
      </c>
      <c r="V381" s="3">
        <v>41759</v>
      </c>
    </row>
    <row r="382" spans="1:22" x14ac:dyDescent="0.35">
      <c r="A382" s="1">
        <v>42395.903101851851</v>
      </c>
      <c r="B382" s="2">
        <v>1.273148148148148E-4</v>
      </c>
      <c r="C382" t="s">
        <v>754</v>
      </c>
      <c r="D382" t="s">
        <v>23</v>
      </c>
      <c r="E382" t="s">
        <v>24</v>
      </c>
      <c r="F382" t="s">
        <v>755</v>
      </c>
      <c r="G382">
        <v>1461033</v>
      </c>
      <c r="H382" t="s">
        <v>68</v>
      </c>
      <c r="I382" t="s">
        <v>630</v>
      </c>
      <c r="J382" t="str">
        <f>"9781135205263"</f>
        <v>9781135205263</v>
      </c>
      <c r="K382" t="s">
        <v>756</v>
      </c>
      <c r="L382">
        <v>1</v>
      </c>
      <c r="M382" t="s">
        <v>756</v>
      </c>
      <c r="N382" t="s">
        <v>757</v>
      </c>
      <c r="O382" t="s">
        <v>30</v>
      </c>
      <c r="P382" t="s">
        <v>47</v>
      </c>
      <c r="Q382" s="1">
        <v>42395.903101851851</v>
      </c>
      <c r="R382">
        <v>1</v>
      </c>
      <c r="S382" t="s">
        <v>31</v>
      </c>
      <c r="T382" t="s">
        <v>758</v>
      </c>
      <c r="U382">
        <v>170</v>
      </c>
      <c r="V382" s="3">
        <v>41555</v>
      </c>
    </row>
    <row r="383" spans="1:22" x14ac:dyDescent="0.35">
      <c r="A383" s="1">
        <v>42395.902106481481</v>
      </c>
      <c r="B383" s="2">
        <v>9.9537037037037042E-4</v>
      </c>
      <c r="C383" t="s">
        <v>754</v>
      </c>
      <c r="D383" t="s">
        <v>23</v>
      </c>
      <c r="E383" t="s">
        <v>24</v>
      </c>
      <c r="F383" t="s">
        <v>755</v>
      </c>
      <c r="G383">
        <v>1461033</v>
      </c>
      <c r="H383" t="s">
        <v>68</v>
      </c>
      <c r="I383" t="s">
        <v>630</v>
      </c>
      <c r="J383" t="str">
        <f>"9781135205263"</f>
        <v>9781135205263</v>
      </c>
      <c r="K383" t="s">
        <v>759</v>
      </c>
      <c r="L383">
        <v>17</v>
      </c>
      <c r="O383" t="s">
        <v>30</v>
      </c>
      <c r="P383" t="s">
        <v>50</v>
      </c>
      <c r="S383" t="s">
        <v>31</v>
      </c>
      <c r="T383" t="s">
        <v>758</v>
      </c>
      <c r="U383">
        <v>170</v>
      </c>
      <c r="V383" s="3">
        <v>41555</v>
      </c>
    </row>
    <row r="384" spans="1:22" x14ac:dyDescent="0.35">
      <c r="A384" s="1">
        <v>42395.899305555555</v>
      </c>
      <c r="B384" s="2">
        <v>0</v>
      </c>
      <c r="C384" t="s">
        <v>620</v>
      </c>
      <c r="D384" t="s">
        <v>35</v>
      </c>
      <c r="E384" t="s">
        <v>36</v>
      </c>
      <c r="F384" t="s">
        <v>37</v>
      </c>
      <c r="G384">
        <v>1684620</v>
      </c>
      <c r="H384" t="s">
        <v>26</v>
      </c>
      <c r="I384" t="s">
        <v>38</v>
      </c>
      <c r="J384" t="str">
        <f>"9781118418925"</f>
        <v>9781118418925</v>
      </c>
      <c r="L384">
        <v>0</v>
      </c>
      <c r="O384" t="s">
        <v>28</v>
      </c>
      <c r="P384" t="s">
        <v>29</v>
      </c>
      <c r="Q384" s="1">
        <v>42395.899027777778</v>
      </c>
      <c r="R384">
        <v>7</v>
      </c>
      <c r="S384" t="s">
        <v>40</v>
      </c>
      <c r="T384" t="s">
        <v>41</v>
      </c>
      <c r="U384">
        <v>362.10680000000002</v>
      </c>
      <c r="V384" s="3">
        <v>41759</v>
      </c>
    </row>
    <row r="385" spans="1:22" x14ac:dyDescent="0.35">
      <c r="A385" s="1">
        <v>42395.899212962962</v>
      </c>
      <c r="B385" s="2">
        <v>0</v>
      </c>
      <c r="C385" t="s">
        <v>620</v>
      </c>
      <c r="D385" t="s">
        <v>35</v>
      </c>
      <c r="E385" t="s">
        <v>36</v>
      </c>
      <c r="F385" t="s">
        <v>37</v>
      </c>
      <c r="G385">
        <v>1684620</v>
      </c>
      <c r="H385" t="s">
        <v>26</v>
      </c>
      <c r="I385" t="s">
        <v>38</v>
      </c>
      <c r="J385" t="str">
        <f>"9781118418925"</f>
        <v>9781118418925</v>
      </c>
      <c r="L385">
        <v>0</v>
      </c>
      <c r="O385" t="s">
        <v>28</v>
      </c>
      <c r="P385" t="s">
        <v>29</v>
      </c>
      <c r="Q385" s="1">
        <v>42395.899027777778</v>
      </c>
      <c r="R385">
        <v>7</v>
      </c>
      <c r="S385" t="s">
        <v>40</v>
      </c>
      <c r="T385" t="s">
        <v>41</v>
      </c>
      <c r="U385">
        <v>362.10680000000002</v>
      </c>
      <c r="V385" s="3">
        <v>41759</v>
      </c>
    </row>
    <row r="386" spans="1:22" x14ac:dyDescent="0.35">
      <c r="A386" s="1">
        <v>42395.899027777778</v>
      </c>
      <c r="B386" s="2">
        <v>0</v>
      </c>
      <c r="C386" t="s">
        <v>620</v>
      </c>
      <c r="D386" t="s">
        <v>35</v>
      </c>
      <c r="E386" t="s">
        <v>36</v>
      </c>
      <c r="F386" t="s">
        <v>37</v>
      </c>
      <c r="G386">
        <v>1684620</v>
      </c>
      <c r="H386" t="s">
        <v>26</v>
      </c>
      <c r="I386" t="s">
        <v>38</v>
      </c>
      <c r="J386" t="str">
        <f>"9781118418925"</f>
        <v>9781118418925</v>
      </c>
      <c r="L386">
        <v>0</v>
      </c>
      <c r="O386" t="s">
        <v>28</v>
      </c>
      <c r="P386" t="s">
        <v>29</v>
      </c>
      <c r="Q386" s="1">
        <v>42395.899027777778</v>
      </c>
      <c r="R386">
        <v>7</v>
      </c>
      <c r="S386" t="s">
        <v>40</v>
      </c>
      <c r="T386" t="s">
        <v>41</v>
      </c>
      <c r="U386">
        <v>362.10680000000002</v>
      </c>
      <c r="V386" s="3">
        <v>41759</v>
      </c>
    </row>
    <row r="387" spans="1:22" x14ac:dyDescent="0.35">
      <c r="A387" s="1">
        <v>42395.899027777778</v>
      </c>
      <c r="B387" s="2">
        <v>0</v>
      </c>
      <c r="C387" t="s">
        <v>620</v>
      </c>
      <c r="D387" t="s">
        <v>35</v>
      </c>
      <c r="E387" t="s">
        <v>36</v>
      </c>
      <c r="F387" t="s">
        <v>37</v>
      </c>
      <c r="G387">
        <v>1684620</v>
      </c>
      <c r="H387" t="s">
        <v>26</v>
      </c>
      <c r="I387" t="s">
        <v>38</v>
      </c>
      <c r="J387" t="str">
        <f>"9781118418925"</f>
        <v>9781118418925</v>
      </c>
      <c r="L387">
        <v>0</v>
      </c>
      <c r="O387" t="s">
        <v>30</v>
      </c>
      <c r="P387" t="s">
        <v>29</v>
      </c>
      <c r="Q387" s="1">
        <v>42395.899027777778</v>
      </c>
      <c r="R387">
        <v>7</v>
      </c>
      <c r="S387" t="s">
        <v>40</v>
      </c>
      <c r="T387" t="s">
        <v>41</v>
      </c>
      <c r="U387">
        <v>362.10680000000002</v>
      </c>
      <c r="V387" s="3">
        <v>41759</v>
      </c>
    </row>
    <row r="388" spans="1:22" x14ac:dyDescent="0.35">
      <c r="A388" s="1">
        <v>42395.897604166668</v>
      </c>
      <c r="B388" s="2">
        <v>1.423611111111111E-3</v>
      </c>
      <c r="C388" t="s">
        <v>620</v>
      </c>
      <c r="D388" t="s">
        <v>35</v>
      </c>
      <c r="E388" t="s">
        <v>36</v>
      </c>
      <c r="F388" t="s">
        <v>37</v>
      </c>
      <c r="G388">
        <v>1684620</v>
      </c>
      <c r="H388" t="s">
        <v>26</v>
      </c>
      <c r="I388" t="s">
        <v>38</v>
      </c>
      <c r="J388" t="str">
        <f>"9781118418925"</f>
        <v>9781118418925</v>
      </c>
      <c r="K388" t="s">
        <v>33</v>
      </c>
      <c r="L388">
        <v>3</v>
      </c>
      <c r="O388" t="s">
        <v>30</v>
      </c>
      <c r="P388" t="s">
        <v>42</v>
      </c>
      <c r="S388" t="s">
        <v>40</v>
      </c>
      <c r="T388" t="s">
        <v>41</v>
      </c>
      <c r="U388">
        <v>362.10680000000002</v>
      </c>
      <c r="V388" s="3">
        <v>41759</v>
      </c>
    </row>
    <row r="389" spans="1:22" x14ac:dyDescent="0.35">
      <c r="A389" s="1">
        <v>42395.871493055558</v>
      </c>
      <c r="B389" s="2">
        <v>1.0416666666666667E-4</v>
      </c>
      <c r="C389" t="s">
        <v>106</v>
      </c>
      <c r="D389" t="s">
        <v>23</v>
      </c>
      <c r="E389" t="s">
        <v>24</v>
      </c>
      <c r="F389" t="s">
        <v>760</v>
      </c>
      <c r="G389">
        <v>1487047</v>
      </c>
      <c r="H389" t="s">
        <v>68</v>
      </c>
      <c r="I389" t="s">
        <v>150</v>
      </c>
      <c r="J389" t="str">
        <f>"9781135200220"</f>
        <v>9781135200220</v>
      </c>
      <c r="K389" t="s">
        <v>33</v>
      </c>
      <c r="L389">
        <v>3</v>
      </c>
      <c r="O389" t="s">
        <v>30</v>
      </c>
      <c r="P389" t="s">
        <v>50</v>
      </c>
      <c r="S389" t="s">
        <v>31</v>
      </c>
      <c r="T389" t="s">
        <v>761</v>
      </c>
      <c r="U389">
        <v>791.43</v>
      </c>
      <c r="V389" s="3">
        <v>41565</v>
      </c>
    </row>
    <row r="390" spans="1:22" x14ac:dyDescent="0.35">
      <c r="A390" s="1">
        <v>42395.860486111109</v>
      </c>
      <c r="B390" s="2">
        <v>1.7013888888888892E-3</v>
      </c>
      <c r="C390" t="s">
        <v>762</v>
      </c>
      <c r="D390" t="s">
        <v>23</v>
      </c>
      <c r="E390" t="s">
        <v>24</v>
      </c>
      <c r="F390" t="s">
        <v>763</v>
      </c>
      <c r="G390">
        <v>1882098</v>
      </c>
      <c r="H390" t="s">
        <v>84</v>
      </c>
      <c r="I390" t="s">
        <v>172</v>
      </c>
      <c r="J390" t="str">
        <f>"9780520959187"</f>
        <v>9780520959187</v>
      </c>
      <c r="K390" t="s">
        <v>764</v>
      </c>
      <c r="L390">
        <v>80</v>
      </c>
      <c r="O390" t="s">
        <v>30</v>
      </c>
      <c r="P390" t="s">
        <v>50</v>
      </c>
      <c r="S390" t="s">
        <v>31</v>
      </c>
      <c r="T390" t="s">
        <v>765</v>
      </c>
      <c r="U390">
        <v>987.06299999999999</v>
      </c>
      <c r="V390" s="3">
        <v>42209</v>
      </c>
    </row>
    <row r="391" spans="1:22" x14ac:dyDescent="0.35">
      <c r="A391" s="1">
        <v>42395.828912037039</v>
      </c>
      <c r="B391" s="2">
        <v>5.7870370370370366E-5</v>
      </c>
      <c r="C391" t="s">
        <v>106</v>
      </c>
      <c r="D391" t="s">
        <v>23</v>
      </c>
      <c r="E391" t="s">
        <v>24</v>
      </c>
      <c r="F391" t="s">
        <v>766</v>
      </c>
      <c r="G391">
        <v>3061340</v>
      </c>
      <c r="H391" t="s">
        <v>68</v>
      </c>
      <c r="I391" t="s">
        <v>120</v>
      </c>
      <c r="J391" t="str">
        <f>"9780203723999"</f>
        <v>9780203723999</v>
      </c>
      <c r="K391" t="s">
        <v>767</v>
      </c>
      <c r="L391">
        <v>6</v>
      </c>
      <c r="O391" t="s">
        <v>30</v>
      </c>
      <c r="P391" t="s">
        <v>50</v>
      </c>
      <c r="S391" t="s">
        <v>31</v>
      </c>
      <c r="T391" t="s">
        <v>768</v>
      </c>
      <c r="U391" t="s">
        <v>769</v>
      </c>
      <c r="V391" s="3">
        <v>41548</v>
      </c>
    </row>
    <row r="392" spans="1:22" x14ac:dyDescent="0.35">
      <c r="A392" s="1">
        <v>42395.827291666668</v>
      </c>
      <c r="B392" s="2">
        <v>3.4722222222222224E-4</v>
      </c>
      <c r="C392" t="s">
        <v>770</v>
      </c>
      <c r="D392" t="s">
        <v>125</v>
      </c>
      <c r="E392" t="s">
        <v>126</v>
      </c>
      <c r="F392" t="s">
        <v>771</v>
      </c>
      <c r="G392">
        <v>306744</v>
      </c>
      <c r="H392" t="s">
        <v>91</v>
      </c>
      <c r="I392" t="s">
        <v>247</v>
      </c>
      <c r="J392" t="str">
        <f>"9781593855109"</f>
        <v>9781593855109</v>
      </c>
      <c r="K392" t="s">
        <v>772</v>
      </c>
      <c r="L392">
        <v>8</v>
      </c>
      <c r="O392" t="s">
        <v>30</v>
      </c>
      <c r="P392" t="s">
        <v>50</v>
      </c>
      <c r="S392" t="s">
        <v>128</v>
      </c>
      <c r="T392" t="s">
        <v>773</v>
      </c>
      <c r="U392">
        <v>616.89800000000002</v>
      </c>
      <c r="V392" s="3">
        <v>41773</v>
      </c>
    </row>
    <row r="393" spans="1:22" x14ac:dyDescent="0.35">
      <c r="A393" s="1">
        <v>42395.827106481483</v>
      </c>
      <c r="B393" s="2">
        <v>3.4722222222222222E-5</v>
      </c>
      <c r="C393" t="s">
        <v>774</v>
      </c>
      <c r="D393" t="s">
        <v>146</v>
      </c>
      <c r="E393" t="s">
        <v>147</v>
      </c>
      <c r="F393" t="s">
        <v>775</v>
      </c>
      <c r="G393">
        <v>1809742</v>
      </c>
      <c r="H393" t="s">
        <v>26</v>
      </c>
      <c r="I393" t="s">
        <v>776</v>
      </c>
      <c r="J393" t="str">
        <f>"9781118968291"</f>
        <v>9781118968291</v>
      </c>
      <c r="K393" t="s">
        <v>777</v>
      </c>
      <c r="L393">
        <v>3</v>
      </c>
      <c r="O393" t="s">
        <v>30</v>
      </c>
      <c r="P393" t="s">
        <v>42</v>
      </c>
      <c r="S393" t="s">
        <v>778</v>
      </c>
      <c r="T393" t="s">
        <v>779</v>
      </c>
      <c r="U393">
        <v>794.8</v>
      </c>
      <c r="V393" s="3">
        <v>41911</v>
      </c>
    </row>
    <row r="394" spans="1:22" x14ac:dyDescent="0.35">
      <c r="A394" s="1">
        <v>42395.811574074076</v>
      </c>
      <c r="B394" s="2">
        <v>4.3981481481481481E-4</v>
      </c>
      <c r="C394" t="s">
        <v>110</v>
      </c>
      <c r="D394" t="s">
        <v>35</v>
      </c>
      <c r="E394" t="s">
        <v>36</v>
      </c>
      <c r="F394" t="s">
        <v>111</v>
      </c>
      <c r="G394">
        <v>693176</v>
      </c>
      <c r="H394" t="s">
        <v>26</v>
      </c>
      <c r="I394" t="s">
        <v>112</v>
      </c>
      <c r="J394" t="str">
        <f>"9781118017746"</f>
        <v>9781118017746</v>
      </c>
      <c r="K394" t="s">
        <v>780</v>
      </c>
      <c r="L394">
        <v>11</v>
      </c>
      <c r="O394" t="s">
        <v>30</v>
      </c>
      <c r="P394" t="s">
        <v>42</v>
      </c>
      <c r="S394" t="s">
        <v>40</v>
      </c>
      <c r="T394" t="s">
        <v>114</v>
      </c>
      <c r="U394" t="s">
        <v>115</v>
      </c>
      <c r="V394" s="3">
        <v>40835</v>
      </c>
    </row>
    <row r="395" spans="1:22" x14ac:dyDescent="0.35">
      <c r="A395" s="1">
        <v>42395.804270833331</v>
      </c>
      <c r="B395" s="2">
        <v>1.5509259259259261E-3</v>
      </c>
      <c r="C395" t="s">
        <v>781</v>
      </c>
      <c r="D395" t="s">
        <v>125</v>
      </c>
      <c r="E395" t="s">
        <v>126</v>
      </c>
      <c r="F395" t="s">
        <v>782</v>
      </c>
      <c r="G395">
        <v>1543734</v>
      </c>
      <c r="H395" t="s">
        <v>526</v>
      </c>
      <c r="I395" t="s">
        <v>150</v>
      </c>
      <c r="J395" t="str">
        <f>"9780226002422"</f>
        <v>9780226002422</v>
      </c>
      <c r="K395" t="s">
        <v>783</v>
      </c>
      <c r="L395">
        <v>21</v>
      </c>
      <c r="O395" t="s">
        <v>30</v>
      </c>
      <c r="P395" t="s">
        <v>50</v>
      </c>
      <c r="S395" t="s">
        <v>128</v>
      </c>
      <c r="T395" t="s">
        <v>784</v>
      </c>
      <c r="U395" t="s">
        <v>785</v>
      </c>
      <c r="V395" s="3">
        <v>41586</v>
      </c>
    </row>
    <row r="396" spans="1:22" x14ac:dyDescent="0.35">
      <c r="A396" s="1">
        <v>42395.764456018522</v>
      </c>
      <c r="B396" s="2">
        <v>1.0416666666666667E-4</v>
      </c>
      <c r="C396" t="s">
        <v>736</v>
      </c>
      <c r="D396" t="s">
        <v>35</v>
      </c>
      <c r="E396" t="s">
        <v>36</v>
      </c>
      <c r="F396" t="s">
        <v>37</v>
      </c>
      <c r="G396">
        <v>1684620</v>
      </c>
      <c r="H396" t="s">
        <v>26</v>
      </c>
      <c r="I396" t="s">
        <v>38</v>
      </c>
      <c r="J396" t="str">
        <f>"9781118418925"</f>
        <v>9781118418925</v>
      </c>
      <c r="K396" t="s">
        <v>63</v>
      </c>
      <c r="L396">
        <v>1</v>
      </c>
      <c r="O396" t="s">
        <v>28</v>
      </c>
      <c r="P396" t="s">
        <v>29</v>
      </c>
      <c r="Q396" s="1">
        <v>42395.764456018522</v>
      </c>
      <c r="R396">
        <v>7</v>
      </c>
      <c r="S396" t="s">
        <v>40</v>
      </c>
      <c r="T396" t="s">
        <v>41</v>
      </c>
      <c r="U396">
        <v>362.10680000000002</v>
      </c>
      <c r="V396" s="3">
        <v>41759</v>
      </c>
    </row>
    <row r="397" spans="1:22" x14ac:dyDescent="0.35">
      <c r="A397" s="1">
        <v>42395.764456018522</v>
      </c>
      <c r="B397" s="2">
        <v>0</v>
      </c>
      <c r="C397" t="s">
        <v>736</v>
      </c>
      <c r="D397" t="s">
        <v>35</v>
      </c>
      <c r="E397" t="s">
        <v>36</v>
      </c>
      <c r="F397" t="s">
        <v>37</v>
      </c>
      <c r="G397">
        <v>1684620</v>
      </c>
      <c r="H397" t="s">
        <v>26</v>
      </c>
      <c r="I397" t="s">
        <v>38</v>
      </c>
      <c r="J397" t="str">
        <f>"9781118418925"</f>
        <v>9781118418925</v>
      </c>
      <c r="L397">
        <v>0</v>
      </c>
      <c r="O397" t="s">
        <v>30</v>
      </c>
      <c r="P397" t="s">
        <v>29</v>
      </c>
      <c r="Q397" s="1">
        <v>42395.764456018522</v>
      </c>
      <c r="R397">
        <v>7</v>
      </c>
      <c r="S397" t="s">
        <v>40</v>
      </c>
      <c r="T397" t="s">
        <v>41</v>
      </c>
      <c r="U397">
        <v>362.10680000000002</v>
      </c>
      <c r="V397" s="3">
        <v>41759</v>
      </c>
    </row>
    <row r="398" spans="1:22" x14ac:dyDescent="0.35">
      <c r="A398" s="1">
        <v>42395.764293981483</v>
      </c>
      <c r="B398" s="2">
        <v>1.6203703703703703E-4</v>
      </c>
      <c r="C398" t="s">
        <v>736</v>
      </c>
      <c r="D398" t="s">
        <v>35</v>
      </c>
      <c r="E398" t="s">
        <v>36</v>
      </c>
      <c r="F398" t="s">
        <v>37</v>
      </c>
      <c r="G398">
        <v>1684620</v>
      </c>
      <c r="H398" t="s">
        <v>26</v>
      </c>
      <c r="I398" t="s">
        <v>38</v>
      </c>
      <c r="J398" t="str">
        <f>"9781118418925"</f>
        <v>9781118418925</v>
      </c>
      <c r="K398" t="s">
        <v>786</v>
      </c>
      <c r="L398">
        <v>3</v>
      </c>
      <c r="O398" t="s">
        <v>30</v>
      </c>
      <c r="P398" t="s">
        <v>42</v>
      </c>
      <c r="S398" t="s">
        <v>40</v>
      </c>
      <c r="T398" t="s">
        <v>41</v>
      </c>
      <c r="U398">
        <v>362.10680000000002</v>
      </c>
      <c r="V398" s="3">
        <v>41759</v>
      </c>
    </row>
    <row r="399" spans="1:22" x14ac:dyDescent="0.35">
      <c r="A399" s="1">
        <v>42395.742476851854</v>
      </c>
      <c r="B399" s="2">
        <v>1.9675925925925926E-4</v>
      </c>
      <c r="C399" t="s">
        <v>77</v>
      </c>
      <c r="D399" t="s">
        <v>23</v>
      </c>
      <c r="E399" t="s">
        <v>24</v>
      </c>
      <c r="F399" t="s">
        <v>78</v>
      </c>
      <c r="G399">
        <v>1635363</v>
      </c>
      <c r="H399" t="s">
        <v>26</v>
      </c>
      <c r="I399" t="s">
        <v>79</v>
      </c>
      <c r="J399" t="str">
        <f>"9781118678206"</f>
        <v>9781118678206</v>
      </c>
      <c r="K399" t="s">
        <v>787</v>
      </c>
      <c r="L399">
        <v>8</v>
      </c>
      <c r="O399" t="s">
        <v>30</v>
      </c>
      <c r="P399" t="s">
        <v>29</v>
      </c>
      <c r="Q399" s="1">
        <v>42395.007106481484</v>
      </c>
      <c r="R399">
        <v>7</v>
      </c>
      <c r="S399" t="s">
        <v>31</v>
      </c>
      <c r="T399" t="s">
        <v>81</v>
      </c>
      <c r="U399">
        <v>340.07600000000002</v>
      </c>
      <c r="V399" s="3">
        <v>41684</v>
      </c>
    </row>
    <row r="400" spans="1:22" x14ac:dyDescent="0.35">
      <c r="A400" s="1">
        <v>42395.73978009259</v>
      </c>
      <c r="B400" s="2">
        <v>2.9513888888888888E-3</v>
      </c>
      <c r="C400" t="s">
        <v>744</v>
      </c>
      <c r="D400" t="s">
        <v>23</v>
      </c>
      <c r="E400" t="s">
        <v>24</v>
      </c>
      <c r="F400" t="s">
        <v>745</v>
      </c>
      <c r="G400">
        <v>1166322</v>
      </c>
      <c r="H400" t="s">
        <v>26</v>
      </c>
      <c r="I400" t="s">
        <v>200</v>
      </c>
      <c r="J400" t="str">
        <f>"9781118418512"</f>
        <v>9781118418512</v>
      </c>
      <c r="K400" t="s">
        <v>788</v>
      </c>
      <c r="L400">
        <v>13</v>
      </c>
      <c r="O400" t="s">
        <v>28</v>
      </c>
      <c r="P400" t="s">
        <v>29</v>
      </c>
      <c r="Q400" s="1">
        <v>42395.73978009259</v>
      </c>
      <c r="R400">
        <v>7</v>
      </c>
      <c r="S400" t="s">
        <v>31</v>
      </c>
      <c r="T400" t="s">
        <v>747</v>
      </c>
      <c r="U400">
        <v>720.072</v>
      </c>
      <c r="V400" s="3">
        <v>41367</v>
      </c>
    </row>
    <row r="401" spans="1:22" x14ac:dyDescent="0.35">
      <c r="A401" s="1">
        <v>42395.73978009259</v>
      </c>
      <c r="B401" s="2">
        <v>0</v>
      </c>
      <c r="C401" t="s">
        <v>744</v>
      </c>
      <c r="D401" t="s">
        <v>23</v>
      </c>
      <c r="E401" t="s">
        <v>24</v>
      </c>
      <c r="F401" t="s">
        <v>745</v>
      </c>
      <c r="G401">
        <v>1166322</v>
      </c>
      <c r="H401" t="s">
        <v>26</v>
      </c>
      <c r="I401" t="s">
        <v>200</v>
      </c>
      <c r="J401" t="str">
        <f>"9781118418512"</f>
        <v>9781118418512</v>
      </c>
      <c r="L401">
        <v>0</v>
      </c>
      <c r="O401" t="s">
        <v>30</v>
      </c>
      <c r="P401" t="s">
        <v>29</v>
      </c>
      <c r="Q401" s="1">
        <v>42395.73978009259</v>
      </c>
      <c r="R401">
        <v>7</v>
      </c>
      <c r="S401" t="s">
        <v>31</v>
      </c>
      <c r="T401" t="s">
        <v>747</v>
      </c>
      <c r="U401">
        <v>720.072</v>
      </c>
      <c r="V401" s="3">
        <v>41367</v>
      </c>
    </row>
    <row r="402" spans="1:22" x14ac:dyDescent="0.35">
      <c r="A402" s="1">
        <v>42395.737500000003</v>
      </c>
      <c r="B402" s="2">
        <v>2.2800925925925927E-3</v>
      </c>
      <c r="C402" t="s">
        <v>744</v>
      </c>
      <c r="D402" t="s">
        <v>23</v>
      </c>
      <c r="E402" t="s">
        <v>24</v>
      </c>
      <c r="F402" t="s">
        <v>745</v>
      </c>
      <c r="G402">
        <v>1166322</v>
      </c>
      <c r="H402" t="s">
        <v>26</v>
      </c>
      <c r="I402" t="s">
        <v>200</v>
      </c>
      <c r="J402" t="str">
        <f>"9781118418512"</f>
        <v>9781118418512</v>
      </c>
      <c r="K402" t="s">
        <v>789</v>
      </c>
      <c r="L402">
        <v>29</v>
      </c>
      <c r="O402" t="s">
        <v>30</v>
      </c>
      <c r="P402" t="s">
        <v>42</v>
      </c>
      <c r="S402" t="s">
        <v>31</v>
      </c>
      <c r="T402" t="s">
        <v>747</v>
      </c>
      <c r="U402">
        <v>720.072</v>
      </c>
      <c r="V402" s="3">
        <v>41367</v>
      </c>
    </row>
    <row r="403" spans="1:22" x14ac:dyDescent="0.35">
      <c r="A403" s="1">
        <v>42395.73364583333</v>
      </c>
      <c r="B403" s="2">
        <v>9.5358796296296289E-2</v>
      </c>
      <c r="C403" t="s">
        <v>790</v>
      </c>
      <c r="D403" t="s">
        <v>35</v>
      </c>
      <c r="E403" t="s">
        <v>36</v>
      </c>
      <c r="F403" t="s">
        <v>111</v>
      </c>
      <c r="G403">
        <v>693176</v>
      </c>
      <c r="H403" t="s">
        <v>26</v>
      </c>
      <c r="I403" t="s">
        <v>112</v>
      </c>
      <c r="J403" t="str">
        <f>"9781118017746"</f>
        <v>9781118017746</v>
      </c>
      <c r="K403" t="s">
        <v>791</v>
      </c>
      <c r="L403">
        <v>43</v>
      </c>
      <c r="O403" t="s">
        <v>30</v>
      </c>
      <c r="P403" t="s">
        <v>29</v>
      </c>
      <c r="Q403" s="1">
        <v>42394.935057870367</v>
      </c>
      <c r="R403">
        <v>7</v>
      </c>
      <c r="S403" t="s">
        <v>40</v>
      </c>
      <c r="T403" t="s">
        <v>114</v>
      </c>
      <c r="U403" t="s">
        <v>115</v>
      </c>
      <c r="V403" s="3">
        <v>40835</v>
      </c>
    </row>
    <row r="404" spans="1:22" x14ac:dyDescent="0.35">
      <c r="A404" s="1">
        <v>42395.668645833335</v>
      </c>
      <c r="B404" s="2">
        <v>0</v>
      </c>
      <c r="C404" t="s">
        <v>792</v>
      </c>
      <c r="D404" t="s">
        <v>23</v>
      </c>
      <c r="E404" t="s">
        <v>24</v>
      </c>
      <c r="F404" t="s">
        <v>544</v>
      </c>
      <c r="G404">
        <v>615860</v>
      </c>
      <c r="H404" t="s">
        <v>68</v>
      </c>
      <c r="I404" t="s">
        <v>545</v>
      </c>
      <c r="J404" t="str">
        <f>"9781444128277"</f>
        <v>9781444128277</v>
      </c>
      <c r="L404">
        <v>0</v>
      </c>
      <c r="O404" t="s">
        <v>28</v>
      </c>
      <c r="P404" t="s">
        <v>29</v>
      </c>
      <c r="Q404" s="1">
        <v>42395.663993055554</v>
      </c>
      <c r="R404">
        <v>7</v>
      </c>
      <c r="S404" t="s">
        <v>31</v>
      </c>
      <c r="T404" t="s">
        <v>547</v>
      </c>
      <c r="U404">
        <v>153</v>
      </c>
      <c r="V404" s="3">
        <v>41604</v>
      </c>
    </row>
    <row r="405" spans="1:22" x14ac:dyDescent="0.35">
      <c r="A405" s="1">
        <v>42395.663993055554</v>
      </c>
      <c r="B405" s="2">
        <v>1.9675925925925928E-3</v>
      </c>
      <c r="C405" t="s">
        <v>792</v>
      </c>
      <c r="D405" t="s">
        <v>23</v>
      </c>
      <c r="E405" t="s">
        <v>24</v>
      </c>
      <c r="F405" t="s">
        <v>544</v>
      </c>
      <c r="G405">
        <v>615860</v>
      </c>
      <c r="H405" t="s">
        <v>68</v>
      </c>
      <c r="I405" t="s">
        <v>545</v>
      </c>
      <c r="J405" t="str">
        <f>"9781444128277"</f>
        <v>9781444128277</v>
      </c>
      <c r="K405" t="s">
        <v>793</v>
      </c>
      <c r="L405">
        <v>6</v>
      </c>
      <c r="O405" t="s">
        <v>28</v>
      </c>
      <c r="P405" t="s">
        <v>29</v>
      </c>
      <c r="Q405" s="1">
        <v>42395.663993055554</v>
      </c>
      <c r="R405">
        <v>7</v>
      </c>
      <c r="S405" t="s">
        <v>31</v>
      </c>
      <c r="T405" t="s">
        <v>547</v>
      </c>
      <c r="U405">
        <v>153</v>
      </c>
      <c r="V405" s="3">
        <v>41604</v>
      </c>
    </row>
    <row r="406" spans="1:22" x14ac:dyDescent="0.35">
      <c r="A406" s="1">
        <v>42395.663993055554</v>
      </c>
      <c r="B406" s="2">
        <v>0</v>
      </c>
      <c r="C406" t="s">
        <v>792</v>
      </c>
      <c r="D406" t="s">
        <v>23</v>
      </c>
      <c r="E406" t="s">
        <v>24</v>
      </c>
      <c r="F406" t="s">
        <v>544</v>
      </c>
      <c r="G406">
        <v>615860</v>
      </c>
      <c r="H406" t="s">
        <v>68</v>
      </c>
      <c r="I406" t="s">
        <v>545</v>
      </c>
      <c r="J406" t="str">
        <f>"9781444128277"</f>
        <v>9781444128277</v>
      </c>
      <c r="L406">
        <v>0</v>
      </c>
      <c r="O406" t="s">
        <v>30</v>
      </c>
      <c r="P406" t="s">
        <v>29</v>
      </c>
      <c r="Q406" s="1">
        <v>42395.663993055554</v>
      </c>
      <c r="R406">
        <v>7</v>
      </c>
      <c r="S406" t="s">
        <v>31</v>
      </c>
      <c r="T406" t="s">
        <v>547</v>
      </c>
      <c r="U406">
        <v>153</v>
      </c>
      <c r="V406" s="3">
        <v>41604</v>
      </c>
    </row>
    <row r="407" spans="1:22" x14ac:dyDescent="0.35">
      <c r="A407" s="1">
        <v>42395.663472222222</v>
      </c>
      <c r="B407" s="2">
        <v>5.0925925925925921E-4</v>
      </c>
      <c r="C407" t="s">
        <v>792</v>
      </c>
      <c r="D407" t="s">
        <v>23</v>
      </c>
      <c r="E407" t="s">
        <v>24</v>
      </c>
      <c r="F407" t="s">
        <v>544</v>
      </c>
      <c r="G407">
        <v>615860</v>
      </c>
      <c r="H407" t="s">
        <v>68</v>
      </c>
      <c r="I407" t="s">
        <v>545</v>
      </c>
      <c r="J407" t="str">
        <f>"9781444128277"</f>
        <v>9781444128277</v>
      </c>
      <c r="K407" t="s">
        <v>33</v>
      </c>
      <c r="L407">
        <v>3</v>
      </c>
      <c r="O407" t="s">
        <v>30</v>
      </c>
      <c r="P407" t="s">
        <v>50</v>
      </c>
      <c r="S407" t="s">
        <v>31</v>
      </c>
      <c r="T407" t="s">
        <v>547</v>
      </c>
      <c r="U407">
        <v>153</v>
      </c>
      <c r="V407" s="3">
        <v>41604</v>
      </c>
    </row>
    <row r="408" spans="1:22" x14ac:dyDescent="0.35">
      <c r="A408" s="1">
        <v>42395.642199074071</v>
      </c>
      <c r="B408" s="2">
        <v>5.4895833333333331E-2</v>
      </c>
      <c r="C408" t="s">
        <v>471</v>
      </c>
      <c r="D408" t="s">
        <v>211</v>
      </c>
      <c r="E408" t="s">
        <v>212</v>
      </c>
      <c r="F408" t="s">
        <v>497</v>
      </c>
      <c r="G408">
        <v>1986951</v>
      </c>
      <c r="H408" t="s">
        <v>26</v>
      </c>
      <c r="I408" t="s">
        <v>97</v>
      </c>
      <c r="J408" t="str">
        <f>"9781119130468"</f>
        <v>9781119130468</v>
      </c>
      <c r="K408" t="s">
        <v>794</v>
      </c>
      <c r="L408">
        <v>27</v>
      </c>
      <c r="M408" t="s">
        <v>795</v>
      </c>
      <c r="O408" t="s">
        <v>30</v>
      </c>
      <c r="P408" t="s">
        <v>29</v>
      </c>
      <c r="Q408" s="1">
        <v>42394.659768518519</v>
      </c>
      <c r="R408">
        <v>7</v>
      </c>
      <c r="S408" t="s">
        <v>214</v>
      </c>
      <c r="T408" t="s">
        <v>500</v>
      </c>
      <c r="U408">
        <v>657.07600000000002</v>
      </c>
      <c r="V408" s="3">
        <v>42143</v>
      </c>
    </row>
    <row r="409" spans="1:22" x14ac:dyDescent="0.35">
      <c r="A409" s="1">
        <v>42395.641944444447</v>
      </c>
      <c r="B409" s="2">
        <v>3.4722222222222222E-5</v>
      </c>
      <c r="C409" t="s">
        <v>471</v>
      </c>
      <c r="D409" t="s">
        <v>211</v>
      </c>
      <c r="E409" t="s">
        <v>212</v>
      </c>
      <c r="F409" t="s">
        <v>796</v>
      </c>
      <c r="G409">
        <v>947579</v>
      </c>
      <c r="H409" t="s">
        <v>26</v>
      </c>
      <c r="I409" t="s">
        <v>97</v>
      </c>
      <c r="J409" t="str">
        <f>"9781118419632"</f>
        <v>9781118419632</v>
      </c>
      <c r="K409" t="s">
        <v>33</v>
      </c>
      <c r="L409">
        <v>3</v>
      </c>
      <c r="O409" t="s">
        <v>30</v>
      </c>
      <c r="P409" t="s">
        <v>42</v>
      </c>
      <c r="S409" t="s">
        <v>214</v>
      </c>
      <c r="T409" t="s">
        <v>797</v>
      </c>
      <c r="U409">
        <v>657.45</v>
      </c>
      <c r="V409" s="3">
        <v>41241</v>
      </c>
    </row>
    <row r="410" spans="1:22" x14ac:dyDescent="0.35">
      <c r="A410" s="1">
        <v>42395.635451388887</v>
      </c>
      <c r="B410" s="2">
        <v>1.8518518518518518E-4</v>
      </c>
      <c r="C410" t="s">
        <v>798</v>
      </c>
      <c r="D410" t="s">
        <v>23</v>
      </c>
      <c r="E410" t="s">
        <v>24</v>
      </c>
      <c r="F410" t="s">
        <v>799</v>
      </c>
      <c r="G410">
        <v>1757959</v>
      </c>
      <c r="H410" t="s">
        <v>26</v>
      </c>
      <c r="I410" t="s">
        <v>800</v>
      </c>
      <c r="J410" t="str">
        <f>"9781118767023"</f>
        <v>9781118767023</v>
      </c>
      <c r="K410" t="s">
        <v>801</v>
      </c>
      <c r="L410">
        <v>8</v>
      </c>
      <c r="O410" t="s">
        <v>30</v>
      </c>
      <c r="P410" t="s">
        <v>29</v>
      </c>
      <c r="Q410" s="1">
        <v>42394.647303240738</v>
      </c>
      <c r="R410">
        <v>7</v>
      </c>
      <c r="S410" t="s">
        <v>31</v>
      </c>
      <c r="T410" t="s">
        <v>802</v>
      </c>
      <c r="U410" t="s">
        <v>803</v>
      </c>
      <c r="V410" s="3">
        <v>41850</v>
      </c>
    </row>
    <row r="411" spans="1:22" x14ac:dyDescent="0.35">
      <c r="A411" s="1">
        <v>42395.609722222223</v>
      </c>
      <c r="B411" s="2">
        <v>4.4560185185185189E-3</v>
      </c>
      <c r="C411" t="s">
        <v>77</v>
      </c>
      <c r="D411" t="s">
        <v>23</v>
      </c>
      <c r="E411" t="s">
        <v>24</v>
      </c>
      <c r="F411" t="s">
        <v>78</v>
      </c>
      <c r="G411">
        <v>1635363</v>
      </c>
      <c r="H411" t="s">
        <v>26</v>
      </c>
      <c r="I411" t="s">
        <v>79</v>
      </c>
      <c r="J411" t="str">
        <f>"9781118678206"</f>
        <v>9781118678206</v>
      </c>
      <c r="K411" t="s">
        <v>804</v>
      </c>
      <c r="L411">
        <v>10</v>
      </c>
      <c r="O411" t="s">
        <v>30</v>
      </c>
      <c r="P411" t="s">
        <v>29</v>
      </c>
      <c r="Q411" s="1">
        <v>42395.007106481484</v>
      </c>
      <c r="R411">
        <v>7</v>
      </c>
      <c r="S411" t="s">
        <v>31</v>
      </c>
      <c r="T411" t="s">
        <v>81</v>
      </c>
      <c r="U411">
        <v>340.07600000000002</v>
      </c>
      <c r="V411" s="3">
        <v>41684</v>
      </c>
    </row>
    <row r="412" spans="1:22" x14ac:dyDescent="0.35">
      <c r="A412" s="1">
        <v>42395.593078703707</v>
      </c>
      <c r="B412" s="2">
        <v>3.4722222222222222E-5</v>
      </c>
      <c r="C412" t="s">
        <v>805</v>
      </c>
      <c r="D412" t="s">
        <v>623</v>
      </c>
      <c r="E412" t="s">
        <v>624</v>
      </c>
      <c r="F412" t="s">
        <v>806</v>
      </c>
      <c r="G412">
        <v>1715305</v>
      </c>
      <c r="H412" t="s">
        <v>91</v>
      </c>
      <c r="I412" t="s">
        <v>247</v>
      </c>
      <c r="J412" t="str">
        <f>"9781462516742"</f>
        <v>9781462516742</v>
      </c>
      <c r="K412" t="s">
        <v>807</v>
      </c>
      <c r="L412">
        <v>6</v>
      </c>
      <c r="O412" t="s">
        <v>30</v>
      </c>
      <c r="P412" t="s">
        <v>29</v>
      </c>
      <c r="Q412" s="1">
        <v>42395.593078703707</v>
      </c>
      <c r="R412">
        <v>7</v>
      </c>
      <c r="S412" t="s">
        <v>627</v>
      </c>
      <c r="T412" t="s">
        <v>808</v>
      </c>
      <c r="U412">
        <v>618.9289</v>
      </c>
      <c r="V412" s="3">
        <v>41886</v>
      </c>
    </row>
    <row r="413" spans="1:22" x14ac:dyDescent="0.35">
      <c r="A413" s="1">
        <v>42395.582592592589</v>
      </c>
      <c r="B413" s="2">
        <v>4.1319444444444442E-3</v>
      </c>
      <c r="C413" t="s">
        <v>809</v>
      </c>
      <c r="D413" t="s">
        <v>146</v>
      </c>
      <c r="E413" t="s">
        <v>147</v>
      </c>
      <c r="F413" t="s">
        <v>810</v>
      </c>
      <c r="G413">
        <v>817860</v>
      </c>
      <c r="H413" t="s">
        <v>26</v>
      </c>
      <c r="I413" t="s">
        <v>187</v>
      </c>
      <c r="J413" t="str">
        <f>"9781118206362"</f>
        <v>9781118206362</v>
      </c>
      <c r="K413" t="s">
        <v>811</v>
      </c>
      <c r="L413">
        <v>28</v>
      </c>
      <c r="O413" t="s">
        <v>30</v>
      </c>
      <c r="P413" t="s">
        <v>42</v>
      </c>
      <c r="S413" t="s">
        <v>812</v>
      </c>
      <c r="T413" t="s">
        <v>813</v>
      </c>
      <c r="U413" t="s">
        <v>814</v>
      </c>
      <c r="V413" s="3">
        <v>40939</v>
      </c>
    </row>
    <row r="414" spans="1:22" x14ac:dyDescent="0.35">
      <c r="A414" s="1">
        <v>42395.581041666665</v>
      </c>
      <c r="B414" s="2">
        <v>1.0763888888888889E-3</v>
      </c>
      <c r="C414" t="s">
        <v>809</v>
      </c>
      <c r="D414" t="s">
        <v>146</v>
      </c>
      <c r="E414" t="s">
        <v>147</v>
      </c>
      <c r="F414" t="s">
        <v>810</v>
      </c>
      <c r="G414">
        <v>817860</v>
      </c>
      <c r="H414" t="s">
        <v>26</v>
      </c>
      <c r="I414" t="s">
        <v>187</v>
      </c>
      <c r="J414" t="str">
        <f>"9781118206362"</f>
        <v>9781118206362</v>
      </c>
      <c r="K414" t="s">
        <v>815</v>
      </c>
      <c r="L414">
        <v>20</v>
      </c>
      <c r="O414" t="s">
        <v>30</v>
      </c>
      <c r="P414" t="s">
        <v>42</v>
      </c>
      <c r="S414" t="s">
        <v>812</v>
      </c>
      <c r="T414" t="s">
        <v>813</v>
      </c>
      <c r="U414" t="s">
        <v>814</v>
      </c>
      <c r="V414" s="3">
        <v>40939</v>
      </c>
    </row>
    <row r="415" spans="1:22" x14ac:dyDescent="0.35">
      <c r="A415" s="1">
        <v>42395.575046296297</v>
      </c>
      <c r="B415" s="2">
        <v>1.8032407407407407E-2</v>
      </c>
      <c r="C415" t="s">
        <v>805</v>
      </c>
      <c r="D415" t="s">
        <v>623</v>
      </c>
      <c r="E415" t="s">
        <v>624</v>
      </c>
      <c r="F415" t="s">
        <v>806</v>
      </c>
      <c r="G415">
        <v>1715305</v>
      </c>
      <c r="H415" t="s">
        <v>91</v>
      </c>
      <c r="I415" t="s">
        <v>247</v>
      </c>
      <c r="J415" t="str">
        <f>"9781462516742"</f>
        <v>9781462516742</v>
      </c>
      <c r="K415" t="s">
        <v>816</v>
      </c>
      <c r="L415">
        <v>11</v>
      </c>
      <c r="O415" t="s">
        <v>30</v>
      </c>
      <c r="P415" t="s">
        <v>42</v>
      </c>
      <c r="S415" t="s">
        <v>627</v>
      </c>
      <c r="T415" t="s">
        <v>808</v>
      </c>
      <c r="U415">
        <v>618.9289</v>
      </c>
      <c r="V415" s="3">
        <v>41886</v>
      </c>
    </row>
    <row r="416" spans="1:22" x14ac:dyDescent="0.35">
      <c r="A416" s="1">
        <v>42395.556284722225</v>
      </c>
      <c r="B416" s="2">
        <v>1.4004629629629629E-3</v>
      </c>
      <c r="C416" t="s">
        <v>106</v>
      </c>
      <c r="D416" t="s">
        <v>23</v>
      </c>
      <c r="E416" t="s">
        <v>24</v>
      </c>
      <c r="F416" t="s">
        <v>83</v>
      </c>
      <c r="G416">
        <v>1711065</v>
      </c>
      <c r="H416" t="s">
        <v>84</v>
      </c>
      <c r="I416" t="s">
        <v>85</v>
      </c>
      <c r="J416" t="str">
        <f>"9780520959156"</f>
        <v>9780520959156</v>
      </c>
      <c r="K416" t="s">
        <v>817</v>
      </c>
      <c r="L416">
        <v>36</v>
      </c>
      <c r="O416" t="s">
        <v>30</v>
      </c>
      <c r="P416" t="s">
        <v>42</v>
      </c>
      <c r="S416" t="s">
        <v>31</v>
      </c>
      <c r="T416" t="s">
        <v>87</v>
      </c>
      <c r="U416" t="s">
        <v>88</v>
      </c>
      <c r="V416" s="3">
        <v>41881</v>
      </c>
    </row>
    <row r="417" spans="1:22" x14ac:dyDescent="0.35">
      <c r="A417" s="1">
        <v>42395.527488425927</v>
      </c>
      <c r="B417" s="2">
        <v>1.2499999999999999E-2</v>
      </c>
      <c r="C417" t="s">
        <v>818</v>
      </c>
      <c r="D417" t="s">
        <v>23</v>
      </c>
      <c r="E417" t="s">
        <v>24</v>
      </c>
      <c r="F417" t="s">
        <v>819</v>
      </c>
      <c r="G417">
        <v>406013</v>
      </c>
      <c r="H417" t="s">
        <v>91</v>
      </c>
      <c r="I417" t="s">
        <v>247</v>
      </c>
      <c r="J417" t="str">
        <f>"9781593858452"</f>
        <v>9781593858452</v>
      </c>
      <c r="K417" t="s">
        <v>820</v>
      </c>
      <c r="L417">
        <v>43</v>
      </c>
      <c r="O417" t="s">
        <v>30</v>
      </c>
      <c r="P417" t="s">
        <v>47</v>
      </c>
      <c r="Q417" s="1">
        <v>42395.164618055554</v>
      </c>
      <c r="R417">
        <v>1</v>
      </c>
      <c r="S417" t="s">
        <v>31</v>
      </c>
      <c r="T417" t="s">
        <v>821</v>
      </c>
      <c r="U417">
        <v>618.9289</v>
      </c>
      <c r="V417" s="3">
        <v>41773</v>
      </c>
    </row>
    <row r="418" spans="1:22" x14ac:dyDescent="0.35">
      <c r="A418" s="1">
        <v>42395.37427083333</v>
      </c>
      <c r="B418" s="2">
        <v>5.2083333333333333E-4</v>
      </c>
      <c r="C418" t="s">
        <v>792</v>
      </c>
      <c r="D418" t="s">
        <v>23</v>
      </c>
      <c r="E418" t="s">
        <v>24</v>
      </c>
      <c r="F418" t="s">
        <v>544</v>
      </c>
      <c r="G418">
        <v>615860</v>
      </c>
      <c r="H418" t="s">
        <v>68</v>
      </c>
      <c r="I418" t="s">
        <v>545</v>
      </c>
      <c r="J418" t="str">
        <f>"9781444128277"</f>
        <v>9781444128277</v>
      </c>
      <c r="K418" t="s">
        <v>202</v>
      </c>
      <c r="L418">
        <v>3</v>
      </c>
      <c r="O418" t="s">
        <v>30</v>
      </c>
      <c r="P418" t="s">
        <v>50</v>
      </c>
      <c r="S418" t="s">
        <v>31</v>
      </c>
      <c r="T418" t="s">
        <v>547</v>
      </c>
      <c r="U418">
        <v>153</v>
      </c>
      <c r="V418" s="3">
        <v>41604</v>
      </c>
    </row>
    <row r="419" spans="1:22" x14ac:dyDescent="0.35">
      <c r="A419" s="1">
        <v>42395.346817129626</v>
      </c>
      <c r="B419" s="2">
        <v>1.0185185185185186E-3</v>
      </c>
      <c r="C419" t="s">
        <v>822</v>
      </c>
      <c r="D419" t="s">
        <v>23</v>
      </c>
      <c r="E419" t="s">
        <v>24</v>
      </c>
      <c r="F419" t="s">
        <v>823</v>
      </c>
      <c r="G419">
        <v>1221573</v>
      </c>
      <c r="H419" t="s">
        <v>26</v>
      </c>
      <c r="I419" t="s">
        <v>824</v>
      </c>
      <c r="J419" t="str">
        <f>"9781118658116"</f>
        <v>9781118658116</v>
      </c>
      <c r="K419" t="s">
        <v>825</v>
      </c>
      <c r="L419">
        <v>5</v>
      </c>
      <c r="O419" t="s">
        <v>30</v>
      </c>
      <c r="P419" t="s">
        <v>42</v>
      </c>
      <c r="S419" t="s">
        <v>31</v>
      </c>
      <c r="T419" t="s">
        <v>826</v>
      </c>
      <c r="U419">
        <v>174.4</v>
      </c>
      <c r="V419" s="3">
        <v>41444</v>
      </c>
    </row>
    <row r="420" spans="1:22" x14ac:dyDescent="0.35">
      <c r="A420" s="1">
        <v>42395.340266203704</v>
      </c>
      <c r="B420" s="2">
        <v>3.1250000000000001E-4</v>
      </c>
      <c r="C420" t="s">
        <v>822</v>
      </c>
      <c r="D420" t="s">
        <v>23</v>
      </c>
      <c r="E420" t="s">
        <v>24</v>
      </c>
      <c r="F420" t="s">
        <v>823</v>
      </c>
      <c r="G420">
        <v>1221573</v>
      </c>
      <c r="H420" t="s">
        <v>26</v>
      </c>
      <c r="I420" t="s">
        <v>824</v>
      </c>
      <c r="J420" t="str">
        <f>"9781118658116"</f>
        <v>9781118658116</v>
      </c>
      <c r="K420" t="s">
        <v>827</v>
      </c>
      <c r="L420">
        <v>6</v>
      </c>
      <c r="O420" t="s">
        <v>30</v>
      </c>
      <c r="P420" t="s">
        <v>42</v>
      </c>
      <c r="S420" t="s">
        <v>31</v>
      </c>
      <c r="T420" t="s">
        <v>826</v>
      </c>
      <c r="U420">
        <v>174.4</v>
      </c>
      <c r="V420" s="3">
        <v>41444</v>
      </c>
    </row>
    <row r="421" spans="1:22" x14ac:dyDescent="0.35">
      <c r="A421" s="1">
        <v>42395.327650462961</v>
      </c>
      <c r="B421" s="2">
        <v>2.0370370370370373E-3</v>
      </c>
      <c r="C421" t="s">
        <v>828</v>
      </c>
      <c r="D421" t="s">
        <v>23</v>
      </c>
      <c r="E421" t="s">
        <v>24</v>
      </c>
      <c r="F421" t="s">
        <v>829</v>
      </c>
      <c r="G421">
        <v>1124030</v>
      </c>
      <c r="H421" t="s">
        <v>26</v>
      </c>
      <c r="I421" t="s">
        <v>830</v>
      </c>
      <c r="J421" t="str">
        <f>"9781118639467"</f>
        <v>9781118639467</v>
      </c>
      <c r="K421" t="s">
        <v>831</v>
      </c>
      <c r="L421">
        <v>18</v>
      </c>
      <c r="O421" t="s">
        <v>30</v>
      </c>
      <c r="P421" t="s">
        <v>50</v>
      </c>
      <c r="S421" t="s">
        <v>31</v>
      </c>
      <c r="T421" t="s">
        <v>832</v>
      </c>
      <c r="U421">
        <v>624.18340000000001</v>
      </c>
      <c r="V421" s="3">
        <v>41318</v>
      </c>
    </row>
    <row r="422" spans="1:22" x14ac:dyDescent="0.35">
      <c r="A422" s="1">
        <v>42395.311296296299</v>
      </c>
      <c r="B422" s="2">
        <v>2.2685185185185182E-3</v>
      </c>
      <c r="C422" t="s">
        <v>553</v>
      </c>
      <c r="D422" t="s">
        <v>23</v>
      </c>
      <c r="E422" t="s">
        <v>24</v>
      </c>
      <c r="F422" t="s">
        <v>544</v>
      </c>
      <c r="G422">
        <v>615860</v>
      </c>
      <c r="H422" t="s">
        <v>68</v>
      </c>
      <c r="I422" t="s">
        <v>545</v>
      </c>
      <c r="J422" t="str">
        <f t="shared" ref="J422:J429" si="5">"9781444128277"</f>
        <v>9781444128277</v>
      </c>
      <c r="K422" t="s">
        <v>833</v>
      </c>
      <c r="L422">
        <v>18</v>
      </c>
      <c r="M422" t="s">
        <v>834</v>
      </c>
      <c r="O422" t="s">
        <v>30</v>
      </c>
      <c r="P422" t="s">
        <v>47</v>
      </c>
      <c r="Q422" s="1">
        <v>42395.311296296299</v>
      </c>
      <c r="R422">
        <v>1</v>
      </c>
      <c r="S422" t="s">
        <v>31</v>
      </c>
      <c r="T422" t="s">
        <v>547</v>
      </c>
      <c r="U422">
        <v>153</v>
      </c>
      <c r="V422" s="3">
        <v>41604</v>
      </c>
    </row>
    <row r="423" spans="1:22" x14ac:dyDescent="0.35">
      <c r="A423" s="1">
        <v>42395.309803240743</v>
      </c>
      <c r="B423" s="2">
        <v>1.4930555555555556E-3</v>
      </c>
      <c r="C423" t="s">
        <v>553</v>
      </c>
      <c r="D423" t="s">
        <v>23</v>
      </c>
      <c r="E423" t="s">
        <v>24</v>
      </c>
      <c r="F423" t="s">
        <v>544</v>
      </c>
      <c r="G423">
        <v>615860</v>
      </c>
      <c r="H423" t="s">
        <v>68</v>
      </c>
      <c r="I423" t="s">
        <v>545</v>
      </c>
      <c r="J423" t="str">
        <f t="shared" si="5"/>
        <v>9781444128277</v>
      </c>
      <c r="K423" t="s">
        <v>835</v>
      </c>
      <c r="L423">
        <v>5</v>
      </c>
      <c r="O423" t="s">
        <v>30</v>
      </c>
      <c r="P423" t="s">
        <v>50</v>
      </c>
      <c r="S423" t="s">
        <v>31</v>
      </c>
      <c r="T423" t="s">
        <v>547</v>
      </c>
      <c r="U423">
        <v>153</v>
      </c>
      <c r="V423" s="3">
        <v>41604</v>
      </c>
    </row>
    <row r="424" spans="1:22" x14ac:dyDescent="0.35">
      <c r="A424" s="1">
        <v>42395.282777777778</v>
      </c>
      <c r="B424" s="2">
        <v>5.9490740740740745E-3</v>
      </c>
      <c r="C424" t="s">
        <v>551</v>
      </c>
      <c r="D424" t="s">
        <v>23</v>
      </c>
      <c r="E424" t="s">
        <v>24</v>
      </c>
      <c r="F424" t="s">
        <v>544</v>
      </c>
      <c r="G424">
        <v>615860</v>
      </c>
      <c r="H424" t="s">
        <v>68</v>
      </c>
      <c r="I424" t="s">
        <v>545</v>
      </c>
      <c r="J424" t="str">
        <f t="shared" si="5"/>
        <v>9781444128277</v>
      </c>
      <c r="K424" t="s">
        <v>836</v>
      </c>
      <c r="L424">
        <v>19</v>
      </c>
      <c r="M424" t="s">
        <v>837</v>
      </c>
      <c r="O424" t="s">
        <v>28</v>
      </c>
      <c r="P424" t="s">
        <v>47</v>
      </c>
      <c r="Q424" s="1">
        <v>42395.278124999997</v>
      </c>
      <c r="R424">
        <v>1</v>
      </c>
      <c r="S424" t="s">
        <v>31</v>
      </c>
      <c r="T424" t="s">
        <v>547</v>
      </c>
      <c r="U424">
        <v>153</v>
      </c>
      <c r="V424" s="3">
        <v>41604</v>
      </c>
    </row>
    <row r="425" spans="1:22" x14ac:dyDescent="0.35">
      <c r="A425" s="1">
        <v>42395.278124999997</v>
      </c>
      <c r="B425" s="2">
        <v>2.0138888888888888E-3</v>
      </c>
      <c r="C425" t="s">
        <v>551</v>
      </c>
      <c r="D425" t="s">
        <v>23</v>
      </c>
      <c r="E425" t="s">
        <v>24</v>
      </c>
      <c r="F425" t="s">
        <v>544</v>
      </c>
      <c r="G425">
        <v>615860</v>
      </c>
      <c r="H425" t="s">
        <v>68</v>
      </c>
      <c r="I425" t="s">
        <v>545</v>
      </c>
      <c r="J425" t="str">
        <f t="shared" si="5"/>
        <v>9781444128277</v>
      </c>
      <c r="K425" t="s">
        <v>838</v>
      </c>
      <c r="L425">
        <v>6</v>
      </c>
      <c r="M425" t="s">
        <v>105</v>
      </c>
      <c r="O425" t="s">
        <v>30</v>
      </c>
      <c r="P425" t="s">
        <v>47</v>
      </c>
      <c r="Q425" s="1">
        <v>42395.278124999997</v>
      </c>
      <c r="R425">
        <v>1</v>
      </c>
      <c r="S425" t="s">
        <v>31</v>
      </c>
      <c r="T425" t="s">
        <v>547</v>
      </c>
      <c r="U425">
        <v>153</v>
      </c>
      <c r="V425" s="3">
        <v>41604</v>
      </c>
    </row>
    <row r="426" spans="1:22" x14ac:dyDescent="0.35">
      <c r="A426" s="1">
        <v>42395.277488425927</v>
      </c>
      <c r="B426" s="2">
        <v>6.3657407407407402E-4</v>
      </c>
      <c r="C426" t="s">
        <v>551</v>
      </c>
      <c r="D426" t="s">
        <v>23</v>
      </c>
      <c r="E426" t="s">
        <v>24</v>
      </c>
      <c r="F426" t="s">
        <v>544</v>
      </c>
      <c r="G426">
        <v>615860</v>
      </c>
      <c r="H426" t="s">
        <v>68</v>
      </c>
      <c r="I426" t="s">
        <v>545</v>
      </c>
      <c r="J426" t="str">
        <f t="shared" si="5"/>
        <v>9781444128277</v>
      </c>
      <c r="K426" t="s">
        <v>33</v>
      </c>
      <c r="L426">
        <v>3</v>
      </c>
      <c r="O426" t="s">
        <v>30</v>
      </c>
      <c r="P426" t="s">
        <v>50</v>
      </c>
      <c r="S426" t="s">
        <v>31</v>
      </c>
      <c r="T426" t="s">
        <v>547</v>
      </c>
      <c r="U426">
        <v>153</v>
      </c>
      <c r="V426" s="3">
        <v>41604</v>
      </c>
    </row>
    <row r="427" spans="1:22" x14ac:dyDescent="0.35">
      <c r="A427" s="1">
        <v>42395.262430555558</v>
      </c>
      <c r="B427" s="2">
        <v>0</v>
      </c>
      <c r="C427" t="s">
        <v>550</v>
      </c>
      <c r="D427" t="s">
        <v>23</v>
      </c>
      <c r="E427" t="s">
        <v>24</v>
      </c>
      <c r="F427" t="s">
        <v>544</v>
      </c>
      <c r="G427">
        <v>615860</v>
      </c>
      <c r="H427" t="s">
        <v>68</v>
      </c>
      <c r="I427" t="s">
        <v>545</v>
      </c>
      <c r="J427" t="str">
        <f t="shared" si="5"/>
        <v>9781444128277</v>
      </c>
      <c r="L427">
        <v>0</v>
      </c>
      <c r="O427" t="s">
        <v>28</v>
      </c>
      <c r="P427" t="s">
        <v>47</v>
      </c>
      <c r="Q427" s="1">
        <v>42395.256678240738</v>
      </c>
      <c r="R427">
        <v>1</v>
      </c>
      <c r="S427" t="s">
        <v>31</v>
      </c>
      <c r="T427" t="s">
        <v>547</v>
      </c>
      <c r="U427">
        <v>153</v>
      </c>
      <c r="V427" s="3">
        <v>41604</v>
      </c>
    </row>
    <row r="428" spans="1:22" x14ac:dyDescent="0.35">
      <c r="A428" s="1">
        <v>42395.260509259257</v>
      </c>
      <c r="B428" s="2">
        <v>0</v>
      </c>
      <c r="C428" t="s">
        <v>550</v>
      </c>
      <c r="D428" t="s">
        <v>23</v>
      </c>
      <c r="E428" t="s">
        <v>24</v>
      </c>
      <c r="F428" t="s">
        <v>544</v>
      </c>
      <c r="G428">
        <v>615860</v>
      </c>
      <c r="H428" t="s">
        <v>68</v>
      </c>
      <c r="I428" t="s">
        <v>545</v>
      </c>
      <c r="J428" t="str">
        <f t="shared" si="5"/>
        <v>9781444128277</v>
      </c>
      <c r="L428">
        <v>0</v>
      </c>
      <c r="O428" t="s">
        <v>28</v>
      </c>
      <c r="P428" t="s">
        <v>47</v>
      </c>
      <c r="Q428" s="1">
        <v>42395.256678240738</v>
      </c>
      <c r="R428">
        <v>1</v>
      </c>
      <c r="S428" t="s">
        <v>31</v>
      </c>
      <c r="T428" t="s">
        <v>547</v>
      </c>
      <c r="U428">
        <v>153</v>
      </c>
      <c r="V428" s="3">
        <v>41604</v>
      </c>
    </row>
    <row r="429" spans="1:22" x14ac:dyDescent="0.35">
      <c r="A429" s="1">
        <v>42395.259826388887</v>
      </c>
      <c r="B429" s="2">
        <v>0</v>
      </c>
      <c r="C429" t="s">
        <v>550</v>
      </c>
      <c r="D429" t="s">
        <v>23</v>
      </c>
      <c r="E429" t="s">
        <v>24</v>
      </c>
      <c r="F429" t="s">
        <v>544</v>
      </c>
      <c r="G429">
        <v>615860</v>
      </c>
      <c r="H429" t="s">
        <v>68</v>
      </c>
      <c r="I429" t="s">
        <v>545</v>
      </c>
      <c r="J429" t="str">
        <f t="shared" si="5"/>
        <v>9781444128277</v>
      </c>
      <c r="L429">
        <v>0</v>
      </c>
      <c r="O429" t="s">
        <v>28</v>
      </c>
      <c r="P429" t="s">
        <v>47</v>
      </c>
      <c r="Q429" s="1">
        <v>42395.256678240738</v>
      </c>
      <c r="R429">
        <v>1</v>
      </c>
      <c r="S429" t="s">
        <v>31</v>
      </c>
      <c r="T429" t="s">
        <v>547</v>
      </c>
      <c r="U429">
        <v>153</v>
      </c>
      <c r="V429" s="3">
        <v>41604</v>
      </c>
    </row>
    <row r="430" spans="1:22" x14ac:dyDescent="0.35">
      <c r="A430" s="1">
        <v>42395.256701388891</v>
      </c>
      <c r="B430" s="2">
        <v>4.1666666666666669E-4</v>
      </c>
      <c r="C430" t="s">
        <v>839</v>
      </c>
      <c r="D430" t="s">
        <v>125</v>
      </c>
      <c r="E430" t="s">
        <v>126</v>
      </c>
      <c r="F430" t="s">
        <v>840</v>
      </c>
      <c r="G430">
        <v>1166311</v>
      </c>
      <c r="H430" t="s">
        <v>26</v>
      </c>
      <c r="I430" t="s">
        <v>841</v>
      </c>
      <c r="J430" t="str">
        <f>"9781118525616"</f>
        <v>9781118525616</v>
      </c>
      <c r="K430" t="s">
        <v>98</v>
      </c>
      <c r="L430">
        <v>7</v>
      </c>
      <c r="O430" t="s">
        <v>30</v>
      </c>
      <c r="P430" t="s">
        <v>42</v>
      </c>
      <c r="S430" t="s">
        <v>128</v>
      </c>
      <c r="T430" t="s">
        <v>842</v>
      </c>
      <c r="U430">
        <v>355.00700000000001</v>
      </c>
      <c r="V430" s="3">
        <v>41366</v>
      </c>
    </row>
    <row r="431" spans="1:22" x14ac:dyDescent="0.35">
      <c r="A431" s="1">
        <v>42395.256678240738</v>
      </c>
      <c r="B431" s="2">
        <v>2.6041666666666665E-3</v>
      </c>
      <c r="C431" t="s">
        <v>550</v>
      </c>
      <c r="D431" t="s">
        <v>23</v>
      </c>
      <c r="E431" t="s">
        <v>24</v>
      </c>
      <c r="F431" t="s">
        <v>544</v>
      </c>
      <c r="G431">
        <v>615860</v>
      </c>
      <c r="H431" t="s">
        <v>68</v>
      </c>
      <c r="I431" t="s">
        <v>545</v>
      </c>
      <c r="J431" t="str">
        <f>"9781444128277"</f>
        <v>9781444128277</v>
      </c>
      <c r="K431" t="s">
        <v>843</v>
      </c>
      <c r="L431">
        <v>9</v>
      </c>
      <c r="M431" t="s">
        <v>105</v>
      </c>
      <c r="O431" t="s">
        <v>30</v>
      </c>
      <c r="P431" t="s">
        <v>47</v>
      </c>
      <c r="Q431" s="1">
        <v>42395.256678240738</v>
      </c>
      <c r="R431">
        <v>1</v>
      </c>
      <c r="S431" t="s">
        <v>31</v>
      </c>
      <c r="T431" t="s">
        <v>547</v>
      </c>
      <c r="U431">
        <v>153</v>
      </c>
      <c r="V431" s="3">
        <v>41604</v>
      </c>
    </row>
    <row r="432" spans="1:22" x14ac:dyDescent="0.35">
      <c r="A432" s="1">
        <v>42395.25540509259</v>
      </c>
      <c r="B432" s="2">
        <v>1.2731481481481483E-3</v>
      </c>
      <c r="C432" t="s">
        <v>550</v>
      </c>
      <c r="D432" t="s">
        <v>23</v>
      </c>
      <c r="E432" t="s">
        <v>24</v>
      </c>
      <c r="F432" t="s">
        <v>544</v>
      </c>
      <c r="G432">
        <v>615860</v>
      </c>
      <c r="H432" t="s">
        <v>68</v>
      </c>
      <c r="I432" t="s">
        <v>545</v>
      </c>
      <c r="J432" t="str">
        <f>"9781444128277"</f>
        <v>9781444128277</v>
      </c>
      <c r="K432" t="s">
        <v>217</v>
      </c>
      <c r="L432">
        <v>12</v>
      </c>
      <c r="O432" t="s">
        <v>30</v>
      </c>
      <c r="P432" t="s">
        <v>50</v>
      </c>
      <c r="S432" t="s">
        <v>31</v>
      </c>
      <c r="T432" t="s">
        <v>547</v>
      </c>
      <c r="U432">
        <v>153</v>
      </c>
      <c r="V432" s="3">
        <v>41604</v>
      </c>
    </row>
    <row r="433" spans="1:22" x14ac:dyDescent="0.35">
      <c r="A433" s="1">
        <v>42395.220312500001</v>
      </c>
      <c r="B433" s="2">
        <v>1.0046296296296296E-2</v>
      </c>
      <c r="C433" t="s">
        <v>22</v>
      </c>
      <c r="D433" t="s">
        <v>23</v>
      </c>
      <c r="E433" t="s">
        <v>24</v>
      </c>
      <c r="F433" t="s">
        <v>25</v>
      </c>
      <c r="G433">
        <v>1120290</v>
      </c>
      <c r="H433" t="s">
        <v>26</v>
      </c>
      <c r="I433" t="s">
        <v>27</v>
      </c>
      <c r="J433" t="str">
        <f>"9781118347478"</f>
        <v>9781118347478</v>
      </c>
      <c r="K433" t="s">
        <v>844</v>
      </c>
      <c r="L433">
        <v>11</v>
      </c>
      <c r="O433" t="s">
        <v>30</v>
      </c>
      <c r="P433" t="s">
        <v>29</v>
      </c>
      <c r="Q433" s="1">
        <v>42395.220312500001</v>
      </c>
      <c r="R433">
        <v>7</v>
      </c>
      <c r="S433" t="s">
        <v>31</v>
      </c>
      <c r="T433" t="s">
        <v>32</v>
      </c>
      <c r="U433">
        <v>421</v>
      </c>
      <c r="V433" s="3">
        <v>41101</v>
      </c>
    </row>
    <row r="434" spans="1:22" x14ac:dyDescent="0.35">
      <c r="A434" s="1">
        <v>42395.213067129633</v>
      </c>
      <c r="B434" s="2">
        <v>7.2453703703703708E-3</v>
      </c>
      <c r="C434" t="s">
        <v>22</v>
      </c>
      <c r="D434" t="s">
        <v>23</v>
      </c>
      <c r="E434" t="s">
        <v>24</v>
      </c>
      <c r="F434" t="s">
        <v>25</v>
      </c>
      <c r="G434">
        <v>1120290</v>
      </c>
      <c r="H434" t="s">
        <v>26</v>
      </c>
      <c r="I434" t="s">
        <v>27</v>
      </c>
      <c r="J434" t="str">
        <f>"9781118347478"</f>
        <v>9781118347478</v>
      </c>
      <c r="K434" t="s">
        <v>845</v>
      </c>
      <c r="L434">
        <v>33</v>
      </c>
      <c r="O434" t="s">
        <v>30</v>
      </c>
      <c r="P434" t="s">
        <v>42</v>
      </c>
      <c r="S434" t="s">
        <v>31</v>
      </c>
      <c r="T434" t="s">
        <v>32</v>
      </c>
      <c r="U434">
        <v>421</v>
      </c>
      <c r="V434" s="3">
        <v>41101</v>
      </c>
    </row>
    <row r="435" spans="1:22" x14ac:dyDescent="0.35">
      <c r="A435" s="1">
        <v>42395.170381944445</v>
      </c>
      <c r="B435" s="2">
        <v>5.6481481481481487E-2</v>
      </c>
      <c r="C435" t="s">
        <v>846</v>
      </c>
      <c r="D435" t="s">
        <v>35</v>
      </c>
      <c r="E435" t="s">
        <v>36</v>
      </c>
      <c r="F435" t="s">
        <v>37</v>
      </c>
      <c r="G435">
        <v>1684620</v>
      </c>
      <c r="H435" t="s">
        <v>26</v>
      </c>
      <c r="I435" t="s">
        <v>38</v>
      </c>
      <c r="J435" t="str">
        <f>"9781118418925"</f>
        <v>9781118418925</v>
      </c>
      <c r="K435" t="s">
        <v>847</v>
      </c>
      <c r="L435">
        <v>40</v>
      </c>
      <c r="O435" t="s">
        <v>28</v>
      </c>
      <c r="P435" t="s">
        <v>29</v>
      </c>
      <c r="Q435" s="1">
        <v>42395.170381944445</v>
      </c>
      <c r="R435">
        <v>7</v>
      </c>
      <c r="S435" t="s">
        <v>40</v>
      </c>
      <c r="T435" t="s">
        <v>41</v>
      </c>
      <c r="U435">
        <v>362.10680000000002</v>
      </c>
      <c r="V435" s="3">
        <v>41759</v>
      </c>
    </row>
    <row r="436" spans="1:22" x14ac:dyDescent="0.35">
      <c r="A436" s="1">
        <v>42395.170381944445</v>
      </c>
      <c r="B436" s="2">
        <v>0</v>
      </c>
      <c r="C436" t="s">
        <v>846</v>
      </c>
      <c r="D436" t="s">
        <v>35</v>
      </c>
      <c r="E436" t="s">
        <v>36</v>
      </c>
      <c r="F436" t="s">
        <v>37</v>
      </c>
      <c r="G436">
        <v>1684620</v>
      </c>
      <c r="H436" t="s">
        <v>26</v>
      </c>
      <c r="I436" t="s">
        <v>38</v>
      </c>
      <c r="J436" t="str">
        <f>"9781118418925"</f>
        <v>9781118418925</v>
      </c>
      <c r="L436">
        <v>0</v>
      </c>
      <c r="O436" t="s">
        <v>30</v>
      </c>
      <c r="P436" t="s">
        <v>29</v>
      </c>
      <c r="Q436" s="1">
        <v>42395.170381944445</v>
      </c>
      <c r="R436">
        <v>7</v>
      </c>
      <c r="S436" t="s">
        <v>40</v>
      </c>
      <c r="T436" t="s">
        <v>41</v>
      </c>
      <c r="U436">
        <v>362.10680000000002</v>
      </c>
      <c r="V436" s="3">
        <v>41759</v>
      </c>
    </row>
    <row r="437" spans="1:22" x14ac:dyDescent="0.35">
      <c r="A437" s="1">
        <v>42395.17019675926</v>
      </c>
      <c r="B437" s="2">
        <v>1.8518518518518518E-4</v>
      </c>
      <c r="C437" t="s">
        <v>846</v>
      </c>
      <c r="D437" t="s">
        <v>35</v>
      </c>
      <c r="E437" t="s">
        <v>36</v>
      </c>
      <c r="F437" t="s">
        <v>37</v>
      </c>
      <c r="G437">
        <v>1684620</v>
      </c>
      <c r="H437" t="s">
        <v>26</v>
      </c>
      <c r="I437" t="s">
        <v>38</v>
      </c>
      <c r="J437" t="str">
        <f>"9781118418925"</f>
        <v>9781118418925</v>
      </c>
      <c r="K437" t="s">
        <v>33</v>
      </c>
      <c r="L437">
        <v>3</v>
      </c>
      <c r="O437" t="s">
        <v>30</v>
      </c>
      <c r="P437" t="s">
        <v>42</v>
      </c>
      <c r="S437" t="s">
        <v>40</v>
      </c>
      <c r="T437" t="s">
        <v>41</v>
      </c>
      <c r="U437">
        <v>362.10680000000002</v>
      </c>
      <c r="V437" s="3">
        <v>41759</v>
      </c>
    </row>
    <row r="438" spans="1:22" x14ac:dyDescent="0.35">
      <c r="A438" s="1">
        <v>42395.16777777778</v>
      </c>
      <c r="B438" s="2">
        <v>1.3206018518518518E-2</v>
      </c>
      <c r="C438" t="s">
        <v>848</v>
      </c>
      <c r="D438" t="s">
        <v>23</v>
      </c>
      <c r="E438" t="s">
        <v>24</v>
      </c>
      <c r="F438" t="s">
        <v>849</v>
      </c>
      <c r="G438">
        <v>1895799</v>
      </c>
      <c r="H438" t="s">
        <v>26</v>
      </c>
      <c r="I438" t="s">
        <v>850</v>
      </c>
      <c r="J438" t="str">
        <f>"9781118953082"</f>
        <v>9781118953082</v>
      </c>
      <c r="K438" t="s">
        <v>851</v>
      </c>
      <c r="L438">
        <v>18</v>
      </c>
      <c r="O438" t="s">
        <v>30</v>
      </c>
      <c r="P438" t="s">
        <v>29</v>
      </c>
      <c r="Q438" s="1">
        <v>42395.167754629627</v>
      </c>
      <c r="R438">
        <v>7</v>
      </c>
      <c r="S438" t="s">
        <v>31</v>
      </c>
      <c r="T438" t="s">
        <v>852</v>
      </c>
      <c r="U438">
        <v>612.31023617599999</v>
      </c>
      <c r="V438" s="3">
        <v>42109</v>
      </c>
    </row>
    <row r="439" spans="1:22" x14ac:dyDescent="0.35">
      <c r="A439" s="1">
        <v>42395.167268518519</v>
      </c>
      <c r="B439" s="2">
        <v>4.0509259259259258E-4</v>
      </c>
      <c r="C439" t="s">
        <v>848</v>
      </c>
      <c r="D439" t="s">
        <v>23</v>
      </c>
      <c r="E439" t="s">
        <v>24</v>
      </c>
      <c r="F439" t="s">
        <v>849</v>
      </c>
      <c r="G439">
        <v>1895799</v>
      </c>
      <c r="H439" t="s">
        <v>26</v>
      </c>
      <c r="I439" t="s">
        <v>850</v>
      </c>
      <c r="J439" t="str">
        <f>"9781118953082"</f>
        <v>9781118953082</v>
      </c>
      <c r="K439" t="s">
        <v>33</v>
      </c>
      <c r="L439">
        <v>3</v>
      </c>
      <c r="O439" t="s">
        <v>30</v>
      </c>
      <c r="P439" t="s">
        <v>50</v>
      </c>
      <c r="S439" t="s">
        <v>31</v>
      </c>
      <c r="T439" t="s">
        <v>852</v>
      </c>
      <c r="U439">
        <v>612.31023617599999</v>
      </c>
      <c r="V439" s="3">
        <v>42109</v>
      </c>
    </row>
    <row r="440" spans="1:22" x14ac:dyDescent="0.35">
      <c r="A440" s="1">
        <v>42395.164618055554</v>
      </c>
      <c r="B440" s="2">
        <v>5.9537037037037034E-2</v>
      </c>
      <c r="C440" t="s">
        <v>818</v>
      </c>
      <c r="D440" t="s">
        <v>23</v>
      </c>
      <c r="E440" t="s">
        <v>24</v>
      </c>
      <c r="F440" t="s">
        <v>819</v>
      </c>
      <c r="G440">
        <v>406013</v>
      </c>
      <c r="H440" t="s">
        <v>91</v>
      </c>
      <c r="I440" t="s">
        <v>247</v>
      </c>
      <c r="J440" t="str">
        <f>"9781593858452"</f>
        <v>9781593858452</v>
      </c>
      <c r="K440" t="s">
        <v>853</v>
      </c>
      <c r="L440">
        <v>15</v>
      </c>
      <c r="O440" t="s">
        <v>30</v>
      </c>
      <c r="P440" t="s">
        <v>47</v>
      </c>
      <c r="Q440" s="1">
        <v>42395.164618055554</v>
      </c>
      <c r="R440">
        <v>1</v>
      </c>
      <c r="S440" t="s">
        <v>31</v>
      </c>
      <c r="T440" t="s">
        <v>821</v>
      </c>
      <c r="U440">
        <v>618.9289</v>
      </c>
      <c r="V440" s="3">
        <v>41773</v>
      </c>
    </row>
    <row r="441" spans="1:22" x14ac:dyDescent="0.35">
      <c r="A441" s="1">
        <v>42395.158946759257</v>
      </c>
      <c r="B441" s="2">
        <v>5.6712962962962958E-3</v>
      </c>
      <c r="C441" t="s">
        <v>818</v>
      </c>
      <c r="D441" t="s">
        <v>23</v>
      </c>
      <c r="E441" t="s">
        <v>24</v>
      </c>
      <c r="F441" t="s">
        <v>819</v>
      </c>
      <c r="G441">
        <v>406013</v>
      </c>
      <c r="H441" t="s">
        <v>91</v>
      </c>
      <c r="I441" t="s">
        <v>247</v>
      </c>
      <c r="J441" t="str">
        <f>"9781593858452"</f>
        <v>9781593858452</v>
      </c>
      <c r="K441" t="s">
        <v>854</v>
      </c>
      <c r="L441">
        <v>8</v>
      </c>
      <c r="O441" t="s">
        <v>30</v>
      </c>
      <c r="P441" t="s">
        <v>50</v>
      </c>
      <c r="S441" t="s">
        <v>31</v>
      </c>
      <c r="T441" t="s">
        <v>821</v>
      </c>
      <c r="U441">
        <v>618.9289</v>
      </c>
      <c r="V441" s="3">
        <v>41773</v>
      </c>
    </row>
    <row r="442" spans="1:22" x14ac:dyDescent="0.35">
      <c r="A442" s="1">
        <v>42395.140532407408</v>
      </c>
      <c r="B442" s="2">
        <v>1.5046296296296294E-3</v>
      </c>
      <c r="C442" t="s">
        <v>828</v>
      </c>
      <c r="D442" t="s">
        <v>23</v>
      </c>
      <c r="E442" t="s">
        <v>24</v>
      </c>
      <c r="F442" t="s">
        <v>855</v>
      </c>
      <c r="G442">
        <v>817848</v>
      </c>
      <c r="H442" t="s">
        <v>26</v>
      </c>
      <c r="I442" t="s">
        <v>856</v>
      </c>
      <c r="J442" t="str">
        <f>"9781118205624"</f>
        <v>9781118205624</v>
      </c>
      <c r="K442" t="s">
        <v>857</v>
      </c>
      <c r="L442">
        <v>13</v>
      </c>
      <c r="O442" t="s">
        <v>30</v>
      </c>
      <c r="P442" t="s">
        <v>42</v>
      </c>
      <c r="S442" t="s">
        <v>31</v>
      </c>
      <c r="T442" t="s">
        <v>858</v>
      </c>
      <c r="U442" t="s">
        <v>859</v>
      </c>
      <c r="V442" s="3">
        <v>41019</v>
      </c>
    </row>
    <row r="443" spans="1:22" x14ac:dyDescent="0.35">
      <c r="A443" s="1">
        <v>42395.090902777774</v>
      </c>
      <c r="B443" s="2">
        <v>5.2083333333333333E-4</v>
      </c>
      <c r="C443" t="s">
        <v>860</v>
      </c>
      <c r="D443" t="s">
        <v>23</v>
      </c>
      <c r="E443" t="s">
        <v>24</v>
      </c>
      <c r="F443" t="s">
        <v>861</v>
      </c>
      <c r="G443">
        <v>1411616</v>
      </c>
      <c r="H443" t="s">
        <v>26</v>
      </c>
      <c r="I443" t="s">
        <v>322</v>
      </c>
      <c r="J443" t="str">
        <f>"9781118419199"</f>
        <v>9781118419199</v>
      </c>
      <c r="K443" t="s">
        <v>862</v>
      </c>
      <c r="L443">
        <v>9</v>
      </c>
      <c r="O443" t="s">
        <v>30</v>
      </c>
      <c r="P443" t="s">
        <v>50</v>
      </c>
      <c r="S443" t="s">
        <v>31</v>
      </c>
      <c r="T443" t="s">
        <v>863</v>
      </c>
      <c r="U443">
        <v>690</v>
      </c>
      <c r="V443" s="3">
        <v>41537</v>
      </c>
    </row>
    <row r="444" spans="1:22" x14ac:dyDescent="0.35">
      <c r="A444" s="1">
        <v>42395.088923611111</v>
      </c>
      <c r="B444" s="2">
        <v>0</v>
      </c>
      <c r="C444" t="s">
        <v>864</v>
      </c>
      <c r="D444" t="s">
        <v>35</v>
      </c>
      <c r="E444" t="s">
        <v>36</v>
      </c>
      <c r="F444" t="s">
        <v>37</v>
      </c>
      <c r="G444">
        <v>1684620</v>
      </c>
      <c r="H444" t="s">
        <v>26</v>
      </c>
      <c r="I444" t="s">
        <v>38</v>
      </c>
      <c r="J444" t="str">
        <f t="shared" ref="J444:J451" si="6">"9781118418925"</f>
        <v>9781118418925</v>
      </c>
      <c r="L444">
        <v>0</v>
      </c>
      <c r="O444" t="s">
        <v>28</v>
      </c>
      <c r="P444" t="s">
        <v>29</v>
      </c>
      <c r="Q444" s="1">
        <v>42395.074733796297</v>
      </c>
      <c r="R444">
        <v>7</v>
      </c>
      <c r="S444" t="s">
        <v>40</v>
      </c>
      <c r="T444" t="s">
        <v>41</v>
      </c>
      <c r="U444">
        <v>362.10680000000002</v>
      </c>
      <c r="V444" s="3">
        <v>41759</v>
      </c>
    </row>
    <row r="445" spans="1:22" x14ac:dyDescent="0.35">
      <c r="A445" s="1">
        <v>42395.074733796297</v>
      </c>
      <c r="B445" s="2">
        <v>0</v>
      </c>
      <c r="C445" t="s">
        <v>864</v>
      </c>
      <c r="D445" t="s">
        <v>35</v>
      </c>
      <c r="E445" t="s">
        <v>36</v>
      </c>
      <c r="F445" t="s">
        <v>37</v>
      </c>
      <c r="G445">
        <v>1684620</v>
      </c>
      <c r="H445" t="s">
        <v>26</v>
      </c>
      <c r="I445" t="s">
        <v>38</v>
      </c>
      <c r="J445" t="str">
        <f t="shared" si="6"/>
        <v>9781118418925</v>
      </c>
      <c r="L445">
        <v>0</v>
      </c>
      <c r="O445" t="s">
        <v>28</v>
      </c>
      <c r="P445" t="s">
        <v>29</v>
      </c>
      <c r="Q445" s="1">
        <v>42395.074733796297</v>
      </c>
      <c r="R445">
        <v>7</v>
      </c>
      <c r="S445" t="s">
        <v>40</v>
      </c>
      <c r="T445" t="s">
        <v>41</v>
      </c>
      <c r="U445">
        <v>362.10680000000002</v>
      </c>
      <c r="V445" s="3">
        <v>41759</v>
      </c>
    </row>
    <row r="446" spans="1:22" x14ac:dyDescent="0.35">
      <c r="A446" s="1">
        <v>42395.074733796297</v>
      </c>
      <c r="B446" s="2">
        <v>0</v>
      </c>
      <c r="C446" t="s">
        <v>864</v>
      </c>
      <c r="D446" t="s">
        <v>35</v>
      </c>
      <c r="E446" t="s">
        <v>36</v>
      </c>
      <c r="F446" t="s">
        <v>37</v>
      </c>
      <c r="G446">
        <v>1684620</v>
      </c>
      <c r="H446" t="s">
        <v>26</v>
      </c>
      <c r="I446" t="s">
        <v>38</v>
      </c>
      <c r="J446" t="str">
        <f t="shared" si="6"/>
        <v>9781118418925</v>
      </c>
      <c r="L446">
        <v>0</v>
      </c>
      <c r="O446" t="s">
        <v>30</v>
      </c>
      <c r="P446" t="s">
        <v>29</v>
      </c>
      <c r="Q446" s="1">
        <v>42395.074733796297</v>
      </c>
      <c r="R446">
        <v>7</v>
      </c>
      <c r="S446" t="s">
        <v>40</v>
      </c>
      <c r="T446" t="s">
        <v>41</v>
      </c>
      <c r="U446">
        <v>362.10680000000002</v>
      </c>
      <c r="V446" s="3">
        <v>41759</v>
      </c>
    </row>
    <row r="447" spans="1:22" x14ac:dyDescent="0.35">
      <c r="A447" s="1">
        <v>42395.074687499997</v>
      </c>
      <c r="B447" s="2">
        <v>0</v>
      </c>
      <c r="C447" t="s">
        <v>865</v>
      </c>
      <c r="D447" t="s">
        <v>35</v>
      </c>
      <c r="E447" t="s">
        <v>36</v>
      </c>
      <c r="F447" t="s">
        <v>37</v>
      </c>
      <c r="G447">
        <v>1684620</v>
      </c>
      <c r="H447" t="s">
        <v>26</v>
      </c>
      <c r="I447" t="s">
        <v>38</v>
      </c>
      <c r="J447" t="str">
        <f t="shared" si="6"/>
        <v>9781118418925</v>
      </c>
      <c r="L447">
        <v>0</v>
      </c>
      <c r="O447" t="s">
        <v>28</v>
      </c>
      <c r="P447" t="s">
        <v>29</v>
      </c>
      <c r="Q447" s="1">
        <v>42395.074687499997</v>
      </c>
      <c r="R447">
        <v>7</v>
      </c>
      <c r="S447" t="s">
        <v>40</v>
      </c>
      <c r="T447" t="s">
        <v>41</v>
      </c>
      <c r="U447">
        <v>362.10680000000002</v>
      </c>
      <c r="V447" s="3">
        <v>41759</v>
      </c>
    </row>
    <row r="448" spans="1:22" x14ac:dyDescent="0.35">
      <c r="A448" s="1">
        <v>42395.074687499997</v>
      </c>
      <c r="B448" s="2">
        <v>0</v>
      </c>
      <c r="C448" t="s">
        <v>865</v>
      </c>
      <c r="D448" t="s">
        <v>35</v>
      </c>
      <c r="E448" t="s">
        <v>36</v>
      </c>
      <c r="F448" t="s">
        <v>37</v>
      </c>
      <c r="G448">
        <v>1684620</v>
      </c>
      <c r="H448" t="s">
        <v>26</v>
      </c>
      <c r="I448" t="s">
        <v>38</v>
      </c>
      <c r="J448" t="str">
        <f t="shared" si="6"/>
        <v>9781118418925</v>
      </c>
      <c r="L448">
        <v>0</v>
      </c>
      <c r="O448" t="s">
        <v>30</v>
      </c>
      <c r="P448" t="s">
        <v>29</v>
      </c>
      <c r="Q448" s="1">
        <v>42395.074687499997</v>
      </c>
      <c r="R448">
        <v>7</v>
      </c>
      <c r="S448" t="s">
        <v>40</v>
      </c>
      <c r="T448" t="s">
        <v>41</v>
      </c>
      <c r="U448">
        <v>362.10680000000002</v>
      </c>
      <c r="V448" s="3">
        <v>41759</v>
      </c>
    </row>
    <row r="449" spans="1:22" x14ac:dyDescent="0.35">
      <c r="A449" s="1">
        <v>42395.074502314812</v>
      </c>
      <c r="B449" s="2">
        <v>1.8518518518518518E-4</v>
      </c>
      <c r="C449" t="s">
        <v>865</v>
      </c>
      <c r="D449" t="s">
        <v>35</v>
      </c>
      <c r="E449" t="s">
        <v>36</v>
      </c>
      <c r="F449" t="s">
        <v>37</v>
      </c>
      <c r="G449">
        <v>1684620</v>
      </c>
      <c r="H449" t="s">
        <v>26</v>
      </c>
      <c r="I449" t="s">
        <v>38</v>
      </c>
      <c r="J449" t="str">
        <f t="shared" si="6"/>
        <v>9781118418925</v>
      </c>
      <c r="K449" t="s">
        <v>33</v>
      </c>
      <c r="L449">
        <v>3</v>
      </c>
      <c r="O449" t="s">
        <v>30</v>
      </c>
      <c r="P449" t="s">
        <v>42</v>
      </c>
      <c r="S449" t="s">
        <v>40</v>
      </c>
      <c r="T449" t="s">
        <v>41</v>
      </c>
      <c r="U449">
        <v>362.10680000000002</v>
      </c>
      <c r="V449" s="3">
        <v>41759</v>
      </c>
    </row>
    <row r="450" spans="1:22" x14ac:dyDescent="0.35">
      <c r="A450" s="1">
        <v>42395.074467592596</v>
      </c>
      <c r="B450" s="2">
        <v>2.6620370370370372E-4</v>
      </c>
      <c r="C450" t="s">
        <v>864</v>
      </c>
      <c r="D450" t="s">
        <v>35</v>
      </c>
      <c r="E450" t="s">
        <v>36</v>
      </c>
      <c r="F450" t="s">
        <v>37</v>
      </c>
      <c r="G450">
        <v>1684620</v>
      </c>
      <c r="H450" t="s">
        <v>26</v>
      </c>
      <c r="I450" t="s">
        <v>38</v>
      </c>
      <c r="J450" t="str">
        <f t="shared" si="6"/>
        <v>9781118418925</v>
      </c>
      <c r="K450" t="s">
        <v>33</v>
      </c>
      <c r="L450">
        <v>3</v>
      </c>
      <c r="O450" t="s">
        <v>30</v>
      </c>
      <c r="P450" t="s">
        <v>42</v>
      </c>
      <c r="S450" t="s">
        <v>40</v>
      </c>
      <c r="T450" t="s">
        <v>41</v>
      </c>
      <c r="U450">
        <v>362.10680000000002</v>
      </c>
      <c r="V450" s="3">
        <v>41759</v>
      </c>
    </row>
    <row r="451" spans="1:22" x14ac:dyDescent="0.35">
      <c r="A451" s="1">
        <v>42395.074456018519</v>
      </c>
      <c r="B451" s="2">
        <v>3.8194444444444446E-4</v>
      </c>
      <c r="C451" t="s">
        <v>866</v>
      </c>
      <c r="D451" t="s">
        <v>35</v>
      </c>
      <c r="E451" t="s">
        <v>36</v>
      </c>
      <c r="F451" t="s">
        <v>37</v>
      </c>
      <c r="G451">
        <v>1684620</v>
      </c>
      <c r="H451" t="s">
        <v>26</v>
      </c>
      <c r="I451" t="s">
        <v>38</v>
      </c>
      <c r="J451" t="str">
        <f t="shared" si="6"/>
        <v>9781118418925</v>
      </c>
      <c r="K451" t="s">
        <v>867</v>
      </c>
      <c r="L451">
        <v>10</v>
      </c>
      <c r="O451" t="s">
        <v>30</v>
      </c>
      <c r="P451" t="s">
        <v>42</v>
      </c>
      <c r="S451" t="s">
        <v>40</v>
      </c>
      <c r="T451" t="s">
        <v>41</v>
      </c>
      <c r="U451">
        <v>362.10680000000002</v>
      </c>
      <c r="V451" s="3">
        <v>41759</v>
      </c>
    </row>
    <row r="452" spans="1:22" x14ac:dyDescent="0.35">
      <c r="A452" s="1">
        <v>42395.056805555556</v>
      </c>
      <c r="B452" s="2">
        <v>7.3263888888888892E-3</v>
      </c>
      <c r="C452" t="s">
        <v>77</v>
      </c>
      <c r="D452" t="s">
        <v>23</v>
      </c>
      <c r="E452" t="s">
        <v>24</v>
      </c>
      <c r="F452" t="s">
        <v>78</v>
      </c>
      <c r="G452">
        <v>1635363</v>
      </c>
      <c r="H452" t="s">
        <v>26</v>
      </c>
      <c r="I452" t="s">
        <v>79</v>
      </c>
      <c r="J452" t="str">
        <f>"9781118678206"</f>
        <v>9781118678206</v>
      </c>
      <c r="K452" t="s">
        <v>868</v>
      </c>
      <c r="L452">
        <v>18</v>
      </c>
      <c r="O452" t="s">
        <v>30</v>
      </c>
      <c r="P452" t="s">
        <v>29</v>
      </c>
      <c r="Q452" s="1">
        <v>42395.007106481484</v>
      </c>
      <c r="R452">
        <v>7</v>
      </c>
      <c r="S452" t="s">
        <v>31</v>
      </c>
      <c r="T452" t="s">
        <v>81</v>
      </c>
      <c r="U452">
        <v>340.07600000000002</v>
      </c>
      <c r="V452" s="3">
        <v>41684</v>
      </c>
    </row>
    <row r="453" spans="1:22" x14ac:dyDescent="0.35">
      <c r="A453" s="1">
        <v>42395.043819444443</v>
      </c>
      <c r="B453" s="2">
        <v>1.6435185185185183E-3</v>
      </c>
      <c r="C453" t="s">
        <v>869</v>
      </c>
      <c r="D453" t="s">
        <v>117</v>
      </c>
      <c r="E453" t="s">
        <v>118</v>
      </c>
      <c r="F453" t="s">
        <v>870</v>
      </c>
      <c r="G453">
        <v>2079233</v>
      </c>
      <c r="H453" t="s">
        <v>45</v>
      </c>
      <c r="I453" t="s">
        <v>79</v>
      </c>
      <c r="J453" t="str">
        <f>"9781472444615"</f>
        <v>9781472444615</v>
      </c>
      <c r="K453" t="s">
        <v>871</v>
      </c>
      <c r="L453">
        <v>11</v>
      </c>
      <c r="O453" t="s">
        <v>30</v>
      </c>
      <c r="P453" t="s">
        <v>50</v>
      </c>
      <c r="S453" t="s">
        <v>121</v>
      </c>
      <c r="T453" t="s">
        <v>872</v>
      </c>
      <c r="U453" t="s">
        <v>873</v>
      </c>
      <c r="V453" s="3">
        <v>42244</v>
      </c>
    </row>
    <row r="454" spans="1:22" x14ac:dyDescent="0.35">
      <c r="A454" s="1">
        <v>42395.023854166669</v>
      </c>
      <c r="B454" s="2">
        <v>1.1574074074074073E-4</v>
      </c>
      <c r="C454" t="s">
        <v>874</v>
      </c>
      <c r="D454" t="s">
        <v>23</v>
      </c>
      <c r="E454" t="s">
        <v>24</v>
      </c>
      <c r="F454" t="s">
        <v>875</v>
      </c>
      <c r="G454">
        <v>1895674</v>
      </c>
      <c r="H454" t="s">
        <v>26</v>
      </c>
      <c r="I454" t="s">
        <v>276</v>
      </c>
      <c r="J454" t="str">
        <f>"9781118858974"</f>
        <v>9781118858974</v>
      </c>
      <c r="K454" t="s">
        <v>876</v>
      </c>
      <c r="L454">
        <v>10</v>
      </c>
      <c r="O454" t="s">
        <v>30</v>
      </c>
      <c r="P454" t="s">
        <v>47</v>
      </c>
      <c r="Q454" s="1">
        <v>42395.023854166669</v>
      </c>
      <c r="R454">
        <v>1</v>
      </c>
      <c r="S454" t="s">
        <v>31</v>
      </c>
      <c r="T454" t="s">
        <v>877</v>
      </c>
      <c r="U454" t="s">
        <v>878</v>
      </c>
      <c r="V454" s="3">
        <v>41992</v>
      </c>
    </row>
    <row r="455" spans="1:22" x14ac:dyDescent="0.35">
      <c r="A455" s="1">
        <v>42395.016111111108</v>
      </c>
      <c r="B455" s="2">
        <v>2.4305555555555552E-4</v>
      </c>
      <c r="C455" t="s">
        <v>879</v>
      </c>
      <c r="D455" t="s">
        <v>23</v>
      </c>
      <c r="E455" t="s">
        <v>24</v>
      </c>
      <c r="F455" t="s">
        <v>25</v>
      </c>
      <c r="G455">
        <v>1120290</v>
      </c>
      <c r="H455" t="s">
        <v>26</v>
      </c>
      <c r="I455" t="s">
        <v>27</v>
      </c>
      <c r="J455" t="str">
        <f>"9781118347478"</f>
        <v>9781118347478</v>
      </c>
      <c r="K455" t="s">
        <v>880</v>
      </c>
      <c r="L455">
        <v>7</v>
      </c>
      <c r="O455" t="s">
        <v>30</v>
      </c>
      <c r="P455" t="s">
        <v>42</v>
      </c>
      <c r="S455" t="s">
        <v>31</v>
      </c>
      <c r="T455" t="s">
        <v>32</v>
      </c>
      <c r="U455">
        <v>421</v>
      </c>
      <c r="V455" s="3">
        <v>41101</v>
      </c>
    </row>
    <row r="456" spans="1:22" x14ac:dyDescent="0.35">
      <c r="A456" s="1">
        <v>42395.013425925928</v>
      </c>
      <c r="B456" s="2">
        <v>8.7962962962962962E-4</v>
      </c>
      <c r="C456" t="s">
        <v>881</v>
      </c>
      <c r="D456" t="s">
        <v>23</v>
      </c>
      <c r="E456" t="s">
        <v>24</v>
      </c>
      <c r="F456" t="s">
        <v>882</v>
      </c>
      <c r="G456">
        <v>1901845</v>
      </c>
      <c r="H456" t="s">
        <v>26</v>
      </c>
      <c r="I456" t="s">
        <v>247</v>
      </c>
      <c r="J456" t="str">
        <f>"9781118656334"</f>
        <v>9781118656334</v>
      </c>
      <c r="K456" t="s">
        <v>883</v>
      </c>
      <c r="L456">
        <v>9</v>
      </c>
      <c r="O456" t="s">
        <v>30</v>
      </c>
      <c r="P456" t="s">
        <v>50</v>
      </c>
      <c r="S456" t="s">
        <v>31</v>
      </c>
      <c r="T456" t="s">
        <v>884</v>
      </c>
      <c r="U456" t="s">
        <v>885</v>
      </c>
      <c r="V456" s="3">
        <v>41989</v>
      </c>
    </row>
    <row r="457" spans="1:22" x14ac:dyDescent="0.35">
      <c r="A457" s="1">
        <v>42395.011273148149</v>
      </c>
      <c r="B457" s="2">
        <v>1.2581018518518519E-2</v>
      </c>
      <c r="C457" t="s">
        <v>874</v>
      </c>
      <c r="D457" t="s">
        <v>23</v>
      </c>
      <c r="E457" t="s">
        <v>24</v>
      </c>
      <c r="F457" t="s">
        <v>875</v>
      </c>
      <c r="G457">
        <v>1895674</v>
      </c>
      <c r="H457" t="s">
        <v>26</v>
      </c>
      <c r="I457" t="s">
        <v>276</v>
      </c>
      <c r="J457" t="str">
        <f>"9781118858974"</f>
        <v>9781118858974</v>
      </c>
      <c r="K457" t="s">
        <v>33</v>
      </c>
      <c r="L457">
        <v>3</v>
      </c>
      <c r="O457" t="s">
        <v>30</v>
      </c>
      <c r="P457" t="s">
        <v>50</v>
      </c>
      <c r="S457" t="s">
        <v>31</v>
      </c>
      <c r="T457" t="s">
        <v>877</v>
      </c>
      <c r="U457" t="s">
        <v>878</v>
      </c>
      <c r="V457" s="3">
        <v>41992</v>
      </c>
    </row>
    <row r="458" spans="1:22" x14ac:dyDescent="0.35">
      <c r="A458" s="1">
        <v>42395.007106481484</v>
      </c>
      <c r="B458" s="2">
        <v>4.2766203703703702E-2</v>
      </c>
      <c r="C458" t="s">
        <v>77</v>
      </c>
      <c r="D458" t="s">
        <v>23</v>
      </c>
      <c r="E458" t="s">
        <v>24</v>
      </c>
      <c r="F458" t="s">
        <v>78</v>
      </c>
      <c r="G458">
        <v>1635363</v>
      </c>
      <c r="H458" t="s">
        <v>26</v>
      </c>
      <c r="I458" t="s">
        <v>79</v>
      </c>
      <c r="J458" t="str">
        <f>"9781118678206"</f>
        <v>9781118678206</v>
      </c>
      <c r="K458" t="s">
        <v>886</v>
      </c>
      <c r="L458">
        <v>17</v>
      </c>
      <c r="O458" t="s">
        <v>30</v>
      </c>
      <c r="P458" t="s">
        <v>29</v>
      </c>
      <c r="Q458" s="1">
        <v>42395.007106481484</v>
      </c>
      <c r="R458">
        <v>7</v>
      </c>
      <c r="S458" t="s">
        <v>31</v>
      </c>
      <c r="T458" t="s">
        <v>81</v>
      </c>
      <c r="U458">
        <v>340.07600000000002</v>
      </c>
      <c r="V458" s="3">
        <v>41684</v>
      </c>
    </row>
    <row r="459" spans="1:22" x14ac:dyDescent="0.35">
      <c r="A459" s="1">
        <v>42395.005879629629</v>
      </c>
      <c r="B459" s="2">
        <v>6.7129629629629625E-4</v>
      </c>
      <c r="C459" t="s">
        <v>860</v>
      </c>
      <c r="D459" t="s">
        <v>23</v>
      </c>
      <c r="E459" t="s">
        <v>24</v>
      </c>
      <c r="F459" t="s">
        <v>887</v>
      </c>
      <c r="G459">
        <v>1791341</v>
      </c>
      <c r="H459" t="s">
        <v>26</v>
      </c>
      <c r="I459" t="s">
        <v>888</v>
      </c>
      <c r="J459" t="str">
        <f>"9781118862285"</f>
        <v>9781118862285</v>
      </c>
      <c r="K459" t="s">
        <v>889</v>
      </c>
      <c r="L459">
        <v>6</v>
      </c>
      <c r="O459" t="s">
        <v>30</v>
      </c>
      <c r="P459" t="s">
        <v>42</v>
      </c>
      <c r="S459" t="s">
        <v>31</v>
      </c>
      <c r="T459" t="s">
        <v>890</v>
      </c>
      <c r="U459">
        <v>696</v>
      </c>
      <c r="V459" s="3">
        <v>41899</v>
      </c>
    </row>
    <row r="460" spans="1:22" x14ac:dyDescent="0.35">
      <c r="A460" s="1">
        <v>42395.005740740744</v>
      </c>
      <c r="B460" s="2">
        <v>0</v>
      </c>
      <c r="C460" t="s">
        <v>210</v>
      </c>
      <c r="D460" t="s">
        <v>211</v>
      </c>
      <c r="E460" t="s">
        <v>212</v>
      </c>
      <c r="F460" t="s">
        <v>891</v>
      </c>
      <c r="G460">
        <v>544120</v>
      </c>
      <c r="H460" t="s">
        <v>91</v>
      </c>
      <c r="I460" t="s">
        <v>69</v>
      </c>
      <c r="J460" t="str">
        <f>"9781606238561"</f>
        <v>9781606238561</v>
      </c>
      <c r="L460">
        <v>0</v>
      </c>
      <c r="N460" t="s">
        <v>892</v>
      </c>
      <c r="O460" t="s">
        <v>30</v>
      </c>
      <c r="P460" t="s">
        <v>47</v>
      </c>
      <c r="Q460" s="1">
        <v>42395.005740740744</v>
      </c>
      <c r="R460">
        <v>1</v>
      </c>
      <c r="S460" t="s">
        <v>214</v>
      </c>
      <c r="T460" t="s">
        <v>893</v>
      </c>
      <c r="U460">
        <v>372.43</v>
      </c>
      <c r="V460" s="3">
        <v>41773</v>
      </c>
    </row>
    <row r="461" spans="1:22" x14ac:dyDescent="0.35">
      <c r="A461" s="1">
        <v>42395.005590277775</v>
      </c>
      <c r="B461" s="2">
        <v>1.3888888888888889E-4</v>
      </c>
      <c r="C461" t="s">
        <v>210</v>
      </c>
      <c r="D461" t="s">
        <v>211</v>
      </c>
      <c r="E461" t="s">
        <v>212</v>
      </c>
      <c r="F461" t="s">
        <v>891</v>
      </c>
      <c r="G461">
        <v>544120</v>
      </c>
      <c r="H461" t="s">
        <v>91</v>
      </c>
      <c r="I461" t="s">
        <v>69</v>
      </c>
      <c r="J461" t="str">
        <f>"9781606238561"</f>
        <v>9781606238561</v>
      </c>
      <c r="K461" t="s">
        <v>894</v>
      </c>
      <c r="L461">
        <v>11</v>
      </c>
      <c r="O461" t="s">
        <v>30</v>
      </c>
      <c r="P461" t="s">
        <v>50</v>
      </c>
      <c r="S461" t="s">
        <v>214</v>
      </c>
      <c r="T461" t="s">
        <v>893</v>
      </c>
      <c r="U461">
        <v>372.43</v>
      </c>
      <c r="V461" s="3">
        <v>41773</v>
      </c>
    </row>
    <row r="462" spans="1:22" x14ac:dyDescent="0.35">
      <c r="A462" s="1">
        <v>42395.005069444444</v>
      </c>
      <c r="B462" s="2">
        <v>5.6712962962962956E-4</v>
      </c>
      <c r="C462" t="s">
        <v>860</v>
      </c>
      <c r="D462" t="s">
        <v>23</v>
      </c>
      <c r="E462" t="s">
        <v>24</v>
      </c>
      <c r="F462" t="s">
        <v>861</v>
      </c>
      <c r="G462">
        <v>1411616</v>
      </c>
      <c r="H462" t="s">
        <v>26</v>
      </c>
      <c r="I462" t="s">
        <v>322</v>
      </c>
      <c r="J462" t="str">
        <f>"9781118419199"</f>
        <v>9781118419199</v>
      </c>
      <c r="K462" t="s">
        <v>463</v>
      </c>
      <c r="L462">
        <v>9</v>
      </c>
      <c r="O462" t="s">
        <v>30</v>
      </c>
      <c r="P462" t="s">
        <v>50</v>
      </c>
      <c r="S462" t="s">
        <v>31</v>
      </c>
      <c r="T462" t="s">
        <v>863</v>
      </c>
      <c r="U462">
        <v>690</v>
      </c>
      <c r="V462" s="3">
        <v>41537</v>
      </c>
    </row>
    <row r="463" spans="1:22" x14ac:dyDescent="0.35">
      <c r="A463" s="1">
        <v>42394.995775462965</v>
      </c>
      <c r="B463" s="2">
        <v>1.1331018518518518E-2</v>
      </c>
      <c r="C463" t="s">
        <v>77</v>
      </c>
      <c r="D463" t="s">
        <v>23</v>
      </c>
      <c r="E463" t="s">
        <v>24</v>
      </c>
      <c r="F463" t="s">
        <v>78</v>
      </c>
      <c r="G463">
        <v>1635363</v>
      </c>
      <c r="H463" t="s">
        <v>26</v>
      </c>
      <c r="I463" t="s">
        <v>79</v>
      </c>
      <c r="J463" t="str">
        <f>"9781118678206"</f>
        <v>9781118678206</v>
      </c>
      <c r="K463" t="s">
        <v>895</v>
      </c>
      <c r="L463">
        <v>38</v>
      </c>
      <c r="O463" t="s">
        <v>30</v>
      </c>
      <c r="P463" t="s">
        <v>42</v>
      </c>
      <c r="S463" t="s">
        <v>31</v>
      </c>
      <c r="T463" t="s">
        <v>81</v>
      </c>
      <c r="U463">
        <v>340.07600000000002</v>
      </c>
      <c r="V463" s="3">
        <v>41684</v>
      </c>
    </row>
    <row r="464" spans="1:22" x14ac:dyDescent="0.35">
      <c r="A464" s="1">
        <v>42394.97996527778</v>
      </c>
      <c r="B464" s="2">
        <v>4.6296296296296294E-5</v>
      </c>
      <c r="C464" t="s">
        <v>106</v>
      </c>
      <c r="D464" t="s">
        <v>23</v>
      </c>
      <c r="E464" t="s">
        <v>24</v>
      </c>
      <c r="F464" t="s">
        <v>235</v>
      </c>
      <c r="G464">
        <v>1935742</v>
      </c>
      <c r="H464" t="s">
        <v>236</v>
      </c>
      <c r="I464" t="s">
        <v>237</v>
      </c>
      <c r="J464" t="str">
        <f>"9781118473252"</f>
        <v>9781118473252</v>
      </c>
      <c r="K464" t="s">
        <v>33</v>
      </c>
      <c r="L464">
        <v>3</v>
      </c>
      <c r="O464" t="s">
        <v>30</v>
      </c>
      <c r="P464" t="s">
        <v>42</v>
      </c>
      <c r="S464" t="s">
        <v>31</v>
      </c>
      <c r="T464" t="s">
        <v>239</v>
      </c>
      <c r="U464">
        <v>550</v>
      </c>
      <c r="V464" s="3">
        <v>41360</v>
      </c>
    </row>
    <row r="465" spans="1:22" x14ac:dyDescent="0.35">
      <c r="A465" s="1">
        <v>42394.935057870367</v>
      </c>
      <c r="B465" s="2">
        <v>2.5810185185185185E-3</v>
      </c>
      <c r="C465" t="s">
        <v>790</v>
      </c>
      <c r="D465" t="s">
        <v>35</v>
      </c>
      <c r="E465" t="s">
        <v>36</v>
      </c>
      <c r="F465" t="s">
        <v>111</v>
      </c>
      <c r="G465">
        <v>693176</v>
      </c>
      <c r="H465" t="s">
        <v>26</v>
      </c>
      <c r="I465" t="s">
        <v>112</v>
      </c>
      <c r="J465" t="str">
        <f>"9781118017746"</f>
        <v>9781118017746</v>
      </c>
      <c r="K465" t="s">
        <v>896</v>
      </c>
      <c r="L465">
        <v>22</v>
      </c>
      <c r="O465" t="s">
        <v>30</v>
      </c>
      <c r="P465" t="s">
        <v>29</v>
      </c>
      <c r="Q465" s="1">
        <v>42394.935057870367</v>
      </c>
      <c r="R465">
        <v>7</v>
      </c>
      <c r="S465" t="s">
        <v>40</v>
      </c>
      <c r="T465" t="s">
        <v>114</v>
      </c>
      <c r="U465" t="s">
        <v>115</v>
      </c>
      <c r="V465" s="3">
        <v>40835</v>
      </c>
    </row>
    <row r="466" spans="1:22" x14ac:dyDescent="0.35">
      <c r="A466" s="1">
        <v>42394.927731481483</v>
      </c>
      <c r="B466" s="2">
        <v>7.3263888888888892E-3</v>
      </c>
      <c r="C466" t="s">
        <v>790</v>
      </c>
      <c r="D466" t="s">
        <v>35</v>
      </c>
      <c r="E466" t="s">
        <v>36</v>
      </c>
      <c r="F466" t="s">
        <v>111</v>
      </c>
      <c r="G466">
        <v>693176</v>
      </c>
      <c r="H466" t="s">
        <v>26</v>
      </c>
      <c r="I466" t="s">
        <v>112</v>
      </c>
      <c r="J466" t="str">
        <f>"9781118017746"</f>
        <v>9781118017746</v>
      </c>
      <c r="K466" t="s">
        <v>897</v>
      </c>
      <c r="L466">
        <v>46</v>
      </c>
      <c r="O466" t="s">
        <v>30</v>
      </c>
      <c r="P466" t="s">
        <v>42</v>
      </c>
      <c r="S466" t="s">
        <v>40</v>
      </c>
      <c r="T466" t="s">
        <v>114</v>
      </c>
      <c r="U466" t="s">
        <v>115</v>
      </c>
      <c r="V466" s="3">
        <v>40835</v>
      </c>
    </row>
    <row r="467" spans="1:22" x14ac:dyDescent="0.35">
      <c r="A467" s="1">
        <v>42394.87091435185</v>
      </c>
      <c r="B467" s="2">
        <v>3.8194444444444446E-4</v>
      </c>
      <c r="C467" t="s">
        <v>864</v>
      </c>
      <c r="D467" t="s">
        <v>35</v>
      </c>
      <c r="E467" t="s">
        <v>36</v>
      </c>
      <c r="F467" t="s">
        <v>37</v>
      </c>
      <c r="G467">
        <v>1684620</v>
      </c>
      <c r="H467" t="s">
        <v>26</v>
      </c>
      <c r="I467" t="s">
        <v>38</v>
      </c>
      <c r="J467" t="str">
        <f>"9781118418925"</f>
        <v>9781118418925</v>
      </c>
      <c r="K467" t="s">
        <v>355</v>
      </c>
      <c r="L467">
        <v>8</v>
      </c>
      <c r="O467" t="s">
        <v>30</v>
      </c>
      <c r="P467" t="s">
        <v>42</v>
      </c>
      <c r="S467" t="s">
        <v>40</v>
      </c>
      <c r="T467" t="s">
        <v>41</v>
      </c>
      <c r="U467">
        <v>362.10680000000002</v>
      </c>
      <c r="V467" s="3">
        <v>41759</v>
      </c>
    </row>
    <row r="468" spans="1:22" x14ac:dyDescent="0.35">
      <c r="A468" s="1">
        <v>42394.864502314813</v>
      </c>
      <c r="B468" s="2">
        <v>1.9675925925925926E-4</v>
      </c>
      <c r="C468" t="s">
        <v>106</v>
      </c>
      <c r="D468" t="s">
        <v>23</v>
      </c>
      <c r="E468" t="s">
        <v>24</v>
      </c>
      <c r="F468" t="s">
        <v>898</v>
      </c>
      <c r="G468">
        <v>183311</v>
      </c>
      <c r="H468" t="s">
        <v>68</v>
      </c>
      <c r="I468" t="s">
        <v>899</v>
      </c>
      <c r="J468" t="str">
        <f>"9781135112097"</f>
        <v>9781135112097</v>
      </c>
      <c r="K468" t="s">
        <v>900</v>
      </c>
      <c r="L468">
        <v>6</v>
      </c>
      <c r="O468" t="s">
        <v>30</v>
      </c>
      <c r="P468" t="s">
        <v>50</v>
      </c>
      <c r="S468" t="s">
        <v>31</v>
      </c>
      <c r="T468" t="s">
        <v>901</v>
      </c>
      <c r="U468">
        <v>153</v>
      </c>
      <c r="V468" s="3">
        <v>41522</v>
      </c>
    </row>
    <row r="469" spans="1:22" x14ac:dyDescent="0.35">
      <c r="A469" s="1">
        <v>42394.856493055559</v>
      </c>
      <c r="B469" s="2">
        <v>0</v>
      </c>
      <c r="C469" t="s">
        <v>902</v>
      </c>
      <c r="D469" t="s">
        <v>23</v>
      </c>
      <c r="E469" t="s">
        <v>24</v>
      </c>
      <c r="F469" t="s">
        <v>903</v>
      </c>
      <c r="G469">
        <v>3038474</v>
      </c>
      <c r="H469" t="s">
        <v>526</v>
      </c>
      <c r="I469" t="s">
        <v>120</v>
      </c>
      <c r="J469" t="str">
        <f>"9780226925233"</f>
        <v>9780226925233</v>
      </c>
      <c r="K469" t="s">
        <v>904</v>
      </c>
      <c r="L469">
        <v>1</v>
      </c>
      <c r="O469" t="s">
        <v>30</v>
      </c>
      <c r="P469" t="s">
        <v>47</v>
      </c>
      <c r="Q469" s="1">
        <v>42394.856493055559</v>
      </c>
      <c r="R469">
        <v>1</v>
      </c>
      <c r="S469" t="s">
        <v>31</v>
      </c>
      <c r="T469" t="s">
        <v>905</v>
      </c>
      <c r="U469">
        <v>302.2</v>
      </c>
      <c r="V469" s="3">
        <v>41609</v>
      </c>
    </row>
    <row r="470" spans="1:22" x14ac:dyDescent="0.35">
      <c r="A470" s="1">
        <v>42394.834513888891</v>
      </c>
      <c r="B470" s="2">
        <v>2.1979166666666664E-2</v>
      </c>
      <c r="C470" t="s">
        <v>902</v>
      </c>
      <c r="D470" t="s">
        <v>23</v>
      </c>
      <c r="E470" t="s">
        <v>24</v>
      </c>
      <c r="F470" t="s">
        <v>903</v>
      </c>
      <c r="G470">
        <v>3038474</v>
      </c>
      <c r="H470" t="s">
        <v>526</v>
      </c>
      <c r="I470" t="s">
        <v>120</v>
      </c>
      <c r="J470" t="str">
        <f>"9780226925233"</f>
        <v>9780226925233</v>
      </c>
      <c r="K470" t="s">
        <v>906</v>
      </c>
      <c r="L470">
        <v>22</v>
      </c>
      <c r="O470" t="s">
        <v>30</v>
      </c>
      <c r="P470" t="s">
        <v>50</v>
      </c>
      <c r="S470" t="s">
        <v>31</v>
      </c>
      <c r="T470" t="s">
        <v>905</v>
      </c>
      <c r="U470">
        <v>302.2</v>
      </c>
      <c r="V470" s="3">
        <v>41609</v>
      </c>
    </row>
    <row r="471" spans="1:22" x14ac:dyDescent="0.35">
      <c r="A471" s="1">
        <v>42394.821076388886</v>
      </c>
      <c r="B471" s="2">
        <v>4.6296296296296293E-4</v>
      </c>
      <c r="C471" t="s">
        <v>106</v>
      </c>
      <c r="D471" t="s">
        <v>23</v>
      </c>
      <c r="E471" t="s">
        <v>24</v>
      </c>
      <c r="F471" t="s">
        <v>907</v>
      </c>
      <c r="G471">
        <v>694171</v>
      </c>
      <c r="H471" t="s">
        <v>26</v>
      </c>
      <c r="I471" t="s">
        <v>161</v>
      </c>
      <c r="J471" t="str">
        <f>"9780470865156"</f>
        <v>9780470865156</v>
      </c>
      <c r="K471" t="s">
        <v>908</v>
      </c>
      <c r="L471">
        <v>20</v>
      </c>
      <c r="O471" t="s">
        <v>30</v>
      </c>
      <c r="P471" t="s">
        <v>50</v>
      </c>
      <c r="S471" t="s">
        <v>31</v>
      </c>
      <c r="T471" t="s">
        <v>909</v>
      </c>
      <c r="U471">
        <v>530.12</v>
      </c>
      <c r="V471" s="3">
        <v>41414</v>
      </c>
    </row>
    <row r="472" spans="1:22" x14ac:dyDescent="0.35">
      <c r="A472" s="1">
        <v>42394.795312499999</v>
      </c>
      <c r="B472" s="2">
        <v>1.7361111111111112E-4</v>
      </c>
      <c r="C472" t="s">
        <v>910</v>
      </c>
      <c r="D472" t="s">
        <v>23</v>
      </c>
      <c r="E472" t="s">
        <v>24</v>
      </c>
      <c r="F472" t="s">
        <v>911</v>
      </c>
      <c r="G472">
        <v>1895104</v>
      </c>
      <c r="H472" t="s">
        <v>26</v>
      </c>
      <c r="I472" t="s">
        <v>912</v>
      </c>
      <c r="J472" t="str">
        <f>"9781118832097"</f>
        <v>9781118832097</v>
      </c>
      <c r="K472" t="s">
        <v>913</v>
      </c>
      <c r="L472">
        <v>8</v>
      </c>
      <c r="O472" t="s">
        <v>30</v>
      </c>
      <c r="P472" t="s">
        <v>29</v>
      </c>
      <c r="Q472" s="1">
        <v>42394.795312499999</v>
      </c>
      <c r="R472">
        <v>7</v>
      </c>
      <c r="S472" t="s">
        <v>31</v>
      </c>
      <c r="T472" t="s">
        <v>914</v>
      </c>
      <c r="U472">
        <v>16.005800000000001</v>
      </c>
      <c r="V472" s="3">
        <v>42111</v>
      </c>
    </row>
    <row r="473" spans="1:22" x14ac:dyDescent="0.35">
      <c r="A473" s="1">
        <v>42394.788124999999</v>
      </c>
      <c r="B473" s="2">
        <v>7.1759259259259259E-3</v>
      </c>
      <c r="C473" t="s">
        <v>910</v>
      </c>
      <c r="D473" t="s">
        <v>23</v>
      </c>
      <c r="E473" t="s">
        <v>24</v>
      </c>
      <c r="F473" t="s">
        <v>911</v>
      </c>
      <c r="G473">
        <v>1895104</v>
      </c>
      <c r="H473" t="s">
        <v>26</v>
      </c>
      <c r="I473" t="s">
        <v>912</v>
      </c>
      <c r="J473" t="str">
        <f>"9781118832097"</f>
        <v>9781118832097</v>
      </c>
      <c r="K473" t="s">
        <v>915</v>
      </c>
      <c r="L473">
        <v>14</v>
      </c>
      <c r="O473" t="s">
        <v>30</v>
      </c>
      <c r="P473" t="s">
        <v>50</v>
      </c>
      <c r="S473" t="s">
        <v>31</v>
      </c>
      <c r="T473" t="s">
        <v>914</v>
      </c>
      <c r="U473">
        <v>16.005800000000001</v>
      </c>
      <c r="V473" s="3">
        <v>42111</v>
      </c>
    </row>
    <row r="474" spans="1:22" x14ac:dyDescent="0.35">
      <c r="A474" s="1">
        <v>42394.723402777781</v>
      </c>
      <c r="B474" s="2">
        <v>2.3148148148148147E-5</v>
      </c>
      <c r="C474" t="s">
        <v>916</v>
      </c>
      <c r="D474" t="s">
        <v>360</v>
      </c>
      <c r="E474" t="s">
        <v>361</v>
      </c>
      <c r="F474" t="s">
        <v>917</v>
      </c>
      <c r="G474">
        <v>1315428</v>
      </c>
      <c r="H474" t="s">
        <v>492</v>
      </c>
      <c r="I474" t="s">
        <v>297</v>
      </c>
      <c r="J474" t="str">
        <f>"9781400841684"</f>
        <v>9781400841684</v>
      </c>
      <c r="L474">
        <v>0</v>
      </c>
      <c r="O474" t="s">
        <v>30</v>
      </c>
      <c r="P474" t="s">
        <v>42</v>
      </c>
      <c r="S474" t="s">
        <v>363</v>
      </c>
      <c r="T474" t="s">
        <v>918</v>
      </c>
      <c r="U474">
        <v>512.94000000000005</v>
      </c>
      <c r="V474" s="3">
        <v>41008</v>
      </c>
    </row>
    <row r="475" spans="1:22" x14ac:dyDescent="0.35">
      <c r="A475" s="1">
        <v>42394.701828703706</v>
      </c>
      <c r="B475" s="2">
        <v>1.3194444444444443E-3</v>
      </c>
      <c r="C475" t="s">
        <v>256</v>
      </c>
      <c r="D475" t="s">
        <v>23</v>
      </c>
      <c r="E475" t="s">
        <v>24</v>
      </c>
      <c r="F475" t="s">
        <v>439</v>
      </c>
      <c r="G475">
        <v>836614</v>
      </c>
      <c r="H475" t="s">
        <v>440</v>
      </c>
      <c r="I475" t="s">
        <v>27</v>
      </c>
      <c r="J475" t="str">
        <f>"9781118315958"</f>
        <v>9781118315958</v>
      </c>
      <c r="K475" t="s">
        <v>919</v>
      </c>
      <c r="L475">
        <v>52</v>
      </c>
      <c r="O475" t="s">
        <v>30</v>
      </c>
      <c r="P475" t="s">
        <v>29</v>
      </c>
      <c r="Q475" s="1">
        <v>42394.685659722221</v>
      </c>
      <c r="R475">
        <v>7</v>
      </c>
      <c r="S475" t="s">
        <v>31</v>
      </c>
      <c r="T475" t="s">
        <v>442</v>
      </c>
      <c r="U475">
        <v>414</v>
      </c>
      <c r="V475" s="3">
        <v>40892</v>
      </c>
    </row>
    <row r="476" spans="1:22" x14ac:dyDescent="0.35">
      <c r="A476" s="1">
        <v>42394.698078703703</v>
      </c>
      <c r="B476" s="2">
        <v>2.5810185185185185E-3</v>
      </c>
      <c r="C476" t="s">
        <v>256</v>
      </c>
      <c r="D476" t="s">
        <v>23</v>
      </c>
      <c r="E476" t="s">
        <v>24</v>
      </c>
      <c r="F476" t="s">
        <v>439</v>
      </c>
      <c r="G476">
        <v>836614</v>
      </c>
      <c r="H476" t="s">
        <v>440</v>
      </c>
      <c r="I476" t="s">
        <v>27</v>
      </c>
      <c r="J476" t="str">
        <f>"9781118315958"</f>
        <v>9781118315958</v>
      </c>
      <c r="K476" t="s">
        <v>920</v>
      </c>
      <c r="L476">
        <v>2</v>
      </c>
      <c r="N476" t="s">
        <v>921</v>
      </c>
      <c r="O476" t="s">
        <v>28</v>
      </c>
      <c r="P476" t="s">
        <v>29</v>
      </c>
      <c r="Q476" s="1">
        <v>42394.685659722221</v>
      </c>
      <c r="R476">
        <v>7</v>
      </c>
      <c r="S476" t="s">
        <v>31</v>
      </c>
      <c r="T476" t="s">
        <v>442</v>
      </c>
      <c r="U476">
        <v>414</v>
      </c>
      <c r="V476" s="3">
        <v>40892</v>
      </c>
    </row>
    <row r="477" spans="1:22" x14ac:dyDescent="0.35">
      <c r="A477" s="1">
        <v>42394.697511574072</v>
      </c>
      <c r="B477" s="2">
        <v>0</v>
      </c>
      <c r="C477" t="s">
        <v>256</v>
      </c>
      <c r="D477" t="s">
        <v>23</v>
      </c>
      <c r="E477" t="s">
        <v>24</v>
      </c>
      <c r="F477" t="s">
        <v>439</v>
      </c>
      <c r="G477">
        <v>836614</v>
      </c>
      <c r="H477" t="s">
        <v>440</v>
      </c>
      <c r="I477" t="s">
        <v>27</v>
      </c>
      <c r="J477" t="str">
        <f>"9781118315958"</f>
        <v>9781118315958</v>
      </c>
      <c r="L477">
        <v>0</v>
      </c>
      <c r="O477" t="s">
        <v>28</v>
      </c>
      <c r="P477" t="s">
        <v>29</v>
      </c>
      <c r="Q477" s="1">
        <v>42394.685659722221</v>
      </c>
      <c r="R477">
        <v>7</v>
      </c>
      <c r="S477" t="s">
        <v>31</v>
      </c>
      <c r="T477" t="s">
        <v>442</v>
      </c>
      <c r="U477">
        <v>414</v>
      </c>
      <c r="V477" s="3">
        <v>40892</v>
      </c>
    </row>
    <row r="478" spans="1:22" x14ac:dyDescent="0.35">
      <c r="A478" s="1">
        <v>42394.696574074071</v>
      </c>
      <c r="B478" s="2">
        <v>2.4988425925925928E-2</v>
      </c>
      <c r="C478" t="s">
        <v>922</v>
      </c>
      <c r="D478" t="s">
        <v>23</v>
      </c>
      <c r="E478" t="s">
        <v>24</v>
      </c>
      <c r="F478" t="s">
        <v>604</v>
      </c>
      <c r="G478">
        <v>2166474</v>
      </c>
      <c r="H478" t="s">
        <v>26</v>
      </c>
      <c r="I478" t="s">
        <v>247</v>
      </c>
      <c r="J478" t="str">
        <f>"9781118929285"</f>
        <v>9781118929285</v>
      </c>
      <c r="K478" t="s">
        <v>923</v>
      </c>
      <c r="L478">
        <v>6</v>
      </c>
      <c r="O478" t="s">
        <v>30</v>
      </c>
      <c r="P478" t="s">
        <v>29</v>
      </c>
      <c r="Q478" s="1">
        <v>42394.696574074071</v>
      </c>
      <c r="R478">
        <v>7</v>
      </c>
      <c r="S478" t="s">
        <v>31</v>
      </c>
      <c r="T478" t="s">
        <v>606</v>
      </c>
      <c r="U478">
        <v>617.6</v>
      </c>
      <c r="V478" s="3">
        <v>42156</v>
      </c>
    </row>
    <row r="479" spans="1:22" x14ac:dyDescent="0.35">
      <c r="A479" s="1">
        <v>42394.696319444447</v>
      </c>
      <c r="B479" s="2">
        <v>3.4722222222222222E-5</v>
      </c>
      <c r="C479" t="s">
        <v>256</v>
      </c>
      <c r="D479" t="s">
        <v>23</v>
      </c>
      <c r="E479" t="s">
        <v>24</v>
      </c>
      <c r="F479" t="s">
        <v>439</v>
      </c>
      <c r="G479">
        <v>836614</v>
      </c>
      <c r="H479" t="s">
        <v>440</v>
      </c>
      <c r="I479" t="s">
        <v>27</v>
      </c>
      <c r="J479" t="str">
        <f t="shared" ref="J479:J484" si="7">"9781118315958"</f>
        <v>9781118315958</v>
      </c>
      <c r="K479" t="s">
        <v>33</v>
      </c>
      <c r="L479">
        <v>3</v>
      </c>
      <c r="O479" t="s">
        <v>30</v>
      </c>
      <c r="P479" t="s">
        <v>29</v>
      </c>
      <c r="Q479" s="1">
        <v>42394.685659722221</v>
      </c>
      <c r="R479">
        <v>7</v>
      </c>
      <c r="S479" t="s">
        <v>31</v>
      </c>
      <c r="T479" t="s">
        <v>442</v>
      </c>
      <c r="U479">
        <v>414</v>
      </c>
      <c r="V479" s="3">
        <v>40892</v>
      </c>
    </row>
    <row r="480" spans="1:22" x14ac:dyDescent="0.35">
      <c r="A480" s="1">
        <v>42394.689004629632</v>
      </c>
      <c r="B480" s="2">
        <v>0</v>
      </c>
      <c r="C480" t="s">
        <v>256</v>
      </c>
      <c r="D480" t="s">
        <v>23</v>
      </c>
      <c r="E480" t="s">
        <v>24</v>
      </c>
      <c r="F480" t="s">
        <v>439</v>
      </c>
      <c r="G480">
        <v>836614</v>
      </c>
      <c r="H480" t="s">
        <v>440</v>
      </c>
      <c r="I480" t="s">
        <v>27</v>
      </c>
      <c r="J480" t="str">
        <f t="shared" si="7"/>
        <v>9781118315958</v>
      </c>
      <c r="L480">
        <v>0</v>
      </c>
      <c r="O480" t="s">
        <v>28</v>
      </c>
      <c r="P480" t="s">
        <v>29</v>
      </c>
      <c r="Q480" s="1">
        <v>42394.685659722221</v>
      </c>
      <c r="R480">
        <v>7</v>
      </c>
      <c r="S480" t="s">
        <v>31</v>
      </c>
      <c r="T480" t="s">
        <v>442</v>
      </c>
      <c r="U480">
        <v>414</v>
      </c>
      <c r="V480" s="3">
        <v>40892</v>
      </c>
    </row>
    <row r="481" spans="1:22" x14ac:dyDescent="0.35">
      <c r="A481" s="1">
        <v>42394.688275462962</v>
      </c>
      <c r="B481" s="2">
        <v>4.6296296296296293E-4</v>
      </c>
      <c r="C481" t="s">
        <v>256</v>
      </c>
      <c r="D481" t="s">
        <v>23</v>
      </c>
      <c r="E481" t="s">
        <v>24</v>
      </c>
      <c r="F481" t="s">
        <v>439</v>
      </c>
      <c r="G481">
        <v>836614</v>
      </c>
      <c r="H481" t="s">
        <v>440</v>
      </c>
      <c r="I481" t="s">
        <v>27</v>
      </c>
      <c r="J481" t="str">
        <f t="shared" si="7"/>
        <v>9781118315958</v>
      </c>
      <c r="K481" t="s">
        <v>924</v>
      </c>
      <c r="L481">
        <v>20</v>
      </c>
      <c r="M481" t="s">
        <v>834</v>
      </c>
      <c r="O481" t="s">
        <v>30</v>
      </c>
      <c r="P481" t="s">
        <v>29</v>
      </c>
      <c r="Q481" s="1">
        <v>42394.685659722221</v>
      </c>
      <c r="R481">
        <v>7</v>
      </c>
      <c r="S481" t="s">
        <v>31</v>
      </c>
      <c r="T481" t="s">
        <v>442</v>
      </c>
      <c r="U481">
        <v>414</v>
      </c>
      <c r="V481" s="3">
        <v>40892</v>
      </c>
    </row>
    <row r="482" spans="1:22" x14ac:dyDescent="0.35">
      <c r="A482" s="1">
        <v>42394.685659722221</v>
      </c>
      <c r="B482" s="2">
        <v>1.9212962962962962E-3</v>
      </c>
      <c r="C482" t="s">
        <v>256</v>
      </c>
      <c r="D482" t="s">
        <v>23</v>
      </c>
      <c r="E482" t="s">
        <v>24</v>
      </c>
      <c r="F482" t="s">
        <v>439</v>
      </c>
      <c r="G482">
        <v>836614</v>
      </c>
      <c r="H482" t="s">
        <v>440</v>
      </c>
      <c r="I482" t="s">
        <v>27</v>
      </c>
      <c r="J482" t="str">
        <f t="shared" si="7"/>
        <v>9781118315958</v>
      </c>
      <c r="K482" t="s">
        <v>925</v>
      </c>
      <c r="L482">
        <v>1</v>
      </c>
      <c r="O482" t="s">
        <v>28</v>
      </c>
      <c r="P482" t="s">
        <v>29</v>
      </c>
      <c r="Q482" s="1">
        <v>42394.685659722221</v>
      </c>
      <c r="R482">
        <v>7</v>
      </c>
      <c r="S482" t="s">
        <v>31</v>
      </c>
      <c r="T482" t="s">
        <v>442</v>
      </c>
      <c r="U482">
        <v>414</v>
      </c>
      <c r="V482" s="3">
        <v>40892</v>
      </c>
    </row>
    <row r="483" spans="1:22" x14ac:dyDescent="0.35">
      <c r="A483" s="1">
        <v>42394.685659722221</v>
      </c>
      <c r="B483" s="2">
        <v>0</v>
      </c>
      <c r="C483" t="s">
        <v>256</v>
      </c>
      <c r="D483" t="s">
        <v>23</v>
      </c>
      <c r="E483" t="s">
        <v>24</v>
      </c>
      <c r="F483" t="s">
        <v>439</v>
      </c>
      <c r="G483">
        <v>836614</v>
      </c>
      <c r="H483" t="s">
        <v>440</v>
      </c>
      <c r="I483" t="s">
        <v>27</v>
      </c>
      <c r="J483" t="str">
        <f t="shared" si="7"/>
        <v>9781118315958</v>
      </c>
      <c r="L483">
        <v>0</v>
      </c>
      <c r="O483" t="s">
        <v>30</v>
      </c>
      <c r="P483" t="s">
        <v>29</v>
      </c>
      <c r="Q483" s="1">
        <v>42394.685659722221</v>
      </c>
      <c r="R483">
        <v>7</v>
      </c>
      <c r="S483" t="s">
        <v>31</v>
      </c>
      <c r="T483" t="s">
        <v>442</v>
      </c>
      <c r="U483">
        <v>414</v>
      </c>
      <c r="V483" s="3">
        <v>40892</v>
      </c>
    </row>
    <row r="484" spans="1:22" x14ac:dyDescent="0.35">
      <c r="A484" s="1">
        <v>42394.68540509259</v>
      </c>
      <c r="B484" s="2">
        <v>2.5462962962962961E-4</v>
      </c>
      <c r="C484" t="s">
        <v>256</v>
      </c>
      <c r="D484" t="s">
        <v>23</v>
      </c>
      <c r="E484" t="s">
        <v>24</v>
      </c>
      <c r="F484" t="s">
        <v>439</v>
      </c>
      <c r="G484">
        <v>836614</v>
      </c>
      <c r="H484" t="s">
        <v>440</v>
      </c>
      <c r="I484" t="s">
        <v>27</v>
      </c>
      <c r="J484" t="str">
        <f t="shared" si="7"/>
        <v>9781118315958</v>
      </c>
      <c r="K484" t="s">
        <v>867</v>
      </c>
      <c r="L484">
        <v>10</v>
      </c>
      <c r="O484" t="s">
        <v>30</v>
      </c>
      <c r="P484" t="s">
        <v>42</v>
      </c>
      <c r="S484" t="s">
        <v>31</v>
      </c>
      <c r="T484" t="s">
        <v>442</v>
      </c>
      <c r="U484">
        <v>414</v>
      </c>
      <c r="V484" s="3">
        <v>40892</v>
      </c>
    </row>
    <row r="485" spans="1:22" x14ac:dyDescent="0.35">
      <c r="A485" s="1">
        <v>42394.683148148149</v>
      </c>
      <c r="B485" s="2">
        <v>1.3425925925925924E-2</v>
      </c>
      <c r="C485" t="s">
        <v>922</v>
      </c>
      <c r="D485" t="s">
        <v>23</v>
      </c>
      <c r="E485" t="s">
        <v>24</v>
      </c>
      <c r="F485" t="s">
        <v>604</v>
      </c>
      <c r="G485">
        <v>2166474</v>
      </c>
      <c r="H485" t="s">
        <v>26</v>
      </c>
      <c r="I485" t="s">
        <v>247</v>
      </c>
      <c r="J485" t="str">
        <f>"9781118929285"</f>
        <v>9781118929285</v>
      </c>
      <c r="K485" t="s">
        <v>926</v>
      </c>
      <c r="L485">
        <v>23</v>
      </c>
      <c r="O485" t="s">
        <v>30</v>
      </c>
      <c r="P485" t="s">
        <v>42</v>
      </c>
      <c r="S485" t="s">
        <v>31</v>
      </c>
      <c r="T485" t="s">
        <v>606</v>
      </c>
      <c r="U485">
        <v>617.6</v>
      </c>
      <c r="V485" s="3">
        <v>42156</v>
      </c>
    </row>
    <row r="486" spans="1:22" x14ac:dyDescent="0.35">
      <c r="A486" s="1">
        <v>42394.674675925926</v>
      </c>
      <c r="B486" s="2">
        <v>4.0509259259259258E-4</v>
      </c>
      <c r="C486" t="s">
        <v>622</v>
      </c>
      <c r="D486" t="s">
        <v>623</v>
      </c>
      <c r="E486" t="s">
        <v>624</v>
      </c>
      <c r="F486" t="s">
        <v>625</v>
      </c>
      <c r="G486">
        <v>1566387</v>
      </c>
      <c r="H486" t="s">
        <v>26</v>
      </c>
      <c r="I486" t="s">
        <v>120</v>
      </c>
      <c r="J486" t="str">
        <f>"9781118471906"</f>
        <v>9781118471906</v>
      </c>
      <c r="K486" t="s">
        <v>927</v>
      </c>
      <c r="L486">
        <v>4</v>
      </c>
      <c r="O486" t="s">
        <v>28</v>
      </c>
      <c r="P486" t="s">
        <v>29</v>
      </c>
      <c r="Q486" s="1">
        <v>42394.669641203705</v>
      </c>
      <c r="R486">
        <v>7</v>
      </c>
      <c r="S486" t="s">
        <v>627</v>
      </c>
      <c r="T486" t="s">
        <v>628</v>
      </c>
      <c r="U486">
        <v>301</v>
      </c>
      <c r="V486" s="3">
        <v>41596</v>
      </c>
    </row>
    <row r="487" spans="1:22" x14ac:dyDescent="0.35">
      <c r="A487" s="1">
        <v>42394.6721412037</v>
      </c>
      <c r="B487" s="2">
        <v>1.0763888888888889E-3</v>
      </c>
      <c r="C487" t="s">
        <v>928</v>
      </c>
      <c r="D487" t="s">
        <v>23</v>
      </c>
      <c r="E487" t="s">
        <v>24</v>
      </c>
      <c r="F487" t="s">
        <v>929</v>
      </c>
      <c r="G487">
        <v>3571161</v>
      </c>
      <c r="H487" t="s">
        <v>613</v>
      </c>
      <c r="I487" t="s">
        <v>930</v>
      </c>
      <c r="J487" t="str">
        <f>"9781469625508"</f>
        <v>9781469625508</v>
      </c>
      <c r="K487" t="s">
        <v>931</v>
      </c>
      <c r="L487">
        <v>20</v>
      </c>
      <c r="O487" t="s">
        <v>30</v>
      </c>
      <c r="P487" t="s">
        <v>50</v>
      </c>
      <c r="S487" t="s">
        <v>31</v>
      </c>
      <c r="T487" t="s">
        <v>932</v>
      </c>
      <c r="U487">
        <v>355.00922730000002</v>
      </c>
      <c r="V487" s="3">
        <v>42217</v>
      </c>
    </row>
    <row r="488" spans="1:22" x14ac:dyDescent="0.35">
      <c r="A488" s="1">
        <v>42394.6716087963</v>
      </c>
      <c r="B488" s="2">
        <v>2.4305555555555552E-4</v>
      </c>
      <c r="C488" t="s">
        <v>106</v>
      </c>
      <c r="D488" t="s">
        <v>23</v>
      </c>
      <c r="E488" t="s">
        <v>24</v>
      </c>
      <c r="F488" t="s">
        <v>257</v>
      </c>
      <c r="G488">
        <v>1356283</v>
      </c>
      <c r="H488" t="s">
        <v>68</v>
      </c>
      <c r="I488" t="s">
        <v>27</v>
      </c>
      <c r="J488" t="str">
        <f>"9781136488801"</f>
        <v>9781136488801</v>
      </c>
      <c r="K488" t="s">
        <v>933</v>
      </c>
      <c r="L488">
        <v>12</v>
      </c>
      <c r="O488" t="s">
        <v>30</v>
      </c>
      <c r="P488" t="s">
        <v>50</v>
      </c>
      <c r="S488" t="s">
        <v>31</v>
      </c>
      <c r="T488" t="s">
        <v>259</v>
      </c>
      <c r="U488">
        <v>401.93</v>
      </c>
      <c r="V488" s="3">
        <v>41507</v>
      </c>
    </row>
    <row r="489" spans="1:22" x14ac:dyDescent="0.35">
      <c r="A489" s="1">
        <v>42394.670925925922</v>
      </c>
      <c r="B489" s="2">
        <v>2.3379629629629631E-3</v>
      </c>
      <c r="C489" t="s">
        <v>622</v>
      </c>
      <c r="D489" t="s">
        <v>623</v>
      </c>
      <c r="E489" t="s">
        <v>624</v>
      </c>
      <c r="F489" t="s">
        <v>625</v>
      </c>
      <c r="G489">
        <v>1566387</v>
      </c>
      <c r="H489" t="s">
        <v>26</v>
      </c>
      <c r="I489" t="s">
        <v>120</v>
      </c>
      <c r="J489" t="str">
        <f>"9781118471906"</f>
        <v>9781118471906</v>
      </c>
      <c r="K489" t="s">
        <v>934</v>
      </c>
      <c r="L489">
        <v>21</v>
      </c>
      <c r="O489" t="s">
        <v>28</v>
      </c>
      <c r="P489" t="s">
        <v>29</v>
      </c>
      <c r="Q489" s="1">
        <v>42394.669641203705</v>
      </c>
      <c r="R489">
        <v>7</v>
      </c>
      <c r="S489" t="s">
        <v>627</v>
      </c>
      <c r="T489" t="s">
        <v>628</v>
      </c>
      <c r="U489">
        <v>301</v>
      </c>
      <c r="V489" s="3">
        <v>41596</v>
      </c>
    </row>
    <row r="490" spans="1:22" x14ac:dyDescent="0.35">
      <c r="A490" s="1">
        <v>42394.67</v>
      </c>
      <c r="B490" s="2">
        <v>0</v>
      </c>
      <c r="C490" t="s">
        <v>622</v>
      </c>
      <c r="D490" t="s">
        <v>623</v>
      </c>
      <c r="E490" t="s">
        <v>624</v>
      </c>
      <c r="F490" t="s">
        <v>625</v>
      </c>
      <c r="G490">
        <v>1566387</v>
      </c>
      <c r="H490" t="s">
        <v>26</v>
      </c>
      <c r="I490" t="s">
        <v>120</v>
      </c>
      <c r="J490" t="str">
        <f>"9781118471906"</f>
        <v>9781118471906</v>
      </c>
      <c r="L490">
        <v>0</v>
      </c>
      <c r="O490" t="s">
        <v>28</v>
      </c>
      <c r="P490" t="s">
        <v>29</v>
      </c>
      <c r="Q490" s="1">
        <v>42394.669641203705</v>
      </c>
      <c r="R490">
        <v>7</v>
      </c>
      <c r="S490" t="s">
        <v>627</v>
      </c>
      <c r="T490" t="s">
        <v>628</v>
      </c>
      <c r="U490">
        <v>301</v>
      </c>
      <c r="V490" s="3">
        <v>41596</v>
      </c>
    </row>
    <row r="491" spans="1:22" x14ac:dyDescent="0.35">
      <c r="A491" s="1">
        <v>42394.669641203705</v>
      </c>
      <c r="B491" s="2">
        <v>0</v>
      </c>
      <c r="C491" t="s">
        <v>622</v>
      </c>
      <c r="D491" t="s">
        <v>623</v>
      </c>
      <c r="E491" t="s">
        <v>624</v>
      </c>
      <c r="F491" t="s">
        <v>625</v>
      </c>
      <c r="G491">
        <v>1566387</v>
      </c>
      <c r="H491" t="s">
        <v>26</v>
      </c>
      <c r="I491" t="s">
        <v>120</v>
      </c>
      <c r="J491" t="str">
        <f>"9781118471906"</f>
        <v>9781118471906</v>
      </c>
      <c r="L491">
        <v>0</v>
      </c>
      <c r="M491" t="s">
        <v>648</v>
      </c>
      <c r="O491" t="s">
        <v>30</v>
      </c>
      <c r="P491" t="s">
        <v>29</v>
      </c>
      <c r="Q491" s="1">
        <v>42394.669641203705</v>
      </c>
      <c r="R491">
        <v>7</v>
      </c>
      <c r="S491" t="s">
        <v>627</v>
      </c>
      <c r="T491" t="s">
        <v>628</v>
      </c>
      <c r="U491">
        <v>301</v>
      </c>
      <c r="V491" s="3">
        <v>41596</v>
      </c>
    </row>
    <row r="492" spans="1:22" x14ac:dyDescent="0.35">
      <c r="A492" s="1">
        <v>42394.668807870374</v>
      </c>
      <c r="B492" s="2">
        <v>8.3333333333333339E-4</v>
      </c>
      <c r="C492" t="s">
        <v>622</v>
      </c>
      <c r="D492" t="s">
        <v>623</v>
      </c>
      <c r="E492" t="s">
        <v>624</v>
      </c>
      <c r="F492" t="s">
        <v>625</v>
      </c>
      <c r="G492">
        <v>1566387</v>
      </c>
      <c r="H492" t="s">
        <v>26</v>
      </c>
      <c r="I492" t="s">
        <v>120</v>
      </c>
      <c r="J492" t="str">
        <f>"9781118471906"</f>
        <v>9781118471906</v>
      </c>
      <c r="K492" t="s">
        <v>935</v>
      </c>
      <c r="L492">
        <v>3</v>
      </c>
      <c r="O492" t="s">
        <v>30</v>
      </c>
      <c r="P492" t="s">
        <v>42</v>
      </c>
      <c r="S492" t="s">
        <v>627</v>
      </c>
      <c r="T492" t="s">
        <v>628</v>
      </c>
      <c r="U492">
        <v>301</v>
      </c>
      <c r="V492" s="3">
        <v>41596</v>
      </c>
    </row>
    <row r="493" spans="1:22" x14ac:dyDescent="0.35">
      <c r="A493" s="1">
        <v>42394.668206018519</v>
      </c>
      <c r="B493" s="2">
        <v>3.425925925925926E-2</v>
      </c>
      <c r="C493" t="s">
        <v>798</v>
      </c>
      <c r="D493" t="s">
        <v>23</v>
      </c>
      <c r="E493" t="s">
        <v>24</v>
      </c>
      <c r="F493" t="s">
        <v>799</v>
      </c>
      <c r="G493">
        <v>1757959</v>
      </c>
      <c r="H493" t="s">
        <v>26</v>
      </c>
      <c r="I493" t="s">
        <v>800</v>
      </c>
      <c r="J493" t="str">
        <f>"9781118767023"</f>
        <v>9781118767023</v>
      </c>
      <c r="K493" t="s">
        <v>936</v>
      </c>
      <c r="L493">
        <v>71</v>
      </c>
      <c r="O493" t="s">
        <v>30</v>
      </c>
      <c r="P493" t="s">
        <v>29</v>
      </c>
      <c r="Q493" s="1">
        <v>42394.647303240738</v>
      </c>
      <c r="R493">
        <v>7</v>
      </c>
      <c r="S493" t="s">
        <v>31</v>
      </c>
      <c r="T493" t="s">
        <v>802</v>
      </c>
      <c r="U493" t="s">
        <v>803</v>
      </c>
      <c r="V493" s="3">
        <v>41850</v>
      </c>
    </row>
    <row r="494" spans="1:22" x14ac:dyDescent="0.35">
      <c r="A494" s="1">
        <v>42394.659768518519</v>
      </c>
      <c r="B494" s="2">
        <v>3.8310185185185183E-2</v>
      </c>
      <c r="C494" t="s">
        <v>471</v>
      </c>
      <c r="D494" t="s">
        <v>211</v>
      </c>
      <c r="E494" t="s">
        <v>212</v>
      </c>
      <c r="F494" t="s">
        <v>497</v>
      </c>
      <c r="G494">
        <v>1986951</v>
      </c>
      <c r="H494" t="s">
        <v>26</v>
      </c>
      <c r="I494" t="s">
        <v>97</v>
      </c>
      <c r="J494" t="str">
        <f>"9781119130468"</f>
        <v>9781119130468</v>
      </c>
      <c r="K494" t="s">
        <v>937</v>
      </c>
      <c r="L494">
        <v>7</v>
      </c>
      <c r="M494" t="s">
        <v>938</v>
      </c>
      <c r="O494" t="s">
        <v>30</v>
      </c>
      <c r="P494" t="s">
        <v>29</v>
      </c>
      <c r="Q494" s="1">
        <v>42394.659768518519</v>
      </c>
      <c r="R494">
        <v>7</v>
      </c>
      <c r="S494" t="s">
        <v>214</v>
      </c>
      <c r="T494" t="s">
        <v>500</v>
      </c>
      <c r="U494">
        <v>657.07600000000002</v>
      </c>
      <c r="V494" s="3">
        <v>42143</v>
      </c>
    </row>
    <row r="495" spans="1:22" x14ac:dyDescent="0.35">
      <c r="A495" s="1">
        <v>42394.655821759261</v>
      </c>
      <c r="B495" s="2">
        <v>1.5624999999999999E-3</v>
      </c>
      <c r="C495" t="s">
        <v>106</v>
      </c>
      <c r="D495" t="s">
        <v>23</v>
      </c>
      <c r="E495" t="s">
        <v>24</v>
      </c>
      <c r="F495" t="s">
        <v>939</v>
      </c>
      <c r="G495">
        <v>1619425</v>
      </c>
      <c r="H495" t="s">
        <v>68</v>
      </c>
      <c r="I495" t="s">
        <v>27</v>
      </c>
      <c r="J495" t="str">
        <f>"9781317691242"</f>
        <v>9781317691242</v>
      </c>
      <c r="K495" t="s">
        <v>940</v>
      </c>
      <c r="L495">
        <v>26</v>
      </c>
      <c r="O495" t="s">
        <v>30</v>
      </c>
      <c r="P495" t="s">
        <v>50</v>
      </c>
      <c r="S495" t="s">
        <v>31</v>
      </c>
      <c r="T495" t="s">
        <v>941</v>
      </c>
      <c r="U495">
        <v>415</v>
      </c>
      <c r="V495" s="3">
        <v>41638</v>
      </c>
    </row>
    <row r="496" spans="1:22" x14ac:dyDescent="0.35">
      <c r="A496" s="1">
        <v>42394.651006944441</v>
      </c>
      <c r="B496" s="2">
        <v>8.7615740740740744E-3</v>
      </c>
      <c r="C496" t="s">
        <v>471</v>
      </c>
      <c r="D496" t="s">
        <v>211</v>
      </c>
      <c r="E496" t="s">
        <v>212</v>
      </c>
      <c r="F496" t="s">
        <v>497</v>
      </c>
      <c r="G496">
        <v>1986951</v>
      </c>
      <c r="H496" t="s">
        <v>26</v>
      </c>
      <c r="I496" t="s">
        <v>97</v>
      </c>
      <c r="J496" t="str">
        <f>"9781119130468"</f>
        <v>9781119130468</v>
      </c>
      <c r="K496" t="s">
        <v>942</v>
      </c>
      <c r="L496">
        <v>17</v>
      </c>
      <c r="O496" t="s">
        <v>30</v>
      </c>
      <c r="P496" t="s">
        <v>42</v>
      </c>
      <c r="S496" t="s">
        <v>214</v>
      </c>
      <c r="T496" t="s">
        <v>500</v>
      </c>
      <c r="U496">
        <v>657.07600000000002</v>
      </c>
      <c r="V496" s="3">
        <v>42143</v>
      </c>
    </row>
    <row r="497" spans="1:22" x14ac:dyDescent="0.35">
      <c r="A497" s="1">
        <v>42394.647303240738</v>
      </c>
      <c r="B497" s="2">
        <v>2.013888888888889E-2</v>
      </c>
      <c r="C497" t="s">
        <v>798</v>
      </c>
      <c r="D497" t="s">
        <v>23</v>
      </c>
      <c r="E497" t="s">
        <v>24</v>
      </c>
      <c r="F497" t="s">
        <v>799</v>
      </c>
      <c r="G497">
        <v>1757959</v>
      </c>
      <c r="H497" t="s">
        <v>26</v>
      </c>
      <c r="I497" t="s">
        <v>800</v>
      </c>
      <c r="J497" t="str">
        <f>"9781118767023"</f>
        <v>9781118767023</v>
      </c>
      <c r="K497" t="s">
        <v>943</v>
      </c>
      <c r="L497">
        <v>31</v>
      </c>
      <c r="N497" t="s">
        <v>944</v>
      </c>
      <c r="O497" t="s">
        <v>30</v>
      </c>
      <c r="P497" t="s">
        <v>29</v>
      </c>
      <c r="Q497" s="1">
        <v>42394.647303240738</v>
      </c>
      <c r="R497">
        <v>7</v>
      </c>
      <c r="S497" t="s">
        <v>31</v>
      </c>
      <c r="T497" t="s">
        <v>802</v>
      </c>
      <c r="U497" t="s">
        <v>803</v>
      </c>
      <c r="V497" s="3">
        <v>41850</v>
      </c>
    </row>
    <row r="498" spans="1:22" x14ac:dyDescent="0.35">
      <c r="A498" s="1">
        <v>42394.641377314816</v>
      </c>
      <c r="B498" s="2">
        <v>6.018518518518519E-4</v>
      </c>
      <c r="C498" t="s">
        <v>106</v>
      </c>
      <c r="D498" t="s">
        <v>23</v>
      </c>
      <c r="E498" t="s">
        <v>24</v>
      </c>
      <c r="F498" t="s">
        <v>257</v>
      </c>
      <c r="G498">
        <v>1356283</v>
      </c>
      <c r="H498" t="s">
        <v>68</v>
      </c>
      <c r="I498" t="s">
        <v>27</v>
      </c>
      <c r="J498" t="str">
        <f>"9781136488801"</f>
        <v>9781136488801</v>
      </c>
      <c r="K498" t="s">
        <v>945</v>
      </c>
      <c r="L498">
        <v>18</v>
      </c>
      <c r="O498" t="s">
        <v>30</v>
      </c>
      <c r="P498" t="s">
        <v>50</v>
      </c>
      <c r="S498" t="s">
        <v>31</v>
      </c>
      <c r="T498" t="s">
        <v>259</v>
      </c>
      <c r="U498">
        <v>401.93</v>
      </c>
      <c r="V498" s="3">
        <v>41507</v>
      </c>
    </row>
    <row r="499" spans="1:22" x14ac:dyDescent="0.35">
      <c r="A499" s="1">
        <v>42394.639560185184</v>
      </c>
      <c r="B499" s="2">
        <v>4.6296296296296294E-5</v>
      </c>
      <c r="C499" t="s">
        <v>946</v>
      </c>
      <c r="D499" t="s">
        <v>23</v>
      </c>
      <c r="E499" t="s">
        <v>24</v>
      </c>
      <c r="F499" t="s">
        <v>947</v>
      </c>
      <c r="G499">
        <v>1818250</v>
      </c>
      <c r="H499" t="s">
        <v>26</v>
      </c>
      <c r="I499" t="s">
        <v>69</v>
      </c>
      <c r="J499" t="str">
        <f>"9781118955178"</f>
        <v>9781118955178</v>
      </c>
      <c r="K499" t="s">
        <v>611</v>
      </c>
      <c r="L499">
        <v>3</v>
      </c>
      <c r="O499" t="s">
        <v>30</v>
      </c>
      <c r="P499" t="s">
        <v>42</v>
      </c>
      <c r="S499" t="s">
        <v>31</v>
      </c>
      <c r="T499" t="s">
        <v>948</v>
      </c>
      <c r="U499">
        <v>371.3</v>
      </c>
      <c r="V499" s="3">
        <v>41925</v>
      </c>
    </row>
    <row r="500" spans="1:22" x14ac:dyDescent="0.35">
      <c r="A500" s="1">
        <v>42394.63449074074</v>
      </c>
      <c r="B500" s="2">
        <v>1.2152777777777778E-3</v>
      </c>
      <c r="C500" t="s">
        <v>106</v>
      </c>
      <c r="D500" t="s">
        <v>23</v>
      </c>
      <c r="E500" t="s">
        <v>24</v>
      </c>
      <c r="F500" t="s">
        <v>707</v>
      </c>
      <c r="G500">
        <v>1775206</v>
      </c>
      <c r="H500" t="s">
        <v>26</v>
      </c>
      <c r="I500" t="s">
        <v>708</v>
      </c>
      <c r="J500" t="str">
        <f>"9781118845356"</f>
        <v>9781118845356</v>
      </c>
      <c r="K500" t="s">
        <v>949</v>
      </c>
      <c r="L500">
        <v>8</v>
      </c>
      <c r="O500" t="s">
        <v>30</v>
      </c>
      <c r="P500" t="s">
        <v>50</v>
      </c>
      <c r="S500" t="s">
        <v>31</v>
      </c>
      <c r="T500" t="s">
        <v>710</v>
      </c>
      <c r="U500" t="s">
        <v>711</v>
      </c>
      <c r="V500" s="3">
        <v>41876</v>
      </c>
    </row>
    <row r="501" spans="1:22" x14ac:dyDescent="0.35">
      <c r="A501" s="1">
        <v>42394.602326388886</v>
      </c>
      <c r="B501" s="2">
        <v>4.4976851851851851E-2</v>
      </c>
      <c r="C501" t="s">
        <v>798</v>
      </c>
      <c r="D501" t="s">
        <v>23</v>
      </c>
      <c r="E501" t="s">
        <v>24</v>
      </c>
      <c r="F501" t="s">
        <v>799</v>
      </c>
      <c r="G501">
        <v>1757959</v>
      </c>
      <c r="H501" t="s">
        <v>26</v>
      </c>
      <c r="I501" t="s">
        <v>800</v>
      </c>
      <c r="J501" t="str">
        <f>"9781118767023"</f>
        <v>9781118767023</v>
      </c>
      <c r="K501" t="s">
        <v>33</v>
      </c>
      <c r="L501">
        <v>3</v>
      </c>
      <c r="O501" t="s">
        <v>30</v>
      </c>
      <c r="P501" t="s">
        <v>42</v>
      </c>
      <c r="S501" t="s">
        <v>31</v>
      </c>
      <c r="T501" t="s">
        <v>802</v>
      </c>
      <c r="U501" t="s">
        <v>803</v>
      </c>
      <c r="V501" s="3">
        <v>41850</v>
      </c>
    </row>
    <row r="502" spans="1:22" x14ac:dyDescent="0.35">
      <c r="A502" s="1">
        <v>42394.542256944442</v>
      </c>
      <c r="B502" s="2">
        <v>2.5462962962962961E-4</v>
      </c>
      <c r="C502" t="s">
        <v>950</v>
      </c>
      <c r="D502" t="s">
        <v>623</v>
      </c>
      <c r="E502" t="s">
        <v>624</v>
      </c>
      <c r="F502" t="s">
        <v>799</v>
      </c>
      <c r="G502">
        <v>1757959</v>
      </c>
      <c r="H502" t="s">
        <v>26</v>
      </c>
      <c r="I502" t="s">
        <v>800</v>
      </c>
      <c r="J502" t="str">
        <f>"9781118767023"</f>
        <v>9781118767023</v>
      </c>
      <c r="K502" t="s">
        <v>951</v>
      </c>
      <c r="L502">
        <v>7</v>
      </c>
      <c r="N502" t="s">
        <v>952</v>
      </c>
      <c r="O502" t="s">
        <v>30</v>
      </c>
      <c r="P502" t="s">
        <v>29</v>
      </c>
      <c r="Q502" s="1">
        <v>42388.853506944448</v>
      </c>
      <c r="R502">
        <v>7</v>
      </c>
      <c r="S502" t="s">
        <v>627</v>
      </c>
      <c r="T502" t="s">
        <v>802</v>
      </c>
      <c r="U502" t="s">
        <v>803</v>
      </c>
      <c r="V502" s="3">
        <v>41850</v>
      </c>
    </row>
    <row r="503" spans="1:22" x14ac:dyDescent="0.35">
      <c r="A503" s="1">
        <v>42394.334062499998</v>
      </c>
      <c r="B503" s="2">
        <v>2.4189814814814816E-3</v>
      </c>
      <c r="C503" t="s">
        <v>953</v>
      </c>
      <c r="D503" t="s">
        <v>23</v>
      </c>
      <c r="E503" t="s">
        <v>24</v>
      </c>
      <c r="F503" t="s">
        <v>107</v>
      </c>
      <c r="G503">
        <v>4035861</v>
      </c>
      <c r="H503" t="s">
        <v>26</v>
      </c>
      <c r="I503" t="s">
        <v>108</v>
      </c>
      <c r="J503" t="str">
        <f>"9781118498927"</f>
        <v>9781118498927</v>
      </c>
      <c r="K503" t="s">
        <v>954</v>
      </c>
      <c r="L503">
        <v>10</v>
      </c>
      <c r="O503" t="s">
        <v>30</v>
      </c>
      <c r="P503" t="s">
        <v>50</v>
      </c>
      <c r="S503" t="s">
        <v>31</v>
      </c>
      <c r="T503" t="s">
        <v>109</v>
      </c>
      <c r="U503">
        <v>332.63204200000001</v>
      </c>
      <c r="V503" s="3">
        <v>42163</v>
      </c>
    </row>
    <row r="504" spans="1:22" x14ac:dyDescent="0.35">
      <c r="A504" s="1">
        <v>42394.330138888887</v>
      </c>
      <c r="B504" s="2">
        <v>1.5046296296296297E-4</v>
      </c>
      <c r="C504" t="s">
        <v>106</v>
      </c>
      <c r="D504" t="s">
        <v>23</v>
      </c>
      <c r="E504" t="s">
        <v>24</v>
      </c>
      <c r="F504" t="s">
        <v>955</v>
      </c>
      <c r="G504">
        <v>1760717</v>
      </c>
      <c r="H504" t="s">
        <v>91</v>
      </c>
      <c r="I504" t="s">
        <v>247</v>
      </c>
      <c r="J504" t="str">
        <f>"9781462517640"</f>
        <v>9781462517640</v>
      </c>
      <c r="K504" t="s">
        <v>956</v>
      </c>
      <c r="L504">
        <v>5</v>
      </c>
      <c r="O504" t="s">
        <v>30</v>
      </c>
      <c r="P504" t="s">
        <v>42</v>
      </c>
      <c r="S504" t="s">
        <v>31</v>
      </c>
      <c r="T504" t="s">
        <v>957</v>
      </c>
      <c r="U504">
        <v>618.9289</v>
      </c>
      <c r="V504" s="3">
        <v>41960</v>
      </c>
    </row>
    <row r="505" spans="1:22" x14ac:dyDescent="0.35">
      <c r="A505" s="1">
        <v>42394.301863425928</v>
      </c>
      <c r="B505" s="2">
        <v>0</v>
      </c>
      <c r="C505" t="s">
        <v>558</v>
      </c>
      <c r="D505" t="s">
        <v>23</v>
      </c>
      <c r="E505" t="s">
        <v>24</v>
      </c>
      <c r="F505" t="s">
        <v>958</v>
      </c>
      <c r="G505">
        <v>1895835</v>
      </c>
      <c r="H505" t="s">
        <v>26</v>
      </c>
      <c r="I505" t="s">
        <v>445</v>
      </c>
      <c r="J505" t="str">
        <f>"9781118970997"</f>
        <v>9781118970997</v>
      </c>
      <c r="L505">
        <v>0</v>
      </c>
      <c r="O505" t="s">
        <v>28</v>
      </c>
      <c r="P505" t="s">
        <v>29</v>
      </c>
      <c r="Q505" s="1">
        <v>42394.230428240742</v>
      </c>
      <c r="R505">
        <v>7</v>
      </c>
      <c r="S505" t="s">
        <v>31</v>
      </c>
      <c r="T505" t="s">
        <v>959</v>
      </c>
      <c r="U505" t="s">
        <v>960</v>
      </c>
      <c r="V505" s="3">
        <v>42107</v>
      </c>
    </row>
    <row r="506" spans="1:22" x14ac:dyDescent="0.35">
      <c r="A506" s="1">
        <v>42394.301631944443</v>
      </c>
      <c r="B506" s="2">
        <v>5.7870370370370366E-5</v>
      </c>
      <c r="C506" t="s">
        <v>558</v>
      </c>
      <c r="D506" t="s">
        <v>23</v>
      </c>
      <c r="E506" t="s">
        <v>24</v>
      </c>
      <c r="F506" t="s">
        <v>958</v>
      </c>
      <c r="G506">
        <v>1895835</v>
      </c>
      <c r="H506" t="s">
        <v>26</v>
      </c>
      <c r="I506" t="s">
        <v>445</v>
      </c>
      <c r="J506" t="str">
        <f>"9781118970997"</f>
        <v>9781118970997</v>
      </c>
      <c r="K506" t="s">
        <v>33</v>
      </c>
      <c r="L506">
        <v>3</v>
      </c>
      <c r="O506" t="s">
        <v>30</v>
      </c>
      <c r="P506" t="s">
        <v>29</v>
      </c>
      <c r="Q506" s="1">
        <v>42394.230428240742</v>
      </c>
      <c r="R506">
        <v>7</v>
      </c>
      <c r="S506" t="s">
        <v>31</v>
      </c>
      <c r="T506" t="s">
        <v>959</v>
      </c>
      <c r="U506" t="s">
        <v>960</v>
      </c>
      <c r="V506" s="3">
        <v>42107</v>
      </c>
    </row>
    <row r="507" spans="1:22" x14ac:dyDescent="0.35">
      <c r="A507" s="1">
        <v>42394.294710648152</v>
      </c>
      <c r="B507" s="2">
        <v>6.7476851851851856E-3</v>
      </c>
      <c r="C507" t="s">
        <v>558</v>
      </c>
      <c r="D507" t="s">
        <v>23</v>
      </c>
      <c r="E507" t="s">
        <v>24</v>
      </c>
      <c r="F507" t="s">
        <v>961</v>
      </c>
      <c r="G507">
        <v>1757096</v>
      </c>
      <c r="H507" t="s">
        <v>26</v>
      </c>
      <c r="I507" t="s">
        <v>445</v>
      </c>
      <c r="J507" t="str">
        <f>"9781118745472"</f>
        <v>9781118745472</v>
      </c>
      <c r="K507" t="s">
        <v>202</v>
      </c>
      <c r="L507">
        <v>3</v>
      </c>
      <c r="O507" t="s">
        <v>28</v>
      </c>
      <c r="P507" t="s">
        <v>29</v>
      </c>
      <c r="Q507" s="1">
        <v>42394.294710648152</v>
      </c>
      <c r="R507">
        <v>7</v>
      </c>
      <c r="S507" t="s">
        <v>31</v>
      </c>
      <c r="T507" t="s">
        <v>962</v>
      </c>
      <c r="U507" t="s">
        <v>963</v>
      </c>
      <c r="V507" s="3">
        <v>41848</v>
      </c>
    </row>
    <row r="508" spans="1:22" x14ac:dyDescent="0.35">
      <c r="A508" s="1">
        <v>42394.294710648152</v>
      </c>
      <c r="B508" s="2">
        <v>0</v>
      </c>
      <c r="C508" t="s">
        <v>558</v>
      </c>
      <c r="D508" t="s">
        <v>23</v>
      </c>
      <c r="E508" t="s">
        <v>24</v>
      </c>
      <c r="F508" t="s">
        <v>961</v>
      </c>
      <c r="G508">
        <v>1757096</v>
      </c>
      <c r="H508" t="s">
        <v>26</v>
      </c>
      <c r="I508" t="s">
        <v>445</v>
      </c>
      <c r="J508" t="str">
        <f>"9781118745472"</f>
        <v>9781118745472</v>
      </c>
      <c r="L508">
        <v>0</v>
      </c>
      <c r="O508" t="s">
        <v>30</v>
      </c>
      <c r="P508" t="s">
        <v>29</v>
      </c>
      <c r="Q508" s="1">
        <v>42394.294710648152</v>
      </c>
      <c r="R508">
        <v>7</v>
      </c>
      <c r="S508" t="s">
        <v>31</v>
      </c>
      <c r="T508" t="s">
        <v>962</v>
      </c>
      <c r="U508" t="s">
        <v>963</v>
      </c>
      <c r="V508" s="3">
        <v>41848</v>
      </c>
    </row>
    <row r="509" spans="1:22" x14ac:dyDescent="0.35">
      <c r="A509" s="1">
        <v>42394.294444444444</v>
      </c>
      <c r="B509" s="2">
        <v>2.6620370370370372E-4</v>
      </c>
      <c r="C509" t="s">
        <v>558</v>
      </c>
      <c r="D509" t="s">
        <v>23</v>
      </c>
      <c r="E509" t="s">
        <v>24</v>
      </c>
      <c r="F509" t="s">
        <v>961</v>
      </c>
      <c r="G509">
        <v>1757096</v>
      </c>
      <c r="H509" t="s">
        <v>26</v>
      </c>
      <c r="I509" t="s">
        <v>445</v>
      </c>
      <c r="J509" t="str">
        <f>"9781118745472"</f>
        <v>9781118745472</v>
      </c>
      <c r="K509" t="s">
        <v>611</v>
      </c>
      <c r="L509">
        <v>3</v>
      </c>
      <c r="O509" t="s">
        <v>30</v>
      </c>
      <c r="P509" t="s">
        <v>42</v>
      </c>
      <c r="S509" t="s">
        <v>31</v>
      </c>
      <c r="T509" t="s">
        <v>962</v>
      </c>
      <c r="U509" t="s">
        <v>963</v>
      </c>
      <c r="V509" s="3">
        <v>41848</v>
      </c>
    </row>
    <row r="510" spans="1:22" x14ac:dyDescent="0.35">
      <c r="A510" s="1">
        <v>42394.293854166666</v>
      </c>
      <c r="B510" s="2">
        <v>5.7870370370370366E-5</v>
      </c>
      <c r="C510" t="s">
        <v>558</v>
      </c>
      <c r="D510" t="s">
        <v>23</v>
      </c>
      <c r="E510" t="s">
        <v>24</v>
      </c>
      <c r="F510" t="s">
        <v>964</v>
      </c>
      <c r="G510">
        <v>1809741</v>
      </c>
      <c r="H510" t="s">
        <v>26</v>
      </c>
      <c r="I510" t="s">
        <v>97</v>
      </c>
      <c r="J510" t="str">
        <f t="shared" ref="J510:J524" si="8">"9781118963685"</f>
        <v>9781118963685</v>
      </c>
      <c r="K510" t="s">
        <v>33</v>
      </c>
      <c r="L510">
        <v>3</v>
      </c>
      <c r="O510" t="s">
        <v>30</v>
      </c>
      <c r="P510" t="s">
        <v>29</v>
      </c>
      <c r="Q510" s="1">
        <v>42394.259050925924</v>
      </c>
      <c r="R510">
        <v>7</v>
      </c>
      <c r="S510" t="s">
        <v>31</v>
      </c>
      <c r="T510" t="s">
        <v>965</v>
      </c>
      <c r="U510">
        <v>658.15499999999997</v>
      </c>
      <c r="V510" s="3">
        <v>41911</v>
      </c>
    </row>
    <row r="511" spans="1:22" x14ac:dyDescent="0.35">
      <c r="A511" s="1">
        <v>42394.291250000002</v>
      </c>
      <c r="B511" s="2">
        <v>4.6296296296296294E-5</v>
      </c>
      <c r="C511" t="s">
        <v>558</v>
      </c>
      <c r="D511" t="s">
        <v>23</v>
      </c>
      <c r="E511" t="s">
        <v>24</v>
      </c>
      <c r="F511" t="s">
        <v>964</v>
      </c>
      <c r="G511">
        <v>1809741</v>
      </c>
      <c r="H511" t="s">
        <v>26</v>
      </c>
      <c r="I511" t="s">
        <v>97</v>
      </c>
      <c r="J511" t="str">
        <f t="shared" si="8"/>
        <v>9781118963685</v>
      </c>
      <c r="K511" t="s">
        <v>33</v>
      </c>
      <c r="L511">
        <v>3</v>
      </c>
      <c r="O511" t="s">
        <v>30</v>
      </c>
      <c r="P511" t="s">
        <v>29</v>
      </c>
      <c r="Q511" s="1">
        <v>42394.259050925924</v>
      </c>
      <c r="R511">
        <v>7</v>
      </c>
      <c r="S511" t="s">
        <v>31</v>
      </c>
      <c r="T511" t="s">
        <v>965</v>
      </c>
      <c r="U511">
        <v>658.15499999999997</v>
      </c>
      <c r="V511" s="3">
        <v>41911</v>
      </c>
    </row>
    <row r="512" spans="1:22" x14ac:dyDescent="0.35">
      <c r="A512" s="1">
        <v>42394.287546296298</v>
      </c>
      <c r="B512" s="2">
        <v>4.6296296296296294E-5</v>
      </c>
      <c r="C512" t="s">
        <v>558</v>
      </c>
      <c r="D512" t="s">
        <v>23</v>
      </c>
      <c r="E512" t="s">
        <v>24</v>
      </c>
      <c r="F512" t="s">
        <v>964</v>
      </c>
      <c r="G512">
        <v>1809741</v>
      </c>
      <c r="H512" t="s">
        <v>26</v>
      </c>
      <c r="I512" t="s">
        <v>97</v>
      </c>
      <c r="J512" t="str">
        <f t="shared" si="8"/>
        <v>9781118963685</v>
      </c>
      <c r="K512" t="s">
        <v>33</v>
      </c>
      <c r="L512">
        <v>3</v>
      </c>
      <c r="O512" t="s">
        <v>30</v>
      </c>
      <c r="P512" t="s">
        <v>29</v>
      </c>
      <c r="Q512" s="1">
        <v>42394.259050925924</v>
      </c>
      <c r="R512">
        <v>7</v>
      </c>
      <c r="S512" t="s">
        <v>31</v>
      </c>
      <c r="T512" t="s">
        <v>965</v>
      </c>
      <c r="U512">
        <v>658.15499999999997</v>
      </c>
      <c r="V512" s="3">
        <v>41911</v>
      </c>
    </row>
    <row r="513" spans="1:22" x14ac:dyDescent="0.35">
      <c r="A513" s="1">
        <v>42394.284988425927</v>
      </c>
      <c r="B513" s="2">
        <v>0</v>
      </c>
      <c r="C513" t="s">
        <v>558</v>
      </c>
      <c r="D513" t="s">
        <v>23</v>
      </c>
      <c r="E513" t="s">
        <v>24</v>
      </c>
      <c r="F513" t="s">
        <v>964</v>
      </c>
      <c r="G513">
        <v>1809741</v>
      </c>
      <c r="H513" t="s">
        <v>26</v>
      </c>
      <c r="I513" t="s">
        <v>97</v>
      </c>
      <c r="J513" t="str">
        <f t="shared" si="8"/>
        <v>9781118963685</v>
      </c>
      <c r="L513">
        <v>0</v>
      </c>
      <c r="O513" t="s">
        <v>28</v>
      </c>
      <c r="P513" t="s">
        <v>29</v>
      </c>
      <c r="Q513" s="1">
        <v>42394.259050925924</v>
      </c>
      <c r="R513">
        <v>7</v>
      </c>
      <c r="S513" t="s">
        <v>31</v>
      </c>
      <c r="T513" t="s">
        <v>965</v>
      </c>
      <c r="U513">
        <v>658.15499999999997</v>
      </c>
      <c r="V513" s="3">
        <v>41911</v>
      </c>
    </row>
    <row r="514" spans="1:22" x14ac:dyDescent="0.35">
      <c r="A514" s="1">
        <v>42394.284710648149</v>
      </c>
      <c r="B514" s="2">
        <v>5.7870370370370366E-5</v>
      </c>
      <c r="C514" t="s">
        <v>558</v>
      </c>
      <c r="D514" t="s">
        <v>23</v>
      </c>
      <c r="E514" t="s">
        <v>24</v>
      </c>
      <c r="F514" t="s">
        <v>964</v>
      </c>
      <c r="G514">
        <v>1809741</v>
      </c>
      <c r="H514" t="s">
        <v>26</v>
      </c>
      <c r="I514" t="s">
        <v>97</v>
      </c>
      <c r="J514" t="str">
        <f t="shared" si="8"/>
        <v>9781118963685</v>
      </c>
      <c r="K514" t="s">
        <v>33</v>
      </c>
      <c r="L514">
        <v>3</v>
      </c>
      <c r="O514" t="s">
        <v>30</v>
      </c>
      <c r="P514" t="s">
        <v>29</v>
      </c>
      <c r="Q514" s="1">
        <v>42394.259050925924</v>
      </c>
      <c r="R514">
        <v>7</v>
      </c>
      <c r="S514" t="s">
        <v>31</v>
      </c>
      <c r="T514" t="s">
        <v>965</v>
      </c>
      <c r="U514">
        <v>658.15499999999997</v>
      </c>
      <c r="V514" s="3">
        <v>41911</v>
      </c>
    </row>
    <row r="515" spans="1:22" x14ac:dyDescent="0.35">
      <c r="A515" s="1">
        <v>42394.276736111111</v>
      </c>
      <c r="B515" s="2">
        <v>0</v>
      </c>
      <c r="C515" t="s">
        <v>558</v>
      </c>
      <c r="D515" t="s">
        <v>23</v>
      </c>
      <c r="E515" t="s">
        <v>24</v>
      </c>
      <c r="F515" t="s">
        <v>964</v>
      </c>
      <c r="G515">
        <v>1809741</v>
      </c>
      <c r="H515" t="s">
        <v>26</v>
      </c>
      <c r="I515" t="s">
        <v>97</v>
      </c>
      <c r="J515" t="str">
        <f t="shared" si="8"/>
        <v>9781118963685</v>
      </c>
      <c r="L515">
        <v>0</v>
      </c>
      <c r="O515" t="s">
        <v>28</v>
      </c>
      <c r="P515" t="s">
        <v>29</v>
      </c>
      <c r="Q515" s="1">
        <v>42394.259050925924</v>
      </c>
      <c r="R515">
        <v>7</v>
      </c>
      <c r="S515" t="s">
        <v>31</v>
      </c>
      <c r="T515" t="s">
        <v>965</v>
      </c>
      <c r="U515">
        <v>658.15499999999997</v>
      </c>
      <c r="V515" s="3">
        <v>41911</v>
      </c>
    </row>
    <row r="516" spans="1:22" x14ac:dyDescent="0.35">
      <c r="A516" s="1">
        <v>42394.276585648149</v>
      </c>
      <c r="B516" s="2">
        <v>4.6296296296296294E-5</v>
      </c>
      <c r="C516" t="s">
        <v>558</v>
      </c>
      <c r="D516" t="s">
        <v>23</v>
      </c>
      <c r="E516" t="s">
        <v>24</v>
      </c>
      <c r="F516" t="s">
        <v>964</v>
      </c>
      <c r="G516">
        <v>1809741</v>
      </c>
      <c r="H516" t="s">
        <v>26</v>
      </c>
      <c r="I516" t="s">
        <v>97</v>
      </c>
      <c r="J516" t="str">
        <f t="shared" si="8"/>
        <v>9781118963685</v>
      </c>
      <c r="K516" t="s">
        <v>33</v>
      </c>
      <c r="L516">
        <v>3</v>
      </c>
      <c r="O516" t="s">
        <v>30</v>
      </c>
      <c r="P516" t="s">
        <v>29</v>
      </c>
      <c r="Q516" s="1">
        <v>42394.259050925924</v>
      </c>
      <c r="R516">
        <v>7</v>
      </c>
      <c r="S516" t="s">
        <v>31</v>
      </c>
      <c r="T516" t="s">
        <v>965</v>
      </c>
      <c r="U516">
        <v>658.15499999999997</v>
      </c>
      <c r="V516" s="3">
        <v>41911</v>
      </c>
    </row>
    <row r="517" spans="1:22" x14ac:dyDescent="0.35">
      <c r="A517" s="1">
        <v>42394.265115740738</v>
      </c>
      <c r="B517" s="2">
        <v>0</v>
      </c>
      <c r="C517" t="s">
        <v>558</v>
      </c>
      <c r="D517" t="s">
        <v>23</v>
      </c>
      <c r="E517" t="s">
        <v>24</v>
      </c>
      <c r="F517" t="s">
        <v>964</v>
      </c>
      <c r="G517">
        <v>1809741</v>
      </c>
      <c r="H517" t="s">
        <v>26</v>
      </c>
      <c r="I517" t="s">
        <v>97</v>
      </c>
      <c r="J517" t="str">
        <f t="shared" si="8"/>
        <v>9781118963685</v>
      </c>
      <c r="L517">
        <v>0</v>
      </c>
      <c r="O517" t="s">
        <v>28</v>
      </c>
      <c r="P517" t="s">
        <v>29</v>
      </c>
      <c r="Q517" s="1">
        <v>42394.259050925924</v>
      </c>
      <c r="R517">
        <v>7</v>
      </c>
      <c r="S517" t="s">
        <v>31</v>
      </c>
      <c r="T517" t="s">
        <v>965</v>
      </c>
      <c r="U517">
        <v>658.15499999999997</v>
      </c>
      <c r="V517" s="3">
        <v>41911</v>
      </c>
    </row>
    <row r="518" spans="1:22" x14ac:dyDescent="0.35">
      <c r="A518" s="1">
        <v>42394.26390046296</v>
      </c>
      <c r="B518" s="2">
        <v>8.9120370370370362E-4</v>
      </c>
      <c r="C518" t="s">
        <v>558</v>
      </c>
      <c r="D518" t="s">
        <v>23</v>
      </c>
      <c r="E518" t="s">
        <v>24</v>
      </c>
      <c r="F518" t="s">
        <v>964</v>
      </c>
      <c r="G518">
        <v>1809741</v>
      </c>
      <c r="H518" t="s">
        <v>26</v>
      </c>
      <c r="I518" t="s">
        <v>97</v>
      </c>
      <c r="J518" t="str">
        <f t="shared" si="8"/>
        <v>9781118963685</v>
      </c>
      <c r="K518" t="s">
        <v>611</v>
      </c>
      <c r="L518">
        <v>3</v>
      </c>
      <c r="O518" t="s">
        <v>28</v>
      </c>
      <c r="P518" t="s">
        <v>29</v>
      </c>
      <c r="Q518" s="1">
        <v>42394.259050925924</v>
      </c>
      <c r="R518">
        <v>7</v>
      </c>
      <c r="S518" t="s">
        <v>31</v>
      </c>
      <c r="T518" t="s">
        <v>965</v>
      </c>
      <c r="U518">
        <v>658.15499999999997</v>
      </c>
      <c r="V518" s="3">
        <v>41911</v>
      </c>
    </row>
    <row r="519" spans="1:22" x14ac:dyDescent="0.35">
      <c r="A519" s="1">
        <v>42394.263749999998</v>
      </c>
      <c r="B519" s="2">
        <v>5.7870370370370366E-5</v>
      </c>
      <c r="C519" t="s">
        <v>558</v>
      </c>
      <c r="D519" t="s">
        <v>23</v>
      </c>
      <c r="E519" t="s">
        <v>24</v>
      </c>
      <c r="F519" t="s">
        <v>964</v>
      </c>
      <c r="G519">
        <v>1809741</v>
      </c>
      <c r="H519" t="s">
        <v>26</v>
      </c>
      <c r="I519" t="s">
        <v>97</v>
      </c>
      <c r="J519" t="str">
        <f t="shared" si="8"/>
        <v>9781118963685</v>
      </c>
      <c r="K519" t="s">
        <v>33</v>
      </c>
      <c r="L519">
        <v>3</v>
      </c>
      <c r="O519" t="s">
        <v>30</v>
      </c>
      <c r="P519" t="s">
        <v>29</v>
      </c>
      <c r="Q519" s="1">
        <v>42394.259050925924</v>
      </c>
      <c r="R519">
        <v>7</v>
      </c>
      <c r="S519" t="s">
        <v>31</v>
      </c>
      <c r="T519" t="s">
        <v>965</v>
      </c>
      <c r="U519">
        <v>658.15499999999997</v>
      </c>
      <c r="V519" s="3">
        <v>41911</v>
      </c>
    </row>
    <row r="520" spans="1:22" x14ac:dyDescent="0.35">
      <c r="A520" s="1">
        <v>42394.260775462964</v>
      </c>
      <c r="B520" s="2">
        <v>0</v>
      </c>
      <c r="C520" t="s">
        <v>558</v>
      </c>
      <c r="D520" t="s">
        <v>23</v>
      </c>
      <c r="E520" t="s">
        <v>24</v>
      </c>
      <c r="F520" t="s">
        <v>964</v>
      </c>
      <c r="G520">
        <v>1809741</v>
      </c>
      <c r="H520" t="s">
        <v>26</v>
      </c>
      <c r="I520" t="s">
        <v>97</v>
      </c>
      <c r="J520" t="str">
        <f t="shared" si="8"/>
        <v>9781118963685</v>
      </c>
      <c r="L520">
        <v>0</v>
      </c>
      <c r="O520" t="s">
        <v>28</v>
      </c>
      <c r="P520" t="s">
        <v>29</v>
      </c>
      <c r="Q520" s="1">
        <v>42394.259050925924</v>
      </c>
      <c r="R520">
        <v>7</v>
      </c>
      <c r="S520" t="s">
        <v>31</v>
      </c>
      <c r="T520" t="s">
        <v>965</v>
      </c>
      <c r="U520">
        <v>658.15499999999997</v>
      </c>
      <c r="V520" s="3">
        <v>41911</v>
      </c>
    </row>
    <row r="521" spans="1:22" x14ac:dyDescent="0.35">
      <c r="A521" s="1">
        <v>42394.260601851849</v>
      </c>
      <c r="B521" s="2">
        <v>5.7870370370370366E-5</v>
      </c>
      <c r="C521" t="s">
        <v>558</v>
      </c>
      <c r="D521" t="s">
        <v>23</v>
      </c>
      <c r="E521" t="s">
        <v>24</v>
      </c>
      <c r="F521" t="s">
        <v>964</v>
      </c>
      <c r="G521">
        <v>1809741</v>
      </c>
      <c r="H521" t="s">
        <v>26</v>
      </c>
      <c r="I521" t="s">
        <v>97</v>
      </c>
      <c r="J521" t="str">
        <f t="shared" si="8"/>
        <v>9781118963685</v>
      </c>
      <c r="K521" t="s">
        <v>33</v>
      </c>
      <c r="L521">
        <v>3</v>
      </c>
      <c r="O521" t="s">
        <v>30</v>
      </c>
      <c r="P521" t="s">
        <v>29</v>
      </c>
      <c r="Q521" s="1">
        <v>42394.259050925924</v>
      </c>
      <c r="R521">
        <v>7</v>
      </c>
      <c r="S521" t="s">
        <v>31</v>
      </c>
      <c r="T521" t="s">
        <v>965</v>
      </c>
      <c r="U521">
        <v>658.15499999999997</v>
      </c>
      <c r="V521" s="3">
        <v>41911</v>
      </c>
    </row>
    <row r="522" spans="1:22" x14ac:dyDescent="0.35">
      <c r="A522" s="1">
        <v>42394.259050925924</v>
      </c>
      <c r="B522" s="2">
        <v>0</v>
      </c>
      <c r="C522" t="s">
        <v>558</v>
      </c>
      <c r="D522" t="s">
        <v>23</v>
      </c>
      <c r="E522" t="s">
        <v>24</v>
      </c>
      <c r="F522" t="s">
        <v>964</v>
      </c>
      <c r="G522">
        <v>1809741</v>
      </c>
      <c r="H522" t="s">
        <v>26</v>
      </c>
      <c r="I522" t="s">
        <v>97</v>
      </c>
      <c r="J522" t="str">
        <f t="shared" si="8"/>
        <v>9781118963685</v>
      </c>
      <c r="L522">
        <v>0</v>
      </c>
      <c r="O522" t="s">
        <v>28</v>
      </c>
      <c r="P522" t="s">
        <v>29</v>
      </c>
      <c r="Q522" s="1">
        <v>42394.259050925924</v>
      </c>
      <c r="R522">
        <v>7</v>
      </c>
      <c r="S522" t="s">
        <v>31</v>
      </c>
      <c r="T522" t="s">
        <v>965</v>
      </c>
      <c r="U522">
        <v>658.15499999999997</v>
      </c>
      <c r="V522" s="3">
        <v>41911</v>
      </c>
    </row>
    <row r="523" spans="1:22" x14ac:dyDescent="0.35">
      <c r="A523" s="1">
        <v>42394.259050925924</v>
      </c>
      <c r="B523" s="2">
        <v>0</v>
      </c>
      <c r="C523" t="s">
        <v>558</v>
      </c>
      <c r="D523" t="s">
        <v>23</v>
      </c>
      <c r="E523" t="s">
        <v>24</v>
      </c>
      <c r="F523" t="s">
        <v>964</v>
      </c>
      <c r="G523">
        <v>1809741</v>
      </c>
      <c r="H523" t="s">
        <v>26</v>
      </c>
      <c r="I523" t="s">
        <v>97</v>
      </c>
      <c r="J523" t="str">
        <f t="shared" si="8"/>
        <v>9781118963685</v>
      </c>
      <c r="L523">
        <v>0</v>
      </c>
      <c r="O523" t="s">
        <v>30</v>
      </c>
      <c r="P523" t="s">
        <v>29</v>
      </c>
      <c r="Q523" s="1">
        <v>42394.259050925924</v>
      </c>
      <c r="R523">
        <v>7</v>
      </c>
      <c r="S523" t="s">
        <v>31</v>
      </c>
      <c r="T523" t="s">
        <v>965</v>
      </c>
      <c r="U523">
        <v>658.15499999999997</v>
      </c>
      <c r="V523" s="3">
        <v>41911</v>
      </c>
    </row>
    <row r="524" spans="1:22" x14ac:dyDescent="0.35">
      <c r="A524" s="1">
        <v>42394.258900462963</v>
      </c>
      <c r="B524" s="2">
        <v>1.5046296296296297E-4</v>
      </c>
      <c r="C524" t="s">
        <v>558</v>
      </c>
      <c r="D524" t="s">
        <v>23</v>
      </c>
      <c r="E524" t="s">
        <v>24</v>
      </c>
      <c r="F524" t="s">
        <v>964</v>
      </c>
      <c r="G524">
        <v>1809741</v>
      </c>
      <c r="H524" t="s">
        <v>26</v>
      </c>
      <c r="I524" t="s">
        <v>97</v>
      </c>
      <c r="J524" t="str">
        <f t="shared" si="8"/>
        <v>9781118963685</v>
      </c>
      <c r="K524" t="s">
        <v>33</v>
      </c>
      <c r="L524">
        <v>3</v>
      </c>
      <c r="O524" t="s">
        <v>30</v>
      </c>
      <c r="P524" t="s">
        <v>50</v>
      </c>
      <c r="S524" t="s">
        <v>31</v>
      </c>
      <c r="T524" t="s">
        <v>965</v>
      </c>
      <c r="U524">
        <v>658.15499999999997</v>
      </c>
      <c r="V524" s="3">
        <v>41911</v>
      </c>
    </row>
    <row r="525" spans="1:22" x14ac:dyDescent="0.35">
      <c r="A525" s="1">
        <v>42394.258645833332</v>
      </c>
      <c r="B525" s="2">
        <v>0</v>
      </c>
      <c r="C525" t="s">
        <v>558</v>
      </c>
      <c r="D525" t="s">
        <v>23</v>
      </c>
      <c r="E525" t="s">
        <v>24</v>
      </c>
      <c r="F525" t="s">
        <v>958</v>
      </c>
      <c r="G525">
        <v>1895835</v>
      </c>
      <c r="H525" t="s">
        <v>26</v>
      </c>
      <c r="I525" t="s">
        <v>445</v>
      </c>
      <c r="J525" t="str">
        <f t="shared" ref="J525:J530" si="9">"9781118970997"</f>
        <v>9781118970997</v>
      </c>
      <c r="L525">
        <v>0</v>
      </c>
      <c r="O525" t="s">
        <v>28</v>
      </c>
      <c r="P525" t="s">
        <v>29</v>
      </c>
      <c r="Q525" s="1">
        <v>42394.230428240742</v>
      </c>
      <c r="R525">
        <v>7</v>
      </c>
      <c r="S525" t="s">
        <v>31</v>
      </c>
      <c r="T525" t="s">
        <v>959</v>
      </c>
      <c r="U525" t="s">
        <v>960</v>
      </c>
      <c r="V525" s="3">
        <v>42107</v>
      </c>
    </row>
    <row r="526" spans="1:22" x14ac:dyDescent="0.35">
      <c r="A526" s="1">
        <v>42394.258506944447</v>
      </c>
      <c r="B526" s="2">
        <v>5.7870370370370366E-5</v>
      </c>
      <c r="C526" t="s">
        <v>558</v>
      </c>
      <c r="D526" t="s">
        <v>23</v>
      </c>
      <c r="E526" t="s">
        <v>24</v>
      </c>
      <c r="F526" t="s">
        <v>958</v>
      </c>
      <c r="G526">
        <v>1895835</v>
      </c>
      <c r="H526" t="s">
        <v>26</v>
      </c>
      <c r="I526" t="s">
        <v>445</v>
      </c>
      <c r="J526" t="str">
        <f t="shared" si="9"/>
        <v>9781118970997</v>
      </c>
      <c r="K526" t="s">
        <v>33</v>
      </c>
      <c r="L526">
        <v>3</v>
      </c>
      <c r="O526" t="s">
        <v>30</v>
      </c>
      <c r="P526" t="s">
        <v>29</v>
      </c>
      <c r="Q526" s="1">
        <v>42394.230428240742</v>
      </c>
      <c r="R526">
        <v>7</v>
      </c>
      <c r="S526" t="s">
        <v>31</v>
      </c>
      <c r="T526" t="s">
        <v>959</v>
      </c>
      <c r="U526" t="s">
        <v>960</v>
      </c>
      <c r="V526" s="3">
        <v>42107</v>
      </c>
    </row>
    <row r="527" spans="1:22" x14ac:dyDescent="0.35">
      <c r="A527" s="1">
        <v>42394.253217592595</v>
      </c>
      <c r="B527" s="2">
        <v>4.6296296296296294E-5</v>
      </c>
      <c r="C527" t="s">
        <v>558</v>
      </c>
      <c r="D527" t="s">
        <v>23</v>
      </c>
      <c r="E527" t="s">
        <v>24</v>
      </c>
      <c r="F527" t="s">
        <v>958</v>
      </c>
      <c r="G527">
        <v>1895835</v>
      </c>
      <c r="H527" t="s">
        <v>26</v>
      </c>
      <c r="I527" t="s">
        <v>445</v>
      </c>
      <c r="J527" t="str">
        <f t="shared" si="9"/>
        <v>9781118970997</v>
      </c>
      <c r="K527" t="s">
        <v>33</v>
      </c>
      <c r="L527">
        <v>3</v>
      </c>
      <c r="O527" t="s">
        <v>30</v>
      </c>
      <c r="P527" t="s">
        <v>29</v>
      </c>
      <c r="Q527" s="1">
        <v>42394.230428240742</v>
      </c>
      <c r="R527">
        <v>7</v>
      </c>
      <c r="S527" t="s">
        <v>31</v>
      </c>
      <c r="T527" t="s">
        <v>959</v>
      </c>
      <c r="U527" t="s">
        <v>960</v>
      </c>
      <c r="V527" s="3">
        <v>42107</v>
      </c>
    </row>
    <row r="528" spans="1:22" x14ac:dyDescent="0.35">
      <c r="A528" s="1">
        <v>42394.230428240742</v>
      </c>
      <c r="B528" s="2">
        <v>3.6574074074074074E-3</v>
      </c>
      <c r="C528" t="s">
        <v>558</v>
      </c>
      <c r="D528" t="s">
        <v>23</v>
      </c>
      <c r="E528" t="s">
        <v>24</v>
      </c>
      <c r="F528" t="s">
        <v>958</v>
      </c>
      <c r="G528">
        <v>1895835</v>
      </c>
      <c r="H528" t="s">
        <v>26</v>
      </c>
      <c r="I528" t="s">
        <v>445</v>
      </c>
      <c r="J528" t="str">
        <f t="shared" si="9"/>
        <v>9781118970997</v>
      </c>
      <c r="K528" t="s">
        <v>966</v>
      </c>
      <c r="L528">
        <v>13</v>
      </c>
      <c r="O528" t="s">
        <v>28</v>
      </c>
      <c r="P528" t="s">
        <v>29</v>
      </c>
      <c r="Q528" s="1">
        <v>42394.230428240742</v>
      </c>
      <c r="R528">
        <v>7</v>
      </c>
      <c r="S528" t="s">
        <v>31</v>
      </c>
      <c r="T528" t="s">
        <v>959</v>
      </c>
      <c r="U528" t="s">
        <v>960</v>
      </c>
      <c r="V528" s="3">
        <v>42107</v>
      </c>
    </row>
    <row r="529" spans="1:22" x14ac:dyDescent="0.35">
      <c r="A529" s="1">
        <v>42394.230428240742</v>
      </c>
      <c r="B529" s="2">
        <v>0</v>
      </c>
      <c r="C529" t="s">
        <v>558</v>
      </c>
      <c r="D529" t="s">
        <v>23</v>
      </c>
      <c r="E529" t="s">
        <v>24</v>
      </c>
      <c r="F529" t="s">
        <v>958</v>
      </c>
      <c r="G529">
        <v>1895835</v>
      </c>
      <c r="H529" t="s">
        <v>26</v>
      </c>
      <c r="I529" t="s">
        <v>445</v>
      </c>
      <c r="J529" t="str">
        <f t="shared" si="9"/>
        <v>9781118970997</v>
      </c>
      <c r="L529">
        <v>0</v>
      </c>
      <c r="O529" t="s">
        <v>30</v>
      </c>
      <c r="P529" t="s">
        <v>29</v>
      </c>
      <c r="Q529" s="1">
        <v>42394.230428240742</v>
      </c>
      <c r="R529">
        <v>7</v>
      </c>
      <c r="S529" t="s">
        <v>31</v>
      </c>
      <c r="T529" t="s">
        <v>959</v>
      </c>
      <c r="U529" t="s">
        <v>960</v>
      </c>
      <c r="V529" s="3">
        <v>42107</v>
      </c>
    </row>
    <row r="530" spans="1:22" x14ac:dyDescent="0.35">
      <c r="A530" s="1">
        <v>42394.230196759258</v>
      </c>
      <c r="B530" s="2">
        <v>2.3148148148148146E-4</v>
      </c>
      <c r="C530" t="s">
        <v>558</v>
      </c>
      <c r="D530" t="s">
        <v>23</v>
      </c>
      <c r="E530" t="s">
        <v>24</v>
      </c>
      <c r="F530" t="s">
        <v>958</v>
      </c>
      <c r="G530">
        <v>1895835</v>
      </c>
      <c r="H530" t="s">
        <v>26</v>
      </c>
      <c r="I530" t="s">
        <v>445</v>
      </c>
      <c r="J530" t="str">
        <f t="shared" si="9"/>
        <v>9781118970997</v>
      </c>
      <c r="K530" t="s">
        <v>33</v>
      </c>
      <c r="L530">
        <v>3</v>
      </c>
      <c r="O530" t="s">
        <v>30</v>
      </c>
      <c r="P530" t="s">
        <v>50</v>
      </c>
      <c r="S530" t="s">
        <v>31</v>
      </c>
      <c r="T530" t="s">
        <v>959</v>
      </c>
      <c r="U530" t="s">
        <v>960</v>
      </c>
      <c r="V530" s="3">
        <v>42107</v>
      </c>
    </row>
    <row r="531" spans="1:22" x14ac:dyDescent="0.35">
      <c r="A531" s="1">
        <v>42394.209224537037</v>
      </c>
      <c r="B531" s="2">
        <v>3.2523148148148151E-3</v>
      </c>
      <c r="C531" t="s">
        <v>848</v>
      </c>
      <c r="D531" t="s">
        <v>23</v>
      </c>
      <c r="E531" t="s">
        <v>24</v>
      </c>
      <c r="F531" t="s">
        <v>849</v>
      </c>
      <c r="G531">
        <v>1895799</v>
      </c>
      <c r="H531" t="s">
        <v>26</v>
      </c>
      <c r="I531" t="s">
        <v>850</v>
      </c>
      <c r="J531" t="str">
        <f>"9781118953082"</f>
        <v>9781118953082</v>
      </c>
      <c r="K531" t="s">
        <v>967</v>
      </c>
      <c r="L531">
        <v>21</v>
      </c>
      <c r="O531" t="s">
        <v>30</v>
      </c>
      <c r="P531" t="s">
        <v>50</v>
      </c>
      <c r="S531" t="s">
        <v>31</v>
      </c>
      <c r="T531" t="s">
        <v>852</v>
      </c>
      <c r="U531">
        <v>612.31023617599999</v>
      </c>
      <c r="V531" s="3">
        <v>42109</v>
      </c>
    </row>
    <row r="532" spans="1:22" x14ac:dyDescent="0.35">
      <c r="A532" s="1">
        <v>42394.206111111111</v>
      </c>
      <c r="B532" s="2">
        <v>8.819444444444444E-3</v>
      </c>
      <c r="C532" t="s">
        <v>968</v>
      </c>
      <c r="D532" t="s">
        <v>23</v>
      </c>
      <c r="E532" t="s">
        <v>24</v>
      </c>
      <c r="F532" t="s">
        <v>969</v>
      </c>
      <c r="G532">
        <v>818462</v>
      </c>
      <c r="H532" t="s">
        <v>26</v>
      </c>
      <c r="I532" t="s">
        <v>970</v>
      </c>
      <c r="J532" t="str">
        <f>"9781118140383"</f>
        <v>9781118140383</v>
      </c>
      <c r="K532" t="s">
        <v>971</v>
      </c>
      <c r="L532">
        <v>76</v>
      </c>
      <c r="M532" t="s">
        <v>972</v>
      </c>
      <c r="O532" t="s">
        <v>30</v>
      </c>
      <c r="P532" t="s">
        <v>29</v>
      </c>
      <c r="Q532" s="1">
        <v>42394.206111111111</v>
      </c>
      <c r="R532">
        <v>7</v>
      </c>
      <c r="S532" t="s">
        <v>31</v>
      </c>
      <c r="T532" t="s">
        <v>973</v>
      </c>
      <c r="U532" t="s">
        <v>974</v>
      </c>
      <c r="V532" s="3">
        <v>40968</v>
      </c>
    </row>
    <row r="533" spans="1:22" x14ac:dyDescent="0.35">
      <c r="A533" s="1">
        <v>42394.205370370371</v>
      </c>
      <c r="B533" s="2">
        <v>7.407407407407407E-4</v>
      </c>
      <c r="C533" t="s">
        <v>968</v>
      </c>
      <c r="D533" t="s">
        <v>23</v>
      </c>
      <c r="E533" t="s">
        <v>24</v>
      </c>
      <c r="F533" t="s">
        <v>969</v>
      </c>
      <c r="G533">
        <v>818462</v>
      </c>
      <c r="H533" t="s">
        <v>26</v>
      </c>
      <c r="I533" t="s">
        <v>970</v>
      </c>
      <c r="J533" t="str">
        <f>"9781118140383"</f>
        <v>9781118140383</v>
      </c>
      <c r="K533" t="s">
        <v>975</v>
      </c>
      <c r="L533">
        <v>14</v>
      </c>
      <c r="O533" t="s">
        <v>30</v>
      </c>
      <c r="P533" t="s">
        <v>42</v>
      </c>
      <c r="S533" t="s">
        <v>31</v>
      </c>
      <c r="T533" t="s">
        <v>973</v>
      </c>
      <c r="U533" t="s">
        <v>974</v>
      </c>
      <c r="V533" s="3">
        <v>40968</v>
      </c>
    </row>
    <row r="534" spans="1:22" x14ac:dyDescent="0.35">
      <c r="A534" s="1">
        <v>42394.114606481482</v>
      </c>
      <c r="B534" s="2">
        <v>3.6458333333333336E-2</v>
      </c>
      <c r="C534" t="s">
        <v>976</v>
      </c>
      <c r="D534" t="s">
        <v>23</v>
      </c>
      <c r="E534" t="s">
        <v>24</v>
      </c>
      <c r="F534" t="s">
        <v>977</v>
      </c>
      <c r="G534">
        <v>1579820</v>
      </c>
      <c r="H534" t="s">
        <v>68</v>
      </c>
      <c r="I534" t="s">
        <v>150</v>
      </c>
      <c r="J534" t="str">
        <f>"9781317928379"</f>
        <v>9781317928379</v>
      </c>
      <c r="K534" t="s">
        <v>978</v>
      </c>
      <c r="L534">
        <v>17</v>
      </c>
      <c r="O534" t="s">
        <v>30</v>
      </c>
      <c r="P534" t="s">
        <v>47</v>
      </c>
      <c r="Q534" s="1">
        <v>42394.114606481482</v>
      </c>
      <c r="R534">
        <v>1</v>
      </c>
      <c r="S534" t="s">
        <v>31</v>
      </c>
      <c r="T534" t="s">
        <v>979</v>
      </c>
      <c r="U534">
        <v>791.43094699999995</v>
      </c>
      <c r="V534" s="3">
        <v>41621</v>
      </c>
    </row>
    <row r="535" spans="1:22" x14ac:dyDescent="0.35">
      <c r="A535" s="1">
        <v>42394.113425925927</v>
      </c>
      <c r="B535" s="2">
        <v>1.1805555555555556E-3</v>
      </c>
      <c r="C535" t="s">
        <v>976</v>
      </c>
      <c r="D535" t="s">
        <v>23</v>
      </c>
      <c r="E535" t="s">
        <v>24</v>
      </c>
      <c r="F535" t="s">
        <v>977</v>
      </c>
      <c r="G535">
        <v>1579820</v>
      </c>
      <c r="H535" t="s">
        <v>68</v>
      </c>
      <c r="I535" t="s">
        <v>150</v>
      </c>
      <c r="J535" t="str">
        <f>"9781317928379"</f>
        <v>9781317928379</v>
      </c>
      <c r="K535" t="s">
        <v>980</v>
      </c>
      <c r="L535">
        <v>17</v>
      </c>
      <c r="O535" t="s">
        <v>30</v>
      </c>
      <c r="P535" t="s">
        <v>50</v>
      </c>
      <c r="S535" t="s">
        <v>31</v>
      </c>
      <c r="T535" t="s">
        <v>979</v>
      </c>
      <c r="U535">
        <v>791.43094699999995</v>
      </c>
      <c r="V535" s="3">
        <v>41621</v>
      </c>
    </row>
    <row r="536" spans="1:22" x14ac:dyDescent="0.35">
      <c r="A536" s="1">
        <v>42394.069293981483</v>
      </c>
      <c r="B536" s="2">
        <v>6.9444444444444444E-5</v>
      </c>
      <c r="C536" t="s">
        <v>981</v>
      </c>
      <c r="D536" t="s">
        <v>35</v>
      </c>
      <c r="E536" t="s">
        <v>36</v>
      </c>
      <c r="F536" t="s">
        <v>982</v>
      </c>
      <c r="G536">
        <v>1882108</v>
      </c>
      <c r="H536" t="s">
        <v>84</v>
      </c>
      <c r="I536" t="s">
        <v>310</v>
      </c>
      <c r="J536" t="str">
        <f>"9780520961326"</f>
        <v>9780520961326</v>
      </c>
      <c r="K536" t="s">
        <v>33</v>
      </c>
      <c r="L536">
        <v>3</v>
      </c>
      <c r="O536" t="s">
        <v>30</v>
      </c>
      <c r="P536" t="s">
        <v>42</v>
      </c>
      <c r="S536" t="s">
        <v>40</v>
      </c>
      <c r="T536" t="s">
        <v>983</v>
      </c>
      <c r="U536">
        <v>883</v>
      </c>
      <c r="V536" s="3">
        <v>42138</v>
      </c>
    </row>
    <row r="537" spans="1:22" x14ac:dyDescent="0.35">
      <c r="A537" s="1">
        <v>42394.067372685182</v>
      </c>
      <c r="B537" s="2">
        <v>6.2500000000000001E-4</v>
      </c>
      <c r="C537" t="s">
        <v>981</v>
      </c>
      <c r="D537" t="s">
        <v>35</v>
      </c>
      <c r="E537" t="s">
        <v>36</v>
      </c>
      <c r="F537" t="s">
        <v>389</v>
      </c>
      <c r="G537">
        <v>822062</v>
      </c>
      <c r="H537" t="s">
        <v>26</v>
      </c>
      <c r="I537" t="s">
        <v>390</v>
      </c>
      <c r="J537" t="str">
        <f>"9780857083272"</f>
        <v>9780857083272</v>
      </c>
      <c r="K537" t="s">
        <v>984</v>
      </c>
      <c r="L537">
        <v>8</v>
      </c>
      <c r="O537" t="s">
        <v>30</v>
      </c>
      <c r="P537" t="s">
        <v>42</v>
      </c>
      <c r="S537" t="s">
        <v>40</v>
      </c>
      <c r="T537" t="s">
        <v>392</v>
      </c>
      <c r="U537" t="s">
        <v>393</v>
      </c>
      <c r="V537" s="3">
        <v>41025</v>
      </c>
    </row>
    <row r="538" spans="1:22" x14ac:dyDescent="0.35">
      <c r="A538" s="1">
        <v>42394.052708333336</v>
      </c>
      <c r="B538" s="2">
        <v>2.1412037037037038E-3</v>
      </c>
      <c r="C538" t="s">
        <v>985</v>
      </c>
      <c r="D538" t="s">
        <v>23</v>
      </c>
      <c r="E538" t="s">
        <v>24</v>
      </c>
      <c r="F538" t="s">
        <v>986</v>
      </c>
      <c r="G538">
        <v>4189578</v>
      </c>
      <c r="H538" t="s">
        <v>26</v>
      </c>
      <c r="J538" t="str">
        <f>"9781119084334"</f>
        <v>9781119084334</v>
      </c>
      <c r="K538" t="s">
        <v>889</v>
      </c>
      <c r="L538">
        <v>6</v>
      </c>
      <c r="O538" t="s">
        <v>30</v>
      </c>
      <c r="P538" t="s">
        <v>50</v>
      </c>
      <c r="S538" t="s">
        <v>31</v>
      </c>
      <c r="V538" s="3">
        <v>42349</v>
      </c>
    </row>
    <row r="539" spans="1:22" x14ac:dyDescent="0.35">
      <c r="A539" s="1">
        <v>42394.052465277775</v>
      </c>
      <c r="B539" s="2">
        <v>3.4722222222222222E-5</v>
      </c>
      <c r="C539" t="s">
        <v>985</v>
      </c>
      <c r="D539" t="s">
        <v>23</v>
      </c>
      <c r="E539" t="s">
        <v>24</v>
      </c>
      <c r="F539" t="s">
        <v>986</v>
      </c>
      <c r="G539">
        <v>968030</v>
      </c>
      <c r="H539" t="s">
        <v>26</v>
      </c>
      <c r="I539" t="s">
        <v>219</v>
      </c>
      <c r="J539" t="str">
        <f>"9781118285138"</f>
        <v>9781118285138</v>
      </c>
      <c r="K539" t="s">
        <v>33</v>
      </c>
      <c r="L539">
        <v>3</v>
      </c>
      <c r="O539" t="s">
        <v>30</v>
      </c>
      <c r="P539" t="s">
        <v>42</v>
      </c>
      <c r="S539" t="s">
        <v>31</v>
      </c>
      <c r="T539" t="s">
        <v>987</v>
      </c>
      <c r="U539">
        <v>158.30000000000001</v>
      </c>
      <c r="V539" s="3">
        <v>41100</v>
      </c>
    </row>
    <row r="540" spans="1:22" x14ac:dyDescent="0.35">
      <c r="A540" s="1">
        <v>42394.050821759258</v>
      </c>
      <c r="B540" s="2">
        <v>2.1226851851851854E-2</v>
      </c>
      <c r="C540" t="s">
        <v>988</v>
      </c>
      <c r="D540" t="s">
        <v>23</v>
      </c>
      <c r="E540" t="s">
        <v>24</v>
      </c>
      <c r="F540" t="s">
        <v>989</v>
      </c>
      <c r="G540">
        <v>330580</v>
      </c>
      <c r="H540" t="s">
        <v>91</v>
      </c>
      <c r="I540" t="s">
        <v>247</v>
      </c>
      <c r="J540" t="str">
        <f>"9781593859398"</f>
        <v>9781593859398</v>
      </c>
      <c r="K540" t="s">
        <v>990</v>
      </c>
      <c r="L540">
        <v>31</v>
      </c>
      <c r="O540" t="s">
        <v>30</v>
      </c>
      <c r="P540" t="s">
        <v>29</v>
      </c>
      <c r="Q540" s="1">
        <v>42390.860613425924</v>
      </c>
      <c r="R540">
        <v>7</v>
      </c>
      <c r="S540" t="s">
        <v>31</v>
      </c>
      <c r="T540" t="s">
        <v>991</v>
      </c>
      <c r="U540">
        <v>616.89142000000004</v>
      </c>
      <c r="V540" s="3">
        <v>41773</v>
      </c>
    </row>
    <row r="541" spans="1:22" x14ac:dyDescent="0.35">
      <c r="A541" s="1">
        <v>42394.043726851851</v>
      </c>
      <c r="B541" s="2">
        <v>9.6018518518518517E-2</v>
      </c>
      <c r="C541" t="s">
        <v>992</v>
      </c>
      <c r="D541" t="s">
        <v>35</v>
      </c>
      <c r="E541" t="s">
        <v>36</v>
      </c>
      <c r="F541" t="s">
        <v>327</v>
      </c>
      <c r="G541">
        <v>1691426</v>
      </c>
      <c r="H541" t="s">
        <v>26</v>
      </c>
      <c r="I541" t="s">
        <v>328</v>
      </c>
      <c r="J541" t="str">
        <f>"9781118839492"</f>
        <v>9781118839492</v>
      </c>
      <c r="K541" t="s">
        <v>993</v>
      </c>
      <c r="L541">
        <v>145</v>
      </c>
      <c r="O541" t="s">
        <v>30</v>
      </c>
      <c r="P541" t="s">
        <v>29</v>
      </c>
      <c r="Q541" s="1">
        <v>42393.027280092596</v>
      </c>
      <c r="R541">
        <v>7</v>
      </c>
      <c r="S541" t="s">
        <v>40</v>
      </c>
      <c r="T541" t="s">
        <v>331</v>
      </c>
      <c r="U541">
        <v>613.70460000000003</v>
      </c>
      <c r="V541" s="3">
        <v>41772</v>
      </c>
    </row>
    <row r="542" spans="1:22" x14ac:dyDescent="0.35">
      <c r="A542" s="1">
        <v>42394.035787037035</v>
      </c>
      <c r="B542" s="2">
        <v>0</v>
      </c>
      <c r="C542" t="s">
        <v>651</v>
      </c>
      <c r="D542" t="s">
        <v>23</v>
      </c>
      <c r="E542" t="s">
        <v>24</v>
      </c>
      <c r="F542" t="s">
        <v>652</v>
      </c>
      <c r="G542">
        <v>735603</v>
      </c>
      <c r="H542" t="s">
        <v>91</v>
      </c>
      <c r="I542" t="s">
        <v>247</v>
      </c>
      <c r="J542" t="str">
        <f>"9781609184971"</f>
        <v>9781609184971</v>
      </c>
      <c r="L542">
        <v>0</v>
      </c>
      <c r="O542" t="s">
        <v>28</v>
      </c>
      <c r="P542" t="s">
        <v>47</v>
      </c>
      <c r="Q542" s="1">
        <v>42393.185104166667</v>
      </c>
      <c r="R542">
        <v>7</v>
      </c>
      <c r="S542" t="s">
        <v>31</v>
      </c>
      <c r="T542" t="s">
        <v>654</v>
      </c>
      <c r="U542">
        <v>616.89170000000001</v>
      </c>
      <c r="V542" s="3">
        <v>41773</v>
      </c>
    </row>
    <row r="543" spans="1:22" x14ac:dyDescent="0.35">
      <c r="A543" s="1">
        <v>42394.018969907411</v>
      </c>
      <c r="B543" s="2">
        <v>2.5462962962962961E-4</v>
      </c>
      <c r="C543" t="s">
        <v>651</v>
      </c>
      <c r="D543" t="s">
        <v>23</v>
      </c>
      <c r="E543" t="s">
        <v>24</v>
      </c>
      <c r="F543" t="s">
        <v>652</v>
      </c>
      <c r="G543">
        <v>735603</v>
      </c>
      <c r="H543" t="s">
        <v>91</v>
      </c>
      <c r="I543" t="s">
        <v>247</v>
      </c>
      <c r="J543" t="str">
        <f>"9781609184971"</f>
        <v>9781609184971</v>
      </c>
      <c r="K543" t="s">
        <v>935</v>
      </c>
      <c r="L543">
        <v>3</v>
      </c>
      <c r="O543" t="s">
        <v>28</v>
      </c>
      <c r="P543" t="s">
        <v>47</v>
      </c>
      <c r="Q543" s="1">
        <v>42393.185104166667</v>
      </c>
      <c r="R543">
        <v>7</v>
      </c>
      <c r="S543" t="s">
        <v>31</v>
      </c>
      <c r="T543" t="s">
        <v>654</v>
      </c>
      <c r="U543">
        <v>616.89170000000001</v>
      </c>
      <c r="V543" s="3">
        <v>41773</v>
      </c>
    </row>
    <row r="544" spans="1:22" x14ac:dyDescent="0.35">
      <c r="A544" s="1">
        <v>42394.018819444442</v>
      </c>
      <c r="B544" s="2">
        <v>3.4722222222222222E-5</v>
      </c>
      <c r="C544" t="s">
        <v>651</v>
      </c>
      <c r="D544" t="s">
        <v>23</v>
      </c>
      <c r="E544" t="s">
        <v>24</v>
      </c>
      <c r="F544" t="s">
        <v>652</v>
      </c>
      <c r="G544">
        <v>735603</v>
      </c>
      <c r="H544" t="s">
        <v>91</v>
      </c>
      <c r="I544" t="s">
        <v>247</v>
      </c>
      <c r="J544" t="str">
        <f>"9781609184971"</f>
        <v>9781609184971</v>
      </c>
      <c r="K544" t="s">
        <v>33</v>
      </c>
      <c r="L544">
        <v>3</v>
      </c>
      <c r="O544" t="s">
        <v>30</v>
      </c>
      <c r="P544" t="s">
        <v>47</v>
      </c>
      <c r="Q544" s="1">
        <v>42393.185104166667</v>
      </c>
      <c r="R544">
        <v>7</v>
      </c>
      <c r="S544" t="s">
        <v>31</v>
      </c>
      <c r="T544" t="s">
        <v>654</v>
      </c>
      <c r="U544">
        <v>616.89170000000001</v>
      </c>
      <c r="V544" s="3">
        <v>41773</v>
      </c>
    </row>
    <row r="545" spans="1:22" x14ac:dyDescent="0.35">
      <c r="A545" s="1">
        <v>42394.016701388886</v>
      </c>
      <c r="B545" s="2">
        <v>2.685185185185185E-3</v>
      </c>
      <c r="C545" t="s">
        <v>994</v>
      </c>
      <c r="D545" t="s">
        <v>211</v>
      </c>
      <c r="E545" t="s">
        <v>212</v>
      </c>
      <c r="F545" t="s">
        <v>891</v>
      </c>
      <c r="G545">
        <v>544120</v>
      </c>
      <c r="H545" t="s">
        <v>91</v>
      </c>
      <c r="I545" t="s">
        <v>69</v>
      </c>
      <c r="J545" t="str">
        <f>"9781606238561"</f>
        <v>9781606238561</v>
      </c>
      <c r="K545" t="s">
        <v>995</v>
      </c>
      <c r="L545">
        <v>40</v>
      </c>
      <c r="O545" t="s">
        <v>30</v>
      </c>
      <c r="P545" t="s">
        <v>50</v>
      </c>
      <c r="S545" t="s">
        <v>214</v>
      </c>
      <c r="T545" t="s">
        <v>893</v>
      </c>
      <c r="U545">
        <v>372.43</v>
      </c>
      <c r="V545" s="3">
        <v>41773</v>
      </c>
    </row>
    <row r="546" spans="1:22" x14ac:dyDescent="0.35">
      <c r="A546" s="1">
        <v>42393.994953703703</v>
      </c>
      <c r="B546" s="2">
        <v>1.0185185185185186E-3</v>
      </c>
      <c r="C546" t="s">
        <v>996</v>
      </c>
      <c r="D546" t="s">
        <v>23</v>
      </c>
      <c r="E546" t="s">
        <v>24</v>
      </c>
      <c r="F546" t="s">
        <v>997</v>
      </c>
      <c r="G546">
        <v>3564347</v>
      </c>
      <c r="H546" t="s">
        <v>139</v>
      </c>
      <c r="I546" t="s">
        <v>998</v>
      </c>
      <c r="J546" t="str">
        <f>"9781479883851"</f>
        <v>9781479883851</v>
      </c>
      <c r="K546" t="s">
        <v>999</v>
      </c>
      <c r="L546">
        <v>8</v>
      </c>
      <c r="O546" t="s">
        <v>30</v>
      </c>
      <c r="P546" t="s">
        <v>50</v>
      </c>
      <c r="S546" t="s">
        <v>31</v>
      </c>
      <c r="T546" t="s">
        <v>1000</v>
      </c>
      <c r="U546" t="s">
        <v>1001</v>
      </c>
      <c r="V546" s="3">
        <v>42132</v>
      </c>
    </row>
    <row r="547" spans="1:22" x14ac:dyDescent="0.35">
      <c r="A547" s="1">
        <v>42393.989884259259</v>
      </c>
      <c r="B547" s="2">
        <v>2.3842592592592591E-3</v>
      </c>
      <c r="C547" t="s">
        <v>976</v>
      </c>
      <c r="D547" t="s">
        <v>23</v>
      </c>
      <c r="E547" t="s">
        <v>24</v>
      </c>
      <c r="F547" t="s">
        <v>977</v>
      </c>
      <c r="G547">
        <v>1579820</v>
      </c>
      <c r="H547" t="s">
        <v>68</v>
      </c>
      <c r="I547" t="s">
        <v>150</v>
      </c>
      <c r="J547" t="str">
        <f>"9781317928379"</f>
        <v>9781317928379</v>
      </c>
      <c r="K547" t="s">
        <v>1002</v>
      </c>
      <c r="L547">
        <v>30</v>
      </c>
      <c r="O547" t="s">
        <v>30</v>
      </c>
      <c r="P547" t="s">
        <v>50</v>
      </c>
      <c r="S547" t="s">
        <v>31</v>
      </c>
      <c r="T547" t="s">
        <v>979</v>
      </c>
      <c r="U547">
        <v>791.43094699999995</v>
      </c>
      <c r="V547" s="3">
        <v>41621</v>
      </c>
    </row>
    <row r="548" spans="1:22" x14ac:dyDescent="0.35">
      <c r="A548" s="1">
        <v>42393.948611111111</v>
      </c>
      <c r="B548" s="2">
        <v>6.076388888888889E-3</v>
      </c>
      <c r="C548" t="s">
        <v>1003</v>
      </c>
      <c r="D548" t="s">
        <v>35</v>
      </c>
      <c r="E548" t="s">
        <v>36</v>
      </c>
      <c r="F548" t="s">
        <v>327</v>
      </c>
      <c r="G548">
        <v>1691426</v>
      </c>
      <c r="H548" t="s">
        <v>26</v>
      </c>
      <c r="I548" t="s">
        <v>328</v>
      </c>
      <c r="J548" t="str">
        <f>"9781118839492"</f>
        <v>9781118839492</v>
      </c>
      <c r="K548" t="s">
        <v>1004</v>
      </c>
      <c r="L548">
        <v>42</v>
      </c>
      <c r="O548" t="s">
        <v>30</v>
      </c>
      <c r="P548" t="s">
        <v>29</v>
      </c>
      <c r="Q548" s="1">
        <v>42389.260312500002</v>
      </c>
      <c r="R548">
        <v>7</v>
      </c>
      <c r="S548" t="s">
        <v>40</v>
      </c>
      <c r="T548" t="s">
        <v>331</v>
      </c>
      <c r="U548">
        <v>613.70460000000003</v>
      </c>
      <c r="V548" s="3">
        <v>41772</v>
      </c>
    </row>
    <row r="549" spans="1:22" x14ac:dyDescent="0.35">
      <c r="A549" s="1">
        <v>42393.935787037037</v>
      </c>
      <c r="B549" s="2">
        <v>1.1111111111111111E-3</v>
      </c>
      <c r="C549" t="s">
        <v>1005</v>
      </c>
      <c r="D549" t="s">
        <v>23</v>
      </c>
      <c r="E549" t="s">
        <v>24</v>
      </c>
      <c r="F549" t="s">
        <v>1006</v>
      </c>
      <c r="G549">
        <v>1895740</v>
      </c>
      <c r="H549" t="s">
        <v>26</v>
      </c>
      <c r="I549" t="s">
        <v>69</v>
      </c>
      <c r="J549" t="str">
        <f>"9781118911419"</f>
        <v>9781118911419</v>
      </c>
      <c r="K549" t="s">
        <v>1007</v>
      </c>
      <c r="L549">
        <v>26</v>
      </c>
      <c r="O549" t="s">
        <v>30</v>
      </c>
      <c r="P549" t="s">
        <v>42</v>
      </c>
      <c r="S549" t="s">
        <v>31</v>
      </c>
      <c r="T549" t="s">
        <v>1008</v>
      </c>
      <c r="U549">
        <v>378.1662</v>
      </c>
      <c r="V549" s="3">
        <v>42082</v>
      </c>
    </row>
    <row r="550" spans="1:22" x14ac:dyDescent="0.35">
      <c r="A550" s="1">
        <v>42393.92728009259</v>
      </c>
      <c r="B550" s="2">
        <v>3.483796296296296E-3</v>
      </c>
      <c r="C550" t="s">
        <v>1009</v>
      </c>
      <c r="D550" t="s">
        <v>23</v>
      </c>
      <c r="E550" t="s">
        <v>24</v>
      </c>
      <c r="F550" t="s">
        <v>1010</v>
      </c>
      <c r="G550">
        <v>1866477</v>
      </c>
      <c r="H550" t="s">
        <v>526</v>
      </c>
      <c r="I550" t="s">
        <v>310</v>
      </c>
      <c r="J550" t="str">
        <f>"9780226187877"</f>
        <v>9780226187877</v>
      </c>
      <c r="K550" t="s">
        <v>1011</v>
      </c>
      <c r="L550">
        <v>7</v>
      </c>
      <c r="O550" t="s">
        <v>30</v>
      </c>
      <c r="P550" t="s">
        <v>47</v>
      </c>
      <c r="Q550" s="1">
        <v>42393.92728009259</v>
      </c>
      <c r="R550">
        <v>1</v>
      </c>
      <c r="S550" t="s">
        <v>31</v>
      </c>
      <c r="T550" t="s">
        <v>1012</v>
      </c>
      <c r="U550" t="s">
        <v>1013</v>
      </c>
      <c r="V550" s="3">
        <v>41978</v>
      </c>
    </row>
    <row r="551" spans="1:22" x14ac:dyDescent="0.35">
      <c r="A551" s="1">
        <v>42393.922997685186</v>
      </c>
      <c r="B551" s="2">
        <v>4.2824074074074075E-3</v>
      </c>
      <c r="C551" t="s">
        <v>1009</v>
      </c>
      <c r="D551" t="s">
        <v>23</v>
      </c>
      <c r="E551" t="s">
        <v>24</v>
      </c>
      <c r="F551" t="s">
        <v>1010</v>
      </c>
      <c r="G551">
        <v>1866477</v>
      </c>
      <c r="H551" t="s">
        <v>526</v>
      </c>
      <c r="I551" t="s">
        <v>310</v>
      </c>
      <c r="J551" t="str">
        <f>"9780226187877"</f>
        <v>9780226187877</v>
      </c>
      <c r="K551" t="s">
        <v>1014</v>
      </c>
      <c r="L551">
        <v>15</v>
      </c>
      <c r="O551" t="s">
        <v>30</v>
      </c>
      <c r="P551" t="s">
        <v>50</v>
      </c>
      <c r="S551" t="s">
        <v>31</v>
      </c>
      <c r="T551" t="s">
        <v>1012</v>
      </c>
      <c r="U551" t="s">
        <v>1013</v>
      </c>
      <c r="V551" s="3">
        <v>41978</v>
      </c>
    </row>
    <row r="552" spans="1:22" x14ac:dyDescent="0.35">
      <c r="A552" s="1">
        <v>42393.921770833331</v>
      </c>
      <c r="B552" s="2">
        <v>1.4618055555555556E-2</v>
      </c>
      <c r="C552" t="s">
        <v>1003</v>
      </c>
      <c r="D552" t="s">
        <v>35</v>
      </c>
      <c r="E552" t="s">
        <v>36</v>
      </c>
      <c r="F552" t="s">
        <v>327</v>
      </c>
      <c r="G552">
        <v>1691426</v>
      </c>
      <c r="H552" t="s">
        <v>26</v>
      </c>
      <c r="I552" t="s">
        <v>328</v>
      </c>
      <c r="J552" t="str">
        <f>"9781118839492"</f>
        <v>9781118839492</v>
      </c>
      <c r="K552" t="s">
        <v>1015</v>
      </c>
      <c r="L552">
        <v>27</v>
      </c>
      <c r="O552" t="s">
        <v>30</v>
      </c>
      <c r="P552" t="s">
        <v>29</v>
      </c>
      <c r="Q552" s="1">
        <v>42389.260312500002</v>
      </c>
      <c r="R552">
        <v>7</v>
      </c>
      <c r="S552" t="s">
        <v>40</v>
      </c>
      <c r="T552" t="s">
        <v>331</v>
      </c>
      <c r="U552">
        <v>613.70460000000003</v>
      </c>
      <c r="V552" s="3">
        <v>41772</v>
      </c>
    </row>
    <row r="553" spans="1:22" x14ac:dyDescent="0.35">
      <c r="A553" s="1">
        <v>42393.915381944447</v>
      </c>
      <c r="B553" s="2">
        <v>1.7361111111111112E-4</v>
      </c>
      <c r="C553" t="s">
        <v>1016</v>
      </c>
      <c r="D553" t="s">
        <v>211</v>
      </c>
      <c r="E553" t="s">
        <v>212</v>
      </c>
      <c r="F553" t="s">
        <v>1017</v>
      </c>
      <c r="G553">
        <v>1166796</v>
      </c>
      <c r="H553" t="s">
        <v>26</v>
      </c>
      <c r="I553" t="s">
        <v>630</v>
      </c>
      <c r="J553" t="str">
        <f>"9780745663944"</f>
        <v>9780745663944</v>
      </c>
      <c r="K553" t="s">
        <v>1018</v>
      </c>
      <c r="L553">
        <v>10</v>
      </c>
      <c r="O553" t="s">
        <v>30</v>
      </c>
      <c r="P553" t="s">
        <v>47</v>
      </c>
      <c r="Q553" s="1">
        <v>42393.915381944447</v>
      </c>
      <c r="R553">
        <v>1</v>
      </c>
      <c r="S553" t="s">
        <v>214</v>
      </c>
      <c r="T553" t="s">
        <v>1019</v>
      </c>
      <c r="U553">
        <v>191</v>
      </c>
      <c r="V553" s="3">
        <v>41367</v>
      </c>
    </row>
    <row r="554" spans="1:22" x14ac:dyDescent="0.35">
      <c r="A554" s="1">
        <v>42393.909467592595</v>
      </c>
      <c r="B554" s="2">
        <v>5.9143518518518521E-3</v>
      </c>
      <c r="C554" t="s">
        <v>1016</v>
      </c>
      <c r="D554" t="s">
        <v>211</v>
      </c>
      <c r="E554" t="s">
        <v>212</v>
      </c>
      <c r="F554" t="s">
        <v>1017</v>
      </c>
      <c r="G554">
        <v>1166796</v>
      </c>
      <c r="H554" t="s">
        <v>26</v>
      </c>
      <c r="I554" t="s">
        <v>630</v>
      </c>
      <c r="J554" t="str">
        <f>"9780745663944"</f>
        <v>9780745663944</v>
      </c>
      <c r="K554" t="s">
        <v>217</v>
      </c>
      <c r="L554">
        <v>12</v>
      </c>
      <c r="O554" t="s">
        <v>30</v>
      </c>
      <c r="P554" t="s">
        <v>50</v>
      </c>
      <c r="S554" t="s">
        <v>214</v>
      </c>
      <c r="T554" t="s">
        <v>1019</v>
      </c>
      <c r="U554">
        <v>191</v>
      </c>
      <c r="V554" s="3">
        <v>41367</v>
      </c>
    </row>
    <row r="555" spans="1:22" x14ac:dyDescent="0.35">
      <c r="A555" s="1">
        <v>42393.86519675926</v>
      </c>
      <c r="B555" s="2">
        <v>7.6388888888888893E-4</v>
      </c>
      <c r="C555" t="s">
        <v>1020</v>
      </c>
      <c r="D555" t="s">
        <v>23</v>
      </c>
      <c r="E555" t="s">
        <v>24</v>
      </c>
      <c r="F555" t="s">
        <v>290</v>
      </c>
      <c r="G555">
        <v>1569855</v>
      </c>
      <c r="H555" t="s">
        <v>68</v>
      </c>
      <c r="I555" t="s">
        <v>291</v>
      </c>
      <c r="J555" t="str">
        <f>"9781317863878"</f>
        <v>9781317863878</v>
      </c>
      <c r="K555" t="s">
        <v>1021</v>
      </c>
      <c r="L555">
        <v>13</v>
      </c>
      <c r="O555" t="s">
        <v>30</v>
      </c>
      <c r="P555" t="s">
        <v>50</v>
      </c>
      <c r="S555" t="s">
        <v>31</v>
      </c>
      <c r="T555" t="s">
        <v>293</v>
      </c>
      <c r="U555">
        <v>327.47073</v>
      </c>
      <c r="V555" s="3">
        <v>41582</v>
      </c>
    </row>
    <row r="556" spans="1:22" x14ac:dyDescent="0.35">
      <c r="A556" s="1">
        <v>42393.860567129632</v>
      </c>
      <c r="B556" s="2">
        <v>7.9861111111111105E-4</v>
      </c>
      <c r="C556" t="s">
        <v>490</v>
      </c>
      <c r="D556" t="s">
        <v>211</v>
      </c>
      <c r="E556" t="s">
        <v>212</v>
      </c>
      <c r="F556" t="s">
        <v>491</v>
      </c>
      <c r="G556">
        <v>768534</v>
      </c>
      <c r="H556" t="s">
        <v>492</v>
      </c>
      <c r="I556" t="s">
        <v>493</v>
      </c>
      <c r="J556" t="str">
        <f>"9781400839704"</f>
        <v>9781400839704</v>
      </c>
      <c r="K556" t="s">
        <v>1022</v>
      </c>
      <c r="L556">
        <v>8</v>
      </c>
      <c r="M556" t="s">
        <v>1023</v>
      </c>
      <c r="O556" t="s">
        <v>30</v>
      </c>
      <c r="P556" t="s">
        <v>42</v>
      </c>
      <c r="S556" t="s">
        <v>214</v>
      </c>
      <c r="T556" t="s">
        <v>495</v>
      </c>
      <c r="U556" t="s">
        <v>496</v>
      </c>
      <c r="V556" s="3">
        <v>40847</v>
      </c>
    </row>
    <row r="557" spans="1:22" x14ac:dyDescent="0.35">
      <c r="A557" s="1">
        <v>42393.837997685187</v>
      </c>
      <c r="B557" s="2">
        <v>1.1111111111111111E-3</v>
      </c>
      <c r="C557" t="s">
        <v>1024</v>
      </c>
      <c r="D557" t="s">
        <v>211</v>
      </c>
      <c r="E557" t="s">
        <v>212</v>
      </c>
      <c r="F557" t="s">
        <v>1025</v>
      </c>
      <c r="G557">
        <v>1480778</v>
      </c>
      <c r="H557" t="s">
        <v>68</v>
      </c>
      <c r="I557" t="s">
        <v>69</v>
      </c>
      <c r="J557" t="str">
        <f>"9781317801290"</f>
        <v>9781317801290</v>
      </c>
      <c r="K557" t="s">
        <v>1026</v>
      </c>
      <c r="L557">
        <v>19</v>
      </c>
      <c r="O557" t="s">
        <v>30</v>
      </c>
      <c r="P557" t="s">
        <v>50</v>
      </c>
      <c r="S557" t="s">
        <v>214</v>
      </c>
      <c r="T557" t="s">
        <v>1027</v>
      </c>
      <c r="U557">
        <v>371.334</v>
      </c>
      <c r="V557" s="3">
        <v>41562</v>
      </c>
    </row>
    <row r="558" spans="1:22" x14ac:dyDescent="0.35">
      <c r="A558" s="1">
        <v>42393.81795138889</v>
      </c>
      <c r="B558" s="2">
        <v>1.0150462962962964E-2</v>
      </c>
      <c r="C558" t="s">
        <v>902</v>
      </c>
      <c r="D558" t="s">
        <v>23</v>
      </c>
      <c r="E558" t="s">
        <v>24</v>
      </c>
      <c r="F558" t="s">
        <v>903</v>
      </c>
      <c r="G558">
        <v>3038474</v>
      </c>
      <c r="H558" t="s">
        <v>526</v>
      </c>
      <c r="I558" t="s">
        <v>120</v>
      </c>
      <c r="J558" t="str">
        <f>"9780226925233"</f>
        <v>9780226925233</v>
      </c>
      <c r="K558" t="s">
        <v>1028</v>
      </c>
      <c r="L558">
        <v>35</v>
      </c>
      <c r="O558" t="s">
        <v>30</v>
      </c>
      <c r="P558" t="s">
        <v>47</v>
      </c>
      <c r="Q558" s="1">
        <v>42393.81795138889</v>
      </c>
      <c r="R558">
        <v>1</v>
      </c>
      <c r="S558" t="s">
        <v>31</v>
      </c>
      <c r="T558" t="s">
        <v>905</v>
      </c>
      <c r="U558">
        <v>302.2</v>
      </c>
      <c r="V558" s="3">
        <v>41609</v>
      </c>
    </row>
    <row r="559" spans="1:22" x14ac:dyDescent="0.35">
      <c r="A559" s="1">
        <v>42393.81009259259</v>
      </c>
      <c r="B559" s="2">
        <v>1.5509259259259261E-3</v>
      </c>
      <c r="C559" t="s">
        <v>694</v>
      </c>
      <c r="D559" t="s">
        <v>23</v>
      </c>
      <c r="E559" t="s">
        <v>24</v>
      </c>
      <c r="F559" t="s">
        <v>439</v>
      </c>
      <c r="G559">
        <v>836614</v>
      </c>
      <c r="H559" t="s">
        <v>440</v>
      </c>
      <c r="I559" t="s">
        <v>27</v>
      </c>
      <c r="J559" t="str">
        <f>"9781118315958"</f>
        <v>9781118315958</v>
      </c>
      <c r="K559" t="s">
        <v>1029</v>
      </c>
      <c r="L559">
        <v>13</v>
      </c>
      <c r="O559" t="s">
        <v>30</v>
      </c>
      <c r="P559" t="s">
        <v>29</v>
      </c>
      <c r="Q559" s="1">
        <v>42392.884560185186</v>
      </c>
      <c r="R559">
        <v>7</v>
      </c>
      <c r="S559" t="s">
        <v>31</v>
      </c>
      <c r="T559" t="s">
        <v>442</v>
      </c>
      <c r="U559">
        <v>414</v>
      </c>
      <c r="V559" s="3">
        <v>40892</v>
      </c>
    </row>
    <row r="560" spans="1:22" x14ac:dyDescent="0.35">
      <c r="A560" s="1">
        <v>42393.787407407406</v>
      </c>
      <c r="B560" s="2">
        <v>3.0543981481481481E-2</v>
      </c>
      <c r="C560" t="s">
        <v>902</v>
      </c>
      <c r="D560" t="s">
        <v>23</v>
      </c>
      <c r="E560" t="s">
        <v>24</v>
      </c>
      <c r="F560" t="s">
        <v>903</v>
      </c>
      <c r="G560">
        <v>3038474</v>
      </c>
      <c r="H560" t="s">
        <v>526</v>
      </c>
      <c r="I560" t="s">
        <v>120</v>
      </c>
      <c r="J560" t="str">
        <f>"9780226925233"</f>
        <v>9780226925233</v>
      </c>
      <c r="K560" t="s">
        <v>1030</v>
      </c>
      <c r="L560">
        <v>17</v>
      </c>
      <c r="O560" t="s">
        <v>30</v>
      </c>
      <c r="P560" t="s">
        <v>50</v>
      </c>
      <c r="S560" t="s">
        <v>31</v>
      </c>
      <c r="T560" t="s">
        <v>905</v>
      </c>
      <c r="U560">
        <v>302.2</v>
      </c>
      <c r="V560" s="3">
        <v>41609</v>
      </c>
    </row>
    <row r="561" spans="1:22" x14ac:dyDescent="0.35">
      <c r="A561" s="1">
        <v>42393.787106481483</v>
      </c>
      <c r="B561" s="2">
        <v>6.0995370370370361E-3</v>
      </c>
      <c r="C561" t="s">
        <v>1031</v>
      </c>
      <c r="D561" t="s">
        <v>23</v>
      </c>
      <c r="E561" t="s">
        <v>24</v>
      </c>
      <c r="F561" t="s">
        <v>1032</v>
      </c>
      <c r="G561">
        <v>1895499</v>
      </c>
      <c r="H561" t="s">
        <v>26</v>
      </c>
      <c r="I561" t="s">
        <v>297</v>
      </c>
      <c r="J561" t="str">
        <f>"9781118575482"</f>
        <v>9781118575482</v>
      </c>
      <c r="K561" t="s">
        <v>1033</v>
      </c>
      <c r="L561">
        <v>24</v>
      </c>
      <c r="O561" t="s">
        <v>30</v>
      </c>
      <c r="P561" t="s">
        <v>29</v>
      </c>
      <c r="Q561" s="1">
        <v>42393.787106481483</v>
      </c>
      <c r="R561">
        <v>7</v>
      </c>
      <c r="S561" t="s">
        <v>31</v>
      </c>
      <c r="T561" t="s">
        <v>1034</v>
      </c>
      <c r="U561" t="s">
        <v>1035</v>
      </c>
      <c r="V561" s="3">
        <v>42075</v>
      </c>
    </row>
    <row r="562" spans="1:22" x14ac:dyDescent="0.35">
      <c r="A562" s="1">
        <v>42393.778611111113</v>
      </c>
      <c r="B562" s="2">
        <v>8.4953703703703701E-3</v>
      </c>
      <c r="C562" t="s">
        <v>1031</v>
      </c>
      <c r="D562" t="s">
        <v>23</v>
      </c>
      <c r="E562" t="s">
        <v>24</v>
      </c>
      <c r="F562" t="s">
        <v>1032</v>
      </c>
      <c r="G562">
        <v>1895499</v>
      </c>
      <c r="H562" t="s">
        <v>26</v>
      </c>
      <c r="I562" t="s">
        <v>297</v>
      </c>
      <c r="J562" t="str">
        <f>"9781118575482"</f>
        <v>9781118575482</v>
      </c>
      <c r="K562" t="s">
        <v>1036</v>
      </c>
      <c r="L562">
        <v>20</v>
      </c>
      <c r="O562" t="s">
        <v>30</v>
      </c>
      <c r="P562" t="s">
        <v>50</v>
      </c>
      <c r="S562" t="s">
        <v>31</v>
      </c>
      <c r="T562" t="s">
        <v>1034</v>
      </c>
      <c r="U562" t="s">
        <v>1035</v>
      </c>
      <c r="V562" s="3">
        <v>42075</v>
      </c>
    </row>
    <row r="563" spans="1:22" x14ac:dyDescent="0.35">
      <c r="A563" s="1">
        <v>42393.761620370373</v>
      </c>
      <c r="B563" s="2">
        <v>1.7777777777777778E-2</v>
      </c>
      <c r="C563" t="s">
        <v>1037</v>
      </c>
      <c r="D563" t="s">
        <v>23</v>
      </c>
      <c r="E563" t="s">
        <v>24</v>
      </c>
      <c r="F563" t="s">
        <v>1038</v>
      </c>
      <c r="G563">
        <v>1895171</v>
      </c>
      <c r="H563" t="s">
        <v>26</v>
      </c>
      <c r="I563" t="s">
        <v>276</v>
      </c>
      <c r="J563" t="str">
        <f>"9781118961759"</f>
        <v>9781118961759</v>
      </c>
      <c r="K563" t="s">
        <v>1039</v>
      </c>
      <c r="L563">
        <v>14</v>
      </c>
      <c r="O563" t="s">
        <v>30</v>
      </c>
      <c r="P563" t="s">
        <v>29</v>
      </c>
      <c r="Q563" s="1">
        <v>42393.761620370373</v>
      </c>
      <c r="R563">
        <v>7</v>
      </c>
      <c r="S563" t="s">
        <v>31</v>
      </c>
      <c r="T563" t="s">
        <v>1040</v>
      </c>
      <c r="U563">
        <v>6.76</v>
      </c>
      <c r="V563" s="3">
        <v>42094</v>
      </c>
    </row>
    <row r="564" spans="1:22" x14ac:dyDescent="0.35">
      <c r="A564" s="1">
        <v>42393.756423611114</v>
      </c>
      <c r="B564" s="2">
        <v>5.1967592592592595E-3</v>
      </c>
      <c r="C564" t="s">
        <v>1037</v>
      </c>
      <c r="D564" t="s">
        <v>23</v>
      </c>
      <c r="E564" t="s">
        <v>24</v>
      </c>
      <c r="F564" t="s">
        <v>1038</v>
      </c>
      <c r="G564">
        <v>1895171</v>
      </c>
      <c r="H564" t="s">
        <v>26</v>
      </c>
      <c r="I564" t="s">
        <v>276</v>
      </c>
      <c r="J564" t="str">
        <f>"9781118961759"</f>
        <v>9781118961759</v>
      </c>
      <c r="K564" t="s">
        <v>1041</v>
      </c>
      <c r="L564">
        <v>21</v>
      </c>
      <c r="O564" t="s">
        <v>30</v>
      </c>
      <c r="P564" t="s">
        <v>50</v>
      </c>
      <c r="S564" t="s">
        <v>31</v>
      </c>
      <c r="T564" t="s">
        <v>1040</v>
      </c>
      <c r="U564">
        <v>6.76</v>
      </c>
      <c r="V564" s="3">
        <v>42094</v>
      </c>
    </row>
    <row r="565" spans="1:22" x14ac:dyDescent="0.35">
      <c r="A565" s="1">
        <v>42393.66914351852</v>
      </c>
      <c r="B565" s="2">
        <v>1.3888888888888889E-4</v>
      </c>
      <c r="C565" t="s">
        <v>1042</v>
      </c>
      <c r="D565" t="s">
        <v>23</v>
      </c>
      <c r="E565" t="s">
        <v>24</v>
      </c>
      <c r="F565" t="s">
        <v>90</v>
      </c>
      <c r="G565">
        <v>1683360</v>
      </c>
      <c r="H565" t="s">
        <v>91</v>
      </c>
      <c r="I565" t="s">
        <v>92</v>
      </c>
      <c r="J565" t="str">
        <f>"9781462516032"</f>
        <v>9781462516032</v>
      </c>
      <c r="K565" t="s">
        <v>1043</v>
      </c>
      <c r="L565">
        <v>8</v>
      </c>
      <c r="O565" t="s">
        <v>30</v>
      </c>
      <c r="P565" t="s">
        <v>42</v>
      </c>
      <c r="S565" t="s">
        <v>31</v>
      </c>
      <c r="T565" t="s">
        <v>94</v>
      </c>
      <c r="U565">
        <v>1.42</v>
      </c>
      <c r="V565" s="3">
        <v>41823</v>
      </c>
    </row>
    <row r="566" spans="1:22" x14ac:dyDescent="0.35">
      <c r="A566" s="1">
        <v>42393.667291666665</v>
      </c>
      <c r="B566" s="2">
        <v>1.3888888888888889E-4</v>
      </c>
      <c r="C566" t="s">
        <v>1042</v>
      </c>
      <c r="D566" t="s">
        <v>23</v>
      </c>
      <c r="E566" t="s">
        <v>24</v>
      </c>
      <c r="F566" t="s">
        <v>90</v>
      </c>
      <c r="G566">
        <v>1683360</v>
      </c>
      <c r="H566" t="s">
        <v>91</v>
      </c>
      <c r="I566" t="s">
        <v>92</v>
      </c>
      <c r="J566" t="str">
        <f>"9781462516032"</f>
        <v>9781462516032</v>
      </c>
      <c r="K566" t="s">
        <v>1044</v>
      </c>
      <c r="L566">
        <v>5</v>
      </c>
      <c r="O566" t="s">
        <v>30</v>
      </c>
      <c r="P566" t="s">
        <v>42</v>
      </c>
      <c r="S566" t="s">
        <v>31</v>
      </c>
      <c r="T566" t="s">
        <v>94</v>
      </c>
      <c r="U566">
        <v>1.42</v>
      </c>
      <c r="V566" s="3">
        <v>41823</v>
      </c>
    </row>
    <row r="567" spans="1:22" x14ac:dyDescent="0.35">
      <c r="A567" s="1">
        <v>42393.625324074077</v>
      </c>
      <c r="B567" s="2">
        <v>3.4722222222222222E-5</v>
      </c>
      <c r="C567" t="s">
        <v>1045</v>
      </c>
      <c r="D567" t="s">
        <v>35</v>
      </c>
      <c r="E567" t="s">
        <v>36</v>
      </c>
      <c r="F567" t="s">
        <v>1046</v>
      </c>
      <c r="G567">
        <v>4042995</v>
      </c>
      <c r="H567" t="s">
        <v>26</v>
      </c>
      <c r="I567" t="s">
        <v>27</v>
      </c>
      <c r="J567" t="str">
        <f>"9781118391433"</f>
        <v>9781118391433</v>
      </c>
      <c r="K567" t="s">
        <v>105</v>
      </c>
      <c r="L567">
        <v>1</v>
      </c>
      <c r="M567" t="s">
        <v>105</v>
      </c>
      <c r="O567" t="s">
        <v>30</v>
      </c>
      <c r="P567" t="s">
        <v>29</v>
      </c>
      <c r="Q567" s="1">
        <v>42393.625324074077</v>
      </c>
      <c r="R567">
        <v>7</v>
      </c>
      <c r="S567" t="s">
        <v>40</v>
      </c>
      <c r="T567" t="s">
        <v>1047</v>
      </c>
      <c r="U567" t="s">
        <v>1048</v>
      </c>
      <c r="V567" s="3">
        <v>42296</v>
      </c>
    </row>
    <row r="568" spans="1:22" x14ac:dyDescent="0.35">
      <c r="A568" s="1">
        <v>42393.625023148146</v>
      </c>
      <c r="B568" s="2">
        <v>3.0092592592592595E-4</v>
      </c>
      <c r="C568" t="s">
        <v>1045</v>
      </c>
      <c r="D568" t="s">
        <v>35</v>
      </c>
      <c r="E568" t="s">
        <v>36</v>
      </c>
      <c r="F568" t="s">
        <v>1046</v>
      </c>
      <c r="G568">
        <v>4042995</v>
      </c>
      <c r="H568" t="s">
        <v>26</v>
      </c>
      <c r="I568" t="s">
        <v>27</v>
      </c>
      <c r="J568" t="str">
        <f>"9781118391433"</f>
        <v>9781118391433</v>
      </c>
      <c r="K568" t="s">
        <v>1049</v>
      </c>
      <c r="L568">
        <v>4</v>
      </c>
      <c r="O568" t="s">
        <v>30</v>
      </c>
      <c r="P568" t="s">
        <v>50</v>
      </c>
      <c r="S568" t="s">
        <v>40</v>
      </c>
      <c r="T568" t="s">
        <v>1047</v>
      </c>
      <c r="U568" t="s">
        <v>1048</v>
      </c>
      <c r="V568" s="3">
        <v>42296</v>
      </c>
    </row>
    <row r="569" spans="1:22" x14ac:dyDescent="0.35">
      <c r="A569" s="1">
        <v>42393.465590277781</v>
      </c>
      <c r="B569" s="2">
        <v>4.2245370370370371E-3</v>
      </c>
      <c r="C569" t="s">
        <v>1050</v>
      </c>
      <c r="D569" t="s">
        <v>23</v>
      </c>
      <c r="E569" t="s">
        <v>24</v>
      </c>
      <c r="F569" t="s">
        <v>1051</v>
      </c>
      <c r="G569">
        <v>821663</v>
      </c>
      <c r="H569" t="s">
        <v>26</v>
      </c>
      <c r="I569" t="s">
        <v>200</v>
      </c>
      <c r="J569" t="str">
        <f>"9781118168479"</f>
        <v>9781118168479</v>
      </c>
      <c r="K569" t="s">
        <v>1052</v>
      </c>
      <c r="L569">
        <v>24</v>
      </c>
      <c r="O569" t="s">
        <v>30</v>
      </c>
      <c r="P569" t="s">
        <v>42</v>
      </c>
      <c r="S569" t="s">
        <v>31</v>
      </c>
      <c r="T569" t="s">
        <v>1053</v>
      </c>
      <c r="U569">
        <v>729</v>
      </c>
      <c r="V569" s="3">
        <v>40973</v>
      </c>
    </row>
    <row r="570" spans="1:22" x14ac:dyDescent="0.35">
      <c r="A570" s="1">
        <v>42393.43445601852</v>
      </c>
      <c r="B570" s="2">
        <v>4.7453703703703704E-4</v>
      </c>
      <c r="C570" t="s">
        <v>1054</v>
      </c>
      <c r="D570" t="s">
        <v>35</v>
      </c>
      <c r="E570" t="s">
        <v>36</v>
      </c>
      <c r="F570" t="s">
        <v>1055</v>
      </c>
      <c r="G570">
        <v>698666</v>
      </c>
      <c r="H570" t="s">
        <v>26</v>
      </c>
      <c r="I570" t="s">
        <v>267</v>
      </c>
      <c r="J570" t="str">
        <f>"9780470391334"</f>
        <v>9780470391334</v>
      </c>
      <c r="K570" t="s">
        <v>1056</v>
      </c>
      <c r="L570">
        <v>5</v>
      </c>
      <c r="O570" t="s">
        <v>30</v>
      </c>
      <c r="P570" t="s">
        <v>29</v>
      </c>
      <c r="Q570" s="1">
        <v>42393.43445601852</v>
      </c>
      <c r="R570">
        <v>7</v>
      </c>
      <c r="S570" t="s">
        <v>40</v>
      </c>
      <c r="T570" t="s">
        <v>1057</v>
      </c>
      <c r="U570" t="s">
        <v>1058</v>
      </c>
      <c r="V570" s="3">
        <v>40933</v>
      </c>
    </row>
    <row r="571" spans="1:22" x14ac:dyDescent="0.35">
      <c r="A571" s="1">
        <v>42393.427453703705</v>
      </c>
      <c r="B571" s="2">
        <v>7.0023148148148154E-3</v>
      </c>
      <c r="C571" t="s">
        <v>1054</v>
      </c>
      <c r="D571" t="s">
        <v>35</v>
      </c>
      <c r="E571" t="s">
        <v>36</v>
      </c>
      <c r="F571" t="s">
        <v>1055</v>
      </c>
      <c r="G571">
        <v>698666</v>
      </c>
      <c r="H571" t="s">
        <v>26</v>
      </c>
      <c r="I571" t="s">
        <v>267</v>
      </c>
      <c r="J571" t="str">
        <f>"9780470391334"</f>
        <v>9780470391334</v>
      </c>
      <c r="K571" t="s">
        <v>1059</v>
      </c>
      <c r="L571">
        <v>29</v>
      </c>
      <c r="O571" t="s">
        <v>30</v>
      </c>
      <c r="P571" t="s">
        <v>42</v>
      </c>
      <c r="S571" t="s">
        <v>40</v>
      </c>
      <c r="T571" t="s">
        <v>1057</v>
      </c>
      <c r="U571" t="s">
        <v>1058</v>
      </c>
      <c r="V571" s="3">
        <v>40933</v>
      </c>
    </row>
    <row r="572" spans="1:22" x14ac:dyDescent="0.35">
      <c r="A572" s="1">
        <v>42393.424884259257</v>
      </c>
      <c r="B572" s="2">
        <v>2.6041666666666665E-3</v>
      </c>
      <c r="C572" t="s">
        <v>1054</v>
      </c>
      <c r="D572" t="s">
        <v>35</v>
      </c>
      <c r="E572" t="s">
        <v>36</v>
      </c>
      <c r="F572" t="s">
        <v>1060</v>
      </c>
      <c r="G572">
        <v>1826894</v>
      </c>
      <c r="H572" t="s">
        <v>26</v>
      </c>
      <c r="I572" t="s">
        <v>267</v>
      </c>
      <c r="J572" t="str">
        <f>"9781118782491"</f>
        <v>9781118782491</v>
      </c>
      <c r="K572" t="s">
        <v>1061</v>
      </c>
      <c r="L572">
        <v>18</v>
      </c>
      <c r="O572" t="s">
        <v>30</v>
      </c>
      <c r="P572" t="s">
        <v>47</v>
      </c>
      <c r="Q572" s="1">
        <v>42393.424884259257</v>
      </c>
      <c r="R572">
        <v>1</v>
      </c>
      <c r="S572" t="s">
        <v>40</v>
      </c>
      <c r="T572" t="s">
        <v>1062</v>
      </c>
      <c r="U572" t="s">
        <v>1058</v>
      </c>
      <c r="V572" s="3">
        <v>41939</v>
      </c>
    </row>
    <row r="573" spans="1:22" x14ac:dyDescent="0.35">
      <c r="A573" s="1">
        <v>42393.419976851852</v>
      </c>
      <c r="B573" s="2">
        <v>4.9074074074074072E-3</v>
      </c>
      <c r="C573" t="s">
        <v>1054</v>
      </c>
      <c r="D573" t="s">
        <v>35</v>
      </c>
      <c r="E573" t="s">
        <v>36</v>
      </c>
      <c r="F573" t="s">
        <v>1060</v>
      </c>
      <c r="G573">
        <v>1826894</v>
      </c>
      <c r="H573" t="s">
        <v>26</v>
      </c>
      <c r="I573" t="s">
        <v>267</v>
      </c>
      <c r="J573" t="str">
        <f>"9781118782491"</f>
        <v>9781118782491</v>
      </c>
      <c r="K573" t="s">
        <v>1063</v>
      </c>
      <c r="L573">
        <v>24</v>
      </c>
      <c r="O573" t="s">
        <v>30</v>
      </c>
      <c r="P573" t="s">
        <v>50</v>
      </c>
      <c r="S573" t="s">
        <v>40</v>
      </c>
      <c r="T573" t="s">
        <v>1062</v>
      </c>
      <c r="U573" t="s">
        <v>1058</v>
      </c>
      <c r="V573" s="3">
        <v>41939</v>
      </c>
    </row>
    <row r="574" spans="1:22" x14ac:dyDescent="0.35">
      <c r="A574" s="1">
        <v>42393.409768518519</v>
      </c>
      <c r="B574" s="2">
        <v>4.4328703703703709E-3</v>
      </c>
      <c r="C574" t="s">
        <v>1054</v>
      </c>
      <c r="D574" t="s">
        <v>35</v>
      </c>
      <c r="E574" t="s">
        <v>36</v>
      </c>
      <c r="F574" t="s">
        <v>1064</v>
      </c>
      <c r="G574">
        <v>1744258</v>
      </c>
      <c r="H574" t="s">
        <v>26</v>
      </c>
      <c r="I574" t="s">
        <v>297</v>
      </c>
      <c r="J574" t="str">
        <f>"9781118776162"</f>
        <v>9781118776162</v>
      </c>
      <c r="K574" t="s">
        <v>1065</v>
      </c>
      <c r="L574">
        <v>26</v>
      </c>
      <c r="O574" t="s">
        <v>30</v>
      </c>
      <c r="P574" t="s">
        <v>42</v>
      </c>
      <c r="S574" t="s">
        <v>40</v>
      </c>
      <c r="T574" t="s">
        <v>1066</v>
      </c>
      <c r="U574">
        <v>513.07600000000002</v>
      </c>
      <c r="V574" s="3">
        <v>41835</v>
      </c>
    </row>
    <row r="575" spans="1:22" x14ac:dyDescent="0.35">
      <c r="A575" s="1">
        <v>42393.347083333334</v>
      </c>
      <c r="B575" s="2">
        <v>2.9976851851851848E-3</v>
      </c>
      <c r="C575" t="s">
        <v>1067</v>
      </c>
      <c r="D575" t="s">
        <v>23</v>
      </c>
      <c r="E575" t="s">
        <v>24</v>
      </c>
      <c r="F575" t="s">
        <v>37</v>
      </c>
      <c r="G575">
        <v>1684620</v>
      </c>
      <c r="H575" t="s">
        <v>26</v>
      </c>
      <c r="I575" t="s">
        <v>38</v>
      </c>
      <c r="J575" t="str">
        <f>"9781118418925"</f>
        <v>9781118418925</v>
      </c>
      <c r="K575" t="s">
        <v>1068</v>
      </c>
      <c r="L575">
        <v>46</v>
      </c>
      <c r="O575" t="s">
        <v>30</v>
      </c>
      <c r="P575" t="s">
        <v>42</v>
      </c>
      <c r="S575" t="s">
        <v>31</v>
      </c>
      <c r="T575" t="s">
        <v>41</v>
      </c>
      <c r="U575">
        <v>362.10680000000002</v>
      </c>
      <c r="V575" s="3">
        <v>41759</v>
      </c>
    </row>
    <row r="576" spans="1:22" x14ac:dyDescent="0.35">
      <c r="A576" s="1">
        <v>42393.202534722222</v>
      </c>
      <c r="B576" s="2">
        <v>3.9699074074074072E-3</v>
      </c>
      <c r="C576" t="s">
        <v>651</v>
      </c>
      <c r="D576" t="s">
        <v>23</v>
      </c>
      <c r="E576" t="s">
        <v>24</v>
      </c>
      <c r="F576" t="s">
        <v>652</v>
      </c>
      <c r="G576">
        <v>735603</v>
      </c>
      <c r="H576" t="s">
        <v>91</v>
      </c>
      <c r="I576" t="s">
        <v>247</v>
      </c>
      <c r="J576" t="str">
        <f>"9781609184971"</f>
        <v>9781609184971</v>
      </c>
      <c r="K576" t="s">
        <v>1069</v>
      </c>
      <c r="L576">
        <v>25</v>
      </c>
      <c r="O576" t="s">
        <v>30</v>
      </c>
      <c r="P576" t="s">
        <v>47</v>
      </c>
      <c r="Q576" s="1">
        <v>42393.185104166667</v>
      </c>
      <c r="R576">
        <v>7</v>
      </c>
      <c r="S576" t="s">
        <v>31</v>
      </c>
      <c r="T576" t="s">
        <v>654</v>
      </c>
      <c r="U576">
        <v>616.89170000000001</v>
      </c>
      <c r="V576" s="3">
        <v>41773</v>
      </c>
    </row>
    <row r="577" spans="1:22" x14ac:dyDescent="0.35">
      <c r="A577" s="1">
        <v>42393.185104166667</v>
      </c>
      <c r="B577" s="2">
        <v>9.8148148148148144E-3</v>
      </c>
      <c r="C577" t="s">
        <v>651</v>
      </c>
      <c r="D577" t="s">
        <v>23</v>
      </c>
      <c r="E577" t="s">
        <v>24</v>
      </c>
      <c r="F577" t="s">
        <v>652</v>
      </c>
      <c r="G577">
        <v>735603</v>
      </c>
      <c r="H577" t="s">
        <v>91</v>
      </c>
      <c r="I577" t="s">
        <v>247</v>
      </c>
      <c r="J577" t="str">
        <f>"9781609184971"</f>
        <v>9781609184971</v>
      </c>
      <c r="K577" t="s">
        <v>1070</v>
      </c>
      <c r="L577">
        <v>46</v>
      </c>
      <c r="O577" t="s">
        <v>28</v>
      </c>
      <c r="P577" t="s">
        <v>47</v>
      </c>
      <c r="Q577" s="1">
        <v>42393.185104166667</v>
      </c>
      <c r="R577">
        <v>7</v>
      </c>
      <c r="S577" t="s">
        <v>31</v>
      </c>
      <c r="T577" t="s">
        <v>654</v>
      </c>
      <c r="U577">
        <v>616.89170000000001</v>
      </c>
      <c r="V577" s="3">
        <v>41773</v>
      </c>
    </row>
    <row r="578" spans="1:22" x14ac:dyDescent="0.35">
      <c r="A578" s="1">
        <v>42393.185104166667</v>
      </c>
      <c r="B578" s="2">
        <v>0</v>
      </c>
      <c r="C578" t="s">
        <v>651</v>
      </c>
      <c r="D578" t="s">
        <v>23</v>
      </c>
      <c r="E578" t="s">
        <v>24</v>
      </c>
      <c r="F578" t="s">
        <v>652</v>
      </c>
      <c r="G578">
        <v>735603</v>
      </c>
      <c r="H578" t="s">
        <v>91</v>
      </c>
      <c r="I578" t="s">
        <v>247</v>
      </c>
      <c r="J578" t="str">
        <f>"9781609184971"</f>
        <v>9781609184971</v>
      </c>
      <c r="L578">
        <v>0</v>
      </c>
      <c r="O578" t="s">
        <v>30</v>
      </c>
      <c r="P578" t="s">
        <v>47</v>
      </c>
      <c r="Q578" s="1">
        <v>42393.185104166667</v>
      </c>
      <c r="R578">
        <v>7</v>
      </c>
      <c r="S578" t="s">
        <v>31</v>
      </c>
      <c r="T578" t="s">
        <v>654</v>
      </c>
      <c r="U578">
        <v>616.89170000000001</v>
      </c>
      <c r="V578" s="3">
        <v>41773</v>
      </c>
    </row>
    <row r="579" spans="1:22" x14ac:dyDescent="0.35">
      <c r="A579" s="1">
        <v>42393.184108796297</v>
      </c>
      <c r="B579" s="2">
        <v>9.9537037037037042E-4</v>
      </c>
      <c r="C579" t="s">
        <v>651</v>
      </c>
      <c r="D579" t="s">
        <v>23</v>
      </c>
      <c r="E579" t="s">
        <v>24</v>
      </c>
      <c r="F579" t="s">
        <v>652</v>
      </c>
      <c r="G579">
        <v>735603</v>
      </c>
      <c r="H579" t="s">
        <v>91</v>
      </c>
      <c r="I579" t="s">
        <v>247</v>
      </c>
      <c r="J579" t="str">
        <f>"9781609184971"</f>
        <v>9781609184971</v>
      </c>
      <c r="K579" t="s">
        <v>1071</v>
      </c>
      <c r="L579">
        <v>11</v>
      </c>
      <c r="O579" t="s">
        <v>30</v>
      </c>
      <c r="P579" t="s">
        <v>50</v>
      </c>
      <c r="S579" t="s">
        <v>31</v>
      </c>
      <c r="T579" t="s">
        <v>654</v>
      </c>
      <c r="U579">
        <v>616.89170000000001</v>
      </c>
      <c r="V579" s="3">
        <v>41773</v>
      </c>
    </row>
    <row r="580" spans="1:22" x14ac:dyDescent="0.35">
      <c r="A580" s="1">
        <v>42393.152881944443</v>
      </c>
      <c r="B580" s="2">
        <v>5.4398148148148144E-4</v>
      </c>
      <c r="C580" t="s">
        <v>1037</v>
      </c>
      <c r="D580" t="s">
        <v>23</v>
      </c>
      <c r="E580" t="s">
        <v>24</v>
      </c>
      <c r="F580" t="s">
        <v>1072</v>
      </c>
      <c r="G580">
        <v>1662668</v>
      </c>
      <c r="H580" t="s">
        <v>26</v>
      </c>
      <c r="I580" t="s">
        <v>276</v>
      </c>
      <c r="J580" t="str">
        <f>"9781118810095"</f>
        <v>9781118810095</v>
      </c>
      <c r="K580" t="s">
        <v>1073</v>
      </c>
      <c r="L580">
        <v>25</v>
      </c>
      <c r="O580" t="s">
        <v>30</v>
      </c>
      <c r="P580" t="s">
        <v>42</v>
      </c>
      <c r="S580" t="s">
        <v>31</v>
      </c>
      <c r="T580" t="s">
        <v>1074</v>
      </c>
      <c r="U580" t="s">
        <v>1075</v>
      </c>
      <c r="V580" s="3">
        <v>41722</v>
      </c>
    </row>
    <row r="581" spans="1:22" x14ac:dyDescent="0.35">
      <c r="A581" s="1">
        <v>42393.148946759262</v>
      </c>
      <c r="B581" s="2">
        <v>2.990740740740741E-2</v>
      </c>
      <c r="C581" t="s">
        <v>1076</v>
      </c>
      <c r="D581" t="s">
        <v>23</v>
      </c>
      <c r="E581" t="s">
        <v>24</v>
      </c>
      <c r="F581" t="s">
        <v>1077</v>
      </c>
      <c r="G581">
        <v>1597998</v>
      </c>
      <c r="H581" t="s">
        <v>26</v>
      </c>
      <c r="I581" t="s">
        <v>630</v>
      </c>
      <c r="J581" t="str">
        <f>"9781118479834"</f>
        <v>9781118479834</v>
      </c>
      <c r="K581" t="s">
        <v>1078</v>
      </c>
      <c r="L581">
        <v>14</v>
      </c>
      <c r="O581" t="s">
        <v>30</v>
      </c>
      <c r="P581" t="s">
        <v>29</v>
      </c>
      <c r="Q581" s="1">
        <v>42393.148946759262</v>
      </c>
      <c r="R581">
        <v>7</v>
      </c>
      <c r="S581" t="s">
        <v>31</v>
      </c>
      <c r="T581" t="s">
        <v>1079</v>
      </c>
      <c r="U581">
        <v>170</v>
      </c>
      <c r="V581" s="3">
        <v>41653</v>
      </c>
    </row>
    <row r="582" spans="1:22" x14ac:dyDescent="0.35">
      <c r="A582" s="1">
        <v>42393.14099537037</v>
      </c>
      <c r="B582" s="2">
        <v>7.951388888888888E-3</v>
      </c>
      <c r="C582" t="s">
        <v>1076</v>
      </c>
      <c r="D582" t="s">
        <v>23</v>
      </c>
      <c r="E582" t="s">
        <v>24</v>
      </c>
      <c r="F582" t="s">
        <v>1077</v>
      </c>
      <c r="G582">
        <v>1597998</v>
      </c>
      <c r="H582" t="s">
        <v>26</v>
      </c>
      <c r="I582" t="s">
        <v>630</v>
      </c>
      <c r="J582" t="str">
        <f>"9781118479834"</f>
        <v>9781118479834</v>
      </c>
      <c r="K582" t="s">
        <v>1080</v>
      </c>
      <c r="L582">
        <v>11</v>
      </c>
      <c r="O582" t="s">
        <v>30</v>
      </c>
      <c r="P582" t="s">
        <v>42</v>
      </c>
      <c r="S582" t="s">
        <v>31</v>
      </c>
      <c r="T582" t="s">
        <v>1079</v>
      </c>
      <c r="U582">
        <v>170</v>
      </c>
      <c r="V582" s="3">
        <v>41653</v>
      </c>
    </row>
    <row r="583" spans="1:22" x14ac:dyDescent="0.35">
      <c r="A583" s="1">
        <v>42393.059652777774</v>
      </c>
      <c r="B583" s="2">
        <v>2.5462962962962961E-4</v>
      </c>
      <c r="C583" t="s">
        <v>1081</v>
      </c>
      <c r="D583" t="s">
        <v>23</v>
      </c>
      <c r="E583" t="s">
        <v>24</v>
      </c>
      <c r="F583" t="s">
        <v>1082</v>
      </c>
      <c r="G583">
        <v>1746990</v>
      </c>
      <c r="H583" t="s">
        <v>45</v>
      </c>
      <c r="I583" t="s">
        <v>97</v>
      </c>
      <c r="J583" t="str">
        <f>"9781472432100"</f>
        <v>9781472432100</v>
      </c>
      <c r="K583" t="s">
        <v>1083</v>
      </c>
      <c r="L583">
        <v>9</v>
      </c>
      <c r="O583" t="s">
        <v>30</v>
      </c>
      <c r="P583" t="s">
        <v>50</v>
      </c>
      <c r="S583" t="s">
        <v>31</v>
      </c>
      <c r="T583" t="s">
        <v>1084</v>
      </c>
      <c r="U583" t="s">
        <v>1085</v>
      </c>
      <c r="V583" s="3">
        <v>41910</v>
      </c>
    </row>
    <row r="584" spans="1:22" x14ac:dyDescent="0.35">
      <c r="A584" s="1">
        <v>42393.047905092593</v>
      </c>
      <c r="B584" s="2">
        <v>1.7361111111111112E-4</v>
      </c>
      <c r="C584" t="s">
        <v>106</v>
      </c>
      <c r="D584" t="s">
        <v>23</v>
      </c>
      <c r="E584" t="s">
        <v>24</v>
      </c>
      <c r="F584" t="s">
        <v>1086</v>
      </c>
      <c r="G584">
        <v>1184135</v>
      </c>
      <c r="H584" t="s">
        <v>26</v>
      </c>
      <c r="I584" t="s">
        <v>348</v>
      </c>
      <c r="J584" t="str">
        <f>"9780745659671"</f>
        <v>9780745659671</v>
      </c>
      <c r="K584" t="s">
        <v>889</v>
      </c>
      <c r="L584">
        <v>6</v>
      </c>
      <c r="O584" t="s">
        <v>30</v>
      </c>
      <c r="P584" t="s">
        <v>50</v>
      </c>
      <c r="S584" t="s">
        <v>31</v>
      </c>
      <c r="T584" t="s">
        <v>1087</v>
      </c>
      <c r="U584">
        <v>320.54000000000002</v>
      </c>
      <c r="V584" s="3">
        <v>41390</v>
      </c>
    </row>
    <row r="585" spans="1:22" x14ac:dyDescent="0.35">
      <c r="A585" s="1">
        <v>42393.027280092596</v>
      </c>
      <c r="B585" s="2">
        <v>0.33275462962962959</v>
      </c>
      <c r="C585" t="s">
        <v>992</v>
      </c>
      <c r="D585" t="s">
        <v>35</v>
      </c>
      <c r="E585" t="s">
        <v>36</v>
      </c>
      <c r="F585" t="s">
        <v>327</v>
      </c>
      <c r="G585">
        <v>1691426</v>
      </c>
      <c r="H585" t="s">
        <v>26</v>
      </c>
      <c r="I585" t="s">
        <v>328</v>
      </c>
      <c r="J585" t="str">
        <f>"9781118839492"</f>
        <v>9781118839492</v>
      </c>
      <c r="K585" t="s">
        <v>1088</v>
      </c>
      <c r="L585">
        <v>87</v>
      </c>
      <c r="O585" t="s">
        <v>30</v>
      </c>
      <c r="P585" t="s">
        <v>29</v>
      </c>
      <c r="Q585" s="1">
        <v>42393.027280092596</v>
      </c>
      <c r="R585">
        <v>7</v>
      </c>
      <c r="S585" t="s">
        <v>40</v>
      </c>
      <c r="T585" t="s">
        <v>331</v>
      </c>
      <c r="U585">
        <v>613.70460000000003</v>
      </c>
      <c r="V585" s="3">
        <v>41772</v>
      </c>
    </row>
    <row r="586" spans="1:22" x14ac:dyDescent="0.35">
      <c r="A586" s="1">
        <v>42393.018055555556</v>
      </c>
      <c r="B586" s="2">
        <v>9.2245370370370363E-3</v>
      </c>
      <c r="C586" t="s">
        <v>992</v>
      </c>
      <c r="D586" t="s">
        <v>35</v>
      </c>
      <c r="E586" t="s">
        <v>36</v>
      </c>
      <c r="F586" t="s">
        <v>327</v>
      </c>
      <c r="G586">
        <v>1691426</v>
      </c>
      <c r="H586" t="s">
        <v>26</v>
      </c>
      <c r="I586" t="s">
        <v>328</v>
      </c>
      <c r="J586" t="str">
        <f>"9781118839492"</f>
        <v>9781118839492</v>
      </c>
      <c r="K586" t="s">
        <v>1089</v>
      </c>
      <c r="L586">
        <v>40</v>
      </c>
      <c r="O586" t="s">
        <v>30</v>
      </c>
      <c r="P586" t="s">
        <v>42</v>
      </c>
      <c r="S586" t="s">
        <v>40</v>
      </c>
      <c r="T586" t="s">
        <v>331</v>
      </c>
      <c r="U586">
        <v>613.70460000000003</v>
      </c>
      <c r="V586" s="3">
        <v>41772</v>
      </c>
    </row>
    <row r="587" spans="1:22" x14ac:dyDescent="0.35">
      <c r="A587" s="1">
        <v>42393.004826388889</v>
      </c>
      <c r="B587" s="2">
        <v>4.1666666666666669E-4</v>
      </c>
      <c r="C587" t="s">
        <v>1090</v>
      </c>
      <c r="D587" t="s">
        <v>35</v>
      </c>
      <c r="E587" t="s">
        <v>36</v>
      </c>
      <c r="F587" t="s">
        <v>1091</v>
      </c>
      <c r="G587">
        <v>629931</v>
      </c>
      <c r="H587" t="s">
        <v>68</v>
      </c>
      <c r="I587" t="s">
        <v>150</v>
      </c>
      <c r="J587" t="str">
        <f>"9780080927770"</f>
        <v>9780080927770</v>
      </c>
      <c r="K587" t="s">
        <v>339</v>
      </c>
      <c r="L587">
        <v>18</v>
      </c>
      <c r="O587" t="s">
        <v>30</v>
      </c>
      <c r="P587" t="s">
        <v>50</v>
      </c>
      <c r="S587" t="s">
        <v>40</v>
      </c>
      <c r="T587" t="s">
        <v>1092</v>
      </c>
      <c r="U587" t="s">
        <v>1093</v>
      </c>
      <c r="V587" s="3">
        <v>41479</v>
      </c>
    </row>
    <row r="588" spans="1:22" x14ac:dyDescent="0.35">
      <c r="A588" s="1">
        <v>42392.931712962964</v>
      </c>
      <c r="B588" s="2">
        <v>2.7777777777777778E-4</v>
      </c>
      <c r="C588" t="s">
        <v>950</v>
      </c>
      <c r="D588" t="s">
        <v>623</v>
      </c>
      <c r="E588" t="s">
        <v>624</v>
      </c>
      <c r="F588" t="s">
        <v>799</v>
      </c>
      <c r="G588">
        <v>1757959</v>
      </c>
      <c r="H588" t="s">
        <v>26</v>
      </c>
      <c r="I588" t="s">
        <v>800</v>
      </c>
      <c r="J588" t="str">
        <f>"9781118767023"</f>
        <v>9781118767023</v>
      </c>
      <c r="K588" t="s">
        <v>1094</v>
      </c>
      <c r="L588">
        <v>9</v>
      </c>
      <c r="O588" t="s">
        <v>30</v>
      </c>
      <c r="P588" t="s">
        <v>29</v>
      </c>
      <c r="Q588" s="1">
        <v>42388.853506944448</v>
      </c>
      <c r="R588">
        <v>7</v>
      </c>
      <c r="S588" t="s">
        <v>627</v>
      </c>
      <c r="T588" t="s">
        <v>802</v>
      </c>
      <c r="U588" t="s">
        <v>803</v>
      </c>
      <c r="V588" s="3">
        <v>41850</v>
      </c>
    </row>
    <row r="589" spans="1:22" x14ac:dyDescent="0.35">
      <c r="A589" s="1">
        <v>42392.894826388889</v>
      </c>
      <c r="B589" s="2">
        <v>6.5451388888888892E-2</v>
      </c>
      <c r="C589" t="s">
        <v>106</v>
      </c>
      <c r="D589" t="s">
        <v>23</v>
      </c>
      <c r="E589" t="s">
        <v>24</v>
      </c>
      <c r="F589" t="s">
        <v>903</v>
      </c>
      <c r="G589">
        <v>3038474</v>
      </c>
      <c r="H589" t="s">
        <v>526</v>
      </c>
      <c r="I589" t="s">
        <v>120</v>
      </c>
      <c r="J589" t="str">
        <f>"9780226925233"</f>
        <v>9780226925233</v>
      </c>
      <c r="K589" t="s">
        <v>1095</v>
      </c>
      <c r="L589">
        <v>8</v>
      </c>
      <c r="O589" t="s">
        <v>30</v>
      </c>
      <c r="P589" t="s">
        <v>47</v>
      </c>
      <c r="Q589" s="1">
        <v>42392.894814814812</v>
      </c>
      <c r="R589">
        <v>1</v>
      </c>
      <c r="S589" t="s">
        <v>31</v>
      </c>
      <c r="T589" t="s">
        <v>905</v>
      </c>
      <c r="U589">
        <v>302.2</v>
      </c>
      <c r="V589" s="3">
        <v>41609</v>
      </c>
    </row>
    <row r="590" spans="1:22" x14ac:dyDescent="0.35">
      <c r="A590" s="1">
        <v>42392.890763888892</v>
      </c>
      <c r="B590" s="2">
        <v>4.0509259259259257E-3</v>
      </c>
      <c r="C590" t="s">
        <v>106</v>
      </c>
      <c r="D590" t="s">
        <v>23</v>
      </c>
      <c r="E590" t="s">
        <v>24</v>
      </c>
      <c r="F590" t="s">
        <v>903</v>
      </c>
      <c r="G590">
        <v>3038474</v>
      </c>
      <c r="H590" t="s">
        <v>526</v>
      </c>
      <c r="I590" t="s">
        <v>120</v>
      </c>
      <c r="J590" t="str">
        <f>"9780226925233"</f>
        <v>9780226925233</v>
      </c>
      <c r="K590" t="s">
        <v>1096</v>
      </c>
      <c r="L590">
        <v>9</v>
      </c>
      <c r="O590" t="s">
        <v>30</v>
      </c>
      <c r="P590" t="s">
        <v>50</v>
      </c>
      <c r="S590" t="s">
        <v>31</v>
      </c>
      <c r="T590" t="s">
        <v>905</v>
      </c>
      <c r="U590">
        <v>302.2</v>
      </c>
      <c r="V590" s="3">
        <v>41609</v>
      </c>
    </row>
    <row r="591" spans="1:22" x14ac:dyDescent="0.35">
      <c r="A591" s="1">
        <v>42392.884560185186</v>
      </c>
      <c r="B591" s="2">
        <v>0</v>
      </c>
      <c r="C591" t="s">
        <v>694</v>
      </c>
      <c r="D591" t="s">
        <v>23</v>
      </c>
      <c r="E591" t="s">
        <v>24</v>
      </c>
      <c r="F591" t="s">
        <v>439</v>
      </c>
      <c r="G591">
        <v>836614</v>
      </c>
      <c r="H591" t="s">
        <v>440</v>
      </c>
      <c r="I591" t="s">
        <v>27</v>
      </c>
      <c r="J591" t="str">
        <f>"9781118315958"</f>
        <v>9781118315958</v>
      </c>
      <c r="L591">
        <v>0</v>
      </c>
      <c r="O591" t="s">
        <v>28</v>
      </c>
      <c r="P591" t="s">
        <v>29</v>
      </c>
      <c r="Q591" s="1">
        <v>42392.884560185186</v>
      </c>
      <c r="R591">
        <v>7</v>
      </c>
      <c r="S591" t="s">
        <v>31</v>
      </c>
      <c r="T591" t="s">
        <v>442</v>
      </c>
      <c r="U591">
        <v>414</v>
      </c>
      <c r="V591" s="3">
        <v>40892</v>
      </c>
    </row>
    <row r="592" spans="1:22" x14ac:dyDescent="0.35">
      <c r="A592" s="1">
        <v>42392.884560185186</v>
      </c>
      <c r="B592" s="2">
        <v>0</v>
      </c>
      <c r="C592" t="s">
        <v>694</v>
      </c>
      <c r="D592" t="s">
        <v>23</v>
      </c>
      <c r="E592" t="s">
        <v>24</v>
      </c>
      <c r="F592" t="s">
        <v>439</v>
      </c>
      <c r="G592">
        <v>836614</v>
      </c>
      <c r="H592" t="s">
        <v>440</v>
      </c>
      <c r="I592" t="s">
        <v>27</v>
      </c>
      <c r="J592" t="str">
        <f>"9781118315958"</f>
        <v>9781118315958</v>
      </c>
      <c r="L592">
        <v>0</v>
      </c>
      <c r="O592" t="s">
        <v>30</v>
      </c>
      <c r="P592" t="s">
        <v>29</v>
      </c>
      <c r="Q592" s="1">
        <v>42392.884560185186</v>
      </c>
      <c r="R592">
        <v>7</v>
      </c>
      <c r="S592" t="s">
        <v>31</v>
      </c>
      <c r="T592" t="s">
        <v>442</v>
      </c>
      <c r="U592">
        <v>414</v>
      </c>
      <c r="V592" s="3">
        <v>40892</v>
      </c>
    </row>
    <row r="593" spans="1:22" x14ac:dyDescent="0.35">
      <c r="A593" s="1">
        <v>42392.884236111109</v>
      </c>
      <c r="B593" s="2">
        <v>3.2407407407407406E-4</v>
      </c>
      <c r="C593" t="s">
        <v>694</v>
      </c>
      <c r="D593" t="s">
        <v>23</v>
      </c>
      <c r="E593" t="s">
        <v>24</v>
      </c>
      <c r="F593" t="s">
        <v>439</v>
      </c>
      <c r="G593">
        <v>836614</v>
      </c>
      <c r="H593" t="s">
        <v>440</v>
      </c>
      <c r="I593" t="s">
        <v>27</v>
      </c>
      <c r="J593" t="str">
        <f>"9781118315958"</f>
        <v>9781118315958</v>
      </c>
      <c r="K593" t="s">
        <v>33</v>
      </c>
      <c r="L593">
        <v>3</v>
      </c>
      <c r="O593" t="s">
        <v>30</v>
      </c>
      <c r="P593" t="s">
        <v>42</v>
      </c>
      <c r="S593" t="s">
        <v>31</v>
      </c>
      <c r="T593" t="s">
        <v>442</v>
      </c>
      <c r="U593">
        <v>414</v>
      </c>
      <c r="V593" s="3">
        <v>40892</v>
      </c>
    </row>
    <row r="594" spans="1:22" x14ac:dyDescent="0.35">
      <c r="A594" s="1">
        <v>42392.809907407405</v>
      </c>
      <c r="B594" s="2">
        <v>3.4722222222222222E-5</v>
      </c>
      <c r="C594" t="s">
        <v>490</v>
      </c>
      <c r="D594" t="s">
        <v>211</v>
      </c>
      <c r="E594" t="s">
        <v>212</v>
      </c>
      <c r="F594" t="s">
        <v>491</v>
      </c>
      <c r="G594">
        <v>768534</v>
      </c>
      <c r="H594" t="s">
        <v>492</v>
      </c>
      <c r="I594" t="s">
        <v>493</v>
      </c>
      <c r="J594" t="str">
        <f>"9781400839704"</f>
        <v>9781400839704</v>
      </c>
      <c r="K594" t="s">
        <v>33</v>
      </c>
      <c r="L594">
        <v>3</v>
      </c>
      <c r="O594" t="s">
        <v>30</v>
      </c>
      <c r="P594" t="s">
        <v>42</v>
      </c>
      <c r="S594" t="s">
        <v>214</v>
      </c>
      <c r="T594" t="s">
        <v>495</v>
      </c>
      <c r="U594" t="s">
        <v>496</v>
      </c>
      <c r="V594" s="3">
        <v>40847</v>
      </c>
    </row>
    <row r="595" spans="1:22" x14ac:dyDescent="0.35">
      <c r="A595" s="1">
        <v>42392.736956018518</v>
      </c>
      <c r="B595" s="2">
        <v>7.2245370370370363E-2</v>
      </c>
      <c r="C595" t="s">
        <v>490</v>
      </c>
      <c r="D595" t="s">
        <v>211</v>
      </c>
      <c r="E595" t="s">
        <v>212</v>
      </c>
      <c r="F595" t="s">
        <v>491</v>
      </c>
      <c r="G595">
        <v>768534</v>
      </c>
      <c r="H595" t="s">
        <v>492</v>
      </c>
      <c r="I595" t="s">
        <v>493</v>
      </c>
      <c r="J595" t="str">
        <f>"9781400839704"</f>
        <v>9781400839704</v>
      </c>
      <c r="K595" t="s">
        <v>1097</v>
      </c>
      <c r="L595">
        <v>8</v>
      </c>
      <c r="O595" t="s">
        <v>30</v>
      </c>
      <c r="P595" t="s">
        <v>42</v>
      </c>
      <c r="S595" t="s">
        <v>214</v>
      </c>
      <c r="T595" t="s">
        <v>495</v>
      </c>
      <c r="U595" t="s">
        <v>496</v>
      </c>
      <c r="V595" s="3">
        <v>40847</v>
      </c>
    </row>
    <row r="596" spans="1:22" x14ac:dyDescent="0.35">
      <c r="A596" s="1">
        <v>42392.719826388886</v>
      </c>
      <c r="B596" s="2">
        <v>8.0555555555555554E-3</v>
      </c>
      <c r="C596" t="s">
        <v>1098</v>
      </c>
      <c r="D596" t="s">
        <v>360</v>
      </c>
      <c r="E596" t="s">
        <v>361</v>
      </c>
      <c r="F596" t="s">
        <v>1099</v>
      </c>
      <c r="G596">
        <v>1636080</v>
      </c>
      <c r="H596" t="s">
        <v>1100</v>
      </c>
      <c r="I596" t="s">
        <v>276</v>
      </c>
      <c r="J596" t="str">
        <f>"9781118600702"</f>
        <v>9781118600702</v>
      </c>
      <c r="K596" t="s">
        <v>1101</v>
      </c>
      <c r="L596">
        <v>3</v>
      </c>
      <c r="O596" t="s">
        <v>30</v>
      </c>
      <c r="P596" t="s">
        <v>29</v>
      </c>
      <c r="Q596" s="1">
        <v>42392.719826388886</v>
      </c>
      <c r="R596">
        <v>7</v>
      </c>
      <c r="S596" t="s">
        <v>363</v>
      </c>
      <c r="T596" t="s">
        <v>1102</v>
      </c>
      <c r="U596">
        <v>6.7519999999999998</v>
      </c>
      <c r="V596" s="3">
        <v>41701</v>
      </c>
    </row>
    <row r="597" spans="1:22" x14ac:dyDescent="0.35">
      <c r="A597" s="1">
        <v>42392.704548611109</v>
      </c>
      <c r="B597" s="2">
        <v>1.0763888888888889E-3</v>
      </c>
      <c r="C597" t="s">
        <v>1103</v>
      </c>
      <c r="D597" t="s">
        <v>23</v>
      </c>
      <c r="E597" t="s">
        <v>24</v>
      </c>
      <c r="F597" t="s">
        <v>1104</v>
      </c>
      <c r="G597">
        <v>1487097</v>
      </c>
      <c r="H597" t="s">
        <v>68</v>
      </c>
      <c r="I597" t="s">
        <v>120</v>
      </c>
      <c r="J597" t="str">
        <f>"9781135398842"</f>
        <v>9781135398842</v>
      </c>
      <c r="K597" t="s">
        <v>1105</v>
      </c>
      <c r="L597">
        <v>11</v>
      </c>
      <c r="O597" t="s">
        <v>30</v>
      </c>
      <c r="P597" t="s">
        <v>50</v>
      </c>
      <c r="S597" t="s">
        <v>31</v>
      </c>
      <c r="T597" t="s">
        <v>1106</v>
      </c>
      <c r="U597">
        <v>306.76799999999997</v>
      </c>
      <c r="V597" s="3">
        <v>41565</v>
      </c>
    </row>
    <row r="598" spans="1:22" x14ac:dyDescent="0.35">
      <c r="A598" s="1">
        <v>42392.701944444445</v>
      </c>
      <c r="B598" s="2">
        <v>2.5462962962962961E-4</v>
      </c>
      <c r="C598" t="s">
        <v>1107</v>
      </c>
      <c r="D598" t="s">
        <v>23</v>
      </c>
      <c r="E598" t="s">
        <v>24</v>
      </c>
      <c r="F598" t="s">
        <v>1108</v>
      </c>
      <c r="G598">
        <v>1356236</v>
      </c>
      <c r="H598" t="s">
        <v>68</v>
      </c>
      <c r="I598" t="s">
        <v>219</v>
      </c>
      <c r="J598" t="str">
        <f>"9781135059699"</f>
        <v>9781135059699</v>
      </c>
      <c r="K598" t="s">
        <v>1109</v>
      </c>
      <c r="L598">
        <v>3</v>
      </c>
      <c r="O598" t="s">
        <v>30</v>
      </c>
      <c r="P598" t="s">
        <v>50</v>
      </c>
      <c r="S598" t="s">
        <v>31</v>
      </c>
      <c r="T598" t="s">
        <v>1110</v>
      </c>
      <c r="U598">
        <v>155.93700000000001</v>
      </c>
      <c r="V598" s="3">
        <v>41507</v>
      </c>
    </row>
    <row r="599" spans="1:22" x14ac:dyDescent="0.35">
      <c r="A599" s="1">
        <v>42392.701365740744</v>
      </c>
      <c r="B599" s="2">
        <v>4.3981481481481481E-4</v>
      </c>
      <c r="C599" t="s">
        <v>1107</v>
      </c>
      <c r="D599" t="s">
        <v>23</v>
      </c>
      <c r="E599" t="s">
        <v>24</v>
      </c>
      <c r="F599" t="s">
        <v>1111</v>
      </c>
      <c r="G599">
        <v>1582028</v>
      </c>
      <c r="H599" t="s">
        <v>68</v>
      </c>
      <c r="I599" t="s">
        <v>219</v>
      </c>
      <c r="J599" t="str">
        <f>"9781317850823"</f>
        <v>9781317850823</v>
      </c>
      <c r="K599" t="s">
        <v>1112</v>
      </c>
      <c r="L599">
        <v>16</v>
      </c>
      <c r="O599" t="s">
        <v>30</v>
      </c>
      <c r="P599" t="s">
        <v>50</v>
      </c>
      <c r="S599" t="s">
        <v>31</v>
      </c>
      <c r="T599" t="s">
        <v>1113</v>
      </c>
      <c r="U599">
        <v>155.93700000000001</v>
      </c>
      <c r="V599" s="3">
        <v>41624</v>
      </c>
    </row>
    <row r="600" spans="1:22" x14ac:dyDescent="0.35">
      <c r="A600" s="1">
        <v>42392.697743055556</v>
      </c>
      <c r="B600" s="2">
        <v>2.2083333333333333E-2</v>
      </c>
      <c r="C600" t="s">
        <v>1098</v>
      </c>
      <c r="D600" t="s">
        <v>360</v>
      </c>
      <c r="E600" t="s">
        <v>361</v>
      </c>
      <c r="F600" t="s">
        <v>1099</v>
      </c>
      <c r="G600">
        <v>1636080</v>
      </c>
      <c r="H600" t="s">
        <v>1100</v>
      </c>
      <c r="I600" t="s">
        <v>276</v>
      </c>
      <c r="J600" t="str">
        <f>"9781118600702"</f>
        <v>9781118600702</v>
      </c>
      <c r="K600" t="s">
        <v>1114</v>
      </c>
      <c r="L600">
        <v>19</v>
      </c>
      <c r="O600" t="s">
        <v>30</v>
      </c>
      <c r="P600" t="s">
        <v>42</v>
      </c>
      <c r="S600" t="s">
        <v>363</v>
      </c>
      <c r="T600" t="s">
        <v>1102</v>
      </c>
      <c r="U600">
        <v>6.7519999999999998</v>
      </c>
      <c r="V600" s="3">
        <v>41701</v>
      </c>
    </row>
    <row r="601" spans="1:22" x14ac:dyDescent="0.35">
      <c r="A601" s="1">
        <v>42392.696377314816</v>
      </c>
      <c r="B601" s="2">
        <v>3.4722222222222222E-5</v>
      </c>
      <c r="C601" t="s">
        <v>1098</v>
      </c>
      <c r="D601" t="s">
        <v>360</v>
      </c>
      <c r="E601" t="s">
        <v>361</v>
      </c>
      <c r="F601" t="s">
        <v>1115</v>
      </c>
      <c r="G601">
        <v>1895867</v>
      </c>
      <c r="H601" t="s">
        <v>26</v>
      </c>
      <c r="I601" t="s">
        <v>276</v>
      </c>
      <c r="J601" t="str">
        <f>"9781118987186"</f>
        <v>9781118987186</v>
      </c>
      <c r="K601" t="s">
        <v>33</v>
      </c>
      <c r="L601">
        <v>3</v>
      </c>
      <c r="O601" t="s">
        <v>30</v>
      </c>
      <c r="P601" t="s">
        <v>50</v>
      </c>
      <c r="S601" t="s">
        <v>363</v>
      </c>
      <c r="T601" t="s">
        <v>1116</v>
      </c>
      <c r="U601">
        <v>6.7519999999999998</v>
      </c>
      <c r="V601" s="3">
        <v>41990</v>
      </c>
    </row>
    <row r="602" spans="1:22" x14ac:dyDescent="0.35">
      <c r="A602" s="1">
        <v>42392.694421296299</v>
      </c>
      <c r="B602" s="2">
        <v>2.5462962962962961E-4</v>
      </c>
      <c r="C602" t="s">
        <v>1107</v>
      </c>
      <c r="D602" t="s">
        <v>23</v>
      </c>
      <c r="E602" t="s">
        <v>24</v>
      </c>
      <c r="F602" t="s">
        <v>1111</v>
      </c>
      <c r="G602">
        <v>1582028</v>
      </c>
      <c r="H602" t="s">
        <v>68</v>
      </c>
      <c r="I602" t="s">
        <v>219</v>
      </c>
      <c r="J602" t="str">
        <f>"9781317850823"</f>
        <v>9781317850823</v>
      </c>
      <c r="K602" t="s">
        <v>1117</v>
      </c>
      <c r="L602">
        <v>3</v>
      </c>
      <c r="O602" t="s">
        <v>30</v>
      </c>
      <c r="P602" t="s">
        <v>50</v>
      </c>
      <c r="S602" t="s">
        <v>31</v>
      </c>
      <c r="T602" t="s">
        <v>1113</v>
      </c>
      <c r="U602">
        <v>155.93700000000001</v>
      </c>
      <c r="V602" s="3">
        <v>41624</v>
      </c>
    </row>
    <row r="603" spans="1:22" x14ac:dyDescent="0.35">
      <c r="A603" s="1">
        <v>42392.664849537039</v>
      </c>
      <c r="B603" s="2">
        <v>7.0682870370370368E-2</v>
      </c>
      <c r="C603" t="s">
        <v>490</v>
      </c>
      <c r="D603" t="s">
        <v>211</v>
      </c>
      <c r="E603" t="s">
        <v>212</v>
      </c>
      <c r="F603" t="s">
        <v>491</v>
      </c>
      <c r="G603">
        <v>768534</v>
      </c>
      <c r="H603" t="s">
        <v>492</v>
      </c>
      <c r="I603" t="s">
        <v>493</v>
      </c>
      <c r="J603" t="str">
        <f>"9781400839704"</f>
        <v>9781400839704</v>
      </c>
      <c r="K603" t="s">
        <v>1118</v>
      </c>
      <c r="L603">
        <v>41</v>
      </c>
      <c r="M603" t="s">
        <v>1119</v>
      </c>
      <c r="O603" t="s">
        <v>30</v>
      </c>
      <c r="P603" t="s">
        <v>42</v>
      </c>
      <c r="S603" t="s">
        <v>214</v>
      </c>
      <c r="T603" t="s">
        <v>495</v>
      </c>
      <c r="U603" t="s">
        <v>496</v>
      </c>
      <c r="V603" s="3">
        <v>40847</v>
      </c>
    </row>
    <row r="604" spans="1:22" x14ac:dyDescent="0.35">
      <c r="A604" s="1">
        <v>42392.659745370373</v>
      </c>
      <c r="B604" s="2">
        <v>6.7592592592592591E-3</v>
      </c>
      <c r="C604" t="s">
        <v>1120</v>
      </c>
      <c r="D604" t="s">
        <v>23</v>
      </c>
      <c r="E604" t="s">
        <v>24</v>
      </c>
      <c r="F604" t="s">
        <v>1121</v>
      </c>
      <c r="G604">
        <v>875809</v>
      </c>
      <c r="H604" t="s">
        <v>26</v>
      </c>
      <c r="I604" t="s">
        <v>27</v>
      </c>
      <c r="J604" t="str">
        <f>"9781118223598"</f>
        <v>9781118223598</v>
      </c>
      <c r="K604" t="s">
        <v>1122</v>
      </c>
      <c r="L604">
        <v>8</v>
      </c>
      <c r="O604" t="s">
        <v>30</v>
      </c>
      <c r="P604" t="s">
        <v>29</v>
      </c>
      <c r="Q604" s="1">
        <v>42392.659745370373</v>
      </c>
      <c r="R604">
        <v>7</v>
      </c>
      <c r="S604" t="s">
        <v>31</v>
      </c>
      <c r="T604" t="s">
        <v>1123</v>
      </c>
      <c r="U604">
        <v>428.00709999999998</v>
      </c>
      <c r="V604" s="3">
        <v>41128</v>
      </c>
    </row>
    <row r="605" spans="1:22" x14ac:dyDescent="0.35">
      <c r="A605" s="1">
        <v>42392.6484837963</v>
      </c>
      <c r="B605" s="2">
        <v>1.1261574074074071E-2</v>
      </c>
      <c r="C605" t="s">
        <v>1120</v>
      </c>
      <c r="D605" t="s">
        <v>23</v>
      </c>
      <c r="E605" t="s">
        <v>24</v>
      </c>
      <c r="F605" t="s">
        <v>1121</v>
      </c>
      <c r="G605">
        <v>875809</v>
      </c>
      <c r="H605" t="s">
        <v>26</v>
      </c>
      <c r="I605" t="s">
        <v>27</v>
      </c>
      <c r="J605" t="str">
        <f>"9781118223598"</f>
        <v>9781118223598</v>
      </c>
      <c r="K605" t="s">
        <v>1124</v>
      </c>
      <c r="L605">
        <v>21</v>
      </c>
      <c r="O605" t="s">
        <v>30</v>
      </c>
      <c r="P605" t="s">
        <v>42</v>
      </c>
      <c r="S605" t="s">
        <v>31</v>
      </c>
      <c r="T605" t="s">
        <v>1123</v>
      </c>
      <c r="U605">
        <v>428.00709999999998</v>
      </c>
      <c r="V605" s="3">
        <v>41128</v>
      </c>
    </row>
    <row r="606" spans="1:22" x14ac:dyDescent="0.35">
      <c r="A606" s="1">
        <v>42392.385995370372</v>
      </c>
      <c r="B606" s="2">
        <v>0</v>
      </c>
      <c r="C606" t="s">
        <v>1125</v>
      </c>
      <c r="D606" t="s">
        <v>23</v>
      </c>
      <c r="E606" t="s">
        <v>24</v>
      </c>
      <c r="F606" t="s">
        <v>1126</v>
      </c>
      <c r="G606">
        <v>2058061</v>
      </c>
      <c r="H606" t="s">
        <v>45</v>
      </c>
      <c r="I606" t="s">
        <v>79</v>
      </c>
      <c r="J606" t="str">
        <f>"9781472462350"</f>
        <v>9781472462350</v>
      </c>
      <c r="L606">
        <v>0</v>
      </c>
      <c r="O606" t="s">
        <v>28</v>
      </c>
      <c r="P606" t="s">
        <v>47</v>
      </c>
      <c r="Q606" s="1">
        <v>42392.385995370372</v>
      </c>
      <c r="R606">
        <v>1</v>
      </c>
      <c r="S606" t="s">
        <v>31</v>
      </c>
      <c r="T606" t="s">
        <v>1127</v>
      </c>
      <c r="U606" t="s">
        <v>1128</v>
      </c>
      <c r="V606" s="3">
        <v>42213</v>
      </c>
    </row>
    <row r="607" spans="1:22" x14ac:dyDescent="0.35">
      <c r="A607" s="1">
        <v>42392.385995370372</v>
      </c>
      <c r="B607" s="2">
        <v>0</v>
      </c>
      <c r="C607" t="s">
        <v>1125</v>
      </c>
      <c r="D607" t="s">
        <v>23</v>
      </c>
      <c r="E607" t="s">
        <v>24</v>
      </c>
      <c r="F607" t="s">
        <v>1126</v>
      </c>
      <c r="G607">
        <v>2058061</v>
      </c>
      <c r="H607" t="s">
        <v>45</v>
      </c>
      <c r="I607" t="s">
        <v>79</v>
      </c>
      <c r="J607" t="str">
        <f>"9781472462350"</f>
        <v>9781472462350</v>
      </c>
      <c r="L607">
        <v>0</v>
      </c>
      <c r="O607" t="s">
        <v>30</v>
      </c>
      <c r="P607" t="s">
        <v>47</v>
      </c>
      <c r="Q607" s="1">
        <v>42392.385995370372</v>
      </c>
      <c r="R607">
        <v>1</v>
      </c>
      <c r="S607" t="s">
        <v>31</v>
      </c>
      <c r="T607" t="s">
        <v>1127</v>
      </c>
      <c r="U607" t="s">
        <v>1128</v>
      </c>
      <c r="V607" s="3">
        <v>42213</v>
      </c>
    </row>
    <row r="608" spans="1:22" x14ac:dyDescent="0.35">
      <c r="A608" s="1">
        <v>42392.38585648148</v>
      </c>
      <c r="B608" s="2">
        <v>1.3888888888888889E-4</v>
      </c>
      <c r="C608" t="s">
        <v>1125</v>
      </c>
      <c r="D608" t="s">
        <v>23</v>
      </c>
      <c r="E608" t="s">
        <v>24</v>
      </c>
      <c r="F608" t="s">
        <v>1126</v>
      </c>
      <c r="G608">
        <v>2058061</v>
      </c>
      <c r="H608" t="s">
        <v>45</v>
      </c>
      <c r="I608" t="s">
        <v>79</v>
      </c>
      <c r="J608" t="str">
        <f>"9781472462350"</f>
        <v>9781472462350</v>
      </c>
      <c r="K608" t="s">
        <v>33</v>
      </c>
      <c r="L608">
        <v>3</v>
      </c>
      <c r="O608" t="s">
        <v>30</v>
      </c>
      <c r="P608" t="s">
        <v>50</v>
      </c>
      <c r="S608" t="s">
        <v>31</v>
      </c>
      <c r="T608" t="s">
        <v>1127</v>
      </c>
      <c r="U608" t="s">
        <v>1128</v>
      </c>
      <c r="V608" s="3">
        <v>42213</v>
      </c>
    </row>
    <row r="609" spans="1:22" x14ac:dyDescent="0.35">
      <c r="A609" s="1">
        <v>42392.384143518517</v>
      </c>
      <c r="B609" s="2">
        <v>0</v>
      </c>
      <c r="C609" t="s">
        <v>1125</v>
      </c>
      <c r="D609" t="s">
        <v>23</v>
      </c>
      <c r="E609" t="s">
        <v>24</v>
      </c>
      <c r="F609" t="s">
        <v>1129</v>
      </c>
      <c r="G609">
        <v>1397204</v>
      </c>
      <c r="H609" t="s">
        <v>68</v>
      </c>
      <c r="I609" t="s">
        <v>426</v>
      </c>
      <c r="J609" t="str">
        <f>"9781317990819"</f>
        <v>9781317990819</v>
      </c>
      <c r="L609">
        <v>0</v>
      </c>
      <c r="O609" t="s">
        <v>28</v>
      </c>
      <c r="P609" t="s">
        <v>47</v>
      </c>
      <c r="Q609" s="1">
        <v>42392.383634259262</v>
      </c>
      <c r="R609">
        <v>1</v>
      </c>
      <c r="S609" t="s">
        <v>31</v>
      </c>
      <c r="U609">
        <v>261.70940000000002</v>
      </c>
      <c r="V609" s="3">
        <v>41530</v>
      </c>
    </row>
    <row r="610" spans="1:22" x14ac:dyDescent="0.35">
      <c r="A610" s="1">
        <v>42392.383888888886</v>
      </c>
      <c r="B610" s="2">
        <v>5.7870370370370366E-5</v>
      </c>
      <c r="C610" t="s">
        <v>1125</v>
      </c>
      <c r="D610" t="s">
        <v>23</v>
      </c>
      <c r="E610" t="s">
        <v>24</v>
      </c>
      <c r="F610" t="s">
        <v>1129</v>
      </c>
      <c r="G610">
        <v>1397204</v>
      </c>
      <c r="H610" t="s">
        <v>68</v>
      </c>
      <c r="I610" t="s">
        <v>426</v>
      </c>
      <c r="J610" t="str">
        <f>"9781317990819"</f>
        <v>9781317990819</v>
      </c>
      <c r="K610" t="s">
        <v>33</v>
      </c>
      <c r="L610">
        <v>3</v>
      </c>
      <c r="O610" t="s">
        <v>30</v>
      </c>
      <c r="P610" t="s">
        <v>47</v>
      </c>
      <c r="Q610" s="1">
        <v>42392.383634259262</v>
      </c>
      <c r="R610">
        <v>1</v>
      </c>
      <c r="S610" t="s">
        <v>31</v>
      </c>
      <c r="U610">
        <v>261.70940000000002</v>
      </c>
      <c r="V610" s="3">
        <v>41530</v>
      </c>
    </row>
    <row r="611" spans="1:22" x14ac:dyDescent="0.35">
      <c r="A611" s="1">
        <v>42392.383634259262</v>
      </c>
      <c r="B611" s="2">
        <v>0</v>
      </c>
      <c r="C611" t="s">
        <v>1125</v>
      </c>
      <c r="D611" t="s">
        <v>23</v>
      </c>
      <c r="E611" t="s">
        <v>24</v>
      </c>
      <c r="F611" t="s">
        <v>1129</v>
      </c>
      <c r="G611">
        <v>1397204</v>
      </c>
      <c r="H611" t="s">
        <v>68</v>
      </c>
      <c r="I611" t="s">
        <v>426</v>
      </c>
      <c r="J611" t="str">
        <f>"9781317990819"</f>
        <v>9781317990819</v>
      </c>
      <c r="L611">
        <v>0</v>
      </c>
      <c r="O611" t="s">
        <v>28</v>
      </c>
      <c r="P611" t="s">
        <v>47</v>
      </c>
      <c r="Q611" s="1">
        <v>42392.383634259262</v>
      </c>
      <c r="R611">
        <v>1</v>
      </c>
      <c r="S611" t="s">
        <v>31</v>
      </c>
      <c r="U611">
        <v>261.70940000000002</v>
      </c>
      <c r="V611" s="3">
        <v>41530</v>
      </c>
    </row>
    <row r="612" spans="1:22" x14ac:dyDescent="0.35">
      <c r="A612" s="1">
        <v>42392.383634259262</v>
      </c>
      <c r="B612" s="2">
        <v>0</v>
      </c>
      <c r="C612" t="s">
        <v>1125</v>
      </c>
      <c r="D612" t="s">
        <v>23</v>
      </c>
      <c r="E612" t="s">
        <v>24</v>
      </c>
      <c r="F612" t="s">
        <v>1129</v>
      </c>
      <c r="G612">
        <v>1397204</v>
      </c>
      <c r="H612" t="s">
        <v>68</v>
      </c>
      <c r="I612" t="s">
        <v>426</v>
      </c>
      <c r="J612" t="str">
        <f>"9781317990819"</f>
        <v>9781317990819</v>
      </c>
      <c r="L612">
        <v>0</v>
      </c>
      <c r="O612" t="s">
        <v>30</v>
      </c>
      <c r="P612" t="s">
        <v>47</v>
      </c>
      <c r="Q612" s="1">
        <v>42392.383634259262</v>
      </c>
      <c r="R612">
        <v>1</v>
      </c>
      <c r="S612" t="s">
        <v>31</v>
      </c>
      <c r="U612">
        <v>261.70940000000002</v>
      </c>
      <c r="V612" s="3">
        <v>41530</v>
      </c>
    </row>
    <row r="613" spans="1:22" x14ac:dyDescent="0.35">
      <c r="A613" s="1">
        <v>42392.383402777778</v>
      </c>
      <c r="B613" s="2">
        <v>2.199074074074074E-4</v>
      </c>
      <c r="C613" t="s">
        <v>1125</v>
      </c>
      <c r="D613" t="s">
        <v>23</v>
      </c>
      <c r="E613" t="s">
        <v>24</v>
      </c>
      <c r="F613" t="s">
        <v>1129</v>
      </c>
      <c r="G613">
        <v>1397204</v>
      </c>
      <c r="H613" t="s">
        <v>68</v>
      </c>
      <c r="I613" t="s">
        <v>426</v>
      </c>
      <c r="J613" t="str">
        <f>"9781317990819"</f>
        <v>9781317990819</v>
      </c>
      <c r="K613" t="s">
        <v>33</v>
      </c>
      <c r="L613">
        <v>3</v>
      </c>
      <c r="O613" t="s">
        <v>30</v>
      </c>
      <c r="P613" t="s">
        <v>50</v>
      </c>
      <c r="S613" t="s">
        <v>31</v>
      </c>
      <c r="U613">
        <v>261.70940000000002</v>
      </c>
      <c r="V613" s="3">
        <v>41530</v>
      </c>
    </row>
    <row r="614" spans="1:22" x14ac:dyDescent="0.35">
      <c r="A614" s="1">
        <v>42392.22</v>
      </c>
      <c r="B614" s="2">
        <v>2.0833333333333333E-3</v>
      </c>
      <c r="C614" t="s">
        <v>1130</v>
      </c>
      <c r="D614" t="s">
        <v>23</v>
      </c>
      <c r="E614" t="s">
        <v>24</v>
      </c>
      <c r="F614" t="s">
        <v>1131</v>
      </c>
      <c r="G614">
        <v>570363</v>
      </c>
      <c r="H614" t="s">
        <v>91</v>
      </c>
      <c r="I614" t="s">
        <v>247</v>
      </c>
      <c r="J614" t="str">
        <f>"9781606239148"</f>
        <v>9781606239148</v>
      </c>
      <c r="K614" t="s">
        <v>1132</v>
      </c>
      <c r="L614">
        <v>38</v>
      </c>
      <c r="O614" t="s">
        <v>30</v>
      </c>
      <c r="P614" t="s">
        <v>50</v>
      </c>
      <c r="S614" t="s">
        <v>31</v>
      </c>
      <c r="T614" t="s">
        <v>1133</v>
      </c>
      <c r="U614">
        <v>616.89142500000003</v>
      </c>
      <c r="V614" s="3">
        <v>41773</v>
      </c>
    </row>
    <row r="615" spans="1:22" x14ac:dyDescent="0.35">
      <c r="A615" s="1">
        <v>42392.207789351851</v>
      </c>
      <c r="B615" s="2">
        <v>0</v>
      </c>
      <c r="C615" t="s">
        <v>985</v>
      </c>
      <c r="D615" t="s">
        <v>23</v>
      </c>
      <c r="E615" t="s">
        <v>24</v>
      </c>
      <c r="F615" t="s">
        <v>1134</v>
      </c>
      <c r="G615">
        <v>1191579</v>
      </c>
      <c r="H615" t="s">
        <v>91</v>
      </c>
      <c r="I615" t="s">
        <v>219</v>
      </c>
      <c r="J615" t="str">
        <f>"9781462510719"</f>
        <v>9781462510719</v>
      </c>
      <c r="L615">
        <v>0</v>
      </c>
      <c r="N615" t="s">
        <v>1135</v>
      </c>
      <c r="O615" t="s">
        <v>30</v>
      </c>
      <c r="P615" t="s">
        <v>29</v>
      </c>
      <c r="Q615" s="1">
        <v>42392.207789351851</v>
      </c>
      <c r="R615">
        <v>7</v>
      </c>
      <c r="S615" t="s">
        <v>31</v>
      </c>
      <c r="T615" t="s">
        <v>1136</v>
      </c>
      <c r="U615">
        <v>158.19999999999999</v>
      </c>
      <c r="V615" s="3">
        <v>41773</v>
      </c>
    </row>
    <row r="616" spans="1:22" x14ac:dyDescent="0.35">
      <c r="A616" s="1">
        <v>42392.206574074073</v>
      </c>
      <c r="B616" s="2">
        <v>1.2152777777777778E-3</v>
      </c>
      <c r="C616" t="s">
        <v>985</v>
      </c>
      <c r="D616" t="s">
        <v>23</v>
      </c>
      <c r="E616" t="s">
        <v>24</v>
      </c>
      <c r="F616" t="s">
        <v>1134</v>
      </c>
      <c r="G616">
        <v>1191579</v>
      </c>
      <c r="H616" t="s">
        <v>91</v>
      </c>
      <c r="I616" t="s">
        <v>219</v>
      </c>
      <c r="J616" t="str">
        <f>"9781462510719"</f>
        <v>9781462510719</v>
      </c>
      <c r="K616" t="s">
        <v>1137</v>
      </c>
      <c r="L616">
        <v>11</v>
      </c>
      <c r="O616" t="s">
        <v>30</v>
      </c>
      <c r="P616" t="s">
        <v>50</v>
      </c>
      <c r="S616" t="s">
        <v>31</v>
      </c>
      <c r="T616" t="s">
        <v>1136</v>
      </c>
      <c r="U616">
        <v>158.19999999999999</v>
      </c>
      <c r="V616" s="3">
        <v>41773</v>
      </c>
    </row>
    <row r="617" spans="1:22" x14ac:dyDescent="0.35">
      <c r="A617" s="1">
        <v>42392.200868055559</v>
      </c>
      <c r="B617" s="2">
        <v>1.8518518518518518E-4</v>
      </c>
      <c r="C617" t="s">
        <v>1107</v>
      </c>
      <c r="D617" t="s">
        <v>23</v>
      </c>
      <c r="E617" t="s">
        <v>24</v>
      </c>
      <c r="F617" t="s">
        <v>1108</v>
      </c>
      <c r="G617">
        <v>1356236</v>
      </c>
      <c r="H617" t="s">
        <v>68</v>
      </c>
      <c r="I617" t="s">
        <v>219</v>
      </c>
      <c r="J617" t="str">
        <f>"9781135059699"</f>
        <v>9781135059699</v>
      </c>
      <c r="K617" t="s">
        <v>1138</v>
      </c>
      <c r="L617">
        <v>8</v>
      </c>
      <c r="O617" t="s">
        <v>30</v>
      </c>
      <c r="P617" t="s">
        <v>50</v>
      </c>
      <c r="S617" t="s">
        <v>31</v>
      </c>
      <c r="T617" t="s">
        <v>1110</v>
      </c>
      <c r="U617">
        <v>155.93700000000001</v>
      </c>
      <c r="V617" s="3">
        <v>41507</v>
      </c>
    </row>
    <row r="618" spans="1:22" x14ac:dyDescent="0.35">
      <c r="A618" s="1">
        <v>42392.170949074076</v>
      </c>
      <c r="B618" s="2">
        <v>1.9212962962962962E-3</v>
      </c>
      <c r="C618" t="s">
        <v>985</v>
      </c>
      <c r="D618" t="s">
        <v>23</v>
      </c>
      <c r="E618" t="s">
        <v>24</v>
      </c>
      <c r="F618" t="s">
        <v>1139</v>
      </c>
      <c r="G618">
        <v>4042975</v>
      </c>
      <c r="H618" t="s">
        <v>26</v>
      </c>
      <c r="I618" t="s">
        <v>247</v>
      </c>
      <c r="J618" t="str">
        <f>"9781118509883"</f>
        <v>9781118509883</v>
      </c>
      <c r="K618" t="s">
        <v>1140</v>
      </c>
      <c r="L618">
        <v>32</v>
      </c>
      <c r="O618" t="s">
        <v>30</v>
      </c>
      <c r="P618" t="s">
        <v>29</v>
      </c>
      <c r="Q618" s="1">
        <v>42390.883136574077</v>
      </c>
      <c r="R618">
        <v>7</v>
      </c>
      <c r="S618" t="s">
        <v>31</v>
      </c>
      <c r="T618" t="s">
        <v>1141</v>
      </c>
      <c r="U618" t="s">
        <v>1142</v>
      </c>
      <c r="V618" s="3">
        <v>42296</v>
      </c>
    </row>
    <row r="619" spans="1:22" x14ac:dyDescent="0.35">
      <c r="A619" s="1">
        <v>42392.114259259259</v>
      </c>
      <c r="B619" s="2">
        <v>2.1064814814814813E-3</v>
      </c>
      <c r="C619" t="s">
        <v>1143</v>
      </c>
      <c r="D619" t="s">
        <v>23</v>
      </c>
      <c r="E619" t="s">
        <v>24</v>
      </c>
      <c r="F619" t="s">
        <v>1144</v>
      </c>
      <c r="G619">
        <v>1887755</v>
      </c>
      <c r="H619" t="s">
        <v>26</v>
      </c>
      <c r="I619" t="s">
        <v>276</v>
      </c>
      <c r="J619" t="str">
        <f>"9781118903834"</f>
        <v>9781118903834</v>
      </c>
      <c r="K619" t="s">
        <v>1145</v>
      </c>
      <c r="L619">
        <v>18</v>
      </c>
      <c r="O619" t="s">
        <v>30</v>
      </c>
      <c r="P619" t="s">
        <v>50</v>
      </c>
      <c r="S619" t="s">
        <v>31</v>
      </c>
      <c r="T619" t="s">
        <v>1146</v>
      </c>
      <c r="U619">
        <v>6.3120229999999999</v>
      </c>
      <c r="V619" s="3">
        <v>41983</v>
      </c>
    </row>
    <row r="620" spans="1:22" x14ac:dyDescent="0.35">
      <c r="A620" s="1">
        <v>42392.080474537041</v>
      </c>
      <c r="B620" s="2">
        <v>2.9976851851851848E-3</v>
      </c>
      <c r="C620" t="s">
        <v>1147</v>
      </c>
      <c r="D620" t="s">
        <v>211</v>
      </c>
      <c r="E620" t="s">
        <v>212</v>
      </c>
      <c r="F620" t="s">
        <v>1148</v>
      </c>
      <c r="G620">
        <v>1582022</v>
      </c>
      <c r="H620" t="s">
        <v>68</v>
      </c>
      <c r="I620" t="s">
        <v>69</v>
      </c>
      <c r="J620" t="str">
        <f>"9781135490980"</f>
        <v>9781135490980</v>
      </c>
      <c r="K620" t="s">
        <v>1149</v>
      </c>
      <c r="L620">
        <v>41</v>
      </c>
      <c r="O620" t="s">
        <v>28</v>
      </c>
      <c r="P620" t="s">
        <v>47</v>
      </c>
      <c r="Q620" s="1">
        <v>42392.080474537041</v>
      </c>
      <c r="R620">
        <v>1</v>
      </c>
      <c r="S620" t="s">
        <v>214</v>
      </c>
      <c r="T620" t="s">
        <v>1150</v>
      </c>
      <c r="U620">
        <v>371.14600000000002</v>
      </c>
      <c r="V620" s="3">
        <v>41624</v>
      </c>
    </row>
    <row r="621" spans="1:22" x14ac:dyDescent="0.35">
      <c r="A621" s="1">
        <v>42392.080474537041</v>
      </c>
      <c r="B621" s="2">
        <v>0</v>
      </c>
      <c r="C621" t="s">
        <v>1147</v>
      </c>
      <c r="D621" t="s">
        <v>211</v>
      </c>
      <c r="E621" t="s">
        <v>212</v>
      </c>
      <c r="F621" t="s">
        <v>1148</v>
      </c>
      <c r="G621">
        <v>1582022</v>
      </c>
      <c r="H621" t="s">
        <v>68</v>
      </c>
      <c r="I621" t="s">
        <v>69</v>
      </c>
      <c r="J621" t="str">
        <f>"9781135490980"</f>
        <v>9781135490980</v>
      </c>
      <c r="L621">
        <v>0</v>
      </c>
      <c r="O621" t="s">
        <v>30</v>
      </c>
      <c r="P621" t="s">
        <v>47</v>
      </c>
      <c r="Q621" s="1">
        <v>42392.080474537041</v>
      </c>
      <c r="R621">
        <v>1</v>
      </c>
      <c r="S621" t="s">
        <v>214</v>
      </c>
      <c r="T621" t="s">
        <v>1150</v>
      </c>
      <c r="U621">
        <v>371.14600000000002</v>
      </c>
      <c r="V621" s="3">
        <v>41624</v>
      </c>
    </row>
    <row r="622" spans="1:22" x14ac:dyDescent="0.35">
      <c r="A622" s="1">
        <v>42392.080069444448</v>
      </c>
      <c r="B622" s="2">
        <v>4.0509259259259258E-4</v>
      </c>
      <c r="C622" t="s">
        <v>1147</v>
      </c>
      <c r="D622" t="s">
        <v>211</v>
      </c>
      <c r="E622" t="s">
        <v>212</v>
      </c>
      <c r="F622" t="s">
        <v>1148</v>
      </c>
      <c r="G622">
        <v>1582022</v>
      </c>
      <c r="H622" t="s">
        <v>68</v>
      </c>
      <c r="I622" t="s">
        <v>69</v>
      </c>
      <c r="J622" t="str">
        <f>"9781135490980"</f>
        <v>9781135490980</v>
      </c>
      <c r="K622" t="s">
        <v>33</v>
      </c>
      <c r="L622">
        <v>3</v>
      </c>
      <c r="O622" t="s">
        <v>30</v>
      </c>
      <c r="P622" t="s">
        <v>50</v>
      </c>
      <c r="S622" t="s">
        <v>214</v>
      </c>
      <c r="T622" t="s">
        <v>1150</v>
      </c>
      <c r="U622">
        <v>371.14600000000002</v>
      </c>
      <c r="V622" s="3">
        <v>41624</v>
      </c>
    </row>
    <row r="623" spans="1:22" x14ac:dyDescent="0.35">
      <c r="A623" s="1">
        <v>42392.067013888889</v>
      </c>
      <c r="B623" s="2">
        <v>2.4155092592592589E-2</v>
      </c>
      <c r="C623" t="s">
        <v>490</v>
      </c>
      <c r="D623" t="s">
        <v>211</v>
      </c>
      <c r="E623" t="s">
        <v>212</v>
      </c>
      <c r="F623" t="s">
        <v>491</v>
      </c>
      <c r="G623">
        <v>768534</v>
      </c>
      <c r="H623" t="s">
        <v>492</v>
      </c>
      <c r="I623" t="s">
        <v>493</v>
      </c>
      <c r="J623" t="str">
        <f>"9781400839704"</f>
        <v>9781400839704</v>
      </c>
      <c r="K623" t="s">
        <v>1151</v>
      </c>
      <c r="L623">
        <v>30</v>
      </c>
      <c r="M623" t="s">
        <v>1152</v>
      </c>
      <c r="O623" t="s">
        <v>30</v>
      </c>
      <c r="P623" t="s">
        <v>42</v>
      </c>
      <c r="S623" t="s">
        <v>214</v>
      </c>
      <c r="T623" t="s">
        <v>495</v>
      </c>
      <c r="U623" t="s">
        <v>496</v>
      </c>
      <c r="V623" s="3">
        <v>40847</v>
      </c>
    </row>
    <row r="624" spans="1:22" x14ac:dyDescent="0.35">
      <c r="A624" s="1">
        <v>42391.956250000003</v>
      </c>
      <c r="B624" s="2">
        <v>2.5462962962962961E-4</v>
      </c>
      <c r="C624" t="s">
        <v>1153</v>
      </c>
      <c r="D624" t="s">
        <v>35</v>
      </c>
      <c r="E624" t="s">
        <v>36</v>
      </c>
      <c r="F624" t="s">
        <v>1154</v>
      </c>
      <c r="G624">
        <v>1220302</v>
      </c>
      <c r="H624" t="s">
        <v>186</v>
      </c>
      <c r="I624" t="s">
        <v>1155</v>
      </c>
      <c r="J624" t="str">
        <f>"9781780641188"</f>
        <v>9781780641188</v>
      </c>
      <c r="K624" t="s">
        <v>1156</v>
      </c>
      <c r="L624">
        <v>10</v>
      </c>
      <c r="O624" t="s">
        <v>30</v>
      </c>
      <c r="P624" t="s">
        <v>29</v>
      </c>
      <c r="Q624" s="1">
        <v>42391.9534375</v>
      </c>
      <c r="R624">
        <v>7</v>
      </c>
      <c r="S624" t="s">
        <v>40</v>
      </c>
      <c r="T624" t="s">
        <v>1157</v>
      </c>
      <c r="U624">
        <v>636.08320000000003</v>
      </c>
      <c r="V624" s="3">
        <v>41275</v>
      </c>
    </row>
    <row r="625" spans="1:22" x14ac:dyDescent="0.35">
      <c r="A625" s="1">
        <v>42391.955729166664</v>
      </c>
      <c r="B625" s="2">
        <v>0</v>
      </c>
      <c r="C625" t="s">
        <v>1153</v>
      </c>
      <c r="D625" t="s">
        <v>35</v>
      </c>
      <c r="E625" t="s">
        <v>36</v>
      </c>
      <c r="F625" t="s">
        <v>1154</v>
      </c>
      <c r="G625">
        <v>1220302</v>
      </c>
      <c r="H625" t="s">
        <v>186</v>
      </c>
      <c r="I625" t="s">
        <v>1155</v>
      </c>
      <c r="J625" t="str">
        <f>"9781780641188"</f>
        <v>9781780641188</v>
      </c>
      <c r="L625">
        <v>0</v>
      </c>
      <c r="O625" t="s">
        <v>28</v>
      </c>
      <c r="P625" t="s">
        <v>29</v>
      </c>
      <c r="Q625" s="1">
        <v>42391.9534375</v>
      </c>
      <c r="R625">
        <v>7</v>
      </c>
      <c r="S625" t="s">
        <v>40</v>
      </c>
      <c r="T625" t="s">
        <v>1157</v>
      </c>
      <c r="U625">
        <v>636.08320000000003</v>
      </c>
      <c r="V625" s="3">
        <v>41275</v>
      </c>
    </row>
    <row r="626" spans="1:22" x14ac:dyDescent="0.35">
      <c r="A626" s="1">
        <v>42391.9534375</v>
      </c>
      <c r="B626" s="2">
        <v>2.1296296296296298E-3</v>
      </c>
      <c r="C626" t="s">
        <v>1153</v>
      </c>
      <c r="D626" t="s">
        <v>35</v>
      </c>
      <c r="E626" t="s">
        <v>36</v>
      </c>
      <c r="F626" t="s">
        <v>1154</v>
      </c>
      <c r="G626">
        <v>1220302</v>
      </c>
      <c r="H626" t="s">
        <v>186</v>
      </c>
      <c r="I626" t="s">
        <v>1155</v>
      </c>
      <c r="J626" t="str">
        <f>"9781780641188"</f>
        <v>9781780641188</v>
      </c>
      <c r="K626" t="s">
        <v>1158</v>
      </c>
      <c r="L626">
        <v>3</v>
      </c>
      <c r="M626" t="s">
        <v>648</v>
      </c>
      <c r="O626" t="s">
        <v>30</v>
      </c>
      <c r="P626" t="s">
        <v>29</v>
      </c>
      <c r="Q626" s="1">
        <v>42391.9534375</v>
      </c>
      <c r="R626">
        <v>7</v>
      </c>
      <c r="S626" t="s">
        <v>40</v>
      </c>
      <c r="T626" t="s">
        <v>1157</v>
      </c>
      <c r="U626">
        <v>636.08320000000003</v>
      </c>
      <c r="V626" s="3">
        <v>41275</v>
      </c>
    </row>
    <row r="627" spans="1:22" x14ac:dyDescent="0.35">
      <c r="A627" s="1">
        <v>42391.953125</v>
      </c>
      <c r="B627" s="2">
        <v>3.1250000000000001E-4</v>
      </c>
      <c r="C627" t="s">
        <v>1153</v>
      </c>
      <c r="D627" t="s">
        <v>35</v>
      </c>
      <c r="E627" t="s">
        <v>36</v>
      </c>
      <c r="F627" t="s">
        <v>1154</v>
      </c>
      <c r="G627">
        <v>1220302</v>
      </c>
      <c r="H627" t="s">
        <v>186</v>
      </c>
      <c r="I627" t="s">
        <v>1155</v>
      </c>
      <c r="J627" t="str">
        <f>"9781780641188"</f>
        <v>9781780641188</v>
      </c>
      <c r="K627" t="s">
        <v>1159</v>
      </c>
      <c r="L627">
        <v>5</v>
      </c>
      <c r="O627" t="s">
        <v>30</v>
      </c>
      <c r="P627" t="s">
        <v>42</v>
      </c>
      <c r="S627" t="s">
        <v>40</v>
      </c>
      <c r="T627" t="s">
        <v>1157</v>
      </c>
      <c r="U627">
        <v>636.08320000000003</v>
      </c>
      <c r="V627" s="3">
        <v>41275</v>
      </c>
    </row>
    <row r="628" spans="1:22" x14ac:dyDescent="0.35">
      <c r="A628" s="1">
        <v>42391.890300925923</v>
      </c>
      <c r="B628" s="2">
        <v>0</v>
      </c>
      <c r="C628" t="s">
        <v>1160</v>
      </c>
      <c r="D628" t="s">
        <v>23</v>
      </c>
      <c r="E628" t="s">
        <v>24</v>
      </c>
      <c r="F628" t="s">
        <v>1161</v>
      </c>
      <c r="G628">
        <v>1710997</v>
      </c>
      <c r="H628" t="s">
        <v>84</v>
      </c>
      <c r="I628" t="s">
        <v>108</v>
      </c>
      <c r="J628" t="str">
        <f>"9780520959224"</f>
        <v>9780520959224</v>
      </c>
      <c r="L628">
        <v>0</v>
      </c>
      <c r="O628" t="s">
        <v>28</v>
      </c>
      <c r="P628" t="s">
        <v>29</v>
      </c>
      <c r="Q628" s="1">
        <v>42391.890300925923</v>
      </c>
      <c r="R628">
        <v>7</v>
      </c>
      <c r="S628" t="s">
        <v>31</v>
      </c>
      <c r="T628" t="s">
        <v>1162</v>
      </c>
      <c r="U628" t="s">
        <v>1163</v>
      </c>
      <c r="V628" s="3">
        <v>42018</v>
      </c>
    </row>
    <row r="629" spans="1:22" x14ac:dyDescent="0.35">
      <c r="A629" s="1">
        <v>42391.890300925923</v>
      </c>
      <c r="B629" s="2">
        <v>0</v>
      </c>
      <c r="C629" t="s">
        <v>1160</v>
      </c>
      <c r="D629" t="s">
        <v>23</v>
      </c>
      <c r="E629" t="s">
        <v>24</v>
      </c>
      <c r="F629" t="s">
        <v>1161</v>
      </c>
      <c r="G629">
        <v>1710997</v>
      </c>
      <c r="H629" t="s">
        <v>84</v>
      </c>
      <c r="I629" t="s">
        <v>108</v>
      </c>
      <c r="J629" t="str">
        <f>"9780520959224"</f>
        <v>9780520959224</v>
      </c>
      <c r="L629">
        <v>0</v>
      </c>
      <c r="O629" t="s">
        <v>30</v>
      </c>
      <c r="P629" t="s">
        <v>29</v>
      </c>
      <c r="Q629" s="1">
        <v>42391.890300925923</v>
      </c>
      <c r="R629">
        <v>7</v>
      </c>
      <c r="S629" t="s">
        <v>31</v>
      </c>
      <c r="T629" t="s">
        <v>1162</v>
      </c>
      <c r="U629" t="s">
        <v>1163</v>
      </c>
      <c r="V629" s="3">
        <v>42018</v>
      </c>
    </row>
    <row r="630" spans="1:22" x14ac:dyDescent="0.35">
      <c r="A630" s="1">
        <v>42391.889884259261</v>
      </c>
      <c r="B630" s="2">
        <v>4.0509259259259258E-4</v>
      </c>
      <c r="C630" t="s">
        <v>1160</v>
      </c>
      <c r="D630" t="s">
        <v>23</v>
      </c>
      <c r="E630" t="s">
        <v>24</v>
      </c>
      <c r="F630" t="s">
        <v>1161</v>
      </c>
      <c r="G630">
        <v>1710997</v>
      </c>
      <c r="H630" t="s">
        <v>84</v>
      </c>
      <c r="I630" t="s">
        <v>108</v>
      </c>
      <c r="J630" t="str">
        <f>"9780520959224"</f>
        <v>9780520959224</v>
      </c>
      <c r="K630" t="s">
        <v>1164</v>
      </c>
      <c r="L630">
        <v>8</v>
      </c>
      <c r="O630" t="s">
        <v>30</v>
      </c>
      <c r="P630" t="s">
        <v>50</v>
      </c>
      <c r="S630" t="s">
        <v>31</v>
      </c>
      <c r="T630" t="s">
        <v>1162</v>
      </c>
      <c r="U630" t="s">
        <v>1163</v>
      </c>
      <c r="V630" s="3">
        <v>42018</v>
      </c>
    </row>
    <row r="631" spans="1:22" x14ac:dyDescent="0.35">
      <c r="A631" s="1">
        <v>42391.860821759263</v>
      </c>
      <c r="B631" s="2">
        <v>2.4305555555555552E-4</v>
      </c>
      <c r="C631" t="s">
        <v>607</v>
      </c>
      <c r="D631" t="s">
        <v>23</v>
      </c>
      <c r="E631" t="s">
        <v>24</v>
      </c>
      <c r="F631" t="s">
        <v>44</v>
      </c>
      <c r="G631">
        <v>2068034</v>
      </c>
      <c r="H631" t="s">
        <v>45</v>
      </c>
      <c r="J631" t="str">
        <f>"9781472416742"</f>
        <v>9781472416742</v>
      </c>
      <c r="K631" t="s">
        <v>1165</v>
      </c>
      <c r="L631">
        <v>18</v>
      </c>
      <c r="O631" t="s">
        <v>30</v>
      </c>
      <c r="P631" t="s">
        <v>47</v>
      </c>
      <c r="Q631" s="1">
        <v>42391.843923611108</v>
      </c>
      <c r="R631">
        <v>1</v>
      </c>
      <c r="S631" t="s">
        <v>31</v>
      </c>
      <c r="U631" t="s">
        <v>48</v>
      </c>
      <c r="V631" s="3">
        <v>42244</v>
      </c>
    </row>
    <row r="632" spans="1:22" x14ac:dyDescent="0.35">
      <c r="A632" s="1">
        <v>42391.851527777777</v>
      </c>
      <c r="B632" s="2">
        <v>7.3842592592592597E-3</v>
      </c>
      <c r="C632" t="s">
        <v>607</v>
      </c>
      <c r="D632" t="s">
        <v>23</v>
      </c>
      <c r="E632" t="s">
        <v>24</v>
      </c>
      <c r="F632" t="s">
        <v>44</v>
      </c>
      <c r="G632">
        <v>2068034</v>
      </c>
      <c r="H632" t="s">
        <v>45</v>
      </c>
      <c r="J632" t="str">
        <f>"9781472416742"</f>
        <v>9781472416742</v>
      </c>
      <c r="K632" t="s">
        <v>1166</v>
      </c>
      <c r="L632">
        <v>32</v>
      </c>
      <c r="O632" t="s">
        <v>30</v>
      </c>
      <c r="P632" t="s">
        <v>47</v>
      </c>
      <c r="Q632" s="1">
        <v>42391.843923611108</v>
      </c>
      <c r="R632">
        <v>1</v>
      </c>
      <c r="S632" t="s">
        <v>31</v>
      </c>
      <c r="U632" t="s">
        <v>48</v>
      </c>
      <c r="V632" s="3">
        <v>42244</v>
      </c>
    </row>
    <row r="633" spans="1:22" x14ac:dyDescent="0.35">
      <c r="A633" s="1">
        <v>42391.843923611108</v>
      </c>
      <c r="B633" s="2">
        <v>7.5462962962962966E-3</v>
      </c>
      <c r="C633" t="s">
        <v>607</v>
      </c>
      <c r="D633" t="s">
        <v>23</v>
      </c>
      <c r="E633" t="s">
        <v>24</v>
      </c>
      <c r="F633" t="s">
        <v>44</v>
      </c>
      <c r="G633">
        <v>2068034</v>
      </c>
      <c r="H633" t="s">
        <v>45</v>
      </c>
      <c r="J633" t="str">
        <f>"9781472416742"</f>
        <v>9781472416742</v>
      </c>
      <c r="K633" t="s">
        <v>1167</v>
      </c>
      <c r="L633">
        <v>53</v>
      </c>
      <c r="O633" t="s">
        <v>30</v>
      </c>
      <c r="P633" t="s">
        <v>47</v>
      </c>
      <c r="Q633" s="1">
        <v>42391.843923611108</v>
      </c>
      <c r="R633">
        <v>1</v>
      </c>
      <c r="S633" t="s">
        <v>31</v>
      </c>
      <c r="U633" t="s">
        <v>48</v>
      </c>
      <c r="V633" s="3">
        <v>42244</v>
      </c>
    </row>
    <row r="634" spans="1:22" x14ac:dyDescent="0.35">
      <c r="A634" s="1">
        <v>42391.840289351851</v>
      </c>
      <c r="B634" s="2">
        <v>3.6342592592592594E-3</v>
      </c>
      <c r="C634" t="s">
        <v>607</v>
      </c>
      <c r="D634" t="s">
        <v>23</v>
      </c>
      <c r="E634" t="s">
        <v>24</v>
      </c>
      <c r="F634" t="s">
        <v>44</v>
      </c>
      <c r="G634">
        <v>2068034</v>
      </c>
      <c r="H634" t="s">
        <v>45</v>
      </c>
      <c r="J634" t="str">
        <f>"9781472416742"</f>
        <v>9781472416742</v>
      </c>
      <c r="K634" t="s">
        <v>1168</v>
      </c>
      <c r="L634">
        <v>47</v>
      </c>
      <c r="O634" t="s">
        <v>30</v>
      </c>
      <c r="P634" t="s">
        <v>50</v>
      </c>
      <c r="S634" t="s">
        <v>31</v>
      </c>
      <c r="U634" t="s">
        <v>48</v>
      </c>
      <c r="V634" s="3">
        <v>42244</v>
      </c>
    </row>
    <row r="635" spans="1:22" x14ac:dyDescent="0.35">
      <c r="A635" s="1">
        <v>42391.835405092592</v>
      </c>
      <c r="B635" s="2">
        <v>6.134259259259259E-4</v>
      </c>
      <c r="C635" t="s">
        <v>1169</v>
      </c>
      <c r="D635" t="s">
        <v>23</v>
      </c>
      <c r="E635" t="s">
        <v>24</v>
      </c>
      <c r="F635" t="s">
        <v>90</v>
      </c>
      <c r="G635">
        <v>1683360</v>
      </c>
      <c r="H635" t="s">
        <v>91</v>
      </c>
      <c r="I635" t="s">
        <v>92</v>
      </c>
      <c r="J635" t="str">
        <f>"9781462516032"</f>
        <v>9781462516032</v>
      </c>
      <c r="K635" t="s">
        <v>1170</v>
      </c>
      <c r="L635">
        <v>8</v>
      </c>
      <c r="O635" t="s">
        <v>30</v>
      </c>
      <c r="P635" t="s">
        <v>42</v>
      </c>
      <c r="S635" t="s">
        <v>31</v>
      </c>
      <c r="T635" t="s">
        <v>94</v>
      </c>
      <c r="U635">
        <v>1.42</v>
      </c>
      <c r="V635" s="3">
        <v>41823</v>
      </c>
    </row>
    <row r="636" spans="1:22" x14ac:dyDescent="0.35">
      <c r="A636" s="1">
        <v>42391.825949074075</v>
      </c>
      <c r="B636" s="2">
        <v>0</v>
      </c>
      <c r="C636" t="s">
        <v>1171</v>
      </c>
      <c r="D636" t="s">
        <v>146</v>
      </c>
      <c r="E636" t="s">
        <v>147</v>
      </c>
      <c r="F636" t="s">
        <v>1172</v>
      </c>
      <c r="G636">
        <v>817445</v>
      </c>
      <c r="H636" t="s">
        <v>26</v>
      </c>
      <c r="I636" t="s">
        <v>97</v>
      </c>
      <c r="J636" t="str">
        <f>"9781118171264"</f>
        <v>9781118171264</v>
      </c>
      <c r="L636">
        <v>0</v>
      </c>
      <c r="O636" t="s">
        <v>28</v>
      </c>
      <c r="P636" t="s">
        <v>29</v>
      </c>
      <c r="Q636" s="1">
        <v>42391.824745370373</v>
      </c>
      <c r="R636">
        <v>7</v>
      </c>
      <c r="S636" t="s">
        <v>528</v>
      </c>
      <c r="T636" t="s">
        <v>1173</v>
      </c>
      <c r="U636" t="s">
        <v>1174</v>
      </c>
      <c r="V636" s="3">
        <v>40907</v>
      </c>
    </row>
    <row r="637" spans="1:22" x14ac:dyDescent="0.35">
      <c r="A637" s="1">
        <v>42391.825740740744</v>
      </c>
      <c r="B637" s="2">
        <v>2.3148148148148147E-5</v>
      </c>
      <c r="C637" t="s">
        <v>1171</v>
      </c>
      <c r="D637" t="s">
        <v>146</v>
      </c>
      <c r="E637" t="s">
        <v>147</v>
      </c>
      <c r="F637" t="s">
        <v>1172</v>
      </c>
      <c r="G637">
        <v>817445</v>
      </c>
      <c r="H637" t="s">
        <v>26</v>
      </c>
      <c r="I637" t="s">
        <v>97</v>
      </c>
      <c r="J637" t="str">
        <f>"9781118171264"</f>
        <v>9781118171264</v>
      </c>
      <c r="K637" t="s">
        <v>33</v>
      </c>
      <c r="L637">
        <v>3</v>
      </c>
      <c r="O637" t="s">
        <v>30</v>
      </c>
      <c r="P637" t="s">
        <v>29</v>
      </c>
      <c r="Q637" s="1">
        <v>42391.824745370373</v>
      </c>
      <c r="R637">
        <v>7</v>
      </c>
      <c r="S637" t="s">
        <v>528</v>
      </c>
      <c r="T637" t="s">
        <v>1173</v>
      </c>
      <c r="U637" t="s">
        <v>1174</v>
      </c>
      <c r="V637" s="3">
        <v>40907</v>
      </c>
    </row>
    <row r="638" spans="1:22" x14ac:dyDescent="0.35">
      <c r="A638" s="1">
        <v>42391.824745370373</v>
      </c>
      <c r="B638" s="2">
        <v>0</v>
      </c>
      <c r="C638" t="s">
        <v>1171</v>
      </c>
      <c r="D638" t="s">
        <v>146</v>
      </c>
      <c r="E638" t="s">
        <v>147</v>
      </c>
      <c r="F638" t="s">
        <v>1172</v>
      </c>
      <c r="G638">
        <v>817445</v>
      </c>
      <c r="H638" t="s">
        <v>26</v>
      </c>
      <c r="I638" t="s">
        <v>97</v>
      </c>
      <c r="J638" t="str">
        <f>"9781118171264"</f>
        <v>9781118171264</v>
      </c>
      <c r="K638" t="s">
        <v>224</v>
      </c>
      <c r="L638">
        <v>1</v>
      </c>
      <c r="O638" t="s">
        <v>30</v>
      </c>
      <c r="P638" t="s">
        <v>29</v>
      </c>
      <c r="Q638" s="1">
        <v>42391.824745370373</v>
      </c>
      <c r="R638">
        <v>7</v>
      </c>
      <c r="S638" t="s">
        <v>528</v>
      </c>
      <c r="T638" t="s">
        <v>1173</v>
      </c>
      <c r="U638" t="s">
        <v>1174</v>
      </c>
      <c r="V638" s="3">
        <v>40907</v>
      </c>
    </row>
    <row r="639" spans="1:22" x14ac:dyDescent="0.35">
      <c r="A639" s="1">
        <v>42391.810682870368</v>
      </c>
      <c r="B639" s="2">
        <v>1.40625E-2</v>
      </c>
      <c r="C639" t="s">
        <v>1171</v>
      </c>
      <c r="D639" t="s">
        <v>146</v>
      </c>
      <c r="E639" t="s">
        <v>147</v>
      </c>
      <c r="F639" t="s">
        <v>1172</v>
      </c>
      <c r="G639">
        <v>817445</v>
      </c>
      <c r="H639" t="s">
        <v>26</v>
      </c>
      <c r="I639" t="s">
        <v>97</v>
      </c>
      <c r="J639" t="str">
        <f>"9781118171264"</f>
        <v>9781118171264</v>
      </c>
      <c r="K639" t="s">
        <v>355</v>
      </c>
      <c r="L639">
        <v>8</v>
      </c>
      <c r="O639" t="s">
        <v>30</v>
      </c>
      <c r="P639" t="s">
        <v>42</v>
      </c>
      <c r="S639" t="s">
        <v>528</v>
      </c>
      <c r="T639" t="s">
        <v>1173</v>
      </c>
      <c r="U639" t="s">
        <v>1174</v>
      </c>
      <c r="V639" s="3">
        <v>40907</v>
      </c>
    </row>
    <row r="640" spans="1:22" x14ac:dyDescent="0.35">
      <c r="A640" s="1">
        <v>42391.80027777778</v>
      </c>
      <c r="B640" s="2">
        <v>3.3564814814814812E-4</v>
      </c>
      <c r="C640" t="s">
        <v>1098</v>
      </c>
      <c r="D640" t="s">
        <v>360</v>
      </c>
      <c r="E640" t="s">
        <v>361</v>
      </c>
      <c r="F640" t="s">
        <v>389</v>
      </c>
      <c r="G640">
        <v>822062</v>
      </c>
      <c r="H640" t="s">
        <v>26</v>
      </c>
      <c r="I640" t="s">
        <v>390</v>
      </c>
      <c r="J640" t="str">
        <f>"9780857083272"</f>
        <v>9780857083272</v>
      </c>
      <c r="K640" t="s">
        <v>1175</v>
      </c>
      <c r="L640">
        <v>8</v>
      </c>
      <c r="O640" t="s">
        <v>30</v>
      </c>
      <c r="P640" t="s">
        <v>42</v>
      </c>
      <c r="S640" t="s">
        <v>363</v>
      </c>
      <c r="T640" t="s">
        <v>392</v>
      </c>
      <c r="U640" t="s">
        <v>393</v>
      </c>
      <c r="V640" s="3">
        <v>41025</v>
      </c>
    </row>
    <row r="641" spans="1:22" x14ac:dyDescent="0.35">
      <c r="A641" s="1">
        <v>42391.764050925929</v>
      </c>
      <c r="B641" s="2">
        <v>4.0277777777777777E-3</v>
      </c>
      <c r="C641" t="s">
        <v>471</v>
      </c>
      <c r="D641" t="s">
        <v>211</v>
      </c>
      <c r="E641" t="s">
        <v>212</v>
      </c>
      <c r="F641" t="s">
        <v>497</v>
      </c>
      <c r="G641">
        <v>1986951</v>
      </c>
      <c r="H641" t="s">
        <v>26</v>
      </c>
      <c r="I641" t="s">
        <v>97</v>
      </c>
      <c r="J641" t="str">
        <f>"9781119130468"</f>
        <v>9781119130468</v>
      </c>
      <c r="K641" t="s">
        <v>1176</v>
      </c>
      <c r="L641">
        <v>11</v>
      </c>
      <c r="O641" t="s">
        <v>30</v>
      </c>
      <c r="P641" t="s">
        <v>29</v>
      </c>
      <c r="Q641" s="1">
        <v>42387.644108796296</v>
      </c>
      <c r="R641">
        <v>7</v>
      </c>
      <c r="S641" t="s">
        <v>214</v>
      </c>
      <c r="T641" t="s">
        <v>500</v>
      </c>
      <c r="U641">
        <v>657.07600000000002</v>
      </c>
      <c r="V641" s="3">
        <v>42143</v>
      </c>
    </row>
    <row r="642" spans="1:22" x14ac:dyDescent="0.35">
      <c r="A642" s="1">
        <v>42391.763124999998</v>
      </c>
      <c r="B642" s="2">
        <v>4.6296296296296294E-5</v>
      </c>
      <c r="C642" t="s">
        <v>471</v>
      </c>
      <c r="D642" t="s">
        <v>211</v>
      </c>
      <c r="E642" t="s">
        <v>212</v>
      </c>
      <c r="F642" t="s">
        <v>1177</v>
      </c>
      <c r="G642">
        <v>4206589</v>
      </c>
      <c r="H642" t="s">
        <v>26</v>
      </c>
      <c r="J642" t="str">
        <f>"9781119256595"</f>
        <v>9781119256595</v>
      </c>
      <c r="K642" t="s">
        <v>33</v>
      </c>
      <c r="L642">
        <v>3</v>
      </c>
      <c r="O642" t="s">
        <v>30</v>
      </c>
      <c r="P642" t="s">
        <v>42</v>
      </c>
      <c r="S642" t="s">
        <v>214</v>
      </c>
      <c r="V642" s="3">
        <v>42352</v>
      </c>
    </row>
    <row r="643" spans="1:22" x14ac:dyDescent="0.35">
      <c r="A643" s="1">
        <v>42391.760706018518</v>
      </c>
      <c r="B643" s="2">
        <v>1.9444444444444442E-3</v>
      </c>
      <c r="C643" t="s">
        <v>471</v>
      </c>
      <c r="D643" t="s">
        <v>211</v>
      </c>
      <c r="E643" t="s">
        <v>212</v>
      </c>
      <c r="F643" t="s">
        <v>1178</v>
      </c>
      <c r="G643">
        <v>4185085</v>
      </c>
      <c r="H643" t="s">
        <v>26</v>
      </c>
      <c r="J643" t="str">
        <f>"9781119238782"</f>
        <v>9781119238782</v>
      </c>
      <c r="K643" t="s">
        <v>1179</v>
      </c>
      <c r="L643">
        <v>30</v>
      </c>
      <c r="O643" t="s">
        <v>30</v>
      </c>
      <c r="P643" t="s">
        <v>50</v>
      </c>
      <c r="S643" t="s">
        <v>214</v>
      </c>
      <c r="V643" s="3">
        <v>42338</v>
      </c>
    </row>
    <row r="644" spans="1:22" x14ac:dyDescent="0.35">
      <c r="A644" s="1">
        <v>42391.759097222224</v>
      </c>
      <c r="B644" s="2">
        <v>6.8287037037037025E-4</v>
      </c>
      <c r="C644" t="s">
        <v>471</v>
      </c>
      <c r="D644" t="s">
        <v>211</v>
      </c>
      <c r="E644" t="s">
        <v>212</v>
      </c>
      <c r="F644" t="s">
        <v>1180</v>
      </c>
      <c r="G644">
        <v>4206576</v>
      </c>
      <c r="H644" t="s">
        <v>26</v>
      </c>
      <c r="J644" t="str">
        <f>"9781119240907"</f>
        <v>9781119240907</v>
      </c>
      <c r="K644" t="s">
        <v>1181</v>
      </c>
      <c r="L644">
        <v>15</v>
      </c>
      <c r="O644" t="s">
        <v>30</v>
      </c>
      <c r="P644" t="s">
        <v>50</v>
      </c>
      <c r="S644" t="s">
        <v>214</v>
      </c>
      <c r="V644" s="3">
        <v>42354</v>
      </c>
    </row>
    <row r="645" spans="1:22" x14ac:dyDescent="0.35">
      <c r="A645" s="1">
        <v>42391.757881944446</v>
      </c>
      <c r="B645" s="2">
        <v>6.9444444444444444E-5</v>
      </c>
      <c r="C645" t="s">
        <v>471</v>
      </c>
      <c r="D645" t="s">
        <v>211</v>
      </c>
      <c r="E645" t="s">
        <v>212</v>
      </c>
      <c r="F645" t="s">
        <v>1177</v>
      </c>
      <c r="G645">
        <v>4206589</v>
      </c>
      <c r="H645" t="s">
        <v>26</v>
      </c>
      <c r="J645" t="str">
        <f>"9781119256595"</f>
        <v>9781119256595</v>
      </c>
      <c r="K645" t="s">
        <v>33</v>
      </c>
      <c r="L645">
        <v>3</v>
      </c>
      <c r="O645" t="s">
        <v>30</v>
      </c>
      <c r="P645" t="s">
        <v>42</v>
      </c>
      <c r="S645" t="s">
        <v>214</v>
      </c>
      <c r="V645" s="3">
        <v>42352</v>
      </c>
    </row>
    <row r="646" spans="1:22" x14ac:dyDescent="0.35">
      <c r="A646" s="1">
        <v>42391.75744212963</v>
      </c>
      <c r="B646" s="2">
        <v>3.4722222222222222E-5</v>
      </c>
      <c r="C646" t="s">
        <v>471</v>
      </c>
      <c r="D646" t="s">
        <v>211</v>
      </c>
      <c r="E646" t="s">
        <v>212</v>
      </c>
      <c r="F646" t="s">
        <v>1182</v>
      </c>
      <c r="G646">
        <v>1557279</v>
      </c>
      <c r="H646" t="s">
        <v>26</v>
      </c>
      <c r="I646" t="s">
        <v>97</v>
      </c>
      <c r="J646" t="str">
        <f>"9781118863664"</f>
        <v>9781118863664</v>
      </c>
      <c r="K646" t="s">
        <v>105</v>
      </c>
      <c r="L646">
        <v>1</v>
      </c>
      <c r="O646" t="s">
        <v>30</v>
      </c>
      <c r="P646" t="s">
        <v>42</v>
      </c>
      <c r="S646" t="s">
        <v>214</v>
      </c>
      <c r="T646" t="s">
        <v>1183</v>
      </c>
      <c r="U646">
        <v>657.37800000000004</v>
      </c>
      <c r="V646" s="3">
        <v>41585</v>
      </c>
    </row>
    <row r="647" spans="1:22" x14ac:dyDescent="0.35">
      <c r="A647" s="1">
        <v>42391.739745370367</v>
      </c>
      <c r="B647" s="2">
        <v>5.138888888888889E-3</v>
      </c>
      <c r="C647" t="s">
        <v>1184</v>
      </c>
      <c r="D647" t="s">
        <v>23</v>
      </c>
      <c r="E647" t="s">
        <v>24</v>
      </c>
      <c r="F647" t="s">
        <v>1086</v>
      </c>
      <c r="G647">
        <v>1184135</v>
      </c>
      <c r="H647" t="s">
        <v>26</v>
      </c>
      <c r="I647" t="s">
        <v>348</v>
      </c>
      <c r="J647" t="str">
        <f>"9780745659671"</f>
        <v>9780745659671</v>
      </c>
      <c r="K647" t="s">
        <v>1185</v>
      </c>
      <c r="L647">
        <v>2</v>
      </c>
      <c r="O647" t="s">
        <v>30</v>
      </c>
      <c r="P647" t="s">
        <v>47</v>
      </c>
      <c r="Q647" s="1">
        <v>42391.739745370367</v>
      </c>
      <c r="R647">
        <v>1</v>
      </c>
      <c r="S647" t="s">
        <v>31</v>
      </c>
      <c r="T647" t="s">
        <v>1087</v>
      </c>
      <c r="U647">
        <v>320.54000000000002</v>
      </c>
      <c r="V647" s="3">
        <v>41390</v>
      </c>
    </row>
    <row r="648" spans="1:22" x14ac:dyDescent="0.35">
      <c r="A648" s="1">
        <v>42391.734918981485</v>
      </c>
      <c r="B648" s="2">
        <v>4.8148148148148152E-3</v>
      </c>
      <c r="C648" t="s">
        <v>1184</v>
      </c>
      <c r="D648" t="s">
        <v>23</v>
      </c>
      <c r="E648" t="s">
        <v>24</v>
      </c>
      <c r="F648" t="s">
        <v>1086</v>
      </c>
      <c r="G648">
        <v>1184135</v>
      </c>
      <c r="H648" t="s">
        <v>26</v>
      </c>
      <c r="I648" t="s">
        <v>348</v>
      </c>
      <c r="J648" t="str">
        <f>"9780745659671"</f>
        <v>9780745659671</v>
      </c>
      <c r="K648" t="s">
        <v>1186</v>
      </c>
      <c r="L648">
        <v>12</v>
      </c>
      <c r="O648" t="s">
        <v>30</v>
      </c>
      <c r="P648" t="s">
        <v>50</v>
      </c>
      <c r="S648" t="s">
        <v>31</v>
      </c>
      <c r="T648" t="s">
        <v>1087</v>
      </c>
      <c r="U648">
        <v>320.54000000000002</v>
      </c>
      <c r="V648" s="3">
        <v>41390</v>
      </c>
    </row>
    <row r="649" spans="1:22" x14ac:dyDescent="0.35">
      <c r="A649" s="1">
        <v>42391.733831018515</v>
      </c>
      <c r="B649" s="2">
        <v>7.9861111111111105E-4</v>
      </c>
      <c r="C649" t="s">
        <v>106</v>
      </c>
      <c r="D649" t="s">
        <v>23</v>
      </c>
      <c r="E649" t="s">
        <v>24</v>
      </c>
      <c r="F649" t="s">
        <v>1187</v>
      </c>
      <c r="G649">
        <v>1344537</v>
      </c>
      <c r="H649" t="s">
        <v>68</v>
      </c>
      <c r="I649" t="s">
        <v>120</v>
      </c>
      <c r="J649" t="str">
        <f>"9781135089559"</f>
        <v>9781135089559</v>
      </c>
      <c r="K649" t="s">
        <v>1188</v>
      </c>
      <c r="L649">
        <v>21</v>
      </c>
      <c r="O649" t="s">
        <v>30</v>
      </c>
      <c r="P649" t="s">
        <v>50</v>
      </c>
      <c r="S649" t="s">
        <v>31</v>
      </c>
      <c r="T649" t="s">
        <v>1189</v>
      </c>
      <c r="U649">
        <v>363.2094170904</v>
      </c>
      <c r="V649" s="3">
        <v>41501</v>
      </c>
    </row>
    <row r="650" spans="1:22" x14ac:dyDescent="0.35">
      <c r="A650" s="1">
        <v>42391.721666666665</v>
      </c>
      <c r="B650" s="2">
        <v>2.0833333333333335E-4</v>
      </c>
      <c r="C650" t="s">
        <v>1190</v>
      </c>
      <c r="D650" t="s">
        <v>261</v>
      </c>
      <c r="E650" t="s">
        <v>262</v>
      </c>
      <c r="F650" t="s">
        <v>1191</v>
      </c>
      <c r="G650">
        <v>1579792</v>
      </c>
      <c r="H650" t="s">
        <v>68</v>
      </c>
      <c r="I650" t="s">
        <v>297</v>
      </c>
      <c r="J650" t="str">
        <f>"9781317931676"</f>
        <v>9781317931676</v>
      </c>
      <c r="K650" t="s">
        <v>1192</v>
      </c>
      <c r="L650">
        <v>7</v>
      </c>
      <c r="M650" t="s">
        <v>258</v>
      </c>
      <c r="O650" t="s">
        <v>30</v>
      </c>
      <c r="P650" t="s">
        <v>47</v>
      </c>
      <c r="Q650" s="1">
        <v>42391.721666666665</v>
      </c>
      <c r="R650">
        <v>1</v>
      </c>
      <c r="S650" t="s">
        <v>264</v>
      </c>
      <c r="T650" t="s">
        <v>1193</v>
      </c>
      <c r="U650">
        <v>519.5</v>
      </c>
      <c r="V650" s="3">
        <v>41621</v>
      </c>
    </row>
    <row r="651" spans="1:22" x14ac:dyDescent="0.35">
      <c r="A651" s="1">
        <v>42391.71974537037</v>
      </c>
      <c r="B651" s="2">
        <v>4.5138888888888892E-4</v>
      </c>
      <c r="C651" t="s">
        <v>1194</v>
      </c>
      <c r="D651" t="s">
        <v>23</v>
      </c>
      <c r="E651" t="s">
        <v>24</v>
      </c>
      <c r="F651" t="s">
        <v>840</v>
      </c>
      <c r="G651">
        <v>1166311</v>
      </c>
      <c r="H651" t="s">
        <v>26</v>
      </c>
      <c r="I651" t="s">
        <v>841</v>
      </c>
      <c r="J651" t="str">
        <f>"9781118525616"</f>
        <v>9781118525616</v>
      </c>
      <c r="K651" t="s">
        <v>1195</v>
      </c>
      <c r="L651">
        <v>9</v>
      </c>
      <c r="O651" t="s">
        <v>30</v>
      </c>
      <c r="P651" t="s">
        <v>42</v>
      </c>
      <c r="S651" t="s">
        <v>31</v>
      </c>
      <c r="T651" t="s">
        <v>842</v>
      </c>
      <c r="U651">
        <v>355.00700000000001</v>
      </c>
      <c r="V651" s="3">
        <v>41366</v>
      </c>
    </row>
    <row r="652" spans="1:22" x14ac:dyDescent="0.35">
      <c r="A652" s="1">
        <v>42391.718171296299</v>
      </c>
      <c r="B652" s="2">
        <v>3.4953703703703705E-3</v>
      </c>
      <c r="C652" t="s">
        <v>1190</v>
      </c>
      <c r="D652" t="s">
        <v>261</v>
      </c>
      <c r="E652" t="s">
        <v>262</v>
      </c>
      <c r="F652" t="s">
        <v>1191</v>
      </c>
      <c r="G652">
        <v>1579792</v>
      </c>
      <c r="H652" t="s">
        <v>68</v>
      </c>
      <c r="I652" t="s">
        <v>297</v>
      </c>
      <c r="J652" t="str">
        <f>"9781317931676"</f>
        <v>9781317931676</v>
      </c>
      <c r="K652" t="s">
        <v>867</v>
      </c>
      <c r="L652">
        <v>10</v>
      </c>
      <c r="O652" t="s">
        <v>30</v>
      </c>
      <c r="P652" t="s">
        <v>50</v>
      </c>
      <c r="S652" t="s">
        <v>264</v>
      </c>
      <c r="T652" t="s">
        <v>1193</v>
      </c>
      <c r="U652">
        <v>519.5</v>
      </c>
      <c r="V652" s="3">
        <v>41621</v>
      </c>
    </row>
    <row r="653" spans="1:22" x14ac:dyDescent="0.35">
      <c r="A653" s="1">
        <v>42391.688483796293</v>
      </c>
      <c r="B653" s="2">
        <v>2.5462962962962961E-4</v>
      </c>
      <c r="C653" t="s">
        <v>106</v>
      </c>
      <c r="D653" t="s">
        <v>23</v>
      </c>
      <c r="E653" t="s">
        <v>24</v>
      </c>
      <c r="F653" t="s">
        <v>1196</v>
      </c>
      <c r="G653">
        <v>1582003</v>
      </c>
      <c r="H653" t="s">
        <v>68</v>
      </c>
      <c r="I653" t="s">
        <v>219</v>
      </c>
      <c r="J653" t="str">
        <f>"9781317710004"</f>
        <v>9781317710004</v>
      </c>
      <c r="K653" t="s">
        <v>1197</v>
      </c>
      <c r="L653">
        <v>3</v>
      </c>
      <c r="O653" t="s">
        <v>30</v>
      </c>
      <c r="P653" t="s">
        <v>50</v>
      </c>
      <c r="S653" t="s">
        <v>31</v>
      </c>
      <c r="T653" t="s">
        <v>1198</v>
      </c>
      <c r="U653">
        <v>152.4</v>
      </c>
      <c r="V653" s="3">
        <v>41624</v>
      </c>
    </row>
    <row r="654" spans="1:22" x14ac:dyDescent="0.35">
      <c r="A654" s="1">
        <v>42391.677789351852</v>
      </c>
      <c r="B654" s="2">
        <v>5.8333333333333336E-3</v>
      </c>
      <c r="C654" t="s">
        <v>1199</v>
      </c>
      <c r="D654" t="s">
        <v>623</v>
      </c>
      <c r="E654" t="s">
        <v>624</v>
      </c>
      <c r="F654" t="s">
        <v>1200</v>
      </c>
      <c r="G654">
        <v>995746</v>
      </c>
      <c r="H654" t="s">
        <v>26</v>
      </c>
      <c r="I654" t="s">
        <v>386</v>
      </c>
      <c r="J654" t="str">
        <f>"9781118233931"</f>
        <v>9781118233931</v>
      </c>
      <c r="K654" t="s">
        <v>1201</v>
      </c>
      <c r="L654">
        <v>49</v>
      </c>
      <c r="O654" t="s">
        <v>30</v>
      </c>
      <c r="P654" t="s">
        <v>42</v>
      </c>
      <c r="S654" t="s">
        <v>627</v>
      </c>
      <c r="T654" t="s">
        <v>1202</v>
      </c>
      <c r="U654">
        <v>362.20922000000002</v>
      </c>
      <c r="V654" s="3">
        <v>41127</v>
      </c>
    </row>
    <row r="655" spans="1:22" x14ac:dyDescent="0.35">
      <c r="A655" s="1">
        <v>42391.676111111112</v>
      </c>
      <c r="B655" s="2">
        <v>1.0995370370370371E-3</v>
      </c>
      <c r="C655" t="s">
        <v>1199</v>
      </c>
      <c r="D655" t="s">
        <v>623</v>
      </c>
      <c r="E655" t="s">
        <v>624</v>
      </c>
      <c r="F655" t="s">
        <v>515</v>
      </c>
      <c r="G655">
        <v>1757960</v>
      </c>
      <c r="H655" t="s">
        <v>26</v>
      </c>
      <c r="I655" t="s">
        <v>247</v>
      </c>
      <c r="J655" t="str">
        <f>"9781118780770"</f>
        <v>9781118780770</v>
      </c>
      <c r="K655" t="s">
        <v>1203</v>
      </c>
      <c r="L655">
        <v>17</v>
      </c>
      <c r="O655" t="s">
        <v>30</v>
      </c>
      <c r="P655" t="s">
        <v>42</v>
      </c>
      <c r="S655" t="s">
        <v>627</v>
      </c>
      <c r="T655" t="s">
        <v>517</v>
      </c>
      <c r="U655" t="s">
        <v>518</v>
      </c>
      <c r="V655" s="3">
        <v>41850</v>
      </c>
    </row>
    <row r="656" spans="1:22" x14ac:dyDescent="0.35">
      <c r="A656" s="1">
        <v>42391.643449074072</v>
      </c>
      <c r="B656" s="2">
        <v>4.9421296296296288E-3</v>
      </c>
      <c r="C656" t="s">
        <v>1204</v>
      </c>
      <c r="D656" t="s">
        <v>23</v>
      </c>
      <c r="E656" t="s">
        <v>24</v>
      </c>
      <c r="F656" t="s">
        <v>1205</v>
      </c>
      <c r="G656">
        <v>1481109</v>
      </c>
      <c r="H656" t="s">
        <v>139</v>
      </c>
      <c r="I656" t="s">
        <v>426</v>
      </c>
      <c r="J656" t="str">
        <f>"9780814707968"</f>
        <v>9780814707968</v>
      </c>
      <c r="K656" t="s">
        <v>1206</v>
      </c>
      <c r="L656">
        <v>37</v>
      </c>
      <c r="O656" t="s">
        <v>30</v>
      </c>
      <c r="P656" t="s">
        <v>47</v>
      </c>
      <c r="Q656" s="1">
        <v>42391.643449074072</v>
      </c>
      <c r="R656">
        <v>1</v>
      </c>
      <c r="S656" t="s">
        <v>31</v>
      </c>
      <c r="T656" t="s">
        <v>1207</v>
      </c>
      <c r="U656">
        <v>297.08663999999999</v>
      </c>
      <c r="V656" s="3">
        <v>41614</v>
      </c>
    </row>
    <row r="657" spans="1:22" x14ac:dyDescent="0.35">
      <c r="A657" s="1">
        <v>42391.639641203707</v>
      </c>
      <c r="B657" s="2">
        <v>3.8078703703703707E-3</v>
      </c>
      <c r="C657" t="s">
        <v>1204</v>
      </c>
      <c r="D657" t="s">
        <v>23</v>
      </c>
      <c r="E657" t="s">
        <v>24</v>
      </c>
      <c r="F657" t="s">
        <v>1205</v>
      </c>
      <c r="G657">
        <v>1481109</v>
      </c>
      <c r="H657" t="s">
        <v>139</v>
      </c>
      <c r="I657" t="s">
        <v>426</v>
      </c>
      <c r="J657" t="str">
        <f>"9780814707968"</f>
        <v>9780814707968</v>
      </c>
      <c r="K657" t="s">
        <v>339</v>
      </c>
      <c r="L657">
        <v>18</v>
      </c>
      <c r="O657" t="s">
        <v>30</v>
      </c>
      <c r="P657" t="s">
        <v>50</v>
      </c>
      <c r="S657" t="s">
        <v>31</v>
      </c>
      <c r="T657" t="s">
        <v>1207</v>
      </c>
      <c r="U657">
        <v>297.08663999999999</v>
      </c>
      <c r="V657" s="3">
        <v>41614</v>
      </c>
    </row>
    <row r="658" spans="1:22" x14ac:dyDescent="0.35">
      <c r="A658" s="1">
        <v>42391.63784722222</v>
      </c>
      <c r="B658" s="2">
        <v>6.9791666666666669E-2</v>
      </c>
      <c r="C658" t="s">
        <v>471</v>
      </c>
      <c r="D658" t="s">
        <v>211</v>
      </c>
      <c r="E658" t="s">
        <v>212</v>
      </c>
      <c r="F658" t="s">
        <v>497</v>
      </c>
      <c r="G658">
        <v>1986951</v>
      </c>
      <c r="H658" t="s">
        <v>26</v>
      </c>
      <c r="I658" t="s">
        <v>97</v>
      </c>
      <c r="J658" t="str">
        <f>"9781119130468"</f>
        <v>9781119130468</v>
      </c>
      <c r="K658" t="s">
        <v>1208</v>
      </c>
      <c r="L658">
        <v>17</v>
      </c>
      <c r="M658" t="s">
        <v>1209</v>
      </c>
      <c r="O658" t="s">
        <v>30</v>
      </c>
      <c r="P658" t="s">
        <v>29</v>
      </c>
      <c r="Q658" s="1">
        <v>42387.644108796296</v>
      </c>
      <c r="R658">
        <v>7</v>
      </c>
      <c r="S658" t="s">
        <v>214</v>
      </c>
      <c r="T658" t="s">
        <v>500</v>
      </c>
      <c r="U658">
        <v>657.07600000000002</v>
      </c>
      <c r="V658" s="3">
        <v>42143</v>
      </c>
    </row>
    <row r="659" spans="1:22" x14ac:dyDescent="0.35">
      <c r="A659" s="1">
        <v>42391.634745370371</v>
      </c>
      <c r="B659" s="2">
        <v>3.4722222222222222E-5</v>
      </c>
      <c r="C659" t="s">
        <v>809</v>
      </c>
      <c r="D659" t="s">
        <v>146</v>
      </c>
      <c r="E659" t="s">
        <v>147</v>
      </c>
      <c r="F659" t="s">
        <v>810</v>
      </c>
      <c r="G659">
        <v>817860</v>
      </c>
      <c r="H659" t="s">
        <v>26</v>
      </c>
      <c r="I659" t="s">
        <v>187</v>
      </c>
      <c r="J659" t="str">
        <f>"9781118206362"</f>
        <v>9781118206362</v>
      </c>
      <c r="K659" t="s">
        <v>33</v>
      </c>
      <c r="L659">
        <v>3</v>
      </c>
      <c r="O659" t="s">
        <v>30</v>
      </c>
      <c r="P659" t="s">
        <v>42</v>
      </c>
      <c r="S659" t="s">
        <v>812</v>
      </c>
      <c r="T659" t="s">
        <v>813</v>
      </c>
      <c r="U659" t="s">
        <v>814</v>
      </c>
      <c r="V659" s="3">
        <v>40939</v>
      </c>
    </row>
    <row r="660" spans="1:22" x14ac:dyDescent="0.35">
      <c r="A660" s="1">
        <v>42391.630902777775</v>
      </c>
      <c r="B660" s="2">
        <v>3.1250000000000001E-4</v>
      </c>
      <c r="C660" t="s">
        <v>1199</v>
      </c>
      <c r="D660" t="s">
        <v>623</v>
      </c>
      <c r="E660" t="s">
        <v>624</v>
      </c>
      <c r="F660" t="s">
        <v>1210</v>
      </c>
      <c r="G660">
        <v>2058138</v>
      </c>
      <c r="H660" t="s">
        <v>139</v>
      </c>
      <c r="I660" t="s">
        <v>1211</v>
      </c>
      <c r="J660" t="str">
        <f>"9781479869145"</f>
        <v>9781479869145</v>
      </c>
      <c r="K660" t="s">
        <v>1007</v>
      </c>
      <c r="L660">
        <v>26</v>
      </c>
      <c r="O660" t="s">
        <v>30</v>
      </c>
      <c r="P660" t="s">
        <v>50</v>
      </c>
      <c r="S660" t="s">
        <v>627</v>
      </c>
      <c r="T660" t="s">
        <v>1212</v>
      </c>
      <c r="U660">
        <v>305.89240439999998</v>
      </c>
      <c r="V660" s="3">
        <v>42167</v>
      </c>
    </row>
    <row r="661" spans="1:22" x14ac:dyDescent="0.35">
      <c r="A661" s="1">
        <v>42391.614374999997</v>
      </c>
      <c r="B661" s="2">
        <v>1.3425925925925925E-3</v>
      </c>
      <c r="C661" t="s">
        <v>1199</v>
      </c>
      <c r="D661" t="s">
        <v>623</v>
      </c>
      <c r="E661" t="s">
        <v>624</v>
      </c>
      <c r="F661" t="s">
        <v>1213</v>
      </c>
      <c r="G661">
        <v>2030288</v>
      </c>
      <c r="H661" t="s">
        <v>26</v>
      </c>
      <c r="I661" t="s">
        <v>493</v>
      </c>
      <c r="J661" t="str">
        <f>"9780745689371"</f>
        <v>9780745689371</v>
      </c>
      <c r="K661" t="s">
        <v>1214</v>
      </c>
      <c r="L661">
        <v>47</v>
      </c>
      <c r="O661" t="s">
        <v>30</v>
      </c>
      <c r="P661" t="s">
        <v>42</v>
      </c>
      <c r="S661" t="s">
        <v>627</v>
      </c>
      <c r="T661" t="s">
        <v>1215</v>
      </c>
      <c r="U661">
        <v>907.20439999999996</v>
      </c>
      <c r="V661" s="3">
        <v>42024</v>
      </c>
    </row>
    <row r="662" spans="1:22" x14ac:dyDescent="0.35">
      <c r="A662" s="1">
        <v>42391.613657407404</v>
      </c>
      <c r="B662" s="2">
        <v>8.1018518518518516E-5</v>
      </c>
      <c r="C662" t="s">
        <v>1199</v>
      </c>
      <c r="D662" t="s">
        <v>623</v>
      </c>
      <c r="E662" t="s">
        <v>624</v>
      </c>
      <c r="F662" t="s">
        <v>1216</v>
      </c>
      <c r="G662">
        <v>2110646</v>
      </c>
      <c r="H662" t="s">
        <v>45</v>
      </c>
      <c r="I662" t="s">
        <v>267</v>
      </c>
      <c r="J662" t="str">
        <f>"9781472451385"</f>
        <v>9781472451385</v>
      </c>
      <c r="K662" t="s">
        <v>1217</v>
      </c>
      <c r="L662">
        <v>7</v>
      </c>
      <c r="O662" t="s">
        <v>30</v>
      </c>
      <c r="P662" t="s">
        <v>50</v>
      </c>
      <c r="S662" t="s">
        <v>627</v>
      </c>
      <c r="T662" t="s">
        <v>1218</v>
      </c>
      <c r="U662">
        <v>306.3</v>
      </c>
      <c r="V662" s="3">
        <v>42275</v>
      </c>
    </row>
    <row r="663" spans="1:22" x14ac:dyDescent="0.35">
      <c r="A663" s="1">
        <v>42391.613402777781</v>
      </c>
      <c r="B663" s="2">
        <v>5.6712962962962956E-4</v>
      </c>
      <c r="C663" t="s">
        <v>1199</v>
      </c>
      <c r="D663" t="s">
        <v>623</v>
      </c>
      <c r="E663" t="s">
        <v>624</v>
      </c>
      <c r="F663" t="s">
        <v>1216</v>
      </c>
      <c r="G663">
        <v>2110646</v>
      </c>
      <c r="H663" t="s">
        <v>45</v>
      </c>
      <c r="I663" t="s">
        <v>267</v>
      </c>
      <c r="J663" t="str">
        <f>"9781472451385"</f>
        <v>9781472451385</v>
      </c>
      <c r="K663" t="s">
        <v>1219</v>
      </c>
      <c r="L663">
        <v>25</v>
      </c>
      <c r="O663" t="s">
        <v>30</v>
      </c>
      <c r="P663" t="s">
        <v>50</v>
      </c>
      <c r="S663" t="s">
        <v>627</v>
      </c>
      <c r="T663" t="s">
        <v>1218</v>
      </c>
      <c r="U663">
        <v>306.3</v>
      </c>
      <c r="V663" s="3">
        <v>42275</v>
      </c>
    </row>
    <row r="664" spans="1:22" x14ac:dyDescent="0.35">
      <c r="A664" s="1">
        <v>42391.570347222223</v>
      </c>
      <c r="B664" s="2">
        <v>9.3750000000000007E-4</v>
      </c>
      <c r="C664" t="s">
        <v>809</v>
      </c>
      <c r="D664" t="s">
        <v>146</v>
      </c>
      <c r="E664" t="s">
        <v>147</v>
      </c>
      <c r="F664" t="s">
        <v>810</v>
      </c>
      <c r="G664">
        <v>817860</v>
      </c>
      <c r="H664" t="s">
        <v>26</v>
      </c>
      <c r="I664" t="s">
        <v>187</v>
      </c>
      <c r="J664" t="str">
        <f>"9781118206362"</f>
        <v>9781118206362</v>
      </c>
      <c r="K664" t="s">
        <v>1220</v>
      </c>
      <c r="L664">
        <v>13</v>
      </c>
      <c r="O664" t="s">
        <v>30</v>
      </c>
      <c r="P664" t="s">
        <v>42</v>
      </c>
      <c r="S664" t="s">
        <v>812</v>
      </c>
      <c r="T664" t="s">
        <v>813</v>
      </c>
      <c r="U664" t="s">
        <v>814</v>
      </c>
      <c r="V664" s="3">
        <v>40939</v>
      </c>
    </row>
    <row r="665" spans="1:22" x14ac:dyDescent="0.35">
      <c r="A665" s="1">
        <v>42391.569444444445</v>
      </c>
      <c r="B665" s="2">
        <v>2.3148148148148147E-5</v>
      </c>
      <c r="C665" t="s">
        <v>659</v>
      </c>
      <c r="D665" t="s">
        <v>146</v>
      </c>
      <c r="E665" t="s">
        <v>147</v>
      </c>
      <c r="F665" t="s">
        <v>810</v>
      </c>
      <c r="G665">
        <v>817860</v>
      </c>
      <c r="H665" t="s">
        <v>26</v>
      </c>
      <c r="I665" t="s">
        <v>187</v>
      </c>
      <c r="J665" t="str">
        <f>"9781118206362"</f>
        <v>9781118206362</v>
      </c>
      <c r="K665" t="s">
        <v>33</v>
      </c>
      <c r="L665">
        <v>3</v>
      </c>
      <c r="O665" t="s">
        <v>30</v>
      </c>
      <c r="P665" t="s">
        <v>42</v>
      </c>
      <c r="S665" t="s">
        <v>812</v>
      </c>
      <c r="T665" t="s">
        <v>813</v>
      </c>
      <c r="U665" t="s">
        <v>814</v>
      </c>
      <c r="V665" s="3">
        <v>40939</v>
      </c>
    </row>
    <row r="666" spans="1:22" x14ac:dyDescent="0.35">
      <c r="A666" s="1">
        <v>42391.178715277776</v>
      </c>
      <c r="B666" s="2">
        <v>0</v>
      </c>
      <c r="C666" t="s">
        <v>1221</v>
      </c>
      <c r="D666" t="s">
        <v>1222</v>
      </c>
      <c r="E666" t="s">
        <v>1223</v>
      </c>
      <c r="F666" t="s">
        <v>1224</v>
      </c>
      <c r="G666">
        <v>1882092</v>
      </c>
      <c r="H666" t="s">
        <v>84</v>
      </c>
      <c r="I666" t="s">
        <v>150</v>
      </c>
      <c r="J666" t="str">
        <f>"9780520959927"</f>
        <v>9780520959927</v>
      </c>
      <c r="L666">
        <v>0</v>
      </c>
      <c r="N666" t="s">
        <v>1225</v>
      </c>
      <c r="O666" t="s">
        <v>30</v>
      </c>
      <c r="P666" t="s">
        <v>47</v>
      </c>
      <c r="Q666" s="1">
        <v>42391.178715277776</v>
      </c>
      <c r="R666">
        <v>1</v>
      </c>
      <c r="S666" t="s">
        <v>1226</v>
      </c>
      <c r="T666" t="s">
        <v>1227</v>
      </c>
      <c r="U666" t="s">
        <v>1228</v>
      </c>
      <c r="V666" s="3">
        <v>42124</v>
      </c>
    </row>
    <row r="667" spans="1:22" x14ac:dyDescent="0.35">
      <c r="A667" s="1">
        <v>42391.178194444445</v>
      </c>
      <c r="B667" s="2">
        <v>5.2083333333333333E-4</v>
      </c>
      <c r="C667" t="s">
        <v>1221</v>
      </c>
      <c r="D667" t="s">
        <v>1222</v>
      </c>
      <c r="E667" t="s">
        <v>1223</v>
      </c>
      <c r="F667" t="s">
        <v>1224</v>
      </c>
      <c r="G667">
        <v>1882092</v>
      </c>
      <c r="H667" t="s">
        <v>84</v>
      </c>
      <c r="I667" t="s">
        <v>150</v>
      </c>
      <c r="J667" t="str">
        <f>"9780520959927"</f>
        <v>9780520959927</v>
      </c>
      <c r="K667" t="s">
        <v>1229</v>
      </c>
      <c r="L667">
        <v>12</v>
      </c>
      <c r="O667" t="s">
        <v>30</v>
      </c>
      <c r="P667" t="s">
        <v>50</v>
      </c>
      <c r="S667" t="s">
        <v>1226</v>
      </c>
      <c r="T667" t="s">
        <v>1227</v>
      </c>
      <c r="U667" t="s">
        <v>1228</v>
      </c>
      <c r="V667" s="3">
        <v>42124</v>
      </c>
    </row>
    <row r="668" spans="1:22" x14ac:dyDescent="0.35">
      <c r="A668" s="1">
        <v>42391.09884259259</v>
      </c>
      <c r="B668" s="2">
        <v>2.5578703703703705E-3</v>
      </c>
      <c r="C668" t="s">
        <v>1230</v>
      </c>
      <c r="D668" t="s">
        <v>35</v>
      </c>
      <c r="E668" t="s">
        <v>36</v>
      </c>
      <c r="F668" t="s">
        <v>1231</v>
      </c>
      <c r="G668">
        <v>1441217</v>
      </c>
      <c r="H668" t="s">
        <v>68</v>
      </c>
      <c r="I668" t="s">
        <v>69</v>
      </c>
      <c r="J668" t="str">
        <f>"9781317921899"</f>
        <v>9781317921899</v>
      </c>
      <c r="K668" t="s">
        <v>1232</v>
      </c>
      <c r="L668">
        <v>14</v>
      </c>
      <c r="O668" t="s">
        <v>30</v>
      </c>
      <c r="P668" t="s">
        <v>47</v>
      </c>
      <c r="Q668" s="1">
        <v>42391.09884259259</v>
      </c>
      <c r="R668">
        <v>1</v>
      </c>
      <c r="S668" t="s">
        <v>40</v>
      </c>
      <c r="T668" t="s">
        <v>1233</v>
      </c>
      <c r="U668">
        <v>371.10199999999998</v>
      </c>
      <c r="V668" s="3">
        <v>41549</v>
      </c>
    </row>
    <row r="669" spans="1:22" x14ac:dyDescent="0.35">
      <c r="A669" s="1">
        <v>42391.093576388892</v>
      </c>
      <c r="B669" s="2">
        <v>3.4722222222222222E-5</v>
      </c>
      <c r="C669" t="s">
        <v>1234</v>
      </c>
      <c r="D669" t="s">
        <v>35</v>
      </c>
      <c r="E669" t="s">
        <v>36</v>
      </c>
      <c r="F669" t="s">
        <v>1235</v>
      </c>
      <c r="G669">
        <v>298457</v>
      </c>
      <c r="H669" t="s">
        <v>68</v>
      </c>
      <c r="I669" t="s">
        <v>1236</v>
      </c>
      <c r="J669" t="str">
        <f>"9780080520599"</f>
        <v>9780080520599</v>
      </c>
      <c r="K669" t="s">
        <v>33</v>
      </c>
      <c r="L669">
        <v>3</v>
      </c>
      <c r="O669" t="s">
        <v>30</v>
      </c>
      <c r="P669" t="s">
        <v>47</v>
      </c>
      <c r="Q669" s="1">
        <v>42390.655613425923</v>
      </c>
      <c r="R669">
        <v>1</v>
      </c>
      <c r="S669" t="s">
        <v>40</v>
      </c>
      <c r="T669" t="s">
        <v>1237</v>
      </c>
      <c r="U669">
        <v>778.59</v>
      </c>
      <c r="V669" s="3">
        <v>41575</v>
      </c>
    </row>
    <row r="670" spans="1:22" x14ac:dyDescent="0.35">
      <c r="A670" s="1">
        <v>42391.090254629627</v>
      </c>
      <c r="B670" s="2">
        <v>8.5879629629629622E-3</v>
      </c>
      <c r="C670" t="s">
        <v>1230</v>
      </c>
      <c r="D670" t="s">
        <v>35</v>
      </c>
      <c r="E670" t="s">
        <v>36</v>
      </c>
      <c r="F670" t="s">
        <v>1231</v>
      </c>
      <c r="G670">
        <v>1441217</v>
      </c>
      <c r="H670" t="s">
        <v>68</v>
      </c>
      <c r="I670" t="s">
        <v>69</v>
      </c>
      <c r="J670" t="str">
        <f>"9781317921899"</f>
        <v>9781317921899</v>
      </c>
      <c r="K670" t="s">
        <v>889</v>
      </c>
      <c r="L670">
        <v>6</v>
      </c>
      <c r="O670" t="s">
        <v>30</v>
      </c>
      <c r="P670" t="s">
        <v>50</v>
      </c>
      <c r="S670" t="s">
        <v>40</v>
      </c>
      <c r="T670" t="s">
        <v>1233</v>
      </c>
      <c r="U670">
        <v>371.10199999999998</v>
      </c>
      <c r="V670" s="3">
        <v>41549</v>
      </c>
    </row>
    <row r="671" spans="1:22" x14ac:dyDescent="0.35">
      <c r="A671" s="1">
        <v>42391.085347222222</v>
      </c>
      <c r="B671" s="2">
        <v>6.9444444444444444E-5</v>
      </c>
      <c r="C671" t="s">
        <v>1238</v>
      </c>
      <c r="D671" t="s">
        <v>35</v>
      </c>
      <c r="E671" t="s">
        <v>36</v>
      </c>
      <c r="F671" t="s">
        <v>327</v>
      </c>
      <c r="G671">
        <v>1691426</v>
      </c>
      <c r="H671" t="s">
        <v>26</v>
      </c>
      <c r="I671" t="s">
        <v>328</v>
      </c>
      <c r="J671" t="str">
        <f>"9781118839492"</f>
        <v>9781118839492</v>
      </c>
      <c r="K671" t="s">
        <v>33</v>
      </c>
      <c r="L671">
        <v>3</v>
      </c>
      <c r="O671" t="s">
        <v>30</v>
      </c>
      <c r="P671" t="s">
        <v>42</v>
      </c>
      <c r="S671" t="s">
        <v>40</v>
      </c>
      <c r="T671" t="s">
        <v>331</v>
      </c>
      <c r="U671">
        <v>613.70460000000003</v>
      </c>
      <c r="V671" s="3">
        <v>41772</v>
      </c>
    </row>
    <row r="672" spans="1:22" x14ac:dyDescent="0.35">
      <c r="A672" s="1">
        <v>42391.083472222221</v>
      </c>
      <c r="B672" s="2">
        <v>1.7013888888888892E-3</v>
      </c>
      <c r="C672" t="s">
        <v>1238</v>
      </c>
      <c r="D672" t="s">
        <v>35</v>
      </c>
      <c r="E672" t="s">
        <v>36</v>
      </c>
      <c r="F672" t="s">
        <v>327</v>
      </c>
      <c r="G672">
        <v>1691426</v>
      </c>
      <c r="H672" t="s">
        <v>26</v>
      </c>
      <c r="I672" t="s">
        <v>328</v>
      </c>
      <c r="J672" t="str">
        <f>"9781118839492"</f>
        <v>9781118839492</v>
      </c>
      <c r="K672" t="s">
        <v>1239</v>
      </c>
      <c r="L672">
        <v>3</v>
      </c>
      <c r="O672" t="s">
        <v>30</v>
      </c>
      <c r="P672" t="s">
        <v>42</v>
      </c>
      <c r="S672" t="s">
        <v>40</v>
      </c>
      <c r="T672" t="s">
        <v>331</v>
      </c>
      <c r="U672">
        <v>613.70460000000003</v>
      </c>
      <c r="V672" s="3">
        <v>41772</v>
      </c>
    </row>
    <row r="673" spans="1:22" x14ac:dyDescent="0.35">
      <c r="A673" s="1">
        <v>42391.06417824074</v>
      </c>
      <c r="B673" s="2">
        <v>1.0185185185185186E-3</v>
      </c>
      <c r="C673" t="s">
        <v>1107</v>
      </c>
      <c r="D673" t="s">
        <v>23</v>
      </c>
      <c r="E673" t="s">
        <v>24</v>
      </c>
      <c r="F673" t="s">
        <v>1111</v>
      </c>
      <c r="G673">
        <v>1582028</v>
      </c>
      <c r="H673" t="s">
        <v>68</v>
      </c>
      <c r="I673" t="s">
        <v>219</v>
      </c>
      <c r="J673" t="str">
        <f>"9781317850823"</f>
        <v>9781317850823</v>
      </c>
      <c r="K673" t="s">
        <v>1240</v>
      </c>
      <c r="L673">
        <v>2</v>
      </c>
      <c r="O673" t="s">
        <v>30</v>
      </c>
      <c r="P673" t="s">
        <v>47</v>
      </c>
      <c r="Q673" s="1">
        <v>42391.06417824074</v>
      </c>
      <c r="R673">
        <v>1</v>
      </c>
      <c r="S673" t="s">
        <v>31</v>
      </c>
      <c r="T673" t="s">
        <v>1113</v>
      </c>
      <c r="U673">
        <v>155.93700000000001</v>
      </c>
      <c r="V673" s="3">
        <v>41624</v>
      </c>
    </row>
    <row r="674" spans="1:22" x14ac:dyDescent="0.35">
      <c r="A674" s="1">
        <v>42391.055486111109</v>
      </c>
      <c r="B674" s="2">
        <v>8.6921296296296312E-3</v>
      </c>
      <c r="C674" t="s">
        <v>1107</v>
      </c>
      <c r="D674" t="s">
        <v>23</v>
      </c>
      <c r="E674" t="s">
        <v>24</v>
      </c>
      <c r="F674" t="s">
        <v>1111</v>
      </c>
      <c r="G674">
        <v>1582028</v>
      </c>
      <c r="H674" t="s">
        <v>68</v>
      </c>
      <c r="I674" t="s">
        <v>219</v>
      </c>
      <c r="J674" t="str">
        <f>"9781317850823"</f>
        <v>9781317850823</v>
      </c>
      <c r="K674" t="s">
        <v>1241</v>
      </c>
      <c r="L674">
        <v>19</v>
      </c>
      <c r="O674" t="s">
        <v>30</v>
      </c>
      <c r="P674" t="s">
        <v>50</v>
      </c>
      <c r="S674" t="s">
        <v>31</v>
      </c>
      <c r="T674" t="s">
        <v>1113</v>
      </c>
      <c r="U674">
        <v>155.93700000000001</v>
      </c>
      <c r="V674" s="3">
        <v>41624</v>
      </c>
    </row>
    <row r="675" spans="1:22" x14ac:dyDescent="0.35">
      <c r="A675" s="1">
        <v>42391.049166666664</v>
      </c>
      <c r="B675" s="2">
        <v>0</v>
      </c>
      <c r="C675" t="s">
        <v>1107</v>
      </c>
      <c r="D675" t="s">
        <v>23</v>
      </c>
      <c r="E675" t="s">
        <v>24</v>
      </c>
      <c r="F675" t="s">
        <v>1108</v>
      </c>
      <c r="G675">
        <v>1356236</v>
      </c>
      <c r="H675" t="s">
        <v>68</v>
      </c>
      <c r="I675" t="s">
        <v>219</v>
      </c>
      <c r="J675" t="str">
        <f>"9781135059699"</f>
        <v>9781135059699</v>
      </c>
      <c r="K675" t="s">
        <v>1242</v>
      </c>
      <c r="L675">
        <v>1</v>
      </c>
      <c r="O675" t="s">
        <v>30</v>
      </c>
      <c r="P675" t="s">
        <v>47</v>
      </c>
      <c r="Q675" s="1">
        <v>42391.049166666664</v>
      </c>
      <c r="R675">
        <v>1</v>
      </c>
      <c r="S675" t="s">
        <v>31</v>
      </c>
      <c r="T675" t="s">
        <v>1110</v>
      </c>
      <c r="U675">
        <v>155.93700000000001</v>
      </c>
      <c r="V675" s="3">
        <v>41507</v>
      </c>
    </row>
    <row r="676" spans="1:22" x14ac:dyDescent="0.35">
      <c r="A676" s="1">
        <v>42391.042962962965</v>
      </c>
      <c r="B676" s="2">
        <v>6.1921296296296299E-3</v>
      </c>
      <c r="C676" t="s">
        <v>1107</v>
      </c>
      <c r="D676" t="s">
        <v>23</v>
      </c>
      <c r="E676" t="s">
        <v>24</v>
      </c>
      <c r="F676" t="s">
        <v>1108</v>
      </c>
      <c r="G676">
        <v>1356236</v>
      </c>
      <c r="H676" t="s">
        <v>68</v>
      </c>
      <c r="I676" t="s">
        <v>219</v>
      </c>
      <c r="J676" t="str">
        <f>"9781135059699"</f>
        <v>9781135059699</v>
      </c>
      <c r="K676" t="s">
        <v>1243</v>
      </c>
      <c r="L676">
        <v>9</v>
      </c>
      <c r="O676" t="s">
        <v>30</v>
      </c>
      <c r="P676" t="s">
        <v>50</v>
      </c>
      <c r="S676" t="s">
        <v>31</v>
      </c>
      <c r="T676" t="s">
        <v>1110</v>
      </c>
      <c r="U676">
        <v>155.93700000000001</v>
      </c>
      <c r="V676" s="3">
        <v>41507</v>
      </c>
    </row>
    <row r="677" spans="1:22" x14ac:dyDescent="0.35">
      <c r="A677" s="1">
        <v>42390.970960648148</v>
      </c>
      <c r="B677" s="2">
        <v>7.6041666666666662E-3</v>
      </c>
      <c r="C677" t="s">
        <v>1244</v>
      </c>
      <c r="D677" t="s">
        <v>23</v>
      </c>
      <c r="E677" t="s">
        <v>24</v>
      </c>
      <c r="F677" t="s">
        <v>1245</v>
      </c>
      <c r="G677">
        <v>4039442</v>
      </c>
      <c r="H677" t="s">
        <v>26</v>
      </c>
      <c r="I677" t="s">
        <v>1246</v>
      </c>
      <c r="J677" t="str">
        <f>"9781118870976"</f>
        <v>9781118870976</v>
      </c>
      <c r="K677" t="s">
        <v>1247</v>
      </c>
      <c r="L677">
        <v>21</v>
      </c>
      <c r="N677" t="s">
        <v>1248</v>
      </c>
      <c r="O677" t="s">
        <v>30</v>
      </c>
      <c r="P677" t="s">
        <v>29</v>
      </c>
      <c r="Q677" s="1">
        <v>42390.970960648148</v>
      </c>
      <c r="R677">
        <v>7</v>
      </c>
      <c r="S677" t="s">
        <v>31</v>
      </c>
      <c r="T677" t="s">
        <v>1249</v>
      </c>
      <c r="U677">
        <v>629.13499999999999</v>
      </c>
      <c r="V677" s="3">
        <v>42279</v>
      </c>
    </row>
    <row r="678" spans="1:22" x14ac:dyDescent="0.35">
      <c r="A678" s="1">
        <v>42390.970891203702</v>
      </c>
      <c r="B678" s="2">
        <v>6.9444444444444444E-5</v>
      </c>
      <c r="C678" t="s">
        <v>1244</v>
      </c>
      <c r="D678" t="s">
        <v>23</v>
      </c>
      <c r="E678" t="s">
        <v>24</v>
      </c>
      <c r="F678" t="s">
        <v>1245</v>
      </c>
      <c r="G678">
        <v>4039442</v>
      </c>
      <c r="H678" t="s">
        <v>26</v>
      </c>
      <c r="I678" t="s">
        <v>1246</v>
      </c>
      <c r="J678" t="str">
        <f>"9781118870976"</f>
        <v>9781118870976</v>
      </c>
      <c r="K678" t="s">
        <v>33</v>
      </c>
      <c r="L678">
        <v>3</v>
      </c>
      <c r="O678" t="s">
        <v>30</v>
      </c>
      <c r="P678" t="s">
        <v>42</v>
      </c>
      <c r="S678" t="s">
        <v>31</v>
      </c>
      <c r="T678" t="s">
        <v>1249</v>
      </c>
      <c r="U678">
        <v>629.13499999999999</v>
      </c>
      <c r="V678" s="3">
        <v>42279</v>
      </c>
    </row>
    <row r="679" spans="1:22" x14ac:dyDescent="0.35">
      <c r="A679" s="1">
        <v>42390.966238425928</v>
      </c>
      <c r="B679" s="2">
        <v>0</v>
      </c>
      <c r="C679" t="s">
        <v>1250</v>
      </c>
      <c r="D679" t="s">
        <v>23</v>
      </c>
      <c r="E679" t="s">
        <v>24</v>
      </c>
      <c r="F679" t="s">
        <v>1245</v>
      </c>
      <c r="G679">
        <v>4039442</v>
      </c>
      <c r="H679" t="s">
        <v>26</v>
      </c>
      <c r="I679" t="s">
        <v>1246</v>
      </c>
      <c r="J679" t="str">
        <f>"9781118870976"</f>
        <v>9781118870976</v>
      </c>
      <c r="L679">
        <v>0</v>
      </c>
      <c r="N679" t="s">
        <v>1251</v>
      </c>
      <c r="O679" t="s">
        <v>30</v>
      </c>
      <c r="P679" t="s">
        <v>29</v>
      </c>
      <c r="Q679" s="1">
        <v>42390.966238425928</v>
      </c>
      <c r="R679">
        <v>7</v>
      </c>
      <c r="S679" t="s">
        <v>31</v>
      </c>
      <c r="T679" t="s">
        <v>1249</v>
      </c>
      <c r="U679">
        <v>629.13499999999999</v>
      </c>
      <c r="V679" s="3">
        <v>42279</v>
      </c>
    </row>
    <row r="680" spans="1:22" x14ac:dyDescent="0.35">
      <c r="A680" s="1">
        <v>42390.966122685182</v>
      </c>
      <c r="B680" s="2">
        <v>1.1574074074074073E-4</v>
      </c>
      <c r="C680" t="s">
        <v>1250</v>
      </c>
      <c r="D680" t="s">
        <v>23</v>
      </c>
      <c r="E680" t="s">
        <v>24</v>
      </c>
      <c r="F680" t="s">
        <v>1245</v>
      </c>
      <c r="G680">
        <v>4039442</v>
      </c>
      <c r="H680" t="s">
        <v>26</v>
      </c>
      <c r="I680" t="s">
        <v>1246</v>
      </c>
      <c r="J680" t="str">
        <f>"9781118870976"</f>
        <v>9781118870976</v>
      </c>
      <c r="K680" t="s">
        <v>33</v>
      </c>
      <c r="L680">
        <v>3</v>
      </c>
      <c r="O680" t="s">
        <v>30</v>
      </c>
      <c r="P680" t="s">
        <v>42</v>
      </c>
      <c r="S680" t="s">
        <v>31</v>
      </c>
      <c r="T680" t="s">
        <v>1249</v>
      </c>
      <c r="U680">
        <v>629.13499999999999</v>
      </c>
      <c r="V680" s="3">
        <v>42279</v>
      </c>
    </row>
    <row r="681" spans="1:22" x14ac:dyDescent="0.35">
      <c r="A681" s="1">
        <v>42390.944108796299</v>
      </c>
      <c r="B681" s="2">
        <v>0.15489583333333332</v>
      </c>
      <c r="C681" t="s">
        <v>490</v>
      </c>
      <c r="D681" t="s">
        <v>211</v>
      </c>
      <c r="E681" t="s">
        <v>212</v>
      </c>
      <c r="F681" t="s">
        <v>491</v>
      </c>
      <c r="G681">
        <v>768534</v>
      </c>
      <c r="H681" t="s">
        <v>492</v>
      </c>
      <c r="I681" t="s">
        <v>493</v>
      </c>
      <c r="J681" t="str">
        <f>"9781400839704"</f>
        <v>9781400839704</v>
      </c>
      <c r="K681" t="s">
        <v>1252</v>
      </c>
      <c r="L681">
        <v>96</v>
      </c>
      <c r="M681" t="s">
        <v>1253</v>
      </c>
      <c r="O681" t="s">
        <v>30</v>
      </c>
      <c r="P681" t="s">
        <v>42</v>
      </c>
      <c r="S681" t="s">
        <v>214</v>
      </c>
      <c r="T681" t="s">
        <v>495</v>
      </c>
      <c r="U681" t="s">
        <v>496</v>
      </c>
      <c r="V681" s="3">
        <v>40847</v>
      </c>
    </row>
    <row r="682" spans="1:22" x14ac:dyDescent="0.35">
      <c r="A682" s="1">
        <v>42390.911469907405</v>
      </c>
      <c r="B682" s="2">
        <v>1.3310185185185185E-3</v>
      </c>
      <c r="C682" t="s">
        <v>985</v>
      </c>
      <c r="D682" t="s">
        <v>23</v>
      </c>
      <c r="E682" t="s">
        <v>24</v>
      </c>
      <c r="F682" t="s">
        <v>1254</v>
      </c>
      <c r="G682">
        <v>915727</v>
      </c>
      <c r="H682" t="s">
        <v>26</v>
      </c>
      <c r="I682" t="s">
        <v>247</v>
      </c>
      <c r="J682" t="str">
        <f>"9781118316764"</f>
        <v>9781118316764</v>
      </c>
      <c r="K682" t="s">
        <v>1255</v>
      </c>
      <c r="L682">
        <v>23</v>
      </c>
      <c r="N682" t="s">
        <v>1256</v>
      </c>
      <c r="O682" t="s">
        <v>30</v>
      </c>
      <c r="P682" t="s">
        <v>29</v>
      </c>
      <c r="Q682" s="1">
        <v>42390.8828125</v>
      </c>
      <c r="R682">
        <v>7</v>
      </c>
      <c r="S682" t="s">
        <v>31</v>
      </c>
      <c r="T682" t="s">
        <v>1257</v>
      </c>
      <c r="U682" t="s">
        <v>1258</v>
      </c>
      <c r="V682" s="3">
        <v>41337</v>
      </c>
    </row>
    <row r="683" spans="1:22" x14ac:dyDescent="0.35">
      <c r="A683" s="1">
        <v>42390.883599537039</v>
      </c>
      <c r="B683" s="2">
        <v>2.4305555555555552E-4</v>
      </c>
      <c r="C683" t="s">
        <v>210</v>
      </c>
      <c r="D683" t="s">
        <v>211</v>
      </c>
      <c r="E683" t="s">
        <v>212</v>
      </c>
      <c r="F683" t="s">
        <v>1259</v>
      </c>
      <c r="G683">
        <v>449628</v>
      </c>
      <c r="H683" t="s">
        <v>68</v>
      </c>
      <c r="I683" t="s">
        <v>38</v>
      </c>
      <c r="J683" t="str">
        <f>"9781134028863"</f>
        <v>9781134028863</v>
      </c>
      <c r="K683" t="s">
        <v>1260</v>
      </c>
      <c r="L683">
        <v>8</v>
      </c>
      <c r="O683" t="s">
        <v>30</v>
      </c>
      <c r="P683" t="s">
        <v>50</v>
      </c>
      <c r="S683" t="s">
        <v>214</v>
      </c>
      <c r="T683" t="s">
        <v>1261</v>
      </c>
      <c r="U683">
        <v>364.3</v>
      </c>
      <c r="V683" s="3">
        <v>41478</v>
      </c>
    </row>
    <row r="684" spans="1:22" x14ac:dyDescent="0.35">
      <c r="A684" s="1">
        <v>42390.883136574077</v>
      </c>
      <c r="B684" s="2">
        <v>1.1574074074074073E-5</v>
      </c>
      <c r="C684" t="s">
        <v>985</v>
      </c>
      <c r="D684" t="s">
        <v>23</v>
      </c>
      <c r="E684" t="s">
        <v>24</v>
      </c>
      <c r="F684" t="s">
        <v>1139</v>
      </c>
      <c r="G684">
        <v>4042975</v>
      </c>
      <c r="H684" t="s">
        <v>26</v>
      </c>
      <c r="I684" t="s">
        <v>247</v>
      </c>
      <c r="J684" t="str">
        <f>"9781118509883"</f>
        <v>9781118509883</v>
      </c>
      <c r="K684" t="s">
        <v>33</v>
      </c>
      <c r="L684">
        <v>3</v>
      </c>
      <c r="O684" t="s">
        <v>30</v>
      </c>
      <c r="P684" t="s">
        <v>29</v>
      </c>
      <c r="Q684" s="1">
        <v>42390.883136574077</v>
      </c>
      <c r="R684">
        <v>7</v>
      </c>
      <c r="S684" t="s">
        <v>31</v>
      </c>
      <c r="T684" t="s">
        <v>1141</v>
      </c>
      <c r="U684" t="s">
        <v>1142</v>
      </c>
      <c r="V684" s="3">
        <v>42296</v>
      </c>
    </row>
    <row r="685" spans="1:22" x14ac:dyDescent="0.35">
      <c r="A685" s="1">
        <v>42390.8828125</v>
      </c>
      <c r="B685" s="2">
        <v>9.8611111111111104E-3</v>
      </c>
      <c r="C685" t="s">
        <v>985</v>
      </c>
      <c r="D685" t="s">
        <v>23</v>
      </c>
      <c r="E685" t="s">
        <v>24</v>
      </c>
      <c r="F685" t="s">
        <v>1254</v>
      </c>
      <c r="G685">
        <v>915727</v>
      </c>
      <c r="H685" t="s">
        <v>26</v>
      </c>
      <c r="I685" t="s">
        <v>247</v>
      </c>
      <c r="J685" t="str">
        <f>"9781118316764"</f>
        <v>9781118316764</v>
      </c>
      <c r="K685" t="s">
        <v>1262</v>
      </c>
      <c r="L685">
        <v>32</v>
      </c>
      <c r="O685" t="s">
        <v>30</v>
      </c>
      <c r="P685" t="s">
        <v>29</v>
      </c>
      <c r="Q685" s="1">
        <v>42390.8828125</v>
      </c>
      <c r="R685">
        <v>7</v>
      </c>
      <c r="S685" t="s">
        <v>31</v>
      </c>
      <c r="T685" t="s">
        <v>1257</v>
      </c>
      <c r="U685" t="s">
        <v>1258</v>
      </c>
      <c r="V685" s="3">
        <v>41337</v>
      </c>
    </row>
    <row r="686" spans="1:22" x14ac:dyDescent="0.35">
      <c r="A686" s="1">
        <v>42390.880486111113</v>
      </c>
      <c r="B686" s="2">
        <v>7.106481481481481E-3</v>
      </c>
      <c r="C686" t="s">
        <v>1263</v>
      </c>
      <c r="D686" t="s">
        <v>35</v>
      </c>
      <c r="E686" t="s">
        <v>36</v>
      </c>
      <c r="F686" t="s">
        <v>1264</v>
      </c>
      <c r="G686">
        <v>1896000</v>
      </c>
      <c r="H686" t="s">
        <v>26</v>
      </c>
      <c r="I686" t="s">
        <v>97</v>
      </c>
      <c r="J686" t="str">
        <f>"9781119048121"</f>
        <v>9781119048121</v>
      </c>
      <c r="K686" t="s">
        <v>1265</v>
      </c>
      <c r="L686">
        <v>35</v>
      </c>
      <c r="O686" t="s">
        <v>30</v>
      </c>
      <c r="P686" t="s">
        <v>29</v>
      </c>
      <c r="Q686" s="1">
        <v>42390.880486111113</v>
      </c>
      <c r="R686">
        <v>7</v>
      </c>
      <c r="S686" t="s">
        <v>40</v>
      </c>
      <c r="T686" t="s">
        <v>1266</v>
      </c>
      <c r="U686">
        <v>651.70000000000005</v>
      </c>
      <c r="V686" s="3">
        <v>42048</v>
      </c>
    </row>
    <row r="687" spans="1:22" x14ac:dyDescent="0.35">
      <c r="A687" s="1">
        <v>42390.876469907409</v>
      </c>
      <c r="B687" s="2">
        <v>4.0162037037037033E-3</v>
      </c>
      <c r="C687" t="s">
        <v>1263</v>
      </c>
      <c r="D687" t="s">
        <v>35</v>
      </c>
      <c r="E687" t="s">
        <v>36</v>
      </c>
      <c r="F687" t="s">
        <v>1264</v>
      </c>
      <c r="G687">
        <v>1896000</v>
      </c>
      <c r="H687" t="s">
        <v>26</v>
      </c>
      <c r="I687" t="s">
        <v>97</v>
      </c>
      <c r="J687" t="str">
        <f>"9781119048121"</f>
        <v>9781119048121</v>
      </c>
      <c r="K687" t="s">
        <v>1267</v>
      </c>
      <c r="L687">
        <v>7</v>
      </c>
      <c r="O687" t="s">
        <v>30</v>
      </c>
      <c r="P687" t="s">
        <v>50</v>
      </c>
      <c r="S687" t="s">
        <v>40</v>
      </c>
      <c r="T687" t="s">
        <v>1266</v>
      </c>
      <c r="U687">
        <v>651.70000000000005</v>
      </c>
      <c r="V687" s="3">
        <v>42048</v>
      </c>
    </row>
    <row r="688" spans="1:22" x14ac:dyDescent="0.35">
      <c r="A688" s="1">
        <v>42390.872673611113</v>
      </c>
      <c r="B688" s="2">
        <v>1.0127314814814815E-2</v>
      </c>
      <c r="C688" t="s">
        <v>985</v>
      </c>
      <c r="D688" t="s">
        <v>23</v>
      </c>
      <c r="E688" t="s">
        <v>24</v>
      </c>
      <c r="F688" t="s">
        <v>1254</v>
      </c>
      <c r="G688">
        <v>915727</v>
      </c>
      <c r="H688" t="s">
        <v>26</v>
      </c>
      <c r="I688" t="s">
        <v>247</v>
      </c>
      <c r="J688" t="str">
        <f>"9781118316764"</f>
        <v>9781118316764</v>
      </c>
      <c r="K688" t="s">
        <v>1268</v>
      </c>
      <c r="L688">
        <v>9</v>
      </c>
      <c r="O688" t="s">
        <v>30</v>
      </c>
      <c r="P688" t="s">
        <v>42</v>
      </c>
      <c r="S688" t="s">
        <v>31</v>
      </c>
      <c r="T688" t="s">
        <v>1257</v>
      </c>
      <c r="U688" t="s">
        <v>1258</v>
      </c>
      <c r="V688" s="3">
        <v>41337</v>
      </c>
    </row>
    <row r="689" spans="1:22" x14ac:dyDescent="0.35">
      <c r="A689" s="1">
        <v>42390.869270833333</v>
      </c>
      <c r="B689" s="2">
        <v>1.3865740740740739E-2</v>
      </c>
      <c r="C689" t="s">
        <v>985</v>
      </c>
      <c r="D689" t="s">
        <v>23</v>
      </c>
      <c r="E689" t="s">
        <v>24</v>
      </c>
      <c r="F689" t="s">
        <v>1139</v>
      </c>
      <c r="G689">
        <v>4042975</v>
      </c>
      <c r="H689" t="s">
        <v>26</v>
      </c>
      <c r="I689" t="s">
        <v>247</v>
      </c>
      <c r="J689" t="str">
        <f>"9781118509883"</f>
        <v>9781118509883</v>
      </c>
      <c r="K689" t="s">
        <v>33</v>
      </c>
      <c r="L689">
        <v>3</v>
      </c>
      <c r="O689" t="s">
        <v>30</v>
      </c>
      <c r="P689" t="s">
        <v>50</v>
      </c>
      <c r="S689" t="s">
        <v>31</v>
      </c>
      <c r="T689" t="s">
        <v>1141</v>
      </c>
      <c r="U689" t="s">
        <v>1142</v>
      </c>
      <c r="V689" s="3">
        <v>42296</v>
      </c>
    </row>
    <row r="690" spans="1:22" x14ac:dyDescent="0.35">
      <c r="A690" s="1">
        <v>42390.867488425924</v>
      </c>
      <c r="B690" s="2">
        <v>0</v>
      </c>
      <c r="C690" t="s">
        <v>1269</v>
      </c>
      <c r="D690" t="s">
        <v>23</v>
      </c>
      <c r="E690" t="s">
        <v>24</v>
      </c>
      <c r="F690" t="s">
        <v>1245</v>
      </c>
      <c r="G690">
        <v>4039442</v>
      </c>
      <c r="H690" t="s">
        <v>26</v>
      </c>
      <c r="I690" t="s">
        <v>1246</v>
      </c>
      <c r="J690" t="str">
        <f>"9781118870976"</f>
        <v>9781118870976</v>
      </c>
      <c r="L690">
        <v>0</v>
      </c>
      <c r="M690" t="s">
        <v>1270</v>
      </c>
      <c r="N690" t="s">
        <v>1271</v>
      </c>
      <c r="O690" t="s">
        <v>30</v>
      </c>
      <c r="P690" t="s">
        <v>29</v>
      </c>
      <c r="Q690" s="1">
        <v>42390.867488425924</v>
      </c>
      <c r="R690">
        <v>7</v>
      </c>
      <c r="S690" t="s">
        <v>31</v>
      </c>
      <c r="T690" t="s">
        <v>1249</v>
      </c>
      <c r="U690">
        <v>629.13499999999999</v>
      </c>
      <c r="V690" s="3">
        <v>42279</v>
      </c>
    </row>
    <row r="691" spans="1:22" x14ac:dyDescent="0.35">
      <c r="A691" s="1">
        <v>42390.866018518522</v>
      </c>
      <c r="B691" s="2">
        <v>1.4699074074074074E-3</v>
      </c>
      <c r="C691" t="s">
        <v>1269</v>
      </c>
      <c r="D691" t="s">
        <v>23</v>
      </c>
      <c r="E691" t="s">
        <v>24</v>
      </c>
      <c r="F691" t="s">
        <v>1245</v>
      </c>
      <c r="G691">
        <v>4039442</v>
      </c>
      <c r="H691" t="s">
        <v>26</v>
      </c>
      <c r="I691" t="s">
        <v>1246</v>
      </c>
      <c r="J691" t="str">
        <f>"9781118870976"</f>
        <v>9781118870976</v>
      </c>
      <c r="K691" t="s">
        <v>1272</v>
      </c>
      <c r="L691">
        <v>64</v>
      </c>
      <c r="O691" t="s">
        <v>30</v>
      </c>
      <c r="P691" t="s">
        <v>42</v>
      </c>
      <c r="S691" t="s">
        <v>31</v>
      </c>
      <c r="T691" t="s">
        <v>1249</v>
      </c>
      <c r="U691">
        <v>629.13499999999999</v>
      </c>
      <c r="V691" s="3">
        <v>42279</v>
      </c>
    </row>
    <row r="692" spans="1:22" x14ac:dyDescent="0.35">
      <c r="A692" s="1">
        <v>42390.863263888888</v>
      </c>
      <c r="B692" s="2">
        <v>3.4722222222222222E-5</v>
      </c>
      <c r="C692" t="s">
        <v>950</v>
      </c>
      <c r="D692" t="s">
        <v>623</v>
      </c>
      <c r="E692" t="s">
        <v>624</v>
      </c>
      <c r="F692" t="s">
        <v>799</v>
      </c>
      <c r="G692">
        <v>1757959</v>
      </c>
      <c r="H692" t="s">
        <v>26</v>
      </c>
      <c r="I692" t="s">
        <v>800</v>
      </c>
      <c r="J692" t="str">
        <f>"9781118767023"</f>
        <v>9781118767023</v>
      </c>
      <c r="K692" t="s">
        <v>33</v>
      </c>
      <c r="L692">
        <v>3</v>
      </c>
      <c r="N692" t="s">
        <v>952</v>
      </c>
      <c r="O692" t="s">
        <v>30</v>
      </c>
      <c r="P692" t="s">
        <v>29</v>
      </c>
      <c r="Q692" s="1">
        <v>42388.853506944448</v>
      </c>
      <c r="R692">
        <v>7</v>
      </c>
      <c r="S692" t="s">
        <v>627</v>
      </c>
      <c r="T692" t="s">
        <v>802</v>
      </c>
      <c r="U692" t="s">
        <v>803</v>
      </c>
      <c r="V692" s="3">
        <v>41850</v>
      </c>
    </row>
    <row r="693" spans="1:22" x14ac:dyDescent="0.35">
      <c r="A693" s="1">
        <v>42390.860798611109</v>
      </c>
      <c r="B693" s="2">
        <v>0</v>
      </c>
      <c r="C693" t="s">
        <v>1273</v>
      </c>
      <c r="D693" t="s">
        <v>211</v>
      </c>
      <c r="E693" t="s">
        <v>212</v>
      </c>
      <c r="F693" t="s">
        <v>1274</v>
      </c>
      <c r="G693">
        <v>784539</v>
      </c>
      <c r="H693" t="s">
        <v>84</v>
      </c>
      <c r="I693" t="s">
        <v>120</v>
      </c>
      <c r="J693" t="str">
        <f>"9780520950696"</f>
        <v>9780520950696</v>
      </c>
      <c r="L693">
        <v>0</v>
      </c>
      <c r="O693" t="s">
        <v>28</v>
      </c>
      <c r="P693" t="s">
        <v>29</v>
      </c>
      <c r="Q693" s="1">
        <v>42390.858344907407</v>
      </c>
      <c r="R693">
        <v>7</v>
      </c>
      <c r="S693" t="s">
        <v>214</v>
      </c>
      <c r="T693" t="s">
        <v>1275</v>
      </c>
      <c r="U693" t="s">
        <v>1276</v>
      </c>
      <c r="V693" s="3">
        <v>40848</v>
      </c>
    </row>
    <row r="694" spans="1:22" x14ac:dyDescent="0.35">
      <c r="A694" s="1">
        <v>42390.860613425924</v>
      </c>
      <c r="B694" s="2">
        <v>1.2905092592592591E-2</v>
      </c>
      <c r="C694" t="s">
        <v>988</v>
      </c>
      <c r="D694" t="s">
        <v>23</v>
      </c>
      <c r="E694" t="s">
        <v>24</v>
      </c>
      <c r="F694" t="s">
        <v>989</v>
      </c>
      <c r="G694">
        <v>330580</v>
      </c>
      <c r="H694" t="s">
        <v>91</v>
      </c>
      <c r="I694" t="s">
        <v>247</v>
      </c>
      <c r="J694" t="str">
        <f>"9781593859398"</f>
        <v>9781593859398</v>
      </c>
      <c r="K694" t="s">
        <v>1277</v>
      </c>
      <c r="L694">
        <v>12</v>
      </c>
      <c r="O694" t="s">
        <v>30</v>
      </c>
      <c r="P694" t="s">
        <v>29</v>
      </c>
      <c r="Q694" s="1">
        <v>42390.860613425924</v>
      </c>
      <c r="R694">
        <v>7</v>
      </c>
      <c r="S694" t="s">
        <v>31</v>
      </c>
      <c r="T694" t="s">
        <v>991</v>
      </c>
      <c r="U694">
        <v>616.89142000000004</v>
      </c>
      <c r="V694" s="3">
        <v>41773</v>
      </c>
    </row>
    <row r="695" spans="1:22" x14ac:dyDescent="0.35">
      <c r="A695" s="1">
        <v>42390.860497685186</v>
      </c>
      <c r="B695" s="2">
        <v>2.6620370370370372E-4</v>
      </c>
      <c r="C695" t="s">
        <v>1273</v>
      </c>
      <c r="D695" t="s">
        <v>211</v>
      </c>
      <c r="E695" t="s">
        <v>212</v>
      </c>
      <c r="F695" t="s">
        <v>1274</v>
      </c>
      <c r="G695">
        <v>784539</v>
      </c>
      <c r="H695" t="s">
        <v>84</v>
      </c>
      <c r="I695" t="s">
        <v>120</v>
      </c>
      <c r="J695" t="str">
        <f>"9780520950696"</f>
        <v>9780520950696</v>
      </c>
      <c r="K695" t="s">
        <v>1278</v>
      </c>
      <c r="L695">
        <v>3</v>
      </c>
      <c r="O695" t="s">
        <v>28</v>
      </c>
      <c r="P695" t="s">
        <v>29</v>
      </c>
      <c r="Q695" s="1">
        <v>42390.858344907407</v>
      </c>
      <c r="R695">
        <v>7</v>
      </c>
      <c r="S695" t="s">
        <v>214</v>
      </c>
      <c r="T695" t="s">
        <v>1275</v>
      </c>
      <c r="U695" t="s">
        <v>1276</v>
      </c>
      <c r="V695" s="3">
        <v>40848</v>
      </c>
    </row>
    <row r="696" spans="1:22" x14ac:dyDescent="0.35">
      <c r="A696" s="1">
        <v>42390.858344907407</v>
      </c>
      <c r="B696" s="2">
        <v>0</v>
      </c>
      <c r="C696" t="s">
        <v>1273</v>
      </c>
      <c r="D696" t="s">
        <v>211</v>
      </c>
      <c r="E696" t="s">
        <v>212</v>
      </c>
      <c r="F696" t="s">
        <v>1274</v>
      </c>
      <c r="G696">
        <v>784539</v>
      </c>
      <c r="H696" t="s">
        <v>84</v>
      </c>
      <c r="I696" t="s">
        <v>120</v>
      </c>
      <c r="J696" t="str">
        <f>"9780520950696"</f>
        <v>9780520950696</v>
      </c>
      <c r="L696">
        <v>0</v>
      </c>
      <c r="O696" t="s">
        <v>28</v>
      </c>
      <c r="P696" t="s">
        <v>29</v>
      </c>
      <c r="Q696" s="1">
        <v>42390.858344907407</v>
      </c>
      <c r="R696">
        <v>7</v>
      </c>
      <c r="S696" t="s">
        <v>214</v>
      </c>
      <c r="T696" t="s">
        <v>1275</v>
      </c>
      <c r="U696" t="s">
        <v>1276</v>
      </c>
      <c r="V696" s="3">
        <v>40848</v>
      </c>
    </row>
    <row r="697" spans="1:22" x14ac:dyDescent="0.35">
      <c r="A697" s="1">
        <v>42390.858344907407</v>
      </c>
      <c r="B697" s="2">
        <v>0</v>
      </c>
      <c r="C697" t="s">
        <v>1273</v>
      </c>
      <c r="D697" t="s">
        <v>211</v>
      </c>
      <c r="E697" t="s">
        <v>212</v>
      </c>
      <c r="F697" t="s">
        <v>1274</v>
      </c>
      <c r="G697">
        <v>784539</v>
      </c>
      <c r="H697" t="s">
        <v>84</v>
      </c>
      <c r="I697" t="s">
        <v>120</v>
      </c>
      <c r="J697" t="str">
        <f>"9780520950696"</f>
        <v>9780520950696</v>
      </c>
      <c r="L697">
        <v>0</v>
      </c>
      <c r="O697" t="s">
        <v>30</v>
      </c>
      <c r="P697" t="s">
        <v>29</v>
      </c>
      <c r="Q697" s="1">
        <v>42390.858344907407</v>
      </c>
      <c r="R697">
        <v>7</v>
      </c>
      <c r="S697" t="s">
        <v>214</v>
      </c>
      <c r="T697" t="s">
        <v>1275</v>
      </c>
      <c r="U697" t="s">
        <v>1276</v>
      </c>
      <c r="V697" s="3">
        <v>40848</v>
      </c>
    </row>
    <row r="698" spans="1:22" x14ac:dyDescent="0.35">
      <c r="A698" s="1">
        <v>42390.856215277781</v>
      </c>
      <c r="B698" s="2">
        <v>2.1296296296296298E-3</v>
      </c>
      <c r="C698" t="s">
        <v>1273</v>
      </c>
      <c r="D698" t="s">
        <v>211</v>
      </c>
      <c r="E698" t="s">
        <v>212</v>
      </c>
      <c r="F698" t="s">
        <v>1274</v>
      </c>
      <c r="G698">
        <v>784539</v>
      </c>
      <c r="H698" t="s">
        <v>84</v>
      </c>
      <c r="I698" t="s">
        <v>120</v>
      </c>
      <c r="J698" t="str">
        <f>"9780520950696"</f>
        <v>9780520950696</v>
      </c>
      <c r="K698" t="s">
        <v>339</v>
      </c>
      <c r="L698">
        <v>18</v>
      </c>
      <c r="O698" t="s">
        <v>30</v>
      </c>
      <c r="P698" t="s">
        <v>42</v>
      </c>
      <c r="S698" t="s">
        <v>214</v>
      </c>
      <c r="T698" t="s">
        <v>1275</v>
      </c>
      <c r="U698" t="s">
        <v>1276</v>
      </c>
      <c r="V698" s="3">
        <v>40848</v>
      </c>
    </row>
    <row r="699" spans="1:22" x14ac:dyDescent="0.35">
      <c r="A699" s="1">
        <v>42390.853344907409</v>
      </c>
      <c r="B699" s="2">
        <v>7.2685185185185188E-3</v>
      </c>
      <c r="C699" t="s">
        <v>988</v>
      </c>
      <c r="D699" t="s">
        <v>23</v>
      </c>
      <c r="E699" t="s">
        <v>24</v>
      </c>
      <c r="F699" t="s">
        <v>989</v>
      </c>
      <c r="G699">
        <v>330580</v>
      </c>
      <c r="H699" t="s">
        <v>91</v>
      </c>
      <c r="I699" t="s">
        <v>247</v>
      </c>
      <c r="J699" t="str">
        <f>"9781593859398"</f>
        <v>9781593859398</v>
      </c>
      <c r="K699" t="s">
        <v>1279</v>
      </c>
      <c r="L699">
        <v>30</v>
      </c>
      <c r="O699" t="s">
        <v>30</v>
      </c>
      <c r="P699" t="s">
        <v>42</v>
      </c>
      <c r="S699" t="s">
        <v>31</v>
      </c>
      <c r="T699" t="s">
        <v>991</v>
      </c>
      <c r="U699">
        <v>616.89142000000004</v>
      </c>
      <c r="V699" s="3">
        <v>41773</v>
      </c>
    </row>
    <row r="700" spans="1:22" x14ac:dyDescent="0.35">
      <c r="A700" s="1">
        <v>42390.80395833333</v>
      </c>
      <c r="B700" s="2">
        <v>3.4722222222222224E-4</v>
      </c>
      <c r="C700" t="s">
        <v>1280</v>
      </c>
      <c r="D700" t="s">
        <v>23</v>
      </c>
      <c r="E700" t="s">
        <v>24</v>
      </c>
      <c r="F700" t="s">
        <v>1281</v>
      </c>
      <c r="G700">
        <v>1486870</v>
      </c>
      <c r="H700" t="s">
        <v>68</v>
      </c>
      <c r="I700" t="s">
        <v>120</v>
      </c>
      <c r="J700" t="str">
        <f>"9781135206949"</f>
        <v>9781135206949</v>
      </c>
      <c r="K700" t="s">
        <v>1282</v>
      </c>
      <c r="L700">
        <v>9</v>
      </c>
      <c r="O700" t="s">
        <v>30</v>
      </c>
      <c r="P700" t="s">
        <v>50</v>
      </c>
      <c r="S700" t="s">
        <v>31</v>
      </c>
      <c r="T700" t="s">
        <v>1283</v>
      </c>
      <c r="U700">
        <v>364.131097309045</v>
      </c>
      <c r="V700" s="3">
        <v>41565</v>
      </c>
    </row>
    <row r="701" spans="1:22" x14ac:dyDescent="0.35">
      <c r="A701" s="1">
        <v>42390.782685185186</v>
      </c>
      <c r="B701" s="2">
        <v>0</v>
      </c>
      <c r="C701" t="s">
        <v>1284</v>
      </c>
      <c r="D701" t="s">
        <v>35</v>
      </c>
      <c r="E701" t="s">
        <v>36</v>
      </c>
      <c r="F701" t="s">
        <v>1285</v>
      </c>
      <c r="G701">
        <v>979950</v>
      </c>
      <c r="H701" t="s">
        <v>1286</v>
      </c>
      <c r="I701" t="s">
        <v>310</v>
      </c>
      <c r="J701" t="str">
        <f>"9781476600321"</f>
        <v>9781476600321</v>
      </c>
      <c r="L701">
        <v>0</v>
      </c>
      <c r="N701" t="s">
        <v>1287</v>
      </c>
      <c r="O701" t="s">
        <v>30</v>
      </c>
      <c r="P701" t="s">
        <v>29</v>
      </c>
      <c r="Q701" s="1">
        <v>42390.782685185186</v>
      </c>
      <c r="R701">
        <v>7</v>
      </c>
      <c r="S701" t="s">
        <v>40</v>
      </c>
      <c r="T701" t="s">
        <v>1288</v>
      </c>
      <c r="U701" t="s">
        <v>1289</v>
      </c>
      <c r="V701" s="3">
        <v>41100</v>
      </c>
    </row>
    <row r="702" spans="1:22" x14ac:dyDescent="0.35">
      <c r="A702" s="1">
        <v>42390.781759259262</v>
      </c>
      <c r="B702" s="2">
        <v>9.2592592592592585E-4</v>
      </c>
      <c r="C702" t="s">
        <v>1284</v>
      </c>
      <c r="D702" t="s">
        <v>35</v>
      </c>
      <c r="E702" t="s">
        <v>36</v>
      </c>
      <c r="F702" t="s">
        <v>1285</v>
      </c>
      <c r="G702">
        <v>979950</v>
      </c>
      <c r="H702" t="s">
        <v>1286</v>
      </c>
      <c r="I702" t="s">
        <v>310</v>
      </c>
      <c r="J702" t="str">
        <f>"9781476600321"</f>
        <v>9781476600321</v>
      </c>
      <c r="K702" t="s">
        <v>1290</v>
      </c>
      <c r="L702">
        <v>8</v>
      </c>
      <c r="O702" t="s">
        <v>30</v>
      </c>
      <c r="P702" t="s">
        <v>42</v>
      </c>
      <c r="S702" t="s">
        <v>40</v>
      </c>
      <c r="T702" t="s">
        <v>1288</v>
      </c>
      <c r="U702" t="s">
        <v>1289</v>
      </c>
      <c r="V702" s="3">
        <v>41100</v>
      </c>
    </row>
    <row r="703" spans="1:22" x14ac:dyDescent="0.35">
      <c r="A703" s="1">
        <v>42390.745393518519</v>
      </c>
      <c r="B703" s="2">
        <v>4.6296296296296294E-5</v>
      </c>
      <c r="C703" t="s">
        <v>866</v>
      </c>
      <c r="D703" t="s">
        <v>35</v>
      </c>
      <c r="E703" t="s">
        <v>36</v>
      </c>
      <c r="F703" t="s">
        <v>37</v>
      </c>
      <c r="G703">
        <v>1684620</v>
      </c>
      <c r="H703" t="s">
        <v>26</v>
      </c>
      <c r="I703" t="s">
        <v>38</v>
      </c>
      <c r="J703" t="str">
        <f>"9781118418925"</f>
        <v>9781118418925</v>
      </c>
      <c r="K703" t="s">
        <v>33</v>
      </c>
      <c r="L703">
        <v>3</v>
      </c>
      <c r="O703" t="s">
        <v>30</v>
      </c>
      <c r="P703" t="s">
        <v>42</v>
      </c>
      <c r="S703" t="s">
        <v>40</v>
      </c>
      <c r="T703" t="s">
        <v>41</v>
      </c>
      <c r="U703">
        <v>362.10680000000002</v>
      </c>
      <c r="V703" s="3">
        <v>41759</v>
      </c>
    </row>
    <row r="704" spans="1:22" x14ac:dyDescent="0.35">
      <c r="A704" s="1">
        <v>42390.744293981479</v>
      </c>
      <c r="B704" s="2">
        <v>3.8194444444444446E-4</v>
      </c>
      <c r="C704" t="s">
        <v>1291</v>
      </c>
      <c r="D704" t="s">
        <v>23</v>
      </c>
      <c r="E704" t="s">
        <v>24</v>
      </c>
      <c r="F704" t="s">
        <v>1292</v>
      </c>
      <c r="G704">
        <v>1719859</v>
      </c>
      <c r="H704" t="s">
        <v>26</v>
      </c>
      <c r="I704" t="s">
        <v>1293</v>
      </c>
      <c r="J704" t="str">
        <f>"9783527673308"</f>
        <v>9783527673308</v>
      </c>
      <c r="K704" t="s">
        <v>1294</v>
      </c>
      <c r="L704">
        <v>10</v>
      </c>
      <c r="O704" t="s">
        <v>30</v>
      </c>
      <c r="P704" t="s">
        <v>50</v>
      </c>
      <c r="S704" t="s">
        <v>31</v>
      </c>
      <c r="T704" t="s">
        <v>1295</v>
      </c>
      <c r="U704">
        <v>660.29949999999997</v>
      </c>
      <c r="V704" s="3">
        <v>41813</v>
      </c>
    </row>
    <row r="705" spans="1:22" x14ac:dyDescent="0.35">
      <c r="A705" s="1">
        <v>42390.678298611114</v>
      </c>
      <c r="B705" s="2">
        <v>0</v>
      </c>
      <c r="C705" t="s">
        <v>145</v>
      </c>
      <c r="D705" t="s">
        <v>146</v>
      </c>
      <c r="E705" t="s">
        <v>147</v>
      </c>
      <c r="F705" t="s">
        <v>148</v>
      </c>
      <c r="G705">
        <v>877717</v>
      </c>
      <c r="H705" t="s">
        <v>149</v>
      </c>
      <c r="I705" t="s">
        <v>150</v>
      </c>
      <c r="J705" t="str">
        <f>"9781438139265"</f>
        <v>9781438139265</v>
      </c>
      <c r="K705" t="s">
        <v>1296</v>
      </c>
      <c r="L705">
        <v>1</v>
      </c>
      <c r="O705" t="s">
        <v>30</v>
      </c>
      <c r="P705" t="s">
        <v>29</v>
      </c>
      <c r="Q705" s="1">
        <v>42390.678287037037</v>
      </c>
      <c r="R705">
        <v>7</v>
      </c>
      <c r="S705" t="s">
        <v>1297</v>
      </c>
      <c r="T705" t="s">
        <v>153</v>
      </c>
      <c r="U705" t="s">
        <v>154</v>
      </c>
      <c r="V705" s="3">
        <v>40909</v>
      </c>
    </row>
    <row r="706" spans="1:22" x14ac:dyDescent="0.35">
      <c r="A706" s="1">
        <v>42390.676145833335</v>
      </c>
      <c r="B706" s="2">
        <v>7.5231481481481471E-4</v>
      </c>
      <c r="C706" t="s">
        <v>106</v>
      </c>
      <c r="D706" t="s">
        <v>23</v>
      </c>
      <c r="E706" t="s">
        <v>24</v>
      </c>
      <c r="F706" t="s">
        <v>1245</v>
      </c>
      <c r="G706">
        <v>4039442</v>
      </c>
      <c r="H706" t="s">
        <v>26</v>
      </c>
      <c r="I706" t="s">
        <v>1246</v>
      </c>
      <c r="J706" t="str">
        <f>"9781118870976"</f>
        <v>9781118870976</v>
      </c>
      <c r="K706" t="s">
        <v>105</v>
      </c>
      <c r="L706">
        <v>1</v>
      </c>
      <c r="M706" t="s">
        <v>105</v>
      </c>
      <c r="O706" t="s">
        <v>30</v>
      </c>
      <c r="P706" t="s">
        <v>29</v>
      </c>
      <c r="Q706" s="1">
        <v>42390.676145833335</v>
      </c>
      <c r="R706">
        <v>7</v>
      </c>
      <c r="S706" t="s">
        <v>31</v>
      </c>
      <c r="T706" t="s">
        <v>1249</v>
      </c>
      <c r="U706">
        <v>629.13499999999999</v>
      </c>
      <c r="V706" s="3">
        <v>42279</v>
      </c>
    </row>
    <row r="707" spans="1:22" x14ac:dyDescent="0.35">
      <c r="A707" s="1">
        <v>42390.674293981479</v>
      </c>
      <c r="B707" s="2">
        <v>1.8518518518518517E-3</v>
      </c>
      <c r="C707" t="s">
        <v>106</v>
      </c>
      <c r="D707" t="s">
        <v>23</v>
      </c>
      <c r="E707" t="s">
        <v>24</v>
      </c>
      <c r="F707" t="s">
        <v>1245</v>
      </c>
      <c r="G707">
        <v>4039442</v>
      </c>
      <c r="H707" t="s">
        <v>26</v>
      </c>
      <c r="I707" t="s">
        <v>1246</v>
      </c>
      <c r="J707" t="str">
        <f>"9781118870976"</f>
        <v>9781118870976</v>
      </c>
      <c r="K707" t="s">
        <v>1298</v>
      </c>
      <c r="L707">
        <v>53</v>
      </c>
      <c r="O707" t="s">
        <v>30</v>
      </c>
      <c r="P707" t="s">
        <v>50</v>
      </c>
      <c r="S707" t="s">
        <v>31</v>
      </c>
      <c r="T707" t="s">
        <v>1249</v>
      </c>
      <c r="U707">
        <v>629.13499999999999</v>
      </c>
      <c r="V707" s="3">
        <v>42279</v>
      </c>
    </row>
    <row r="708" spans="1:22" x14ac:dyDescent="0.35">
      <c r="A708" s="1">
        <v>42390.66783564815</v>
      </c>
      <c r="B708" s="2">
        <v>1.045138888888889E-2</v>
      </c>
      <c r="C708" t="s">
        <v>145</v>
      </c>
      <c r="D708" t="s">
        <v>146</v>
      </c>
      <c r="E708" t="s">
        <v>147</v>
      </c>
      <c r="F708" t="s">
        <v>148</v>
      </c>
      <c r="G708">
        <v>877717</v>
      </c>
      <c r="H708" t="s">
        <v>149</v>
      </c>
      <c r="I708" t="s">
        <v>150</v>
      </c>
      <c r="J708" t="str">
        <f>"9781438139265"</f>
        <v>9781438139265</v>
      </c>
      <c r="K708" t="s">
        <v>1299</v>
      </c>
      <c r="L708">
        <v>32</v>
      </c>
      <c r="O708" t="s">
        <v>30</v>
      </c>
      <c r="P708" t="s">
        <v>42</v>
      </c>
      <c r="S708" t="s">
        <v>1297</v>
      </c>
      <c r="T708" t="s">
        <v>153</v>
      </c>
      <c r="U708" t="s">
        <v>154</v>
      </c>
      <c r="V708" s="3">
        <v>40909</v>
      </c>
    </row>
    <row r="709" spans="1:22" x14ac:dyDescent="0.35">
      <c r="A709" s="1">
        <v>42390.667557870373</v>
      </c>
      <c r="B709" s="2">
        <v>2.3148148148148147E-5</v>
      </c>
      <c r="C709" t="s">
        <v>145</v>
      </c>
      <c r="D709" t="s">
        <v>146</v>
      </c>
      <c r="E709" t="s">
        <v>147</v>
      </c>
      <c r="F709" t="s">
        <v>148</v>
      </c>
      <c r="G709">
        <v>877717</v>
      </c>
      <c r="H709" t="s">
        <v>149</v>
      </c>
      <c r="I709" t="s">
        <v>150</v>
      </c>
      <c r="J709" t="str">
        <f>"9781438139265"</f>
        <v>9781438139265</v>
      </c>
      <c r="K709" t="s">
        <v>1300</v>
      </c>
      <c r="L709">
        <v>2</v>
      </c>
      <c r="O709" t="s">
        <v>30</v>
      </c>
      <c r="P709" t="s">
        <v>42</v>
      </c>
      <c r="S709" t="s">
        <v>1297</v>
      </c>
      <c r="T709" t="s">
        <v>153</v>
      </c>
      <c r="U709" t="s">
        <v>154</v>
      </c>
      <c r="V709" s="3">
        <v>40909</v>
      </c>
    </row>
    <row r="710" spans="1:22" x14ac:dyDescent="0.35">
      <c r="A710" s="1">
        <v>42390.666377314818</v>
      </c>
      <c r="B710" s="2">
        <v>2.9861111111111113E-3</v>
      </c>
      <c r="C710" t="s">
        <v>106</v>
      </c>
      <c r="D710" t="s">
        <v>23</v>
      </c>
      <c r="E710" t="s">
        <v>24</v>
      </c>
      <c r="F710" t="s">
        <v>1301</v>
      </c>
      <c r="G710">
        <v>1581915</v>
      </c>
      <c r="H710" t="s">
        <v>68</v>
      </c>
      <c r="I710" t="s">
        <v>150</v>
      </c>
      <c r="J710" t="str">
        <f>"9781317766223"</f>
        <v>9781317766223</v>
      </c>
      <c r="K710" t="s">
        <v>1302</v>
      </c>
      <c r="L710">
        <v>13</v>
      </c>
      <c r="O710" t="s">
        <v>30</v>
      </c>
      <c r="P710" t="s">
        <v>50</v>
      </c>
      <c r="S710" t="s">
        <v>31</v>
      </c>
      <c r="T710" t="s">
        <v>1303</v>
      </c>
      <c r="U710">
        <v>791.43635300000005</v>
      </c>
      <c r="V710" s="3">
        <v>41624</v>
      </c>
    </row>
    <row r="711" spans="1:22" x14ac:dyDescent="0.35">
      <c r="A711" s="1">
        <v>42390.661770833336</v>
      </c>
      <c r="B711" s="2">
        <v>9.8148148148148144E-3</v>
      </c>
      <c r="C711" t="s">
        <v>1234</v>
      </c>
      <c r="D711" t="s">
        <v>35</v>
      </c>
      <c r="E711" t="s">
        <v>36</v>
      </c>
      <c r="F711" t="s">
        <v>1235</v>
      </c>
      <c r="G711">
        <v>298457</v>
      </c>
      <c r="H711" t="s">
        <v>68</v>
      </c>
      <c r="I711" t="s">
        <v>1236</v>
      </c>
      <c r="J711" t="str">
        <f>"9780080520599"</f>
        <v>9780080520599</v>
      </c>
      <c r="K711" t="s">
        <v>1304</v>
      </c>
      <c r="L711">
        <v>24</v>
      </c>
      <c r="O711" t="s">
        <v>30</v>
      </c>
      <c r="P711" t="s">
        <v>47</v>
      </c>
      <c r="Q711" s="1">
        <v>42390.655613425923</v>
      </c>
      <c r="R711">
        <v>1</v>
      </c>
      <c r="S711" t="s">
        <v>40</v>
      </c>
      <c r="T711" t="s">
        <v>1237</v>
      </c>
      <c r="U711">
        <v>778.59</v>
      </c>
      <c r="V711" s="3">
        <v>41575</v>
      </c>
    </row>
    <row r="712" spans="1:22" x14ac:dyDescent="0.35">
      <c r="A712" s="1">
        <v>42390.655613425923</v>
      </c>
      <c r="B712" s="2">
        <v>1.273148148148148E-4</v>
      </c>
      <c r="C712" t="s">
        <v>1234</v>
      </c>
      <c r="D712" t="s">
        <v>35</v>
      </c>
      <c r="E712" t="s">
        <v>36</v>
      </c>
      <c r="F712" t="s">
        <v>1235</v>
      </c>
      <c r="G712">
        <v>298457</v>
      </c>
      <c r="H712" t="s">
        <v>68</v>
      </c>
      <c r="I712" t="s">
        <v>1236</v>
      </c>
      <c r="J712" t="str">
        <f>"9780080520599"</f>
        <v>9780080520599</v>
      </c>
      <c r="K712" t="s">
        <v>1305</v>
      </c>
      <c r="L712">
        <v>9</v>
      </c>
      <c r="O712" t="s">
        <v>30</v>
      </c>
      <c r="P712" t="s">
        <v>47</v>
      </c>
      <c r="Q712" s="1">
        <v>42390.655613425923</v>
      </c>
      <c r="R712">
        <v>1</v>
      </c>
      <c r="S712" t="s">
        <v>40</v>
      </c>
      <c r="T712" t="s">
        <v>1237</v>
      </c>
      <c r="U712">
        <v>778.59</v>
      </c>
      <c r="V712" s="3">
        <v>41575</v>
      </c>
    </row>
    <row r="713" spans="1:22" x14ac:dyDescent="0.35">
      <c r="A713" s="1">
        <v>42390.644328703704</v>
      </c>
      <c r="B713" s="2">
        <v>4.7453703703703704E-4</v>
      </c>
      <c r="C713" t="s">
        <v>1306</v>
      </c>
      <c r="D713" t="s">
        <v>158</v>
      </c>
      <c r="E713" t="s">
        <v>159</v>
      </c>
      <c r="F713" t="s">
        <v>1121</v>
      </c>
      <c r="G713">
        <v>875809</v>
      </c>
      <c r="H713" t="s">
        <v>26</v>
      </c>
      <c r="I713" t="s">
        <v>27</v>
      </c>
      <c r="J713" t="str">
        <f>"9781118223598"</f>
        <v>9781118223598</v>
      </c>
      <c r="K713" t="s">
        <v>1307</v>
      </c>
      <c r="L713">
        <v>10</v>
      </c>
      <c r="O713" t="s">
        <v>30</v>
      </c>
      <c r="P713" t="s">
        <v>42</v>
      </c>
      <c r="S713" t="s">
        <v>163</v>
      </c>
      <c r="T713" t="s">
        <v>1123</v>
      </c>
      <c r="U713">
        <v>428.00709999999998</v>
      </c>
      <c r="V713" s="3">
        <v>41128</v>
      </c>
    </row>
    <row r="714" spans="1:22" x14ac:dyDescent="0.35">
      <c r="A714" s="1">
        <v>42390.629826388889</v>
      </c>
      <c r="B714" s="2">
        <v>0</v>
      </c>
      <c r="C714" t="s">
        <v>1199</v>
      </c>
      <c r="D714" t="s">
        <v>623</v>
      </c>
      <c r="E714" t="s">
        <v>624</v>
      </c>
      <c r="F714" t="s">
        <v>1308</v>
      </c>
      <c r="G714">
        <v>4218781</v>
      </c>
      <c r="H714" t="s">
        <v>68</v>
      </c>
      <c r="I714" t="s">
        <v>120</v>
      </c>
      <c r="J714" t="str">
        <f>"9781317423829"</f>
        <v>9781317423829</v>
      </c>
      <c r="L714">
        <v>0</v>
      </c>
      <c r="M714" t="s">
        <v>1309</v>
      </c>
      <c r="O714" t="s">
        <v>30</v>
      </c>
      <c r="P714" t="s">
        <v>47</v>
      </c>
      <c r="Q714" s="1">
        <v>42390.629826388889</v>
      </c>
      <c r="R714">
        <v>1</v>
      </c>
      <c r="S714" t="s">
        <v>627</v>
      </c>
      <c r="T714" t="s">
        <v>1310</v>
      </c>
      <c r="U714">
        <v>303.01</v>
      </c>
      <c r="V714" s="3">
        <v>41557</v>
      </c>
    </row>
    <row r="715" spans="1:22" x14ac:dyDescent="0.35">
      <c r="A715" s="1">
        <v>42390.628657407404</v>
      </c>
      <c r="B715" s="2">
        <v>1.1689814814814816E-3</v>
      </c>
      <c r="C715" t="s">
        <v>1199</v>
      </c>
      <c r="D715" t="s">
        <v>623</v>
      </c>
      <c r="E715" t="s">
        <v>624</v>
      </c>
      <c r="F715" t="s">
        <v>1308</v>
      </c>
      <c r="G715">
        <v>4218781</v>
      </c>
      <c r="H715" t="s">
        <v>68</v>
      </c>
      <c r="I715" t="s">
        <v>120</v>
      </c>
      <c r="J715" t="str">
        <f>"9781317423829"</f>
        <v>9781317423829</v>
      </c>
      <c r="K715" t="s">
        <v>209</v>
      </c>
      <c r="L715">
        <v>4</v>
      </c>
      <c r="O715" t="s">
        <v>30</v>
      </c>
      <c r="P715" t="s">
        <v>50</v>
      </c>
      <c r="S715" t="s">
        <v>627</v>
      </c>
      <c r="T715" t="s">
        <v>1310</v>
      </c>
      <c r="U715">
        <v>303.01</v>
      </c>
      <c r="V715" s="3">
        <v>41557</v>
      </c>
    </row>
    <row r="716" spans="1:22" x14ac:dyDescent="0.35">
      <c r="A716" s="1">
        <v>42390.628217592595</v>
      </c>
      <c r="B716" s="2">
        <v>8.1122685185185187E-2</v>
      </c>
      <c r="C716" t="s">
        <v>471</v>
      </c>
      <c r="D716" t="s">
        <v>211</v>
      </c>
      <c r="E716" t="s">
        <v>212</v>
      </c>
      <c r="F716" t="s">
        <v>497</v>
      </c>
      <c r="G716">
        <v>1986951</v>
      </c>
      <c r="H716" t="s">
        <v>26</v>
      </c>
      <c r="I716" t="s">
        <v>97</v>
      </c>
      <c r="J716" t="str">
        <f>"9781119130468"</f>
        <v>9781119130468</v>
      </c>
      <c r="K716" t="s">
        <v>1311</v>
      </c>
      <c r="L716">
        <v>48</v>
      </c>
      <c r="M716" t="s">
        <v>1312</v>
      </c>
      <c r="O716" t="s">
        <v>30</v>
      </c>
      <c r="P716" t="s">
        <v>29</v>
      </c>
      <c r="Q716" s="1">
        <v>42387.644108796296</v>
      </c>
      <c r="R716">
        <v>7</v>
      </c>
      <c r="S716" t="s">
        <v>214</v>
      </c>
      <c r="T716" t="s">
        <v>500</v>
      </c>
      <c r="U716">
        <v>657.07600000000002</v>
      </c>
      <c r="V716" s="3">
        <v>42143</v>
      </c>
    </row>
    <row r="717" spans="1:22" x14ac:dyDescent="0.35">
      <c r="A717" s="1">
        <v>42390.617430555554</v>
      </c>
      <c r="B717" s="2">
        <v>6.2500000000000001E-4</v>
      </c>
      <c r="C717" t="s">
        <v>1263</v>
      </c>
      <c r="D717" t="s">
        <v>35</v>
      </c>
      <c r="E717" t="s">
        <v>36</v>
      </c>
      <c r="F717" t="s">
        <v>1235</v>
      </c>
      <c r="G717">
        <v>298457</v>
      </c>
      <c r="H717" t="s">
        <v>68</v>
      </c>
      <c r="I717" t="s">
        <v>1236</v>
      </c>
      <c r="J717" t="str">
        <f>"9780080520599"</f>
        <v>9780080520599</v>
      </c>
      <c r="K717" t="s">
        <v>1313</v>
      </c>
      <c r="L717">
        <v>11</v>
      </c>
      <c r="O717" t="s">
        <v>30</v>
      </c>
      <c r="P717" t="s">
        <v>47</v>
      </c>
      <c r="Q717" s="1">
        <v>42390.617245370369</v>
      </c>
      <c r="R717">
        <v>1</v>
      </c>
      <c r="S717" t="s">
        <v>40</v>
      </c>
      <c r="T717" t="s">
        <v>1237</v>
      </c>
      <c r="U717">
        <v>778.59</v>
      </c>
      <c r="V717" s="3">
        <v>41575</v>
      </c>
    </row>
    <row r="718" spans="1:22" x14ac:dyDescent="0.35">
      <c r="A718" s="1">
        <v>42390.616979166669</v>
      </c>
      <c r="B718" s="2">
        <v>1.9560185185185184E-3</v>
      </c>
      <c r="C718" t="s">
        <v>1263</v>
      </c>
      <c r="D718" t="s">
        <v>35</v>
      </c>
      <c r="E718" t="s">
        <v>36</v>
      </c>
      <c r="F718" t="s">
        <v>1235</v>
      </c>
      <c r="G718">
        <v>298457</v>
      </c>
      <c r="H718" t="s">
        <v>68</v>
      </c>
      <c r="I718" t="s">
        <v>1236</v>
      </c>
      <c r="J718" t="str">
        <f>"9780080520599"</f>
        <v>9780080520599</v>
      </c>
      <c r="K718" t="s">
        <v>209</v>
      </c>
      <c r="L718">
        <v>4</v>
      </c>
      <c r="O718" t="s">
        <v>30</v>
      </c>
      <c r="P718" t="s">
        <v>50</v>
      </c>
      <c r="S718" t="s">
        <v>40</v>
      </c>
      <c r="T718" t="s">
        <v>1237</v>
      </c>
      <c r="U718">
        <v>778.59</v>
      </c>
      <c r="V718" s="3">
        <v>41575</v>
      </c>
    </row>
    <row r="719" spans="1:22" x14ac:dyDescent="0.35">
      <c r="A719" s="1">
        <v>42390.615925925929</v>
      </c>
      <c r="B719" s="2">
        <v>3.9687500000000001E-2</v>
      </c>
      <c r="C719" t="s">
        <v>1234</v>
      </c>
      <c r="D719" t="s">
        <v>35</v>
      </c>
      <c r="E719" t="s">
        <v>36</v>
      </c>
      <c r="F719" t="s">
        <v>1235</v>
      </c>
      <c r="G719">
        <v>298457</v>
      </c>
      <c r="H719" t="s">
        <v>68</v>
      </c>
      <c r="I719" t="s">
        <v>1236</v>
      </c>
      <c r="J719" t="str">
        <f>"9780080520599"</f>
        <v>9780080520599</v>
      </c>
      <c r="K719" t="s">
        <v>1314</v>
      </c>
      <c r="L719">
        <v>20</v>
      </c>
      <c r="O719" t="s">
        <v>30</v>
      </c>
      <c r="P719" t="s">
        <v>50</v>
      </c>
      <c r="S719" t="s">
        <v>40</v>
      </c>
      <c r="T719" t="s">
        <v>1237</v>
      </c>
      <c r="U719">
        <v>778.59</v>
      </c>
      <c r="V719" s="3">
        <v>41575</v>
      </c>
    </row>
    <row r="720" spans="1:22" x14ac:dyDescent="0.35">
      <c r="A720" s="1">
        <v>42390.606192129628</v>
      </c>
      <c r="B720" s="2">
        <v>1.105324074074074E-2</v>
      </c>
      <c r="C720" t="s">
        <v>1263</v>
      </c>
      <c r="D720" t="s">
        <v>35</v>
      </c>
      <c r="E720" t="s">
        <v>36</v>
      </c>
      <c r="F720" t="s">
        <v>1235</v>
      </c>
      <c r="G720">
        <v>298457</v>
      </c>
      <c r="H720" t="s">
        <v>68</v>
      </c>
      <c r="I720" t="s">
        <v>1236</v>
      </c>
      <c r="J720" t="str">
        <f>"9780080520599"</f>
        <v>9780080520599</v>
      </c>
      <c r="K720" t="s">
        <v>1315</v>
      </c>
      <c r="L720">
        <v>3</v>
      </c>
      <c r="O720" t="s">
        <v>30</v>
      </c>
      <c r="P720" t="s">
        <v>50</v>
      </c>
      <c r="S720" t="s">
        <v>40</v>
      </c>
      <c r="T720" t="s">
        <v>1237</v>
      </c>
      <c r="U720">
        <v>778.59</v>
      </c>
      <c r="V720" s="3">
        <v>41575</v>
      </c>
    </row>
    <row r="721" spans="1:22" x14ac:dyDescent="0.35">
      <c r="A721" s="1">
        <v>42390.60527777778</v>
      </c>
      <c r="B721" s="2">
        <v>3.4722222222222224E-4</v>
      </c>
      <c r="C721" t="s">
        <v>1263</v>
      </c>
      <c r="D721" t="s">
        <v>35</v>
      </c>
      <c r="E721" t="s">
        <v>36</v>
      </c>
      <c r="F721" t="s">
        <v>1235</v>
      </c>
      <c r="G721">
        <v>298457</v>
      </c>
      <c r="H721" t="s">
        <v>68</v>
      </c>
      <c r="I721" t="s">
        <v>1236</v>
      </c>
      <c r="J721" t="str">
        <f>"9780080520599"</f>
        <v>9780080520599</v>
      </c>
      <c r="K721" t="s">
        <v>889</v>
      </c>
      <c r="L721">
        <v>6</v>
      </c>
      <c r="O721" t="s">
        <v>30</v>
      </c>
      <c r="P721" t="s">
        <v>50</v>
      </c>
      <c r="S721" t="s">
        <v>40</v>
      </c>
      <c r="T721" t="s">
        <v>1237</v>
      </c>
      <c r="U721">
        <v>778.59</v>
      </c>
      <c r="V721" s="3">
        <v>41575</v>
      </c>
    </row>
    <row r="722" spans="1:22" x14ac:dyDescent="0.35">
      <c r="A722" s="1">
        <v>42390.58798611111</v>
      </c>
      <c r="B722" s="2">
        <v>2.1064814814814813E-3</v>
      </c>
      <c r="C722" t="s">
        <v>576</v>
      </c>
      <c r="D722" t="s">
        <v>35</v>
      </c>
      <c r="E722" t="s">
        <v>36</v>
      </c>
      <c r="F722" t="s">
        <v>1316</v>
      </c>
      <c r="G722">
        <v>1884289</v>
      </c>
      <c r="H722" t="s">
        <v>26</v>
      </c>
      <c r="I722" t="s">
        <v>1317</v>
      </c>
      <c r="J722" t="str">
        <f>"9781118636282"</f>
        <v>9781118636282</v>
      </c>
      <c r="K722" t="s">
        <v>1318</v>
      </c>
      <c r="L722">
        <v>19</v>
      </c>
      <c r="M722" t="s">
        <v>1319</v>
      </c>
      <c r="N722" t="s">
        <v>1320</v>
      </c>
      <c r="O722" t="s">
        <v>28</v>
      </c>
      <c r="P722" t="s">
        <v>29</v>
      </c>
      <c r="Q722" s="1">
        <v>42389.630532407406</v>
      </c>
      <c r="R722">
        <v>7</v>
      </c>
      <c r="S722" t="s">
        <v>40</v>
      </c>
      <c r="T722" t="s">
        <v>1321</v>
      </c>
      <c r="U722" t="s">
        <v>1322</v>
      </c>
      <c r="V722" s="3">
        <v>41977</v>
      </c>
    </row>
    <row r="723" spans="1:22" x14ac:dyDescent="0.35">
      <c r="A723" s="1">
        <v>42390.582152777781</v>
      </c>
      <c r="B723" s="2">
        <v>4.6296296296296294E-5</v>
      </c>
      <c r="C723" t="s">
        <v>576</v>
      </c>
      <c r="D723" t="s">
        <v>35</v>
      </c>
      <c r="E723" t="s">
        <v>36</v>
      </c>
      <c r="F723" t="s">
        <v>1316</v>
      </c>
      <c r="G723">
        <v>1884289</v>
      </c>
      <c r="H723" t="s">
        <v>26</v>
      </c>
      <c r="I723" t="s">
        <v>1317</v>
      </c>
      <c r="J723" t="str">
        <f>"9781118636282"</f>
        <v>9781118636282</v>
      </c>
      <c r="K723" t="s">
        <v>33</v>
      </c>
      <c r="L723">
        <v>3</v>
      </c>
      <c r="O723" t="s">
        <v>30</v>
      </c>
      <c r="P723" t="s">
        <v>29</v>
      </c>
      <c r="Q723" s="1">
        <v>42389.630532407406</v>
      </c>
      <c r="R723">
        <v>7</v>
      </c>
      <c r="S723" t="s">
        <v>40</v>
      </c>
      <c r="T723" t="s">
        <v>1321</v>
      </c>
      <c r="U723" t="s">
        <v>1322</v>
      </c>
      <c r="V723" s="3">
        <v>41977</v>
      </c>
    </row>
    <row r="724" spans="1:22" x14ac:dyDescent="0.35">
      <c r="A724" s="1">
        <v>42390.509085648147</v>
      </c>
      <c r="B724" s="2">
        <v>2.5462962962962961E-4</v>
      </c>
      <c r="C724" t="s">
        <v>1323</v>
      </c>
      <c r="D724" t="s">
        <v>23</v>
      </c>
      <c r="E724" t="s">
        <v>24</v>
      </c>
      <c r="F724" t="s">
        <v>1324</v>
      </c>
      <c r="G724">
        <v>406039</v>
      </c>
      <c r="H724" t="s">
        <v>91</v>
      </c>
      <c r="I724" t="s">
        <v>1325</v>
      </c>
      <c r="J724" t="str">
        <f>"9781606231432"</f>
        <v>9781606231432</v>
      </c>
      <c r="K724" t="s">
        <v>1326</v>
      </c>
      <c r="L724">
        <v>3</v>
      </c>
      <c r="O724" t="s">
        <v>30</v>
      </c>
      <c r="P724" t="s">
        <v>50</v>
      </c>
      <c r="S724" t="s">
        <v>31</v>
      </c>
      <c r="T724" t="s">
        <v>1327</v>
      </c>
      <c r="U724">
        <v>362.29199999999997</v>
      </c>
      <c r="V724" s="3">
        <v>41773</v>
      </c>
    </row>
    <row r="725" spans="1:22" x14ac:dyDescent="0.35">
      <c r="A725" s="1">
        <v>42390.164525462962</v>
      </c>
      <c r="B725" s="2">
        <v>2.6469907407407411E-2</v>
      </c>
      <c r="C725" t="s">
        <v>1328</v>
      </c>
      <c r="D725" t="s">
        <v>23</v>
      </c>
      <c r="E725" t="s">
        <v>24</v>
      </c>
      <c r="F725" t="s">
        <v>1329</v>
      </c>
      <c r="G725">
        <v>1863797</v>
      </c>
      <c r="H725" t="s">
        <v>526</v>
      </c>
      <c r="I725" t="s">
        <v>426</v>
      </c>
      <c r="J725" t="str">
        <f>"9780226199108"</f>
        <v>9780226199108</v>
      </c>
      <c r="K725" t="s">
        <v>1330</v>
      </c>
      <c r="L725">
        <v>207</v>
      </c>
      <c r="O725" t="s">
        <v>30</v>
      </c>
      <c r="P725" t="s">
        <v>47</v>
      </c>
      <c r="Q725" s="1">
        <v>42390.164525462962</v>
      </c>
      <c r="R725">
        <v>1</v>
      </c>
      <c r="S725" t="s">
        <v>31</v>
      </c>
      <c r="T725" t="s">
        <v>1331</v>
      </c>
      <c r="U725">
        <v>294.30919999999998</v>
      </c>
      <c r="V725" s="3">
        <v>42017</v>
      </c>
    </row>
    <row r="726" spans="1:22" x14ac:dyDescent="0.35">
      <c r="A726" s="1">
        <v>42390.16064814815</v>
      </c>
      <c r="B726" s="2">
        <v>3.8773148148148143E-3</v>
      </c>
      <c r="C726" t="s">
        <v>1328</v>
      </c>
      <c r="D726" t="s">
        <v>23</v>
      </c>
      <c r="E726" t="s">
        <v>24</v>
      </c>
      <c r="F726" t="s">
        <v>1329</v>
      </c>
      <c r="G726">
        <v>1863797</v>
      </c>
      <c r="H726" t="s">
        <v>526</v>
      </c>
      <c r="I726" t="s">
        <v>426</v>
      </c>
      <c r="J726" t="str">
        <f>"9780226199108"</f>
        <v>9780226199108</v>
      </c>
      <c r="K726" t="s">
        <v>1332</v>
      </c>
      <c r="L726">
        <v>16</v>
      </c>
      <c r="O726" t="s">
        <v>30</v>
      </c>
      <c r="P726" t="s">
        <v>50</v>
      </c>
      <c r="S726" t="s">
        <v>31</v>
      </c>
      <c r="T726" t="s">
        <v>1331</v>
      </c>
      <c r="U726">
        <v>294.30919999999998</v>
      </c>
      <c r="V726" s="3">
        <v>42017</v>
      </c>
    </row>
    <row r="727" spans="1:22" x14ac:dyDescent="0.35">
      <c r="A727" s="1">
        <v>42390.095405092594</v>
      </c>
      <c r="B727" s="2">
        <v>0</v>
      </c>
      <c r="C727" t="s">
        <v>1333</v>
      </c>
      <c r="D727" t="s">
        <v>23</v>
      </c>
      <c r="E727" t="s">
        <v>24</v>
      </c>
      <c r="F727" t="s">
        <v>1334</v>
      </c>
      <c r="G727">
        <v>730024</v>
      </c>
      <c r="H727" t="s">
        <v>84</v>
      </c>
      <c r="I727" t="s">
        <v>150</v>
      </c>
      <c r="J727" t="str">
        <f>"9780520947375"</f>
        <v>9780520947375</v>
      </c>
      <c r="L727">
        <v>0</v>
      </c>
      <c r="O727" t="s">
        <v>28</v>
      </c>
      <c r="P727" t="s">
        <v>47</v>
      </c>
      <c r="Q727" s="1">
        <v>42390.095405092594</v>
      </c>
      <c r="R727">
        <v>7</v>
      </c>
      <c r="S727" t="s">
        <v>31</v>
      </c>
      <c r="T727" t="s">
        <v>1335</v>
      </c>
      <c r="U727">
        <v>780</v>
      </c>
      <c r="V727" s="3">
        <v>41773</v>
      </c>
    </row>
    <row r="728" spans="1:22" x14ac:dyDescent="0.35">
      <c r="A728" s="1">
        <v>42390.095405092594</v>
      </c>
      <c r="B728" s="2">
        <v>0</v>
      </c>
      <c r="C728" t="s">
        <v>1333</v>
      </c>
      <c r="D728" t="s">
        <v>23</v>
      </c>
      <c r="E728" t="s">
        <v>24</v>
      </c>
      <c r="F728" t="s">
        <v>1334</v>
      </c>
      <c r="G728">
        <v>730024</v>
      </c>
      <c r="H728" t="s">
        <v>84</v>
      </c>
      <c r="I728" t="s">
        <v>150</v>
      </c>
      <c r="J728" t="str">
        <f>"9780520947375"</f>
        <v>9780520947375</v>
      </c>
      <c r="L728">
        <v>0</v>
      </c>
      <c r="O728" t="s">
        <v>30</v>
      </c>
      <c r="P728" t="s">
        <v>47</v>
      </c>
      <c r="Q728" s="1">
        <v>42390.095405092594</v>
      </c>
      <c r="R728">
        <v>7</v>
      </c>
      <c r="S728" t="s">
        <v>31</v>
      </c>
      <c r="T728" t="s">
        <v>1335</v>
      </c>
      <c r="U728">
        <v>780</v>
      </c>
      <c r="V728" s="3">
        <v>41773</v>
      </c>
    </row>
    <row r="729" spans="1:22" x14ac:dyDescent="0.35">
      <c r="A729" s="1">
        <v>42390.094039351854</v>
      </c>
      <c r="B729" s="2">
        <v>1.3657407407407409E-3</v>
      </c>
      <c r="C729" t="s">
        <v>1333</v>
      </c>
      <c r="D729" t="s">
        <v>23</v>
      </c>
      <c r="E729" t="s">
        <v>24</v>
      </c>
      <c r="F729" t="s">
        <v>1334</v>
      </c>
      <c r="G729">
        <v>730024</v>
      </c>
      <c r="H729" t="s">
        <v>84</v>
      </c>
      <c r="I729" t="s">
        <v>150</v>
      </c>
      <c r="J729" t="str">
        <f>"9780520947375"</f>
        <v>9780520947375</v>
      </c>
      <c r="K729" t="s">
        <v>1336</v>
      </c>
      <c r="L729">
        <v>9</v>
      </c>
      <c r="O729" t="s">
        <v>30</v>
      </c>
      <c r="P729" t="s">
        <v>50</v>
      </c>
      <c r="S729" t="s">
        <v>31</v>
      </c>
      <c r="T729" t="s">
        <v>1335</v>
      </c>
      <c r="U729">
        <v>780</v>
      </c>
      <c r="V729" s="3">
        <v>41773</v>
      </c>
    </row>
    <row r="730" spans="1:22" x14ac:dyDescent="0.35">
      <c r="A730" s="1">
        <v>42390.050219907411</v>
      </c>
      <c r="B730" s="2">
        <v>1.4293981481481482E-2</v>
      </c>
      <c r="C730" t="s">
        <v>1337</v>
      </c>
      <c r="D730" t="s">
        <v>23</v>
      </c>
      <c r="E730" t="s">
        <v>24</v>
      </c>
      <c r="F730" t="s">
        <v>939</v>
      </c>
      <c r="G730">
        <v>1619425</v>
      </c>
      <c r="H730" t="s">
        <v>68</v>
      </c>
      <c r="I730" t="s">
        <v>27</v>
      </c>
      <c r="J730" t="str">
        <f t="shared" ref="J730:J735" si="10">"9781317691242"</f>
        <v>9781317691242</v>
      </c>
      <c r="K730" t="s">
        <v>443</v>
      </c>
      <c r="L730">
        <v>19</v>
      </c>
      <c r="O730" t="s">
        <v>28</v>
      </c>
      <c r="P730" t="s">
        <v>47</v>
      </c>
      <c r="Q730" s="1">
        <v>42390.048252314817</v>
      </c>
      <c r="R730">
        <v>1</v>
      </c>
      <c r="S730" t="s">
        <v>31</v>
      </c>
      <c r="T730" t="s">
        <v>941</v>
      </c>
      <c r="U730">
        <v>415</v>
      </c>
      <c r="V730" s="3">
        <v>41638</v>
      </c>
    </row>
    <row r="731" spans="1:22" x14ac:dyDescent="0.35">
      <c r="A731" s="1">
        <v>42390.050092592595</v>
      </c>
      <c r="B731" s="2">
        <v>4.6296296296296294E-5</v>
      </c>
      <c r="C731" t="s">
        <v>1337</v>
      </c>
      <c r="D731" t="s">
        <v>23</v>
      </c>
      <c r="E731" t="s">
        <v>24</v>
      </c>
      <c r="F731" t="s">
        <v>939</v>
      </c>
      <c r="G731">
        <v>1619425</v>
      </c>
      <c r="H731" t="s">
        <v>68</v>
      </c>
      <c r="I731" t="s">
        <v>27</v>
      </c>
      <c r="J731" t="str">
        <f t="shared" si="10"/>
        <v>9781317691242</v>
      </c>
      <c r="K731" t="s">
        <v>33</v>
      </c>
      <c r="L731">
        <v>3</v>
      </c>
      <c r="O731" t="s">
        <v>30</v>
      </c>
      <c r="P731" t="s">
        <v>47</v>
      </c>
      <c r="Q731" s="1">
        <v>42390.048252314817</v>
      </c>
      <c r="R731">
        <v>1</v>
      </c>
      <c r="S731" t="s">
        <v>31</v>
      </c>
      <c r="T731" t="s">
        <v>941</v>
      </c>
      <c r="U731">
        <v>415</v>
      </c>
      <c r="V731" s="3">
        <v>41638</v>
      </c>
    </row>
    <row r="732" spans="1:22" x14ac:dyDescent="0.35">
      <c r="A732" s="1">
        <v>42390.04996527778</v>
      </c>
      <c r="B732" s="2">
        <v>0</v>
      </c>
      <c r="C732" t="s">
        <v>1337</v>
      </c>
      <c r="D732" t="s">
        <v>23</v>
      </c>
      <c r="E732" t="s">
        <v>24</v>
      </c>
      <c r="F732" t="s">
        <v>939</v>
      </c>
      <c r="G732">
        <v>1619425</v>
      </c>
      <c r="H732" t="s">
        <v>68</v>
      </c>
      <c r="I732" t="s">
        <v>27</v>
      </c>
      <c r="J732" t="str">
        <f t="shared" si="10"/>
        <v>9781317691242</v>
      </c>
      <c r="L732">
        <v>0</v>
      </c>
      <c r="O732" t="s">
        <v>28</v>
      </c>
      <c r="P732" t="s">
        <v>47</v>
      </c>
      <c r="Q732" s="1">
        <v>42390.048252314817</v>
      </c>
      <c r="R732">
        <v>1</v>
      </c>
      <c r="S732" t="s">
        <v>31</v>
      </c>
      <c r="T732" t="s">
        <v>941</v>
      </c>
      <c r="U732">
        <v>415</v>
      </c>
      <c r="V732" s="3">
        <v>41638</v>
      </c>
    </row>
    <row r="733" spans="1:22" x14ac:dyDescent="0.35">
      <c r="A733" s="1">
        <v>42390.048368055555</v>
      </c>
      <c r="B733" s="2">
        <v>3.5879629629629635E-4</v>
      </c>
      <c r="C733" t="s">
        <v>1337</v>
      </c>
      <c r="D733" t="s">
        <v>23</v>
      </c>
      <c r="E733" t="s">
        <v>24</v>
      </c>
      <c r="F733" t="s">
        <v>939</v>
      </c>
      <c r="G733">
        <v>1619425</v>
      </c>
      <c r="H733" t="s">
        <v>68</v>
      </c>
      <c r="I733" t="s">
        <v>27</v>
      </c>
      <c r="J733" t="str">
        <f t="shared" si="10"/>
        <v>9781317691242</v>
      </c>
      <c r="K733" t="s">
        <v>1338</v>
      </c>
      <c r="L733">
        <v>8</v>
      </c>
      <c r="O733" t="s">
        <v>28</v>
      </c>
      <c r="P733" t="s">
        <v>47</v>
      </c>
      <c r="Q733" s="1">
        <v>42390.048252314817</v>
      </c>
      <c r="R733">
        <v>1</v>
      </c>
      <c r="S733" t="s">
        <v>31</v>
      </c>
      <c r="T733" t="s">
        <v>941</v>
      </c>
      <c r="U733">
        <v>415</v>
      </c>
      <c r="V733" s="3">
        <v>41638</v>
      </c>
    </row>
    <row r="734" spans="1:22" x14ac:dyDescent="0.35">
      <c r="A734" s="1">
        <v>42390.048252314817</v>
      </c>
      <c r="B734" s="2">
        <v>2.3148148148148147E-5</v>
      </c>
      <c r="C734" t="s">
        <v>1337</v>
      </c>
      <c r="D734" t="s">
        <v>23</v>
      </c>
      <c r="E734" t="s">
        <v>24</v>
      </c>
      <c r="F734" t="s">
        <v>939</v>
      </c>
      <c r="G734">
        <v>1619425</v>
      </c>
      <c r="H734" t="s">
        <v>68</v>
      </c>
      <c r="I734" t="s">
        <v>27</v>
      </c>
      <c r="J734" t="str">
        <f t="shared" si="10"/>
        <v>9781317691242</v>
      </c>
      <c r="K734" t="s">
        <v>1339</v>
      </c>
      <c r="L734">
        <v>5</v>
      </c>
      <c r="O734" t="s">
        <v>30</v>
      </c>
      <c r="P734" t="s">
        <v>47</v>
      </c>
      <c r="Q734" s="1">
        <v>42390.048252314817</v>
      </c>
      <c r="R734">
        <v>1</v>
      </c>
      <c r="S734" t="s">
        <v>31</v>
      </c>
      <c r="T734" t="s">
        <v>941</v>
      </c>
      <c r="U734">
        <v>415</v>
      </c>
      <c r="V734" s="3">
        <v>41638</v>
      </c>
    </row>
    <row r="735" spans="1:22" x14ac:dyDescent="0.35">
      <c r="A735" s="1">
        <v>42390.022557870368</v>
      </c>
      <c r="B735" s="2">
        <v>2.5694444444444447E-2</v>
      </c>
      <c r="C735" t="s">
        <v>1337</v>
      </c>
      <c r="D735" t="s">
        <v>23</v>
      </c>
      <c r="E735" t="s">
        <v>24</v>
      </c>
      <c r="F735" t="s">
        <v>939</v>
      </c>
      <c r="G735">
        <v>1619425</v>
      </c>
      <c r="H735" t="s">
        <v>68</v>
      </c>
      <c r="I735" t="s">
        <v>27</v>
      </c>
      <c r="J735" t="str">
        <f t="shared" si="10"/>
        <v>9781317691242</v>
      </c>
      <c r="K735" t="s">
        <v>33</v>
      </c>
      <c r="L735">
        <v>3</v>
      </c>
      <c r="O735" t="s">
        <v>30</v>
      </c>
      <c r="P735" t="s">
        <v>50</v>
      </c>
      <c r="S735" t="s">
        <v>31</v>
      </c>
      <c r="T735" t="s">
        <v>941</v>
      </c>
      <c r="U735">
        <v>415</v>
      </c>
      <c r="V735" s="3">
        <v>41638</v>
      </c>
    </row>
    <row r="736" spans="1:22" x14ac:dyDescent="0.35">
      <c r="A736" s="1">
        <v>42389.99863425926</v>
      </c>
      <c r="B736" s="2">
        <v>9.3634259259259261E-3</v>
      </c>
      <c r="C736" t="s">
        <v>471</v>
      </c>
      <c r="D736" t="s">
        <v>211</v>
      </c>
      <c r="E736" t="s">
        <v>212</v>
      </c>
      <c r="F736" t="s">
        <v>497</v>
      </c>
      <c r="G736">
        <v>1986951</v>
      </c>
      <c r="H736" t="s">
        <v>26</v>
      </c>
      <c r="I736" t="s">
        <v>97</v>
      </c>
      <c r="J736" t="str">
        <f>"9781119130468"</f>
        <v>9781119130468</v>
      </c>
      <c r="K736" t="s">
        <v>1340</v>
      </c>
      <c r="L736">
        <v>25</v>
      </c>
      <c r="O736" t="s">
        <v>30</v>
      </c>
      <c r="P736" t="s">
        <v>29</v>
      </c>
      <c r="Q736" s="1">
        <v>42387.644108796296</v>
      </c>
      <c r="R736">
        <v>7</v>
      </c>
      <c r="S736" t="s">
        <v>214</v>
      </c>
      <c r="T736" t="s">
        <v>500</v>
      </c>
      <c r="U736">
        <v>657.07600000000002</v>
      </c>
      <c r="V736" s="3">
        <v>42143</v>
      </c>
    </row>
    <row r="737" spans="1:22" x14ac:dyDescent="0.35">
      <c r="A737" s="1">
        <v>42389.908668981479</v>
      </c>
      <c r="B737" s="2">
        <v>2.6620370370370374E-3</v>
      </c>
      <c r="C737" t="s">
        <v>1341</v>
      </c>
      <c r="D737" t="s">
        <v>35</v>
      </c>
      <c r="E737" t="s">
        <v>36</v>
      </c>
      <c r="F737" t="s">
        <v>1285</v>
      </c>
      <c r="G737">
        <v>979950</v>
      </c>
      <c r="H737" t="s">
        <v>1286</v>
      </c>
      <c r="I737" t="s">
        <v>310</v>
      </c>
      <c r="J737" t="str">
        <f>"9781476600321"</f>
        <v>9781476600321</v>
      </c>
      <c r="K737" t="s">
        <v>1342</v>
      </c>
      <c r="L737">
        <v>20</v>
      </c>
      <c r="O737" t="s">
        <v>30</v>
      </c>
      <c r="P737" t="s">
        <v>42</v>
      </c>
      <c r="S737" t="s">
        <v>40</v>
      </c>
      <c r="T737" t="s">
        <v>1288</v>
      </c>
      <c r="U737" t="s">
        <v>1289</v>
      </c>
      <c r="V737" s="3">
        <v>41100</v>
      </c>
    </row>
    <row r="738" spans="1:22" x14ac:dyDescent="0.35">
      <c r="A738" s="1">
        <v>42389.901550925926</v>
      </c>
      <c r="B738" s="2">
        <v>6.145833333333333E-3</v>
      </c>
      <c r="C738" t="s">
        <v>326</v>
      </c>
      <c r="D738" t="s">
        <v>35</v>
      </c>
      <c r="E738" t="s">
        <v>36</v>
      </c>
      <c r="F738" t="s">
        <v>327</v>
      </c>
      <c r="G738">
        <v>1691426</v>
      </c>
      <c r="H738" t="s">
        <v>26</v>
      </c>
      <c r="I738" t="s">
        <v>328</v>
      </c>
      <c r="J738" t="str">
        <f>"9781118839492"</f>
        <v>9781118839492</v>
      </c>
      <c r="K738" t="s">
        <v>1343</v>
      </c>
      <c r="L738">
        <v>34</v>
      </c>
      <c r="O738" t="s">
        <v>30</v>
      </c>
      <c r="P738" t="s">
        <v>42</v>
      </c>
      <c r="S738" t="s">
        <v>40</v>
      </c>
      <c r="T738" t="s">
        <v>331</v>
      </c>
      <c r="U738">
        <v>613.70460000000003</v>
      </c>
      <c r="V738" s="3">
        <v>41772</v>
      </c>
    </row>
    <row r="739" spans="1:22" x14ac:dyDescent="0.35">
      <c r="A739" s="1">
        <v>42389.874074074076</v>
      </c>
      <c r="B739" s="2">
        <v>3.9351851851851852E-4</v>
      </c>
      <c r="C739" t="s">
        <v>1291</v>
      </c>
      <c r="D739" t="s">
        <v>23</v>
      </c>
      <c r="E739" t="s">
        <v>24</v>
      </c>
      <c r="F739" t="s">
        <v>1344</v>
      </c>
      <c r="G739">
        <v>1211841</v>
      </c>
      <c r="H739" t="s">
        <v>26</v>
      </c>
      <c r="I739" t="s">
        <v>179</v>
      </c>
      <c r="J739" t="str">
        <f>"9781118507971"</f>
        <v>9781118507971</v>
      </c>
      <c r="K739" t="s">
        <v>1345</v>
      </c>
      <c r="L739">
        <v>12</v>
      </c>
      <c r="O739" t="s">
        <v>30</v>
      </c>
      <c r="P739" t="s">
        <v>50</v>
      </c>
      <c r="S739" t="s">
        <v>31</v>
      </c>
      <c r="T739" t="s">
        <v>1346</v>
      </c>
      <c r="U739" t="s">
        <v>1347</v>
      </c>
      <c r="V739" s="3">
        <v>41430</v>
      </c>
    </row>
    <row r="740" spans="1:22" x14ac:dyDescent="0.35">
      <c r="A740" s="1">
        <v>42389.867013888892</v>
      </c>
      <c r="B740" s="2">
        <v>3.4722222222222222E-5</v>
      </c>
      <c r="C740" t="s">
        <v>1291</v>
      </c>
      <c r="D740" t="s">
        <v>23</v>
      </c>
      <c r="E740" t="s">
        <v>24</v>
      </c>
      <c r="F740" t="s">
        <v>1348</v>
      </c>
      <c r="G740">
        <v>1985846</v>
      </c>
      <c r="H740" t="s">
        <v>26</v>
      </c>
      <c r="I740" t="s">
        <v>179</v>
      </c>
      <c r="J740" t="str">
        <f>"9783527688746"</f>
        <v>9783527688746</v>
      </c>
      <c r="K740" t="s">
        <v>33</v>
      </c>
      <c r="L740">
        <v>3</v>
      </c>
      <c r="O740" t="s">
        <v>30</v>
      </c>
      <c r="P740" t="s">
        <v>50</v>
      </c>
      <c r="S740" t="s">
        <v>31</v>
      </c>
      <c r="T740" t="s">
        <v>1349</v>
      </c>
      <c r="U740">
        <v>547.20000000000005</v>
      </c>
      <c r="V740" s="3">
        <v>42058</v>
      </c>
    </row>
    <row r="741" spans="1:22" x14ac:dyDescent="0.35">
      <c r="A741" s="1">
        <v>42389.863738425927</v>
      </c>
      <c r="B741" s="2">
        <v>3.1250000000000001E-4</v>
      </c>
      <c r="C741" t="s">
        <v>659</v>
      </c>
      <c r="D741" t="s">
        <v>146</v>
      </c>
      <c r="E741" t="s">
        <v>147</v>
      </c>
      <c r="F741" t="s">
        <v>1350</v>
      </c>
      <c r="G741">
        <v>1674237</v>
      </c>
      <c r="H741" t="s">
        <v>84</v>
      </c>
      <c r="I741" t="s">
        <v>120</v>
      </c>
      <c r="J741" t="str">
        <f>"9780520958456"</f>
        <v>9780520958456</v>
      </c>
      <c r="K741" t="s">
        <v>1351</v>
      </c>
      <c r="L741">
        <v>14</v>
      </c>
      <c r="O741" t="s">
        <v>30</v>
      </c>
      <c r="P741" t="s">
        <v>42</v>
      </c>
      <c r="S741" t="s">
        <v>528</v>
      </c>
      <c r="T741" t="s">
        <v>1352</v>
      </c>
      <c r="U741">
        <v>305.800973</v>
      </c>
      <c r="V741" s="3">
        <v>41851</v>
      </c>
    </row>
    <row r="742" spans="1:22" x14ac:dyDescent="0.35">
      <c r="A742" s="1">
        <v>42389.856817129628</v>
      </c>
      <c r="B742" s="2">
        <v>5.0925925925925921E-4</v>
      </c>
      <c r="C742" t="s">
        <v>659</v>
      </c>
      <c r="D742" t="s">
        <v>146</v>
      </c>
      <c r="E742" t="s">
        <v>147</v>
      </c>
      <c r="F742" t="s">
        <v>1353</v>
      </c>
      <c r="G742">
        <v>860474</v>
      </c>
      <c r="H742" t="s">
        <v>26</v>
      </c>
      <c r="I742" t="s">
        <v>1354</v>
      </c>
      <c r="J742" t="str">
        <f>"9780857082909"</f>
        <v>9780857082909</v>
      </c>
      <c r="K742" t="s">
        <v>1355</v>
      </c>
      <c r="L742">
        <v>19</v>
      </c>
      <c r="O742" t="s">
        <v>30</v>
      </c>
      <c r="P742" t="s">
        <v>42</v>
      </c>
      <c r="S742" t="s">
        <v>528</v>
      </c>
      <c r="T742" t="s">
        <v>1356</v>
      </c>
      <c r="U742" t="s">
        <v>1357</v>
      </c>
      <c r="V742" s="3">
        <v>40947</v>
      </c>
    </row>
    <row r="743" spans="1:22" x14ac:dyDescent="0.35">
      <c r="A743" s="1">
        <v>42389.852060185185</v>
      </c>
      <c r="B743" s="2">
        <v>5.0925925925925921E-3</v>
      </c>
      <c r="C743" t="s">
        <v>659</v>
      </c>
      <c r="D743" t="s">
        <v>146</v>
      </c>
      <c r="E743" t="s">
        <v>147</v>
      </c>
      <c r="F743" t="s">
        <v>1285</v>
      </c>
      <c r="G743">
        <v>979950</v>
      </c>
      <c r="H743" t="s">
        <v>1286</v>
      </c>
      <c r="I743" t="s">
        <v>310</v>
      </c>
      <c r="J743" t="str">
        <f>"9781476600321"</f>
        <v>9781476600321</v>
      </c>
      <c r="K743" t="s">
        <v>1358</v>
      </c>
      <c r="L743">
        <v>17</v>
      </c>
      <c r="O743" t="s">
        <v>30</v>
      </c>
      <c r="P743" t="s">
        <v>42</v>
      </c>
      <c r="S743" t="s">
        <v>528</v>
      </c>
      <c r="T743" t="s">
        <v>1288</v>
      </c>
      <c r="U743" t="s">
        <v>1289</v>
      </c>
      <c r="V743" s="3">
        <v>41100</v>
      </c>
    </row>
    <row r="744" spans="1:22" x14ac:dyDescent="0.35">
      <c r="A744" s="1">
        <v>42389.839178240742</v>
      </c>
      <c r="B744" s="2">
        <v>1.2847222222222223E-3</v>
      </c>
      <c r="C744" t="s">
        <v>576</v>
      </c>
      <c r="D744" t="s">
        <v>35</v>
      </c>
      <c r="E744" t="s">
        <v>36</v>
      </c>
      <c r="F744" t="s">
        <v>1316</v>
      </c>
      <c r="G744">
        <v>1884289</v>
      </c>
      <c r="H744" t="s">
        <v>26</v>
      </c>
      <c r="I744" t="s">
        <v>1317</v>
      </c>
      <c r="J744" t="str">
        <f>"9781118636282"</f>
        <v>9781118636282</v>
      </c>
      <c r="K744" t="s">
        <v>1359</v>
      </c>
      <c r="L744">
        <v>17</v>
      </c>
      <c r="N744" t="s">
        <v>1360</v>
      </c>
      <c r="O744" t="s">
        <v>28</v>
      </c>
      <c r="P744" t="s">
        <v>29</v>
      </c>
      <c r="Q744" s="1">
        <v>42389.630532407406</v>
      </c>
      <c r="R744">
        <v>7</v>
      </c>
      <c r="S744" t="s">
        <v>40</v>
      </c>
      <c r="T744" t="s">
        <v>1321</v>
      </c>
      <c r="U744" t="s">
        <v>1322</v>
      </c>
      <c r="V744" s="3">
        <v>41977</v>
      </c>
    </row>
    <row r="745" spans="1:22" x14ac:dyDescent="0.35">
      <c r="A745" s="1">
        <v>42389.83084490741</v>
      </c>
      <c r="B745" s="2">
        <v>8.1944444444444452E-3</v>
      </c>
      <c r="C745" t="s">
        <v>576</v>
      </c>
      <c r="D745" t="s">
        <v>35</v>
      </c>
      <c r="E745" t="s">
        <v>36</v>
      </c>
      <c r="F745" t="s">
        <v>1316</v>
      </c>
      <c r="G745">
        <v>1884289</v>
      </c>
      <c r="H745" t="s">
        <v>26</v>
      </c>
      <c r="I745" t="s">
        <v>1317</v>
      </c>
      <c r="J745" t="str">
        <f>"9781118636282"</f>
        <v>9781118636282</v>
      </c>
      <c r="K745" t="s">
        <v>1361</v>
      </c>
      <c r="L745">
        <v>340</v>
      </c>
      <c r="O745" t="s">
        <v>30</v>
      </c>
      <c r="P745" t="s">
        <v>29</v>
      </c>
      <c r="Q745" s="1">
        <v>42389.630532407406</v>
      </c>
      <c r="R745">
        <v>7</v>
      </c>
      <c r="S745" t="s">
        <v>40</v>
      </c>
      <c r="T745" t="s">
        <v>1321</v>
      </c>
      <c r="U745" t="s">
        <v>1322</v>
      </c>
      <c r="V745" s="3">
        <v>41977</v>
      </c>
    </row>
    <row r="746" spans="1:22" x14ac:dyDescent="0.35">
      <c r="A746" s="1">
        <v>42389.828043981484</v>
      </c>
      <c r="B746" s="2">
        <v>9.9537037037037042E-4</v>
      </c>
      <c r="C746" t="s">
        <v>1362</v>
      </c>
      <c r="D746" t="s">
        <v>23</v>
      </c>
      <c r="E746" t="s">
        <v>24</v>
      </c>
      <c r="F746" t="s">
        <v>604</v>
      </c>
      <c r="G746">
        <v>2166474</v>
      </c>
      <c r="H746" t="s">
        <v>26</v>
      </c>
      <c r="I746" t="s">
        <v>247</v>
      </c>
      <c r="J746" t="str">
        <f>"9781118929285"</f>
        <v>9781118929285</v>
      </c>
      <c r="K746" t="s">
        <v>1363</v>
      </c>
      <c r="L746">
        <v>12</v>
      </c>
      <c r="O746" t="s">
        <v>30</v>
      </c>
      <c r="P746" t="s">
        <v>42</v>
      </c>
      <c r="S746" t="s">
        <v>31</v>
      </c>
      <c r="T746" t="s">
        <v>606</v>
      </c>
      <c r="U746">
        <v>617.6</v>
      </c>
      <c r="V746" s="3">
        <v>42156</v>
      </c>
    </row>
    <row r="747" spans="1:22" x14ac:dyDescent="0.35">
      <c r="A747" s="1">
        <v>42389.79042824074</v>
      </c>
      <c r="B747" s="2">
        <v>3.4166666666666672E-2</v>
      </c>
      <c r="C747" t="s">
        <v>524</v>
      </c>
      <c r="D747" t="s">
        <v>146</v>
      </c>
      <c r="E747" t="s">
        <v>147</v>
      </c>
      <c r="F747" t="s">
        <v>1364</v>
      </c>
      <c r="G747">
        <v>1310741</v>
      </c>
      <c r="H747" t="s">
        <v>1365</v>
      </c>
      <c r="I747" t="s">
        <v>1366</v>
      </c>
      <c r="J747" t="str">
        <f>"9781408107461"</f>
        <v>9781408107461</v>
      </c>
      <c r="K747" t="s">
        <v>1367</v>
      </c>
      <c r="L747">
        <v>22</v>
      </c>
      <c r="N747" t="s">
        <v>1368</v>
      </c>
      <c r="O747" t="s">
        <v>30</v>
      </c>
      <c r="P747" t="s">
        <v>29</v>
      </c>
      <c r="Q747" s="1">
        <v>42389.79042824074</v>
      </c>
      <c r="R747">
        <v>7</v>
      </c>
      <c r="S747" t="s">
        <v>591</v>
      </c>
      <c r="T747" t="s">
        <v>1369</v>
      </c>
      <c r="U747">
        <v>613.71</v>
      </c>
      <c r="V747" s="3">
        <v>39814</v>
      </c>
    </row>
    <row r="748" spans="1:22" x14ac:dyDescent="0.35">
      <c r="A748" s="1">
        <v>42389.787395833337</v>
      </c>
      <c r="B748" s="2">
        <v>3.0324074074074073E-3</v>
      </c>
      <c r="C748" t="s">
        <v>524</v>
      </c>
      <c r="D748" t="s">
        <v>146</v>
      </c>
      <c r="E748" t="s">
        <v>147</v>
      </c>
      <c r="F748" t="s">
        <v>1364</v>
      </c>
      <c r="G748">
        <v>1310741</v>
      </c>
      <c r="H748" t="s">
        <v>1365</v>
      </c>
      <c r="I748" t="s">
        <v>1366</v>
      </c>
      <c r="J748" t="str">
        <f>"9781408107461"</f>
        <v>9781408107461</v>
      </c>
      <c r="K748" t="s">
        <v>1370</v>
      </c>
      <c r="L748">
        <v>50</v>
      </c>
      <c r="O748" t="s">
        <v>30</v>
      </c>
      <c r="P748" t="s">
        <v>42</v>
      </c>
      <c r="S748" t="s">
        <v>591</v>
      </c>
      <c r="T748" t="s">
        <v>1369</v>
      </c>
      <c r="U748">
        <v>613.71</v>
      </c>
      <c r="V748" s="3">
        <v>39814</v>
      </c>
    </row>
    <row r="749" spans="1:22" x14ac:dyDescent="0.35">
      <c r="A749" s="1">
        <v>42389.770254629628</v>
      </c>
      <c r="B749" s="2">
        <v>1.8171296296296297E-3</v>
      </c>
      <c r="C749" t="s">
        <v>1371</v>
      </c>
      <c r="D749" t="s">
        <v>23</v>
      </c>
      <c r="E749" t="s">
        <v>24</v>
      </c>
      <c r="F749" t="s">
        <v>83</v>
      </c>
      <c r="G749">
        <v>1711065</v>
      </c>
      <c r="H749" t="s">
        <v>84</v>
      </c>
      <c r="I749" t="s">
        <v>85</v>
      </c>
      <c r="J749" t="str">
        <f>"9780520959156"</f>
        <v>9780520959156</v>
      </c>
      <c r="K749" t="s">
        <v>1372</v>
      </c>
      <c r="L749">
        <v>46</v>
      </c>
      <c r="O749" t="s">
        <v>30</v>
      </c>
      <c r="P749" t="s">
        <v>42</v>
      </c>
      <c r="S749" t="s">
        <v>31</v>
      </c>
      <c r="T749" t="s">
        <v>87</v>
      </c>
      <c r="U749" t="s">
        <v>88</v>
      </c>
      <c r="V749" s="3">
        <v>41881</v>
      </c>
    </row>
    <row r="750" spans="1:22" x14ac:dyDescent="0.35">
      <c r="A750" s="1">
        <v>42389.760844907411</v>
      </c>
      <c r="B750" s="2">
        <v>1.1921296296296296E-3</v>
      </c>
      <c r="C750" t="s">
        <v>1284</v>
      </c>
      <c r="D750" t="s">
        <v>35</v>
      </c>
      <c r="E750" t="s">
        <v>36</v>
      </c>
      <c r="F750" t="s">
        <v>1373</v>
      </c>
      <c r="G750">
        <v>979949</v>
      </c>
      <c r="H750" t="s">
        <v>1286</v>
      </c>
      <c r="I750" t="s">
        <v>310</v>
      </c>
      <c r="J750" t="str">
        <f>"9780786493234"</f>
        <v>9780786493234</v>
      </c>
      <c r="K750" t="s">
        <v>1374</v>
      </c>
      <c r="L750">
        <v>10</v>
      </c>
      <c r="N750" t="s">
        <v>1375</v>
      </c>
      <c r="O750" t="s">
        <v>30</v>
      </c>
      <c r="P750" t="s">
        <v>29</v>
      </c>
      <c r="Q750" s="1">
        <v>42389.760844907411</v>
      </c>
      <c r="R750">
        <v>7</v>
      </c>
      <c r="S750" t="s">
        <v>40</v>
      </c>
      <c r="T750" t="s">
        <v>1376</v>
      </c>
      <c r="U750" t="s">
        <v>1289</v>
      </c>
      <c r="V750" s="3">
        <v>41102</v>
      </c>
    </row>
    <row r="751" spans="1:22" x14ac:dyDescent="0.35">
      <c r="A751" s="1">
        <v>42389.760671296295</v>
      </c>
      <c r="B751" s="2">
        <v>1.7361111111111112E-4</v>
      </c>
      <c r="C751" t="s">
        <v>1284</v>
      </c>
      <c r="D751" t="s">
        <v>35</v>
      </c>
      <c r="E751" t="s">
        <v>36</v>
      </c>
      <c r="F751" t="s">
        <v>1373</v>
      </c>
      <c r="G751">
        <v>979949</v>
      </c>
      <c r="H751" t="s">
        <v>1286</v>
      </c>
      <c r="I751" t="s">
        <v>310</v>
      </c>
      <c r="J751" t="str">
        <f>"9780786493234"</f>
        <v>9780786493234</v>
      </c>
      <c r="K751" t="s">
        <v>1377</v>
      </c>
      <c r="L751">
        <v>8</v>
      </c>
      <c r="O751" t="s">
        <v>30</v>
      </c>
      <c r="P751" t="s">
        <v>42</v>
      </c>
      <c r="S751" t="s">
        <v>40</v>
      </c>
      <c r="T751" t="s">
        <v>1376</v>
      </c>
      <c r="U751" t="s">
        <v>1289</v>
      </c>
      <c r="V751" s="3">
        <v>41102</v>
      </c>
    </row>
    <row r="752" spans="1:22" x14ac:dyDescent="0.35">
      <c r="A752" s="1">
        <v>42389.758819444447</v>
      </c>
      <c r="B752" s="2">
        <v>7.5231481481481471E-4</v>
      </c>
      <c r="C752" t="s">
        <v>992</v>
      </c>
      <c r="D752" t="s">
        <v>35</v>
      </c>
      <c r="E752" t="s">
        <v>36</v>
      </c>
      <c r="F752" t="s">
        <v>327</v>
      </c>
      <c r="G752">
        <v>1691426</v>
      </c>
      <c r="H752" t="s">
        <v>26</v>
      </c>
      <c r="I752" t="s">
        <v>328</v>
      </c>
      <c r="J752" t="str">
        <f>"9781118839492"</f>
        <v>9781118839492</v>
      </c>
      <c r="K752" t="s">
        <v>1378</v>
      </c>
      <c r="L752">
        <v>28</v>
      </c>
      <c r="O752" t="s">
        <v>30</v>
      </c>
      <c r="P752" t="s">
        <v>29</v>
      </c>
      <c r="Q752" s="1">
        <v>42384.967060185183</v>
      </c>
      <c r="R752">
        <v>7</v>
      </c>
      <c r="S752" t="s">
        <v>40</v>
      </c>
      <c r="T752" t="s">
        <v>331</v>
      </c>
      <c r="U752">
        <v>613.70460000000003</v>
      </c>
      <c r="V752" s="3">
        <v>41772</v>
      </c>
    </row>
    <row r="753" spans="1:22" x14ac:dyDescent="0.35">
      <c r="A753" s="1">
        <v>42389.746874999997</v>
      </c>
      <c r="B753" s="2">
        <v>8.1018518518518516E-5</v>
      </c>
      <c r="C753" t="s">
        <v>106</v>
      </c>
      <c r="D753" t="s">
        <v>23</v>
      </c>
      <c r="E753" t="s">
        <v>24</v>
      </c>
      <c r="F753" t="s">
        <v>1379</v>
      </c>
      <c r="G753">
        <v>1120734</v>
      </c>
      <c r="H753" t="s">
        <v>26</v>
      </c>
      <c r="I753" t="s">
        <v>1380</v>
      </c>
      <c r="J753" t="str">
        <f>"9781118595671"</f>
        <v>9781118595671</v>
      </c>
      <c r="K753" t="s">
        <v>33</v>
      </c>
      <c r="L753">
        <v>3</v>
      </c>
      <c r="O753" t="s">
        <v>30</v>
      </c>
      <c r="P753" t="s">
        <v>50</v>
      </c>
      <c r="S753" t="s">
        <v>31</v>
      </c>
      <c r="T753" t="s">
        <v>1381</v>
      </c>
      <c r="U753">
        <v>519.5</v>
      </c>
      <c r="V753" s="3">
        <v>41277</v>
      </c>
    </row>
    <row r="754" spans="1:22" x14ac:dyDescent="0.35">
      <c r="A754" s="1">
        <v>42389.742754629631</v>
      </c>
      <c r="B754" s="2">
        <v>2.2106481481481478E-3</v>
      </c>
      <c r="C754" t="s">
        <v>1382</v>
      </c>
      <c r="D754" t="s">
        <v>23</v>
      </c>
      <c r="E754" t="s">
        <v>24</v>
      </c>
      <c r="F754" t="s">
        <v>1383</v>
      </c>
      <c r="G754">
        <v>1215395</v>
      </c>
      <c r="H754" t="s">
        <v>91</v>
      </c>
      <c r="I754" t="s">
        <v>247</v>
      </c>
      <c r="J754" t="str">
        <f>"9781462509522"</f>
        <v>9781462509522</v>
      </c>
      <c r="K754" t="s">
        <v>1384</v>
      </c>
      <c r="L754">
        <v>13</v>
      </c>
      <c r="M754" t="s">
        <v>1385</v>
      </c>
      <c r="N754" t="s">
        <v>1386</v>
      </c>
      <c r="O754" t="s">
        <v>28</v>
      </c>
      <c r="P754" t="s">
        <v>47</v>
      </c>
      <c r="Q754" s="1">
        <v>42389.742754629631</v>
      </c>
      <c r="R754">
        <v>1</v>
      </c>
      <c r="S754" t="s">
        <v>31</v>
      </c>
      <c r="T754" t="s">
        <v>1387</v>
      </c>
      <c r="U754">
        <v>616.85599999999999</v>
      </c>
      <c r="V754" s="3">
        <v>41773</v>
      </c>
    </row>
    <row r="755" spans="1:22" x14ac:dyDescent="0.35">
      <c r="A755" s="1">
        <v>42389.742754629631</v>
      </c>
      <c r="B755" s="2">
        <v>0</v>
      </c>
      <c r="C755" t="s">
        <v>1382</v>
      </c>
      <c r="D755" t="s">
        <v>23</v>
      </c>
      <c r="E755" t="s">
        <v>24</v>
      </c>
      <c r="F755" t="s">
        <v>1383</v>
      </c>
      <c r="G755">
        <v>1215395</v>
      </c>
      <c r="H755" t="s">
        <v>91</v>
      </c>
      <c r="I755" t="s">
        <v>247</v>
      </c>
      <c r="J755" t="str">
        <f>"9781462509522"</f>
        <v>9781462509522</v>
      </c>
      <c r="L755">
        <v>0</v>
      </c>
      <c r="O755" t="s">
        <v>30</v>
      </c>
      <c r="P755" t="s">
        <v>47</v>
      </c>
      <c r="Q755" s="1">
        <v>42389.742754629631</v>
      </c>
      <c r="R755">
        <v>1</v>
      </c>
      <c r="S755" t="s">
        <v>31</v>
      </c>
      <c r="T755" t="s">
        <v>1387</v>
      </c>
      <c r="U755">
        <v>616.85599999999999</v>
      </c>
      <c r="V755" s="3">
        <v>41773</v>
      </c>
    </row>
    <row r="756" spans="1:22" x14ac:dyDescent="0.35">
      <c r="A756" s="1">
        <v>42389.742071759261</v>
      </c>
      <c r="B756" s="2">
        <v>6.8287037037037025E-4</v>
      </c>
      <c r="C756" t="s">
        <v>1382</v>
      </c>
      <c r="D756" t="s">
        <v>23</v>
      </c>
      <c r="E756" t="s">
        <v>24</v>
      </c>
      <c r="F756" t="s">
        <v>1383</v>
      </c>
      <c r="G756">
        <v>1215395</v>
      </c>
      <c r="H756" t="s">
        <v>91</v>
      </c>
      <c r="I756" t="s">
        <v>247</v>
      </c>
      <c r="J756" t="str">
        <f>"9781462509522"</f>
        <v>9781462509522</v>
      </c>
      <c r="K756" t="s">
        <v>1388</v>
      </c>
      <c r="L756">
        <v>8</v>
      </c>
      <c r="O756" t="s">
        <v>30</v>
      </c>
      <c r="P756" t="s">
        <v>50</v>
      </c>
      <c r="S756" t="s">
        <v>31</v>
      </c>
      <c r="T756" t="s">
        <v>1387</v>
      </c>
      <c r="U756">
        <v>616.85599999999999</v>
      </c>
      <c r="V756" s="3">
        <v>41773</v>
      </c>
    </row>
    <row r="757" spans="1:22" x14ac:dyDescent="0.35">
      <c r="A757" s="1">
        <v>42389.738344907404</v>
      </c>
      <c r="B757" s="2">
        <v>0</v>
      </c>
      <c r="C757" t="s">
        <v>1389</v>
      </c>
      <c r="D757" t="s">
        <v>35</v>
      </c>
      <c r="E757" t="s">
        <v>36</v>
      </c>
      <c r="F757" t="s">
        <v>1104</v>
      </c>
      <c r="G757">
        <v>1487097</v>
      </c>
      <c r="H757" t="s">
        <v>68</v>
      </c>
      <c r="I757" t="s">
        <v>120</v>
      </c>
      <c r="J757" t="str">
        <f>"9781135398842"</f>
        <v>9781135398842</v>
      </c>
      <c r="L757">
        <v>0</v>
      </c>
      <c r="N757" t="s">
        <v>1390</v>
      </c>
      <c r="O757" t="s">
        <v>30</v>
      </c>
      <c r="P757" t="s">
        <v>47</v>
      </c>
      <c r="Q757" s="1">
        <v>42389.738344907404</v>
      </c>
      <c r="R757">
        <v>1</v>
      </c>
      <c r="S757" t="s">
        <v>40</v>
      </c>
      <c r="T757" t="s">
        <v>1106</v>
      </c>
      <c r="U757">
        <v>306.76799999999997</v>
      </c>
      <c r="V757" s="3">
        <v>41565</v>
      </c>
    </row>
    <row r="758" spans="1:22" x14ac:dyDescent="0.35">
      <c r="A758" s="1">
        <v>42389.736319444448</v>
      </c>
      <c r="B758" s="2">
        <v>2.0254629629629629E-3</v>
      </c>
      <c r="C758" t="s">
        <v>1389</v>
      </c>
      <c r="D758" t="s">
        <v>35</v>
      </c>
      <c r="E758" t="s">
        <v>36</v>
      </c>
      <c r="F758" t="s">
        <v>1104</v>
      </c>
      <c r="G758">
        <v>1487097</v>
      </c>
      <c r="H758" t="s">
        <v>68</v>
      </c>
      <c r="I758" t="s">
        <v>120</v>
      </c>
      <c r="J758" t="str">
        <f>"9781135398842"</f>
        <v>9781135398842</v>
      </c>
      <c r="K758" t="s">
        <v>1391</v>
      </c>
      <c r="L758">
        <v>10</v>
      </c>
      <c r="O758" t="s">
        <v>30</v>
      </c>
      <c r="P758" t="s">
        <v>50</v>
      </c>
      <c r="S758" t="s">
        <v>40</v>
      </c>
      <c r="T758" t="s">
        <v>1106</v>
      </c>
      <c r="U758">
        <v>306.76799999999997</v>
      </c>
      <c r="V758" s="3">
        <v>41565</v>
      </c>
    </row>
    <row r="759" spans="1:22" x14ac:dyDescent="0.35">
      <c r="A759" s="1">
        <v>42389.728761574072</v>
      </c>
      <c r="B759" s="2">
        <v>1.9907407407407408E-3</v>
      </c>
      <c r="C759" t="s">
        <v>210</v>
      </c>
      <c r="D759" t="s">
        <v>211</v>
      </c>
      <c r="E759" t="s">
        <v>212</v>
      </c>
      <c r="F759" t="s">
        <v>997</v>
      </c>
      <c r="G759">
        <v>3564347</v>
      </c>
      <c r="H759" t="s">
        <v>139</v>
      </c>
      <c r="I759" t="s">
        <v>998</v>
      </c>
      <c r="J759" t="str">
        <f>"9781479883851"</f>
        <v>9781479883851</v>
      </c>
      <c r="K759" t="s">
        <v>1392</v>
      </c>
      <c r="L759">
        <v>44</v>
      </c>
      <c r="O759" t="s">
        <v>30</v>
      </c>
      <c r="P759" t="s">
        <v>50</v>
      </c>
      <c r="S759" t="s">
        <v>214</v>
      </c>
      <c r="T759" t="s">
        <v>1000</v>
      </c>
      <c r="U759" t="s">
        <v>1001</v>
      </c>
      <c r="V759" s="3">
        <v>42132</v>
      </c>
    </row>
    <row r="760" spans="1:22" x14ac:dyDescent="0.35">
      <c r="A760" s="1">
        <v>42389.699872685182</v>
      </c>
      <c r="B760" s="2">
        <v>1.8402777777777777E-3</v>
      </c>
      <c r="C760" t="s">
        <v>1393</v>
      </c>
      <c r="D760" t="s">
        <v>23</v>
      </c>
      <c r="E760" t="s">
        <v>24</v>
      </c>
      <c r="F760" t="s">
        <v>1394</v>
      </c>
      <c r="G760">
        <v>1777859</v>
      </c>
      <c r="H760" t="s">
        <v>91</v>
      </c>
      <c r="I760" t="s">
        <v>247</v>
      </c>
      <c r="J760" t="str">
        <f>"9781462515479"</f>
        <v>9781462515479</v>
      </c>
      <c r="K760" t="s">
        <v>1395</v>
      </c>
      <c r="L760">
        <v>27</v>
      </c>
      <c r="N760" t="s">
        <v>1396</v>
      </c>
      <c r="O760" t="s">
        <v>30</v>
      </c>
      <c r="P760" t="s">
        <v>29</v>
      </c>
      <c r="Q760" s="1">
        <v>42389.683368055557</v>
      </c>
      <c r="R760">
        <v>7</v>
      </c>
      <c r="S760" t="s">
        <v>31</v>
      </c>
      <c r="T760" t="s">
        <v>1397</v>
      </c>
      <c r="U760" t="s">
        <v>1398</v>
      </c>
      <c r="V760" s="3">
        <v>41953</v>
      </c>
    </row>
    <row r="761" spans="1:22" x14ac:dyDescent="0.35">
      <c r="A761" s="1">
        <v>42389.689456018517</v>
      </c>
      <c r="B761" s="2">
        <v>4.6076388888888882E-2</v>
      </c>
      <c r="C761" t="s">
        <v>1399</v>
      </c>
      <c r="D761" t="s">
        <v>35</v>
      </c>
      <c r="E761" t="s">
        <v>36</v>
      </c>
      <c r="F761" t="s">
        <v>327</v>
      </c>
      <c r="G761">
        <v>1691426</v>
      </c>
      <c r="H761" t="s">
        <v>26</v>
      </c>
      <c r="I761" t="s">
        <v>328</v>
      </c>
      <c r="J761" t="str">
        <f>"9781118839492"</f>
        <v>9781118839492</v>
      </c>
      <c r="K761" t="s">
        <v>1400</v>
      </c>
      <c r="L761">
        <v>24</v>
      </c>
      <c r="N761" t="s">
        <v>1401</v>
      </c>
      <c r="O761" t="s">
        <v>30</v>
      </c>
      <c r="P761" t="s">
        <v>29</v>
      </c>
      <c r="Q761" s="1">
        <v>42386.106608796297</v>
      </c>
      <c r="R761">
        <v>7</v>
      </c>
      <c r="S761" t="s">
        <v>40</v>
      </c>
      <c r="T761" t="s">
        <v>331</v>
      </c>
      <c r="U761">
        <v>613.70460000000003</v>
      </c>
      <c r="V761" s="3">
        <v>41772</v>
      </c>
    </row>
    <row r="762" spans="1:22" x14ac:dyDescent="0.35">
      <c r="A762" s="1">
        <v>42389.683368055557</v>
      </c>
      <c r="B762" s="2">
        <v>1.6006944444444445E-2</v>
      </c>
      <c r="C762" t="s">
        <v>1393</v>
      </c>
      <c r="D762" t="s">
        <v>23</v>
      </c>
      <c r="E762" t="s">
        <v>24</v>
      </c>
      <c r="F762" t="s">
        <v>1394</v>
      </c>
      <c r="G762">
        <v>1777859</v>
      </c>
      <c r="H762" t="s">
        <v>91</v>
      </c>
      <c r="I762" t="s">
        <v>247</v>
      </c>
      <c r="J762" t="str">
        <f>"9781462515479"</f>
        <v>9781462515479</v>
      </c>
      <c r="K762" t="s">
        <v>1402</v>
      </c>
      <c r="L762">
        <v>12</v>
      </c>
      <c r="N762" t="s">
        <v>1403</v>
      </c>
      <c r="O762" t="s">
        <v>30</v>
      </c>
      <c r="P762" t="s">
        <v>29</v>
      </c>
      <c r="Q762" s="1">
        <v>42389.683368055557</v>
      </c>
      <c r="R762">
        <v>7</v>
      </c>
      <c r="S762" t="s">
        <v>31</v>
      </c>
      <c r="T762" t="s">
        <v>1397</v>
      </c>
      <c r="U762" t="s">
        <v>1398</v>
      </c>
      <c r="V762" s="3">
        <v>41953</v>
      </c>
    </row>
    <row r="763" spans="1:22" x14ac:dyDescent="0.35">
      <c r="A763" s="1">
        <v>42389.683275462965</v>
      </c>
      <c r="B763" s="2">
        <v>9.2592592592592588E-5</v>
      </c>
      <c r="C763" t="s">
        <v>1393</v>
      </c>
      <c r="D763" t="s">
        <v>23</v>
      </c>
      <c r="E763" t="s">
        <v>24</v>
      </c>
      <c r="F763" t="s">
        <v>1394</v>
      </c>
      <c r="G763">
        <v>1777859</v>
      </c>
      <c r="H763" t="s">
        <v>91</v>
      </c>
      <c r="I763" t="s">
        <v>247</v>
      </c>
      <c r="J763" t="str">
        <f>"9781462515479"</f>
        <v>9781462515479</v>
      </c>
      <c r="K763" t="s">
        <v>1404</v>
      </c>
      <c r="L763">
        <v>8</v>
      </c>
      <c r="O763" t="s">
        <v>30</v>
      </c>
      <c r="P763" t="s">
        <v>42</v>
      </c>
      <c r="S763" t="s">
        <v>31</v>
      </c>
      <c r="T763" t="s">
        <v>1397</v>
      </c>
      <c r="U763" t="s">
        <v>1398</v>
      </c>
      <c r="V763" s="3">
        <v>41953</v>
      </c>
    </row>
    <row r="764" spans="1:22" x14ac:dyDescent="0.35">
      <c r="A764" s="1">
        <v>42389.680902777778</v>
      </c>
      <c r="B764" s="2">
        <v>1.5740740740740741E-3</v>
      </c>
      <c r="C764" t="s">
        <v>1405</v>
      </c>
      <c r="D764" t="s">
        <v>423</v>
      </c>
      <c r="E764" t="s">
        <v>424</v>
      </c>
      <c r="F764" t="s">
        <v>1406</v>
      </c>
      <c r="G764">
        <v>698108</v>
      </c>
      <c r="H764" t="s">
        <v>26</v>
      </c>
      <c r="I764" t="s">
        <v>1407</v>
      </c>
      <c r="J764" t="str">
        <f>"9781118095805"</f>
        <v>9781118095805</v>
      </c>
      <c r="K764" t="s">
        <v>1408</v>
      </c>
      <c r="L764">
        <v>10</v>
      </c>
      <c r="O764" t="s">
        <v>30</v>
      </c>
      <c r="P764" t="s">
        <v>47</v>
      </c>
      <c r="Q764" s="1">
        <v>42389.680902777778</v>
      </c>
      <c r="R764">
        <v>1</v>
      </c>
      <c r="S764" t="s">
        <v>1409</v>
      </c>
      <c r="T764" t="s">
        <v>1410</v>
      </c>
      <c r="U764">
        <v>570</v>
      </c>
      <c r="V764" s="3">
        <v>42300</v>
      </c>
    </row>
    <row r="765" spans="1:22" x14ac:dyDescent="0.35">
      <c r="A765" s="1">
        <v>42389.676840277774</v>
      </c>
      <c r="B765" s="2">
        <v>0.2628125</v>
      </c>
      <c r="C765" t="s">
        <v>1411</v>
      </c>
      <c r="D765" t="s">
        <v>35</v>
      </c>
      <c r="E765" t="s">
        <v>36</v>
      </c>
      <c r="F765" t="s">
        <v>327</v>
      </c>
      <c r="G765">
        <v>1691426</v>
      </c>
      <c r="H765" t="s">
        <v>26</v>
      </c>
      <c r="I765" t="s">
        <v>328</v>
      </c>
      <c r="J765" t="str">
        <f>"9781118839492"</f>
        <v>9781118839492</v>
      </c>
      <c r="K765" t="s">
        <v>1412</v>
      </c>
      <c r="L765">
        <v>81</v>
      </c>
      <c r="O765" t="s">
        <v>30</v>
      </c>
      <c r="P765" t="s">
        <v>29</v>
      </c>
      <c r="Q765" s="1">
        <v>42389.676840277774</v>
      </c>
      <c r="R765">
        <v>7</v>
      </c>
      <c r="S765" t="s">
        <v>40</v>
      </c>
      <c r="T765" t="s">
        <v>331</v>
      </c>
      <c r="U765">
        <v>613.70460000000003</v>
      </c>
      <c r="V765" s="3">
        <v>41772</v>
      </c>
    </row>
    <row r="766" spans="1:22" x14ac:dyDescent="0.35">
      <c r="A766" s="1">
        <v>42389.66542824074</v>
      </c>
      <c r="B766" s="2">
        <v>5.8101851851851856E-3</v>
      </c>
      <c r="C766" t="s">
        <v>1341</v>
      </c>
      <c r="D766" t="s">
        <v>35</v>
      </c>
      <c r="E766" t="s">
        <v>36</v>
      </c>
      <c r="F766" t="s">
        <v>1373</v>
      </c>
      <c r="G766">
        <v>979949</v>
      </c>
      <c r="H766" t="s">
        <v>1286</v>
      </c>
      <c r="I766" t="s">
        <v>310</v>
      </c>
      <c r="J766" t="str">
        <f t="shared" ref="J766:J772" si="11">"9780786493234"</f>
        <v>9780786493234</v>
      </c>
      <c r="K766" t="s">
        <v>1413</v>
      </c>
      <c r="L766">
        <v>19</v>
      </c>
      <c r="O766" t="s">
        <v>28</v>
      </c>
      <c r="P766" t="s">
        <v>29</v>
      </c>
      <c r="Q766" s="1">
        <v>42389.656226851854</v>
      </c>
      <c r="R766">
        <v>7</v>
      </c>
      <c r="S766" t="s">
        <v>40</v>
      </c>
      <c r="T766" t="s">
        <v>1376</v>
      </c>
      <c r="U766" t="s">
        <v>1289</v>
      </c>
      <c r="V766" s="3">
        <v>41102</v>
      </c>
    </row>
    <row r="767" spans="1:22" x14ac:dyDescent="0.35">
      <c r="A767" s="1">
        <v>42389.662997685184</v>
      </c>
      <c r="B767" s="2">
        <v>1.1574074074074073E-4</v>
      </c>
      <c r="C767" t="s">
        <v>1341</v>
      </c>
      <c r="D767" t="s">
        <v>35</v>
      </c>
      <c r="E767" t="s">
        <v>36</v>
      </c>
      <c r="F767" t="s">
        <v>1373</v>
      </c>
      <c r="G767">
        <v>979949</v>
      </c>
      <c r="H767" t="s">
        <v>1286</v>
      </c>
      <c r="I767" t="s">
        <v>310</v>
      </c>
      <c r="J767" t="str">
        <f t="shared" si="11"/>
        <v>9780786493234</v>
      </c>
      <c r="K767" t="s">
        <v>1377</v>
      </c>
      <c r="L767">
        <v>8</v>
      </c>
      <c r="O767" t="s">
        <v>30</v>
      </c>
      <c r="P767" t="s">
        <v>29</v>
      </c>
      <c r="Q767" s="1">
        <v>42389.656226851854</v>
      </c>
      <c r="R767">
        <v>7</v>
      </c>
      <c r="S767" t="s">
        <v>40</v>
      </c>
      <c r="T767" t="s">
        <v>1376</v>
      </c>
      <c r="U767" t="s">
        <v>1289</v>
      </c>
      <c r="V767" s="3">
        <v>41102</v>
      </c>
    </row>
    <row r="768" spans="1:22" x14ac:dyDescent="0.35">
      <c r="A768" s="1">
        <v>42389.661226851851</v>
      </c>
      <c r="B768" s="2">
        <v>2.6620370370370372E-4</v>
      </c>
      <c r="C768" t="s">
        <v>1341</v>
      </c>
      <c r="D768" t="s">
        <v>35</v>
      </c>
      <c r="E768" t="s">
        <v>36</v>
      </c>
      <c r="F768" t="s">
        <v>1373</v>
      </c>
      <c r="G768">
        <v>979949</v>
      </c>
      <c r="H768" t="s">
        <v>1286</v>
      </c>
      <c r="I768" t="s">
        <v>310</v>
      </c>
      <c r="J768" t="str">
        <f t="shared" si="11"/>
        <v>9780786493234</v>
      </c>
      <c r="K768" t="s">
        <v>1414</v>
      </c>
      <c r="L768">
        <v>17</v>
      </c>
      <c r="O768" t="s">
        <v>30</v>
      </c>
      <c r="P768" t="s">
        <v>29</v>
      </c>
      <c r="Q768" s="1">
        <v>42389.656226851854</v>
      </c>
      <c r="R768">
        <v>7</v>
      </c>
      <c r="S768" t="s">
        <v>40</v>
      </c>
      <c r="T768" t="s">
        <v>1376</v>
      </c>
      <c r="U768" t="s">
        <v>1289</v>
      </c>
      <c r="V768" s="3">
        <v>41102</v>
      </c>
    </row>
    <row r="769" spans="1:22" x14ac:dyDescent="0.35">
      <c r="A769" s="1">
        <v>42389.657349537039</v>
      </c>
      <c r="B769" s="2">
        <v>2.6504629629629625E-3</v>
      </c>
      <c r="C769" t="s">
        <v>1341</v>
      </c>
      <c r="D769" t="s">
        <v>35</v>
      </c>
      <c r="E769" t="s">
        <v>36</v>
      </c>
      <c r="F769" t="s">
        <v>1373</v>
      </c>
      <c r="G769">
        <v>979949</v>
      </c>
      <c r="H769" t="s">
        <v>1286</v>
      </c>
      <c r="I769" t="s">
        <v>310</v>
      </c>
      <c r="J769" t="str">
        <f t="shared" si="11"/>
        <v>9780786493234</v>
      </c>
      <c r="K769" t="s">
        <v>1415</v>
      </c>
      <c r="L769">
        <v>24</v>
      </c>
      <c r="M769" t="s">
        <v>1416</v>
      </c>
      <c r="O769" t="s">
        <v>28</v>
      </c>
      <c r="P769" t="s">
        <v>29</v>
      </c>
      <c r="Q769" s="1">
        <v>42389.656226851854</v>
      </c>
      <c r="R769">
        <v>7</v>
      </c>
      <c r="S769" t="s">
        <v>40</v>
      </c>
      <c r="T769" t="s">
        <v>1376</v>
      </c>
      <c r="U769" t="s">
        <v>1289</v>
      </c>
      <c r="V769" s="3">
        <v>41102</v>
      </c>
    </row>
    <row r="770" spans="1:22" x14ac:dyDescent="0.35">
      <c r="A770" s="1">
        <v>42389.656226851854</v>
      </c>
      <c r="B770" s="2">
        <v>9.9537037037037042E-4</v>
      </c>
      <c r="C770" t="s">
        <v>1341</v>
      </c>
      <c r="D770" t="s">
        <v>35</v>
      </c>
      <c r="E770" t="s">
        <v>36</v>
      </c>
      <c r="F770" t="s">
        <v>1373</v>
      </c>
      <c r="G770">
        <v>979949</v>
      </c>
      <c r="H770" t="s">
        <v>1286</v>
      </c>
      <c r="I770" t="s">
        <v>310</v>
      </c>
      <c r="J770" t="str">
        <f t="shared" si="11"/>
        <v>9780786493234</v>
      </c>
      <c r="K770" t="s">
        <v>1417</v>
      </c>
      <c r="L770">
        <v>24</v>
      </c>
      <c r="M770" t="s">
        <v>1418</v>
      </c>
      <c r="O770" t="s">
        <v>28</v>
      </c>
      <c r="P770" t="s">
        <v>29</v>
      </c>
      <c r="Q770" s="1">
        <v>42389.656226851854</v>
      </c>
      <c r="R770">
        <v>7</v>
      </c>
      <c r="S770" t="s">
        <v>40</v>
      </c>
      <c r="T770" t="s">
        <v>1376</v>
      </c>
      <c r="U770" t="s">
        <v>1289</v>
      </c>
      <c r="V770" s="3">
        <v>41102</v>
      </c>
    </row>
    <row r="771" spans="1:22" x14ac:dyDescent="0.35">
      <c r="A771" s="1">
        <v>42389.656226851854</v>
      </c>
      <c r="B771" s="2">
        <v>0</v>
      </c>
      <c r="C771" t="s">
        <v>1341</v>
      </c>
      <c r="D771" t="s">
        <v>35</v>
      </c>
      <c r="E771" t="s">
        <v>36</v>
      </c>
      <c r="F771" t="s">
        <v>1373</v>
      </c>
      <c r="G771">
        <v>979949</v>
      </c>
      <c r="H771" t="s">
        <v>1286</v>
      </c>
      <c r="I771" t="s">
        <v>310</v>
      </c>
      <c r="J771" t="str">
        <f t="shared" si="11"/>
        <v>9780786493234</v>
      </c>
      <c r="L771">
        <v>0</v>
      </c>
      <c r="O771" t="s">
        <v>30</v>
      </c>
      <c r="P771" t="s">
        <v>29</v>
      </c>
      <c r="Q771" s="1">
        <v>42389.656226851854</v>
      </c>
      <c r="R771">
        <v>7</v>
      </c>
      <c r="S771" t="s">
        <v>40</v>
      </c>
      <c r="T771" t="s">
        <v>1376</v>
      </c>
      <c r="U771" t="s">
        <v>1289</v>
      </c>
      <c r="V771" s="3">
        <v>41102</v>
      </c>
    </row>
    <row r="772" spans="1:22" x14ac:dyDescent="0.35">
      <c r="A772" s="1">
        <v>42389.655925925923</v>
      </c>
      <c r="B772" s="2">
        <v>3.0092592592592595E-4</v>
      </c>
      <c r="C772" t="s">
        <v>1341</v>
      </c>
      <c r="D772" t="s">
        <v>35</v>
      </c>
      <c r="E772" t="s">
        <v>36</v>
      </c>
      <c r="F772" t="s">
        <v>1373</v>
      </c>
      <c r="G772">
        <v>979949</v>
      </c>
      <c r="H772" t="s">
        <v>1286</v>
      </c>
      <c r="I772" t="s">
        <v>310</v>
      </c>
      <c r="J772" t="str">
        <f t="shared" si="11"/>
        <v>9780786493234</v>
      </c>
      <c r="K772" t="s">
        <v>1377</v>
      </c>
      <c r="L772">
        <v>8</v>
      </c>
      <c r="O772" t="s">
        <v>30</v>
      </c>
      <c r="P772" t="s">
        <v>42</v>
      </c>
      <c r="S772" t="s">
        <v>40</v>
      </c>
      <c r="T772" t="s">
        <v>1376</v>
      </c>
      <c r="U772" t="s">
        <v>1289</v>
      </c>
      <c r="V772" s="3">
        <v>41102</v>
      </c>
    </row>
    <row r="773" spans="1:22" x14ac:dyDescent="0.35">
      <c r="A773" s="1">
        <v>42389.65519675926</v>
      </c>
      <c r="B773" s="2">
        <v>2.1296296296296298E-3</v>
      </c>
      <c r="C773" t="s">
        <v>576</v>
      </c>
      <c r="D773" t="s">
        <v>35</v>
      </c>
      <c r="E773" t="s">
        <v>36</v>
      </c>
      <c r="F773" t="s">
        <v>1316</v>
      </c>
      <c r="G773">
        <v>1884289</v>
      </c>
      <c r="H773" t="s">
        <v>26</v>
      </c>
      <c r="I773" t="s">
        <v>1317</v>
      </c>
      <c r="J773" t="str">
        <f>"9781118636282"</f>
        <v>9781118636282</v>
      </c>
      <c r="K773" t="s">
        <v>1419</v>
      </c>
      <c r="L773">
        <v>30</v>
      </c>
      <c r="N773" t="s">
        <v>1420</v>
      </c>
      <c r="O773" t="s">
        <v>28</v>
      </c>
      <c r="P773" t="s">
        <v>29</v>
      </c>
      <c r="Q773" s="1">
        <v>42389.630532407406</v>
      </c>
      <c r="R773">
        <v>7</v>
      </c>
      <c r="S773" t="s">
        <v>40</v>
      </c>
      <c r="T773" t="s">
        <v>1321</v>
      </c>
      <c r="U773" t="s">
        <v>1322</v>
      </c>
      <c r="V773" s="3">
        <v>41977</v>
      </c>
    </row>
    <row r="774" spans="1:22" x14ac:dyDescent="0.35">
      <c r="A774" s="1">
        <v>42389.642048611109</v>
      </c>
      <c r="B774" s="2">
        <v>2.521990740740741E-2</v>
      </c>
      <c r="C774" t="s">
        <v>1421</v>
      </c>
      <c r="D774" t="s">
        <v>623</v>
      </c>
      <c r="E774" t="s">
        <v>624</v>
      </c>
      <c r="F774" t="s">
        <v>1422</v>
      </c>
      <c r="G774">
        <v>2144891</v>
      </c>
      <c r="H774" t="s">
        <v>26</v>
      </c>
      <c r="I774" t="s">
        <v>1423</v>
      </c>
      <c r="J774" t="str">
        <f>"9781118799680"</f>
        <v>9781118799680</v>
      </c>
      <c r="K774" t="s">
        <v>1424</v>
      </c>
      <c r="L774">
        <v>34</v>
      </c>
      <c r="O774" t="s">
        <v>30</v>
      </c>
      <c r="P774" t="s">
        <v>29</v>
      </c>
      <c r="Q774" s="1">
        <v>42388.975104166668</v>
      </c>
      <c r="R774">
        <v>7</v>
      </c>
      <c r="S774" t="s">
        <v>627</v>
      </c>
      <c r="T774" t="s">
        <v>1425</v>
      </c>
      <c r="U774">
        <v>519.5</v>
      </c>
      <c r="V774" s="3">
        <v>42222</v>
      </c>
    </row>
    <row r="775" spans="1:22" x14ac:dyDescent="0.35">
      <c r="A775" s="1">
        <v>42389.642048611109</v>
      </c>
      <c r="B775" s="2">
        <v>0</v>
      </c>
      <c r="C775" t="s">
        <v>1421</v>
      </c>
      <c r="D775" t="s">
        <v>623</v>
      </c>
      <c r="E775" t="s">
        <v>624</v>
      </c>
      <c r="F775" t="s">
        <v>1422</v>
      </c>
      <c r="G775">
        <v>2144891</v>
      </c>
      <c r="H775" t="s">
        <v>26</v>
      </c>
      <c r="I775" t="s">
        <v>1423</v>
      </c>
      <c r="J775" t="str">
        <f>"9781118799680"</f>
        <v>9781118799680</v>
      </c>
      <c r="L775">
        <v>0</v>
      </c>
      <c r="O775" t="s">
        <v>30</v>
      </c>
      <c r="P775" t="s">
        <v>29</v>
      </c>
      <c r="Q775" s="1">
        <v>42388.975104166668</v>
      </c>
      <c r="R775">
        <v>7</v>
      </c>
      <c r="S775" t="s">
        <v>627</v>
      </c>
      <c r="T775" t="s">
        <v>1425</v>
      </c>
      <c r="U775">
        <v>519.5</v>
      </c>
      <c r="V775" s="3">
        <v>42222</v>
      </c>
    </row>
    <row r="776" spans="1:22" x14ac:dyDescent="0.35">
      <c r="A776" s="1">
        <v>42389.641956018517</v>
      </c>
      <c r="B776" s="2">
        <v>6.2222222222222227E-2</v>
      </c>
      <c r="C776" t="s">
        <v>471</v>
      </c>
      <c r="D776" t="s">
        <v>211</v>
      </c>
      <c r="E776" t="s">
        <v>212</v>
      </c>
      <c r="F776" t="s">
        <v>497</v>
      </c>
      <c r="G776">
        <v>1986951</v>
      </c>
      <c r="H776" t="s">
        <v>26</v>
      </c>
      <c r="I776" t="s">
        <v>97</v>
      </c>
      <c r="J776" t="str">
        <f>"9781119130468"</f>
        <v>9781119130468</v>
      </c>
      <c r="K776" t="s">
        <v>1426</v>
      </c>
      <c r="L776">
        <v>57</v>
      </c>
      <c r="M776" t="s">
        <v>1427</v>
      </c>
      <c r="O776" t="s">
        <v>30</v>
      </c>
      <c r="P776" t="s">
        <v>29</v>
      </c>
      <c r="Q776" s="1">
        <v>42387.644108796296</v>
      </c>
      <c r="R776">
        <v>7</v>
      </c>
      <c r="S776" t="s">
        <v>214</v>
      </c>
      <c r="T776" t="s">
        <v>500</v>
      </c>
      <c r="U776">
        <v>657.07600000000002</v>
      </c>
      <c r="V776" s="3">
        <v>42143</v>
      </c>
    </row>
    <row r="777" spans="1:22" x14ac:dyDescent="0.35">
      <c r="A777" s="1">
        <v>42389.640543981484</v>
      </c>
      <c r="B777" s="2">
        <v>4.0358796296296295E-2</v>
      </c>
      <c r="C777" t="s">
        <v>1405</v>
      </c>
      <c r="D777" t="s">
        <v>423</v>
      </c>
      <c r="E777" t="s">
        <v>424</v>
      </c>
      <c r="F777" t="s">
        <v>1406</v>
      </c>
      <c r="G777">
        <v>698108</v>
      </c>
      <c r="H777" t="s">
        <v>26</v>
      </c>
      <c r="I777" t="s">
        <v>1407</v>
      </c>
      <c r="J777" t="str">
        <f>"9781118095805"</f>
        <v>9781118095805</v>
      </c>
      <c r="K777" t="s">
        <v>33</v>
      </c>
      <c r="L777">
        <v>3</v>
      </c>
      <c r="O777" t="s">
        <v>30</v>
      </c>
      <c r="P777" t="s">
        <v>50</v>
      </c>
      <c r="S777" t="s">
        <v>1409</v>
      </c>
      <c r="T777" t="s">
        <v>1410</v>
      </c>
      <c r="U777">
        <v>570</v>
      </c>
      <c r="V777" s="3">
        <v>42300</v>
      </c>
    </row>
    <row r="778" spans="1:22" x14ac:dyDescent="0.35">
      <c r="A778" s="1">
        <v>42389.639884259261</v>
      </c>
      <c r="B778" s="2">
        <v>0</v>
      </c>
      <c r="C778" t="s">
        <v>576</v>
      </c>
      <c r="D778" t="s">
        <v>35</v>
      </c>
      <c r="E778" t="s">
        <v>36</v>
      </c>
      <c r="F778" t="s">
        <v>1316</v>
      </c>
      <c r="G778">
        <v>1884289</v>
      </c>
      <c r="H778" t="s">
        <v>26</v>
      </c>
      <c r="I778" t="s">
        <v>1317</v>
      </c>
      <c r="J778" t="str">
        <f>"9781118636282"</f>
        <v>9781118636282</v>
      </c>
      <c r="L778">
        <v>0</v>
      </c>
      <c r="M778" t="s">
        <v>1428</v>
      </c>
      <c r="N778" t="s">
        <v>1320</v>
      </c>
      <c r="O778" t="s">
        <v>28</v>
      </c>
      <c r="P778" t="s">
        <v>29</v>
      </c>
      <c r="Q778" s="1">
        <v>42389.630532407406</v>
      </c>
      <c r="R778">
        <v>7</v>
      </c>
      <c r="S778" t="s">
        <v>40</v>
      </c>
      <c r="T778" t="s">
        <v>1321</v>
      </c>
      <c r="U778" t="s">
        <v>1322</v>
      </c>
      <c r="V778" s="3">
        <v>41977</v>
      </c>
    </row>
    <row r="779" spans="1:22" x14ac:dyDescent="0.35">
      <c r="A779" s="1">
        <v>42389.63554398148</v>
      </c>
      <c r="B779" s="2">
        <v>0</v>
      </c>
      <c r="C779" t="s">
        <v>576</v>
      </c>
      <c r="D779" t="s">
        <v>35</v>
      </c>
      <c r="E779" t="s">
        <v>36</v>
      </c>
      <c r="F779" t="s">
        <v>1316</v>
      </c>
      <c r="G779">
        <v>1884289</v>
      </c>
      <c r="H779" t="s">
        <v>26</v>
      </c>
      <c r="I779" t="s">
        <v>1317</v>
      </c>
      <c r="J779" t="str">
        <f>"9781118636282"</f>
        <v>9781118636282</v>
      </c>
      <c r="L779">
        <v>0</v>
      </c>
      <c r="O779" t="s">
        <v>28</v>
      </c>
      <c r="P779" t="s">
        <v>29</v>
      </c>
      <c r="Q779" s="1">
        <v>42389.630532407406</v>
      </c>
      <c r="R779">
        <v>7</v>
      </c>
      <c r="S779" t="s">
        <v>40</v>
      </c>
      <c r="T779" t="s">
        <v>1321</v>
      </c>
      <c r="U779" t="s">
        <v>1322</v>
      </c>
      <c r="V779" s="3">
        <v>41977</v>
      </c>
    </row>
    <row r="780" spans="1:22" x14ac:dyDescent="0.35">
      <c r="A780" s="1">
        <v>42389.630532407406</v>
      </c>
      <c r="B780" s="2">
        <v>4.8611111111111112E-3</v>
      </c>
      <c r="C780" t="s">
        <v>576</v>
      </c>
      <c r="D780" t="s">
        <v>35</v>
      </c>
      <c r="E780" t="s">
        <v>36</v>
      </c>
      <c r="F780" t="s">
        <v>1316</v>
      </c>
      <c r="G780">
        <v>1884289</v>
      </c>
      <c r="H780" t="s">
        <v>26</v>
      </c>
      <c r="I780" t="s">
        <v>1317</v>
      </c>
      <c r="J780" t="str">
        <f>"9781118636282"</f>
        <v>9781118636282</v>
      </c>
      <c r="K780" t="s">
        <v>1429</v>
      </c>
      <c r="L780">
        <v>28</v>
      </c>
      <c r="O780" t="s">
        <v>30</v>
      </c>
      <c r="P780" t="s">
        <v>29</v>
      </c>
      <c r="Q780" s="1">
        <v>42389.630532407406</v>
      </c>
      <c r="R780">
        <v>7</v>
      </c>
      <c r="S780" t="s">
        <v>40</v>
      </c>
      <c r="T780" t="s">
        <v>1321</v>
      </c>
      <c r="U780" t="s">
        <v>1322</v>
      </c>
      <c r="V780" s="3">
        <v>41977</v>
      </c>
    </row>
    <row r="781" spans="1:22" x14ac:dyDescent="0.35">
      <c r="A781" s="1">
        <v>42389.628287037034</v>
      </c>
      <c r="B781" s="2">
        <v>2.2453703703703702E-3</v>
      </c>
      <c r="C781" t="s">
        <v>576</v>
      </c>
      <c r="D781" t="s">
        <v>35</v>
      </c>
      <c r="E781" t="s">
        <v>36</v>
      </c>
      <c r="F781" t="s">
        <v>1316</v>
      </c>
      <c r="G781">
        <v>1884289</v>
      </c>
      <c r="H781" t="s">
        <v>26</v>
      </c>
      <c r="I781" t="s">
        <v>1317</v>
      </c>
      <c r="J781" t="str">
        <f>"9781118636282"</f>
        <v>9781118636282</v>
      </c>
      <c r="K781" t="s">
        <v>1430</v>
      </c>
      <c r="L781">
        <v>18</v>
      </c>
      <c r="O781" t="s">
        <v>30</v>
      </c>
      <c r="P781" t="s">
        <v>42</v>
      </c>
      <c r="S781" t="s">
        <v>40</v>
      </c>
      <c r="T781" t="s">
        <v>1321</v>
      </c>
      <c r="U781" t="s">
        <v>1322</v>
      </c>
      <c r="V781" s="3">
        <v>41977</v>
      </c>
    </row>
    <row r="782" spans="1:22" x14ac:dyDescent="0.35">
      <c r="A782" s="1">
        <v>42389.616863425923</v>
      </c>
      <c r="B782" s="2">
        <v>5.9976851851851858E-2</v>
      </c>
      <c r="C782" t="s">
        <v>1411</v>
      </c>
      <c r="D782" t="s">
        <v>35</v>
      </c>
      <c r="E782" t="s">
        <v>36</v>
      </c>
      <c r="F782" t="s">
        <v>327</v>
      </c>
      <c r="G782">
        <v>1691426</v>
      </c>
      <c r="H782" t="s">
        <v>26</v>
      </c>
      <c r="I782" t="s">
        <v>328</v>
      </c>
      <c r="J782" t="str">
        <f>"9781118839492"</f>
        <v>9781118839492</v>
      </c>
      <c r="K782" t="s">
        <v>1431</v>
      </c>
      <c r="L782">
        <v>25</v>
      </c>
      <c r="O782" t="s">
        <v>30</v>
      </c>
      <c r="P782" t="s">
        <v>42</v>
      </c>
      <c r="S782" t="s">
        <v>40</v>
      </c>
      <c r="T782" t="s">
        <v>331</v>
      </c>
      <c r="U782">
        <v>613.70460000000003</v>
      </c>
      <c r="V782" s="3">
        <v>41772</v>
      </c>
    </row>
    <row r="783" spans="1:22" x14ac:dyDescent="0.35">
      <c r="A783" s="1">
        <v>42389.598414351851</v>
      </c>
      <c r="B783" s="2">
        <v>8.1018518518518516E-5</v>
      </c>
      <c r="C783" t="s">
        <v>1432</v>
      </c>
      <c r="D783" t="s">
        <v>623</v>
      </c>
      <c r="E783" t="s">
        <v>624</v>
      </c>
      <c r="F783" t="s">
        <v>1433</v>
      </c>
      <c r="G783">
        <v>3570599</v>
      </c>
      <c r="H783" t="s">
        <v>526</v>
      </c>
      <c r="I783" t="s">
        <v>1434</v>
      </c>
      <c r="J783" t="str">
        <f>"9780226299358"</f>
        <v>9780226299358</v>
      </c>
      <c r="K783" t="s">
        <v>1435</v>
      </c>
      <c r="L783">
        <v>2</v>
      </c>
      <c r="O783" t="s">
        <v>30</v>
      </c>
      <c r="P783" t="s">
        <v>47</v>
      </c>
      <c r="Q783" s="1">
        <v>42389.598414351851</v>
      </c>
      <c r="R783">
        <v>1</v>
      </c>
      <c r="S783" t="s">
        <v>627</v>
      </c>
      <c r="T783" t="s">
        <v>1436</v>
      </c>
      <c r="U783">
        <v>324.20972999999998</v>
      </c>
      <c r="V783" s="3">
        <v>42248</v>
      </c>
    </row>
    <row r="784" spans="1:22" x14ac:dyDescent="0.35">
      <c r="A784" s="1">
        <v>42389.577685185184</v>
      </c>
      <c r="B784" s="2">
        <v>2.0729166666666667E-2</v>
      </c>
      <c r="C784" t="s">
        <v>1432</v>
      </c>
      <c r="D784" t="s">
        <v>623</v>
      </c>
      <c r="E784" t="s">
        <v>624</v>
      </c>
      <c r="F784" t="s">
        <v>1433</v>
      </c>
      <c r="G784">
        <v>3570599</v>
      </c>
      <c r="H784" t="s">
        <v>526</v>
      </c>
      <c r="I784" t="s">
        <v>1434</v>
      </c>
      <c r="J784" t="str">
        <f>"9780226299358"</f>
        <v>9780226299358</v>
      </c>
      <c r="K784" t="s">
        <v>1437</v>
      </c>
      <c r="L784">
        <v>4</v>
      </c>
      <c r="O784" t="s">
        <v>30</v>
      </c>
      <c r="P784" t="s">
        <v>50</v>
      </c>
      <c r="S784" t="s">
        <v>627</v>
      </c>
      <c r="T784" t="s">
        <v>1436</v>
      </c>
      <c r="U784">
        <v>324.20972999999998</v>
      </c>
      <c r="V784" s="3">
        <v>42248</v>
      </c>
    </row>
    <row r="785" spans="1:22" x14ac:dyDescent="0.35">
      <c r="A785" s="1">
        <v>42389.575277777774</v>
      </c>
      <c r="B785" s="2">
        <v>4.8611111111111104E-4</v>
      </c>
      <c r="C785" t="s">
        <v>1432</v>
      </c>
      <c r="D785" t="s">
        <v>623</v>
      </c>
      <c r="E785" t="s">
        <v>624</v>
      </c>
      <c r="F785" t="s">
        <v>1433</v>
      </c>
      <c r="G785">
        <v>3570599</v>
      </c>
      <c r="H785" t="s">
        <v>526</v>
      </c>
      <c r="I785" t="s">
        <v>1434</v>
      </c>
      <c r="J785" t="str">
        <f>"9780226299358"</f>
        <v>9780226299358</v>
      </c>
      <c r="K785" t="s">
        <v>1438</v>
      </c>
      <c r="L785">
        <v>16</v>
      </c>
      <c r="O785" t="s">
        <v>30</v>
      </c>
      <c r="P785" t="s">
        <v>50</v>
      </c>
      <c r="S785" t="s">
        <v>627</v>
      </c>
      <c r="T785" t="s">
        <v>1436</v>
      </c>
      <c r="U785">
        <v>324.20972999999998</v>
      </c>
      <c r="V785" s="3">
        <v>42248</v>
      </c>
    </row>
    <row r="786" spans="1:22" x14ac:dyDescent="0.35">
      <c r="A786" s="1">
        <v>42389.299270833333</v>
      </c>
      <c r="B786" s="2">
        <v>3.4722222222222222E-5</v>
      </c>
      <c r="C786" t="s">
        <v>1439</v>
      </c>
      <c r="D786" t="s">
        <v>1222</v>
      </c>
      <c r="E786" t="s">
        <v>1223</v>
      </c>
      <c r="F786" t="s">
        <v>1440</v>
      </c>
      <c r="G786">
        <v>871501</v>
      </c>
      <c r="H786" t="s">
        <v>26</v>
      </c>
      <c r="I786" t="s">
        <v>310</v>
      </c>
      <c r="J786" t="str">
        <f>"9781118231760"</f>
        <v>9781118231760</v>
      </c>
      <c r="K786" t="s">
        <v>33</v>
      </c>
      <c r="L786">
        <v>3</v>
      </c>
      <c r="O786" t="s">
        <v>30</v>
      </c>
      <c r="P786" t="s">
        <v>42</v>
      </c>
      <c r="S786" t="s">
        <v>1226</v>
      </c>
      <c r="T786" t="s">
        <v>1441</v>
      </c>
      <c r="U786" t="s">
        <v>1442</v>
      </c>
      <c r="V786" s="3">
        <v>40969</v>
      </c>
    </row>
    <row r="787" spans="1:22" x14ac:dyDescent="0.35">
      <c r="A787" s="1">
        <v>42389.260312500002</v>
      </c>
      <c r="B787" s="2">
        <v>0</v>
      </c>
      <c r="C787" t="s">
        <v>1003</v>
      </c>
      <c r="D787" t="s">
        <v>35</v>
      </c>
      <c r="E787" t="s">
        <v>36</v>
      </c>
      <c r="F787" t="s">
        <v>327</v>
      </c>
      <c r="G787">
        <v>1691426</v>
      </c>
      <c r="H787" t="s">
        <v>26</v>
      </c>
      <c r="I787" t="s">
        <v>328</v>
      </c>
      <c r="J787" t="str">
        <f>"9781118839492"</f>
        <v>9781118839492</v>
      </c>
      <c r="L787">
        <v>0</v>
      </c>
      <c r="O787" t="s">
        <v>30</v>
      </c>
      <c r="P787" t="s">
        <v>29</v>
      </c>
      <c r="Q787" s="1">
        <v>42389.260312500002</v>
      </c>
      <c r="R787">
        <v>7</v>
      </c>
      <c r="S787" t="s">
        <v>40</v>
      </c>
      <c r="T787" t="s">
        <v>331</v>
      </c>
      <c r="U787">
        <v>613.70460000000003</v>
      </c>
      <c r="V787" s="3">
        <v>41772</v>
      </c>
    </row>
    <row r="788" spans="1:22" x14ac:dyDescent="0.35">
      <c r="A788" s="1">
        <v>42389.239733796298</v>
      </c>
      <c r="B788" s="2">
        <v>2.056712962962963E-2</v>
      </c>
      <c r="C788" t="s">
        <v>1003</v>
      </c>
      <c r="D788" t="s">
        <v>35</v>
      </c>
      <c r="E788" t="s">
        <v>36</v>
      </c>
      <c r="F788" t="s">
        <v>327</v>
      </c>
      <c r="G788">
        <v>1691426</v>
      </c>
      <c r="H788" t="s">
        <v>26</v>
      </c>
      <c r="I788" t="s">
        <v>328</v>
      </c>
      <c r="J788" t="str">
        <f>"9781118839492"</f>
        <v>9781118839492</v>
      </c>
      <c r="L788">
        <v>0</v>
      </c>
      <c r="O788" t="s">
        <v>30</v>
      </c>
      <c r="P788" t="s">
        <v>42</v>
      </c>
      <c r="S788" t="s">
        <v>40</v>
      </c>
      <c r="T788" t="s">
        <v>331</v>
      </c>
      <c r="U788">
        <v>613.70460000000003</v>
      </c>
      <c r="V788" s="3">
        <v>41772</v>
      </c>
    </row>
    <row r="789" spans="1:22" x14ac:dyDescent="0.35">
      <c r="A789" s="1">
        <v>42389.178668981483</v>
      </c>
      <c r="B789" s="2">
        <v>1.0069444444444444E-3</v>
      </c>
      <c r="C789" t="s">
        <v>659</v>
      </c>
      <c r="D789" t="s">
        <v>146</v>
      </c>
      <c r="E789" t="s">
        <v>147</v>
      </c>
      <c r="F789" t="s">
        <v>1443</v>
      </c>
      <c r="G789">
        <v>894589</v>
      </c>
      <c r="H789" t="s">
        <v>1365</v>
      </c>
      <c r="I789" t="s">
        <v>310</v>
      </c>
      <c r="J789" t="str">
        <f>"9781441124906"</f>
        <v>9781441124906</v>
      </c>
      <c r="K789" t="s">
        <v>1444</v>
      </c>
      <c r="L789">
        <v>31</v>
      </c>
      <c r="O789" t="s">
        <v>28</v>
      </c>
      <c r="P789" t="s">
        <v>29</v>
      </c>
      <c r="Q789" s="1">
        <v>42389.178668981483</v>
      </c>
      <c r="R789">
        <v>7</v>
      </c>
      <c r="S789" t="s">
        <v>1445</v>
      </c>
      <c r="T789" t="s">
        <v>1446</v>
      </c>
      <c r="U789">
        <v>882.01</v>
      </c>
      <c r="V789" s="3">
        <v>40976</v>
      </c>
    </row>
    <row r="790" spans="1:22" x14ac:dyDescent="0.35">
      <c r="A790" s="1">
        <v>42389.178668981483</v>
      </c>
      <c r="B790" s="2">
        <v>0</v>
      </c>
      <c r="C790" t="s">
        <v>659</v>
      </c>
      <c r="D790" t="s">
        <v>146</v>
      </c>
      <c r="E790" t="s">
        <v>147</v>
      </c>
      <c r="F790" t="s">
        <v>1443</v>
      </c>
      <c r="G790">
        <v>894589</v>
      </c>
      <c r="H790" t="s">
        <v>1365</v>
      </c>
      <c r="I790" t="s">
        <v>310</v>
      </c>
      <c r="J790" t="str">
        <f>"9781441124906"</f>
        <v>9781441124906</v>
      </c>
      <c r="L790">
        <v>0</v>
      </c>
      <c r="O790" t="s">
        <v>30</v>
      </c>
      <c r="P790" t="s">
        <v>29</v>
      </c>
      <c r="Q790" s="1">
        <v>42389.178668981483</v>
      </c>
      <c r="R790">
        <v>7</v>
      </c>
      <c r="S790" t="s">
        <v>1445</v>
      </c>
      <c r="T790" t="s">
        <v>1446</v>
      </c>
      <c r="U790">
        <v>882.01</v>
      </c>
      <c r="V790" s="3">
        <v>40976</v>
      </c>
    </row>
    <row r="791" spans="1:22" x14ac:dyDescent="0.35">
      <c r="A791" s="1">
        <v>42389.178553240738</v>
      </c>
      <c r="B791" s="2">
        <v>1.1574074074074073E-4</v>
      </c>
      <c r="C791" t="s">
        <v>659</v>
      </c>
      <c r="D791" t="s">
        <v>146</v>
      </c>
      <c r="E791" t="s">
        <v>147</v>
      </c>
      <c r="F791" t="s">
        <v>1443</v>
      </c>
      <c r="G791">
        <v>894589</v>
      </c>
      <c r="H791" t="s">
        <v>1365</v>
      </c>
      <c r="I791" t="s">
        <v>310</v>
      </c>
      <c r="J791" t="str">
        <f>"9781441124906"</f>
        <v>9781441124906</v>
      </c>
      <c r="K791" t="s">
        <v>33</v>
      </c>
      <c r="L791">
        <v>3</v>
      </c>
      <c r="O791" t="s">
        <v>30</v>
      </c>
      <c r="P791" t="s">
        <v>42</v>
      </c>
      <c r="S791" t="s">
        <v>1445</v>
      </c>
      <c r="T791" t="s">
        <v>1446</v>
      </c>
      <c r="U791">
        <v>882.01</v>
      </c>
      <c r="V791" s="3">
        <v>40976</v>
      </c>
    </row>
    <row r="792" spans="1:22" x14ac:dyDescent="0.35">
      <c r="A792" s="1">
        <v>42389.089594907404</v>
      </c>
      <c r="B792" s="2">
        <v>1.3113425925925926E-2</v>
      </c>
      <c r="C792" t="s">
        <v>1447</v>
      </c>
      <c r="D792" t="s">
        <v>23</v>
      </c>
      <c r="E792" t="s">
        <v>24</v>
      </c>
      <c r="F792" t="s">
        <v>160</v>
      </c>
      <c r="G792">
        <v>3059079</v>
      </c>
      <c r="H792" t="s">
        <v>26</v>
      </c>
      <c r="I792" t="s">
        <v>161</v>
      </c>
      <c r="J792" t="str">
        <f>"9781118473818"</f>
        <v>9781118473818</v>
      </c>
      <c r="K792" t="s">
        <v>1448</v>
      </c>
      <c r="L792">
        <v>5</v>
      </c>
      <c r="O792" t="s">
        <v>30</v>
      </c>
      <c r="P792" t="s">
        <v>47</v>
      </c>
      <c r="Q792" s="1">
        <v>42389.089594907404</v>
      </c>
      <c r="R792">
        <v>1</v>
      </c>
      <c r="S792" t="s">
        <v>31</v>
      </c>
      <c r="T792" t="s">
        <v>164</v>
      </c>
      <c r="U792">
        <v>530</v>
      </c>
      <c r="V792" s="3">
        <v>41401</v>
      </c>
    </row>
    <row r="793" spans="1:22" x14ac:dyDescent="0.35">
      <c r="A793" s="1">
        <v>42389.081435185188</v>
      </c>
      <c r="B793" s="2">
        <v>8.1597222222222227E-3</v>
      </c>
      <c r="C793" t="s">
        <v>1447</v>
      </c>
      <c r="D793" t="s">
        <v>23</v>
      </c>
      <c r="E793" t="s">
        <v>24</v>
      </c>
      <c r="F793" t="s">
        <v>160</v>
      </c>
      <c r="G793">
        <v>3059079</v>
      </c>
      <c r="H793" t="s">
        <v>26</v>
      </c>
      <c r="I793" t="s">
        <v>161</v>
      </c>
      <c r="J793" t="str">
        <f>"9781118473818"</f>
        <v>9781118473818</v>
      </c>
      <c r="K793" t="s">
        <v>1449</v>
      </c>
      <c r="L793">
        <v>14</v>
      </c>
      <c r="O793" t="s">
        <v>30</v>
      </c>
      <c r="P793" t="s">
        <v>50</v>
      </c>
      <c r="S793" t="s">
        <v>31</v>
      </c>
      <c r="T793" t="s">
        <v>164</v>
      </c>
      <c r="U793">
        <v>530</v>
      </c>
      <c r="V793" s="3">
        <v>41401</v>
      </c>
    </row>
    <row r="794" spans="1:22" x14ac:dyDescent="0.35">
      <c r="A794" s="1">
        <v>42388.975104166668</v>
      </c>
      <c r="B794" s="2">
        <v>4.0624999999999993E-3</v>
      </c>
      <c r="C794" t="s">
        <v>1421</v>
      </c>
      <c r="D794" t="s">
        <v>623</v>
      </c>
      <c r="E794" t="s">
        <v>624</v>
      </c>
      <c r="F794" t="s">
        <v>1422</v>
      </c>
      <c r="G794">
        <v>2144891</v>
      </c>
      <c r="H794" t="s">
        <v>26</v>
      </c>
      <c r="I794" t="s">
        <v>1423</v>
      </c>
      <c r="J794" t="str">
        <f>"9781118799680"</f>
        <v>9781118799680</v>
      </c>
      <c r="K794" t="s">
        <v>1450</v>
      </c>
      <c r="L794">
        <v>4</v>
      </c>
      <c r="O794" t="s">
        <v>30</v>
      </c>
      <c r="P794" t="s">
        <v>29</v>
      </c>
      <c r="Q794" s="1">
        <v>42388.975104166668</v>
      </c>
      <c r="R794">
        <v>7</v>
      </c>
      <c r="S794" t="s">
        <v>627</v>
      </c>
      <c r="T794" t="s">
        <v>1425</v>
      </c>
      <c r="U794">
        <v>519.5</v>
      </c>
      <c r="V794" s="3">
        <v>42222</v>
      </c>
    </row>
    <row r="795" spans="1:22" x14ac:dyDescent="0.35">
      <c r="A795" s="1">
        <v>42388.971446759257</v>
      </c>
      <c r="B795" s="2">
        <v>3.645833333333333E-3</v>
      </c>
      <c r="C795" t="s">
        <v>1421</v>
      </c>
      <c r="D795" t="s">
        <v>623</v>
      </c>
      <c r="E795" t="s">
        <v>624</v>
      </c>
      <c r="F795" t="s">
        <v>1422</v>
      </c>
      <c r="G795">
        <v>2144891</v>
      </c>
      <c r="H795" t="s">
        <v>26</v>
      </c>
      <c r="I795" t="s">
        <v>1423</v>
      </c>
      <c r="J795" t="str">
        <f>"9781118799680"</f>
        <v>9781118799680</v>
      </c>
      <c r="K795" t="s">
        <v>1451</v>
      </c>
      <c r="L795">
        <v>12</v>
      </c>
      <c r="O795" t="s">
        <v>30</v>
      </c>
      <c r="P795" t="s">
        <v>50</v>
      </c>
      <c r="S795" t="s">
        <v>627</v>
      </c>
      <c r="T795" t="s">
        <v>1425</v>
      </c>
      <c r="U795">
        <v>519.5</v>
      </c>
      <c r="V795" s="3">
        <v>42222</v>
      </c>
    </row>
    <row r="796" spans="1:22" x14ac:dyDescent="0.35">
      <c r="A796" s="1">
        <v>42388.862835648149</v>
      </c>
      <c r="B796" s="2">
        <v>0</v>
      </c>
      <c r="C796" t="s">
        <v>950</v>
      </c>
      <c r="D796" t="s">
        <v>623</v>
      </c>
      <c r="E796" t="s">
        <v>624</v>
      </c>
      <c r="F796" t="s">
        <v>90</v>
      </c>
      <c r="G796">
        <v>1683360</v>
      </c>
      <c r="H796" t="s">
        <v>91</v>
      </c>
      <c r="I796" t="s">
        <v>92</v>
      </c>
      <c r="J796" t="str">
        <f>"9781462516032"</f>
        <v>9781462516032</v>
      </c>
      <c r="L796">
        <v>0</v>
      </c>
      <c r="N796" t="s">
        <v>1452</v>
      </c>
      <c r="O796" t="s">
        <v>30</v>
      </c>
      <c r="P796" t="s">
        <v>29</v>
      </c>
      <c r="Q796" s="1">
        <v>42388.862835648149</v>
      </c>
      <c r="R796">
        <v>7</v>
      </c>
      <c r="S796" t="s">
        <v>627</v>
      </c>
      <c r="T796" t="s">
        <v>94</v>
      </c>
      <c r="U796">
        <v>1.42</v>
      </c>
      <c r="V796" s="3">
        <v>41823</v>
      </c>
    </row>
    <row r="797" spans="1:22" x14ac:dyDescent="0.35">
      <c r="A797" s="1">
        <v>42388.861817129633</v>
      </c>
      <c r="B797" s="2">
        <v>1.0185185185185186E-3</v>
      </c>
      <c r="C797" t="s">
        <v>950</v>
      </c>
      <c r="D797" t="s">
        <v>623</v>
      </c>
      <c r="E797" t="s">
        <v>624</v>
      </c>
      <c r="F797" t="s">
        <v>90</v>
      </c>
      <c r="G797">
        <v>1683360</v>
      </c>
      <c r="H797" t="s">
        <v>91</v>
      </c>
      <c r="I797" t="s">
        <v>92</v>
      </c>
      <c r="J797" t="str">
        <f>"9781462516032"</f>
        <v>9781462516032</v>
      </c>
      <c r="K797" t="s">
        <v>1453</v>
      </c>
      <c r="L797">
        <v>13</v>
      </c>
      <c r="O797" t="s">
        <v>30</v>
      </c>
      <c r="P797" t="s">
        <v>42</v>
      </c>
      <c r="S797" t="s">
        <v>627</v>
      </c>
      <c r="T797" t="s">
        <v>94</v>
      </c>
      <c r="U797">
        <v>1.42</v>
      </c>
      <c r="V797" s="3">
        <v>41823</v>
      </c>
    </row>
    <row r="798" spans="1:22" x14ac:dyDescent="0.35">
      <c r="A798" s="1">
        <v>42388.861724537041</v>
      </c>
      <c r="B798" s="2">
        <v>1.2152777777777778E-3</v>
      </c>
      <c r="C798" t="s">
        <v>1454</v>
      </c>
      <c r="D798" t="s">
        <v>23</v>
      </c>
      <c r="E798" t="s">
        <v>24</v>
      </c>
      <c r="F798" t="s">
        <v>1379</v>
      </c>
      <c r="G798">
        <v>1120734</v>
      </c>
      <c r="H798" t="s">
        <v>26</v>
      </c>
      <c r="I798" t="s">
        <v>1380</v>
      </c>
      <c r="J798" t="str">
        <f>"9781118595671"</f>
        <v>9781118595671</v>
      </c>
      <c r="K798" t="s">
        <v>1455</v>
      </c>
      <c r="L798">
        <v>16</v>
      </c>
      <c r="O798" t="s">
        <v>30</v>
      </c>
      <c r="P798" t="s">
        <v>50</v>
      </c>
      <c r="S798" t="s">
        <v>31</v>
      </c>
      <c r="T798" t="s">
        <v>1381</v>
      </c>
      <c r="U798">
        <v>519.5</v>
      </c>
      <c r="V798" s="3">
        <v>41277</v>
      </c>
    </row>
    <row r="799" spans="1:22" x14ac:dyDescent="0.35">
      <c r="A799" s="1">
        <v>42388.853518518517</v>
      </c>
      <c r="B799" s="2">
        <v>1.5624999999999999E-3</v>
      </c>
      <c r="C799" t="s">
        <v>950</v>
      </c>
      <c r="D799" t="s">
        <v>623</v>
      </c>
      <c r="E799" t="s">
        <v>624</v>
      </c>
      <c r="F799" t="s">
        <v>799</v>
      </c>
      <c r="G799">
        <v>1757959</v>
      </c>
      <c r="H799" t="s">
        <v>26</v>
      </c>
      <c r="I799" t="s">
        <v>800</v>
      </c>
      <c r="J799" t="str">
        <f>"9781118767023"</f>
        <v>9781118767023</v>
      </c>
      <c r="K799" t="s">
        <v>1456</v>
      </c>
      <c r="L799">
        <v>26</v>
      </c>
      <c r="N799" t="s">
        <v>1457</v>
      </c>
      <c r="O799" t="s">
        <v>28</v>
      </c>
      <c r="P799" t="s">
        <v>29</v>
      </c>
      <c r="Q799" s="1">
        <v>42388.853506944448</v>
      </c>
      <c r="R799">
        <v>7</v>
      </c>
      <c r="S799" t="s">
        <v>627</v>
      </c>
      <c r="T799" t="s">
        <v>802</v>
      </c>
      <c r="U799" t="s">
        <v>803</v>
      </c>
      <c r="V799" s="3">
        <v>41850</v>
      </c>
    </row>
    <row r="800" spans="1:22" x14ac:dyDescent="0.35">
      <c r="A800" s="1">
        <v>42388.853518518517</v>
      </c>
      <c r="B800" s="2">
        <v>0</v>
      </c>
      <c r="C800" t="s">
        <v>950</v>
      </c>
      <c r="D800" t="s">
        <v>623</v>
      </c>
      <c r="E800" t="s">
        <v>624</v>
      </c>
      <c r="F800" t="s">
        <v>799</v>
      </c>
      <c r="G800">
        <v>1757959</v>
      </c>
      <c r="H800" t="s">
        <v>26</v>
      </c>
      <c r="I800" t="s">
        <v>800</v>
      </c>
      <c r="J800" t="str">
        <f>"9781118767023"</f>
        <v>9781118767023</v>
      </c>
      <c r="L800">
        <v>0</v>
      </c>
      <c r="O800" t="s">
        <v>30</v>
      </c>
      <c r="P800" t="s">
        <v>29</v>
      </c>
      <c r="Q800" s="1">
        <v>42388.853506944448</v>
      </c>
      <c r="R800">
        <v>7</v>
      </c>
      <c r="S800" t="s">
        <v>627</v>
      </c>
      <c r="T800" t="s">
        <v>802</v>
      </c>
      <c r="U800" t="s">
        <v>803</v>
      </c>
      <c r="V800" s="3">
        <v>41850</v>
      </c>
    </row>
    <row r="801" spans="1:22" x14ac:dyDescent="0.35">
      <c r="A801" s="1">
        <v>42388.85261574074</v>
      </c>
      <c r="B801" s="2">
        <v>8.9120370370370362E-4</v>
      </c>
      <c r="C801" t="s">
        <v>950</v>
      </c>
      <c r="D801" t="s">
        <v>623</v>
      </c>
      <c r="E801" t="s">
        <v>624</v>
      </c>
      <c r="F801" t="s">
        <v>799</v>
      </c>
      <c r="G801">
        <v>1757959</v>
      </c>
      <c r="H801" t="s">
        <v>26</v>
      </c>
      <c r="I801" t="s">
        <v>800</v>
      </c>
      <c r="J801" t="str">
        <f>"9781118767023"</f>
        <v>9781118767023</v>
      </c>
      <c r="K801" t="s">
        <v>1458</v>
      </c>
      <c r="L801">
        <v>14</v>
      </c>
      <c r="O801" t="s">
        <v>30</v>
      </c>
      <c r="P801" t="s">
        <v>50</v>
      </c>
      <c r="S801" t="s">
        <v>627</v>
      </c>
      <c r="T801" t="s">
        <v>802</v>
      </c>
      <c r="U801" t="s">
        <v>803</v>
      </c>
      <c r="V801" s="3">
        <v>41850</v>
      </c>
    </row>
    <row r="802" spans="1:22" x14ac:dyDescent="0.35">
      <c r="A802" s="1">
        <v>42388.812314814815</v>
      </c>
      <c r="B802" s="2">
        <v>9.2592592592592588E-5</v>
      </c>
      <c r="C802" t="s">
        <v>1459</v>
      </c>
      <c r="D802" t="s">
        <v>23</v>
      </c>
      <c r="E802" t="s">
        <v>24</v>
      </c>
      <c r="F802" t="s">
        <v>1460</v>
      </c>
      <c r="G802">
        <v>2090105</v>
      </c>
      <c r="H802" t="s">
        <v>26</v>
      </c>
      <c r="I802" t="s">
        <v>97</v>
      </c>
      <c r="J802" t="str">
        <f>"9781119082972"</f>
        <v>9781119082972</v>
      </c>
      <c r="K802" t="s">
        <v>1461</v>
      </c>
      <c r="L802">
        <v>6</v>
      </c>
      <c r="O802" t="s">
        <v>30</v>
      </c>
      <c r="P802" t="s">
        <v>42</v>
      </c>
      <c r="S802" t="s">
        <v>31</v>
      </c>
      <c r="T802" t="s">
        <v>1462</v>
      </c>
      <c r="U802" t="s">
        <v>1463</v>
      </c>
      <c r="V802" s="3">
        <v>42194</v>
      </c>
    </row>
    <row r="803" spans="1:22" x14ac:dyDescent="0.35">
      <c r="A803" s="1">
        <v>42388.785567129627</v>
      </c>
      <c r="B803" s="2">
        <v>4.6296296296296294E-5</v>
      </c>
      <c r="C803" t="s">
        <v>1464</v>
      </c>
      <c r="D803" t="s">
        <v>23</v>
      </c>
      <c r="E803" t="s">
        <v>24</v>
      </c>
      <c r="F803" t="s">
        <v>491</v>
      </c>
      <c r="G803">
        <v>768534</v>
      </c>
      <c r="H803" t="s">
        <v>492</v>
      </c>
      <c r="I803" t="s">
        <v>493</v>
      </c>
      <c r="J803" t="str">
        <f>"9781400839704"</f>
        <v>9781400839704</v>
      </c>
      <c r="K803" t="s">
        <v>33</v>
      </c>
      <c r="L803">
        <v>3</v>
      </c>
      <c r="O803" t="s">
        <v>30</v>
      </c>
      <c r="P803" t="s">
        <v>42</v>
      </c>
      <c r="S803" t="s">
        <v>31</v>
      </c>
      <c r="T803" t="s">
        <v>495</v>
      </c>
      <c r="U803" t="s">
        <v>496</v>
      </c>
      <c r="V803" s="3">
        <v>40847</v>
      </c>
    </row>
    <row r="804" spans="1:22" x14ac:dyDescent="0.35">
      <c r="A804" s="1">
        <v>42388.752812500003</v>
      </c>
      <c r="B804" s="2">
        <v>3.2407407407407406E-2</v>
      </c>
      <c r="C804" t="s">
        <v>1464</v>
      </c>
      <c r="D804" t="s">
        <v>23</v>
      </c>
      <c r="E804" t="s">
        <v>24</v>
      </c>
      <c r="F804" t="s">
        <v>491</v>
      </c>
      <c r="G804">
        <v>768534</v>
      </c>
      <c r="H804" t="s">
        <v>492</v>
      </c>
      <c r="I804" t="s">
        <v>493</v>
      </c>
      <c r="J804" t="str">
        <f>"9781400839704"</f>
        <v>9781400839704</v>
      </c>
      <c r="K804" t="s">
        <v>1465</v>
      </c>
      <c r="L804">
        <v>38</v>
      </c>
      <c r="O804" t="s">
        <v>30</v>
      </c>
      <c r="P804" t="s">
        <v>42</v>
      </c>
      <c r="S804" t="s">
        <v>31</v>
      </c>
      <c r="T804" t="s">
        <v>495</v>
      </c>
      <c r="U804" t="s">
        <v>496</v>
      </c>
      <c r="V804" s="3">
        <v>40847</v>
      </c>
    </row>
    <row r="805" spans="1:22" x14ac:dyDescent="0.35">
      <c r="A805" s="1">
        <v>42388.723391203705</v>
      </c>
      <c r="B805" s="2">
        <v>1.0995370370370371E-3</v>
      </c>
      <c r="C805" t="s">
        <v>994</v>
      </c>
      <c r="D805" t="s">
        <v>211</v>
      </c>
      <c r="E805" t="s">
        <v>212</v>
      </c>
      <c r="F805" t="s">
        <v>891</v>
      </c>
      <c r="G805">
        <v>544120</v>
      </c>
      <c r="H805" t="s">
        <v>91</v>
      </c>
      <c r="I805" t="s">
        <v>69</v>
      </c>
      <c r="J805" t="str">
        <f>"9781606238561"</f>
        <v>9781606238561</v>
      </c>
      <c r="K805" t="s">
        <v>1466</v>
      </c>
      <c r="L805">
        <v>19</v>
      </c>
      <c r="O805" t="s">
        <v>30</v>
      </c>
      <c r="P805" t="s">
        <v>47</v>
      </c>
      <c r="Q805" s="1">
        <v>42388.723391203705</v>
      </c>
      <c r="R805">
        <v>1</v>
      </c>
      <c r="S805" t="s">
        <v>214</v>
      </c>
      <c r="T805" t="s">
        <v>893</v>
      </c>
      <c r="U805">
        <v>372.43</v>
      </c>
      <c r="V805" s="3">
        <v>41773</v>
      </c>
    </row>
    <row r="806" spans="1:22" x14ac:dyDescent="0.35">
      <c r="A806" s="1">
        <v>42388.721539351849</v>
      </c>
      <c r="B806" s="2">
        <v>1.8518518518518517E-3</v>
      </c>
      <c r="C806" t="s">
        <v>994</v>
      </c>
      <c r="D806" t="s">
        <v>211</v>
      </c>
      <c r="E806" t="s">
        <v>212</v>
      </c>
      <c r="F806" t="s">
        <v>891</v>
      </c>
      <c r="G806">
        <v>544120</v>
      </c>
      <c r="H806" t="s">
        <v>91</v>
      </c>
      <c r="I806" t="s">
        <v>69</v>
      </c>
      <c r="J806" t="str">
        <f>"9781606238561"</f>
        <v>9781606238561</v>
      </c>
      <c r="K806" t="s">
        <v>1467</v>
      </c>
      <c r="L806">
        <v>34</v>
      </c>
      <c r="O806" t="s">
        <v>30</v>
      </c>
      <c r="P806" t="s">
        <v>50</v>
      </c>
      <c r="S806" t="s">
        <v>214</v>
      </c>
      <c r="T806" t="s">
        <v>893</v>
      </c>
      <c r="U806">
        <v>372.43</v>
      </c>
      <c r="V806" s="3">
        <v>41773</v>
      </c>
    </row>
    <row r="807" spans="1:22" x14ac:dyDescent="0.35">
      <c r="A807" s="1">
        <v>42388.702499999999</v>
      </c>
      <c r="B807" s="2">
        <v>3.9351851851851852E-4</v>
      </c>
      <c r="C807" t="s">
        <v>1468</v>
      </c>
      <c r="D807" t="s">
        <v>23</v>
      </c>
      <c r="E807" t="s">
        <v>24</v>
      </c>
      <c r="F807" t="s">
        <v>1108</v>
      </c>
      <c r="G807">
        <v>1356236</v>
      </c>
      <c r="H807" t="s">
        <v>68</v>
      </c>
      <c r="I807" t="s">
        <v>219</v>
      </c>
      <c r="J807" t="str">
        <f>"9781135059699"</f>
        <v>9781135059699</v>
      </c>
      <c r="K807" t="s">
        <v>1469</v>
      </c>
      <c r="L807">
        <v>15</v>
      </c>
      <c r="O807" t="s">
        <v>30</v>
      </c>
      <c r="P807" t="s">
        <v>50</v>
      </c>
      <c r="S807" t="s">
        <v>31</v>
      </c>
      <c r="T807" t="s">
        <v>1110</v>
      </c>
      <c r="U807">
        <v>155.93700000000001</v>
      </c>
      <c r="V807" s="3">
        <v>41507</v>
      </c>
    </row>
    <row r="808" spans="1:22" x14ac:dyDescent="0.35">
      <c r="A808" s="1">
        <v>42388.697453703702</v>
      </c>
      <c r="B808" s="2">
        <v>1.423611111111111E-3</v>
      </c>
      <c r="C808" t="s">
        <v>1468</v>
      </c>
      <c r="D808" t="s">
        <v>23</v>
      </c>
      <c r="E808" t="s">
        <v>24</v>
      </c>
      <c r="F808" t="s">
        <v>1470</v>
      </c>
      <c r="G808">
        <v>1356118</v>
      </c>
      <c r="H808" t="s">
        <v>68</v>
      </c>
      <c r="I808" t="s">
        <v>1354</v>
      </c>
      <c r="J808" t="str">
        <f>"9781135058661"</f>
        <v>9781135058661</v>
      </c>
      <c r="K808" t="s">
        <v>1471</v>
      </c>
      <c r="L808">
        <v>39</v>
      </c>
      <c r="O808" t="s">
        <v>30</v>
      </c>
      <c r="P808" t="s">
        <v>50</v>
      </c>
      <c r="S808" t="s">
        <v>31</v>
      </c>
      <c r="T808" t="s">
        <v>1472</v>
      </c>
      <c r="U808">
        <v>306.89999999999998</v>
      </c>
      <c r="V808" s="3">
        <v>41507</v>
      </c>
    </row>
    <row r="809" spans="1:22" x14ac:dyDescent="0.35">
      <c r="A809" s="1">
        <v>42388.661261574074</v>
      </c>
      <c r="B809" s="2">
        <v>3.5185185185185185E-3</v>
      </c>
      <c r="C809" t="s">
        <v>659</v>
      </c>
      <c r="D809" t="s">
        <v>146</v>
      </c>
      <c r="E809" t="s">
        <v>147</v>
      </c>
      <c r="F809" t="s">
        <v>1473</v>
      </c>
      <c r="G809">
        <v>1779911</v>
      </c>
      <c r="H809" t="s">
        <v>1474</v>
      </c>
      <c r="I809" t="s">
        <v>97</v>
      </c>
      <c r="J809" t="str">
        <f>"9781137313256"</f>
        <v>9781137313256</v>
      </c>
      <c r="K809" t="s">
        <v>1475</v>
      </c>
      <c r="L809">
        <v>25</v>
      </c>
      <c r="O809" t="s">
        <v>30</v>
      </c>
      <c r="P809" t="s">
        <v>42</v>
      </c>
      <c r="S809" t="s">
        <v>528</v>
      </c>
      <c r="T809" t="s">
        <v>1476</v>
      </c>
      <c r="U809">
        <v>659.10829999999999</v>
      </c>
      <c r="V809" s="3">
        <v>41880</v>
      </c>
    </row>
    <row r="810" spans="1:22" x14ac:dyDescent="0.35">
      <c r="A810" s="1">
        <v>42388.642453703702</v>
      </c>
      <c r="B810" s="2">
        <v>2.4305555555555552E-4</v>
      </c>
      <c r="C810" t="s">
        <v>659</v>
      </c>
      <c r="D810" t="s">
        <v>146</v>
      </c>
      <c r="E810" t="s">
        <v>147</v>
      </c>
      <c r="F810" t="s">
        <v>1477</v>
      </c>
      <c r="G810">
        <v>822111</v>
      </c>
      <c r="H810" t="s">
        <v>26</v>
      </c>
      <c r="I810" t="s">
        <v>120</v>
      </c>
      <c r="J810" t="str">
        <f>"9781444356922"</f>
        <v>9781444356922</v>
      </c>
      <c r="K810" t="s">
        <v>1478</v>
      </c>
      <c r="L810">
        <v>10</v>
      </c>
      <c r="O810" t="s">
        <v>30</v>
      </c>
      <c r="P810" t="s">
        <v>42</v>
      </c>
      <c r="S810" t="s">
        <v>528</v>
      </c>
      <c r="T810" t="s">
        <v>1479</v>
      </c>
      <c r="U810" t="s">
        <v>1480</v>
      </c>
      <c r="V810" s="3">
        <v>40955</v>
      </c>
    </row>
    <row r="811" spans="1:22" x14ac:dyDescent="0.35">
      <c r="A811" s="1">
        <v>42388.618958333333</v>
      </c>
      <c r="B811" s="2">
        <v>3.4722222222222222E-5</v>
      </c>
      <c r="C811" t="s">
        <v>1481</v>
      </c>
      <c r="D811" t="s">
        <v>1482</v>
      </c>
      <c r="E811" t="s">
        <v>1483</v>
      </c>
      <c r="F811" t="s">
        <v>1484</v>
      </c>
      <c r="G811">
        <v>800719</v>
      </c>
      <c r="H811" t="s">
        <v>1286</v>
      </c>
      <c r="I811" t="s">
        <v>426</v>
      </c>
      <c r="J811" t="str">
        <f>"9780786487035"</f>
        <v>9780786487035</v>
      </c>
      <c r="K811" t="s">
        <v>33</v>
      </c>
      <c r="L811">
        <v>3</v>
      </c>
      <c r="O811" t="s">
        <v>30</v>
      </c>
      <c r="P811" t="s">
        <v>42</v>
      </c>
      <c r="S811" t="s">
        <v>1485</v>
      </c>
      <c r="T811" t="s">
        <v>1486</v>
      </c>
      <c r="U811" t="s">
        <v>1487</v>
      </c>
      <c r="V811" s="3">
        <v>40833</v>
      </c>
    </row>
    <row r="812" spans="1:22" x14ac:dyDescent="0.35">
      <c r="A812" s="1">
        <v>42388.594918981478</v>
      </c>
      <c r="B812" s="2">
        <v>2.6620370370370374E-3</v>
      </c>
      <c r="C812" t="s">
        <v>1405</v>
      </c>
      <c r="D812" t="s">
        <v>423</v>
      </c>
      <c r="E812" t="s">
        <v>424</v>
      </c>
      <c r="F812" t="s">
        <v>1406</v>
      </c>
      <c r="G812">
        <v>698108</v>
      </c>
      <c r="H812" t="s">
        <v>26</v>
      </c>
      <c r="I812" t="s">
        <v>1407</v>
      </c>
      <c r="J812" t="str">
        <f>"9781118095805"</f>
        <v>9781118095805</v>
      </c>
      <c r="K812" t="s">
        <v>1488</v>
      </c>
      <c r="L812">
        <v>2</v>
      </c>
      <c r="O812" t="s">
        <v>30</v>
      </c>
      <c r="P812" t="s">
        <v>47</v>
      </c>
      <c r="Q812" s="1">
        <v>42388.594918981478</v>
      </c>
      <c r="R812">
        <v>1</v>
      </c>
      <c r="S812" t="s">
        <v>1409</v>
      </c>
      <c r="T812" t="s">
        <v>1410</v>
      </c>
      <c r="U812">
        <v>570</v>
      </c>
      <c r="V812" s="3">
        <v>42300</v>
      </c>
    </row>
    <row r="813" spans="1:22" x14ac:dyDescent="0.35">
      <c r="A813" s="1">
        <v>42388.590694444443</v>
      </c>
      <c r="B813" s="2">
        <v>4.2245370370370371E-3</v>
      </c>
      <c r="C813" t="s">
        <v>1405</v>
      </c>
      <c r="D813" t="s">
        <v>423</v>
      </c>
      <c r="E813" t="s">
        <v>424</v>
      </c>
      <c r="F813" t="s">
        <v>1406</v>
      </c>
      <c r="G813">
        <v>698108</v>
      </c>
      <c r="H813" t="s">
        <v>26</v>
      </c>
      <c r="I813" t="s">
        <v>1407</v>
      </c>
      <c r="J813" t="str">
        <f>"9781118095805"</f>
        <v>9781118095805</v>
      </c>
      <c r="K813" t="s">
        <v>1489</v>
      </c>
      <c r="L813">
        <v>8</v>
      </c>
      <c r="O813" t="s">
        <v>30</v>
      </c>
      <c r="P813" t="s">
        <v>50</v>
      </c>
      <c r="S813" t="s">
        <v>1409</v>
      </c>
      <c r="T813" t="s">
        <v>1410</v>
      </c>
      <c r="U813">
        <v>570</v>
      </c>
      <c r="V813" s="3">
        <v>42300</v>
      </c>
    </row>
    <row r="814" spans="1:22" x14ac:dyDescent="0.35">
      <c r="A814" s="1">
        <v>42388.21365740741</v>
      </c>
      <c r="B814" s="2">
        <v>9.3750000000000007E-4</v>
      </c>
      <c r="C814" t="s">
        <v>701</v>
      </c>
      <c r="D814" t="s">
        <v>23</v>
      </c>
      <c r="E814" t="s">
        <v>24</v>
      </c>
      <c r="F814" t="s">
        <v>702</v>
      </c>
      <c r="G814">
        <v>1569834</v>
      </c>
      <c r="H814" t="s">
        <v>68</v>
      </c>
      <c r="I814" t="s">
        <v>150</v>
      </c>
      <c r="J814" t="str">
        <f>"9781317972471"</f>
        <v>9781317972471</v>
      </c>
      <c r="K814" t="s">
        <v>1490</v>
      </c>
      <c r="L814">
        <v>9</v>
      </c>
      <c r="O814" t="s">
        <v>28</v>
      </c>
      <c r="P814" t="s">
        <v>47</v>
      </c>
      <c r="Q814" s="1">
        <v>42387.5703587963</v>
      </c>
      <c r="R814">
        <v>7</v>
      </c>
      <c r="S814" t="s">
        <v>31</v>
      </c>
      <c r="T814" t="s">
        <v>705</v>
      </c>
      <c r="U814">
        <v>709.04</v>
      </c>
      <c r="V814" s="3">
        <v>41604</v>
      </c>
    </row>
    <row r="815" spans="1:22" x14ac:dyDescent="0.35">
      <c r="A815" s="1">
        <v>42388.211724537039</v>
      </c>
      <c r="B815" s="2">
        <v>5.2083333333333333E-4</v>
      </c>
      <c r="C815" t="s">
        <v>701</v>
      </c>
      <c r="D815" t="s">
        <v>23</v>
      </c>
      <c r="E815" t="s">
        <v>24</v>
      </c>
      <c r="F815" t="s">
        <v>702</v>
      </c>
      <c r="G815">
        <v>1569834</v>
      </c>
      <c r="H815" t="s">
        <v>68</v>
      </c>
      <c r="I815" t="s">
        <v>150</v>
      </c>
      <c r="J815" t="str">
        <f>"9781317972471"</f>
        <v>9781317972471</v>
      </c>
      <c r="K815" t="s">
        <v>33</v>
      </c>
      <c r="L815">
        <v>3</v>
      </c>
      <c r="O815" t="s">
        <v>30</v>
      </c>
      <c r="P815" t="s">
        <v>47</v>
      </c>
      <c r="Q815" s="1">
        <v>42387.5703587963</v>
      </c>
      <c r="R815">
        <v>7</v>
      </c>
      <c r="S815" t="s">
        <v>31</v>
      </c>
      <c r="T815" t="s">
        <v>705</v>
      </c>
      <c r="U815">
        <v>709.04</v>
      </c>
      <c r="V815" s="3">
        <v>41604</v>
      </c>
    </row>
    <row r="816" spans="1:22" x14ac:dyDescent="0.35">
      <c r="A816" s="1">
        <v>42388.204155092593</v>
      </c>
      <c r="B816" s="2">
        <v>7.0601851851851847E-4</v>
      </c>
      <c r="C816" t="s">
        <v>1491</v>
      </c>
      <c r="D816" t="s">
        <v>23</v>
      </c>
      <c r="E816" t="s">
        <v>24</v>
      </c>
      <c r="F816" t="s">
        <v>1492</v>
      </c>
      <c r="G816">
        <v>1487107</v>
      </c>
      <c r="H816" t="s">
        <v>68</v>
      </c>
      <c r="I816" t="s">
        <v>172</v>
      </c>
      <c r="J816" t="str">
        <f>"9781136697333"</f>
        <v>9781136697333</v>
      </c>
      <c r="K816" t="s">
        <v>1493</v>
      </c>
      <c r="L816">
        <v>8</v>
      </c>
      <c r="N816" t="s">
        <v>1494</v>
      </c>
      <c r="O816" t="s">
        <v>30</v>
      </c>
      <c r="P816" t="s">
        <v>47</v>
      </c>
      <c r="Q816" s="1">
        <v>42388.204155092593</v>
      </c>
      <c r="R816">
        <v>1</v>
      </c>
      <c r="S816" t="s">
        <v>31</v>
      </c>
      <c r="T816" t="s">
        <v>1495</v>
      </c>
      <c r="U816">
        <v>980</v>
      </c>
      <c r="V816" s="3">
        <v>41565</v>
      </c>
    </row>
    <row r="817" spans="1:22" x14ac:dyDescent="0.35">
      <c r="A817" s="1">
        <v>42388.203032407408</v>
      </c>
      <c r="B817" s="2">
        <v>1.1226851851851851E-3</v>
      </c>
      <c r="C817" t="s">
        <v>1491</v>
      </c>
      <c r="D817" t="s">
        <v>23</v>
      </c>
      <c r="E817" t="s">
        <v>24</v>
      </c>
      <c r="F817" t="s">
        <v>1492</v>
      </c>
      <c r="G817">
        <v>1487107</v>
      </c>
      <c r="H817" t="s">
        <v>68</v>
      </c>
      <c r="I817" t="s">
        <v>172</v>
      </c>
      <c r="J817" t="str">
        <f>"9781136697333"</f>
        <v>9781136697333</v>
      </c>
      <c r="K817" t="s">
        <v>33</v>
      </c>
      <c r="L817">
        <v>3</v>
      </c>
      <c r="O817" t="s">
        <v>30</v>
      </c>
      <c r="P817" t="s">
        <v>50</v>
      </c>
      <c r="S817" t="s">
        <v>31</v>
      </c>
      <c r="T817" t="s">
        <v>1495</v>
      </c>
      <c r="U817">
        <v>980</v>
      </c>
      <c r="V817" s="3">
        <v>41565</v>
      </c>
    </row>
    <row r="818" spans="1:22" x14ac:dyDescent="0.35">
      <c r="A818" s="1">
        <v>42388.178090277775</v>
      </c>
      <c r="B818" s="2">
        <v>0</v>
      </c>
      <c r="C818" t="s">
        <v>701</v>
      </c>
      <c r="D818" t="s">
        <v>23</v>
      </c>
      <c r="E818" t="s">
        <v>24</v>
      </c>
      <c r="F818" t="s">
        <v>702</v>
      </c>
      <c r="G818">
        <v>1569834</v>
      </c>
      <c r="H818" t="s">
        <v>68</v>
      </c>
      <c r="I818" t="s">
        <v>150</v>
      </c>
      <c r="J818" t="str">
        <f>"9781317972471"</f>
        <v>9781317972471</v>
      </c>
      <c r="L818">
        <v>0</v>
      </c>
      <c r="O818" t="s">
        <v>30</v>
      </c>
      <c r="P818" t="s">
        <v>47</v>
      </c>
      <c r="Q818" s="1">
        <v>42387.5703587963</v>
      </c>
      <c r="R818">
        <v>7</v>
      </c>
      <c r="S818" t="s">
        <v>31</v>
      </c>
      <c r="T818" t="s">
        <v>705</v>
      </c>
      <c r="U818">
        <v>709.04</v>
      </c>
      <c r="V818" s="3">
        <v>41604</v>
      </c>
    </row>
    <row r="819" spans="1:22" x14ac:dyDescent="0.35">
      <c r="A819" s="1">
        <v>42388.126458333332</v>
      </c>
      <c r="B819" s="2">
        <v>5.5115740740740743E-2</v>
      </c>
      <c r="C819" t="s">
        <v>1496</v>
      </c>
      <c r="D819" t="s">
        <v>23</v>
      </c>
      <c r="E819" t="s">
        <v>24</v>
      </c>
      <c r="F819" t="s">
        <v>1497</v>
      </c>
      <c r="G819">
        <v>1576121</v>
      </c>
      <c r="H819" t="s">
        <v>68</v>
      </c>
      <c r="I819" t="s">
        <v>97</v>
      </c>
      <c r="J819" t="str">
        <f>"9781134602933"</f>
        <v>9781134602933</v>
      </c>
      <c r="K819" t="s">
        <v>1498</v>
      </c>
      <c r="L819">
        <v>20</v>
      </c>
      <c r="O819" t="s">
        <v>30</v>
      </c>
      <c r="P819" t="s">
        <v>47</v>
      </c>
      <c r="Q819" s="1">
        <v>42388.126458333332</v>
      </c>
      <c r="R819">
        <v>1</v>
      </c>
      <c r="S819" t="s">
        <v>31</v>
      </c>
      <c r="T819" t="s">
        <v>1499</v>
      </c>
      <c r="U819">
        <v>657</v>
      </c>
      <c r="V819" s="3">
        <v>41569</v>
      </c>
    </row>
    <row r="820" spans="1:22" x14ac:dyDescent="0.35">
      <c r="A820" s="1">
        <v>42388.12228009259</v>
      </c>
      <c r="B820" s="2">
        <v>4.1782407407407402E-3</v>
      </c>
      <c r="C820" t="s">
        <v>1496</v>
      </c>
      <c r="D820" t="s">
        <v>23</v>
      </c>
      <c r="E820" t="s">
        <v>24</v>
      </c>
      <c r="F820" t="s">
        <v>1497</v>
      </c>
      <c r="G820">
        <v>1576121</v>
      </c>
      <c r="H820" t="s">
        <v>68</v>
      </c>
      <c r="I820" t="s">
        <v>97</v>
      </c>
      <c r="J820" t="str">
        <f>"9781134602933"</f>
        <v>9781134602933</v>
      </c>
      <c r="K820" t="s">
        <v>1500</v>
      </c>
      <c r="L820">
        <v>9</v>
      </c>
      <c r="O820" t="s">
        <v>30</v>
      </c>
      <c r="P820" t="s">
        <v>50</v>
      </c>
      <c r="S820" t="s">
        <v>31</v>
      </c>
      <c r="T820" t="s">
        <v>1499</v>
      </c>
      <c r="U820">
        <v>657</v>
      </c>
      <c r="V820" s="3">
        <v>41569</v>
      </c>
    </row>
    <row r="821" spans="1:22" x14ac:dyDescent="0.35">
      <c r="A821" s="1">
        <v>42388.019432870373</v>
      </c>
      <c r="B821" s="2">
        <v>3.3564814814814811E-3</v>
      </c>
      <c r="C821" t="s">
        <v>1501</v>
      </c>
      <c r="D821" t="s">
        <v>23</v>
      </c>
      <c r="E821" t="s">
        <v>24</v>
      </c>
      <c r="F821" t="s">
        <v>1502</v>
      </c>
      <c r="G821">
        <v>4000661</v>
      </c>
      <c r="H821" t="s">
        <v>91</v>
      </c>
      <c r="J821" t="str">
        <f>"9781462523283"</f>
        <v>9781462523283</v>
      </c>
      <c r="K821" t="s">
        <v>1503</v>
      </c>
      <c r="L821">
        <v>21</v>
      </c>
      <c r="O821" t="s">
        <v>30</v>
      </c>
      <c r="P821" t="s">
        <v>50</v>
      </c>
      <c r="S821" t="s">
        <v>31</v>
      </c>
      <c r="V821" s="3">
        <v>42284</v>
      </c>
    </row>
    <row r="822" spans="1:22" x14ac:dyDescent="0.35">
      <c r="A822" s="1">
        <v>42387.99927083333</v>
      </c>
      <c r="B822" s="2">
        <v>2.0486111111111113E-3</v>
      </c>
      <c r="C822" t="s">
        <v>1103</v>
      </c>
      <c r="D822" t="s">
        <v>23</v>
      </c>
      <c r="E822" t="s">
        <v>24</v>
      </c>
      <c r="F822" t="s">
        <v>1104</v>
      </c>
      <c r="G822">
        <v>1487097</v>
      </c>
      <c r="H822" t="s">
        <v>68</v>
      </c>
      <c r="I822" t="s">
        <v>120</v>
      </c>
      <c r="J822" t="str">
        <f>"9781135398842"</f>
        <v>9781135398842</v>
      </c>
      <c r="K822" t="s">
        <v>1504</v>
      </c>
      <c r="L822">
        <v>22</v>
      </c>
      <c r="O822" t="s">
        <v>30</v>
      </c>
      <c r="P822" t="s">
        <v>47</v>
      </c>
      <c r="Q822" s="1">
        <v>42387.798020833332</v>
      </c>
      <c r="R822">
        <v>1</v>
      </c>
      <c r="S822" t="s">
        <v>31</v>
      </c>
      <c r="T822" t="s">
        <v>1106</v>
      </c>
      <c r="U822">
        <v>306.76799999999997</v>
      </c>
      <c r="V822" s="3">
        <v>41565</v>
      </c>
    </row>
    <row r="823" spans="1:22" x14ac:dyDescent="0.35">
      <c r="A823" s="1">
        <v>42387.99759259259</v>
      </c>
      <c r="B823" s="2">
        <v>1.5000000000000001E-2</v>
      </c>
      <c r="C823" t="s">
        <v>988</v>
      </c>
      <c r="D823" t="s">
        <v>23</v>
      </c>
      <c r="E823" t="s">
        <v>24</v>
      </c>
      <c r="F823" t="s">
        <v>989</v>
      </c>
      <c r="G823">
        <v>330580</v>
      </c>
      <c r="H823" t="s">
        <v>91</v>
      </c>
      <c r="I823" t="s">
        <v>247</v>
      </c>
      <c r="J823" t="str">
        <f>"9781593859398"</f>
        <v>9781593859398</v>
      </c>
      <c r="K823" t="s">
        <v>1505</v>
      </c>
      <c r="L823">
        <v>67</v>
      </c>
      <c r="O823" t="s">
        <v>30</v>
      </c>
      <c r="P823" t="s">
        <v>29</v>
      </c>
      <c r="Q823" s="1">
        <v>42383.004756944443</v>
      </c>
      <c r="R823">
        <v>7</v>
      </c>
      <c r="S823" t="s">
        <v>31</v>
      </c>
      <c r="T823" t="s">
        <v>991</v>
      </c>
      <c r="U823">
        <v>616.89142000000004</v>
      </c>
      <c r="V823" s="3">
        <v>41773</v>
      </c>
    </row>
    <row r="824" spans="1:22" x14ac:dyDescent="0.35">
      <c r="A824" s="1">
        <v>42387.847650462965</v>
      </c>
      <c r="B824" s="2">
        <v>4.6296296296296294E-5</v>
      </c>
      <c r="C824" t="s">
        <v>210</v>
      </c>
      <c r="D824" t="s">
        <v>211</v>
      </c>
      <c r="E824" t="s">
        <v>212</v>
      </c>
      <c r="F824" t="s">
        <v>416</v>
      </c>
      <c r="G824">
        <v>1092851</v>
      </c>
      <c r="H824" t="s">
        <v>26</v>
      </c>
      <c r="I824" t="s">
        <v>417</v>
      </c>
      <c r="J824" t="str">
        <f>"9781118333051"</f>
        <v>9781118333051</v>
      </c>
      <c r="K824" t="s">
        <v>33</v>
      </c>
      <c r="L824">
        <v>3</v>
      </c>
      <c r="O824" t="s">
        <v>30</v>
      </c>
      <c r="P824" t="s">
        <v>42</v>
      </c>
      <c r="S824" t="s">
        <v>214</v>
      </c>
      <c r="T824" t="s">
        <v>419</v>
      </c>
      <c r="U824" t="s">
        <v>420</v>
      </c>
      <c r="V824" s="3">
        <v>41240</v>
      </c>
    </row>
    <row r="825" spans="1:22" x14ac:dyDescent="0.35">
      <c r="A825" s="1">
        <v>42387.827048611114</v>
      </c>
      <c r="B825" s="2">
        <v>6.5277777777777782E-3</v>
      </c>
      <c r="C825" t="s">
        <v>1103</v>
      </c>
      <c r="D825" t="s">
        <v>23</v>
      </c>
      <c r="E825" t="s">
        <v>24</v>
      </c>
      <c r="F825" t="s">
        <v>1104</v>
      </c>
      <c r="G825">
        <v>1487097</v>
      </c>
      <c r="H825" t="s">
        <v>68</v>
      </c>
      <c r="I825" t="s">
        <v>120</v>
      </c>
      <c r="J825" t="str">
        <f>"9781135398842"</f>
        <v>9781135398842</v>
      </c>
      <c r="K825" t="s">
        <v>1506</v>
      </c>
      <c r="L825">
        <v>30</v>
      </c>
      <c r="O825" t="s">
        <v>30</v>
      </c>
      <c r="P825" t="s">
        <v>47</v>
      </c>
      <c r="Q825" s="1">
        <v>42387.798020833332</v>
      </c>
      <c r="R825">
        <v>1</v>
      </c>
      <c r="S825" t="s">
        <v>31</v>
      </c>
      <c r="T825" t="s">
        <v>1106</v>
      </c>
      <c r="U825">
        <v>306.76799999999997</v>
      </c>
      <c r="V825" s="3">
        <v>41565</v>
      </c>
    </row>
    <row r="826" spans="1:22" x14ac:dyDescent="0.35">
      <c r="A826" s="1">
        <v>42387.798020833332</v>
      </c>
      <c r="B826" s="2">
        <v>1.1608796296296296E-2</v>
      </c>
      <c r="C826" t="s">
        <v>1103</v>
      </c>
      <c r="D826" t="s">
        <v>23</v>
      </c>
      <c r="E826" t="s">
        <v>24</v>
      </c>
      <c r="F826" t="s">
        <v>1104</v>
      </c>
      <c r="G826">
        <v>1487097</v>
      </c>
      <c r="H826" t="s">
        <v>68</v>
      </c>
      <c r="I826" t="s">
        <v>120</v>
      </c>
      <c r="J826" t="str">
        <f>"9781135398842"</f>
        <v>9781135398842</v>
      </c>
      <c r="K826" t="s">
        <v>1507</v>
      </c>
      <c r="L826">
        <v>40</v>
      </c>
      <c r="O826" t="s">
        <v>30</v>
      </c>
      <c r="P826" t="s">
        <v>47</v>
      </c>
      <c r="Q826" s="1">
        <v>42387.798020833332</v>
      </c>
      <c r="R826">
        <v>1</v>
      </c>
      <c r="S826" t="s">
        <v>31</v>
      </c>
      <c r="T826" t="s">
        <v>1106</v>
      </c>
      <c r="U826">
        <v>306.76799999999997</v>
      </c>
      <c r="V826" s="3">
        <v>41565</v>
      </c>
    </row>
    <row r="827" spans="1:22" x14ac:dyDescent="0.35">
      <c r="A827" s="1">
        <v>42387.793275462966</v>
      </c>
      <c r="B827" s="2">
        <v>4.7337962962962958E-3</v>
      </c>
      <c r="C827" t="s">
        <v>1103</v>
      </c>
      <c r="D827" t="s">
        <v>23</v>
      </c>
      <c r="E827" t="s">
        <v>24</v>
      </c>
      <c r="F827" t="s">
        <v>1104</v>
      </c>
      <c r="G827">
        <v>1487097</v>
      </c>
      <c r="H827" t="s">
        <v>68</v>
      </c>
      <c r="I827" t="s">
        <v>120</v>
      </c>
      <c r="J827" t="str">
        <f>"9781135398842"</f>
        <v>9781135398842</v>
      </c>
      <c r="K827" t="s">
        <v>1508</v>
      </c>
      <c r="L827">
        <v>16</v>
      </c>
      <c r="O827" t="s">
        <v>30</v>
      </c>
      <c r="P827" t="s">
        <v>50</v>
      </c>
      <c r="S827" t="s">
        <v>31</v>
      </c>
      <c r="T827" t="s">
        <v>1106</v>
      </c>
      <c r="U827">
        <v>306.76799999999997</v>
      </c>
      <c r="V827" s="3">
        <v>41565</v>
      </c>
    </row>
    <row r="828" spans="1:22" x14ac:dyDescent="0.35">
      <c r="A828" s="1">
        <v>42387.76053240741</v>
      </c>
      <c r="B828" s="2">
        <v>7.407407407407407E-4</v>
      </c>
      <c r="C828" t="s">
        <v>1509</v>
      </c>
      <c r="D828" t="s">
        <v>261</v>
      </c>
      <c r="E828" t="s">
        <v>262</v>
      </c>
      <c r="F828" t="s">
        <v>1510</v>
      </c>
      <c r="G828">
        <v>759913</v>
      </c>
      <c r="H828" t="s">
        <v>91</v>
      </c>
      <c r="I828" t="s">
        <v>120</v>
      </c>
      <c r="J828" t="str">
        <f>"9781609185008"</f>
        <v>9781609185008</v>
      </c>
      <c r="K828" t="s">
        <v>1511</v>
      </c>
      <c r="L828">
        <v>9</v>
      </c>
      <c r="O828" t="s">
        <v>30</v>
      </c>
      <c r="P828" t="s">
        <v>50</v>
      </c>
      <c r="S828" t="s">
        <v>264</v>
      </c>
      <c r="T828" t="s">
        <v>1512</v>
      </c>
      <c r="U828">
        <v>300.72000000000003</v>
      </c>
      <c r="V828" s="3">
        <v>41773</v>
      </c>
    </row>
    <row r="829" spans="1:22" x14ac:dyDescent="0.35">
      <c r="A829" s="1">
        <v>42387.746087962965</v>
      </c>
      <c r="B829" s="2">
        <v>0</v>
      </c>
      <c r="C829" t="s">
        <v>1513</v>
      </c>
      <c r="D829" t="s">
        <v>23</v>
      </c>
      <c r="E829" t="s">
        <v>24</v>
      </c>
      <c r="F829" t="s">
        <v>1514</v>
      </c>
      <c r="G829">
        <v>1673295</v>
      </c>
      <c r="H829" t="s">
        <v>26</v>
      </c>
      <c r="I829" t="s">
        <v>150</v>
      </c>
      <c r="J829" t="str">
        <f t="shared" ref="J829:J835" si="12">"9781118837443"</f>
        <v>9781118837443</v>
      </c>
      <c r="L829">
        <v>0</v>
      </c>
      <c r="O829" t="s">
        <v>28</v>
      </c>
      <c r="P829" t="s">
        <v>47</v>
      </c>
      <c r="Q829" s="1">
        <v>42387.715416666666</v>
      </c>
      <c r="R829">
        <v>7</v>
      </c>
      <c r="S829" t="s">
        <v>31</v>
      </c>
      <c r="T829" t="s">
        <v>1515</v>
      </c>
      <c r="U829">
        <v>786.19299999999998</v>
      </c>
      <c r="V829" s="3">
        <v>41737</v>
      </c>
    </row>
    <row r="830" spans="1:22" x14ac:dyDescent="0.35">
      <c r="A830" s="1">
        <v>42387.745937500003</v>
      </c>
      <c r="B830" s="2">
        <v>0</v>
      </c>
      <c r="C830" t="s">
        <v>1513</v>
      </c>
      <c r="D830" t="s">
        <v>23</v>
      </c>
      <c r="E830" t="s">
        <v>24</v>
      </c>
      <c r="F830" t="s">
        <v>1514</v>
      </c>
      <c r="G830">
        <v>1673295</v>
      </c>
      <c r="H830" t="s">
        <v>26</v>
      </c>
      <c r="I830" t="s">
        <v>150</v>
      </c>
      <c r="J830" t="str">
        <f t="shared" si="12"/>
        <v>9781118837443</v>
      </c>
      <c r="L830">
        <v>0</v>
      </c>
      <c r="O830" t="s">
        <v>28</v>
      </c>
      <c r="P830" t="s">
        <v>47</v>
      </c>
      <c r="Q830" s="1">
        <v>42387.715416666666</v>
      </c>
      <c r="R830">
        <v>7</v>
      </c>
      <c r="S830" t="s">
        <v>31</v>
      </c>
      <c r="T830" t="s">
        <v>1515</v>
      </c>
      <c r="U830">
        <v>786.19299999999998</v>
      </c>
      <c r="V830" s="3">
        <v>41737</v>
      </c>
    </row>
    <row r="831" spans="1:22" x14ac:dyDescent="0.35">
      <c r="A831" s="1">
        <v>42387.717303240737</v>
      </c>
      <c r="B831" s="2">
        <v>7.6273148148148151E-3</v>
      </c>
      <c r="C831" t="s">
        <v>1513</v>
      </c>
      <c r="D831" t="s">
        <v>23</v>
      </c>
      <c r="E831" t="s">
        <v>24</v>
      </c>
      <c r="F831" t="s">
        <v>1514</v>
      </c>
      <c r="G831">
        <v>1673295</v>
      </c>
      <c r="H831" t="s">
        <v>26</v>
      </c>
      <c r="I831" t="s">
        <v>150</v>
      </c>
      <c r="J831" t="str">
        <f t="shared" si="12"/>
        <v>9781118837443</v>
      </c>
      <c r="K831" t="s">
        <v>1516</v>
      </c>
      <c r="L831">
        <v>47</v>
      </c>
      <c r="O831" t="s">
        <v>28</v>
      </c>
      <c r="P831" t="s">
        <v>47</v>
      </c>
      <c r="Q831" s="1">
        <v>42387.715416666666</v>
      </c>
      <c r="R831">
        <v>7</v>
      </c>
      <c r="S831" t="s">
        <v>31</v>
      </c>
      <c r="T831" t="s">
        <v>1515</v>
      </c>
      <c r="U831">
        <v>786.19299999999998</v>
      </c>
      <c r="V831" s="3">
        <v>41737</v>
      </c>
    </row>
    <row r="832" spans="1:22" x14ac:dyDescent="0.35">
      <c r="A832" s="1">
        <v>42387.716979166667</v>
      </c>
      <c r="B832" s="2">
        <v>0</v>
      </c>
      <c r="C832" t="s">
        <v>1513</v>
      </c>
      <c r="D832" t="s">
        <v>23</v>
      </c>
      <c r="E832" t="s">
        <v>24</v>
      </c>
      <c r="F832" t="s">
        <v>1514</v>
      </c>
      <c r="G832">
        <v>1673295</v>
      </c>
      <c r="H832" t="s">
        <v>26</v>
      </c>
      <c r="I832" t="s">
        <v>150</v>
      </c>
      <c r="J832" t="str">
        <f t="shared" si="12"/>
        <v>9781118837443</v>
      </c>
      <c r="L832">
        <v>0</v>
      </c>
      <c r="O832" t="s">
        <v>28</v>
      </c>
      <c r="P832" t="s">
        <v>47</v>
      </c>
      <c r="Q832" s="1">
        <v>42387.715416666666</v>
      </c>
      <c r="R832">
        <v>7</v>
      </c>
      <c r="S832" t="s">
        <v>31</v>
      </c>
      <c r="T832" t="s">
        <v>1515</v>
      </c>
      <c r="U832">
        <v>786.19299999999998</v>
      </c>
      <c r="V832" s="3">
        <v>41737</v>
      </c>
    </row>
    <row r="833" spans="1:22" x14ac:dyDescent="0.35">
      <c r="A833" s="1">
        <v>42387.715416666666</v>
      </c>
      <c r="B833" s="2">
        <v>1.3773148148148147E-3</v>
      </c>
      <c r="C833" t="s">
        <v>1513</v>
      </c>
      <c r="D833" t="s">
        <v>23</v>
      </c>
      <c r="E833" t="s">
        <v>24</v>
      </c>
      <c r="F833" t="s">
        <v>1514</v>
      </c>
      <c r="G833">
        <v>1673295</v>
      </c>
      <c r="H833" t="s">
        <v>26</v>
      </c>
      <c r="I833" t="s">
        <v>150</v>
      </c>
      <c r="J833" t="str">
        <f t="shared" si="12"/>
        <v>9781118837443</v>
      </c>
      <c r="K833" t="s">
        <v>1517</v>
      </c>
      <c r="L833">
        <v>17</v>
      </c>
      <c r="O833" t="s">
        <v>28</v>
      </c>
      <c r="P833" t="s">
        <v>47</v>
      </c>
      <c r="Q833" s="1">
        <v>42387.715416666666</v>
      </c>
      <c r="R833">
        <v>7</v>
      </c>
      <c r="S833" t="s">
        <v>31</v>
      </c>
      <c r="T833" t="s">
        <v>1515</v>
      </c>
      <c r="U833">
        <v>786.19299999999998</v>
      </c>
      <c r="V833" s="3">
        <v>41737</v>
      </c>
    </row>
    <row r="834" spans="1:22" x14ac:dyDescent="0.35">
      <c r="A834" s="1">
        <v>42387.715416666666</v>
      </c>
      <c r="B834" s="2">
        <v>0</v>
      </c>
      <c r="C834" t="s">
        <v>1513</v>
      </c>
      <c r="D834" t="s">
        <v>23</v>
      </c>
      <c r="E834" t="s">
        <v>24</v>
      </c>
      <c r="F834" t="s">
        <v>1514</v>
      </c>
      <c r="G834">
        <v>1673295</v>
      </c>
      <c r="H834" t="s">
        <v>26</v>
      </c>
      <c r="I834" t="s">
        <v>150</v>
      </c>
      <c r="J834" t="str">
        <f t="shared" si="12"/>
        <v>9781118837443</v>
      </c>
      <c r="L834">
        <v>0</v>
      </c>
      <c r="O834" t="s">
        <v>30</v>
      </c>
      <c r="P834" t="s">
        <v>47</v>
      </c>
      <c r="Q834" s="1">
        <v>42387.715416666666</v>
      </c>
      <c r="R834">
        <v>7</v>
      </c>
      <c r="S834" t="s">
        <v>31</v>
      </c>
      <c r="T834" t="s">
        <v>1515</v>
      </c>
      <c r="U834">
        <v>786.19299999999998</v>
      </c>
      <c r="V834" s="3">
        <v>41737</v>
      </c>
    </row>
    <row r="835" spans="1:22" x14ac:dyDescent="0.35">
      <c r="A835" s="1">
        <v>42387.714375000003</v>
      </c>
      <c r="B835" s="2">
        <v>1.0416666666666667E-3</v>
      </c>
      <c r="C835" t="s">
        <v>1513</v>
      </c>
      <c r="D835" t="s">
        <v>23</v>
      </c>
      <c r="E835" t="s">
        <v>24</v>
      </c>
      <c r="F835" t="s">
        <v>1514</v>
      </c>
      <c r="G835">
        <v>1673295</v>
      </c>
      <c r="H835" t="s">
        <v>26</v>
      </c>
      <c r="I835" t="s">
        <v>150</v>
      </c>
      <c r="J835" t="str">
        <f t="shared" si="12"/>
        <v>9781118837443</v>
      </c>
      <c r="K835" t="s">
        <v>1518</v>
      </c>
      <c r="L835">
        <v>6</v>
      </c>
      <c r="O835" t="s">
        <v>30</v>
      </c>
      <c r="P835" t="s">
        <v>50</v>
      </c>
      <c r="S835" t="s">
        <v>31</v>
      </c>
      <c r="T835" t="s">
        <v>1515</v>
      </c>
      <c r="U835">
        <v>786.19299999999998</v>
      </c>
      <c r="V835" s="3">
        <v>41737</v>
      </c>
    </row>
    <row r="836" spans="1:22" x14ac:dyDescent="0.35">
      <c r="A836" s="1">
        <v>42387.713055555556</v>
      </c>
      <c r="B836" s="2">
        <v>1.5162037037037036E-3</v>
      </c>
      <c r="C836" t="s">
        <v>283</v>
      </c>
      <c r="D836" t="s">
        <v>23</v>
      </c>
      <c r="E836" t="s">
        <v>24</v>
      </c>
      <c r="F836" t="s">
        <v>1519</v>
      </c>
      <c r="G836">
        <v>3571149</v>
      </c>
      <c r="H836" t="s">
        <v>613</v>
      </c>
      <c r="I836" t="s">
        <v>998</v>
      </c>
      <c r="J836" t="str">
        <f>"9781469622828"</f>
        <v>9781469622828</v>
      </c>
      <c r="K836" t="s">
        <v>1520</v>
      </c>
      <c r="L836">
        <v>20</v>
      </c>
      <c r="O836" t="s">
        <v>30</v>
      </c>
      <c r="P836" t="s">
        <v>50</v>
      </c>
      <c r="S836" t="s">
        <v>31</v>
      </c>
      <c r="T836" t="s">
        <v>1521</v>
      </c>
      <c r="U836" t="s">
        <v>1522</v>
      </c>
      <c r="V836" s="3">
        <v>42186</v>
      </c>
    </row>
    <row r="837" spans="1:22" x14ac:dyDescent="0.35">
      <c r="A837" s="1">
        <v>42387.644108796296</v>
      </c>
      <c r="B837" s="2">
        <v>6.4664351851851862E-2</v>
      </c>
      <c r="C837" t="s">
        <v>471</v>
      </c>
      <c r="D837" t="s">
        <v>211</v>
      </c>
      <c r="E837" t="s">
        <v>212</v>
      </c>
      <c r="F837" t="s">
        <v>497</v>
      </c>
      <c r="G837">
        <v>1986951</v>
      </c>
      <c r="H837" t="s">
        <v>26</v>
      </c>
      <c r="I837" t="s">
        <v>97</v>
      </c>
      <c r="J837" t="str">
        <f>"9781119130468"</f>
        <v>9781119130468</v>
      </c>
      <c r="K837" t="s">
        <v>1523</v>
      </c>
      <c r="L837">
        <v>69</v>
      </c>
      <c r="M837" t="s">
        <v>1524</v>
      </c>
      <c r="O837" t="s">
        <v>30</v>
      </c>
      <c r="P837" t="s">
        <v>29</v>
      </c>
      <c r="Q837" s="1">
        <v>42387.644108796296</v>
      </c>
      <c r="R837">
        <v>7</v>
      </c>
      <c r="S837" t="s">
        <v>214</v>
      </c>
      <c r="T837" t="s">
        <v>500</v>
      </c>
      <c r="U837">
        <v>657.07600000000002</v>
      </c>
      <c r="V837" s="3">
        <v>42143</v>
      </c>
    </row>
    <row r="838" spans="1:22" x14ac:dyDescent="0.35">
      <c r="A838" s="1">
        <v>42387.634050925924</v>
      </c>
      <c r="B838" s="2">
        <v>1.005787037037037E-2</v>
      </c>
      <c r="C838" t="s">
        <v>471</v>
      </c>
      <c r="D838" t="s">
        <v>211</v>
      </c>
      <c r="E838" t="s">
        <v>212</v>
      </c>
      <c r="F838" t="s">
        <v>497</v>
      </c>
      <c r="G838">
        <v>1986951</v>
      </c>
      <c r="H838" t="s">
        <v>26</v>
      </c>
      <c r="I838" t="s">
        <v>97</v>
      </c>
      <c r="J838" t="str">
        <f>"9781119130468"</f>
        <v>9781119130468</v>
      </c>
      <c r="K838" t="s">
        <v>1525</v>
      </c>
      <c r="L838">
        <v>52</v>
      </c>
      <c r="O838" t="s">
        <v>30</v>
      </c>
      <c r="P838" t="s">
        <v>42</v>
      </c>
      <c r="S838" t="s">
        <v>214</v>
      </c>
      <c r="T838" t="s">
        <v>500</v>
      </c>
      <c r="U838">
        <v>657.07600000000002</v>
      </c>
      <c r="V838" s="3">
        <v>42143</v>
      </c>
    </row>
    <row r="839" spans="1:22" x14ac:dyDescent="0.35">
      <c r="A839" s="1">
        <v>42387.632800925923</v>
      </c>
      <c r="B839" s="2">
        <v>3.4722222222222222E-5</v>
      </c>
      <c r="C839" t="s">
        <v>471</v>
      </c>
      <c r="D839" t="s">
        <v>211</v>
      </c>
      <c r="E839" t="s">
        <v>212</v>
      </c>
      <c r="F839" t="s">
        <v>1177</v>
      </c>
      <c r="G839">
        <v>4206589</v>
      </c>
      <c r="H839" t="s">
        <v>26</v>
      </c>
      <c r="J839" t="str">
        <f>"9781119256595"</f>
        <v>9781119256595</v>
      </c>
      <c r="K839" t="s">
        <v>33</v>
      </c>
      <c r="L839">
        <v>3</v>
      </c>
      <c r="O839" t="s">
        <v>30</v>
      </c>
      <c r="P839" t="s">
        <v>42</v>
      </c>
      <c r="S839" t="s">
        <v>214</v>
      </c>
      <c r="V839" s="3">
        <v>42352</v>
      </c>
    </row>
    <row r="840" spans="1:22" x14ac:dyDescent="0.35">
      <c r="A840" s="1">
        <v>42387.632094907407</v>
      </c>
      <c r="B840" s="2">
        <v>2.8935185185185189E-4</v>
      </c>
      <c r="C840" t="s">
        <v>471</v>
      </c>
      <c r="D840" t="s">
        <v>211</v>
      </c>
      <c r="E840" t="s">
        <v>212</v>
      </c>
      <c r="F840" t="s">
        <v>497</v>
      </c>
      <c r="G840">
        <v>1986951</v>
      </c>
      <c r="H840" t="s">
        <v>26</v>
      </c>
      <c r="I840" t="s">
        <v>97</v>
      </c>
      <c r="J840" t="str">
        <f>"9781119130468"</f>
        <v>9781119130468</v>
      </c>
      <c r="K840" t="s">
        <v>1526</v>
      </c>
      <c r="L840">
        <v>8</v>
      </c>
      <c r="O840" t="s">
        <v>30</v>
      </c>
      <c r="P840" t="s">
        <v>42</v>
      </c>
      <c r="S840" t="s">
        <v>214</v>
      </c>
      <c r="T840" t="s">
        <v>500</v>
      </c>
      <c r="U840">
        <v>657.07600000000002</v>
      </c>
      <c r="V840" s="3">
        <v>42143</v>
      </c>
    </row>
    <row r="841" spans="1:22" x14ac:dyDescent="0.35">
      <c r="A841" s="1">
        <v>42387.584166666667</v>
      </c>
      <c r="B841" s="2">
        <v>2.3842592592592591E-3</v>
      </c>
      <c r="C841" t="s">
        <v>701</v>
      </c>
      <c r="D841" t="s">
        <v>23</v>
      </c>
      <c r="E841" t="s">
        <v>24</v>
      </c>
      <c r="F841" t="s">
        <v>702</v>
      </c>
      <c r="G841">
        <v>1569834</v>
      </c>
      <c r="H841" t="s">
        <v>68</v>
      </c>
      <c r="I841" t="s">
        <v>150</v>
      </c>
      <c r="J841" t="str">
        <f>"9781317972471"</f>
        <v>9781317972471</v>
      </c>
      <c r="K841" t="s">
        <v>1527</v>
      </c>
      <c r="L841">
        <v>8</v>
      </c>
      <c r="O841" t="s">
        <v>28</v>
      </c>
      <c r="P841" t="s">
        <v>47</v>
      </c>
      <c r="Q841" s="1">
        <v>42387.5703587963</v>
      </c>
      <c r="R841">
        <v>7</v>
      </c>
      <c r="S841" t="s">
        <v>31</v>
      </c>
      <c r="T841" t="s">
        <v>705</v>
      </c>
      <c r="U841">
        <v>709.04</v>
      </c>
      <c r="V841" s="3">
        <v>41604</v>
      </c>
    </row>
    <row r="842" spans="1:22" x14ac:dyDescent="0.35">
      <c r="A842" s="1">
        <v>42387.5703587963</v>
      </c>
      <c r="B842" s="2">
        <v>1.357638888888889E-2</v>
      </c>
      <c r="C842" t="s">
        <v>701</v>
      </c>
      <c r="D842" t="s">
        <v>23</v>
      </c>
      <c r="E842" t="s">
        <v>24</v>
      </c>
      <c r="F842" t="s">
        <v>702</v>
      </c>
      <c r="G842">
        <v>1569834</v>
      </c>
      <c r="H842" t="s">
        <v>68</v>
      </c>
      <c r="I842" t="s">
        <v>150</v>
      </c>
      <c r="J842" t="str">
        <f>"9781317972471"</f>
        <v>9781317972471</v>
      </c>
      <c r="K842" t="s">
        <v>1528</v>
      </c>
      <c r="L842">
        <v>17</v>
      </c>
      <c r="N842" t="s">
        <v>1529</v>
      </c>
      <c r="O842" t="s">
        <v>28</v>
      </c>
      <c r="P842" t="s">
        <v>47</v>
      </c>
      <c r="Q842" s="1">
        <v>42387.5703587963</v>
      </c>
      <c r="R842">
        <v>7</v>
      </c>
      <c r="S842" t="s">
        <v>31</v>
      </c>
      <c r="T842" t="s">
        <v>705</v>
      </c>
      <c r="U842">
        <v>709.04</v>
      </c>
      <c r="V842" s="3">
        <v>41604</v>
      </c>
    </row>
    <row r="843" spans="1:22" x14ac:dyDescent="0.35">
      <c r="A843" s="1">
        <v>42387.5703587963</v>
      </c>
      <c r="B843" s="2">
        <v>0</v>
      </c>
      <c r="C843" t="s">
        <v>701</v>
      </c>
      <c r="D843" t="s">
        <v>23</v>
      </c>
      <c r="E843" t="s">
        <v>24</v>
      </c>
      <c r="F843" t="s">
        <v>702</v>
      </c>
      <c r="G843">
        <v>1569834</v>
      </c>
      <c r="H843" t="s">
        <v>68</v>
      </c>
      <c r="I843" t="s">
        <v>150</v>
      </c>
      <c r="J843" t="str">
        <f>"9781317972471"</f>
        <v>9781317972471</v>
      </c>
      <c r="L843">
        <v>0</v>
      </c>
      <c r="O843" t="s">
        <v>30</v>
      </c>
      <c r="P843" t="s">
        <v>47</v>
      </c>
      <c r="Q843" s="1">
        <v>42387.5703587963</v>
      </c>
      <c r="R843">
        <v>7</v>
      </c>
      <c r="S843" t="s">
        <v>31</v>
      </c>
      <c r="T843" t="s">
        <v>705</v>
      </c>
      <c r="U843">
        <v>709.04</v>
      </c>
      <c r="V843" s="3">
        <v>41604</v>
      </c>
    </row>
    <row r="844" spans="1:22" x14ac:dyDescent="0.35">
      <c r="A844" s="1">
        <v>42387.568865740737</v>
      </c>
      <c r="B844" s="2">
        <v>1.4930555555555556E-3</v>
      </c>
      <c r="C844" t="s">
        <v>701</v>
      </c>
      <c r="D844" t="s">
        <v>23</v>
      </c>
      <c r="E844" t="s">
        <v>24</v>
      </c>
      <c r="F844" t="s">
        <v>702</v>
      </c>
      <c r="G844">
        <v>1569834</v>
      </c>
      <c r="H844" t="s">
        <v>68</v>
      </c>
      <c r="I844" t="s">
        <v>150</v>
      </c>
      <c r="J844" t="str">
        <f>"9781317972471"</f>
        <v>9781317972471</v>
      </c>
      <c r="K844" t="s">
        <v>867</v>
      </c>
      <c r="L844">
        <v>10</v>
      </c>
      <c r="O844" t="s">
        <v>30</v>
      </c>
      <c r="P844" t="s">
        <v>50</v>
      </c>
      <c r="S844" t="s">
        <v>31</v>
      </c>
      <c r="T844" t="s">
        <v>705</v>
      </c>
      <c r="U844">
        <v>709.04</v>
      </c>
      <c r="V844" s="3">
        <v>41604</v>
      </c>
    </row>
    <row r="845" spans="1:22" x14ac:dyDescent="0.35">
      <c r="A845" s="1">
        <v>42387.552997685183</v>
      </c>
      <c r="B845" s="2">
        <v>4.3981481481481481E-4</v>
      </c>
      <c r="C845" t="s">
        <v>1530</v>
      </c>
      <c r="D845" t="s">
        <v>23</v>
      </c>
      <c r="E845" t="s">
        <v>24</v>
      </c>
      <c r="F845" t="s">
        <v>1531</v>
      </c>
      <c r="G845">
        <v>1980340</v>
      </c>
      <c r="H845" t="s">
        <v>26</v>
      </c>
      <c r="I845" t="s">
        <v>1532</v>
      </c>
      <c r="J845" t="str">
        <f>"9781118923283"</f>
        <v>9781118923283</v>
      </c>
      <c r="K845" t="s">
        <v>1533</v>
      </c>
      <c r="L845">
        <v>18</v>
      </c>
      <c r="O845" t="s">
        <v>30</v>
      </c>
      <c r="P845" t="s">
        <v>50</v>
      </c>
      <c r="S845" t="s">
        <v>31</v>
      </c>
      <c r="T845" t="s">
        <v>1534</v>
      </c>
      <c r="U845">
        <v>523.1</v>
      </c>
      <c r="V845" s="3">
        <v>42060</v>
      </c>
    </row>
    <row r="846" spans="1:22" x14ac:dyDescent="0.35">
      <c r="A846" s="1">
        <v>42387.552094907405</v>
      </c>
      <c r="B846" s="2">
        <v>3.2407407407407406E-4</v>
      </c>
      <c r="C846" t="s">
        <v>1530</v>
      </c>
      <c r="D846" t="s">
        <v>23</v>
      </c>
      <c r="E846" t="s">
        <v>24</v>
      </c>
      <c r="F846" t="s">
        <v>1535</v>
      </c>
      <c r="G846">
        <v>4037674</v>
      </c>
      <c r="H846" t="s">
        <v>26</v>
      </c>
      <c r="I846" t="s">
        <v>1536</v>
      </c>
      <c r="J846" t="str">
        <f>"9781118690253"</f>
        <v>9781118690253</v>
      </c>
      <c r="K846" t="s">
        <v>463</v>
      </c>
      <c r="L846">
        <v>9</v>
      </c>
      <c r="O846" t="s">
        <v>30</v>
      </c>
      <c r="P846" t="s">
        <v>50</v>
      </c>
      <c r="S846" t="s">
        <v>31</v>
      </c>
      <c r="T846" t="s">
        <v>1537</v>
      </c>
      <c r="U846">
        <v>523.1</v>
      </c>
      <c r="V846" s="3">
        <v>42121</v>
      </c>
    </row>
    <row r="847" spans="1:22" x14ac:dyDescent="0.35">
      <c r="A847" s="1">
        <v>42387.551620370374</v>
      </c>
      <c r="B847" s="2">
        <v>0</v>
      </c>
      <c r="C847" t="s">
        <v>701</v>
      </c>
      <c r="D847" t="s">
        <v>23</v>
      </c>
      <c r="E847" t="s">
        <v>24</v>
      </c>
      <c r="F847" t="s">
        <v>713</v>
      </c>
      <c r="G847">
        <v>1397236</v>
      </c>
      <c r="H847" t="s">
        <v>68</v>
      </c>
      <c r="I847" t="s">
        <v>150</v>
      </c>
      <c r="J847" t="str">
        <f>"9781135871451"</f>
        <v>9781135871451</v>
      </c>
      <c r="L847">
        <v>0</v>
      </c>
      <c r="O847" t="s">
        <v>28</v>
      </c>
      <c r="P847" t="s">
        <v>47</v>
      </c>
      <c r="Q847" s="1">
        <v>42387.551620370374</v>
      </c>
      <c r="R847">
        <v>7</v>
      </c>
      <c r="S847" t="s">
        <v>31</v>
      </c>
      <c r="T847" t="s">
        <v>714</v>
      </c>
      <c r="U847">
        <v>701.18</v>
      </c>
      <c r="V847" s="3">
        <v>41530</v>
      </c>
    </row>
    <row r="848" spans="1:22" x14ac:dyDescent="0.35">
      <c r="A848" s="1">
        <v>42387.551620370374</v>
      </c>
      <c r="B848" s="2">
        <v>0</v>
      </c>
      <c r="C848" t="s">
        <v>701</v>
      </c>
      <c r="D848" t="s">
        <v>23</v>
      </c>
      <c r="E848" t="s">
        <v>24</v>
      </c>
      <c r="F848" t="s">
        <v>713</v>
      </c>
      <c r="G848">
        <v>1397236</v>
      </c>
      <c r="H848" t="s">
        <v>68</v>
      </c>
      <c r="I848" t="s">
        <v>150</v>
      </c>
      <c r="J848" t="str">
        <f>"9781135871451"</f>
        <v>9781135871451</v>
      </c>
      <c r="L848">
        <v>0</v>
      </c>
      <c r="O848" t="s">
        <v>30</v>
      </c>
      <c r="P848" t="s">
        <v>47</v>
      </c>
      <c r="Q848" s="1">
        <v>42387.551620370374</v>
      </c>
      <c r="R848">
        <v>7</v>
      </c>
      <c r="S848" t="s">
        <v>31</v>
      </c>
      <c r="T848" t="s">
        <v>714</v>
      </c>
      <c r="U848">
        <v>701.18</v>
      </c>
      <c r="V848" s="3">
        <v>41530</v>
      </c>
    </row>
    <row r="849" spans="1:22" x14ac:dyDescent="0.35">
      <c r="A849" s="1">
        <v>42387.551423611112</v>
      </c>
      <c r="B849" s="2">
        <v>1.9675925925925926E-4</v>
      </c>
      <c r="C849" t="s">
        <v>701</v>
      </c>
      <c r="D849" t="s">
        <v>23</v>
      </c>
      <c r="E849" t="s">
        <v>24</v>
      </c>
      <c r="F849" t="s">
        <v>713</v>
      </c>
      <c r="G849">
        <v>1397236</v>
      </c>
      <c r="H849" t="s">
        <v>68</v>
      </c>
      <c r="I849" t="s">
        <v>150</v>
      </c>
      <c r="J849" t="str">
        <f>"9781135871451"</f>
        <v>9781135871451</v>
      </c>
      <c r="K849" t="s">
        <v>33</v>
      </c>
      <c r="L849">
        <v>3</v>
      </c>
      <c r="O849" t="s">
        <v>30</v>
      </c>
      <c r="P849" t="s">
        <v>50</v>
      </c>
      <c r="S849" t="s">
        <v>31</v>
      </c>
      <c r="T849" t="s">
        <v>714</v>
      </c>
      <c r="U849">
        <v>701.18</v>
      </c>
      <c r="V849" s="3">
        <v>41530</v>
      </c>
    </row>
    <row r="850" spans="1:22" x14ac:dyDescent="0.35">
      <c r="A850" s="1">
        <v>42387.296412037038</v>
      </c>
      <c r="B850" s="2">
        <v>1.1111111111111111E-3</v>
      </c>
      <c r="C850" t="s">
        <v>1538</v>
      </c>
      <c r="D850" t="s">
        <v>23</v>
      </c>
      <c r="E850" t="s">
        <v>24</v>
      </c>
      <c r="F850" t="s">
        <v>1539</v>
      </c>
      <c r="G850">
        <v>3038556</v>
      </c>
      <c r="H850" t="s">
        <v>526</v>
      </c>
      <c r="I850" t="s">
        <v>998</v>
      </c>
      <c r="J850" t="str">
        <f>"9780226119199"</f>
        <v>9780226119199</v>
      </c>
      <c r="K850" t="s">
        <v>1540</v>
      </c>
      <c r="L850">
        <v>18</v>
      </c>
      <c r="O850" t="s">
        <v>30</v>
      </c>
      <c r="P850" t="s">
        <v>50</v>
      </c>
      <c r="S850" t="s">
        <v>31</v>
      </c>
      <c r="T850" t="s">
        <v>1541</v>
      </c>
      <c r="U850" t="s">
        <v>1542</v>
      </c>
      <c r="V850" s="3">
        <v>41791</v>
      </c>
    </row>
    <row r="851" spans="1:22" x14ac:dyDescent="0.35">
      <c r="A851" s="1">
        <v>42387.295983796299</v>
      </c>
      <c r="B851" s="2">
        <v>6.9444444444444444E-5</v>
      </c>
      <c r="C851" t="s">
        <v>1538</v>
      </c>
      <c r="D851" t="s">
        <v>23</v>
      </c>
      <c r="E851" t="s">
        <v>24</v>
      </c>
      <c r="F851" t="s">
        <v>1539</v>
      </c>
      <c r="G851">
        <v>3038556</v>
      </c>
      <c r="H851" t="s">
        <v>526</v>
      </c>
      <c r="I851" t="s">
        <v>998</v>
      </c>
      <c r="J851" t="str">
        <f>"9780226119199"</f>
        <v>9780226119199</v>
      </c>
      <c r="K851" t="s">
        <v>33</v>
      </c>
      <c r="L851">
        <v>3</v>
      </c>
      <c r="O851" t="s">
        <v>30</v>
      </c>
      <c r="P851" t="s">
        <v>50</v>
      </c>
      <c r="S851" t="s">
        <v>31</v>
      </c>
      <c r="T851" t="s">
        <v>1541</v>
      </c>
      <c r="U851" t="s">
        <v>1542</v>
      </c>
      <c r="V851" s="3">
        <v>41791</v>
      </c>
    </row>
    <row r="852" spans="1:22" x14ac:dyDescent="0.35">
      <c r="A852" s="1">
        <v>42387.239421296297</v>
      </c>
      <c r="B852" s="2">
        <v>1.6782407407407406E-3</v>
      </c>
      <c r="C852" t="s">
        <v>1543</v>
      </c>
      <c r="D852" t="s">
        <v>23</v>
      </c>
      <c r="E852" t="s">
        <v>24</v>
      </c>
      <c r="F852" t="s">
        <v>1544</v>
      </c>
      <c r="G852">
        <v>1574789</v>
      </c>
      <c r="H852" t="s">
        <v>68</v>
      </c>
      <c r="I852" t="s">
        <v>172</v>
      </c>
      <c r="J852" t="str">
        <f>"9781317882237"</f>
        <v>9781317882237</v>
      </c>
      <c r="K852" t="s">
        <v>1545</v>
      </c>
      <c r="L852">
        <v>21</v>
      </c>
      <c r="O852" t="s">
        <v>30</v>
      </c>
      <c r="P852" t="s">
        <v>50</v>
      </c>
      <c r="S852" t="s">
        <v>31</v>
      </c>
      <c r="T852" t="s">
        <v>1546</v>
      </c>
      <c r="U852">
        <v>951.90419999999995</v>
      </c>
      <c r="V852" s="3">
        <v>41610</v>
      </c>
    </row>
    <row r="853" spans="1:22" x14ac:dyDescent="0.35">
      <c r="A853" s="1">
        <v>42387.212106481478</v>
      </c>
      <c r="B853" s="2">
        <v>1.423611111111111E-3</v>
      </c>
      <c r="C853" t="s">
        <v>1130</v>
      </c>
      <c r="D853" t="s">
        <v>23</v>
      </c>
      <c r="E853" t="s">
        <v>24</v>
      </c>
      <c r="F853" t="s">
        <v>1547</v>
      </c>
      <c r="G853">
        <v>848510</v>
      </c>
      <c r="H853" t="s">
        <v>26</v>
      </c>
      <c r="I853" t="s">
        <v>247</v>
      </c>
      <c r="J853" t="str">
        <f>"9781118220481"</f>
        <v>9781118220481</v>
      </c>
      <c r="K853" t="s">
        <v>634</v>
      </c>
      <c r="L853">
        <v>24</v>
      </c>
      <c r="O853" t="s">
        <v>30</v>
      </c>
      <c r="P853" t="s">
        <v>42</v>
      </c>
      <c r="S853" t="s">
        <v>31</v>
      </c>
      <c r="T853" t="s">
        <v>1548</v>
      </c>
      <c r="U853" t="s">
        <v>1549</v>
      </c>
      <c r="V853" s="3">
        <v>41066</v>
      </c>
    </row>
    <row r="854" spans="1:22" x14ac:dyDescent="0.35">
      <c r="A854" s="1">
        <v>42387.044803240744</v>
      </c>
      <c r="B854" s="2">
        <v>3.3564814814814812E-4</v>
      </c>
      <c r="C854" t="s">
        <v>1550</v>
      </c>
      <c r="D854" t="s">
        <v>23</v>
      </c>
      <c r="E854" t="s">
        <v>24</v>
      </c>
      <c r="F854" t="s">
        <v>1551</v>
      </c>
      <c r="G854">
        <v>3061113</v>
      </c>
      <c r="H854" t="s">
        <v>68</v>
      </c>
      <c r="I854" t="s">
        <v>247</v>
      </c>
      <c r="J854" t="str">
        <f>"9781315010199"</f>
        <v>9781315010199</v>
      </c>
      <c r="K854" t="s">
        <v>1552</v>
      </c>
      <c r="L854">
        <v>9</v>
      </c>
      <c r="O854" t="s">
        <v>30</v>
      </c>
      <c r="P854" t="s">
        <v>50</v>
      </c>
      <c r="S854" t="s">
        <v>31</v>
      </c>
      <c r="T854" t="s">
        <v>1553</v>
      </c>
      <c r="V854" s="3">
        <v>41518</v>
      </c>
    </row>
    <row r="855" spans="1:22" x14ac:dyDescent="0.35">
      <c r="A855" s="1">
        <v>42386.996689814812</v>
      </c>
      <c r="B855" s="2">
        <v>9.1435185185185185E-4</v>
      </c>
      <c r="C855" t="s">
        <v>1554</v>
      </c>
      <c r="D855" t="s">
        <v>23</v>
      </c>
      <c r="E855" t="s">
        <v>24</v>
      </c>
      <c r="F855" t="s">
        <v>698</v>
      </c>
      <c r="G855">
        <v>865191</v>
      </c>
      <c r="H855" t="s">
        <v>26</v>
      </c>
      <c r="I855" t="s">
        <v>120</v>
      </c>
      <c r="J855" t="str">
        <f>"9781118101681"</f>
        <v>9781118101681</v>
      </c>
      <c r="K855" t="s">
        <v>1555</v>
      </c>
      <c r="L855">
        <v>9</v>
      </c>
      <c r="O855" t="s">
        <v>30</v>
      </c>
      <c r="P855" t="s">
        <v>42</v>
      </c>
      <c r="S855" t="s">
        <v>31</v>
      </c>
      <c r="T855" t="s">
        <v>699</v>
      </c>
      <c r="U855" t="s">
        <v>700</v>
      </c>
      <c r="V855" s="3">
        <v>40960</v>
      </c>
    </row>
    <row r="856" spans="1:22" x14ac:dyDescent="0.35">
      <c r="A856" s="1">
        <v>42386.906782407408</v>
      </c>
      <c r="B856" s="2">
        <v>1.689814814814815E-3</v>
      </c>
      <c r="C856" t="s">
        <v>1513</v>
      </c>
      <c r="D856" t="s">
        <v>23</v>
      </c>
      <c r="E856" t="s">
        <v>24</v>
      </c>
      <c r="F856" t="s">
        <v>78</v>
      </c>
      <c r="G856">
        <v>1635363</v>
      </c>
      <c r="H856" t="s">
        <v>26</v>
      </c>
      <c r="I856" t="s">
        <v>79</v>
      </c>
      <c r="J856" t="str">
        <f>"9781118678206"</f>
        <v>9781118678206</v>
      </c>
      <c r="K856" t="s">
        <v>1556</v>
      </c>
      <c r="L856">
        <v>16</v>
      </c>
      <c r="O856" t="s">
        <v>30</v>
      </c>
      <c r="P856" t="s">
        <v>42</v>
      </c>
      <c r="S856" t="s">
        <v>31</v>
      </c>
      <c r="T856" t="s">
        <v>81</v>
      </c>
      <c r="U856">
        <v>340.07600000000002</v>
      </c>
      <c r="V856" s="3">
        <v>41684</v>
      </c>
    </row>
    <row r="857" spans="1:22" x14ac:dyDescent="0.35">
      <c r="A857" s="1">
        <v>42386.806932870371</v>
      </c>
      <c r="B857" s="2">
        <v>0</v>
      </c>
      <c r="C857" t="s">
        <v>1557</v>
      </c>
      <c r="D857" t="s">
        <v>35</v>
      </c>
      <c r="E857" t="s">
        <v>36</v>
      </c>
      <c r="F857" t="s">
        <v>327</v>
      </c>
      <c r="G857">
        <v>1691426</v>
      </c>
      <c r="H857" t="s">
        <v>26</v>
      </c>
      <c r="I857" t="s">
        <v>328</v>
      </c>
      <c r="J857" t="str">
        <f>"9781118839492"</f>
        <v>9781118839492</v>
      </c>
      <c r="L857">
        <v>0</v>
      </c>
      <c r="O857" t="s">
        <v>30</v>
      </c>
      <c r="P857" t="s">
        <v>29</v>
      </c>
      <c r="Q857" s="1">
        <v>42386.806932870371</v>
      </c>
      <c r="R857">
        <v>7</v>
      </c>
      <c r="S857" t="s">
        <v>40</v>
      </c>
      <c r="T857" t="s">
        <v>331</v>
      </c>
      <c r="U857">
        <v>613.70460000000003</v>
      </c>
      <c r="V857" s="3">
        <v>41772</v>
      </c>
    </row>
    <row r="858" spans="1:22" x14ac:dyDescent="0.35">
      <c r="A858" s="1">
        <v>42386.799861111111</v>
      </c>
      <c r="B858" s="2">
        <v>7.0717592592592594E-3</v>
      </c>
      <c r="C858" t="s">
        <v>1557</v>
      </c>
      <c r="D858" t="s">
        <v>35</v>
      </c>
      <c r="E858" t="s">
        <v>36</v>
      </c>
      <c r="F858" t="s">
        <v>327</v>
      </c>
      <c r="G858">
        <v>1691426</v>
      </c>
      <c r="H858" t="s">
        <v>26</v>
      </c>
      <c r="I858" t="s">
        <v>328</v>
      </c>
      <c r="J858" t="str">
        <f>"9781118839492"</f>
        <v>9781118839492</v>
      </c>
      <c r="L858">
        <v>0</v>
      </c>
      <c r="O858" t="s">
        <v>30</v>
      </c>
      <c r="P858" t="s">
        <v>42</v>
      </c>
      <c r="S858" t="s">
        <v>40</v>
      </c>
      <c r="T858" t="s">
        <v>331</v>
      </c>
      <c r="U858">
        <v>613.70460000000003</v>
      </c>
      <c r="V858" s="3">
        <v>41772</v>
      </c>
    </row>
    <row r="859" spans="1:22" x14ac:dyDescent="0.35">
      <c r="A859" s="1">
        <v>42386.706423611111</v>
      </c>
      <c r="B859" s="2">
        <v>3.9351851851851852E-4</v>
      </c>
      <c r="C859" t="s">
        <v>1558</v>
      </c>
      <c r="D859" t="s">
        <v>23</v>
      </c>
      <c r="E859" t="s">
        <v>24</v>
      </c>
      <c r="F859" t="s">
        <v>246</v>
      </c>
      <c r="G859">
        <v>1682559</v>
      </c>
      <c r="H859" t="s">
        <v>91</v>
      </c>
      <c r="I859" t="s">
        <v>247</v>
      </c>
      <c r="J859" t="str">
        <f>"9781462515431"</f>
        <v>9781462515431</v>
      </c>
      <c r="K859" t="s">
        <v>1559</v>
      </c>
      <c r="L859">
        <v>12</v>
      </c>
      <c r="O859" t="s">
        <v>30</v>
      </c>
      <c r="P859" t="s">
        <v>42</v>
      </c>
      <c r="S859" t="s">
        <v>31</v>
      </c>
      <c r="T859" t="s">
        <v>249</v>
      </c>
      <c r="U859">
        <v>616.89</v>
      </c>
      <c r="V859" s="3">
        <v>41769</v>
      </c>
    </row>
    <row r="860" spans="1:22" x14ac:dyDescent="0.35">
      <c r="A860" s="1">
        <v>42386.639618055553</v>
      </c>
      <c r="B860" s="2">
        <v>1.7962962962962962E-2</v>
      </c>
      <c r="C860" t="s">
        <v>988</v>
      </c>
      <c r="D860" t="s">
        <v>23</v>
      </c>
      <c r="E860" t="s">
        <v>24</v>
      </c>
      <c r="F860" t="s">
        <v>989</v>
      </c>
      <c r="G860">
        <v>330580</v>
      </c>
      <c r="H860" t="s">
        <v>91</v>
      </c>
      <c r="I860" t="s">
        <v>247</v>
      </c>
      <c r="J860" t="str">
        <f>"9781593859398"</f>
        <v>9781593859398</v>
      </c>
      <c r="K860" t="s">
        <v>1560</v>
      </c>
      <c r="L860">
        <v>36</v>
      </c>
      <c r="O860" t="s">
        <v>30</v>
      </c>
      <c r="P860" t="s">
        <v>29</v>
      </c>
      <c r="Q860" s="1">
        <v>42383.004756944443</v>
      </c>
      <c r="R860">
        <v>7</v>
      </c>
      <c r="S860" t="s">
        <v>31</v>
      </c>
      <c r="T860" t="s">
        <v>991</v>
      </c>
      <c r="U860">
        <v>616.89142000000004</v>
      </c>
      <c r="V860" s="3">
        <v>41773</v>
      </c>
    </row>
    <row r="861" spans="1:22" x14ac:dyDescent="0.35">
      <c r="A861" s="1">
        <v>42386.461921296293</v>
      </c>
      <c r="B861" s="2">
        <v>0.15968750000000001</v>
      </c>
      <c r="C861" t="s">
        <v>1399</v>
      </c>
      <c r="D861" t="s">
        <v>35</v>
      </c>
      <c r="E861" t="s">
        <v>36</v>
      </c>
      <c r="F861" t="s">
        <v>327</v>
      </c>
      <c r="G861">
        <v>1691426</v>
      </c>
      <c r="H861" t="s">
        <v>26</v>
      </c>
      <c r="I861" t="s">
        <v>328</v>
      </c>
      <c r="J861" t="str">
        <f t="shared" ref="J861:J866" si="13">"9781118839492"</f>
        <v>9781118839492</v>
      </c>
      <c r="K861" t="s">
        <v>1561</v>
      </c>
      <c r="L861">
        <v>89</v>
      </c>
      <c r="M861" t="s">
        <v>1562</v>
      </c>
      <c r="O861" t="s">
        <v>30</v>
      </c>
      <c r="P861" t="s">
        <v>29</v>
      </c>
      <c r="Q861" s="1">
        <v>42386.106608796297</v>
      </c>
      <c r="R861">
        <v>7</v>
      </c>
      <c r="S861" t="s">
        <v>40</v>
      </c>
      <c r="T861" t="s">
        <v>331</v>
      </c>
      <c r="U861">
        <v>613.70460000000003</v>
      </c>
      <c r="V861" s="3">
        <v>41772</v>
      </c>
    </row>
    <row r="862" spans="1:22" x14ac:dyDescent="0.35">
      <c r="A862" s="1">
        <v>42386.190266203703</v>
      </c>
      <c r="B862" s="2">
        <v>4.777777777777778E-2</v>
      </c>
      <c r="C862" t="s">
        <v>1563</v>
      </c>
      <c r="D862" t="s">
        <v>35</v>
      </c>
      <c r="E862" t="s">
        <v>36</v>
      </c>
      <c r="F862" t="s">
        <v>327</v>
      </c>
      <c r="G862">
        <v>1691426</v>
      </c>
      <c r="H862" t="s">
        <v>26</v>
      </c>
      <c r="I862" t="s">
        <v>328</v>
      </c>
      <c r="J862" t="str">
        <f t="shared" si="13"/>
        <v>9781118839492</v>
      </c>
      <c r="K862" t="s">
        <v>1564</v>
      </c>
      <c r="L862">
        <v>137</v>
      </c>
      <c r="O862" t="s">
        <v>30</v>
      </c>
      <c r="P862" t="s">
        <v>29</v>
      </c>
      <c r="Q862" s="1">
        <v>42385.883263888885</v>
      </c>
      <c r="R862">
        <v>7</v>
      </c>
      <c r="S862" t="s">
        <v>40</v>
      </c>
      <c r="T862" t="s">
        <v>331</v>
      </c>
      <c r="U862">
        <v>613.70460000000003</v>
      </c>
      <c r="V862" s="3">
        <v>41772</v>
      </c>
    </row>
    <row r="863" spans="1:22" x14ac:dyDescent="0.35">
      <c r="A863" s="1">
        <v>42386.188900462963</v>
      </c>
      <c r="B863" s="2">
        <v>2.8935185185185189E-4</v>
      </c>
      <c r="C863" t="s">
        <v>1563</v>
      </c>
      <c r="D863" t="s">
        <v>35</v>
      </c>
      <c r="E863" t="s">
        <v>36</v>
      </c>
      <c r="F863" t="s">
        <v>327</v>
      </c>
      <c r="G863">
        <v>1691426</v>
      </c>
      <c r="H863" t="s">
        <v>26</v>
      </c>
      <c r="I863" t="s">
        <v>328</v>
      </c>
      <c r="J863" t="str">
        <f t="shared" si="13"/>
        <v>9781118839492</v>
      </c>
      <c r="K863" t="s">
        <v>1565</v>
      </c>
      <c r="L863">
        <v>11</v>
      </c>
      <c r="O863" t="s">
        <v>30</v>
      </c>
      <c r="P863" t="s">
        <v>29</v>
      </c>
      <c r="Q863" s="1">
        <v>42385.883263888885</v>
      </c>
      <c r="R863">
        <v>7</v>
      </c>
      <c r="S863" t="s">
        <v>40</v>
      </c>
      <c r="T863" t="s">
        <v>331</v>
      </c>
      <c r="U863">
        <v>613.70460000000003</v>
      </c>
      <c r="V863" s="3">
        <v>41772</v>
      </c>
    </row>
    <row r="864" spans="1:22" x14ac:dyDescent="0.35">
      <c r="A864" s="1">
        <v>42386.158333333333</v>
      </c>
      <c r="B864" s="2">
        <v>2.5624999999999998E-2</v>
      </c>
      <c r="C864" t="s">
        <v>1566</v>
      </c>
      <c r="D864" t="s">
        <v>35</v>
      </c>
      <c r="E864" t="s">
        <v>36</v>
      </c>
      <c r="F864" t="s">
        <v>327</v>
      </c>
      <c r="G864">
        <v>1691426</v>
      </c>
      <c r="H864" t="s">
        <v>26</v>
      </c>
      <c r="I864" t="s">
        <v>328</v>
      </c>
      <c r="J864" t="str">
        <f t="shared" si="13"/>
        <v>9781118839492</v>
      </c>
      <c r="K864" t="s">
        <v>1567</v>
      </c>
      <c r="L864">
        <v>40</v>
      </c>
      <c r="O864" t="s">
        <v>30</v>
      </c>
      <c r="P864" t="s">
        <v>29</v>
      </c>
      <c r="Q864" s="1">
        <v>42385.087407407409</v>
      </c>
      <c r="R864">
        <v>7</v>
      </c>
      <c r="S864" t="s">
        <v>40</v>
      </c>
      <c r="T864" t="s">
        <v>331</v>
      </c>
      <c r="U864">
        <v>613.70460000000003</v>
      </c>
      <c r="V864" s="3">
        <v>41772</v>
      </c>
    </row>
    <row r="865" spans="1:22" x14ac:dyDescent="0.35">
      <c r="A865" s="1">
        <v>42386.106608796297</v>
      </c>
      <c r="B865" s="2">
        <v>1.5046296296296294E-3</v>
      </c>
      <c r="C865" t="s">
        <v>1399</v>
      </c>
      <c r="D865" t="s">
        <v>35</v>
      </c>
      <c r="E865" t="s">
        <v>36</v>
      </c>
      <c r="F865" t="s">
        <v>327</v>
      </c>
      <c r="G865">
        <v>1691426</v>
      </c>
      <c r="H865" t="s">
        <v>26</v>
      </c>
      <c r="I865" t="s">
        <v>328</v>
      </c>
      <c r="J865" t="str">
        <f t="shared" si="13"/>
        <v>9781118839492</v>
      </c>
      <c r="K865" t="s">
        <v>1568</v>
      </c>
      <c r="L865">
        <v>2</v>
      </c>
      <c r="O865" t="s">
        <v>30</v>
      </c>
      <c r="P865" t="s">
        <v>29</v>
      </c>
      <c r="Q865" s="1">
        <v>42386.106608796297</v>
      </c>
      <c r="R865">
        <v>7</v>
      </c>
      <c r="S865" t="s">
        <v>40</v>
      </c>
      <c r="T865" t="s">
        <v>331</v>
      </c>
      <c r="U865">
        <v>613.70460000000003</v>
      </c>
      <c r="V865" s="3">
        <v>41772</v>
      </c>
    </row>
    <row r="866" spans="1:22" x14ac:dyDescent="0.35">
      <c r="A866" s="1">
        <v>42386.098240740743</v>
      </c>
      <c r="B866" s="2">
        <v>8.3680555555555557E-3</v>
      </c>
      <c r="C866" t="s">
        <v>1399</v>
      </c>
      <c r="D866" t="s">
        <v>35</v>
      </c>
      <c r="E866" t="s">
        <v>36</v>
      </c>
      <c r="F866" t="s">
        <v>327</v>
      </c>
      <c r="G866">
        <v>1691426</v>
      </c>
      <c r="H866" t="s">
        <v>26</v>
      </c>
      <c r="I866" t="s">
        <v>328</v>
      </c>
      <c r="J866" t="str">
        <f t="shared" si="13"/>
        <v>9781118839492</v>
      </c>
      <c r="K866" t="s">
        <v>1569</v>
      </c>
      <c r="L866">
        <v>14</v>
      </c>
      <c r="O866" t="s">
        <v>30</v>
      </c>
      <c r="P866" t="s">
        <v>42</v>
      </c>
      <c r="S866" t="s">
        <v>40</v>
      </c>
      <c r="T866" t="s">
        <v>331</v>
      </c>
      <c r="U866">
        <v>613.70460000000003</v>
      </c>
      <c r="V866" s="3">
        <v>41772</v>
      </c>
    </row>
    <row r="867" spans="1:22" x14ac:dyDescent="0.35">
      <c r="A867" s="1">
        <v>42386.07136574074</v>
      </c>
      <c r="B867" s="2">
        <v>2.5462962962962961E-4</v>
      </c>
      <c r="C867" t="s">
        <v>1570</v>
      </c>
      <c r="D867" t="s">
        <v>23</v>
      </c>
      <c r="E867" t="s">
        <v>24</v>
      </c>
      <c r="F867" t="s">
        <v>1571</v>
      </c>
      <c r="G867">
        <v>1707328</v>
      </c>
      <c r="H867" t="s">
        <v>84</v>
      </c>
      <c r="I867" t="s">
        <v>150</v>
      </c>
      <c r="J867" t="str">
        <f>"9780520958876"</f>
        <v>9780520958876</v>
      </c>
      <c r="K867" t="s">
        <v>1572</v>
      </c>
      <c r="L867">
        <v>8</v>
      </c>
      <c r="O867" t="s">
        <v>30</v>
      </c>
      <c r="P867" t="s">
        <v>42</v>
      </c>
      <c r="S867" t="s">
        <v>31</v>
      </c>
      <c r="T867" t="s">
        <v>1573</v>
      </c>
      <c r="U867">
        <v>780.90329999999994</v>
      </c>
      <c r="V867" s="3">
        <v>41797</v>
      </c>
    </row>
    <row r="868" spans="1:22" x14ac:dyDescent="0.35">
      <c r="A868" s="1">
        <v>42386.048101851855</v>
      </c>
      <c r="B868" s="2">
        <v>3.0208333333333333E-3</v>
      </c>
      <c r="C868" t="s">
        <v>1574</v>
      </c>
      <c r="D868" t="s">
        <v>23</v>
      </c>
      <c r="E868" t="s">
        <v>24</v>
      </c>
      <c r="F868" t="s">
        <v>90</v>
      </c>
      <c r="G868">
        <v>1683360</v>
      </c>
      <c r="H868" t="s">
        <v>91</v>
      </c>
      <c r="I868" t="s">
        <v>92</v>
      </c>
      <c r="J868" t="str">
        <f>"9781462516032"</f>
        <v>9781462516032</v>
      </c>
      <c r="K868" t="s">
        <v>1575</v>
      </c>
      <c r="L868">
        <v>19</v>
      </c>
      <c r="O868" t="s">
        <v>30</v>
      </c>
      <c r="P868" t="s">
        <v>42</v>
      </c>
      <c r="S868" t="s">
        <v>31</v>
      </c>
      <c r="T868" t="s">
        <v>94</v>
      </c>
      <c r="U868">
        <v>1.42</v>
      </c>
      <c r="V868" s="3">
        <v>41823</v>
      </c>
    </row>
    <row r="869" spans="1:22" x14ac:dyDescent="0.35">
      <c r="A869" s="1">
        <v>42386.001608796294</v>
      </c>
      <c r="B869" s="2">
        <v>1.3888888888888889E-3</v>
      </c>
      <c r="C869" t="s">
        <v>77</v>
      </c>
      <c r="D869" t="s">
        <v>23</v>
      </c>
      <c r="E869" t="s">
        <v>24</v>
      </c>
      <c r="F869" t="s">
        <v>78</v>
      </c>
      <c r="G869">
        <v>1635363</v>
      </c>
      <c r="H869" t="s">
        <v>26</v>
      </c>
      <c r="I869" t="s">
        <v>79</v>
      </c>
      <c r="J869" t="str">
        <f>"9781118678206"</f>
        <v>9781118678206</v>
      </c>
      <c r="K869" t="s">
        <v>1576</v>
      </c>
      <c r="L869">
        <v>31</v>
      </c>
      <c r="O869" t="s">
        <v>30</v>
      </c>
      <c r="P869" t="s">
        <v>42</v>
      </c>
      <c r="S869" t="s">
        <v>31</v>
      </c>
      <c r="T869" t="s">
        <v>81</v>
      </c>
      <c r="U869">
        <v>340.07600000000002</v>
      </c>
      <c r="V869" s="3">
        <v>41684</v>
      </c>
    </row>
    <row r="870" spans="1:22" x14ac:dyDescent="0.35">
      <c r="A870" s="1">
        <v>42385.883263888885</v>
      </c>
      <c r="B870" s="2">
        <v>6.4814814814814813E-3</v>
      </c>
      <c r="C870" t="s">
        <v>1563</v>
      </c>
      <c r="D870" t="s">
        <v>35</v>
      </c>
      <c r="E870" t="s">
        <v>36</v>
      </c>
      <c r="F870" t="s">
        <v>327</v>
      </c>
      <c r="G870">
        <v>1691426</v>
      </c>
      <c r="H870" t="s">
        <v>26</v>
      </c>
      <c r="I870" t="s">
        <v>328</v>
      </c>
      <c r="J870" t="str">
        <f>"9781118839492"</f>
        <v>9781118839492</v>
      </c>
      <c r="K870" t="s">
        <v>1577</v>
      </c>
      <c r="L870">
        <v>9</v>
      </c>
      <c r="O870" t="s">
        <v>30</v>
      </c>
      <c r="P870" t="s">
        <v>29</v>
      </c>
      <c r="Q870" s="1">
        <v>42385.883263888885</v>
      </c>
      <c r="R870">
        <v>7</v>
      </c>
      <c r="S870" t="s">
        <v>40</v>
      </c>
      <c r="T870" t="s">
        <v>331</v>
      </c>
      <c r="U870">
        <v>613.70460000000003</v>
      </c>
      <c r="V870" s="3">
        <v>41772</v>
      </c>
    </row>
    <row r="871" spans="1:22" x14ac:dyDescent="0.35">
      <c r="A871" s="1">
        <v>42385.876087962963</v>
      </c>
      <c r="B871" s="2">
        <v>7.1759259259259259E-3</v>
      </c>
      <c r="C871" t="s">
        <v>1563</v>
      </c>
      <c r="D871" t="s">
        <v>35</v>
      </c>
      <c r="E871" t="s">
        <v>36</v>
      </c>
      <c r="F871" t="s">
        <v>327</v>
      </c>
      <c r="G871">
        <v>1691426</v>
      </c>
      <c r="H871" t="s">
        <v>26</v>
      </c>
      <c r="I871" t="s">
        <v>328</v>
      </c>
      <c r="J871" t="str">
        <f>"9781118839492"</f>
        <v>9781118839492</v>
      </c>
      <c r="K871" t="s">
        <v>1578</v>
      </c>
      <c r="L871">
        <v>29</v>
      </c>
      <c r="O871" t="s">
        <v>30</v>
      </c>
      <c r="P871" t="s">
        <v>42</v>
      </c>
      <c r="S871" t="s">
        <v>40</v>
      </c>
      <c r="T871" t="s">
        <v>331</v>
      </c>
      <c r="U871">
        <v>613.70460000000003</v>
      </c>
      <c r="V871" s="3">
        <v>41772</v>
      </c>
    </row>
    <row r="872" spans="1:22" x14ac:dyDescent="0.35">
      <c r="A872" s="1">
        <v>42385.859629629631</v>
      </c>
      <c r="B872" s="2">
        <v>4.3738425925925924E-2</v>
      </c>
      <c r="C872" t="s">
        <v>520</v>
      </c>
      <c r="D872" t="s">
        <v>23</v>
      </c>
      <c r="E872" t="s">
        <v>24</v>
      </c>
      <c r="F872" t="s">
        <v>1579</v>
      </c>
      <c r="G872">
        <v>1161538</v>
      </c>
      <c r="H872" t="s">
        <v>26</v>
      </c>
      <c r="I872" t="s">
        <v>108</v>
      </c>
      <c r="J872" t="str">
        <f>"9781118521755"</f>
        <v>9781118521755</v>
      </c>
      <c r="K872" t="s">
        <v>1580</v>
      </c>
      <c r="L872">
        <v>31</v>
      </c>
      <c r="O872" t="s">
        <v>30</v>
      </c>
      <c r="P872" t="s">
        <v>29</v>
      </c>
      <c r="Q872" s="1">
        <v>42382.28570601852</v>
      </c>
      <c r="R872">
        <v>7</v>
      </c>
      <c r="S872" t="s">
        <v>31</v>
      </c>
      <c r="T872" t="s">
        <v>1581</v>
      </c>
      <c r="U872">
        <v>332.63220000000001</v>
      </c>
      <c r="V872" s="3">
        <v>41359</v>
      </c>
    </row>
    <row r="873" spans="1:22" x14ac:dyDescent="0.35">
      <c r="A873" s="1">
        <v>42385.81689814815</v>
      </c>
      <c r="B873" s="2">
        <v>4.0358796296296295E-2</v>
      </c>
      <c r="C873" t="s">
        <v>520</v>
      </c>
      <c r="D873" t="s">
        <v>23</v>
      </c>
      <c r="E873" t="s">
        <v>24</v>
      </c>
      <c r="F873" t="s">
        <v>1579</v>
      </c>
      <c r="G873">
        <v>1161538</v>
      </c>
      <c r="H873" t="s">
        <v>26</v>
      </c>
      <c r="I873" t="s">
        <v>108</v>
      </c>
      <c r="J873" t="str">
        <f>"9781118521755"</f>
        <v>9781118521755</v>
      </c>
      <c r="K873" t="s">
        <v>1582</v>
      </c>
      <c r="L873">
        <v>21</v>
      </c>
      <c r="O873" t="s">
        <v>30</v>
      </c>
      <c r="P873" t="s">
        <v>29</v>
      </c>
      <c r="Q873" s="1">
        <v>42382.28570601852</v>
      </c>
      <c r="R873">
        <v>7</v>
      </c>
      <c r="S873" t="s">
        <v>31</v>
      </c>
      <c r="T873" t="s">
        <v>1581</v>
      </c>
      <c r="U873">
        <v>332.63220000000001</v>
      </c>
      <c r="V873" s="3">
        <v>41359</v>
      </c>
    </row>
    <row r="874" spans="1:22" x14ac:dyDescent="0.35">
      <c r="A874" s="1">
        <v>42385.69972222222</v>
      </c>
      <c r="B874" s="2">
        <v>4.6296296296296294E-5</v>
      </c>
      <c r="C874" t="s">
        <v>1583</v>
      </c>
      <c r="D874" t="s">
        <v>158</v>
      </c>
      <c r="E874" t="s">
        <v>159</v>
      </c>
      <c r="F874" t="s">
        <v>1584</v>
      </c>
      <c r="G874">
        <v>817836</v>
      </c>
      <c r="H874" t="s">
        <v>26</v>
      </c>
      <c r="I874" t="s">
        <v>276</v>
      </c>
      <c r="J874" t="str">
        <f t="shared" ref="J874:J881" si="14">"9781118203835"</f>
        <v>9781118203835</v>
      </c>
      <c r="K874" t="s">
        <v>737</v>
      </c>
      <c r="L874">
        <v>3</v>
      </c>
      <c r="O874" t="s">
        <v>30</v>
      </c>
      <c r="P874" t="s">
        <v>29</v>
      </c>
      <c r="Q874" s="1">
        <v>42385.682604166665</v>
      </c>
      <c r="R874">
        <v>7</v>
      </c>
      <c r="S874" t="s">
        <v>163</v>
      </c>
      <c r="T874" t="s">
        <v>1585</v>
      </c>
      <c r="U874">
        <v>4.6500000000000004</v>
      </c>
      <c r="V874" s="3">
        <v>40834</v>
      </c>
    </row>
    <row r="875" spans="1:22" x14ac:dyDescent="0.35">
      <c r="A875" s="1">
        <v>42385.688506944447</v>
      </c>
      <c r="B875" s="2">
        <v>0</v>
      </c>
      <c r="C875" t="s">
        <v>1583</v>
      </c>
      <c r="D875" t="s">
        <v>158</v>
      </c>
      <c r="E875" t="s">
        <v>159</v>
      </c>
      <c r="F875" t="s">
        <v>1584</v>
      </c>
      <c r="G875">
        <v>817836</v>
      </c>
      <c r="H875" t="s">
        <v>26</v>
      </c>
      <c r="I875" t="s">
        <v>276</v>
      </c>
      <c r="J875" t="str">
        <f t="shared" si="14"/>
        <v>9781118203835</v>
      </c>
      <c r="L875">
        <v>0</v>
      </c>
      <c r="O875" t="s">
        <v>28</v>
      </c>
      <c r="P875" t="s">
        <v>29</v>
      </c>
      <c r="Q875" s="1">
        <v>42385.682604166665</v>
      </c>
      <c r="R875">
        <v>7</v>
      </c>
      <c r="S875" t="s">
        <v>163</v>
      </c>
      <c r="T875" t="s">
        <v>1585</v>
      </c>
      <c r="U875">
        <v>4.6500000000000004</v>
      </c>
      <c r="V875" s="3">
        <v>40834</v>
      </c>
    </row>
    <row r="876" spans="1:22" x14ac:dyDescent="0.35">
      <c r="A876" s="1">
        <v>42385.688125000001</v>
      </c>
      <c r="B876" s="2">
        <v>1.5046296296296297E-4</v>
      </c>
      <c r="C876" t="s">
        <v>1583</v>
      </c>
      <c r="D876" t="s">
        <v>158</v>
      </c>
      <c r="E876" t="s">
        <v>159</v>
      </c>
      <c r="F876" t="s">
        <v>1584</v>
      </c>
      <c r="G876">
        <v>817836</v>
      </c>
      <c r="H876" t="s">
        <v>26</v>
      </c>
      <c r="I876" t="s">
        <v>276</v>
      </c>
      <c r="J876" t="str">
        <f t="shared" si="14"/>
        <v>9781118203835</v>
      </c>
      <c r="K876" t="s">
        <v>1586</v>
      </c>
      <c r="L876">
        <v>1</v>
      </c>
      <c r="O876" t="s">
        <v>28</v>
      </c>
      <c r="P876" t="s">
        <v>29</v>
      </c>
      <c r="Q876" s="1">
        <v>42385.682604166665</v>
      </c>
      <c r="R876">
        <v>7</v>
      </c>
      <c r="S876" t="s">
        <v>163</v>
      </c>
      <c r="T876" t="s">
        <v>1585</v>
      </c>
      <c r="U876">
        <v>4.6500000000000004</v>
      </c>
      <c r="V876" s="3">
        <v>40834</v>
      </c>
    </row>
    <row r="877" spans="1:22" x14ac:dyDescent="0.35">
      <c r="A877" s="1">
        <v>42385.687835648147</v>
      </c>
      <c r="B877" s="2">
        <v>0</v>
      </c>
      <c r="C877" t="s">
        <v>1583</v>
      </c>
      <c r="D877" t="s">
        <v>158</v>
      </c>
      <c r="E877" t="s">
        <v>159</v>
      </c>
      <c r="F877" t="s">
        <v>1584</v>
      </c>
      <c r="G877">
        <v>817836</v>
      </c>
      <c r="H877" t="s">
        <v>26</v>
      </c>
      <c r="I877" t="s">
        <v>276</v>
      </c>
      <c r="J877" t="str">
        <f t="shared" si="14"/>
        <v>9781118203835</v>
      </c>
      <c r="L877">
        <v>0</v>
      </c>
      <c r="O877" t="s">
        <v>28</v>
      </c>
      <c r="P877" t="s">
        <v>29</v>
      </c>
      <c r="Q877" s="1">
        <v>42385.682604166665</v>
      </c>
      <c r="R877">
        <v>7</v>
      </c>
      <c r="S877" t="s">
        <v>163</v>
      </c>
      <c r="T877" t="s">
        <v>1585</v>
      </c>
      <c r="U877">
        <v>4.6500000000000004</v>
      </c>
      <c r="V877" s="3">
        <v>40834</v>
      </c>
    </row>
    <row r="878" spans="1:22" x14ac:dyDescent="0.35">
      <c r="A878" s="1">
        <v>42385.687337962961</v>
      </c>
      <c r="B878" s="2">
        <v>4.2824074074074075E-4</v>
      </c>
      <c r="C878" t="s">
        <v>1583</v>
      </c>
      <c r="D878" t="s">
        <v>158</v>
      </c>
      <c r="E878" t="s">
        <v>159</v>
      </c>
      <c r="F878" t="s">
        <v>1584</v>
      </c>
      <c r="G878">
        <v>817836</v>
      </c>
      <c r="H878" t="s">
        <v>26</v>
      </c>
      <c r="I878" t="s">
        <v>276</v>
      </c>
      <c r="J878" t="str">
        <f t="shared" si="14"/>
        <v>9781118203835</v>
      </c>
      <c r="K878" t="s">
        <v>1587</v>
      </c>
      <c r="L878">
        <v>9</v>
      </c>
      <c r="O878" t="s">
        <v>30</v>
      </c>
      <c r="P878" t="s">
        <v>29</v>
      </c>
      <c r="Q878" s="1">
        <v>42385.682604166665</v>
      </c>
      <c r="R878">
        <v>7</v>
      </c>
      <c r="S878" t="s">
        <v>163</v>
      </c>
      <c r="T878" t="s">
        <v>1585</v>
      </c>
      <c r="U878">
        <v>4.6500000000000004</v>
      </c>
      <c r="V878" s="3">
        <v>40834</v>
      </c>
    </row>
    <row r="879" spans="1:22" x14ac:dyDescent="0.35">
      <c r="A879" s="1">
        <v>42385.682604166665</v>
      </c>
      <c r="B879" s="2">
        <v>2.4652777777777776E-3</v>
      </c>
      <c r="C879" t="s">
        <v>1583</v>
      </c>
      <c r="D879" t="s">
        <v>158</v>
      </c>
      <c r="E879" t="s">
        <v>159</v>
      </c>
      <c r="F879" t="s">
        <v>1584</v>
      </c>
      <c r="G879">
        <v>817836</v>
      </c>
      <c r="H879" t="s">
        <v>26</v>
      </c>
      <c r="I879" t="s">
        <v>276</v>
      </c>
      <c r="J879" t="str">
        <f t="shared" si="14"/>
        <v>9781118203835</v>
      </c>
      <c r="K879" t="s">
        <v>105</v>
      </c>
      <c r="L879">
        <v>1</v>
      </c>
      <c r="O879" t="s">
        <v>28</v>
      </c>
      <c r="P879" t="s">
        <v>29</v>
      </c>
      <c r="Q879" s="1">
        <v>42385.682604166665</v>
      </c>
      <c r="R879">
        <v>7</v>
      </c>
      <c r="S879" t="s">
        <v>163</v>
      </c>
      <c r="T879" t="s">
        <v>1585</v>
      </c>
      <c r="U879">
        <v>4.6500000000000004</v>
      </c>
      <c r="V879" s="3">
        <v>40834</v>
      </c>
    </row>
    <row r="880" spans="1:22" x14ac:dyDescent="0.35">
      <c r="A880" s="1">
        <v>42385.682604166665</v>
      </c>
      <c r="B880" s="2">
        <v>0</v>
      </c>
      <c r="C880" t="s">
        <v>1583</v>
      </c>
      <c r="D880" t="s">
        <v>158</v>
      </c>
      <c r="E880" t="s">
        <v>159</v>
      </c>
      <c r="F880" t="s">
        <v>1584</v>
      </c>
      <c r="G880">
        <v>817836</v>
      </c>
      <c r="H880" t="s">
        <v>26</v>
      </c>
      <c r="I880" t="s">
        <v>276</v>
      </c>
      <c r="J880" t="str">
        <f t="shared" si="14"/>
        <v>9781118203835</v>
      </c>
      <c r="L880">
        <v>0</v>
      </c>
      <c r="O880" t="s">
        <v>30</v>
      </c>
      <c r="P880" t="s">
        <v>29</v>
      </c>
      <c r="Q880" s="1">
        <v>42385.682604166665</v>
      </c>
      <c r="R880">
        <v>7</v>
      </c>
      <c r="S880" t="s">
        <v>163</v>
      </c>
      <c r="T880" t="s">
        <v>1585</v>
      </c>
      <c r="U880">
        <v>4.6500000000000004</v>
      </c>
      <c r="V880" s="3">
        <v>40834</v>
      </c>
    </row>
    <row r="881" spans="1:22" x14ac:dyDescent="0.35">
      <c r="A881" s="1">
        <v>42385.669745370367</v>
      </c>
      <c r="B881" s="2">
        <v>1.2858796296296297E-2</v>
      </c>
      <c r="C881" t="s">
        <v>1583</v>
      </c>
      <c r="D881" t="s">
        <v>158</v>
      </c>
      <c r="E881" t="s">
        <v>159</v>
      </c>
      <c r="F881" t="s">
        <v>1584</v>
      </c>
      <c r="G881">
        <v>817836</v>
      </c>
      <c r="H881" t="s">
        <v>26</v>
      </c>
      <c r="I881" t="s">
        <v>276</v>
      </c>
      <c r="J881" t="str">
        <f t="shared" si="14"/>
        <v>9781118203835</v>
      </c>
      <c r="K881" t="s">
        <v>33</v>
      </c>
      <c r="L881">
        <v>3</v>
      </c>
      <c r="O881" t="s">
        <v>30</v>
      </c>
      <c r="P881" t="s">
        <v>42</v>
      </c>
      <c r="S881" t="s">
        <v>163</v>
      </c>
      <c r="T881" t="s">
        <v>1585</v>
      </c>
      <c r="U881">
        <v>4.6500000000000004</v>
      </c>
      <c r="V881" s="3">
        <v>40834</v>
      </c>
    </row>
    <row r="882" spans="1:22" x14ac:dyDescent="0.35">
      <c r="A882" s="1">
        <v>42385.665717592594</v>
      </c>
      <c r="B882" s="2">
        <v>1.9675925925925926E-4</v>
      </c>
      <c r="C882" t="s">
        <v>1588</v>
      </c>
      <c r="D882" t="s">
        <v>117</v>
      </c>
      <c r="E882" t="s">
        <v>118</v>
      </c>
      <c r="F882" t="s">
        <v>1589</v>
      </c>
      <c r="G882">
        <v>1397521</v>
      </c>
      <c r="H882" t="s">
        <v>68</v>
      </c>
      <c r="I882" t="s">
        <v>69</v>
      </c>
      <c r="J882" t="str">
        <f>"9781317925286"</f>
        <v>9781317925286</v>
      </c>
      <c r="K882" t="s">
        <v>867</v>
      </c>
      <c r="L882">
        <v>10</v>
      </c>
      <c r="O882" t="s">
        <v>30</v>
      </c>
      <c r="P882" t="s">
        <v>50</v>
      </c>
      <c r="S882" t="s">
        <v>121</v>
      </c>
      <c r="T882" t="s">
        <v>1590</v>
      </c>
      <c r="U882">
        <v>371.1</v>
      </c>
      <c r="V882" s="3">
        <v>41530</v>
      </c>
    </row>
    <row r="883" spans="1:22" x14ac:dyDescent="0.35">
      <c r="A883" s="1">
        <v>42385.324664351851</v>
      </c>
      <c r="B883" s="2">
        <v>1.1574074074074073E-4</v>
      </c>
      <c r="C883" t="s">
        <v>1411</v>
      </c>
      <c r="D883" t="s">
        <v>35</v>
      </c>
      <c r="E883" t="s">
        <v>36</v>
      </c>
      <c r="F883" t="s">
        <v>327</v>
      </c>
      <c r="G883">
        <v>1691426</v>
      </c>
      <c r="H883" t="s">
        <v>26</v>
      </c>
      <c r="I883" t="s">
        <v>328</v>
      </c>
      <c r="J883" t="str">
        <f>"9781118839492"</f>
        <v>9781118839492</v>
      </c>
      <c r="K883" t="s">
        <v>33</v>
      </c>
      <c r="L883">
        <v>3</v>
      </c>
      <c r="O883" t="s">
        <v>30</v>
      </c>
      <c r="P883" t="s">
        <v>42</v>
      </c>
      <c r="S883" t="s">
        <v>40</v>
      </c>
      <c r="T883" t="s">
        <v>331</v>
      </c>
      <c r="U883">
        <v>613.70460000000003</v>
      </c>
      <c r="V883" s="3">
        <v>41772</v>
      </c>
    </row>
    <row r="884" spans="1:22" x14ac:dyDescent="0.35">
      <c r="A884" s="1">
        <v>42385.156574074077</v>
      </c>
      <c r="B884" s="2">
        <v>1.8518518518518518E-4</v>
      </c>
      <c r="C884" t="s">
        <v>1591</v>
      </c>
      <c r="D884" t="s">
        <v>211</v>
      </c>
      <c r="E884" t="s">
        <v>212</v>
      </c>
      <c r="F884" t="s">
        <v>1592</v>
      </c>
      <c r="G884">
        <v>1221172</v>
      </c>
      <c r="H884" t="s">
        <v>26</v>
      </c>
      <c r="I884" t="s">
        <v>276</v>
      </c>
      <c r="J884" t="str">
        <f>"9783527677160"</f>
        <v>9783527677160</v>
      </c>
      <c r="K884" t="s">
        <v>463</v>
      </c>
      <c r="L884">
        <v>9</v>
      </c>
      <c r="O884" t="s">
        <v>30</v>
      </c>
      <c r="P884" t="s">
        <v>50</v>
      </c>
      <c r="S884" t="s">
        <v>214</v>
      </c>
      <c r="T884" t="s">
        <v>1593</v>
      </c>
      <c r="U884" t="s">
        <v>1594</v>
      </c>
      <c r="V884" s="3">
        <v>41442</v>
      </c>
    </row>
    <row r="885" spans="1:22" x14ac:dyDescent="0.35">
      <c r="A885" s="1">
        <v>42385.143229166664</v>
      </c>
      <c r="B885" s="2">
        <v>2.3842592592592591E-3</v>
      </c>
      <c r="C885" t="s">
        <v>1595</v>
      </c>
      <c r="D885" t="s">
        <v>23</v>
      </c>
      <c r="E885" t="s">
        <v>24</v>
      </c>
      <c r="F885" t="s">
        <v>223</v>
      </c>
      <c r="G885">
        <v>1895140</v>
      </c>
      <c r="H885" t="s">
        <v>26</v>
      </c>
      <c r="I885" t="s">
        <v>69</v>
      </c>
      <c r="J885" t="str">
        <f>"9781118911488"</f>
        <v>9781118911488</v>
      </c>
      <c r="K885" t="s">
        <v>1596</v>
      </c>
      <c r="L885">
        <v>43</v>
      </c>
      <c r="O885" t="s">
        <v>30</v>
      </c>
      <c r="P885" t="s">
        <v>50</v>
      </c>
      <c r="S885" t="s">
        <v>31</v>
      </c>
      <c r="T885" t="s">
        <v>225</v>
      </c>
      <c r="U885">
        <v>378.1662</v>
      </c>
      <c r="V885" s="3">
        <v>42086</v>
      </c>
    </row>
    <row r="886" spans="1:22" x14ac:dyDescent="0.35">
      <c r="A886" s="1">
        <v>42385.137638888889</v>
      </c>
      <c r="B886" s="2">
        <v>4.2824074074074075E-4</v>
      </c>
      <c r="C886" t="s">
        <v>1595</v>
      </c>
      <c r="D886" t="s">
        <v>23</v>
      </c>
      <c r="E886" t="s">
        <v>24</v>
      </c>
      <c r="F886" t="s">
        <v>226</v>
      </c>
      <c r="G886">
        <v>1895348</v>
      </c>
      <c r="H886" t="s">
        <v>26</v>
      </c>
      <c r="I886" t="s">
        <v>69</v>
      </c>
      <c r="J886" t="str">
        <f>"9781119068839"</f>
        <v>9781119068839</v>
      </c>
      <c r="K886" t="s">
        <v>1597</v>
      </c>
      <c r="L886">
        <v>25</v>
      </c>
      <c r="O886" t="s">
        <v>30</v>
      </c>
      <c r="P886" t="s">
        <v>42</v>
      </c>
      <c r="S886" t="s">
        <v>31</v>
      </c>
      <c r="T886" t="s">
        <v>227</v>
      </c>
      <c r="U886">
        <v>378.16640000000001</v>
      </c>
      <c r="V886" s="3">
        <v>42151</v>
      </c>
    </row>
    <row r="887" spans="1:22" x14ac:dyDescent="0.35">
      <c r="A887" s="1">
        <v>42385.087407407409</v>
      </c>
      <c r="B887" s="2">
        <v>2.5115740740740741E-3</v>
      </c>
      <c r="C887" t="s">
        <v>1566</v>
      </c>
      <c r="D887" t="s">
        <v>35</v>
      </c>
      <c r="E887" t="s">
        <v>36</v>
      </c>
      <c r="F887" t="s">
        <v>327</v>
      </c>
      <c r="G887">
        <v>1691426</v>
      </c>
      <c r="H887" t="s">
        <v>26</v>
      </c>
      <c r="I887" t="s">
        <v>328</v>
      </c>
      <c r="J887" t="str">
        <f>"9781118839492"</f>
        <v>9781118839492</v>
      </c>
      <c r="K887" t="s">
        <v>1598</v>
      </c>
      <c r="L887">
        <v>24</v>
      </c>
      <c r="O887" t="s">
        <v>30</v>
      </c>
      <c r="P887" t="s">
        <v>29</v>
      </c>
      <c r="Q887" s="1">
        <v>42385.087407407409</v>
      </c>
      <c r="R887">
        <v>7</v>
      </c>
      <c r="S887" t="s">
        <v>40</v>
      </c>
      <c r="T887" t="s">
        <v>331</v>
      </c>
      <c r="U887">
        <v>613.70460000000003</v>
      </c>
      <c r="V887" s="3">
        <v>41772</v>
      </c>
    </row>
    <row r="888" spans="1:22" x14ac:dyDescent="0.35">
      <c r="A888" s="1">
        <v>42385.083703703705</v>
      </c>
      <c r="B888" s="2">
        <v>2.3611111111111111E-3</v>
      </c>
      <c r="C888" t="s">
        <v>1599</v>
      </c>
      <c r="D888" t="s">
        <v>23</v>
      </c>
      <c r="E888" t="s">
        <v>24</v>
      </c>
      <c r="F888" t="s">
        <v>1600</v>
      </c>
      <c r="G888">
        <v>2058072</v>
      </c>
      <c r="H888" t="s">
        <v>45</v>
      </c>
      <c r="I888" t="s">
        <v>85</v>
      </c>
      <c r="J888" t="str">
        <f>"9781472440501"</f>
        <v>9781472440501</v>
      </c>
      <c r="K888" t="s">
        <v>1601</v>
      </c>
      <c r="L888">
        <v>25</v>
      </c>
      <c r="N888" t="s">
        <v>1602</v>
      </c>
      <c r="O888" t="s">
        <v>30</v>
      </c>
      <c r="P888" t="s">
        <v>47</v>
      </c>
      <c r="Q888" s="1">
        <v>42385.083703703705</v>
      </c>
      <c r="R888">
        <v>1</v>
      </c>
      <c r="S888" t="s">
        <v>31</v>
      </c>
      <c r="T888" t="s">
        <v>1603</v>
      </c>
      <c r="U888">
        <v>304.80720000000002</v>
      </c>
      <c r="V888" s="3">
        <v>42213</v>
      </c>
    </row>
    <row r="889" spans="1:22" x14ac:dyDescent="0.35">
      <c r="A889" s="1">
        <v>42385.082060185188</v>
      </c>
      <c r="B889" s="2">
        <v>1.6435185185185183E-3</v>
      </c>
      <c r="C889" t="s">
        <v>1599</v>
      </c>
      <c r="D889" t="s">
        <v>23</v>
      </c>
      <c r="E889" t="s">
        <v>24</v>
      </c>
      <c r="F889" t="s">
        <v>1600</v>
      </c>
      <c r="G889">
        <v>2058072</v>
      </c>
      <c r="H889" t="s">
        <v>45</v>
      </c>
      <c r="I889" t="s">
        <v>85</v>
      </c>
      <c r="J889" t="str">
        <f>"9781472440501"</f>
        <v>9781472440501</v>
      </c>
      <c r="K889" t="s">
        <v>1604</v>
      </c>
      <c r="L889">
        <v>26</v>
      </c>
      <c r="O889" t="s">
        <v>30</v>
      </c>
      <c r="P889" t="s">
        <v>50</v>
      </c>
      <c r="S889" t="s">
        <v>31</v>
      </c>
      <c r="T889" t="s">
        <v>1603</v>
      </c>
      <c r="U889">
        <v>304.80720000000002</v>
      </c>
      <c r="V889" s="3">
        <v>42213</v>
      </c>
    </row>
    <row r="890" spans="1:22" x14ac:dyDescent="0.35">
      <c r="A890" s="1">
        <v>42385.077708333331</v>
      </c>
      <c r="B890" s="2">
        <v>9.6990740740740735E-3</v>
      </c>
      <c r="C890" t="s">
        <v>1566</v>
      </c>
      <c r="D890" t="s">
        <v>35</v>
      </c>
      <c r="E890" t="s">
        <v>36</v>
      </c>
      <c r="F890" t="s">
        <v>327</v>
      </c>
      <c r="G890">
        <v>1691426</v>
      </c>
      <c r="H890" t="s">
        <v>26</v>
      </c>
      <c r="I890" t="s">
        <v>328</v>
      </c>
      <c r="J890" t="str">
        <f>"9781118839492"</f>
        <v>9781118839492</v>
      </c>
      <c r="K890" t="s">
        <v>33</v>
      </c>
      <c r="L890">
        <v>3</v>
      </c>
      <c r="O890" t="s">
        <v>30</v>
      </c>
      <c r="P890" t="s">
        <v>42</v>
      </c>
      <c r="S890" t="s">
        <v>40</v>
      </c>
      <c r="T890" t="s">
        <v>331</v>
      </c>
      <c r="U890">
        <v>613.70460000000003</v>
      </c>
      <c r="V890" s="3">
        <v>41772</v>
      </c>
    </row>
    <row r="891" spans="1:22" x14ac:dyDescent="0.35">
      <c r="A891" s="1">
        <v>42384.967060185183</v>
      </c>
      <c r="B891" s="2">
        <v>0.29627314814814815</v>
      </c>
      <c r="C891" t="s">
        <v>992</v>
      </c>
      <c r="D891" t="s">
        <v>35</v>
      </c>
      <c r="E891" t="s">
        <v>36</v>
      </c>
      <c r="F891" t="s">
        <v>327</v>
      </c>
      <c r="G891">
        <v>1691426</v>
      </c>
      <c r="H891" t="s">
        <v>26</v>
      </c>
      <c r="I891" t="s">
        <v>328</v>
      </c>
      <c r="J891" t="str">
        <f>"9781118839492"</f>
        <v>9781118839492</v>
      </c>
      <c r="K891" t="s">
        <v>1605</v>
      </c>
      <c r="L891">
        <v>62</v>
      </c>
      <c r="O891" t="s">
        <v>30</v>
      </c>
      <c r="P891" t="s">
        <v>29</v>
      </c>
      <c r="Q891" s="1">
        <v>42384.967060185183</v>
      </c>
      <c r="R891">
        <v>7</v>
      </c>
      <c r="S891" t="s">
        <v>40</v>
      </c>
      <c r="T891" t="s">
        <v>331</v>
      </c>
      <c r="U891">
        <v>613.70460000000003</v>
      </c>
      <c r="V891" s="3">
        <v>41772</v>
      </c>
    </row>
    <row r="892" spans="1:22" x14ac:dyDescent="0.35">
      <c r="A892" s="1">
        <v>42384.957962962966</v>
      </c>
      <c r="B892" s="2">
        <v>9.0972222222222218E-3</v>
      </c>
      <c r="C892" t="s">
        <v>992</v>
      </c>
      <c r="D892" t="s">
        <v>35</v>
      </c>
      <c r="E892" t="s">
        <v>36</v>
      </c>
      <c r="F892" t="s">
        <v>327</v>
      </c>
      <c r="G892">
        <v>1691426</v>
      </c>
      <c r="H892" t="s">
        <v>26</v>
      </c>
      <c r="I892" t="s">
        <v>328</v>
      </c>
      <c r="J892" t="str">
        <f>"9781118839492"</f>
        <v>9781118839492</v>
      </c>
      <c r="K892" t="s">
        <v>1606</v>
      </c>
      <c r="L892">
        <v>34</v>
      </c>
      <c r="O892" t="s">
        <v>30</v>
      </c>
      <c r="P892" t="s">
        <v>42</v>
      </c>
      <c r="S892" t="s">
        <v>40</v>
      </c>
      <c r="T892" t="s">
        <v>331</v>
      </c>
      <c r="U892">
        <v>613.70460000000003</v>
      </c>
      <c r="V892" s="3">
        <v>41772</v>
      </c>
    </row>
    <row r="893" spans="1:22" x14ac:dyDescent="0.35">
      <c r="A893" s="1">
        <v>42384.945775462962</v>
      </c>
      <c r="B893" s="2">
        <v>7.9282407407407409E-3</v>
      </c>
      <c r="C893" t="s">
        <v>106</v>
      </c>
      <c r="D893" t="s">
        <v>23</v>
      </c>
      <c r="E893" t="s">
        <v>24</v>
      </c>
      <c r="F893" t="s">
        <v>1607</v>
      </c>
      <c r="G893">
        <v>1936429</v>
      </c>
      <c r="H893" t="s">
        <v>26</v>
      </c>
      <c r="I893" t="s">
        <v>1608</v>
      </c>
      <c r="J893" t="str">
        <f>"9781118396902"</f>
        <v>9781118396902</v>
      </c>
      <c r="K893" t="s">
        <v>1609</v>
      </c>
      <c r="L893">
        <v>13</v>
      </c>
      <c r="M893" t="s">
        <v>1309</v>
      </c>
      <c r="O893" t="s">
        <v>30</v>
      </c>
      <c r="P893" t="s">
        <v>29</v>
      </c>
      <c r="Q893" s="1">
        <v>42384.945775462962</v>
      </c>
      <c r="R893">
        <v>7</v>
      </c>
      <c r="S893" t="s">
        <v>31</v>
      </c>
      <c r="T893" t="s">
        <v>1610</v>
      </c>
      <c r="U893">
        <v>616.07899999999995</v>
      </c>
      <c r="V893" s="3">
        <v>42032</v>
      </c>
    </row>
    <row r="894" spans="1:22" x14ac:dyDescent="0.35">
      <c r="A894" s="1">
        <v>42384.944328703707</v>
      </c>
      <c r="B894" s="2">
        <v>1.4467592592592594E-3</v>
      </c>
      <c r="C894" t="s">
        <v>106</v>
      </c>
      <c r="D894" t="s">
        <v>23</v>
      </c>
      <c r="E894" t="s">
        <v>24</v>
      </c>
      <c r="F894" t="s">
        <v>1607</v>
      </c>
      <c r="G894">
        <v>1936429</v>
      </c>
      <c r="H894" t="s">
        <v>26</v>
      </c>
      <c r="I894" t="s">
        <v>1608</v>
      </c>
      <c r="J894" t="str">
        <f>"9781118396902"</f>
        <v>9781118396902</v>
      </c>
      <c r="K894" t="s">
        <v>1611</v>
      </c>
      <c r="L894">
        <v>9</v>
      </c>
      <c r="O894" t="s">
        <v>30</v>
      </c>
      <c r="P894" t="s">
        <v>50</v>
      </c>
      <c r="S894" t="s">
        <v>31</v>
      </c>
      <c r="T894" t="s">
        <v>1610</v>
      </c>
      <c r="U894">
        <v>616.07899999999995</v>
      </c>
      <c r="V894" s="3">
        <v>42032</v>
      </c>
    </row>
    <row r="895" spans="1:22" x14ac:dyDescent="0.35">
      <c r="A895" s="1">
        <v>42384.940497685187</v>
      </c>
      <c r="B895" s="2">
        <v>3.5879629629629635E-4</v>
      </c>
      <c r="C895" t="s">
        <v>106</v>
      </c>
      <c r="D895" t="s">
        <v>23</v>
      </c>
      <c r="E895" t="s">
        <v>24</v>
      </c>
      <c r="F895" t="s">
        <v>1607</v>
      </c>
      <c r="G895">
        <v>1936429</v>
      </c>
      <c r="H895" t="s">
        <v>26</v>
      </c>
      <c r="I895" t="s">
        <v>1608</v>
      </c>
      <c r="J895" t="str">
        <f>"9781118396902"</f>
        <v>9781118396902</v>
      </c>
      <c r="K895" t="s">
        <v>86</v>
      </c>
      <c r="L895">
        <v>5</v>
      </c>
      <c r="O895" t="s">
        <v>30</v>
      </c>
      <c r="P895" t="s">
        <v>50</v>
      </c>
      <c r="S895" t="s">
        <v>31</v>
      </c>
      <c r="T895" t="s">
        <v>1610</v>
      </c>
      <c r="U895">
        <v>616.07899999999995</v>
      </c>
      <c r="V895" s="3">
        <v>42032</v>
      </c>
    </row>
    <row r="896" spans="1:22" x14ac:dyDescent="0.35">
      <c r="A896" s="1">
        <v>42384.937557870369</v>
      </c>
      <c r="B896" s="2">
        <v>2.6620370370370372E-4</v>
      </c>
      <c r="C896" t="s">
        <v>1612</v>
      </c>
      <c r="D896" t="s">
        <v>23</v>
      </c>
      <c r="E896" t="s">
        <v>24</v>
      </c>
      <c r="F896" t="s">
        <v>1613</v>
      </c>
      <c r="G896">
        <v>1659273</v>
      </c>
      <c r="H896" t="s">
        <v>26</v>
      </c>
      <c r="I896" t="s">
        <v>1614</v>
      </c>
      <c r="J896" t="str">
        <f>"9781118848739"</f>
        <v>9781118848739</v>
      </c>
      <c r="K896" t="s">
        <v>1615</v>
      </c>
      <c r="L896">
        <v>19</v>
      </c>
      <c r="O896" t="s">
        <v>30</v>
      </c>
      <c r="P896" t="s">
        <v>50</v>
      </c>
      <c r="S896" t="s">
        <v>31</v>
      </c>
      <c r="T896" t="s">
        <v>1616</v>
      </c>
      <c r="U896" t="s">
        <v>1617</v>
      </c>
      <c r="V896" s="3">
        <v>41718</v>
      </c>
    </row>
    <row r="897" spans="1:22" x14ac:dyDescent="0.35">
      <c r="A897" s="1">
        <v>42384.795289351852</v>
      </c>
      <c r="B897" s="2">
        <v>2.627314814814815E-3</v>
      </c>
      <c r="C897" t="s">
        <v>1421</v>
      </c>
      <c r="D897" t="s">
        <v>623</v>
      </c>
      <c r="E897" t="s">
        <v>624</v>
      </c>
      <c r="F897" t="s">
        <v>1618</v>
      </c>
      <c r="G897">
        <v>2064681</v>
      </c>
      <c r="H897" t="s">
        <v>26</v>
      </c>
      <c r="I897" t="s">
        <v>1619</v>
      </c>
      <c r="J897" t="str">
        <f>"9781118674918"</f>
        <v>9781118674918</v>
      </c>
      <c r="K897" t="s">
        <v>105</v>
      </c>
      <c r="L897">
        <v>1</v>
      </c>
      <c r="O897" t="s">
        <v>28</v>
      </c>
      <c r="P897" t="s">
        <v>29</v>
      </c>
      <c r="Q897" s="1">
        <v>42384.794803240744</v>
      </c>
      <c r="R897">
        <v>7</v>
      </c>
      <c r="S897" t="s">
        <v>627</v>
      </c>
      <c r="T897" t="s">
        <v>1620</v>
      </c>
      <c r="U897">
        <v>519.54999999999995</v>
      </c>
      <c r="V897" s="3">
        <v>42157</v>
      </c>
    </row>
    <row r="898" spans="1:22" x14ac:dyDescent="0.35">
      <c r="A898" s="1">
        <v>42384.794803240744</v>
      </c>
      <c r="B898" s="2">
        <v>3.5879629629629635E-4</v>
      </c>
      <c r="C898" t="s">
        <v>1421</v>
      </c>
      <c r="D898" t="s">
        <v>623</v>
      </c>
      <c r="E898" t="s">
        <v>624</v>
      </c>
      <c r="F898" t="s">
        <v>1618</v>
      </c>
      <c r="G898">
        <v>2064681</v>
      </c>
      <c r="H898" t="s">
        <v>26</v>
      </c>
      <c r="I898" t="s">
        <v>1619</v>
      </c>
      <c r="J898" t="str">
        <f>"9781118674918"</f>
        <v>9781118674918</v>
      </c>
      <c r="K898" t="s">
        <v>1621</v>
      </c>
      <c r="L898">
        <v>3</v>
      </c>
      <c r="O898" t="s">
        <v>28</v>
      </c>
      <c r="P898" t="s">
        <v>29</v>
      </c>
      <c r="Q898" s="1">
        <v>42384.794803240744</v>
      </c>
      <c r="R898">
        <v>7</v>
      </c>
      <c r="S898" t="s">
        <v>627</v>
      </c>
      <c r="T898" t="s">
        <v>1620</v>
      </c>
      <c r="U898">
        <v>519.54999999999995</v>
      </c>
      <c r="V898" s="3">
        <v>42157</v>
      </c>
    </row>
    <row r="899" spans="1:22" x14ac:dyDescent="0.35">
      <c r="A899" s="1">
        <v>42384.794803240744</v>
      </c>
      <c r="B899" s="2">
        <v>0</v>
      </c>
      <c r="C899" t="s">
        <v>1421</v>
      </c>
      <c r="D899" t="s">
        <v>623</v>
      </c>
      <c r="E899" t="s">
        <v>624</v>
      </c>
      <c r="F899" t="s">
        <v>1618</v>
      </c>
      <c r="G899">
        <v>2064681</v>
      </c>
      <c r="H899" t="s">
        <v>26</v>
      </c>
      <c r="I899" t="s">
        <v>1619</v>
      </c>
      <c r="J899" t="str">
        <f>"9781118674918"</f>
        <v>9781118674918</v>
      </c>
      <c r="L899">
        <v>0</v>
      </c>
      <c r="O899" t="s">
        <v>30</v>
      </c>
      <c r="P899" t="s">
        <v>29</v>
      </c>
      <c r="Q899" s="1">
        <v>42384.794803240744</v>
      </c>
      <c r="R899">
        <v>7</v>
      </c>
      <c r="S899" t="s">
        <v>627</v>
      </c>
      <c r="T899" t="s">
        <v>1620</v>
      </c>
      <c r="U899">
        <v>519.54999999999995</v>
      </c>
      <c r="V899" s="3">
        <v>42157</v>
      </c>
    </row>
    <row r="900" spans="1:22" x14ac:dyDescent="0.35">
      <c r="A900" s="1">
        <v>42384.794560185182</v>
      </c>
      <c r="B900" s="2">
        <v>2.4305555555555552E-4</v>
      </c>
      <c r="C900" t="s">
        <v>1421</v>
      </c>
      <c r="D900" t="s">
        <v>623</v>
      </c>
      <c r="E900" t="s">
        <v>624</v>
      </c>
      <c r="F900" t="s">
        <v>1618</v>
      </c>
      <c r="G900">
        <v>2064681</v>
      </c>
      <c r="H900" t="s">
        <v>26</v>
      </c>
      <c r="I900" t="s">
        <v>1619</v>
      </c>
      <c r="J900" t="str">
        <f>"9781118674918"</f>
        <v>9781118674918</v>
      </c>
      <c r="K900" t="s">
        <v>737</v>
      </c>
      <c r="L900">
        <v>3</v>
      </c>
      <c r="O900" t="s">
        <v>30</v>
      </c>
      <c r="P900" t="s">
        <v>50</v>
      </c>
      <c r="S900" t="s">
        <v>627</v>
      </c>
      <c r="T900" t="s">
        <v>1620</v>
      </c>
      <c r="U900">
        <v>519.54999999999995</v>
      </c>
      <c r="V900" s="3">
        <v>42157</v>
      </c>
    </row>
    <row r="901" spans="1:22" x14ac:dyDescent="0.35">
      <c r="A901" s="1">
        <v>42384.789351851854</v>
      </c>
      <c r="B901" s="2">
        <v>1.1574074074074073E-4</v>
      </c>
      <c r="C901" t="s">
        <v>1622</v>
      </c>
      <c r="D901" t="s">
        <v>23</v>
      </c>
      <c r="E901" t="s">
        <v>24</v>
      </c>
      <c r="F901" t="s">
        <v>1623</v>
      </c>
      <c r="G901">
        <v>1245117</v>
      </c>
      <c r="H901" t="s">
        <v>26</v>
      </c>
      <c r="I901" t="s">
        <v>97</v>
      </c>
      <c r="J901" t="str">
        <f>"9781118613252"</f>
        <v>9781118613252</v>
      </c>
      <c r="K901" t="s">
        <v>889</v>
      </c>
      <c r="L901">
        <v>6</v>
      </c>
      <c r="O901" t="s">
        <v>30</v>
      </c>
      <c r="P901" t="s">
        <v>50</v>
      </c>
      <c r="S901" t="s">
        <v>31</v>
      </c>
      <c r="T901" t="s">
        <v>500</v>
      </c>
      <c r="U901">
        <v>657.07600000000002</v>
      </c>
      <c r="V901" s="3">
        <v>41451</v>
      </c>
    </row>
    <row r="902" spans="1:22" x14ac:dyDescent="0.35">
      <c r="A902" s="1">
        <v>42384.734502314815</v>
      </c>
      <c r="B902" s="2">
        <v>3.0439814814814821E-3</v>
      </c>
      <c r="C902" t="s">
        <v>1624</v>
      </c>
      <c r="D902" t="s">
        <v>1222</v>
      </c>
      <c r="E902" t="s">
        <v>1223</v>
      </c>
      <c r="F902" t="s">
        <v>1064</v>
      </c>
      <c r="G902">
        <v>1744258</v>
      </c>
      <c r="H902" t="s">
        <v>26</v>
      </c>
      <c r="I902" t="s">
        <v>297</v>
      </c>
      <c r="J902" t="str">
        <f>"9781118776162"</f>
        <v>9781118776162</v>
      </c>
      <c r="K902" t="s">
        <v>1625</v>
      </c>
      <c r="L902">
        <v>111</v>
      </c>
      <c r="O902" t="s">
        <v>30</v>
      </c>
      <c r="P902" t="s">
        <v>42</v>
      </c>
      <c r="S902" t="s">
        <v>1226</v>
      </c>
      <c r="T902" t="s">
        <v>1066</v>
      </c>
      <c r="U902">
        <v>513.07600000000002</v>
      </c>
      <c r="V902" s="3">
        <v>41835</v>
      </c>
    </row>
    <row r="903" spans="1:22" x14ac:dyDescent="0.35">
      <c r="A903" s="1">
        <v>42384.686423611114</v>
      </c>
      <c r="B903" s="2">
        <v>0</v>
      </c>
      <c r="C903" t="s">
        <v>1626</v>
      </c>
      <c r="D903" t="s">
        <v>35</v>
      </c>
      <c r="E903" t="s">
        <v>36</v>
      </c>
      <c r="F903" t="s">
        <v>1627</v>
      </c>
      <c r="G903">
        <v>1635066</v>
      </c>
      <c r="H903" t="s">
        <v>26</v>
      </c>
      <c r="I903" t="s">
        <v>310</v>
      </c>
      <c r="J903" t="str">
        <f>"9781118779071"</f>
        <v>9781118779071</v>
      </c>
      <c r="L903">
        <v>0</v>
      </c>
      <c r="N903" t="s">
        <v>1628</v>
      </c>
      <c r="O903" t="s">
        <v>30</v>
      </c>
      <c r="P903" t="s">
        <v>47</v>
      </c>
      <c r="Q903" s="1">
        <v>42384.686423611114</v>
      </c>
      <c r="R903">
        <v>1</v>
      </c>
      <c r="S903" t="s">
        <v>40</v>
      </c>
      <c r="T903" t="s">
        <v>1629</v>
      </c>
      <c r="U903" t="s">
        <v>1630</v>
      </c>
      <c r="V903" s="3">
        <v>41681</v>
      </c>
    </row>
    <row r="904" spans="1:22" x14ac:dyDescent="0.35">
      <c r="A904" s="1">
        <v>42384.685798611114</v>
      </c>
      <c r="B904" s="2">
        <v>6.134259259259259E-4</v>
      </c>
      <c r="C904" t="s">
        <v>1626</v>
      </c>
      <c r="D904" t="s">
        <v>35</v>
      </c>
      <c r="E904" t="s">
        <v>36</v>
      </c>
      <c r="F904" t="s">
        <v>1627</v>
      </c>
      <c r="G904">
        <v>1635066</v>
      </c>
      <c r="H904" t="s">
        <v>26</v>
      </c>
      <c r="I904" t="s">
        <v>310</v>
      </c>
      <c r="J904" t="str">
        <f>"9781118779071"</f>
        <v>9781118779071</v>
      </c>
      <c r="K904" t="s">
        <v>1631</v>
      </c>
      <c r="L904">
        <v>19</v>
      </c>
      <c r="O904" t="s">
        <v>30</v>
      </c>
      <c r="P904" t="s">
        <v>50</v>
      </c>
      <c r="S904" t="s">
        <v>40</v>
      </c>
      <c r="T904" t="s">
        <v>1629</v>
      </c>
      <c r="U904" t="s">
        <v>1630</v>
      </c>
      <c r="V904" s="3">
        <v>41681</v>
      </c>
    </row>
    <row r="905" spans="1:22" x14ac:dyDescent="0.35">
      <c r="A905" s="1">
        <v>42384.661365740743</v>
      </c>
      <c r="B905" s="2">
        <v>3.4722222222222224E-4</v>
      </c>
      <c r="C905" t="s">
        <v>1632</v>
      </c>
      <c r="D905" t="s">
        <v>261</v>
      </c>
      <c r="E905" t="s">
        <v>262</v>
      </c>
      <c r="F905" t="s">
        <v>1633</v>
      </c>
      <c r="G905">
        <v>1882094</v>
      </c>
      <c r="H905" t="s">
        <v>84</v>
      </c>
      <c r="I905" t="s">
        <v>1634</v>
      </c>
      <c r="J905" t="str">
        <f>"9780520961500"</f>
        <v>9780520961500</v>
      </c>
      <c r="K905" t="s">
        <v>1635</v>
      </c>
      <c r="L905">
        <v>12</v>
      </c>
      <c r="O905" t="s">
        <v>30</v>
      </c>
      <c r="P905" t="s">
        <v>50</v>
      </c>
      <c r="S905" t="s">
        <v>264</v>
      </c>
      <c r="T905" t="s">
        <v>1636</v>
      </c>
      <c r="U905">
        <v>365</v>
      </c>
      <c r="V905" s="3">
        <v>42124</v>
      </c>
    </row>
    <row r="906" spans="1:22" x14ac:dyDescent="0.35">
      <c r="A906" s="1">
        <v>42384.642106481479</v>
      </c>
      <c r="B906" s="2">
        <v>5.3298611111111116E-2</v>
      </c>
      <c r="C906" t="s">
        <v>320</v>
      </c>
      <c r="D906" t="s">
        <v>23</v>
      </c>
      <c r="E906" t="s">
        <v>24</v>
      </c>
      <c r="F906" t="s">
        <v>321</v>
      </c>
      <c r="G906">
        <v>1794558</v>
      </c>
      <c r="H906" t="s">
        <v>26</v>
      </c>
      <c r="I906" t="s">
        <v>322</v>
      </c>
      <c r="J906" t="str">
        <f>"9781118821725"</f>
        <v>9781118821725</v>
      </c>
      <c r="K906" t="s">
        <v>1637</v>
      </c>
      <c r="L906">
        <v>68</v>
      </c>
      <c r="O906" t="s">
        <v>30</v>
      </c>
      <c r="P906" t="s">
        <v>47</v>
      </c>
      <c r="Q906" s="1">
        <v>42384.642106481479</v>
      </c>
      <c r="R906">
        <v>1</v>
      </c>
      <c r="S906" t="s">
        <v>31</v>
      </c>
      <c r="T906" t="s">
        <v>324</v>
      </c>
      <c r="U906">
        <v>697</v>
      </c>
      <c r="V906" s="3">
        <v>41905</v>
      </c>
    </row>
    <row r="907" spans="1:22" x14ac:dyDescent="0.35">
      <c r="A907" s="1">
        <v>42384.638564814813</v>
      </c>
      <c r="B907" s="2">
        <v>3.5416666666666665E-3</v>
      </c>
      <c r="C907" t="s">
        <v>320</v>
      </c>
      <c r="D907" t="s">
        <v>23</v>
      </c>
      <c r="E907" t="s">
        <v>24</v>
      </c>
      <c r="F907" t="s">
        <v>321</v>
      </c>
      <c r="G907">
        <v>1794558</v>
      </c>
      <c r="H907" t="s">
        <v>26</v>
      </c>
      <c r="I907" t="s">
        <v>322</v>
      </c>
      <c r="J907" t="str">
        <f>"9781118821725"</f>
        <v>9781118821725</v>
      </c>
      <c r="K907" t="s">
        <v>1638</v>
      </c>
      <c r="L907">
        <v>52</v>
      </c>
      <c r="O907" t="s">
        <v>30</v>
      </c>
      <c r="P907" t="s">
        <v>50</v>
      </c>
      <c r="S907" t="s">
        <v>31</v>
      </c>
      <c r="T907" t="s">
        <v>324</v>
      </c>
      <c r="U907">
        <v>697</v>
      </c>
      <c r="V907" s="3">
        <v>41905</v>
      </c>
    </row>
    <row r="908" spans="1:22" x14ac:dyDescent="0.35">
      <c r="A908" s="1">
        <v>42384.637083333335</v>
      </c>
      <c r="B908" s="2">
        <v>1.3784722222222224E-2</v>
      </c>
      <c r="C908" t="s">
        <v>1632</v>
      </c>
      <c r="D908" t="s">
        <v>261</v>
      </c>
      <c r="E908" t="s">
        <v>262</v>
      </c>
      <c r="F908" t="s">
        <v>1639</v>
      </c>
      <c r="G908">
        <v>821827</v>
      </c>
      <c r="H908" t="s">
        <v>26</v>
      </c>
      <c r="I908" t="s">
        <v>120</v>
      </c>
      <c r="J908" t="str">
        <f>"9781118225349"</f>
        <v>9781118225349</v>
      </c>
      <c r="K908" t="s">
        <v>1640</v>
      </c>
      <c r="L908">
        <v>8</v>
      </c>
      <c r="O908" t="s">
        <v>30</v>
      </c>
      <c r="P908" t="s">
        <v>29</v>
      </c>
      <c r="Q908" s="1">
        <v>42384.637083333335</v>
      </c>
      <c r="R908">
        <v>7</v>
      </c>
      <c r="S908" t="s">
        <v>264</v>
      </c>
      <c r="T908" t="s">
        <v>1641</v>
      </c>
      <c r="U908">
        <v>302</v>
      </c>
      <c r="V908" s="3">
        <v>41029</v>
      </c>
    </row>
    <row r="909" spans="1:22" x14ac:dyDescent="0.35">
      <c r="A909" s="1">
        <v>42384.629930555559</v>
      </c>
      <c r="B909" s="2">
        <v>7.4606481481481482E-2</v>
      </c>
      <c r="C909" t="s">
        <v>1642</v>
      </c>
      <c r="D909" t="s">
        <v>23</v>
      </c>
      <c r="E909" t="s">
        <v>24</v>
      </c>
      <c r="F909" t="s">
        <v>1643</v>
      </c>
      <c r="G909">
        <v>1566385</v>
      </c>
      <c r="H909" t="s">
        <v>26</v>
      </c>
      <c r="I909" t="s">
        <v>1644</v>
      </c>
      <c r="J909" t="str">
        <f>"9780745662718"</f>
        <v>9780745662718</v>
      </c>
      <c r="K909" t="s">
        <v>1645</v>
      </c>
      <c r="L909">
        <v>36</v>
      </c>
      <c r="O909" t="s">
        <v>30</v>
      </c>
      <c r="P909" t="s">
        <v>47</v>
      </c>
      <c r="Q909" s="1">
        <v>42383.883020833331</v>
      </c>
      <c r="R909">
        <v>1</v>
      </c>
      <c r="S909" t="s">
        <v>31</v>
      </c>
      <c r="T909" t="s">
        <v>1646</v>
      </c>
      <c r="U909">
        <v>204.4</v>
      </c>
      <c r="V909" s="3">
        <v>41708</v>
      </c>
    </row>
    <row r="910" spans="1:22" x14ac:dyDescent="0.35">
      <c r="A910" s="1">
        <v>42384.626643518517</v>
      </c>
      <c r="B910" s="2">
        <v>1.042824074074074E-2</v>
      </c>
      <c r="C910" t="s">
        <v>1632</v>
      </c>
      <c r="D910" t="s">
        <v>261</v>
      </c>
      <c r="E910" t="s">
        <v>262</v>
      </c>
      <c r="F910" t="s">
        <v>1639</v>
      </c>
      <c r="G910">
        <v>821827</v>
      </c>
      <c r="H910" t="s">
        <v>26</v>
      </c>
      <c r="I910" t="s">
        <v>120</v>
      </c>
      <c r="J910" t="str">
        <f>"9781118225349"</f>
        <v>9781118225349</v>
      </c>
      <c r="K910" t="s">
        <v>1647</v>
      </c>
      <c r="L910">
        <v>21</v>
      </c>
      <c r="O910" t="s">
        <v>30</v>
      </c>
      <c r="P910" t="s">
        <v>42</v>
      </c>
      <c r="S910" t="s">
        <v>264</v>
      </c>
      <c r="T910" t="s">
        <v>1641</v>
      </c>
      <c r="U910">
        <v>302</v>
      </c>
      <c r="V910" s="3">
        <v>41029</v>
      </c>
    </row>
    <row r="911" spans="1:22" x14ac:dyDescent="0.35">
      <c r="A911" s="1">
        <v>42384.409826388888</v>
      </c>
      <c r="B911" s="2">
        <v>5.5555555555555556E-4</v>
      </c>
      <c r="C911" t="s">
        <v>1648</v>
      </c>
      <c r="D911" t="s">
        <v>23</v>
      </c>
      <c r="E911" t="s">
        <v>24</v>
      </c>
      <c r="F911" t="s">
        <v>1649</v>
      </c>
      <c r="G911">
        <v>1539145</v>
      </c>
      <c r="H911" t="s">
        <v>68</v>
      </c>
      <c r="I911" t="s">
        <v>1650</v>
      </c>
      <c r="J911" t="str">
        <f>"9781136207730"</f>
        <v>9781136207730</v>
      </c>
      <c r="K911" t="s">
        <v>1651</v>
      </c>
      <c r="L911">
        <v>11</v>
      </c>
      <c r="O911" t="s">
        <v>30</v>
      </c>
      <c r="P911" t="s">
        <v>50</v>
      </c>
      <c r="S911" t="s">
        <v>31</v>
      </c>
      <c r="T911" t="s">
        <v>1652</v>
      </c>
      <c r="U911">
        <v>792.09730000000002</v>
      </c>
      <c r="V911" s="3">
        <v>41583</v>
      </c>
    </row>
    <row r="912" spans="1:22" x14ac:dyDescent="0.35">
      <c r="A912" s="1">
        <v>42384.296481481484</v>
      </c>
      <c r="B912" s="2">
        <v>5.208333333333333E-3</v>
      </c>
      <c r="C912" t="s">
        <v>1653</v>
      </c>
      <c r="D912" t="s">
        <v>35</v>
      </c>
      <c r="E912" t="s">
        <v>36</v>
      </c>
      <c r="F912" t="s">
        <v>327</v>
      </c>
      <c r="G912">
        <v>1691426</v>
      </c>
      <c r="H912" t="s">
        <v>26</v>
      </c>
      <c r="I912" t="s">
        <v>328</v>
      </c>
      <c r="J912" t="str">
        <f>"9781118839492"</f>
        <v>9781118839492</v>
      </c>
      <c r="K912" t="s">
        <v>1654</v>
      </c>
      <c r="L912">
        <v>53</v>
      </c>
      <c r="O912" t="s">
        <v>30</v>
      </c>
      <c r="P912" t="s">
        <v>29</v>
      </c>
      <c r="Q912" s="1">
        <v>42384.296481481484</v>
      </c>
      <c r="R912">
        <v>7</v>
      </c>
      <c r="S912" t="s">
        <v>40</v>
      </c>
      <c r="T912" t="s">
        <v>331</v>
      </c>
      <c r="U912">
        <v>613.70460000000003</v>
      </c>
      <c r="V912" s="3">
        <v>41772</v>
      </c>
    </row>
    <row r="913" spans="1:22" x14ac:dyDescent="0.35">
      <c r="A913" s="1">
        <v>42384.296446759261</v>
      </c>
      <c r="B913" s="2">
        <v>3.4722222222222222E-5</v>
      </c>
      <c r="C913" t="s">
        <v>1653</v>
      </c>
      <c r="D913" t="s">
        <v>35</v>
      </c>
      <c r="E913" t="s">
        <v>36</v>
      </c>
      <c r="F913" t="s">
        <v>327</v>
      </c>
      <c r="G913">
        <v>1691426</v>
      </c>
      <c r="H913" t="s">
        <v>26</v>
      </c>
      <c r="I913" t="s">
        <v>328</v>
      </c>
      <c r="J913" t="str">
        <f>"9781118839492"</f>
        <v>9781118839492</v>
      </c>
      <c r="L913">
        <v>0</v>
      </c>
      <c r="O913" t="s">
        <v>30</v>
      </c>
      <c r="P913" t="s">
        <v>42</v>
      </c>
      <c r="S913" t="s">
        <v>40</v>
      </c>
      <c r="T913" t="s">
        <v>331</v>
      </c>
      <c r="U913">
        <v>613.70460000000003</v>
      </c>
      <c r="V913" s="3">
        <v>41772</v>
      </c>
    </row>
    <row r="914" spans="1:22" x14ac:dyDescent="0.35">
      <c r="A914" s="1">
        <v>42384.233206018522</v>
      </c>
      <c r="B914" s="2">
        <v>7.175925925925927E-4</v>
      </c>
      <c r="C914" t="s">
        <v>1655</v>
      </c>
      <c r="D914" t="s">
        <v>23</v>
      </c>
      <c r="E914" t="s">
        <v>24</v>
      </c>
      <c r="F914" t="s">
        <v>1656</v>
      </c>
      <c r="G914">
        <v>902995</v>
      </c>
      <c r="H914" t="s">
        <v>149</v>
      </c>
      <c r="I914" t="s">
        <v>247</v>
      </c>
      <c r="J914" t="str">
        <f>"9781438139234"</f>
        <v>9781438139234</v>
      </c>
      <c r="K914" t="s">
        <v>1651</v>
      </c>
      <c r="L914">
        <v>11</v>
      </c>
      <c r="O914" t="s">
        <v>30</v>
      </c>
      <c r="P914" t="s">
        <v>42</v>
      </c>
      <c r="S914" t="s">
        <v>31</v>
      </c>
      <c r="T914" t="s">
        <v>1657</v>
      </c>
      <c r="U914" t="s">
        <v>1658</v>
      </c>
      <c r="V914" s="3">
        <v>40969</v>
      </c>
    </row>
    <row r="915" spans="1:22" x14ac:dyDescent="0.35">
      <c r="A915" s="1">
        <v>42384.135601851849</v>
      </c>
      <c r="B915" s="2">
        <v>1.1574074074074073E-5</v>
      </c>
      <c r="C915" t="s">
        <v>1238</v>
      </c>
      <c r="D915" t="s">
        <v>35</v>
      </c>
      <c r="E915" t="s">
        <v>36</v>
      </c>
      <c r="F915" t="s">
        <v>1659</v>
      </c>
      <c r="G915">
        <v>1895936</v>
      </c>
      <c r="H915" t="s">
        <v>26</v>
      </c>
      <c r="I915" t="s">
        <v>328</v>
      </c>
      <c r="J915" t="str">
        <f>"9781119022763"</f>
        <v>9781119022763</v>
      </c>
      <c r="K915" t="s">
        <v>33</v>
      </c>
      <c r="L915">
        <v>3</v>
      </c>
      <c r="O915" t="s">
        <v>30</v>
      </c>
      <c r="P915" t="s">
        <v>29</v>
      </c>
      <c r="Q915" s="1">
        <v>42384.135601851849</v>
      </c>
      <c r="R915">
        <v>7</v>
      </c>
      <c r="S915" t="s">
        <v>40</v>
      </c>
      <c r="T915" t="s">
        <v>1660</v>
      </c>
      <c r="U915">
        <v>613.70460000000003</v>
      </c>
      <c r="V915" s="3">
        <v>42053</v>
      </c>
    </row>
    <row r="916" spans="1:22" x14ac:dyDescent="0.35">
      <c r="A916" s="1">
        <v>42384.126018518517</v>
      </c>
      <c r="B916" s="2">
        <v>9.5833333333333343E-3</v>
      </c>
      <c r="C916" t="s">
        <v>1238</v>
      </c>
      <c r="D916" t="s">
        <v>35</v>
      </c>
      <c r="E916" t="s">
        <v>36</v>
      </c>
      <c r="F916" t="s">
        <v>1659</v>
      </c>
      <c r="G916">
        <v>1895936</v>
      </c>
      <c r="H916" t="s">
        <v>26</v>
      </c>
      <c r="I916" t="s">
        <v>328</v>
      </c>
      <c r="J916" t="str">
        <f>"9781119022763"</f>
        <v>9781119022763</v>
      </c>
      <c r="K916" t="s">
        <v>33</v>
      </c>
      <c r="L916">
        <v>3</v>
      </c>
      <c r="O916" t="s">
        <v>30</v>
      </c>
      <c r="P916" t="s">
        <v>42</v>
      </c>
      <c r="S916" t="s">
        <v>40</v>
      </c>
      <c r="T916" t="s">
        <v>1660</v>
      </c>
      <c r="U916">
        <v>613.70460000000003</v>
      </c>
      <c r="V916" s="3">
        <v>42053</v>
      </c>
    </row>
    <row r="917" spans="1:22" x14ac:dyDescent="0.35">
      <c r="A917" s="1">
        <v>42384.121377314812</v>
      </c>
      <c r="B917" s="2">
        <v>2.8194444444444442E-2</v>
      </c>
      <c r="C917" t="s">
        <v>1661</v>
      </c>
      <c r="D917" t="s">
        <v>23</v>
      </c>
      <c r="E917" t="s">
        <v>24</v>
      </c>
      <c r="F917" t="s">
        <v>1662</v>
      </c>
      <c r="G917">
        <v>821733</v>
      </c>
      <c r="H917" t="s">
        <v>26</v>
      </c>
      <c r="I917" t="s">
        <v>841</v>
      </c>
      <c r="J917" t="str">
        <f>"9781118220627"</f>
        <v>9781118220627</v>
      </c>
      <c r="K917" t="s">
        <v>1663</v>
      </c>
      <c r="L917">
        <v>21</v>
      </c>
      <c r="O917" t="s">
        <v>30</v>
      </c>
      <c r="P917" t="s">
        <v>29</v>
      </c>
      <c r="Q917" s="1">
        <v>42383.864560185182</v>
      </c>
      <c r="R917">
        <v>7</v>
      </c>
      <c r="S917" t="s">
        <v>31</v>
      </c>
      <c r="U917">
        <v>358.41550973</v>
      </c>
      <c r="V917" s="3">
        <v>41429</v>
      </c>
    </row>
    <row r="918" spans="1:22" x14ac:dyDescent="0.35">
      <c r="A918" s="1">
        <v>42384.119340277779</v>
      </c>
      <c r="B918" s="2">
        <v>5.9027777777777778E-4</v>
      </c>
      <c r="C918" t="s">
        <v>1664</v>
      </c>
      <c r="D918" t="s">
        <v>23</v>
      </c>
      <c r="E918" t="s">
        <v>24</v>
      </c>
      <c r="F918" t="s">
        <v>1665</v>
      </c>
      <c r="G918">
        <v>1895602</v>
      </c>
      <c r="H918" t="s">
        <v>26</v>
      </c>
      <c r="I918" t="s">
        <v>1407</v>
      </c>
      <c r="J918" t="str">
        <f>"9781118789100"</f>
        <v>9781118789100</v>
      </c>
      <c r="K918" t="s">
        <v>1666</v>
      </c>
      <c r="L918">
        <v>20</v>
      </c>
      <c r="O918" t="s">
        <v>30</v>
      </c>
      <c r="P918" t="s">
        <v>29</v>
      </c>
      <c r="Q918" s="1">
        <v>42384.119340277779</v>
      </c>
      <c r="R918">
        <v>7</v>
      </c>
      <c r="S918" t="s">
        <v>31</v>
      </c>
      <c r="T918" t="s">
        <v>1667</v>
      </c>
      <c r="U918">
        <v>599.9</v>
      </c>
      <c r="V918" s="3">
        <v>42158</v>
      </c>
    </row>
    <row r="919" spans="1:22" x14ac:dyDescent="0.35">
      <c r="A919" s="1">
        <v>42384.095324074071</v>
      </c>
      <c r="B919" s="2">
        <v>2.4016203703703706E-2</v>
      </c>
      <c r="C919" t="s">
        <v>1664</v>
      </c>
      <c r="D919" t="s">
        <v>23</v>
      </c>
      <c r="E919" t="s">
        <v>24</v>
      </c>
      <c r="F919" t="s">
        <v>1665</v>
      </c>
      <c r="G919">
        <v>1895602</v>
      </c>
      <c r="H919" t="s">
        <v>26</v>
      </c>
      <c r="I919" t="s">
        <v>1407</v>
      </c>
      <c r="J919" t="str">
        <f>"9781118789100"</f>
        <v>9781118789100</v>
      </c>
      <c r="K919" t="s">
        <v>33</v>
      </c>
      <c r="L919">
        <v>3</v>
      </c>
      <c r="O919" t="s">
        <v>30</v>
      </c>
      <c r="P919" t="s">
        <v>42</v>
      </c>
      <c r="S919" t="s">
        <v>31</v>
      </c>
      <c r="T919" t="s">
        <v>1667</v>
      </c>
      <c r="U919">
        <v>599.9</v>
      </c>
      <c r="V919" s="3">
        <v>42158</v>
      </c>
    </row>
    <row r="920" spans="1:22" x14ac:dyDescent="0.35">
      <c r="A920" s="1">
        <v>42384.081412037034</v>
      </c>
      <c r="B920" s="2">
        <v>1.1574074074074073E-5</v>
      </c>
      <c r="C920" t="s">
        <v>106</v>
      </c>
      <c r="D920" t="s">
        <v>23</v>
      </c>
      <c r="E920" t="s">
        <v>24</v>
      </c>
      <c r="F920" t="s">
        <v>1668</v>
      </c>
      <c r="G920">
        <v>1895161</v>
      </c>
      <c r="H920" t="s">
        <v>26</v>
      </c>
      <c r="I920" t="s">
        <v>97</v>
      </c>
      <c r="J920" t="str">
        <f>"9781118951378"</f>
        <v>9781118951378</v>
      </c>
      <c r="K920" t="s">
        <v>105</v>
      </c>
      <c r="L920">
        <v>1</v>
      </c>
      <c r="O920" t="s">
        <v>30</v>
      </c>
      <c r="P920" t="s">
        <v>50</v>
      </c>
      <c r="S920" t="s">
        <v>31</v>
      </c>
      <c r="T920" t="s">
        <v>1669</v>
      </c>
      <c r="U920">
        <v>658.87199999999996</v>
      </c>
      <c r="V920" s="3">
        <v>42103</v>
      </c>
    </row>
    <row r="921" spans="1:22" x14ac:dyDescent="0.35">
      <c r="A921" s="1">
        <v>42384.037152777775</v>
      </c>
      <c r="B921" s="2">
        <v>6.215277777777777E-3</v>
      </c>
      <c r="C921" t="s">
        <v>1670</v>
      </c>
      <c r="D921" t="s">
        <v>23</v>
      </c>
      <c r="E921" t="s">
        <v>24</v>
      </c>
      <c r="F921" t="s">
        <v>1671</v>
      </c>
      <c r="G921">
        <v>1911629</v>
      </c>
      <c r="H921" t="s">
        <v>139</v>
      </c>
      <c r="I921" t="s">
        <v>38</v>
      </c>
      <c r="J921" t="str">
        <f>"9781479812523"</f>
        <v>9781479812523</v>
      </c>
      <c r="K921" t="s">
        <v>1672</v>
      </c>
      <c r="L921">
        <v>38</v>
      </c>
      <c r="O921" t="s">
        <v>30</v>
      </c>
      <c r="P921" t="s">
        <v>29</v>
      </c>
      <c r="Q921" s="1">
        <v>42384.037152777775</v>
      </c>
      <c r="R921">
        <v>7</v>
      </c>
      <c r="S921" t="s">
        <v>31</v>
      </c>
      <c r="T921" t="s">
        <v>1673</v>
      </c>
      <c r="U921" t="s">
        <v>1674</v>
      </c>
      <c r="V921" s="3">
        <v>42048</v>
      </c>
    </row>
    <row r="922" spans="1:22" x14ac:dyDescent="0.35">
      <c r="A922" s="1">
        <v>42383.991180555553</v>
      </c>
      <c r="B922" s="2">
        <v>2.3379629629629631E-3</v>
      </c>
      <c r="C922" t="s">
        <v>1675</v>
      </c>
      <c r="D922" t="s">
        <v>23</v>
      </c>
      <c r="E922" t="s">
        <v>24</v>
      </c>
      <c r="F922" t="s">
        <v>1676</v>
      </c>
      <c r="G922">
        <v>1576078</v>
      </c>
      <c r="H922" t="s">
        <v>68</v>
      </c>
      <c r="I922" t="s">
        <v>1677</v>
      </c>
      <c r="J922" t="str">
        <f>"9781134691838"</f>
        <v>9781134691838</v>
      </c>
      <c r="K922" t="s">
        <v>1678</v>
      </c>
      <c r="L922">
        <v>12</v>
      </c>
      <c r="O922" t="s">
        <v>30</v>
      </c>
      <c r="P922" t="s">
        <v>50</v>
      </c>
      <c r="S922" t="s">
        <v>31</v>
      </c>
      <c r="T922" t="s">
        <v>1679</v>
      </c>
      <c r="U922">
        <v>615.85154</v>
      </c>
      <c r="V922" s="3">
        <v>41614</v>
      </c>
    </row>
    <row r="923" spans="1:22" x14ac:dyDescent="0.35">
      <c r="A923" s="1">
        <v>42383.974965277775</v>
      </c>
      <c r="B923" s="2">
        <v>0.10114583333333334</v>
      </c>
      <c r="C923" t="s">
        <v>1680</v>
      </c>
      <c r="D923" t="s">
        <v>35</v>
      </c>
      <c r="E923" t="s">
        <v>36</v>
      </c>
      <c r="F923" t="s">
        <v>327</v>
      </c>
      <c r="G923">
        <v>1691426</v>
      </c>
      <c r="H923" t="s">
        <v>26</v>
      </c>
      <c r="I923" t="s">
        <v>328</v>
      </c>
      <c r="J923" t="str">
        <f>"9781118839492"</f>
        <v>9781118839492</v>
      </c>
      <c r="K923" t="s">
        <v>1681</v>
      </c>
      <c r="L923">
        <v>80</v>
      </c>
      <c r="O923" t="s">
        <v>30</v>
      </c>
      <c r="P923" t="s">
        <v>29</v>
      </c>
      <c r="Q923" s="1">
        <v>42381.0390162037</v>
      </c>
      <c r="R923">
        <v>7</v>
      </c>
      <c r="S923" t="s">
        <v>40</v>
      </c>
      <c r="T923" t="s">
        <v>331</v>
      </c>
      <c r="U923">
        <v>613.70460000000003</v>
      </c>
      <c r="V923" s="3">
        <v>41772</v>
      </c>
    </row>
    <row r="924" spans="1:22" x14ac:dyDescent="0.35">
      <c r="A924" s="1">
        <v>42383.9528587963</v>
      </c>
      <c r="B924" s="2">
        <v>8.4293981481481484E-2</v>
      </c>
      <c r="C924" t="s">
        <v>1670</v>
      </c>
      <c r="D924" t="s">
        <v>23</v>
      </c>
      <c r="E924" t="s">
        <v>24</v>
      </c>
      <c r="F924" t="s">
        <v>1671</v>
      </c>
      <c r="G924">
        <v>1911629</v>
      </c>
      <c r="H924" t="s">
        <v>139</v>
      </c>
      <c r="I924" t="s">
        <v>38</v>
      </c>
      <c r="J924" t="str">
        <f>"9781479812523"</f>
        <v>9781479812523</v>
      </c>
      <c r="K924" t="s">
        <v>1682</v>
      </c>
      <c r="L924">
        <v>16</v>
      </c>
      <c r="O924" t="s">
        <v>30</v>
      </c>
      <c r="P924" t="s">
        <v>50</v>
      </c>
      <c r="S924" t="s">
        <v>31</v>
      </c>
      <c r="T924" t="s">
        <v>1673</v>
      </c>
      <c r="U924" t="s">
        <v>1674</v>
      </c>
      <c r="V924" s="3">
        <v>42048</v>
      </c>
    </row>
    <row r="925" spans="1:22" x14ac:dyDescent="0.35">
      <c r="A925" s="1">
        <v>42383.921134259261</v>
      </c>
      <c r="B925" s="2">
        <v>2.6620370370370372E-4</v>
      </c>
      <c r="C925" t="s">
        <v>1566</v>
      </c>
      <c r="D925" t="s">
        <v>35</v>
      </c>
      <c r="E925" t="s">
        <v>36</v>
      </c>
      <c r="F925" t="s">
        <v>327</v>
      </c>
      <c r="G925">
        <v>1691426</v>
      </c>
      <c r="H925" t="s">
        <v>26</v>
      </c>
      <c r="I925" t="s">
        <v>328</v>
      </c>
      <c r="J925" t="str">
        <f>"9781118839492"</f>
        <v>9781118839492</v>
      </c>
      <c r="K925" t="s">
        <v>1683</v>
      </c>
      <c r="L925">
        <v>8</v>
      </c>
      <c r="O925" t="s">
        <v>30</v>
      </c>
      <c r="P925" t="s">
        <v>42</v>
      </c>
      <c r="S925" t="s">
        <v>40</v>
      </c>
      <c r="T925" t="s">
        <v>331</v>
      </c>
      <c r="U925">
        <v>613.70460000000003</v>
      </c>
      <c r="V925" s="3">
        <v>41772</v>
      </c>
    </row>
    <row r="926" spans="1:22" x14ac:dyDescent="0.35">
      <c r="A926" s="1">
        <v>42383.903749999998</v>
      </c>
      <c r="B926" s="2">
        <v>1.7280092592592593E-2</v>
      </c>
      <c r="C926" t="s">
        <v>988</v>
      </c>
      <c r="D926" t="s">
        <v>23</v>
      </c>
      <c r="E926" t="s">
        <v>24</v>
      </c>
      <c r="F926" t="s">
        <v>989</v>
      </c>
      <c r="G926">
        <v>330580</v>
      </c>
      <c r="H926" t="s">
        <v>91</v>
      </c>
      <c r="I926" t="s">
        <v>247</v>
      </c>
      <c r="J926" t="str">
        <f>"9781593859398"</f>
        <v>9781593859398</v>
      </c>
      <c r="K926" t="s">
        <v>1684</v>
      </c>
      <c r="L926">
        <v>27</v>
      </c>
      <c r="O926" t="s">
        <v>30</v>
      </c>
      <c r="P926" t="s">
        <v>29</v>
      </c>
      <c r="Q926" s="1">
        <v>42383.004756944443</v>
      </c>
      <c r="R926">
        <v>7</v>
      </c>
      <c r="S926" t="s">
        <v>31</v>
      </c>
      <c r="T926" t="s">
        <v>991</v>
      </c>
      <c r="U926">
        <v>616.89142000000004</v>
      </c>
      <c r="V926" s="3">
        <v>41773</v>
      </c>
    </row>
    <row r="927" spans="1:22" x14ac:dyDescent="0.35">
      <c r="A927" s="1">
        <v>42383.883020833331</v>
      </c>
      <c r="B927" s="2">
        <v>6.8738425925925925E-2</v>
      </c>
      <c r="C927" t="s">
        <v>1642</v>
      </c>
      <c r="D927" t="s">
        <v>23</v>
      </c>
      <c r="E927" t="s">
        <v>24</v>
      </c>
      <c r="F927" t="s">
        <v>1643</v>
      </c>
      <c r="G927">
        <v>1566385</v>
      </c>
      <c r="H927" t="s">
        <v>26</v>
      </c>
      <c r="I927" t="s">
        <v>1644</v>
      </c>
      <c r="J927" t="str">
        <f>"9780745662718"</f>
        <v>9780745662718</v>
      </c>
      <c r="K927" t="s">
        <v>1685</v>
      </c>
      <c r="L927">
        <v>21</v>
      </c>
      <c r="O927" t="s">
        <v>30</v>
      </c>
      <c r="P927" t="s">
        <v>47</v>
      </c>
      <c r="Q927" s="1">
        <v>42383.883020833331</v>
      </c>
      <c r="R927">
        <v>1</v>
      </c>
      <c r="S927" t="s">
        <v>31</v>
      </c>
      <c r="T927" t="s">
        <v>1646</v>
      </c>
      <c r="U927">
        <v>204.4</v>
      </c>
      <c r="V927" s="3">
        <v>41708</v>
      </c>
    </row>
    <row r="928" spans="1:22" x14ac:dyDescent="0.35">
      <c r="A928" s="1">
        <v>42383.879340277781</v>
      </c>
      <c r="B928" s="2">
        <v>3.6805555555555554E-3</v>
      </c>
      <c r="C928" t="s">
        <v>1642</v>
      </c>
      <c r="D928" t="s">
        <v>23</v>
      </c>
      <c r="E928" t="s">
        <v>24</v>
      </c>
      <c r="F928" t="s">
        <v>1643</v>
      </c>
      <c r="G928">
        <v>1566385</v>
      </c>
      <c r="H928" t="s">
        <v>26</v>
      </c>
      <c r="I928" t="s">
        <v>1644</v>
      </c>
      <c r="J928" t="str">
        <f>"9780745662718"</f>
        <v>9780745662718</v>
      </c>
      <c r="K928" t="s">
        <v>1686</v>
      </c>
      <c r="L928">
        <v>22</v>
      </c>
      <c r="O928" t="s">
        <v>30</v>
      </c>
      <c r="P928" t="s">
        <v>50</v>
      </c>
      <c r="S928" t="s">
        <v>31</v>
      </c>
      <c r="T928" t="s">
        <v>1646</v>
      </c>
      <c r="U928">
        <v>204.4</v>
      </c>
      <c r="V928" s="3">
        <v>41708</v>
      </c>
    </row>
    <row r="929" spans="1:22" x14ac:dyDescent="0.35">
      <c r="A929" s="1">
        <v>42383.864560185182</v>
      </c>
      <c r="B929" s="2">
        <v>6.238425925925925E-3</v>
      </c>
      <c r="C929" t="s">
        <v>1661</v>
      </c>
      <c r="D929" t="s">
        <v>23</v>
      </c>
      <c r="E929" t="s">
        <v>24</v>
      </c>
      <c r="F929" t="s">
        <v>1662</v>
      </c>
      <c r="G929">
        <v>821733</v>
      </c>
      <c r="H929" t="s">
        <v>26</v>
      </c>
      <c r="I929" t="s">
        <v>841</v>
      </c>
      <c r="J929" t="str">
        <f>"9781118220627"</f>
        <v>9781118220627</v>
      </c>
      <c r="K929" t="s">
        <v>1687</v>
      </c>
      <c r="L929">
        <v>29</v>
      </c>
      <c r="O929" t="s">
        <v>30</v>
      </c>
      <c r="P929" t="s">
        <v>29</v>
      </c>
      <c r="Q929" s="1">
        <v>42383.864560185182</v>
      </c>
      <c r="R929">
        <v>7</v>
      </c>
      <c r="S929" t="s">
        <v>31</v>
      </c>
      <c r="U929">
        <v>358.41550973</v>
      </c>
      <c r="V929" s="3">
        <v>41429</v>
      </c>
    </row>
    <row r="930" spans="1:22" x14ac:dyDescent="0.35">
      <c r="A930" s="1">
        <v>42383.855347222219</v>
      </c>
      <c r="B930" s="2">
        <v>9.2129629629629627E-3</v>
      </c>
      <c r="C930" t="s">
        <v>1661</v>
      </c>
      <c r="D930" t="s">
        <v>23</v>
      </c>
      <c r="E930" t="s">
        <v>24</v>
      </c>
      <c r="F930" t="s">
        <v>1662</v>
      </c>
      <c r="G930">
        <v>821733</v>
      </c>
      <c r="H930" t="s">
        <v>26</v>
      </c>
      <c r="I930" t="s">
        <v>841</v>
      </c>
      <c r="J930" t="str">
        <f>"9781118220627"</f>
        <v>9781118220627</v>
      </c>
      <c r="K930" t="s">
        <v>1688</v>
      </c>
      <c r="L930">
        <v>29</v>
      </c>
      <c r="O930" t="s">
        <v>30</v>
      </c>
      <c r="P930" t="s">
        <v>42</v>
      </c>
      <c r="S930" t="s">
        <v>31</v>
      </c>
      <c r="U930">
        <v>358.41550973</v>
      </c>
      <c r="V930" s="3">
        <v>41429</v>
      </c>
    </row>
    <row r="931" spans="1:22" x14ac:dyDescent="0.35">
      <c r="A931" s="1">
        <v>42383.854548611111</v>
      </c>
      <c r="B931" s="2">
        <v>5.2083333333333333E-4</v>
      </c>
      <c r="C931" t="s">
        <v>1689</v>
      </c>
      <c r="D931" t="s">
        <v>1222</v>
      </c>
      <c r="E931" t="s">
        <v>1223</v>
      </c>
      <c r="F931" t="s">
        <v>1690</v>
      </c>
      <c r="G931">
        <v>1120531</v>
      </c>
      <c r="H931" t="s">
        <v>613</v>
      </c>
      <c r="I931" t="s">
        <v>1691</v>
      </c>
      <c r="J931" t="str">
        <f>"9781469602141"</f>
        <v>9781469602141</v>
      </c>
      <c r="K931" t="s">
        <v>1692</v>
      </c>
      <c r="L931">
        <v>14</v>
      </c>
      <c r="O931" t="s">
        <v>30</v>
      </c>
      <c r="P931" t="s">
        <v>50</v>
      </c>
      <c r="S931" t="s">
        <v>1226</v>
      </c>
      <c r="T931" t="s">
        <v>1693</v>
      </c>
      <c r="U931" t="s">
        <v>1694</v>
      </c>
      <c r="V931" s="3">
        <v>41395</v>
      </c>
    </row>
    <row r="932" spans="1:22" x14ac:dyDescent="0.35">
      <c r="A932" s="1">
        <v>42383.835416666669</v>
      </c>
      <c r="B932" s="2">
        <v>4.6296296296296294E-5</v>
      </c>
      <c r="C932" t="s">
        <v>106</v>
      </c>
      <c r="D932" t="s">
        <v>23</v>
      </c>
      <c r="E932" t="s">
        <v>24</v>
      </c>
      <c r="F932" t="s">
        <v>1695</v>
      </c>
      <c r="G932">
        <v>1935675</v>
      </c>
      <c r="H932" t="s">
        <v>26</v>
      </c>
      <c r="I932" t="s">
        <v>630</v>
      </c>
      <c r="J932" t="str">
        <f>"9780745672625"</f>
        <v>9780745672625</v>
      </c>
      <c r="K932" t="s">
        <v>33</v>
      </c>
      <c r="L932">
        <v>3</v>
      </c>
      <c r="O932" t="s">
        <v>30</v>
      </c>
      <c r="P932" t="s">
        <v>50</v>
      </c>
      <c r="S932" t="s">
        <v>31</v>
      </c>
      <c r="T932" t="s">
        <v>1696</v>
      </c>
      <c r="U932">
        <v>170</v>
      </c>
      <c r="V932" s="3">
        <v>41422</v>
      </c>
    </row>
    <row r="933" spans="1:22" x14ac:dyDescent="0.35">
      <c r="A933" s="1">
        <v>42383.790590277778</v>
      </c>
      <c r="B933" s="2">
        <v>9.4907407407407408E-4</v>
      </c>
      <c r="C933" t="s">
        <v>1697</v>
      </c>
      <c r="D933" t="s">
        <v>23</v>
      </c>
      <c r="E933" t="s">
        <v>24</v>
      </c>
      <c r="F933" t="s">
        <v>1698</v>
      </c>
      <c r="G933">
        <v>1637652</v>
      </c>
      <c r="H933" t="s">
        <v>84</v>
      </c>
      <c r="I933" t="s">
        <v>69</v>
      </c>
      <c r="J933" t="str">
        <f>"9780520958449"</f>
        <v>9780520958449</v>
      </c>
      <c r="K933" t="s">
        <v>1699</v>
      </c>
      <c r="L933">
        <v>25</v>
      </c>
      <c r="O933" t="s">
        <v>30</v>
      </c>
      <c r="P933" t="s">
        <v>42</v>
      </c>
      <c r="S933" t="s">
        <v>31</v>
      </c>
      <c r="T933" t="s">
        <v>1700</v>
      </c>
      <c r="U933" t="s">
        <v>1701</v>
      </c>
      <c r="V933" s="3">
        <v>41761</v>
      </c>
    </row>
    <row r="934" spans="1:22" x14ac:dyDescent="0.35">
      <c r="A934" s="1">
        <v>42383.789259259262</v>
      </c>
      <c r="B934" s="2">
        <v>1.0648148148148147E-3</v>
      </c>
      <c r="C934" t="s">
        <v>1702</v>
      </c>
      <c r="D934" t="s">
        <v>623</v>
      </c>
      <c r="E934" t="s">
        <v>624</v>
      </c>
      <c r="F934" t="s">
        <v>1703</v>
      </c>
      <c r="G934">
        <v>1501638</v>
      </c>
      <c r="H934" t="s">
        <v>26</v>
      </c>
      <c r="I934" t="s">
        <v>120</v>
      </c>
      <c r="J934" t="str">
        <f>"9781118825150"</f>
        <v>9781118825150</v>
      </c>
      <c r="K934" t="s">
        <v>1704</v>
      </c>
      <c r="L934">
        <v>27</v>
      </c>
      <c r="O934" t="s">
        <v>30</v>
      </c>
      <c r="P934" t="s">
        <v>50</v>
      </c>
      <c r="S934" t="s">
        <v>627</v>
      </c>
      <c r="T934" t="s">
        <v>1705</v>
      </c>
      <c r="U934">
        <v>362.7</v>
      </c>
      <c r="V934" s="3">
        <v>41570</v>
      </c>
    </row>
    <row r="935" spans="1:22" x14ac:dyDescent="0.35">
      <c r="A935" s="1">
        <v>42383.785601851851</v>
      </c>
      <c r="B935" s="2">
        <v>2.1701388888888892E-2</v>
      </c>
      <c r="C935" t="s">
        <v>471</v>
      </c>
      <c r="D935" t="s">
        <v>211</v>
      </c>
      <c r="E935" t="s">
        <v>212</v>
      </c>
      <c r="F935" t="s">
        <v>497</v>
      </c>
      <c r="G935">
        <v>1986951</v>
      </c>
      <c r="H935" t="s">
        <v>26</v>
      </c>
      <c r="I935" t="s">
        <v>97</v>
      </c>
      <c r="J935" t="str">
        <f>"9781119130468"</f>
        <v>9781119130468</v>
      </c>
      <c r="K935" t="s">
        <v>1706</v>
      </c>
      <c r="L935">
        <v>111</v>
      </c>
      <c r="O935" t="s">
        <v>30</v>
      </c>
      <c r="P935" t="s">
        <v>29</v>
      </c>
      <c r="Q935" s="1">
        <v>42377.845729166664</v>
      </c>
      <c r="R935">
        <v>7</v>
      </c>
      <c r="S935" t="s">
        <v>214</v>
      </c>
      <c r="T935" t="s">
        <v>500</v>
      </c>
      <c r="U935">
        <v>657.07600000000002</v>
      </c>
      <c r="V935" s="3">
        <v>42143</v>
      </c>
    </row>
    <row r="936" spans="1:22" x14ac:dyDescent="0.35">
      <c r="A936" s="1">
        <v>42383.763437499998</v>
      </c>
      <c r="B936" s="2">
        <v>2.3148148148148146E-4</v>
      </c>
      <c r="C936" t="s">
        <v>1707</v>
      </c>
      <c r="D936" t="s">
        <v>23</v>
      </c>
      <c r="E936" t="s">
        <v>24</v>
      </c>
      <c r="F936" t="s">
        <v>1708</v>
      </c>
      <c r="G936">
        <v>1926298</v>
      </c>
      <c r="H936" t="s">
        <v>139</v>
      </c>
      <c r="I936" t="s">
        <v>1709</v>
      </c>
      <c r="J936" t="str">
        <f>"9780814724774"</f>
        <v>9780814724774</v>
      </c>
      <c r="K936" t="s">
        <v>1710</v>
      </c>
      <c r="L936">
        <v>9</v>
      </c>
      <c r="O936" t="s">
        <v>30</v>
      </c>
      <c r="P936" t="s">
        <v>29</v>
      </c>
      <c r="Q936" s="1">
        <v>42383.763437499998</v>
      </c>
      <c r="R936">
        <v>7</v>
      </c>
      <c r="S936" t="s">
        <v>31</v>
      </c>
      <c r="T936" t="s">
        <v>1711</v>
      </c>
      <c r="U936" t="s">
        <v>1712</v>
      </c>
      <c r="V936" s="3">
        <v>42041</v>
      </c>
    </row>
    <row r="937" spans="1:22" x14ac:dyDescent="0.35">
      <c r="A937" s="1">
        <v>42383.762523148151</v>
      </c>
      <c r="B937" s="2">
        <v>1.1574074074074073E-4</v>
      </c>
      <c r="C937" t="s">
        <v>1713</v>
      </c>
      <c r="D937" t="s">
        <v>23</v>
      </c>
      <c r="E937" t="s">
        <v>24</v>
      </c>
      <c r="F937" t="s">
        <v>1714</v>
      </c>
      <c r="G937">
        <v>1711060</v>
      </c>
      <c r="H937" t="s">
        <v>84</v>
      </c>
      <c r="I937" t="s">
        <v>120</v>
      </c>
      <c r="J937" t="str">
        <f>"9780520960091"</f>
        <v>9780520960091</v>
      </c>
      <c r="K937" t="s">
        <v>1715</v>
      </c>
      <c r="L937">
        <v>8</v>
      </c>
      <c r="O937" t="s">
        <v>30</v>
      </c>
      <c r="P937" t="s">
        <v>47</v>
      </c>
      <c r="Q937" s="1">
        <v>42383.762523148151</v>
      </c>
      <c r="R937">
        <v>1</v>
      </c>
      <c r="S937" t="s">
        <v>31</v>
      </c>
      <c r="T937" t="s">
        <v>1716</v>
      </c>
      <c r="U937">
        <v>364.4</v>
      </c>
      <c r="V937" s="3">
        <v>42020</v>
      </c>
    </row>
    <row r="938" spans="1:22" x14ac:dyDescent="0.35">
      <c r="A938" s="1">
        <v>42383.747766203705</v>
      </c>
      <c r="B938" s="2">
        <v>1.4756944444444446E-2</v>
      </c>
      <c r="C938" t="s">
        <v>1713</v>
      </c>
      <c r="D938" t="s">
        <v>23</v>
      </c>
      <c r="E938" t="s">
        <v>24</v>
      </c>
      <c r="F938" t="s">
        <v>1714</v>
      </c>
      <c r="G938">
        <v>1711060</v>
      </c>
      <c r="H938" t="s">
        <v>84</v>
      </c>
      <c r="I938" t="s">
        <v>120</v>
      </c>
      <c r="J938" t="str">
        <f>"9780520960091"</f>
        <v>9780520960091</v>
      </c>
      <c r="K938" t="s">
        <v>1438</v>
      </c>
      <c r="L938">
        <v>16</v>
      </c>
      <c r="O938" t="s">
        <v>30</v>
      </c>
      <c r="P938" t="s">
        <v>50</v>
      </c>
      <c r="S938" t="s">
        <v>31</v>
      </c>
      <c r="T938" t="s">
        <v>1716</v>
      </c>
      <c r="U938">
        <v>364.4</v>
      </c>
      <c r="V938" s="3">
        <v>42020</v>
      </c>
    </row>
    <row r="939" spans="1:22" x14ac:dyDescent="0.35">
      <c r="A939" s="1">
        <v>42383.740405092591</v>
      </c>
      <c r="B939" s="2">
        <v>6.6319444444444446E-3</v>
      </c>
      <c r="C939" t="s">
        <v>1717</v>
      </c>
      <c r="D939" t="s">
        <v>35</v>
      </c>
      <c r="E939" t="s">
        <v>36</v>
      </c>
      <c r="F939" t="s">
        <v>327</v>
      </c>
      <c r="G939">
        <v>1691426</v>
      </c>
      <c r="H939" t="s">
        <v>26</v>
      </c>
      <c r="I939" t="s">
        <v>328</v>
      </c>
      <c r="J939" t="str">
        <f>"9781118839492"</f>
        <v>9781118839492</v>
      </c>
      <c r="K939" t="s">
        <v>1718</v>
      </c>
      <c r="L939">
        <v>71</v>
      </c>
      <c r="O939" t="s">
        <v>30</v>
      </c>
      <c r="P939" t="s">
        <v>29</v>
      </c>
      <c r="Q939" s="1">
        <v>42382.662523148145</v>
      </c>
      <c r="R939">
        <v>7</v>
      </c>
      <c r="S939" t="s">
        <v>40</v>
      </c>
      <c r="T939" t="s">
        <v>331</v>
      </c>
      <c r="U939">
        <v>613.70460000000003</v>
      </c>
      <c r="V939" s="3">
        <v>41772</v>
      </c>
    </row>
    <row r="940" spans="1:22" x14ac:dyDescent="0.35">
      <c r="A940" s="1">
        <v>42383.729629629626</v>
      </c>
      <c r="B940" s="2">
        <v>7.4652777777777781E-3</v>
      </c>
      <c r="C940" t="s">
        <v>1717</v>
      </c>
      <c r="D940" t="s">
        <v>35</v>
      </c>
      <c r="E940" t="s">
        <v>36</v>
      </c>
      <c r="F940" t="s">
        <v>327</v>
      </c>
      <c r="G940">
        <v>1691426</v>
      </c>
      <c r="H940" t="s">
        <v>26</v>
      </c>
      <c r="I940" t="s">
        <v>328</v>
      </c>
      <c r="J940" t="str">
        <f>"9781118839492"</f>
        <v>9781118839492</v>
      </c>
      <c r="K940" t="s">
        <v>1719</v>
      </c>
      <c r="L940">
        <v>49</v>
      </c>
      <c r="O940" t="s">
        <v>30</v>
      </c>
      <c r="P940" t="s">
        <v>29</v>
      </c>
      <c r="Q940" s="1">
        <v>42382.662523148145</v>
      </c>
      <c r="R940">
        <v>7</v>
      </c>
      <c r="S940" t="s">
        <v>40</v>
      </c>
      <c r="T940" t="s">
        <v>331</v>
      </c>
      <c r="U940">
        <v>613.70460000000003</v>
      </c>
      <c r="V940" s="3">
        <v>41772</v>
      </c>
    </row>
    <row r="941" spans="1:22" x14ac:dyDescent="0.35">
      <c r="A941" s="1">
        <v>42383.713819444441</v>
      </c>
      <c r="B941" s="2">
        <v>2.3958333333333336E-3</v>
      </c>
      <c r="C941" t="s">
        <v>1050</v>
      </c>
      <c r="D941" t="s">
        <v>23</v>
      </c>
      <c r="E941" t="s">
        <v>24</v>
      </c>
      <c r="F941" t="s">
        <v>321</v>
      </c>
      <c r="G941">
        <v>1794558</v>
      </c>
      <c r="H941" t="s">
        <v>26</v>
      </c>
      <c r="I941" t="s">
        <v>322</v>
      </c>
      <c r="J941" t="str">
        <f>"9781118821725"</f>
        <v>9781118821725</v>
      </c>
      <c r="K941" t="s">
        <v>1720</v>
      </c>
      <c r="L941">
        <v>9</v>
      </c>
      <c r="O941" t="s">
        <v>30</v>
      </c>
      <c r="P941" t="s">
        <v>50</v>
      </c>
      <c r="S941" t="s">
        <v>31</v>
      </c>
      <c r="T941" t="s">
        <v>324</v>
      </c>
      <c r="U941">
        <v>697</v>
      </c>
      <c r="V941" s="3">
        <v>41905</v>
      </c>
    </row>
    <row r="942" spans="1:22" x14ac:dyDescent="0.35">
      <c r="A942" s="1">
        <v>42383.710127314815</v>
      </c>
      <c r="B942" s="2">
        <v>7.7546296296296304E-4</v>
      </c>
      <c r="C942" t="s">
        <v>1583</v>
      </c>
      <c r="D942" t="s">
        <v>158</v>
      </c>
      <c r="E942" t="s">
        <v>159</v>
      </c>
      <c r="F942" t="s">
        <v>1584</v>
      </c>
      <c r="G942">
        <v>817836</v>
      </c>
      <c r="H942" t="s">
        <v>26</v>
      </c>
      <c r="I942" t="s">
        <v>276</v>
      </c>
      <c r="J942" t="str">
        <f>"9781118203835"</f>
        <v>9781118203835</v>
      </c>
      <c r="K942" t="s">
        <v>1721</v>
      </c>
      <c r="L942">
        <v>4</v>
      </c>
      <c r="O942" t="s">
        <v>30</v>
      </c>
      <c r="P942" t="s">
        <v>42</v>
      </c>
      <c r="S942" t="s">
        <v>163</v>
      </c>
      <c r="T942" t="s">
        <v>1585</v>
      </c>
      <c r="U942">
        <v>4.6500000000000004</v>
      </c>
      <c r="V942" s="3">
        <v>40834</v>
      </c>
    </row>
    <row r="943" spans="1:22" x14ac:dyDescent="0.35">
      <c r="A943" s="1">
        <v>42383.706793981481</v>
      </c>
      <c r="B943" s="2">
        <v>5.6643518518518517E-2</v>
      </c>
      <c r="C943" t="s">
        <v>1707</v>
      </c>
      <c r="D943" t="s">
        <v>23</v>
      </c>
      <c r="E943" t="s">
        <v>24</v>
      </c>
      <c r="F943" t="s">
        <v>1708</v>
      </c>
      <c r="G943">
        <v>1926298</v>
      </c>
      <c r="H943" t="s">
        <v>139</v>
      </c>
      <c r="I943" t="s">
        <v>1709</v>
      </c>
      <c r="J943" t="str">
        <f>"9780814724774"</f>
        <v>9780814724774</v>
      </c>
      <c r="K943" t="s">
        <v>536</v>
      </c>
      <c r="L943">
        <v>3</v>
      </c>
      <c r="O943" t="s">
        <v>30</v>
      </c>
      <c r="P943" t="s">
        <v>50</v>
      </c>
      <c r="S943" t="s">
        <v>31</v>
      </c>
      <c r="T943" t="s">
        <v>1711</v>
      </c>
      <c r="U943" t="s">
        <v>1712</v>
      </c>
      <c r="V943" s="3">
        <v>42041</v>
      </c>
    </row>
    <row r="944" spans="1:22" x14ac:dyDescent="0.35">
      <c r="A944" s="1">
        <v>42383.70484953704</v>
      </c>
      <c r="B944" s="2">
        <v>0</v>
      </c>
      <c r="C944" t="s">
        <v>1722</v>
      </c>
      <c r="D944" t="s">
        <v>35</v>
      </c>
      <c r="E944" t="s">
        <v>36</v>
      </c>
      <c r="F944" t="s">
        <v>1723</v>
      </c>
      <c r="G944">
        <v>330594</v>
      </c>
      <c r="H944" t="s">
        <v>91</v>
      </c>
      <c r="I944" t="s">
        <v>1724</v>
      </c>
      <c r="J944" t="str">
        <f>"9781593859503"</f>
        <v>9781593859503</v>
      </c>
      <c r="L944">
        <v>0</v>
      </c>
      <c r="O944" t="s">
        <v>28</v>
      </c>
      <c r="P944" t="s">
        <v>47</v>
      </c>
      <c r="Q944" s="1">
        <v>42383.69390046296</v>
      </c>
      <c r="R944">
        <v>1</v>
      </c>
      <c r="S944" t="s">
        <v>40</v>
      </c>
      <c r="T944" t="s">
        <v>1725</v>
      </c>
      <c r="U944">
        <v>362.1968</v>
      </c>
      <c r="V944" s="3">
        <v>41773</v>
      </c>
    </row>
    <row r="945" spans="1:22" x14ac:dyDescent="0.35">
      <c r="A945" s="1">
        <v>42383.701990740738</v>
      </c>
      <c r="B945" s="2">
        <v>3.8194444444444446E-4</v>
      </c>
      <c r="C945" t="s">
        <v>1722</v>
      </c>
      <c r="D945" t="s">
        <v>35</v>
      </c>
      <c r="E945" t="s">
        <v>36</v>
      </c>
      <c r="F945" t="s">
        <v>1723</v>
      </c>
      <c r="G945">
        <v>330594</v>
      </c>
      <c r="H945" t="s">
        <v>91</v>
      </c>
      <c r="I945" t="s">
        <v>1724</v>
      </c>
      <c r="J945" t="str">
        <f>"9781593859503"</f>
        <v>9781593859503</v>
      </c>
      <c r="K945" t="s">
        <v>867</v>
      </c>
      <c r="L945">
        <v>10</v>
      </c>
      <c r="M945" t="s">
        <v>925</v>
      </c>
      <c r="O945" t="s">
        <v>30</v>
      </c>
      <c r="P945" t="s">
        <v>47</v>
      </c>
      <c r="Q945" s="1">
        <v>42383.69390046296</v>
      </c>
      <c r="R945">
        <v>1</v>
      </c>
      <c r="S945" t="s">
        <v>40</v>
      </c>
      <c r="T945" t="s">
        <v>1725</v>
      </c>
      <c r="U945">
        <v>362.1968</v>
      </c>
      <c r="V945" s="3">
        <v>41773</v>
      </c>
    </row>
    <row r="946" spans="1:22" x14ac:dyDescent="0.35">
      <c r="A946" s="1">
        <v>42383.699976851851</v>
      </c>
      <c r="B946" s="2">
        <v>2.3148148148148146E-4</v>
      </c>
      <c r="C946" t="s">
        <v>1726</v>
      </c>
      <c r="D946" t="s">
        <v>35</v>
      </c>
      <c r="E946" t="s">
        <v>36</v>
      </c>
      <c r="F946" t="s">
        <v>327</v>
      </c>
      <c r="G946">
        <v>1691426</v>
      </c>
      <c r="H946" t="s">
        <v>26</v>
      </c>
      <c r="I946" t="s">
        <v>328</v>
      </c>
      <c r="J946" t="str">
        <f>"9781118839492"</f>
        <v>9781118839492</v>
      </c>
      <c r="K946" t="s">
        <v>1727</v>
      </c>
      <c r="L946">
        <v>8</v>
      </c>
      <c r="O946" t="s">
        <v>30</v>
      </c>
      <c r="P946" t="s">
        <v>29</v>
      </c>
      <c r="Q946" s="1">
        <v>42380.020567129628</v>
      </c>
      <c r="R946">
        <v>7</v>
      </c>
      <c r="S946" t="s">
        <v>40</v>
      </c>
      <c r="T946" t="s">
        <v>331</v>
      </c>
      <c r="U946">
        <v>613.70460000000003</v>
      </c>
      <c r="V946" s="3">
        <v>41772</v>
      </c>
    </row>
    <row r="947" spans="1:22" x14ac:dyDescent="0.35">
      <c r="A947" s="1">
        <v>42383.698703703703</v>
      </c>
      <c r="B947" s="2">
        <v>0</v>
      </c>
      <c r="C947" t="s">
        <v>1722</v>
      </c>
      <c r="D947" t="s">
        <v>35</v>
      </c>
      <c r="E947" t="s">
        <v>36</v>
      </c>
      <c r="F947" t="s">
        <v>1723</v>
      </c>
      <c r="G947">
        <v>330594</v>
      </c>
      <c r="H947" t="s">
        <v>91</v>
      </c>
      <c r="I947" t="s">
        <v>1724</v>
      </c>
      <c r="J947" t="str">
        <f>"9781593859503"</f>
        <v>9781593859503</v>
      </c>
      <c r="L947">
        <v>0</v>
      </c>
      <c r="O947" t="s">
        <v>28</v>
      </c>
      <c r="P947" t="s">
        <v>47</v>
      </c>
      <c r="Q947" s="1">
        <v>42383.69390046296</v>
      </c>
      <c r="R947">
        <v>1</v>
      </c>
      <c r="S947" t="s">
        <v>40</v>
      </c>
      <c r="T947" t="s">
        <v>1725</v>
      </c>
      <c r="U947">
        <v>362.1968</v>
      </c>
      <c r="V947" s="3">
        <v>41773</v>
      </c>
    </row>
    <row r="948" spans="1:22" x14ac:dyDescent="0.35">
      <c r="A948" s="1">
        <v>42383.69798611111</v>
      </c>
      <c r="B948" s="2">
        <v>0</v>
      </c>
      <c r="C948" t="s">
        <v>1722</v>
      </c>
      <c r="D948" t="s">
        <v>35</v>
      </c>
      <c r="E948" t="s">
        <v>36</v>
      </c>
      <c r="F948" t="s">
        <v>1723</v>
      </c>
      <c r="G948">
        <v>330594</v>
      </c>
      <c r="H948" t="s">
        <v>91</v>
      </c>
      <c r="I948" t="s">
        <v>1724</v>
      </c>
      <c r="J948" t="str">
        <f>"9781593859503"</f>
        <v>9781593859503</v>
      </c>
      <c r="L948">
        <v>0</v>
      </c>
      <c r="O948" t="s">
        <v>28</v>
      </c>
      <c r="P948" t="s">
        <v>47</v>
      </c>
      <c r="Q948" s="1">
        <v>42383.69390046296</v>
      </c>
      <c r="R948">
        <v>1</v>
      </c>
      <c r="S948" t="s">
        <v>40</v>
      </c>
      <c r="T948" t="s">
        <v>1725</v>
      </c>
      <c r="U948">
        <v>362.1968</v>
      </c>
      <c r="V948" s="3">
        <v>41773</v>
      </c>
    </row>
    <row r="949" spans="1:22" x14ac:dyDescent="0.35">
      <c r="A949" s="1">
        <v>42383.69390046296</v>
      </c>
      <c r="B949" s="2">
        <v>0</v>
      </c>
      <c r="C949" t="s">
        <v>1722</v>
      </c>
      <c r="D949" t="s">
        <v>35</v>
      </c>
      <c r="E949" t="s">
        <v>36</v>
      </c>
      <c r="F949" t="s">
        <v>1723</v>
      </c>
      <c r="G949">
        <v>330594</v>
      </c>
      <c r="H949" t="s">
        <v>91</v>
      </c>
      <c r="I949" t="s">
        <v>1724</v>
      </c>
      <c r="J949" t="str">
        <f>"9781593859503"</f>
        <v>9781593859503</v>
      </c>
      <c r="L949">
        <v>0</v>
      </c>
      <c r="M949" t="s">
        <v>648</v>
      </c>
      <c r="O949" t="s">
        <v>30</v>
      </c>
      <c r="P949" t="s">
        <v>47</v>
      </c>
      <c r="Q949" s="1">
        <v>42383.69390046296</v>
      </c>
      <c r="R949">
        <v>1</v>
      </c>
      <c r="S949" t="s">
        <v>40</v>
      </c>
      <c r="T949" t="s">
        <v>1725</v>
      </c>
      <c r="U949">
        <v>362.1968</v>
      </c>
      <c r="V949" s="3">
        <v>41773</v>
      </c>
    </row>
    <row r="950" spans="1:22" x14ac:dyDescent="0.35">
      <c r="A950" s="1">
        <v>42383.693622685183</v>
      </c>
      <c r="B950" s="2">
        <v>9.2592592592592588E-5</v>
      </c>
      <c r="C950" t="s">
        <v>1728</v>
      </c>
      <c r="D950" t="s">
        <v>23</v>
      </c>
      <c r="E950" t="s">
        <v>24</v>
      </c>
      <c r="F950" t="s">
        <v>1729</v>
      </c>
      <c r="G950">
        <v>1895307</v>
      </c>
      <c r="H950" t="s">
        <v>26</v>
      </c>
      <c r="I950" t="s">
        <v>97</v>
      </c>
      <c r="J950" t="str">
        <f>"9781119049074"</f>
        <v>9781119049074</v>
      </c>
      <c r="K950" t="s">
        <v>1730</v>
      </c>
      <c r="L950">
        <v>3</v>
      </c>
      <c r="O950" t="s">
        <v>30</v>
      </c>
      <c r="P950" t="s">
        <v>29</v>
      </c>
      <c r="Q950" s="1">
        <v>42383.693622685183</v>
      </c>
      <c r="R950">
        <v>7</v>
      </c>
      <c r="S950" t="s">
        <v>31</v>
      </c>
      <c r="T950" t="s">
        <v>1731</v>
      </c>
      <c r="U950">
        <v>658.10923300000002</v>
      </c>
      <c r="V950" s="3">
        <v>42109</v>
      </c>
    </row>
    <row r="951" spans="1:22" x14ac:dyDescent="0.35">
      <c r="A951" s="1">
        <v>42383.69327546296</v>
      </c>
      <c r="B951" s="2">
        <v>2.0833333333333333E-3</v>
      </c>
      <c r="C951" t="s">
        <v>1447</v>
      </c>
      <c r="D951" t="s">
        <v>23</v>
      </c>
      <c r="E951" t="s">
        <v>24</v>
      </c>
      <c r="F951" t="s">
        <v>160</v>
      </c>
      <c r="G951">
        <v>3059079</v>
      </c>
      <c r="H951" t="s">
        <v>26</v>
      </c>
      <c r="I951" t="s">
        <v>161</v>
      </c>
      <c r="J951" t="str">
        <f>"9781118473818"</f>
        <v>9781118473818</v>
      </c>
      <c r="K951" t="s">
        <v>1732</v>
      </c>
      <c r="L951">
        <v>10</v>
      </c>
      <c r="O951" t="s">
        <v>30</v>
      </c>
      <c r="P951" t="s">
        <v>50</v>
      </c>
      <c r="S951" t="s">
        <v>31</v>
      </c>
      <c r="T951" t="s">
        <v>164</v>
      </c>
      <c r="U951">
        <v>530</v>
      </c>
      <c r="V951" s="3">
        <v>41401</v>
      </c>
    </row>
    <row r="952" spans="1:22" x14ac:dyDescent="0.35">
      <c r="A952" s="1">
        <v>42383.690613425926</v>
      </c>
      <c r="B952" s="2">
        <v>3.2870370370370367E-3</v>
      </c>
      <c r="C952" t="s">
        <v>1722</v>
      </c>
      <c r="D952" t="s">
        <v>35</v>
      </c>
      <c r="E952" t="s">
        <v>36</v>
      </c>
      <c r="F952" t="s">
        <v>1723</v>
      </c>
      <c r="G952">
        <v>330594</v>
      </c>
      <c r="H952" t="s">
        <v>91</v>
      </c>
      <c r="I952" t="s">
        <v>1724</v>
      </c>
      <c r="J952" t="str">
        <f>"9781593859503"</f>
        <v>9781593859503</v>
      </c>
      <c r="K952" t="s">
        <v>1733</v>
      </c>
      <c r="L952">
        <v>50</v>
      </c>
      <c r="O952" t="s">
        <v>30</v>
      </c>
      <c r="P952" t="s">
        <v>50</v>
      </c>
      <c r="S952" t="s">
        <v>40</v>
      </c>
      <c r="T952" t="s">
        <v>1725</v>
      </c>
      <c r="U952">
        <v>362.1968</v>
      </c>
      <c r="V952" s="3">
        <v>41773</v>
      </c>
    </row>
    <row r="953" spans="1:22" x14ac:dyDescent="0.35">
      <c r="A953" s="1">
        <v>42383.689953703702</v>
      </c>
      <c r="B953" s="2">
        <v>3.6689814814814814E-3</v>
      </c>
      <c r="C953" t="s">
        <v>1728</v>
      </c>
      <c r="D953" t="s">
        <v>23</v>
      </c>
      <c r="E953" t="s">
        <v>24</v>
      </c>
      <c r="F953" t="s">
        <v>1729</v>
      </c>
      <c r="G953">
        <v>1895307</v>
      </c>
      <c r="H953" t="s">
        <v>26</v>
      </c>
      <c r="I953" t="s">
        <v>97</v>
      </c>
      <c r="J953" t="str">
        <f>"9781119049074"</f>
        <v>9781119049074</v>
      </c>
      <c r="K953" t="s">
        <v>1734</v>
      </c>
      <c r="L953">
        <v>38</v>
      </c>
      <c r="O953" t="s">
        <v>30</v>
      </c>
      <c r="P953" t="s">
        <v>50</v>
      </c>
      <c r="S953" t="s">
        <v>31</v>
      </c>
      <c r="T953" t="s">
        <v>1731</v>
      </c>
      <c r="U953">
        <v>658.10923300000002</v>
      </c>
      <c r="V953" s="3">
        <v>42109</v>
      </c>
    </row>
    <row r="954" spans="1:22" x14ac:dyDescent="0.35">
      <c r="A954" s="1">
        <v>42383.686365740738</v>
      </c>
      <c r="B954" s="2">
        <v>2.3495370370370371E-3</v>
      </c>
      <c r="C954" t="s">
        <v>1735</v>
      </c>
      <c r="D954" t="s">
        <v>23</v>
      </c>
      <c r="E954" t="s">
        <v>24</v>
      </c>
      <c r="F954" t="s">
        <v>1736</v>
      </c>
      <c r="G954">
        <v>1397376</v>
      </c>
      <c r="H954" t="s">
        <v>68</v>
      </c>
      <c r="I954" t="s">
        <v>120</v>
      </c>
      <c r="J954" t="str">
        <f>"9781317985952"</f>
        <v>9781317985952</v>
      </c>
      <c r="K954" t="s">
        <v>1737</v>
      </c>
      <c r="L954">
        <v>10</v>
      </c>
      <c r="O954" t="s">
        <v>30</v>
      </c>
      <c r="P954" t="s">
        <v>50</v>
      </c>
      <c r="S954" t="s">
        <v>31</v>
      </c>
      <c r="U954">
        <v>394.12</v>
      </c>
      <c r="V954" s="3">
        <v>41530</v>
      </c>
    </row>
    <row r="955" spans="1:22" x14ac:dyDescent="0.35">
      <c r="A955" s="1">
        <v>42383.67659722222</v>
      </c>
      <c r="B955" s="2">
        <v>0</v>
      </c>
      <c r="C955" t="s">
        <v>1103</v>
      </c>
      <c r="D955" t="s">
        <v>23</v>
      </c>
      <c r="E955" t="s">
        <v>24</v>
      </c>
      <c r="F955" t="s">
        <v>1738</v>
      </c>
      <c r="G955">
        <v>1166802</v>
      </c>
      <c r="H955" t="s">
        <v>26</v>
      </c>
      <c r="I955" t="s">
        <v>120</v>
      </c>
      <c r="J955" t="str">
        <f>"9780745664507"</f>
        <v>9780745664507</v>
      </c>
      <c r="K955" t="s">
        <v>1739</v>
      </c>
      <c r="L955">
        <v>1</v>
      </c>
      <c r="O955" t="s">
        <v>30</v>
      </c>
      <c r="P955" t="s">
        <v>47</v>
      </c>
      <c r="Q955" s="1">
        <v>42383.67659722222</v>
      </c>
      <c r="R955">
        <v>1</v>
      </c>
      <c r="S955" t="s">
        <v>31</v>
      </c>
      <c r="T955" t="s">
        <v>1740</v>
      </c>
      <c r="U955">
        <v>305.3</v>
      </c>
      <c r="V955" s="3">
        <v>41367</v>
      </c>
    </row>
    <row r="956" spans="1:22" x14ac:dyDescent="0.35">
      <c r="A956" s="1">
        <v>42383.672083333331</v>
      </c>
      <c r="B956" s="2">
        <v>4.5138888888888893E-3</v>
      </c>
      <c r="C956" t="s">
        <v>1103</v>
      </c>
      <c r="D956" t="s">
        <v>23</v>
      </c>
      <c r="E956" t="s">
        <v>24</v>
      </c>
      <c r="F956" t="s">
        <v>1738</v>
      </c>
      <c r="G956">
        <v>1166802</v>
      </c>
      <c r="H956" t="s">
        <v>26</v>
      </c>
      <c r="I956" t="s">
        <v>120</v>
      </c>
      <c r="J956" t="str">
        <f>"9780745664507"</f>
        <v>9780745664507</v>
      </c>
      <c r="K956" t="s">
        <v>1741</v>
      </c>
      <c r="L956">
        <v>8</v>
      </c>
      <c r="O956" t="s">
        <v>30</v>
      </c>
      <c r="P956" t="s">
        <v>50</v>
      </c>
      <c r="S956" t="s">
        <v>31</v>
      </c>
      <c r="T956" t="s">
        <v>1740</v>
      </c>
      <c r="U956">
        <v>305.3</v>
      </c>
      <c r="V956" s="3">
        <v>41367</v>
      </c>
    </row>
    <row r="957" spans="1:22" x14ac:dyDescent="0.35">
      <c r="A957" s="1">
        <v>42383.671458333331</v>
      </c>
      <c r="B957" s="2">
        <v>3.3333333333333335E-3</v>
      </c>
      <c r="C957" t="s">
        <v>1103</v>
      </c>
      <c r="D957" t="s">
        <v>23</v>
      </c>
      <c r="E957" t="s">
        <v>24</v>
      </c>
      <c r="F957" t="s">
        <v>1742</v>
      </c>
      <c r="G957">
        <v>4029932</v>
      </c>
      <c r="H957" t="s">
        <v>26</v>
      </c>
      <c r="I957" t="s">
        <v>120</v>
      </c>
      <c r="J957" t="str">
        <f>"9780745687322"</f>
        <v>9780745687322</v>
      </c>
      <c r="K957" t="s">
        <v>1743</v>
      </c>
      <c r="L957">
        <v>14</v>
      </c>
      <c r="O957" t="s">
        <v>30</v>
      </c>
      <c r="P957" t="s">
        <v>50</v>
      </c>
      <c r="S957" t="s">
        <v>31</v>
      </c>
      <c r="U957">
        <v>305.3</v>
      </c>
      <c r="V957" s="3">
        <v>41983</v>
      </c>
    </row>
    <row r="958" spans="1:22" x14ac:dyDescent="0.35">
      <c r="A958" s="1">
        <v>42383.653622685182</v>
      </c>
      <c r="B958" s="2">
        <v>3.9583333333333337E-3</v>
      </c>
      <c r="C958" t="s">
        <v>1744</v>
      </c>
      <c r="D958" t="s">
        <v>211</v>
      </c>
      <c r="E958" t="s">
        <v>212</v>
      </c>
      <c r="F958" t="s">
        <v>625</v>
      </c>
      <c r="G958">
        <v>1566387</v>
      </c>
      <c r="H958" t="s">
        <v>26</v>
      </c>
      <c r="I958" t="s">
        <v>120</v>
      </c>
      <c r="J958" t="str">
        <f>"9781118471906"</f>
        <v>9781118471906</v>
      </c>
      <c r="K958" t="s">
        <v>1745</v>
      </c>
      <c r="L958">
        <v>16</v>
      </c>
      <c r="O958" t="s">
        <v>30</v>
      </c>
      <c r="P958" t="s">
        <v>42</v>
      </c>
      <c r="S958" t="s">
        <v>214</v>
      </c>
      <c r="T958" t="s">
        <v>628</v>
      </c>
      <c r="U958">
        <v>301</v>
      </c>
      <c r="V958" s="3">
        <v>41596</v>
      </c>
    </row>
    <row r="959" spans="1:22" x14ac:dyDescent="0.35">
      <c r="A959" s="1">
        <v>42383.640787037039</v>
      </c>
      <c r="B959" s="2">
        <v>1.9675925925925926E-4</v>
      </c>
      <c r="C959" t="s">
        <v>210</v>
      </c>
      <c r="D959" t="s">
        <v>211</v>
      </c>
      <c r="E959" t="s">
        <v>212</v>
      </c>
      <c r="F959" t="s">
        <v>1746</v>
      </c>
      <c r="G959">
        <v>4029438</v>
      </c>
      <c r="H959" t="s">
        <v>26</v>
      </c>
      <c r="I959" t="s">
        <v>120</v>
      </c>
      <c r="J959" t="str">
        <f>"9780745654966"</f>
        <v>9780745654966</v>
      </c>
      <c r="K959" t="s">
        <v>1747</v>
      </c>
      <c r="L959">
        <v>18</v>
      </c>
      <c r="O959" t="s">
        <v>30</v>
      </c>
      <c r="P959" t="s">
        <v>50</v>
      </c>
      <c r="S959" t="s">
        <v>214</v>
      </c>
      <c r="T959" t="s">
        <v>1748</v>
      </c>
      <c r="U959">
        <v>306</v>
      </c>
      <c r="V959" s="3">
        <v>41389</v>
      </c>
    </row>
    <row r="960" spans="1:22" x14ac:dyDescent="0.35">
      <c r="A960" s="1">
        <v>42383.638078703705</v>
      </c>
      <c r="B960" s="2">
        <v>7.4583333333333335E-2</v>
      </c>
      <c r="C960" t="s">
        <v>471</v>
      </c>
      <c r="D960" t="s">
        <v>211</v>
      </c>
      <c r="E960" t="s">
        <v>212</v>
      </c>
      <c r="F960" t="s">
        <v>497</v>
      </c>
      <c r="G960">
        <v>1986951</v>
      </c>
      <c r="H960" t="s">
        <v>26</v>
      </c>
      <c r="I960" t="s">
        <v>97</v>
      </c>
      <c r="J960" t="str">
        <f>"9781119130468"</f>
        <v>9781119130468</v>
      </c>
      <c r="K960" t="s">
        <v>1749</v>
      </c>
      <c r="L960">
        <v>23</v>
      </c>
      <c r="M960" t="s">
        <v>1750</v>
      </c>
      <c r="O960" t="s">
        <v>30</v>
      </c>
      <c r="P960" t="s">
        <v>29</v>
      </c>
      <c r="Q960" s="1">
        <v>42377.845729166664</v>
      </c>
      <c r="R960">
        <v>7</v>
      </c>
      <c r="S960" t="s">
        <v>214</v>
      </c>
      <c r="T960" t="s">
        <v>500</v>
      </c>
      <c r="U960">
        <v>657.07600000000002</v>
      </c>
      <c r="V960" s="3">
        <v>42143</v>
      </c>
    </row>
    <row r="961" spans="1:22" x14ac:dyDescent="0.35">
      <c r="A961" s="1">
        <v>42383.63789351852</v>
      </c>
      <c r="B961" s="2">
        <v>3.4722222222222222E-5</v>
      </c>
      <c r="C961" t="s">
        <v>320</v>
      </c>
      <c r="D961" t="s">
        <v>23</v>
      </c>
      <c r="E961" t="s">
        <v>24</v>
      </c>
      <c r="F961" t="s">
        <v>1051</v>
      </c>
      <c r="G961">
        <v>821663</v>
      </c>
      <c r="H961" t="s">
        <v>26</v>
      </c>
      <c r="I961" t="s">
        <v>200</v>
      </c>
      <c r="J961" t="str">
        <f>"9781118168479"</f>
        <v>9781118168479</v>
      </c>
      <c r="K961" t="s">
        <v>33</v>
      </c>
      <c r="L961">
        <v>3</v>
      </c>
      <c r="O961" t="s">
        <v>30</v>
      </c>
      <c r="P961" t="s">
        <v>42</v>
      </c>
      <c r="S961" t="s">
        <v>31</v>
      </c>
      <c r="T961" t="s">
        <v>1053</v>
      </c>
      <c r="U961">
        <v>729</v>
      </c>
      <c r="V961" s="3">
        <v>40973</v>
      </c>
    </row>
    <row r="962" spans="1:22" x14ac:dyDescent="0.35">
      <c r="A962" s="1">
        <v>42383.63490740741</v>
      </c>
      <c r="B962" s="2">
        <v>9.3287037037037036E-3</v>
      </c>
      <c r="C962" t="s">
        <v>1751</v>
      </c>
      <c r="D962" t="s">
        <v>23</v>
      </c>
      <c r="E962" t="s">
        <v>24</v>
      </c>
      <c r="F962" t="s">
        <v>1752</v>
      </c>
      <c r="G962">
        <v>1887116</v>
      </c>
      <c r="H962" t="s">
        <v>26</v>
      </c>
      <c r="I962" t="s">
        <v>150</v>
      </c>
      <c r="J962" t="str">
        <f>"9781118885413"</f>
        <v>9781118885413</v>
      </c>
      <c r="K962" t="s">
        <v>1753</v>
      </c>
      <c r="L962">
        <v>93</v>
      </c>
      <c r="O962" t="s">
        <v>30</v>
      </c>
      <c r="P962" t="s">
        <v>47</v>
      </c>
      <c r="Q962" s="1">
        <v>42383.63490740741</v>
      </c>
      <c r="R962">
        <v>1</v>
      </c>
      <c r="S962" t="s">
        <v>31</v>
      </c>
      <c r="T962" t="s">
        <v>1754</v>
      </c>
      <c r="U962">
        <v>709.37</v>
      </c>
      <c r="V962" s="3">
        <v>41977</v>
      </c>
    </row>
    <row r="963" spans="1:22" x14ac:dyDescent="0.35">
      <c r="A963" s="1">
        <v>42383.631562499999</v>
      </c>
      <c r="B963" s="2">
        <v>4.4803240740740741E-2</v>
      </c>
      <c r="C963" t="s">
        <v>1755</v>
      </c>
      <c r="D963" t="s">
        <v>35</v>
      </c>
      <c r="E963" t="s">
        <v>36</v>
      </c>
      <c r="F963" t="s">
        <v>327</v>
      </c>
      <c r="G963">
        <v>1691426</v>
      </c>
      <c r="H963" t="s">
        <v>26</v>
      </c>
      <c r="I963" t="s">
        <v>328</v>
      </c>
      <c r="J963" t="str">
        <f>"9781118839492"</f>
        <v>9781118839492</v>
      </c>
      <c r="K963" t="s">
        <v>1756</v>
      </c>
      <c r="L963">
        <v>88</v>
      </c>
      <c r="O963" t="s">
        <v>30</v>
      </c>
      <c r="P963" t="s">
        <v>29</v>
      </c>
      <c r="Q963" s="1">
        <v>42382.053344907406</v>
      </c>
      <c r="R963">
        <v>7</v>
      </c>
      <c r="S963" t="s">
        <v>40</v>
      </c>
      <c r="T963" t="s">
        <v>331</v>
      </c>
      <c r="U963">
        <v>613.70460000000003</v>
      </c>
      <c r="V963" s="3">
        <v>41772</v>
      </c>
    </row>
    <row r="964" spans="1:22" x14ac:dyDescent="0.35">
      <c r="A964" s="1">
        <v>42383.631423611114</v>
      </c>
      <c r="B964" s="2">
        <v>3.483796296296296E-3</v>
      </c>
      <c r="C964" t="s">
        <v>1751</v>
      </c>
      <c r="D964" t="s">
        <v>23</v>
      </c>
      <c r="E964" t="s">
        <v>24</v>
      </c>
      <c r="F964" t="s">
        <v>1752</v>
      </c>
      <c r="G964">
        <v>1887116</v>
      </c>
      <c r="H964" t="s">
        <v>26</v>
      </c>
      <c r="I964" t="s">
        <v>150</v>
      </c>
      <c r="J964" t="str">
        <f>"9781118885413"</f>
        <v>9781118885413</v>
      </c>
      <c r="K964" t="s">
        <v>1757</v>
      </c>
      <c r="L964">
        <v>33</v>
      </c>
      <c r="O964" t="s">
        <v>30</v>
      </c>
      <c r="P964" t="s">
        <v>50</v>
      </c>
      <c r="S964" t="s">
        <v>31</v>
      </c>
      <c r="T964" t="s">
        <v>1754</v>
      </c>
      <c r="U964">
        <v>709.37</v>
      </c>
      <c r="V964" s="3">
        <v>41977</v>
      </c>
    </row>
    <row r="965" spans="1:22" x14ac:dyDescent="0.35">
      <c r="A965" s="1">
        <v>42383.629988425928</v>
      </c>
      <c r="B965" s="2">
        <v>4.6296296296296294E-5</v>
      </c>
      <c r="C965" t="s">
        <v>1751</v>
      </c>
      <c r="D965" t="s">
        <v>23</v>
      </c>
      <c r="E965" t="s">
        <v>24</v>
      </c>
      <c r="F965" t="s">
        <v>1758</v>
      </c>
      <c r="G965">
        <v>4039553</v>
      </c>
      <c r="H965" t="s">
        <v>26</v>
      </c>
      <c r="I965" t="s">
        <v>150</v>
      </c>
      <c r="J965" t="str">
        <f>"9781118886045"</f>
        <v>9781118886045</v>
      </c>
      <c r="K965" t="s">
        <v>33</v>
      </c>
      <c r="L965">
        <v>3</v>
      </c>
      <c r="O965" t="s">
        <v>30</v>
      </c>
      <c r="P965" t="s">
        <v>42</v>
      </c>
      <c r="S965" t="s">
        <v>31</v>
      </c>
      <c r="T965" t="s">
        <v>1759</v>
      </c>
      <c r="U965">
        <v>709.37</v>
      </c>
      <c r="V965" s="3">
        <v>42256</v>
      </c>
    </row>
    <row r="966" spans="1:22" x14ac:dyDescent="0.35">
      <c r="A966" s="1">
        <v>42383.622812499998</v>
      </c>
      <c r="B966" s="2">
        <v>6.238425925925925E-3</v>
      </c>
      <c r="C966" t="s">
        <v>1760</v>
      </c>
      <c r="D966" t="s">
        <v>23</v>
      </c>
      <c r="E966" t="s">
        <v>24</v>
      </c>
      <c r="F966" t="s">
        <v>1761</v>
      </c>
      <c r="G966">
        <v>4037303</v>
      </c>
      <c r="H966" t="s">
        <v>26</v>
      </c>
      <c r="I966" t="s">
        <v>247</v>
      </c>
      <c r="J966" t="str">
        <f>"9781118655184"</f>
        <v>9781118655184</v>
      </c>
      <c r="K966" t="s">
        <v>1762</v>
      </c>
      <c r="L966">
        <v>42</v>
      </c>
      <c r="O966" t="s">
        <v>30</v>
      </c>
      <c r="P966" t="s">
        <v>29</v>
      </c>
      <c r="Q966" s="1">
        <v>42383.622812499998</v>
      </c>
      <c r="R966">
        <v>7</v>
      </c>
      <c r="S966" t="s">
        <v>31</v>
      </c>
      <c r="T966" t="s">
        <v>1763</v>
      </c>
      <c r="U966" t="s">
        <v>1764</v>
      </c>
      <c r="V966" s="3">
        <v>42261</v>
      </c>
    </row>
    <row r="967" spans="1:22" x14ac:dyDescent="0.35">
      <c r="A967" s="1">
        <v>42383.61818287037</v>
      </c>
      <c r="B967" s="2">
        <v>4.6180555555555558E-3</v>
      </c>
      <c r="C967" t="s">
        <v>1760</v>
      </c>
      <c r="D967" t="s">
        <v>23</v>
      </c>
      <c r="E967" t="s">
        <v>24</v>
      </c>
      <c r="F967" t="s">
        <v>1761</v>
      </c>
      <c r="G967">
        <v>4037303</v>
      </c>
      <c r="H967" t="s">
        <v>26</v>
      </c>
      <c r="I967" t="s">
        <v>247</v>
      </c>
      <c r="J967" t="str">
        <f>"9781118655184"</f>
        <v>9781118655184</v>
      </c>
      <c r="K967" t="s">
        <v>1765</v>
      </c>
      <c r="L967">
        <v>32</v>
      </c>
      <c r="O967" t="s">
        <v>30</v>
      </c>
      <c r="P967" t="s">
        <v>50</v>
      </c>
      <c r="S967" t="s">
        <v>31</v>
      </c>
      <c r="T967" t="s">
        <v>1763</v>
      </c>
      <c r="U967" t="s">
        <v>1764</v>
      </c>
      <c r="V967" s="3">
        <v>42261</v>
      </c>
    </row>
    <row r="968" spans="1:22" x14ac:dyDescent="0.35">
      <c r="A968" s="1">
        <v>42383.585775462961</v>
      </c>
      <c r="B968" s="2">
        <v>1.3657407407407409E-3</v>
      </c>
      <c r="C968" t="s">
        <v>1713</v>
      </c>
      <c r="D968" t="s">
        <v>23</v>
      </c>
      <c r="E968" t="s">
        <v>24</v>
      </c>
      <c r="F968" t="s">
        <v>1714</v>
      </c>
      <c r="G968">
        <v>1711060</v>
      </c>
      <c r="H968" t="s">
        <v>84</v>
      </c>
      <c r="I968" t="s">
        <v>120</v>
      </c>
      <c r="J968" t="str">
        <f>"9780520960091"</f>
        <v>9780520960091</v>
      </c>
      <c r="K968" t="s">
        <v>1766</v>
      </c>
      <c r="L968">
        <v>54</v>
      </c>
      <c r="O968" t="s">
        <v>30</v>
      </c>
      <c r="P968" t="s">
        <v>50</v>
      </c>
      <c r="S968" t="s">
        <v>31</v>
      </c>
      <c r="T968" t="s">
        <v>1716</v>
      </c>
      <c r="U968">
        <v>364.4</v>
      </c>
      <c r="V968" s="3">
        <v>42020</v>
      </c>
    </row>
    <row r="969" spans="1:22" x14ac:dyDescent="0.35">
      <c r="A969" s="1">
        <v>42383.502974537034</v>
      </c>
      <c r="B969" s="2">
        <v>2.9062500000000002E-2</v>
      </c>
      <c r="C969" t="s">
        <v>1653</v>
      </c>
      <c r="D969" t="s">
        <v>35</v>
      </c>
      <c r="E969" t="s">
        <v>36</v>
      </c>
      <c r="F969" t="s">
        <v>327</v>
      </c>
      <c r="G969">
        <v>1691426</v>
      </c>
      <c r="H969" t="s">
        <v>26</v>
      </c>
      <c r="I969" t="s">
        <v>328</v>
      </c>
      <c r="J969" t="str">
        <f>"9781118839492"</f>
        <v>9781118839492</v>
      </c>
      <c r="K969" t="s">
        <v>1767</v>
      </c>
      <c r="L969">
        <v>137</v>
      </c>
      <c r="O969" t="s">
        <v>30</v>
      </c>
      <c r="P969" t="s">
        <v>29</v>
      </c>
      <c r="Q969" s="1">
        <v>42377.075231481482</v>
      </c>
      <c r="R969">
        <v>7</v>
      </c>
      <c r="S969" t="s">
        <v>40</v>
      </c>
      <c r="T969" t="s">
        <v>331</v>
      </c>
      <c r="U969">
        <v>613.70460000000003</v>
      </c>
      <c r="V969" s="3">
        <v>41772</v>
      </c>
    </row>
    <row r="970" spans="1:22" x14ac:dyDescent="0.35">
      <c r="A970" s="1">
        <v>42383.182557870372</v>
      </c>
      <c r="B970" s="2">
        <v>2.7662037037037034E-3</v>
      </c>
      <c r="C970" t="s">
        <v>992</v>
      </c>
      <c r="D970" t="s">
        <v>35</v>
      </c>
      <c r="E970" t="s">
        <v>36</v>
      </c>
      <c r="F970" t="s">
        <v>327</v>
      </c>
      <c r="G970">
        <v>1691426</v>
      </c>
      <c r="H970" t="s">
        <v>26</v>
      </c>
      <c r="I970" t="s">
        <v>328</v>
      </c>
      <c r="J970" t="str">
        <f>"9781118839492"</f>
        <v>9781118839492</v>
      </c>
      <c r="K970" t="s">
        <v>1768</v>
      </c>
      <c r="L970">
        <v>37</v>
      </c>
      <c r="O970" t="s">
        <v>30</v>
      </c>
      <c r="P970" t="s">
        <v>42</v>
      </c>
      <c r="S970" t="s">
        <v>40</v>
      </c>
      <c r="T970" t="s">
        <v>331</v>
      </c>
      <c r="U970">
        <v>613.70460000000003</v>
      </c>
      <c r="V970" s="3">
        <v>41772</v>
      </c>
    </row>
    <row r="971" spans="1:22" x14ac:dyDescent="0.35">
      <c r="A971" s="1">
        <v>42383.172453703701</v>
      </c>
      <c r="B971" s="2">
        <v>6.2847222222222221E-2</v>
      </c>
      <c r="C971" t="s">
        <v>1411</v>
      </c>
      <c r="D971" t="s">
        <v>35</v>
      </c>
      <c r="E971" t="s">
        <v>36</v>
      </c>
      <c r="F971" t="s">
        <v>327</v>
      </c>
      <c r="G971">
        <v>1691426</v>
      </c>
      <c r="H971" t="s">
        <v>26</v>
      </c>
      <c r="I971" t="s">
        <v>328</v>
      </c>
      <c r="J971" t="str">
        <f>"9781118839492"</f>
        <v>9781118839492</v>
      </c>
      <c r="K971" t="s">
        <v>1769</v>
      </c>
      <c r="L971">
        <v>45</v>
      </c>
      <c r="O971" t="s">
        <v>30</v>
      </c>
      <c r="P971" t="s">
        <v>29</v>
      </c>
      <c r="Q971" s="1">
        <v>42377.646331018521</v>
      </c>
      <c r="R971">
        <v>7</v>
      </c>
      <c r="S971" t="s">
        <v>40</v>
      </c>
      <c r="T971" t="s">
        <v>331</v>
      </c>
      <c r="U971">
        <v>613.70460000000003</v>
      </c>
      <c r="V971" s="3">
        <v>41772</v>
      </c>
    </row>
    <row r="972" spans="1:22" x14ac:dyDescent="0.35">
      <c r="A972" s="1">
        <v>42383.061157407406</v>
      </c>
      <c r="B972" s="2">
        <v>6.2627314814814816E-2</v>
      </c>
      <c r="C972" t="s">
        <v>1680</v>
      </c>
      <c r="D972" t="s">
        <v>35</v>
      </c>
      <c r="E972" t="s">
        <v>36</v>
      </c>
      <c r="F972" t="s">
        <v>327</v>
      </c>
      <c r="G972">
        <v>1691426</v>
      </c>
      <c r="H972" t="s">
        <v>26</v>
      </c>
      <c r="I972" t="s">
        <v>328</v>
      </c>
      <c r="J972" t="str">
        <f>"9781118839492"</f>
        <v>9781118839492</v>
      </c>
      <c r="K972" t="s">
        <v>1770</v>
      </c>
      <c r="L972">
        <v>48</v>
      </c>
      <c r="O972" t="s">
        <v>30</v>
      </c>
      <c r="P972" t="s">
        <v>29</v>
      </c>
      <c r="Q972" s="1">
        <v>42381.0390162037</v>
      </c>
      <c r="R972">
        <v>7</v>
      </c>
      <c r="S972" t="s">
        <v>40</v>
      </c>
      <c r="T972" t="s">
        <v>331</v>
      </c>
      <c r="U972">
        <v>613.70460000000003</v>
      </c>
      <c r="V972" s="3">
        <v>41772</v>
      </c>
    </row>
    <row r="973" spans="1:22" x14ac:dyDescent="0.35">
      <c r="A973" s="1">
        <v>42383.056620370371</v>
      </c>
      <c r="B973" s="2">
        <v>1.4351851851851854E-3</v>
      </c>
      <c r="C973" t="s">
        <v>1771</v>
      </c>
      <c r="D973" t="s">
        <v>23</v>
      </c>
      <c r="E973" t="s">
        <v>24</v>
      </c>
      <c r="F973" t="s">
        <v>1440</v>
      </c>
      <c r="G973">
        <v>871501</v>
      </c>
      <c r="H973" t="s">
        <v>26</v>
      </c>
      <c r="I973" t="s">
        <v>310</v>
      </c>
      <c r="J973" t="str">
        <f>"9781118231760"</f>
        <v>9781118231760</v>
      </c>
      <c r="K973" t="s">
        <v>1772</v>
      </c>
      <c r="L973">
        <v>16</v>
      </c>
      <c r="O973" t="s">
        <v>30</v>
      </c>
      <c r="P973" t="s">
        <v>42</v>
      </c>
      <c r="S973" t="s">
        <v>31</v>
      </c>
      <c r="T973" t="s">
        <v>1441</v>
      </c>
      <c r="U973" t="s">
        <v>1442</v>
      </c>
      <c r="V973" s="3">
        <v>40969</v>
      </c>
    </row>
    <row r="974" spans="1:22" x14ac:dyDescent="0.35">
      <c r="A974" s="1">
        <v>42383.027754629627</v>
      </c>
      <c r="B974" s="2">
        <v>0</v>
      </c>
      <c r="C974" t="s">
        <v>1744</v>
      </c>
      <c r="D974" t="s">
        <v>211</v>
      </c>
      <c r="E974" t="s">
        <v>212</v>
      </c>
      <c r="F974" t="s">
        <v>1773</v>
      </c>
      <c r="G974">
        <v>1768753</v>
      </c>
      <c r="H974" t="s">
        <v>91</v>
      </c>
      <c r="I974" t="s">
        <v>120</v>
      </c>
      <c r="J974" t="str">
        <f>"9781462518371"</f>
        <v>9781462518371</v>
      </c>
      <c r="L974">
        <v>0</v>
      </c>
      <c r="N974" t="s">
        <v>1774</v>
      </c>
      <c r="O974" t="s">
        <v>28</v>
      </c>
      <c r="P974" t="s">
        <v>29</v>
      </c>
      <c r="Q974" s="1">
        <v>42380.662037037036</v>
      </c>
      <c r="R974">
        <v>7</v>
      </c>
      <c r="S974" t="s">
        <v>214</v>
      </c>
      <c r="T974" t="s">
        <v>1775</v>
      </c>
      <c r="U974" t="s">
        <v>1776</v>
      </c>
      <c r="V974" s="3">
        <v>41953</v>
      </c>
    </row>
    <row r="975" spans="1:22" x14ac:dyDescent="0.35">
      <c r="A975" s="1">
        <v>42383.026678240742</v>
      </c>
      <c r="B975" s="2">
        <v>6.4814814814814813E-4</v>
      </c>
      <c r="C975" t="s">
        <v>1744</v>
      </c>
      <c r="D975" t="s">
        <v>211</v>
      </c>
      <c r="E975" t="s">
        <v>212</v>
      </c>
      <c r="F975" t="s">
        <v>1773</v>
      </c>
      <c r="G975">
        <v>1768753</v>
      </c>
      <c r="H975" t="s">
        <v>91</v>
      </c>
      <c r="I975" t="s">
        <v>120</v>
      </c>
      <c r="J975" t="str">
        <f>"9781462518371"</f>
        <v>9781462518371</v>
      </c>
      <c r="K975" t="s">
        <v>1777</v>
      </c>
      <c r="L975">
        <v>4</v>
      </c>
      <c r="O975" t="s">
        <v>28</v>
      </c>
      <c r="P975" t="s">
        <v>29</v>
      </c>
      <c r="Q975" s="1">
        <v>42380.662037037036</v>
      </c>
      <c r="R975">
        <v>7</v>
      </c>
      <c r="S975" t="s">
        <v>214</v>
      </c>
      <c r="T975" t="s">
        <v>1775</v>
      </c>
      <c r="U975" t="s">
        <v>1776</v>
      </c>
      <c r="V975" s="3">
        <v>41953</v>
      </c>
    </row>
    <row r="976" spans="1:22" x14ac:dyDescent="0.35">
      <c r="A976" s="1">
        <v>42383.022951388892</v>
      </c>
      <c r="B976" s="2">
        <v>3.3912037037037036E-3</v>
      </c>
      <c r="C976" t="s">
        <v>1744</v>
      </c>
      <c r="D976" t="s">
        <v>211</v>
      </c>
      <c r="E976" t="s">
        <v>212</v>
      </c>
      <c r="F976" t="s">
        <v>1773</v>
      </c>
      <c r="G976">
        <v>1768753</v>
      </c>
      <c r="H976" t="s">
        <v>91</v>
      </c>
      <c r="I976" t="s">
        <v>120</v>
      </c>
      <c r="J976" t="str">
        <f>"9781462518371"</f>
        <v>9781462518371</v>
      </c>
      <c r="K976" t="s">
        <v>1778</v>
      </c>
      <c r="L976">
        <v>43</v>
      </c>
      <c r="O976" t="s">
        <v>30</v>
      </c>
      <c r="P976" t="s">
        <v>29</v>
      </c>
      <c r="Q976" s="1">
        <v>42380.662037037036</v>
      </c>
      <c r="R976">
        <v>7</v>
      </c>
      <c r="S976" t="s">
        <v>214</v>
      </c>
      <c r="T976" t="s">
        <v>1775</v>
      </c>
      <c r="U976" t="s">
        <v>1776</v>
      </c>
      <c r="V976" s="3">
        <v>41953</v>
      </c>
    </row>
    <row r="977" spans="1:22" x14ac:dyDescent="0.35">
      <c r="A977" s="1">
        <v>42383.013993055552</v>
      </c>
      <c r="B977" s="2">
        <v>2.1296296296296298E-3</v>
      </c>
      <c r="C977" t="s">
        <v>988</v>
      </c>
      <c r="D977" t="s">
        <v>23</v>
      </c>
      <c r="E977" t="s">
        <v>24</v>
      </c>
      <c r="F977" t="s">
        <v>989</v>
      </c>
      <c r="G977">
        <v>330580</v>
      </c>
      <c r="H977" t="s">
        <v>91</v>
      </c>
      <c r="I977" t="s">
        <v>247</v>
      </c>
      <c r="J977" t="str">
        <f>"9781593859398"</f>
        <v>9781593859398</v>
      </c>
      <c r="K977" t="s">
        <v>1779</v>
      </c>
      <c r="L977">
        <v>49</v>
      </c>
      <c r="O977" t="s">
        <v>30</v>
      </c>
      <c r="P977" t="s">
        <v>29</v>
      </c>
      <c r="Q977" s="1">
        <v>42383.004756944443</v>
      </c>
      <c r="R977">
        <v>7</v>
      </c>
      <c r="S977" t="s">
        <v>31</v>
      </c>
      <c r="T977" t="s">
        <v>991</v>
      </c>
      <c r="U977">
        <v>616.89142000000004</v>
      </c>
      <c r="V977" s="3">
        <v>41773</v>
      </c>
    </row>
    <row r="978" spans="1:22" x14ac:dyDescent="0.35">
      <c r="A978" s="1">
        <v>42383.011331018519</v>
      </c>
      <c r="B978" s="2">
        <v>2.685185185185185E-3</v>
      </c>
      <c r="C978" t="s">
        <v>1780</v>
      </c>
      <c r="D978" t="s">
        <v>35</v>
      </c>
      <c r="E978" t="s">
        <v>36</v>
      </c>
      <c r="F978" t="s">
        <v>1781</v>
      </c>
      <c r="G978">
        <v>474540</v>
      </c>
      <c r="H978" t="s">
        <v>68</v>
      </c>
      <c r="I978" t="s">
        <v>150</v>
      </c>
      <c r="J978" t="str">
        <f>"9781410604910"</f>
        <v>9781410604910</v>
      </c>
      <c r="K978" t="s">
        <v>889</v>
      </c>
      <c r="L978">
        <v>6</v>
      </c>
      <c r="O978" t="s">
        <v>30</v>
      </c>
      <c r="P978" t="s">
        <v>50</v>
      </c>
      <c r="S978" t="s">
        <v>40</v>
      </c>
      <c r="T978" t="s">
        <v>1782</v>
      </c>
      <c r="U978" t="s">
        <v>1783</v>
      </c>
      <c r="V978" s="3">
        <v>41522</v>
      </c>
    </row>
    <row r="979" spans="1:22" x14ac:dyDescent="0.35">
      <c r="A979" s="1">
        <v>42383.004756944443</v>
      </c>
      <c r="B979" s="2">
        <v>8.2754629629629619E-3</v>
      </c>
      <c r="C979" t="s">
        <v>988</v>
      </c>
      <c r="D979" t="s">
        <v>23</v>
      </c>
      <c r="E979" t="s">
        <v>24</v>
      </c>
      <c r="F979" t="s">
        <v>989</v>
      </c>
      <c r="G979">
        <v>330580</v>
      </c>
      <c r="H979" t="s">
        <v>91</v>
      </c>
      <c r="I979" t="s">
        <v>247</v>
      </c>
      <c r="J979" t="str">
        <f>"9781593859398"</f>
        <v>9781593859398</v>
      </c>
      <c r="K979" t="s">
        <v>1784</v>
      </c>
      <c r="L979">
        <v>13</v>
      </c>
      <c r="O979" t="s">
        <v>30</v>
      </c>
      <c r="P979" t="s">
        <v>29</v>
      </c>
      <c r="Q979" s="1">
        <v>42383.004756944443</v>
      </c>
      <c r="R979">
        <v>7</v>
      </c>
      <c r="S979" t="s">
        <v>31</v>
      </c>
      <c r="T979" t="s">
        <v>991</v>
      </c>
      <c r="U979">
        <v>616.89142000000004</v>
      </c>
      <c r="V979" s="3">
        <v>41773</v>
      </c>
    </row>
    <row r="980" spans="1:22" x14ac:dyDescent="0.35">
      <c r="A980" s="1">
        <v>42383.001215277778</v>
      </c>
      <c r="B980" s="2">
        <v>3.5416666666666665E-3</v>
      </c>
      <c r="C980" t="s">
        <v>988</v>
      </c>
      <c r="D980" t="s">
        <v>23</v>
      </c>
      <c r="E980" t="s">
        <v>24</v>
      </c>
      <c r="F980" t="s">
        <v>989</v>
      </c>
      <c r="G980">
        <v>330580</v>
      </c>
      <c r="H980" t="s">
        <v>91</v>
      </c>
      <c r="I980" t="s">
        <v>247</v>
      </c>
      <c r="J980" t="str">
        <f>"9781593859398"</f>
        <v>9781593859398</v>
      </c>
      <c r="K980" t="s">
        <v>1785</v>
      </c>
      <c r="L980">
        <v>21</v>
      </c>
      <c r="O980" t="s">
        <v>30</v>
      </c>
      <c r="P980" t="s">
        <v>50</v>
      </c>
      <c r="S980" t="s">
        <v>31</v>
      </c>
      <c r="T980" t="s">
        <v>991</v>
      </c>
      <c r="U980">
        <v>616.89142000000004</v>
      </c>
      <c r="V980" s="3">
        <v>41773</v>
      </c>
    </row>
    <row r="981" spans="1:22" x14ac:dyDescent="0.35">
      <c r="A981" s="1">
        <v>42382.988761574074</v>
      </c>
      <c r="B981" s="2">
        <v>2.3611111111111111E-3</v>
      </c>
      <c r="C981" t="s">
        <v>1786</v>
      </c>
      <c r="D981" t="s">
        <v>1222</v>
      </c>
      <c r="E981" t="s">
        <v>1223</v>
      </c>
      <c r="F981" t="s">
        <v>1787</v>
      </c>
      <c r="G981">
        <v>1815426</v>
      </c>
      <c r="H981" t="s">
        <v>91</v>
      </c>
      <c r="I981" t="s">
        <v>69</v>
      </c>
      <c r="J981" t="str">
        <f>"9781462519781"</f>
        <v>9781462519781</v>
      </c>
      <c r="K981" t="s">
        <v>1788</v>
      </c>
      <c r="L981">
        <v>46</v>
      </c>
      <c r="O981" t="s">
        <v>30</v>
      </c>
      <c r="P981" t="s">
        <v>50</v>
      </c>
      <c r="S981" t="s">
        <v>1226</v>
      </c>
      <c r="T981" t="s">
        <v>1789</v>
      </c>
      <c r="U981">
        <v>372.47</v>
      </c>
      <c r="V981" s="3">
        <v>42039</v>
      </c>
    </row>
    <row r="982" spans="1:22" x14ac:dyDescent="0.35">
      <c r="A982" s="1">
        <v>42382.982592592591</v>
      </c>
      <c r="B982" s="2">
        <v>4.9768518518518521E-4</v>
      </c>
      <c r="C982" t="s">
        <v>1786</v>
      </c>
      <c r="D982" t="s">
        <v>1222</v>
      </c>
      <c r="E982" t="s">
        <v>1223</v>
      </c>
      <c r="F982" t="s">
        <v>1790</v>
      </c>
      <c r="G982">
        <v>1760710</v>
      </c>
      <c r="H982" t="s">
        <v>91</v>
      </c>
      <c r="I982" t="s">
        <v>69</v>
      </c>
      <c r="J982" t="str">
        <f>"9781462516865"</f>
        <v>9781462516865</v>
      </c>
      <c r="K982" t="s">
        <v>1791</v>
      </c>
      <c r="L982">
        <v>14</v>
      </c>
      <c r="O982" t="s">
        <v>30</v>
      </c>
      <c r="P982" t="s">
        <v>50</v>
      </c>
      <c r="S982" t="s">
        <v>1226</v>
      </c>
      <c r="T982" t="s">
        <v>1792</v>
      </c>
      <c r="U982">
        <v>372.41</v>
      </c>
      <c r="V982" s="3">
        <v>41941</v>
      </c>
    </row>
    <row r="983" spans="1:22" x14ac:dyDescent="0.35">
      <c r="A983" s="1">
        <v>42382.954606481479</v>
      </c>
      <c r="B983" s="2">
        <v>7.2222222222222228E-3</v>
      </c>
      <c r="C983" t="s">
        <v>1744</v>
      </c>
      <c r="D983" t="s">
        <v>211</v>
      </c>
      <c r="E983" t="s">
        <v>212</v>
      </c>
      <c r="F983" t="s">
        <v>1773</v>
      </c>
      <c r="G983">
        <v>1768753</v>
      </c>
      <c r="H983" t="s">
        <v>91</v>
      </c>
      <c r="I983" t="s">
        <v>120</v>
      </c>
      <c r="J983" t="str">
        <f>"9781462518371"</f>
        <v>9781462518371</v>
      </c>
      <c r="K983" t="s">
        <v>1793</v>
      </c>
      <c r="L983">
        <v>17</v>
      </c>
      <c r="O983" t="s">
        <v>30</v>
      </c>
      <c r="P983" t="s">
        <v>29</v>
      </c>
      <c r="Q983" s="1">
        <v>42380.662037037036</v>
      </c>
      <c r="R983">
        <v>7</v>
      </c>
      <c r="S983" t="s">
        <v>214</v>
      </c>
      <c r="T983" t="s">
        <v>1775</v>
      </c>
      <c r="U983" t="s">
        <v>1776</v>
      </c>
      <c r="V983" s="3">
        <v>41953</v>
      </c>
    </row>
    <row r="984" spans="1:22" x14ac:dyDescent="0.35">
      <c r="A984" s="1">
        <v>42382.931006944447</v>
      </c>
      <c r="B984" s="2">
        <v>1.6203703703703703E-4</v>
      </c>
      <c r="C984" t="s">
        <v>1794</v>
      </c>
      <c r="D984" t="s">
        <v>23</v>
      </c>
      <c r="E984" t="s">
        <v>24</v>
      </c>
      <c r="F984" t="s">
        <v>1795</v>
      </c>
      <c r="G984">
        <v>1273176</v>
      </c>
      <c r="H984" t="s">
        <v>68</v>
      </c>
      <c r="I984" t="s">
        <v>150</v>
      </c>
      <c r="J984" t="str">
        <f>"9781136477225"</f>
        <v>9781136477225</v>
      </c>
      <c r="K984" t="s">
        <v>1796</v>
      </c>
      <c r="L984">
        <v>8</v>
      </c>
      <c r="O984" t="s">
        <v>30</v>
      </c>
      <c r="P984" t="s">
        <v>47</v>
      </c>
      <c r="Q984" s="1">
        <v>42382.931006944447</v>
      </c>
      <c r="R984">
        <v>1</v>
      </c>
      <c r="S984" t="s">
        <v>31</v>
      </c>
      <c r="T984" t="s">
        <v>1797</v>
      </c>
      <c r="U984">
        <v>741.6</v>
      </c>
      <c r="V984" s="3">
        <v>41459</v>
      </c>
    </row>
    <row r="985" spans="1:22" x14ac:dyDescent="0.35">
      <c r="A985" s="1">
        <v>42382.927511574075</v>
      </c>
      <c r="B985" s="2">
        <v>3.4953703703703705E-3</v>
      </c>
      <c r="C985" t="s">
        <v>1794</v>
      </c>
      <c r="D985" t="s">
        <v>23</v>
      </c>
      <c r="E985" t="s">
        <v>24</v>
      </c>
      <c r="F985" t="s">
        <v>1795</v>
      </c>
      <c r="G985">
        <v>1273176</v>
      </c>
      <c r="H985" t="s">
        <v>68</v>
      </c>
      <c r="I985" t="s">
        <v>150</v>
      </c>
      <c r="J985" t="str">
        <f>"9781136477225"</f>
        <v>9781136477225</v>
      </c>
      <c r="K985" t="s">
        <v>1798</v>
      </c>
      <c r="L985">
        <v>67</v>
      </c>
      <c r="O985" t="s">
        <v>30</v>
      </c>
      <c r="P985" t="s">
        <v>50</v>
      </c>
      <c r="S985" t="s">
        <v>31</v>
      </c>
      <c r="T985" t="s">
        <v>1797</v>
      </c>
      <c r="U985">
        <v>741.6</v>
      </c>
      <c r="V985" s="3">
        <v>41459</v>
      </c>
    </row>
    <row r="986" spans="1:22" x14ac:dyDescent="0.35">
      <c r="A986" s="1">
        <v>42382.866793981484</v>
      </c>
      <c r="B986" s="2">
        <v>3.4722222222222222E-5</v>
      </c>
      <c r="C986" t="s">
        <v>1799</v>
      </c>
      <c r="D986" t="s">
        <v>23</v>
      </c>
      <c r="E986" t="s">
        <v>24</v>
      </c>
      <c r="F986" t="s">
        <v>83</v>
      </c>
      <c r="G986">
        <v>1711065</v>
      </c>
      <c r="H986" t="s">
        <v>84</v>
      </c>
      <c r="I986" t="s">
        <v>85</v>
      </c>
      <c r="J986" t="str">
        <f>"9780520959156"</f>
        <v>9780520959156</v>
      </c>
      <c r="K986" t="s">
        <v>33</v>
      </c>
      <c r="L986">
        <v>3</v>
      </c>
      <c r="O986" t="s">
        <v>30</v>
      </c>
      <c r="P986" t="s">
        <v>42</v>
      </c>
      <c r="S986" t="s">
        <v>31</v>
      </c>
      <c r="T986" t="s">
        <v>87</v>
      </c>
      <c r="U986" t="s">
        <v>88</v>
      </c>
      <c r="V986" s="3">
        <v>41881</v>
      </c>
    </row>
    <row r="987" spans="1:22" x14ac:dyDescent="0.35">
      <c r="A987" s="1">
        <v>42382.789571759262</v>
      </c>
      <c r="B987" s="2">
        <v>3.7037037037037035E-4</v>
      </c>
      <c r="C987" t="s">
        <v>471</v>
      </c>
      <c r="D987" t="s">
        <v>211</v>
      </c>
      <c r="E987" t="s">
        <v>212</v>
      </c>
      <c r="F987" t="s">
        <v>1182</v>
      </c>
      <c r="G987">
        <v>1557279</v>
      </c>
      <c r="H987" t="s">
        <v>26</v>
      </c>
      <c r="I987" t="s">
        <v>97</v>
      </c>
      <c r="J987" t="str">
        <f>"9781118863664"</f>
        <v>9781118863664</v>
      </c>
      <c r="K987" t="s">
        <v>1800</v>
      </c>
      <c r="L987">
        <v>8</v>
      </c>
      <c r="O987" t="s">
        <v>30</v>
      </c>
      <c r="P987" t="s">
        <v>29</v>
      </c>
      <c r="Q987" s="1">
        <v>42382.789571759262</v>
      </c>
      <c r="R987">
        <v>7</v>
      </c>
      <c r="S987" t="s">
        <v>214</v>
      </c>
      <c r="T987" t="s">
        <v>1183</v>
      </c>
      <c r="U987">
        <v>657.37800000000004</v>
      </c>
      <c r="V987" s="3">
        <v>41585</v>
      </c>
    </row>
    <row r="988" spans="1:22" x14ac:dyDescent="0.35">
      <c r="A988" s="1">
        <v>42382.773576388892</v>
      </c>
      <c r="B988" s="2">
        <v>1.5995370370370372E-2</v>
      </c>
      <c r="C988" t="s">
        <v>471</v>
      </c>
      <c r="D988" t="s">
        <v>211</v>
      </c>
      <c r="E988" t="s">
        <v>212</v>
      </c>
      <c r="F988" t="s">
        <v>1182</v>
      </c>
      <c r="G988">
        <v>1557279</v>
      </c>
      <c r="H988" t="s">
        <v>26</v>
      </c>
      <c r="I988" t="s">
        <v>97</v>
      </c>
      <c r="J988" t="str">
        <f>"9781118863664"</f>
        <v>9781118863664</v>
      </c>
      <c r="K988" t="s">
        <v>1801</v>
      </c>
      <c r="L988">
        <v>14</v>
      </c>
      <c r="O988" t="s">
        <v>30</v>
      </c>
      <c r="P988" t="s">
        <v>42</v>
      </c>
      <c r="S988" t="s">
        <v>214</v>
      </c>
      <c r="T988" t="s">
        <v>1183</v>
      </c>
      <c r="U988">
        <v>657.37800000000004</v>
      </c>
      <c r="V988" s="3">
        <v>41585</v>
      </c>
    </row>
    <row r="989" spans="1:22" x14ac:dyDescent="0.35">
      <c r="A989" s="1">
        <v>42382.772847222222</v>
      </c>
      <c r="B989" s="2">
        <v>1.0416666666666667E-4</v>
      </c>
      <c r="C989" t="s">
        <v>106</v>
      </c>
      <c r="D989" t="s">
        <v>23</v>
      </c>
      <c r="E989" t="s">
        <v>24</v>
      </c>
      <c r="F989" t="s">
        <v>1802</v>
      </c>
      <c r="G989">
        <v>1598285</v>
      </c>
      <c r="H989" t="s">
        <v>26</v>
      </c>
      <c r="I989" t="s">
        <v>1803</v>
      </c>
      <c r="J989" t="str">
        <f>"9781118810835"</f>
        <v>9781118810835</v>
      </c>
      <c r="K989" t="s">
        <v>1804</v>
      </c>
      <c r="L989">
        <v>4</v>
      </c>
      <c r="O989" t="s">
        <v>30</v>
      </c>
      <c r="P989" t="s">
        <v>47</v>
      </c>
      <c r="Q989" s="1">
        <v>42382.772847222222</v>
      </c>
      <c r="R989">
        <v>1</v>
      </c>
      <c r="S989" t="s">
        <v>31</v>
      </c>
      <c r="T989" t="s">
        <v>1805</v>
      </c>
      <c r="U989">
        <v>617.96</v>
      </c>
      <c r="V989" s="3">
        <v>41654</v>
      </c>
    </row>
    <row r="990" spans="1:22" x14ac:dyDescent="0.35">
      <c r="A990" s="1">
        <v>42382.772002314814</v>
      </c>
      <c r="B990" s="2">
        <v>1.2546296296296297E-2</v>
      </c>
      <c r="C990" t="s">
        <v>1806</v>
      </c>
      <c r="D990" t="s">
        <v>23</v>
      </c>
      <c r="E990" t="s">
        <v>24</v>
      </c>
      <c r="F990" t="s">
        <v>389</v>
      </c>
      <c r="G990">
        <v>822062</v>
      </c>
      <c r="H990" t="s">
        <v>26</v>
      </c>
      <c r="I990" t="s">
        <v>390</v>
      </c>
      <c r="J990" t="str">
        <f>"9780857083272"</f>
        <v>9780857083272</v>
      </c>
      <c r="K990" t="s">
        <v>1807</v>
      </c>
      <c r="L990">
        <v>72</v>
      </c>
      <c r="O990" t="s">
        <v>30</v>
      </c>
      <c r="P990" t="s">
        <v>29</v>
      </c>
      <c r="Q990" s="1">
        <v>42382.763553240744</v>
      </c>
      <c r="R990">
        <v>7</v>
      </c>
      <c r="S990" t="s">
        <v>31</v>
      </c>
      <c r="T990" t="s">
        <v>392</v>
      </c>
      <c r="U990" t="s">
        <v>393</v>
      </c>
      <c r="V990" s="3">
        <v>41025</v>
      </c>
    </row>
    <row r="991" spans="1:22" x14ac:dyDescent="0.35">
      <c r="A991" s="1">
        <v>42382.768807870372</v>
      </c>
      <c r="B991" s="2">
        <v>4.0393518518518521E-3</v>
      </c>
      <c r="C991" t="s">
        <v>106</v>
      </c>
      <c r="D991" t="s">
        <v>23</v>
      </c>
      <c r="E991" t="s">
        <v>24</v>
      </c>
      <c r="F991" t="s">
        <v>1802</v>
      </c>
      <c r="G991">
        <v>1598285</v>
      </c>
      <c r="H991" t="s">
        <v>26</v>
      </c>
      <c r="I991" t="s">
        <v>1803</v>
      </c>
      <c r="J991" t="str">
        <f>"9781118810835"</f>
        <v>9781118810835</v>
      </c>
      <c r="K991" t="s">
        <v>1808</v>
      </c>
      <c r="L991">
        <v>63</v>
      </c>
      <c r="O991" t="s">
        <v>30</v>
      </c>
      <c r="P991" t="s">
        <v>50</v>
      </c>
      <c r="S991" t="s">
        <v>31</v>
      </c>
      <c r="T991" t="s">
        <v>1805</v>
      </c>
      <c r="U991">
        <v>617.96</v>
      </c>
      <c r="V991" s="3">
        <v>41654</v>
      </c>
    </row>
    <row r="992" spans="1:22" x14ac:dyDescent="0.35">
      <c r="A992" s="1">
        <v>42382.766759259262</v>
      </c>
      <c r="B992" s="2">
        <v>7.8240740740740736E-2</v>
      </c>
      <c r="C992" t="s">
        <v>1809</v>
      </c>
      <c r="D992" t="s">
        <v>35</v>
      </c>
      <c r="E992" t="s">
        <v>36</v>
      </c>
      <c r="F992" t="s">
        <v>327</v>
      </c>
      <c r="G992">
        <v>1691426</v>
      </c>
      <c r="H992" t="s">
        <v>26</v>
      </c>
      <c r="I992" t="s">
        <v>328</v>
      </c>
      <c r="J992" t="str">
        <f>"9781118839492"</f>
        <v>9781118839492</v>
      </c>
      <c r="K992" t="s">
        <v>1810</v>
      </c>
      <c r="L992">
        <v>9</v>
      </c>
      <c r="O992" t="s">
        <v>30</v>
      </c>
      <c r="P992" t="s">
        <v>29</v>
      </c>
      <c r="Q992" s="1">
        <v>42382.766759259262</v>
      </c>
      <c r="R992">
        <v>7</v>
      </c>
      <c r="S992" t="s">
        <v>40</v>
      </c>
      <c r="T992" t="s">
        <v>331</v>
      </c>
      <c r="U992">
        <v>613.70460000000003</v>
      </c>
      <c r="V992" s="3">
        <v>41772</v>
      </c>
    </row>
    <row r="993" spans="1:22" x14ac:dyDescent="0.35">
      <c r="A993" s="1">
        <v>42382.763553240744</v>
      </c>
      <c r="B993" s="2">
        <v>8.0092592592592594E-3</v>
      </c>
      <c r="C993" t="s">
        <v>1806</v>
      </c>
      <c r="D993" t="s">
        <v>23</v>
      </c>
      <c r="E993" t="s">
        <v>24</v>
      </c>
      <c r="F993" t="s">
        <v>389</v>
      </c>
      <c r="G993">
        <v>822062</v>
      </c>
      <c r="H993" t="s">
        <v>26</v>
      </c>
      <c r="I993" t="s">
        <v>390</v>
      </c>
      <c r="J993" t="str">
        <f>"9780857083272"</f>
        <v>9780857083272</v>
      </c>
      <c r="K993" t="s">
        <v>1811</v>
      </c>
      <c r="L993">
        <v>55</v>
      </c>
      <c r="O993" t="s">
        <v>30</v>
      </c>
      <c r="P993" t="s">
        <v>29</v>
      </c>
      <c r="Q993" s="1">
        <v>42382.763553240744</v>
      </c>
      <c r="R993">
        <v>7</v>
      </c>
      <c r="S993" t="s">
        <v>31</v>
      </c>
      <c r="T993" t="s">
        <v>392</v>
      </c>
      <c r="U993" t="s">
        <v>393</v>
      </c>
      <c r="V993" s="3">
        <v>41025</v>
      </c>
    </row>
    <row r="994" spans="1:22" x14ac:dyDescent="0.35">
      <c r="A994" s="1">
        <v>42382.756597222222</v>
      </c>
      <c r="B994" s="2">
        <v>1.0162037037037037E-2</v>
      </c>
      <c r="C994" t="s">
        <v>1809</v>
      </c>
      <c r="D994" t="s">
        <v>35</v>
      </c>
      <c r="E994" t="s">
        <v>36</v>
      </c>
      <c r="F994" t="s">
        <v>327</v>
      </c>
      <c r="G994">
        <v>1691426</v>
      </c>
      <c r="H994" t="s">
        <v>26</v>
      </c>
      <c r="I994" t="s">
        <v>328</v>
      </c>
      <c r="J994" t="str">
        <f>"9781118839492"</f>
        <v>9781118839492</v>
      </c>
      <c r="K994" t="s">
        <v>1812</v>
      </c>
      <c r="L994">
        <v>13</v>
      </c>
      <c r="O994" t="s">
        <v>30</v>
      </c>
      <c r="P994" t="s">
        <v>42</v>
      </c>
      <c r="S994" t="s">
        <v>40</v>
      </c>
      <c r="T994" t="s">
        <v>331</v>
      </c>
      <c r="U994">
        <v>613.70460000000003</v>
      </c>
      <c r="V994" s="3">
        <v>41772</v>
      </c>
    </row>
    <row r="995" spans="1:22" x14ac:dyDescent="0.35">
      <c r="A995" s="1">
        <v>42382.756354166668</v>
      </c>
      <c r="B995" s="2">
        <v>7.1990740740740739E-3</v>
      </c>
      <c r="C995" t="s">
        <v>1806</v>
      </c>
      <c r="D995" t="s">
        <v>23</v>
      </c>
      <c r="E995" t="s">
        <v>24</v>
      </c>
      <c r="F995" t="s">
        <v>389</v>
      </c>
      <c r="G995">
        <v>822062</v>
      </c>
      <c r="H995" t="s">
        <v>26</v>
      </c>
      <c r="I995" t="s">
        <v>390</v>
      </c>
      <c r="J995" t="str">
        <f>"9780857083272"</f>
        <v>9780857083272</v>
      </c>
      <c r="K995" t="s">
        <v>1813</v>
      </c>
      <c r="L995">
        <v>8</v>
      </c>
      <c r="O995" t="s">
        <v>30</v>
      </c>
      <c r="P995" t="s">
        <v>42</v>
      </c>
      <c r="S995" t="s">
        <v>31</v>
      </c>
      <c r="T995" t="s">
        <v>392</v>
      </c>
      <c r="U995" t="s">
        <v>393</v>
      </c>
      <c r="V995" s="3">
        <v>41025</v>
      </c>
    </row>
    <row r="996" spans="1:22" x14ac:dyDescent="0.35">
      <c r="A996" s="1">
        <v>42382.75371527778</v>
      </c>
      <c r="B996" s="2">
        <v>2.5115740740740741E-3</v>
      </c>
      <c r="C996" t="s">
        <v>210</v>
      </c>
      <c r="D996" t="s">
        <v>211</v>
      </c>
      <c r="E996" t="s">
        <v>212</v>
      </c>
      <c r="F996" t="s">
        <v>1814</v>
      </c>
      <c r="G996">
        <v>1742830</v>
      </c>
      <c r="H996" t="s">
        <v>26</v>
      </c>
      <c r="I996" t="s">
        <v>450</v>
      </c>
      <c r="J996" t="str">
        <f>"9781118902899"</f>
        <v>9781118902899</v>
      </c>
      <c r="K996" t="s">
        <v>1815</v>
      </c>
      <c r="L996">
        <v>54</v>
      </c>
      <c r="O996" t="s">
        <v>30</v>
      </c>
      <c r="P996" t="s">
        <v>42</v>
      </c>
      <c r="S996" t="s">
        <v>214</v>
      </c>
      <c r="T996" t="s">
        <v>1816</v>
      </c>
      <c r="U996">
        <v>542.855369</v>
      </c>
      <c r="V996" s="3">
        <v>41834</v>
      </c>
    </row>
    <row r="997" spans="1:22" x14ac:dyDescent="0.35">
      <c r="A997" s="1">
        <v>42382.751793981479</v>
      </c>
      <c r="B997" s="2">
        <v>4.1863425925925929E-2</v>
      </c>
      <c r="C997" t="s">
        <v>520</v>
      </c>
      <c r="D997" t="s">
        <v>23</v>
      </c>
      <c r="E997" t="s">
        <v>24</v>
      </c>
      <c r="F997" t="s">
        <v>1579</v>
      </c>
      <c r="G997">
        <v>1161538</v>
      </c>
      <c r="H997" t="s">
        <v>26</v>
      </c>
      <c r="I997" t="s">
        <v>108</v>
      </c>
      <c r="J997" t="str">
        <f>"9781118521755"</f>
        <v>9781118521755</v>
      </c>
      <c r="K997" t="s">
        <v>1817</v>
      </c>
      <c r="L997">
        <v>25</v>
      </c>
      <c r="O997" t="s">
        <v>30</v>
      </c>
      <c r="P997" t="s">
        <v>29</v>
      </c>
      <c r="Q997" s="1">
        <v>42382.28570601852</v>
      </c>
      <c r="R997">
        <v>7</v>
      </c>
      <c r="S997" t="s">
        <v>31</v>
      </c>
      <c r="T997" t="s">
        <v>1581</v>
      </c>
      <c r="U997">
        <v>332.63220000000001</v>
      </c>
      <c r="V997" s="3">
        <v>41359</v>
      </c>
    </row>
    <row r="998" spans="1:22" x14ac:dyDescent="0.35">
      <c r="A998" s="1">
        <v>42382.714039351849</v>
      </c>
      <c r="B998" s="2">
        <v>0</v>
      </c>
      <c r="C998" t="s">
        <v>1818</v>
      </c>
      <c r="D998" t="s">
        <v>23</v>
      </c>
      <c r="E998" t="s">
        <v>24</v>
      </c>
      <c r="F998" t="s">
        <v>25</v>
      </c>
      <c r="G998">
        <v>1120290</v>
      </c>
      <c r="H998" t="s">
        <v>26</v>
      </c>
      <c r="I998" t="s">
        <v>27</v>
      </c>
      <c r="J998" t="str">
        <f>"9781118347478"</f>
        <v>9781118347478</v>
      </c>
      <c r="L998">
        <v>0</v>
      </c>
      <c r="O998" t="s">
        <v>30</v>
      </c>
      <c r="P998" t="s">
        <v>29</v>
      </c>
      <c r="Q998" s="1">
        <v>42382.714039351849</v>
      </c>
      <c r="R998">
        <v>7</v>
      </c>
      <c r="S998" t="s">
        <v>31</v>
      </c>
      <c r="T998" t="s">
        <v>32</v>
      </c>
      <c r="U998">
        <v>421</v>
      </c>
      <c r="V998" s="3">
        <v>41101</v>
      </c>
    </row>
    <row r="999" spans="1:22" x14ac:dyDescent="0.35">
      <c r="A999" s="1">
        <v>42382.712094907409</v>
      </c>
      <c r="B999" s="2">
        <v>1.9444444444444442E-3</v>
      </c>
      <c r="C999" t="s">
        <v>1818</v>
      </c>
      <c r="D999" t="s">
        <v>23</v>
      </c>
      <c r="E999" t="s">
        <v>24</v>
      </c>
      <c r="F999" t="s">
        <v>25</v>
      </c>
      <c r="G999">
        <v>1120290</v>
      </c>
      <c r="H999" t="s">
        <v>26</v>
      </c>
      <c r="I999" t="s">
        <v>27</v>
      </c>
      <c r="J999" t="str">
        <f>"9781118347478"</f>
        <v>9781118347478</v>
      </c>
      <c r="K999" t="s">
        <v>1819</v>
      </c>
      <c r="L999">
        <v>26</v>
      </c>
      <c r="O999" t="s">
        <v>30</v>
      </c>
      <c r="P999" t="s">
        <v>42</v>
      </c>
      <c r="S999" t="s">
        <v>31</v>
      </c>
      <c r="T999" t="s">
        <v>32</v>
      </c>
      <c r="U999">
        <v>421</v>
      </c>
      <c r="V999" s="3">
        <v>41101</v>
      </c>
    </row>
    <row r="1000" spans="1:22" x14ac:dyDescent="0.35">
      <c r="A1000" s="1">
        <v>42382.708020833335</v>
      </c>
      <c r="B1000" s="2">
        <v>2.4537037037037036E-3</v>
      </c>
      <c r="C1000" t="s">
        <v>1820</v>
      </c>
      <c r="D1000" t="s">
        <v>23</v>
      </c>
      <c r="E1000" t="s">
        <v>24</v>
      </c>
      <c r="F1000" t="s">
        <v>1821</v>
      </c>
      <c r="G1000">
        <v>800606</v>
      </c>
      <c r="H1000" t="s">
        <v>91</v>
      </c>
      <c r="I1000" t="s">
        <v>219</v>
      </c>
      <c r="J1000" t="str">
        <f>"9781609187484"</f>
        <v>9781609187484</v>
      </c>
      <c r="K1000" t="s">
        <v>972</v>
      </c>
      <c r="L1000">
        <v>1</v>
      </c>
      <c r="N1000" t="s">
        <v>1822</v>
      </c>
      <c r="O1000" t="s">
        <v>30</v>
      </c>
      <c r="P1000" t="s">
        <v>29</v>
      </c>
      <c r="Q1000" s="1">
        <v>42382.708020833335</v>
      </c>
      <c r="R1000">
        <v>7</v>
      </c>
      <c r="S1000" t="s">
        <v>31</v>
      </c>
      <c r="T1000" t="s">
        <v>1823</v>
      </c>
      <c r="U1000">
        <v>150.72</v>
      </c>
      <c r="V1000" s="3">
        <v>41773</v>
      </c>
    </row>
    <row r="1001" spans="1:22" x14ac:dyDescent="0.35">
      <c r="A1001" s="1">
        <v>42382.707835648151</v>
      </c>
      <c r="B1001" s="2">
        <v>1.7361111111111112E-4</v>
      </c>
      <c r="C1001" t="s">
        <v>1820</v>
      </c>
      <c r="D1001" t="s">
        <v>23</v>
      </c>
      <c r="E1001" t="s">
        <v>24</v>
      </c>
      <c r="F1001" t="s">
        <v>1821</v>
      </c>
      <c r="G1001">
        <v>800606</v>
      </c>
      <c r="H1001" t="s">
        <v>91</v>
      </c>
      <c r="I1001" t="s">
        <v>219</v>
      </c>
      <c r="J1001" t="str">
        <f>"9781609187484"</f>
        <v>9781609187484</v>
      </c>
      <c r="K1001" t="s">
        <v>1824</v>
      </c>
      <c r="L1001">
        <v>8</v>
      </c>
      <c r="O1001" t="s">
        <v>30</v>
      </c>
      <c r="P1001" t="s">
        <v>50</v>
      </c>
      <c r="S1001" t="s">
        <v>31</v>
      </c>
      <c r="T1001" t="s">
        <v>1823</v>
      </c>
      <c r="U1001">
        <v>150.72</v>
      </c>
      <c r="V1001" s="3">
        <v>41773</v>
      </c>
    </row>
    <row r="1002" spans="1:22" x14ac:dyDescent="0.35">
      <c r="A1002" s="1">
        <v>42382.670590277776</v>
      </c>
      <c r="B1002" s="2">
        <v>1.1458333333333333E-3</v>
      </c>
      <c r="C1002" t="s">
        <v>1825</v>
      </c>
      <c r="D1002" t="s">
        <v>35</v>
      </c>
      <c r="E1002" t="s">
        <v>36</v>
      </c>
      <c r="F1002" t="s">
        <v>1826</v>
      </c>
      <c r="G1002">
        <v>2040242</v>
      </c>
      <c r="H1002" t="s">
        <v>91</v>
      </c>
      <c r="I1002" t="s">
        <v>1827</v>
      </c>
      <c r="J1002" t="str">
        <f>"9781462523948"</f>
        <v>9781462523948</v>
      </c>
      <c r="K1002" t="s">
        <v>1828</v>
      </c>
      <c r="L1002">
        <v>15</v>
      </c>
      <c r="O1002" t="s">
        <v>30</v>
      </c>
      <c r="P1002" t="s">
        <v>50</v>
      </c>
      <c r="S1002" t="s">
        <v>40</v>
      </c>
      <c r="T1002" t="s">
        <v>1829</v>
      </c>
      <c r="U1002">
        <v>428.20710000000003</v>
      </c>
      <c r="V1002" s="3">
        <v>42191</v>
      </c>
    </row>
    <row r="1003" spans="1:22" x14ac:dyDescent="0.35">
      <c r="A1003" s="1">
        <v>42382.662523148145</v>
      </c>
      <c r="B1003" s="2">
        <v>5.3819444444444453E-3</v>
      </c>
      <c r="C1003" t="s">
        <v>1717</v>
      </c>
      <c r="D1003" t="s">
        <v>35</v>
      </c>
      <c r="E1003" t="s">
        <v>36</v>
      </c>
      <c r="F1003" t="s">
        <v>327</v>
      </c>
      <c r="G1003">
        <v>1691426</v>
      </c>
      <c r="H1003" t="s">
        <v>26</v>
      </c>
      <c r="I1003" t="s">
        <v>328</v>
      </c>
      <c r="J1003" t="str">
        <f>"9781118839492"</f>
        <v>9781118839492</v>
      </c>
      <c r="K1003" t="s">
        <v>1830</v>
      </c>
      <c r="L1003">
        <v>35</v>
      </c>
      <c r="O1003" t="s">
        <v>30</v>
      </c>
      <c r="P1003" t="s">
        <v>29</v>
      </c>
      <c r="Q1003" s="1">
        <v>42382.662523148145</v>
      </c>
      <c r="R1003">
        <v>7</v>
      </c>
      <c r="S1003" t="s">
        <v>40</v>
      </c>
      <c r="T1003" t="s">
        <v>331</v>
      </c>
      <c r="U1003">
        <v>613.70460000000003</v>
      </c>
      <c r="V1003" s="3">
        <v>41772</v>
      </c>
    </row>
    <row r="1004" spans="1:22" x14ac:dyDescent="0.35">
      <c r="A1004" s="1">
        <v>42382.659305555557</v>
      </c>
      <c r="B1004" s="2">
        <v>3.2175925925925926E-3</v>
      </c>
      <c r="C1004" t="s">
        <v>1717</v>
      </c>
      <c r="D1004" t="s">
        <v>35</v>
      </c>
      <c r="E1004" t="s">
        <v>36</v>
      </c>
      <c r="F1004" t="s">
        <v>327</v>
      </c>
      <c r="G1004">
        <v>1691426</v>
      </c>
      <c r="H1004" t="s">
        <v>26</v>
      </c>
      <c r="I1004" t="s">
        <v>328</v>
      </c>
      <c r="J1004" t="str">
        <f>"9781118839492"</f>
        <v>9781118839492</v>
      </c>
      <c r="K1004" t="s">
        <v>1831</v>
      </c>
      <c r="L1004">
        <v>23</v>
      </c>
      <c r="O1004" t="s">
        <v>30</v>
      </c>
      <c r="P1004" t="s">
        <v>42</v>
      </c>
      <c r="S1004" t="s">
        <v>40</v>
      </c>
      <c r="T1004" t="s">
        <v>331</v>
      </c>
      <c r="U1004">
        <v>613.70460000000003</v>
      </c>
      <c r="V1004" s="3">
        <v>41772</v>
      </c>
    </row>
    <row r="1005" spans="1:22" x14ac:dyDescent="0.35">
      <c r="A1005" s="1">
        <v>42382.653171296297</v>
      </c>
      <c r="B1005" s="2">
        <v>0</v>
      </c>
      <c r="C1005" t="s">
        <v>1832</v>
      </c>
      <c r="D1005" t="s">
        <v>1222</v>
      </c>
      <c r="E1005" t="s">
        <v>1223</v>
      </c>
      <c r="F1005" t="s">
        <v>1833</v>
      </c>
      <c r="G1005">
        <v>1635364</v>
      </c>
      <c r="H1005" t="s">
        <v>26</v>
      </c>
      <c r="I1005" t="s">
        <v>297</v>
      </c>
      <c r="J1005" t="str">
        <f>"9781118710449"</f>
        <v>9781118710449</v>
      </c>
      <c r="L1005">
        <v>0</v>
      </c>
      <c r="N1005" t="s">
        <v>1834</v>
      </c>
      <c r="O1005" t="s">
        <v>30</v>
      </c>
      <c r="P1005" t="s">
        <v>29</v>
      </c>
      <c r="Q1005" s="1">
        <v>42382.653171296297</v>
      </c>
      <c r="R1005">
        <v>7</v>
      </c>
      <c r="S1005" t="s">
        <v>1226</v>
      </c>
      <c r="T1005" t="s">
        <v>1835</v>
      </c>
      <c r="U1005">
        <v>510.71273000000002</v>
      </c>
      <c r="V1005" s="3">
        <v>41684</v>
      </c>
    </row>
    <row r="1006" spans="1:22" x14ac:dyDescent="0.35">
      <c r="A1006" s="1">
        <v>42382.652511574073</v>
      </c>
      <c r="B1006" s="2">
        <v>6.5972222222222213E-4</v>
      </c>
      <c r="C1006" t="s">
        <v>1832</v>
      </c>
      <c r="D1006" t="s">
        <v>1222</v>
      </c>
      <c r="E1006" t="s">
        <v>1223</v>
      </c>
      <c r="F1006" t="s">
        <v>1833</v>
      </c>
      <c r="G1006">
        <v>1635364</v>
      </c>
      <c r="H1006" t="s">
        <v>26</v>
      </c>
      <c r="I1006" t="s">
        <v>297</v>
      </c>
      <c r="J1006" t="str">
        <f>"9781118710449"</f>
        <v>9781118710449</v>
      </c>
      <c r="K1006" t="s">
        <v>1836</v>
      </c>
      <c r="L1006">
        <v>7</v>
      </c>
      <c r="O1006" t="s">
        <v>30</v>
      </c>
      <c r="P1006" t="s">
        <v>42</v>
      </c>
      <c r="S1006" t="s">
        <v>1226</v>
      </c>
      <c r="T1006" t="s">
        <v>1835</v>
      </c>
      <c r="U1006">
        <v>510.71273000000002</v>
      </c>
      <c r="V1006" s="3">
        <v>41684</v>
      </c>
    </row>
    <row r="1007" spans="1:22" x14ac:dyDescent="0.35">
      <c r="A1007" s="1">
        <v>42382.644907407404</v>
      </c>
      <c r="B1007" s="2">
        <v>8.5763888888888886E-3</v>
      </c>
      <c r="C1007" t="s">
        <v>471</v>
      </c>
      <c r="D1007" t="s">
        <v>211</v>
      </c>
      <c r="E1007" t="s">
        <v>212</v>
      </c>
      <c r="F1007" t="s">
        <v>497</v>
      </c>
      <c r="G1007">
        <v>1986951</v>
      </c>
      <c r="H1007" t="s">
        <v>26</v>
      </c>
      <c r="I1007" t="s">
        <v>97</v>
      </c>
      <c r="J1007" t="str">
        <f>"9781119130468"</f>
        <v>9781119130468</v>
      </c>
      <c r="K1007" t="s">
        <v>1837</v>
      </c>
      <c r="L1007">
        <v>26</v>
      </c>
      <c r="O1007" t="s">
        <v>30</v>
      </c>
      <c r="P1007" t="s">
        <v>29</v>
      </c>
      <c r="Q1007" s="1">
        <v>42377.845729166664</v>
      </c>
      <c r="R1007">
        <v>7</v>
      </c>
      <c r="S1007" t="s">
        <v>214</v>
      </c>
      <c r="T1007" t="s">
        <v>500</v>
      </c>
      <c r="U1007">
        <v>657.07600000000002</v>
      </c>
      <c r="V1007" s="3">
        <v>42143</v>
      </c>
    </row>
    <row r="1008" spans="1:22" x14ac:dyDescent="0.35">
      <c r="A1008" s="1">
        <v>42382.641180555554</v>
      </c>
      <c r="B1008" s="2">
        <v>1.7476851851851852E-3</v>
      </c>
      <c r="C1008" t="s">
        <v>326</v>
      </c>
      <c r="D1008" t="s">
        <v>35</v>
      </c>
      <c r="E1008" t="s">
        <v>36</v>
      </c>
      <c r="F1008" t="s">
        <v>327</v>
      </c>
      <c r="G1008">
        <v>1691426</v>
      </c>
      <c r="H1008" t="s">
        <v>26</v>
      </c>
      <c r="I1008" t="s">
        <v>328</v>
      </c>
      <c r="J1008" t="str">
        <f>"9781118839492"</f>
        <v>9781118839492</v>
      </c>
      <c r="K1008" t="s">
        <v>1838</v>
      </c>
      <c r="L1008">
        <v>20</v>
      </c>
      <c r="O1008" t="s">
        <v>30</v>
      </c>
      <c r="P1008" t="s">
        <v>42</v>
      </c>
      <c r="S1008" t="s">
        <v>40</v>
      </c>
      <c r="T1008" t="s">
        <v>331</v>
      </c>
      <c r="U1008">
        <v>613.70460000000003</v>
      </c>
      <c r="V1008" s="3">
        <v>41772</v>
      </c>
    </row>
    <row r="1009" spans="1:22" x14ac:dyDescent="0.35">
      <c r="A1009" s="1">
        <v>42382.6171412037</v>
      </c>
      <c r="B1009" s="2">
        <v>5.9953703703703697E-3</v>
      </c>
      <c r="C1009" t="s">
        <v>1839</v>
      </c>
      <c r="D1009" t="s">
        <v>35</v>
      </c>
      <c r="E1009" t="s">
        <v>36</v>
      </c>
      <c r="F1009" t="s">
        <v>327</v>
      </c>
      <c r="G1009">
        <v>1691426</v>
      </c>
      <c r="H1009" t="s">
        <v>26</v>
      </c>
      <c r="I1009" t="s">
        <v>328</v>
      </c>
      <c r="J1009" t="str">
        <f>"9781118839492"</f>
        <v>9781118839492</v>
      </c>
      <c r="K1009" t="s">
        <v>1840</v>
      </c>
      <c r="L1009">
        <v>18</v>
      </c>
      <c r="O1009" t="s">
        <v>30</v>
      </c>
      <c r="P1009" t="s">
        <v>29</v>
      </c>
      <c r="Q1009" s="1">
        <v>42376.149421296293</v>
      </c>
      <c r="R1009">
        <v>7</v>
      </c>
      <c r="S1009" t="s">
        <v>40</v>
      </c>
      <c r="T1009" t="s">
        <v>331</v>
      </c>
      <c r="U1009">
        <v>613.70460000000003</v>
      </c>
      <c r="V1009" s="3">
        <v>41772</v>
      </c>
    </row>
    <row r="1010" spans="1:22" x14ac:dyDescent="0.35">
      <c r="A1010" s="1">
        <v>42382.608738425923</v>
      </c>
      <c r="B1010" s="2">
        <v>5.6712962962962956E-4</v>
      </c>
      <c r="C1010" t="s">
        <v>210</v>
      </c>
      <c r="D1010" t="s">
        <v>211</v>
      </c>
      <c r="E1010" t="s">
        <v>212</v>
      </c>
      <c r="F1010" t="s">
        <v>1841</v>
      </c>
      <c r="G1010">
        <v>1775471</v>
      </c>
      <c r="H1010" t="s">
        <v>26</v>
      </c>
      <c r="I1010" t="s">
        <v>276</v>
      </c>
      <c r="J1010" t="str">
        <f>"9781118891490"</f>
        <v>9781118891490</v>
      </c>
      <c r="K1010" t="s">
        <v>33</v>
      </c>
      <c r="L1010">
        <v>3</v>
      </c>
      <c r="O1010" t="s">
        <v>30</v>
      </c>
      <c r="P1010" t="s">
        <v>42</v>
      </c>
      <c r="S1010" t="s">
        <v>214</v>
      </c>
      <c r="T1010" t="s">
        <v>1842</v>
      </c>
      <c r="U1010">
        <v>5.133</v>
      </c>
      <c r="V1010" s="3">
        <v>41877</v>
      </c>
    </row>
    <row r="1011" spans="1:22" x14ac:dyDescent="0.35">
      <c r="A1011" s="1">
        <v>42382.600555555553</v>
      </c>
      <c r="B1011" s="2">
        <v>7.0601851851851847E-4</v>
      </c>
      <c r="C1011" t="s">
        <v>1839</v>
      </c>
      <c r="D1011" t="s">
        <v>35</v>
      </c>
      <c r="E1011" t="s">
        <v>36</v>
      </c>
      <c r="F1011" t="s">
        <v>327</v>
      </c>
      <c r="G1011">
        <v>1691426</v>
      </c>
      <c r="H1011" t="s">
        <v>26</v>
      </c>
      <c r="I1011" t="s">
        <v>328</v>
      </c>
      <c r="J1011" t="str">
        <f>"9781118839492"</f>
        <v>9781118839492</v>
      </c>
      <c r="K1011" t="s">
        <v>1843</v>
      </c>
      <c r="L1011">
        <v>9</v>
      </c>
      <c r="O1011" t="s">
        <v>30</v>
      </c>
      <c r="P1011" t="s">
        <v>29</v>
      </c>
      <c r="Q1011" s="1">
        <v>42376.149421296293</v>
      </c>
      <c r="R1011">
        <v>7</v>
      </c>
      <c r="S1011" t="s">
        <v>40</v>
      </c>
      <c r="T1011" t="s">
        <v>331</v>
      </c>
      <c r="U1011">
        <v>613.70460000000003</v>
      </c>
      <c r="V1011" s="3">
        <v>41772</v>
      </c>
    </row>
    <row r="1012" spans="1:22" x14ac:dyDescent="0.35">
      <c r="A1012" s="1">
        <v>42382.583275462966</v>
      </c>
      <c r="B1012" s="2">
        <v>1.6527777777777777E-2</v>
      </c>
      <c r="C1012" t="s">
        <v>1839</v>
      </c>
      <c r="D1012" t="s">
        <v>35</v>
      </c>
      <c r="E1012" t="s">
        <v>36</v>
      </c>
      <c r="F1012" t="s">
        <v>327</v>
      </c>
      <c r="G1012">
        <v>1691426</v>
      </c>
      <c r="H1012" t="s">
        <v>26</v>
      </c>
      <c r="I1012" t="s">
        <v>328</v>
      </c>
      <c r="J1012" t="str">
        <f>"9781118839492"</f>
        <v>9781118839492</v>
      </c>
      <c r="K1012" t="s">
        <v>1844</v>
      </c>
      <c r="L1012">
        <v>25</v>
      </c>
      <c r="O1012" t="s">
        <v>30</v>
      </c>
      <c r="P1012" t="s">
        <v>29</v>
      </c>
      <c r="Q1012" s="1">
        <v>42376.149421296293</v>
      </c>
      <c r="R1012">
        <v>7</v>
      </c>
      <c r="S1012" t="s">
        <v>40</v>
      </c>
      <c r="T1012" t="s">
        <v>331</v>
      </c>
      <c r="U1012">
        <v>613.70460000000003</v>
      </c>
      <c r="V1012" s="3">
        <v>41772</v>
      </c>
    </row>
    <row r="1013" spans="1:22" x14ac:dyDescent="0.35">
      <c r="A1013" s="1">
        <v>42382.578750000001</v>
      </c>
      <c r="B1013" s="2">
        <v>1.7013888888888892E-3</v>
      </c>
      <c r="C1013" t="s">
        <v>106</v>
      </c>
      <c r="D1013" t="s">
        <v>23</v>
      </c>
      <c r="E1013" t="s">
        <v>24</v>
      </c>
      <c r="F1013" t="s">
        <v>25</v>
      </c>
      <c r="G1013">
        <v>1120290</v>
      </c>
      <c r="H1013" t="s">
        <v>26</v>
      </c>
      <c r="I1013" t="s">
        <v>27</v>
      </c>
      <c r="J1013" t="str">
        <f>"9781118347478"</f>
        <v>9781118347478</v>
      </c>
      <c r="K1013" t="s">
        <v>1845</v>
      </c>
      <c r="L1013">
        <v>9</v>
      </c>
      <c r="O1013" t="s">
        <v>30</v>
      </c>
      <c r="P1013" t="s">
        <v>42</v>
      </c>
      <c r="S1013" t="s">
        <v>31</v>
      </c>
      <c r="T1013" t="s">
        <v>32</v>
      </c>
      <c r="U1013">
        <v>421</v>
      </c>
      <c r="V1013" s="3">
        <v>41101</v>
      </c>
    </row>
    <row r="1014" spans="1:22" x14ac:dyDescent="0.35">
      <c r="A1014" s="1">
        <v>42382.556967592594</v>
      </c>
      <c r="B1014" s="2">
        <v>5.9143518518518521E-3</v>
      </c>
      <c r="C1014" t="s">
        <v>1653</v>
      </c>
      <c r="D1014" t="s">
        <v>35</v>
      </c>
      <c r="E1014" t="s">
        <v>36</v>
      </c>
      <c r="F1014" t="s">
        <v>327</v>
      </c>
      <c r="G1014">
        <v>1691426</v>
      </c>
      <c r="H1014" t="s">
        <v>26</v>
      </c>
      <c r="I1014" t="s">
        <v>328</v>
      </c>
      <c r="J1014" t="str">
        <f>"9781118839492"</f>
        <v>9781118839492</v>
      </c>
      <c r="K1014" t="s">
        <v>1846</v>
      </c>
      <c r="L1014">
        <v>20</v>
      </c>
      <c r="O1014" t="s">
        <v>30</v>
      </c>
      <c r="P1014" t="s">
        <v>29</v>
      </c>
      <c r="Q1014" s="1">
        <v>42377.075231481482</v>
      </c>
      <c r="R1014">
        <v>7</v>
      </c>
      <c r="S1014" t="s">
        <v>40</v>
      </c>
      <c r="T1014" t="s">
        <v>331</v>
      </c>
      <c r="U1014">
        <v>613.70460000000003</v>
      </c>
      <c r="V1014" s="3">
        <v>41772</v>
      </c>
    </row>
    <row r="1015" spans="1:22" x14ac:dyDescent="0.35">
      <c r="A1015" s="1">
        <v>42382.285717592589</v>
      </c>
      <c r="B1015" s="2">
        <v>3.5879629629629629E-3</v>
      </c>
      <c r="C1015" t="s">
        <v>520</v>
      </c>
      <c r="D1015" t="s">
        <v>23</v>
      </c>
      <c r="E1015" t="s">
        <v>24</v>
      </c>
      <c r="F1015" t="s">
        <v>1579</v>
      </c>
      <c r="G1015">
        <v>1161538</v>
      </c>
      <c r="H1015" t="s">
        <v>26</v>
      </c>
      <c r="I1015" t="s">
        <v>108</v>
      </c>
      <c r="J1015" t="str">
        <f>"9781118521755"</f>
        <v>9781118521755</v>
      </c>
      <c r="K1015" t="s">
        <v>1847</v>
      </c>
      <c r="L1015">
        <v>14</v>
      </c>
      <c r="O1015" t="s">
        <v>30</v>
      </c>
      <c r="P1015" t="s">
        <v>29</v>
      </c>
      <c r="Q1015" s="1">
        <v>42382.28570601852</v>
      </c>
      <c r="R1015">
        <v>7</v>
      </c>
      <c r="S1015" t="s">
        <v>31</v>
      </c>
      <c r="T1015" t="s">
        <v>1581</v>
      </c>
      <c r="U1015">
        <v>332.63220000000001</v>
      </c>
      <c r="V1015" s="3">
        <v>41359</v>
      </c>
    </row>
    <row r="1016" spans="1:22" x14ac:dyDescent="0.35">
      <c r="A1016" s="1">
        <v>42382.269305555557</v>
      </c>
      <c r="B1016" s="2">
        <v>1.6400462962962964E-2</v>
      </c>
      <c r="C1016" t="s">
        <v>520</v>
      </c>
      <c r="D1016" t="s">
        <v>23</v>
      </c>
      <c r="E1016" t="s">
        <v>24</v>
      </c>
      <c r="F1016" t="s">
        <v>1579</v>
      </c>
      <c r="G1016">
        <v>1161538</v>
      </c>
      <c r="H1016" t="s">
        <v>26</v>
      </c>
      <c r="I1016" t="s">
        <v>108</v>
      </c>
      <c r="J1016" t="str">
        <f>"9781118521755"</f>
        <v>9781118521755</v>
      </c>
      <c r="K1016" t="s">
        <v>1848</v>
      </c>
      <c r="L1016">
        <v>12</v>
      </c>
      <c r="O1016" t="s">
        <v>30</v>
      </c>
      <c r="P1016" t="s">
        <v>42</v>
      </c>
      <c r="S1016" t="s">
        <v>31</v>
      </c>
      <c r="T1016" t="s">
        <v>1581</v>
      </c>
      <c r="U1016">
        <v>332.63220000000001</v>
      </c>
      <c r="V1016" s="3">
        <v>41359</v>
      </c>
    </row>
    <row r="1017" spans="1:22" x14ac:dyDescent="0.35">
      <c r="A1017" s="1">
        <v>42382.149814814817</v>
      </c>
      <c r="B1017" s="2">
        <v>4.5150462962962962E-2</v>
      </c>
      <c r="C1017" t="s">
        <v>1411</v>
      </c>
      <c r="D1017" t="s">
        <v>35</v>
      </c>
      <c r="E1017" t="s">
        <v>36</v>
      </c>
      <c r="F1017" t="s">
        <v>327</v>
      </c>
      <c r="G1017">
        <v>1691426</v>
      </c>
      <c r="H1017" t="s">
        <v>26</v>
      </c>
      <c r="I1017" t="s">
        <v>328</v>
      </c>
      <c r="J1017" t="str">
        <f>"9781118839492"</f>
        <v>9781118839492</v>
      </c>
      <c r="K1017" t="s">
        <v>1849</v>
      </c>
      <c r="L1017">
        <v>22</v>
      </c>
      <c r="O1017" t="s">
        <v>30</v>
      </c>
      <c r="P1017" t="s">
        <v>29</v>
      </c>
      <c r="Q1017" s="1">
        <v>42377.646331018521</v>
      </c>
      <c r="R1017">
        <v>7</v>
      </c>
      <c r="S1017" t="s">
        <v>40</v>
      </c>
      <c r="T1017" t="s">
        <v>331</v>
      </c>
      <c r="U1017">
        <v>613.70460000000003</v>
      </c>
      <c r="V1017" s="3">
        <v>41772</v>
      </c>
    </row>
    <row r="1018" spans="1:22" x14ac:dyDescent="0.35">
      <c r="A1018" s="1">
        <v>42382.138148148151</v>
      </c>
      <c r="B1018" s="2">
        <v>0</v>
      </c>
      <c r="C1018" t="s">
        <v>1850</v>
      </c>
      <c r="D1018" t="s">
        <v>35</v>
      </c>
      <c r="E1018" t="s">
        <v>36</v>
      </c>
      <c r="F1018" t="s">
        <v>1851</v>
      </c>
      <c r="G1018">
        <v>1441204</v>
      </c>
      <c r="H1018" t="s">
        <v>68</v>
      </c>
      <c r="I1018" t="s">
        <v>297</v>
      </c>
      <c r="J1018" t="str">
        <f>"9781317926757"</f>
        <v>9781317926757</v>
      </c>
      <c r="L1018">
        <v>0</v>
      </c>
      <c r="O1018" t="s">
        <v>28</v>
      </c>
      <c r="P1018" t="s">
        <v>47</v>
      </c>
      <c r="Q1018" s="1">
        <v>42382.122418981482</v>
      </c>
      <c r="R1018">
        <v>1</v>
      </c>
      <c r="S1018" t="s">
        <v>40</v>
      </c>
      <c r="U1018">
        <v>510.71199999999999</v>
      </c>
      <c r="V1018" s="3">
        <v>41549</v>
      </c>
    </row>
    <row r="1019" spans="1:22" x14ac:dyDescent="0.35">
      <c r="A1019" s="1">
        <v>42382.122418981482</v>
      </c>
      <c r="B1019" s="2">
        <v>1.2291666666666666E-2</v>
      </c>
      <c r="C1019" t="s">
        <v>1850</v>
      </c>
      <c r="D1019" t="s">
        <v>35</v>
      </c>
      <c r="E1019" t="s">
        <v>36</v>
      </c>
      <c r="F1019" t="s">
        <v>1851</v>
      </c>
      <c r="G1019">
        <v>1441204</v>
      </c>
      <c r="H1019" t="s">
        <v>68</v>
      </c>
      <c r="I1019" t="s">
        <v>297</v>
      </c>
      <c r="J1019" t="str">
        <f>"9781317926757"</f>
        <v>9781317926757</v>
      </c>
      <c r="K1019" t="s">
        <v>1852</v>
      </c>
      <c r="L1019">
        <v>62</v>
      </c>
      <c r="O1019" t="s">
        <v>30</v>
      </c>
      <c r="P1019" t="s">
        <v>47</v>
      </c>
      <c r="Q1019" s="1">
        <v>42382.122418981482</v>
      </c>
      <c r="R1019">
        <v>1</v>
      </c>
      <c r="S1019" t="s">
        <v>40</v>
      </c>
      <c r="U1019">
        <v>510.71199999999999</v>
      </c>
      <c r="V1019" s="3">
        <v>41549</v>
      </c>
    </row>
    <row r="1020" spans="1:22" x14ac:dyDescent="0.35">
      <c r="A1020" s="1">
        <v>42382.11859953704</v>
      </c>
      <c r="B1020" s="2">
        <v>3.8194444444444443E-3</v>
      </c>
      <c r="C1020" t="s">
        <v>1850</v>
      </c>
      <c r="D1020" t="s">
        <v>35</v>
      </c>
      <c r="E1020" t="s">
        <v>36</v>
      </c>
      <c r="F1020" t="s">
        <v>1851</v>
      </c>
      <c r="G1020">
        <v>1441204</v>
      </c>
      <c r="H1020" t="s">
        <v>68</v>
      </c>
      <c r="I1020" t="s">
        <v>297</v>
      </c>
      <c r="J1020" t="str">
        <f>"9781317926757"</f>
        <v>9781317926757</v>
      </c>
      <c r="K1020" t="s">
        <v>1853</v>
      </c>
      <c r="L1020">
        <v>35</v>
      </c>
      <c r="O1020" t="s">
        <v>30</v>
      </c>
      <c r="P1020" t="s">
        <v>50</v>
      </c>
      <c r="S1020" t="s">
        <v>40</v>
      </c>
      <c r="U1020">
        <v>510.71199999999999</v>
      </c>
      <c r="V1020" s="3">
        <v>41549</v>
      </c>
    </row>
    <row r="1021" spans="1:22" x14ac:dyDescent="0.35">
      <c r="A1021" s="1">
        <v>42382.112175925926</v>
      </c>
      <c r="B1021" s="2">
        <v>6.5972222222222213E-4</v>
      </c>
      <c r="C1021" t="s">
        <v>1854</v>
      </c>
      <c r="D1021" t="s">
        <v>23</v>
      </c>
      <c r="E1021" t="s">
        <v>24</v>
      </c>
      <c r="F1021" t="s">
        <v>1855</v>
      </c>
      <c r="G1021">
        <v>1895162</v>
      </c>
      <c r="H1021" t="s">
        <v>26</v>
      </c>
      <c r="I1021" t="s">
        <v>276</v>
      </c>
      <c r="J1021" t="str">
        <f>"9781118951576"</f>
        <v>9781118951576</v>
      </c>
      <c r="K1021" t="s">
        <v>33</v>
      </c>
      <c r="L1021">
        <v>3</v>
      </c>
      <c r="O1021" t="s">
        <v>30</v>
      </c>
      <c r="P1021" t="s">
        <v>50</v>
      </c>
      <c r="S1021" t="s">
        <v>31</v>
      </c>
      <c r="T1021" t="s">
        <v>1856</v>
      </c>
      <c r="U1021" t="s">
        <v>1857</v>
      </c>
      <c r="V1021" s="3">
        <v>42159</v>
      </c>
    </row>
    <row r="1022" spans="1:22" x14ac:dyDescent="0.35">
      <c r="A1022" s="1">
        <v>42382.053344907406</v>
      </c>
      <c r="B1022" s="2">
        <v>3.4722222222222222E-5</v>
      </c>
      <c r="C1022" t="s">
        <v>1755</v>
      </c>
      <c r="D1022" t="s">
        <v>35</v>
      </c>
      <c r="E1022" t="s">
        <v>36</v>
      </c>
      <c r="F1022" t="s">
        <v>327</v>
      </c>
      <c r="G1022">
        <v>1691426</v>
      </c>
      <c r="H1022" t="s">
        <v>26</v>
      </c>
      <c r="I1022" t="s">
        <v>328</v>
      </c>
      <c r="J1022" t="str">
        <f>"9781118839492"</f>
        <v>9781118839492</v>
      </c>
      <c r="K1022" t="s">
        <v>1858</v>
      </c>
      <c r="L1022">
        <v>5</v>
      </c>
      <c r="O1022" t="s">
        <v>30</v>
      </c>
      <c r="P1022" t="s">
        <v>29</v>
      </c>
      <c r="Q1022" s="1">
        <v>42382.053344907406</v>
      </c>
      <c r="R1022">
        <v>7</v>
      </c>
      <c r="S1022" t="s">
        <v>40</v>
      </c>
      <c r="T1022" t="s">
        <v>331</v>
      </c>
      <c r="U1022">
        <v>613.70460000000003</v>
      </c>
      <c r="V1022" s="3">
        <v>41772</v>
      </c>
    </row>
    <row r="1023" spans="1:22" x14ac:dyDescent="0.35">
      <c r="A1023" s="1">
        <v>42382.043888888889</v>
      </c>
      <c r="B1023" s="2">
        <v>9.4560185185185181E-3</v>
      </c>
      <c r="C1023" t="s">
        <v>1755</v>
      </c>
      <c r="D1023" t="s">
        <v>35</v>
      </c>
      <c r="E1023" t="s">
        <v>36</v>
      </c>
      <c r="F1023" t="s">
        <v>327</v>
      </c>
      <c r="G1023">
        <v>1691426</v>
      </c>
      <c r="H1023" t="s">
        <v>26</v>
      </c>
      <c r="I1023" t="s">
        <v>328</v>
      </c>
      <c r="J1023" t="str">
        <f>"9781118839492"</f>
        <v>9781118839492</v>
      </c>
      <c r="K1023" t="s">
        <v>1859</v>
      </c>
      <c r="L1023">
        <v>28</v>
      </c>
      <c r="O1023" t="s">
        <v>30</v>
      </c>
      <c r="P1023" t="s">
        <v>42</v>
      </c>
      <c r="S1023" t="s">
        <v>40</v>
      </c>
      <c r="T1023" t="s">
        <v>331</v>
      </c>
      <c r="U1023">
        <v>613.70460000000003</v>
      </c>
      <c r="V1023" s="3">
        <v>41772</v>
      </c>
    </row>
    <row r="1024" spans="1:22" x14ac:dyDescent="0.35">
      <c r="A1024" s="1">
        <v>42382.003055555557</v>
      </c>
      <c r="B1024" s="2">
        <v>3.2199074074074074E-2</v>
      </c>
      <c r="C1024" t="s">
        <v>1680</v>
      </c>
      <c r="D1024" t="s">
        <v>35</v>
      </c>
      <c r="E1024" t="s">
        <v>36</v>
      </c>
      <c r="F1024" t="s">
        <v>327</v>
      </c>
      <c r="G1024">
        <v>1691426</v>
      </c>
      <c r="H1024" t="s">
        <v>26</v>
      </c>
      <c r="I1024" t="s">
        <v>328</v>
      </c>
      <c r="J1024" t="str">
        <f>"9781118839492"</f>
        <v>9781118839492</v>
      </c>
      <c r="K1024" t="s">
        <v>1860</v>
      </c>
      <c r="L1024">
        <v>46</v>
      </c>
      <c r="O1024" t="s">
        <v>30</v>
      </c>
      <c r="P1024" t="s">
        <v>29</v>
      </c>
      <c r="Q1024" s="1">
        <v>42381.0390162037</v>
      </c>
      <c r="R1024">
        <v>7</v>
      </c>
      <c r="S1024" t="s">
        <v>40</v>
      </c>
      <c r="T1024" t="s">
        <v>331</v>
      </c>
      <c r="U1024">
        <v>613.70460000000003</v>
      </c>
      <c r="V1024" s="3">
        <v>41772</v>
      </c>
    </row>
    <row r="1025" spans="1:22" x14ac:dyDescent="0.35">
      <c r="A1025" s="1">
        <v>42382.001087962963</v>
      </c>
      <c r="B1025" s="2">
        <v>2.7546296296296294E-3</v>
      </c>
      <c r="C1025" t="s">
        <v>1861</v>
      </c>
      <c r="D1025" t="s">
        <v>23</v>
      </c>
      <c r="E1025" t="s">
        <v>24</v>
      </c>
      <c r="F1025" t="s">
        <v>1862</v>
      </c>
      <c r="G1025">
        <v>1397211</v>
      </c>
      <c r="H1025" t="s">
        <v>68</v>
      </c>
      <c r="I1025" t="s">
        <v>97</v>
      </c>
      <c r="J1025" t="str">
        <f>"9781134718924"</f>
        <v>9781134718924</v>
      </c>
      <c r="K1025" t="s">
        <v>1863</v>
      </c>
      <c r="L1025">
        <v>18</v>
      </c>
      <c r="O1025" t="s">
        <v>30</v>
      </c>
      <c r="P1025" t="s">
        <v>50</v>
      </c>
      <c r="S1025" t="s">
        <v>31</v>
      </c>
      <c r="T1025" t="s">
        <v>1864</v>
      </c>
      <c r="U1025">
        <v>659.1</v>
      </c>
      <c r="V1025" s="3">
        <v>41530</v>
      </c>
    </row>
    <row r="1026" spans="1:22" x14ac:dyDescent="0.35">
      <c r="A1026" s="1">
        <v>42381.956192129626</v>
      </c>
      <c r="B1026" s="2">
        <v>2.5312500000000002E-2</v>
      </c>
      <c r="C1026" t="s">
        <v>1411</v>
      </c>
      <c r="D1026" t="s">
        <v>35</v>
      </c>
      <c r="E1026" t="s">
        <v>36</v>
      </c>
      <c r="F1026" t="s">
        <v>327</v>
      </c>
      <c r="G1026">
        <v>1691426</v>
      </c>
      <c r="H1026" t="s">
        <v>26</v>
      </c>
      <c r="I1026" t="s">
        <v>328</v>
      </c>
      <c r="J1026" t="str">
        <f>"9781118839492"</f>
        <v>9781118839492</v>
      </c>
      <c r="K1026" t="s">
        <v>1865</v>
      </c>
      <c r="L1026">
        <v>34</v>
      </c>
      <c r="O1026" t="s">
        <v>30</v>
      </c>
      <c r="P1026" t="s">
        <v>29</v>
      </c>
      <c r="Q1026" s="1">
        <v>42377.646331018521</v>
      </c>
      <c r="R1026">
        <v>7</v>
      </c>
      <c r="S1026" t="s">
        <v>40</v>
      </c>
      <c r="T1026" t="s">
        <v>331</v>
      </c>
      <c r="U1026">
        <v>613.70460000000003</v>
      </c>
      <c r="V1026" s="3">
        <v>41772</v>
      </c>
    </row>
    <row r="1027" spans="1:22" x14ac:dyDescent="0.35">
      <c r="A1027" s="1">
        <v>42381.940439814818</v>
      </c>
      <c r="B1027" s="2">
        <v>1.6435185185185183E-3</v>
      </c>
      <c r="C1027" t="s">
        <v>1866</v>
      </c>
      <c r="D1027" t="s">
        <v>23</v>
      </c>
      <c r="E1027" t="s">
        <v>24</v>
      </c>
      <c r="F1027" t="s">
        <v>1867</v>
      </c>
      <c r="G1027">
        <v>2122525</v>
      </c>
      <c r="H1027" t="s">
        <v>26</v>
      </c>
      <c r="I1027" t="s">
        <v>1325</v>
      </c>
      <c r="J1027" t="str">
        <f>"9781118369432"</f>
        <v>9781118369432</v>
      </c>
      <c r="K1027" t="s">
        <v>1868</v>
      </c>
      <c r="L1027">
        <v>46</v>
      </c>
      <c r="O1027" t="s">
        <v>30</v>
      </c>
      <c r="P1027" t="s">
        <v>42</v>
      </c>
      <c r="S1027" t="s">
        <v>31</v>
      </c>
      <c r="T1027" t="s">
        <v>1869</v>
      </c>
      <c r="U1027">
        <v>362.18</v>
      </c>
      <c r="V1027" s="3">
        <v>42150</v>
      </c>
    </row>
    <row r="1028" spans="1:22" x14ac:dyDescent="0.35">
      <c r="A1028" s="1">
        <v>42381.936979166669</v>
      </c>
      <c r="B1028" s="2">
        <v>0</v>
      </c>
      <c r="C1028" t="s">
        <v>1870</v>
      </c>
      <c r="D1028" t="s">
        <v>23</v>
      </c>
      <c r="E1028" t="s">
        <v>24</v>
      </c>
      <c r="F1028" t="s">
        <v>1871</v>
      </c>
      <c r="G1028">
        <v>1809736</v>
      </c>
      <c r="H1028" t="s">
        <v>26</v>
      </c>
      <c r="I1028" t="s">
        <v>1872</v>
      </c>
      <c r="J1028" t="str">
        <f>"9781118870242"</f>
        <v>9781118870242</v>
      </c>
      <c r="L1028">
        <v>0</v>
      </c>
      <c r="N1028" t="s">
        <v>1873</v>
      </c>
      <c r="O1028" t="s">
        <v>30</v>
      </c>
      <c r="P1028" t="s">
        <v>29</v>
      </c>
      <c r="Q1028" s="1">
        <v>42381.936979166669</v>
      </c>
      <c r="R1028">
        <v>7</v>
      </c>
      <c r="S1028" t="s">
        <v>31</v>
      </c>
      <c r="T1028" t="s">
        <v>1874</v>
      </c>
      <c r="U1028">
        <v>720.47076000000004</v>
      </c>
      <c r="V1028" s="3">
        <v>41911</v>
      </c>
    </row>
    <row r="1029" spans="1:22" x14ac:dyDescent="0.35">
      <c r="A1029" s="1">
        <v>42381.936851851853</v>
      </c>
      <c r="B1029" s="2">
        <v>1.273148148148148E-4</v>
      </c>
      <c r="C1029" t="s">
        <v>1870</v>
      </c>
      <c r="D1029" t="s">
        <v>23</v>
      </c>
      <c r="E1029" t="s">
        <v>24</v>
      </c>
      <c r="F1029" t="s">
        <v>1871</v>
      </c>
      <c r="G1029">
        <v>1809736</v>
      </c>
      <c r="H1029" t="s">
        <v>26</v>
      </c>
      <c r="I1029" t="s">
        <v>1872</v>
      </c>
      <c r="J1029" t="str">
        <f>"9781118870242"</f>
        <v>9781118870242</v>
      </c>
      <c r="K1029" t="s">
        <v>33</v>
      </c>
      <c r="L1029">
        <v>3</v>
      </c>
      <c r="O1029" t="s">
        <v>30</v>
      </c>
      <c r="P1029" t="s">
        <v>42</v>
      </c>
      <c r="S1029" t="s">
        <v>31</v>
      </c>
      <c r="T1029" t="s">
        <v>1874</v>
      </c>
      <c r="U1029">
        <v>720.47076000000004</v>
      </c>
      <c r="V1029" s="3">
        <v>41911</v>
      </c>
    </row>
    <row r="1030" spans="1:22" x14ac:dyDescent="0.35">
      <c r="A1030" s="1">
        <v>42381.86613425926</v>
      </c>
      <c r="B1030" s="2">
        <v>3.0092592592592595E-4</v>
      </c>
      <c r="C1030" t="s">
        <v>1875</v>
      </c>
      <c r="D1030" t="s">
        <v>35</v>
      </c>
      <c r="E1030" t="s">
        <v>36</v>
      </c>
      <c r="F1030" t="s">
        <v>1876</v>
      </c>
      <c r="G1030">
        <v>1583284</v>
      </c>
      <c r="H1030" t="s">
        <v>68</v>
      </c>
      <c r="I1030" t="s">
        <v>310</v>
      </c>
      <c r="J1030" t="str">
        <f>"9781317761938"</f>
        <v>9781317761938</v>
      </c>
      <c r="K1030" t="s">
        <v>1877</v>
      </c>
      <c r="L1030">
        <v>1</v>
      </c>
      <c r="O1030" t="s">
        <v>28</v>
      </c>
      <c r="P1030" t="s">
        <v>47</v>
      </c>
      <c r="Q1030" s="1">
        <v>42381.86613425926</v>
      </c>
      <c r="R1030">
        <v>7</v>
      </c>
      <c r="S1030" t="s">
        <v>40</v>
      </c>
      <c r="T1030" t="s">
        <v>1878</v>
      </c>
      <c r="U1030">
        <v>820.93550000000005</v>
      </c>
      <c r="V1030" s="3">
        <v>41627</v>
      </c>
    </row>
    <row r="1031" spans="1:22" x14ac:dyDescent="0.35">
      <c r="A1031" s="1">
        <v>42381.86613425926</v>
      </c>
      <c r="B1031" s="2">
        <v>0</v>
      </c>
      <c r="C1031" t="s">
        <v>1875</v>
      </c>
      <c r="D1031" t="s">
        <v>35</v>
      </c>
      <c r="E1031" t="s">
        <v>36</v>
      </c>
      <c r="F1031" t="s">
        <v>1876</v>
      </c>
      <c r="G1031">
        <v>1583284</v>
      </c>
      <c r="H1031" t="s">
        <v>68</v>
      </c>
      <c r="I1031" t="s">
        <v>310</v>
      </c>
      <c r="J1031" t="str">
        <f>"9781317761938"</f>
        <v>9781317761938</v>
      </c>
      <c r="L1031">
        <v>0</v>
      </c>
      <c r="O1031" t="s">
        <v>30</v>
      </c>
      <c r="P1031" t="s">
        <v>47</v>
      </c>
      <c r="Q1031" s="1">
        <v>42381.86613425926</v>
      </c>
      <c r="R1031">
        <v>7</v>
      </c>
      <c r="S1031" t="s">
        <v>40</v>
      </c>
      <c r="T1031" t="s">
        <v>1878</v>
      </c>
      <c r="U1031">
        <v>820.93550000000005</v>
      </c>
      <c r="V1031" s="3">
        <v>41627</v>
      </c>
    </row>
    <row r="1032" spans="1:22" x14ac:dyDescent="0.35">
      <c r="A1032" s="1">
        <v>42381.865416666667</v>
      </c>
      <c r="B1032" s="2">
        <v>7.175925925925927E-4</v>
      </c>
      <c r="C1032" t="s">
        <v>1875</v>
      </c>
      <c r="D1032" t="s">
        <v>35</v>
      </c>
      <c r="E1032" t="s">
        <v>36</v>
      </c>
      <c r="F1032" t="s">
        <v>1876</v>
      </c>
      <c r="G1032">
        <v>1583284</v>
      </c>
      <c r="H1032" t="s">
        <v>68</v>
      </c>
      <c r="I1032" t="s">
        <v>310</v>
      </c>
      <c r="J1032" t="str">
        <f>"9781317761938"</f>
        <v>9781317761938</v>
      </c>
      <c r="K1032" t="s">
        <v>1879</v>
      </c>
      <c r="L1032">
        <v>11</v>
      </c>
      <c r="O1032" t="s">
        <v>30</v>
      </c>
      <c r="P1032" t="s">
        <v>50</v>
      </c>
      <c r="S1032" t="s">
        <v>40</v>
      </c>
      <c r="T1032" t="s">
        <v>1878</v>
      </c>
      <c r="U1032">
        <v>820.93550000000005</v>
      </c>
      <c r="V1032" s="3">
        <v>41627</v>
      </c>
    </row>
    <row r="1033" spans="1:22" x14ac:dyDescent="0.35">
      <c r="A1033" s="1">
        <v>42381.862395833334</v>
      </c>
      <c r="B1033" s="2">
        <v>7.6736111111111111E-3</v>
      </c>
      <c r="C1033" t="s">
        <v>1880</v>
      </c>
      <c r="D1033" t="s">
        <v>23</v>
      </c>
      <c r="E1033" t="s">
        <v>24</v>
      </c>
      <c r="F1033" t="s">
        <v>1881</v>
      </c>
      <c r="G1033">
        <v>1356113</v>
      </c>
      <c r="H1033" t="s">
        <v>68</v>
      </c>
      <c r="I1033" t="s">
        <v>247</v>
      </c>
      <c r="J1033" t="str">
        <f>"9781135953560"</f>
        <v>9781135953560</v>
      </c>
      <c r="K1033" t="s">
        <v>1882</v>
      </c>
      <c r="L1033">
        <v>30</v>
      </c>
      <c r="O1033" t="s">
        <v>30</v>
      </c>
      <c r="P1033" t="s">
        <v>47</v>
      </c>
      <c r="Q1033" s="1">
        <v>42381.862395833334</v>
      </c>
      <c r="R1033">
        <v>1</v>
      </c>
      <c r="S1033" t="s">
        <v>31</v>
      </c>
      <c r="T1033" t="s">
        <v>1883</v>
      </c>
      <c r="U1033">
        <v>616.86059999999998</v>
      </c>
      <c r="V1033" s="3">
        <v>41507</v>
      </c>
    </row>
    <row r="1034" spans="1:22" x14ac:dyDescent="0.35">
      <c r="A1034" s="1">
        <v>42381.857777777775</v>
      </c>
      <c r="B1034" s="2">
        <v>4.6180555555555558E-3</v>
      </c>
      <c r="C1034" t="s">
        <v>1880</v>
      </c>
      <c r="D1034" t="s">
        <v>23</v>
      </c>
      <c r="E1034" t="s">
        <v>24</v>
      </c>
      <c r="F1034" t="s">
        <v>1881</v>
      </c>
      <c r="G1034">
        <v>1356113</v>
      </c>
      <c r="H1034" t="s">
        <v>68</v>
      </c>
      <c r="I1034" t="s">
        <v>247</v>
      </c>
      <c r="J1034" t="str">
        <f>"9781135953560"</f>
        <v>9781135953560</v>
      </c>
      <c r="K1034" t="s">
        <v>1884</v>
      </c>
      <c r="L1034">
        <v>12</v>
      </c>
      <c r="O1034" t="s">
        <v>30</v>
      </c>
      <c r="P1034" t="s">
        <v>50</v>
      </c>
      <c r="S1034" t="s">
        <v>31</v>
      </c>
      <c r="T1034" t="s">
        <v>1883</v>
      </c>
      <c r="U1034">
        <v>616.86059999999998</v>
      </c>
      <c r="V1034" s="3">
        <v>41507</v>
      </c>
    </row>
    <row r="1035" spans="1:22" x14ac:dyDescent="0.35">
      <c r="A1035" s="1">
        <v>42381.768067129633</v>
      </c>
      <c r="B1035" s="2">
        <v>4.7453703703703704E-4</v>
      </c>
      <c r="C1035" t="s">
        <v>1885</v>
      </c>
      <c r="D1035" t="s">
        <v>211</v>
      </c>
      <c r="E1035" t="s">
        <v>212</v>
      </c>
      <c r="F1035" t="s">
        <v>1886</v>
      </c>
      <c r="G1035">
        <v>1692797</v>
      </c>
      <c r="H1035" t="s">
        <v>45</v>
      </c>
      <c r="I1035" t="s">
        <v>310</v>
      </c>
      <c r="J1035" t="str">
        <f>"9781472431509"</f>
        <v>9781472431509</v>
      </c>
      <c r="K1035" t="s">
        <v>1887</v>
      </c>
      <c r="L1035">
        <v>12</v>
      </c>
      <c r="M1035" t="s">
        <v>1888</v>
      </c>
      <c r="N1035" t="s">
        <v>1889</v>
      </c>
      <c r="O1035" t="s">
        <v>28</v>
      </c>
      <c r="P1035" t="s">
        <v>29</v>
      </c>
      <c r="Q1035" s="1">
        <v>42381.76761574074</v>
      </c>
      <c r="R1035">
        <v>7</v>
      </c>
      <c r="S1035" t="s">
        <v>214</v>
      </c>
      <c r="T1035" t="s">
        <v>1890</v>
      </c>
      <c r="U1035" t="s">
        <v>1891</v>
      </c>
      <c r="V1035" s="3">
        <v>41848</v>
      </c>
    </row>
    <row r="1036" spans="1:22" x14ac:dyDescent="0.35">
      <c r="A1036" s="1">
        <v>42381.767627314817</v>
      </c>
      <c r="B1036" s="2">
        <v>0</v>
      </c>
      <c r="C1036" t="s">
        <v>1885</v>
      </c>
      <c r="D1036" t="s">
        <v>211</v>
      </c>
      <c r="E1036" t="s">
        <v>212</v>
      </c>
      <c r="F1036" t="s">
        <v>1886</v>
      </c>
      <c r="G1036">
        <v>1692797</v>
      </c>
      <c r="H1036" t="s">
        <v>45</v>
      </c>
      <c r="I1036" t="s">
        <v>310</v>
      </c>
      <c r="J1036" t="str">
        <f>"9781472431509"</f>
        <v>9781472431509</v>
      </c>
      <c r="L1036">
        <v>0</v>
      </c>
      <c r="M1036" t="s">
        <v>1888</v>
      </c>
      <c r="O1036" t="s">
        <v>30</v>
      </c>
      <c r="P1036" t="s">
        <v>29</v>
      </c>
      <c r="Q1036" s="1">
        <v>42381.76761574074</v>
      </c>
      <c r="R1036">
        <v>7</v>
      </c>
      <c r="S1036" t="s">
        <v>214</v>
      </c>
      <c r="T1036" t="s">
        <v>1890</v>
      </c>
      <c r="U1036" t="s">
        <v>1891</v>
      </c>
      <c r="V1036" s="3">
        <v>41848</v>
      </c>
    </row>
    <row r="1037" spans="1:22" x14ac:dyDescent="0.35">
      <c r="A1037" s="1">
        <v>42381.767280092594</v>
      </c>
      <c r="B1037" s="2">
        <v>3.3564814814814812E-4</v>
      </c>
      <c r="C1037" t="s">
        <v>1885</v>
      </c>
      <c r="D1037" t="s">
        <v>211</v>
      </c>
      <c r="E1037" t="s">
        <v>212</v>
      </c>
      <c r="F1037" t="s">
        <v>1886</v>
      </c>
      <c r="G1037">
        <v>1692797</v>
      </c>
      <c r="H1037" t="s">
        <v>45</v>
      </c>
      <c r="I1037" t="s">
        <v>310</v>
      </c>
      <c r="J1037" t="str">
        <f>"9781472431509"</f>
        <v>9781472431509</v>
      </c>
      <c r="K1037" t="s">
        <v>1892</v>
      </c>
      <c r="L1037">
        <v>8</v>
      </c>
      <c r="O1037" t="s">
        <v>30</v>
      </c>
      <c r="P1037" t="s">
        <v>42</v>
      </c>
      <c r="S1037" t="s">
        <v>214</v>
      </c>
      <c r="T1037" t="s">
        <v>1890</v>
      </c>
      <c r="U1037" t="s">
        <v>1891</v>
      </c>
      <c r="V1037" s="3">
        <v>41848</v>
      </c>
    </row>
    <row r="1038" spans="1:22" x14ac:dyDescent="0.35">
      <c r="A1038" s="1">
        <v>42381.752395833333</v>
      </c>
      <c r="B1038" s="2">
        <v>1.2731481481481483E-3</v>
      </c>
      <c r="C1038" t="s">
        <v>1893</v>
      </c>
      <c r="D1038" t="s">
        <v>35</v>
      </c>
      <c r="E1038" t="s">
        <v>36</v>
      </c>
      <c r="F1038" t="s">
        <v>327</v>
      </c>
      <c r="G1038">
        <v>1691426</v>
      </c>
      <c r="H1038" t="s">
        <v>26</v>
      </c>
      <c r="I1038" t="s">
        <v>328</v>
      </c>
      <c r="J1038" t="str">
        <f>"9781118839492"</f>
        <v>9781118839492</v>
      </c>
      <c r="K1038" t="s">
        <v>1894</v>
      </c>
      <c r="L1038">
        <v>11</v>
      </c>
      <c r="O1038" t="s">
        <v>30</v>
      </c>
      <c r="P1038" t="s">
        <v>29</v>
      </c>
      <c r="Q1038" s="1">
        <v>42374.871863425928</v>
      </c>
      <c r="R1038">
        <v>7</v>
      </c>
      <c r="S1038" t="s">
        <v>40</v>
      </c>
      <c r="T1038" t="s">
        <v>331</v>
      </c>
      <c r="U1038">
        <v>613.70460000000003</v>
      </c>
      <c r="V1038" s="3">
        <v>41772</v>
      </c>
    </row>
    <row r="1039" spans="1:22" x14ac:dyDescent="0.35">
      <c r="A1039" s="1">
        <v>42381.750775462962</v>
      </c>
      <c r="B1039" s="2">
        <v>1.6157407407407409E-2</v>
      </c>
      <c r="C1039" t="s">
        <v>1895</v>
      </c>
      <c r="D1039" t="s">
        <v>23</v>
      </c>
      <c r="E1039" t="s">
        <v>24</v>
      </c>
      <c r="F1039" t="s">
        <v>1896</v>
      </c>
      <c r="G1039">
        <v>1732296</v>
      </c>
      <c r="H1039" t="s">
        <v>26</v>
      </c>
      <c r="I1039" t="s">
        <v>1897</v>
      </c>
      <c r="J1039" t="str">
        <f>"9781118490945"</f>
        <v>9781118490945</v>
      </c>
      <c r="K1039" t="s">
        <v>1898</v>
      </c>
      <c r="L1039">
        <v>37</v>
      </c>
      <c r="O1039" t="s">
        <v>30</v>
      </c>
      <c r="P1039" t="s">
        <v>47</v>
      </c>
      <c r="Q1039" s="1">
        <v>42380.936759259261</v>
      </c>
      <c r="R1039">
        <v>1</v>
      </c>
      <c r="S1039" t="s">
        <v>31</v>
      </c>
      <c r="T1039" t="s">
        <v>1899</v>
      </c>
      <c r="U1039" t="s">
        <v>1900</v>
      </c>
      <c r="V1039" s="3">
        <v>41828</v>
      </c>
    </row>
    <row r="1040" spans="1:22" x14ac:dyDescent="0.35">
      <c r="A1040" s="1">
        <v>42381.738958333335</v>
      </c>
      <c r="B1040" s="2">
        <v>3.7384259259259263E-3</v>
      </c>
      <c r="C1040" t="s">
        <v>1717</v>
      </c>
      <c r="D1040" t="s">
        <v>35</v>
      </c>
      <c r="E1040" t="s">
        <v>36</v>
      </c>
      <c r="F1040" t="s">
        <v>327</v>
      </c>
      <c r="G1040">
        <v>1691426</v>
      </c>
      <c r="H1040" t="s">
        <v>26</v>
      </c>
      <c r="I1040" t="s">
        <v>328</v>
      </c>
      <c r="J1040" t="str">
        <f>"9781118839492"</f>
        <v>9781118839492</v>
      </c>
      <c r="K1040" t="s">
        <v>1901</v>
      </c>
      <c r="L1040">
        <v>28</v>
      </c>
      <c r="O1040" t="s">
        <v>30</v>
      </c>
      <c r="P1040" t="s">
        <v>42</v>
      </c>
      <c r="S1040" t="s">
        <v>40</v>
      </c>
      <c r="T1040" t="s">
        <v>331</v>
      </c>
      <c r="U1040">
        <v>613.70460000000003</v>
      </c>
      <c r="V1040" s="3">
        <v>41772</v>
      </c>
    </row>
    <row r="1041" spans="1:22" x14ac:dyDescent="0.35">
      <c r="A1041" s="1">
        <v>42381.69940972222</v>
      </c>
      <c r="B1041" s="2">
        <v>5.1064814814814813E-2</v>
      </c>
      <c r="C1041" t="s">
        <v>1893</v>
      </c>
      <c r="D1041" t="s">
        <v>35</v>
      </c>
      <c r="E1041" t="s">
        <v>36</v>
      </c>
      <c r="F1041" t="s">
        <v>327</v>
      </c>
      <c r="G1041">
        <v>1691426</v>
      </c>
      <c r="H1041" t="s">
        <v>26</v>
      </c>
      <c r="I1041" t="s">
        <v>328</v>
      </c>
      <c r="J1041" t="str">
        <f>"9781118839492"</f>
        <v>9781118839492</v>
      </c>
      <c r="K1041" t="s">
        <v>1902</v>
      </c>
      <c r="L1041">
        <v>38</v>
      </c>
      <c r="N1041" t="s">
        <v>1903</v>
      </c>
      <c r="O1041" t="s">
        <v>30</v>
      </c>
      <c r="P1041" t="s">
        <v>29</v>
      </c>
      <c r="Q1041" s="1">
        <v>42374.871863425928</v>
      </c>
      <c r="R1041">
        <v>7</v>
      </c>
      <c r="S1041" t="s">
        <v>40</v>
      </c>
      <c r="T1041" t="s">
        <v>331</v>
      </c>
      <c r="U1041">
        <v>613.70460000000003</v>
      </c>
      <c r="V1041" s="3">
        <v>41772</v>
      </c>
    </row>
    <row r="1042" spans="1:22" x14ac:dyDescent="0.35">
      <c r="A1042" s="1">
        <v>42381.689317129632</v>
      </c>
      <c r="B1042" s="2">
        <v>6.053240740740741E-3</v>
      </c>
      <c r="C1042" t="s">
        <v>1904</v>
      </c>
      <c r="D1042" t="s">
        <v>35</v>
      </c>
      <c r="E1042" t="s">
        <v>36</v>
      </c>
      <c r="F1042" t="s">
        <v>625</v>
      </c>
      <c r="G1042">
        <v>1566387</v>
      </c>
      <c r="H1042" t="s">
        <v>26</v>
      </c>
      <c r="I1042" t="s">
        <v>120</v>
      </c>
      <c r="J1042" t="str">
        <f>"9781118471906"</f>
        <v>9781118471906</v>
      </c>
      <c r="K1042" t="s">
        <v>1905</v>
      </c>
      <c r="L1042">
        <v>66</v>
      </c>
      <c r="M1042" t="s">
        <v>1906</v>
      </c>
      <c r="N1042" t="s">
        <v>1907</v>
      </c>
      <c r="O1042" t="s">
        <v>30</v>
      </c>
      <c r="P1042" t="s">
        <v>29</v>
      </c>
      <c r="Q1042" s="1">
        <v>42381.689317129632</v>
      </c>
      <c r="R1042">
        <v>7</v>
      </c>
      <c r="S1042" t="s">
        <v>40</v>
      </c>
      <c r="T1042" t="s">
        <v>628</v>
      </c>
      <c r="U1042">
        <v>301</v>
      </c>
      <c r="V1042" s="3">
        <v>41596</v>
      </c>
    </row>
    <row r="1043" spans="1:22" x14ac:dyDescent="0.35">
      <c r="A1043" s="1">
        <v>42381.68886574074</v>
      </c>
      <c r="B1043" s="2">
        <v>4.5138888888888892E-4</v>
      </c>
      <c r="C1043" t="s">
        <v>1904</v>
      </c>
      <c r="D1043" t="s">
        <v>35</v>
      </c>
      <c r="E1043" t="s">
        <v>36</v>
      </c>
      <c r="F1043" t="s">
        <v>625</v>
      </c>
      <c r="G1043">
        <v>1566387</v>
      </c>
      <c r="H1043" t="s">
        <v>26</v>
      </c>
      <c r="I1043" t="s">
        <v>120</v>
      </c>
      <c r="J1043" t="str">
        <f>"9781118471906"</f>
        <v>9781118471906</v>
      </c>
      <c r="K1043" t="s">
        <v>1908</v>
      </c>
      <c r="L1043">
        <v>7</v>
      </c>
      <c r="O1043" t="s">
        <v>30</v>
      </c>
      <c r="P1043" t="s">
        <v>42</v>
      </c>
      <c r="S1043" t="s">
        <v>40</v>
      </c>
      <c r="T1043" t="s">
        <v>628</v>
      </c>
      <c r="U1043">
        <v>301</v>
      </c>
      <c r="V1043" s="3">
        <v>41596</v>
      </c>
    </row>
    <row r="1044" spans="1:22" x14ac:dyDescent="0.35">
      <c r="A1044" s="1">
        <v>42381.68886574074</v>
      </c>
      <c r="B1044" s="2">
        <v>0</v>
      </c>
      <c r="C1044" t="s">
        <v>1904</v>
      </c>
      <c r="D1044" t="s">
        <v>35</v>
      </c>
      <c r="E1044" t="s">
        <v>36</v>
      </c>
      <c r="F1044" t="s">
        <v>625</v>
      </c>
      <c r="G1044">
        <v>1566387</v>
      </c>
      <c r="H1044" t="s">
        <v>26</v>
      </c>
      <c r="I1044" t="s">
        <v>120</v>
      </c>
      <c r="J1044" t="str">
        <f>"9781118471906"</f>
        <v>9781118471906</v>
      </c>
      <c r="L1044">
        <v>0</v>
      </c>
      <c r="O1044" t="s">
        <v>30</v>
      </c>
      <c r="P1044" t="s">
        <v>42</v>
      </c>
      <c r="S1044" t="s">
        <v>40</v>
      </c>
      <c r="T1044" t="s">
        <v>628</v>
      </c>
      <c r="U1044">
        <v>301</v>
      </c>
      <c r="V1044" s="3">
        <v>41596</v>
      </c>
    </row>
    <row r="1045" spans="1:22" x14ac:dyDescent="0.35">
      <c r="A1045" s="1">
        <v>42381.653275462966</v>
      </c>
      <c r="B1045" s="2">
        <v>2.4525462962962968E-2</v>
      </c>
      <c r="C1045" t="s">
        <v>471</v>
      </c>
      <c r="D1045" t="s">
        <v>211</v>
      </c>
      <c r="E1045" t="s">
        <v>212</v>
      </c>
      <c r="F1045" t="s">
        <v>497</v>
      </c>
      <c r="G1045">
        <v>1986951</v>
      </c>
      <c r="H1045" t="s">
        <v>26</v>
      </c>
      <c r="I1045" t="s">
        <v>97</v>
      </c>
      <c r="J1045" t="str">
        <f>"9781119130468"</f>
        <v>9781119130468</v>
      </c>
      <c r="K1045" t="s">
        <v>1909</v>
      </c>
      <c r="L1045">
        <v>15</v>
      </c>
      <c r="M1045" t="s">
        <v>1910</v>
      </c>
      <c r="O1045" t="s">
        <v>30</v>
      </c>
      <c r="P1045" t="s">
        <v>29</v>
      </c>
      <c r="Q1045" s="1">
        <v>42377.845729166664</v>
      </c>
      <c r="R1045">
        <v>7</v>
      </c>
      <c r="S1045" t="s">
        <v>214</v>
      </c>
      <c r="T1045" t="s">
        <v>500</v>
      </c>
      <c r="U1045">
        <v>657.07600000000002</v>
      </c>
      <c r="V1045" s="3">
        <v>42143</v>
      </c>
    </row>
    <row r="1046" spans="1:22" x14ac:dyDescent="0.35">
      <c r="A1046" s="1">
        <v>42381.652916666666</v>
      </c>
      <c r="B1046" s="2">
        <v>5.7870370370370366E-5</v>
      </c>
      <c r="C1046" t="s">
        <v>471</v>
      </c>
      <c r="D1046" t="s">
        <v>211</v>
      </c>
      <c r="E1046" t="s">
        <v>212</v>
      </c>
      <c r="F1046" t="s">
        <v>497</v>
      </c>
      <c r="G1046">
        <v>1986951</v>
      </c>
      <c r="H1046" t="s">
        <v>26</v>
      </c>
      <c r="I1046" t="s">
        <v>97</v>
      </c>
      <c r="J1046" t="str">
        <f>"9781119130468"</f>
        <v>9781119130468</v>
      </c>
      <c r="K1046" t="s">
        <v>33</v>
      </c>
      <c r="L1046">
        <v>3</v>
      </c>
      <c r="O1046" t="s">
        <v>30</v>
      </c>
      <c r="P1046" t="s">
        <v>29</v>
      </c>
      <c r="Q1046" s="1">
        <v>42377.845729166664</v>
      </c>
      <c r="R1046">
        <v>7</v>
      </c>
      <c r="S1046" t="s">
        <v>214</v>
      </c>
      <c r="T1046" t="s">
        <v>500</v>
      </c>
      <c r="U1046">
        <v>657.07600000000002</v>
      </c>
      <c r="V1046" s="3">
        <v>42143</v>
      </c>
    </row>
    <row r="1047" spans="1:22" x14ac:dyDescent="0.35">
      <c r="A1047" s="1">
        <v>42381.572939814818</v>
      </c>
      <c r="B1047" s="2">
        <v>9.9537037037037042E-4</v>
      </c>
      <c r="C1047" t="s">
        <v>1911</v>
      </c>
      <c r="D1047" t="s">
        <v>23</v>
      </c>
      <c r="E1047" t="s">
        <v>24</v>
      </c>
      <c r="F1047" t="s">
        <v>1912</v>
      </c>
      <c r="G1047">
        <v>1539385</v>
      </c>
      <c r="H1047" t="s">
        <v>68</v>
      </c>
      <c r="I1047" t="s">
        <v>1913</v>
      </c>
      <c r="J1047" t="str">
        <f>"9781136689659"</f>
        <v>9781136689659</v>
      </c>
      <c r="K1047" t="s">
        <v>1914</v>
      </c>
      <c r="L1047">
        <v>21</v>
      </c>
      <c r="O1047" t="s">
        <v>30</v>
      </c>
      <c r="P1047" t="s">
        <v>50</v>
      </c>
      <c r="S1047" t="s">
        <v>31</v>
      </c>
      <c r="T1047" t="s">
        <v>1915</v>
      </c>
      <c r="U1047">
        <v>808</v>
      </c>
      <c r="V1047" s="3">
        <v>41583</v>
      </c>
    </row>
    <row r="1048" spans="1:22" x14ac:dyDescent="0.35">
      <c r="A1048" s="1">
        <v>42381.567326388889</v>
      </c>
      <c r="B1048" s="2">
        <v>8.449074074074075E-4</v>
      </c>
      <c r="C1048" t="s">
        <v>1911</v>
      </c>
      <c r="D1048" t="s">
        <v>23</v>
      </c>
      <c r="E1048" t="s">
        <v>24</v>
      </c>
      <c r="F1048" t="s">
        <v>1916</v>
      </c>
      <c r="G1048">
        <v>1356315</v>
      </c>
      <c r="H1048" t="s">
        <v>68</v>
      </c>
      <c r="I1048" t="s">
        <v>1913</v>
      </c>
      <c r="J1048" t="str">
        <f>"9781136471865"</f>
        <v>9781136471865</v>
      </c>
      <c r="K1048" t="s">
        <v>1917</v>
      </c>
      <c r="L1048">
        <v>9</v>
      </c>
      <c r="O1048" t="s">
        <v>30</v>
      </c>
      <c r="P1048" t="s">
        <v>47</v>
      </c>
      <c r="Q1048" s="1">
        <v>42381.567326388889</v>
      </c>
      <c r="R1048">
        <v>1</v>
      </c>
      <c r="S1048" t="s">
        <v>31</v>
      </c>
      <c r="T1048" t="s">
        <v>1918</v>
      </c>
      <c r="U1048">
        <v>808.04200000000003</v>
      </c>
      <c r="V1048" s="3">
        <v>41508</v>
      </c>
    </row>
    <row r="1049" spans="1:22" x14ac:dyDescent="0.35">
      <c r="A1049" s="1">
        <v>42381.563726851855</v>
      </c>
      <c r="B1049" s="2">
        <v>3.5995370370370369E-3</v>
      </c>
      <c r="C1049" t="s">
        <v>1911</v>
      </c>
      <c r="D1049" t="s">
        <v>23</v>
      </c>
      <c r="E1049" t="s">
        <v>24</v>
      </c>
      <c r="F1049" t="s">
        <v>1916</v>
      </c>
      <c r="G1049">
        <v>1356315</v>
      </c>
      <c r="H1049" t="s">
        <v>68</v>
      </c>
      <c r="I1049" t="s">
        <v>1913</v>
      </c>
      <c r="J1049" t="str">
        <f>"9781136471865"</f>
        <v>9781136471865</v>
      </c>
      <c r="K1049" t="s">
        <v>1919</v>
      </c>
      <c r="L1049">
        <v>30</v>
      </c>
      <c r="O1049" t="s">
        <v>30</v>
      </c>
      <c r="P1049" t="s">
        <v>50</v>
      </c>
      <c r="S1049" t="s">
        <v>31</v>
      </c>
      <c r="T1049" t="s">
        <v>1918</v>
      </c>
      <c r="U1049">
        <v>808.04200000000003</v>
      </c>
      <c r="V1049" s="3">
        <v>41508</v>
      </c>
    </row>
    <row r="1050" spans="1:22" x14ac:dyDescent="0.35">
      <c r="A1050" s="1">
        <v>42381.324907407405</v>
      </c>
      <c r="B1050" s="2">
        <v>0.11174768518518519</v>
      </c>
      <c r="C1050" t="s">
        <v>1411</v>
      </c>
      <c r="D1050" t="s">
        <v>35</v>
      </c>
      <c r="E1050" t="s">
        <v>36</v>
      </c>
      <c r="F1050" t="s">
        <v>327</v>
      </c>
      <c r="G1050">
        <v>1691426</v>
      </c>
      <c r="H1050" t="s">
        <v>26</v>
      </c>
      <c r="I1050" t="s">
        <v>328</v>
      </c>
      <c r="J1050" t="str">
        <f>"9781118839492"</f>
        <v>9781118839492</v>
      </c>
      <c r="K1050" t="s">
        <v>1920</v>
      </c>
      <c r="L1050">
        <v>36</v>
      </c>
      <c r="O1050" t="s">
        <v>30</v>
      </c>
      <c r="P1050" t="s">
        <v>29</v>
      </c>
      <c r="Q1050" s="1">
        <v>42377.646331018521</v>
      </c>
      <c r="R1050">
        <v>7</v>
      </c>
      <c r="S1050" t="s">
        <v>40</v>
      </c>
      <c r="T1050" t="s">
        <v>331</v>
      </c>
      <c r="U1050">
        <v>613.70460000000003</v>
      </c>
      <c r="V1050" s="3">
        <v>41772</v>
      </c>
    </row>
    <row r="1051" spans="1:22" x14ac:dyDescent="0.35">
      <c r="A1051" s="1">
        <v>42381.212407407409</v>
      </c>
      <c r="B1051" s="2">
        <v>2.3148148148148146E-4</v>
      </c>
      <c r="C1051" t="s">
        <v>1921</v>
      </c>
      <c r="D1051" t="s">
        <v>23</v>
      </c>
      <c r="E1051" t="s">
        <v>24</v>
      </c>
      <c r="F1051" t="s">
        <v>1922</v>
      </c>
      <c r="G1051">
        <v>1562421</v>
      </c>
      <c r="H1051" t="s">
        <v>26</v>
      </c>
      <c r="I1051" t="s">
        <v>27</v>
      </c>
      <c r="J1051" t="str">
        <f>"9781118587928"</f>
        <v>9781118587928</v>
      </c>
      <c r="K1051" t="s">
        <v>1923</v>
      </c>
      <c r="L1051">
        <v>8</v>
      </c>
      <c r="O1051" t="s">
        <v>30</v>
      </c>
      <c r="P1051" t="s">
        <v>47</v>
      </c>
      <c r="Q1051" s="1">
        <v>42380.882789351854</v>
      </c>
      <c r="R1051">
        <v>1</v>
      </c>
      <c r="S1051" t="s">
        <v>31</v>
      </c>
      <c r="T1051" t="s">
        <v>1924</v>
      </c>
      <c r="U1051" t="s">
        <v>1925</v>
      </c>
      <c r="V1051" s="3">
        <v>41589</v>
      </c>
    </row>
    <row r="1052" spans="1:22" x14ac:dyDescent="0.35">
      <c r="A1052" s="1">
        <v>42381.143483796295</v>
      </c>
      <c r="B1052" s="2">
        <v>2.4305555555555552E-4</v>
      </c>
      <c r="C1052" t="s">
        <v>170</v>
      </c>
      <c r="D1052" t="s">
        <v>23</v>
      </c>
      <c r="E1052" t="s">
        <v>24</v>
      </c>
      <c r="F1052" t="s">
        <v>1926</v>
      </c>
      <c r="G1052">
        <v>1356259</v>
      </c>
      <c r="H1052" t="s">
        <v>68</v>
      </c>
      <c r="I1052" t="s">
        <v>1927</v>
      </c>
      <c r="J1052" t="str">
        <f>"9781134260980"</f>
        <v>9781134260980</v>
      </c>
      <c r="K1052" t="s">
        <v>1928</v>
      </c>
      <c r="L1052">
        <v>2</v>
      </c>
      <c r="O1052" t="s">
        <v>30</v>
      </c>
      <c r="P1052" t="s">
        <v>47</v>
      </c>
      <c r="Q1052" s="1">
        <v>42381.143483796295</v>
      </c>
      <c r="R1052">
        <v>1</v>
      </c>
      <c r="S1052" t="s">
        <v>31</v>
      </c>
      <c r="T1052" t="s">
        <v>1929</v>
      </c>
      <c r="U1052">
        <v>333.7</v>
      </c>
      <c r="V1052" s="3">
        <v>41507</v>
      </c>
    </row>
    <row r="1053" spans="1:22" x14ac:dyDescent="0.35">
      <c r="A1053" s="1">
        <v>42381.139756944445</v>
      </c>
      <c r="B1053" s="2">
        <v>3.7152777777777774E-3</v>
      </c>
      <c r="C1053" t="s">
        <v>170</v>
      </c>
      <c r="D1053" t="s">
        <v>23</v>
      </c>
      <c r="E1053" t="s">
        <v>24</v>
      </c>
      <c r="F1053" t="s">
        <v>1926</v>
      </c>
      <c r="G1053">
        <v>1356259</v>
      </c>
      <c r="H1053" t="s">
        <v>68</v>
      </c>
      <c r="I1053" t="s">
        <v>1927</v>
      </c>
      <c r="J1053" t="str">
        <f>"9781134260980"</f>
        <v>9781134260980</v>
      </c>
      <c r="K1053" t="s">
        <v>1930</v>
      </c>
      <c r="L1053">
        <v>37</v>
      </c>
      <c r="O1053" t="s">
        <v>30</v>
      </c>
      <c r="P1053" t="s">
        <v>50</v>
      </c>
      <c r="S1053" t="s">
        <v>31</v>
      </c>
      <c r="T1053" t="s">
        <v>1929</v>
      </c>
      <c r="U1053">
        <v>333.7</v>
      </c>
      <c r="V1053" s="3">
        <v>41507</v>
      </c>
    </row>
    <row r="1054" spans="1:22" x14ac:dyDescent="0.35">
      <c r="A1054" s="1">
        <v>42381.132824074077</v>
      </c>
      <c r="B1054" s="2">
        <v>0</v>
      </c>
      <c r="C1054" t="s">
        <v>1931</v>
      </c>
      <c r="D1054" t="s">
        <v>23</v>
      </c>
      <c r="E1054" t="s">
        <v>24</v>
      </c>
      <c r="F1054" t="s">
        <v>1932</v>
      </c>
      <c r="G1054">
        <v>1487202</v>
      </c>
      <c r="H1054" t="s">
        <v>68</v>
      </c>
      <c r="I1054" t="s">
        <v>1933</v>
      </c>
      <c r="J1054" t="str">
        <f>"9781135323523"</f>
        <v>9781135323523</v>
      </c>
      <c r="L1054">
        <v>0</v>
      </c>
      <c r="O1054" t="s">
        <v>28</v>
      </c>
      <c r="P1054" t="s">
        <v>47</v>
      </c>
      <c r="Q1054" s="1">
        <v>42381.131863425922</v>
      </c>
      <c r="R1054">
        <v>1</v>
      </c>
      <c r="S1054" t="s">
        <v>31</v>
      </c>
      <c r="T1054" t="s">
        <v>1934</v>
      </c>
      <c r="U1054">
        <v>641.300973</v>
      </c>
      <c r="V1054" s="3">
        <v>41565</v>
      </c>
    </row>
    <row r="1055" spans="1:22" x14ac:dyDescent="0.35">
      <c r="A1055" s="1">
        <v>42381.131863425922</v>
      </c>
      <c r="B1055" s="2">
        <v>0</v>
      </c>
      <c r="C1055" t="s">
        <v>1931</v>
      </c>
      <c r="D1055" t="s">
        <v>23</v>
      </c>
      <c r="E1055" t="s">
        <v>24</v>
      </c>
      <c r="F1055" t="s">
        <v>1932</v>
      </c>
      <c r="G1055">
        <v>1487202</v>
      </c>
      <c r="H1055" t="s">
        <v>68</v>
      </c>
      <c r="I1055" t="s">
        <v>1933</v>
      </c>
      <c r="J1055" t="str">
        <f>"9781135323523"</f>
        <v>9781135323523</v>
      </c>
      <c r="L1055">
        <v>0</v>
      </c>
      <c r="O1055" t="s">
        <v>28</v>
      </c>
      <c r="P1055" t="s">
        <v>47</v>
      </c>
      <c r="Q1055" s="1">
        <v>42381.131863425922</v>
      </c>
      <c r="R1055">
        <v>1</v>
      </c>
      <c r="S1055" t="s">
        <v>31</v>
      </c>
      <c r="T1055" t="s">
        <v>1934</v>
      </c>
      <c r="U1055">
        <v>641.300973</v>
      </c>
      <c r="V1055" s="3">
        <v>41565</v>
      </c>
    </row>
    <row r="1056" spans="1:22" x14ac:dyDescent="0.35">
      <c r="A1056" s="1">
        <v>42381.131863425922</v>
      </c>
      <c r="B1056" s="2">
        <v>0</v>
      </c>
      <c r="C1056" t="s">
        <v>1931</v>
      </c>
      <c r="D1056" t="s">
        <v>23</v>
      </c>
      <c r="E1056" t="s">
        <v>24</v>
      </c>
      <c r="F1056" t="s">
        <v>1932</v>
      </c>
      <c r="G1056">
        <v>1487202</v>
      </c>
      <c r="H1056" t="s">
        <v>68</v>
      </c>
      <c r="I1056" t="s">
        <v>1933</v>
      </c>
      <c r="J1056" t="str">
        <f>"9781135323523"</f>
        <v>9781135323523</v>
      </c>
      <c r="L1056">
        <v>0</v>
      </c>
      <c r="O1056" t="s">
        <v>30</v>
      </c>
      <c r="P1056" t="s">
        <v>47</v>
      </c>
      <c r="Q1056" s="1">
        <v>42381.131863425922</v>
      </c>
      <c r="R1056">
        <v>1</v>
      </c>
      <c r="S1056" t="s">
        <v>31</v>
      </c>
      <c r="T1056" t="s">
        <v>1934</v>
      </c>
      <c r="U1056">
        <v>641.300973</v>
      </c>
      <c r="V1056" s="3">
        <v>41565</v>
      </c>
    </row>
    <row r="1057" spans="1:22" x14ac:dyDescent="0.35">
      <c r="A1057" s="1">
        <v>42381.131516203706</v>
      </c>
      <c r="B1057" s="2">
        <v>3.4722222222222224E-4</v>
      </c>
      <c r="C1057" t="s">
        <v>1931</v>
      </c>
      <c r="D1057" t="s">
        <v>23</v>
      </c>
      <c r="E1057" t="s">
        <v>24</v>
      </c>
      <c r="F1057" t="s">
        <v>1932</v>
      </c>
      <c r="G1057">
        <v>1487202</v>
      </c>
      <c r="H1057" t="s">
        <v>68</v>
      </c>
      <c r="I1057" t="s">
        <v>1933</v>
      </c>
      <c r="J1057" t="str">
        <f>"9781135323523"</f>
        <v>9781135323523</v>
      </c>
      <c r="K1057" t="s">
        <v>33</v>
      </c>
      <c r="L1057">
        <v>3</v>
      </c>
      <c r="O1057" t="s">
        <v>30</v>
      </c>
      <c r="P1057" t="s">
        <v>50</v>
      </c>
      <c r="S1057" t="s">
        <v>31</v>
      </c>
      <c r="T1057" t="s">
        <v>1934</v>
      </c>
      <c r="U1057">
        <v>641.300973</v>
      </c>
      <c r="V1057" s="3">
        <v>41565</v>
      </c>
    </row>
    <row r="1058" spans="1:22" x14ac:dyDescent="0.35">
      <c r="A1058" s="1">
        <v>42381.125567129631</v>
      </c>
      <c r="B1058" s="2">
        <v>4.7453703703703704E-4</v>
      </c>
      <c r="C1058" t="s">
        <v>89</v>
      </c>
      <c r="D1058" t="s">
        <v>23</v>
      </c>
      <c r="E1058" t="s">
        <v>24</v>
      </c>
      <c r="F1058" t="s">
        <v>90</v>
      </c>
      <c r="G1058">
        <v>1683360</v>
      </c>
      <c r="H1058" t="s">
        <v>91</v>
      </c>
      <c r="I1058" t="s">
        <v>92</v>
      </c>
      <c r="J1058" t="str">
        <f>"9781462516032"</f>
        <v>9781462516032</v>
      </c>
      <c r="K1058" t="s">
        <v>1935</v>
      </c>
      <c r="L1058">
        <v>14</v>
      </c>
      <c r="O1058" t="s">
        <v>30</v>
      </c>
      <c r="P1058" t="s">
        <v>42</v>
      </c>
      <c r="S1058" t="s">
        <v>31</v>
      </c>
      <c r="T1058" t="s">
        <v>94</v>
      </c>
      <c r="U1058">
        <v>1.42</v>
      </c>
      <c r="V1058" s="3">
        <v>41823</v>
      </c>
    </row>
    <row r="1059" spans="1:22" x14ac:dyDescent="0.35">
      <c r="A1059" s="1">
        <v>42381.064270833333</v>
      </c>
      <c r="B1059" s="2">
        <v>3.8310185185185183E-2</v>
      </c>
      <c r="C1059" t="s">
        <v>1921</v>
      </c>
      <c r="D1059" t="s">
        <v>23</v>
      </c>
      <c r="E1059" t="s">
        <v>24</v>
      </c>
      <c r="F1059" t="s">
        <v>1922</v>
      </c>
      <c r="G1059">
        <v>1562421</v>
      </c>
      <c r="H1059" t="s">
        <v>26</v>
      </c>
      <c r="I1059" t="s">
        <v>27</v>
      </c>
      <c r="J1059" t="str">
        <f>"9781118587928"</f>
        <v>9781118587928</v>
      </c>
      <c r="K1059" t="s">
        <v>1936</v>
      </c>
      <c r="L1059">
        <v>187</v>
      </c>
      <c r="O1059" t="s">
        <v>30</v>
      </c>
      <c r="P1059" t="s">
        <v>47</v>
      </c>
      <c r="Q1059" s="1">
        <v>42380.882789351854</v>
      </c>
      <c r="R1059">
        <v>1</v>
      </c>
      <c r="S1059" t="s">
        <v>31</v>
      </c>
      <c r="T1059" t="s">
        <v>1924</v>
      </c>
      <c r="U1059" t="s">
        <v>1925</v>
      </c>
      <c r="V1059" s="3">
        <v>41589</v>
      </c>
    </row>
    <row r="1060" spans="1:22" x14ac:dyDescent="0.35">
      <c r="A1060" s="1">
        <v>42381.060636574075</v>
      </c>
      <c r="B1060" s="2">
        <v>1.8981481481481482E-3</v>
      </c>
      <c r="C1060" t="s">
        <v>1921</v>
      </c>
      <c r="D1060" t="s">
        <v>23</v>
      </c>
      <c r="E1060" t="s">
        <v>24</v>
      </c>
      <c r="F1060" t="s">
        <v>1922</v>
      </c>
      <c r="G1060">
        <v>1562421</v>
      </c>
      <c r="H1060" t="s">
        <v>26</v>
      </c>
      <c r="I1060" t="s">
        <v>27</v>
      </c>
      <c r="J1060" t="str">
        <f>"9781118587928"</f>
        <v>9781118587928</v>
      </c>
      <c r="K1060" t="s">
        <v>1937</v>
      </c>
      <c r="L1060">
        <v>9</v>
      </c>
      <c r="O1060" t="s">
        <v>30</v>
      </c>
      <c r="P1060" t="s">
        <v>47</v>
      </c>
      <c r="Q1060" s="1">
        <v>42380.882789351854</v>
      </c>
      <c r="R1060">
        <v>1</v>
      </c>
      <c r="S1060" t="s">
        <v>31</v>
      </c>
      <c r="T1060" t="s">
        <v>1924</v>
      </c>
      <c r="U1060" t="s">
        <v>1925</v>
      </c>
      <c r="V1060" s="3">
        <v>41589</v>
      </c>
    </row>
    <row r="1061" spans="1:22" x14ac:dyDescent="0.35">
      <c r="A1061" s="1">
        <v>42381.054884259262</v>
      </c>
      <c r="B1061" s="2">
        <v>1.9097222222222222E-3</v>
      </c>
      <c r="C1061" t="s">
        <v>988</v>
      </c>
      <c r="D1061" t="s">
        <v>23</v>
      </c>
      <c r="E1061" t="s">
        <v>24</v>
      </c>
      <c r="F1061" t="s">
        <v>989</v>
      </c>
      <c r="G1061">
        <v>330580</v>
      </c>
      <c r="H1061" t="s">
        <v>91</v>
      </c>
      <c r="I1061" t="s">
        <v>247</v>
      </c>
      <c r="J1061" t="str">
        <f>"9781593859398"</f>
        <v>9781593859398</v>
      </c>
      <c r="K1061" t="s">
        <v>1938</v>
      </c>
      <c r="L1061">
        <v>2</v>
      </c>
      <c r="O1061" t="s">
        <v>30</v>
      </c>
      <c r="P1061" t="s">
        <v>47</v>
      </c>
      <c r="Q1061" s="1">
        <v>42381.054884259262</v>
      </c>
      <c r="R1061">
        <v>1</v>
      </c>
      <c r="S1061" t="s">
        <v>31</v>
      </c>
      <c r="T1061" t="s">
        <v>991</v>
      </c>
      <c r="U1061">
        <v>616.89142000000004</v>
      </c>
      <c r="V1061" s="3">
        <v>41773</v>
      </c>
    </row>
    <row r="1062" spans="1:22" x14ac:dyDescent="0.35">
      <c r="A1062" s="1">
        <v>42381.054085648146</v>
      </c>
      <c r="B1062" s="2">
        <v>5.5208333333333333E-3</v>
      </c>
      <c r="C1062" t="s">
        <v>1921</v>
      </c>
      <c r="D1062" t="s">
        <v>23</v>
      </c>
      <c r="E1062" t="s">
        <v>24</v>
      </c>
      <c r="F1062" t="s">
        <v>1922</v>
      </c>
      <c r="G1062">
        <v>1562421</v>
      </c>
      <c r="H1062" t="s">
        <v>26</v>
      </c>
      <c r="I1062" t="s">
        <v>27</v>
      </c>
      <c r="J1062" t="str">
        <f>"9781118587928"</f>
        <v>9781118587928</v>
      </c>
      <c r="K1062" t="s">
        <v>1939</v>
      </c>
      <c r="L1062">
        <v>36</v>
      </c>
      <c r="O1062" t="s">
        <v>30</v>
      </c>
      <c r="P1062" t="s">
        <v>47</v>
      </c>
      <c r="Q1062" s="1">
        <v>42380.882789351854</v>
      </c>
      <c r="R1062">
        <v>1</v>
      </c>
      <c r="S1062" t="s">
        <v>31</v>
      </c>
      <c r="T1062" t="s">
        <v>1924</v>
      </c>
      <c r="U1062" t="s">
        <v>1925</v>
      </c>
      <c r="V1062" s="3">
        <v>41589</v>
      </c>
    </row>
    <row r="1063" spans="1:22" x14ac:dyDescent="0.35">
      <c r="A1063" s="1">
        <v>42381.0390162037</v>
      </c>
      <c r="B1063" s="2">
        <v>3.0879629629629632E-2</v>
      </c>
      <c r="C1063" t="s">
        <v>1680</v>
      </c>
      <c r="D1063" t="s">
        <v>35</v>
      </c>
      <c r="E1063" t="s">
        <v>36</v>
      </c>
      <c r="F1063" t="s">
        <v>327</v>
      </c>
      <c r="G1063">
        <v>1691426</v>
      </c>
      <c r="H1063" t="s">
        <v>26</v>
      </c>
      <c r="I1063" t="s">
        <v>328</v>
      </c>
      <c r="J1063" t="str">
        <f>"9781118839492"</f>
        <v>9781118839492</v>
      </c>
      <c r="K1063" t="s">
        <v>1940</v>
      </c>
      <c r="L1063">
        <v>24</v>
      </c>
      <c r="O1063" t="s">
        <v>30</v>
      </c>
      <c r="P1063" t="s">
        <v>29</v>
      </c>
      <c r="Q1063" s="1">
        <v>42381.0390162037</v>
      </c>
      <c r="R1063">
        <v>7</v>
      </c>
      <c r="S1063" t="s">
        <v>40</v>
      </c>
      <c r="T1063" t="s">
        <v>331</v>
      </c>
      <c r="U1063">
        <v>613.70460000000003</v>
      </c>
      <c r="V1063" s="3">
        <v>41772</v>
      </c>
    </row>
    <row r="1064" spans="1:22" x14ac:dyDescent="0.35">
      <c r="A1064" s="1">
        <v>42381.034490740742</v>
      </c>
      <c r="B1064" s="2">
        <v>2.0370370370370369E-2</v>
      </c>
      <c r="C1064" t="s">
        <v>988</v>
      </c>
      <c r="D1064" t="s">
        <v>23</v>
      </c>
      <c r="E1064" t="s">
        <v>24</v>
      </c>
      <c r="F1064" t="s">
        <v>989</v>
      </c>
      <c r="G1064">
        <v>330580</v>
      </c>
      <c r="H1064" t="s">
        <v>91</v>
      </c>
      <c r="I1064" t="s">
        <v>247</v>
      </c>
      <c r="J1064" t="str">
        <f>"9781593859398"</f>
        <v>9781593859398</v>
      </c>
      <c r="K1064" t="s">
        <v>1941</v>
      </c>
      <c r="L1064">
        <v>23</v>
      </c>
      <c r="O1064" t="s">
        <v>30</v>
      </c>
      <c r="P1064" t="s">
        <v>50</v>
      </c>
      <c r="S1064" t="s">
        <v>31</v>
      </c>
      <c r="T1064" t="s">
        <v>991</v>
      </c>
      <c r="U1064">
        <v>616.89142000000004</v>
      </c>
      <c r="V1064" s="3">
        <v>41773</v>
      </c>
    </row>
    <row r="1065" spans="1:22" x14ac:dyDescent="0.35">
      <c r="A1065" s="1">
        <v>42381.018587962964</v>
      </c>
      <c r="B1065" s="2">
        <v>7.8530092592592596E-2</v>
      </c>
      <c r="C1065" t="s">
        <v>1642</v>
      </c>
      <c r="D1065" t="s">
        <v>23</v>
      </c>
      <c r="E1065" t="s">
        <v>24</v>
      </c>
      <c r="F1065" t="s">
        <v>1643</v>
      </c>
      <c r="G1065">
        <v>1566385</v>
      </c>
      <c r="H1065" t="s">
        <v>26</v>
      </c>
      <c r="I1065" t="s">
        <v>1644</v>
      </c>
      <c r="J1065" t="str">
        <f>"9780745662718"</f>
        <v>9780745662718</v>
      </c>
      <c r="K1065" t="s">
        <v>1942</v>
      </c>
      <c r="L1065">
        <v>31</v>
      </c>
      <c r="O1065" t="s">
        <v>30</v>
      </c>
      <c r="P1065" t="s">
        <v>47</v>
      </c>
      <c r="Q1065" s="1">
        <v>42381.018587962964</v>
      </c>
      <c r="R1065">
        <v>1</v>
      </c>
      <c r="S1065" t="s">
        <v>31</v>
      </c>
      <c r="T1065" t="s">
        <v>1646</v>
      </c>
      <c r="U1065">
        <v>204.4</v>
      </c>
      <c r="V1065" s="3">
        <v>41708</v>
      </c>
    </row>
    <row r="1066" spans="1:22" x14ac:dyDescent="0.35">
      <c r="A1066" s="1">
        <v>42381.014050925929</v>
      </c>
      <c r="B1066" s="2">
        <v>4.5370370370370365E-3</v>
      </c>
      <c r="C1066" t="s">
        <v>1642</v>
      </c>
      <c r="D1066" t="s">
        <v>23</v>
      </c>
      <c r="E1066" t="s">
        <v>24</v>
      </c>
      <c r="F1066" t="s">
        <v>1643</v>
      </c>
      <c r="G1066">
        <v>1566385</v>
      </c>
      <c r="H1066" t="s">
        <v>26</v>
      </c>
      <c r="I1066" t="s">
        <v>1644</v>
      </c>
      <c r="J1066" t="str">
        <f>"9780745662718"</f>
        <v>9780745662718</v>
      </c>
      <c r="K1066" t="s">
        <v>240</v>
      </c>
      <c r="L1066">
        <v>14</v>
      </c>
      <c r="O1066" t="s">
        <v>30</v>
      </c>
      <c r="P1066" t="s">
        <v>50</v>
      </c>
      <c r="S1066" t="s">
        <v>31</v>
      </c>
      <c r="T1066" t="s">
        <v>1646</v>
      </c>
      <c r="U1066">
        <v>204.4</v>
      </c>
      <c r="V1066" s="3">
        <v>41708</v>
      </c>
    </row>
    <row r="1067" spans="1:22" x14ac:dyDescent="0.35">
      <c r="A1067" s="1">
        <v>42380.995972222219</v>
      </c>
      <c r="B1067" s="2">
        <v>5.7534722222222223E-2</v>
      </c>
      <c r="C1067" t="s">
        <v>1921</v>
      </c>
      <c r="D1067" t="s">
        <v>23</v>
      </c>
      <c r="E1067" t="s">
        <v>24</v>
      </c>
      <c r="F1067" t="s">
        <v>1922</v>
      </c>
      <c r="G1067">
        <v>1562421</v>
      </c>
      <c r="H1067" t="s">
        <v>26</v>
      </c>
      <c r="I1067" t="s">
        <v>27</v>
      </c>
      <c r="J1067" t="str">
        <f>"9781118587928"</f>
        <v>9781118587928</v>
      </c>
      <c r="K1067" t="s">
        <v>1943</v>
      </c>
      <c r="L1067">
        <v>125</v>
      </c>
      <c r="O1067" t="s">
        <v>28</v>
      </c>
      <c r="P1067" t="s">
        <v>47</v>
      </c>
      <c r="Q1067" s="1">
        <v>42380.882789351854</v>
      </c>
      <c r="R1067">
        <v>1</v>
      </c>
      <c r="S1067" t="s">
        <v>31</v>
      </c>
      <c r="T1067" t="s">
        <v>1924</v>
      </c>
      <c r="U1067" t="s">
        <v>1925</v>
      </c>
      <c r="V1067" s="3">
        <v>41589</v>
      </c>
    </row>
    <row r="1068" spans="1:22" x14ac:dyDescent="0.35">
      <c r="A1068" s="1">
        <v>42380.995752314811</v>
      </c>
      <c r="B1068" s="2">
        <v>6.9444444444444444E-5</v>
      </c>
      <c r="C1068" t="s">
        <v>1921</v>
      </c>
      <c r="D1068" t="s">
        <v>23</v>
      </c>
      <c r="E1068" t="s">
        <v>24</v>
      </c>
      <c r="F1068" t="s">
        <v>1922</v>
      </c>
      <c r="G1068">
        <v>1562421</v>
      </c>
      <c r="H1068" t="s">
        <v>26</v>
      </c>
      <c r="I1068" t="s">
        <v>27</v>
      </c>
      <c r="J1068" t="str">
        <f>"9781118587928"</f>
        <v>9781118587928</v>
      </c>
      <c r="K1068" t="s">
        <v>33</v>
      </c>
      <c r="L1068">
        <v>3</v>
      </c>
      <c r="O1068" t="s">
        <v>30</v>
      </c>
      <c r="P1068" t="s">
        <v>47</v>
      </c>
      <c r="Q1068" s="1">
        <v>42380.882789351854</v>
      </c>
      <c r="R1068">
        <v>1</v>
      </c>
      <c r="S1068" t="s">
        <v>31</v>
      </c>
      <c r="T1068" t="s">
        <v>1924</v>
      </c>
      <c r="U1068" t="s">
        <v>1925</v>
      </c>
      <c r="V1068" s="3">
        <v>41589</v>
      </c>
    </row>
    <row r="1069" spans="1:22" x14ac:dyDescent="0.35">
      <c r="A1069" s="1">
        <v>42380.993020833332</v>
      </c>
      <c r="B1069" s="2">
        <v>4.5995370370370374E-2</v>
      </c>
      <c r="C1069" t="s">
        <v>1680</v>
      </c>
      <c r="D1069" t="s">
        <v>35</v>
      </c>
      <c r="E1069" t="s">
        <v>36</v>
      </c>
      <c r="F1069" t="s">
        <v>327</v>
      </c>
      <c r="G1069">
        <v>1691426</v>
      </c>
      <c r="H1069" t="s">
        <v>26</v>
      </c>
      <c r="I1069" t="s">
        <v>328</v>
      </c>
      <c r="J1069" t="str">
        <f>"9781118839492"</f>
        <v>9781118839492</v>
      </c>
      <c r="K1069" t="s">
        <v>1944</v>
      </c>
      <c r="L1069">
        <v>96</v>
      </c>
      <c r="O1069" t="s">
        <v>30</v>
      </c>
      <c r="P1069" t="s">
        <v>29</v>
      </c>
      <c r="Q1069" s="1">
        <v>42374.037326388891</v>
      </c>
      <c r="R1069">
        <v>7</v>
      </c>
      <c r="S1069" t="s">
        <v>40</v>
      </c>
      <c r="T1069" t="s">
        <v>331</v>
      </c>
      <c r="U1069">
        <v>613.70460000000003</v>
      </c>
      <c r="V1069" s="3">
        <v>41772</v>
      </c>
    </row>
    <row r="1070" spans="1:22" x14ac:dyDescent="0.35">
      <c r="A1070" s="1">
        <v>42380.988900462966</v>
      </c>
      <c r="B1070" s="2">
        <v>7.175925925925927E-4</v>
      </c>
      <c r="C1070" t="s">
        <v>988</v>
      </c>
      <c r="D1070" t="s">
        <v>23</v>
      </c>
      <c r="E1070" t="s">
        <v>24</v>
      </c>
      <c r="F1070" t="s">
        <v>989</v>
      </c>
      <c r="G1070">
        <v>330580</v>
      </c>
      <c r="H1070" t="s">
        <v>91</v>
      </c>
      <c r="I1070" t="s">
        <v>247</v>
      </c>
      <c r="J1070" t="str">
        <f>"9781593859398"</f>
        <v>9781593859398</v>
      </c>
      <c r="K1070" t="s">
        <v>1945</v>
      </c>
      <c r="L1070">
        <v>33</v>
      </c>
      <c r="O1070" t="s">
        <v>30</v>
      </c>
      <c r="P1070" t="s">
        <v>50</v>
      </c>
      <c r="S1070" t="s">
        <v>31</v>
      </c>
      <c r="T1070" t="s">
        <v>991</v>
      </c>
      <c r="U1070">
        <v>616.89142000000004</v>
      </c>
      <c r="V1070" s="3">
        <v>41773</v>
      </c>
    </row>
    <row r="1071" spans="1:22" x14ac:dyDescent="0.35">
      <c r="A1071" s="1">
        <v>42380.956736111111</v>
      </c>
      <c r="B1071" s="2">
        <v>5.9027777777777778E-4</v>
      </c>
      <c r="C1071" t="s">
        <v>1946</v>
      </c>
      <c r="D1071" t="s">
        <v>23</v>
      </c>
      <c r="E1071" t="s">
        <v>24</v>
      </c>
      <c r="F1071" t="s">
        <v>1947</v>
      </c>
      <c r="G1071">
        <v>1895993</v>
      </c>
      <c r="H1071" t="s">
        <v>26</v>
      </c>
      <c r="I1071" t="s">
        <v>1948</v>
      </c>
      <c r="J1071" t="str">
        <f>"9781119045724"</f>
        <v>9781119045724</v>
      </c>
      <c r="K1071" t="s">
        <v>1949</v>
      </c>
      <c r="L1071">
        <v>14</v>
      </c>
      <c r="O1071" t="s">
        <v>30</v>
      </c>
      <c r="P1071" t="s">
        <v>50</v>
      </c>
      <c r="S1071" t="s">
        <v>31</v>
      </c>
      <c r="T1071" t="s">
        <v>1950</v>
      </c>
      <c r="U1071">
        <v>155.4</v>
      </c>
      <c r="V1071" s="3">
        <v>42002</v>
      </c>
    </row>
    <row r="1072" spans="1:22" x14ac:dyDescent="0.35">
      <c r="A1072" s="1">
        <v>42380.936759259261</v>
      </c>
      <c r="B1072" s="2">
        <v>7.4178240740740739E-2</v>
      </c>
      <c r="C1072" t="s">
        <v>1895</v>
      </c>
      <c r="D1072" t="s">
        <v>23</v>
      </c>
      <c r="E1072" t="s">
        <v>24</v>
      </c>
      <c r="F1072" t="s">
        <v>1896</v>
      </c>
      <c r="G1072">
        <v>1732296</v>
      </c>
      <c r="H1072" t="s">
        <v>26</v>
      </c>
      <c r="I1072" t="s">
        <v>1897</v>
      </c>
      <c r="J1072" t="str">
        <f>"9781118490945"</f>
        <v>9781118490945</v>
      </c>
      <c r="K1072" t="s">
        <v>400</v>
      </c>
      <c r="L1072">
        <v>3</v>
      </c>
      <c r="O1072" t="s">
        <v>30</v>
      </c>
      <c r="P1072" t="s">
        <v>47</v>
      </c>
      <c r="Q1072" s="1">
        <v>42380.936759259261</v>
      </c>
      <c r="R1072">
        <v>1</v>
      </c>
      <c r="S1072" t="s">
        <v>31</v>
      </c>
      <c r="T1072" t="s">
        <v>1899</v>
      </c>
      <c r="U1072" t="s">
        <v>1900</v>
      </c>
      <c r="V1072" s="3">
        <v>41828</v>
      </c>
    </row>
    <row r="1073" spans="1:22" x14ac:dyDescent="0.35">
      <c r="A1073" s="1">
        <v>42380.922974537039</v>
      </c>
      <c r="B1073" s="2">
        <v>1.3784722222222224E-2</v>
      </c>
      <c r="C1073" t="s">
        <v>1895</v>
      </c>
      <c r="D1073" t="s">
        <v>23</v>
      </c>
      <c r="E1073" t="s">
        <v>24</v>
      </c>
      <c r="F1073" t="s">
        <v>1896</v>
      </c>
      <c r="G1073">
        <v>1732296</v>
      </c>
      <c r="H1073" t="s">
        <v>26</v>
      </c>
      <c r="I1073" t="s">
        <v>1897</v>
      </c>
      <c r="J1073" t="str">
        <f>"9781118490945"</f>
        <v>9781118490945</v>
      </c>
      <c r="K1073" t="s">
        <v>33</v>
      </c>
      <c r="L1073">
        <v>3</v>
      </c>
      <c r="O1073" t="s">
        <v>30</v>
      </c>
      <c r="P1073" t="s">
        <v>50</v>
      </c>
      <c r="S1073" t="s">
        <v>31</v>
      </c>
      <c r="T1073" t="s">
        <v>1899</v>
      </c>
      <c r="U1073" t="s">
        <v>1900</v>
      </c>
      <c r="V1073" s="3">
        <v>41828</v>
      </c>
    </row>
    <row r="1074" spans="1:22" x14ac:dyDescent="0.35">
      <c r="A1074" s="1">
        <v>42380.912546296298</v>
      </c>
      <c r="B1074" s="2">
        <v>0</v>
      </c>
      <c r="C1074" t="s">
        <v>1951</v>
      </c>
      <c r="D1074" t="s">
        <v>23</v>
      </c>
      <c r="E1074" t="s">
        <v>24</v>
      </c>
      <c r="F1074" t="s">
        <v>1871</v>
      </c>
      <c r="G1074">
        <v>1809736</v>
      </c>
      <c r="H1074" t="s">
        <v>26</v>
      </c>
      <c r="I1074" t="s">
        <v>1872</v>
      </c>
      <c r="J1074" t="str">
        <f>"9781118870242"</f>
        <v>9781118870242</v>
      </c>
      <c r="L1074">
        <v>0</v>
      </c>
      <c r="N1074" t="s">
        <v>1952</v>
      </c>
      <c r="O1074" t="s">
        <v>30</v>
      </c>
      <c r="P1074" t="s">
        <v>29</v>
      </c>
      <c r="Q1074" s="1">
        <v>42380.912546296298</v>
      </c>
      <c r="R1074">
        <v>7</v>
      </c>
      <c r="S1074" t="s">
        <v>31</v>
      </c>
      <c r="T1074" t="s">
        <v>1874</v>
      </c>
      <c r="U1074">
        <v>720.47076000000004</v>
      </c>
      <c r="V1074" s="3">
        <v>41911</v>
      </c>
    </row>
    <row r="1075" spans="1:22" x14ac:dyDescent="0.35">
      <c r="A1075" s="1">
        <v>42380.912361111114</v>
      </c>
      <c r="B1075" s="2">
        <v>1.8518518518518518E-4</v>
      </c>
      <c r="C1075" t="s">
        <v>1951</v>
      </c>
      <c r="D1075" t="s">
        <v>23</v>
      </c>
      <c r="E1075" t="s">
        <v>24</v>
      </c>
      <c r="F1075" t="s">
        <v>1871</v>
      </c>
      <c r="G1075">
        <v>1809736</v>
      </c>
      <c r="H1075" t="s">
        <v>26</v>
      </c>
      <c r="I1075" t="s">
        <v>1872</v>
      </c>
      <c r="J1075" t="str">
        <f>"9781118870242"</f>
        <v>9781118870242</v>
      </c>
      <c r="K1075" t="s">
        <v>33</v>
      </c>
      <c r="L1075">
        <v>3</v>
      </c>
      <c r="O1075" t="s">
        <v>30</v>
      </c>
      <c r="P1075" t="s">
        <v>42</v>
      </c>
      <c r="S1075" t="s">
        <v>31</v>
      </c>
      <c r="T1075" t="s">
        <v>1874</v>
      </c>
      <c r="U1075">
        <v>720.47076000000004</v>
      </c>
      <c r="V1075" s="3">
        <v>41911</v>
      </c>
    </row>
    <row r="1076" spans="1:22" x14ac:dyDescent="0.35">
      <c r="A1076" s="1">
        <v>42380.884756944448</v>
      </c>
      <c r="B1076" s="2">
        <v>0</v>
      </c>
      <c r="C1076" t="s">
        <v>1921</v>
      </c>
      <c r="D1076" t="s">
        <v>23</v>
      </c>
      <c r="E1076" t="s">
        <v>24</v>
      </c>
      <c r="F1076" t="s">
        <v>1922</v>
      </c>
      <c r="G1076">
        <v>1562421</v>
      </c>
      <c r="H1076" t="s">
        <v>26</v>
      </c>
      <c r="I1076" t="s">
        <v>27</v>
      </c>
      <c r="J1076" t="str">
        <f>"9781118587928"</f>
        <v>9781118587928</v>
      </c>
      <c r="L1076">
        <v>0</v>
      </c>
      <c r="O1076" t="s">
        <v>28</v>
      </c>
      <c r="P1076" t="s">
        <v>47</v>
      </c>
      <c r="Q1076" s="1">
        <v>42380.882789351854</v>
      </c>
      <c r="R1076">
        <v>1</v>
      </c>
      <c r="S1076" t="s">
        <v>31</v>
      </c>
      <c r="T1076" t="s">
        <v>1924</v>
      </c>
      <c r="U1076" t="s">
        <v>1925</v>
      </c>
      <c r="V1076" s="3">
        <v>41589</v>
      </c>
    </row>
    <row r="1077" spans="1:22" x14ac:dyDescent="0.35">
      <c r="A1077" s="1">
        <v>42380.882789351854</v>
      </c>
      <c r="B1077" s="2">
        <v>0</v>
      </c>
      <c r="C1077" t="s">
        <v>1921</v>
      </c>
      <c r="D1077" t="s">
        <v>23</v>
      </c>
      <c r="E1077" t="s">
        <v>24</v>
      </c>
      <c r="F1077" t="s">
        <v>1922</v>
      </c>
      <c r="G1077">
        <v>1562421</v>
      </c>
      <c r="H1077" t="s">
        <v>26</v>
      </c>
      <c r="I1077" t="s">
        <v>27</v>
      </c>
      <c r="J1077" t="str">
        <f>"9781118587928"</f>
        <v>9781118587928</v>
      </c>
      <c r="L1077">
        <v>0</v>
      </c>
      <c r="O1077" t="s">
        <v>28</v>
      </c>
      <c r="P1077" t="s">
        <v>47</v>
      </c>
      <c r="Q1077" s="1">
        <v>42380.882789351854</v>
      </c>
      <c r="R1077">
        <v>1</v>
      </c>
      <c r="S1077" t="s">
        <v>31</v>
      </c>
      <c r="T1077" t="s">
        <v>1924</v>
      </c>
      <c r="U1077" t="s">
        <v>1925</v>
      </c>
      <c r="V1077" s="3">
        <v>41589</v>
      </c>
    </row>
    <row r="1078" spans="1:22" x14ac:dyDescent="0.35">
      <c r="A1078" s="1">
        <v>42380.882789351854</v>
      </c>
      <c r="B1078" s="2">
        <v>0</v>
      </c>
      <c r="C1078" t="s">
        <v>1921</v>
      </c>
      <c r="D1078" t="s">
        <v>23</v>
      </c>
      <c r="E1078" t="s">
        <v>24</v>
      </c>
      <c r="F1078" t="s">
        <v>1922</v>
      </c>
      <c r="G1078">
        <v>1562421</v>
      </c>
      <c r="H1078" t="s">
        <v>26</v>
      </c>
      <c r="I1078" t="s">
        <v>27</v>
      </c>
      <c r="J1078" t="str">
        <f>"9781118587928"</f>
        <v>9781118587928</v>
      </c>
      <c r="L1078">
        <v>0</v>
      </c>
      <c r="O1078" t="s">
        <v>30</v>
      </c>
      <c r="P1078" t="s">
        <v>47</v>
      </c>
      <c r="Q1078" s="1">
        <v>42380.882789351854</v>
      </c>
      <c r="R1078">
        <v>1</v>
      </c>
      <c r="S1078" t="s">
        <v>31</v>
      </c>
      <c r="T1078" t="s">
        <v>1924</v>
      </c>
      <c r="U1078" t="s">
        <v>1925</v>
      </c>
      <c r="V1078" s="3">
        <v>41589</v>
      </c>
    </row>
    <row r="1079" spans="1:22" x14ac:dyDescent="0.35">
      <c r="A1079" s="1">
        <v>42380.880833333336</v>
      </c>
      <c r="B1079" s="2">
        <v>1.9560185185185184E-3</v>
      </c>
      <c r="C1079" t="s">
        <v>1921</v>
      </c>
      <c r="D1079" t="s">
        <v>23</v>
      </c>
      <c r="E1079" t="s">
        <v>24</v>
      </c>
      <c r="F1079" t="s">
        <v>1922</v>
      </c>
      <c r="G1079">
        <v>1562421</v>
      </c>
      <c r="H1079" t="s">
        <v>26</v>
      </c>
      <c r="I1079" t="s">
        <v>27</v>
      </c>
      <c r="J1079" t="str">
        <f>"9781118587928"</f>
        <v>9781118587928</v>
      </c>
      <c r="K1079" t="s">
        <v>1953</v>
      </c>
      <c r="L1079">
        <v>11</v>
      </c>
      <c r="O1079" t="s">
        <v>30</v>
      </c>
      <c r="P1079" t="s">
        <v>50</v>
      </c>
      <c r="S1079" t="s">
        <v>31</v>
      </c>
      <c r="T1079" t="s">
        <v>1924</v>
      </c>
      <c r="U1079" t="s">
        <v>1925</v>
      </c>
      <c r="V1079" s="3">
        <v>41589</v>
      </c>
    </row>
    <row r="1080" spans="1:22" x14ac:dyDescent="0.35">
      <c r="A1080" s="1">
        <v>42380.878807870373</v>
      </c>
      <c r="B1080" s="2">
        <v>0.15962962962962965</v>
      </c>
      <c r="C1080" t="s">
        <v>1954</v>
      </c>
      <c r="D1080" t="s">
        <v>35</v>
      </c>
      <c r="E1080" t="s">
        <v>36</v>
      </c>
      <c r="F1080" t="s">
        <v>327</v>
      </c>
      <c r="G1080">
        <v>1691426</v>
      </c>
      <c r="H1080" t="s">
        <v>26</v>
      </c>
      <c r="I1080" t="s">
        <v>328</v>
      </c>
      <c r="J1080" t="str">
        <f>"9781118839492"</f>
        <v>9781118839492</v>
      </c>
      <c r="K1080" t="s">
        <v>1955</v>
      </c>
      <c r="L1080">
        <v>84</v>
      </c>
      <c r="O1080" t="s">
        <v>30</v>
      </c>
      <c r="P1080" t="s">
        <v>29</v>
      </c>
      <c r="Q1080" s="1">
        <v>42376.930358796293</v>
      </c>
      <c r="R1080">
        <v>7</v>
      </c>
      <c r="S1080" t="s">
        <v>40</v>
      </c>
      <c r="T1080" t="s">
        <v>331</v>
      </c>
      <c r="U1080">
        <v>613.70460000000003</v>
      </c>
      <c r="V1080" s="3">
        <v>41772</v>
      </c>
    </row>
    <row r="1081" spans="1:22" x14ac:dyDescent="0.35">
      <c r="A1081" s="1">
        <v>42380.876273148147</v>
      </c>
      <c r="B1081" s="2">
        <v>6.5393518518518517E-3</v>
      </c>
      <c r="C1081" t="s">
        <v>1956</v>
      </c>
      <c r="D1081" t="s">
        <v>23</v>
      </c>
      <c r="E1081" t="s">
        <v>24</v>
      </c>
      <c r="F1081" t="s">
        <v>1871</v>
      </c>
      <c r="G1081">
        <v>1809736</v>
      </c>
      <c r="H1081" t="s">
        <v>26</v>
      </c>
      <c r="I1081" t="s">
        <v>1872</v>
      </c>
      <c r="J1081" t="str">
        <f>"9781118870242"</f>
        <v>9781118870242</v>
      </c>
      <c r="K1081" t="s">
        <v>1957</v>
      </c>
      <c r="L1081">
        <v>31</v>
      </c>
      <c r="N1081" t="s">
        <v>1958</v>
      </c>
      <c r="O1081" t="s">
        <v>30</v>
      </c>
      <c r="P1081" t="s">
        <v>29</v>
      </c>
      <c r="Q1081" s="1">
        <v>42380.873518518521</v>
      </c>
      <c r="R1081">
        <v>7</v>
      </c>
      <c r="S1081" t="s">
        <v>31</v>
      </c>
      <c r="T1081" t="s">
        <v>1874</v>
      </c>
      <c r="U1081">
        <v>720.47076000000004</v>
      </c>
      <c r="V1081" s="3">
        <v>41911</v>
      </c>
    </row>
    <row r="1082" spans="1:22" x14ac:dyDescent="0.35">
      <c r="A1082" s="1">
        <v>42380.873518518521</v>
      </c>
      <c r="B1082" s="2">
        <v>0</v>
      </c>
      <c r="C1082" t="s">
        <v>1956</v>
      </c>
      <c r="D1082" t="s">
        <v>23</v>
      </c>
      <c r="E1082" t="s">
        <v>24</v>
      </c>
      <c r="F1082" t="s">
        <v>1871</v>
      </c>
      <c r="G1082">
        <v>1809736</v>
      </c>
      <c r="H1082" t="s">
        <v>26</v>
      </c>
      <c r="I1082" t="s">
        <v>1872</v>
      </c>
      <c r="J1082" t="str">
        <f>"9781118870242"</f>
        <v>9781118870242</v>
      </c>
      <c r="L1082">
        <v>0</v>
      </c>
      <c r="M1082" t="s">
        <v>1959</v>
      </c>
      <c r="N1082" t="s">
        <v>1960</v>
      </c>
      <c r="O1082" t="s">
        <v>30</v>
      </c>
      <c r="P1082" t="s">
        <v>29</v>
      </c>
      <c r="Q1082" s="1">
        <v>42380.873518518521</v>
      </c>
      <c r="R1082">
        <v>7</v>
      </c>
      <c r="S1082" t="s">
        <v>31</v>
      </c>
      <c r="T1082" t="s">
        <v>1874</v>
      </c>
      <c r="U1082">
        <v>720.47076000000004</v>
      </c>
      <c r="V1082" s="3">
        <v>41911</v>
      </c>
    </row>
    <row r="1083" spans="1:22" x14ac:dyDescent="0.35">
      <c r="A1083" s="1">
        <v>42380.872442129628</v>
      </c>
      <c r="B1083" s="2">
        <v>1.0763888888888889E-3</v>
      </c>
      <c r="C1083" t="s">
        <v>1956</v>
      </c>
      <c r="D1083" t="s">
        <v>23</v>
      </c>
      <c r="E1083" t="s">
        <v>24</v>
      </c>
      <c r="F1083" t="s">
        <v>1871</v>
      </c>
      <c r="G1083">
        <v>1809736</v>
      </c>
      <c r="H1083" t="s">
        <v>26</v>
      </c>
      <c r="I1083" t="s">
        <v>1872</v>
      </c>
      <c r="J1083" t="str">
        <f>"9781118870242"</f>
        <v>9781118870242</v>
      </c>
      <c r="K1083" t="s">
        <v>1961</v>
      </c>
      <c r="L1083">
        <v>22</v>
      </c>
      <c r="O1083" t="s">
        <v>30</v>
      </c>
      <c r="P1083" t="s">
        <v>42</v>
      </c>
      <c r="S1083" t="s">
        <v>31</v>
      </c>
      <c r="T1083" t="s">
        <v>1874</v>
      </c>
      <c r="U1083">
        <v>720.47076000000004</v>
      </c>
      <c r="V1083" s="3">
        <v>41911</v>
      </c>
    </row>
    <row r="1084" spans="1:22" x14ac:dyDescent="0.35">
      <c r="A1084" s="1">
        <v>42380.864675925928</v>
      </c>
      <c r="B1084" s="2">
        <v>1.1574074074074073E-5</v>
      </c>
      <c r="C1084" t="s">
        <v>106</v>
      </c>
      <c r="D1084" t="s">
        <v>23</v>
      </c>
      <c r="E1084" t="s">
        <v>24</v>
      </c>
      <c r="F1084" t="s">
        <v>1962</v>
      </c>
      <c r="G1084">
        <v>1811632</v>
      </c>
      <c r="H1084" t="s">
        <v>26</v>
      </c>
      <c r="I1084" t="s">
        <v>661</v>
      </c>
      <c r="J1084" t="str">
        <f>"9781118875711"</f>
        <v>9781118875711</v>
      </c>
      <c r="K1084" t="s">
        <v>33</v>
      </c>
      <c r="L1084">
        <v>3</v>
      </c>
      <c r="O1084" t="s">
        <v>30</v>
      </c>
      <c r="P1084" t="s">
        <v>47</v>
      </c>
      <c r="Q1084" s="1">
        <v>42380.864675925928</v>
      </c>
      <c r="R1084">
        <v>1</v>
      </c>
      <c r="S1084" t="s">
        <v>31</v>
      </c>
      <c r="T1084" t="s">
        <v>1963</v>
      </c>
      <c r="U1084">
        <v>595.70000000000005</v>
      </c>
      <c r="V1084" s="3">
        <v>41915</v>
      </c>
    </row>
    <row r="1085" spans="1:22" x14ac:dyDescent="0.35">
      <c r="A1085" s="1">
        <v>42380.857002314813</v>
      </c>
      <c r="B1085" s="2">
        <v>7.6736111111111111E-3</v>
      </c>
      <c r="C1085" t="s">
        <v>106</v>
      </c>
      <c r="D1085" t="s">
        <v>23</v>
      </c>
      <c r="E1085" t="s">
        <v>24</v>
      </c>
      <c r="F1085" t="s">
        <v>1962</v>
      </c>
      <c r="G1085">
        <v>1811632</v>
      </c>
      <c r="H1085" t="s">
        <v>26</v>
      </c>
      <c r="I1085" t="s">
        <v>661</v>
      </c>
      <c r="J1085" t="str">
        <f>"9781118875711"</f>
        <v>9781118875711</v>
      </c>
      <c r="K1085" t="s">
        <v>1964</v>
      </c>
      <c r="L1085">
        <v>22</v>
      </c>
      <c r="O1085" t="s">
        <v>30</v>
      </c>
      <c r="P1085" t="s">
        <v>50</v>
      </c>
      <c r="S1085" t="s">
        <v>31</v>
      </c>
      <c r="T1085" t="s">
        <v>1963</v>
      </c>
      <c r="U1085">
        <v>595.70000000000005</v>
      </c>
      <c r="V1085" s="3">
        <v>41915</v>
      </c>
    </row>
    <row r="1086" spans="1:22" x14ac:dyDescent="0.35">
      <c r="A1086" s="1">
        <v>42380.75240740741</v>
      </c>
      <c r="B1086" s="2">
        <v>3.3449074074074071E-3</v>
      </c>
      <c r="C1086" t="s">
        <v>1965</v>
      </c>
      <c r="D1086" t="s">
        <v>23</v>
      </c>
      <c r="E1086" t="s">
        <v>24</v>
      </c>
      <c r="F1086" t="s">
        <v>1966</v>
      </c>
      <c r="G1086">
        <v>1895808</v>
      </c>
      <c r="H1086" t="s">
        <v>26</v>
      </c>
      <c r="I1086" t="s">
        <v>1967</v>
      </c>
      <c r="J1086" t="str">
        <f>"9781118957837"</f>
        <v>9781118957837</v>
      </c>
      <c r="K1086" t="s">
        <v>1968</v>
      </c>
      <c r="L1086">
        <v>37</v>
      </c>
      <c r="O1086" t="s">
        <v>30</v>
      </c>
      <c r="P1086" t="s">
        <v>50</v>
      </c>
      <c r="S1086" t="s">
        <v>31</v>
      </c>
      <c r="T1086" t="s">
        <v>1969</v>
      </c>
      <c r="U1086" t="s">
        <v>1970</v>
      </c>
      <c r="V1086" s="3">
        <v>42089</v>
      </c>
    </row>
    <row r="1087" spans="1:22" x14ac:dyDescent="0.35">
      <c r="A1087" s="1">
        <v>42380.737847222219</v>
      </c>
      <c r="B1087" s="2">
        <v>4.4791666666666669E-3</v>
      </c>
      <c r="C1087" t="s">
        <v>1971</v>
      </c>
      <c r="D1087" t="s">
        <v>1222</v>
      </c>
      <c r="E1087" t="s">
        <v>1223</v>
      </c>
      <c r="F1087" t="s">
        <v>1972</v>
      </c>
      <c r="G1087">
        <v>1676782</v>
      </c>
      <c r="H1087" t="s">
        <v>26</v>
      </c>
      <c r="I1087" t="s">
        <v>276</v>
      </c>
      <c r="J1087" t="str">
        <f>"9781118825860"</f>
        <v>9781118825860</v>
      </c>
      <c r="K1087" t="s">
        <v>1973</v>
      </c>
      <c r="L1087">
        <v>67</v>
      </c>
      <c r="O1087" t="s">
        <v>30</v>
      </c>
      <c r="P1087" t="s">
        <v>42</v>
      </c>
      <c r="S1087" t="s">
        <v>1226</v>
      </c>
      <c r="T1087" t="s">
        <v>1974</v>
      </c>
      <c r="U1087">
        <v>4.165</v>
      </c>
      <c r="V1087" s="3">
        <v>41746</v>
      </c>
    </row>
    <row r="1088" spans="1:22" x14ac:dyDescent="0.35">
      <c r="A1088" s="1">
        <v>42380.725428240738</v>
      </c>
      <c r="B1088" s="2">
        <v>9.571759259259259E-3</v>
      </c>
      <c r="C1088" t="s">
        <v>1893</v>
      </c>
      <c r="D1088" t="s">
        <v>35</v>
      </c>
      <c r="E1088" t="s">
        <v>36</v>
      </c>
      <c r="F1088" t="s">
        <v>327</v>
      </c>
      <c r="G1088">
        <v>1691426</v>
      </c>
      <c r="H1088" t="s">
        <v>26</v>
      </c>
      <c r="I1088" t="s">
        <v>328</v>
      </c>
      <c r="J1088" t="str">
        <f>"9781118839492"</f>
        <v>9781118839492</v>
      </c>
      <c r="K1088" t="s">
        <v>1975</v>
      </c>
      <c r="L1088">
        <v>27</v>
      </c>
      <c r="O1088" t="s">
        <v>30</v>
      </c>
      <c r="P1088" t="s">
        <v>29</v>
      </c>
      <c r="Q1088" s="1">
        <v>42374.871863425928</v>
      </c>
      <c r="R1088">
        <v>7</v>
      </c>
      <c r="S1088" t="s">
        <v>40</v>
      </c>
      <c r="T1088" t="s">
        <v>331</v>
      </c>
      <c r="U1088">
        <v>613.70460000000003</v>
      </c>
      <c r="V1088" s="3">
        <v>41772</v>
      </c>
    </row>
    <row r="1089" spans="1:22" x14ac:dyDescent="0.35">
      <c r="A1089" s="1">
        <v>42380.71366898148</v>
      </c>
      <c r="B1089" s="2">
        <v>1.3773148148148147E-3</v>
      </c>
      <c r="C1089" t="s">
        <v>1976</v>
      </c>
      <c r="D1089" t="s">
        <v>35</v>
      </c>
      <c r="E1089" t="s">
        <v>36</v>
      </c>
      <c r="F1089" t="s">
        <v>327</v>
      </c>
      <c r="G1089">
        <v>1691426</v>
      </c>
      <c r="H1089" t="s">
        <v>26</v>
      </c>
      <c r="I1089" t="s">
        <v>328</v>
      </c>
      <c r="J1089" t="str">
        <f>"9781118839492"</f>
        <v>9781118839492</v>
      </c>
      <c r="K1089" t="s">
        <v>1977</v>
      </c>
      <c r="L1089">
        <v>31</v>
      </c>
      <c r="O1089" t="s">
        <v>30</v>
      </c>
      <c r="P1089" t="s">
        <v>29</v>
      </c>
      <c r="Q1089" s="1">
        <v>42380.713645833333</v>
      </c>
      <c r="R1089">
        <v>7</v>
      </c>
      <c r="S1089" t="s">
        <v>40</v>
      </c>
      <c r="T1089" t="s">
        <v>331</v>
      </c>
      <c r="U1089">
        <v>613.70460000000003</v>
      </c>
      <c r="V1089" s="3">
        <v>41772</v>
      </c>
    </row>
    <row r="1090" spans="1:22" x14ac:dyDescent="0.35">
      <c r="A1090" s="1">
        <v>42380.709699074076</v>
      </c>
      <c r="B1090" s="2">
        <v>1.2731481481481481E-2</v>
      </c>
      <c r="C1090" t="s">
        <v>471</v>
      </c>
      <c r="D1090" t="s">
        <v>211</v>
      </c>
      <c r="E1090" t="s">
        <v>212</v>
      </c>
      <c r="F1090" t="s">
        <v>497</v>
      </c>
      <c r="G1090">
        <v>1986951</v>
      </c>
      <c r="H1090" t="s">
        <v>26</v>
      </c>
      <c r="I1090" t="s">
        <v>97</v>
      </c>
      <c r="J1090" t="str">
        <f>"9781119130468"</f>
        <v>9781119130468</v>
      </c>
      <c r="K1090" t="s">
        <v>1978</v>
      </c>
      <c r="L1090">
        <v>13</v>
      </c>
      <c r="M1090" t="s">
        <v>1979</v>
      </c>
      <c r="O1090" t="s">
        <v>30</v>
      </c>
      <c r="P1090" t="s">
        <v>29</v>
      </c>
      <c r="Q1090" s="1">
        <v>42377.845729166664</v>
      </c>
      <c r="R1090">
        <v>7</v>
      </c>
      <c r="S1090" t="s">
        <v>214</v>
      </c>
      <c r="T1090" t="s">
        <v>500</v>
      </c>
      <c r="U1090">
        <v>657.07600000000002</v>
      </c>
      <c r="V1090" s="3">
        <v>42143</v>
      </c>
    </row>
    <row r="1091" spans="1:22" x14ac:dyDescent="0.35">
      <c r="A1091" s="1">
        <v>42380.685300925928</v>
      </c>
      <c r="B1091" s="2">
        <v>2.8333333333333332E-2</v>
      </c>
      <c r="C1091" t="s">
        <v>1976</v>
      </c>
      <c r="D1091" t="s">
        <v>35</v>
      </c>
      <c r="E1091" t="s">
        <v>36</v>
      </c>
      <c r="F1091" t="s">
        <v>327</v>
      </c>
      <c r="G1091">
        <v>1691426</v>
      </c>
      <c r="H1091" t="s">
        <v>26</v>
      </c>
      <c r="I1091" t="s">
        <v>328</v>
      </c>
      <c r="J1091" t="str">
        <f>"9781118839492"</f>
        <v>9781118839492</v>
      </c>
      <c r="K1091" t="s">
        <v>1980</v>
      </c>
      <c r="L1091">
        <v>32</v>
      </c>
      <c r="O1091" t="s">
        <v>30</v>
      </c>
      <c r="P1091" t="s">
        <v>42</v>
      </c>
      <c r="S1091" t="s">
        <v>40</v>
      </c>
      <c r="T1091" t="s">
        <v>331</v>
      </c>
      <c r="U1091">
        <v>613.70460000000003</v>
      </c>
      <c r="V1091" s="3">
        <v>41772</v>
      </c>
    </row>
    <row r="1092" spans="1:22" x14ac:dyDescent="0.35">
      <c r="A1092" s="1">
        <v>42380.678576388891</v>
      </c>
      <c r="B1092" s="2">
        <v>8.7222222222222215E-2</v>
      </c>
      <c r="C1092" t="s">
        <v>520</v>
      </c>
      <c r="D1092" t="s">
        <v>23</v>
      </c>
      <c r="E1092" t="s">
        <v>24</v>
      </c>
      <c r="F1092" t="s">
        <v>1579</v>
      </c>
      <c r="G1092">
        <v>1161538</v>
      </c>
      <c r="H1092" t="s">
        <v>26</v>
      </c>
      <c r="I1092" t="s">
        <v>108</v>
      </c>
      <c r="J1092" t="str">
        <f>"9781118521755"</f>
        <v>9781118521755</v>
      </c>
      <c r="K1092" t="s">
        <v>1981</v>
      </c>
      <c r="L1092">
        <v>46</v>
      </c>
      <c r="O1092" t="s">
        <v>30</v>
      </c>
      <c r="P1092" t="s">
        <v>29</v>
      </c>
      <c r="Q1092" s="1">
        <v>42374.561342592591</v>
      </c>
      <c r="R1092">
        <v>7</v>
      </c>
      <c r="S1092" t="s">
        <v>31</v>
      </c>
      <c r="T1092" t="s">
        <v>1581</v>
      </c>
      <c r="U1092">
        <v>332.63220000000001</v>
      </c>
      <c r="V1092" s="3">
        <v>41359</v>
      </c>
    </row>
    <row r="1093" spans="1:22" x14ac:dyDescent="0.35">
      <c r="A1093" s="1">
        <v>42380.662037037036</v>
      </c>
      <c r="B1093" s="2">
        <v>1.1898148148148149E-2</v>
      </c>
      <c r="C1093" t="s">
        <v>1744</v>
      </c>
      <c r="D1093" t="s">
        <v>211</v>
      </c>
      <c r="E1093" t="s">
        <v>212</v>
      </c>
      <c r="F1093" t="s">
        <v>1773</v>
      </c>
      <c r="G1093">
        <v>1768753</v>
      </c>
      <c r="H1093" t="s">
        <v>91</v>
      </c>
      <c r="I1093" t="s">
        <v>120</v>
      </c>
      <c r="J1093" t="str">
        <f>"9781462518371"</f>
        <v>9781462518371</v>
      </c>
      <c r="K1093" t="s">
        <v>1982</v>
      </c>
      <c r="L1093">
        <v>3</v>
      </c>
      <c r="O1093" t="s">
        <v>28</v>
      </c>
      <c r="P1093" t="s">
        <v>29</v>
      </c>
      <c r="Q1093" s="1">
        <v>42380.662037037036</v>
      </c>
      <c r="R1093">
        <v>7</v>
      </c>
      <c r="S1093" t="s">
        <v>214</v>
      </c>
      <c r="T1093" t="s">
        <v>1775</v>
      </c>
      <c r="U1093" t="s">
        <v>1776</v>
      </c>
      <c r="V1093" s="3">
        <v>41953</v>
      </c>
    </row>
    <row r="1094" spans="1:22" x14ac:dyDescent="0.35">
      <c r="A1094" s="1">
        <v>42380.662037037036</v>
      </c>
      <c r="B1094" s="2">
        <v>0</v>
      </c>
      <c r="C1094" t="s">
        <v>1744</v>
      </c>
      <c r="D1094" t="s">
        <v>211</v>
      </c>
      <c r="E1094" t="s">
        <v>212</v>
      </c>
      <c r="F1094" t="s">
        <v>1773</v>
      </c>
      <c r="G1094">
        <v>1768753</v>
      </c>
      <c r="H1094" t="s">
        <v>91</v>
      </c>
      <c r="I1094" t="s">
        <v>120</v>
      </c>
      <c r="J1094" t="str">
        <f>"9781462518371"</f>
        <v>9781462518371</v>
      </c>
      <c r="L1094">
        <v>0</v>
      </c>
      <c r="O1094" t="s">
        <v>30</v>
      </c>
      <c r="P1094" t="s">
        <v>29</v>
      </c>
      <c r="Q1094" s="1">
        <v>42380.662037037036</v>
      </c>
      <c r="R1094">
        <v>7</v>
      </c>
      <c r="S1094" t="s">
        <v>214</v>
      </c>
      <c r="T1094" t="s">
        <v>1775</v>
      </c>
      <c r="U1094" t="s">
        <v>1776</v>
      </c>
      <c r="V1094" s="3">
        <v>41953</v>
      </c>
    </row>
    <row r="1095" spans="1:22" x14ac:dyDescent="0.35">
      <c r="A1095" s="1">
        <v>42380.656550925924</v>
      </c>
      <c r="B1095" s="2">
        <v>5.4861111111111117E-3</v>
      </c>
      <c r="C1095" t="s">
        <v>1744</v>
      </c>
      <c r="D1095" t="s">
        <v>211</v>
      </c>
      <c r="E1095" t="s">
        <v>212</v>
      </c>
      <c r="F1095" t="s">
        <v>1773</v>
      </c>
      <c r="G1095">
        <v>1768753</v>
      </c>
      <c r="H1095" t="s">
        <v>91</v>
      </c>
      <c r="I1095" t="s">
        <v>120</v>
      </c>
      <c r="J1095" t="str">
        <f>"9781462518371"</f>
        <v>9781462518371</v>
      </c>
      <c r="K1095" t="s">
        <v>1983</v>
      </c>
      <c r="L1095">
        <v>21</v>
      </c>
      <c r="O1095" t="s">
        <v>30</v>
      </c>
      <c r="P1095" t="s">
        <v>42</v>
      </c>
      <c r="S1095" t="s">
        <v>214</v>
      </c>
      <c r="T1095" t="s">
        <v>1775</v>
      </c>
      <c r="U1095" t="s">
        <v>1776</v>
      </c>
      <c r="V1095" s="3">
        <v>41953</v>
      </c>
    </row>
    <row r="1096" spans="1:22" x14ac:dyDescent="0.35">
      <c r="A1096" s="1">
        <v>42380.642523148148</v>
      </c>
      <c r="B1096" s="2">
        <v>4.6435185185185184E-2</v>
      </c>
      <c r="C1096" t="s">
        <v>471</v>
      </c>
      <c r="D1096" t="s">
        <v>211</v>
      </c>
      <c r="E1096" t="s">
        <v>212</v>
      </c>
      <c r="F1096" t="s">
        <v>497</v>
      </c>
      <c r="G1096">
        <v>1986951</v>
      </c>
      <c r="H1096" t="s">
        <v>26</v>
      </c>
      <c r="I1096" t="s">
        <v>97</v>
      </c>
      <c r="J1096" t="str">
        <f>"9781119130468"</f>
        <v>9781119130468</v>
      </c>
      <c r="K1096" t="s">
        <v>1984</v>
      </c>
      <c r="L1096">
        <v>20</v>
      </c>
      <c r="M1096" t="s">
        <v>1985</v>
      </c>
      <c r="O1096" t="s">
        <v>30</v>
      </c>
      <c r="P1096" t="s">
        <v>29</v>
      </c>
      <c r="Q1096" s="1">
        <v>42377.845729166664</v>
      </c>
      <c r="R1096">
        <v>7</v>
      </c>
      <c r="S1096" t="s">
        <v>214</v>
      </c>
      <c r="T1096" t="s">
        <v>500</v>
      </c>
      <c r="U1096">
        <v>657.07600000000002</v>
      </c>
      <c r="V1096" s="3">
        <v>42143</v>
      </c>
    </row>
    <row r="1097" spans="1:22" x14ac:dyDescent="0.35">
      <c r="A1097" s="1">
        <v>42380.607951388891</v>
      </c>
      <c r="B1097" s="2">
        <v>5.6851851851851855E-2</v>
      </c>
      <c r="C1097" t="s">
        <v>1986</v>
      </c>
      <c r="D1097" t="s">
        <v>35</v>
      </c>
      <c r="E1097" t="s">
        <v>36</v>
      </c>
      <c r="F1097" t="s">
        <v>1987</v>
      </c>
      <c r="G1097">
        <v>3038714</v>
      </c>
      <c r="H1097" t="s">
        <v>526</v>
      </c>
      <c r="I1097" t="s">
        <v>417</v>
      </c>
      <c r="J1097" t="str">
        <f>"9780226210124"</f>
        <v>9780226210124</v>
      </c>
      <c r="K1097" t="s">
        <v>1988</v>
      </c>
      <c r="L1097">
        <v>84</v>
      </c>
      <c r="M1097" t="s">
        <v>1989</v>
      </c>
      <c r="O1097" t="s">
        <v>30</v>
      </c>
      <c r="P1097" t="s">
        <v>47</v>
      </c>
      <c r="Q1097" s="1">
        <v>42380.607951388891</v>
      </c>
      <c r="R1097">
        <v>1</v>
      </c>
      <c r="S1097" t="s">
        <v>40</v>
      </c>
      <c r="T1097" t="s">
        <v>1990</v>
      </c>
      <c r="U1097" t="s">
        <v>1991</v>
      </c>
      <c r="V1097" s="3">
        <v>42064</v>
      </c>
    </row>
    <row r="1098" spans="1:22" x14ac:dyDescent="0.35">
      <c r="A1098" s="1">
        <v>42380.603333333333</v>
      </c>
      <c r="B1098" s="2">
        <v>4.6180555555555558E-3</v>
      </c>
      <c r="C1098" t="s">
        <v>1986</v>
      </c>
      <c r="D1098" t="s">
        <v>35</v>
      </c>
      <c r="E1098" t="s">
        <v>36</v>
      </c>
      <c r="F1098" t="s">
        <v>1987</v>
      </c>
      <c r="G1098">
        <v>3038714</v>
      </c>
      <c r="H1098" t="s">
        <v>526</v>
      </c>
      <c r="I1098" t="s">
        <v>417</v>
      </c>
      <c r="J1098" t="str">
        <f>"9780226210124"</f>
        <v>9780226210124</v>
      </c>
      <c r="K1098" t="s">
        <v>1992</v>
      </c>
      <c r="L1098">
        <v>9</v>
      </c>
      <c r="O1098" t="s">
        <v>30</v>
      </c>
      <c r="P1098" t="s">
        <v>50</v>
      </c>
      <c r="S1098" t="s">
        <v>40</v>
      </c>
      <c r="T1098" t="s">
        <v>1990</v>
      </c>
      <c r="U1098" t="s">
        <v>1991</v>
      </c>
      <c r="V1098" s="3">
        <v>42064</v>
      </c>
    </row>
    <row r="1099" spans="1:22" x14ac:dyDescent="0.35">
      <c r="A1099" s="1">
        <v>42380.560011574074</v>
      </c>
      <c r="B1099" s="2">
        <v>1.0092592592592592E-2</v>
      </c>
      <c r="C1099" t="s">
        <v>1595</v>
      </c>
      <c r="D1099" t="s">
        <v>23</v>
      </c>
      <c r="E1099" t="s">
        <v>24</v>
      </c>
      <c r="F1099" t="s">
        <v>1993</v>
      </c>
      <c r="G1099">
        <v>1358564</v>
      </c>
      <c r="H1099" t="s">
        <v>26</v>
      </c>
      <c r="I1099" t="s">
        <v>841</v>
      </c>
      <c r="J1099" t="str">
        <f>"9781118646267"</f>
        <v>9781118646267</v>
      </c>
      <c r="K1099" t="s">
        <v>1994</v>
      </c>
      <c r="L1099">
        <v>65</v>
      </c>
      <c r="O1099" t="s">
        <v>30</v>
      </c>
      <c r="P1099" t="s">
        <v>29</v>
      </c>
      <c r="Q1099" s="1">
        <v>42377.07644675926</v>
      </c>
      <c r="R1099">
        <v>7</v>
      </c>
      <c r="S1099" t="s">
        <v>31</v>
      </c>
      <c r="T1099" t="s">
        <v>1995</v>
      </c>
      <c r="U1099">
        <v>355.00760000000002</v>
      </c>
      <c r="V1099" s="3">
        <v>41487</v>
      </c>
    </row>
    <row r="1100" spans="1:22" x14ac:dyDescent="0.35">
      <c r="A1100" s="1">
        <v>42380.2965625</v>
      </c>
      <c r="B1100" s="2">
        <v>1.0601851851851854E-2</v>
      </c>
      <c r="C1100" t="s">
        <v>1595</v>
      </c>
      <c r="D1100" t="s">
        <v>23</v>
      </c>
      <c r="E1100" t="s">
        <v>24</v>
      </c>
      <c r="F1100" t="s">
        <v>1993</v>
      </c>
      <c r="G1100">
        <v>1358564</v>
      </c>
      <c r="H1100" t="s">
        <v>26</v>
      </c>
      <c r="I1100" t="s">
        <v>841</v>
      </c>
      <c r="J1100" t="str">
        <f>"9781118646267"</f>
        <v>9781118646267</v>
      </c>
      <c r="K1100" t="s">
        <v>1996</v>
      </c>
      <c r="L1100">
        <v>59</v>
      </c>
      <c r="O1100" t="s">
        <v>30</v>
      </c>
      <c r="P1100" t="s">
        <v>29</v>
      </c>
      <c r="Q1100" s="1">
        <v>42377.07644675926</v>
      </c>
      <c r="R1100">
        <v>7</v>
      </c>
      <c r="S1100" t="s">
        <v>31</v>
      </c>
      <c r="T1100" t="s">
        <v>1995</v>
      </c>
      <c r="U1100">
        <v>355.00760000000002</v>
      </c>
      <c r="V1100" s="3">
        <v>41487</v>
      </c>
    </row>
    <row r="1101" spans="1:22" x14ac:dyDescent="0.35">
      <c r="A1101" s="1">
        <v>42380.236446759256</v>
      </c>
      <c r="B1101" s="2">
        <v>2.1851851851851848E-2</v>
      </c>
      <c r="C1101" t="s">
        <v>520</v>
      </c>
      <c r="D1101" t="s">
        <v>23</v>
      </c>
      <c r="E1101" t="s">
        <v>24</v>
      </c>
      <c r="F1101" t="s">
        <v>1579</v>
      </c>
      <c r="G1101">
        <v>1161538</v>
      </c>
      <c r="H1101" t="s">
        <v>26</v>
      </c>
      <c r="I1101" t="s">
        <v>108</v>
      </c>
      <c r="J1101" t="str">
        <f>"9781118521755"</f>
        <v>9781118521755</v>
      </c>
      <c r="K1101" t="s">
        <v>1997</v>
      </c>
      <c r="L1101">
        <v>16</v>
      </c>
      <c r="O1101" t="s">
        <v>30</v>
      </c>
      <c r="P1101" t="s">
        <v>29</v>
      </c>
      <c r="Q1101" s="1">
        <v>42374.561342592591</v>
      </c>
      <c r="R1101">
        <v>7</v>
      </c>
      <c r="S1101" t="s">
        <v>31</v>
      </c>
      <c r="T1101" t="s">
        <v>1581</v>
      </c>
      <c r="U1101">
        <v>332.63220000000001</v>
      </c>
      <c r="V1101" s="3">
        <v>41359</v>
      </c>
    </row>
    <row r="1102" spans="1:22" x14ac:dyDescent="0.35">
      <c r="A1102" s="1">
        <v>42380.134259259263</v>
      </c>
      <c r="B1102" s="2">
        <v>2.488425925925926E-3</v>
      </c>
      <c r="C1102" t="s">
        <v>1563</v>
      </c>
      <c r="D1102" t="s">
        <v>35</v>
      </c>
      <c r="E1102" t="s">
        <v>36</v>
      </c>
      <c r="F1102" t="s">
        <v>327</v>
      </c>
      <c r="G1102">
        <v>1691426</v>
      </c>
      <c r="H1102" t="s">
        <v>26</v>
      </c>
      <c r="I1102" t="s">
        <v>328</v>
      </c>
      <c r="J1102" t="str">
        <f>"9781118839492"</f>
        <v>9781118839492</v>
      </c>
      <c r="K1102" t="s">
        <v>1998</v>
      </c>
      <c r="L1102">
        <v>10</v>
      </c>
      <c r="O1102" t="s">
        <v>30</v>
      </c>
      <c r="P1102" t="s">
        <v>29</v>
      </c>
      <c r="Q1102" s="1">
        <v>42375.946539351855</v>
      </c>
      <c r="R1102">
        <v>7</v>
      </c>
      <c r="S1102" t="s">
        <v>40</v>
      </c>
      <c r="T1102" t="s">
        <v>331</v>
      </c>
      <c r="U1102">
        <v>613.70460000000003</v>
      </c>
      <c r="V1102" s="3">
        <v>41772</v>
      </c>
    </row>
    <row r="1103" spans="1:22" x14ac:dyDescent="0.35">
      <c r="A1103" s="1">
        <v>42380.130381944444</v>
      </c>
      <c r="B1103" s="2">
        <v>1.6203703703703703E-4</v>
      </c>
      <c r="C1103" t="s">
        <v>1999</v>
      </c>
      <c r="D1103" t="s">
        <v>1222</v>
      </c>
      <c r="E1103" t="s">
        <v>1223</v>
      </c>
      <c r="F1103" t="s">
        <v>2000</v>
      </c>
      <c r="G1103">
        <v>1765699</v>
      </c>
      <c r="H1103" t="s">
        <v>1474</v>
      </c>
      <c r="I1103" t="s">
        <v>120</v>
      </c>
      <c r="J1103" t="str">
        <f>"9781137388476"</f>
        <v>9781137388476</v>
      </c>
      <c r="K1103" t="s">
        <v>2001</v>
      </c>
      <c r="L1103">
        <v>5</v>
      </c>
      <c r="O1103" t="s">
        <v>30</v>
      </c>
      <c r="P1103" t="s">
        <v>42</v>
      </c>
      <c r="S1103" t="s">
        <v>1226</v>
      </c>
      <c r="T1103" t="s">
        <v>2002</v>
      </c>
      <c r="U1103" t="s">
        <v>2003</v>
      </c>
      <c r="V1103" s="3">
        <v>41788</v>
      </c>
    </row>
    <row r="1104" spans="1:22" x14ac:dyDescent="0.35">
      <c r="A1104" s="1">
        <v>42380.111793981479</v>
      </c>
      <c r="B1104" s="2">
        <v>1.0532407407407407E-3</v>
      </c>
      <c r="C1104" t="s">
        <v>1911</v>
      </c>
      <c r="D1104" t="s">
        <v>23</v>
      </c>
      <c r="E1104" t="s">
        <v>24</v>
      </c>
      <c r="F1104" t="s">
        <v>2004</v>
      </c>
      <c r="G1104">
        <v>3061187</v>
      </c>
      <c r="H1104" t="s">
        <v>68</v>
      </c>
      <c r="I1104" t="s">
        <v>310</v>
      </c>
      <c r="J1104" t="str">
        <f>"9781315856018"</f>
        <v>9781315856018</v>
      </c>
      <c r="K1104" t="s">
        <v>2005</v>
      </c>
      <c r="L1104">
        <v>11</v>
      </c>
      <c r="O1104" t="s">
        <v>30</v>
      </c>
      <c r="P1104" t="s">
        <v>50</v>
      </c>
      <c r="S1104" t="s">
        <v>31</v>
      </c>
      <c r="T1104" t="s">
        <v>2006</v>
      </c>
      <c r="U1104" t="s">
        <v>2007</v>
      </c>
      <c r="V1104" s="3">
        <v>41609</v>
      </c>
    </row>
    <row r="1105" spans="1:22" x14ac:dyDescent="0.35">
      <c r="A1105" s="1">
        <v>42380.102939814817</v>
      </c>
      <c r="B1105" s="2">
        <v>0.19114583333333335</v>
      </c>
      <c r="C1105" t="s">
        <v>1595</v>
      </c>
      <c r="D1105" t="s">
        <v>23</v>
      </c>
      <c r="E1105" t="s">
        <v>24</v>
      </c>
      <c r="F1105" t="s">
        <v>2008</v>
      </c>
      <c r="G1105">
        <v>3058958</v>
      </c>
      <c r="H1105" t="s">
        <v>440</v>
      </c>
      <c r="I1105" t="s">
        <v>841</v>
      </c>
      <c r="J1105" t="str">
        <f>"9781118525500"</f>
        <v>9781118525500</v>
      </c>
      <c r="K1105" t="s">
        <v>2009</v>
      </c>
      <c r="L1105">
        <v>91</v>
      </c>
      <c r="O1105" t="s">
        <v>30</v>
      </c>
      <c r="P1105" t="s">
        <v>47</v>
      </c>
      <c r="Q1105" s="1">
        <v>42380.101446759261</v>
      </c>
      <c r="R1105">
        <v>1</v>
      </c>
      <c r="S1105" t="s">
        <v>31</v>
      </c>
      <c r="T1105" t="s">
        <v>2010</v>
      </c>
      <c r="U1105">
        <v>355.00760000000002</v>
      </c>
      <c r="V1105" s="3">
        <v>41400</v>
      </c>
    </row>
    <row r="1106" spans="1:22" x14ac:dyDescent="0.35">
      <c r="A1106" s="1">
        <v>42380.101446759261</v>
      </c>
      <c r="B1106" s="2">
        <v>1.3194444444444443E-3</v>
      </c>
      <c r="C1106" t="s">
        <v>1595</v>
      </c>
      <c r="D1106" t="s">
        <v>23</v>
      </c>
      <c r="E1106" t="s">
        <v>24</v>
      </c>
      <c r="F1106" t="s">
        <v>2008</v>
      </c>
      <c r="G1106">
        <v>3058958</v>
      </c>
      <c r="H1106" t="s">
        <v>440</v>
      </c>
      <c r="I1106" t="s">
        <v>841</v>
      </c>
      <c r="J1106" t="str">
        <f>"9781118525500"</f>
        <v>9781118525500</v>
      </c>
      <c r="K1106" t="s">
        <v>2011</v>
      </c>
      <c r="L1106">
        <v>11</v>
      </c>
      <c r="O1106" t="s">
        <v>30</v>
      </c>
      <c r="P1106" t="s">
        <v>47</v>
      </c>
      <c r="Q1106" s="1">
        <v>42380.101446759261</v>
      </c>
      <c r="R1106">
        <v>1</v>
      </c>
      <c r="S1106" t="s">
        <v>31</v>
      </c>
      <c r="T1106" t="s">
        <v>2010</v>
      </c>
      <c r="U1106">
        <v>355.00760000000002</v>
      </c>
      <c r="V1106" s="3">
        <v>41400</v>
      </c>
    </row>
    <row r="1107" spans="1:22" x14ac:dyDescent="0.35">
      <c r="A1107" s="1">
        <v>42380.094699074078</v>
      </c>
      <c r="B1107" s="2">
        <v>6.7476851851851856E-3</v>
      </c>
      <c r="C1107" t="s">
        <v>1595</v>
      </c>
      <c r="D1107" t="s">
        <v>23</v>
      </c>
      <c r="E1107" t="s">
        <v>24</v>
      </c>
      <c r="F1107" t="s">
        <v>2008</v>
      </c>
      <c r="G1107">
        <v>3058958</v>
      </c>
      <c r="H1107" t="s">
        <v>440</v>
      </c>
      <c r="I1107" t="s">
        <v>841</v>
      </c>
      <c r="J1107" t="str">
        <f>"9781118525500"</f>
        <v>9781118525500</v>
      </c>
      <c r="K1107" t="s">
        <v>2012</v>
      </c>
      <c r="L1107">
        <v>11</v>
      </c>
      <c r="O1107" t="s">
        <v>30</v>
      </c>
      <c r="P1107" t="s">
        <v>50</v>
      </c>
      <c r="S1107" t="s">
        <v>31</v>
      </c>
      <c r="T1107" t="s">
        <v>2010</v>
      </c>
      <c r="U1107">
        <v>355.00760000000002</v>
      </c>
      <c r="V1107" s="3">
        <v>41400</v>
      </c>
    </row>
    <row r="1108" spans="1:22" x14ac:dyDescent="0.35">
      <c r="A1108" s="1">
        <v>42380.090497685182</v>
      </c>
      <c r="B1108" s="2">
        <v>3.0671296296296297E-3</v>
      </c>
      <c r="C1108" t="s">
        <v>1595</v>
      </c>
      <c r="D1108" t="s">
        <v>23</v>
      </c>
      <c r="E1108" t="s">
        <v>24</v>
      </c>
      <c r="F1108" t="s">
        <v>1993</v>
      </c>
      <c r="G1108">
        <v>1358564</v>
      </c>
      <c r="H1108" t="s">
        <v>26</v>
      </c>
      <c r="I1108" t="s">
        <v>841</v>
      </c>
      <c r="J1108" t="str">
        <f>"9781118646267"</f>
        <v>9781118646267</v>
      </c>
      <c r="K1108" t="s">
        <v>2013</v>
      </c>
      <c r="L1108">
        <v>60</v>
      </c>
      <c r="O1108" t="s">
        <v>30</v>
      </c>
      <c r="P1108" t="s">
        <v>29</v>
      </c>
      <c r="Q1108" s="1">
        <v>42377.07644675926</v>
      </c>
      <c r="R1108">
        <v>7</v>
      </c>
      <c r="S1108" t="s">
        <v>31</v>
      </c>
      <c r="T1108" t="s">
        <v>1995</v>
      </c>
      <c r="U1108">
        <v>355.00760000000002</v>
      </c>
      <c r="V1108" s="3">
        <v>41487</v>
      </c>
    </row>
    <row r="1109" spans="1:22" x14ac:dyDescent="0.35">
      <c r="A1109" s="1">
        <v>42380.077233796299</v>
      </c>
      <c r="B1109" s="2">
        <v>1.1307870370370371E-2</v>
      </c>
      <c r="C1109" t="s">
        <v>2014</v>
      </c>
      <c r="D1109" t="s">
        <v>23</v>
      </c>
      <c r="E1109" t="s">
        <v>24</v>
      </c>
      <c r="F1109" t="s">
        <v>2015</v>
      </c>
      <c r="G1109">
        <v>2006078</v>
      </c>
      <c r="H1109" t="s">
        <v>26</v>
      </c>
      <c r="I1109" t="s">
        <v>150</v>
      </c>
      <c r="J1109" t="str">
        <f>"9781118475386"</f>
        <v>9781118475386</v>
      </c>
      <c r="K1109" t="s">
        <v>2016</v>
      </c>
      <c r="L1109">
        <v>42</v>
      </c>
      <c r="O1109" t="s">
        <v>30</v>
      </c>
      <c r="P1109" t="s">
        <v>29</v>
      </c>
      <c r="Q1109" s="1">
        <v>42378.704039351855</v>
      </c>
      <c r="R1109">
        <v>7</v>
      </c>
      <c r="S1109" t="s">
        <v>31</v>
      </c>
      <c r="T1109" t="s">
        <v>2017</v>
      </c>
      <c r="U1109">
        <v>777</v>
      </c>
      <c r="V1109" s="3">
        <v>42089</v>
      </c>
    </row>
    <row r="1110" spans="1:22" x14ac:dyDescent="0.35">
      <c r="A1110" s="1">
        <v>42380.020567129628</v>
      </c>
      <c r="B1110" s="2">
        <v>2.6273148148148153E-2</v>
      </c>
      <c r="C1110" t="s">
        <v>1726</v>
      </c>
      <c r="D1110" t="s">
        <v>35</v>
      </c>
      <c r="E1110" t="s">
        <v>36</v>
      </c>
      <c r="F1110" t="s">
        <v>327</v>
      </c>
      <c r="G1110">
        <v>1691426</v>
      </c>
      <c r="H1110" t="s">
        <v>26</v>
      </c>
      <c r="I1110" t="s">
        <v>328</v>
      </c>
      <c r="J1110" t="str">
        <f>"9781118839492"</f>
        <v>9781118839492</v>
      </c>
      <c r="K1110" t="s">
        <v>2018</v>
      </c>
      <c r="L1110">
        <v>67</v>
      </c>
      <c r="O1110" t="s">
        <v>30</v>
      </c>
      <c r="P1110" t="s">
        <v>29</v>
      </c>
      <c r="Q1110" s="1">
        <v>42380.020567129628</v>
      </c>
      <c r="R1110">
        <v>7</v>
      </c>
      <c r="S1110" t="s">
        <v>40</v>
      </c>
      <c r="T1110" t="s">
        <v>331</v>
      </c>
      <c r="U1110">
        <v>613.70460000000003</v>
      </c>
      <c r="V1110" s="3">
        <v>41772</v>
      </c>
    </row>
    <row r="1111" spans="1:22" x14ac:dyDescent="0.35">
      <c r="A1111" s="1">
        <v>42380.020532407405</v>
      </c>
      <c r="B1111" s="2">
        <v>3.4722222222222222E-5</v>
      </c>
      <c r="C1111" t="s">
        <v>1726</v>
      </c>
      <c r="D1111" t="s">
        <v>35</v>
      </c>
      <c r="E1111" t="s">
        <v>36</v>
      </c>
      <c r="F1111" t="s">
        <v>327</v>
      </c>
      <c r="G1111">
        <v>1691426</v>
      </c>
      <c r="H1111" t="s">
        <v>26</v>
      </c>
      <c r="I1111" t="s">
        <v>328</v>
      </c>
      <c r="J1111" t="str">
        <f>"9781118839492"</f>
        <v>9781118839492</v>
      </c>
      <c r="L1111">
        <v>0</v>
      </c>
      <c r="O1111" t="s">
        <v>30</v>
      </c>
      <c r="P1111" t="s">
        <v>42</v>
      </c>
      <c r="S1111" t="s">
        <v>40</v>
      </c>
      <c r="T1111" t="s">
        <v>331</v>
      </c>
      <c r="U1111">
        <v>613.70460000000003</v>
      </c>
      <c r="V1111" s="3">
        <v>41772</v>
      </c>
    </row>
    <row r="1112" spans="1:22" x14ac:dyDescent="0.35">
      <c r="A1112" s="1">
        <v>42380.000115740739</v>
      </c>
      <c r="B1112" s="2">
        <v>1.681712962962963E-2</v>
      </c>
      <c r="C1112" t="s">
        <v>2014</v>
      </c>
      <c r="D1112" t="s">
        <v>23</v>
      </c>
      <c r="E1112" t="s">
        <v>24</v>
      </c>
      <c r="F1112" t="s">
        <v>2015</v>
      </c>
      <c r="G1112">
        <v>2006078</v>
      </c>
      <c r="H1112" t="s">
        <v>26</v>
      </c>
      <c r="I1112" t="s">
        <v>150</v>
      </c>
      <c r="J1112" t="str">
        <f>"9781118475386"</f>
        <v>9781118475386</v>
      </c>
      <c r="K1112" t="s">
        <v>2019</v>
      </c>
      <c r="L1112">
        <v>31</v>
      </c>
      <c r="O1112" t="s">
        <v>30</v>
      </c>
      <c r="P1112" t="s">
        <v>29</v>
      </c>
      <c r="Q1112" s="1">
        <v>42378.704039351855</v>
      </c>
      <c r="R1112">
        <v>7</v>
      </c>
      <c r="S1112" t="s">
        <v>31</v>
      </c>
      <c r="T1112" t="s">
        <v>2017</v>
      </c>
      <c r="U1112">
        <v>777</v>
      </c>
      <c r="V1112" s="3">
        <v>42089</v>
      </c>
    </row>
    <row r="1113" spans="1:22" x14ac:dyDescent="0.35">
      <c r="A1113" s="1">
        <v>42379.885289351849</v>
      </c>
      <c r="B1113" s="2">
        <v>2.4988425925925928E-2</v>
      </c>
      <c r="C1113" t="s">
        <v>2020</v>
      </c>
      <c r="D1113" t="s">
        <v>35</v>
      </c>
      <c r="E1113" t="s">
        <v>36</v>
      </c>
      <c r="F1113" t="s">
        <v>327</v>
      </c>
      <c r="G1113">
        <v>1691426</v>
      </c>
      <c r="H1113" t="s">
        <v>26</v>
      </c>
      <c r="I1113" t="s">
        <v>328</v>
      </c>
      <c r="J1113" t="str">
        <f>"9781118839492"</f>
        <v>9781118839492</v>
      </c>
      <c r="K1113" t="s">
        <v>2021</v>
      </c>
      <c r="L1113">
        <v>30</v>
      </c>
      <c r="O1113" t="s">
        <v>30</v>
      </c>
      <c r="P1113" t="s">
        <v>29</v>
      </c>
      <c r="Q1113" s="1">
        <v>42379.885289351849</v>
      </c>
      <c r="R1113">
        <v>7</v>
      </c>
      <c r="S1113" t="s">
        <v>40</v>
      </c>
      <c r="T1113" t="s">
        <v>331</v>
      </c>
      <c r="U1113">
        <v>613.70460000000003</v>
      </c>
      <c r="V1113" s="3">
        <v>41772</v>
      </c>
    </row>
    <row r="1114" spans="1:22" x14ac:dyDescent="0.35">
      <c r="A1114" s="1">
        <v>42379.87736111111</v>
      </c>
      <c r="B1114" s="2">
        <v>7.9282407407407409E-3</v>
      </c>
      <c r="C1114" t="s">
        <v>2020</v>
      </c>
      <c r="D1114" t="s">
        <v>35</v>
      </c>
      <c r="E1114" t="s">
        <v>36</v>
      </c>
      <c r="F1114" t="s">
        <v>327</v>
      </c>
      <c r="G1114">
        <v>1691426</v>
      </c>
      <c r="H1114" t="s">
        <v>26</v>
      </c>
      <c r="I1114" t="s">
        <v>328</v>
      </c>
      <c r="J1114" t="str">
        <f>"9781118839492"</f>
        <v>9781118839492</v>
      </c>
      <c r="K1114" t="s">
        <v>2022</v>
      </c>
      <c r="L1114">
        <v>11</v>
      </c>
      <c r="O1114" t="s">
        <v>30</v>
      </c>
      <c r="P1114" t="s">
        <v>42</v>
      </c>
      <c r="S1114" t="s">
        <v>40</v>
      </c>
      <c r="T1114" t="s">
        <v>331</v>
      </c>
      <c r="U1114">
        <v>613.70460000000003</v>
      </c>
      <c r="V1114" s="3">
        <v>41772</v>
      </c>
    </row>
    <row r="1115" spans="1:22" x14ac:dyDescent="0.35">
      <c r="A1115" s="1">
        <v>42379.804212962961</v>
      </c>
      <c r="B1115" s="2">
        <v>0.11755787037037037</v>
      </c>
      <c r="C1115" t="s">
        <v>1595</v>
      </c>
      <c r="D1115" t="s">
        <v>23</v>
      </c>
      <c r="E1115" t="s">
        <v>24</v>
      </c>
      <c r="F1115" t="s">
        <v>2023</v>
      </c>
      <c r="G1115">
        <v>1895286</v>
      </c>
      <c r="H1115" t="s">
        <v>26</v>
      </c>
      <c r="I1115" t="s">
        <v>841</v>
      </c>
      <c r="J1115" t="str">
        <f>"9781119038351"</f>
        <v>9781119038351</v>
      </c>
      <c r="K1115" t="s">
        <v>2024</v>
      </c>
      <c r="L1115">
        <v>56</v>
      </c>
      <c r="O1115" t="s">
        <v>30</v>
      </c>
      <c r="P1115" t="s">
        <v>29</v>
      </c>
      <c r="Q1115" s="1">
        <v>42379.761180555557</v>
      </c>
      <c r="R1115">
        <v>7</v>
      </c>
      <c r="S1115" t="s">
        <v>31</v>
      </c>
      <c r="T1115" t="s">
        <v>2025</v>
      </c>
      <c r="U1115">
        <v>355.61</v>
      </c>
      <c r="V1115" s="3">
        <v>42131</v>
      </c>
    </row>
    <row r="1116" spans="1:22" x14ac:dyDescent="0.35">
      <c r="A1116" s="1">
        <v>42379.796099537038</v>
      </c>
      <c r="B1116" s="2">
        <v>1.9675925925925928E-3</v>
      </c>
      <c r="C1116" t="s">
        <v>1626</v>
      </c>
      <c r="D1116" t="s">
        <v>35</v>
      </c>
      <c r="E1116" t="s">
        <v>36</v>
      </c>
      <c r="F1116" t="s">
        <v>2026</v>
      </c>
      <c r="G1116">
        <v>1318975</v>
      </c>
      <c r="H1116" t="s">
        <v>68</v>
      </c>
      <c r="I1116" t="s">
        <v>310</v>
      </c>
      <c r="J1116" t="str">
        <f>"9781136310416"</f>
        <v>9781136310416</v>
      </c>
      <c r="K1116" t="s">
        <v>2027</v>
      </c>
      <c r="L1116">
        <v>10</v>
      </c>
      <c r="O1116" t="s">
        <v>30</v>
      </c>
      <c r="P1116" t="s">
        <v>47</v>
      </c>
      <c r="Q1116" s="1">
        <v>42379.796099537038</v>
      </c>
      <c r="R1116">
        <v>1</v>
      </c>
      <c r="S1116" t="s">
        <v>40</v>
      </c>
      <c r="T1116" t="s">
        <v>2028</v>
      </c>
      <c r="U1116">
        <v>820</v>
      </c>
      <c r="V1116" s="3">
        <v>41473</v>
      </c>
    </row>
    <row r="1117" spans="1:22" x14ac:dyDescent="0.35">
      <c r="A1117" s="1">
        <v>42379.795891203707</v>
      </c>
      <c r="B1117" s="2">
        <v>2.0833333333333335E-4</v>
      </c>
      <c r="C1117" t="s">
        <v>1626</v>
      </c>
      <c r="D1117" t="s">
        <v>35</v>
      </c>
      <c r="E1117" t="s">
        <v>36</v>
      </c>
      <c r="F1117" t="s">
        <v>2026</v>
      </c>
      <c r="G1117">
        <v>1318975</v>
      </c>
      <c r="H1117" t="s">
        <v>68</v>
      </c>
      <c r="I1117" t="s">
        <v>310</v>
      </c>
      <c r="J1117" t="str">
        <f>"9781136310416"</f>
        <v>9781136310416</v>
      </c>
      <c r="K1117" t="s">
        <v>2029</v>
      </c>
      <c r="L1117">
        <v>3</v>
      </c>
      <c r="O1117" t="s">
        <v>30</v>
      </c>
      <c r="P1117" t="s">
        <v>50</v>
      </c>
      <c r="S1117" t="s">
        <v>40</v>
      </c>
      <c r="T1117" t="s">
        <v>2028</v>
      </c>
      <c r="U1117">
        <v>820</v>
      </c>
      <c r="V1117" s="3">
        <v>41473</v>
      </c>
    </row>
    <row r="1118" spans="1:22" x14ac:dyDescent="0.35">
      <c r="A1118" s="1">
        <v>42379.761180555557</v>
      </c>
      <c r="B1118" s="2">
        <v>1.3773148148148147E-3</v>
      </c>
      <c r="C1118" t="s">
        <v>1595</v>
      </c>
      <c r="D1118" t="s">
        <v>23</v>
      </c>
      <c r="E1118" t="s">
        <v>24</v>
      </c>
      <c r="F1118" t="s">
        <v>2023</v>
      </c>
      <c r="G1118">
        <v>1895286</v>
      </c>
      <c r="H1118" t="s">
        <v>26</v>
      </c>
      <c r="I1118" t="s">
        <v>841</v>
      </c>
      <c r="J1118" t="str">
        <f>"9781119038351"</f>
        <v>9781119038351</v>
      </c>
      <c r="K1118" t="s">
        <v>2030</v>
      </c>
      <c r="L1118">
        <v>10</v>
      </c>
      <c r="N1118" t="s">
        <v>2031</v>
      </c>
      <c r="O1118" t="s">
        <v>30</v>
      </c>
      <c r="P1118" t="s">
        <v>29</v>
      </c>
      <c r="Q1118" s="1">
        <v>42379.761180555557</v>
      </c>
      <c r="R1118">
        <v>7</v>
      </c>
      <c r="S1118" t="s">
        <v>31</v>
      </c>
      <c r="T1118" t="s">
        <v>2025</v>
      </c>
      <c r="U1118">
        <v>355.61</v>
      </c>
      <c r="V1118" s="3">
        <v>42131</v>
      </c>
    </row>
    <row r="1119" spans="1:22" x14ac:dyDescent="0.35">
      <c r="A1119" s="1">
        <v>42379.760497685187</v>
      </c>
      <c r="B1119" s="2">
        <v>6.8287037037037025E-4</v>
      </c>
      <c r="C1119" t="s">
        <v>1595</v>
      </c>
      <c r="D1119" t="s">
        <v>23</v>
      </c>
      <c r="E1119" t="s">
        <v>24</v>
      </c>
      <c r="F1119" t="s">
        <v>2023</v>
      </c>
      <c r="G1119">
        <v>1895286</v>
      </c>
      <c r="H1119" t="s">
        <v>26</v>
      </c>
      <c r="I1119" t="s">
        <v>841</v>
      </c>
      <c r="J1119" t="str">
        <f>"9781119038351"</f>
        <v>9781119038351</v>
      </c>
      <c r="K1119" t="s">
        <v>2032</v>
      </c>
      <c r="L1119">
        <v>8</v>
      </c>
      <c r="O1119" t="s">
        <v>30</v>
      </c>
      <c r="P1119" t="s">
        <v>42</v>
      </c>
      <c r="S1119" t="s">
        <v>31</v>
      </c>
      <c r="T1119" t="s">
        <v>2025</v>
      </c>
      <c r="U1119">
        <v>355.61</v>
      </c>
      <c r="V1119" s="3">
        <v>42131</v>
      </c>
    </row>
    <row r="1120" spans="1:22" x14ac:dyDescent="0.35">
      <c r="A1120" s="1">
        <v>42379.724826388891</v>
      </c>
      <c r="B1120" s="2">
        <v>0.25006944444444446</v>
      </c>
      <c r="C1120" t="s">
        <v>1680</v>
      </c>
      <c r="D1120" t="s">
        <v>35</v>
      </c>
      <c r="E1120" t="s">
        <v>36</v>
      </c>
      <c r="F1120" t="s">
        <v>327</v>
      </c>
      <c r="G1120">
        <v>1691426</v>
      </c>
      <c r="H1120" t="s">
        <v>26</v>
      </c>
      <c r="I1120" t="s">
        <v>328</v>
      </c>
      <c r="J1120" t="str">
        <f>"9781118839492"</f>
        <v>9781118839492</v>
      </c>
      <c r="K1120" t="s">
        <v>2033</v>
      </c>
      <c r="L1120">
        <v>114</v>
      </c>
      <c r="O1120" t="s">
        <v>30</v>
      </c>
      <c r="P1120" t="s">
        <v>29</v>
      </c>
      <c r="Q1120" s="1">
        <v>42374.037326388891</v>
      </c>
      <c r="R1120">
        <v>7</v>
      </c>
      <c r="S1120" t="s">
        <v>40</v>
      </c>
      <c r="T1120" t="s">
        <v>331</v>
      </c>
      <c r="U1120">
        <v>613.70460000000003</v>
      </c>
      <c r="V1120" s="3">
        <v>41772</v>
      </c>
    </row>
    <row r="1121" spans="1:22" x14ac:dyDescent="0.35">
      <c r="A1121" s="1">
        <v>42379.723009259258</v>
      </c>
      <c r="B1121" s="2">
        <v>1.5046296296296297E-4</v>
      </c>
      <c r="C1121" t="s">
        <v>1557</v>
      </c>
      <c r="D1121" t="s">
        <v>35</v>
      </c>
      <c r="E1121" t="s">
        <v>36</v>
      </c>
      <c r="F1121" t="s">
        <v>327</v>
      </c>
      <c r="G1121">
        <v>1691426</v>
      </c>
      <c r="H1121" t="s">
        <v>26</v>
      </c>
      <c r="I1121" t="s">
        <v>328</v>
      </c>
      <c r="J1121" t="str">
        <f>"9781118839492"</f>
        <v>9781118839492</v>
      </c>
      <c r="K1121" t="s">
        <v>2034</v>
      </c>
      <c r="L1121">
        <v>10</v>
      </c>
      <c r="O1121" t="s">
        <v>30</v>
      </c>
      <c r="P1121" t="s">
        <v>29</v>
      </c>
      <c r="Q1121" s="1">
        <v>42379.723009259258</v>
      </c>
      <c r="R1121">
        <v>7</v>
      </c>
      <c r="S1121" t="s">
        <v>40</v>
      </c>
      <c r="T1121" t="s">
        <v>331</v>
      </c>
      <c r="U1121">
        <v>613.70460000000003</v>
      </c>
      <c r="V1121" s="3">
        <v>41772</v>
      </c>
    </row>
    <row r="1122" spans="1:22" x14ac:dyDescent="0.35">
      <c r="A1122" s="1">
        <v>42379.690520833334</v>
      </c>
      <c r="B1122" s="2">
        <v>0</v>
      </c>
      <c r="C1122" t="s">
        <v>1595</v>
      </c>
      <c r="D1122" t="s">
        <v>23</v>
      </c>
      <c r="E1122" t="s">
        <v>24</v>
      </c>
      <c r="F1122" t="s">
        <v>2035</v>
      </c>
      <c r="G1122">
        <v>2006127</v>
      </c>
      <c r="H1122" t="s">
        <v>26</v>
      </c>
      <c r="I1122" t="s">
        <v>841</v>
      </c>
      <c r="J1122" t="str">
        <f>"9781119038474"</f>
        <v>9781119038474</v>
      </c>
      <c r="K1122" t="s">
        <v>2036</v>
      </c>
      <c r="L1122">
        <v>1</v>
      </c>
      <c r="O1122" t="s">
        <v>30</v>
      </c>
      <c r="P1122" t="s">
        <v>29</v>
      </c>
      <c r="Q1122" s="1">
        <v>42379.690520833334</v>
      </c>
      <c r="R1122">
        <v>7</v>
      </c>
      <c r="S1122" t="s">
        <v>31</v>
      </c>
      <c r="T1122" t="s">
        <v>2037</v>
      </c>
      <c r="U1122">
        <v>355.00760000000002</v>
      </c>
      <c r="V1122" s="3">
        <v>42090</v>
      </c>
    </row>
    <row r="1123" spans="1:22" x14ac:dyDescent="0.35">
      <c r="A1123" s="1">
        <v>42379.686851851853</v>
      </c>
      <c r="B1123" s="2">
        <v>3.6689814814814814E-3</v>
      </c>
      <c r="C1123" t="s">
        <v>1595</v>
      </c>
      <c r="D1123" t="s">
        <v>23</v>
      </c>
      <c r="E1123" t="s">
        <v>24</v>
      </c>
      <c r="F1123" t="s">
        <v>2035</v>
      </c>
      <c r="G1123">
        <v>2006127</v>
      </c>
      <c r="H1123" t="s">
        <v>26</v>
      </c>
      <c r="I1123" t="s">
        <v>841</v>
      </c>
      <c r="J1123" t="str">
        <f>"9781119038474"</f>
        <v>9781119038474</v>
      </c>
      <c r="K1123" t="s">
        <v>2038</v>
      </c>
      <c r="L1123">
        <v>45</v>
      </c>
      <c r="O1123" t="s">
        <v>30</v>
      </c>
      <c r="P1123" t="s">
        <v>50</v>
      </c>
      <c r="S1123" t="s">
        <v>31</v>
      </c>
      <c r="T1123" t="s">
        <v>2037</v>
      </c>
      <c r="U1123">
        <v>355.00760000000002</v>
      </c>
      <c r="V1123" s="3">
        <v>42090</v>
      </c>
    </row>
    <row r="1124" spans="1:22" x14ac:dyDescent="0.35">
      <c r="A1124" s="1">
        <v>42379.678518518522</v>
      </c>
      <c r="B1124" s="2">
        <v>4.449074074074074E-2</v>
      </c>
      <c r="C1124" t="s">
        <v>1557</v>
      </c>
      <c r="D1124" t="s">
        <v>35</v>
      </c>
      <c r="E1124" t="s">
        <v>36</v>
      </c>
      <c r="F1124" t="s">
        <v>327</v>
      </c>
      <c r="G1124">
        <v>1691426</v>
      </c>
      <c r="H1124" t="s">
        <v>26</v>
      </c>
      <c r="I1124" t="s">
        <v>328</v>
      </c>
      <c r="J1124" t="str">
        <f>"9781118839492"</f>
        <v>9781118839492</v>
      </c>
      <c r="K1124" t="s">
        <v>33</v>
      </c>
      <c r="L1124">
        <v>3</v>
      </c>
      <c r="O1124" t="s">
        <v>30</v>
      </c>
      <c r="P1124" t="s">
        <v>42</v>
      </c>
      <c r="S1124" t="s">
        <v>40</v>
      </c>
      <c r="T1124" t="s">
        <v>331</v>
      </c>
      <c r="U1124">
        <v>613.70460000000003</v>
      </c>
      <c r="V1124" s="3">
        <v>41772</v>
      </c>
    </row>
    <row r="1125" spans="1:22" x14ac:dyDescent="0.35">
      <c r="A1125" s="1">
        <v>42379.550300925926</v>
      </c>
      <c r="B1125" s="2">
        <v>0.27038194444444447</v>
      </c>
      <c r="C1125" t="s">
        <v>1755</v>
      </c>
      <c r="D1125" t="s">
        <v>35</v>
      </c>
      <c r="E1125" t="s">
        <v>36</v>
      </c>
      <c r="F1125" t="s">
        <v>327</v>
      </c>
      <c r="G1125">
        <v>1691426</v>
      </c>
      <c r="H1125" t="s">
        <v>26</v>
      </c>
      <c r="I1125" t="s">
        <v>328</v>
      </c>
      <c r="J1125" t="str">
        <f>"9781118839492"</f>
        <v>9781118839492</v>
      </c>
      <c r="K1125" t="s">
        <v>2039</v>
      </c>
      <c r="L1125">
        <v>89</v>
      </c>
      <c r="O1125" t="s">
        <v>30</v>
      </c>
      <c r="P1125" t="s">
        <v>29</v>
      </c>
      <c r="Q1125" s="1">
        <v>42373.999479166669</v>
      </c>
      <c r="R1125">
        <v>7</v>
      </c>
      <c r="S1125" t="s">
        <v>40</v>
      </c>
      <c r="T1125" t="s">
        <v>331</v>
      </c>
      <c r="U1125">
        <v>613.70460000000003</v>
      </c>
      <c r="V1125" s="3">
        <v>41772</v>
      </c>
    </row>
    <row r="1126" spans="1:22" x14ac:dyDescent="0.35">
      <c r="A1126" s="1">
        <v>42379.549305555556</v>
      </c>
      <c r="B1126" s="2">
        <v>0.13408564814814813</v>
      </c>
      <c r="C1126" t="s">
        <v>2040</v>
      </c>
      <c r="D1126" t="s">
        <v>23</v>
      </c>
      <c r="E1126" t="s">
        <v>24</v>
      </c>
      <c r="F1126" t="s">
        <v>2041</v>
      </c>
      <c r="G1126">
        <v>1184140</v>
      </c>
      <c r="H1126" t="s">
        <v>26</v>
      </c>
      <c r="I1126" t="s">
        <v>417</v>
      </c>
      <c r="J1126" t="str">
        <f>"9780745663036"</f>
        <v>9780745663036</v>
      </c>
      <c r="K1126" t="s">
        <v>2042</v>
      </c>
      <c r="L1126">
        <v>122</v>
      </c>
      <c r="O1126" t="s">
        <v>30</v>
      </c>
      <c r="P1126" t="s">
        <v>47</v>
      </c>
      <c r="Q1126" s="1">
        <v>42379.549305555556</v>
      </c>
      <c r="R1126">
        <v>1</v>
      </c>
      <c r="S1126" t="s">
        <v>31</v>
      </c>
      <c r="T1126" t="s">
        <v>2043</v>
      </c>
      <c r="U1126">
        <v>303.66000000000003</v>
      </c>
      <c r="V1126" s="3">
        <v>41390</v>
      </c>
    </row>
    <row r="1127" spans="1:22" x14ac:dyDescent="0.35">
      <c r="A1127" s="1">
        <v>42379.545277777775</v>
      </c>
      <c r="B1127" s="2">
        <v>4.0277777777777777E-3</v>
      </c>
      <c r="C1127" t="s">
        <v>2040</v>
      </c>
      <c r="D1127" t="s">
        <v>23</v>
      </c>
      <c r="E1127" t="s">
        <v>24</v>
      </c>
      <c r="F1127" t="s">
        <v>2041</v>
      </c>
      <c r="G1127">
        <v>1184140</v>
      </c>
      <c r="H1127" t="s">
        <v>26</v>
      </c>
      <c r="I1127" t="s">
        <v>417</v>
      </c>
      <c r="J1127" t="str">
        <f>"9780745663036"</f>
        <v>9780745663036</v>
      </c>
      <c r="K1127" t="s">
        <v>2044</v>
      </c>
      <c r="L1127">
        <v>21</v>
      </c>
      <c r="O1127" t="s">
        <v>30</v>
      </c>
      <c r="P1127" t="s">
        <v>50</v>
      </c>
      <c r="S1127" t="s">
        <v>31</v>
      </c>
      <c r="T1127" t="s">
        <v>2043</v>
      </c>
      <c r="U1127">
        <v>303.66000000000003</v>
      </c>
      <c r="V1127" s="3">
        <v>41390</v>
      </c>
    </row>
    <row r="1128" spans="1:22" x14ac:dyDescent="0.35">
      <c r="A1128" s="1">
        <v>42379.520300925928</v>
      </c>
      <c r="B1128" s="2">
        <v>3.1250000000000001E-4</v>
      </c>
      <c r="C1128" t="s">
        <v>1755</v>
      </c>
      <c r="D1128" t="s">
        <v>35</v>
      </c>
      <c r="E1128" t="s">
        <v>36</v>
      </c>
      <c r="F1128" t="s">
        <v>327</v>
      </c>
      <c r="G1128">
        <v>1691426</v>
      </c>
      <c r="H1128" t="s">
        <v>26</v>
      </c>
      <c r="I1128" t="s">
        <v>328</v>
      </c>
      <c r="J1128" t="str">
        <f>"9781118839492"</f>
        <v>9781118839492</v>
      </c>
      <c r="K1128" t="s">
        <v>2045</v>
      </c>
      <c r="L1128">
        <v>2</v>
      </c>
      <c r="O1128" t="s">
        <v>30</v>
      </c>
      <c r="P1128" t="s">
        <v>29</v>
      </c>
      <c r="Q1128" s="1">
        <v>42373.999479166669</v>
      </c>
      <c r="R1128">
        <v>7</v>
      </c>
      <c r="S1128" t="s">
        <v>40</v>
      </c>
      <c r="T1128" t="s">
        <v>331</v>
      </c>
      <c r="U1128">
        <v>613.70460000000003</v>
      </c>
      <c r="V1128" s="3">
        <v>41772</v>
      </c>
    </row>
    <row r="1129" spans="1:22" x14ac:dyDescent="0.35">
      <c r="A1129" s="1">
        <v>42379.483553240738</v>
      </c>
      <c r="B1129" s="2">
        <v>0</v>
      </c>
      <c r="C1129" t="s">
        <v>701</v>
      </c>
      <c r="D1129" t="s">
        <v>23</v>
      </c>
      <c r="E1129" t="s">
        <v>24</v>
      </c>
      <c r="F1129" t="s">
        <v>713</v>
      </c>
      <c r="G1129">
        <v>1397236</v>
      </c>
      <c r="H1129" t="s">
        <v>68</v>
      </c>
      <c r="I1129" t="s">
        <v>150</v>
      </c>
      <c r="J1129" t="str">
        <f>"9781135871451"</f>
        <v>9781135871451</v>
      </c>
      <c r="L1129">
        <v>0</v>
      </c>
      <c r="O1129" t="s">
        <v>28</v>
      </c>
      <c r="P1129" t="s">
        <v>47</v>
      </c>
      <c r="Q1129" s="1">
        <v>42379.483553240738</v>
      </c>
      <c r="R1129">
        <v>7</v>
      </c>
      <c r="S1129" t="s">
        <v>31</v>
      </c>
      <c r="T1129" t="s">
        <v>714</v>
      </c>
      <c r="U1129">
        <v>701.18</v>
      </c>
      <c r="V1129" s="3">
        <v>41530</v>
      </c>
    </row>
    <row r="1130" spans="1:22" x14ac:dyDescent="0.35">
      <c r="A1130" s="1">
        <v>42379.483553240738</v>
      </c>
      <c r="B1130" s="2">
        <v>0</v>
      </c>
      <c r="C1130" t="s">
        <v>701</v>
      </c>
      <c r="D1130" t="s">
        <v>23</v>
      </c>
      <c r="E1130" t="s">
        <v>24</v>
      </c>
      <c r="F1130" t="s">
        <v>713</v>
      </c>
      <c r="G1130">
        <v>1397236</v>
      </c>
      <c r="H1130" t="s">
        <v>68</v>
      </c>
      <c r="I1130" t="s">
        <v>150</v>
      </c>
      <c r="J1130" t="str">
        <f>"9781135871451"</f>
        <v>9781135871451</v>
      </c>
      <c r="L1130">
        <v>0</v>
      </c>
      <c r="O1130" t="s">
        <v>30</v>
      </c>
      <c r="P1130" t="s">
        <v>47</v>
      </c>
      <c r="Q1130" s="1">
        <v>42379.483553240738</v>
      </c>
      <c r="R1130">
        <v>7</v>
      </c>
      <c r="S1130" t="s">
        <v>31</v>
      </c>
      <c r="T1130" t="s">
        <v>714</v>
      </c>
      <c r="U1130">
        <v>701.18</v>
      </c>
      <c r="V1130" s="3">
        <v>41530</v>
      </c>
    </row>
    <row r="1131" spans="1:22" x14ac:dyDescent="0.35">
      <c r="A1131" s="1">
        <v>42379.483298611114</v>
      </c>
      <c r="B1131" s="2">
        <v>2.5462962962962961E-4</v>
      </c>
      <c r="C1131" t="s">
        <v>701</v>
      </c>
      <c r="D1131" t="s">
        <v>23</v>
      </c>
      <c r="E1131" t="s">
        <v>24</v>
      </c>
      <c r="F1131" t="s">
        <v>713</v>
      </c>
      <c r="G1131">
        <v>1397236</v>
      </c>
      <c r="H1131" t="s">
        <v>68</v>
      </c>
      <c r="I1131" t="s">
        <v>150</v>
      </c>
      <c r="J1131" t="str">
        <f>"9781135871451"</f>
        <v>9781135871451</v>
      </c>
      <c r="K1131" t="s">
        <v>33</v>
      </c>
      <c r="L1131">
        <v>3</v>
      </c>
      <c r="O1131" t="s">
        <v>30</v>
      </c>
      <c r="P1131" t="s">
        <v>50</v>
      </c>
      <c r="S1131" t="s">
        <v>31</v>
      </c>
      <c r="T1131" t="s">
        <v>714</v>
      </c>
      <c r="U1131">
        <v>701.18</v>
      </c>
      <c r="V1131" s="3">
        <v>41530</v>
      </c>
    </row>
    <row r="1132" spans="1:22" x14ac:dyDescent="0.35">
      <c r="A1132" s="1">
        <v>42379.327604166669</v>
      </c>
      <c r="B1132" s="2">
        <v>3.3437500000000002E-2</v>
      </c>
      <c r="C1132" t="s">
        <v>1726</v>
      </c>
      <c r="D1132" t="s">
        <v>35</v>
      </c>
      <c r="E1132" t="s">
        <v>36</v>
      </c>
      <c r="F1132" t="s">
        <v>327</v>
      </c>
      <c r="G1132">
        <v>1691426</v>
      </c>
      <c r="H1132" t="s">
        <v>26</v>
      </c>
      <c r="I1132" t="s">
        <v>328</v>
      </c>
      <c r="J1132" t="str">
        <f>"9781118839492"</f>
        <v>9781118839492</v>
      </c>
      <c r="K1132" t="s">
        <v>2046</v>
      </c>
      <c r="L1132">
        <v>24</v>
      </c>
      <c r="O1132" t="s">
        <v>30</v>
      </c>
      <c r="P1132" t="s">
        <v>29</v>
      </c>
      <c r="Q1132" s="1">
        <v>42372.923796296294</v>
      </c>
      <c r="R1132">
        <v>7</v>
      </c>
      <c r="S1132" t="s">
        <v>40</v>
      </c>
      <c r="T1132" t="s">
        <v>331</v>
      </c>
      <c r="U1132">
        <v>613.70460000000003</v>
      </c>
      <c r="V1132" s="3">
        <v>41772</v>
      </c>
    </row>
    <row r="1133" spans="1:22" x14ac:dyDescent="0.35">
      <c r="A1133" s="1">
        <v>42379.257696759261</v>
      </c>
      <c r="B1133" s="2">
        <v>1.3888888888888889E-4</v>
      </c>
      <c r="C1133" t="s">
        <v>2047</v>
      </c>
      <c r="D1133" t="s">
        <v>35</v>
      </c>
      <c r="E1133" t="s">
        <v>36</v>
      </c>
      <c r="F1133" t="s">
        <v>2048</v>
      </c>
      <c r="G1133">
        <v>1728048</v>
      </c>
      <c r="H1133" t="s">
        <v>526</v>
      </c>
      <c r="I1133" t="s">
        <v>445</v>
      </c>
      <c r="J1133" t="str">
        <f>"9780226093284"</f>
        <v>9780226093284</v>
      </c>
      <c r="K1133" t="s">
        <v>98</v>
      </c>
      <c r="L1133">
        <v>7</v>
      </c>
      <c r="O1133" t="s">
        <v>30</v>
      </c>
      <c r="P1133" t="s">
        <v>50</v>
      </c>
      <c r="S1133" t="s">
        <v>40</v>
      </c>
      <c r="T1133" t="s">
        <v>2049</v>
      </c>
      <c r="U1133" t="s">
        <v>2050</v>
      </c>
      <c r="V1133" s="3">
        <v>41929</v>
      </c>
    </row>
    <row r="1134" spans="1:22" x14ac:dyDescent="0.35">
      <c r="A1134" s="1">
        <v>42379.242951388886</v>
      </c>
      <c r="B1134" s="2">
        <v>2.3240740740740742E-2</v>
      </c>
      <c r="C1134" t="s">
        <v>1595</v>
      </c>
      <c r="D1134" t="s">
        <v>23</v>
      </c>
      <c r="E1134" t="s">
        <v>24</v>
      </c>
      <c r="F1134" t="s">
        <v>1993</v>
      </c>
      <c r="G1134">
        <v>1358564</v>
      </c>
      <c r="H1134" t="s">
        <v>26</v>
      </c>
      <c r="I1134" t="s">
        <v>841</v>
      </c>
      <c r="J1134" t="str">
        <f>"9781118646267"</f>
        <v>9781118646267</v>
      </c>
      <c r="K1134" t="s">
        <v>2051</v>
      </c>
      <c r="L1134">
        <v>39</v>
      </c>
      <c r="O1134" t="s">
        <v>30</v>
      </c>
      <c r="P1134" t="s">
        <v>29</v>
      </c>
      <c r="Q1134" s="1">
        <v>42377.07644675926</v>
      </c>
      <c r="R1134">
        <v>7</v>
      </c>
      <c r="S1134" t="s">
        <v>31</v>
      </c>
      <c r="T1134" t="s">
        <v>1995</v>
      </c>
      <c r="U1134">
        <v>355.00760000000002</v>
      </c>
      <c r="V1134" s="3">
        <v>41487</v>
      </c>
    </row>
    <row r="1135" spans="1:22" x14ac:dyDescent="0.35">
      <c r="A1135" s="1">
        <v>42379.2109837963</v>
      </c>
      <c r="B1135" s="2">
        <v>0</v>
      </c>
      <c r="C1135" t="s">
        <v>2052</v>
      </c>
      <c r="D1135" t="s">
        <v>23</v>
      </c>
      <c r="E1135" t="s">
        <v>24</v>
      </c>
      <c r="F1135" t="s">
        <v>2053</v>
      </c>
      <c r="G1135">
        <v>2011349</v>
      </c>
      <c r="H1135" t="s">
        <v>26</v>
      </c>
      <c r="I1135" t="s">
        <v>445</v>
      </c>
      <c r="J1135" t="str">
        <f>"9781119143123"</f>
        <v>9781119143123</v>
      </c>
      <c r="L1135">
        <v>0</v>
      </c>
      <c r="O1135" t="s">
        <v>28</v>
      </c>
      <c r="P1135" t="s">
        <v>29</v>
      </c>
      <c r="Q1135" s="1">
        <v>42379.210439814815</v>
      </c>
      <c r="R1135">
        <v>7</v>
      </c>
      <c r="S1135" t="s">
        <v>31</v>
      </c>
      <c r="T1135" t="s">
        <v>2054</v>
      </c>
      <c r="U1135">
        <v>332.63200000000001</v>
      </c>
      <c r="V1135" s="3">
        <v>42097</v>
      </c>
    </row>
    <row r="1136" spans="1:22" x14ac:dyDescent="0.35">
      <c r="A1136" s="1">
        <v>42379.210439814815</v>
      </c>
      <c r="B1136" s="2">
        <v>0</v>
      </c>
      <c r="C1136" t="s">
        <v>2052</v>
      </c>
      <c r="D1136" t="s">
        <v>23</v>
      </c>
      <c r="E1136" t="s">
        <v>24</v>
      </c>
      <c r="F1136" t="s">
        <v>2053</v>
      </c>
      <c r="G1136">
        <v>2011349</v>
      </c>
      <c r="H1136" t="s">
        <v>26</v>
      </c>
      <c r="I1136" t="s">
        <v>445</v>
      </c>
      <c r="J1136" t="str">
        <f>"9781119143123"</f>
        <v>9781119143123</v>
      </c>
      <c r="L1136">
        <v>0</v>
      </c>
      <c r="M1136" t="s">
        <v>834</v>
      </c>
      <c r="O1136" t="s">
        <v>30</v>
      </c>
      <c r="P1136" t="s">
        <v>29</v>
      </c>
      <c r="Q1136" s="1">
        <v>42379.210439814815</v>
      </c>
      <c r="R1136">
        <v>7</v>
      </c>
      <c r="S1136" t="s">
        <v>31</v>
      </c>
      <c r="T1136" t="s">
        <v>2054</v>
      </c>
      <c r="U1136">
        <v>332.63200000000001</v>
      </c>
      <c r="V1136" s="3">
        <v>42097</v>
      </c>
    </row>
    <row r="1137" spans="1:22" x14ac:dyDescent="0.35">
      <c r="A1137" s="1">
        <v>42379.208738425928</v>
      </c>
      <c r="B1137" s="2">
        <v>2.7777777777777779E-3</v>
      </c>
      <c r="C1137" t="s">
        <v>2052</v>
      </c>
      <c r="D1137" t="s">
        <v>23</v>
      </c>
      <c r="E1137" t="s">
        <v>24</v>
      </c>
      <c r="F1137" t="s">
        <v>1579</v>
      </c>
      <c r="G1137">
        <v>1161538</v>
      </c>
      <c r="H1137" t="s">
        <v>26</v>
      </c>
      <c r="I1137" t="s">
        <v>108</v>
      </c>
      <c r="J1137" t="str">
        <f>"9781118521755"</f>
        <v>9781118521755</v>
      </c>
      <c r="K1137" t="s">
        <v>2055</v>
      </c>
      <c r="L1137">
        <v>11</v>
      </c>
      <c r="O1137" t="s">
        <v>30</v>
      </c>
      <c r="P1137" t="s">
        <v>42</v>
      </c>
      <c r="S1137" t="s">
        <v>31</v>
      </c>
      <c r="T1137" t="s">
        <v>1581</v>
      </c>
      <c r="U1137">
        <v>332.63220000000001</v>
      </c>
      <c r="V1137" s="3">
        <v>41359</v>
      </c>
    </row>
    <row r="1138" spans="1:22" x14ac:dyDescent="0.35">
      <c r="A1138" s="1">
        <v>42379.208564814813</v>
      </c>
      <c r="B1138" s="2">
        <v>1.8750000000000001E-3</v>
      </c>
      <c r="C1138" t="s">
        <v>2052</v>
      </c>
      <c r="D1138" t="s">
        <v>23</v>
      </c>
      <c r="E1138" t="s">
        <v>24</v>
      </c>
      <c r="F1138" t="s">
        <v>2053</v>
      </c>
      <c r="G1138">
        <v>2011349</v>
      </c>
      <c r="H1138" t="s">
        <v>26</v>
      </c>
      <c r="I1138" t="s">
        <v>445</v>
      </c>
      <c r="J1138" t="str">
        <f>"9781119143123"</f>
        <v>9781119143123</v>
      </c>
      <c r="K1138" t="s">
        <v>2056</v>
      </c>
      <c r="L1138">
        <v>17</v>
      </c>
      <c r="O1138" t="s">
        <v>30</v>
      </c>
      <c r="P1138" t="s">
        <v>50</v>
      </c>
      <c r="S1138" t="s">
        <v>31</v>
      </c>
      <c r="T1138" t="s">
        <v>2054</v>
      </c>
      <c r="U1138">
        <v>332.63200000000001</v>
      </c>
      <c r="V1138" s="3">
        <v>42097</v>
      </c>
    </row>
    <row r="1139" spans="1:22" x14ac:dyDescent="0.35">
      <c r="A1139" s="1">
        <v>42379.20207175926</v>
      </c>
      <c r="B1139" s="2">
        <v>1.3657407407407408E-2</v>
      </c>
      <c r="C1139" t="s">
        <v>1755</v>
      </c>
      <c r="D1139" t="s">
        <v>35</v>
      </c>
      <c r="E1139" t="s">
        <v>36</v>
      </c>
      <c r="F1139" t="s">
        <v>327</v>
      </c>
      <c r="G1139">
        <v>1691426</v>
      </c>
      <c r="H1139" t="s">
        <v>26</v>
      </c>
      <c r="I1139" t="s">
        <v>328</v>
      </c>
      <c r="J1139" t="str">
        <f>"9781118839492"</f>
        <v>9781118839492</v>
      </c>
      <c r="K1139" t="s">
        <v>2057</v>
      </c>
      <c r="L1139">
        <v>11</v>
      </c>
      <c r="O1139" t="s">
        <v>30</v>
      </c>
      <c r="P1139" t="s">
        <v>29</v>
      </c>
      <c r="Q1139" s="1">
        <v>42373.999479166669</v>
      </c>
      <c r="R1139">
        <v>7</v>
      </c>
      <c r="S1139" t="s">
        <v>40</v>
      </c>
      <c r="T1139" t="s">
        <v>331</v>
      </c>
      <c r="U1139">
        <v>613.70460000000003</v>
      </c>
      <c r="V1139" s="3">
        <v>41772</v>
      </c>
    </row>
    <row r="1140" spans="1:22" x14ac:dyDescent="0.35">
      <c r="A1140" s="1">
        <v>42379.1246875</v>
      </c>
      <c r="B1140" s="2">
        <v>2.8043981481481479E-2</v>
      </c>
      <c r="C1140" t="s">
        <v>1595</v>
      </c>
      <c r="D1140" t="s">
        <v>23</v>
      </c>
      <c r="E1140" t="s">
        <v>24</v>
      </c>
      <c r="F1140" t="s">
        <v>1993</v>
      </c>
      <c r="G1140">
        <v>1358564</v>
      </c>
      <c r="H1140" t="s">
        <v>26</v>
      </c>
      <c r="I1140" t="s">
        <v>841</v>
      </c>
      <c r="J1140" t="str">
        <f>"9781118646267"</f>
        <v>9781118646267</v>
      </c>
      <c r="K1140" t="s">
        <v>2058</v>
      </c>
      <c r="L1140">
        <v>15</v>
      </c>
      <c r="O1140" t="s">
        <v>30</v>
      </c>
      <c r="P1140" t="s">
        <v>29</v>
      </c>
      <c r="Q1140" s="1">
        <v>42377.07644675926</v>
      </c>
      <c r="R1140">
        <v>7</v>
      </c>
      <c r="S1140" t="s">
        <v>31</v>
      </c>
      <c r="T1140" t="s">
        <v>1995</v>
      </c>
      <c r="U1140">
        <v>355.00760000000002</v>
      </c>
      <c r="V1140" s="3">
        <v>41487</v>
      </c>
    </row>
    <row r="1141" spans="1:22" x14ac:dyDescent="0.35">
      <c r="A1141" s="1">
        <v>42379.124409722222</v>
      </c>
      <c r="B1141" s="2">
        <v>3.0381944444444444E-2</v>
      </c>
      <c r="C1141" t="s">
        <v>1595</v>
      </c>
      <c r="D1141" t="s">
        <v>23</v>
      </c>
      <c r="E1141" t="s">
        <v>24</v>
      </c>
      <c r="F1141" t="s">
        <v>1993</v>
      </c>
      <c r="G1141">
        <v>1358564</v>
      </c>
      <c r="H1141" t="s">
        <v>26</v>
      </c>
      <c r="I1141" t="s">
        <v>841</v>
      </c>
      <c r="J1141" t="str">
        <f>"9781118646267"</f>
        <v>9781118646267</v>
      </c>
      <c r="K1141" t="s">
        <v>2059</v>
      </c>
      <c r="L1141">
        <v>21</v>
      </c>
      <c r="O1141" t="s">
        <v>30</v>
      </c>
      <c r="P1141" t="s">
        <v>29</v>
      </c>
      <c r="Q1141" s="1">
        <v>42377.07644675926</v>
      </c>
      <c r="R1141">
        <v>7</v>
      </c>
      <c r="S1141" t="s">
        <v>31</v>
      </c>
      <c r="T1141" t="s">
        <v>1995</v>
      </c>
      <c r="U1141">
        <v>355.00760000000002</v>
      </c>
      <c r="V1141" s="3">
        <v>41487</v>
      </c>
    </row>
    <row r="1142" spans="1:22" x14ac:dyDescent="0.35">
      <c r="A1142" s="1">
        <v>42379.056226851855</v>
      </c>
      <c r="B1142" s="2">
        <v>0</v>
      </c>
      <c r="C1142" t="s">
        <v>77</v>
      </c>
      <c r="D1142" t="s">
        <v>23</v>
      </c>
      <c r="E1142" t="s">
        <v>24</v>
      </c>
      <c r="F1142" t="s">
        <v>78</v>
      </c>
      <c r="G1142">
        <v>1635363</v>
      </c>
      <c r="H1142" t="s">
        <v>26</v>
      </c>
      <c r="I1142" t="s">
        <v>79</v>
      </c>
      <c r="J1142" t="str">
        <f>"9781118678206"</f>
        <v>9781118678206</v>
      </c>
      <c r="L1142">
        <v>0</v>
      </c>
      <c r="O1142" t="s">
        <v>28</v>
      </c>
      <c r="P1142" t="s">
        <v>29</v>
      </c>
      <c r="Q1142" s="1">
        <v>42378.200416666667</v>
      </c>
      <c r="R1142">
        <v>7</v>
      </c>
      <c r="S1142" t="s">
        <v>31</v>
      </c>
      <c r="T1142" t="s">
        <v>81</v>
      </c>
      <c r="U1142">
        <v>340.07600000000002</v>
      </c>
      <c r="V1142" s="3">
        <v>41684</v>
      </c>
    </row>
    <row r="1143" spans="1:22" x14ac:dyDescent="0.35">
      <c r="A1143" s="1">
        <v>42379.05259259259</v>
      </c>
      <c r="B1143" s="2">
        <v>5.7870370370370378E-4</v>
      </c>
      <c r="C1143" t="s">
        <v>2020</v>
      </c>
      <c r="D1143" t="s">
        <v>35</v>
      </c>
      <c r="E1143" t="s">
        <v>36</v>
      </c>
      <c r="F1143" t="s">
        <v>327</v>
      </c>
      <c r="G1143">
        <v>1691426</v>
      </c>
      <c r="H1143" t="s">
        <v>26</v>
      </c>
      <c r="I1143" t="s">
        <v>328</v>
      </c>
      <c r="J1143" t="str">
        <f>"9781118839492"</f>
        <v>9781118839492</v>
      </c>
      <c r="K1143" t="s">
        <v>2060</v>
      </c>
      <c r="L1143">
        <v>9</v>
      </c>
      <c r="O1143" t="s">
        <v>30</v>
      </c>
      <c r="P1143" t="s">
        <v>42</v>
      </c>
      <c r="S1143" t="s">
        <v>40</v>
      </c>
      <c r="T1143" t="s">
        <v>331</v>
      </c>
      <c r="U1143">
        <v>613.70460000000003</v>
      </c>
      <c r="V1143" s="3">
        <v>41772</v>
      </c>
    </row>
    <row r="1144" spans="1:22" x14ac:dyDescent="0.35">
      <c r="A1144" s="1">
        <v>42379.020613425928</v>
      </c>
      <c r="B1144" s="2">
        <v>7.5231481481481471E-4</v>
      </c>
      <c r="C1144" t="s">
        <v>77</v>
      </c>
      <c r="D1144" t="s">
        <v>23</v>
      </c>
      <c r="E1144" t="s">
        <v>24</v>
      </c>
      <c r="F1144" t="s">
        <v>78</v>
      </c>
      <c r="G1144">
        <v>1635363</v>
      </c>
      <c r="H1144" t="s">
        <v>26</v>
      </c>
      <c r="I1144" t="s">
        <v>79</v>
      </c>
      <c r="J1144" t="str">
        <f>"9781118678206"</f>
        <v>9781118678206</v>
      </c>
      <c r="K1144" t="s">
        <v>2061</v>
      </c>
      <c r="L1144">
        <v>18</v>
      </c>
      <c r="O1144" t="s">
        <v>28</v>
      </c>
      <c r="P1144" t="s">
        <v>29</v>
      </c>
      <c r="Q1144" s="1">
        <v>42378.200416666667</v>
      </c>
      <c r="R1144">
        <v>7</v>
      </c>
      <c r="S1144" t="s">
        <v>31</v>
      </c>
      <c r="T1144" t="s">
        <v>81</v>
      </c>
      <c r="U1144">
        <v>340.07600000000002</v>
      </c>
      <c r="V1144" s="3">
        <v>41684</v>
      </c>
    </row>
    <row r="1145" spans="1:22" x14ac:dyDescent="0.35">
      <c r="A1145" s="1">
        <v>42379.020289351851</v>
      </c>
      <c r="B1145" s="2">
        <v>4.6296296296296294E-5</v>
      </c>
      <c r="C1145" t="s">
        <v>77</v>
      </c>
      <c r="D1145" t="s">
        <v>23</v>
      </c>
      <c r="E1145" t="s">
        <v>24</v>
      </c>
      <c r="F1145" t="s">
        <v>78</v>
      </c>
      <c r="G1145">
        <v>1635363</v>
      </c>
      <c r="H1145" t="s">
        <v>26</v>
      </c>
      <c r="I1145" t="s">
        <v>79</v>
      </c>
      <c r="J1145" t="str">
        <f>"9781118678206"</f>
        <v>9781118678206</v>
      </c>
      <c r="K1145" t="s">
        <v>33</v>
      </c>
      <c r="L1145">
        <v>3</v>
      </c>
      <c r="O1145" t="s">
        <v>30</v>
      </c>
      <c r="P1145" t="s">
        <v>29</v>
      </c>
      <c r="Q1145" s="1">
        <v>42378.200416666667</v>
      </c>
      <c r="R1145">
        <v>7</v>
      </c>
      <c r="S1145" t="s">
        <v>31</v>
      </c>
      <c r="T1145" t="s">
        <v>81</v>
      </c>
      <c r="U1145">
        <v>340.07600000000002</v>
      </c>
      <c r="V1145" s="3">
        <v>41684</v>
      </c>
    </row>
    <row r="1146" spans="1:22" x14ac:dyDescent="0.35">
      <c r="A1146" s="1">
        <v>42378.98914351852</v>
      </c>
      <c r="B1146" s="2">
        <v>7.9861111111111105E-4</v>
      </c>
      <c r="C1146" t="s">
        <v>2062</v>
      </c>
      <c r="D1146" t="s">
        <v>23</v>
      </c>
      <c r="E1146" t="s">
        <v>24</v>
      </c>
      <c r="F1146" t="s">
        <v>2063</v>
      </c>
      <c r="G1146">
        <v>1691999</v>
      </c>
      <c r="H1146" t="s">
        <v>26</v>
      </c>
      <c r="I1146" t="s">
        <v>2064</v>
      </c>
      <c r="J1146" t="str">
        <f>"9781118910061"</f>
        <v>9781118910061</v>
      </c>
      <c r="K1146" t="s">
        <v>2065</v>
      </c>
      <c r="L1146">
        <v>22</v>
      </c>
      <c r="O1146" t="s">
        <v>30</v>
      </c>
      <c r="P1146" t="s">
        <v>50</v>
      </c>
      <c r="S1146" t="s">
        <v>31</v>
      </c>
      <c r="T1146" t="s">
        <v>2066</v>
      </c>
      <c r="U1146">
        <v>620.00109999999995</v>
      </c>
      <c r="V1146" s="3">
        <v>41775</v>
      </c>
    </row>
    <row r="1147" spans="1:22" x14ac:dyDescent="0.35">
      <c r="A1147" s="1">
        <v>42378.933611111112</v>
      </c>
      <c r="B1147" s="2">
        <v>0.15202546296296296</v>
      </c>
      <c r="C1147" t="s">
        <v>1595</v>
      </c>
      <c r="D1147" t="s">
        <v>23</v>
      </c>
      <c r="E1147" t="s">
        <v>24</v>
      </c>
      <c r="F1147" t="s">
        <v>1993</v>
      </c>
      <c r="G1147">
        <v>1358564</v>
      </c>
      <c r="H1147" t="s">
        <v>26</v>
      </c>
      <c r="I1147" t="s">
        <v>841</v>
      </c>
      <c r="J1147" t="str">
        <f>"9781118646267"</f>
        <v>9781118646267</v>
      </c>
      <c r="K1147" t="s">
        <v>2067</v>
      </c>
      <c r="L1147">
        <v>42</v>
      </c>
      <c r="O1147" t="s">
        <v>30</v>
      </c>
      <c r="P1147" t="s">
        <v>29</v>
      </c>
      <c r="Q1147" s="1">
        <v>42377.07644675926</v>
      </c>
      <c r="R1147">
        <v>7</v>
      </c>
      <c r="S1147" t="s">
        <v>31</v>
      </c>
      <c r="T1147" t="s">
        <v>1995</v>
      </c>
      <c r="U1147">
        <v>355.00760000000002</v>
      </c>
      <c r="V1147" s="3">
        <v>41487</v>
      </c>
    </row>
    <row r="1148" spans="1:22" x14ac:dyDescent="0.35">
      <c r="A1148" s="1">
        <v>42378.933020833334</v>
      </c>
      <c r="B1148" s="2">
        <v>2.1180555555555553E-2</v>
      </c>
      <c r="C1148" t="s">
        <v>1595</v>
      </c>
      <c r="D1148" t="s">
        <v>23</v>
      </c>
      <c r="E1148" t="s">
        <v>24</v>
      </c>
      <c r="F1148" t="s">
        <v>1993</v>
      </c>
      <c r="G1148">
        <v>1358564</v>
      </c>
      <c r="H1148" t="s">
        <v>26</v>
      </c>
      <c r="I1148" t="s">
        <v>841</v>
      </c>
      <c r="J1148" t="str">
        <f>"9781118646267"</f>
        <v>9781118646267</v>
      </c>
      <c r="K1148" t="s">
        <v>2068</v>
      </c>
      <c r="L1148">
        <v>19</v>
      </c>
      <c r="O1148" t="s">
        <v>30</v>
      </c>
      <c r="P1148" t="s">
        <v>29</v>
      </c>
      <c r="Q1148" s="1">
        <v>42377.07644675926</v>
      </c>
      <c r="R1148">
        <v>7</v>
      </c>
      <c r="S1148" t="s">
        <v>31</v>
      </c>
      <c r="T1148" t="s">
        <v>1995</v>
      </c>
      <c r="U1148">
        <v>355.00760000000002</v>
      </c>
      <c r="V1148" s="3">
        <v>41487</v>
      </c>
    </row>
    <row r="1149" spans="1:22" x14ac:dyDescent="0.35">
      <c r="A1149" s="1">
        <v>42378.81894675926</v>
      </c>
      <c r="B1149" s="2">
        <v>0</v>
      </c>
      <c r="C1149" t="s">
        <v>2069</v>
      </c>
      <c r="D1149" t="s">
        <v>23</v>
      </c>
      <c r="E1149" t="s">
        <v>24</v>
      </c>
      <c r="F1149" t="s">
        <v>2070</v>
      </c>
      <c r="G1149">
        <v>1605586</v>
      </c>
      <c r="H1149" t="s">
        <v>26</v>
      </c>
      <c r="I1149" t="s">
        <v>2071</v>
      </c>
      <c r="J1149" t="str">
        <f>"9780745679624"</f>
        <v>9780745679624</v>
      </c>
      <c r="L1149">
        <v>0</v>
      </c>
      <c r="O1149" t="s">
        <v>28</v>
      </c>
      <c r="P1149" t="s">
        <v>47</v>
      </c>
      <c r="Q1149" s="1">
        <v>42378.789363425924</v>
      </c>
      <c r="R1149">
        <v>7</v>
      </c>
      <c r="S1149" t="s">
        <v>31</v>
      </c>
      <c r="T1149" t="s">
        <v>2072</v>
      </c>
      <c r="U1149">
        <v>302.23450000000003</v>
      </c>
      <c r="V1149" s="3">
        <v>41666</v>
      </c>
    </row>
    <row r="1150" spans="1:22" x14ac:dyDescent="0.35">
      <c r="A1150" s="1">
        <v>42378.812569444446</v>
      </c>
      <c r="B1150" s="2">
        <v>1.8402777777777777E-3</v>
      </c>
      <c r="C1150" t="s">
        <v>1755</v>
      </c>
      <c r="D1150" t="s">
        <v>35</v>
      </c>
      <c r="E1150" t="s">
        <v>36</v>
      </c>
      <c r="F1150" t="s">
        <v>327</v>
      </c>
      <c r="G1150">
        <v>1691426</v>
      </c>
      <c r="H1150" t="s">
        <v>26</v>
      </c>
      <c r="I1150" t="s">
        <v>328</v>
      </c>
      <c r="J1150" t="str">
        <f>"9781118839492"</f>
        <v>9781118839492</v>
      </c>
      <c r="K1150" t="s">
        <v>2073</v>
      </c>
      <c r="L1150">
        <v>17</v>
      </c>
      <c r="O1150" t="s">
        <v>30</v>
      </c>
      <c r="P1150" t="s">
        <v>29</v>
      </c>
      <c r="Q1150" s="1">
        <v>42373.999479166669</v>
      </c>
      <c r="R1150">
        <v>7</v>
      </c>
      <c r="S1150" t="s">
        <v>40</v>
      </c>
      <c r="T1150" t="s">
        <v>331</v>
      </c>
      <c r="U1150">
        <v>613.70460000000003</v>
      </c>
      <c r="V1150" s="3">
        <v>41772</v>
      </c>
    </row>
    <row r="1151" spans="1:22" x14ac:dyDescent="0.35">
      <c r="A1151" s="1">
        <v>42378.789363425924</v>
      </c>
      <c r="B1151" s="2">
        <v>0</v>
      </c>
      <c r="C1151" t="s">
        <v>2069</v>
      </c>
      <c r="D1151" t="s">
        <v>23</v>
      </c>
      <c r="E1151" t="s">
        <v>24</v>
      </c>
      <c r="F1151" t="s">
        <v>2070</v>
      </c>
      <c r="G1151">
        <v>1605586</v>
      </c>
      <c r="H1151" t="s">
        <v>26</v>
      </c>
      <c r="I1151" t="s">
        <v>2071</v>
      </c>
      <c r="J1151" t="str">
        <f>"9780745679624"</f>
        <v>9780745679624</v>
      </c>
      <c r="L1151">
        <v>0</v>
      </c>
      <c r="O1151" t="s">
        <v>28</v>
      </c>
      <c r="P1151" t="s">
        <v>47</v>
      </c>
      <c r="Q1151" s="1">
        <v>42378.789363425924</v>
      </c>
      <c r="R1151">
        <v>7</v>
      </c>
      <c r="S1151" t="s">
        <v>31</v>
      </c>
      <c r="T1151" t="s">
        <v>2072</v>
      </c>
      <c r="U1151">
        <v>302.23450000000003</v>
      </c>
      <c r="V1151" s="3">
        <v>41666</v>
      </c>
    </row>
    <row r="1152" spans="1:22" x14ac:dyDescent="0.35">
      <c r="A1152" s="1">
        <v>42378.789363425924</v>
      </c>
      <c r="B1152" s="2">
        <v>0</v>
      </c>
      <c r="C1152" t="s">
        <v>2069</v>
      </c>
      <c r="D1152" t="s">
        <v>23</v>
      </c>
      <c r="E1152" t="s">
        <v>24</v>
      </c>
      <c r="F1152" t="s">
        <v>2070</v>
      </c>
      <c r="G1152">
        <v>1605586</v>
      </c>
      <c r="H1152" t="s">
        <v>26</v>
      </c>
      <c r="I1152" t="s">
        <v>2071</v>
      </c>
      <c r="J1152" t="str">
        <f>"9780745679624"</f>
        <v>9780745679624</v>
      </c>
      <c r="L1152">
        <v>0</v>
      </c>
      <c r="O1152" t="s">
        <v>30</v>
      </c>
      <c r="P1152" t="s">
        <v>47</v>
      </c>
      <c r="Q1152" s="1">
        <v>42378.789363425924</v>
      </c>
      <c r="R1152">
        <v>7</v>
      </c>
      <c r="S1152" t="s">
        <v>31</v>
      </c>
      <c r="T1152" t="s">
        <v>2072</v>
      </c>
      <c r="U1152">
        <v>302.23450000000003</v>
      </c>
      <c r="V1152" s="3">
        <v>41666</v>
      </c>
    </row>
    <row r="1153" spans="1:22" x14ac:dyDescent="0.35">
      <c r="A1153" s="1">
        <v>42378.7890625</v>
      </c>
      <c r="B1153" s="2">
        <v>3.0092592592592595E-4</v>
      </c>
      <c r="C1153" t="s">
        <v>2069</v>
      </c>
      <c r="D1153" t="s">
        <v>23</v>
      </c>
      <c r="E1153" t="s">
        <v>24</v>
      </c>
      <c r="F1153" t="s">
        <v>2070</v>
      </c>
      <c r="G1153">
        <v>1605586</v>
      </c>
      <c r="H1153" t="s">
        <v>26</v>
      </c>
      <c r="I1153" t="s">
        <v>2071</v>
      </c>
      <c r="J1153" t="str">
        <f>"9780745679624"</f>
        <v>9780745679624</v>
      </c>
      <c r="K1153" t="s">
        <v>33</v>
      </c>
      <c r="L1153">
        <v>3</v>
      </c>
      <c r="O1153" t="s">
        <v>30</v>
      </c>
      <c r="P1153" t="s">
        <v>50</v>
      </c>
      <c r="S1153" t="s">
        <v>31</v>
      </c>
      <c r="T1153" t="s">
        <v>2072</v>
      </c>
      <c r="U1153">
        <v>302.23450000000003</v>
      </c>
      <c r="V1153" s="3">
        <v>41666</v>
      </c>
    </row>
    <row r="1154" spans="1:22" x14ac:dyDescent="0.35">
      <c r="A1154" s="1">
        <v>42378.742974537039</v>
      </c>
      <c r="B1154" s="2">
        <v>4.4594907407407409E-2</v>
      </c>
      <c r="C1154" t="s">
        <v>106</v>
      </c>
      <c r="D1154" t="s">
        <v>23</v>
      </c>
      <c r="E1154" t="s">
        <v>24</v>
      </c>
      <c r="F1154" t="s">
        <v>2074</v>
      </c>
      <c r="G1154">
        <v>1779318</v>
      </c>
      <c r="H1154" t="s">
        <v>26</v>
      </c>
      <c r="I1154" t="s">
        <v>276</v>
      </c>
      <c r="J1154" t="str">
        <f>"9781118968093"</f>
        <v>9781118968093</v>
      </c>
      <c r="K1154" t="s">
        <v>2075</v>
      </c>
      <c r="L1154">
        <v>68</v>
      </c>
      <c r="O1154" t="s">
        <v>30</v>
      </c>
      <c r="P1154" t="s">
        <v>29</v>
      </c>
      <c r="Q1154" s="1">
        <v>42378.742974537039</v>
      </c>
      <c r="R1154">
        <v>7</v>
      </c>
      <c r="S1154" t="s">
        <v>31</v>
      </c>
      <c r="T1154" t="s">
        <v>2076</v>
      </c>
      <c r="U1154">
        <v>4.0229999999999997</v>
      </c>
      <c r="V1154" s="3">
        <v>41884</v>
      </c>
    </row>
    <row r="1155" spans="1:22" x14ac:dyDescent="0.35">
      <c r="A1155" s="1">
        <v>42378.73164351852</v>
      </c>
      <c r="B1155" s="2">
        <v>1.1331018518518518E-2</v>
      </c>
      <c r="C1155" t="s">
        <v>106</v>
      </c>
      <c r="D1155" t="s">
        <v>23</v>
      </c>
      <c r="E1155" t="s">
        <v>24</v>
      </c>
      <c r="F1155" t="s">
        <v>2074</v>
      </c>
      <c r="G1155">
        <v>1779318</v>
      </c>
      <c r="H1155" t="s">
        <v>26</v>
      </c>
      <c r="I1155" t="s">
        <v>276</v>
      </c>
      <c r="J1155" t="str">
        <f>"9781118968093"</f>
        <v>9781118968093</v>
      </c>
      <c r="K1155" t="s">
        <v>2077</v>
      </c>
      <c r="L1155">
        <v>20</v>
      </c>
      <c r="O1155" t="s">
        <v>30</v>
      </c>
      <c r="P1155" t="s">
        <v>42</v>
      </c>
      <c r="S1155" t="s">
        <v>31</v>
      </c>
      <c r="T1155" t="s">
        <v>2076</v>
      </c>
      <c r="U1155">
        <v>4.0229999999999997</v>
      </c>
      <c r="V1155" s="3">
        <v>41884</v>
      </c>
    </row>
    <row r="1156" spans="1:22" x14ac:dyDescent="0.35">
      <c r="A1156" s="1">
        <v>42378.718657407408</v>
      </c>
      <c r="B1156" s="2">
        <v>3.5879629629629635E-4</v>
      </c>
      <c r="C1156" t="s">
        <v>1755</v>
      </c>
      <c r="D1156" t="s">
        <v>35</v>
      </c>
      <c r="E1156" t="s">
        <v>36</v>
      </c>
      <c r="F1156" t="s">
        <v>327</v>
      </c>
      <c r="G1156">
        <v>1691426</v>
      </c>
      <c r="H1156" t="s">
        <v>26</v>
      </c>
      <c r="I1156" t="s">
        <v>328</v>
      </c>
      <c r="J1156" t="str">
        <f>"9781118839492"</f>
        <v>9781118839492</v>
      </c>
      <c r="K1156" t="s">
        <v>33</v>
      </c>
      <c r="L1156">
        <v>3</v>
      </c>
      <c r="O1156" t="s">
        <v>30</v>
      </c>
      <c r="P1156" t="s">
        <v>29</v>
      </c>
      <c r="Q1156" s="1">
        <v>42373.999479166669</v>
      </c>
      <c r="R1156">
        <v>7</v>
      </c>
      <c r="S1156" t="s">
        <v>40</v>
      </c>
      <c r="T1156" t="s">
        <v>331</v>
      </c>
      <c r="U1156">
        <v>613.70460000000003</v>
      </c>
      <c r="V1156" s="3">
        <v>41772</v>
      </c>
    </row>
    <row r="1157" spans="1:22" x14ac:dyDescent="0.35">
      <c r="A1157" s="1">
        <v>42378.704039351855</v>
      </c>
      <c r="B1157" s="2">
        <v>1.1574074074074073E-3</v>
      </c>
      <c r="C1157" t="s">
        <v>2014</v>
      </c>
      <c r="D1157" t="s">
        <v>23</v>
      </c>
      <c r="E1157" t="s">
        <v>24</v>
      </c>
      <c r="F1157" t="s">
        <v>2015</v>
      </c>
      <c r="G1157">
        <v>2006078</v>
      </c>
      <c r="H1157" t="s">
        <v>26</v>
      </c>
      <c r="I1157" t="s">
        <v>150</v>
      </c>
      <c r="J1157" t="str">
        <f>"9781118475386"</f>
        <v>9781118475386</v>
      </c>
      <c r="K1157" t="s">
        <v>2078</v>
      </c>
      <c r="L1157">
        <v>6</v>
      </c>
      <c r="O1157" t="s">
        <v>30</v>
      </c>
      <c r="P1157" t="s">
        <v>29</v>
      </c>
      <c r="Q1157" s="1">
        <v>42378.704039351855</v>
      </c>
      <c r="R1157">
        <v>7</v>
      </c>
      <c r="S1157" t="s">
        <v>31</v>
      </c>
      <c r="T1157" t="s">
        <v>2017</v>
      </c>
      <c r="U1157">
        <v>777</v>
      </c>
      <c r="V1157" s="3">
        <v>42089</v>
      </c>
    </row>
    <row r="1158" spans="1:22" x14ac:dyDescent="0.35">
      <c r="A1158" s="1">
        <v>42378.702743055554</v>
      </c>
      <c r="B1158" s="2">
        <v>1.2962962962962963E-3</v>
      </c>
      <c r="C1158" t="s">
        <v>2014</v>
      </c>
      <c r="D1158" t="s">
        <v>23</v>
      </c>
      <c r="E1158" t="s">
        <v>24</v>
      </c>
      <c r="F1158" t="s">
        <v>2015</v>
      </c>
      <c r="G1158">
        <v>2006078</v>
      </c>
      <c r="H1158" t="s">
        <v>26</v>
      </c>
      <c r="I1158" t="s">
        <v>150</v>
      </c>
      <c r="J1158" t="str">
        <f>"9781118475386"</f>
        <v>9781118475386</v>
      </c>
      <c r="K1158" t="s">
        <v>33</v>
      </c>
      <c r="L1158">
        <v>3</v>
      </c>
      <c r="O1158" t="s">
        <v>30</v>
      </c>
      <c r="P1158" t="s">
        <v>50</v>
      </c>
      <c r="S1158" t="s">
        <v>31</v>
      </c>
      <c r="T1158" t="s">
        <v>2017</v>
      </c>
      <c r="U1158">
        <v>777</v>
      </c>
      <c r="V1158" s="3">
        <v>42089</v>
      </c>
    </row>
    <row r="1159" spans="1:22" x14ac:dyDescent="0.35">
      <c r="A1159" s="1">
        <v>42378.699918981481</v>
      </c>
      <c r="B1159" s="2">
        <v>2.3726851851851851E-3</v>
      </c>
      <c r="C1159" t="s">
        <v>2014</v>
      </c>
      <c r="D1159" t="s">
        <v>23</v>
      </c>
      <c r="E1159" t="s">
        <v>24</v>
      </c>
      <c r="F1159" t="s">
        <v>2015</v>
      </c>
      <c r="G1159">
        <v>2006078</v>
      </c>
      <c r="H1159" t="s">
        <v>26</v>
      </c>
      <c r="I1159" t="s">
        <v>150</v>
      </c>
      <c r="J1159" t="str">
        <f>"9781118475386"</f>
        <v>9781118475386</v>
      </c>
      <c r="L1159">
        <v>0</v>
      </c>
      <c r="O1159" t="s">
        <v>30</v>
      </c>
      <c r="P1159" t="s">
        <v>50</v>
      </c>
      <c r="S1159" t="s">
        <v>31</v>
      </c>
      <c r="T1159" t="s">
        <v>2017</v>
      </c>
      <c r="U1159">
        <v>777</v>
      </c>
      <c r="V1159" s="3">
        <v>42089</v>
      </c>
    </row>
    <row r="1160" spans="1:22" x14ac:dyDescent="0.35">
      <c r="A1160" s="1">
        <v>42378.690370370372</v>
      </c>
      <c r="B1160" s="2">
        <v>7.7592592592592588E-2</v>
      </c>
      <c r="C1160" t="s">
        <v>1954</v>
      </c>
      <c r="D1160" t="s">
        <v>35</v>
      </c>
      <c r="E1160" t="s">
        <v>36</v>
      </c>
      <c r="F1160" t="s">
        <v>327</v>
      </c>
      <c r="G1160">
        <v>1691426</v>
      </c>
      <c r="H1160" t="s">
        <v>26</v>
      </c>
      <c r="I1160" t="s">
        <v>328</v>
      </c>
      <c r="J1160" t="str">
        <f>"9781118839492"</f>
        <v>9781118839492</v>
      </c>
      <c r="K1160" t="s">
        <v>2079</v>
      </c>
      <c r="L1160">
        <v>22</v>
      </c>
      <c r="O1160" t="s">
        <v>30</v>
      </c>
      <c r="P1160" t="s">
        <v>29</v>
      </c>
      <c r="Q1160" s="1">
        <v>42376.930358796293</v>
      </c>
      <c r="R1160">
        <v>7</v>
      </c>
      <c r="S1160" t="s">
        <v>40</v>
      </c>
      <c r="T1160" t="s">
        <v>331</v>
      </c>
      <c r="U1160">
        <v>613.70460000000003</v>
      </c>
      <c r="V1160" s="3">
        <v>41772</v>
      </c>
    </row>
    <row r="1161" spans="1:22" x14ac:dyDescent="0.35">
      <c r="A1161" s="1">
        <v>42378.621747685182</v>
      </c>
      <c r="B1161" s="2">
        <v>6.9282407407407418E-2</v>
      </c>
      <c r="C1161" t="s">
        <v>1595</v>
      </c>
      <c r="D1161" t="s">
        <v>23</v>
      </c>
      <c r="E1161" t="s">
        <v>24</v>
      </c>
      <c r="F1161" t="s">
        <v>1993</v>
      </c>
      <c r="G1161">
        <v>1358564</v>
      </c>
      <c r="H1161" t="s">
        <v>26</v>
      </c>
      <c r="I1161" t="s">
        <v>841</v>
      </c>
      <c r="J1161" t="str">
        <f>"9781118646267"</f>
        <v>9781118646267</v>
      </c>
      <c r="K1161" t="s">
        <v>2080</v>
      </c>
      <c r="L1161">
        <v>56</v>
      </c>
      <c r="O1161" t="s">
        <v>30</v>
      </c>
      <c r="P1161" t="s">
        <v>29</v>
      </c>
      <c r="Q1161" s="1">
        <v>42377.07644675926</v>
      </c>
      <c r="R1161">
        <v>7</v>
      </c>
      <c r="S1161" t="s">
        <v>31</v>
      </c>
      <c r="T1161" t="s">
        <v>1995</v>
      </c>
      <c r="U1161">
        <v>355.00760000000002</v>
      </c>
      <c r="V1161" s="3">
        <v>41487</v>
      </c>
    </row>
    <row r="1162" spans="1:22" x14ac:dyDescent="0.35">
      <c r="A1162" s="1">
        <v>42378.535520833335</v>
      </c>
      <c r="B1162" s="2">
        <v>8.6608796296296295E-2</v>
      </c>
      <c r="C1162" t="s">
        <v>2040</v>
      </c>
      <c r="D1162" t="s">
        <v>23</v>
      </c>
      <c r="E1162" t="s">
        <v>24</v>
      </c>
      <c r="F1162" t="s">
        <v>2041</v>
      </c>
      <c r="G1162">
        <v>1184140</v>
      </c>
      <c r="H1162" t="s">
        <v>26</v>
      </c>
      <c r="I1162" t="s">
        <v>417</v>
      </c>
      <c r="J1162" t="str">
        <f>"9780745663036"</f>
        <v>9780745663036</v>
      </c>
      <c r="K1162" t="s">
        <v>2081</v>
      </c>
      <c r="L1162">
        <v>94</v>
      </c>
      <c r="O1162" t="s">
        <v>30</v>
      </c>
      <c r="P1162" t="s">
        <v>47</v>
      </c>
      <c r="Q1162" s="1">
        <v>42378.535520833335</v>
      </c>
      <c r="R1162">
        <v>1</v>
      </c>
      <c r="S1162" t="s">
        <v>31</v>
      </c>
      <c r="T1162" t="s">
        <v>2043</v>
      </c>
      <c r="U1162">
        <v>303.66000000000003</v>
      </c>
      <c r="V1162" s="3">
        <v>41390</v>
      </c>
    </row>
    <row r="1163" spans="1:22" x14ac:dyDescent="0.35">
      <c r="A1163" s="1">
        <v>42378.532013888886</v>
      </c>
      <c r="B1163" s="2">
        <v>3.5069444444444445E-3</v>
      </c>
      <c r="C1163" t="s">
        <v>2040</v>
      </c>
      <c r="D1163" t="s">
        <v>23</v>
      </c>
      <c r="E1163" t="s">
        <v>24</v>
      </c>
      <c r="F1163" t="s">
        <v>2041</v>
      </c>
      <c r="G1163">
        <v>1184140</v>
      </c>
      <c r="H1163" t="s">
        <v>26</v>
      </c>
      <c r="I1163" t="s">
        <v>417</v>
      </c>
      <c r="J1163" t="str">
        <f>"9780745663036"</f>
        <v>9780745663036</v>
      </c>
      <c r="K1163" t="s">
        <v>2082</v>
      </c>
      <c r="L1163">
        <v>18</v>
      </c>
      <c r="O1163" t="s">
        <v>30</v>
      </c>
      <c r="P1163" t="s">
        <v>50</v>
      </c>
      <c r="S1163" t="s">
        <v>31</v>
      </c>
      <c r="T1163" t="s">
        <v>2043</v>
      </c>
      <c r="U1163">
        <v>303.66000000000003</v>
      </c>
      <c r="V1163" s="3">
        <v>41390</v>
      </c>
    </row>
    <row r="1164" spans="1:22" x14ac:dyDescent="0.35">
      <c r="A1164" s="1">
        <v>42378.320208333331</v>
      </c>
      <c r="B1164" s="2">
        <v>1.4930555555555556E-3</v>
      </c>
      <c r="C1164" t="s">
        <v>2083</v>
      </c>
      <c r="D1164" t="s">
        <v>23</v>
      </c>
      <c r="E1164" t="s">
        <v>24</v>
      </c>
      <c r="F1164" t="s">
        <v>2084</v>
      </c>
      <c r="G1164">
        <v>1895570</v>
      </c>
      <c r="H1164" t="s">
        <v>26</v>
      </c>
      <c r="I1164" t="s">
        <v>297</v>
      </c>
      <c r="J1164" t="str">
        <f>"9781118745229"</f>
        <v>9781118745229</v>
      </c>
      <c r="K1164" t="s">
        <v>1606</v>
      </c>
      <c r="L1164">
        <v>34</v>
      </c>
      <c r="O1164" t="s">
        <v>30</v>
      </c>
      <c r="P1164" t="s">
        <v>42</v>
      </c>
      <c r="S1164" t="s">
        <v>31</v>
      </c>
      <c r="T1164" t="s">
        <v>2085</v>
      </c>
      <c r="U1164">
        <v>519.54999999999995</v>
      </c>
      <c r="V1164" s="3">
        <v>42093</v>
      </c>
    </row>
    <row r="1165" spans="1:22" x14ac:dyDescent="0.35">
      <c r="A1165" s="1">
        <v>42378.203969907408</v>
      </c>
      <c r="B1165" s="2">
        <v>0.10589120370370371</v>
      </c>
      <c r="C1165" t="s">
        <v>1595</v>
      </c>
      <c r="D1165" t="s">
        <v>23</v>
      </c>
      <c r="E1165" t="s">
        <v>24</v>
      </c>
      <c r="F1165" t="s">
        <v>1993</v>
      </c>
      <c r="G1165">
        <v>1358564</v>
      </c>
      <c r="H1165" t="s">
        <v>26</v>
      </c>
      <c r="I1165" t="s">
        <v>841</v>
      </c>
      <c r="J1165" t="str">
        <f>"9781118646267"</f>
        <v>9781118646267</v>
      </c>
      <c r="K1165" t="s">
        <v>2086</v>
      </c>
      <c r="L1165">
        <v>51</v>
      </c>
      <c r="O1165" t="s">
        <v>30</v>
      </c>
      <c r="P1165" t="s">
        <v>29</v>
      </c>
      <c r="Q1165" s="1">
        <v>42377.07644675926</v>
      </c>
      <c r="R1165">
        <v>7</v>
      </c>
      <c r="S1165" t="s">
        <v>31</v>
      </c>
      <c r="T1165" t="s">
        <v>1995</v>
      </c>
      <c r="U1165">
        <v>355.00760000000002</v>
      </c>
      <c r="V1165" s="3">
        <v>41487</v>
      </c>
    </row>
    <row r="1166" spans="1:22" x14ac:dyDescent="0.35">
      <c r="A1166" s="1">
        <v>42378.203900462962</v>
      </c>
      <c r="B1166" s="2">
        <v>0.10804398148148148</v>
      </c>
      <c r="C1166" t="s">
        <v>1595</v>
      </c>
      <c r="D1166" t="s">
        <v>23</v>
      </c>
      <c r="E1166" t="s">
        <v>24</v>
      </c>
      <c r="F1166" t="s">
        <v>1993</v>
      </c>
      <c r="G1166">
        <v>1358564</v>
      </c>
      <c r="H1166" t="s">
        <v>26</v>
      </c>
      <c r="I1166" t="s">
        <v>841</v>
      </c>
      <c r="J1166" t="str">
        <f>"9781118646267"</f>
        <v>9781118646267</v>
      </c>
      <c r="K1166" t="s">
        <v>2087</v>
      </c>
      <c r="L1166">
        <v>21</v>
      </c>
      <c r="O1166" t="s">
        <v>30</v>
      </c>
      <c r="P1166" t="s">
        <v>29</v>
      </c>
      <c r="Q1166" s="1">
        <v>42377.07644675926</v>
      </c>
      <c r="R1166">
        <v>7</v>
      </c>
      <c r="S1166" t="s">
        <v>31</v>
      </c>
      <c r="T1166" t="s">
        <v>1995</v>
      </c>
      <c r="U1166">
        <v>355.00760000000002</v>
      </c>
      <c r="V1166" s="3">
        <v>41487</v>
      </c>
    </row>
    <row r="1167" spans="1:22" x14ac:dyDescent="0.35">
      <c r="A1167" s="1">
        <v>42378.200416666667</v>
      </c>
      <c r="B1167" s="2">
        <v>5.7280092592592591E-2</v>
      </c>
      <c r="C1167" t="s">
        <v>77</v>
      </c>
      <c r="D1167" t="s">
        <v>23</v>
      </c>
      <c r="E1167" t="s">
        <v>24</v>
      </c>
      <c r="F1167" t="s">
        <v>78</v>
      </c>
      <c r="G1167">
        <v>1635363</v>
      </c>
      <c r="H1167" t="s">
        <v>26</v>
      </c>
      <c r="I1167" t="s">
        <v>79</v>
      </c>
      <c r="J1167" t="str">
        <f>"9781118678206"</f>
        <v>9781118678206</v>
      </c>
      <c r="K1167" t="s">
        <v>2088</v>
      </c>
      <c r="L1167">
        <v>31</v>
      </c>
      <c r="O1167" t="s">
        <v>30</v>
      </c>
      <c r="P1167" t="s">
        <v>29</v>
      </c>
      <c r="Q1167" s="1">
        <v>42378.200416666667</v>
      </c>
      <c r="R1167">
        <v>7</v>
      </c>
      <c r="S1167" t="s">
        <v>31</v>
      </c>
      <c r="T1167" t="s">
        <v>81</v>
      </c>
      <c r="U1167">
        <v>340.07600000000002</v>
      </c>
      <c r="V1167" s="3">
        <v>41684</v>
      </c>
    </row>
    <row r="1168" spans="1:22" x14ac:dyDescent="0.35">
      <c r="A1168" s="1">
        <v>42378.192650462966</v>
      </c>
      <c r="B1168" s="2">
        <v>7.7662037037037031E-3</v>
      </c>
      <c r="C1168" t="s">
        <v>77</v>
      </c>
      <c r="D1168" t="s">
        <v>23</v>
      </c>
      <c r="E1168" t="s">
        <v>24</v>
      </c>
      <c r="F1168" t="s">
        <v>78</v>
      </c>
      <c r="G1168">
        <v>1635363</v>
      </c>
      <c r="H1168" t="s">
        <v>26</v>
      </c>
      <c r="I1168" t="s">
        <v>79</v>
      </c>
      <c r="J1168" t="str">
        <f>"9781118678206"</f>
        <v>9781118678206</v>
      </c>
      <c r="K1168" t="s">
        <v>2089</v>
      </c>
      <c r="L1168">
        <v>25</v>
      </c>
      <c r="O1168" t="s">
        <v>30</v>
      </c>
      <c r="P1168" t="s">
        <v>42</v>
      </c>
      <c r="S1168" t="s">
        <v>31</v>
      </c>
      <c r="T1168" t="s">
        <v>81</v>
      </c>
      <c r="U1168">
        <v>340.07600000000002</v>
      </c>
      <c r="V1168" s="3">
        <v>41684</v>
      </c>
    </row>
    <row r="1169" spans="1:22" x14ac:dyDescent="0.35">
      <c r="A1169" s="1">
        <v>42378.104733796295</v>
      </c>
      <c r="B1169" s="2">
        <v>2.9282407407407406E-2</v>
      </c>
      <c r="C1169" t="s">
        <v>106</v>
      </c>
      <c r="D1169" t="s">
        <v>23</v>
      </c>
      <c r="E1169" t="s">
        <v>24</v>
      </c>
      <c r="F1169" t="s">
        <v>2090</v>
      </c>
      <c r="G1169">
        <v>2040247</v>
      </c>
      <c r="H1169" t="s">
        <v>91</v>
      </c>
      <c r="I1169" t="s">
        <v>2091</v>
      </c>
      <c r="J1169" t="str">
        <f>"9781462523825"</f>
        <v>9781462523825</v>
      </c>
      <c r="K1169" t="s">
        <v>2092</v>
      </c>
      <c r="L1169">
        <v>33</v>
      </c>
      <c r="O1169" t="s">
        <v>30</v>
      </c>
      <c r="P1169" t="s">
        <v>47</v>
      </c>
      <c r="Q1169" s="1">
        <v>42378.104733796295</v>
      </c>
      <c r="R1169">
        <v>1</v>
      </c>
      <c r="S1169" t="s">
        <v>31</v>
      </c>
      <c r="T1169" t="s">
        <v>2093</v>
      </c>
      <c r="U1169">
        <v>155.19999999999999</v>
      </c>
      <c r="V1169" s="3">
        <v>42191</v>
      </c>
    </row>
    <row r="1170" spans="1:22" x14ac:dyDescent="0.35">
      <c r="A1170" s="1">
        <v>42378.099224537036</v>
      </c>
      <c r="B1170" s="2">
        <v>5.5092592592592589E-3</v>
      </c>
      <c r="C1170" t="s">
        <v>106</v>
      </c>
      <c r="D1170" t="s">
        <v>23</v>
      </c>
      <c r="E1170" t="s">
        <v>24</v>
      </c>
      <c r="F1170" t="s">
        <v>2090</v>
      </c>
      <c r="G1170">
        <v>2040247</v>
      </c>
      <c r="H1170" t="s">
        <v>91</v>
      </c>
      <c r="I1170" t="s">
        <v>2091</v>
      </c>
      <c r="J1170" t="str">
        <f>"9781462523825"</f>
        <v>9781462523825</v>
      </c>
      <c r="K1170" t="s">
        <v>2094</v>
      </c>
      <c r="L1170">
        <v>8</v>
      </c>
      <c r="O1170" t="s">
        <v>30</v>
      </c>
      <c r="P1170" t="s">
        <v>50</v>
      </c>
      <c r="S1170" t="s">
        <v>31</v>
      </c>
      <c r="T1170" t="s">
        <v>2093</v>
      </c>
      <c r="U1170">
        <v>155.19999999999999</v>
      </c>
      <c r="V1170" s="3">
        <v>42191</v>
      </c>
    </row>
    <row r="1171" spans="1:22" x14ac:dyDescent="0.35">
      <c r="A1171" s="1">
        <v>42378.007928240739</v>
      </c>
      <c r="B1171" s="2">
        <v>0.15694444444444444</v>
      </c>
      <c r="C1171" t="s">
        <v>1595</v>
      </c>
      <c r="D1171" t="s">
        <v>23</v>
      </c>
      <c r="E1171" t="s">
        <v>24</v>
      </c>
      <c r="F1171" t="s">
        <v>1993</v>
      </c>
      <c r="G1171">
        <v>1358564</v>
      </c>
      <c r="H1171" t="s">
        <v>26</v>
      </c>
      <c r="I1171" t="s">
        <v>841</v>
      </c>
      <c r="J1171" t="str">
        <f>"9781118646267"</f>
        <v>9781118646267</v>
      </c>
      <c r="K1171" t="s">
        <v>2095</v>
      </c>
      <c r="L1171">
        <v>98</v>
      </c>
      <c r="O1171" t="s">
        <v>30</v>
      </c>
      <c r="P1171" t="s">
        <v>29</v>
      </c>
      <c r="Q1171" s="1">
        <v>42377.07644675926</v>
      </c>
      <c r="R1171">
        <v>7</v>
      </c>
      <c r="S1171" t="s">
        <v>31</v>
      </c>
      <c r="T1171" t="s">
        <v>1995</v>
      </c>
      <c r="U1171">
        <v>355.00760000000002</v>
      </c>
      <c r="V1171" s="3">
        <v>41487</v>
      </c>
    </row>
    <row r="1172" spans="1:22" x14ac:dyDescent="0.35">
      <c r="A1172" s="1">
        <v>42377.885520833333</v>
      </c>
      <c r="B1172" s="2">
        <v>8.1018518518518516E-5</v>
      </c>
      <c r="C1172" t="s">
        <v>77</v>
      </c>
      <c r="D1172" t="s">
        <v>23</v>
      </c>
      <c r="E1172" t="s">
        <v>24</v>
      </c>
      <c r="F1172" t="s">
        <v>2096</v>
      </c>
      <c r="G1172">
        <v>1775467</v>
      </c>
      <c r="H1172" t="s">
        <v>26</v>
      </c>
      <c r="I1172" t="s">
        <v>79</v>
      </c>
      <c r="J1172" t="str">
        <f>"9781118678121"</f>
        <v>9781118678121</v>
      </c>
      <c r="K1172" t="s">
        <v>98</v>
      </c>
      <c r="L1172">
        <v>7</v>
      </c>
      <c r="O1172" t="s">
        <v>30</v>
      </c>
      <c r="P1172" t="s">
        <v>42</v>
      </c>
      <c r="S1172" t="s">
        <v>31</v>
      </c>
      <c r="T1172" t="s">
        <v>2097</v>
      </c>
      <c r="U1172">
        <v>342.07600000000002</v>
      </c>
      <c r="V1172" s="3">
        <v>41877</v>
      </c>
    </row>
    <row r="1173" spans="1:22" x14ac:dyDescent="0.35">
      <c r="A1173" s="1">
        <v>42377.845729166664</v>
      </c>
      <c r="B1173" s="2">
        <v>6.8634259259259256E-3</v>
      </c>
      <c r="C1173" t="s">
        <v>471</v>
      </c>
      <c r="D1173" t="s">
        <v>211</v>
      </c>
      <c r="E1173" t="s">
        <v>212</v>
      </c>
      <c r="F1173" t="s">
        <v>497</v>
      </c>
      <c r="G1173">
        <v>1986951</v>
      </c>
      <c r="H1173" t="s">
        <v>26</v>
      </c>
      <c r="I1173" t="s">
        <v>97</v>
      </c>
      <c r="J1173" t="str">
        <f>"9781119130468"</f>
        <v>9781119130468</v>
      </c>
      <c r="K1173" t="s">
        <v>2098</v>
      </c>
      <c r="L1173">
        <v>6</v>
      </c>
      <c r="M1173" t="s">
        <v>2099</v>
      </c>
      <c r="O1173" t="s">
        <v>30</v>
      </c>
      <c r="P1173" t="s">
        <v>29</v>
      </c>
      <c r="Q1173" s="1">
        <v>42377.845729166664</v>
      </c>
      <c r="R1173">
        <v>7</v>
      </c>
      <c r="S1173" t="s">
        <v>214</v>
      </c>
      <c r="T1173" t="s">
        <v>500</v>
      </c>
      <c r="U1173">
        <v>657.07600000000002</v>
      </c>
      <c r="V1173" s="3">
        <v>42143</v>
      </c>
    </row>
    <row r="1174" spans="1:22" x14ac:dyDescent="0.35">
      <c r="A1174" s="1">
        <v>42377.842615740738</v>
      </c>
      <c r="B1174" s="2">
        <v>3.1134259259259257E-3</v>
      </c>
      <c r="C1174" t="s">
        <v>471</v>
      </c>
      <c r="D1174" t="s">
        <v>211</v>
      </c>
      <c r="E1174" t="s">
        <v>212</v>
      </c>
      <c r="F1174" t="s">
        <v>497</v>
      </c>
      <c r="G1174">
        <v>1986951</v>
      </c>
      <c r="H1174" t="s">
        <v>26</v>
      </c>
      <c r="I1174" t="s">
        <v>97</v>
      </c>
      <c r="J1174" t="str">
        <f>"9781119130468"</f>
        <v>9781119130468</v>
      </c>
      <c r="K1174" t="s">
        <v>2100</v>
      </c>
      <c r="L1174">
        <v>21</v>
      </c>
      <c r="O1174" t="s">
        <v>30</v>
      </c>
      <c r="P1174" t="s">
        <v>42</v>
      </c>
      <c r="S1174" t="s">
        <v>214</v>
      </c>
      <c r="T1174" t="s">
        <v>500</v>
      </c>
      <c r="U1174">
        <v>657.07600000000002</v>
      </c>
      <c r="V1174" s="3">
        <v>42143</v>
      </c>
    </row>
    <row r="1175" spans="1:22" x14ac:dyDescent="0.35">
      <c r="A1175" s="1">
        <v>42377.842615740738</v>
      </c>
      <c r="B1175" s="2">
        <v>1.0416666666666667E-4</v>
      </c>
      <c r="C1175" t="s">
        <v>2101</v>
      </c>
      <c r="D1175" t="s">
        <v>23</v>
      </c>
      <c r="E1175" t="s">
        <v>24</v>
      </c>
      <c r="F1175" t="s">
        <v>2102</v>
      </c>
      <c r="G1175">
        <v>2028559</v>
      </c>
      <c r="H1175" t="s">
        <v>26</v>
      </c>
      <c r="I1175" t="s">
        <v>150</v>
      </c>
      <c r="J1175" t="str">
        <f>"9781119047001"</f>
        <v>9781119047001</v>
      </c>
      <c r="K1175" t="s">
        <v>33</v>
      </c>
      <c r="L1175">
        <v>3</v>
      </c>
      <c r="O1175" t="s">
        <v>30</v>
      </c>
      <c r="P1175" t="s">
        <v>50</v>
      </c>
      <c r="S1175" t="s">
        <v>31</v>
      </c>
      <c r="T1175" t="s">
        <v>2103</v>
      </c>
      <c r="U1175">
        <v>777.7</v>
      </c>
      <c r="V1175" s="3">
        <v>42107</v>
      </c>
    </row>
    <row r="1176" spans="1:22" x14ac:dyDescent="0.35">
      <c r="A1176" s="1">
        <v>42377.840486111112</v>
      </c>
      <c r="B1176" s="2">
        <v>5.7870370370370378E-4</v>
      </c>
      <c r="C1176" t="s">
        <v>471</v>
      </c>
      <c r="D1176" t="s">
        <v>211</v>
      </c>
      <c r="E1176" t="s">
        <v>212</v>
      </c>
      <c r="F1176" t="s">
        <v>1178</v>
      </c>
      <c r="G1176">
        <v>4185085</v>
      </c>
      <c r="H1176" t="s">
        <v>26</v>
      </c>
      <c r="J1176" t="str">
        <f>"9781119238782"</f>
        <v>9781119238782</v>
      </c>
      <c r="K1176" t="s">
        <v>2104</v>
      </c>
      <c r="L1176">
        <v>5</v>
      </c>
      <c r="O1176" t="s">
        <v>30</v>
      </c>
      <c r="P1176" t="s">
        <v>50</v>
      </c>
      <c r="S1176" t="s">
        <v>214</v>
      </c>
      <c r="V1176" s="3">
        <v>42338</v>
      </c>
    </row>
    <row r="1177" spans="1:22" x14ac:dyDescent="0.35">
      <c r="A1177" s="1">
        <v>42377.83997685185</v>
      </c>
      <c r="B1177" s="2">
        <v>1.273148148148148E-4</v>
      </c>
      <c r="C1177" t="s">
        <v>471</v>
      </c>
      <c r="D1177" t="s">
        <v>211</v>
      </c>
      <c r="E1177" t="s">
        <v>212</v>
      </c>
      <c r="F1177" t="s">
        <v>1178</v>
      </c>
      <c r="G1177">
        <v>4185085</v>
      </c>
      <c r="H1177" t="s">
        <v>26</v>
      </c>
      <c r="J1177" t="str">
        <f>"9781119238782"</f>
        <v>9781119238782</v>
      </c>
      <c r="K1177" t="s">
        <v>209</v>
      </c>
      <c r="L1177">
        <v>4</v>
      </c>
      <c r="O1177" t="s">
        <v>30</v>
      </c>
      <c r="P1177" t="s">
        <v>50</v>
      </c>
      <c r="S1177" t="s">
        <v>214</v>
      </c>
      <c r="V1177" s="3">
        <v>42338</v>
      </c>
    </row>
    <row r="1178" spans="1:22" x14ac:dyDescent="0.35">
      <c r="A1178" s="1">
        <v>42377.838935185187</v>
      </c>
      <c r="B1178" s="2">
        <v>7.5231481481481471E-4</v>
      </c>
      <c r="C1178" t="s">
        <v>471</v>
      </c>
      <c r="D1178" t="s">
        <v>211</v>
      </c>
      <c r="E1178" t="s">
        <v>212</v>
      </c>
      <c r="F1178" t="s">
        <v>1180</v>
      </c>
      <c r="G1178">
        <v>4206576</v>
      </c>
      <c r="H1178" t="s">
        <v>26</v>
      </c>
      <c r="J1178" t="str">
        <f>"9781119240907"</f>
        <v>9781119240907</v>
      </c>
      <c r="K1178" t="s">
        <v>2105</v>
      </c>
      <c r="L1178">
        <v>32</v>
      </c>
      <c r="O1178" t="s">
        <v>30</v>
      </c>
      <c r="P1178" t="s">
        <v>50</v>
      </c>
      <c r="S1178" t="s">
        <v>214</v>
      </c>
      <c r="V1178" s="3">
        <v>42354</v>
      </c>
    </row>
    <row r="1179" spans="1:22" x14ac:dyDescent="0.35">
      <c r="A1179" s="1">
        <v>42377.836076388892</v>
      </c>
      <c r="B1179" s="2">
        <v>6.4814814814814813E-4</v>
      </c>
      <c r="C1179" t="s">
        <v>471</v>
      </c>
      <c r="D1179" t="s">
        <v>211</v>
      </c>
      <c r="E1179" t="s">
        <v>212</v>
      </c>
      <c r="F1179" t="s">
        <v>1177</v>
      </c>
      <c r="G1179">
        <v>4206589</v>
      </c>
      <c r="H1179" t="s">
        <v>26</v>
      </c>
      <c r="J1179" t="str">
        <f>"9781119256595"</f>
        <v>9781119256595</v>
      </c>
      <c r="K1179" t="s">
        <v>2106</v>
      </c>
      <c r="L1179">
        <v>27</v>
      </c>
      <c r="O1179" t="s">
        <v>30</v>
      </c>
      <c r="P1179" t="s">
        <v>29</v>
      </c>
      <c r="Q1179" s="1">
        <v>42377.83289351852</v>
      </c>
      <c r="R1179">
        <v>7</v>
      </c>
      <c r="S1179" t="s">
        <v>214</v>
      </c>
      <c r="V1179" s="3">
        <v>42352</v>
      </c>
    </row>
    <row r="1180" spans="1:22" x14ac:dyDescent="0.35">
      <c r="A1180" s="1">
        <v>42377.83289351852</v>
      </c>
      <c r="B1180" s="2">
        <v>2.615740740740741E-3</v>
      </c>
      <c r="C1180" t="s">
        <v>471</v>
      </c>
      <c r="D1180" t="s">
        <v>211</v>
      </c>
      <c r="E1180" t="s">
        <v>212</v>
      </c>
      <c r="F1180" t="s">
        <v>1177</v>
      </c>
      <c r="G1180">
        <v>4206589</v>
      </c>
      <c r="H1180" t="s">
        <v>26</v>
      </c>
      <c r="J1180" t="str">
        <f>"9781119256595"</f>
        <v>9781119256595</v>
      </c>
      <c r="K1180" t="s">
        <v>2107</v>
      </c>
      <c r="L1180">
        <v>26</v>
      </c>
      <c r="O1180" t="s">
        <v>30</v>
      </c>
      <c r="P1180" t="s">
        <v>29</v>
      </c>
      <c r="Q1180" s="1">
        <v>42377.83289351852</v>
      </c>
      <c r="R1180">
        <v>7</v>
      </c>
      <c r="S1180" t="s">
        <v>214</v>
      </c>
      <c r="V1180" s="3">
        <v>42352</v>
      </c>
    </row>
    <row r="1181" spans="1:22" x14ac:dyDescent="0.35">
      <c r="A1181" s="1">
        <v>42377.827881944446</v>
      </c>
      <c r="B1181" s="2">
        <v>5.0115740740740737E-3</v>
      </c>
      <c r="C1181" t="s">
        <v>471</v>
      </c>
      <c r="D1181" t="s">
        <v>211</v>
      </c>
      <c r="E1181" t="s">
        <v>212</v>
      </c>
      <c r="F1181" t="s">
        <v>1177</v>
      </c>
      <c r="G1181">
        <v>4206589</v>
      </c>
      <c r="H1181" t="s">
        <v>26</v>
      </c>
      <c r="J1181" t="str">
        <f>"9781119256595"</f>
        <v>9781119256595</v>
      </c>
      <c r="K1181" t="s">
        <v>2108</v>
      </c>
      <c r="L1181">
        <v>28</v>
      </c>
      <c r="O1181" t="s">
        <v>30</v>
      </c>
      <c r="P1181" t="s">
        <v>50</v>
      </c>
      <c r="S1181" t="s">
        <v>214</v>
      </c>
      <c r="V1181" s="3">
        <v>42352</v>
      </c>
    </row>
    <row r="1182" spans="1:22" x14ac:dyDescent="0.35">
      <c r="A1182" s="1">
        <v>42377.815578703703</v>
      </c>
      <c r="B1182" s="2">
        <v>4.9652777777777777E-3</v>
      </c>
      <c r="C1182" t="s">
        <v>2109</v>
      </c>
      <c r="D1182" t="s">
        <v>23</v>
      </c>
      <c r="E1182" t="s">
        <v>24</v>
      </c>
      <c r="F1182" t="s">
        <v>2074</v>
      </c>
      <c r="G1182">
        <v>1779318</v>
      </c>
      <c r="H1182" t="s">
        <v>26</v>
      </c>
      <c r="I1182" t="s">
        <v>276</v>
      </c>
      <c r="J1182" t="str">
        <f>"9781118968093"</f>
        <v>9781118968093</v>
      </c>
      <c r="K1182" t="s">
        <v>2110</v>
      </c>
      <c r="L1182">
        <v>6</v>
      </c>
      <c r="M1182" t="s">
        <v>2111</v>
      </c>
      <c r="O1182" t="s">
        <v>30</v>
      </c>
      <c r="P1182" t="s">
        <v>29</v>
      </c>
      <c r="Q1182" s="1">
        <v>42377.815578703703</v>
      </c>
      <c r="R1182">
        <v>7</v>
      </c>
      <c r="S1182" t="s">
        <v>31</v>
      </c>
      <c r="T1182" t="s">
        <v>2076</v>
      </c>
      <c r="U1182">
        <v>4.0229999999999997</v>
      </c>
      <c r="V1182" s="3">
        <v>41884</v>
      </c>
    </row>
    <row r="1183" spans="1:22" x14ac:dyDescent="0.35">
      <c r="A1183" s="1">
        <v>42377.813888888886</v>
      </c>
      <c r="B1183" s="2">
        <v>1.689814814814815E-3</v>
      </c>
      <c r="C1183" t="s">
        <v>2109</v>
      </c>
      <c r="D1183" t="s">
        <v>23</v>
      </c>
      <c r="E1183" t="s">
        <v>24</v>
      </c>
      <c r="F1183" t="s">
        <v>2074</v>
      </c>
      <c r="G1183">
        <v>1779318</v>
      </c>
      <c r="H1183" t="s">
        <v>26</v>
      </c>
      <c r="I1183" t="s">
        <v>276</v>
      </c>
      <c r="J1183" t="str">
        <f>"9781118968093"</f>
        <v>9781118968093</v>
      </c>
      <c r="K1183" t="s">
        <v>2112</v>
      </c>
      <c r="L1183">
        <v>15</v>
      </c>
      <c r="O1183" t="s">
        <v>30</v>
      </c>
      <c r="P1183" t="s">
        <v>50</v>
      </c>
      <c r="S1183" t="s">
        <v>31</v>
      </c>
      <c r="T1183" t="s">
        <v>2076</v>
      </c>
      <c r="U1183">
        <v>4.0229999999999997</v>
      </c>
      <c r="V1183" s="3">
        <v>41884</v>
      </c>
    </row>
    <row r="1184" spans="1:22" x14ac:dyDescent="0.35">
      <c r="A1184" s="1">
        <v>42377.800081018519</v>
      </c>
      <c r="B1184" s="2">
        <v>4.8611111111111104E-4</v>
      </c>
      <c r="C1184" t="s">
        <v>2113</v>
      </c>
      <c r="D1184" t="s">
        <v>23</v>
      </c>
      <c r="E1184" t="s">
        <v>24</v>
      </c>
      <c r="F1184" t="s">
        <v>2114</v>
      </c>
      <c r="G1184">
        <v>1895546</v>
      </c>
      <c r="H1184" t="s">
        <v>26</v>
      </c>
      <c r="I1184" t="s">
        <v>2115</v>
      </c>
      <c r="J1184" t="str">
        <f>"9781118695937"</f>
        <v>9781118695937</v>
      </c>
      <c r="K1184" t="s">
        <v>2116</v>
      </c>
      <c r="L1184">
        <v>7</v>
      </c>
      <c r="O1184" t="s">
        <v>30</v>
      </c>
      <c r="P1184" t="s">
        <v>50</v>
      </c>
      <c r="S1184" t="s">
        <v>31</v>
      </c>
      <c r="T1184" t="s">
        <v>2117</v>
      </c>
      <c r="U1184">
        <v>612.01578199999994</v>
      </c>
      <c r="V1184" s="3">
        <v>41995</v>
      </c>
    </row>
    <row r="1185" spans="1:22" x14ac:dyDescent="0.35">
      <c r="A1185" s="1">
        <v>42377.795914351853</v>
      </c>
      <c r="B1185" s="2">
        <v>4.9768518518518521E-4</v>
      </c>
      <c r="C1185" t="s">
        <v>2118</v>
      </c>
      <c r="D1185" t="s">
        <v>23</v>
      </c>
      <c r="E1185" t="s">
        <v>24</v>
      </c>
      <c r="F1185" t="s">
        <v>2119</v>
      </c>
      <c r="G1185">
        <v>1542969</v>
      </c>
      <c r="H1185" t="s">
        <v>68</v>
      </c>
      <c r="I1185" t="s">
        <v>328</v>
      </c>
      <c r="J1185" t="str">
        <f>"9781134066940"</f>
        <v>9781134066940</v>
      </c>
      <c r="K1185" t="s">
        <v>217</v>
      </c>
      <c r="L1185">
        <v>12</v>
      </c>
      <c r="O1185" t="s">
        <v>30</v>
      </c>
      <c r="P1185" t="s">
        <v>50</v>
      </c>
      <c r="S1185" t="s">
        <v>31</v>
      </c>
      <c r="T1185" t="s">
        <v>2120</v>
      </c>
      <c r="V1185" s="3">
        <v>41583</v>
      </c>
    </row>
    <row r="1186" spans="1:22" x14ac:dyDescent="0.35">
      <c r="A1186" s="1">
        <v>42377.739444444444</v>
      </c>
      <c r="B1186" s="2">
        <v>0</v>
      </c>
      <c r="C1186" t="s">
        <v>2121</v>
      </c>
      <c r="D1186" t="s">
        <v>23</v>
      </c>
      <c r="E1186" t="s">
        <v>24</v>
      </c>
      <c r="F1186" t="s">
        <v>2122</v>
      </c>
      <c r="G1186">
        <v>837299</v>
      </c>
      <c r="H1186" t="s">
        <v>84</v>
      </c>
      <c r="I1186" t="s">
        <v>2123</v>
      </c>
      <c r="J1186" t="str">
        <f>"9780520944848"</f>
        <v>9780520944848</v>
      </c>
      <c r="L1186">
        <v>0</v>
      </c>
      <c r="N1186" t="s">
        <v>2124</v>
      </c>
      <c r="O1186" t="s">
        <v>30</v>
      </c>
      <c r="P1186" t="s">
        <v>47</v>
      </c>
      <c r="Q1186" s="1">
        <v>42377.739444444444</v>
      </c>
      <c r="R1186">
        <v>1</v>
      </c>
      <c r="S1186" t="s">
        <v>31</v>
      </c>
      <c r="T1186" t="s">
        <v>2125</v>
      </c>
      <c r="U1186">
        <v>302.23</v>
      </c>
      <c r="V1186" s="3">
        <v>41773</v>
      </c>
    </row>
    <row r="1187" spans="1:22" x14ac:dyDescent="0.35">
      <c r="A1187" s="1">
        <v>42377.738067129627</v>
      </c>
      <c r="B1187" s="2">
        <v>1.3773148148148147E-3</v>
      </c>
      <c r="C1187" t="s">
        <v>2121</v>
      </c>
      <c r="D1187" t="s">
        <v>23</v>
      </c>
      <c r="E1187" t="s">
        <v>24</v>
      </c>
      <c r="F1187" t="s">
        <v>2122</v>
      </c>
      <c r="G1187">
        <v>837299</v>
      </c>
      <c r="H1187" t="s">
        <v>84</v>
      </c>
      <c r="I1187" t="s">
        <v>2123</v>
      </c>
      <c r="J1187" t="str">
        <f>"9780520944848"</f>
        <v>9780520944848</v>
      </c>
      <c r="K1187" t="s">
        <v>2126</v>
      </c>
      <c r="L1187">
        <v>16</v>
      </c>
      <c r="O1187" t="s">
        <v>30</v>
      </c>
      <c r="P1187" t="s">
        <v>50</v>
      </c>
      <c r="S1187" t="s">
        <v>31</v>
      </c>
      <c r="T1187" t="s">
        <v>2125</v>
      </c>
      <c r="U1187">
        <v>302.23</v>
      </c>
      <c r="V1187" s="3">
        <v>41773</v>
      </c>
    </row>
    <row r="1188" spans="1:22" x14ac:dyDescent="0.35">
      <c r="A1188" s="1">
        <v>42377.726655092592</v>
      </c>
      <c r="B1188" s="2">
        <v>2.0520833333333332E-2</v>
      </c>
      <c r="C1188" t="s">
        <v>2121</v>
      </c>
      <c r="D1188" t="s">
        <v>23</v>
      </c>
      <c r="E1188" t="s">
        <v>24</v>
      </c>
      <c r="F1188" t="s">
        <v>2127</v>
      </c>
      <c r="G1188">
        <v>4033617</v>
      </c>
      <c r="H1188" t="s">
        <v>26</v>
      </c>
      <c r="I1188" t="s">
        <v>2128</v>
      </c>
      <c r="J1188" t="str">
        <f>"9781118274446"</f>
        <v>9781118274446</v>
      </c>
      <c r="K1188" t="s">
        <v>2129</v>
      </c>
      <c r="L1188">
        <v>13</v>
      </c>
      <c r="M1188" t="s">
        <v>105</v>
      </c>
      <c r="O1188" t="s">
        <v>30</v>
      </c>
      <c r="P1188" t="s">
        <v>29</v>
      </c>
      <c r="Q1188" s="1">
        <v>42377.726655092592</v>
      </c>
      <c r="R1188">
        <v>7</v>
      </c>
      <c r="S1188" t="s">
        <v>31</v>
      </c>
      <c r="T1188" t="s">
        <v>2130</v>
      </c>
      <c r="U1188">
        <v>2</v>
      </c>
      <c r="V1188" s="3">
        <v>42138</v>
      </c>
    </row>
    <row r="1189" spans="1:22" x14ac:dyDescent="0.35">
      <c r="A1189" s="1">
        <v>42377.726412037038</v>
      </c>
      <c r="B1189" s="2">
        <v>2.3148148148148146E-4</v>
      </c>
      <c r="C1189" t="s">
        <v>2121</v>
      </c>
      <c r="D1189" t="s">
        <v>23</v>
      </c>
      <c r="E1189" t="s">
        <v>24</v>
      </c>
      <c r="F1189" t="s">
        <v>2127</v>
      </c>
      <c r="G1189">
        <v>4033617</v>
      </c>
      <c r="H1189" t="s">
        <v>26</v>
      </c>
      <c r="I1189" t="s">
        <v>2128</v>
      </c>
      <c r="J1189" t="str">
        <f>"9781118274446"</f>
        <v>9781118274446</v>
      </c>
      <c r="K1189" t="s">
        <v>202</v>
      </c>
      <c r="L1189">
        <v>3</v>
      </c>
      <c r="O1189" t="s">
        <v>30</v>
      </c>
      <c r="P1189" t="s">
        <v>50</v>
      </c>
      <c r="S1189" t="s">
        <v>31</v>
      </c>
      <c r="T1189" t="s">
        <v>2130</v>
      </c>
      <c r="U1189">
        <v>2</v>
      </c>
      <c r="V1189" s="3">
        <v>42138</v>
      </c>
    </row>
    <row r="1190" spans="1:22" x14ac:dyDescent="0.35">
      <c r="A1190" s="1">
        <v>42377.721886574072</v>
      </c>
      <c r="B1190" s="2">
        <v>4.282407407407407E-2</v>
      </c>
      <c r="C1190" t="s">
        <v>2131</v>
      </c>
      <c r="D1190" t="s">
        <v>1222</v>
      </c>
      <c r="E1190" t="s">
        <v>1223</v>
      </c>
      <c r="F1190" t="s">
        <v>2132</v>
      </c>
      <c r="G1190">
        <v>821801</v>
      </c>
      <c r="H1190" t="s">
        <v>26</v>
      </c>
      <c r="I1190" t="s">
        <v>2133</v>
      </c>
      <c r="J1190" t="str">
        <f>"9781118224144"</f>
        <v>9781118224144</v>
      </c>
      <c r="K1190" t="s">
        <v>2134</v>
      </c>
      <c r="L1190">
        <v>23</v>
      </c>
      <c r="O1190" t="s">
        <v>30</v>
      </c>
      <c r="P1190" t="s">
        <v>29</v>
      </c>
      <c r="Q1190" s="1">
        <v>42377.721875000003</v>
      </c>
      <c r="R1190">
        <v>7</v>
      </c>
      <c r="S1190" t="s">
        <v>1226</v>
      </c>
      <c r="T1190" t="s">
        <v>2135</v>
      </c>
      <c r="U1190">
        <v>658.00760000000002</v>
      </c>
      <c r="V1190" s="3">
        <v>40974</v>
      </c>
    </row>
    <row r="1191" spans="1:22" x14ac:dyDescent="0.35">
      <c r="A1191" s="1">
        <v>42377.711643518516</v>
      </c>
      <c r="B1191" s="2">
        <v>1.0231481481481482E-2</v>
      </c>
      <c r="C1191" t="s">
        <v>2131</v>
      </c>
      <c r="D1191" t="s">
        <v>1222</v>
      </c>
      <c r="E1191" t="s">
        <v>1223</v>
      </c>
      <c r="F1191" t="s">
        <v>2132</v>
      </c>
      <c r="G1191">
        <v>821801</v>
      </c>
      <c r="H1191" t="s">
        <v>26</v>
      </c>
      <c r="I1191" t="s">
        <v>2133</v>
      </c>
      <c r="J1191" t="str">
        <f>"9781118224144"</f>
        <v>9781118224144</v>
      </c>
      <c r="K1191" t="s">
        <v>217</v>
      </c>
      <c r="L1191">
        <v>12</v>
      </c>
      <c r="O1191" t="s">
        <v>30</v>
      </c>
      <c r="P1191" t="s">
        <v>42</v>
      </c>
      <c r="S1191" t="s">
        <v>1226</v>
      </c>
      <c r="T1191" t="s">
        <v>2135</v>
      </c>
      <c r="U1191">
        <v>658.00760000000002</v>
      </c>
      <c r="V1191" s="3">
        <v>40974</v>
      </c>
    </row>
    <row r="1192" spans="1:22" x14ac:dyDescent="0.35">
      <c r="A1192" s="1">
        <v>42377.687662037039</v>
      </c>
      <c r="B1192" s="2">
        <v>8.449074074074075E-4</v>
      </c>
      <c r="C1192" t="s">
        <v>145</v>
      </c>
      <c r="D1192" t="s">
        <v>146</v>
      </c>
      <c r="E1192" t="s">
        <v>147</v>
      </c>
      <c r="F1192" t="s">
        <v>148</v>
      </c>
      <c r="G1192">
        <v>877717</v>
      </c>
      <c r="H1192" t="s">
        <v>149</v>
      </c>
      <c r="I1192" t="s">
        <v>150</v>
      </c>
      <c r="J1192" t="str">
        <f>"9781438139265"</f>
        <v>9781438139265</v>
      </c>
      <c r="K1192" t="s">
        <v>2136</v>
      </c>
      <c r="L1192">
        <v>9</v>
      </c>
      <c r="O1192" t="s">
        <v>30</v>
      </c>
      <c r="P1192" t="s">
        <v>29</v>
      </c>
      <c r="Q1192" s="1">
        <v>42377.672106481485</v>
      </c>
      <c r="R1192">
        <v>7</v>
      </c>
      <c r="S1192" t="s">
        <v>1297</v>
      </c>
      <c r="T1192" t="s">
        <v>153</v>
      </c>
      <c r="U1192" t="s">
        <v>154</v>
      </c>
      <c r="V1192" s="3">
        <v>40909</v>
      </c>
    </row>
    <row r="1193" spans="1:22" x14ac:dyDescent="0.35">
      <c r="A1193" s="1">
        <v>42377.672106481485</v>
      </c>
      <c r="B1193" s="2">
        <v>1.3888888888888889E-3</v>
      </c>
      <c r="C1193" t="s">
        <v>145</v>
      </c>
      <c r="D1193" t="s">
        <v>146</v>
      </c>
      <c r="E1193" t="s">
        <v>147</v>
      </c>
      <c r="F1193" t="s">
        <v>148</v>
      </c>
      <c r="G1193">
        <v>877717</v>
      </c>
      <c r="H1193" t="s">
        <v>149</v>
      </c>
      <c r="I1193" t="s">
        <v>150</v>
      </c>
      <c r="J1193" t="str">
        <f>"9781438139265"</f>
        <v>9781438139265</v>
      </c>
      <c r="K1193" t="s">
        <v>2137</v>
      </c>
      <c r="L1193">
        <v>12</v>
      </c>
      <c r="M1193" t="s">
        <v>2138</v>
      </c>
      <c r="O1193" t="s">
        <v>30</v>
      </c>
      <c r="P1193" t="s">
        <v>29</v>
      </c>
      <c r="Q1193" s="1">
        <v>42377.672106481485</v>
      </c>
      <c r="R1193">
        <v>7</v>
      </c>
      <c r="S1193" t="s">
        <v>1297</v>
      </c>
      <c r="T1193" t="s">
        <v>153</v>
      </c>
      <c r="U1193" t="s">
        <v>154</v>
      </c>
      <c r="V1193" s="3">
        <v>40909</v>
      </c>
    </row>
    <row r="1194" spans="1:22" x14ac:dyDescent="0.35">
      <c r="A1194" s="1">
        <v>42377.668194444443</v>
      </c>
      <c r="B1194" s="2">
        <v>3.9120370370370368E-3</v>
      </c>
      <c r="C1194" t="s">
        <v>145</v>
      </c>
      <c r="D1194" t="s">
        <v>146</v>
      </c>
      <c r="E1194" t="s">
        <v>147</v>
      </c>
      <c r="F1194" t="s">
        <v>148</v>
      </c>
      <c r="G1194">
        <v>877717</v>
      </c>
      <c r="H1194" t="s">
        <v>149</v>
      </c>
      <c r="I1194" t="s">
        <v>150</v>
      </c>
      <c r="J1194" t="str">
        <f>"9781438139265"</f>
        <v>9781438139265</v>
      </c>
      <c r="K1194" t="s">
        <v>2139</v>
      </c>
      <c r="L1194">
        <v>17</v>
      </c>
      <c r="O1194" t="s">
        <v>30</v>
      </c>
      <c r="P1194" t="s">
        <v>42</v>
      </c>
      <c r="S1194" t="s">
        <v>1297</v>
      </c>
      <c r="T1194" t="s">
        <v>153</v>
      </c>
      <c r="U1194" t="s">
        <v>154</v>
      </c>
      <c r="V1194" s="3">
        <v>40909</v>
      </c>
    </row>
    <row r="1195" spans="1:22" x14ac:dyDescent="0.35">
      <c r="A1195" s="1">
        <v>42377.65353009259</v>
      </c>
      <c r="B1195" s="2">
        <v>2.5462962962962961E-4</v>
      </c>
      <c r="C1195" t="s">
        <v>2040</v>
      </c>
      <c r="D1195" t="s">
        <v>23</v>
      </c>
      <c r="E1195" t="s">
        <v>24</v>
      </c>
      <c r="F1195" t="s">
        <v>2041</v>
      </c>
      <c r="G1195">
        <v>1184140</v>
      </c>
      <c r="H1195" t="s">
        <v>26</v>
      </c>
      <c r="I1195" t="s">
        <v>417</v>
      </c>
      <c r="J1195" t="str">
        <f>"9780745663036"</f>
        <v>9780745663036</v>
      </c>
      <c r="K1195" t="s">
        <v>536</v>
      </c>
      <c r="L1195">
        <v>3</v>
      </c>
      <c r="O1195" t="s">
        <v>30</v>
      </c>
      <c r="P1195" t="s">
        <v>50</v>
      </c>
      <c r="S1195" t="s">
        <v>31</v>
      </c>
      <c r="T1195" t="s">
        <v>2043</v>
      </c>
      <c r="U1195">
        <v>303.66000000000003</v>
      </c>
      <c r="V1195" s="3">
        <v>41390</v>
      </c>
    </row>
    <row r="1196" spans="1:22" x14ac:dyDescent="0.35">
      <c r="A1196" s="1">
        <v>42377.646331018521</v>
      </c>
      <c r="B1196" s="2">
        <v>4.4560185185185182E-2</v>
      </c>
      <c r="C1196" t="s">
        <v>1411</v>
      </c>
      <c r="D1196" t="s">
        <v>35</v>
      </c>
      <c r="E1196" t="s">
        <v>36</v>
      </c>
      <c r="F1196" t="s">
        <v>327</v>
      </c>
      <c r="G1196">
        <v>1691426</v>
      </c>
      <c r="H1196" t="s">
        <v>26</v>
      </c>
      <c r="I1196" t="s">
        <v>328</v>
      </c>
      <c r="J1196" t="str">
        <f>"9781118839492"</f>
        <v>9781118839492</v>
      </c>
      <c r="K1196" t="s">
        <v>2140</v>
      </c>
      <c r="L1196">
        <v>5</v>
      </c>
      <c r="O1196" t="s">
        <v>30</v>
      </c>
      <c r="P1196" t="s">
        <v>29</v>
      </c>
      <c r="Q1196" s="1">
        <v>42377.646331018521</v>
      </c>
      <c r="R1196">
        <v>7</v>
      </c>
      <c r="S1196" t="s">
        <v>40</v>
      </c>
      <c r="T1196" t="s">
        <v>331</v>
      </c>
      <c r="U1196">
        <v>613.70460000000003</v>
      </c>
      <c r="V1196" s="3">
        <v>41772</v>
      </c>
    </row>
    <row r="1197" spans="1:22" x14ac:dyDescent="0.35">
      <c r="A1197" s="1">
        <v>42377.638831018521</v>
      </c>
      <c r="B1197" s="2">
        <v>7.5000000000000006E-3</v>
      </c>
      <c r="C1197" t="s">
        <v>1411</v>
      </c>
      <c r="D1197" t="s">
        <v>35</v>
      </c>
      <c r="E1197" t="s">
        <v>36</v>
      </c>
      <c r="F1197" t="s">
        <v>327</v>
      </c>
      <c r="G1197">
        <v>1691426</v>
      </c>
      <c r="H1197" t="s">
        <v>26</v>
      </c>
      <c r="I1197" t="s">
        <v>328</v>
      </c>
      <c r="J1197" t="str">
        <f>"9781118839492"</f>
        <v>9781118839492</v>
      </c>
      <c r="K1197" t="s">
        <v>2141</v>
      </c>
      <c r="L1197">
        <v>12</v>
      </c>
      <c r="O1197" t="s">
        <v>30</v>
      </c>
      <c r="P1197" t="s">
        <v>42</v>
      </c>
      <c r="S1197" t="s">
        <v>40</v>
      </c>
      <c r="T1197" t="s">
        <v>331</v>
      </c>
      <c r="U1197">
        <v>613.70460000000003</v>
      </c>
      <c r="V1197" s="3">
        <v>41772</v>
      </c>
    </row>
    <row r="1198" spans="1:22" x14ac:dyDescent="0.35">
      <c r="A1198" s="1">
        <v>42377.623171296298</v>
      </c>
      <c r="B1198" s="2">
        <v>2.5462962962962961E-4</v>
      </c>
      <c r="C1198" t="s">
        <v>2142</v>
      </c>
      <c r="D1198" t="s">
        <v>23</v>
      </c>
      <c r="E1198" t="s">
        <v>24</v>
      </c>
      <c r="F1198" t="s">
        <v>2143</v>
      </c>
      <c r="G1198">
        <v>4029575</v>
      </c>
      <c r="H1198" t="s">
        <v>26</v>
      </c>
      <c r="I1198" t="s">
        <v>120</v>
      </c>
      <c r="J1198" t="str">
        <f>"9780745659411"</f>
        <v>9780745659411</v>
      </c>
      <c r="K1198" t="s">
        <v>536</v>
      </c>
      <c r="L1198">
        <v>3</v>
      </c>
      <c r="O1198" t="s">
        <v>30</v>
      </c>
      <c r="P1198" t="s">
        <v>50</v>
      </c>
      <c r="S1198" t="s">
        <v>31</v>
      </c>
      <c r="T1198">
        <v>2002155222</v>
      </c>
      <c r="U1198">
        <v>302.23</v>
      </c>
      <c r="V1198" s="3">
        <v>41396</v>
      </c>
    </row>
    <row r="1199" spans="1:22" x14ac:dyDescent="0.35">
      <c r="A1199" s="1">
        <v>42377.510995370372</v>
      </c>
      <c r="B1199" s="2">
        <v>1.3483796296296298E-2</v>
      </c>
      <c r="C1199" t="s">
        <v>1755</v>
      </c>
      <c r="D1199" t="s">
        <v>35</v>
      </c>
      <c r="E1199" t="s">
        <v>36</v>
      </c>
      <c r="F1199" t="s">
        <v>327</v>
      </c>
      <c r="G1199">
        <v>1691426</v>
      </c>
      <c r="H1199" t="s">
        <v>26</v>
      </c>
      <c r="I1199" t="s">
        <v>328</v>
      </c>
      <c r="J1199" t="str">
        <f>"9781118839492"</f>
        <v>9781118839492</v>
      </c>
      <c r="K1199" t="s">
        <v>2144</v>
      </c>
      <c r="L1199">
        <v>20</v>
      </c>
      <c r="O1199" t="s">
        <v>30</v>
      </c>
      <c r="P1199" t="s">
        <v>29</v>
      </c>
      <c r="Q1199" s="1">
        <v>42373.999479166669</v>
      </c>
      <c r="R1199">
        <v>7</v>
      </c>
      <c r="S1199" t="s">
        <v>40</v>
      </c>
      <c r="T1199" t="s">
        <v>331</v>
      </c>
      <c r="U1199">
        <v>613.70460000000003</v>
      </c>
      <c r="V1199" s="3">
        <v>41772</v>
      </c>
    </row>
    <row r="1200" spans="1:22" x14ac:dyDescent="0.35">
      <c r="A1200" s="1">
        <v>42377.444803240738</v>
      </c>
      <c r="B1200" s="2">
        <v>1.1851851851851851E-2</v>
      </c>
      <c r="C1200" t="s">
        <v>520</v>
      </c>
      <c r="D1200" t="s">
        <v>23</v>
      </c>
      <c r="E1200" t="s">
        <v>24</v>
      </c>
      <c r="F1200" t="s">
        <v>1579</v>
      </c>
      <c r="G1200">
        <v>1161538</v>
      </c>
      <c r="H1200" t="s">
        <v>26</v>
      </c>
      <c r="I1200" t="s">
        <v>108</v>
      </c>
      <c r="J1200" t="str">
        <f>"9781118521755"</f>
        <v>9781118521755</v>
      </c>
      <c r="K1200" t="s">
        <v>2145</v>
      </c>
      <c r="L1200">
        <v>13</v>
      </c>
      <c r="O1200" t="s">
        <v>30</v>
      </c>
      <c r="P1200" t="s">
        <v>29</v>
      </c>
      <c r="Q1200" s="1">
        <v>42374.561342592591</v>
      </c>
      <c r="R1200">
        <v>7</v>
      </c>
      <c r="S1200" t="s">
        <v>31</v>
      </c>
      <c r="T1200" t="s">
        <v>1581</v>
      </c>
      <c r="U1200">
        <v>332.63220000000001</v>
      </c>
      <c r="V1200" s="3">
        <v>41359</v>
      </c>
    </row>
    <row r="1201" spans="1:22" x14ac:dyDescent="0.35">
      <c r="A1201" s="1">
        <v>42377.412615740737</v>
      </c>
      <c r="B1201" s="2">
        <v>7.4884259259259262E-3</v>
      </c>
      <c r="C1201" t="s">
        <v>520</v>
      </c>
      <c r="D1201" t="s">
        <v>23</v>
      </c>
      <c r="E1201" t="s">
        <v>24</v>
      </c>
      <c r="F1201" t="s">
        <v>1579</v>
      </c>
      <c r="G1201">
        <v>1161538</v>
      </c>
      <c r="H1201" t="s">
        <v>26</v>
      </c>
      <c r="I1201" t="s">
        <v>108</v>
      </c>
      <c r="J1201" t="str">
        <f>"9781118521755"</f>
        <v>9781118521755</v>
      </c>
      <c r="K1201" t="s">
        <v>2146</v>
      </c>
      <c r="L1201">
        <v>12</v>
      </c>
      <c r="O1201" t="s">
        <v>30</v>
      </c>
      <c r="P1201" t="s">
        <v>29</v>
      </c>
      <c r="Q1201" s="1">
        <v>42374.561342592591</v>
      </c>
      <c r="R1201">
        <v>7</v>
      </c>
      <c r="S1201" t="s">
        <v>31</v>
      </c>
      <c r="T1201" t="s">
        <v>1581</v>
      </c>
      <c r="U1201">
        <v>332.63220000000001</v>
      </c>
      <c r="V1201" s="3">
        <v>41359</v>
      </c>
    </row>
    <row r="1202" spans="1:22" x14ac:dyDescent="0.35">
      <c r="A1202" s="1">
        <v>42377.403912037036</v>
      </c>
      <c r="B1202" s="2">
        <v>1.1805555555555556E-3</v>
      </c>
      <c r="C1202" t="s">
        <v>520</v>
      </c>
      <c r="D1202" t="s">
        <v>23</v>
      </c>
      <c r="E1202" t="s">
        <v>24</v>
      </c>
      <c r="F1202" t="s">
        <v>1579</v>
      </c>
      <c r="G1202">
        <v>1161538</v>
      </c>
      <c r="H1202" t="s">
        <v>26</v>
      </c>
      <c r="I1202" t="s">
        <v>108</v>
      </c>
      <c r="J1202" t="str">
        <f>"9781118521755"</f>
        <v>9781118521755</v>
      </c>
      <c r="K1202" t="s">
        <v>2147</v>
      </c>
      <c r="L1202">
        <v>11</v>
      </c>
      <c r="O1202" t="s">
        <v>30</v>
      </c>
      <c r="P1202" t="s">
        <v>29</v>
      </c>
      <c r="Q1202" s="1">
        <v>42374.561342592591</v>
      </c>
      <c r="R1202">
        <v>7</v>
      </c>
      <c r="S1202" t="s">
        <v>31</v>
      </c>
      <c r="T1202" t="s">
        <v>1581</v>
      </c>
      <c r="U1202">
        <v>332.63220000000001</v>
      </c>
      <c r="V1202" s="3">
        <v>41359</v>
      </c>
    </row>
    <row r="1203" spans="1:22" x14ac:dyDescent="0.35">
      <c r="A1203" s="1">
        <v>42377.243194444447</v>
      </c>
      <c r="B1203" s="2">
        <v>4.5254629629629629E-3</v>
      </c>
      <c r="C1203" t="s">
        <v>2148</v>
      </c>
      <c r="D1203" t="s">
        <v>23</v>
      </c>
      <c r="E1203" t="s">
        <v>24</v>
      </c>
      <c r="F1203" t="s">
        <v>2149</v>
      </c>
      <c r="G1203">
        <v>1487169</v>
      </c>
      <c r="H1203" t="s">
        <v>68</v>
      </c>
      <c r="I1203" t="s">
        <v>120</v>
      </c>
      <c r="J1203" t="str">
        <f>"9781135929060"</f>
        <v>9781135929060</v>
      </c>
      <c r="K1203" t="s">
        <v>2150</v>
      </c>
      <c r="L1203">
        <v>3</v>
      </c>
      <c r="O1203" t="s">
        <v>30</v>
      </c>
      <c r="P1203" t="s">
        <v>47</v>
      </c>
      <c r="Q1203" s="1">
        <v>42377.243194444447</v>
      </c>
      <c r="R1203">
        <v>1</v>
      </c>
      <c r="S1203" t="s">
        <v>31</v>
      </c>
      <c r="U1203">
        <v>303.60000000000002</v>
      </c>
      <c r="V1203" s="3">
        <v>41565</v>
      </c>
    </row>
    <row r="1204" spans="1:22" x14ac:dyDescent="0.35">
      <c r="A1204" s="1">
        <v>42377.235335648147</v>
      </c>
      <c r="B1204" s="2">
        <v>7.858796296296296E-3</v>
      </c>
      <c r="C1204" t="s">
        <v>2148</v>
      </c>
      <c r="D1204" t="s">
        <v>23</v>
      </c>
      <c r="E1204" t="s">
        <v>24</v>
      </c>
      <c r="F1204" t="s">
        <v>2149</v>
      </c>
      <c r="G1204">
        <v>1487169</v>
      </c>
      <c r="H1204" t="s">
        <v>68</v>
      </c>
      <c r="I1204" t="s">
        <v>120</v>
      </c>
      <c r="J1204" t="str">
        <f>"9781135929060"</f>
        <v>9781135929060</v>
      </c>
      <c r="K1204" t="s">
        <v>2151</v>
      </c>
      <c r="L1204">
        <v>8</v>
      </c>
      <c r="O1204" t="s">
        <v>30</v>
      </c>
      <c r="P1204" t="s">
        <v>50</v>
      </c>
      <c r="S1204" t="s">
        <v>31</v>
      </c>
      <c r="U1204">
        <v>303.60000000000002</v>
      </c>
      <c r="V1204" s="3">
        <v>41565</v>
      </c>
    </row>
    <row r="1205" spans="1:22" x14ac:dyDescent="0.35">
      <c r="A1205" s="1">
        <v>42377.209849537037</v>
      </c>
      <c r="B1205" s="2">
        <v>4.87037037037037E-2</v>
      </c>
      <c r="C1205" t="s">
        <v>1595</v>
      </c>
      <c r="D1205" t="s">
        <v>23</v>
      </c>
      <c r="E1205" t="s">
        <v>24</v>
      </c>
      <c r="F1205" t="s">
        <v>1993</v>
      </c>
      <c r="G1205">
        <v>1358564</v>
      </c>
      <c r="H1205" t="s">
        <v>26</v>
      </c>
      <c r="I1205" t="s">
        <v>841</v>
      </c>
      <c r="J1205" t="str">
        <f>"9781118646267"</f>
        <v>9781118646267</v>
      </c>
      <c r="K1205" t="s">
        <v>2152</v>
      </c>
      <c r="L1205">
        <v>51</v>
      </c>
      <c r="O1205" t="s">
        <v>30</v>
      </c>
      <c r="P1205" t="s">
        <v>29</v>
      </c>
      <c r="Q1205" s="1">
        <v>42377.07644675926</v>
      </c>
      <c r="R1205">
        <v>7</v>
      </c>
      <c r="S1205" t="s">
        <v>31</v>
      </c>
      <c r="T1205" t="s">
        <v>1995</v>
      </c>
      <c r="U1205">
        <v>355.00760000000002</v>
      </c>
      <c r="V1205" s="3">
        <v>41487</v>
      </c>
    </row>
    <row r="1206" spans="1:22" x14ac:dyDescent="0.35">
      <c r="A1206" s="1">
        <v>42377.206122685187</v>
      </c>
      <c r="B1206" s="2">
        <v>0</v>
      </c>
      <c r="C1206" t="s">
        <v>2153</v>
      </c>
      <c r="D1206" t="s">
        <v>35</v>
      </c>
      <c r="E1206" t="s">
        <v>36</v>
      </c>
      <c r="F1206" t="s">
        <v>2154</v>
      </c>
      <c r="G1206">
        <v>1609393</v>
      </c>
      <c r="H1206" t="s">
        <v>26</v>
      </c>
      <c r="I1206" t="s">
        <v>2115</v>
      </c>
      <c r="J1206" t="str">
        <f>"9781118549247"</f>
        <v>9781118549247</v>
      </c>
      <c r="L1206">
        <v>0</v>
      </c>
      <c r="O1206" t="s">
        <v>28</v>
      </c>
      <c r="P1206" t="s">
        <v>29</v>
      </c>
      <c r="Q1206" s="1">
        <v>42377.205590277779</v>
      </c>
      <c r="R1206">
        <v>7</v>
      </c>
      <c r="S1206" t="s">
        <v>40</v>
      </c>
      <c r="T1206" t="s">
        <v>2155</v>
      </c>
      <c r="U1206">
        <v>612.76</v>
      </c>
      <c r="V1206" s="3">
        <v>41669</v>
      </c>
    </row>
    <row r="1207" spans="1:22" x14ac:dyDescent="0.35">
      <c r="A1207" s="1">
        <v>42377.205590277779</v>
      </c>
      <c r="B1207" s="2">
        <v>0</v>
      </c>
      <c r="C1207" t="s">
        <v>2153</v>
      </c>
      <c r="D1207" t="s">
        <v>35</v>
      </c>
      <c r="E1207" t="s">
        <v>36</v>
      </c>
      <c r="F1207" t="s">
        <v>2154</v>
      </c>
      <c r="G1207">
        <v>1609393</v>
      </c>
      <c r="H1207" t="s">
        <v>26</v>
      </c>
      <c r="I1207" t="s">
        <v>2115</v>
      </c>
      <c r="J1207" t="str">
        <f>"9781118549247"</f>
        <v>9781118549247</v>
      </c>
      <c r="L1207">
        <v>0</v>
      </c>
      <c r="O1207" t="s">
        <v>28</v>
      </c>
      <c r="P1207" t="s">
        <v>29</v>
      </c>
      <c r="Q1207" s="1">
        <v>42377.205590277779</v>
      </c>
      <c r="R1207">
        <v>7</v>
      </c>
      <c r="S1207" t="s">
        <v>40</v>
      </c>
      <c r="T1207" t="s">
        <v>2155</v>
      </c>
      <c r="U1207">
        <v>612.76</v>
      </c>
      <c r="V1207" s="3">
        <v>41669</v>
      </c>
    </row>
    <row r="1208" spans="1:22" x14ac:dyDescent="0.35">
      <c r="A1208" s="1">
        <v>42377.205590277779</v>
      </c>
      <c r="B1208" s="2">
        <v>0</v>
      </c>
      <c r="C1208" t="s">
        <v>2153</v>
      </c>
      <c r="D1208" t="s">
        <v>35</v>
      </c>
      <c r="E1208" t="s">
        <v>36</v>
      </c>
      <c r="F1208" t="s">
        <v>2154</v>
      </c>
      <c r="G1208">
        <v>1609393</v>
      </c>
      <c r="H1208" t="s">
        <v>26</v>
      </c>
      <c r="I1208" t="s">
        <v>2115</v>
      </c>
      <c r="J1208" t="str">
        <f>"9781118549247"</f>
        <v>9781118549247</v>
      </c>
      <c r="L1208">
        <v>0</v>
      </c>
      <c r="O1208" t="s">
        <v>30</v>
      </c>
      <c r="P1208" t="s">
        <v>29</v>
      </c>
      <c r="Q1208" s="1">
        <v>42377.205590277779</v>
      </c>
      <c r="R1208">
        <v>7</v>
      </c>
      <c r="S1208" t="s">
        <v>40</v>
      </c>
      <c r="T1208" t="s">
        <v>2155</v>
      </c>
      <c r="U1208">
        <v>612.76</v>
      </c>
      <c r="V1208" s="3">
        <v>41669</v>
      </c>
    </row>
    <row r="1209" spans="1:22" x14ac:dyDescent="0.35">
      <c r="A1209" s="1">
        <v>42377.205069444448</v>
      </c>
      <c r="B1209" s="2">
        <v>5.2083333333333333E-4</v>
      </c>
      <c r="C1209" t="s">
        <v>2153</v>
      </c>
      <c r="D1209" t="s">
        <v>35</v>
      </c>
      <c r="E1209" t="s">
        <v>36</v>
      </c>
      <c r="F1209" t="s">
        <v>2154</v>
      </c>
      <c r="G1209">
        <v>1609393</v>
      </c>
      <c r="H1209" t="s">
        <v>26</v>
      </c>
      <c r="I1209" t="s">
        <v>2115</v>
      </c>
      <c r="J1209" t="str">
        <f>"9781118549247"</f>
        <v>9781118549247</v>
      </c>
      <c r="K1209" t="s">
        <v>2156</v>
      </c>
      <c r="L1209">
        <v>5</v>
      </c>
      <c r="O1209" t="s">
        <v>30</v>
      </c>
      <c r="P1209" t="s">
        <v>50</v>
      </c>
      <c r="S1209" t="s">
        <v>40</v>
      </c>
      <c r="T1209" t="s">
        <v>2155</v>
      </c>
      <c r="U1209">
        <v>612.76</v>
      </c>
      <c r="V1209" s="3">
        <v>41669</v>
      </c>
    </row>
    <row r="1210" spans="1:22" x14ac:dyDescent="0.35">
      <c r="A1210" s="1">
        <v>42377.194837962961</v>
      </c>
      <c r="B1210" s="2">
        <v>1.7476851851851852E-3</v>
      </c>
      <c r="C1210" t="s">
        <v>1411</v>
      </c>
      <c r="D1210" t="s">
        <v>35</v>
      </c>
      <c r="E1210" t="s">
        <v>36</v>
      </c>
      <c r="F1210" t="s">
        <v>327</v>
      </c>
      <c r="G1210">
        <v>1691426</v>
      </c>
      <c r="H1210" t="s">
        <v>26</v>
      </c>
      <c r="I1210" t="s">
        <v>328</v>
      </c>
      <c r="J1210" t="str">
        <f>"9781118839492"</f>
        <v>9781118839492</v>
      </c>
      <c r="K1210" t="s">
        <v>1170</v>
      </c>
      <c r="L1210">
        <v>8</v>
      </c>
      <c r="O1210" t="s">
        <v>30</v>
      </c>
      <c r="P1210" t="s">
        <v>42</v>
      </c>
      <c r="S1210" t="s">
        <v>40</v>
      </c>
      <c r="T1210" t="s">
        <v>331</v>
      </c>
      <c r="U1210">
        <v>613.70460000000003</v>
      </c>
      <c r="V1210" s="3">
        <v>41772</v>
      </c>
    </row>
    <row r="1211" spans="1:22" x14ac:dyDescent="0.35">
      <c r="A1211" s="1">
        <v>42377.124166666668</v>
      </c>
      <c r="B1211" s="2">
        <v>3.3692129629629627E-2</v>
      </c>
      <c r="C1211" t="s">
        <v>1653</v>
      </c>
      <c r="D1211" t="s">
        <v>35</v>
      </c>
      <c r="E1211" t="s">
        <v>36</v>
      </c>
      <c r="F1211" t="s">
        <v>327</v>
      </c>
      <c r="G1211">
        <v>1691426</v>
      </c>
      <c r="H1211" t="s">
        <v>26</v>
      </c>
      <c r="I1211" t="s">
        <v>328</v>
      </c>
      <c r="J1211" t="str">
        <f>"9781118839492"</f>
        <v>9781118839492</v>
      </c>
      <c r="K1211" t="s">
        <v>2157</v>
      </c>
      <c r="L1211">
        <v>48</v>
      </c>
      <c r="O1211" t="s">
        <v>30</v>
      </c>
      <c r="P1211" t="s">
        <v>29</v>
      </c>
      <c r="Q1211" s="1">
        <v>42377.075231481482</v>
      </c>
      <c r="R1211">
        <v>7</v>
      </c>
      <c r="S1211" t="s">
        <v>40</v>
      </c>
      <c r="T1211" t="s">
        <v>331</v>
      </c>
      <c r="U1211">
        <v>613.70460000000003</v>
      </c>
      <c r="V1211" s="3">
        <v>41772</v>
      </c>
    </row>
    <row r="1212" spans="1:22" x14ac:dyDescent="0.35">
      <c r="A1212" s="1">
        <v>42377.124050925922</v>
      </c>
      <c r="B1212" s="2">
        <v>5.6712962962962956E-4</v>
      </c>
      <c r="C1212" t="s">
        <v>2158</v>
      </c>
      <c r="D1212" t="s">
        <v>23</v>
      </c>
      <c r="E1212" t="s">
        <v>24</v>
      </c>
      <c r="F1212" t="s">
        <v>2159</v>
      </c>
      <c r="G1212">
        <v>1572866</v>
      </c>
      <c r="H1212" t="s">
        <v>139</v>
      </c>
      <c r="I1212" t="s">
        <v>79</v>
      </c>
      <c r="J1212" t="str">
        <f>"9780814708774"</f>
        <v>9780814708774</v>
      </c>
      <c r="K1212" t="s">
        <v>2160</v>
      </c>
      <c r="L1212">
        <v>17</v>
      </c>
      <c r="O1212" t="s">
        <v>30</v>
      </c>
      <c r="P1212" t="s">
        <v>50</v>
      </c>
      <c r="S1212" t="s">
        <v>31</v>
      </c>
      <c r="T1212" t="s">
        <v>2161</v>
      </c>
      <c r="U1212" t="s">
        <v>2162</v>
      </c>
      <c r="V1212" s="3">
        <v>41642</v>
      </c>
    </row>
    <row r="1213" spans="1:22" x14ac:dyDescent="0.35">
      <c r="A1213" s="1">
        <v>42377.122546296298</v>
      </c>
      <c r="B1213" s="2">
        <v>3.9351851851851857E-3</v>
      </c>
      <c r="C1213" t="s">
        <v>2163</v>
      </c>
      <c r="D1213" t="s">
        <v>23</v>
      </c>
      <c r="E1213" t="s">
        <v>24</v>
      </c>
      <c r="F1213" t="s">
        <v>2074</v>
      </c>
      <c r="G1213">
        <v>1779318</v>
      </c>
      <c r="H1213" t="s">
        <v>26</v>
      </c>
      <c r="I1213" t="s">
        <v>276</v>
      </c>
      <c r="J1213" t="str">
        <f>"9781118968093"</f>
        <v>9781118968093</v>
      </c>
      <c r="K1213" t="s">
        <v>2164</v>
      </c>
      <c r="L1213">
        <v>23</v>
      </c>
      <c r="O1213" t="s">
        <v>30</v>
      </c>
      <c r="P1213" t="s">
        <v>47</v>
      </c>
      <c r="Q1213" s="1">
        <v>42377.122546296298</v>
      </c>
      <c r="R1213">
        <v>1</v>
      </c>
      <c r="S1213" t="s">
        <v>31</v>
      </c>
      <c r="T1213" t="s">
        <v>2076</v>
      </c>
      <c r="U1213">
        <v>4.0229999999999997</v>
      </c>
      <c r="V1213" s="3">
        <v>41884</v>
      </c>
    </row>
    <row r="1214" spans="1:22" x14ac:dyDescent="0.35">
      <c r="A1214" s="1">
        <v>42377.118888888886</v>
      </c>
      <c r="B1214" s="2">
        <v>3.6574074074074074E-3</v>
      </c>
      <c r="C1214" t="s">
        <v>2163</v>
      </c>
      <c r="D1214" t="s">
        <v>23</v>
      </c>
      <c r="E1214" t="s">
        <v>24</v>
      </c>
      <c r="F1214" t="s">
        <v>2074</v>
      </c>
      <c r="G1214">
        <v>1779318</v>
      </c>
      <c r="H1214" t="s">
        <v>26</v>
      </c>
      <c r="I1214" t="s">
        <v>276</v>
      </c>
      <c r="J1214" t="str">
        <f>"9781118968093"</f>
        <v>9781118968093</v>
      </c>
      <c r="K1214" t="s">
        <v>2165</v>
      </c>
      <c r="L1214">
        <v>19</v>
      </c>
      <c r="O1214" t="s">
        <v>30</v>
      </c>
      <c r="P1214" t="s">
        <v>50</v>
      </c>
      <c r="S1214" t="s">
        <v>31</v>
      </c>
      <c r="T1214" t="s">
        <v>2076</v>
      </c>
      <c r="U1214">
        <v>4.0229999999999997</v>
      </c>
      <c r="V1214" s="3">
        <v>41884</v>
      </c>
    </row>
    <row r="1215" spans="1:22" x14ac:dyDescent="0.35">
      <c r="A1215" s="1">
        <v>42377.07644675926</v>
      </c>
      <c r="B1215" s="2">
        <v>7.5081018518518519E-2</v>
      </c>
      <c r="C1215" t="s">
        <v>1595</v>
      </c>
      <c r="D1215" t="s">
        <v>23</v>
      </c>
      <c r="E1215" t="s">
        <v>24</v>
      </c>
      <c r="F1215" t="s">
        <v>1993</v>
      </c>
      <c r="G1215">
        <v>1358564</v>
      </c>
      <c r="H1215" t="s">
        <v>26</v>
      </c>
      <c r="I1215" t="s">
        <v>841</v>
      </c>
      <c r="J1215" t="str">
        <f>"9781118646267"</f>
        <v>9781118646267</v>
      </c>
      <c r="K1215" t="s">
        <v>2166</v>
      </c>
      <c r="L1215">
        <v>61</v>
      </c>
      <c r="O1215" t="s">
        <v>30</v>
      </c>
      <c r="P1215" t="s">
        <v>29</v>
      </c>
      <c r="Q1215" s="1">
        <v>42377.07644675926</v>
      </c>
      <c r="R1215">
        <v>7</v>
      </c>
      <c r="S1215" t="s">
        <v>31</v>
      </c>
      <c r="T1215" t="s">
        <v>1995</v>
      </c>
      <c r="U1215">
        <v>355.00760000000002</v>
      </c>
      <c r="V1215" s="3">
        <v>41487</v>
      </c>
    </row>
    <row r="1216" spans="1:22" x14ac:dyDescent="0.35">
      <c r="A1216" s="1">
        <v>42377.075231481482</v>
      </c>
      <c r="B1216" s="2">
        <v>1.1099537037037038E-2</v>
      </c>
      <c r="C1216" t="s">
        <v>1653</v>
      </c>
      <c r="D1216" t="s">
        <v>35</v>
      </c>
      <c r="E1216" t="s">
        <v>36</v>
      </c>
      <c r="F1216" t="s">
        <v>327</v>
      </c>
      <c r="G1216">
        <v>1691426</v>
      </c>
      <c r="H1216" t="s">
        <v>26</v>
      </c>
      <c r="I1216" t="s">
        <v>328</v>
      </c>
      <c r="J1216" t="str">
        <f>"9781118839492"</f>
        <v>9781118839492</v>
      </c>
      <c r="K1216" t="s">
        <v>2167</v>
      </c>
      <c r="L1216">
        <v>48</v>
      </c>
      <c r="O1216" t="s">
        <v>30</v>
      </c>
      <c r="P1216" t="s">
        <v>29</v>
      </c>
      <c r="Q1216" s="1">
        <v>42377.075231481482</v>
      </c>
      <c r="R1216">
        <v>7</v>
      </c>
      <c r="S1216" t="s">
        <v>40</v>
      </c>
      <c r="T1216" t="s">
        <v>331</v>
      </c>
      <c r="U1216">
        <v>613.70460000000003</v>
      </c>
      <c r="V1216" s="3">
        <v>41772</v>
      </c>
    </row>
    <row r="1217" spans="1:22" x14ac:dyDescent="0.35">
      <c r="A1217" s="1">
        <v>42377.070972222224</v>
      </c>
      <c r="B1217" s="2">
        <v>5.4745370370370373E-3</v>
      </c>
      <c r="C1217" t="s">
        <v>1595</v>
      </c>
      <c r="D1217" t="s">
        <v>23</v>
      </c>
      <c r="E1217" t="s">
        <v>24</v>
      </c>
      <c r="F1217" t="s">
        <v>1993</v>
      </c>
      <c r="G1217">
        <v>1358564</v>
      </c>
      <c r="H1217" t="s">
        <v>26</v>
      </c>
      <c r="I1217" t="s">
        <v>841</v>
      </c>
      <c r="J1217" t="str">
        <f>"9781118646267"</f>
        <v>9781118646267</v>
      </c>
      <c r="K1217" t="s">
        <v>2168</v>
      </c>
      <c r="L1217">
        <v>9</v>
      </c>
      <c r="O1217" t="s">
        <v>30</v>
      </c>
      <c r="P1217" t="s">
        <v>42</v>
      </c>
      <c r="S1217" t="s">
        <v>31</v>
      </c>
      <c r="T1217" t="s">
        <v>1995</v>
      </c>
      <c r="U1217">
        <v>355.00760000000002</v>
      </c>
      <c r="V1217" s="3">
        <v>41487</v>
      </c>
    </row>
    <row r="1218" spans="1:22" x14ac:dyDescent="0.35">
      <c r="A1218" s="1">
        <v>42377.066620370373</v>
      </c>
      <c r="B1218" s="2">
        <v>8.611111111111111E-3</v>
      </c>
      <c r="C1218" t="s">
        <v>1653</v>
      </c>
      <c r="D1218" t="s">
        <v>35</v>
      </c>
      <c r="E1218" t="s">
        <v>36</v>
      </c>
      <c r="F1218" t="s">
        <v>327</v>
      </c>
      <c r="G1218">
        <v>1691426</v>
      </c>
      <c r="H1218" t="s">
        <v>26</v>
      </c>
      <c r="I1218" t="s">
        <v>328</v>
      </c>
      <c r="J1218" t="str">
        <f>"9781118839492"</f>
        <v>9781118839492</v>
      </c>
      <c r="K1218" t="s">
        <v>2169</v>
      </c>
      <c r="L1218">
        <v>32</v>
      </c>
      <c r="O1218" t="s">
        <v>30</v>
      </c>
      <c r="P1218" t="s">
        <v>42</v>
      </c>
      <c r="S1218" t="s">
        <v>40</v>
      </c>
      <c r="T1218" t="s">
        <v>331</v>
      </c>
      <c r="U1218">
        <v>613.70460000000003</v>
      </c>
      <c r="V1218" s="3">
        <v>41772</v>
      </c>
    </row>
    <row r="1219" spans="1:22" x14ac:dyDescent="0.35">
      <c r="A1219" s="1">
        <v>42377.045474537037</v>
      </c>
      <c r="B1219" s="2">
        <v>1.2847222222222223E-3</v>
      </c>
      <c r="C1219" t="s">
        <v>2170</v>
      </c>
      <c r="D1219" t="s">
        <v>23</v>
      </c>
      <c r="E1219" t="s">
        <v>24</v>
      </c>
      <c r="F1219" t="s">
        <v>2171</v>
      </c>
      <c r="G1219">
        <v>3571162</v>
      </c>
      <c r="H1219" t="s">
        <v>613</v>
      </c>
      <c r="I1219" t="s">
        <v>310</v>
      </c>
      <c r="J1219" t="str">
        <f>"9781469625065"</f>
        <v>9781469625065</v>
      </c>
      <c r="K1219" t="s">
        <v>684</v>
      </c>
      <c r="L1219">
        <v>5</v>
      </c>
      <c r="O1219" t="s">
        <v>30</v>
      </c>
      <c r="P1219" t="s">
        <v>47</v>
      </c>
      <c r="Q1219" s="1">
        <v>42377.045474537037</v>
      </c>
      <c r="R1219">
        <v>1</v>
      </c>
      <c r="S1219" t="s">
        <v>31</v>
      </c>
      <c r="T1219" t="s">
        <v>2172</v>
      </c>
      <c r="U1219" t="s">
        <v>2173</v>
      </c>
      <c r="V1219" s="3">
        <v>42248</v>
      </c>
    </row>
    <row r="1220" spans="1:22" x14ac:dyDescent="0.35">
      <c r="A1220" s="1">
        <v>42377.041168981479</v>
      </c>
      <c r="B1220" s="2">
        <v>4.3055555555555555E-3</v>
      </c>
      <c r="C1220" t="s">
        <v>2170</v>
      </c>
      <c r="D1220" t="s">
        <v>23</v>
      </c>
      <c r="E1220" t="s">
        <v>24</v>
      </c>
      <c r="F1220" t="s">
        <v>2171</v>
      </c>
      <c r="G1220">
        <v>3571162</v>
      </c>
      <c r="H1220" t="s">
        <v>613</v>
      </c>
      <c r="I1220" t="s">
        <v>310</v>
      </c>
      <c r="J1220" t="str">
        <f>"9781469625065"</f>
        <v>9781469625065</v>
      </c>
      <c r="K1220" t="s">
        <v>2174</v>
      </c>
      <c r="L1220">
        <v>10</v>
      </c>
      <c r="O1220" t="s">
        <v>30</v>
      </c>
      <c r="P1220" t="s">
        <v>50</v>
      </c>
      <c r="S1220" t="s">
        <v>31</v>
      </c>
      <c r="T1220" t="s">
        <v>2172</v>
      </c>
      <c r="U1220" t="s">
        <v>2173</v>
      </c>
      <c r="V1220" s="3">
        <v>42248</v>
      </c>
    </row>
    <row r="1221" spans="1:22" x14ac:dyDescent="0.35">
      <c r="A1221" s="1">
        <v>42377.019988425927</v>
      </c>
      <c r="B1221" s="2">
        <v>1.0763888888888891E-2</v>
      </c>
      <c r="C1221" t="s">
        <v>2062</v>
      </c>
      <c r="D1221" t="s">
        <v>23</v>
      </c>
      <c r="E1221" t="s">
        <v>24</v>
      </c>
      <c r="F1221" t="s">
        <v>2063</v>
      </c>
      <c r="G1221">
        <v>1691999</v>
      </c>
      <c r="H1221" t="s">
        <v>26</v>
      </c>
      <c r="I1221" t="s">
        <v>2064</v>
      </c>
      <c r="J1221" t="str">
        <f>"9781118910061"</f>
        <v>9781118910061</v>
      </c>
      <c r="K1221" t="s">
        <v>2175</v>
      </c>
      <c r="L1221">
        <v>10</v>
      </c>
      <c r="M1221" t="s">
        <v>258</v>
      </c>
      <c r="O1221" t="s">
        <v>30</v>
      </c>
      <c r="P1221" t="s">
        <v>47</v>
      </c>
      <c r="Q1221" s="1">
        <v>42377.019988425927</v>
      </c>
      <c r="R1221">
        <v>1</v>
      </c>
      <c r="S1221" t="s">
        <v>31</v>
      </c>
      <c r="T1221" t="s">
        <v>2066</v>
      </c>
      <c r="U1221">
        <v>620.00109999999995</v>
      </c>
      <c r="V1221" s="3">
        <v>41775</v>
      </c>
    </row>
    <row r="1222" spans="1:22" x14ac:dyDescent="0.35">
      <c r="A1222" s="1">
        <v>42377.016458333332</v>
      </c>
      <c r="B1222" s="2">
        <v>3.530092592592592E-3</v>
      </c>
      <c r="C1222" t="s">
        <v>2062</v>
      </c>
      <c r="D1222" t="s">
        <v>23</v>
      </c>
      <c r="E1222" t="s">
        <v>24</v>
      </c>
      <c r="F1222" t="s">
        <v>2063</v>
      </c>
      <c r="G1222">
        <v>1691999</v>
      </c>
      <c r="H1222" t="s">
        <v>26</v>
      </c>
      <c r="I1222" t="s">
        <v>2064</v>
      </c>
      <c r="J1222" t="str">
        <f>"9781118910061"</f>
        <v>9781118910061</v>
      </c>
      <c r="K1222" t="s">
        <v>845</v>
      </c>
      <c r="L1222">
        <v>33</v>
      </c>
      <c r="O1222" t="s">
        <v>30</v>
      </c>
      <c r="P1222" t="s">
        <v>50</v>
      </c>
      <c r="S1222" t="s">
        <v>31</v>
      </c>
      <c r="T1222" t="s">
        <v>2066</v>
      </c>
      <c r="U1222">
        <v>620.00109999999995</v>
      </c>
      <c r="V1222" s="3">
        <v>41775</v>
      </c>
    </row>
    <row r="1223" spans="1:22" x14ac:dyDescent="0.35">
      <c r="A1223" s="1">
        <v>42376.978148148148</v>
      </c>
      <c r="B1223" s="2">
        <v>8.564814814814815E-4</v>
      </c>
      <c r="C1223" t="s">
        <v>1626</v>
      </c>
      <c r="D1223" t="s">
        <v>35</v>
      </c>
      <c r="E1223" t="s">
        <v>36</v>
      </c>
      <c r="F1223" t="s">
        <v>2176</v>
      </c>
      <c r="G1223">
        <v>4034187</v>
      </c>
      <c r="H1223" t="s">
        <v>26</v>
      </c>
      <c r="I1223" t="s">
        <v>310</v>
      </c>
      <c r="J1223" t="str">
        <f>"9781118325773"</f>
        <v>9781118325773</v>
      </c>
      <c r="K1223" t="s">
        <v>2177</v>
      </c>
      <c r="L1223">
        <v>24</v>
      </c>
      <c r="O1223" t="s">
        <v>30</v>
      </c>
      <c r="P1223" t="s">
        <v>50</v>
      </c>
      <c r="S1223" t="s">
        <v>40</v>
      </c>
      <c r="U1223">
        <v>808.04200000000003</v>
      </c>
      <c r="V1223" s="3">
        <v>41351</v>
      </c>
    </row>
    <row r="1224" spans="1:22" x14ac:dyDescent="0.35">
      <c r="A1224" s="1">
        <v>42376.977199074077</v>
      </c>
      <c r="B1224" s="2">
        <v>4.6296296296296293E-4</v>
      </c>
      <c r="C1224" t="s">
        <v>1626</v>
      </c>
      <c r="D1224" t="s">
        <v>35</v>
      </c>
      <c r="E1224" t="s">
        <v>36</v>
      </c>
      <c r="F1224" t="s">
        <v>2178</v>
      </c>
      <c r="G1224">
        <v>1784598</v>
      </c>
      <c r="H1224" t="s">
        <v>26</v>
      </c>
      <c r="I1224" t="s">
        <v>310</v>
      </c>
      <c r="J1224" t="str">
        <f>"9781118921074"</f>
        <v>9781118921074</v>
      </c>
      <c r="K1224" t="s">
        <v>2179</v>
      </c>
      <c r="L1224">
        <v>9</v>
      </c>
      <c r="O1224" t="s">
        <v>30</v>
      </c>
      <c r="P1224" t="s">
        <v>50</v>
      </c>
      <c r="S1224" t="s">
        <v>40</v>
      </c>
      <c r="T1224" t="s">
        <v>2180</v>
      </c>
      <c r="U1224">
        <v>808.02</v>
      </c>
      <c r="V1224" s="3">
        <v>41893</v>
      </c>
    </row>
    <row r="1225" spans="1:22" x14ac:dyDescent="0.35">
      <c r="A1225" s="1">
        <v>42376.975243055553</v>
      </c>
      <c r="B1225" s="2">
        <v>3.1134259259259257E-3</v>
      </c>
      <c r="C1225" t="s">
        <v>2181</v>
      </c>
      <c r="D1225" t="s">
        <v>23</v>
      </c>
      <c r="E1225" t="s">
        <v>24</v>
      </c>
      <c r="F1225" t="s">
        <v>2182</v>
      </c>
      <c r="G1225">
        <v>2095573</v>
      </c>
      <c r="H1225" t="s">
        <v>45</v>
      </c>
      <c r="I1225" t="s">
        <v>338</v>
      </c>
      <c r="J1225" t="str">
        <f>"9781472416209"</f>
        <v>9781472416209</v>
      </c>
      <c r="K1225" t="s">
        <v>2183</v>
      </c>
      <c r="L1225">
        <v>24</v>
      </c>
      <c r="O1225" t="s">
        <v>30</v>
      </c>
      <c r="P1225" t="s">
        <v>47</v>
      </c>
      <c r="Q1225" s="1">
        <v>42376.975243055553</v>
      </c>
      <c r="R1225">
        <v>1</v>
      </c>
      <c r="S1225" t="s">
        <v>31</v>
      </c>
      <c r="T1225" t="s">
        <v>2184</v>
      </c>
      <c r="U1225" t="s">
        <v>2185</v>
      </c>
      <c r="V1225" s="3">
        <v>42275</v>
      </c>
    </row>
    <row r="1226" spans="1:22" x14ac:dyDescent="0.35">
      <c r="A1226" s="1">
        <v>42376.970972222225</v>
      </c>
      <c r="B1226" s="2">
        <v>4.2708333333333339E-3</v>
      </c>
      <c r="C1226" t="s">
        <v>2181</v>
      </c>
      <c r="D1226" t="s">
        <v>23</v>
      </c>
      <c r="E1226" t="s">
        <v>24</v>
      </c>
      <c r="F1226" t="s">
        <v>2182</v>
      </c>
      <c r="G1226">
        <v>2095573</v>
      </c>
      <c r="H1226" t="s">
        <v>45</v>
      </c>
      <c r="I1226" t="s">
        <v>338</v>
      </c>
      <c r="J1226" t="str">
        <f>"9781472416209"</f>
        <v>9781472416209</v>
      </c>
      <c r="K1226" t="s">
        <v>463</v>
      </c>
      <c r="L1226">
        <v>9</v>
      </c>
      <c r="O1226" t="s">
        <v>30</v>
      </c>
      <c r="P1226" t="s">
        <v>50</v>
      </c>
      <c r="S1226" t="s">
        <v>31</v>
      </c>
      <c r="T1226" t="s">
        <v>2184</v>
      </c>
      <c r="U1226" t="s">
        <v>2185</v>
      </c>
      <c r="V1226" s="3">
        <v>42275</v>
      </c>
    </row>
    <row r="1227" spans="1:22" x14ac:dyDescent="0.35">
      <c r="A1227" s="1">
        <v>42376.961412037039</v>
      </c>
      <c r="B1227" s="2">
        <v>6.2500000000000001E-4</v>
      </c>
      <c r="C1227" t="s">
        <v>2186</v>
      </c>
      <c r="D1227" t="s">
        <v>23</v>
      </c>
      <c r="E1227" t="s">
        <v>24</v>
      </c>
      <c r="F1227" t="s">
        <v>223</v>
      </c>
      <c r="G1227">
        <v>1895140</v>
      </c>
      <c r="H1227" t="s">
        <v>26</v>
      </c>
      <c r="I1227" t="s">
        <v>69</v>
      </c>
      <c r="J1227" t="str">
        <f>"9781118911488"</f>
        <v>9781118911488</v>
      </c>
      <c r="K1227" t="s">
        <v>2187</v>
      </c>
      <c r="L1227">
        <v>19</v>
      </c>
      <c r="O1227" t="s">
        <v>30</v>
      </c>
      <c r="P1227" t="s">
        <v>47</v>
      </c>
      <c r="Q1227" s="1">
        <v>42376.961412037039</v>
      </c>
      <c r="R1227">
        <v>1</v>
      </c>
      <c r="S1227" t="s">
        <v>31</v>
      </c>
      <c r="T1227" t="s">
        <v>225</v>
      </c>
      <c r="U1227">
        <v>378.1662</v>
      </c>
      <c r="V1227" s="3">
        <v>42086</v>
      </c>
    </row>
    <row r="1228" spans="1:22" x14ac:dyDescent="0.35">
      <c r="A1228" s="1">
        <v>42376.957349537035</v>
      </c>
      <c r="B1228" s="2">
        <v>4.0624999999999993E-3</v>
      </c>
      <c r="C1228" t="s">
        <v>2186</v>
      </c>
      <c r="D1228" t="s">
        <v>23</v>
      </c>
      <c r="E1228" t="s">
        <v>24</v>
      </c>
      <c r="F1228" t="s">
        <v>223</v>
      </c>
      <c r="G1228">
        <v>1895140</v>
      </c>
      <c r="H1228" t="s">
        <v>26</v>
      </c>
      <c r="I1228" t="s">
        <v>69</v>
      </c>
      <c r="J1228" t="str">
        <f>"9781118911488"</f>
        <v>9781118911488</v>
      </c>
      <c r="K1228" t="s">
        <v>2188</v>
      </c>
      <c r="L1228">
        <v>8</v>
      </c>
      <c r="O1228" t="s">
        <v>30</v>
      </c>
      <c r="P1228" t="s">
        <v>50</v>
      </c>
      <c r="S1228" t="s">
        <v>31</v>
      </c>
      <c r="T1228" t="s">
        <v>225</v>
      </c>
      <c r="U1228">
        <v>378.1662</v>
      </c>
      <c r="V1228" s="3">
        <v>42086</v>
      </c>
    </row>
    <row r="1229" spans="1:22" x14ac:dyDescent="0.35">
      <c r="A1229" s="1">
        <v>42376.940567129626</v>
      </c>
      <c r="B1229" s="2">
        <v>5.019675925925926E-2</v>
      </c>
      <c r="C1229" t="s">
        <v>1954</v>
      </c>
      <c r="D1229" t="s">
        <v>35</v>
      </c>
      <c r="E1229" t="s">
        <v>36</v>
      </c>
      <c r="F1229" t="s">
        <v>327</v>
      </c>
      <c r="G1229">
        <v>1691426</v>
      </c>
      <c r="H1229" t="s">
        <v>26</v>
      </c>
      <c r="I1229" t="s">
        <v>328</v>
      </c>
      <c r="J1229" t="str">
        <f>"9781118839492"</f>
        <v>9781118839492</v>
      </c>
      <c r="K1229" t="s">
        <v>2189</v>
      </c>
      <c r="L1229">
        <v>35</v>
      </c>
      <c r="O1229" t="s">
        <v>30</v>
      </c>
      <c r="P1229" t="s">
        <v>29</v>
      </c>
      <c r="Q1229" s="1">
        <v>42376.930358796293</v>
      </c>
      <c r="R1229">
        <v>7</v>
      </c>
      <c r="S1229" t="s">
        <v>40</v>
      </c>
      <c r="T1229" t="s">
        <v>331</v>
      </c>
      <c r="U1229">
        <v>613.70460000000003</v>
      </c>
      <c r="V1229" s="3">
        <v>41772</v>
      </c>
    </row>
    <row r="1230" spans="1:22" x14ac:dyDescent="0.35">
      <c r="A1230" s="1">
        <v>42376.936400462961</v>
      </c>
      <c r="B1230" s="2">
        <v>2.5115740740740741E-3</v>
      </c>
      <c r="C1230" t="s">
        <v>2190</v>
      </c>
      <c r="D1230" t="s">
        <v>23</v>
      </c>
      <c r="E1230" t="s">
        <v>24</v>
      </c>
      <c r="F1230" t="s">
        <v>2191</v>
      </c>
      <c r="G1230">
        <v>1691133</v>
      </c>
      <c r="H1230" t="s">
        <v>91</v>
      </c>
      <c r="I1230" t="s">
        <v>247</v>
      </c>
      <c r="J1230" t="str">
        <f>"9781462516278"</f>
        <v>9781462516278</v>
      </c>
      <c r="K1230" t="s">
        <v>2192</v>
      </c>
      <c r="L1230">
        <v>21</v>
      </c>
      <c r="N1230" t="s">
        <v>2193</v>
      </c>
      <c r="O1230" t="s">
        <v>28</v>
      </c>
      <c r="P1230" t="s">
        <v>29</v>
      </c>
      <c r="Q1230" s="1">
        <v>42375.905451388891</v>
      </c>
      <c r="R1230">
        <v>7</v>
      </c>
      <c r="S1230" t="s">
        <v>31</v>
      </c>
      <c r="T1230" t="s">
        <v>2194</v>
      </c>
      <c r="U1230" t="s">
        <v>2195</v>
      </c>
      <c r="V1230" s="3">
        <v>41774</v>
      </c>
    </row>
    <row r="1231" spans="1:22" x14ac:dyDescent="0.35">
      <c r="A1231" s="1">
        <v>42376.930983796294</v>
      </c>
      <c r="B1231" s="2">
        <v>5.0810185185185186E-3</v>
      </c>
      <c r="C1231" t="s">
        <v>2190</v>
      </c>
      <c r="D1231" t="s">
        <v>23</v>
      </c>
      <c r="E1231" t="s">
        <v>24</v>
      </c>
      <c r="F1231" t="s">
        <v>2191</v>
      </c>
      <c r="G1231">
        <v>1691133</v>
      </c>
      <c r="H1231" t="s">
        <v>91</v>
      </c>
      <c r="I1231" t="s">
        <v>247</v>
      </c>
      <c r="J1231" t="str">
        <f>"9781462516278"</f>
        <v>9781462516278</v>
      </c>
      <c r="K1231" t="s">
        <v>2196</v>
      </c>
      <c r="L1231">
        <v>42</v>
      </c>
      <c r="O1231" t="s">
        <v>30</v>
      </c>
      <c r="P1231" t="s">
        <v>29</v>
      </c>
      <c r="Q1231" s="1">
        <v>42375.905451388891</v>
      </c>
      <c r="R1231">
        <v>7</v>
      </c>
      <c r="S1231" t="s">
        <v>31</v>
      </c>
      <c r="T1231" t="s">
        <v>2194</v>
      </c>
      <c r="U1231" t="s">
        <v>2195</v>
      </c>
      <c r="V1231" s="3">
        <v>41774</v>
      </c>
    </row>
    <row r="1232" spans="1:22" x14ac:dyDescent="0.35">
      <c r="A1232" s="1">
        <v>42376.930358796293</v>
      </c>
      <c r="B1232" s="2">
        <v>5.2662037037037035E-3</v>
      </c>
      <c r="C1232" t="s">
        <v>1954</v>
      </c>
      <c r="D1232" t="s">
        <v>35</v>
      </c>
      <c r="E1232" t="s">
        <v>36</v>
      </c>
      <c r="F1232" t="s">
        <v>327</v>
      </c>
      <c r="G1232">
        <v>1691426</v>
      </c>
      <c r="H1232" t="s">
        <v>26</v>
      </c>
      <c r="I1232" t="s">
        <v>328</v>
      </c>
      <c r="J1232" t="str">
        <f>"9781118839492"</f>
        <v>9781118839492</v>
      </c>
      <c r="K1232" t="s">
        <v>2197</v>
      </c>
      <c r="L1232">
        <v>13</v>
      </c>
      <c r="O1232" t="s">
        <v>30</v>
      </c>
      <c r="P1232" t="s">
        <v>29</v>
      </c>
      <c r="Q1232" s="1">
        <v>42376.930358796293</v>
      </c>
      <c r="R1232">
        <v>7</v>
      </c>
      <c r="S1232" t="s">
        <v>40</v>
      </c>
      <c r="T1232" t="s">
        <v>331</v>
      </c>
      <c r="U1232">
        <v>613.70460000000003</v>
      </c>
      <c r="V1232" s="3">
        <v>41772</v>
      </c>
    </row>
    <row r="1233" spans="1:22" x14ac:dyDescent="0.35">
      <c r="A1233" s="1">
        <v>42376.903321759259</v>
      </c>
      <c r="B1233" s="2">
        <v>2.7025462962962959E-2</v>
      </c>
      <c r="C1233" t="s">
        <v>1954</v>
      </c>
      <c r="D1233" t="s">
        <v>35</v>
      </c>
      <c r="E1233" t="s">
        <v>36</v>
      </c>
      <c r="F1233" t="s">
        <v>327</v>
      </c>
      <c r="G1233">
        <v>1691426</v>
      </c>
      <c r="H1233" t="s">
        <v>26</v>
      </c>
      <c r="I1233" t="s">
        <v>328</v>
      </c>
      <c r="J1233" t="str">
        <f>"9781118839492"</f>
        <v>9781118839492</v>
      </c>
      <c r="K1233" t="s">
        <v>2198</v>
      </c>
      <c r="L1233">
        <v>10</v>
      </c>
      <c r="O1233" t="s">
        <v>30</v>
      </c>
      <c r="P1233" t="s">
        <v>42</v>
      </c>
      <c r="S1233" t="s">
        <v>40</v>
      </c>
      <c r="T1233" t="s">
        <v>331</v>
      </c>
      <c r="U1233">
        <v>613.70460000000003</v>
      </c>
      <c r="V1233" s="3">
        <v>41772</v>
      </c>
    </row>
    <row r="1234" spans="1:22" x14ac:dyDescent="0.35">
      <c r="A1234" s="1">
        <v>42376.90116898148</v>
      </c>
      <c r="B1234" s="2">
        <v>2.7662037037037034E-3</v>
      </c>
      <c r="C1234" t="s">
        <v>2199</v>
      </c>
      <c r="D1234" t="s">
        <v>23</v>
      </c>
      <c r="E1234" t="s">
        <v>24</v>
      </c>
      <c r="F1234" t="s">
        <v>2200</v>
      </c>
      <c r="G1234">
        <v>1119449</v>
      </c>
      <c r="H1234" t="s">
        <v>26</v>
      </c>
      <c r="I1234" t="s">
        <v>219</v>
      </c>
      <c r="J1234" t="str">
        <f>"9781118482230"</f>
        <v>9781118482230</v>
      </c>
      <c r="K1234" t="s">
        <v>2201</v>
      </c>
      <c r="L1234">
        <v>28</v>
      </c>
      <c r="N1234" t="s">
        <v>2202</v>
      </c>
      <c r="O1234" t="s">
        <v>30</v>
      </c>
      <c r="P1234" t="s">
        <v>29</v>
      </c>
      <c r="Q1234" s="1">
        <v>42376.90116898148</v>
      </c>
      <c r="R1234">
        <v>7</v>
      </c>
      <c r="S1234" t="s">
        <v>31</v>
      </c>
      <c r="T1234" t="s">
        <v>2203</v>
      </c>
      <c r="U1234" t="s">
        <v>2204</v>
      </c>
      <c r="V1234" s="3">
        <v>41302</v>
      </c>
    </row>
    <row r="1235" spans="1:22" x14ac:dyDescent="0.35">
      <c r="A1235" s="1">
        <v>42376.900960648149</v>
      </c>
      <c r="B1235" s="2">
        <v>2.0833333333333335E-4</v>
      </c>
      <c r="C1235" t="s">
        <v>2199</v>
      </c>
      <c r="D1235" t="s">
        <v>23</v>
      </c>
      <c r="E1235" t="s">
        <v>24</v>
      </c>
      <c r="F1235" t="s">
        <v>2200</v>
      </c>
      <c r="G1235">
        <v>1119449</v>
      </c>
      <c r="H1235" t="s">
        <v>26</v>
      </c>
      <c r="I1235" t="s">
        <v>219</v>
      </c>
      <c r="J1235" t="str">
        <f>"9781118482230"</f>
        <v>9781118482230</v>
      </c>
      <c r="K1235" t="s">
        <v>2205</v>
      </c>
      <c r="L1235">
        <v>9</v>
      </c>
      <c r="O1235" t="s">
        <v>30</v>
      </c>
      <c r="P1235" t="s">
        <v>42</v>
      </c>
      <c r="S1235" t="s">
        <v>31</v>
      </c>
      <c r="T1235" t="s">
        <v>2203</v>
      </c>
      <c r="U1235" t="s">
        <v>2204</v>
      </c>
      <c r="V1235" s="3">
        <v>41302</v>
      </c>
    </row>
    <row r="1236" spans="1:22" x14ac:dyDescent="0.35">
      <c r="A1236" s="1">
        <v>42376.895428240743</v>
      </c>
      <c r="B1236" s="2">
        <v>5.5555555555555558E-3</v>
      </c>
      <c r="C1236" t="s">
        <v>2190</v>
      </c>
      <c r="D1236" t="s">
        <v>23</v>
      </c>
      <c r="E1236" t="s">
        <v>24</v>
      </c>
      <c r="F1236" t="s">
        <v>2191</v>
      </c>
      <c r="G1236">
        <v>1691133</v>
      </c>
      <c r="H1236" t="s">
        <v>91</v>
      </c>
      <c r="I1236" t="s">
        <v>247</v>
      </c>
      <c r="J1236" t="str">
        <f>"9781462516278"</f>
        <v>9781462516278</v>
      </c>
      <c r="K1236" t="s">
        <v>2206</v>
      </c>
      <c r="L1236">
        <v>42</v>
      </c>
      <c r="O1236" t="s">
        <v>30</v>
      </c>
      <c r="P1236" t="s">
        <v>29</v>
      </c>
      <c r="Q1236" s="1">
        <v>42375.905451388891</v>
      </c>
      <c r="R1236">
        <v>7</v>
      </c>
      <c r="S1236" t="s">
        <v>31</v>
      </c>
      <c r="T1236" t="s">
        <v>2194</v>
      </c>
      <c r="U1236" t="s">
        <v>2195</v>
      </c>
      <c r="V1236" s="3">
        <v>41774</v>
      </c>
    </row>
    <row r="1237" spans="1:22" x14ac:dyDescent="0.35">
      <c r="A1237" s="1">
        <v>42376.862002314818</v>
      </c>
      <c r="B1237" s="2">
        <v>4.1666666666666669E-4</v>
      </c>
      <c r="C1237" t="s">
        <v>106</v>
      </c>
      <c r="D1237" t="s">
        <v>23</v>
      </c>
      <c r="E1237" t="s">
        <v>24</v>
      </c>
      <c r="F1237" t="s">
        <v>2207</v>
      </c>
      <c r="G1237">
        <v>827065</v>
      </c>
      <c r="H1237" t="s">
        <v>26</v>
      </c>
      <c r="I1237" t="s">
        <v>310</v>
      </c>
      <c r="J1237" t="str">
        <f>"9781118306291"</f>
        <v>9781118306291</v>
      </c>
      <c r="K1237" t="s">
        <v>2208</v>
      </c>
      <c r="L1237">
        <v>26</v>
      </c>
      <c r="O1237" t="s">
        <v>30</v>
      </c>
      <c r="P1237" t="s">
        <v>42</v>
      </c>
      <c r="S1237" t="s">
        <v>31</v>
      </c>
      <c r="T1237" t="s">
        <v>2209</v>
      </c>
      <c r="U1237" t="s">
        <v>2210</v>
      </c>
      <c r="V1237" s="3">
        <v>40877</v>
      </c>
    </row>
    <row r="1238" spans="1:22" x14ac:dyDescent="0.35">
      <c r="A1238" s="1">
        <v>42376.857361111113</v>
      </c>
      <c r="B1238" s="2">
        <v>3.1168981481481482E-2</v>
      </c>
      <c r="C1238" t="s">
        <v>2211</v>
      </c>
      <c r="D1238" t="s">
        <v>35</v>
      </c>
      <c r="E1238" t="s">
        <v>36</v>
      </c>
      <c r="F1238" t="s">
        <v>327</v>
      </c>
      <c r="G1238">
        <v>1691426</v>
      </c>
      <c r="H1238" t="s">
        <v>26</v>
      </c>
      <c r="I1238" t="s">
        <v>328</v>
      </c>
      <c r="J1238" t="str">
        <f>"9781118839492"</f>
        <v>9781118839492</v>
      </c>
      <c r="K1238" t="s">
        <v>2212</v>
      </c>
      <c r="L1238">
        <v>6</v>
      </c>
      <c r="O1238" t="s">
        <v>30</v>
      </c>
      <c r="P1238" t="s">
        <v>29</v>
      </c>
      <c r="Q1238" s="1">
        <v>42376.857361111113</v>
      </c>
      <c r="R1238">
        <v>7</v>
      </c>
      <c r="S1238" t="s">
        <v>40</v>
      </c>
      <c r="T1238" t="s">
        <v>331</v>
      </c>
      <c r="U1238">
        <v>613.70460000000003</v>
      </c>
      <c r="V1238" s="3">
        <v>41772</v>
      </c>
    </row>
    <row r="1239" spans="1:22" x14ac:dyDescent="0.35">
      <c r="A1239" s="1">
        <v>42376.843148148146</v>
      </c>
      <c r="B1239" s="2">
        <v>1.4212962962962962E-2</v>
      </c>
      <c r="C1239" t="s">
        <v>2211</v>
      </c>
      <c r="D1239" t="s">
        <v>35</v>
      </c>
      <c r="E1239" t="s">
        <v>36</v>
      </c>
      <c r="F1239" t="s">
        <v>327</v>
      </c>
      <c r="G1239">
        <v>1691426</v>
      </c>
      <c r="H1239" t="s">
        <v>26</v>
      </c>
      <c r="I1239" t="s">
        <v>328</v>
      </c>
      <c r="J1239" t="str">
        <f>"9781118839492"</f>
        <v>9781118839492</v>
      </c>
      <c r="K1239" t="s">
        <v>2213</v>
      </c>
      <c r="L1239">
        <v>28</v>
      </c>
      <c r="O1239" t="s">
        <v>30</v>
      </c>
      <c r="P1239" t="s">
        <v>42</v>
      </c>
      <c r="S1239" t="s">
        <v>40</v>
      </c>
      <c r="T1239" t="s">
        <v>331</v>
      </c>
      <c r="U1239">
        <v>613.70460000000003</v>
      </c>
      <c r="V1239" s="3">
        <v>41772</v>
      </c>
    </row>
    <row r="1240" spans="1:22" x14ac:dyDescent="0.35">
      <c r="A1240" s="1">
        <v>42376.839421296296</v>
      </c>
      <c r="B1240" s="2">
        <v>3.5821759259259262E-2</v>
      </c>
      <c r="C1240" t="s">
        <v>988</v>
      </c>
      <c r="D1240" t="s">
        <v>23</v>
      </c>
      <c r="E1240" t="s">
        <v>24</v>
      </c>
      <c r="F1240" t="s">
        <v>989</v>
      </c>
      <c r="G1240">
        <v>330580</v>
      </c>
      <c r="H1240" t="s">
        <v>91</v>
      </c>
      <c r="I1240" t="s">
        <v>247</v>
      </c>
      <c r="J1240" t="str">
        <f>"9781593859398"</f>
        <v>9781593859398</v>
      </c>
      <c r="K1240" t="s">
        <v>2214</v>
      </c>
      <c r="L1240">
        <v>89</v>
      </c>
      <c r="O1240" t="s">
        <v>30</v>
      </c>
      <c r="P1240" t="s">
        <v>47</v>
      </c>
      <c r="Q1240" s="1">
        <v>42372.733819444446</v>
      </c>
      <c r="R1240">
        <v>7</v>
      </c>
      <c r="S1240" t="s">
        <v>31</v>
      </c>
      <c r="T1240" t="s">
        <v>991</v>
      </c>
      <c r="U1240">
        <v>616.89142000000004</v>
      </c>
      <c r="V1240" s="3">
        <v>41773</v>
      </c>
    </row>
    <row r="1241" spans="1:22" x14ac:dyDescent="0.35">
      <c r="A1241" s="1">
        <v>42376.813634259262</v>
      </c>
      <c r="B1241" s="2">
        <v>7.7314814814814815E-3</v>
      </c>
      <c r="C1241" t="s">
        <v>1755</v>
      </c>
      <c r="D1241" t="s">
        <v>35</v>
      </c>
      <c r="E1241" t="s">
        <v>36</v>
      </c>
      <c r="F1241" t="s">
        <v>327</v>
      </c>
      <c r="G1241">
        <v>1691426</v>
      </c>
      <c r="H1241" t="s">
        <v>26</v>
      </c>
      <c r="I1241" t="s">
        <v>328</v>
      </c>
      <c r="J1241" t="str">
        <f>"9781118839492"</f>
        <v>9781118839492</v>
      </c>
      <c r="K1241" t="s">
        <v>2215</v>
      </c>
      <c r="L1241">
        <v>9</v>
      </c>
      <c r="O1241" t="s">
        <v>30</v>
      </c>
      <c r="P1241" t="s">
        <v>29</v>
      </c>
      <c r="Q1241" s="1">
        <v>42373.999479166669</v>
      </c>
      <c r="R1241">
        <v>7</v>
      </c>
      <c r="S1241" t="s">
        <v>40</v>
      </c>
      <c r="T1241" t="s">
        <v>331</v>
      </c>
      <c r="U1241">
        <v>613.70460000000003</v>
      </c>
      <c r="V1241" s="3">
        <v>41772</v>
      </c>
    </row>
    <row r="1242" spans="1:22" x14ac:dyDescent="0.35">
      <c r="A1242" s="1">
        <v>42376.765856481485</v>
      </c>
      <c r="B1242" s="2">
        <v>8.449074074074075E-4</v>
      </c>
      <c r="C1242" t="s">
        <v>1799</v>
      </c>
      <c r="D1242" t="s">
        <v>23</v>
      </c>
      <c r="E1242" t="s">
        <v>24</v>
      </c>
      <c r="F1242" t="s">
        <v>83</v>
      </c>
      <c r="G1242">
        <v>1711065</v>
      </c>
      <c r="H1242" t="s">
        <v>84</v>
      </c>
      <c r="I1242" t="s">
        <v>85</v>
      </c>
      <c r="J1242" t="str">
        <f>"9780520959156"</f>
        <v>9780520959156</v>
      </c>
      <c r="K1242" t="s">
        <v>2216</v>
      </c>
      <c r="L1242">
        <v>19</v>
      </c>
      <c r="O1242" t="s">
        <v>30</v>
      </c>
      <c r="P1242" t="s">
        <v>42</v>
      </c>
      <c r="S1242" t="s">
        <v>31</v>
      </c>
      <c r="T1242" t="s">
        <v>87</v>
      </c>
      <c r="U1242" t="s">
        <v>88</v>
      </c>
      <c r="V1242" s="3">
        <v>41881</v>
      </c>
    </row>
    <row r="1243" spans="1:22" x14ac:dyDescent="0.35">
      <c r="A1243" s="1">
        <v>42376.758530092593</v>
      </c>
      <c r="B1243" s="2">
        <v>1.4305555555555557E-2</v>
      </c>
      <c r="C1243" t="s">
        <v>520</v>
      </c>
      <c r="D1243" t="s">
        <v>23</v>
      </c>
      <c r="E1243" t="s">
        <v>24</v>
      </c>
      <c r="F1243" t="s">
        <v>1579</v>
      </c>
      <c r="G1243">
        <v>1161538</v>
      </c>
      <c r="H1243" t="s">
        <v>26</v>
      </c>
      <c r="I1243" t="s">
        <v>108</v>
      </c>
      <c r="J1243" t="str">
        <f>"9781118521755"</f>
        <v>9781118521755</v>
      </c>
      <c r="K1243" t="s">
        <v>2217</v>
      </c>
      <c r="L1243">
        <v>45</v>
      </c>
      <c r="O1243" t="s">
        <v>30</v>
      </c>
      <c r="P1243" t="s">
        <v>29</v>
      </c>
      <c r="Q1243" s="1">
        <v>42374.561342592591</v>
      </c>
      <c r="R1243">
        <v>7</v>
      </c>
      <c r="S1243" t="s">
        <v>31</v>
      </c>
      <c r="T1243" t="s">
        <v>1581</v>
      </c>
      <c r="U1243">
        <v>332.63220000000001</v>
      </c>
      <c r="V1243" s="3">
        <v>41359</v>
      </c>
    </row>
    <row r="1244" spans="1:22" x14ac:dyDescent="0.35">
      <c r="A1244" s="1">
        <v>42376.732800925929</v>
      </c>
      <c r="B1244" s="2">
        <v>1.4930555555555556E-3</v>
      </c>
      <c r="C1244" t="s">
        <v>245</v>
      </c>
      <c r="D1244" t="s">
        <v>23</v>
      </c>
      <c r="E1244" t="s">
        <v>24</v>
      </c>
      <c r="F1244" t="s">
        <v>304</v>
      </c>
      <c r="G1244">
        <v>570368</v>
      </c>
      <c r="H1244" t="s">
        <v>91</v>
      </c>
      <c r="I1244" t="s">
        <v>247</v>
      </c>
      <c r="J1244" t="str">
        <f>"9781606238974"</f>
        <v>9781606238974</v>
      </c>
      <c r="K1244" t="s">
        <v>2218</v>
      </c>
      <c r="L1244">
        <v>24</v>
      </c>
      <c r="O1244" t="s">
        <v>30</v>
      </c>
      <c r="P1244" t="s">
        <v>50</v>
      </c>
      <c r="S1244" t="s">
        <v>31</v>
      </c>
      <c r="T1244" t="s">
        <v>306</v>
      </c>
      <c r="U1244">
        <v>616.00189999999998</v>
      </c>
      <c r="V1244" s="3">
        <v>41773</v>
      </c>
    </row>
    <row r="1245" spans="1:22" x14ac:dyDescent="0.35">
      <c r="A1245" s="1">
        <v>42376.717222222222</v>
      </c>
      <c r="B1245" s="2">
        <v>5.5625000000000001E-2</v>
      </c>
      <c r="C1245" t="s">
        <v>1893</v>
      </c>
      <c r="D1245" t="s">
        <v>35</v>
      </c>
      <c r="E1245" t="s">
        <v>36</v>
      </c>
      <c r="F1245" t="s">
        <v>327</v>
      </c>
      <c r="G1245">
        <v>1691426</v>
      </c>
      <c r="H1245" t="s">
        <v>26</v>
      </c>
      <c r="I1245" t="s">
        <v>328</v>
      </c>
      <c r="J1245" t="str">
        <f>"9781118839492"</f>
        <v>9781118839492</v>
      </c>
      <c r="K1245" t="s">
        <v>2219</v>
      </c>
      <c r="L1245">
        <v>26</v>
      </c>
      <c r="O1245" t="s">
        <v>28</v>
      </c>
      <c r="P1245" t="s">
        <v>29</v>
      </c>
      <c r="Q1245" s="1">
        <v>42374.871863425928</v>
      </c>
      <c r="R1245">
        <v>7</v>
      </c>
      <c r="S1245" t="s">
        <v>40</v>
      </c>
      <c r="T1245" t="s">
        <v>331</v>
      </c>
      <c r="U1245">
        <v>613.70460000000003</v>
      </c>
      <c r="V1245" s="3">
        <v>41772</v>
      </c>
    </row>
    <row r="1246" spans="1:22" x14ac:dyDescent="0.35">
      <c r="A1246" s="1">
        <v>42376.716956018521</v>
      </c>
      <c r="B1246" s="2">
        <v>6.9444444444444444E-5</v>
      </c>
      <c r="C1246" t="s">
        <v>1893</v>
      </c>
      <c r="D1246" t="s">
        <v>35</v>
      </c>
      <c r="E1246" t="s">
        <v>36</v>
      </c>
      <c r="F1246" t="s">
        <v>327</v>
      </c>
      <c r="G1246">
        <v>1691426</v>
      </c>
      <c r="H1246" t="s">
        <v>26</v>
      </c>
      <c r="I1246" t="s">
        <v>328</v>
      </c>
      <c r="J1246" t="str">
        <f>"9781118839492"</f>
        <v>9781118839492</v>
      </c>
      <c r="K1246" t="s">
        <v>33</v>
      </c>
      <c r="L1246">
        <v>3</v>
      </c>
      <c r="O1246" t="s">
        <v>30</v>
      </c>
      <c r="P1246" t="s">
        <v>29</v>
      </c>
      <c r="Q1246" s="1">
        <v>42374.871863425928</v>
      </c>
      <c r="R1246">
        <v>7</v>
      </c>
      <c r="S1246" t="s">
        <v>40</v>
      </c>
      <c r="T1246" t="s">
        <v>331</v>
      </c>
      <c r="U1246">
        <v>613.70460000000003</v>
      </c>
      <c r="V1246" s="3">
        <v>41772</v>
      </c>
    </row>
    <row r="1247" spans="1:22" x14ac:dyDescent="0.35">
      <c r="A1247" s="1">
        <v>42376.667928240742</v>
      </c>
      <c r="B1247" s="2">
        <v>9.2592592592592588E-5</v>
      </c>
      <c r="C1247" t="s">
        <v>1421</v>
      </c>
      <c r="D1247" t="s">
        <v>623</v>
      </c>
      <c r="E1247" t="s">
        <v>624</v>
      </c>
      <c r="F1247" t="s">
        <v>2220</v>
      </c>
      <c r="G1247">
        <v>1919320</v>
      </c>
      <c r="H1247" t="s">
        <v>26</v>
      </c>
      <c r="I1247" t="s">
        <v>2221</v>
      </c>
      <c r="J1247" t="str">
        <f>"9781118468265"</f>
        <v>9781118468265</v>
      </c>
      <c r="K1247" t="s">
        <v>2222</v>
      </c>
      <c r="L1247">
        <v>5</v>
      </c>
      <c r="O1247" t="s">
        <v>30</v>
      </c>
      <c r="P1247" t="s">
        <v>29</v>
      </c>
      <c r="Q1247" s="1">
        <v>42376.667928240742</v>
      </c>
      <c r="R1247">
        <v>7</v>
      </c>
      <c r="S1247" t="s">
        <v>627</v>
      </c>
      <c r="T1247" t="s">
        <v>2223</v>
      </c>
      <c r="U1247" t="s">
        <v>2224</v>
      </c>
      <c r="V1247" s="3">
        <v>42012</v>
      </c>
    </row>
    <row r="1248" spans="1:22" x14ac:dyDescent="0.35">
      <c r="A1248" s="1">
        <v>42376.664444444446</v>
      </c>
      <c r="B1248" s="2">
        <v>3.483796296296296E-3</v>
      </c>
      <c r="C1248" t="s">
        <v>1421</v>
      </c>
      <c r="D1248" t="s">
        <v>623</v>
      </c>
      <c r="E1248" t="s">
        <v>624</v>
      </c>
      <c r="F1248" t="s">
        <v>2220</v>
      </c>
      <c r="G1248">
        <v>1919320</v>
      </c>
      <c r="H1248" t="s">
        <v>26</v>
      </c>
      <c r="I1248" t="s">
        <v>2221</v>
      </c>
      <c r="J1248" t="str">
        <f>"9781118468265"</f>
        <v>9781118468265</v>
      </c>
      <c r="K1248" t="s">
        <v>2225</v>
      </c>
      <c r="L1248">
        <v>15</v>
      </c>
      <c r="O1248" t="s">
        <v>30</v>
      </c>
      <c r="P1248" t="s">
        <v>50</v>
      </c>
      <c r="S1248" t="s">
        <v>627</v>
      </c>
      <c r="T1248" t="s">
        <v>2223</v>
      </c>
      <c r="U1248" t="s">
        <v>2224</v>
      </c>
      <c r="V1248" s="3">
        <v>42012</v>
      </c>
    </row>
    <row r="1249" spans="1:22" x14ac:dyDescent="0.35">
      <c r="A1249" s="1">
        <v>42376.644791666666</v>
      </c>
      <c r="B1249" s="2">
        <v>3.4722222222222224E-4</v>
      </c>
      <c r="C1249" t="s">
        <v>2226</v>
      </c>
      <c r="D1249" t="s">
        <v>146</v>
      </c>
      <c r="E1249" t="s">
        <v>147</v>
      </c>
      <c r="F1249" t="s">
        <v>2227</v>
      </c>
      <c r="G1249">
        <v>818128</v>
      </c>
      <c r="H1249" t="s">
        <v>26</v>
      </c>
      <c r="I1249" t="s">
        <v>276</v>
      </c>
      <c r="J1249" t="str">
        <f>"9781118226551"</f>
        <v>9781118226551</v>
      </c>
      <c r="K1249" t="s">
        <v>889</v>
      </c>
      <c r="L1249">
        <v>6</v>
      </c>
      <c r="O1249" t="s">
        <v>30</v>
      </c>
      <c r="P1249" t="s">
        <v>42</v>
      </c>
      <c r="S1249" t="s">
        <v>2228</v>
      </c>
      <c r="T1249" t="s">
        <v>2229</v>
      </c>
      <c r="U1249">
        <v>4.1675000000000004</v>
      </c>
      <c r="V1249" s="3">
        <v>40968</v>
      </c>
    </row>
    <row r="1250" spans="1:22" x14ac:dyDescent="0.35">
      <c r="A1250" s="1">
        <v>42376.644525462965</v>
      </c>
      <c r="B1250" s="2">
        <v>1.0532407407407407E-3</v>
      </c>
      <c r="C1250" t="s">
        <v>2226</v>
      </c>
      <c r="D1250" t="s">
        <v>146</v>
      </c>
      <c r="E1250" t="s">
        <v>147</v>
      </c>
      <c r="F1250" t="s">
        <v>2227</v>
      </c>
      <c r="G1250">
        <v>818128</v>
      </c>
      <c r="H1250" t="s">
        <v>26</v>
      </c>
      <c r="I1250" t="s">
        <v>276</v>
      </c>
      <c r="J1250" t="str">
        <f>"9781118226551"</f>
        <v>9781118226551</v>
      </c>
      <c r="K1250" t="s">
        <v>2230</v>
      </c>
      <c r="L1250">
        <v>41</v>
      </c>
      <c r="O1250" t="s">
        <v>30</v>
      </c>
      <c r="P1250" t="s">
        <v>42</v>
      </c>
      <c r="S1250" t="s">
        <v>2228</v>
      </c>
      <c r="T1250" t="s">
        <v>2229</v>
      </c>
      <c r="U1250">
        <v>4.1675000000000004</v>
      </c>
      <c r="V1250" s="3">
        <v>40968</v>
      </c>
    </row>
    <row r="1251" spans="1:22" x14ac:dyDescent="0.35">
      <c r="A1251" s="1">
        <v>42376.644513888888</v>
      </c>
      <c r="B1251" s="2">
        <v>5.2083333333333333E-4</v>
      </c>
      <c r="C1251" t="s">
        <v>2226</v>
      </c>
      <c r="D1251" t="s">
        <v>146</v>
      </c>
      <c r="E1251" t="s">
        <v>147</v>
      </c>
      <c r="F1251" t="s">
        <v>2227</v>
      </c>
      <c r="G1251">
        <v>818128</v>
      </c>
      <c r="H1251" t="s">
        <v>26</v>
      </c>
      <c r="I1251" t="s">
        <v>276</v>
      </c>
      <c r="J1251" t="str">
        <f>"9781118226551"</f>
        <v>9781118226551</v>
      </c>
      <c r="K1251" t="s">
        <v>2231</v>
      </c>
      <c r="L1251">
        <v>11</v>
      </c>
      <c r="O1251" t="s">
        <v>30</v>
      </c>
      <c r="P1251" t="s">
        <v>42</v>
      </c>
      <c r="S1251" t="s">
        <v>2228</v>
      </c>
      <c r="T1251" t="s">
        <v>2229</v>
      </c>
      <c r="U1251">
        <v>4.1675000000000004</v>
      </c>
      <c r="V1251" s="3">
        <v>40968</v>
      </c>
    </row>
    <row r="1252" spans="1:22" x14ac:dyDescent="0.35">
      <c r="A1252" s="1">
        <v>42376.643449074072</v>
      </c>
      <c r="B1252" s="2">
        <v>4.2824074074074075E-4</v>
      </c>
      <c r="C1252" t="s">
        <v>326</v>
      </c>
      <c r="D1252" t="s">
        <v>35</v>
      </c>
      <c r="E1252" t="s">
        <v>36</v>
      </c>
      <c r="F1252" t="s">
        <v>327</v>
      </c>
      <c r="G1252">
        <v>1691426</v>
      </c>
      <c r="H1252" t="s">
        <v>26</v>
      </c>
      <c r="I1252" t="s">
        <v>328</v>
      </c>
      <c r="J1252" t="str">
        <f>"9781118839492"</f>
        <v>9781118839492</v>
      </c>
      <c r="K1252" t="s">
        <v>1239</v>
      </c>
      <c r="L1252">
        <v>3</v>
      </c>
      <c r="O1252" t="s">
        <v>30</v>
      </c>
      <c r="P1252" t="s">
        <v>42</v>
      </c>
      <c r="S1252" t="s">
        <v>40</v>
      </c>
      <c r="T1252" t="s">
        <v>331</v>
      </c>
      <c r="U1252">
        <v>613.70460000000003</v>
      </c>
      <c r="V1252" s="3">
        <v>41772</v>
      </c>
    </row>
    <row r="1253" spans="1:22" x14ac:dyDescent="0.35">
      <c r="A1253" s="1">
        <v>42376.628263888888</v>
      </c>
      <c r="B1253" s="2">
        <v>5.4398148148148144E-4</v>
      </c>
      <c r="C1253" t="s">
        <v>2232</v>
      </c>
      <c r="D1253" t="s">
        <v>35</v>
      </c>
      <c r="E1253" t="s">
        <v>36</v>
      </c>
      <c r="F1253" t="s">
        <v>2233</v>
      </c>
      <c r="G1253">
        <v>2122524</v>
      </c>
      <c r="H1253" t="s">
        <v>26</v>
      </c>
      <c r="I1253" t="s">
        <v>97</v>
      </c>
      <c r="J1253" t="str">
        <f>"9781119103561"</f>
        <v>9781119103561</v>
      </c>
      <c r="K1253" t="s">
        <v>2234</v>
      </c>
      <c r="L1253">
        <v>12</v>
      </c>
      <c r="M1253" t="s">
        <v>2235</v>
      </c>
      <c r="O1253" t="s">
        <v>30</v>
      </c>
      <c r="P1253" t="s">
        <v>29</v>
      </c>
      <c r="Q1253" s="1">
        <v>42376.623680555553</v>
      </c>
      <c r="R1253">
        <v>7</v>
      </c>
      <c r="S1253" t="s">
        <v>40</v>
      </c>
      <c r="T1253" t="s">
        <v>2236</v>
      </c>
      <c r="U1253">
        <v>658.4</v>
      </c>
      <c r="V1253" s="3">
        <v>42199</v>
      </c>
    </row>
    <row r="1254" spans="1:22" x14ac:dyDescent="0.35">
      <c r="A1254" s="1">
        <v>42376.623680555553</v>
      </c>
      <c r="B1254" s="2">
        <v>4.1319444444444442E-3</v>
      </c>
      <c r="C1254" t="s">
        <v>2232</v>
      </c>
      <c r="D1254" t="s">
        <v>35</v>
      </c>
      <c r="E1254" t="s">
        <v>36</v>
      </c>
      <c r="F1254" t="s">
        <v>2233</v>
      </c>
      <c r="G1254">
        <v>2122524</v>
      </c>
      <c r="H1254" t="s">
        <v>26</v>
      </c>
      <c r="I1254" t="s">
        <v>97</v>
      </c>
      <c r="J1254" t="str">
        <f>"9781119103561"</f>
        <v>9781119103561</v>
      </c>
      <c r="K1254" t="s">
        <v>2237</v>
      </c>
      <c r="L1254">
        <v>2</v>
      </c>
      <c r="M1254" t="s">
        <v>2238</v>
      </c>
      <c r="N1254" t="s">
        <v>743</v>
      </c>
      <c r="O1254" t="s">
        <v>30</v>
      </c>
      <c r="P1254" t="s">
        <v>29</v>
      </c>
      <c r="Q1254" s="1">
        <v>42376.623680555553</v>
      </c>
      <c r="R1254">
        <v>7</v>
      </c>
      <c r="S1254" t="s">
        <v>40</v>
      </c>
      <c r="T1254" t="s">
        <v>2236</v>
      </c>
      <c r="U1254">
        <v>658.4</v>
      </c>
      <c r="V1254" s="3">
        <v>42199</v>
      </c>
    </row>
    <row r="1255" spans="1:22" x14ac:dyDescent="0.35">
      <c r="A1255" s="1">
        <v>42376.621006944442</v>
      </c>
      <c r="B1255" s="2">
        <v>2.673611111111111E-3</v>
      </c>
      <c r="C1255" t="s">
        <v>2232</v>
      </c>
      <c r="D1255" t="s">
        <v>35</v>
      </c>
      <c r="E1255" t="s">
        <v>36</v>
      </c>
      <c r="F1255" t="s">
        <v>2233</v>
      </c>
      <c r="G1255">
        <v>2122524</v>
      </c>
      <c r="H1255" t="s">
        <v>26</v>
      </c>
      <c r="I1255" t="s">
        <v>97</v>
      </c>
      <c r="J1255" t="str">
        <f>"9781119103561"</f>
        <v>9781119103561</v>
      </c>
      <c r="K1255" t="s">
        <v>2239</v>
      </c>
      <c r="L1255">
        <v>56</v>
      </c>
      <c r="O1255" t="s">
        <v>30</v>
      </c>
      <c r="P1255" t="s">
        <v>42</v>
      </c>
      <c r="S1255" t="s">
        <v>40</v>
      </c>
      <c r="T1255" t="s">
        <v>2236</v>
      </c>
      <c r="U1255">
        <v>658.4</v>
      </c>
      <c r="V1255" s="3">
        <v>42199</v>
      </c>
    </row>
    <row r="1256" spans="1:22" x14ac:dyDescent="0.35">
      <c r="A1256" s="1">
        <v>42376.596041666664</v>
      </c>
      <c r="B1256" s="2">
        <v>0</v>
      </c>
      <c r="C1256" t="s">
        <v>2240</v>
      </c>
      <c r="D1256" t="s">
        <v>23</v>
      </c>
      <c r="E1256" t="s">
        <v>24</v>
      </c>
      <c r="F1256" t="s">
        <v>2241</v>
      </c>
      <c r="G1256">
        <v>3061325</v>
      </c>
      <c r="H1256" t="s">
        <v>68</v>
      </c>
      <c r="I1256" t="s">
        <v>108</v>
      </c>
      <c r="J1256" t="str">
        <f>"9780203078365"</f>
        <v>9780203078365</v>
      </c>
      <c r="L1256">
        <v>0</v>
      </c>
      <c r="O1256" t="s">
        <v>28</v>
      </c>
      <c r="P1256" t="s">
        <v>47</v>
      </c>
      <c r="Q1256" s="1">
        <v>42376.596041666664</v>
      </c>
      <c r="R1256">
        <v>1</v>
      </c>
      <c r="S1256" t="s">
        <v>31</v>
      </c>
      <c r="T1256" t="s">
        <v>2242</v>
      </c>
      <c r="U1256">
        <v>332.10951</v>
      </c>
      <c r="V1256" s="3">
        <v>41518</v>
      </c>
    </row>
    <row r="1257" spans="1:22" x14ac:dyDescent="0.35">
      <c r="A1257" s="1">
        <v>42376.596041666664</v>
      </c>
      <c r="B1257" s="2">
        <v>0</v>
      </c>
      <c r="C1257" t="s">
        <v>2240</v>
      </c>
      <c r="D1257" t="s">
        <v>23</v>
      </c>
      <c r="E1257" t="s">
        <v>24</v>
      </c>
      <c r="F1257" t="s">
        <v>2241</v>
      </c>
      <c r="G1257">
        <v>3061325</v>
      </c>
      <c r="H1257" t="s">
        <v>68</v>
      </c>
      <c r="I1257" t="s">
        <v>108</v>
      </c>
      <c r="J1257" t="str">
        <f>"9780203078365"</f>
        <v>9780203078365</v>
      </c>
      <c r="L1257">
        <v>0</v>
      </c>
      <c r="O1257" t="s">
        <v>30</v>
      </c>
      <c r="P1257" t="s">
        <v>47</v>
      </c>
      <c r="Q1257" s="1">
        <v>42376.596041666664</v>
      </c>
      <c r="R1257">
        <v>1</v>
      </c>
      <c r="S1257" t="s">
        <v>31</v>
      </c>
      <c r="T1257" t="s">
        <v>2242</v>
      </c>
      <c r="U1257">
        <v>332.10951</v>
      </c>
      <c r="V1257" s="3">
        <v>41518</v>
      </c>
    </row>
    <row r="1258" spans="1:22" x14ac:dyDescent="0.35">
      <c r="A1258" s="1">
        <v>42376.592303240737</v>
      </c>
      <c r="B1258" s="2">
        <v>3.7384259259259263E-3</v>
      </c>
      <c r="C1258" t="s">
        <v>2240</v>
      </c>
      <c r="D1258" t="s">
        <v>23</v>
      </c>
      <c r="E1258" t="s">
        <v>24</v>
      </c>
      <c r="F1258" t="s">
        <v>2241</v>
      </c>
      <c r="G1258">
        <v>3061325</v>
      </c>
      <c r="H1258" t="s">
        <v>68</v>
      </c>
      <c r="I1258" t="s">
        <v>108</v>
      </c>
      <c r="J1258" t="str">
        <f>"9780203078365"</f>
        <v>9780203078365</v>
      </c>
      <c r="K1258" t="s">
        <v>33</v>
      </c>
      <c r="L1258">
        <v>3</v>
      </c>
      <c r="O1258" t="s">
        <v>30</v>
      </c>
      <c r="P1258" t="s">
        <v>50</v>
      </c>
      <c r="S1258" t="s">
        <v>31</v>
      </c>
      <c r="T1258" t="s">
        <v>2242</v>
      </c>
      <c r="U1258">
        <v>332.10951</v>
      </c>
      <c r="V1258" s="3">
        <v>41518</v>
      </c>
    </row>
    <row r="1259" spans="1:22" x14ac:dyDescent="0.35">
      <c r="A1259" s="1">
        <v>42376.45888888889</v>
      </c>
      <c r="B1259" s="2">
        <v>8.1018518518518516E-5</v>
      </c>
      <c r="C1259" t="s">
        <v>520</v>
      </c>
      <c r="D1259" t="s">
        <v>23</v>
      </c>
      <c r="E1259" t="s">
        <v>24</v>
      </c>
      <c r="F1259" t="s">
        <v>1579</v>
      </c>
      <c r="G1259">
        <v>1161538</v>
      </c>
      <c r="H1259" t="s">
        <v>26</v>
      </c>
      <c r="I1259" t="s">
        <v>108</v>
      </c>
      <c r="J1259" t="str">
        <f>"9781118521755"</f>
        <v>9781118521755</v>
      </c>
      <c r="K1259" t="s">
        <v>33</v>
      </c>
      <c r="L1259">
        <v>3</v>
      </c>
      <c r="O1259" t="s">
        <v>30</v>
      </c>
      <c r="P1259" t="s">
        <v>29</v>
      </c>
      <c r="Q1259" s="1">
        <v>42374.561342592591</v>
      </c>
      <c r="R1259">
        <v>7</v>
      </c>
      <c r="S1259" t="s">
        <v>31</v>
      </c>
      <c r="T1259" t="s">
        <v>1581</v>
      </c>
      <c r="U1259">
        <v>332.63220000000001</v>
      </c>
      <c r="V1259" s="3">
        <v>41359</v>
      </c>
    </row>
    <row r="1260" spans="1:22" x14ac:dyDescent="0.35">
      <c r="A1260" s="1">
        <v>42376.271782407406</v>
      </c>
      <c r="B1260" s="2">
        <v>5.3414351851851859E-2</v>
      </c>
      <c r="C1260" t="s">
        <v>520</v>
      </c>
      <c r="D1260" t="s">
        <v>23</v>
      </c>
      <c r="E1260" t="s">
        <v>24</v>
      </c>
      <c r="F1260" t="s">
        <v>1579</v>
      </c>
      <c r="G1260">
        <v>1161538</v>
      </c>
      <c r="H1260" t="s">
        <v>26</v>
      </c>
      <c r="I1260" t="s">
        <v>108</v>
      </c>
      <c r="J1260" t="str">
        <f>"9781118521755"</f>
        <v>9781118521755</v>
      </c>
      <c r="K1260" t="s">
        <v>2243</v>
      </c>
      <c r="L1260">
        <v>24</v>
      </c>
      <c r="O1260" t="s">
        <v>30</v>
      </c>
      <c r="P1260" t="s">
        <v>29</v>
      </c>
      <c r="Q1260" s="1">
        <v>42374.561342592591</v>
      </c>
      <c r="R1260">
        <v>7</v>
      </c>
      <c r="S1260" t="s">
        <v>31</v>
      </c>
      <c r="T1260" t="s">
        <v>1581</v>
      </c>
      <c r="U1260">
        <v>332.63220000000001</v>
      </c>
      <c r="V1260" s="3">
        <v>41359</v>
      </c>
    </row>
    <row r="1261" spans="1:22" x14ac:dyDescent="0.35">
      <c r="A1261" s="1">
        <v>42376.149421296293</v>
      </c>
      <c r="B1261" s="2">
        <v>2.5462962962962961E-4</v>
      </c>
      <c r="C1261" t="s">
        <v>1839</v>
      </c>
      <c r="D1261" t="s">
        <v>35</v>
      </c>
      <c r="E1261" t="s">
        <v>36</v>
      </c>
      <c r="F1261" t="s">
        <v>327</v>
      </c>
      <c r="G1261">
        <v>1691426</v>
      </c>
      <c r="H1261" t="s">
        <v>26</v>
      </c>
      <c r="I1261" t="s">
        <v>328</v>
      </c>
      <c r="J1261" t="str">
        <f>"9781118839492"</f>
        <v>9781118839492</v>
      </c>
      <c r="K1261" t="s">
        <v>2244</v>
      </c>
      <c r="L1261">
        <v>10</v>
      </c>
      <c r="O1261" t="s">
        <v>30</v>
      </c>
      <c r="P1261" t="s">
        <v>29</v>
      </c>
      <c r="Q1261" s="1">
        <v>42376.149421296293</v>
      </c>
      <c r="R1261">
        <v>7</v>
      </c>
      <c r="S1261" t="s">
        <v>40</v>
      </c>
      <c r="T1261" t="s">
        <v>331</v>
      </c>
      <c r="U1261">
        <v>613.70460000000003</v>
      </c>
      <c r="V1261" s="3">
        <v>41772</v>
      </c>
    </row>
    <row r="1262" spans="1:22" x14ac:dyDescent="0.35">
      <c r="A1262" s="1">
        <v>42376.137696759259</v>
      </c>
      <c r="B1262" s="2">
        <v>1.1724537037037035E-2</v>
      </c>
      <c r="C1262" t="s">
        <v>1839</v>
      </c>
      <c r="D1262" t="s">
        <v>35</v>
      </c>
      <c r="E1262" t="s">
        <v>36</v>
      </c>
      <c r="F1262" t="s">
        <v>327</v>
      </c>
      <c r="G1262">
        <v>1691426</v>
      </c>
      <c r="H1262" t="s">
        <v>26</v>
      </c>
      <c r="I1262" t="s">
        <v>328</v>
      </c>
      <c r="J1262" t="str">
        <f>"9781118839492"</f>
        <v>9781118839492</v>
      </c>
      <c r="K1262" t="s">
        <v>2245</v>
      </c>
      <c r="L1262">
        <v>14</v>
      </c>
      <c r="O1262" t="s">
        <v>30</v>
      </c>
      <c r="P1262" t="s">
        <v>42</v>
      </c>
      <c r="S1262" t="s">
        <v>40</v>
      </c>
      <c r="T1262" t="s">
        <v>331</v>
      </c>
      <c r="U1262">
        <v>613.70460000000003</v>
      </c>
      <c r="V1262" s="3">
        <v>41772</v>
      </c>
    </row>
    <row r="1263" spans="1:22" x14ac:dyDescent="0.35">
      <c r="A1263" s="1">
        <v>42376.130694444444</v>
      </c>
      <c r="B1263" s="2">
        <v>3.7615740740740739E-3</v>
      </c>
      <c r="C1263" t="s">
        <v>1839</v>
      </c>
      <c r="D1263" t="s">
        <v>35</v>
      </c>
      <c r="E1263" t="s">
        <v>36</v>
      </c>
      <c r="F1263" t="s">
        <v>327</v>
      </c>
      <c r="G1263">
        <v>1691426</v>
      </c>
      <c r="H1263" t="s">
        <v>26</v>
      </c>
      <c r="I1263" t="s">
        <v>328</v>
      </c>
      <c r="J1263" t="str">
        <f>"9781118839492"</f>
        <v>9781118839492</v>
      </c>
      <c r="K1263" t="s">
        <v>2246</v>
      </c>
      <c r="L1263">
        <v>20</v>
      </c>
      <c r="O1263" t="s">
        <v>30</v>
      </c>
      <c r="P1263" t="s">
        <v>42</v>
      </c>
      <c r="S1263" t="s">
        <v>40</v>
      </c>
      <c r="T1263" t="s">
        <v>331</v>
      </c>
      <c r="U1263">
        <v>613.70460000000003</v>
      </c>
      <c r="V1263" s="3">
        <v>41772</v>
      </c>
    </row>
    <row r="1264" spans="1:22" x14ac:dyDescent="0.35">
      <c r="A1264" s="1">
        <v>42376.108240740738</v>
      </c>
      <c r="B1264" s="2">
        <v>1.6319444444444445E-3</v>
      </c>
      <c r="C1264" t="s">
        <v>1595</v>
      </c>
      <c r="D1264" t="s">
        <v>23</v>
      </c>
      <c r="E1264" t="s">
        <v>24</v>
      </c>
      <c r="F1264" t="s">
        <v>1993</v>
      </c>
      <c r="G1264">
        <v>1358564</v>
      </c>
      <c r="H1264" t="s">
        <v>26</v>
      </c>
      <c r="I1264" t="s">
        <v>841</v>
      </c>
      <c r="J1264" t="str">
        <f>"9781118646267"</f>
        <v>9781118646267</v>
      </c>
      <c r="K1264" t="s">
        <v>2247</v>
      </c>
      <c r="L1264">
        <v>33</v>
      </c>
      <c r="O1264" t="s">
        <v>30</v>
      </c>
      <c r="P1264" t="s">
        <v>42</v>
      </c>
      <c r="S1264" t="s">
        <v>31</v>
      </c>
      <c r="T1264" t="s">
        <v>1995</v>
      </c>
      <c r="U1264">
        <v>355.00760000000002</v>
      </c>
      <c r="V1264" s="3">
        <v>41487</v>
      </c>
    </row>
    <row r="1265" spans="1:22" x14ac:dyDescent="0.35">
      <c r="A1265" s="1">
        <v>42375.990717592591</v>
      </c>
      <c r="B1265" s="2">
        <v>9.9305555555555553E-3</v>
      </c>
      <c r="C1265" t="s">
        <v>2248</v>
      </c>
      <c r="D1265" t="s">
        <v>23</v>
      </c>
      <c r="E1265" t="s">
        <v>24</v>
      </c>
      <c r="F1265" t="s">
        <v>2249</v>
      </c>
      <c r="G1265">
        <v>981495</v>
      </c>
      <c r="H1265" t="s">
        <v>91</v>
      </c>
      <c r="I1265" t="s">
        <v>69</v>
      </c>
      <c r="J1265" t="str">
        <f>"9781462506361"</f>
        <v>9781462506361</v>
      </c>
      <c r="K1265" t="s">
        <v>2250</v>
      </c>
      <c r="L1265">
        <v>33</v>
      </c>
      <c r="N1265" t="s">
        <v>2251</v>
      </c>
      <c r="O1265" t="s">
        <v>30</v>
      </c>
      <c r="P1265" t="s">
        <v>29</v>
      </c>
      <c r="Q1265" s="1">
        <v>42375.990717592591</v>
      </c>
      <c r="R1265">
        <v>7</v>
      </c>
      <c r="S1265" t="s">
        <v>31</v>
      </c>
      <c r="T1265" t="s">
        <v>2252</v>
      </c>
      <c r="U1265">
        <v>371.39429999999999</v>
      </c>
      <c r="V1265" s="3">
        <v>42107</v>
      </c>
    </row>
    <row r="1266" spans="1:22" x14ac:dyDescent="0.35">
      <c r="A1266" s="1">
        <v>42375.986018518517</v>
      </c>
      <c r="B1266" s="2">
        <v>5.6712962962962956E-4</v>
      </c>
      <c r="C1266" t="s">
        <v>1238</v>
      </c>
      <c r="D1266" t="s">
        <v>35</v>
      </c>
      <c r="E1266" t="s">
        <v>36</v>
      </c>
      <c r="F1266" t="s">
        <v>327</v>
      </c>
      <c r="G1266">
        <v>1691426</v>
      </c>
      <c r="H1266" t="s">
        <v>26</v>
      </c>
      <c r="I1266" t="s">
        <v>328</v>
      </c>
      <c r="J1266" t="str">
        <f>"9781118839492"</f>
        <v>9781118839492</v>
      </c>
      <c r="K1266" t="s">
        <v>2253</v>
      </c>
      <c r="L1266">
        <v>11</v>
      </c>
      <c r="O1266" t="s">
        <v>30</v>
      </c>
      <c r="P1266" t="s">
        <v>29</v>
      </c>
      <c r="Q1266" s="1">
        <v>42375.986018518517</v>
      </c>
      <c r="R1266">
        <v>7</v>
      </c>
      <c r="S1266" t="s">
        <v>40</v>
      </c>
      <c r="T1266" t="s">
        <v>331</v>
      </c>
      <c r="U1266">
        <v>613.70460000000003</v>
      </c>
      <c r="V1266" s="3">
        <v>41772</v>
      </c>
    </row>
    <row r="1267" spans="1:22" x14ac:dyDescent="0.35">
      <c r="A1267" s="1">
        <v>42375.983078703706</v>
      </c>
      <c r="B1267" s="2">
        <v>7.6388888888888886E-3</v>
      </c>
      <c r="C1267" t="s">
        <v>2248</v>
      </c>
      <c r="D1267" t="s">
        <v>23</v>
      </c>
      <c r="E1267" t="s">
        <v>24</v>
      </c>
      <c r="F1267" t="s">
        <v>2249</v>
      </c>
      <c r="G1267">
        <v>981495</v>
      </c>
      <c r="H1267" t="s">
        <v>91</v>
      </c>
      <c r="I1267" t="s">
        <v>69</v>
      </c>
      <c r="J1267" t="str">
        <f>"9781462506361"</f>
        <v>9781462506361</v>
      </c>
      <c r="K1267" t="s">
        <v>2254</v>
      </c>
      <c r="L1267">
        <v>10</v>
      </c>
      <c r="O1267" t="s">
        <v>30</v>
      </c>
      <c r="P1267" t="s">
        <v>42</v>
      </c>
      <c r="S1267" t="s">
        <v>31</v>
      </c>
      <c r="T1267" t="s">
        <v>2252</v>
      </c>
      <c r="U1267">
        <v>371.39429999999999</v>
      </c>
      <c r="V1267" s="3">
        <v>42107</v>
      </c>
    </row>
    <row r="1268" spans="1:22" x14ac:dyDescent="0.35">
      <c r="A1268" s="1">
        <v>42375.977870370371</v>
      </c>
      <c r="B1268" s="2">
        <v>8.1481481481481474E-3</v>
      </c>
      <c r="C1268" t="s">
        <v>1238</v>
      </c>
      <c r="D1268" t="s">
        <v>35</v>
      </c>
      <c r="E1268" t="s">
        <v>36</v>
      </c>
      <c r="F1268" t="s">
        <v>327</v>
      </c>
      <c r="G1268">
        <v>1691426</v>
      </c>
      <c r="H1268" t="s">
        <v>26</v>
      </c>
      <c r="I1268" t="s">
        <v>328</v>
      </c>
      <c r="J1268" t="str">
        <f>"9781118839492"</f>
        <v>9781118839492</v>
      </c>
      <c r="K1268" t="s">
        <v>2255</v>
      </c>
      <c r="L1268">
        <v>16</v>
      </c>
      <c r="O1268" t="s">
        <v>30</v>
      </c>
      <c r="P1268" t="s">
        <v>42</v>
      </c>
      <c r="S1268" t="s">
        <v>40</v>
      </c>
      <c r="T1268" t="s">
        <v>331</v>
      </c>
      <c r="U1268">
        <v>613.70460000000003</v>
      </c>
      <c r="V1268" s="3">
        <v>41772</v>
      </c>
    </row>
    <row r="1269" spans="1:22" x14ac:dyDescent="0.35">
      <c r="A1269" s="1">
        <v>42375.954212962963</v>
      </c>
      <c r="B1269" s="2">
        <v>1.5046296296296297E-4</v>
      </c>
      <c r="C1269" t="s">
        <v>2256</v>
      </c>
      <c r="D1269" t="s">
        <v>23</v>
      </c>
      <c r="E1269" t="s">
        <v>24</v>
      </c>
      <c r="F1269" t="s">
        <v>2257</v>
      </c>
      <c r="G1269">
        <v>1998747</v>
      </c>
      <c r="H1269" t="s">
        <v>26</v>
      </c>
      <c r="I1269" t="s">
        <v>247</v>
      </c>
      <c r="J1269" t="str">
        <f>"9781118703397"</f>
        <v>9781118703397</v>
      </c>
      <c r="K1269" t="s">
        <v>33</v>
      </c>
      <c r="L1269">
        <v>3</v>
      </c>
      <c r="O1269" t="s">
        <v>30</v>
      </c>
      <c r="P1269" t="s">
        <v>42</v>
      </c>
      <c r="S1269" t="s">
        <v>31</v>
      </c>
      <c r="T1269" t="s">
        <v>2258</v>
      </c>
      <c r="U1269" t="s">
        <v>2259</v>
      </c>
      <c r="V1269" s="3">
        <v>42163</v>
      </c>
    </row>
    <row r="1270" spans="1:22" x14ac:dyDescent="0.35">
      <c r="A1270" s="1">
        <v>42375.946539351855</v>
      </c>
      <c r="B1270" s="2">
        <v>0.14033564814814814</v>
      </c>
      <c r="C1270" t="s">
        <v>1563</v>
      </c>
      <c r="D1270" t="s">
        <v>35</v>
      </c>
      <c r="E1270" t="s">
        <v>36</v>
      </c>
      <c r="F1270" t="s">
        <v>327</v>
      </c>
      <c r="G1270">
        <v>1691426</v>
      </c>
      <c r="H1270" t="s">
        <v>26</v>
      </c>
      <c r="I1270" t="s">
        <v>328</v>
      </c>
      <c r="J1270" t="str">
        <f>"9781118839492"</f>
        <v>9781118839492</v>
      </c>
      <c r="K1270" t="s">
        <v>2260</v>
      </c>
      <c r="L1270">
        <v>65</v>
      </c>
      <c r="O1270" t="s">
        <v>30</v>
      </c>
      <c r="P1270" t="s">
        <v>29</v>
      </c>
      <c r="Q1270" s="1">
        <v>42375.946539351855</v>
      </c>
      <c r="R1270">
        <v>7</v>
      </c>
      <c r="S1270" t="s">
        <v>40</v>
      </c>
      <c r="T1270" t="s">
        <v>331</v>
      </c>
      <c r="U1270">
        <v>613.70460000000003</v>
      </c>
      <c r="V1270" s="3">
        <v>41772</v>
      </c>
    </row>
    <row r="1271" spans="1:22" x14ac:dyDescent="0.35">
      <c r="A1271" s="1">
        <v>42375.938576388886</v>
      </c>
      <c r="B1271" s="2">
        <v>3.4722222222222222E-5</v>
      </c>
      <c r="C1271" t="s">
        <v>2261</v>
      </c>
      <c r="D1271" t="s">
        <v>23</v>
      </c>
      <c r="E1271" t="s">
        <v>24</v>
      </c>
      <c r="F1271" t="s">
        <v>2262</v>
      </c>
      <c r="G1271">
        <v>843674</v>
      </c>
      <c r="H1271" t="s">
        <v>26</v>
      </c>
      <c r="I1271" t="s">
        <v>322</v>
      </c>
      <c r="J1271" t="str">
        <f>"9781118348444"</f>
        <v>9781118348444</v>
      </c>
      <c r="K1271" t="s">
        <v>33</v>
      </c>
      <c r="L1271">
        <v>3</v>
      </c>
      <c r="O1271" t="s">
        <v>30</v>
      </c>
      <c r="P1271" t="s">
        <v>42</v>
      </c>
      <c r="S1271" t="s">
        <v>31</v>
      </c>
      <c r="T1271" t="s">
        <v>2263</v>
      </c>
      <c r="U1271">
        <v>692.50972999999999</v>
      </c>
      <c r="V1271" s="3">
        <v>40960</v>
      </c>
    </row>
    <row r="1272" spans="1:22" x14ac:dyDescent="0.35">
      <c r="A1272" s="1">
        <v>42375.937106481484</v>
      </c>
      <c r="B1272" s="2">
        <v>9.432870370370371E-3</v>
      </c>
      <c r="C1272" t="s">
        <v>1563</v>
      </c>
      <c r="D1272" t="s">
        <v>35</v>
      </c>
      <c r="E1272" t="s">
        <v>36</v>
      </c>
      <c r="F1272" t="s">
        <v>327</v>
      </c>
      <c r="G1272">
        <v>1691426</v>
      </c>
      <c r="H1272" t="s">
        <v>26</v>
      </c>
      <c r="I1272" t="s">
        <v>328</v>
      </c>
      <c r="J1272" t="str">
        <f>"9781118839492"</f>
        <v>9781118839492</v>
      </c>
      <c r="K1272" t="s">
        <v>2264</v>
      </c>
      <c r="L1272">
        <v>28</v>
      </c>
      <c r="O1272" t="s">
        <v>30</v>
      </c>
      <c r="P1272" t="s">
        <v>42</v>
      </c>
      <c r="S1272" t="s">
        <v>40</v>
      </c>
      <c r="T1272" t="s">
        <v>331</v>
      </c>
      <c r="U1272">
        <v>613.70460000000003</v>
      </c>
      <c r="V1272" s="3">
        <v>41772</v>
      </c>
    </row>
    <row r="1273" spans="1:22" x14ac:dyDescent="0.35">
      <c r="A1273" s="1">
        <v>42375.93346064815</v>
      </c>
      <c r="B1273" s="2">
        <v>1.1574074074074073E-4</v>
      </c>
      <c r="C1273" t="s">
        <v>1893</v>
      </c>
      <c r="D1273" t="s">
        <v>35</v>
      </c>
      <c r="E1273" t="s">
        <v>36</v>
      </c>
      <c r="F1273" t="s">
        <v>327</v>
      </c>
      <c r="G1273">
        <v>1691426</v>
      </c>
      <c r="H1273" t="s">
        <v>26</v>
      </c>
      <c r="I1273" t="s">
        <v>328</v>
      </c>
      <c r="J1273" t="str">
        <f>"9781118839492"</f>
        <v>9781118839492</v>
      </c>
      <c r="K1273" t="s">
        <v>86</v>
      </c>
      <c r="L1273">
        <v>5</v>
      </c>
      <c r="O1273" t="s">
        <v>30</v>
      </c>
      <c r="P1273" t="s">
        <v>29</v>
      </c>
      <c r="Q1273" s="1">
        <v>42374.871863425928</v>
      </c>
      <c r="R1273">
        <v>7</v>
      </c>
      <c r="S1273" t="s">
        <v>40</v>
      </c>
      <c r="T1273" t="s">
        <v>331</v>
      </c>
      <c r="U1273">
        <v>613.70460000000003</v>
      </c>
      <c r="V1273" s="3">
        <v>41772</v>
      </c>
    </row>
    <row r="1274" spans="1:22" x14ac:dyDescent="0.35">
      <c r="A1274" s="1">
        <v>42375.920138888891</v>
      </c>
      <c r="B1274" s="2">
        <v>4.3981481481481484E-3</v>
      </c>
      <c r="C1274" t="s">
        <v>1893</v>
      </c>
      <c r="D1274" t="s">
        <v>35</v>
      </c>
      <c r="E1274" t="s">
        <v>36</v>
      </c>
      <c r="F1274" t="s">
        <v>327</v>
      </c>
      <c r="G1274">
        <v>1691426</v>
      </c>
      <c r="H1274" t="s">
        <v>26</v>
      </c>
      <c r="I1274" t="s">
        <v>328</v>
      </c>
      <c r="J1274" t="str">
        <f>"9781118839492"</f>
        <v>9781118839492</v>
      </c>
      <c r="K1274" t="s">
        <v>2265</v>
      </c>
      <c r="L1274">
        <v>18</v>
      </c>
      <c r="O1274" t="s">
        <v>28</v>
      </c>
      <c r="P1274" t="s">
        <v>29</v>
      </c>
      <c r="Q1274" s="1">
        <v>42374.871863425928</v>
      </c>
      <c r="R1274">
        <v>7</v>
      </c>
      <c r="S1274" t="s">
        <v>40</v>
      </c>
      <c r="T1274" t="s">
        <v>331</v>
      </c>
      <c r="U1274">
        <v>613.70460000000003</v>
      </c>
      <c r="V1274" s="3">
        <v>41772</v>
      </c>
    </row>
    <row r="1275" spans="1:22" x14ac:dyDescent="0.35">
      <c r="A1275" s="1">
        <v>42375.917627314811</v>
      </c>
      <c r="B1275" s="2">
        <v>2.3611111111111111E-3</v>
      </c>
      <c r="C1275" t="s">
        <v>1893</v>
      </c>
      <c r="D1275" t="s">
        <v>35</v>
      </c>
      <c r="E1275" t="s">
        <v>36</v>
      </c>
      <c r="F1275" t="s">
        <v>327</v>
      </c>
      <c r="G1275">
        <v>1691426</v>
      </c>
      <c r="H1275" t="s">
        <v>26</v>
      </c>
      <c r="I1275" t="s">
        <v>328</v>
      </c>
      <c r="J1275" t="str">
        <f>"9781118839492"</f>
        <v>9781118839492</v>
      </c>
      <c r="K1275" t="s">
        <v>2266</v>
      </c>
      <c r="L1275">
        <v>4</v>
      </c>
      <c r="O1275" t="s">
        <v>28</v>
      </c>
      <c r="P1275" t="s">
        <v>29</v>
      </c>
      <c r="Q1275" s="1">
        <v>42374.871863425928</v>
      </c>
      <c r="R1275">
        <v>7</v>
      </c>
      <c r="S1275" t="s">
        <v>40</v>
      </c>
      <c r="T1275" t="s">
        <v>331</v>
      </c>
      <c r="U1275">
        <v>613.70460000000003</v>
      </c>
      <c r="V1275" s="3">
        <v>41772</v>
      </c>
    </row>
    <row r="1276" spans="1:22" x14ac:dyDescent="0.35">
      <c r="A1276" s="1">
        <v>42375.91202546296</v>
      </c>
      <c r="B1276" s="2">
        <v>5.138888888888889E-3</v>
      </c>
      <c r="C1276" t="s">
        <v>1893</v>
      </c>
      <c r="D1276" t="s">
        <v>35</v>
      </c>
      <c r="E1276" t="s">
        <v>36</v>
      </c>
      <c r="F1276" t="s">
        <v>327</v>
      </c>
      <c r="G1276">
        <v>1691426</v>
      </c>
      <c r="H1276" t="s">
        <v>26</v>
      </c>
      <c r="I1276" t="s">
        <v>328</v>
      </c>
      <c r="J1276" t="str">
        <f>"9781118839492"</f>
        <v>9781118839492</v>
      </c>
      <c r="K1276" t="s">
        <v>2267</v>
      </c>
      <c r="L1276">
        <v>3</v>
      </c>
      <c r="O1276" t="s">
        <v>28</v>
      </c>
      <c r="P1276" t="s">
        <v>29</v>
      </c>
      <c r="Q1276" s="1">
        <v>42374.871863425928</v>
      </c>
      <c r="R1276">
        <v>7</v>
      </c>
      <c r="S1276" t="s">
        <v>40</v>
      </c>
      <c r="T1276" t="s">
        <v>331</v>
      </c>
      <c r="U1276">
        <v>613.70460000000003</v>
      </c>
      <c r="V1276" s="3">
        <v>41772</v>
      </c>
    </row>
    <row r="1277" spans="1:22" x14ac:dyDescent="0.35">
      <c r="A1277" s="1">
        <v>42375.905451388891</v>
      </c>
      <c r="B1277" s="2">
        <v>2.4027777777777776E-2</v>
      </c>
      <c r="C1277" t="s">
        <v>2190</v>
      </c>
      <c r="D1277" t="s">
        <v>23</v>
      </c>
      <c r="E1277" t="s">
        <v>24</v>
      </c>
      <c r="F1277" t="s">
        <v>2191</v>
      </c>
      <c r="G1277">
        <v>1691133</v>
      </c>
      <c r="H1277" t="s">
        <v>91</v>
      </c>
      <c r="I1277" t="s">
        <v>247</v>
      </c>
      <c r="J1277" t="str">
        <f>"9781462516278"</f>
        <v>9781462516278</v>
      </c>
      <c r="K1277" t="s">
        <v>2268</v>
      </c>
      <c r="L1277">
        <v>55</v>
      </c>
      <c r="O1277" t="s">
        <v>30</v>
      </c>
      <c r="P1277" t="s">
        <v>29</v>
      </c>
      <c r="Q1277" s="1">
        <v>42375.905451388891</v>
      </c>
      <c r="R1277">
        <v>7</v>
      </c>
      <c r="S1277" t="s">
        <v>31</v>
      </c>
      <c r="T1277" t="s">
        <v>2194</v>
      </c>
      <c r="U1277" t="s">
        <v>2195</v>
      </c>
      <c r="V1277" s="3">
        <v>41774</v>
      </c>
    </row>
    <row r="1278" spans="1:22" x14ac:dyDescent="0.35">
      <c r="A1278" s="1">
        <v>42375.898136574076</v>
      </c>
      <c r="B1278" s="2">
        <v>7.3148148148148148E-3</v>
      </c>
      <c r="C1278" t="s">
        <v>2190</v>
      </c>
      <c r="D1278" t="s">
        <v>23</v>
      </c>
      <c r="E1278" t="s">
        <v>24</v>
      </c>
      <c r="F1278" t="s">
        <v>2191</v>
      </c>
      <c r="G1278">
        <v>1691133</v>
      </c>
      <c r="H1278" t="s">
        <v>91</v>
      </c>
      <c r="I1278" t="s">
        <v>247</v>
      </c>
      <c r="J1278" t="str">
        <f>"9781462516278"</f>
        <v>9781462516278</v>
      </c>
      <c r="K1278" t="s">
        <v>2269</v>
      </c>
      <c r="L1278">
        <v>21</v>
      </c>
      <c r="O1278" t="s">
        <v>30</v>
      </c>
      <c r="P1278" t="s">
        <v>42</v>
      </c>
      <c r="S1278" t="s">
        <v>31</v>
      </c>
      <c r="T1278" t="s">
        <v>2194</v>
      </c>
      <c r="U1278" t="s">
        <v>2195</v>
      </c>
      <c r="V1278" s="3">
        <v>41774</v>
      </c>
    </row>
    <row r="1279" spans="1:22" x14ac:dyDescent="0.35">
      <c r="A1279" s="1">
        <v>42375.895266203705</v>
      </c>
      <c r="B1279" s="2">
        <v>1.5891203703703703E-2</v>
      </c>
      <c r="C1279" t="s">
        <v>1893</v>
      </c>
      <c r="D1279" t="s">
        <v>35</v>
      </c>
      <c r="E1279" t="s">
        <v>36</v>
      </c>
      <c r="F1279" t="s">
        <v>327</v>
      </c>
      <c r="G1279">
        <v>1691426</v>
      </c>
      <c r="H1279" t="s">
        <v>26</v>
      </c>
      <c r="I1279" t="s">
        <v>328</v>
      </c>
      <c r="J1279" t="str">
        <f>"9781118839492"</f>
        <v>9781118839492</v>
      </c>
      <c r="K1279" t="s">
        <v>1132</v>
      </c>
      <c r="L1279">
        <v>38</v>
      </c>
      <c r="O1279" t="s">
        <v>30</v>
      </c>
      <c r="P1279" t="s">
        <v>29</v>
      </c>
      <c r="Q1279" s="1">
        <v>42374.871863425928</v>
      </c>
      <c r="R1279">
        <v>7</v>
      </c>
      <c r="S1279" t="s">
        <v>40</v>
      </c>
      <c r="T1279" t="s">
        <v>331</v>
      </c>
      <c r="U1279">
        <v>613.70460000000003</v>
      </c>
      <c r="V1279" s="3">
        <v>41772</v>
      </c>
    </row>
    <row r="1280" spans="1:22" x14ac:dyDescent="0.35">
      <c r="A1280" s="1">
        <v>42375.86855324074</v>
      </c>
      <c r="B1280" s="2">
        <v>5.9027777777777778E-4</v>
      </c>
      <c r="C1280" t="s">
        <v>1399</v>
      </c>
      <c r="D1280" t="s">
        <v>35</v>
      </c>
      <c r="E1280" t="s">
        <v>36</v>
      </c>
      <c r="F1280" t="s">
        <v>327</v>
      </c>
      <c r="G1280">
        <v>1691426</v>
      </c>
      <c r="H1280" t="s">
        <v>26</v>
      </c>
      <c r="I1280" t="s">
        <v>328</v>
      </c>
      <c r="J1280" t="str">
        <f>"9781118839492"</f>
        <v>9781118839492</v>
      </c>
      <c r="K1280" t="s">
        <v>2270</v>
      </c>
      <c r="L1280">
        <v>11</v>
      </c>
      <c r="O1280" t="s">
        <v>30</v>
      </c>
      <c r="P1280" t="s">
        <v>42</v>
      </c>
      <c r="S1280" t="s">
        <v>40</v>
      </c>
      <c r="T1280" t="s">
        <v>331</v>
      </c>
      <c r="U1280">
        <v>613.70460000000003</v>
      </c>
      <c r="V1280" s="3">
        <v>41772</v>
      </c>
    </row>
    <row r="1281" spans="1:22" x14ac:dyDescent="0.35">
      <c r="A1281" s="1">
        <v>42375.856400462966</v>
      </c>
      <c r="B1281" s="2">
        <v>2.0486111111111113E-3</v>
      </c>
      <c r="C1281" t="s">
        <v>2271</v>
      </c>
      <c r="D1281" t="s">
        <v>35</v>
      </c>
      <c r="E1281" t="s">
        <v>36</v>
      </c>
      <c r="F1281" t="s">
        <v>2272</v>
      </c>
      <c r="G1281">
        <v>1982572</v>
      </c>
      <c r="H1281" t="s">
        <v>526</v>
      </c>
      <c r="I1281" t="s">
        <v>310</v>
      </c>
      <c r="J1281" t="str">
        <f>"9780226252377"</f>
        <v>9780226252377</v>
      </c>
      <c r="K1281" t="s">
        <v>2273</v>
      </c>
      <c r="L1281">
        <v>25</v>
      </c>
      <c r="O1281" t="s">
        <v>30</v>
      </c>
      <c r="P1281" t="s">
        <v>50</v>
      </c>
      <c r="S1281" t="s">
        <v>40</v>
      </c>
      <c r="T1281" t="s">
        <v>2274</v>
      </c>
      <c r="U1281" t="s">
        <v>2275</v>
      </c>
      <c r="V1281" s="3">
        <v>42024</v>
      </c>
    </row>
    <row r="1282" spans="1:22" x14ac:dyDescent="0.35">
      <c r="A1282" s="1">
        <v>42375.856053240743</v>
      </c>
      <c r="B1282" s="2">
        <v>2.3148148148148146E-4</v>
      </c>
      <c r="C1282" t="s">
        <v>2271</v>
      </c>
      <c r="D1282" t="s">
        <v>35</v>
      </c>
      <c r="E1282" t="s">
        <v>36</v>
      </c>
      <c r="F1282" t="s">
        <v>2272</v>
      </c>
      <c r="G1282">
        <v>1982572</v>
      </c>
      <c r="H1282" t="s">
        <v>526</v>
      </c>
      <c r="I1282" t="s">
        <v>310</v>
      </c>
      <c r="J1282" t="str">
        <f>"9780226252377"</f>
        <v>9780226252377</v>
      </c>
      <c r="K1282" t="s">
        <v>1239</v>
      </c>
      <c r="L1282">
        <v>3</v>
      </c>
      <c r="O1282" t="s">
        <v>30</v>
      </c>
      <c r="P1282" t="s">
        <v>50</v>
      </c>
      <c r="S1282" t="s">
        <v>40</v>
      </c>
      <c r="T1282" t="s">
        <v>2274</v>
      </c>
      <c r="U1282" t="s">
        <v>2275</v>
      </c>
      <c r="V1282" s="3">
        <v>42024</v>
      </c>
    </row>
    <row r="1283" spans="1:22" x14ac:dyDescent="0.35">
      <c r="A1283" s="1">
        <v>42375.847997685189</v>
      </c>
      <c r="B1283" s="2">
        <v>2.1423611111111112E-2</v>
      </c>
      <c r="C1283" t="s">
        <v>2276</v>
      </c>
      <c r="D1283" t="s">
        <v>23</v>
      </c>
      <c r="E1283" t="s">
        <v>24</v>
      </c>
      <c r="F1283" t="s">
        <v>226</v>
      </c>
      <c r="G1283">
        <v>1895348</v>
      </c>
      <c r="H1283" t="s">
        <v>26</v>
      </c>
      <c r="I1283" t="s">
        <v>69</v>
      </c>
      <c r="J1283" t="str">
        <f>"9781119068839"</f>
        <v>9781119068839</v>
      </c>
      <c r="K1283" t="s">
        <v>2277</v>
      </c>
      <c r="L1283">
        <v>22</v>
      </c>
      <c r="O1283" t="s">
        <v>30</v>
      </c>
      <c r="P1283" t="s">
        <v>29</v>
      </c>
      <c r="Q1283" s="1">
        <v>42375.714560185188</v>
      </c>
      <c r="R1283">
        <v>7</v>
      </c>
      <c r="S1283" t="s">
        <v>31</v>
      </c>
      <c r="T1283" t="s">
        <v>227</v>
      </c>
      <c r="U1283">
        <v>378.16640000000001</v>
      </c>
      <c r="V1283" s="3">
        <v>42151</v>
      </c>
    </row>
    <row r="1284" spans="1:22" x14ac:dyDescent="0.35">
      <c r="A1284" s="1">
        <v>42375.80877314815</v>
      </c>
      <c r="B1284" s="2">
        <v>3.7187499999999998E-2</v>
      </c>
      <c r="C1284" t="s">
        <v>520</v>
      </c>
      <c r="D1284" t="s">
        <v>23</v>
      </c>
      <c r="E1284" t="s">
        <v>24</v>
      </c>
      <c r="F1284" t="s">
        <v>1579</v>
      </c>
      <c r="G1284">
        <v>1161538</v>
      </c>
      <c r="H1284" t="s">
        <v>26</v>
      </c>
      <c r="I1284" t="s">
        <v>108</v>
      </c>
      <c r="J1284" t="str">
        <f>"9781118521755"</f>
        <v>9781118521755</v>
      </c>
      <c r="K1284" t="s">
        <v>2278</v>
      </c>
      <c r="L1284">
        <v>20</v>
      </c>
      <c r="O1284" t="s">
        <v>30</v>
      </c>
      <c r="P1284" t="s">
        <v>29</v>
      </c>
      <c r="Q1284" s="1">
        <v>42374.561342592591</v>
      </c>
      <c r="R1284">
        <v>7</v>
      </c>
      <c r="S1284" t="s">
        <v>31</v>
      </c>
      <c r="T1284" t="s">
        <v>1581</v>
      </c>
      <c r="U1284">
        <v>332.63220000000001</v>
      </c>
      <c r="V1284" s="3">
        <v>41359</v>
      </c>
    </row>
    <row r="1285" spans="1:22" x14ac:dyDescent="0.35">
      <c r="A1285" s="1">
        <v>42375.765856481485</v>
      </c>
      <c r="B1285" s="2">
        <v>3.1134259259259257E-3</v>
      </c>
      <c r="C1285" t="s">
        <v>2279</v>
      </c>
      <c r="D1285" t="s">
        <v>23</v>
      </c>
      <c r="E1285" t="s">
        <v>24</v>
      </c>
      <c r="F1285" t="s">
        <v>2280</v>
      </c>
      <c r="G1285">
        <v>1569742</v>
      </c>
      <c r="H1285" t="s">
        <v>68</v>
      </c>
      <c r="I1285" t="s">
        <v>445</v>
      </c>
      <c r="J1285" t="str">
        <f>"9781135651985"</f>
        <v>9781135651985</v>
      </c>
      <c r="K1285" t="s">
        <v>2281</v>
      </c>
      <c r="L1285">
        <v>11</v>
      </c>
      <c r="O1285" t="s">
        <v>30</v>
      </c>
      <c r="P1285" t="s">
        <v>47</v>
      </c>
      <c r="Q1285" s="1">
        <v>42375.624247685184</v>
      </c>
      <c r="R1285">
        <v>1</v>
      </c>
      <c r="S1285" t="s">
        <v>31</v>
      </c>
      <c r="T1285" t="s">
        <v>2282</v>
      </c>
      <c r="U1285">
        <v>338.06400000000002</v>
      </c>
      <c r="V1285" s="3">
        <v>41604</v>
      </c>
    </row>
    <row r="1286" spans="1:22" x14ac:dyDescent="0.35">
      <c r="A1286" s="1">
        <v>42375.765081018515</v>
      </c>
      <c r="B1286" s="2">
        <v>6.4814814814814813E-4</v>
      </c>
      <c r="C1286" t="s">
        <v>2279</v>
      </c>
      <c r="D1286" t="s">
        <v>23</v>
      </c>
      <c r="E1286" t="s">
        <v>24</v>
      </c>
      <c r="F1286" t="s">
        <v>2283</v>
      </c>
      <c r="G1286">
        <v>3061321</v>
      </c>
      <c r="H1286" t="s">
        <v>68</v>
      </c>
      <c r="I1286" t="s">
        <v>108</v>
      </c>
      <c r="J1286" t="str">
        <f>"9780203064474"</f>
        <v>9780203064474</v>
      </c>
      <c r="K1286" t="s">
        <v>2284</v>
      </c>
      <c r="L1286">
        <v>11</v>
      </c>
      <c r="O1286" t="s">
        <v>30</v>
      </c>
      <c r="P1286" t="s">
        <v>50</v>
      </c>
      <c r="S1286" t="s">
        <v>31</v>
      </c>
      <c r="T1286" t="s">
        <v>2285</v>
      </c>
      <c r="U1286" t="s">
        <v>2286</v>
      </c>
      <c r="V1286" s="3">
        <v>41548</v>
      </c>
    </row>
    <row r="1287" spans="1:22" x14ac:dyDescent="0.35">
      <c r="A1287" s="1">
        <v>42375.745763888888</v>
      </c>
      <c r="B1287" s="2">
        <v>5.2662037037037035E-3</v>
      </c>
      <c r="C1287" t="s">
        <v>1954</v>
      </c>
      <c r="D1287" t="s">
        <v>35</v>
      </c>
      <c r="E1287" t="s">
        <v>36</v>
      </c>
      <c r="F1287" t="s">
        <v>327</v>
      </c>
      <c r="G1287">
        <v>1691426</v>
      </c>
      <c r="H1287" t="s">
        <v>26</v>
      </c>
      <c r="I1287" t="s">
        <v>328</v>
      </c>
      <c r="J1287" t="str">
        <f>"9781118839492"</f>
        <v>9781118839492</v>
      </c>
      <c r="K1287" t="s">
        <v>2287</v>
      </c>
      <c r="L1287">
        <v>9</v>
      </c>
      <c r="O1287" t="s">
        <v>30</v>
      </c>
      <c r="P1287" t="s">
        <v>42</v>
      </c>
      <c r="S1287" t="s">
        <v>40</v>
      </c>
      <c r="T1287" t="s">
        <v>331</v>
      </c>
      <c r="U1287">
        <v>613.70460000000003</v>
      </c>
      <c r="V1287" s="3">
        <v>41772</v>
      </c>
    </row>
    <row r="1288" spans="1:22" x14ac:dyDescent="0.35">
      <c r="A1288" s="1">
        <v>42375.744826388887</v>
      </c>
      <c r="B1288" s="2">
        <v>3.4722222222222222E-5</v>
      </c>
      <c r="C1288" t="s">
        <v>1291</v>
      </c>
      <c r="D1288" t="s">
        <v>23</v>
      </c>
      <c r="E1288" t="s">
        <v>24</v>
      </c>
      <c r="F1288" t="s">
        <v>907</v>
      </c>
      <c r="G1288">
        <v>694171</v>
      </c>
      <c r="H1288" t="s">
        <v>26</v>
      </c>
      <c r="I1288" t="s">
        <v>161</v>
      </c>
      <c r="J1288" t="str">
        <f>"9780470865156"</f>
        <v>9780470865156</v>
      </c>
      <c r="K1288" t="s">
        <v>33</v>
      </c>
      <c r="L1288">
        <v>3</v>
      </c>
      <c r="O1288" t="s">
        <v>30</v>
      </c>
      <c r="P1288" t="s">
        <v>50</v>
      </c>
      <c r="S1288" t="s">
        <v>31</v>
      </c>
      <c r="T1288" t="s">
        <v>909</v>
      </c>
      <c r="U1288">
        <v>530.12</v>
      </c>
      <c r="V1288" s="3">
        <v>41414</v>
      </c>
    </row>
    <row r="1289" spans="1:22" x14ac:dyDescent="0.35">
      <c r="A1289" s="1">
        <v>42375.723124999997</v>
      </c>
      <c r="B1289" s="2">
        <v>2.4305555555555552E-4</v>
      </c>
      <c r="C1289" t="s">
        <v>2276</v>
      </c>
      <c r="D1289" t="s">
        <v>23</v>
      </c>
      <c r="E1289" t="s">
        <v>24</v>
      </c>
      <c r="F1289" t="s">
        <v>226</v>
      </c>
      <c r="G1289">
        <v>1895348</v>
      </c>
      <c r="H1289" t="s">
        <v>26</v>
      </c>
      <c r="I1289" t="s">
        <v>69</v>
      </c>
      <c r="J1289" t="str">
        <f>"9781119068839"</f>
        <v>9781119068839</v>
      </c>
      <c r="K1289" t="s">
        <v>2288</v>
      </c>
      <c r="L1289">
        <v>7</v>
      </c>
      <c r="O1289" t="s">
        <v>30</v>
      </c>
      <c r="P1289" t="s">
        <v>29</v>
      </c>
      <c r="Q1289" s="1">
        <v>42375.714560185188</v>
      </c>
      <c r="R1289">
        <v>7</v>
      </c>
      <c r="S1289" t="s">
        <v>31</v>
      </c>
      <c r="T1289" t="s">
        <v>227</v>
      </c>
      <c r="U1289">
        <v>378.16640000000001</v>
      </c>
      <c r="V1289" s="3">
        <v>42151</v>
      </c>
    </row>
    <row r="1290" spans="1:22" x14ac:dyDescent="0.35">
      <c r="A1290" s="1">
        <v>42375.714571759258</v>
      </c>
      <c r="B1290" s="2">
        <v>1.1921296296296296E-3</v>
      </c>
      <c r="C1290" t="s">
        <v>2276</v>
      </c>
      <c r="D1290" t="s">
        <v>23</v>
      </c>
      <c r="E1290" t="s">
        <v>24</v>
      </c>
      <c r="F1290" t="s">
        <v>226</v>
      </c>
      <c r="G1290">
        <v>1895348</v>
      </c>
      <c r="H1290" t="s">
        <v>26</v>
      </c>
      <c r="I1290" t="s">
        <v>69</v>
      </c>
      <c r="J1290" t="str">
        <f>"9781119068839"</f>
        <v>9781119068839</v>
      </c>
      <c r="K1290" t="s">
        <v>2289</v>
      </c>
      <c r="L1290">
        <v>15</v>
      </c>
      <c r="O1290" t="s">
        <v>30</v>
      </c>
      <c r="P1290" t="s">
        <v>29</v>
      </c>
      <c r="Q1290" s="1">
        <v>42375.714560185188</v>
      </c>
      <c r="R1290">
        <v>7</v>
      </c>
      <c r="S1290" t="s">
        <v>31</v>
      </c>
      <c r="T1290" t="s">
        <v>227</v>
      </c>
      <c r="U1290">
        <v>378.16640000000001</v>
      </c>
      <c r="V1290" s="3">
        <v>42151</v>
      </c>
    </row>
    <row r="1291" spans="1:22" x14ac:dyDescent="0.35">
      <c r="A1291" s="1">
        <v>42375.708935185183</v>
      </c>
      <c r="B1291" s="2">
        <v>5.6249999999999989E-3</v>
      </c>
      <c r="C1291" t="s">
        <v>2276</v>
      </c>
      <c r="D1291" t="s">
        <v>23</v>
      </c>
      <c r="E1291" t="s">
        <v>24</v>
      </c>
      <c r="F1291" t="s">
        <v>226</v>
      </c>
      <c r="G1291">
        <v>1895348</v>
      </c>
      <c r="H1291" t="s">
        <v>26</v>
      </c>
      <c r="I1291" t="s">
        <v>69</v>
      </c>
      <c r="J1291" t="str">
        <f>"9781119068839"</f>
        <v>9781119068839</v>
      </c>
      <c r="K1291" t="s">
        <v>2290</v>
      </c>
      <c r="L1291">
        <v>15</v>
      </c>
      <c r="O1291" t="s">
        <v>30</v>
      </c>
      <c r="P1291" t="s">
        <v>42</v>
      </c>
      <c r="S1291" t="s">
        <v>31</v>
      </c>
      <c r="T1291" t="s">
        <v>227</v>
      </c>
      <c r="U1291">
        <v>378.16640000000001</v>
      </c>
      <c r="V1291" s="3">
        <v>42151</v>
      </c>
    </row>
    <row r="1292" spans="1:22" x14ac:dyDescent="0.35">
      <c r="A1292" s="1">
        <v>42375.657164351855</v>
      </c>
      <c r="B1292" s="2">
        <v>6.3310185185185197E-3</v>
      </c>
      <c r="C1292" t="s">
        <v>2291</v>
      </c>
      <c r="D1292" t="s">
        <v>23</v>
      </c>
      <c r="E1292" t="s">
        <v>24</v>
      </c>
      <c r="F1292" t="s">
        <v>2292</v>
      </c>
      <c r="G1292">
        <v>3061145</v>
      </c>
      <c r="H1292" t="s">
        <v>68</v>
      </c>
      <c r="I1292" t="s">
        <v>120</v>
      </c>
      <c r="J1292" t="str">
        <f>"9781315079424"</f>
        <v>9781315079424</v>
      </c>
      <c r="K1292" t="s">
        <v>2293</v>
      </c>
      <c r="L1292">
        <v>10</v>
      </c>
      <c r="O1292" t="s">
        <v>30</v>
      </c>
      <c r="P1292" t="s">
        <v>47</v>
      </c>
      <c r="Q1292" s="1">
        <v>42375.657164351855</v>
      </c>
      <c r="R1292">
        <v>1</v>
      </c>
      <c r="S1292" t="s">
        <v>31</v>
      </c>
      <c r="T1292" t="s">
        <v>2294</v>
      </c>
      <c r="U1292">
        <v>363.8</v>
      </c>
      <c r="V1292" s="3">
        <v>41579</v>
      </c>
    </row>
    <row r="1293" spans="1:22" x14ac:dyDescent="0.35">
      <c r="A1293" s="1">
        <v>42375.6487037037</v>
      </c>
      <c r="B1293" s="2">
        <v>8.4606481481481494E-3</v>
      </c>
      <c r="C1293" t="s">
        <v>2291</v>
      </c>
      <c r="D1293" t="s">
        <v>23</v>
      </c>
      <c r="E1293" t="s">
        <v>24</v>
      </c>
      <c r="F1293" t="s">
        <v>2292</v>
      </c>
      <c r="G1293">
        <v>3061145</v>
      </c>
      <c r="H1293" t="s">
        <v>68</v>
      </c>
      <c r="I1293" t="s">
        <v>120</v>
      </c>
      <c r="J1293" t="str">
        <f>"9781315079424"</f>
        <v>9781315079424</v>
      </c>
      <c r="K1293" t="s">
        <v>2295</v>
      </c>
      <c r="L1293">
        <v>8</v>
      </c>
      <c r="O1293" t="s">
        <v>30</v>
      </c>
      <c r="P1293" t="s">
        <v>50</v>
      </c>
      <c r="S1293" t="s">
        <v>31</v>
      </c>
      <c r="T1293" t="s">
        <v>2294</v>
      </c>
      <c r="U1293">
        <v>363.8</v>
      </c>
      <c r="V1293" s="3">
        <v>41579</v>
      </c>
    </row>
    <row r="1294" spans="1:22" x14ac:dyDescent="0.35">
      <c r="A1294" s="1">
        <v>42375.639317129629</v>
      </c>
      <c r="B1294" s="2">
        <v>9.1435185185185178E-3</v>
      </c>
      <c r="C1294" t="s">
        <v>106</v>
      </c>
      <c r="D1294" t="s">
        <v>23</v>
      </c>
      <c r="E1294" t="s">
        <v>24</v>
      </c>
      <c r="F1294" t="s">
        <v>2200</v>
      </c>
      <c r="G1294">
        <v>1119449</v>
      </c>
      <c r="H1294" t="s">
        <v>26</v>
      </c>
      <c r="I1294" t="s">
        <v>219</v>
      </c>
      <c r="J1294" t="str">
        <f>"9781118482230"</f>
        <v>9781118482230</v>
      </c>
      <c r="K1294" t="s">
        <v>2296</v>
      </c>
      <c r="L1294">
        <v>28</v>
      </c>
      <c r="M1294" t="s">
        <v>2297</v>
      </c>
      <c r="O1294" t="s">
        <v>30</v>
      </c>
      <c r="P1294" t="s">
        <v>29</v>
      </c>
      <c r="Q1294" s="1">
        <v>42375.639317129629</v>
      </c>
      <c r="R1294">
        <v>7</v>
      </c>
      <c r="S1294" t="s">
        <v>31</v>
      </c>
      <c r="T1294" t="s">
        <v>2203</v>
      </c>
      <c r="U1294" t="s">
        <v>2204</v>
      </c>
      <c r="V1294" s="3">
        <v>41302</v>
      </c>
    </row>
    <row r="1295" spans="1:22" x14ac:dyDescent="0.35">
      <c r="A1295" s="1">
        <v>42375.638298611113</v>
      </c>
      <c r="B1295" s="2">
        <v>1.0185185185185186E-3</v>
      </c>
      <c r="C1295" t="s">
        <v>106</v>
      </c>
      <c r="D1295" t="s">
        <v>23</v>
      </c>
      <c r="E1295" t="s">
        <v>24</v>
      </c>
      <c r="F1295" t="s">
        <v>2200</v>
      </c>
      <c r="G1295">
        <v>1119449</v>
      </c>
      <c r="H1295" t="s">
        <v>26</v>
      </c>
      <c r="I1295" t="s">
        <v>219</v>
      </c>
      <c r="J1295" t="str">
        <f>"9781118482230"</f>
        <v>9781118482230</v>
      </c>
      <c r="K1295" t="s">
        <v>2298</v>
      </c>
      <c r="L1295">
        <v>21</v>
      </c>
      <c r="O1295" t="s">
        <v>30</v>
      </c>
      <c r="P1295" t="s">
        <v>42</v>
      </c>
      <c r="S1295" t="s">
        <v>31</v>
      </c>
      <c r="T1295" t="s">
        <v>2203</v>
      </c>
      <c r="U1295" t="s">
        <v>2204</v>
      </c>
      <c r="V1295" s="3">
        <v>41302</v>
      </c>
    </row>
    <row r="1296" spans="1:22" x14ac:dyDescent="0.35">
      <c r="A1296" s="1">
        <v>42375.624247685184</v>
      </c>
      <c r="B1296" s="2">
        <v>3.4722222222222224E-4</v>
      </c>
      <c r="C1296" t="s">
        <v>2279</v>
      </c>
      <c r="D1296" t="s">
        <v>23</v>
      </c>
      <c r="E1296" t="s">
        <v>24</v>
      </c>
      <c r="F1296" t="s">
        <v>2280</v>
      </c>
      <c r="G1296">
        <v>1569742</v>
      </c>
      <c r="H1296" t="s">
        <v>68</v>
      </c>
      <c r="I1296" t="s">
        <v>445</v>
      </c>
      <c r="J1296" t="str">
        <f>"9781135651985"</f>
        <v>9781135651985</v>
      </c>
      <c r="K1296" t="s">
        <v>2299</v>
      </c>
      <c r="L1296">
        <v>15</v>
      </c>
      <c r="O1296" t="s">
        <v>30</v>
      </c>
      <c r="P1296" t="s">
        <v>47</v>
      </c>
      <c r="Q1296" s="1">
        <v>42375.624247685184</v>
      </c>
      <c r="R1296">
        <v>1</v>
      </c>
      <c r="S1296" t="s">
        <v>31</v>
      </c>
      <c r="T1296" t="s">
        <v>2282</v>
      </c>
      <c r="U1296">
        <v>338.06400000000002</v>
      </c>
      <c r="V1296" s="3">
        <v>41604</v>
      </c>
    </row>
    <row r="1297" spans="1:22" x14ac:dyDescent="0.35">
      <c r="A1297" s="1">
        <v>42375.599444444444</v>
      </c>
      <c r="B1297" s="2">
        <v>9.8379629629629642E-4</v>
      </c>
      <c r="C1297" t="s">
        <v>1291</v>
      </c>
      <c r="D1297" t="s">
        <v>23</v>
      </c>
      <c r="E1297" t="s">
        <v>24</v>
      </c>
      <c r="F1297" t="s">
        <v>907</v>
      </c>
      <c r="G1297">
        <v>694171</v>
      </c>
      <c r="H1297" t="s">
        <v>26</v>
      </c>
      <c r="I1297" t="s">
        <v>161</v>
      </c>
      <c r="J1297" t="str">
        <f>"9780470865156"</f>
        <v>9780470865156</v>
      </c>
      <c r="K1297" t="s">
        <v>2300</v>
      </c>
      <c r="L1297">
        <v>31</v>
      </c>
      <c r="O1297" t="s">
        <v>30</v>
      </c>
      <c r="P1297" t="s">
        <v>50</v>
      </c>
      <c r="S1297" t="s">
        <v>31</v>
      </c>
      <c r="T1297" t="s">
        <v>909</v>
      </c>
      <c r="U1297">
        <v>530.12</v>
      </c>
      <c r="V1297" s="3">
        <v>41414</v>
      </c>
    </row>
    <row r="1298" spans="1:22" x14ac:dyDescent="0.35">
      <c r="A1298" s="1">
        <v>42375.575057870374</v>
      </c>
      <c r="B1298" s="2">
        <v>4.9189814814814818E-2</v>
      </c>
      <c r="C1298" t="s">
        <v>2279</v>
      </c>
      <c r="D1298" t="s">
        <v>23</v>
      </c>
      <c r="E1298" t="s">
        <v>24</v>
      </c>
      <c r="F1298" t="s">
        <v>2280</v>
      </c>
      <c r="G1298">
        <v>1569742</v>
      </c>
      <c r="H1298" t="s">
        <v>68</v>
      </c>
      <c r="I1298" t="s">
        <v>445</v>
      </c>
      <c r="J1298" t="str">
        <f>"9781135651985"</f>
        <v>9781135651985</v>
      </c>
      <c r="K1298" t="s">
        <v>33</v>
      </c>
      <c r="L1298">
        <v>3</v>
      </c>
      <c r="O1298" t="s">
        <v>30</v>
      </c>
      <c r="P1298" t="s">
        <v>50</v>
      </c>
      <c r="S1298" t="s">
        <v>31</v>
      </c>
      <c r="T1298" t="s">
        <v>2282</v>
      </c>
      <c r="U1298">
        <v>338.06400000000002</v>
      </c>
      <c r="V1298" s="3">
        <v>41604</v>
      </c>
    </row>
    <row r="1299" spans="1:22" x14ac:dyDescent="0.35">
      <c r="A1299" s="1">
        <v>42375.415185185186</v>
      </c>
      <c r="B1299" s="2">
        <v>3.7037037037037035E-4</v>
      </c>
      <c r="C1299" t="s">
        <v>520</v>
      </c>
      <c r="D1299" t="s">
        <v>23</v>
      </c>
      <c r="E1299" t="s">
        <v>24</v>
      </c>
      <c r="F1299" t="s">
        <v>1579</v>
      </c>
      <c r="G1299">
        <v>1161538</v>
      </c>
      <c r="H1299" t="s">
        <v>26</v>
      </c>
      <c r="I1299" t="s">
        <v>108</v>
      </c>
      <c r="J1299" t="str">
        <f>"9781118521755"</f>
        <v>9781118521755</v>
      </c>
      <c r="K1299" t="s">
        <v>2301</v>
      </c>
      <c r="L1299">
        <v>5</v>
      </c>
      <c r="O1299" t="s">
        <v>30</v>
      </c>
      <c r="P1299" t="s">
        <v>29</v>
      </c>
      <c r="Q1299" s="1">
        <v>42374.561342592591</v>
      </c>
      <c r="R1299">
        <v>7</v>
      </c>
      <c r="S1299" t="s">
        <v>31</v>
      </c>
      <c r="T1299" t="s">
        <v>1581</v>
      </c>
      <c r="U1299">
        <v>332.63220000000001</v>
      </c>
      <c r="V1299" s="3">
        <v>41359</v>
      </c>
    </row>
    <row r="1300" spans="1:22" x14ac:dyDescent="0.35">
      <c r="A1300" s="1">
        <v>42375.310173611113</v>
      </c>
      <c r="B1300" s="2">
        <v>9.2592592592592588E-5</v>
      </c>
      <c r="C1300" t="s">
        <v>520</v>
      </c>
      <c r="D1300" t="s">
        <v>23</v>
      </c>
      <c r="E1300" t="s">
        <v>24</v>
      </c>
      <c r="F1300" t="s">
        <v>1579</v>
      </c>
      <c r="G1300">
        <v>1161538</v>
      </c>
      <c r="H1300" t="s">
        <v>26</v>
      </c>
      <c r="I1300" t="s">
        <v>108</v>
      </c>
      <c r="J1300" t="str">
        <f>"9781118521755"</f>
        <v>9781118521755</v>
      </c>
      <c r="K1300" t="s">
        <v>33</v>
      </c>
      <c r="L1300">
        <v>3</v>
      </c>
      <c r="O1300" t="s">
        <v>30</v>
      </c>
      <c r="P1300" t="s">
        <v>29</v>
      </c>
      <c r="Q1300" s="1">
        <v>42374.561342592591</v>
      </c>
      <c r="R1300">
        <v>7</v>
      </c>
      <c r="S1300" t="s">
        <v>31</v>
      </c>
      <c r="T1300" t="s">
        <v>1581</v>
      </c>
      <c r="U1300">
        <v>332.63220000000001</v>
      </c>
      <c r="V1300" s="3">
        <v>41359</v>
      </c>
    </row>
    <row r="1301" spans="1:22" x14ac:dyDescent="0.35">
      <c r="A1301" s="1">
        <v>42375.220358796294</v>
      </c>
      <c r="B1301" s="2">
        <v>1.0416666666666667E-4</v>
      </c>
      <c r="C1301" t="s">
        <v>2302</v>
      </c>
      <c r="D1301" t="s">
        <v>117</v>
      </c>
      <c r="E1301" t="s">
        <v>118</v>
      </c>
      <c r="F1301" t="s">
        <v>2303</v>
      </c>
      <c r="G1301">
        <v>1584165</v>
      </c>
      <c r="H1301" t="s">
        <v>26</v>
      </c>
      <c r="I1301" t="s">
        <v>219</v>
      </c>
      <c r="J1301" t="str">
        <f>"9781118841358"</f>
        <v>9781118841358</v>
      </c>
      <c r="K1301" t="s">
        <v>2304</v>
      </c>
      <c r="L1301">
        <v>6</v>
      </c>
      <c r="O1301" t="s">
        <v>30</v>
      </c>
      <c r="P1301" t="s">
        <v>47</v>
      </c>
      <c r="Q1301" s="1">
        <v>42375.220358796294</v>
      </c>
      <c r="R1301">
        <v>1</v>
      </c>
      <c r="S1301" t="s">
        <v>121</v>
      </c>
      <c r="T1301" t="s">
        <v>2305</v>
      </c>
      <c r="U1301">
        <v>155.9042</v>
      </c>
      <c r="V1301" s="3">
        <v>41628</v>
      </c>
    </row>
    <row r="1302" spans="1:22" x14ac:dyDescent="0.35">
      <c r="A1302" s="1">
        <v>42375.216608796298</v>
      </c>
      <c r="B1302" s="2">
        <v>3.7500000000000003E-3</v>
      </c>
      <c r="C1302" t="s">
        <v>2302</v>
      </c>
      <c r="D1302" t="s">
        <v>117</v>
      </c>
      <c r="E1302" t="s">
        <v>118</v>
      </c>
      <c r="F1302" t="s">
        <v>2303</v>
      </c>
      <c r="G1302">
        <v>1584165</v>
      </c>
      <c r="H1302" t="s">
        <v>26</v>
      </c>
      <c r="I1302" t="s">
        <v>219</v>
      </c>
      <c r="J1302" t="str">
        <f>"9781118841358"</f>
        <v>9781118841358</v>
      </c>
      <c r="K1302" t="s">
        <v>1073</v>
      </c>
      <c r="L1302">
        <v>25</v>
      </c>
      <c r="O1302" t="s">
        <v>30</v>
      </c>
      <c r="P1302" t="s">
        <v>50</v>
      </c>
      <c r="S1302" t="s">
        <v>121</v>
      </c>
      <c r="T1302" t="s">
        <v>2305</v>
      </c>
      <c r="U1302">
        <v>155.9042</v>
      </c>
      <c r="V1302" s="3">
        <v>41628</v>
      </c>
    </row>
    <row r="1303" spans="1:22" x14ac:dyDescent="0.35">
      <c r="A1303" s="1">
        <v>42375.212523148148</v>
      </c>
      <c r="B1303" s="2">
        <v>7.0023148148148154E-3</v>
      </c>
      <c r="C1303" t="s">
        <v>2306</v>
      </c>
      <c r="D1303" t="s">
        <v>23</v>
      </c>
      <c r="E1303" t="s">
        <v>24</v>
      </c>
      <c r="F1303" t="s">
        <v>2307</v>
      </c>
      <c r="G1303">
        <v>3038511</v>
      </c>
      <c r="H1303" t="s">
        <v>526</v>
      </c>
      <c r="I1303" t="s">
        <v>150</v>
      </c>
      <c r="J1303" t="str">
        <f>"9780226090375"</f>
        <v>9780226090375</v>
      </c>
      <c r="K1303" t="s">
        <v>2308</v>
      </c>
      <c r="L1303">
        <v>10</v>
      </c>
      <c r="O1303" t="s">
        <v>30</v>
      </c>
      <c r="P1303" t="s">
        <v>47</v>
      </c>
      <c r="Q1303" s="1">
        <v>42375.212523148148</v>
      </c>
      <c r="R1303">
        <v>1</v>
      </c>
      <c r="S1303" t="s">
        <v>31</v>
      </c>
      <c r="T1303" t="s">
        <v>2309</v>
      </c>
      <c r="U1303">
        <v>709.2</v>
      </c>
      <c r="V1303" s="3">
        <v>41671</v>
      </c>
    </row>
    <row r="1304" spans="1:22" x14ac:dyDescent="0.35">
      <c r="A1304" s="1">
        <v>42375.208379629628</v>
      </c>
      <c r="B1304" s="2">
        <v>4.1435185185185186E-3</v>
      </c>
      <c r="C1304" t="s">
        <v>2306</v>
      </c>
      <c r="D1304" t="s">
        <v>23</v>
      </c>
      <c r="E1304" t="s">
        <v>24</v>
      </c>
      <c r="F1304" t="s">
        <v>2307</v>
      </c>
      <c r="G1304">
        <v>3038511</v>
      </c>
      <c r="H1304" t="s">
        <v>526</v>
      </c>
      <c r="I1304" t="s">
        <v>150</v>
      </c>
      <c r="J1304" t="str">
        <f>"9780226090375"</f>
        <v>9780226090375</v>
      </c>
      <c r="K1304" t="s">
        <v>1007</v>
      </c>
      <c r="L1304">
        <v>26</v>
      </c>
      <c r="O1304" t="s">
        <v>30</v>
      </c>
      <c r="P1304" t="s">
        <v>50</v>
      </c>
      <c r="S1304" t="s">
        <v>31</v>
      </c>
      <c r="T1304" t="s">
        <v>2309</v>
      </c>
      <c r="U1304">
        <v>709.2</v>
      </c>
      <c r="V1304" s="3">
        <v>41671</v>
      </c>
    </row>
    <row r="1305" spans="1:22" x14ac:dyDescent="0.35">
      <c r="A1305" s="1">
        <v>42375.055671296293</v>
      </c>
      <c r="B1305" s="2">
        <v>6.4930555555555549E-3</v>
      </c>
      <c r="C1305" t="s">
        <v>2276</v>
      </c>
      <c r="D1305" t="s">
        <v>23</v>
      </c>
      <c r="E1305" t="s">
        <v>24</v>
      </c>
      <c r="F1305" t="s">
        <v>226</v>
      </c>
      <c r="G1305">
        <v>817313</v>
      </c>
      <c r="H1305" t="s">
        <v>26</v>
      </c>
      <c r="I1305" t="s">
        <v>69</v>
      </c>
      <c r="J1305" t="str">
        <f>"9781118136829"</f>
        <v>9781118136829</v>
      </c>
      <c r="K1305" t="s">
        <v>2310</v>
      </c>
      <c r="L1305">
        <v>15</v>
      </c>
      <c r="O1305" t="s">
        <v>30</v>
      </c>
      <c r="P1305" t="s">
        <v>29</v>
      </c>
      <c r="Q1305" s="1">
        <v>42375.055671296293</v>
      </c>
      <c r="R1305">
        <v>7</v>
      </c>
      <c r="S1305" t="s">
        <v>31</v>
      </c>
      <c r="T1305" t="s">
        <v>2311</v>
      </c>
      <c r="U1305">
        <v>378.16640000000001</v>
      </c>
      <c r="V1305" s="3">
        <v>40918</v>
      </c>
    </row>
    <row r="1306" spans="1:22" x14ac:dyDescent="0.35">
      <c r="A1306" s="1">
        <v>42375.054930555554</v>
      </c>
      <c r="B1306" s="2">
        <v>5.0138888888888893E-2</v>
      </c>
      <c r="C1306" t="s">
        <v>1680</v>
      </c>
      <c r="D1306" t="s">
        <v>35</v>
      </c>
      <c r="E1306" t="s">
        <v>36</v>
      </c>
      <c r="F1306" t="s">
        <v>327</v>
      </c>
      <c r="G1306">
        <v>1691426</v>
      </c>
      <c r="H1306" t="s">
        <v>26</v>
      </c>
      <c r="I1306" t="s">
        <v>328</v>
      </c>
      <c r="J1306" t="str">
        <f>"9781118839492"</f>
        <v>9781118839492</v>
      </c>
      <c r="K1306" t="s">
        <v>2312</v>
      </c>
      <c r="L1306">
        <v>47</v>
      </c>
      <c r="O1306" t="s">
        <v>30</v>
      </c>
      <c r="P1306" t="s">
        <v>29</v>
      </c>
      <c r="Q1306" s="1">
        <v>42374.037326388891</v>
      </c>
      <c r="R1306">
        <v>7</v>
      </c>
      <c r="S1306" t="s">
        <v>40</v>
      </c>
      <c r="T1306" t="s">
        <v>331</v>
      </c>
      <c r="U1306">
        <v>613.70460000000003</v>
      </c>
      <c r="V1306" s="3">
        <v>41772</v>
      </c>
    </row>
    <row r="1307" spans="1:22" x14ac:dyDescent="0.35">
      <c r="A1307" s="1">
        <v>42375.052939814814</v>
      </c>
      <c r="B1307" s="2">
        <v>1.2152777777777778E-3</v>
      </c>
      <c r="C1307" t="s">
        <v>1680</v>
      </c>
      <c r="D1307" t="s">
        <v>35</v>
      </c>
      <c r="E1307" t="s">
        <v>36</v>
      </c>
      <c r="F1307" t="s">
        <v>327</v>
      </c>
      <c r="G1307">
        <v>1691426</v>
      </c>
      <c r="H1307" t="s">
        <v>26</v>
      </c>
      <c r="I1307" t="s">
        <v>328</v>
      </c>
      <c r="J1307" t="str">
        <f>"9781118839492"</f>
        <v>9781118839492</v>
      </c>
      <c r="K1307" t="s">
        <v>2313</v>
      </c>
      <c r="L1307">
        <v>33</v>
      </c>
      <c r="O1307" t="s">
        <v>30</v>
      </c>
      <c r="P1307" t="s">
        <v>29</v>
      </c>
      <c r="Q1307" s="1">
        <v>42374.037326388891</v>
      </c>
      <c r="R1307">
        <v>7</v>
      </c>
      <c r="S1307" t="s">
        <v>40</v>
      </c>
      <c r="T1307" t="s">
        <v>331</v>
      </c>
      <c r="U1307">
        <v>613.70460000000003</v>
      </c>
      <c r="V1307" s="3">
        <v>41772</v>
      </c>
    </row>
    <row r="1308" spans="1:22" x14ac:dyDescent="0.35">
      <c r="A1308" s="1">
        <v>42374.9843287037</v>
      </c>
      <c r="B1308" s="2">
        <v>7.1342592592592582E-2</v>
      </c>
      <c r="C1308" t="s">
        <v>2276</v>
      </c>
      <c r="D1308" t="s">
        <v>23</v>
      </c>
      <c r="E1308" t="s">
        <v>24</v>
      </c>
      <c r="F1308" t="s">
        <v>226</v>
      </c>
      <c r="G1308">
        <v>817313</v>
      </c>
      <c r="H1308" t="s">
        <v>26</v>
      </c>
      <c r="I1308" t="s">
        <v>69</v>
      </c>
      <c r="J1308" t="str">
        <f>"9781118136829"</f>
        <v>9781118136829</v>
      </c>
      <c r="K1308" t="s">
        <v>2314</v>
      </c>
      <c r="L1308">
        <v>8</v>
      </c>
      <c r="O1308" t="s">
        <v>30</v>
      </c>
      <c r="P1308" t="s">
        <v>42</v>
      </c>
      <c r="S1308" t="s">
        <v>31</v>
      </c>
      <c r="T1308" t="s">
        <v>2311</v>
      </c>
      <c r="U1308">
        <v>378.16640000000001</v>
      </c>
      <c r="V1308" s="3">
        <v>40918</v>
      </c>
    </row>
    <row r="1309" spans="1:22" x14ac:dyDescent="0.35">
      <c r="A1309" s="1">
        <v>42374.97388888889</v>
      </c>
      <c r="B1309" s="2">
        <v>6.4583333333333333E-3</v>
      </c>
      <c r="C1309" t="s">
        <v>988</v>
      </c>
      <c r="D1309" t="s">
        <v>23</v>
      </c>
      <c r="E1309" t="s">
        <v>24</v>
      </c>
      <c r="F1309" t="s">
        <v>989</v>
      </c>
      <c r="G1309">
        <v>330580</v>
      </c>
      <c r="H1309" t="s">
        <v>91</v>
      </c>
      <c r="I1309" t="s">
        <v>247</v>
      </c>
      <c r="J1309" t="str">
        <f>"9781593859398"</f>
        <v>9781593859398</v>
      </c>
      <c r="K1309" t="s">
        <v>2315</v>
      </c>
      <c r="L1309">
        <v>19</v>
      </c>
      <c r="O1309" t="s">
        <v>30</v>
      </c>
      <c r="P1309" t="s">
        <v>47</v>
      </c>
      <c r="Q1309" s="1">
        <v>42372.733819444446</v>
      </c>
      <c r="R1309">
        <v>7</v>
      </c>
      <c r="S1309" t="s">
        <v>31</v>
      </c>
      <c r="T1309" t="s">
        <v>991</v>
      </c>
      <c r="U1309">
        <v>616.89142000000004</v>
      </c>
      <c r="V1309" s="3">
        <v>41773</v>
      </c>
    </row>
    <row r="1310" spans="1:22" x14ac:dyDescent="0.35">
      <c r="A1310" s="1">
        <v>42374.968321759261</v>
      </c>
      <c r="B1310" s="2">
        <v>2.2569444444444447E-3</v>
      </c>
      <c r="C1310" t="s">
        <v>2276</v>
      </c>
      <c r="D1310" t="s">
        <v>23</v>
      </c>
      <c r="E1310" t="s">
        <v>24</v>
      </c>
      <c r="F1310" t="s">
        <v>226</v>
      </c>
      <c r="G1310">
        <v>1895348</v>
      </c>
      <c r="H1310" t="s">
        <v>26</v>
      </c>
      <c r="I1310" t="s">
        <v>69</v>
      </c>
      <c r="J1310" t="str">
        <f>"9781119068839"</f>
        <v>9781119068839</v>
      </c>
      <c r="K1310" t="s">
        <v>2316</v>
      </c>
      <c r="L1310">
        <v>15</v>
      </c>
      <c r="O1310" t="s">
        <v>30</v>
      </c>
      <c r="P1310" t="s">
        <v>42</v>
      </c>
      <c r="S1310" t="s">
        <v>31</v>
      </c>
      <c r="T1310" t="s">
        <v>227</v>
      </c>
      <c r="U1310">
        <v>378.16640000000001</v>
      </c>
      <c r="V1310" s="3">
        <v>42151</v>
      </c>
    </row>
    <row r="1311" spans="1:22" x14ac:dyDescent="0.35">
      <c r="A1311" s="1">
        <v>42374.900729166664</v>
      </c>
      <c r="B1311" s="2">
        <v>9.4097222222222238E-3</v>
      </c>
      <c r="C1311" t="s">
        <v>2317</v>
      </c>
      <c r="D1311" t="s">
        <v>623</v>
      </c>
      <c r="E1311" t="s">
        <v>624</v>
      </c>
      <c r="F1311" t="s">
        <v>2318</v>
      </c>
      <c r="G1311">
        <v>1800880</v>
      </c>
      <c r="H1311" t="s">
        <v>26</v>
      </c>
      <c r="I1311" t="s">
        <v>69</v>
      </c>
      <c r="J1311" t="str">
        <f>"9781118966983"</f>
        <v>9781118966983</v>
      </c>
      <c r="K1311" t="s">
        <v>2319</v>
      </c>
      <c r="L1311">
        <v>15</v>
      </c>
      <c r="N1311" t="s">
        <v>2320</v>
      </c>
      <c r="O1311" t="s">
        <v>30</v>
      </c>
      <c r="P1311" t="s">
        <v>47</v>
      </c>
      <c r="Q1311" s="1">
        <v>42374.900729166664</v>
      </c>
      <c r="R1311">
        <v>1</v>
      </c>
      <c r="S1311" t="s">
        <v>627</v>
      </c>
      <c r="T1311" t="s">
        <v>2321</v>
      </c>
      <c r="U1311">
        <v>378.19810973</v>
      </c>
      <c r="V1311" s="3">
        <v>41907</v>
      </c>
    </row>
    <row r="1312" spans="1:22" x14ac:dyDescent="0.35">
      <c r="A1312" s="1">
        <v>42374.899618055555</v>
      </c>
      <c r="B1312" s="2">
        <v>1.1111111111111111E-3</v>
      </c>
      <c r="C1312" t="s">
        <v>2317</v>
      </c>
      <c r="D1312" t="s">
        <v>623</v>
      </c>
      <c r="E1312" t="s">
        <v>624</v>
      </c>
      <c r="F1312" t="s">
        <v>2318</v>
      </c>
      <c r="G1312">
        <v>1800880</v>
      </c>
      <c r="H1312" t="s">
        <v>26</v>
      </c>
      <c r="I1312" t="s">
        <v>69</v>
      </c>
      <c r="J1312" t="str">
        <f>"9781118966983"</f>
        <v>9781118966983</v>
      </c>
      <c r="K1312" t="s">
        <v>2322</v>
      </c>
      <c r="L1312">
        <v>23</v>
      </c>
      <c r="O1312" t="s">
        <v>30</v>
      </c>
      <c r="P1312" t="s">
        <v>50</v>
      </c>
      <c r="S1312" t="s">
        <v>627</v>
      </c>
      <c r="T1312" t="s">
        <v>2321</v>
      </c>
      <c r="U1312">
        <v>378.19810973</v>
      </c>
      <c r="V1312" s="3">
        <v>41907</v>
      </c>
    </row>
    <row r="1313" spans="1:22" x14ac:dyDescent="0.35">
      <c r="A1313" s="1">
        <v>42374.871863425928</v>
      </c>
      <c r="B1313" s="2">
        <v>3.6921296296296298E-3</v>
      </c>
      <c r="C1313" t="s">
        <v>1893</v>
      </c>
      <c r="D1313" t="s">
        <v>35</v>
      </c>
      <c r="E1313" t="s">
        <v>36</v>
      </c>
      <c r="F1313" t="s">
        <v>327</v>
      </c>
      <c r="G1313">
        <v>1691426</v>
      </c>
      <c r="H1313" t="s">
        <v>26</v>
      </c>
      <c r="I1313" t="s">
        <v>328</v>
      </c>
      <c r="J1313" t="str">
        <f>"9781118839492"</f>
        <v>9781118839492</v>
      </c>
      <c r="K1313" t="s">
        <v>2323</v>
      </c>
      <c r="L1313">
        <v>17</v>
      </c>
      <c r="O1313" t="s">
        <v>30</v>
      </c>
      <c r="P1313" t="s">
        <v>29</v>
      </c>
      <c r="Q1313" s="1">
        <v>42374.871863425928</v>
      </c>
      <c r="R1313">
        <v>7</v>
      </c>
      <c r="S1313" t="s">
        <v>40</v>
      </c>
      <c r="T1313" t="s">
        <v>331</v>
      </c>
      <c r="U1313">
        <v>613.70460000000003</v>
      </c>
      <c r="V1313" s="3">
        <v>41772</v>
      </c>
    </row>
    <row r="1314" spans="1:22" x14ac:dyDescent="0.35">
      <c r="A1314" s="1">
        <v>42374.84107638889</v>
      </c>
      <c r="B1314" s="2">
        <v>5.3055555555555557E-2</v>
      </c>
      <c r="C1314" t="s">
        <v>1726</v>
      </c>
      <c r="D1314" t="s">
        <v>35</v>
      </c>
      <c r="E1314" t="s">
        <v>36</v>
      </c>
      <c r="F1314" t="s">
        <v>327</v>
      </c>
      <c r="G1314">
        <v>1691426</v>
      </c>
      <c r="H1314" t="s">
        <v>26</v>
      </c>
      <c r="I1314" t="s">
        <v>328</v>
      </c>
      <c r="J1314" t="str">
        <f>"9781118839492"</f>
        <v>9781118839492</v>
      </c>
      <c r="K1314" t="s">
        <v>2324</v>
      </c>
      <c r="L1314">
        <v>34</v>
      </c>
      <c r="O1314" t="s">
        <v>30</v>
      </c>
      <c r="P1314" t="s">
        <v>29</v>
      </c>
      <c r="Q1314" s="1">
        <v>42372.923796296294</v>
      </c>
      <c r="R1314">
        <v>7</v>
      </c>
      <c r="S1314" t="s">
        <v>40</v>
      </c>
      <c r="T1314" t="s">
        <v>331</v>
      </c>
      <c r="U1314">
        <v>613.70460000000003</v>
      </c>
      <c r="V1314" s="3">
        <v>41772</v>
      </c>
    </row>
    <row r="1315" spans="1:22" x14ac:dyDescent="0.35">
      <c r="A1315" s="1">
        <v>42374.824293981481</v>
      </c>
      <c r="B1315" s="2">
        <v>0</v>
      </c>
      <c r="C1315" t="s">
        <v>558</v>
      </c>
      <c r="D1315" t="s">
        <v>23</v>
      </c>
      <c r="E1315" t="s">
        <v>24</v>
      </c>
      <c r="F1315" t="s">
        <v>964</v>
      </c>
      <c r="G1315">
        <v>1809741</v>
      </c>
      <c r="H1315" t="s">
        <v>26</v>
      </c>
      <c r="I1315" t="s">
        <v>97</v>
      </c>
      <c r="J1315" t="str">
        <f>"9781118963685"</f>
        <v>9781118963685</v>
      </c>
      <c r="L1315">
        <v>0</v>
      </c>
      <c r="O1315" t="s">
        <v>28</v>
      </c>
      <c r="P1315" t="s">
        <v>47</v>
      </c>
      <c r="Q1315" s="1">
        <v>42374.824293981481</v>
      </c>
      <c r="R1315">
        <v>7</v>
      </c>
      <c r="S1315" t="s">
        <v>31</v>
      </c>
      <c r="T1315" t="s">
        <v>965</v>
      </c>
      <c r="U1315">
        <v>658.15499999999997</v>
      </c>
      <c r="V1315" s="3">
        <v>41911</v>
      </c>
    </row>
    <row r="1316" spans="1:22" x14ac:dyDescent="0.35">
      <c r="A1316" s="1">
        <v>42374.824293981481</v>
      </c>
      <c r="B1316" s="2">
        <v>0</v>
      </c>
      <c r="C1316" t="s">
        <v>558</v>
      </c>
      <c r="D1316" t="s">
        <v>23</v>
      </c>
      <c r="E1316" t="s">
        <v>24</v>
      </c>
      <c r="F1316" t="s">
        <v>964</v>
      </c>
      <c r="G1316">
        <v>1809741</v>
      </c>
      <c r="H1316" t="s">
        <v>26</v>
      </c>
      <c r="I1316" t="s">
        <v>97</v>
      </c>
      <c r="J1316" t="str">
        <f>"9781118963685"</f>
        <v>9781118963685</v>
      </c>
      <c r="L1316">
        <v>0</v>
      </c>
      <c r="O1316" t="s">
        <v>30</v>
      </c>
      <c r="P1316" t="s">
        <v>47</v>
      </c>
      <c r="Q1316" s="1">
        <v>42374.824293981481</v>
      </c>
      <c r="R1316">
        <v>7</v>
      </c>
      <c r="S1316" t="s">
        <v>31</v>
      </c>
      <c r="T1316" t="s">
        <v>965</v>
      </c>
      <c r="U1316">
        <v>658.15499999999997</v>
      </c>
      <c r="V1316" s="3">
        <v>41911</v>
      </c>
    </row>
    <row r="1317" spans="1:22" x14ac:dyDescent="0.35">
      <c r="A1317" s="1">
        <v>42374.824050925927</v>
      </c>
      <c r="B1317" s="2">
        <v>2.4305555555555552E-4</v>
      </c>
      <c r="C1317" t="s">
        <v>558</v>
      </c>
      <c r="D1317" t="s">
        <v>23</v>
      </c>
      <c r="E1317" t="s">
        <v>24</v>
      </c>
      <c r="F1317" t="s">
        <v>964</v>
      </c>
      <c r="G1317">
        <v>1809741</v>
      </c>
      <c r="H1317" t="s">
        <v>26</v>
      </c>
      <c r="I1317" t="s">
        <v>97</v>
      </c>
      <c r="J1317" t="str">
        <f>"9781118963685"</f>
        <v>9781118963685</v>
      </c>
      <c r="K1317" t="s">
        <v>33</v>
      </c>
      <c r="L1317">
        <v>3</v>
      </c>
      <c r="O1317" t="s">
        <v>30</v>
      </c>
      <c r="P1317" t="s">
        <v>50</v>
      </c>
      <c r="S1317" t="s">
        <v>31</v>
      </c>
      <c r="T1317" t="s">
        <v>965</v>
      </c>
      <c r="U1317">
        <v>658.15499999999997</v>
      </c>
      <c r="V1317" s="3">
        <v>41911</v>
      </c>
    </row>
    <row r="1318" spans="1:22" x14ac:dyDescent="0.35">
      <c r="A1318" s="1">
        <v>42374.8046875</v>
      </c>
      <c r="B1318" s="2">
        <v>9.2592592592592588E-5</v>
      </c>
      <c r="C1318" t="s">
        <v>2325</v>
      </c>
      <c r="D1318" t="s">
        <v>623</v>
      </c>
      <c r="E1318" t="s">
        <v>624</v>
      </c>
      <c r="F1318" t="s">
        <v>2326</v>
      </c>
      <c r="G1318">
        <v>1273516</v>
      </c>
      <c r="H1318" t="s">
        <v>26</v>
      </c>
      <c r="I1318" t="s">
        <v>2327</v>
      </c>
      <c r="J1318" t="str">
        <f>"9781118418451"</f>
        <v>9781118418451</v>
      </c>
      <c r="K1318" t="s">
        <v>999</v>
      </c>
      <c r="L1318">
        <v>8</v>
      </c>
      <c r="O1318" t="s">
        <v>30</v>
      </c>
      <c r="P1318" t="s">
        <v>42</v>
      </c>
      <c r="S1318" t="s">
        <v>627</v>
      </c>
      <c r="T1318" t="s">
        <v>2328</v>
      </c>
      <c r="U1318" t="s">
        <v>2329</v>
      </c>
      <c r="V1318" s="3">
        <v>41458</v>
      </c>
    </row>
    <row r="1319" spans="1:22" x14ac:dyDescent="0.35">
      <c r="A1319" s="1">
        <v>42374.803946759261</v>
      </c>
      <c r="B1319" s="2">
        <v>2.199074074074074E-4</v>
      </c>
      <c r="C1319" t="s">
        <v>2325</v>
      </c>
      <c r="D1319" t="s">
        <v>623</v>
      </c>
      <c r="E1319" t="s">
        <v>624</v>
      </c>
      <c r="F1319" t="s">
        <v>2330</v>
      </c>
      <c r="G1319">
        <v>1895443</v>
      </c>
      <c r="H1319" t="s">
        <v>26</v>
      </c>
      <c r="I1319" t="s">
        <v>2331</v>
      </c>
      <c r="J1319" t="str">
        <f>"9781118417713"</f>
        <v>9781118417713</v>
      </c>
      <c r="K1319" t="s">
        <v>355</v>
      </c>
      <c r="L1319">
        <v>8</v>
      </c>
      <c r="O1319" t="s">
        <v>30</v>
      </c>
      <c r="P1319" t="s">
        <v>42</v>
      </c>
      <c r="S1319" t="s">
        <v>627</v>
      </c>
      <c r="T1319" t="s">
        <v>2332</v>
      </c>
      <c r="U1319" t="s">
        <v>2333</v>
      </c>
      <c r="V1319" s="3">
        <v>42032</v>
      </c>
    </row>
    <row r="1320" spans="1:22" x14ac:dyDescent="0.35">
      <c r="A1320" s="1">
        <v>42374.801018518519</v>
      </c>
      <c r="B1320" s="2">
        <v>1.0416666666666667E-4</v>
      </c>
      <c r="C1320" t="s">
        <v>2325</v>
      </c>
      <c r="D1320" t="s">
        <v>623</v>
      </c>
      <c r="E1320" t="s">
        <v>624</v>
      </c>
      <c r="F1320" t="s">
        <v>2334</v>
      </c>
      <c r="G1320">
        <v>449587</v>
      </c>
      <c r="H1320" t="s">
        <v>68</v>
      </c>
      <c r="I1320" t="s">
        <v>120</v>
      </c>
      <c r="J1320" t="str">
        <f>"9781843926313"</f>
        <v>9781843926313</v>
      </c>
      <c r="K1320" t="s">
        <v>2335</v>
      </c>
      <c r="L1320">
        <v>7</v>
      </c>
      <c r="O1320" t="s">
        <v>30</v>
      </c>
      <c r="P1320" t="s">
        <v>50</v>
      </c>
      <c r="S1320" t="s">
        <v>627</v>
      </c>
      <c r="T1320" t="s">
        <v>2336</v>
      </c>
      <c r="U1320">
        <v>363.20940999999999</v>
      </c>
      <c r="V1320" s="3">
        <v>41522</v>
      </c>
    </row>
    <row r="1321" spans="1:22" x14ac:dyDescent="0.35">
      <c r="A1321" s="1">
        <v>42374.800092592595</v>
      </c>
      <c r="B1321" s="2">
        <v>1.0416666666666667E-4</v>
      </c>
      <c r="C1321" t="s">
        <v>2325</v>
      </c>
      <c r="D1321" t="s">
        <v>623</v>
      </c>
      <c r="E1321" t="s">
        <v>624</v>
      </c>
      <c r="F1321" t="s">
        <v>2337</v>
      </c>
      <c r="G1321">
        <v>428555</v>
      </c>
      <c r="H1321" t="s">
        <v>68</v>
      </c>
      <c r="I1321" t="s">
        <v>150</v>
      </c>
      <c r="J1321" t="str">
        <f>"9780080927732"</f>
        <v>9780080927732</v>
      </c>
      <c r="K1321" t="s">
        <v>2338</v>
      </c>
      <c r="L1321">
        <v>7</v>
      </c>
      <c r="O1321" t="s">
        <v>30</v>
      </c>
      <c r="P1321" t="s">
        <v>50</v>
      </c>
      <c r="S1321" t="s">
        <v>627</v>
      </c>
      <c r="T1321" t="s">
        <v>2339</v>
      </c>
      <c r="U1321" t="s">
        <v>2340</v>
      </c>
      <c r="V1321" s="3">
        <v>41479</v>
      </c>
    </row>
    <row r="1322" spans="1:22" x14ac:dyDescent="0.35">
      <c r="A1322" s="1">
        <v>42374.798900462964</v>
      </c>
      <c r="B1322" s="2">
        <v>1.3888888888888889E-4</v>
      </c>
      <c r="C1322" t="s">
        <v>2325</v>
      </c>
      <c r="D1322" t="s">
        <v>623</v>
      </c>
      <c r="E1322" t="s">
        <v>624</v>
      </c>
      <c r="F1322" t="s">
        <v>2341</v>
      </c>
      <c r="G1322">
        <v>352288</v>
      </c>
      <c r="H1322" t="s">
        <v>91</v>
      </c>
      <c r="I1322" t="s">
        <v>120</v>
      </c>
      <c r="J1322" t="str">
        <f>"9781606230602"</f>
        <v>9781606230602</v>
      </c>
      <c r="K1322" t="s">
        <v>2342</v>
      </c>
      <c r="L1322">
        <v>8</v>
      </c>
      <c r="O1322" t="s">
        <v>30</v>
      </c>
      <c r="P1322" t="s">
        <v>50</v>
      </c>
      <c r="S1322" t="s">
        <v>627</v>
      </c>
      <c r="T1322" t="s">
        <v>2343</v>
      </c>
      <c r="U1322">
        <v>305.3</v>
      </c>
      <c r="V1322" s="3">
        <v>41773</v>
      </c>
    </row>
    <row r="1323" spans="1:22" x14ac:dyDescent="0.35">
      <c r="A1323" s="1">
        <v>42374.798368055555</v>
      </c>
      <c r="B1323" s="2">
        <v>1.0416666666666667E-4</v>
      </c>
      <c r="C1323" t="s">
        <v>2325</v>
      </c>
      <c r="D1323" t="s">
        <v>623</v>
      </c>
      <c r="E1323" t="s">
        <v>624</v>
      </c>
      <c r="F1323" t="s">
        <v>2344</v>
      </c>
      <c r="G1323">
        <v>293604</v>
      </c>
      <c r="H1323" t="s">
        <v>68</v>
      </c>
      <c r="I1323" t="s">
        <v>247</v>
      </c>
      <c r="J1323" t="str">
        <f>"9780203957097"</f>
        <v>9780203957097</v>
      </c>
      <c r="K1323" t="s">
        <v>2338</v>
      </c>
      <c r="L1323">
        <v>7</v>
      </c>
      <c r="O1323" t="s">
        <v>30</v>
      </c>
      <c r="P1323" t="s">
        <v>50</v>
      </c>
      <c r="S1323" t="s">
        <v>627</v>
      </c>
      <c r="T1323" t="s">
        <v>2345</v>
      </c>
      <c r="U1323" t="s">
        <v>2346</v>
      </c>
      <c r="V1323" s="3">
        <v>41507</v>
      </c>
    </row>
    <row r="1324" spans="1:22" x14ac:dyDescent="0.35">
      <c r="A1324" s="1">
        <v>42374.796643518515</v>
      </c>
      <c r="B1324" s="2">
        <v>1.9675925925925926E-4</v>
      </c>
      <c r="C1324" t="s">
        <v>2325</v>
      </c>
      <c r="D1324" t="s">
        <v>623</v>
      </c>
      <c r="E1324" t="s">
        <v>624</v>
      </c>
      <c r="F1324" t="s">
        <v>2347</v>
      </c>
      <c r="G1324">
        <v>291393</v>
      </c>
      <c r="H1324" t="s">
        <v>68</v>
      </c>
      <c r="I1324" t="s">
        <v>120</v>
      </c>
      <c r="J1324" t="str">
        <f>"9780203942901"</f>
        <v>9780203942901</v>
      </c>
      <c r="K1324" t="s">
        <v>355</v>
      </c>
      <c r="L1324">
        <v>8</v>
      </c>
      <c r="O1324" t="s">
        <v>30</v>
      </c>
      <c r="P1324" t="s">
        <v>50</v>
      </c>
      <c r="S1324" t="s">
        <v>627</v>
      </c>
      <c r="T1324" t="s">
        <v>2348</v>
      </c>
      <c r="U1324">
        <v>306.87400000000002</v>
      </c>
      <c r="V1324" s="3">
        <v>41522</v>
      </c>
    </row>
    <row r="1325" spans="1:22" x14ac:dyDescent="0.35">
      <c r="A1325" s="1">
        <v>42374.795983796299</v>
      </c>
      <c r="B1325" s="2">
        <v>1.3888888888888889E-4</v>
      </c>
      <c r="C1325" t="s">
        <v>2325</v>
      </c>
      <c r="D1325" t="s">
        <v>623</v>
      </c>
      <c r="E1325" t="s">
        <v>624</v>
      </c>
      <c r="F1325" t="s">
        <v>160</v>
      </c>
      <c r="G1325">
        <v>3059079</v>
      </c>
      <c r="H1325" t="s">
        <v>26</v>
      </c>
      <c r="I1325" t="s">
        <v>161</v>
      </c>
      <c r="J1325" t="str">
        <f>"9781118473818"</f>
        <v>9781118473818</v>
      </c>
      <c r="K1325" t="s">
        <v>999</v>
      </c>
      <c r="L1325">
        <v>8</v>
      </c>
      <c r="O1325" t="s">
        <v>30</v>
      </c>
      <c r="P1325" t="s">
        <v>50</v>
      </c>
      <c r="S1325" t="s">
        <v>627</v>
      </c>
      <c r="T1325" t="s">
        <v>164</v>
      </c>
      <c r="U1325">
        <v>530</v>
      </c>
      <c r="V1325" s="3">
        <v>41401</v>
      </c>
    </row>
    <row r="1326" spans="1:22" x14ac:dyDescent="0.35">
      <c r="A1326" s="1">
        <v>42374.793263888889</v>
      </c>
      <c r="B1326" s="2">
        <v>3.4722222222222222E-5</v>
      </c>
      <c r="C1326" t="s">
        <v>283</v>
      </c>
      <c r="D1326" t="s">
        <v>23</v>
      </c>
      <c r="E1326" t="s">
        <v>24</v>
      </c>
      <c r="F1326" t="s">
        <v>2349</v>
      </c>
      <c r="G1326">
        <v>1214388</v>
      </c>
      <c r="H1326" t="s">
        <v>139</v>
      </c>
      <c r="I1326" t="s">
        <v>998</v>
      </c>
      <c r="J1326" t="str">
        <f>"9780814762653"</f>
        <v>9780814762653</v>
      </c>
      <c r="K1326" t="s">
        <v>33</v>
      </c>
      <c r="L1326">
        <v>3</v>
      </c>
      <c r="O1326" t="s">
        <v>30</v>
      </c>
      <c r="P1326" t="s">
        <v>50</v>
      </c>
      <c r="S1326" t="s">
        <v>31</v>
      </c>
      <c r="T1326" t="s">
        <v>2350</v>
      </c>
      <c r="U1326" t="s">
        <v>2351</v>
      </c>
      <c r="V1326" s="3">
        <v>41456</v>
      </c>
    </row>
    <row r="1327" spans="1:22" x14ac:dyDescent="0.35">
      <c r="A1327" s="1">
        <v>42374.792916666665</v>
      </c>
      <c r="B1327" s="2">
        <v>5.7870370370370366E-5</v>
      </c>
      <c r="C1327" t="s">
        <v>283</v>
      </c>
      <c r="D1327" t="s">
        <v>23</v>
      </c>
      <c r="E1327" t="s">
        <v>24</v>
      </c>
      <c r="F1327" t="s">
        <v>2349</v>
      </c>
      <c r="G1327">
        <v>1214388</v>
      </c>
      <c r="H1327" t="s">
        <v>139</v>
      </c>
      <c r="I1327" t="s">
        <v>998</v>
      </c>
      <c r="J1327" t="str">
        <f>"9780814762653"</f>
        <v>9780814762653</v>
      </c>
      <c r="K1327" t="s">
        <v>86</v>
      </c>
      <c r="L1327">
        <v>5</v>
      </c>
      <c r="O1327" t="s">
        <v>30</v>
      </c>
      <c r="P1327" t="s">
        <v>50</v>
      </c>
      <c r="S1327" t="s">
        <v>31</v>
      </c>
      <c r="T1327" t="s">
        <v>2350</v>
      </c>
      <c r="U1327" t="s">
        <v>2351</v>
      </c>
      <c r="V1327" s="3">
        <v>41456</v>
      </c>
    </row>
    <row r="1328" spans="1:22" x14ac:dyDescent="0.35">
      <c r="A1328" s="1">
        <v>42374.791331018518</v>
      </c>
      <c r="B1328" s="2">
        <v>8.0532407407407414E-2</v>
      </c>
      <c r="C1328" t="s">
        <v>1893</v>
      </c>
      <c r="D1328" t="s">
        <v>35</v>
      </c>
      <c r="E1328" t="s">
        <v>36</v>
      </c>
      <c r="F1328" t="s">
        <v>327</v>
      </c>
      <c r="G1328">
        <v>1691426</v>
      </c>
      <c r="H1328" t="s">
        <v>26</v>
      </c>
      <c r="I1328" t="s">
        <v>328</v>
      </c>
      <c r="J1328" t="str">
        <f>"9781118839492"</f>
        <v>9781118839492</v>
      </c>
      <c r="K1328" t="s">
        <v>2352</v>
      </c>
      <c r="L1328">
        <v>9</v>
      </c>
      <c r="O1328" t="s">
        <v>30</v>
      </c>
      <c r="P1328" t="s">
        <v>42</v>
      </c>
      <c r="S1328" t="s">
        <v>40</v>
      </c>
      <c r="T1328" t="s">
        <v>331</v>
      </c>
      <c r="U1328">
        <v>613.70460000000003</v>
      </c>
      <c r="V1328" s="3">
        <v>41772</v>
      </c>
    </row>
    <row r="1329" spans="1:22" x14ac:dyDescent="0.35">
      <c r="A1329" s="1">
        <v>42374.730798611112</v>
      </c>
      <c r="B1329" s="2">
        <v>3.3564814814814812E-4</v>
      </c>
      <c r="C1329" t="s">
        <v>2325</v>
      </c>
      <c r="D1329" t="s">
        <v>623</v>
      </c>
      <c r="E1329" t="s">
        <v>624</v>
      </c>
      <c r="F1329" t="s">
        <v>2347</v>
      </c>
      <c r="G1329">
        <v>291393</v>
      </c>
      <c r="H1329" t="s">
        <v>68</v>
      </c>
      <c r="I1329" t="s">
        <v>120</v>
      </c>
      <c r="J1329" t="str">
        <f>"9780203942901"</f>
        <v>9780203942901</v>
      </c>
      <c r="K1329" t="s">
        <v>2353</v>
      </c>
      <c r="L1329">
        <v>13</v>
      </c>
      <c r="O1329" t="s">
        <v>30</v>
      </c>
      <c r="P1329" t="s">
        <v>50</v>
      </c>
      <c r="S1329" t="s">
        <v>627</v>
      </c>
      <c r="T1329" t="s">
        <v>2348</v>
      </c>
      <c r="U1329">
        <v>306.87400000000002</v>
      </c>
      <c r="V1329" s="3">
        <v>41522</v>
      </c>
    </row>
    <row r="1330" spans="1:22" x14ac:dyDescent="0.35">
      <c r="A1330" s="1">
        <v>42374.728900462964</v>
      </c>
      <c r="B1330" s="2">
        <v>1.3310185185185185E-3</v>
      </c>
      <c r="C1330" t="s">
        <v>2325</v>
      </c>
      <c r="D1330" t="s">
        <v>623</v>
      </c>
      <c r="E1330" t="s">
        <v>624</v>
      </c>
      <c r="F1330" t="s">
        <v>2354</v>
      </c>
      <c r="G1330">
        <v>3057725</v>
      </c>
      <c r="H1330" t="s">
        <v>26</v>
      </c>
      <c r="I1330" t="s">
        <v>150</v>
      </c>
      <c r="J1330" t="str">
        <f>"9780470099667"</f>
        <v>9780470099667</v>
      </c>
      <c r="K1330" t="s">
        <v>2355</v>
      </c>
      <c r="L1330">
        <v>25</v>
      </c>
      <c r="O1330" t="s">
        <v>30</v>
      </c>
      <c r="P1330" t="s">
        <v>42</v>
      </c>
      <c r="S1330" t="s">
        <v>627</v>
      </c>
      <c r="T1330" t="s">
        <v>2356</v>
      </c>
      <c r="U1330" t="s">
        <v>2357</v>
      </c>
      <c r="V1330" s="3">
        <v>38979</v>
      </c>
    </row>
    <row r="1331" spans="1:22" x14ac:dyDescent="0.35">
      <c r="A1331" s="1">
        <v>42374.70034722222</v>
      </c>
      <c r="B1331" s="2">
        <v>4.1180555555555554E-2</v>
      </c>
      <c r="C1331" t="s">
        <v>2358</v>
      </c>
      <c r="D1331" t="s">
        <v>23</v>
      </c>
      <c r="E1331" t="s">
        <v>24</v>
      </c>
      <c r="F1331" t="s">
        <v>2359</v>
      </c>
      <c r="G1331">
        <v>1765094</v>
      </c>
      <c r="H1331" t="s">
        <v>26</v>
      </c>
      <c r="I1331" t="s">
        <v>970</v>
      </c>
      <c r="J1331" t="str">
        <f>"9781118880890"</f>
        <v>9781118880890</v>
      </c>
      <c r="K1331" t="s">
        <v>2360</v>
      </c>
      <c r="L1331">
        <v>258</v>
      </c>
      <c r="N1331" t="s">
        <v>2361</v>
      </c>
      <c r="O1331" t="s">
        <v>30</v>
      </c>
      <c r="P1331" t="s">
        <v>29</v>
      </c>
      <c r="Q1331" s="1">
        <v>42374.70034722222</v>
      </c>
      <c r="R1331">
        <v>7</v>
      </c>
      <c r="S1331" t="s">
        <v>31</v>
      </c>
      <c r="T1331" t="s">
        <v>2362</v>
      </c>
      <c r="U1331">
        <v>615.85400000000004</v>
      </c>
      <c r="V1331" s="3">
        <v>41858</v>
      </c>
    </row>
    <row r="1332" spans="1:22" x14ac:dyDescent="0.35">
      <c r="A1332" s="1">
        <v>42374.689687500002</v>
      </c>
      <c r="B1332" s="2">
        <v>1.0659722222222221E-2</v>
      </c>
      <c r="C1332" t="s">
        <v>2358</v>
      </c>
      <c r="D1332" t="s">
        <v>23</v>
      </c>
      <c r="E1332" t="s">
        <v>24</v>
      </c>
      <c r="F1332" t="s">
        <v>2359</v>
      </c>
      <c r="G1332">
        <v>1765094</v>
      </c>
      <c r="H1332" t="s">
        <v>26</v>
      </c>
      <c r="I1332" t="s">
        <v>970</v>
      </c>
      <c r="J1332" t="str">
        <f>"9781118880890"</f>
        <v>9781118880890</v>
      </c>
      <c r="K1332" t="s">
        <v>2363</v>
      </c>
      <c r="L1332">
        <v>31</v>
      </c>
      <c r="O1332" t="s">
        <v>30</v>
      </c>
      <c r="P1332" t="s">
        <v>42</v>
      </c>
      <c r="S1332" t="s">
        <v>31</v>
      </c>
      <c r="T1332" t="s">
        <v>2362</v>
      </c>
      <c r="U1332">
        <v>615.85400000000004</v>
      </c>
      <c r="V1332" s="3">
        <v>41858</v>
      </c>
    </row>
    <row r="1333" spans="1:22" x14ac:dyDescent="0.35">
      <c r="A1333" s="1">
        <v>42374.671307870369</v>
      </c>
      <c r="B1333" s="2">
        <v>5.9976851851851858E-2</v>
      </c>
      <c r="C1333" t="s">
        <v>520</v>
      </c>
      <c r="D1333" t="s">
        <v>23</v>
      </c>
      <c r="E1333" t="s">
        <v>24</v>
      </c>
      <c r="F1333" t="s">
        <v>1579</v>
      </c>
      <c r="G1333">
        <v>1161538</v>
      </c>
      <c r="H1333" t="s">
        <v>26</v>
      </c>
      <c r="I1333" t="s">
        <v>108</v>
      </c>
      <c r="J1333" t="str">
        <f>"9781118521755"</f>
        <v>9781118521755</v>
      </c>
      <c r="K1333" t="s">
        <v>2364</v>
      </c>
      <c r="L1333">
        <v>27</v>
      </c>
      <c r="O1333" t="s">
        <v>30</v>
      </c>
      <c r="P1333" t="s">
        <v>29</v>
      </c>
      <c r="Q1333" s="1">
        <v>42374.561342592591</v>
      </c>
      <c r="R1333">
        <v>7</v>
      </c>
      <c r="S1333" t="s">
        <v>31</v>
      </c>
      <c r="T1333" t="s">
        <v>1581</v>
      </c>
      <c r="U1333">
        <v>332.63220000000001</v>
      </c>
      <c r="V1333" s="3">
        <v>41359</v>
      </c>
    </row>
    <row r="1334" spans="1:22" x14ac:dyDescent="0.35">
      <c r="A1334" s="1">
        <v>42374.645601851851</v>
      </c>
      <c r="B1334" s="2">
        <v>0</v>
      </c>
      <c r="C1334" t="s">
        <v>2170</v>
      </c>
      <c r="D1334" t="s">
        <v>23</v>
      </c>
      <c r="E1334" t="s">
        <v>24</v>
      </c>
      <c r="F1334" t="s">
        <v>2365</v>
      </c>
      <c r="G1334">
        <v>1747371</v>
      </c>
      <c r="H1334" t="s">
        <v>139</v>
      </c>
      <c r="I1334" t="s">
        <v>310</v>
      </c>
      <c r="J1334" t="str">
        <f>"9781479818334"</f>
        <v>9781479818334</v>
      </c>
      <c r="L1334">
        <v>0</v>
      </c>
      <c r="O1334" t="s">
        <v>28</v>
      </c>
      <c r="P1334" t="s">
        <v>29</v>
      </c>
      <c r="Q1334" s="1">
        <v>42374.645601851851</v>
      </c>
      <c r="R1334">
        <v>7</v>
      </c>
      <c r="S1334" t="s">
        <v>31</v>
      </c>
      <c r="T1334" t="s">
        <v>2366</v>
      </c>
      <c r="U1334" t="s">
        <v>2367</v>
      </c>
      <c r="V1334" s="3">
        <v>41866</v>
      </c>
    </row>
    <row r="1335" spans="1:22" x14ac:dyDescent="0.35">
      <c r="A1335" s="1">
        <v>42374.645601851851</v>
      </c>
      <c r="B1335" s="2">
        <v>0</v>
      </c>
      <c r="C1335" t="s">
        <v>2170</v>
      </c>
      <c r="D1335" t="s">
        <v>23</v>
      </c>
      <c r="E1335" t="s">
        <v>24</v>
      </c>
      <c r="F1335" t="s">
        <v>2365</v>
      </c>
      <c r="G1335">
        <v>1747371</v>
      </c>
      <c r="H1335" t="s">
        <v>139</v>
      </c>
      <c r="I1335" t="s">
        <v>310</v>
      </c>
      <c r="J1335" t="str">
        <f>"9781479818334"</f>
        <v>9781479818334</v>
      </c>
      <c r="L1335">
        <v>0</v>
      </c>
      <c r="O1335" t="s">
        <v>30</v>
      </c>
      <c r="P1335" t="s">
        <v>29</v>
      </c>
      <c r="Q1335" s="1">
        <v>42374.645601851851</v>
      </c>
      <c r="R1335">
        <v>7</v>
      </c>
      <c r="S1335" t="s">
        <v>31</v>
      </c>
      <c r="T1335" t="s">
        <v>2366</v>
      </c>
      <c r="U1335" t="s">
        <v>2367</v>
      </c>
      <c r="V1335" s="3">
        <v>41866</v>
      </c>
    </row>
    <row r="1336" spans="1:22" x14ac:dyDescent="0.35">
      <c r="A1336" s="1">
        <v>42374.645208333335</v>
      </c>
      <c r="B1336" s="2">
        <v>3.9351851851851852E-4</v>
      </c>
      <c r="C1336" t="s">
        <v>2170</v>
      </c>
      <c r="D1336" t="s">
        <v>23</v>
      </c>
      <c r="E1336" t="s">
        <v>24</v>
      </c>
      <c r="F1336" t="s">
        <v>2365</v>
      </c>
      <c r="G1336">
        <v>1747371</v>
      </c>
      <c r="H1336" t="s">
        <v>139</v>
      </c>
      <c r="I1336" t="s">
        <v>310</v>
      </c>
      <c r="J1336" t="str">
        <f>"9781479818334"</f>
        <v>9781479818334</v>
      </c>
      <c r="K1336" t="s">
        <v>1315</v>
      </c>
      <c r="L1336">
        <v>3</v>
      </c>
      <c r="O1336" t="s">
        <v>30</v>
      </c>
      <c r="P1336" t="s">
        <v>50</v>
      </c>
      <c r="S1336" t="s">
        <v>31</v>
      </c>
      <c r="T1336" t="s">
        <v>2366</v>
      </c>
      <c r="U1336" t="s">
        <v>2367</v>
      </c>
      <c r="V1336" s="3">
        <v>41866</v>
      </c>
    </row>
    <row r="1337" spans="1:22" x14ac:dyDescent="0.35">
      <c r="A1337" s="1">
        <v>42374.641747685186</v>
      </c>
      <c r="B1337" s="2">
        <v>1.1574074074074073E-4</v>
      </c>
      <c r="C1337" t="s">
        <v>2170</v>
      </c>
      <c r="D1337" t="s">
        <v>23</v>
      </c>
      <c r="E1337" t="s">
        <v>24</v>
      </c>
      <c r="F1337" t="s">
        <v>2171</v>
      </c>
      <c r="G1337">
        <v>3571162</v>
      </c>
      <c r="H1337" t="s">
        <v>613</v>
      </c>
      <c r="I1337" t="s">
        <v>310</v>
      </c>
      <c r="J1337" t="str">
        <f>"9781469625065"</f>
        <v>9781469625065</v>
      </c>
      <c r="K1337" t="s">
        <v>63</v>
      </c>
      <c r="L1337">
        <v>1</v>
      </c>
      <c r="O1337" t="s">
        <v>28</v>
      </c>
      <c r="P1337" t="s">
        <v>47</v>
      </c>
      <c r="Q1337" s="1">
        <v>42374.641747685186</v>
      </c>
      <c r="R1337">
        <v>1</v>
      </c>
      <c r="S1337" t="s">
        <v>31</v>
      </c>
      <c r="T1337" t="s">
        <v>2172</v>
      </c>
      <c r="U1337" t="s">
        <v>2173</v>
      </c>
      <c r="V1337" s="3">
        <v>42248</v>
      </c>
    </row>
    <row r="1338" spans="1:22" x14ac:dyDescent="0.35">
      <c r="A1338" s="1">
        <v>42374.641747685186</v>
      </c>
      <c r="B1338" s="2">
        <v>0</v>
      </c>
      <c r="C1338" t="s">
        <v>2170</v>
      </c>
      <c r="D1338" t="s">
        <v>23</v>
      </c>
      <c r="E1338" t="s">
        <v>24</v>
      </c>
      <c r="F1338" t="s">
        <v>2171</v>
      </c>
      <c r="G1338">
        <v>3571162</v>
      </c>
      <c r="H1338" t="s">
        <v>613</v>
      </c>
      <c r="I1338" t="s">
        <v>310</v>
      </c>
      <c r="J1338" t="str">
        <f>"9781469625065"</f>
        <v>9781469625065</v>
      </c>
      <c r="L1338">
        <v>0</v>
      </c>
      <c r="O1338" t="s">
        <v>30</v>
      </c>
      <c r="P1338" t="s">
        <v>47</v>
      </c>
      <c r="Q1338" s="1">
        <v>42374.641747685186</v>
      </c>
      <c r="R1338">
        <v>1</v>
      </c>
      <c r="S1338" t="s">
        <v>31</v>
      </c>
      <c r="T1338" t="s">
        <v>2172</v>
      </c>
      <c r="U1338" t="s">
        <v>2173</v>
      </c>
      <c r="V1338" s="3">
        <v>42248</v>
      </c>
    </row>
    <row r="1339" spans="1:22" x14ac:dyDescent="0.35">
      <c r="A1339" s="1">
        <v>42374.641597222224</v>
      </c>
      <c r="B1339" s="2">
        <v>1.5046296296296297E-4</v>
      </c>
      <c r="C1339" t="s">
        <v>2170</v>
      </c>
      <c r="D1339" t="s">
        <v>23</v>
      </c>
      <c r="E1339" t="s">
        <v>24</v>
      </c>
      <c r="F1339" t="s">
        <v>2171</v>
      </c>
      <c r="G1339">
        <v>3571162</v>
      </c>
      <c r="H1339" t="s">
        <v>613</v>
      </c>
      <c r="I1339" t="s">
        <v>310</v>
      </c>
      <c r="J1339" t="str">
        <f>"9781469625065"</f>
        <v>9781469625065</v>
      </c>
      <c r="K1339" t="s">
        <v>737</v>
      </c>
      <c r="L1339">
        <v>3</v>
      </c>
      <c r="O1339" t="s">
        <v>30</v>
      </c>
      <c r="P1339" t="s">
        <v>50</v>
      </c>
      <c r="S1339" t="s">
        <v>31</v>
      </c>
      <c r="T1339" t="s">
        <v>2172</v>
      </c>
      <c r="U1339" t="s">
        <v>2173</v>
      </c>
      <c r="V1339" s="3">
        <v>42248</v>
      </c>
    </row>
    <row r="1340" spans="1:22" x14ac:dyDescent="0.35">
      <c r="A1340" s="1">
        <v>42374.634479166663</v>
      </c>
      <c r="B1340" s="2">
        <v>4.3981481481481481E-4</v>
      </c>
      <c r="C1340" t="s">
        <v>2368</v>
      </c>
      <c r="D1340" t="s">
        <v>23</v>
      </c>
      <c r="E1340" t="s">
        <v>24</v>
      </c>
      <c r="F1340" t="s">
        <v>2369</v>
      </c>
      <c r="G1340">
        <v>877782</v>
      </c>
      <c r="H1340" t="s">
        <v>26</v>
      </c>
      <c r="I1340" t="s">
        <v>2370</v>
      </c>
      <c r="J1340" t="str">
        <f>"9781118255407"</f>
        <v>9781118255407</v>
      </c>
      <c r="K1340" t="s">
        <v>2371</v>
      </c>
      <c r="L1340">
        <v>10</v>
      </c>
      <c r="O1340" t="s">
        <v>30</v>
      </c>
      <c r="P1340" t="s">
        <v>42</v>
      </c>
      <c r="S1340" t="s">
        <v>31</v>
      </c>
      <c r="T1340" t="s">
        <v>2372</v>
      </c>
      <c r="U1340">
        <v>599.9</v>
      </c>
      <c r="V1340" s="3">
        <v>40994</v>
      </c>
    </row>
    <row r="1341" spans="1:22" x14ac:dyDescent="0.35">
      <c r="A1341" s="1">
        <v>42374.631840277776</v>
      </c>
      <c r="B1341" s="2">
        <v>2.199074074074074E-4</v>
      </c>
      <c r="C1341" t="s">
        <v>2373</v>
      </c>
      <c r="D1341" t="s">
        <v>23</v>
      </c>
      <c r="E1341" t="s">
        <v>24</v>
      </c>
      <c r="F1341" t="s">
        <v>290</v>
      </c>
      <c r="G1341">
        <v>1569855</v>
      </c>
      <c r="H1341" t="s">
        <v>68</v>
      </c>
      <c r="I1341" t="s">
        <v>291</v>
      </c>
      <c r="J1341" t="str">
        <f>"9781317863878"</f>
        <v>9781317863878</v>
      </c>
      <c r="K1341" t="s">
        <v>2338</v>
      </c>
      <c r="L1341">
        <v>7</v>
      </c>
      <c r="O1341" t="s">
        <v>30</v>
      </c>
      <c r="P1341" t="s">
        <v>50</v>
      </c>
      <c r="S1341" t="s">
        <v>31</v>
      </c>
      <c r="T1341" t="s">
        <v>293</v>
      </c>
      <c r="U1341">
        <v>327.47073</v>
      </c>
      <c r="V1341" s="3">
        <v>41582</v>
      </c>
    </row>
    <row r="1342" spans="1:22" x14ac:dyDescent="0.35">
      <c r="A1342" s="1">
        <v>42374.624849537038</v>
      </c>
      <c r="B1342" s="2">
        <v>0</v>
      </c>
      <c r="C1342" t="s">
        <v>2374</v>
      </c>
      <c r="D1342" t="s">
        <v>23</v>
      </c>
      <c r="E1342" t="s">
        <v>24</v>
      </c>
      <c r="F1342" t="s">
        <v>2375</v>
      </c>
      <c r="G1342">
        <v>1774183</v>
      </c>
      <c r="H1342" t="s">
        <v>45</v>
      </c>
      <c r="I1342" t="s">
        <v>120</v>
      </c>
      <c r="J1342" t="str">
        <f>"9781409467465"</f>
        <v>9781409467465</v>
      </c>
      <c r="L1342">
        <v>0</v>
      </c>
      <c r="N1342" t="s">
        <v>2376</v>
      </c>
      <c r="O1342" t="s">
        <v>30</v>
      </c>
      <c r="P1342" t="s">
        <v>47</v>
      </c>
      <c r="Q1342" s="1">
        <v>42374.624849537038</v>
      </c>
      <c r="R1342">
        <v>1</v>
      </c>
      <c r="S1342" t="s">
        <v>31</v>
      </c>
      <c r="T1342" t="s">
        <v>2377</v>
      </c>
      <c r="U1342">
        <v>307.76</v>
      </c>
      <c r="V1342" s="3">
        <v>41940</v>
      </c>
    </row>
    <row r="1343" spans="1:22" x14ac:dyDescent="0.35">
      <c r="A1343" s="1">
        <v>42374.6247337963</v>
      </c>
      <c r="B1343" s="2">
        <v>1.1574074074074073E-4</v>
      </c>
      <c r="C1343" t="s">
        <v>2374</v>
      </c>
      <c r="D1343" t="s">
        <v>23</v>
      </c>
      <c r="E1343" t="s">
        <v>24</v>
      </c>
      <c r="F1343" t="s">
        <v>2375</v>
      </c>
      <c r="G1343">
        <v>1774183</v>
      </c>
      <c r="H1343" t="s">
        <v>45</v>
      </c>
      <c r="I1343" t="s">
        <v>120</v>
      </c>
      <c r="J1343" t="str">
        <f>"9781409467465"</f>
        <v>9781409467465</v>
      </c>
      <c r="K1343" t="s">
        <v>611</v>
      </c>
      <c r="L1343">
        <v>3</v>
      </c>
      <c r="O1343" t="s">
        <v>30</v>
      </c>
      <c r="P1343" t="s">
        <v>50</v>
      </c>
      <c r="S1343" t="s">
        <v>31</v>
      </c>
      <c r="T1343" t="s">
        <v>2377</v>
      </c>
      <c r="U1343">
        <v>307.76</v>
      </c>
      <c r="V1343" s="3">
        <v>41940</v>
      </c>
    </row>
    <row r="1344" spans="1:22" x14ac:dyDescent="0.35">
      <c r="A1344" s="1">
        <v>42374.573078703703</v>
      </c>
      <c r="B1344" s="2">
        <v>3.5879629629629635E-4</v>
      </c>
      <c r="C1344" t="s">
        <v>2378</v>
      </c>
      <c r="D1344" t="s">
        <v>35</v>
      </c>
      <c r="E1344" t="s">
        <v>36</v>
      </c>
      <c r="F1344" t="s">
        <v>1659</v>
      </c>
      <c r="G1344">
        <v>1895936</v>
      </c>
      <c r="H1344" t="s">
        <v>26</v>
      </c>
      <c r="I1344" t="s">
        <v>328</v>
      </c>
      <c r="J1344" t="str">
        <f>"9781119022763"</f>
        <v>9781119022763</v>
      </c>
      <c r="K1344" t="s">
        <v>2379</v>
      </c>
      <c r="L1344">
        <v>21</v>
      </c>
      <c r="N1344" t="s">
        <v>2380</v>
      </c>
      <c r="O1344" t="s">
        <v>30</v>
      </c>
      <c r="P1344" t="s">
        <v>29</v>
      </c>
      <c r="Q1344" s="1">
        <v>42374.573078703703</v>
      </c>
      <c r="R1344">
        <v>7</v>
      </c>
      <c r="S1344" t="s">
        <v>40</v>
      </c>
      <c r="T1344" t="s">
        <v>1660</v>
      </c>
      <c r="U1344">
        <v>613.70460000000003</v>
      </c>
      <c r="V1344" s="3">
        <v>42053</v>
      </c>
    </row>
    <row r="1345" spans="1:22" x14ac:dyDescent="0.35">
      <c r="A1345" s="1">
        <v>42374.569363425922</v>
      </c>
      <c r="B1345" s="2">
        <v>3.7037037037037034E-3</v>
      </c>
      <c r="C1345" t="s">
        <v>2378</v>
      </c>
      <c r="D1345" t="s">
        <v>35</v>
      </c>
      <c r="E1345" t="s">
        <v>36</v>
      </c>
      <c r="F1345" t="s">
        <v>1659</v>
      </c>
      <c r="G1345">
        <v>1895936</v>
      </c>
      <c r="H1345" t="s">
        <v>26</v>
      </c>
      <c r="I1345" t="s">
        <v>328</v>
      </c>
      <c r="J1345" t="str">
        <f>"9781119022763"</f>
        <v>9781119022763</v>
      </c>
      <c r="K1345" t="s">
        <v>355</v>
      </c>
      <c r="L1345">
        <v>8</v>
      </c>
      <c r="O1345" t="s">
        <v>30</v>
      </c>
      <c r="P1345" t="s">
        <v>50</v>
      </c>
      <c r="S1345" t="s">
        <v>40</v>
      </c>
      <c r="T1345" t="s">
        <v>1660</v>
      </c>
      <c r="U1345">
        <v>613.70460000000003</v>
      </c>
      <c r="V1345" s="3">
        <v>42053</v>
      </c>
    </row>
    <row r="1346" spans="1:22" x14ac:dyDescent="0.35">
      <c r="A1346" s="1">
        <v>42374.567986111113</v>
      </c>
      <c r="B1346" s="2">
        <v>3.4722222222222222E-5</v>
      </c>
      <c r="C1346" t="s">
        <v>2378</v>
      </c>
      <c r="D1346" t="s">
        <v>35</v>
      </c>
      <c r="E1346" t="s">
        <v>36</v>
      </c>
      <c r="F1346" t="s">
        <v>327</v>
      </c>
      <c r="G1346">
        <v>1691426</v>
      </c>
      <c r="H1346" t="s">
        <v>26</v>
      </c>
      <c r="I1346" t="s">
        <v>328</v>
      </c>
      <c r="J1346" t="str">
        <f>"9781118839492"</f>
        <v>9781118839492</v>
      </c>
      <c r="K1346" t="s">
        <v>33</v>
      </c>
      <c r="L1346">
        <v>3</v>
      </c>
      <c r="O1346" t="s">
        <v>30</v>
      </c>
      <c r="P1346" t="s">
        <v>29</v>
      </c>
      <c r="Q1346" s="1">
        <v>42367.879351851851</v>
      </c>
      <c r="R1346">
        <v>7</v>
      </c>
      <c r="S1346" t="s">
        <v>40</v>
      </c>
      <c r="T1346" t="s">
        <v>331</v>
      </c>
      <c r="U1346">
        <v>613.70460000000003</v>
      </c>
      <c r="V1346" s="3">
        <v>41772</v>
      </c>
    </row>
    <row r="1347" spans="1:22" x14ac:dyDescent="0.35">
      <c r="A1347" s="1">
        <v>42374.561342592591</v>
      </c>
      <c r="B1347" s="2">
        <v>4.6527777777777774E-3</v>
      </c>
      <c r="C1347" t="s">
        <v>520</v>
      </c>
      <c r="D1347" t="s">
        <v>23</v>
      </c>
      <c r="E1347" t="s">
        <v>24</v>
      </c>
      <c r="F1347" t="s">
        <v>1579</v>
      </c>
      <c r="G1347">
        <v>1161538</v>
      </c>
      <c r="H1347" t="s">
        <v>26</v>
      </c>
      <c r="I1347" t="s">
        <v>108</v>
      </c>
      <c r="J1347" t="str">
        <f>"9781118521755"</f>
        <v>9781118521755</v>
      </c>
      <c r="K1347" t="s">
        <v>2381</v>
      </c>
      <c r="L1347">
        <v>34</v>
      </c>
      <c r="O1347" t="s">
        <v>30</v>
      </c>
      <c r="P1347" t="s">
        <v>29</v>
      </c>
      <c r="Q1347" s="1">
        <v>42374.561342592591</v>
      </c>
      <c r="R1347">
        <v>7</v>
      </c>
      <c r="S1347" t="s">
        <v>31</v>
      </c>
      <c r="T1347" t="s">
        <v>1581</v>
      </c>
      <c r="U1347">
        <v>332.63220000000001</v>
      </c>
      <c r="V1347" s="3">
        <v>41359</v>
      </c>
    </row>
    <row r="1348" spans="1:22" x14ac:dyDescent="0.35">
      <c r="A1348" s="1">
        <v>42374.554363425923</v>
      </c>
      <c r="B1348" s="2">
        <v>6.9791666666666674E-3</v>
      </c>
      <c r="C1348" t="s">
        <v>520</v>
      </c>
      <c r="D1348" t="s">
        <v>23</v>
      </c>
      <c r="E1348" t="s">
        <v>24</v>
      </c>
      <c r="F1348" t="s">
        <v>1579</v>
      </c>
      <c r="G1348">
        <v>1161538</v>
      </c>
      <c r="H1348" t="s">
        <v>26</v>
      </c>
      <c r="I1348" t="s">
        <v>108</v>
      </c>
      <c r="J1348" t="str">
        <f>"9781118521755"</f>
        <v>9781118521755</v>
      </c>
      <c r="K1348" t="s">
        <v>2382</v>
      </c>
      <c r="L1348">
        <v>38</v>
      </c>
      <c r="O1348" t="s">
        <v>30</v>
      </c>
      <c r="P1348" t="s">
        <v>42</v>
      </c>
      <c r="S1348" t="s">
        <v>31</v>
      </c>
      <c r="T1348" t="s">
        <v>1581</v>
      </c>
      <c r="U1348">
        <v>332.63220000000001</v>
      </c>
      <c r="V1348" s="3">
        <v>41359</v>
      </c>
    </row>
    <row r="1349" spans="1:22" x14ac:dyDescent="0.35">
      <c r="A1349" s="1">
        <v>42374.171863425923</v>
      </c>
      <c r="B1349" s="2">
        <v>1.0416666666666667E-4</v>
      </c>
      <c r="C1349" t="s">
        <v>2383</v>
      </c>
      <c r="D1349" t="s">
        <v>35</v>
      </c>
      <c r="E1349" t="s">
        <v>36</v>
      </c>
      <c r="F1349" t="s">
        <v>2384</v>
      </c>
      <c r="G1349">
        <v>1889219</v>
      </c>
      <c r="H1349" t="s">
        <v>26</v>
      </c>
      <c r="I1349" t="s">
        <v>97</v>
      </c>
      <c r="J1349" t="str">
        <f>"9781118938980"</f>
        <v>9781118938980</v>
      </c>
      <c r="K1349" t="s">
        <v>33</v>
      </c>
      <c r="L1349">
        <v>3</v>
      </c>
      <c r="O1349" t="s">
        <v>30</v>
      </c>
      <c r="P1349" t="s">
        <v>50</v>
      </c>
      <c r="S1349" t="s">
        <v>40</v>
      </c>
      <c r="T1349" t="s">
        <v>2385</v>
      </c>
      <c r="U1349">
        <v>658.5</v>
      </c>
      <c r="V1349" s="3">
        <v>41981</v>
      </c>
    </row>
    <row r="1350" spans="1:22" x14ac:dyDescent="0.35">
      <c r="A1350" s="1">
        <v>42374.165983796294</v>
      </c>
      <c r="B1350" s="2">
        <v>1.951388888888889E-2</v>
      </c>
      <c r="C1350" t="s">
        <v>2386</v>
      </c>
      <c r="D1350" t="s">
        <v>35</v>
      </c>
      <c r="E1350" t="s">
        <v>36</v>
      </c>
      <c r="F1350" t="s">
        <v>327</v>
      </c>
      <c r="G1350">
        <v>1691426</v>
      </c>
      <c r="H1350" t="s">
        <v>26</v>
      </c>
      <c r="I1350" t="s">
        <v>328</v>
      </c>
      <c r="J1350" t="str">
        <f>"9781118839492"</f>
        <v>9781118839492</v>
      </c>
      <c r="K1350" t="s">
        <v>2387</v>
      </c>
      <c r="L1350">
        <v>31</v>
      </c>
      <c r="O1350" t="s">
        <v>30</v>
      </c>
      <c r="P1350" t="s">
        <v>29</v>
      </c>
      <c r="Q1350" s="1">
        <v>42374.165983796294</v>
      </c>
      <c r="R1350">
        <v>7</v>
      </c>
      <c r="S1350" t="s">
        <v>40</v>
      </c>
      <c r="T1350" t="s">
        <v>331</v>
      </c>
      <c r="U1350">
        <v>613.70460000000003</v>
      </c>
      <c r="V1350" s="3">
        <v>41772</v>
      </c>
    </row>
    <row r="1351" spans="1:22" x14ac:dyDescent="0.35">
      <c r="A1351" s="1">
        <v>42374.158136574071</v>
      </c>
      <c r="B1351" s="2">
        <v>7.8472222222222224E-3</v>
      </c>
      <c r="C1351" t="s">
        <v>2386</v>
      </c>
      <c r="D1351" t="s">
        <v>35</v>
      </c>
      <c r="E1351" t="s">
        <v>36</v>
      </c>
      <c r="F1351" t="s">
        <v>327</v>
      </c>
      <c r="G1351">
        <v>1691426</v>
      </c>
      <c r="H1351" t="s">
        <v>26</v>
      </c>
      <c r="I1351" t="s">
        <v>328</v>
      </c>
      <c r="J1351" t="str">
        <f>"9781118839492"</f>
        <v>9781118839492</v>
      </c>
      <c r="K1351" t="s">
        <v>2388</v>
      </c>
      <c r="L1351">
        <v>30</v>
      </c>
      <c r="O1351" t="s">
        <v>30</v>
      </c>
      <c r="P1351" t="s">
        <v>42</v>
      </c>
      <c r="S1351" t="s">
        <v>40</v>
      </c>
      <c r="T1351" t="s">
        <v>331</v>
      </c>
      <c r="U1351">
        <v>613.70460000000003</v>
      </c>
      <c r="V1351" s="3">
        <v>41772</v>
      </c>
    </row>
    <row r="1352" spans="1:22" x14ac:dyDescent="0.35">
      <c r="A1352" s="1">
        <v>42374.122534722221</v>
      </c>
      <c r="B1352" s="2">
        <v>0</v>
      </c>
      <c r="C1352" t="s">
        <v>1595</v>
      </c>
      <c r="D1352" t="s">
        <v>23</v>
      </c>
      <c r="E1352" t="s">
        <v>24</v>
      </c>
      <c r="F1352" t="s">
        <v>1993</v>
      </c>
      <c r="G1352">
        <v>1358564</v>
      </c>
      <c r="H1352" t="s">
        <v>26</v>
      </c>
      <c r="I1352" t="s">
        <v>841</v>
      </c>
      <c r="J1352" t="str">
        <f t="shared" ref="J1352:J1358" si="15">"9781118646267"</f>
        <v>9781118646267</v>
      </c>
      <c r="L1352">
        <v>0</v>
      </c>
      <c r="O1352" t="s">
        <v>28</v>
      </c>
      <c r="P1352" t="s">
        <v>29</v>
      </c>
      <c r="Q1352" s="1">
        <v>42368.857418981483</v>
      </c>
      <c r="R1352">
        <v>7</v>
      </c>
      <c r="S1352" t="s">
        <v>31</v>
      </c>
      <c r="T1352" t="s">
        <v>1995</v>
      </c>
      <c r="U1352">
        <v>355.00760000000002</v>
      </c>
      <c r="V1352" s="3">
        <v>41487</v>
      </c>
    </row>
    <row r="1353" spans="1:22" x14ac:dyDescent="0.35">
      <c r="A1353" s="1">
        <v>42374.122407407405</v>
      </c>
      <c r="B1353" s="2">
        <v>4.6296296296296294E-5</v>
      </c>
      <c r="C1353" t="s">
        <v>1595</v>
      </c>
      <c r="D1353" t="s">
        <v>23</v>
      </c>
      <c r="E1353" t="s">
        <v>24</v>
      </c>
      <c r="F1353" t="s">
        <v>1993</v>
      </c>
      <c r="G1353">
        <v>1358564</v>
      </c>
      <c r="H1353" t="s">
        <v>26</v>
      </c>
      <c r="I1353" t="s">
        <v>841</v>
      </c>
      <c r="J1353" t="str">
        <f t="shared" si="15"/>
        <v>9781118646267</v>
      </c>
      <c r="K1353" t="s">
        <v>33</v>
      </c>
      <c r="L1353">
        <v>3</v>
      </c>
      <c r="O1353" t="s">
        <v>30</v>
      </c>
      <c r="P1353" t="s">
        <v>29</v>
      </c>
      <c r="Q1353" s="1">
        <v>42368.857418981483</v>
      </c>
      <c r="R1353">
        <v>7</v>
      </c>
      <c r="S1353" t="s">
        <v>31</v>
      </c>
      <c r="T1353" t="s">
        <v>1995</v>
      </c>
      <c r="U1353">
        <v>355.00760000000002</v>
      </c>
      <c r="V1353" s="3">
        <v>41487</v>
      </c>
    </row>
    <row r="1354" spans="1:22" x14ac:dyDescent="0.35">
      <c r="A1354" s="1">
        <v>42374.11917824074</v>
      </c>
      <c r="B1354" s="2">
        <v>0</v>
      </c>
      <c r="C1354" t="s">
        <v>1595</v>
      </c>
      <c r="D1354" t="s">
        <v>23</v>
      </c>
      <c r="E1354" t="s">
        <v>24</v>
      </c>
      <c r="F1354" t="s">
        <v>1993</v>
      </c>
      <c r="G1354">
        <v>1358564</v>
      </c>
      <c r="H1354" t="s">
        <v>26</v>
      </c>
      <c r="I1354" t="s">
        <v>841</v>
      </c>
      <c r="J1354" t="str">
        <f t="shared" si="15"/>
        <v>9781118646267</v>
      </c>
      <c r="L1354">
        <v>0</v>
      </c>
      <c r="O1354" t="s">
        <v>28</v>
      </c>
      <c r="P1354" t="s">
        <v>29</v>
      </c>
      <c r="Q1354" s="1">
        <v>42368.857418981483</v>
      </c>
      <c r="R1354">
        <v>7</v>
      </c>
      <c r="S1354" t="s">
        <v>31</v>
      </c>
      <c r="T1354" t="s">
        <v>1995</v>
      </c>
      <c r="U1354">
        <v>355.00760000000002</v>
      </c>
      <c r="V1354" s="3">
        <v>41487</v>
      </c>
    </row>
    <row r="1355" spans="1:22" x14ac:dyDescent="0.35">
      <c r="A1355" s="1">
        <v>42374.119016203702</v>
      </c>
      <c r="B1355" s="2">
        <v>8.1018518518518516E-5</v>
      </c>
      <c r="C1355" t="s">
        <v>1595</v>
      </c>
      <c r="D1355" t="s">
        <v>23</v>
      </c>
      <c r="E1355" t="s">
        <v>24</v>
      </c>
      <c r="F1355" t="s">
        <v>1993</v>
      </c>
      <c r="G1355">
        <v>1358564</v>
      </c>
      <c r="H1355" t="s">
        <v>26</v>
      </c>
      <c r="I1355" t="s">
        <v>841</v>
      </c>
      <c r="J1355" t="str">
        <f t="shared" si="15"/>
        <v>9781118646267</v>
      </c>
      <c r="K1355" t="s">
        <v>33</v>
      </c>
      <c r="L1355">
        <v>3</v>
      </c>
      <c r="O1355" t="s">
        <v>30</v>
      </c>
      <c r="P1355" t="s">
        <v>29</v>
      </c>
      <c r="Q1355" s="1">
        <v>42368.857418981483</v>
      </c>
      <c r="R1355">
        <v>7</v>
      </c>
      <c r="S1355" t="s">
        <v>31</v>
      </c>
      <c r="T1355" t="s">
        <v>1995</v>
      </c>
      <c r="U1355">
        <v>355.00760000000002</v>
      </c>
      <c r="V1355" s="3">
        <v>41487</v>
      </c>
    </row>
    <row r="1356" spans="1:22" x14ac:dyDescent="0.35">
      <c r="A1356" s="1">
        <v>42374.118020833332</v>
      </c>
      <c r="B1356" s="2">
        <v>6.9444444444444444E-5</v>
      </c>
      <c r="C1356" t="s">
        <v>1595</v>
      </c>
      <c r="D1356" t="s">
        <v>23</v>
      </c>
      <c r="E1356" t="s">
        <v>24</v>
      </c>
      <c r="F1356" t="s">
        <v>1993</v>
      </c>
      <c r="G1356">
        <v>1358564</v>
      </c>
      <c r="H1356" t="s">
        <v>26</v>
      </c>
      <c r="I1356" t="s">
        <v>841</v>
      </c>
      <c r="J1356" t="str">
        <f t="shared" si="15"/>
        <v>9781118646267</v>
      </c>
      <c r="K1356" t="s">
        <v>611</v>
      </c>
      <c r="L1356">
        <v>3</v>
      </c>
      <c r="O1356" t="s">
        <v>30</v>
      </c>
      <c r="P1356" t="s">
        <v>29</v>
      </c>
      <c r="Q1356" s="1">
        <v>42368.857418981483</v>
      </c>
      <c r="R1356">
        <v>7</v>
      </c>
      <c r="S1356" t="s">
        <v>31</v>
      </c>
      <c r="T1356" t="s">
        <v>1995</v>
      </c>
      <c r="U1356">
        <v>355.00760000000002</v>
      </c>
      <c r="V1356" s="3">
        <v>41487</v>
      </c>
    </row>
    <row r="1357" spans="1:22" x14ac:dyDescent="0.35">
      <c r="A1357" s="1">
        <v>42374.109583333331</v>
      </c>
      <c r="B1357" s="2">
        <v>1.0648148148148147E-3</v>
      </c>
      <c r="C1357" t="s">
        <v>1595</v>
      </c>
      <c r="D1357" t="s">
        <v>23</v>
      </c>
      <c r="E1357" t="s">
        <v>24</v>
      </c>
      <c r="F1357" t="s">
        <v>1993</v>
      </c>
      <c r="G1357">
        <v>1358564</v>
      </c>
      <c r="H1357" t="s">
        <v>26</v>
      </c>
      <c r="I1357" t="s">
        <v>841</v>
      </c>
      <c r="J1357" t="str">
        <f t="shared" si="15"/>
        <v>9781118646267</v>
      </c>
      <c r="K1357" t="s">
        <v>2389</v>
      </c>
      <c r="L1357">
        <v>21</v>
      </c>
      <c r="O1357" t="s">
        <v>30</v>
      </c>
      <c r="P1357" t="s">
        <v>29</v>
      </c>
      <c r="Q1357" s="1">
        <v>42368.857418981483</v>
      </c>
      <c r="R1357">
        <v>7</v>
      </c>
      <c r="S1357" t="s">
        <v>31</v>
      </c>
      <c r="T1357" t="s">
        <v>1995</v>
      </c>
      <c r="U1357">
        <v>355.00760000000002</v>
      </c>
      <c r="V1357" s="3">
        <v>41487</v>
      </c>
    </row>
    <row r="1358" spans="1:22" x14ac:dyDescent="0.35">
      <c r="A1358" s="1">
        <v>42374.10665509259</v>
      </c>
      <c r="B1358" s="2">
        <v>2.7314814814814819E-3</v>
      </c>
      <c r="C1358" t="s">
        <v>1595</v>
      </c>
      <c r="D1358" t="s">
        <v>23</v>
      </c>
      <c r="E1358" t="s">
        <v>24</v>
      </c>
      <c r="F1358" t="s">
        <v>1993</v>
      </c>
      <c r="G1358">
        <v>1358564</v>
      </c>
      <c r="H1358" t="s">
        <v>26</v>
      </c>
      <c r="I1358" t="s">
        <v>841</v>
      </c>
      <c r="J1358" t="str">
        <f t="shared" si="15"/>
        <v>9781118646267</v>
      </c>
      <c r="K1358" t="s">
        <v>2390</v>
      </c>
      <c r="L1358">
        <v>14</v>
      </c>
      <c r="O1358" t="s">
        <v>30</v>
      </c>
      <c r="P1358" t="s">
        <v>29</v>
      </c>
      <c r="Q1358" s="1">
        <v>42368.857418981483</v>
      </c>
      <c r="R1358">
        <v>7</v>
      </c>
      <c r="S1358" t="s">
        <v>31</v>
      </c>
      <c r="T1358" t="s">
        <v>1995</v>
      </c>
      <c r="U1358">
        <v>355.00760000000002</v>
      </c>
      <c r="V1358" s="3">
        <v>41487</v>
      </c>
    </row>
    <row r="1359" spans="1:22" x14ac:dyDescent="0.35">
      <c r="A1359" s="1">
        <v>42374.091620370367</v>
      </c>
      <c r="B1359" s="2">
        <v>2.1180555555555553E-3</v>
      </c>
      <c r="C1359" t="s">
        <v>2391</v>
      </c>
      <c r="D1359" t="s">
        <v>335</v>
      </c>
      <c r="E1359" t="s">
        <v>336</v>
      </c>
      <c r="F1359" t="s">
        <v>2392</v>
      </c>
      <c r="G1359">
        <v>1143563</v>
      </c>
      <c r="H1359" t="s">
        <v>26</v>
      </c>
      <c r="I1359" t="s">
        <v>150</v>
      </c>
      <c r="J1359" t="str">
        <f>"9781118526477"</f>
        <v>9781118526477</v>
      </c>
      <c r="K1359" t="s">
        <v>2393</v>
      </c>
      <c r="L1359">
        <v>20</v>
      </c>
      <c r="O1359" t="s">
        <v>30</v>
      </c>
      <c r="P1359" t="s">
        <v>50</v>
      </c>
      <c r="S1359" t="s">
        <v>340</v>
      </c>
      <c r="T1359" t="s">
        <v>2394</v>
      </c>
      <c r="U1359">
        <v>770.68</v>
      </c>
      <c r="V1359" s="3">
        <v>41333</v>
      </c>
    </row>
    <row r="1360" spans="1:22" x14ac:dyDescent="0.35">
      <c r="A1360" s="1">
        <v>42374.043425925927</v>
      </c>
      <c r="B1360" s="2">
        <v>9.2592592592592588E-5</v>
      </c>
      <c r="C1360" t="s">
        <v>2386</v>
      </c>
      <c r="D1360" t="s">
        <v>35</v>
      </c>
      <c r="E1360" t="s">
        <v>36</v>
      </c>
      <c r="F1360" t="s">
        <v>327</v>
      </c>
      <c r="G1360">
        <v>1691426</v>
      </c>
      <c r="H1360" t="s">
        <v>26</v>
      </c>
      <c r="I1360" t="s">
        <v>328</v>
      </c>
      <c r="J1360" t="str">
        <f t="shared" ref="J1360:J1365" si="16">"9781118839492"</f>
        <v>9781118839492</v>
      </c>
      <c r="K1360" t="s">
        <v>33</v>
      </c>
      <c r="L1360">
        <v>3</v>
      </c>
      <c r="O1360" t="s">
        <v>30</v>
      </c>
      <c r="P1360" t="s">
        <v>42</v>
      </c>
      <c r="S1360" t="s">
        <v>40</v>
      </c>
      <c r="T1360" t="s">
        <v>331</v>
      </c>
      <c r="U1360">
        <v>613.70460000000003</v>
      </c>
      <c r="V1360" s="3">
        <v>41772</v>
      </c>
    </row>
    <row r="1361" spans="1:22" x14ac:dyDescent="0.35">
      <c r="A1361" s="1">
        <v>42374.037326388891</v>
      </c>
      <c r="B1361" s="2">
        <v>4.9409722222222223E-2</v>
      </c>
      <c r="C1361" t="s">
        <v>1680</v>
      </c>
      <c r="D1361" t="s">
        <v>35</v>
      </c>
      <c r="E1361" t="s">
        <v>36</v>
      </c>
      <c r="F1361" t="s">
        <v>327</v>
      </c>
      <c r="G1361">
        <v>1691426</v>
      </c>
      <c r="H1361" t="s">
        <v>26</v>
      </c>
      <c r="I1361" t="s">
        <v>328</v>
      </c>
      <c r="J1361" t="str">
        <f t="shared" si="16"/>
        <v>9781118839492</v>
      </c>
      <c r="K1361" t="s">
        <v>2395</v>
      </c>
      <c r="L1361">
        <v>27</v>
      </c>
      <c r="O1361" t="s">
        <v>30</v>
      </c>
      <c r="P1361" t="s">
        <v>29</v>
      </c>
      <c r="Q1361" s="1">
        <v>42374.037326388891</v>
      </c>
      <c r="R1361">
        <v>7</v>
      </c>
      <c r="S1361" t="s">
        <v>40</v>
      </c>
      <c r="T1361" t="s">
        <v>331</v>
      </c>
      <c r="U1361">
        <v>613.70460000000003</v>
      </c>
      <c r="V1361" s="3">
        <v>41772</v>
      </c>
    </row>
    <row r="1362" spans="1:22" x14ac:dyDescent="0.35">
      <c r="A1362" s="1">
        <v>42373.999479166669</v>
      </c>
      <c r="B1362" s="2">
        <v>7.9861111111111105E-4</v>
      </c>
      <c r="C1362" t="s">
        <v>1755</v>
      </c>
      <c r="D1362" t="s">
        <v>35</v>
      </c>
      <c r="E1362" t="s">
        <v>36</v>
      </c>
      <c r="F1362" t="s">
        <v>327</v>
      </c>
      <c r="G1362">
        <v>1691426</v>
      </c>
      <c r="H1362" t="s">
        <v>26</v>
      </c>
      <c r="I1362" t="s">
        <v>328</v>
      </c>
      <c r="J1362" t="str">
        <f t="shared" si="16"/>
        <v>9781118839492</v>
      </c>
      <c r="K1362" t="s">
        <v>2396</v>
      </c>
      <c r="L1362">
        <v>2</v>
      </c>
      <c r="O1362" t="s">
        <v>28</v>
      </c>
      <c r="P1362" t="s">
        <v>29</v>
      </c>
      <c r="Q1362" s="1">
        <v>42373.999479166669</v>
      </c>
      <c r="R1362">
        <v>7</v>
      </c>
      <c r="S1362" t="s">
        <v>40</v>
      </c>
      <c r="T1362" t="s">
        <v>331</v>
      </c>
      <c r="U1362">
        <v>613.70460000000003</v>
      </c>
      <c r="V1362" s="3">
        <v>41772</v>
      </c>
    </row>
    <row r="1363" spans="1:22" x14ac:dyDescent="0.35">
      <c r="A1363" s="1">
        <v>42373.999479166669</v>
      </c>
      <c r="B1363" s="2">
        <v>0</v>
      </c>
      <c r="C1363" t="s">
        <v>1755</v>
      </c>
      <c r="D1363" t="s">
        <v>35</v>
      </c>
      <c r="E1363" t="s">
        <v>36</v>
      </c>
      <c r="F1363" t="s">
        <v>327</v>
      </c>
      <c r="G1363">
        <v>1691426</v>
      </c>
      <c r="H1363" t="s">
        <v>26</v>
      </c>
      <c r="I1363" t="s">
        <v>328</v>
      </c>
      <c r="J1363" t="str">
        <f t="shared" si="16"/>
        <v>9781118839492</v>
      </c>
      <c r="L1363">
        <v>0</v>
      </c>
      <c r="O1363" t="s">
        <v>30</v>
      </c>
      <c r="P1363" t="s">
        <v>29</v>
      </c>
      <c r="Q1363" s="1">
        <v>42373.999479166669</v>
      </c>
      <c r="R1363">
        <v>7</v>
      </c>
      <c r="S1363" t="s">
        <v>40</v>
      </c>
      <c r="T1363" t="s">
        <v>331</v>
      </c>
      <c r="U1363">
        <v>613.70460000000003</v>
      </c>
      <c r="V1363" s="3">
        <v>41772</v>
      </c>
    </row>
    <row r="1364" spans="1:22" x14ac:dyDescent="0.35">
      <c r="A1364" s="1">
        <v>42373.996354166666</v>
      </c>
      <c r="B1364" s="2">
        <v>3.1249999999999997E-3</v>
      </c>
      <c r="C1364" t="s">
        <v>1755</v>
      </c>
      <c r="D1364" t="s">
        <v>35</v>
      </c>
      <c r="E1364" t="s">
        <v>36</v>
      </c>
      <c r="F1364" t="s">
        <v>327</v>
      </c>
      <c r="G1364">
        <v>1691426</v>
      </c>
      <c r="H1364" t="s">
        <v>26</v>
      </c>
      <c r="I1364" t="s">
        <v>328</v>
      </c>
      <c r="J1364" t="str">
        <f t="shared" si="16"/>
        <v>9781118839492</v>
      </c>
      <c r="K1364" t="s">
        <v>209</v>
      </c>
      <c r="L1364">
        <v>4</v>
      </c>
      <c r="O1364" t="s">
        <v>30</v>
      </c>
      <c r="P1364" t="s">
        <v>42</v>
      </c>
      <c r="S1364" t="s">
        <v>40</v>
      </c>
      <c r="T1364" t="s">
        <v>331</v>
      </c>
      <c r="U1364">
        <v>613.70460000000003</v>
      </c>
      <c r="V1364" s="3">
        <v>41772</v>
      </c>
    </row>
    <row r="1365" spans="1:22" x14ac:dyDescent="0.35">
      <c r="A1365" s="1">
        <v>42373.955925925926</v>
      </c>
      <c r="B1365" s="2">
        <v>8.1400462962962966E-2</v>
      </c>
      <c r="C1365" t="s">
        <v>1680</v>
      </c>
      <c r="D1365" t="s">
        <v>35</v>
      </c>
      <c r="E1365" t="s">
        <v>36</v>
      </c>
      <c r="F1365" t="s">
        <v>327</v>
      </c>
      <c r="G1365">
        <v>1691426</v>
      </c>
      <c r="H1365" t="s">
        <v>26</v>
      </c>
      <c r="I1365" t="s">
        <v>328</v>
      </c>
      <c r="J1365" t="str">
        <f t="shared" si="16"/>
        <v>9781118839492</v>
      </c>
      <c r="K1365" t="s">
        <v>2397</v>
      </c>
      <c r="L1365">
        <v>36</v>
      </c>
      <c r="O1365" t="s">
        <v>30</v>
      </c>
      <c r="P1365" t="s">
        <v>42</v>
      </c>
      <c r="S1365" t="s">
        <v>40</v>
      </c>
      <c r="T1365" t="s">
        <v>331</v>
      </c>
      <c r="U1365">
        <v>613.70460000000003</v>
      </c>
      <c r="V1365" s="3">
        <v>41772</v>
      </c>
    </row>
    <row r="1366" spans="1:22" x14ac:dyDescent="0.35">
      <c r="A1366" s="1">
        <v>42373.923356481479</v>
      </c>
      <c r="B1366" s="2">
        <v>8.564814814814815E-3</v>
      </c>
      <c r="C1366" t="s">
        <v>1595</v>
      </c>
      <c r="D1366" t="s">
        <v>23</v>
      </c>
      <c r="E1366" t="s">
        <v>24</v>
      </c>
      <c r="F1366" t="s">
        <v>1993</v>
      </c>
      <c r="G1366">
        <v>1358564</v>
      </c>
      <c r="H1366" t="s">
        <v>26</v>
      </c>
      <c r="I1366" t="s">
        <v>841</v>
      </c>
      <c r="J1366" t="str">
        <f>"9781118646267"</f>
        <v>9781118646267</v>
      </c>
      <c r="K1366" t="s">
        <v>2398</v>
      </c>
      <c r="L1366">
        <v>17</v>
      </c>
      <c r="O1366" t="s">
        <v>30</v>
      </c>
      <c r="P1366" t="s">
        <v>29</v>
      </c>
      <c r="Q1366" s="1">
        <v>42368.857418981483</v>
      </c>
      <c r="R1366">
        <v>7</v>
      </c>
      <c r="S1366" t="s">
        <v>31</v>
      </c>
      <c r="T1366" t="s">
        <v>1995</v>
      </c>
      <c r="U1366">
        <v>355.00760000000002</v>
      </c>
      <c r="V1366" s="3">
        <v>41487</v>
      </c>
    </row>
    <row r="1367" spans="1:22" x14ac:dyDescent="0.35">
      <c r="A1367" s="1">
        <v>42373.9</v>
      </c>
      <c r="B1367" s="2">
        <v>2.9386574074074075E-2</v>
      </c>
      <c r="C1367" t="s">
        <v>1595</v>
      </c>
      <c r="D1367" t="s">
        <v>23</v>
      </c>
      <c r="E1367" t="s">
        <v>24</v>
      </c>
      <c r="F1367" t="s">
        <v>1993</v>
      </c>
      <c r="G1367">
        <v>1358564</v>
      </c>
      <c r="H1367" t="s">
        <v>26</v>
      </c>
      <c r="I1367" t="s">
        <v>841</v>
      </c>
      <c r="J1367" t="str">
        <f>"9781118646267"</f>
        <v>9781118646267</v>
      </c>
      <c r="K1367" t="s">
        <v>2399</v>
      </c>
      <c r="L1367">
        <v>65</v>
      </c>
      <c r="O1367" t="s">
        <v>30</v>
      </c>
      <c r="P1367" t="s">
        <v>29</v>
      </c>
      <c r="Q1367" s="1">
        <v>42368.857418981483</v>
      </c>
      <c r="R1367">
        <v>7</v>
      </c>
      <c r="S1367" t="s">
        <v>31</v>
      </c>
      <c r="T1367" t="s">
        <v>1995</v>
      </c>
      <c r="U1367">
        <v>355.00760000000002</v>
      </c>
      <c r="V1367" s="3">
        <v>41487</v>
      </c>
    </row>
    <row r="1368" spans="1:22" x14ac:dyDescent="0.35">
      <c r="A1368" s="1">
        <v>42373.887175925927</v>
      </c>
      <c r="B1368" s="2">
        <v>1.4236111111111111E-2</v>
      </c>
      <c r="C1368" t="s">
        <v>988</v>
      </c>
      <c r="D1368" t="s">
        <v>23</v>
      </c>
      <c r="E1368" t="s">
        <v>24</v>
      </c>
      <c r="F1368" t="s">
        <v>989</v>
      </c>
      <c r="G1368">
        <v>330580</v>
      </c>
      <c r="H1368" t="s">
        <v>91</v>
      </c>
      <c r="I1368" t="s">
        <v>247</v>
      </c>
      <c r="J1368" t="str">
        <f>"9781593859398"</f>
        <v>9781593859398</v>
      </c>
      <c r="K1368" t="s">
        <v>2400</v>
      </c>
      <c r="L1368">
        <v>32</v>
      </c>
      <c r="O1368" t="s">
        <v>30</v>
      </c>
      <c r="P1368" t="s">
        <v>47</v>
      </c>
      <c r="Q1368" s="1">
        <v>42372.733819444446</v>
      </c>
      <c r="R1368">
        <v>7</v>
      </c>
      <c r="S1368" t="s">
        <v>31</v>
      </c>
      <c r="T1368" t="s">
        <v>991</v>
      </c>
      <c r="U1368">
        <v>616.89142000000004</v>
      </c>
      <c r="V1368" s="3">
        <v>41773</v>
      </c>
    </row>
    <row r="1369" spans="1:22" x14ac:dyDescent="0.35">
      <c r="A1369" s="1">
        <v>42373.887013888889</v>
      </c>
      <c r="B1369" s="2">
        <v>1.1759259259259259E-2</v>
      </c>
      <c r="C1369" t="s">
        <v>2401</v>
      </c>
      <c r="D1369" t="s">
        <v>35</v>
      </c>
      <c r="E1369" t="s">
        <v>36</v>
      </c>
      <c r="F1369" t="s">
        <v>2402</v>
      </c>
      <c r="G1369">
        <v>1166797</v>
      </c>
      <c r="H1369" t="s">
        <v>26</v>
      </c>
      <c r="I1369" t="s">
        <v>120</v>
      </c>
      <c r="J1369" t="str">
        <f>"9780745664002"</f>
        <v>9780745664002</v>
      </c>
      <c r="K1369" t="s">
        <v>2403</v>
      </c>
      <c r="L1369">
        <v>23</v>
      </c>
      <c r="M1369" t="s">
        <v>2404</v>
      </c>
      <c r="O1369" t="s">
        <v>30</v>
      </c>
      <c r="P1369" t="s">
        <v>47</v>
      </c>
      <c r="Q1369" s="1">
        <v>42373.887013888889</v>
      </c>
      <c r="R1369">
        <v>1</v>
      </c>
      <c r="S1369" t="s">
        <v>40</v>
      </c>
      <c r="T1369" t="s">
        <v>2405</v>
      </c>
      <c r="U1369">
        <v>306.39999999999998</v>
      </c>
      <c r="V1369" s="3">
        <v>41367</v>
      </c>
    </row>
    <row r="1370" spans="1:22" x14ac:dyDescent="0.35">
      <c r="A1370" s="1">
        <v>42373.88585648148</v>
      </c>
      <c r="B1370" s="2">
        <v>1.1574074074074073E-3</v>
      </c>
      <c r="C1370" t="s">
        <v>2401</v>
      </c>
      <c r="D1370" t="s">
        <v>35</v>
      </c>
      <c r="E1370" t="s">
        <v>36</v>
      </c>
      <c r="F1370" t="s">
        <v>2402</v>
      </c>
      <c r="G1370">
        <v>1166797</v>
      </c>
      <c r="H1370" t="s">
        <v>26</v>
      </c>
      <c r="I1370" t="s">
        <v>120</v>
      </c>
      <c r="J1370" t="str">
        <f>"9780745664002"</f>
        <v>9780745664002</v>
      </c>
      <c r="K1370" t="s">
        <v>2406</v>
      </c>
      <c r="L1370">
        <v>10</v>
      </c>
      <c r="O1370" t="s">
        <v>30</v>
      </c>
      <c r="P1370" t="s">
        <v>50</v>
      </c>
      <c r="S1370" t="s">
        <v>40</v>
      </c>
      <c r="T1370" t="s">
        <v>2405</v>
      </c>
      <c r="U1370">
        <v>306.39999999999998</v>
      </c>
      <c r="V1370" s="3">
        <v>41367</v>
      </c>
    </row>
    <row r="1371" spans="1:22" x14ac:dyDescent="0.35">
      <c r="A1371" s="1">
        <v>42373.879108796296</v>
      </c>
      <c r="B1371" s="2">
        <v>4.9768518518518521E-4</v>
      </c>
      <c r="C1371" t="s">
        <v>2407</v>
      </c>
      <c r="D1371" t="s">
        <v>23</v>
      </c>
      <c r="E1371" t="s">
        <v>24</v>
      </c>
      <c r="F1371" t="s">
        <v>1051</v>
      </c>
      <c r="G1371">
        <v>821663</v>
      </c>
      <c r="H1371" t="s">
        <v>26</v>
      </c>
      <c r="I1371" t="s">
        <v>200</v>
      </c>
      <c r="J1371" t="str">
        <f>"9781118168479"</f>
        <v>9781118168479</v>
      </c>
      <c r="K1371" t="s">
        <v>2408</v>
      </c>
      <c r="L1371">
        <v>5</v>
      </c>
      <c r="O1371" t="s">
        <v>30</v>
      </c>
      <c r="P1371" t="s">
        <v>42</v>
      </c>
      <c r="S1371" t="s">
        <v>31</v>
      </c>
      <c r="T1371" t="s">
        <v>1053</v>
      </c>
      <c r="U1371">
        <v>729</v>
      </c>
      <c r="V1371" s="3">
        <v>40973</v>
      </c>
    </row>
    <row r="1372" spans="1:22" x14ac:dyDescent="0.35">
      <c r="A1372" s="1">
        <v>42373.861018518517</v>
      </c>
      <c r="B1372" s="2">
        <v>1.3888888888888889E-4</v>
      </c>
      <c r="C1372" t="s">
        <v>2409</v>
      </c>
      <c r="D1372" t="s">
        <v>23</v>
      </c>
      <c r="E1372" t="s">
        <v>24</v>
      </c>
      <c r="F1372" t="s">
        <v>2074</v>
      </c>
      <c r="G1372">
        <v>1779318</v>
      </c>
      <c r="H1372" t="s">
        <v>26</v>
      </c>
      <c r="I1372" t="s">
        <v>276</v>
      </c>
      <c r="J1372" t="str">
        <f>"9781118968093"</f>
        <v>9781118968093</v>
      </c>
      <c r="K1372" t="s">
        <v>202</v>
      </c>
      <c r="L1372">
        <v>3</v>
      </c>
      <c r="O1372" t="s">
        <v>30</v>
      </c>
      <c r="P1372" t="s">
        <v>50</v>
      </c>
      <c r="S1372" t="s">
        <v>31</v>
      </c>
      <c r="T1372" t="s">
        <v>2076</v>
      </c>
      <c r="U1372">
        <v>4.0229999999999997</v>
      </c>
      <c r="V1372" s="3">
        <v>41884</v>
      </c>
    </row>
    <row r="1373" spans="1:22" x14ac:dyDescent="0.35">
      <c r="A1373" s="1">
        <v>42373.774872685186</v>
      </c>
      <c r="B1373" s="2">
        <v>2.3148148148148147E-5</v>
      </c>
      <c r="C1373" t="s">
        <v>210</v>
      </c>
      <c r="D1373" t="s">
        <v>211</v>
      </c>
      <c r="E1373" t="s">
        <v>212</v>
      </c>
      <c r="F1373" t="s">
        <v>2410</v>
      </c>
      <c r="G1373">
        <v>1186393</v>
      </c>
      <c r="H1373" t="s">
        <v>91</v>
      </c>
      <c r="I1373" t="s">
        <v>247</v>
      </c>
      <c r="J1373" t="str">
        <f>"9781462508525"</f>
        <v>9781462508525</v>
      </c>
      <c r="K1373" t="s">
        <v>33</v>
      </c>
      <c r="L1373">
        <v>3</v>
      </c>
      <c r="O1373" t="s">
        <v>30</v>
      </c>
      <c r="P1373" t="s">
        <v>29</v>
      </c>
      <c r="Q1373" s="1">
        <v>42373.75681712963</v>
      </c>
      <c r="R1373">
        <v>7</v>
      </c>
      <c r="S1373" t="s">
        <v>214</v>
      </c>
      <c r="T1373" t="s">
        <v>2411</v>
      </c>
      <c r="U1373">
        <v>618.92849999999999</v>
      </c>
      <c r="V1373" s="3">
        <v>41773</v>
      </c>
    </row>
    <row r="1374" spans="1:22" x14ac:dyDescent="0.35">
      <c r="A1374" s="1">
        <v>42373.761550925927</v>
      </c>
      <c r="B1374" s="2">
        <v>2.3148148148148147E-5</v>
      </c>
      <c r="C1374" t="s">
        <v>210</v>
      </c>
      <c r="D1374" t="s">
        <v>211</v>
      </c>
      <c r="E1374" t="s">
        <v>212</v>
      </c>
      <c r="F1374" t="s">
        <v>2410</v>
      </c>
      <c r="G1374">
        <v>1186393</v>
      </c>
      <c r="H1374" t="s">
        <v>91</v>
      </c>
      <c r="I1374" t="s">
        <v>247</v>
      </c>
      <c r="J1374" t="str">
        <f>"9781462508525"</f>
        <v>9781462508525</v>
      </c>
      <c r="K1374" t="s">
        <v>33</v>
      </c>
      <c r="L1374">
        <v>3</v>
      </c>
      <c r="O1374" t="s">
        <v>30</v>
      </c>
      <c r="P1374" t="s">
        <v>29</v>
      </c>
      <c r="Q1374" s="1">
        <v>42373.75681712963</v>
      </c>
      <c r="R1374">
        <v>7</v>
      </c>
      <c r="S1374" t="s">
        <v>214</v>
      </c>
      <c r="T1374" t="s">
        <v>2411</v>
      </c>
      <c r="U1374">
        <v>618.92849999999999</v>
      </c>
      <c r="V1374" s="3">
        <v>41773</v>
      </c>
    </row>
    <row r="1375" spans="1:22" x14ac:dyDescent="0.35">
      <c r="A1375" s="1">
        <v>42373.759456018517</v>
      </c>
      <c r="B1375" s="2">
        <v>3.4722222222222222E-5</v>
      </c>
      <c r="C1375" t="s">
        <v>210</v>
      </c>
      <c r="D1375" t="s">
        <v>211</v>
      </c>
      <c r="E1375" t="s">
        <v>212</v>
      </c>
      <c r="F1375" t="s">
        <v>2410</v>
      </c>
      <c r="G1375">
        <v>1186393</v>
      </c>
      <c r="H1375" t="s">
        <v>91</v>
      </c>
      <c r="I1375" t="s">
        <v>247</v>
      </c>
      <c r="J1375" t="str">
        <f>"9781462508525"</f>
        <v>9781462508525</v>
      </c>
      <c r="K1375" t="s">
        <v>33</v>
      </c>
      <c r="L1375">
        <v>3</v>
      </c>
      <c r="O1375" t="s">
        <v>30</v>
      </c>
      <c r="P1375" t="s">
        <v>29</v>
      </c>
      <c r="Q1375" s="1">
        <v>42373.75681712963</v>
      </c>
      <c r="R1375">
        <v>7</v>
      </c>
      <c r="S1375" t="s">
        <v>214</v>
      </c>
      <c r="T1375" t="s">
        <v>2411</v>
      </c>
      <c r="U1375">
        <v>618.92849999999999</v>
      </c>
      <c r="V1375" s="3">
        <v>41773</v>
      </c>
    </row>
    <row r="1376" spans="1:22" x14ac:dyDescent="0.35">
      <c r="A1376" s="1">
        <v>42373.75681712963</v>
      </c>
      <c r="B1376" s="2">
        <v>1.6203703703703703E-4</v>
      </c>
      <c r="C1376" t="s">
        <v>210</v>
      </c>
      <c r="D1376" t="s">
        <v>211</v>
      </c>
      <c r="E1376" t="s">
        <v>212</v>
      </c>
      <c r="F1376" t="s">
        <v>2410</v>
      </c>
      <c r="G1376">
        <v>1186393</v>
      </c>
      <c r="H1376" t="s">
        <v>91</v>
      </c>
      <c r="I1376" t="s">
        <v>247</v>
      </c>
      <c r="J1376" t="str">
        <f>"9781462508525"</f>
        <v>9781462508525</v>
      </c>
      <c r="K1376" t="s">
        <v>2412</v>
      </c>
      <c r="L1376">
        <v>2</v>
      </c>
      <c r="N1376" t="s">
        <v>2413</v>
      </c>
      <c r="O1376" t="s">
        <v>30</v>
      </c>
      <c r="P1376" t="s">
        <v>29</v>
      </c>
      <c r="Q1376" s="1">
        <v>42373.75681712963</v>
      </c>
      <c r="R1376">
        <v>7</v>
      </c>
      <c r="S1376" t="s">
        <v>214</v>
      </c>
      <c r="T1376" t="s">
        <v>2411</v>
      </c>
      <c r="U1376">
        <v>618.92849999999999</v>
      </c>
      <c r="V1376" s="3">
        <v>41773</v>
      </c>
    </row>
    <row r="1377" spans="1:22" x14ac:dyDescent="0.35">
      <c r="A1377" s="1">
        <v>42373.755682870367</v>
      </c>
      <c r="B1377" s="2">
        <v>1.1574074074074073E-4</v>
      </c>
      <c r="C1377" t="s">
        <v>2414</v>
      </c>
      <c r="D1377" t="s">
        <v>23</v>
      </c>
      <c r="E1377" t="s">
        <v>24</v>
      </c>
      <c r="F1377" t="s">
        <v>2415</v>
      </c>
      <c r="G1377">
        <v>362571</v>
      </c>
      <c r="H1377" t="s">
        <v>91</v>
      </c>
      <c r="I1377" t="s">
        <v>92</v>
      </c>
      <c r="J1377" t="str">
        <f>"9781606232224"</f>
        <v>9781606232224</v>
      </c>
      <c r="K1377" t="s">
        <v>2416</v>
      </c>
      <c r="L1377">
        <v>9</v>
      </c>
      <c r="O1377" t="s">
        <v>30</v>
      </c>
      <c r="P1377" t="s">
        <v>50</v>
      </c>
      <c r="S1377" t="s">
        <v>31</v>
      </c>
      <c r="T1377" t="s">
        <v>2417</v>
      </c>
      <c r="U1377">
        <v>1.4219999999999999</v>
      </c>
      <c r="V1377" s="3">
        <v>41773</v>
      </c>
    </row>
    <row r="1378" spans="1:22" x14ac:dyDescent="0.35">
      <c r="A1378" s="1">
        <v>42373.755300925928</v>
      </c>
      <c r="B1378" s="2">
        <v>1.5162037037037036E-3</v>
      </c>
      <c r="C1378" t="s">
        <v>210</v>
      </c>
      <c r="D1378" t="s">
        <v>211</v>
      </c>
      <c r="E1378" t="s">
        <v>212</v>
      </c>
      <c r="F1378" t="s">
        <v>2410</v>
      </c>
      <c r="G1378">
        <v>1186393</v>
      </c>
      <c r="H1378" t="s">
        <v>91</v>
      </c>
      <c r="I1378" t="s">
        <v>247</v>
      </c>
      <c r="J1378" t="str">
        <f>"9781462508525"</f>
        <v>9781462508525</v>
      </c>
      <c r="K1378" t="s">
        <v>2418</v>
      </c>
      <c r="L1378">
        <v>61</v>
      </c>
      <c r="O1378" t="s">
        <v>30</v>
      </c>
      <c r="P1378" t="s">
        <v>42</v>
      </c>
      <c r="S1378" t="s">
        <v>214</v>
      </c>
      <c r="T1378" t="s">
        <v>2411</v>
      </c>
      <c r="U1378">
        <v>618.92849999999999</v>
      </c>
      <c r="V1378" s="3">
        <v>41773</v>
      </c>
    </row>
    <row r="1379" spans="1:22" x14ac:dyDescent="0.35">
      <c r="A1379" s="1">
        <v>42373.729479166665</v>
      </c>
      <c r="B1379" s="2">
        <v>6.1053240740740734E-2</v>
      </c>
      <c r="C1379" t="s">
        <v>520</v>
      </c>
      <c r="D1379" t="s">
        <v>23</v>
      </c>
      <c r="E1379" t="s">
        <v>24</v>
      </c>
      <c r="F1379" t="s">
        <v>2419</v>
      </c>
      <c r="G1379">
        <v>1110728</v>
      </c>
      <c r="H1379" t="s">
        <v>26</v>
      </c>
      <c r="I1379" t="s">
        <v>108</v>
      </c>
      <c r="J1379" t="str">
        <f>"9781118461204"</f>
        <v>9781118461204</v>
      </c>
      <c r="K1379" t="s">
        <v>2420</v>
      </c>
      <c r="L1379">
        <v>30</v>
      </c>
      <c r="O1379" t="s">
        <v>30</v>
      </c>
      <c r="P1379" t="s">
        <v>29</v>
      </c>
      <c r="Q1379" s="1">
        <v>42370.694097222222</v>
      </c>
      <c r="R1379">
        <v>7</v>
      </c>
      <c r="S1379" t="s">
        <v>31</v>
      </c>
      <c r="T1379" t="s">
        <v>2421</v>
      </c>
      <c r="U1379" t="s">
        <v>2422</v>
      </c>
      <c r="V1379" s="3">
        <v>41283</v>
      </c>
    </row>
    <row r="1380" spans="1:22" x14ac:dyDescent="0.35">
      <c r="A1380" s="1">
        <v>42373.721041666664</v>
      </c>
      <c r="B1380" s="2">
        <v>6.2245370370370368E-2</v>
      </c>
      <c r="C1380" t="s">
        <v>1595</v>
      </c>
      <c r="D1380" t="s">
        <v>23</v>
      </c>
      <c r="E1380" t="s">
        <v>24</v>
      </c>
      <c r="F1380" t="s">
        <v>1993</v>
      </c>
      <c r="G1380">
        <v>1358564</v>
      </c>
      <c r="H1380" t="s">
        <v>26</v>
      </c>
      <c r="I1380" t="s">
        <v>841</v>
      </c>
      <c r="J1380" t="str">
        <f>"9781118646267"</f>
        <v>9781118646267</v>
      </c>
      <c r="K1380" t="s">
        <v>2423</v>
      </c>
      <c r="L1380">
        <v>54</v>
      </c>
      <c r="O1380" t="s">
        <v>30</v>
      </c>
      <c r="P1380" t="s">
        <v>29</v>
      </c>
      <c r="Q1380" s="1">
        <v>42368.857418981483</v>
      </c>
      <c r="R1380">
        <v>7</v>
      </c>
      <c r="S1380" t="s">
        <v>31</v>
      </c>
      <c r="T1380" t="s">
        <v>1995</v>
      </c>
      <c r="U1380">
        <v>355.00760000000002</v>
      </c>
      <c r="V1380" s="3">
        <v>41487</v>
      </c>
    </row>
    <row r="1381" spans="1:22" x14ac:dyDescent="0.35">
      <c r="A1381" s="1">
        <v>42373.717314814814</v>
      </c>
      <c r="B1381" s="2">
        <v>2.0833333333333335E-4</v>
      </c>
      <c r="C1381" t="s">
        <v>2424</v>
      </c>
      <c r="D1381" t="s">
        <v>35</v>
      </c>
      <c r="E1381" t="s">
        <v>36</v>
      </c>
      <c r="F1381" t="s">
        <v>625</v>
      </c>
      <c r="G1381">
        <v>1566387</v>
      </c>
      <c r="H1381" t="s">
        <v>26</v>
      </c>
      <c r="I1381" t="s">
        <v>120</v>
      </c>
      <c r="J1381" t="str">
        <f>"9781118471906"</f>
        <v>9781118471906</v>
      </c>
      <c r="K1381" t="s">
        <v>209</v>
      </c>
      <c r="L1381">
        <v>4</v>
      </c>
      <c r="O1381" t="s">
        <v>30</v>
      </c>
      <c r="P1381" t="s">
        <v>42</v>
      </c>
      <c r="S1381" t="s">
        <v>40</v>
      </c>
      <c r="T1381" t="s">
        <v>628</v>
      </c>
      <c r="U1381">
        <v>301</v>
      </c>
      <c r="V1381" s="3">
        <v>41596</v>
      </c>
    </row>
    <row r="1382" spans="1:22" x14ac:dyDescent="0.35">
      <c r="A1382" s="1">
        <v>42373.696979166663</v>
      </c>
      <c r="B1382" s="2">
        <v>1.255787037037037E-2</v>
      </c>
      <c r="C1382" t="s">
        <v>2425</v>
      </c>
      <c r="D1382" t="s">
        <v>35</v>
      </c>
      <c r="E1382" t="s">
        <v>36</v>
      </c>
      <c r="F1382" t="s">
        <v>2426</v>
      </c>
      <c r="G1382">
        <v>1165085</v>
      </c>
      <c r="H1382" t="s">
        <v>26</v>
      </c>
      <c r="I1382" t="s">
        <v>2427</v>
      </c>
      <c r="J1382" t="str">
        <f>"9781118578254"</f>
        <v>9781118578254</v>
      </c>
      <c r="K1382" t="s">
        <v>2428</v>
      </c>
      <c r="L1382">
        <v>15</v>
      </c>
      <c r="M1382" t="s">
        <v>2429</v>
      </c>
      <c r="O1382" t="s">
        <v>30</v>
      </c>
      <c r="P1382" t="s">
        <v>29</v>
      </c>
      <c r="Q1382" s="1">
        <v>42373.696979166663</v>
      </c>
      <c r="R1382">
        <v>7</v>
      </c>
      <c r="S1382" t="s">
        <v>40</v>
      </c>
      <c r="T1382" t="s">
        <v>2430</v>
      </c>
      <c r="U1382">
        <v>304.2</v>
      </c>
      <c r="V1382" s="3">
        <v>41366</v>
      </c>
    </row>
    <row r="1383" spans="1:22" x14ac:dyDescent="0.35">
      <c r="A1383" s="1">
        <v>42373.695115740738</v>
      </c>
      <c r="B1383" s="2">
        <v>1.8518518518518517E-3</v>
      </c>
      <c r="C1383" t="s">
        <v>2425</v>
      </c>
      <c r="D1383" t="s">
        <v>35</v>
      </c>
      <c r="E1383" t="s">
        <v>36</v>
      </c>
      <c r="F1383" t="s">
        <v>2426</v>
      </c>
      <c r="G1383">
        <v>1165085</v>
      </c>
      <c r="H1383" t="s">
        <v>26</v>
      </c>
      <c r="I1383" t="s">
        <v>2427</v>
      </c>
      <c r="J1383" t="str">
        <f>"9781118578254"</f>
        <v>9781118578254</v>
      </c>
      <c r="K1383" t="s">
        <v>2431</v>
      </c>
      <c r="L1383">
        <v>10</v>
      </c>
      <c r="O1383" t="s">
        <v>30</v>
      </c>
      <c r="P1383" t="s">
        <v>50</v>
      </c>
      <c r="S1383" t="s">
        <v>40</v>
      </c>
      <c r="T1383" t="s">
        <v>2430</v>
      </c>
      <c r="U1383">
        <v>304.2</v>
      </c>
      <c r="V1383" s="3">
        <v>41366</v>
      </c>
    </row>
    <row r="1384" spans="1:22" x14ac:dyDescent="0.35">
      <c r="A1384" s="1">
        <v>42373.690069444441</v>
      </c>
      <c r="B1384" s="2">
        <v>1.0763888888888889E-3</v>
      </c>
      <c r="C1384" t="s">
        <v>2432</v>
      </c>
      <c r="D1384" t="s">
        <v>23</v>
      </c>
      <c r="E1384" t="s">
        <v>24</v>
      </c>
      <c r="F1384" t="s">
        <v>2433</v>
      </c>
      <c r="G1384">
        <v>1138225</v>
      </c>
      <c r="H1384" t="s">
        <v>26</v>
      </c>
      <c r="I1384" t="s">
        <v>297</v>
      </c>
      <c r="J1384" t="str">
        <f>"9781118548356"</f>
        <v>9781118548356</v>
      </c>
      <c r="K1384" t="s">
        <v>2434</v>
      </c>
      <c r="L1384">
        <v>26</v>
      </c>
      <c r="M1384" t="s">
        <v>182</v>
      </c>
      <c r="N1384" t="s">
        <v>2435</v>
      </c>
      <c r="O1384" t="s">
        <v>30</v>
      </c>
      <c r="P1384" t="s">
        <v>29</v>
      </c>
      <c r="Q1384" s="1">
        <v>42373.690069444441</v>
      </c>
      <c r="R1384">
        <v>7</v>
      </c>
      <c r="S1384" t="s">
        <v>31</v>
      </c>
      <c r="T1384" t="s">
        <v>2436</v>
      </c>
      <c r="U1384">
        <v>519.53599999999994</v>
      </c>
      <c r="V1384" s="3">
        <v>41331</v>
      </c>
    </row>
    <row r="1385" spans="1:22" x14ac:dyDescent="0.35">
      <c r="A1385" s="1">
        <v>42373.6796412037</v>
      </c>
      <c r="B1385" s="2">
        <v>1.042824074074074E-2</v>
      </c>
      <c r="C1385" t="s">
        <v>2432</v>
      </c>
      <c r="D1385" t="s">
        <v>23</v>
      </c>
      <c r="E1385" t="s">
        <v>24</v>
      </c>
      <c r="F1385" t="s">
        <v>2433</v>
      </c>
      <c r="G1385">
        <v>1138225</v>
      </c>
      <c r="H1385" t="s">
        <v>26</v>
      </c>
      <c r="I1385" t="s">
        <v>297</v>
      </c>
      <c r="J1385" t="str">
        <f>"9781118548356"</f>
        <v>9781118548356</v>
      </c>
      <c r="K1385" t="s">
        <v>2437</v>
      </c>
      <c r="L1385">
        <v>7</v>
      </c>
      <c r="O1385" t="s">
        <v>30</v>
      </c>
      <c r="P1385" t="s">
        <v>42</v>
      </c>
      <c r="S1385" t="s">
        <v>31</v>
      </c>
      <c r="T1385" t="s">
        <v>2436</v>
      </c>
      <c r="U1385">
        <v>519.53599999999994</v>
      </c>
      <c r="V1385" s="3">
        <v>41331</v>
      </c>
    </row>
    <row r="1386" spans="1:22" x14ac:dyDescent="0.35">
      <c r="A1386" s="1">
        <v>42373.638310185182</v>
      </c>
      <c r="B1386" s="2">
        <v>6.9444444444444444E-5</v>
      </c>
      <c r="C1386" t="s">
        <v>1238</v>
      </c>
      <c r="D1386" t="s">
        <v>35</v>
      </c>
      <c r="E1386" t="s">
        <v>36</v>
      </c>
      <c r="F1386" t="s">
        <v>327</v>
      </c>
      <c r="G1386">
        <v>1691426</v>
      </c>
      <c r="H1386" t="s">
        <v>26</v>
      </c>
      <c r="I1386" t="s">
        <v>328</v>
      </c>
      <c r="J1386" t="str">
        <f>"9781118839492"</f>
        <v>9781118839492</v>
      </c>
      <c r="K1386" t="s">
        <v>33</v>
      </c>
      <c r="L1386">
        <v>3</v>
      </c>
      <c r="O1386" t="s">
        <v>30</v>
      </c>
      <c r="P1386" t="s">
        <v>42</v>
      </c>
      <c r="S1386" t="s">
        <v>40</v>
      </c>
      <c r="T1386" t="s">
        <v>331</v>
      </c>
      <c r="U1386">
        <v>613.70460000000003</v>
      </c>
      <c r="V1386" s="3">
        <v>41772</v>
      </c>
    </row>
    <row r="1387" spans="1:22" x14ac:dyDescent="0.35">
      <c r="A1387" s="1">
        <v>42373.620659722219</v>
      </c>
      <c r="B1387" s="2">
        <v>3.0300925925925926E-2</v>
      </c>
      <c r="C1387" t="s">
        <v>1744</v>
      </c>
      <c r="D1387" t="s">
        <v>211</v>
      </c>
      <c r="E1387" t="s">
        <v>212</v>
      </c>
      <c r="F1387" t="s">
        <v>2438</v>
      </c>
      <c r="G1387">
        <v>1823956</v>
      </c>
      <c r="H1387" t="s">
        <v>26</v>
      </c>
      <c r="I1387" t="s">
        <v>69</v>
      </c>
      <c r="J1387" t="str">
        <f t="shared" ref="J1387:J1395" si="17">"9781118995976"</f>
        <v>9781118995976</v>
      </c>
      <c r="K1387" t="s">
        <v>2439</v>
      </c>
      <c r="L1387">
        <v>3</v>
      </c>
      <c r="N1387" t="s">
        <v>2440</v>
      </c>
      <c r="O1387" t="s">
        <v>28</v>
      </c>
      <c r="P1387" t="s">
        <v>47</v>
      </c>
      <c r="Q1387" s="1">
        <v>42373.61577546296</v>
      </c>
      <c r="R1387">
        <v>7</v>
      </c>
      <c r="S1387" t="s">
        <v>214</v>
      </c>
      <c r="T1387" t="s">
        <v>2441</v>
      </c>
      <c r="U1387">
        <v>378.12200000000001</v>
      </c>
      <c r="V1387" s="3">
        <v>41934</v>
      </c>
    </row>
    <row r="1388" spans="1:22" x14ac:dyDescent="0.35">
      <c r="A1388" s="1">
        <v>42373.620393518519</v>
      </c>
      <c r="B1388" s="2">
        <v>0</v>
      </c>
      <c r="C1388" t="s">
        <v>1744</v>
      </c>
      <c r="D1388" t="s">
        <v>211</v>
      </c>
      <c r="E1388" t="s">
        <v>212</v>
      </c>
      <c r="F1388" t="s">
        <v>2438</v>
      </c>
      <c r="G1388">
        <v>1823956</v>
      </c>
      <c r="H1388" t="s">
        <v>26</v>
      </c>
      <c r="I1388" t="s">
        <v>69</v>
      </c>
      <c r="J1388" t="str">
        <f t="shared" si="17"/>
        <v>9781118995976</v>
      </c>
      <c r="L1388">
        <v>0</v>
      </c>
      <c r="O1388" t="s">
        <v>28</v>
      </c>
      <c r="P1388" t="s">
        <v>47</v>
      </c>
      <c r="Q1388" s="1">
        <v>42373.61577546296</v>
      </c>
      <c r="R1388">
        <v>7</v>
      </c>
      <c r="S1388" t="s">
        <v>214</v>
      </c>
      <c r="T1388" t="s">
        <v>2441</v>
      </c>
      <c r="U1388">
        <v>378.12200000000001</v>
      </c>
      <c r="V1388" s="3">
        <v>41934</v>
      </c>
    </row>
    <row r="1389" spans="1:22" x14ac:dyDescent="0.35">
      <c r="A1389" s="1">
        <v>42373.619502314818</v>
      </c>
      <c r="B1389" s="2">
        <v>0</v>
      </c>
      <c r="C1389" t="s">
        <v>1744</v>
      </c>
      <c r="D1389" t="s">
        <v>211</v>
      </c>
      <c r="E1389" t="s">
        <v>212</v>
      </c>
      <c r="F1389" t="s">
        <v>2438</v>
      </c>
      <c r="G1389">
        <v>1823956</v>
      </c>
      <c r="H1389" t="s">
        <v>26</v>
      </c>
      <c r="I1389" t="s">
        <v>69</v>
      </c>
      <c r="J1389" t="str">
        <f t="shared" si="17"/>
        <v>9781118995976</v>
      </c>
      <c r="L1389">
        <v>0</v>
      </c>
      <c r="O1389" t="s">
        <v>28</v>
      </c>
      <c r="P1389" t="s">
        <v>47</v>
      </c>
      <c r="Q1389" s="1">
        <v>42373.61577546296</v>
      </c>
      <c r="R1389">
        <v>7</v>
      </c>
      <c r="S1389" t="s">
        <v>214</v>
      </c>
      <c r="T1389" t="s">
        <v>2441</v>
      </c>
      <c r="U1389">
        <v>378.12200000000001</v>
      </c>
      <c r="V1389" s="3">
        <v>41934</v>
      </c>
    </row>
    <row r="1390" spans="1:22" x14ac:dyDescent="0.35">
      <c r="A1390" s="1">
        <v>42373.619270833333</v>
      </c>
      <c r="B1390" s="2">
        <v>0</v>
      </c>
      <c r="C1390" t="s">
        <v>1744</v>
      </c>
      <c r="D1390" t="s">
        <v>211</v>
      </c>
      <c r="E1390" t="s">
        <v>212</v>
      </c>
      <c r="F1390" t="s">
        <v>2438</v>
      </c>
      <c r="G1390">
        <v>1823956</v>
      </c>
      <c r="H1390" t="s">
        <v>26</v>
      </c>
      <c r="I1390" t="s">
        <v>69</v>
      </c>
      <c r="J1390" t="str">
        <f t="shared" si="17"/>
        <v>9781118995976</v>
      </c>
      <c r="L1390">
        <v>0</v>
      </c>
      <c r="O1390" t="s">
        <v>28</v>
      </c>
      <c r="P1390" t="s">
        <v>47</v>
      </c>
      <c r="Q1390" s="1">
        <v>42373.61577546296</v>
      </c>
      <c r="R1390">
        <v>7</v>
      </c>
      <c r="S1390" t="s">
        <v>214</v>
      </c>
      <c r="T1390" t="s">
        <v>2441</v>
      </c>
      <c r="U1390">
        <v>378.12200000000001</v>
      </c>
      <c r="V1390" s="3">
        <v>41934</v>
      </c>
    </row>
    <row r="1391" spans="1:22" x14ac:dyDescent="0.35">
      <c r="A1391" s="1">
        <v>42373.616319444445</v>
      </c>
      <c r="B1391" s="2">
        <v>0</v>
      </c>
      <c r="C1391" t="s">
        <v>1744</v>
      </c>
      <c r="D1391" t="s">
        <v>211</v>
      </c>
      <c r="E1391" t="s">
        <v>212</v>
      </c>
      <c r="F1391" t="s">
        <v>2438</v>
      </c>
      <c r="G1391">
        <v>1823956</v>
      </c>
      <c r="H1391" t="s">
        <v>26</v>
      </c>
      <c r="I1391" t="s">
        <v>69</v>
      </c>
      <c r="J1391" t="str">
        <f t="shared" si="17"/>
        <v>9781118995976</v>
      </c>
      <c r="L1391">
        <v>0</v>
      </c>
      <c r="O1391" t="s">
        <v>28</v>
      </c>
      <c r="P1391" t="s">
        <v>47</v>
      </c>
      <c r="Q1391" s="1">
        <v>42373.61577546296</v>
      </c>
      <c r="R1391">
        <v>7</v>
      </c>
      <c r="S1391" t="s">
        <v>214</v>
      </c>
      <c r="T1391" t="s">
        <v>2441</v>
      </c>
      <c r="U1391">
        <v>378.12200000000001</v>
      </c>
      <c r="V1391" s="3">
        <v>41934</v>
      </c>
    </row>
    <row r="1392" spans="1:22" x14ac:dyDescent="0.35">
      <c r="A1392" s="1">
        <v>42373.616006944445</v>
      </c>
      <c r="B1392" s="2">
        <v>0</v>
      </c>
      <c r="C1392" t="s">
        <v>1744</v>
      </c>
      <c r="D1392" t="s">
        <v>211</v>
      </c>
      <c r="E1392" t="s">
        <v>212</v>
      </c>
      <c r="F1392" t="s">
        <v>2438</v>
      </c>
      <c r="G1392">
        <v>1823956</v>
      </c>
      <c r="H1392" t="s">
        <v>26</v>
      </c>
      <c r="I1392" t="s">
        <v>69</v>
      </c>
      <c r="J1392" t="str">
        <f t="shared" si="17"/>
        <v>9781118995976</v>
      </c>
      <c r="L1392">
        <v>0</v>
      </c>
      <c r="O1392" t="s">
        <v>28</v>
      </c>
      <c r="P1392" t="s">
        <v>47</v>
      </c>
      <c r="Q1392" s="1">
        <v>42373.61577546296</v>
      </c>
      <c r="R1392">
        <v>7</v>
      </c>
      <c r="S1392" t="s">
        <v>214</v>
      </c>
      <c r="T1392" t="s">
        <v>2441</v>
      </c>
      <c r="U1392">
        <v>378.12200000000001</v>
      </c>
      <c r="V1392" s="3">
        <v>41934</v>
      </c>
    </row>
    <row r="1393" spans="1:22" x14ac:dyDescent="0.35">
      <c r="A1393" s="1">
        <v>42373.61577546296</v>
      </c>
      <c r="B1393" s="2">
        <v>0</v>
      </c>
      <c r="C1393" t="s">
        <v>1744</v>
      </c>
      <c r="D1393" t="s">
        <v>211</v>
      </c>
      <c r="E1393" t="s">
        <v>212</v>
      </c>
      <c r="F1393" t="s">
        <v>2438</v>
      </c>
      <c r="G1393">
        <v>1823956</v>
      </c>
      <c r="H1393" t="s">
        <v>26</v>
      </c>
      <c r="I1393" t="s">
        <v>69</v>
      </c>
      <c r="J1393" t="str">
        <f t="shared" si="17"/>
        <v>9781118995976</v>
      </c>
      <c r="L1393">
        <v>0</v>
      </c>
      <c r="O1393" t="s">
        <v>28</v>
      </c>
      <c r="P1393" t="s">
        <v>47</v>
      </c>
      <c r="Q1393" s="1">
        <v>42373.61577546296</v>
      </c>
      <c r="R1393">
        <v>7</v>
      </c>
      <c r="S1393" t="s">
        <v>214</v>
      </c>
      <c r="T1393" t="s">
        <v>2441</v>
      </c>
      <c r="U1393">
        <v>378.12200000000001</v>
      </c>
      <c r="V1393" s="3">
        <v>41934</v>
      </c>
    </row>
    <row r="1394" spans="1:22" x14ac:dyDescent="0.35">
      <c r="A1394" s="1">
        <v>42373.61577546296</v>
      </c>
      <c r="B1394" s="2">
        <v>0</v>
      </c>
      <c r="C1394" t="s">
        <v>1744</v>
      </c>
      <c r="D1394" t="s">
        <v>211</v>
      </c>
      <c r="E1394" t="s">
        <v>212</v>
      </c>
      <c r="F1394" t="s">
        <v>2438</v>
      </c>
      <c r="G1394">
        <v>1823956</v>
      </c>
      <c r="H1394" t="s">
        <v>26</v>
      </c>
      <c r="I1394" t="s">
        <v>69</v>
      </c>
      <c r="J1394" t="str">
        <f t="shared" si="17"/>
        <v>9781118995976</v>
      </c>
      <c r="L1394">
        <v>0</v>
      </c>
      <c r="O1394" t="s">
        <v>30</v>
      </c>
      <c r="P1394" t="s">
        <v>47</v>
      </c>
      <c r="Q1394" s="1">
        <v>42373.61577546296</v>
      </c>
      <c r="R1394">
        <v>7</v>
      </c>
      <c r="S1394" t="s">
        <v>214</v>
      </c>
      <c r="T1394" t="s">
        <v>2441</v>
      </c>
      <c r="U1394">
        <v>378.12200000000001</v>
      </c>
      <c r="V1394" s="3">
        <v>41934</v>
      </c>
    </row>
    <row r="1395" spans="1:22" x14ac:dyDescent="0.35">
      <c r="A1395" s="1">
        <v>42373.614756944444</v>
      </c>
      <c r="B1395" s="2">
        <v>1.0185185185185186E-3</v>
      </c>
      <c r="C1395" t="s">
        <v>1744</v>
      </c>
      <c r="D1395" t="s">
        <v>211</v>
      </c>
      <c r="E1395" t="s">
        <v>212</v>
      </c>
      <c r="F1395" t="s">
        <v>2438</v>
      </c>
      <c r="G1395">
        <v>1823956</v>
      </c>
      <c r="H1395" t="s">
        <v>26</v>
      </c>
      <c r="I1395" t="s">
        <v>69</v>
      </c>
      <c r="J1395" t="str">
        <f t="shared" si="17"/>
        <v>9781118995976</v>
      </c>
      <c r="K1395" t="s">
        <v>217</v>
      </c>
      <c r="L1395">
        <v>12</v>
      </c>
      <c r="O1395" t="s">
        <v>30</v>
      </c>
      <c r="P1395" t="s">
        <v>50</v>
      </c>
      <c r="S1395" t="s">
        <v>214</v>
      </c>
      <c r="T1395" t="s">
        <v>2441</v>
      </c>
      <c r="U1395">
        <v>378.12200000000001</v>
      </c>
      <c r="V1395" s="3">
        <v>41934</v>
      </c>
    </row>
    <row r="1396" spans="1:22" x14ac:dyDescent="0.35">
      <c r="A1396" s="1">
        <v>42373.605127314811</v>
      </c>
      <c r="B1396" s="2">
        <v>9.6064814814814808E-4</v>
      </c>
      <c r="C1396" t="s">
        <v>1399</v>
      </c>
      <c r="D1396" t="s">
        <v>35</v>
      </c>
      <c r="E1396" t="s">
        <v>36</v>
      </c>
      <c r="F1396" t="s">
        <v>327</v>
      </c>
      <c r="G1396">
        <v>1691426</v>
      </c>
      <c r="H1396" t="s">
        <v>26</v>
      </c>
      <c r="I1396" t="s">
        <v>328</v>
      </c>
      <c r="J1396" t="str">
        <f>"9781118839492"</f>
        <v>9781118839492</v>
      </c>
      <c r="K1396" t="s">
        <v>355</v>
      </c>
      <c r="L1396">
        <v>8</v>
      </c>
      <c r="O1396" t="s">
        <v>30</v>
      </c>
      <c r="P1396" t="s">
        <v>42</v>
      </c>
      <c r="S1396" t="s">
        <v>40</v>
      </c>
      <c r="T1396" t="s">
        <v>331</v>
      </c>
      <c r="U1396">
        <v>613.70460000000003</v>
      </c>
      <c r="V1396" s="3">
        <v>41772</v>
      </c>
    </row>
    <row r="1397" spans="1:22" x14ac:dyDescent="0.35">
      <c r="A1397" s="1">
        <v>42373.58258101852</v>
      </c>
      <c r="B1397" s="2">
        <v>5.5555555555555556E-4</v>
      </c>
      <c r="C1397" t="s">
        <v>2442</v>
      </c>
      <c r="D1397" t="s">
        <v>23</v>
      </c>
      <c r="E1397" t="s">
        <v>24</v>
      </c>
      <c r="F1397" t="s">
        <v>1422</v>
      </c>
      <c r="G1397">
        <v>2144891</v>
      </c>
      <c r="H1397" t="s">
        <v>26</v>
      </c>
      <c r="I1397" t="s">
        <v>1423</v>
      </c>
      <c r="J1397" t="str">
        <f>"9781118799680"</f>
        <v>9781118799680</v>
      </c>
      <c r="K1397" t="s">
        <v>2443</v>
      </c>
      <c r="L1397">
        <v>10</v>
      </c>
      <c r="O1397" t="s">
        <v>30</v>
      </c>
      <c r="P1397" t="s">
        <v>50</v>
      </c>
      <c r="S1397" t="s">
        <v>31</v>
      </c>
      <c r="T1397" t="s">
        <v>1425</v>
      </c>
      <c r="U1397">
        <v>519.5</v>
      </c>
      <c r="V1397" s="3">
        <v>42222</v>
      </c>
    </row>
    <row r="1398" spans="1:22" x14ac:dyDescent="0.35">
      <c r="A1398" s="1">
        <v>42373.575590277775</v>
      </c>
      <c r="B1398" s="2">
        <v>4.4444444444444444E-3</v>
      </c>
      <c r="C1398" t="s">
        <v>2442</v>
      </c>
      <c r="D1398" t="s">
        <v>23</v>
      </c>
      <c r="E1398" t="s">
        <v>24</v>
      </c>
      <c r="F1398" t="s">
        <v>1064</v>
      </c>
      <c r="G1398">
        <v>1744258</v>
      </c>
      <c r="H1398" t="s">
        <v>26</v>
      </c>
      <c r="I1398" t="s">
        <v>297</v>
      </c>
      <c r="J1398" t="str">
        <f>"9781118776162"</f>
        <v>9781118776162</v>
      </c>
      <c r="K1398" t="s">
        <v>2444</v>
      </c>
      <c r="L1398">
        <v>39</v>
      </c>
      <c r="O1398" t="s">
        <v>30</v>
      </c>
      <c r="P1398" t="s">
        <v>42</v>
      </c>
      <c r="S1398" t="s">
        <v>31</v>
      </c>
      <c r="T1398" t="s">
        <v>1066</v>
      </c>
      <c r="U1398">
        <v>513.07600000000002</v>
      </c>
      <c r="V1398" s="3">
        <v>41835</v>
      </c>
    </row>
    <row r="1399" spans="1:22" x14ac:dyDescent="0.35">
      <c r="A1399" s="1">
        <v>42373.554652777777</v>
      </c>
      <c r="B1399" s="2">
        <v>2.2106481481481478E-3</v>
      </c>
      <c r="C1399" t="s">
        <v>1717</v>
      </c>
      <c r="D1399" t="s">
        <v>35</v>
      </c>
      <c r="E1399" t="s">
        <v>36</v>
      </c>
      <c r="F1399" t="s">
        <v>327</v>
      </c>
      <c r="G1399">
        <v>1691426</v>
      </c>
      <c r="H1399" t="s">
        <v>26</v>
      </c>
      <c r="I1399" t="s">
        <v>328</v>
      </c>
      <c r="J1399" t="str">
        <f>"9781118839492"</f>
        <v>9781118839492</v>
      </c>
      <c r="K1399" t="s">
        <v>2445</v>
      </c>
      <c r="L1399">
        <v>8</v>
      </c>
      <c r="O1399" t="s">
        <v>30</v>
      </c>
      <c r="P1399" t="s">
        <v>42</v>
      </c>
      <c r="S1399" t="s">
        <v>40</v>
      </c>
      <c r="T1399" t="s">
        <v>331</v>
      </c>
      <c r="U1399">
        <v>613.70460000000003</v>
      </c>
      <c r="V1399" s="3">
        <v>41772</v>
      </c>
    </row>
    <row r="1400" spans="1:22" x14ac:dyDescent="0.35">
      <c r="A1400" s="1">
        <v>42373.470023148147</v>
      </c>
      <c r="B1400" s="2">
        <v>7.69675925925926E-3</v>
      </c>
      <c r="C1400" t="s">
        <v>1726</v>
      </c>
      <c r="D1400" t="s">
        <v>35</v>
      </c>
      <c r="E1400" t="s">
        <v>36</v>
      </c>
      <c r="F1400" t="s">
        <v>327</v>
      </c>
      <c r="G1400">
        <v>1691426</v>
      </c>
      <c r="H1400" t="s">
        <v>26</v>
      </c>
      <c r="I1400" t="s">
        <v>328</v>
      </c>
      <c r="J1400" t="str">
        <f>"9781118839492"</f>
        <v>9781118839492</v>
      </c>
      <c r="K1400" t="s">
        <v>2446</v>
      </c>
      <c r="L1400">
        <v>48</v>
      </c>
      <c r="M1400" t="s">
        <v>2447</v>
      </c>
      <c r="O1400" t="s">
        <v>30</v>
      </c>
      <c r="P1400" t="s">
        <v>29</v>
      </c>
      <c r="Q1400" s="1">
        <v>42372.923796296294</v>
      </c>
      <c r="R1400">
        <v>7</v>
      </c>
      <c r="S1400" t="s">
        <v>40</v>
      </c>
      <c r="T1400" t="s">
        <v>331</v>
      </c>
      <c r="U1400">
        <v>613.70460000000003</v>
      </c>
      <c r="V1400" s="3">
        <v>41772</v>
      </c>
    </row>
    <row r="1401" spans="1:22" x14ac:dyDescent="0.35">
      <c r="A1401" s="1">
        <v>42373.372164351851</v>
      </c>
      <c r="B1401" s="2">
        <v>1.3425925925925925E-3</v>
      </c>
      <c r="C1401" t="s">
        <v>283</v>
      </c>
      <c r="D1401" t="s">
        <v>23</v>
      </c>
      <c r="E1401" t="s">
        <v>24</v>
      </c>
      <c r="F1401" t="s">
        <v>2448</v>
      </c>
      <c r="G1401">
        <v>1355949</v>
      </c>
      <c r="H1401" t="s">
        <v>68</v>
      </c>
      <c r="I1401" t="s">
        <v>310</v>
      </c>
      <c r="J1401" t="str">
        <f>"9781136797736"</f>
        <v>9781136797736</v>
      </c>
      <c r="K1401" t="s">
        <v>2449</v>
      </c>
      <c r="L1401">
        <v>85</v>
      </c>
      <c r="O1401" t="s">
        <v>30</v>
      </c>
      <c r="P1401" t="s">
        <v>50</v>
      </c>
      <c r="S1401" t="s">
        <v>31</v>
      </c>
      <c r="T1401" t="s">
        <v>2450</v>
      </c>
      <c r="U1401">
        <v>822.91399999999999</v>
      </c>
      <c r="V1401" s="3">
        <v>41507</v>
      </c>
    </row>
    <row r="1402" spans="1:22" x14ac:dyDescent="0.35">
      <c r="A1402" s="1">
        <v>42373.297719907408</v>
      </c>
      <c r="B1402" s="2">
        <v>0</v>
      </c>
      <c r="C1402" t="s">
        <v>1003</v>
      </c>
      <c r="D1402" t="s">
        <v>35</v>
      </c>
      <c r="E1402" t="s">
        <v>36</v>
      </c>
      <c r="F1402" t="s">
        <v>327</v>
      </c>
      <c r="G1402">
        <v>1691426</v>
      </c>
      <c r="H1402" t="s">
        <v>26</v>
      </c>
      <c r="I1402" t="s">
        <v>328</v>
      </c>
      <c r="J1402" t="str">
        <f t="shared" ref="J1402:J1409" si="18">"9781118839492"</f>
        <v>9781118839492</v>
      </c>
      <c r="L1402">
        <v>0</v>
      </c>
      <c r="O1402" t="s">
        <v>28</v>
      </c>
      <c r="P1402" t="s">
        <v>29</v>
      </c>
      <c r="Q1402" s="1">
        <v>42373.284409722219</v>
      </c>
      <c r="R1402">
        <v>7</v>
      </c>
      <c r="S1402" t="s">
        <v>40</v>
      </c>
      <c r="T1402" t="s">
        <v>331</v>
      </c>
      <c r="U1402">
        <v>613.70460000000003</v>
      </c>
      <c r="V1402" s="3">
        <v>41772</v>
      </c>
    </row>
    <row r="1403" spans="1:22" x14ac:dyDescent="0.35">
      <c r="A1403" s="1">
        <v>42373.297488425924</v>
      </c>
      <c r="B1403" s="2">
        <v>8.1018518518518516E-5</v>
      </c>
      <c r="C1403" t="s">
        <v>1003</v>
      </c>
      <c r="D1403" t="s">
        <v>35</v>
      </c>
      <c r="E1403" t="s">
        <v>36</v>
      </c>
      <c r="F1403" t="s">
        <v>327</v>
      </c>
      <c r="G1403">
        <v>1691426</v>
      </c>
      <c r="H1403" t="s">
        <v>26</v>
      </c>
      <c r="I1403" t="s">
        <v>328</v>
      </c>
      <c r="J1403" t="str">
        <f t="shared" si="18"/>
        <v>9781118839492</v>
      </c>
      <c r="K1403" t="s">
        <v>33</v>
      </c>
      <c r="L1403">
        <v>3</v>
      </c>
      <c r="O1403" t="s">
        <v>30</v>
      </c>
      <c r="P1403" t="s">
        <v>29</v>
      </c>
      <c r="Q1403" s="1">
        <v>42373.284409722219</v>
      </c>
      <c r="R1403">
        <v>7</v>
      </c>
      <c r="S1403" t="s">
        <v>40</v>
      </c>
      <c r="T1403" t="s">
        <v>331</v>
      </c>
      <c r="U1403">
        <v>613.70460000000003</v>
      </c>
      <c r="V1403" s="3">
        <v>41772</v>
      </c>
    </row>
    <row r="1404" spans="1:22" x14ac:dyDescent="0.35">
      <c r="A1404" s="1">
        <v>42373.285636574074</v>
      </c>
      <c r="B1404" s="2">
        <v>0</v>
      </c>
      <c r="C1404" t="s">
        <v>1003</v>
      </c>
      <c r="D1404" t="s">
        <v>35</v>
      </c>
      <c r="E1404" t="s">
        <v>36</v>
      </c>
      <c r="F1404" t="s">
        <v>327</v>
      </c>
      <c r="G1404">
        <v>1691426</v>
      </c>
      <c r="H1404" t="s">
        <v>26</v>
      </c>
      <c r="I1404" t="s">
        <v>328</v>
      </c>
      <c r="J1404" t="str">
        <f t="shared" si="18"/>
        <v>9781118839492</v>
      </c>
      <c r="L1404">
        <v>0</v>
      </c>
      <c r="O1404" t="s">
        <v>28</v>
      </c>
      <c r="P1404" t="s">
        <v>29</v>
      </c>
      <c r="Q1404" s="1">
        <v>42373.284409722219</v>
      </c>
      <c r="R1404">
        <v>7</v>
      </c>
      <c r="S1404" t="s">
        <v>40</v>
      </c>
      <c r="T1404" t="s">
        <v>331</v>
      </c>
      <c r="U1404">
        <v>613.70460000000003</v>
      </c>
      <c r="V1404" s="3">
        <v>41772</v>
      </c>
    </row>
    <row r="1405" spans="1:22" x14ac:dyDescent="0.35">
      <c r="A1405" s="1">
        <v>42373.285601851851</v>
      </c>
      <c r="B1405" s="2">
        <v>0</v>
      </c>
      <c r="C1405" t="s">
        <v>1003</v>
      </c>
      <c r="D1405" t="s">
        <v>35</v>
      </c>
      <c r="E1405" t="s">
        <v>36</v>
      </c>
      <c r="F1405" t="s">
        <v>327</v>
      </c>
      <c r="G1405">
        <v>1691426</v>
      </c>
      <c r="H1405" t="s">
        <v>26</v>
      </c>
      <c r="I1405" t="s">
        <v>328</v>
      </c>
      <c r="J1405" t="str">
        <f t="shared" si="18"/>
        <v>9781118839492</v>
      </c>
      <c r="L1405">
        <v>0</v>
      </c>
      <c r="O1405" t="s">
        <v>28</v>
      </c>
      <c r="P1405" t="s">
        <v>29</v>
      </c>
      <c r="Q1405" s="1">
        <v>42373.284409722219</v>
      </c>
      <c r="R1405">
        <v>7</v>
      </c>
      <c r="S1405" t="s">
        <v>40</v>
      </c>
      <c r="T1405" t="s">
        <v>331</v>
      </c>
      <c r="U1405">
        <v>613.70460000000003</v>
      </c>
      <c r="V1405" s="3">
        <v>41772</v>
      </c>
    </row>
    <row r="1406" spans="1:22" x14ac:dyDescent="0.35">
      <c r="A1406" s="1">
        <v>42373.284409722219</v>
      </c>
      <c r="B1406" s="2">
        <v>0</v>
      </c>
      <c r="C1406" t="s">
        <v>1003</v>
      </c>
      <c r="D1406" t="s">
        <v>35</v>
      </c>
      <c r="E1406" t="s">
        <v>36</v>
      </c>
      <c r="F1406" t="s">
        <v>327</v>
      </c>
      <c r="G1406">
        <v>1691426</v>
      </c>
      <c r="H1406" t="s">
        <v>26</v>
      </c>
      <c r="I1406" t="s">
        <v>328</v>
      </c>
      <c r="J1406" t="str">
        <f t="shared" si="18"/>
        <v>9781118839492</v>
      </c>
      <c r="L1406">
        <v>0</v>
      </c>
      <c r="O1406" t="s">
        <v>28</v>
      </c>
      <c r="P1406" t="s">
        <v>29</v>
      </c>
      <c r="Q1406" s="1">
        <v>42373.284409722219</v>
      </c>
      <c r="R1406">
        <v>7</v>
      </c>
      <c r="S1406" t="s">
        <v>40</v>
      </c>
      <c r="T1406" t="s">
        <v>331</v>
      </c>
      <c r="U1406">
        <v>613.70460000000003</v>
      </c>
      <c r="V1406" s="3">
        <v>41772</v>
      </c>
    </row>
    <row r="1407" spans="1:22" x14ac:dyDescent="0.35">
      <c r="A1407" s="1">
        <v>42373.284409722219</v>
      </c>
      <c r="B1407" s="2">
        <v>0</v>
      </c>
      <c r="C1407" t="s">
        <v>1003</v>
      </c>
      <c r="D1407" t="s">
        <v>35</v>
      </c>
      <c r="E1407" t="s">
        <v>36</v>
      </c>
      <c r="F1407" t="s">
        <v>327</v>
      </c>
      <c r="G1407">
        <v>1691426</v>
      </c>
      <c r="H1407" t="s">
        <v>26</v>
      </c>
      <c r="I1407" t="s">
        <v>328</v>
      </c>
      <c r="J1407" t="str">
        <f t="shared" si="18"/>
        <v>9781118839492</v>
      </c>
      <c r="L1407">
        <v>0</v>
      </c>
      <c r="O1407" t="s">
        <v>30</v>
      </c>
      <c r="P1407" t="s">
        <v>29</v>
      </c>
      <c r="Q1407" s="1">
        <v>42373.284409722219</v>
      </c>
      <c r="R1407">
        <v>7</v>
      </c>
      <c r="S1407" t="s">
        <v>40</v>
      </c>
      <c r="T1407" t="s">
        <v>331</v>
      </c>
      <c r="U1407">
        <v>613.70460000000003</v>
      </c>
      <c r="V1407" s="3">
        <v>41772</v>
      </c>
    </row>
    <row r="1408" spans="1:22" x14ac:dyDescent="0.35">
      <c r="A1408" s="1">
        <v>42373.283703703702</v>
      </c>
      <c r="B1408" s="2">
        <v>7.0601851851851847E-4</v>
      </c>
      <c r="C1408" t="s">
        <v>1003</v>
      </c>
      <c r="D1408" t="s">
        <v>35</v>
      </c>
      <c r="E1408" t="s">
        <v>36</v>
      </c>
      <c r="F1408" t="s">
        <v>327</v>
      </c>
      <c r="G1408">
        <v>1691426</v>
      </c>
      <c r="H1408" t="s">
        <v>26</v>
      </c>
      <c r="I1408" t="s">
        <v>328</v>
      </c>
      <c r="J1408" t="str">
        <f t="shared" si="18"/>
        <v>9781118839492</v>
      </c>
      <c r="K1408" t="s">
        <v>463</v>
      </c>
      <c r="L1408">
        <v>9</v>
      </c>
      <c r="O1408" t="s">
        <v>30</v>
      </c>
      <c r="P1408" t="s">
        <v>42</v>
      </c>
      <c r="S1408" t="s">
        <v>40</v>
      </c>
      <c r="T1408" t="s">
        <v>331</v>
      </c>
      <c r="U1408">
        <v>613.70460000000003</v>
      </c>
      <c r="V1408" s="3">
        <v>41772</v>
      </c>
    </row>
    <row r="1409" spans="1:22" x14ac:dyDescent="0.35">
      <c r="A1409" s="1">
        <v>42373.15452546296</v>
      </c>
      <c r="B1409" s="2">
        <v>3.2407407407407406E-4</v>
      </c>
      <c r="C1409" t="s">
        <v>1839</v>
      </c>
      <c r="D1409" t="s">
        <v>35</v>
      </c>
      <c r="E1409" t="s">
        <v>36</v>
      </c>
      <c r="F1409" t="s">
        <v>327</v>
      </c>
      <c r="G1409">
        <v>1691426</v>
      </c>
      <c r="H1409" t="s">
        <v>26</v>
      </c>
      <c r="I1409" t="s">
        <v>328</v>
      </c>
      <c r="J1409" t="str">
        <f t="shared" si="18"/>
        <v>9781118839492</v>
      </c>
      <c r="K1409" t="s">
        <v>2451</v>
      </c>
      <c r="L1409">
        <v>21</v>
      </c>
      <c r="O1409" t="s">
        <v>30</v>
      </c>
      <c r="P1409" t="s">
        <v>42</v>
      </c>
      <c r="S1409" t="s">
        <v>40</v>
      </c>
      <c r="T1409" t="s">
        <v>331</v>
      </c>
      <c r="U1409">
        <v>613.70460000000003</v>
      </c>
      <c r="V1409" s="3">
        <v>41772</v>
      </c>
    </row>
    <row r="1410" spans="1:22" x14ac:dyDescent="0.35">
      <c r="A1410" s="1">
        <v>42373.152743055558</v>
      </c>
      <c r="B1410" s="2">
        <v>0</v>
      </c>
      <c r="C1410" t="s">
        <v>2452</v>
      </c>
      <c r="D1410" t="s">
        <v>423</v>
      </c>
      <c r="E1410" t="s">
        <v>424</v>
      </c>
      <c r="F1410" t="s">
        <v>2453</v>
      </c>
      <c r="G1410">
        <v>1367685</v>
      </c>
      <c r="H1410" t="s">
        <v>26</v>
      </c>
      <c r="I1410" t="s">
        <v>445</v>
      </c>
      <c r="J1410" t="str">
        <f>"9780745678832"</f>
        <v>9780745678832</v>
      </c>
      <c r="L1410">
        <v>0</v>
      </c>
      <c r="O1410" t="s">
        <v>28</v>
      </c>
      <c r="P1410" t="s">
        <v>47</v>
      </c>
      <c r="Q1410" s="1">
        <v>42372.56417824074</v>
      </c>
      <c r="R1410">
        <v>1</v>
      </c>
      <c r="S1410" t="s">
        <v>2454</v>
      </c>
      <c r="T1410" t="s">
        <v>2455</v>
      </c>
      <c r="U1410">
        <v>338.76170000000002</v>
      </c>
      <c r="V1410" s="3">
        <v>41513</v>
      </c>
    </row>
    <row r="1411" spans="1:22" x14ac:dyDescent="0.35">
      <c r="A1411" s="1">
        <v>42373.152650462966</v>
      </c>
      <c r="B1411" s="2">
        <v>3.4722222222222222E-5</v>
      </c>
      <c r="C1411" t="s">
        <v>2452</v>
      </c>
      <c r="D1411" t="s">
        <v>423</v>
      </c>
      <c r="E1411" t="s">
        <v>424</v>
      </c>
      <c r="F1411" t="s">
        <v>2453</v>
      </c>
      <c r="G1411">
        <v>1367685</v>
      </c>
      <c r="H1411" t="s">
        <v>26</v>
      </c>
      <c r="I1411" t="s">
        <v>445</v>
      </c>
      <c r="J1411" t="str">
        <f>"9780745678832"</f>
        <v>9780745678832</v>
      </c>
      <c r="K1411" t="s">
        <v>33</v>
      </c>
      <c r="L1411">
        <v>3</v>
      </c>
      <c r="O1411" t="s">
        <v>30</v>
      </c>
      <c r="P1411" t="s">
        <v>47</v>
      </c>
      <c r="Q1411" s="1">
        <v>42372.56417824074</v>
      </c>
      <c r="R1411">
        <v>1</v>
      </c>
      <c r="S1411" t="s">
        <v>2454</v>
      </c>
      <c r="T1411" t="s">
        <v>2455</v>
      </c>
      <c r="U1411">
        <v>338.76170000000002</v>
      </c>
      <c r="V1411" s="3">
        <v>41513</v>
      </c>
    </row>
    <row r="1412" spans="1:22" x14ac:dyDescent="0.35">
      <c r="A1412" s="1">
        <v>42373.134976851848</v>
      </c>
      <c r="B1412" s="2">
        <v>0</v>
      </c>
      <c r="C1412" t="s">
        <v>2452</v>
      </c>
      <c r="D1412" t="s">
        <v>423</v>
      </c>
      <c r="E1412" t="s">
        <v>424</v>
      </c>
      <c r="F1412" t="s">
        <v>2453</v>
      </c>
      <c r="G1412">
        <v>1367685</v>
      </c>
      <c r="H1412" t="s">
        <v>26</v>
      </c>
      <c r="I1412" t="s">
        <v>445</v>
      </c>
      <c r="J1412" t="str">
        <f>"9780745678832"</f>
        <v>9780745678832</v>
      </c>
      <c r="L1412">
        <v>0</v>
      </c>
      <c r="O1412" t="s">
        <v>28</v>
      </c>
      <c r="P1412" t="s">
        <v>47</v>
      </c>
      <c r="Q1412" s="1">
        <v>42372.56417824074</v>
      </c>
      <c r="R1412">
        <v>1</v>
      </c>
      <c r="S1412" t="s">
        <v>2454</v>
      </c>
      <c r="T1412" t="s">
        <v>2455</v>
      </c>
      <c r="U1412">
        <v>338.76170000000002</v>
      </c>
      <c r="V1412" s="3">
        <v>41513</v>
      </c>
    </row>
    <row r="1413" spans="1:22" x14ac:dyDescent="0.35">
      <c r="A1413" s="1">
        <v>42373.134467592594</v>
      </c>
      <c r="B1413" s="2">
        <v>2.199074074074074E-4</v>
      </c>
      <c r="C1413" t="s">
        <v>2452</v>
      </c>
      <c r="D1413" t="s">
        <v>423</v>
      </c>
      <c r="E1413" t="s">
        <v>424</v>
      </c>
      <c r="F1413" t="s">
        <v>2453</v>
      </c>
      <c r="G1413">
        <v>1367685</v>
      </c>
      <c r="H1413" t="s">
        <v>26</v>
      </c>
      <c r="I1413" t="s">
        <v>445</v>
      </c>
      <c r="J1413" t="str">
        <f>"9780745678832"</f>
        <v>9780745678832</v>
      </c>
      <c r="K1413" t="s">
        <v>209</v>
      </c>
      <c r="L1413">
        <v>4</v>
      </c>
      <c r="M1413" t="s">
        <v>105</v>
      </c>
      <c r="O1413" t="s">
        <v>30</v>
      </c>
      <c r="P1413" t="s">
        <v>47</v>
      </c>
      <c r="Q1413" s="1">
        <v>42372.56417824074</v>
      </c>
      <c r="R1413">
        <v>1</v>
      </c>
      <c r="S1413" t="s">
        <v>2454</v>
      </c>
      <c r="T1413" t="s">
        <v>2455</v>
      </c>
      <c r="U1413">
        <v>338.76170000000002</v>
      </c>
      <c r="V1413" s="3">
        <v>41513</v>
      </c>
    </row>
    <row r="1414" spans="1:22" x14ac:dyDescent="0.35">
      <c r="A1414" s="1">
        <v>42373.12672453704</v>
      </c>
      <c r="B1414" s="2">
        <v>0</v>
      </c>
      <c r="C1414" t="s">
        <v>2452</v>
      </c>
      <c r="D1414" t="s">
        <v>423</v>
      </c>
      <c r="E1414" t="s">
        <v>424</v>
      </c>
      <c r="F1414" t="s">
        <v>2456</v>
      </c>
      <c r="G1414">
        <v>1521098</v>
      </c>
      <c r="H1414" t="s">
        <v>68</v>
      </c>
      <c r="I1414" t="s">
        <v>445</v>
      </c>
      <c r="J1414" t="str">
        <f>"9781317967286"</f>
        <v>9781317967286</v>
      </c>
      <c r="L1414">
        <v>0</v>
      </c>
      <c r="O1414" t="s">
        <v>28</v>
      </c>
      <c r="P1414" t="s">
        <v>47</v>
      </c>
      <c r="Q1414" s="1">
        <v>42372.517222222225</v>
      </c>
      <c r="R1414">
        <v>1</v>
      </c>
      <c r="S1414" t="s">
        <v>2454</v>
      </c>
      <c r="U1414">
        <v>338.47699999999998</v>
      </c>
      <c r="V1414" s="3">
        <v>41578</v>
      </c>
    </row>
    <row r="1415" spans="1:22" x14ac:dyDescent="0.35">
      <c r="A1415" s="1">
        <v>42373.125740740739</v>
      </c>
      <c r="B1415" s="2">
        <v>3.2407407407407406E-4</v>
      </c>
      <c r="C1415" t="s">
        <v>2452</v>
      </c>
      <c r="D1415" t="s">
        <v>423</v>
      </c>
      <c r="E1415" t="s">
        <v>424</v>
      </c>
      <c r="F1415" t="s">
        <v>2456</v>
      </c>
      <c r="G1415">
        <v>1521098</v>
      </c>
      <c r="H1415" t="s">
        <v>68</v>
      </c>
      <c r="I1415" t="s">
        <v>445</v>
      </c>
      <c r="J1415" t="str">
        <f>"9781317967286"</f>
        <v>9781317967286</v>
      </c>
      <c r="K1415" t="s">
        <v>2457</v>
      </c>
      <c r="L1415">
        <v>24</v>
      </c>
      <c r="M1415" t="s">
        <v>2458</v>
      </c>
      <c r="O1415" t="s">
        <v>30</v>
      </c>
      <c r="P1415" t="s">
        <v>47</v>
      </c>
      <c r="Q1415" s="1">
        <v>42372.517222222225</v>
      </c>
      <c r="R1415">
        <v>1</v>
      </c>
      <c r="S1415" t="s">
        <v>2454</v>
      </c>
      <c r="U1415">
        <v>338.47699999999998</v>
      </c>
      <c r="V1415" s="3">
        <v>41578</v>
      </c>
    </row>
    <row r="1416" spans="1:22" x14ac:dyDescent="0.35">
      <c r="A1416" s="1">
        <v>42373.114247685182</v>
      </c>
      <c r="B1416" s="2">
        <v>0.10407407407407408</v>
      </c>
      <c r="C1416" t="s">
        <v>1595</v>
      </c>
      <c r="D1416" t="s">
        <v>23</v>
      </c>
      <c r="E1416" t="s">
        <v>24</v>
      </c>
      <c r="F1416" t="s">
        <v>1993</v>
      </c>
      <c r="G1416">
        <v>1358564</v>
      </c>
      <c r="H1416" t="s">
        <v>26</v>
      </c>
      <c r="I1416" t="s">
        <v>841</v>
      </c>
      <c r="J1416" t="str">
        <f>"9781118646267"</f>
        <v>9781118646267</v>
      </c>
      <c r="K1416" t="s">
        <v>2459</v>
      </c>
      <c r="L1416">
        <v>33</v>
      </c>
      <c r="O1416" t="s">
        <v>30</v>
      </c>
      <c r="P1416" t="s">
        <v>29</v>
      </c>
      <c r="Q1416" s="1">
        <v>42368.857418981483</v>
      </c>
      <c r="R1416">
        <v>7</v>
      </c>
      <c r="S1416" t="s">
        <v>31</v>
      </c>
      <c r="T1416" t="s">
        <v>1995</v>
      </c>
      <c r="U1416">
        <v>355.00760000000002</v>
      </c>
      <c r="V1416" s="3">
        <v>41487</v>
      </c>
    </row>
    <row r="1417" spans="1:22" x14ac:dyDescent="0.35">
      <c r="A1417" s="1">
        <v>42373.082337962966</v>
      </c>
      <c r="B1417" s="2">
        <v>4.1666666666666669E-4</v>
      </c>
      <c r="C1417" t="s">
        <v>326</v>
      </c>
      <c r="D1417" t="s">
        <v>35</v>
      </c>
      <c r="E1417" t="s">
        <v>36</v>
      </c>
      <c r="F1417" t="s">
        <v>327</v>
      </c>
      <c r="G1417">
        <v>1691426</v>
      </c>
      <c r="H1417" t="s">
        <v>26</v>
      </c>
      <c r="I1417" t="s">
        <v>328</v>
      </c>
      <c r="J1417" t="str">
        <f>"9781118839492"</f>
        <v>9781118839492</v>
      </c>
      <c r="K1417" t="s">
        <v>2460</v>
      </c>
      <c r="L1417">
        <v>13</v>
      </c>
      <c r="O1417" t="s">
        <v>30</v>
      </c>
      <c r="P1417" t="s">
        <v>42</v>
      </c>
      <c r="S1417" t="s">
        <v>40</v>
      </c>
      <c r="T1417" t="s">
        <v>331</v>
      </c>
      <c r="U1417">
        <v>613.70460000000003</v>
      </c>
      <c r="V1417" s="3">
        <v>41772</v>
      </c>
    </row>
    <row r="1418" spans="1:22" x14ac:dyDescent="0.35">
      <c r="A1418" s="1">
        <v>42373.074756944443</v>
      </c>
      <c r="B1418" s="2">
        <v>5.7870370370370366E-5</v>
      </c>
      <c r="C1418" t="s">
        <v>1574</v>
      </c>
      <c r="D1418" t="s">
        <v>23</v>
      </c>
      <c r="E1418" t="s">
        <v>24</v>
      </c>
      <c r="F1418" t="s">
        <v>2461</v>
      </c>
      <c r="G1418">
        <v>1501456</v>
      </c>
      <c r="H1418" t="s">
        <v>68</v>
      </c>
      <c r="I1418" t="s">
        <v>69</v>
      </c>
      <c r="J1418" t="str">
        <f>"9781134096343"</f>
        <v>9781134096343</v>
      </c>
      <c r="K1418" t="s">
        <v>33</v>
      </c>
      <c r="L1418">
        <v>3</v>
      </c>
      <c r="O1418" t="s">
        <v>30</v>
      </c>
      <c r="P1418" t="s">
        <v>50</v>
      </c>
      <c r="S1418" t="s">
        <v>31</v>
      </c>
      <c r="T1418">
        <v>98149933</v>
      </c>
      <c r="U1418">
        <v>370.15199999999999</v>
      </c>
      <c r="V1418" s="3">
        <v>35855</v>
      </c>
    </row>
    <row r="1419" spans="1:22" x14ac:dyDescent="0.35">
      <c r="A1419" s="1">
        <v>42373.069432870368</v>
      </c>
      <c r="B1419" s="2">
        <v>1.5624999999999999E-3</v>
      </c>
      <c r="C1419" t="s">
        <v>2462</v>
      </c>
      <c r="D1419" t="s">
        <v>23</v>
      </c>
      <c r="E1419" t="s">
        <v>24</v>
      </c>
      <c r="F1419" t="s">
        <v>2463</v>
      </c>
      <c r="G1419">
        <v>3061241</v>
      </c>
      <c r="H1419" t="s">
        <v>68</v>
      </c>
      <c r="I1419" t="s">
        <v>27</v>
      </c>
      <c r="J1419" t="str">
        <f>"9780203559017"</f>
        <v>9780203559017</v>
      </c>
      <c r="K1419" t="s">
        <v>339</v>
      </c>
      <c r="L1419">
        <v>18</v>
      </c>
      <c r="O1419" t="s">
        <v>30</v>
      </c>
      <c r="P1419" t="s">
        <v>50</v>
      </c>
      <c r="S1419" t="s">
        <v>31</v>
      </c>
      <c r="T1419" t="s">
        <v>2464</v>
      </c>
      <c r="U1419" t="s">
        <v>2465</v>
      </c>
      <c r="V1419" s="3">
        <v>41487</v>
      </c>
    </row>
    <row r="1420" spans="1:22" x14ac:dyDescent="0.35">
      <c r="A1420" s="1">
        <v>42373.037685185183</v>
      </c>
      <c r="B1420" s="2">
        <v>9.5625000000000002E-2</v>
      </c>
      <c r="C1420" t="s">
        <v>1595</v>
      </c>
      <c r="D1420" t="s">
        <v>23</v>
      </c>
      <c r="E1420" t="s">
        <v>24</v>
      </c>
      <c r="F1420" t="s">
        <v>1993</v>
      </c>
      <c r="G1420">
        <v>1358564</v>
      </c>
      <c r="H1420" t="s">
        <v>26</v>
      </c>
      <c r="I1420" t="s">
        <v>841</v>
      </c>
      <c r="J1420" t="str">
        <f>"9781118646267"</f>
        <v>9781118646267</v>
      </c>
      <c r="K1420" t="s">
        <v>2466</v>
      </c>
      <c r="L1420">
        <v>42</v>
      </c>
      <c r="O1420" t="s">
        <v>30</v>
      </c>
      <c r="P1420" t="s">
        <v>29</v>
      </c>
      <c r="Q1420" s="1">
        <v>42368.857418981483</v>
      </c>
      <c r="R1420">
        <v>7</v>
      </c>
      <c r="S1420" t="s">
        <v>31</v>
      </c>
      <c r="T1420" t="s">
        <v>1995</v>
      </c>
      <c r="U1420">
        <v>355.00760000000002</v>
      </c>
      <c r="V1420" s="3">
        <v>41487</v>
      </c>
    </row>
    <row r="1421" spans="1:22" x14ac:dyDescent="0.35">
      <c r="A1421" s="1">
        <v>42372.982812499999</v>
      </c>
      <c r="B1421" s="2">
        <v>1.423611111111111E-3</v>
      </c>
      <c r="C1421" t="s">
        <v>106</v>
      </c>
      <c r="D1421" t="s">
        <v>23</v>
      </c>
      <c r="E1421" t="s">
        <v>24</v>
      </c>
      <c r="F1421" t="s">
        <v>226</v>
      </c>
      <c r="G1421">
        <v>1895348</v>
      </c>
      <c r="H1421" t="s">
        <v>26</v>
      </c>
      <c r="I1421" t="s">
        <v>69</v>
      </c>
      <c r="J1421" t="str">
        <f>"9781119068839"</f>
        <v>9781119068839</v>
      </c>
      <c r="K1421" t="s">
        <v>2467</v>
      </c>
      <c r="L1421">
        <v>19</v>
      </c>
      <c r="O1421" t="s">
        <v>30</v>
      </c>
      <c r="P1421" t="s">
        <v>42</v>
      </c>
      <c r="S1421" t="s">
        <v>31</v>
      </c>
      <c r="T1421" t="s">
        <v>227</v>
      </c>
      <c r="U1421">
        <v>378.16640000000001</v>
      </c>
      <c r="V1421" s="3">
        <v>42151</v>
      </c>
    </row>
    <row r="1422" spans="1:22" x14ac:dyDescent="0.35">
      <c r="A1422" s="1">
        <v>42372.975185185183</v>
      </c>
      <c r="B1422" s="2">
        <v>7.1099537037037031E-2</v>
      </c>
      <c r="C1422" t="s">
        <v>2468</v>
      </c>
      <c r="D1422" t="s">
        <v>35</v>
      </c>
      <c r="E1422" t="s">
        <v>36</v>
      </c>
      <c r="F1422" t="s">
        <v>327</v>
      </c>
      <c r="G1422">
        <v>1691426</v>
      </c>
      <c r="H1422" t="s">
        <v>26</v>
      </c>
      <c r="I1422" t="s">
        <v>328</v>
      </c>
      <c r="J1422" t="str">
        <f>"9781118839492"</f>
        <v>9781118839492</v>
      </c>
      <c r="K1422" t="s">
        <v>2469</v>
      </c>
      <c r="L1422">
        <v>69</v>
      </c>
      <c r="O1422" t="s">
        <v>30</v>
      </c>
      <c r="P1422" t="s">
        <v>29</v>
      </c>
      <c r="Q1422" s="1">
        <v>42366.691099537034</v>
      </c>
      <c r="R1422">
        <v>7</v>
      </c>
      <c r="S1422" t="s">
        <v>40</v>
      </c>
      <c r="T1422" t="s">
        <v>331</v>
      </c>
      <c r="U1422">
        <v>613.70460000000003</v>
      </c>
      <c r="V1422" s="3">
        <v>41772</v>
      </c>
    </row>
    <row r="1423" spans="1:22" x14ac:dyDescent="0.35">
      <c r="A1423" s="1">
        <v>42372.962048611109</v>
      </c>
      <c r="B1423" s="2">
        <v>5.7870370370370366E-5</v>
      </c>
      <c r="C1423" t="s">
        <v>2470</v>
      </c>
      <c r="D1423" t="s">
        <v>23</v>
      </c>
      <c r="E1423" t="s">
        <v>24</v>
      </c>
      <c r="F1423" t="s">
        <v>2471</v>
      </c>
      <c r="G1423">
        <v>1813091</v>
      </c>
      <c r="H1423" t="s">
        <v>26</v>
      </c>
      <c r="I1423" t="s">
        <v>276</v>
      </c>
      <c r="J1423" t="str">
        <f>"9781118963074"</f>
        <v>9781118963074</v>
      </c>
      <c r="K1423" t="s">
        <v>33</v>
      </c>
      <c r="L1423">
        <v>3</v>
      </c>
      <c r="O1423" t="s">
        <v>30</v>
      </c>
      <c r="P1423" t="s">
        <v>50</v>
      </c>
      <c r="S1423" t="s">
        <v>31</v>
      </c>
      <c r="T1423" t="s">
        <v>2472</v>
      </c>
      <c r="U1423">
        <v>4</v>
      </c>
      <c r="V1423" s="3">
        <v>41919</v>
      </c>
    </row>
    <row r="1424" spans="1:22" x14ac:dyDescent="0.35">
      <c r="A1424" s="1">
        <v>42372.923796296294</v>
      </c>
      <c r="B1424" s="2">
        <v>3.2534722222222222E-2</v>
      </c>
      <c r="C1424" t="s">
        <v>1726</v>
      </c>
      <c r="D1424" t="s">
        <v>35</v>
      </c>
      <c r="E1424" t="s">
        <v>36</v>
      </c>
      <c r="F1424" t="s">
        <v>327</v>
      </c>
      <c r="G1424">
        <v>1691426</v>
      </c>
      <c r="H1424" t="s">
        <v>26</v>
      </c>
      <c r="I1424" t="s">
        <v>328</v>
      </c>
      <c r="J1424" t="str">
        <f>"9781118839492"</f>
        <v>9781118839492</v>
      </c>
      <c r="K1424" t="s">
        <v>2473</v>
      </c>
      <c r="L1424">
        <v>50</v>
      </c>
      <c r="O1424" t="s">
        <v>30</v>
      </c>
      <c r="P1424" t="s">
        <v>29</v>
      </c>
      <c r="Q1424" s="1">
        <v>42372.923796296294</v>
      </c>
      <c r="R1424">
        <v>7</v>
      </c>
      <c r="S1424" t="s">
        <v>40</v>
      </c>
      <c r="T1424" t="s">
        <v>331</v>
      </c>
      <c r="U1424">
        <v>613.70460000000003</v>
      </c>
      <c r="V1424" s="3">
        <v>41772</v>
      </c>
    </row>
    <row r="1425" spans="1:22" x14ac:dyDescent="0.35">
      <c r="A1425" s="1">
        <v>42372.912997685184</v>
      </c>
      <c r="B1425" s="2">
        <v>1.0798611111111111E-2</v>
      </c>
      <c r="C1425" t="s">
        <v>1726</v>
      </c>
      <c r="D1425" t="s">
        <v>35</v>
      </c>
      <c r="E1425" t="s">
        <v>36</v>
      </c>
      <c r="F1425" t="s">
        <v>327</v>
      </c>
      <c r="G1425">
        <v>1691426</v>
      </c>
      <c r="H1425" t="s">
        <v>26</v>
      </c>
      <c r="I1425" t="s">
        <v>328</v>
      </c>
      <c r="J1425" t="str">
        <f>"9781118839492"</f>
        <v>9781118839492</v>
      </c>
      <c r="K1425" t="s">
        <v>2474</v>
      </c>
      <c r="L1425">
        <v>12</v>
      </c>
      <c r="O1425" t="s">
        <v>30</v>
      </c>
      <c r="P1425" t="s">
        <v>42</v>
      </c>
      <c r="S1425" t="s">
        <v>40</v>
      </c>
      <c r="T1425" t="s">
        <v>331</v>
      </c>
      <c r="U1425">
        <v>613.70460000000003</v>
      </c>
      <c r="V1425" s="3">
        <v>41772</v>
      </c>
    </row>
    <row r="1426" spans="1:22" x14ac:dyDescent="0.35">
      <c r="A1426" s="1">
        <v>42372.904722222222</v>
      </c>
      <c r="B1426" s="2">
        <v>3.5879629629629635E-4</v>
      </c>
      <c r="C1426" t="s">
        <v>1595</v>
      </c>
      <c r="D1426" t="s">
        <v>23</v>
      </c>
      <c r="E1426" t="s">
        <v>24</v>
      </c>
      <c r="F1426" t="s">
        <v>1993</v>
      </c>
      <c r="G1426">
        <v>1358564</v>
      </c>
      <c r="H1426" t="s">
        <v>26</v>
      </c>
      <c r="I1426" t="s">
        <v>841</v>
      </c>
      <c r="J1426" t="str">
        <f>"9781118646267"</f>
        <v>9781118646267</v>
      </c>
      <c r="K1426" t="s">
        <v>2475</v>
      </c>
      <c r="L1426">
        <v>11</v>
      </c>
      <c r="O1426" t="s">
        <v>30</v>
      </c>
      <c r="P1426" t="s">
        <v>29</v>
      </c>
      <c r="Q1426" s="1">
        <v>42368.857418981483</v>
      </c>
      <c r="R1426">
        <v>7</v>
      </c>
      <c r="S1426" t="s">
        <v>31</v>
      </c>
      <c r="T1426" t="s">
        <v>1995</v>
      </c>
      <c r="U1426">
        <v>355.00760000000002</v>
      </c>
      <c r="V1426" s="3">
        <v>41487</v>
      </c>
    </row>
    <row r="1427" spans="1:22" x14ac:dyDescent="0.35">
      <c r="A1427" s="1">
        <v>42372.84443287037</v>
      </c>
      <c r="B1427" s="2">
        <v>1.3020833333333334E-2</v>
      </c>
      <c r="C1427" t="s">
        <v>1595</v>
      </c>
      <c r="D1427" t="s">
        <v>23</v>
      </c>
      <c r="E1427" t="s">
        <v>24</v>
      </c>
      <c r="F1427" t="s">
        <v>1993</v>
      </c>
      <c r="G1427">
        <v>1358564</v>
      </c>
      <c r="H1427" t="s">
        <v>26</v>
      </c>
      <c r="I1427" t="s">
        <v>841</v>
      </c>
      <c r="J1427" t="str">
        <f>"9781118646267"</f>
        <v>9781118646267</v>
      </c>
      <c r="K1427" t="s">
        <v>2476</v>
      </c>
      <c r="L1427">
        <v>49</v>
      </c>
      <c r="O1427" t="s">
        <v>30</v>
      </c>
      <c r="P1427" t="s">
        <v>29</v>
      </c>
      <c r="Q1427" s="1">
        <v>42368.857418981483</v>
      </c>
      <c r="R1427">
        <v>7</v>
      </c>
      <c r="S1427" t="s">
        <v>31</v>
      </c>
      <c r="T1427" t="s">
        <v>1995</v>
      </c>
      <c r="U1427">
        <v>355.00760000000002</v>
      </c>
      <c r="V1427" s="3">
        <v>41487</v>
      </c>
    </row>
    <row r="1428" spans="1:22" x14ac:dyDescent="0.35">
      <c r="A1428" s="1">
        <v>42372.844386574077</v>
      </c>
      <c r="B1428" s="2">
        <v>2.613425925925926E-2</v>
      </c>
      <c r="C1428" t="s">
        <v>1595</v>
      </c>
      <c r="D1428" t="s">
        <v>23</v>
      </c>
      <c r="E1428" t="s">
        <v>24</v>
      </c>
      <c r="F1428" t="s">
        <v>1993</v>
      </c>
      <c r="G1428">
        <v>1358564</v>
      </c>
      <c r="H1428" t="s">
        <v>26</v>
      </c>
      <c r="I1428" t="s">
        <v>841</v>
      </c>
      <c r="J1428" t="str">
        <f>"9781118646267"</f>
        <v>9781118646267</v>
      </c>
      <c r="K1428" t="s">
        <v>2477</v>
      </c>
      <c r="L1428">
        <v>25</v>
      </c>
      <c r="O1428" t="s">
        <v>30</v>
      </c>
      <c r="P1428" t="s">
        <v>29</v>
      </c>
      <c r="Q1428" s="1">
        <v>42368.857418981483</v>
      </c>
      <c r="R1428">
        <v>7</v>
      </c>
      <c r="S1428" t="s">
        <v>31</v>
      </c>
      <c r="T1428" t="s">
        <v>1995</v>
      </c>
      <c r="U1428">
        <v>355.00760000000002</v>
      </c>
      <c r="V1428" s="3">
        <v>41487</v>
      </c>
    </row>
    <row r="1429" spans="1:22" x14ac:dyDescent="0.35">
      <c r="A1429" s="1">
        <v>42372.83421296296</v>
      </c>
      <c r="B1429" s="2">
        <v>9.3171296296296283E-3</v>
      </c>
      <c r="C1429" t="s">
        <v>1595</v>
      </c>
      <c r="D1429" t="s">
        <v>23</v>
      </c>
      <c r="E1429" t="s">
        <v>24</v>
      </c>
      <c r="F1429" t="s">
        <v>1993</v>
      </c>
      <c r="G1429">
        <v>1358564</v>
      </c>
      <c r="H1429" t="s">
        <v>26</v>
      </c>
      <c r="I1429" t="s">
        <v>841</v>
      </c>
      <c r="J1429" t="str">
        <f>"9781118646267"</f>
        <v>9781118646267</v>
      </c>
      <c r="K1429" t="s">
        <v>2478</v>
      </c>
      <c r="L1429">
        <v>42</v>
      </c>
      <c r="O1429" t="s">
        <v>30</v>
      </c>
      <c r="P1429" t="s">
        <v>29</v>
      </c>
      <c r="Q1429" s="1">
        <v>42368.857418981483</v>
      </c>
      <c r="R1429">
        <v>7</v>
      </c>
      <c r="S1429" t="s">
        <v>31</v>
      </c>
      <c r="T1429" t="s">
        <v>1995</v>
      </c>
      <c r="U1429">
        <v>355.00760000000002</v>
      </c>
      <c r="V1429" s="3">
        <v>41487</v>
      </c>
    </row>
    <row r="1430" spans="1:22" x14ac:dyDescent="0.35">
      <c r="A1430" s="1">
        <v>42372.78162037037</v>
      </c>
      <c r="B1430" s="2">
        <v>2.6041666666666665E-3</v>
      </c>
      <c r="C1430" t="s">
        <v>1050</v>
      </c>
      <c r="D1430" t="s">
        <v>23</v>
      </c>
      <c r="E1430" t="s">
        <v>24</v>
      </c>
      <c r="F1430" t="s">
        <v>1051</v>
      </c>
      <c r="G1430">
        <v>821663</v>
      </c>
      <c r="H1430" t="s">
        <v>26</v>
      </c>
      <c r="I1430" t="s">
        <v>200</v>
      </c>
      <c r="J1430" t="str">
        <f>"9781118168479"</f>
        <v>9781118168479</v>
      </c>
      <c r="K1430" t="s">
        <v>2479</v>
      </c>
      <c r="L1430">
        <v>14</v>
      </c>
      <c r="O1430" t="s">
        <v>30</v>
      </c>
      <c r="P1430" t="s">
        <v>29</v>
      </c>
      <c r="Q1430" s="1">
        <v>42372.446875000001</v>
      </c>
      <c r="R1430">
        <v>7</v>
      </c>
      <c r="S1430" t="s">
        <v>31</v>
      </c>
      <c r="T1430" t="s">
        <v>1053</v>
      </c>
      <c r="U1430">
        <v>729</v>
      </c>
      <c r="V1430" s="3">
        <v>40973</v>
      </c>
    </row>
    <row r="1431" spans="1:22" x14ac:dyDescent="0.35">
      <c r="A1431" s="1">
        <v>42372.733819444446</v>
      </c>
      <c r="B1431" s="2">
        <v>2.361111111111111E-2</v>
      </c>
      <c r="C1431" t="s">
        <v>988</v>
      </c>
      <c r="D1431" t="s">
        <v>23</v>
      </c>
      <c r="E1431" t="s">
        <v>24</v>
      </c>
      <c r="F1431" t="s">
        <v>989</v>
      </c>
      <c r="G1431">
        <v>330580</v>
      </c>
      <c r="H1431" t="s">
        <v>91</v>
      </c>
      <c r="I1431" t="s">
        <v>247</v>
      </c>
      <c r="J1431" t="str">
        <f>"9781593859398"</f>
        <v>9781593859398</v>
      </c>
      <c r="K1431" t="s">
        <v>2480</v>
      </c>
      <c r="L1431">
        <v>68</v>
      </c>
      <c r="O1431" t="s">
        <v>28</v>
      </c>
      <c r="P1431" t="s">
        <v>47</v>
      </c>
      <c r="Q1431" s="1">
        <v>42372.733819444446</v>
      </c>
      <c r="R1431">
        <v>7</v>
      </c>
      <c r="S1431" t="s">
        <v>31</v>
      </c>
      <c r="T1431" t="s">
        <v>991</v>
      </c>
      <c r="U1431">
        <v>616.89142000000004</v>
      </c>
      <c r="V1431" s="3">
        <v>41773</v>
      </c>
    </row>
    <row r="1432" spans="1:22" x14ac:dyDescent="0.35">
      <c r="A1432" s="1">
        <v>42372.733819444446</v>
      </c>
      <c r="B1432" s="2">
        <v>0</v>
      </c>
      <c r="C1432" t="s">
        <v>988</v>
      </c>
      <c r="D1432" t="s">
        <v>23</v>
      </c>
      <c r="E1432" t="s">
        <v>24</v>
      </c>
      <c r="F1432" t="s">
        <v>989</v>
      </c>
      <c r="G1432">
        <v>330580</v>
      </c>
      <c r="H1432" t="s">
        <v>91</v>
      </c>
      <c r="I1432" t="s">
        <v>247</v>
      </c>
      <c r="J1432" t="str">
        <f>"9781593859398"</f>
        <v>9781593859398</v>
      </c>
      <c r="L1432">
        <v>0</v>
      </c>
      <c r="O1432" t="s">
        <v>30</v>
      </c>
      <c r="P1432" t="s">
        <v>47</v>
      </c>
      <c r="Q1432" s="1">
        <v>42372.733819444446</v>
      </c>
      <c r="R1432">
        <v>7</v>
      </c>
      <c r="S1432" t="s">
        <v>31</v>
      </c>
      <c r="T1432" t="s">
        <v>991</v>
      </c>
      <c r="U1432">
        <v>616.89142000000004</v>
      </c>
      <c r="V1432" s="3">
        <v>41773</v>
      </c>
    </row>
    <row r="1433" spans="1:22" x14ac:dyDescent="0.35">
      <c r="A1433" s="1">
        <v>42372.733460648145</v>
      </c>
      <c r="B1433" s="2">
        <v>3.5879629629629635E-4</v>
      </c>
      <c r="C1433" t="s">
        <v>988</v>
      </c>
      <c r="D1433" t="s">
        <v>23</v>
      </c>
      <c r="E1433" t="s">
        <v>24</v>
      </c>
      <c r="F1433" t="s">
        <v>989</v>
      </c>
      <c r="G1433">
        <v>330580</v>
      </c>
      <c r="H1433" t="s">
        <v>91</v>
      </c>
      <c r="I1433" t="s">
        <v>247</v>
      </c>
      <c r="J1433" t="str">
        <f>"9781593859398"</f>
        <v>9781593859398</v>
      </c>
      <c r="K1433" t="s">
        <v>33</v>
      </c>
      <c r="L1433">
        <v>3</v>
      </c>
      <c r="O1433" t="s">
        <v>30</v>
      </c>
      <c r="P1433" t="s">
        <v>50</v>
      </c>
      <c r="S1433" t="s">
        <v>31</v>
      </c>
      <c r="T1433" t="s">
        <v>991</v>
      </c>
      <c r="U1433">
        <v>616.89142000000004</v>
      </c>
      <c r="V1433" s="3">
        <v>41773</v>
      </c>
    </row>
    <row r="1434" spans="1:22" x14ac:dyDescent="0.35">
      <c r="A1434" s="1">
        <v>42372.733206018522</v>
      </c>
      <c r="B1434" s="2">
        <v>5.7870370370370366E-5</v>
      </c>
      <c r="C1434" t="s">
        <v>988</v>
      </c>
      <c r="D1434" t="s">
        <v>23</v>
      </c>
      <c r="E1434" t="s">
        <v>24</v>
      </c>
      <c r="F1434" t="s">
        <v>989</v>
      </c>
      <c r="G1434">
        <v>330580</v>
      </c>
      <c r="H1434" t="s">
        <v>91</v>
      </c>
      <c r="I1434" t="s">
        <v>247</v>
      </c>
      <c r="J1434" t="str">
        <f>"9781593859398"</f>
        <v>9781593859398</v>
      </c>
      <c r="K1434" t="s">
        <v>33</v>
      </c>
      <c r="L1434">
        <v>3</v>
      </c>
      <c r="O1434" t="s">
        <v>30</v>
      </c>
      <c r="P1434" t="s">
        <v>50</v>
      </c>
      <c r="S1434" t="s">
        <v>31</v>
      </c>
      <c r="T1434" t="s">
        <v>991</v>
      </c>
      <c r="U1434">
        <v>616.89142000000004</v>
      </c>
      <c r="V1434" s="3">
        <v>41773</v>
      </c>
    </row>
    <row r="1435" spans="1:22" x14ac:dyDescent="0.35">
      <c r="A1435" s="1">
        <v>42372.710046296299</v>
      </c>
      <c r="B1435" s="2">
        <v>2.9861111111111113E-3</v>
      </c>
      <c r="C1435" t="s">
        <v>1595</v>
      </c>
      <c r="D1435" t="s">
        <v>23</v>
      </c>
      <c r="E1435" t="s">
        <v>24</v>
      </c>
      <c r="F1435" t="s">
        <v>1993</v>
      </c>
      <c r="G1435">
        <v>1358564</v>
      </c>
      <c r="H1435" t="s">
        <v>26</v>
      </c>
      <c r="I1435" t="s">
        <v>841</v>
      </c>
      <c r="J1435" t="str">
        <f>"9781118646267"</f>
        <v>9781118646267</v>
      </c>
      <c r="K1435" t="s">
        <v>2481</v>
      </c>
      <c r="L1435">
        <v>72</v>
      </c>
      <c r="O1435" t="s">
        <v>30</v>
      </c>
      <c r="P1435" t="s">
        <v>29</v>
      </c>
      <c r="Q1435" s="1">
        <v>42368.857418981483</v>
      </c>
      <c r="R1435">
        <v>7</v>
      </c>
      <c r="S1435" t="s">
        <v>31</v>
      </c>
      <c r="T1435" t="s">
        <v>1995</v>
      </c>
      <c r="U1435">
        <v>355.00760000000002</v>
      </c>
      <c r="V1435" s="3">
        <v>41487</v>
      </c>
    </row>
    <row r="1436" spans="1:22" x14ac:dyDescent="0.35">
      <c r="A1436" s="1">
        <v>42372.56417824074</v>
      </c>
      <c r="B1436" s="2">
        <v>6.1053240740740734E-2</v>
      </c>
      <c r="C1436" t="s">
        <v>2452</v>
      </c>
      <c r="D1436" t="s">
        <v>423</v>
      </c>
      <c r="E1436" t="s">
        <v>424</v>
      </c>
      <c r="F1436" t="s">
        <v>2453</v>
      </c>
      <c r="G1436">
        <v>1367685</v>
      </c>
      <c r="H1436" t="s">
        <v>26</v>
      </c>
      <c r="I1436" t="s">
        <v>445</v>
      </c>
      <c r="J1436" t="str">
        <f>"9780745678832"</f>
        <v>9780745678832</v>
      </c>
      <c r="K1436" t="s">
        <v>2482</v>
      </c>
      <c r="L1436">
        <v>153</v>
      </c>
      <c r="O1436" t="s">
        <v>30</v>
      </c>
      <c r="P1436" t="s">
        <v>47</v>
      </c>
      <c r="Q1436" s="1">
        <v>42372.56417824074</v>
      </c>
      <c r="R1436">
        <v>1</v>
      </c>
      <c r="S1436" t="s">
        <v>2454</v>
      </c>
      <c r="T1436" t="s">
        <v>2455</v>
      </c>
      <c r="U1436">
        <v>338.76170000000002</v>
      </c>
      <c r="V1436" s="3">
        <v>41513</v>
      </c>
    </row>
    <row r="1437" spans="1:22" x14ac:dyDescent="0.35">
      <c r="A1437" s="1">
        <v>42372.560590277775</v>
      </c>
      <c r="B1437" s="2">
        <v>3.5879629629629629E-3</v>
      </c>
      <c r="C1437" t="s">
        <v>2452</v>
      </c>
      <c r="D1437" t="s">
        <v>423</v>
      </c>
      <c r="E1437" t="s">
        <v>424</v>
      </c>
      <c r="F1437" t="s">
        <v>2453</v>
      </c>
      <c r="G1437">
        <v>1367685</v>
      </c>
      <c r="H1437" t="s">
        <v>26</v>
      </c>
      <c r="I1437" t="s">
        <v>445</v>
      </c>
      <c r="J1437" t="str">
        <f>"9780745678832"</f>
        <v>9780745678832</v>
      </c>
      <c r="K1437" t="s">
        <v>1520</v>
      </c>
      <c r="L1437">
        <v>20</v>
      </c>
      <c r="O1437" t="s">
        <v>30</v>
      </c>
      <c r="P1437" t="s">
        <v>50</v>
      </c>
      <c r="S1437" t="s">
        <v>2454</v>
      </c>
      <c r="T1437" t="s">
        <v>2455</v>
      </c>
      <c r="U1437">
        <v>338.76170000000002</v>
      </c>
      <c r="V1437" s="3">
        <v>41513</v>
      </c>
    </row>
    <row r="1438" spans="1:22" x14ac:dyDescent="0.35">
      <c r="A1438" s="1">
        <v>42372.517222222225</v>
      </c>
      <c r="B1438" s="2">
        <v>4.3101851851851856E-2</v>
      </c>
      <c r="C1438" t="s">
        <v>2452</v>
      </c>
      <c r="D1438" t="s">
        <v>423</v>
      </c>
      <c r="E1438" t="s">
        <v>424</v>
      </c>
      <c r="F1438" t="s">
        <v>2456</v>
      </c>
      <c r="G1438">
        <v>1521098</v>
      </c>
      <c r="H1438" t="s">
        <v>68</v>
      </c>
      <c r="I1438" t="s">
        <v>445</v>
      </c>
      <c r="J1438" t="str">
        <f>"9781317967286"</f>
        <v>9781317967286</v>
      </c>
      <c r="K1438" t="s">
        <v>2483</v>
      </c>
      <c r="L1438">
        <v>144</v>
      </c>
      <c r="M1438" t="s">
        <v>489</v>
      </c>
      <c r="O1438" t="s">
        <v>30</v>
      </c>
      <c r="P1438" t="s">
        <v>47</v>
      </c>
      <c r="Q1438" s="1">
        <v>42372.517222222225</v>
      </c>
      <c r="R1438">
        <v>1</v>
      </c>
      <c r="S1438" t="s">
        <v>2454</v>
      </c>
      <c r="U1438">
        <v>338.47699999999998</v>
      </c>
      <c r="V1438" s="3">
        <v>41578</v>
      </c>
    </row>
    <row r="1439" spans="1:22" x14ac:dyDescent="0.35">
      <c r="A1439" s="1">
        <v>42372.511620370373</v>
      </c>
      <c r="B1439" s="2">
        <v>5.6018518518518518E-3</v>
      </c>
      <c r="C1439" t="s">
        <v>2452</v>
      </c>
      <c r="D1439" t="s">
        <v>423</v>
      </c>
      <c r="E1439" t="s">
        <v>424</v>
      </c>
      <c r="F1439" t="s">
        <v>2456</v>
      </c>
      <c r="G1439">
        <v>1521098</v>
      </c>
      <c r="H1439" t="s">
        <v>68</v>
      </c>
      <c r="I1439" t="s">
        <v>445</v>
      </c>
      <c r="J1439" t="str">
        <f>"9781317967286"</f>
        <v>9781317967286</v>
      </c>
      <c r="K1439" t="s">
        <v>209</v>
      </c>
      <c r="L1439">
        <v>4</v>
      </c>
      <c r="O1439" t="s">
        <v>30</v>
      </c>
      <c r="P1439" t="s">
        <v>50</v>
      </c>
      <c r="S1439" t="s">
        <v>2454</v>
      </c>
      <c r="U1439">
        <v>338.47699999999998</v>
      </c>
      <c r="V1439" s="3">
        <v>41578</v>
      </c>
    </row>
    <row r="1440" spans="1:22" x14ac:dyDescent="0.35">
      <c r="A1440" s="1">
        <v>42372.446886574071</v>
      </c>
      <c r="B1440" s="2">
        <v>2.101851851851852E-2</v>
      </c>
      <c r="C1440" t="s">
        <v>1050</v>
      </c>
      <c r="D1440" t="s">
        <v>23</v>
      </c>
      <c r="E1440" t="s">
        <v>24</v>
      </c>
      <c r="F1440" t="s">
        <v>1051</v>
      </c>
      <c r="G1440">
        <v>821663</v>
      </c>
      <c r="H1440" t="s">
        <v>26</v>
      </c>
      <c r="I1440" t="s">
        <v>200</v>
      </c>
      <c r="J1440" t="str">
        <f>"9781118168479"</f>
        <v>9781118168479</v>
      </c>
      <c r="K1440" t="s">
        <v>2484</v>
      </c>
      <c r="L1440">
        <v>12</v>
      </c>
      <c r="O1440" t="s">
        <v>30</v>
      </c>
      <c r="P1440" t="s">
        <v>29</v>
      </c>
      <c r="Q1440" s="1">
        <v>42372.446875000001</v>
      </c>
      <c r="R1440">
        <v>7</v>
      </c>
      <c r="S1440" t="s">
        <v>31</v>
      </c>
      <c r="T1440" t="s">
        <v>1053</v>
      </c>
      <c r="U1440">
        <v>729</v>
      </c>
      <c r="V1440" s="3">
        <v>40973</v>
      </c>
    </row>
    <row r="1441" spans="1:22" x14ac:dyDescent="0.35">
      <c r="A1441" s="1">
        <v>42372.431319444448</v>
      </c>
      <c r="B1441" s="2">
        <v>1.5555555555555553E-2</v>
      </c>
      <c r="C1441" t="s">
        <v>1050</v>
      </c>
      <c r="D1441" t="s">
        <v>23</v>
      </c>
      <c r="E1441" t="s">
        <v>24</v>
      </c>
      <c r="F1441" t="s">
        <v>1051</v>
      </c>
      <c r="G1441">
        <v>821663</v>
      </c>
      <c r="H1441" t="s">
        <v>26</v>
      </c>
      <c r="I1441" t="s">
        <v>200</v>
      </c>
      <c r="J1441" t="str">
        <f>"9781118168479"</f>
        <v>9781118168479</v>
      </c>
      <c r="K1441" t="s">
        <v>1073</v>
      </c>
      <c r="L1441">
        <v>25</v>
      </c>
      <c r="O1441" t="s">
        <v>30</v>
      </c>
      <c r="P1441" t="s">
        <v>42</v>
      </c>
      <c r="S1441" t="s">
        <v>31</v>
      </c>
      <c r="T1441" t="s">
        <v>1053</v>
      </c>
      <c r="U1441">
        <v>729</v>
      </c>
      <c r="V1441" s="3">
        <v>40973</v>
      </c>
    </row>
    <row r="1442" spans="1:22" x14ac:dyDescent="0.35">
      <c r="A1442" s="1">
        <v>42372.345949074072</v>
      </c>
      <c r="B1442" s="2">
        <v>4.8611111111111104E-4</v>
      </c>
      <c r="C1442" t="s">
        <v>2485</v>
      </c>
      <c r="D1442" t="s">
        <v>23</v>
      </c>
      <c r="E1442" t="s">
        <v>24</v>
      </c>
      <c r="F1442" t="s">
        <v>2486</v>
      </c>
      <c r="G1442">
        <v>1771580</v>
      </c>
      <c r="H1442" t="s">
        <v>26</v>
      </c>
      <c r="I1442" t="s">
        <v>276</v>
      </c>
      <c r="J1442" t="str">
        <f>"9781118858066"</f>
        <v>9781118858066</v>
      </c>
      <c r="K1442" t="s">
        <v>2487</v>
      </c>
      <c r="L1442">
        <v>14</v>
      </c>
      <c r="O1442" t="s">
        <v>30</v>
      </c>
      <c r="P1442" t="s">
        <v>50</v>
      </c>
      <c r="S1442" t="s">
        <v>31</v>
      </c>
      <c r="T1442" t="s">
        <v>2488</v>
      </c>
      <c r="U1442">
        <v>5.133</v>
      </c>
      <c r="V1442" s="3">
        <v>41872</v>
      </c>
    </row>
    <row r="1443" spans="1:22" x14ac:dyDescent="0.35">
      <c r="A1443" s="1">
        <v>42372.220034722224</v>
      </c>
      <c r="B1443" s="2">
        <v>7.175925925925927E-4</v>
      </c>
      <c r="C1443" t="s">
        <v>2485</v>
      </c>
      <c r="D1443" t="s">
        <v>23</v>
      </c>
      <c r="E1443" t="s">
        <v>24</v>
      </c>
      <c r="F1443" t="s">
        <v>2486</v>
      </c>
      <c r="G1443">
        <v>1771580</v>
      </c>
      <c r="H1443" t="s">
        <v>26</v>
      </c>
      <c r="I1443" t="s">
        <v>276</v>
      </c>
      <c r="J1443" t="str">
        <f>"9781118858066"</f>
        <v>9781118858066</v>
      </c>
      <c r="K1443" t="s">
        <v>889</v>
      </c>
      <c r="L1443">
        <v>6</v>
      </c>
      <c r="O1443" t="s">
        <v>30</v>
      </c>
      <c r="P1443" t="s">
        <v>50</v>
      </c>
      <c r="S1443" t="s">
        <v>31</v>
      </c>
      <c r="T1443" t="s">
        <v>2488</v>
      </c>
      <c r="U1443">
        <v>5.133</v>
      </c>
      <c r="V1443" s="3">
        <v>41872</v>
      </c>
    </row>
    <row r="1444" spans="1:22" x14ac:dyDescent="0.35">
      <c r="A1444" s="1">
        <v>42372.127928240741</v>
      </c>
      <c r="B1444" s="2">
        <v>5.424768518518519E-2</v>
      </c>
      <c r="C1444" t="s">
        <v>1595</v>
      </c>
      <c r="D1444" t="s">
        <v>23</v>
      </c>
      <c r="E1444" t="s">
        <v>24</v>
      </c>
      <c r="F1444" t="s">
        <v>1993</v>
      </c>
      <c r="G1444">
        <v>1358564</v>
      </c>
      <c r="H1444" t="s">
        <v>26</v>
      </c>
      <c r="I1444" t="s">
        <v>841</v>
      </c>
      <c r="J1444" t="str">
        <f>"9781118646267"</f>
        <v>9781118646267</v>
      </c>
      <c r="K1444" t="s">
        <v>2489</v>
      </c>
      <c r="L1444">
        <v>87</v>
      </c>
      <c r="O1444" t="s">
        <v>30</v>
      </c>
      <c r="P1444" t="s">
        <v>29</v>
      </c>
      <c r="Q1444" s="1">
        <v>42368.857418981483</v>
      </c>
      <c r="R1444">
        <v>7</v>
      </c>
      <c r="S1444" t="s">
        <v>31</v>
      </c>
      <c r="T1444" t="s">
        <v>1995</v>
      </c>
      <c r="U1444">
        <v>355.00760000000002</v>
      </c>
      <c r="V1444" s="3">
        <v>41487</v>
      </c>
    </row>
    <row r="1445" spans="1:22" x14ac:dyDescent="0.35">
      <c r="A1445" s="1">
        <v>42372.045428240737</v>
      </c>
      <c r="B1445" s="2">
        <v>3.6018518518518519E-2</v>
      </c>
      <c r="C1445" t="s">
        <v>2490</v>
      </c>
      <c r="D1445" t="s">
        <v>23</v>
      </c>
      <c r="E1445" t="s">
        <v>24</v>
      </c>
      <c r="F1445" t="s">
        <v>2491</v>
      </c>
      <c r="G1445">
        <v>1895920</v>
      </c>
      <c r="H1445" t="s">
        <v>26</v>
      </c>
      <c r="I1445" t="s">
        <v>97</v>
      </c>
      <c r="J1445" t="str">
        <f>"9781119016243"</f>
        <v>9781119016243</v>
      </c>
      <c r="K1445" t="s">
        <v>2492</v>
      </c>
      <c r="L1445">
        <v>257</v>
      </c>
      <c r="O1445" t="s">
        <v>30</v>
      </c>
      <c r="P1445" t="s">
        <v>29</v>
      </c>
      <c r="Q1445" s="1">
        <v>42372.045428240737</v>
      </c>
      <c r="R1445">
        <v>7</v>
      </c>
      <c r="S1445" t="s">
        <v>31</v>
      </c>
      <c r="T1445" t="s">
        <v>2493</v>
      </c>
      <c r="U1445">
        <v>657.90420285536004</v>
      </c>
      <c r="V1445" s="3">
        <v>42016</v>
      </c>
    </row>
    <row r="1446" spans="1:22" x14ac:dyDescent="0.35">
      <c r="A1446" s="1">
        <v>42372.042002314818</v>
      </c>
      <c r="B1446" s="2">
        <v>3.425925925925926E-3</v>
      </c>
      <c r="C1446" t="s">
        <v>2490</v>
      </c>
      <c r="D1446" t="s">
        <v>23</v>
      </c>
      <c r="E1446" t="s">
        <v>24</v>
      </c>
      <c r="F1446" t="s">
        <v>2491</v>
      </c>
      <c r="G1446">
        <v>1895920</v>
      </c>
      <c r="H1446" t="s">
        <v>26</v>
      </c>
      <c r="I1446" t="s">
        <v>97</v>
      </c>
      <c r="J1446" t="str">
        <f>"9781119016243"</f>
        <v>9781119016243</v>
      </c>
      <c r="K1446" t="s">
        <v>202</v>
      </c>
      <c r="L1446">
        <v>3</v>
      </c>
      <c r="O1446" t="s">
        <v>30</v>
      </c>
      <c r="P1446" t="s">
        <v>50</v>
      </c>
      <c r="S1446" t="s">
        <v>31</v>
      </c>
      <c r="T1446" t="s">
        <v>2493</v>
      </c>
      <c r="U1446">
        <v>657.90420285536004</v>
      </c>
      <c r="V1446" s="3">
        <v>42016</v>
      </c>
    </row>
    <row r="1447" spans="1:22" x14ac:dyDescent="0.35">
      <c r="A1447" s="1">
        <v>42372.040312500001</v>
      </c>
      <c r="B1447" s="2">
        <v>1.1574074074074073E-4</v>
      </c>
      <c r="C1447" t="s">
        <v>2490</v>
      </c>
      <c r="D1447" t="s">
        <v>23</v>
      </c>
      <c r="E1447" t="s">
        <v>24</v>
      </c>
      <c r="F1447" t="s">
        <v>2491</v>
      </c>
      <c r="G1447">
        <v>1895920</v>
      </c>
      <c r="H1447" t="s">
        <v>26</v>
      </c>
      <c r="I1447" t="s">
        <v>97</v>
      </c>
      <c r="J1447" t="str">
        <f>"9781119016243"</f>
        <v>9781119016243</v>
      </c>
      <c r="K1447" t="s">
        <v>209</v>
      </c>
      <c r="L1447">
        <v>4</v>
      </c>
      <c r="O1447" t="s">
        <v>30</v>
      </c>
      <c r="P1447" t="s">
        <v>50</v>
      </c>
      <c r="S1447" t="s">
        <v>31</v>
      </c>
      <c r="T1447" t="s">
        <v>2493</v>
      </c>
      <c r="U1447">
        <v>657.90420285536004</v>
      </c>
      <c r="V1447" s="3">
        <v>42016</v>
      </c>
    </row>
    <row r="1448" spans="1:22" x14ac:dyDescent="0.35">
      <c r="A1448" s="1">
        <v>42371.962777777779</v>
      </c>
      <c r="B1448" s="2">
        <v>9.6412037037037039E-3</v>
      </c>
      <c r="C1448" t="s">
        <v>2494</v>
      </c>
      <c r="D1448" t="s">
        <v>23</v>
      </c>
      <c r="E1448" t="s">
        <v>24</v>
      </c>
      <c r="F1448" t="s">
        <v>2495</v>
      </c>
      <c r="G1448">
        <v>1977496</v>
      </c>
      <c r="H1448" t="s">
        <v>26</v>
      </c>
      <c r="I1448" t="s">
        <v>150</v>
      </c>
      <c r="J1448" t="str">
        <f>"9781118991145"</f>
        <v>9781118991145</v>
      </c>
      <c r="K1448" t="s">
        <v>2496</v>
      </c>
      <c r="L1448">
        <v>23</v>
      </c>
      <c r="O1448" t="s">
        <v>30</v>
      </c>
      <c r="P1448" t="s">
        <v>29</v>
      </c>
      <c r="Q1448" s="1">
        <v>42371.962777777779</v>
      </c>
      <c r="R1448">
        <v>7</v>
      </c>
      <c r="S1448" t="s">
        <v>31</v>
      </c>
      <c r="T1448" t="s">
        <v>2497</v>
      </c>
      <c r="U1448">
        <v>781</v>
      </c>
      <c r="V1448" s="3">
        <v>42054</v>
      </c>
    </row>
    <row r="1449" spans="1:22" x14ac:dyDescent="0.35">
      <c r="A1449" s="1">
        <v>42371.959143518521</v>
      </c>
      <c r="B1449" s="2">
        <v>3.6226851851851854E-3</v>
      </c>
      <c r="C1449" t="s">
        <v>2494</v>
      </c>
      <c r="D1449" t="s">
        <v>23</v>
      </c>
      <c r="E1449" t="s">
        <v>24</v>
      </c>
      <c r="F1449" t="s">
        <v>2495</v>
      </c>
      <c r="G1449">
        <v>1977496</v>
      </c>
      <c r="H1449" t="s">
        <v>26</v>
      </c>
      <c r="I1449" t="s">
        <v>150</v>
      </c>
      <c r="J1449" t="str">
        <f>"9781118991145"</f>
        <v>9781118991145</v>
      </c>
      <c r="K1449" t="s">
        <v>2498</v>
      </c>
      <c r="L1449">
        <v>34</v>
      </c>
      <c r="O1449" t="s">
        <v>30</v>
      </c>
      <c r="P1449" t="s">
        <v>50</v>
      </c>
      <c r="S1449" t="s">
        <v>31</v>
      </c>
      <c r="T1449" t="s">
        <v>2497</v>
      </c>
      <c r="U1449">
        <v>781</v>
      </c>
      <c r="V1449" s="3">
        <v>42054</v>
      </c>
    </row>
    <row r="1450" spans="1:22" x14ac:dyDescent="0.35">
      <c r="A1450" s="1">
        <v>42371.93408564815</v>
      </c>
      <c r="B1450" s="2">
        <v>7.9398148148148145E-3</v>
      </c>
      <c r="C1450" t="s">
        <v>106</v>
      </c>
      <c r="D1450" t="s">
        <v>23</v>
      </c>
      <c r="E1450" t="s">
        <v>24</v>
      </c>
      <c r="F1450" t="s">
        <v>1993</v>
      </c>
      <c r="G1450">
        <v>1358564</v>
      </c>
      <c r="H1450" t="s">
        <v>26</v>
      </c>
      <c r="I1450" t="s">
        <v>841</v>
      </c>
      <c r="J1450" t="str">
        <f>"9781118646267"</f>
        <v>9781118646267</v>
      </c>
      <c r="K1450" t="s">
        <v>2499</v>
      </c>
      <c r="L1450">
        <v>23</v>
      </c>
      <c r="O1450" t="s">
        <v>30</v>
      </c>
      <c r="P1450" t="s">
        <v>29</v>
      </c>
      <c r="Q1450" s="1">
        <v>42371.918576388889</v>
      </c>
      <c r="R1450">
        <v>7</v>
      </c>
      <c r="S1450" t="s">
        <v>31</v>
      </c>
      <c r="T1450" t="s">
        <v>1995</v>
      </c>
      <c r="U1450">
        <v>355.00760000000002</v>
      </c>
      <c r="V1450" s="3">
        <v>41487</v>
      </c>
    </row>
    <row r="1451" spans="1:22" x14ac:dyDescent="0.35">
      <c r="A1451" s="1">
        <v>42371.926296296297</v>
      </c>
      <c r="B1451" s="2">
        <v>0</v>
      </c>
      <c r="C1451" t="s">
        <v>1626</v>
      </c>
      <c r="D1451" t="s">
        <v>35</v>
      </c>
      <c r="E1451" t="s">
        <v>36</v>
      </c>
      <c r="F1451" t="s">
        <v>2026</v>
      </c>
      <c r="G1451">
        <v>1318975</v>
      </c>
      <c r="H1451" t="s">
        <v>68</v>
      </c>
      <c r="I1451" t="s">
        <v>310</v>
      </c>
      <c r="J1451" t="str">
        <f>"9781136310416"</f>
        <v>9781136310416</v>
      </c>
      <c r="L1451">
        <v>0</v>
      </c>
      <c r="N1451" t="s">
        <v>2500</v>
      </c>
      <c r="O1451" t="s">
        <v>30</v>
      </c>
      <c r="P1451" t="s">
        <v>47</v>
      </c>
      <c r="Q1451" s="1">
        <v>42371.926296296297</v>
      </c>
      <c r="R1451">
        <v>1</v>
      </c>
      <c r="S1451" t="s">
        <v>40</v>
      </c>
      <c r="T1451" t="s">
        <v>2028</v>
      </c>
      <c r="U1451">
        <v>820</v>
      </c>
      <c r="V1451" s="3">
        <v>41473</v>
      </c>
    </row>
    <row r="1452" spans="1:22" x14ac:dyDescent="0.35">
      <c r="A1452" s="1">
        <v>42371.923101851855</v>
      </c>
      <c r="B1452" s="2">
        <v>3.1944444444444442E-3</v>
      </c>
      <c r="C1452" t="s">
        <v>1626</v>
      </c>
      <c r="D1452" t="s">
        <v>35</v>
      </c>
      <c r="E1452" t="s">
        <v>36</v>
      </c>
      <c r="F1452" t="s">
        <v>2026</v>
      </c>
      <c r="G1452">
        <v>1318975</v>
      </c>
      <c r="H1452" t="s">
        <v>68</v>
      </c>
      <c r="I1452" t="s">
        <v>310</v>
      </c>
      <c r="J1452" t="str">
        <f>"9781136310416"</f>
        <v>9781136310416</v>
      </c>
      <c r="K1452" t="s">
        <v>2501</v>
      </c>
      <c r="L1452">
        <v>23</v>
      </c>
      <c r="O1452" t="s">
        <v>30</v>
      </c>
      <c r="P1452" t="s">
        <v>50</v>
      </c>
      <c r="S1452" t="s">
        <v>40</v>
      </c>
      <c r="T1452" t="s">
        <v>2028</v>
      </c>
      <c r="U1452">
        <v>820</v>
      </c>
      <c r="V1452" s="3">
        <v>41473</v>
      </c>
    </row>
    <row r="1453" spans="1:22" x14ac:dyDescent="0.35">
      <c r="A1453" s="1">
        <v>42371.918576388889</v>
      </c>
      <c r="B1453" s="2">
        <v>1.5092592592592593E-2</v>
      </c>
      <c r="C1453" t="s">
        <v>106</v>
      </c>
      <c r="D1453" t="s">
        <v>23</v>
      </c>
      <c r="E1453" t="s">
        <v>24</v>
      </c>
      <c r="F1453" t="s">
        <v>1993</v>
      </c>
      <c r="G1453">
        <v>1358564</v>
      </c>
      <c r="H1453" t="s">
        <v>26</v>
      </c>
      <c r="I1453" t="s">
        <v>841</v>
      </c>
      <c r="J1453" t="str">
        <f>"9781118646267"</f>
        <v>9781118646267</v>
      </c>
      <c r="K1453" t="s">
        <v>2502</v>
      </c>
      <c r="L1453">
        <v>16</v>
      </c>
      <c r="O1453" t="s">
        <v>30</v>
      </c>
      <c r="P1453" t="s">
        <v>29</v>
      </c>
      <c r="Q1453" s="1">
        <v>42371.918576388889</v>
      </c>
      <c r="R1453">
        <v>7</v>
      </c>
      <c r="S1453" t="s">
        <v>31</v>
      </c>
      <c r="T1453" t="s">
        <v>1995</v>
      </c>
      <c r="U1453">
        <v>355.00760000000002</v>
      </c>
      <c r="V1453" s="3">
        <v>41487</v>
      </c>
    </row>
    <row r="1454" spans="1:22" x14ac:dyDescent="0.35">
      <c r="A1454" s="1">
        <v>42371.917094907411</v>
      </c>
      <c r="B1454" s="2">
        <v>2.1180555555555553E-3</v>
      </c>
      <c r="C1454" t="s">
        <v>106</v>
      </c>
      <c r="D1454" t="s">
        <v>23</v>
      </c>
      <c r="E1454" t="s">
        <v>24</v>
      </c>
      <c r="F1454" t="s">
        <v>2035</v>
      </c>
      <c r="G1454">
        <v>2006127</v>
      </c>
      <c r="H1454" t="s">
        <v>26</v>
      </c>
      <c r="I1454" t="s">
        <v>841</v>
      </c>
      <c r="J1454" t="str">
        <f>"9781119038474"</f>
        <v>9781119038474</v>
      </c>
      <c r="K1454" t="s">
        <v>2503</v>
      </c>
      <c r="L1454">
        <v>32</v>
      </c>
      <c r="O1454" t="s">
        <v>30</v>
      </c>
      <c r="P1454" t="s">
        <v>50</v>
      </c>
      <c r="S1454" t="s">
        <v>31</v>
      </c>
      <c r="T1454" t="s">
        <v>2037</v>
      </c>
      <c r="U1454">
        <v>355.00760000000002</v>
      </c>
      <c r="V1454" s="3">
        <v>42090</v>
      </c>
    </row>
    <row r="1455" spans="1:22" x14ac:dyDescent="0.35">
      <c r="A1455" s="1">
        <v>42371.911030092589</v>
      </c>
      <c r="B1455" s="2">
        <v>7.5462962962962966E-3</v>
      </c>
      <c r="C1455" t="s">
        <v>106</v>
      </c>
      <c r="D1455" t="s">
        <v>23</v>
      </c>
      <c r="E1455" t="s">
        <v>24</v>
      </c>
      <c r="F1455" t="s">
        <v>1993</v>
      </c>
      <c r="G1455">
        <v>1358564</v>
      </c>
      <c r="H1455" t="s">
        <v>26</v>
      </c>
      <c r="I1455" t="s">
        <v>841</v>
      </c>
      <c r="J1455" t="str">
        <f>"9781118646267"</f>
        <v>9781118646267</v>
      </c>
      <c r="K1455" t="s">
        <v>2504</v>
      </c>
      <c r="L1455">
        <v>40</v>
      </c>
      <c r="O1455" t="s">
        <v>30</v>
      </c>
      <c r="P1455" t="s">
        <v>42</v>
      </c>
      <c r="S1455" t="s">
        <v>31</v>
      </c>
      <c r="T1455" t="s">
        <v>1995</v>
      </c>
      <c r="U1455">
        <v>355.00760000000002</v>
      </c>
      <c r="V1455" s="3">
        <v>41487</v>
      </c>
    </row>
    <row r="1456" spans="1:22" x14ac:dyDescent="0.35">
      <c r="A1456" s="1">
        <v>42371.88208333333</v>
      </c>
      <c r="B1456" s="2">
        <v>0</v>
      </c>
      <c r="C1456" t="s">
        <v>2505</v>
      </c>
      <c r="D1456" t="s">
        <v>23</v>
      </c>
      <c r="E1456" t="s">
        <v>24</v>
      </c>
      <c r="F1456" t="s">
        <v>1235</v>
      </c>
      <c r="G1456">
        <v>298457</v>
      </c>
      <c r="H1456" t="s">
        <v>68</v>
      </c>
      <c r="I1456" t="s">
        <v>1236</v>
      </c>
      <c r="J1456" t="str">
        <f>"9780080520599"</f>
        <v>9780080520599</v>
      </c>
      <c r="K1456" t="s">
        <v>2506</v>
      </c>
      <c r="L1456">
        <v>1</v>
      </c>
      <c r="O1456" t="s">
        <v>30</v>
      </c>
      <c r="P1456" t="s">
        <v>47</v>
      </c>
      <c r="Q1456" s="1">
        <v>42371.88208333333</v>
      </c>
      <c r="R1456">
        <v>1</v>
      </c>
      <c r="S1456" t="s">
        <v>31</v>
      </c>
      <c r="T1456" t="s">
        <v>1237</v>
      </c>
      <c r="U1456">
        <v>778.59</v>
      </c>
      <c r="V1456" s="3">
        <v>41575</v>
      </c>
    </row>
    <row r="1457" spans="1:22" x14ac:dyDescent="0.35">
      <c r="A1457" s="1">
        <v>42371.869814814818</v>
      </c>
      <c r="B1457" s="2">
        <v>6.2500000000000001E-4</v>
      </c>
      <c r="C1457" t="s">
        <v>2505</v>
      </c>
      <c r="D1457" t="s">
        <v>23</v>
      </c>
      <c r="E1457" t="s">
        <v>24</v>
      </c>
      <c r="F1457" t="s">
        <v>2507</v>
      </c>
      <c r="G1457">
        <v>1461120</v>
      </c>
      <c r="H1457" t="s">
        <v>68</v>
      </c>
      <c r="I1457" t="s">
        <v>1236</v>
      </c>
      <c r="J1457" t="str">
        <f>"9781136050268"</f>
        <v>9781136050268</v>
      </c>
      <c r="K1457" t="s">
        <v>2508</v>
      </c>
      <c r="L1457">
        <v>10</v>
      </c>
      <c r="O1457" t="s">
        <v>30</v>
      </c>
      <c r="P1457" t="s">
        <v>50</v>
      </c>
      <c r="S1457" t="s">
        <v>31</v>
      </c>
      <c r="T1457" t="s">
        <v>2509</v>
      </c>
      <c r="U1457" t="s">
        <v>2510</v>
      </c>
      <c r="V1457" s="3">
        <v>41555</v>
      </c>
    </row>
    <row r="1458" spans="1:22" x14ac:dyDescent="0.35">
      <c r="A1458" s="1">
        <v>42371.865763888891</v>
      </c>
      <c r="B1458" s="2">
        <v>1.6319444444444445E-2</v>
      </c>
      <c r="C1458" t="s">
        <v>2505</v>
      </c>
      <c r="D1458" t="s">
        <v>23</v>
      </c>
      <c r="E1458" t="s">
        <v>24</v>
      </c>
      <c r="F1458" t="s">
        <v>1235</v>
      </c>
      <c r="G1458">
        <v>298457</v>
      </c>
      <c r="H1458" t="s">
        <v>68</v>
      </c>
      <c r="I1458" t="s">
        <v>1236</v>
      </c>
      <c r="J1458" t="str">
        <f>"9780080520599"</f>
        <v>9780080520599</v>
      </c>
      <c r="K1458" t="s">
        <v>2511</v>
      </c>
      <c r="L1458">
        <v>33</v>
      </c>
      <c r="O1458" t="s">
        <v>30</v>
      </c>
      <c r="P1458" t="s">
        <v>50</v>
      </c>
      <c r="S1458" t="s">
        <v>31</v>
      </c>
      <c r="T1458" t="s">
        <v>1237</v>
      </c>
      <c r="U1458">
        <v>778.59</v>
      </c>
      <c r="V1458" s="3">
        <v>41575</v>
      </c>
    </row>
    <row r="1459" spans="1:22" x14ac:dyDescent="0.35">
      <c r="A1459" s="1">
        <v>42371.815208333333</v>
      </c>
      <c r="B1459" s="2">
        <v>1.8518518518518518E-4</v>
      </c>
      <c r="C1459" t="s">
        <v>1911</v>
      </c>
      <c r="D1459" t="s">
        <v>23</v>
      </c>
      <c r="E1459" t="s">
        <v>24</v>
      </c>
      <c r="F1459" t="s">
        <v>2512</v>
      </c>
      <c r="G1459">
        <v>1732114</v>
      </c>
      <c r="H1459" t="s">
        <v>26</v>
      </c>
      <c r="I1459" t="s">
        <v>2513</v>
      </c>
      <c r="J1459" t="str">
        <f>"9781118559123"</f>
        <v>9781118559123</v>
      </c>
      <c r="K1459" t="s">
        <v>2514</v>
      </c>
      <c r="L1459">
        <v>8</v>
      </c>
      <c r="O1459" t="s">
        <v>30</v>
      </c>
      <c r="P1459" t="s">
        <v>50</v>
      </c>
      <c r="S1459" t="s">
        <v>31</v>
      </c>
      <c r="T1459" t="s">
        <v>2515</v>
      </c>
      <c r="U1459" t="s">
        <v>2516</v>
      </c>
      <c r="V1459" s="3">
        <v>41827</v>
      </c>
    </row>
    <row r="1460" spans="1:22" x14ac:dyDescent="0.35">
      <c r="A1460" s="1">
        <v>42371.724895833337</v>
      </c>
      <c r="B1460" s="2">
        <v>4.7488425925925927E-2</v>
      </c>
      <c r="C1460" t="s">
        <v>1595</v>
      </c>
      <c r="D1460" t="s">
        <v>23</v>
      </c>
      <c r="E1460" t="s">
        <v>24</v>
      </c>
      <c r="F1460" t="s">
        <v>1993</v>
      </c>
      <c r="G1460">
        <v>1358564</v>
      </c>
      <c r="H1460" t="s">
        <v>26</v>
      </c>
      <c r="I1460" t="s">
        <v>841</v>
      </c>
      <c r="J1460" t="str">
        <f>"9781118646267"</f>
        <v>9781118646267</v>
      </c>
      <c r="K1460" t="s">
        <v>2517</v>
      </c>
      <c r="L1460">
        <v>56</v>
      </c>
      <c r="O1460" t="s">
        <v>30</v>
      </c>
      <c r="P1460" t="s">
        <v>29</v>
      </c>
      <c r="Q1460" s="1">
        <v>42368.857418981483</v>
      </c>
      <c r="R1460">
        <v>7</v>
      </c>
      <c r="S1460" t="s">
        <v>31</v>
      </c>
      <c r="T1460" t="s">
        <v>1995</v>
      </c>
      <c r="U1460">
        <v>355.00760000000002</v>
      </c>
      <c r="V1460" s="3">
        <v>41487</v>
      </c>
    </row>
    <row r="1461" spans="1:22" x14ac:dyDescent="0.35">
      <c r="A1461" s="1">
        <v>42371.654479166667</v>
      </c>
      <c r="B1461" s="2">
        <v>1.8634259259259261E-3</v>
      </c>
      <c r="C1461" t="s">
        <v>2518</v>
      </c>
      <c r="D1461" t="s">
        <v>2519</v>
      </c>
      <c r="E1461" t="s">
        <v>2520</v>
      </c>
      <c r="F1461" t="s">
        <v>2521</v>
      </c>
      <c r="G1461">
        <v>1562263</v>
      </c>
      <c r="H1461" t="s">
        <v>68</v>
      </c>
      <c r="I1461" t="s">
        <v>310</v>
      </c>
      <c r="J1461" t="str">
        <f>"9781135104580"</f>
        <v>9781135104580</v>
      </c>
      <c r="K1461" t="s">
        <v>2522</v>
      </c>
      <c r="L1461">
        <v>16</v>
      </c>
      <c r="O1461" t="s">
        <v>30</v>
      </c>
      <c r="P1461" t="s">
        <v>50</v>
      </c>
      <c r="S1461" t="s">
        <v>2523</v>
      </c>
      <c r="T1461" t="s">
        <v>2524</v>
      </c>
      <c r="U1461">
        <v>810.9</v>
      </c>
      <c r="V1461" s="3">
        <v>41590</v>
      </c>
    </row>
    <row r="1462" spans="1:22" x14ac:dyDescent="0.35">
      <c r="A1462" s="1">
        <v>42371.181909722225</v>
      </c>
      <c r="B1462" s="2">
        <v>0</v>
      </c>
      <c r="C1462" t="s">
        <v>2525</v>
      </c>
      <c r="D1462" t="s">
        <v>117</v>
      </c>
      <c r="E1462" t="s">
        <v>118</v>
      </c>
      <c r="F1462" t="s">
        <v>178</v>
      </c>
      <c r="G1462">
        <v>1158634</v>
      </c>
      <c r="H1462" t="s">
        <v>26</v>
      </c>
      <c r="I1462" t="s">
        <v>179</v>
      </c>
      <c r="J1462" t="str">
        <f>"9781118681961"</f>
        <v>9781118681961</v>
      </c>
      <c r="K1462" t="s">
        <v>834</v>
      </c>
      <c r="L1462">
        <v>1</v>
      </c>
      <c r="O1462" t="s">
        <v>28</v>
      </c>
      <c r="P1462" t="s">
        <v>29</v>
      </c>
      <c r="Q1462" s="1">
        <v>42371.181909722225</v>
      </c>
      <c r="R1462">
        <v>7</v>
      </c>
      <c r="S1462" t="s">
        <v>121</v>
      </c>
      <c r="T1462" t="s">
        <v>180</v>
      </c>
      <c r="U1462">
        <v>547</v>
      </c>
      <c r="V1462" s="3">
        <v>41366</v>
      </c>
    </row>
    <row r="1463" spans="1:22" x14ac:dyDescent="0.35">
      <c r="A1463" s="1">
        <v>42371.181909722225</v>
      </c>
      <c r="B1463" s="2">
        <v>0</v>
      </c>
      <c r="C1463" t="s">
        <v>2525</v>
      </c>
      <c r="D1463" t="s">
        <v>117</v>
      </c>
      <c r="E1463" t="s">
        <v>118</v>
      </c>
      <c r="F1463" t="s">
        <v>178</v>
      </c>
      <c r="G1463">
        <v>1158634</v>
      </c>
      <c r="H1463" t="s">
        <v>26</v>
      </c>
      <c r="I1463" t="s">
        <v>179</v>
      </c>
      <c r="J1463" t="str">
        <f>"9781118681961"</f>
        <v>9781118681961</v>
      </c>
      <c r="L1463">
        <v>0</v>
      </c>
      <c r="O1463" t="s">
        <v>30</v>
      </c>
      <c r="P1463" t="s">
        <v>29</v>
      </c>
      <c r="Q1463" s="1">
        <v>42371.181909722225</v>
      </c>
      <c r="R1463">
        <v>7</v>
      </c>
      <c r="S1463" t="s">
        <v>121</v>
      </c>
      <c r="T1463" t="s">
        <v>180</v>
      </c>
      <c r="U1463">
        <v>547</v>
      </c>
      <c r="V1463" s="3">
        <v>41366</v>
      </c>
    </row>
    <row r="1464" spans="1:22" x14ac:dyDescent="0.35">
      <c r="A1464" s="1">
        <v>42371.181608796294</v>
      </c>
      <c r="B1464" s="2">
        <v>3.0092592592592595E-4</v>
      </c>
      <c r="C1464" t="s">
        <v>2525</v>
      </c>
      <c r="D1464" t="s">
        <v>117</v>
      </c>
      <c r="E1464" t="s">
        <v>118</v>
      </c>
      <c r="F1464" t="s">
        <v>178</v>
      </c>
      <c r="G1464">
        <v>1158634</v>
      </c>
      <c r="H1464" t="s">
        <v>26</v>
      </c>
      <c r="I1464" t="s">
        <v>179</v>
      </c>
      <c r="J1464" t="str">
        <f>"9781118681961"</f>
        <v>9781118681961</v>
      </c>
      <c r="K1464" t="s">
        <v>1300</v>
      </c>
      <c r="L1464">
        <v>2</v>
      </c>
      <c r="O1464" t="s">
        <v>30</v>
      </c>
      <c r="P1464" t="s">
        <v>42</v>
      </c>
      <c r="S1464" t="s">
        <v>121</v>
      </c>
      <c r="T1464" t="s">
        <v>180</v>
      </c>
      <c r="U1464">
        <v>547</v>
      </c>
      <c r="V1464" s="3">
        <v>41366</v>
      </c>
    </row>
    <row r="1465" spans="1:22" x14ac:dyDescent="0.35">
      <c r="A1465" s="1">
        <v>42371.134479166663</v>
      </c>
      <c r="B1465" s="2">
        <v>4.8611111111111104E-4</v>
      </c>
      <c r="C1465" t="s">
        <v>1160</v>
      </c>
      <c r="D1465" t="s">
        <v>23</v>
      </c>
      <c r="E1465" t="s">
        <v>24</v>
      </c>
      <c r="F1465" t="s">
        <v>2526</v>
      </c>
      <c r="G1465">
        <v>1776335</v>
      </c>
      <c r="H1465" t="s">
        <v>26</v>
      </c>
      <c r="I1465" t="s">
        <v>97</v>
      </c>
      <c r="J1465" t="str">
        <f>"9781118935019"</f>
        <v>9781118935019</v>
      </c>
      <c r="K1465" t="s">
        <v>2527</v>
      </c>
      <c r="L1465">
        <v>2</v>
      </c>
      <c r="O1465" t="s">
        <v>30</v>
      </c>
      <c r="P1465" t="s">
        <v>29</v>
      </c>
      <c r="Q1465" s="1">
        <v>42371.134479166663</v>
      </c>
      <c r="R1465">
        <v>7</v>
      </c>
      <c r="S1465" t="s">
        <v>31</v>
      </c>
      <c r="T1465" t="s">
        <v>2528</v>
      </c>
      <c r="U1465">
        <v>658</v>
      </c>
      <c r="V1465" s="3">
        <v>41879</v>
      </c>
    </row>
    <row r="1466" spans="1:22" x14ac:dyDescent="0.35">
      <c r="A1466" s="1">
        <v>42371.130995370368</v>
      </c>
      <c r="B1466" s="2">
        <v>3.483796296296296E-3</v>
      </c>
      <c r="C1466" t="s">
        <v>1160</v>
      </c>
      <c r="D1466" t="s">
        <v>23</v>
      </c>
      <c r="E1466" t="s">
        <v>24</v>
      </c>
      <c r="F1466" t="s">
        <v>2526</v>
      </c>
      <c r="G1466">
        <v>1776335</v>
      </c>
      <c r="H1466" t="s">
        <v>26</v>
      </c>
      <c r="I1466" t="s">
        <v>97</v>
      </c>
      <c r="J1466" t="str">
        <f>"9781118935019"</f>
        <v>9781118935019</v>
      </c>
      <c r="K1466" t="s">
        <v>2529</v>
      </c>
      <c r="L1466">
        <v>37</v>
      </c>
      <c r="O1466" t="s">
        <v>30</v>
      </c>
      <c r="P1466" t="s">
        <v>50</v>
      </c>
      <c r="S1466" t="s">
        <v>31</v>
      </c>
      <c r="T1466" t="s">
        <v>2528</v>
      </c>
      <c r="U1466">
        <v>658</v>
      </c>
      <c r="V1466" s="3">
        <v>41879</v>
      </c>
    </row>
    <row r="1467" spans="1:22" x14ac:dyDescent="0.35">
      <c r="A1467" s="1">
        <v>42371.009814814817</v>
      </c>
      <c r="B1467" s="2">
        <v>0</v>
      </c>
      <c r="C1467" t="s">
        <v>2530</v>
      </c>
      <c r="D1467" t="s">
        <v>23</v>
      </c>
      <c r="E1467" t="s">
        <v>24</v>
      </c>
      <c r="F1467" t="s">
        <v>2531</v>
      </c>
      <c r="G1467">
        <v>4037058</v>
      </c>
      <c r="H1467" t="s">
        <v>26</v>
      </c>
      <c r="I1467" t="s">
        <v>297</v>
      </c>
      <c r="J1467" t="str">
        <f t="shared" ref="J1467:J1473" si="19">"9781118626740"</f>
        <v>9781118626740</v>
      </c>
      <c r="L1467">
        <v>0</v>
      </c>
      <c r="O1467" t="s">
        <v>28</v>
      </c>
      <c r="P1467" t="s">
        <v>47</v>
      </c>
      <c r="Q1467" s="1">
        <v>42371.008553240739</v>
      </c>
      <c r="R1467">
        <v>1</v>
      </c>
      <c r="S1467" t="s">
        <v>31</v>
      </c>
      <c r="T1467" t="s">
        <v>2532</v>
      </c>
      <c r="U1467">
        <v>515</v>
      </c>
      <c r="V1467" s="3">
        <v>41879</v>
      </c>
    </row>
    <row r="1468" spans="1:22" x14ac:dyDescent="0.35">
      <c r="A1468" s="1">
        <v>42371.009675925925</v>
      </c>
      <c r="B1468" s="2">
        <v>4.6296296296296294E-5</v>
      </c>
      <c r="C1468" t="s">
        <v>2530</v>
      </c>
      <c r="D1468" t="s">
        <v>23</v>
      </c>
      <c r="E1468" t="s">
        <v>24</v>
      </c>
      <c r="F1468" t="s">
        <v>2531</v>
      </c>
      <c r="G1468">
        <v>4037058</v>
      </c>
      <c r="H1468" t="s">
        <v>26</v>
      </c>
      <c r="I1468" t="s">
        <v>297</v>
      </c>
      <c r="J1468" t="str">
        <f t="shared" si="19"/>
        <v>9781118626740</v>
      </c>
      <c r="K1468" t="s">
        <v>33</v>
      </c>
      <c r="L1468">
        <v>3</v>
      </c>
      <c r="O1468" t="s">
        <v>30</v>
      </c>
      <c r="P1468" t="s">
        <v>47</v>
      </c>
      <c r="Q1468" s="1">
        <v>42371.008553240739</v>
      </c>
      <c r="R1468">
        <v>1</v>
      </c>
      <c r="S1468" t="s">
        <v>31</v>
      </c>
      <c r="T1468" t="s">
        <v>2532</v>
      </c>
      <c r="U1468">
        <v>515</v>
      </c>
      <c r="V1468" s="3">
        <v>41879</v>
      </c>
    </row>
    <row r="1469" spans="1:22" x14ac:dyDescent="0.35">
      <c r="A1469" s="1">
        <v>42371.00886574074</v>
      </c>
      <c r="B1469" s="2">
        <v>0</v>
      </c>
      <c r="C1469" t="s">
        <v>2530</v>
      </c>
      <c r="D1469" t="s">
        <v>23</v>
      </c>
      <c r="E1469" t="s">
        <v>24</v>
      </c>
      <c r="F1469" t="s">
        <v>2531</v>
      </c>
      <c r="G1469">
        <v>4037058</v>
      </c>
      <c r="H1469" t="s">
        <v>26</v>
      </c>
      <c r="I1469" t="s">
        <v>297</v>
      </c>
      <c r="J1469" t="str">
        <f t="shared" si="19"/>
        <v>9781118626740</v>
      </c>
      <c r="L1469">
        <v>0</v>
      </c>
      <c r="O1469" t="s">
        <v>28</v>
      </c>
      <c r="P1469" t="s">
        <v>47</v>
      </c>
      <c r="Q1469" s="1">
        <v>42371.008553240739</v>
      </c>
      <c r="R1469">
        <v>1</v>
      </c>
      <c r="S1469" t="s">
        <v>31</v>
      </c>
      <c r="T1469" t="s">
        <v>2532</v>
      </c>
      <c r="U1469">
        <v>515</v>
      </c>
      <c r="V1469" s="3">
        <v>41879</v>
      </c>
    </row>
    <row r="1470" spans="1:22" x14ac:dyDescent="0.35">
      <c r="A1470" s="1">
        <v>42371.008796296293</v>
      </c>
      <c r="B1470" s="2">
        <v>0</v>
      </c>
      <c r="C1470" t="s">
        <v>2530</v>
      </c>
      <c r="D1470" t="s">
        <v>23</v>
      </c>
      <c r="E1470" t="s">
        <v>24</v>
      </c>
      <c r="F1470" t="s">
        <v>2531</v>
      </c>
      <c r="G1470">
        <v>4037058</v>
      </c>
      <c r="H1470" t="s">
        <v>26</v>
      </c>
      <c r="I1470" t="s">
        <v>297</v>
      </c>
      <c r="J1470" t="str">
        <f t="shared" si="19"/>
        <v>9781118626740</v>
      </c>
      <c r="L1470">
        <v>0</v>
      </c>
      <c r="O1470" t="s">
        <v>28</v>
      </c>
      <c r="P1470" t="s">
        <v>47</v>
      </c>
      <c r="Q1470" s="1">
        <v>42371.008553240739</v>
      </c>
      <c r="R1470">
        <v>1</v>
      </c>
      <c r="S1470" t="s">
        <v>31</v>
      </c>
      <c r="T1470" t="s">
        <v>2532</v>
      </c>
      <c r="U1470">
        <v>515</v>
      </c>
      <c r="V1470" s="3">
        <v>41879</v>
      </c>
    </row>
    <row r="1471" spans="1:22" x14ac:dyDescent="0.35">
      <c r="A1471" s="1">
        <v>42371.008553240739</v>
      </c>
      <c r="B1471" s="2">
        <v>0</v>
      </c>
      <c r="C1471" t="s">
        <v>2530</v>
      </c>
      <c r="D1471" t="s">
        <v>23</v>
      </c>
      <c r="E1471" t="s">
        <v>24</v>
      </c>
      <c r="F1471" t="s">
        <v>2531</v>
      </c>
      <c r="G1471">
        <v>4037058</v>
      </c>
      <c r="H1471" t="s">
        <v>26</v>
      </c>
      <c r="I1471" t="s">
        <v>297</v>
      </c>
      <c r="J1471" t="str">
        <f t="shared" si="19"/>
        <v>9781118626740</v>
      </c>
      <c r="L1471">
        <v>0</v>
      </c>
      <c r="O1471" t="s">
        <v>28</v>
      </c>
      <c r="P1471" t="s">
        <v>47</v>
      </c>
      <c r="Q1471" s="1">
        <v>42371.008553240739</v>
      </c>
      <c r="R1471">
        <v>1</v>
      </c>
      <c r="S1471" t="s">
        <v>31</v>
      </c>
      <c r="T1471" t="s">
        <v>2532</v>
      </c>
      <c r="U1471">
        <v>515</v>
      </c>
      <c r="V1471" s="3">
        <v>41879</v>
      </c>
    </row>
    <row r="1472" spans="1:22" x14ac:dyDescent="0.35">
      <c r="A1472" s="1">
        <v>42371.008553240739</v>
      </c>
      <c r="B1472" s="2">
        <v>0</v>
      </c>
      <c r="C1472" t="s">
        <v>2530</v>
      </c>
      <c r="D1472" t="s">
        <v>23</v>
      </c>
      <c r="E1472" t="s">
        <v>24</v>
      </c>
      <c r="F1472" t="s">
        <v>2531</v>
      </c>
      <c r="G1472">
        <v>4037058</v>
      </c>
      <c r="H1472" t="s">
        <v>26</v>
      </c>
      <c r="I1472" t="s">
        <v>297</v>
      </c>
      <c r="J1472" t="str">
        <f t="shared" si="19"/>
        <v>9781118626740</v>
      </c>
      <c r="L1472">
        <v>0</v>
      </c>
      <c r="O1472" t="s">
        <v>30</v>
      </c>
      <c r="P1472" t="s">
        <v>47</v>
      </c>
      <c r="Q1472" s="1">
        <v>42371.008553240739</v>
      </c>
      <c r="R1472">
        <v>1</v>
      </c>
      <c r="S1472" t="s">
        <v>31</v>
      </c>
      <c r="T1472" t="s">
        <v>2532</v>
      </c>
      <c r="U1472">
        <v>515</v>
      </c>
      <c r="V1472" s="3">
        <v>41879</v>
      </c>
    </row>
    <row r="1473" spans="1:22" x14ac:dyDescent="0.35">
      <c r="A1473" s="1">
        <v>42371.008391203701</v>
      </c>
      <c r="B1473" s="2">
        <v>1.6203703703703703E-4</v>
      </c>
      <c r="C1473" t="s">
        <v>2530</v>
      </c>
      <c r="D1473" t="s">
        <v>23</v>
      </c>
      <c r="E1473" t="s">
        <v>24</v>
      </c>
      <c r="F1473" t="s">
        <v>2531</v>
      </c>
      <c r="G1473">
        <v>4037058</v>
      </c>
      <c r="H1473" t="s">
        <v>26</v>
      </c>
      <c r="I1473" t="s">
        <v>297</v>
      </c>
      <c r="J1473" t="str">
        <f t="shared" si="19"/>
        <v>9781118626740</v>
      </c>
      <c r="K1473" t="s">
        <v>33</v>
      </c>
      <c r="L1473">
        <v>3</v>
      </c>
      <c r="O1473" t="s">
        <v>30</v>
      </c>
      <c r="P1473" t="s">
        <v>50</v>
      </c>
      <c r="S1473" t="s">
        <v>31</v>
      </c>
      <c r="T1473" t="s">
        <v>2532</v>
      </c>
      <c r="U1473">
        <v>515</v>
      </c>
      <c r="V1473" s="3">
        <v>41879</v>
      </c>
    </row>
    <row r="1474" spans="1:22" x14ac:dyDescent="0.35">
      <c r="A1474" s="1">
        <v>42370.922974537039</v>
      </c>
      <c r="B1474" s="2">
        <v>3.8194444444444446E-4</v>
      </c>
      <c r="C1474" t="s">
        <v>1389</v>
      </c>
      <c r="D1474" t="s">
        <v>35</v>
      </c>
      <c r="E1474" t="s">
        <v>36</v>
      </c>
      <c r="F1474" t="s">
        <v>1104</v>
      </c>
      <c r="G1474">
        <v>1487097</v>
      </c>
      <c r="H1474" t="s">
        <v>68</v>
      </c>
      <c r="I1474" t="s">
        <v>120</v>
      </c>
      <c r="J1474" t="str">
        <f>"9781135398842"</f>
        <v>9781135398842</v>
      </c>
      <c r="K1474" t="s">
        <v>2533</v>
      </c>
      <c r="L1474">
        <v>8</v>
      </c>
      <c r="N1474" t="s">
        <v>2534</v>
      </c>
      <c r="O1474" t="s">
        <v>30</v>
      </c>
      <c r="P1474" t="s">
        <v>47</v>
      </c>
      <c r="Q1474" s="1">
        <v>42370.042974537035</v>
      </c>
      <c r="R1474">
        <v>1</v>
      </c>
      <c r="S1474" t="s">
        <v>40</v>
      </c>
      <c r="T1474" t="s">
        <v>1106</v>
      </c>
      <c r="U1474">
        <v>306.76799999999997</v>
      </c>
      <c r="V1474" s="3">
        <v>41565</v>
      </c>
    </row>
    <row r="1475" spans="1:22" x14ac:dyDescent="0.35">
      <c r="A1475" s="1">
        <v>42370.898622685185</v>
      </c>
      <c r="B1475" s="2">
        <v>1.6655092592592593E-2</v>
      </c>
      <c r="C1475" t="s">
        <v>1595</v>
      </c>
      <c r="D1475" t="s">
        <v>23</v>
      </c>
      <c r="E1475" t="s">
        <v>24</v>
      </c>
      <c r="F1475" t="s">
        <v>1993</v>
      </c>
      <c r="G1475">
        <v>1358564</v>
      </c>
      <c r="H1475" t="s">
        <v>26</v>
      </c>
      <c r="I1475" t="s">
        <v>841</v>
      </c>
      <c r="J1475" t="str">
        <f>"9781118646267"</f>
        <v>9781118646267</v>
      </c>
      <c r="K1475" t="s">
        <v>2535</v>
      </c>
      <c r="L1475">
        <v>54</v>
      </c>
      <c r="O1475" t="s">
        <v>30</v>
      </c>
      <c r="P1475" t="s">
        <v>29</v>
      </c>
      <c r="Q1475" s="1">
        <v>42368.857418981483</v>
      </c>
      <c r="R1475">
        <v>7</v>
      </c>
      <c r="S1475" t="s">
        <v>31</v>
      </c>
      <c r="T1475" t="s">
        <v>1995</v>
      </c>
      <c r="U1475">
        <v>355.00760000000002</v>
      </c>
      <c r="V1475" s="3">
        <v>41487</v>
      </c>
    </row>
    <row r="1476" spans="1:22" x14ac:dyDescent="0.35">
      <c r="A1476" s="1">
        <v>42370.846701388888</v>
      </c>
      <c r="B1476" s="2">
        <v>8.8078703703703704E-3</v>
      </c>
      <c r="C1476" t="s">
        <v>1389</v>
      </c>
      <c r="D1476" t="s">
        <v>35</v>
      </c>
      <c r="E1476" t="s">
        <v>36</v>
      </c>
      <c r="F1476" t="s">
        <v>1104</v>
      </c>
      <c r="G1476">
        <v>1487097</v>
      </c>
      <c r="H1476" t="s">
        <v>68</v>
      </c>
      <c r="I1476" t="s">
        <v>120</v>
      </c>
      <c r="J1476" t="str">
        <f>"9781135398842"</f>
        <v>9781135398842</v>
      </c>
      <c r="K1476" t="s">
        <v>2536</v>
      </c>
      <c r="L1476">
        <v>13</v>
      </c>
      <c r="O1476" t="s">
        <v>30</v>
      </c>
      <c r="P1476" t="s">
        <v>47</v>
      </c>
      <c r="Q1476" s="1">
        <v>42370.042974537035</v>
      </c>
      <c r="R1476">
        <v>1</v>
      </c>
      <c r="S1476" t="s">
        <v>40</v>
      </c>
      <c r="T1476" t="s">
        <v>1106</v>
      </c>
      <c r="U1476">
        <v>306.76799999999997</v>
      </c>
      <c r="V1476" s="3">
        <v>41565</v>
      </c>
    </row>
    <row r="1477" spans="1:22" x14ac:dyDescent="0.35">
      <c r="A1477" s="1">
        <v>42370.798090277778</v>
      </c>
      <c r="B1477" s="2">
        <v>2.7314814814814819E-3</v>
      </c>
      <c r="C1477" t="s">
        <v>2537</v>
      </c>
      <c r="D1477" t="s">
        <v>35</v>
      </c>
      <c r="E1477" t="s">
        <v>36</v>
      </c>
      <c r="F1477" t="s">
        <v>327</v>
      </c>
      <c r="G1477">
        <v>1691426</v>
      </c>
      <c r="H1477" t="s">
        <v>26</v>
      </c>
      <c r="I1477" t="s">
        <v>328</v>
      </c>
      <c r="J1477" t="str">
        <f>"9781118839492"</f>
        <v>9781118839492</v>
      </c>
      <c r="K1477" t="s">
        <v>2538</v>
      </c>
      <c r="L1477">
        <v>10</v>
      </c>
      <c r="O1477" t="s">
        <v>30</v>
      </c>
      <c r="P1477" t="s">
        <v>29</v>
      </c>
      <c r="Q1477" s="1">
        <v>42367.883923611109</v>
      </c>
      <c r="R1477">
        <v>7</v>
      </c>
      <c r="S1477" t="s">
        <v>40</v>
      </c>
      <c r="T1477" t="s">
        <v>331</v>
      </c>
      <c r="U1477">
        <v>613.70460000000003</v>
      </c>
      <c r="V1477" s="3">
        <v>41772</v>
      </c>
    </row>
    <row r="1478" spans="1:22" x14ac:dyDescent="0.35">
      <c r="A1478" s="1">
        <v>42370.721782407411</v>
      </c>
      <c r="B1478" s="2">
        <v>2.199074074074074E-4</v>
      </c>
      <c r="C1478" t="s">
        <v>2539</v>
      </c>
      <c r="D1478" t="s">
        <v>23</v>
      </c>
      <c r="E1478" t="s">
        <v>24</v>
      </c>
      <c r="F1478" t="s">
        <v>2540</v>
      </c>
      <c r="G1478">
        <v>1977573</v>
      </c>
      <c r="H1478" t="s">
        <v>26</v>
      </c>
      <c r="I1478" t="s">
        <v>247</v>
      </c>
      <c r="J1478" t="str">
        <f>"9781118473368"</f>
        <v>9781118473368</v>
      </c>
      <c r="K1478" t="s">
        <v>2541</v>
      </c>
      <c r="L1478">
        <v>1</v>
      </c>
      <c r="M1478" t="s">
        <v>2541</v>
      </c>
      <c r="O1478" t="s">
        <v>30</v>
      </c>
      <c r="P1478" t="s">
        <v>29</v>
      </c>
      <c r="Q1478" s="1">
        <v>42370.721782407411</v>
      </c>
      <c r="R1478">
        <v>7</v>
      </c>
      <c r="S1478" t="s">
        <v>31</v>
      </c>
      <c r="T1478" t="s">
        <v>2542</v>
      </c>
      <c r="U1478" t="s">
        <v>2543</v>
      </c>
      <c r="V1478" s="3">
        <v>42121</v>
      </c>
    </row>
    <row r="1479" spans="1:22" x14ac:dyDescent="0.35">
      <c r="A1479" s="1">
        <v>42370.7184375</v>
      </c>
      <c r="B1479" s="2">
        <v>3.3333333333333335E-3</v>
      </c>
      <c r="C1479" t="s">
        <v>2539</v>
      </c>
      <c r="D1479" t="s">
        <v>23</v>
      </c>
      <c r="E1479" t="s">
        <v>24</v>
      </c>
      <c r="F1479" t="s">
        <v>2540</v>
      </c>
      <c r="G1479">
        <v>1977573</v>
      </c>
      <c r="H1479" t="s">
        <v>26</v>
      </c>
      <c r="I1479" t="s">
        <v>247</v>
      </c>
      <c r="J1479" t="str">
        <f>"9781118473368"</f>
        <v>9781118473368</v>
      </c>
      <c r="K1479" t="s">
        <v>2544</v>
      </c>
      <c r="L1479">
        <v>10</v>
      </c>
      <c r="O1479" t="s">
        <v>30</v>
      </c>
      <c r="P1479" t="s">
        <v>50</v>
      </c>
      <c r="S1479" t="s">
        <v>31</v>
      </c>
      <c r="T1479" t="s">
        <v>2542</v>
      </c>
      <c r="U1479" t="s">
        <v>2543</v>
      </c>
      <c r="V1479" s="3">
        <v>42121</v>
      </c>
    </row>
    <row r="1480" spans="1:22" x14ac:dyDescent="0.35">
      <c r="A1480" s="1">
        <v>42370.694097222222</v>
      </c>
      <c r="B1480" s="2">
        <v>3.78587962962963E-2</v>
      </c>
      <c r="C1480" t="s">
        <v>520</v>
      </c>
      <c r="D1480" t="s">
        <v>23</v>
      </c>
      <c r="E1480" t="s">
        <v>24</v>
      </c>
      <c r="F1480" t="s">
        <v>2419</v>
      </c>
      <c r="G1480">
        <v>1110728</v>
      </c>
      <c r="H1480" t="s">
        <v>26</v>
      </c>
      <c r="I1480" t="s">
        <v>108</v>
      </c>
      <c r="J1480" t="str">
        <f>"9781118461204"</f>
        <v>9781118461204</v>
      </c>
      <c r="K1480" t="s">
        <v>2545</v>
      </c>
      <c r="L1480">
        <v>10</v>
      </c>
      <c r="O1480" t="s">
        <v>30</v>
      </c>
      <c r="P1480" t="s">
        <v>29</v>
      </c>
      <c r="Q1480" s="1">
        <v>42370.694097222222</v>
      </c>
      <c r="R1480">
        <v>7</v>
      </c>
      <c r="S1480" t="s">
        <v>31</v>
      </c>
      <c r="T1480" t="s">
        <v>2421</v>
      </c>
      <c r="U1480" t="s">
        <v>2422</v>
      </c>
      <c r="V1480" s="3">
        <v>41283</v>
      </c>
    </row>
    <row r="1481" spans="1:22" x14ac:dyDescent="0.35">
      <c r="A1481" s="1">
        <v>42370.680520833332</v>
      </c>
      <c r="B1481" s="2">
        <v>1.357638888888889E-2</v>
      </c>
      <c r="C1481" t="s">
        <v>520</v>
      </c>
      <c r="D1481" t="s">
        <v>23</v>
      </c>
      <c r="E1481" t="s">
        <v>24</v>
      </c>
      <c r="F1481" t="s">
        <v>2419</v>
      </c>
      <c r="G1481">
        <v>1110728</v>
      </c>
      <c r="H1481" t="s">
        <v>26</v>
      </c>
      <c r="I1481" t="s">
        <v>108</v>
      </c>
      <c r="J1481" t="str">
        <f>"9781118461204"</f>
        <v>9781118461204</v>
      </c>
      <c r="K1481" t="s">
        <v>1606</v>
      </c>
      <c r="L1481">
        <v>34</v>
      </c>
      <c r="O1481" t="s">
        <v>30</v>
      </c>
      <c r="P1481" t="s">
        <v>42</v>
      </c>
      <c r="S1481" t="s">
        <v>31</v>
      </c>
      <c r="T1481" t="s">
        <v>2421</v>
      </c>
      <c r="U1481" t="s">
        <v>2422</v>
      </c>
      <c r="V1481" s="3">
        <v>41283</v>
      </c>
    </row>
    <row r="1482" spans="1:22" x14ac:dyDescent="0.35">
      <c r="A1482" s="1">
        <v>42370.633900462963</v>
      </c>
      <c r="B1482" s="2">
        <v>1.1122685185185185E-2</v>
      </c>
      <c r="C1482" t="s">
        <v>1595</v>
      </c>
      <c r="D1482" t="s">
        <v>23</v>
      </c>
      <c r="E1482" t="s">
        <v>24</v>
      </c>
      <c r="F1482" t="s">
        <v>1993</v>
      </c>
      <c r="G1482">
        <v>1358564</v>
      </c>
      <c r="H1482" t="s">
        <v>26</v>
      </c>
      <c r="I1482" t="s">
        <v>841</v>
      </c>
      <c r="J1482" t="str">
        <f>"9781118646267"</f>
        <v>9781118646267</v>
      </c>
      <c r="K1482" t="s">
        <v>2546</v>
      </c>
      <c r="L1482">
        <v>76</v>
      </c>
      <c r="O1482" t="s">
        <v>30</v>
      </c>
      <c r="P1482" t="s">
        <v>29</v>
      </c>
      <c r="Q1482" s="1">
        <v>42368.857418981483</v>
      </c>
      <c r="R1482">
        <v>7</v>
      </c>
      <c r="S1482" t="s">
        <v>31</v>
      </c>
      <c r="T1482" t="s">
        <v>1995</v>
      </c>
      <c r="U1482">
        <v>355.00760000000002</v>
      </c>
      <c r="V1482" s="3">
        <v>41487</v>
      </c>
    </row>
    <row r="1483" spans="1:22" x14ac:dyDescent="0.35">
      <c r="A1483" s="1">
        <v>42370.131238425929</v>
      </c>
      <c r="B1483" s="2">
        <v>4.8611111111111104E-4</v>
      </c>
      <c r="C1483" t="s">
        <v>2547</v>
      </c>
      <c r="D1483" t="s">
        <v>23</v>
      </c>
      <c r="E1483" t="s">
        <v>24</v>
      </c>
      <c r="F1483" t="s">
        <v>2548</v>
      </c>
      <c r="G1483">
        <v>1569745</v>
      </c>
      <c r="H1483" t="s">
        <v>68</v>
      </c>
      <c r="I1483" t="s">
        <v>69</v>
      </c>
      <c r="J1483" t="str">
        <f>"9781317770428"</f>
        <v>9781317770428</v>
      </c>
      <c r="K1483" t="s">
        <v>2549</v>
      </c>
      <c r="L1483">
        <v>22</v>
      </c>
      <c r="O1483" t="s">
        <v>30</v>
      </c>
      <c r="P1483" t="s">
        <v>50</v>
      </c>
      <c r="S1483" t="s">
        <v>31</v>
      </c>
      <c r="T1483" t="s">
        <v>2550</v>
      </c>
      <c r="U1483" t="s">
        <v>2551</v>
      </c>
      <c r="V1483" s="3">
        <v>41604</v>
      </c>
    </row>
    <row r="1484" spans="1:22" x14ac:dyDescent="0.35">
      <c r="A1484" s="1">
        <v>42370.060694444444</v>
      </c>
      <c r="B1484" s="2">
        <v>2.199074074074074E-4</v>
      </c>
      <c r="C1484" t="s">
        <v>1389</v>
      </c>
      <c r="D1484" t="s">
        <v>35</v>
      </c>
      <c r="E1484" t="s">
        <v>36</v>
      </c>
      <c r="F1484" t="s">
        <v>1104</v>
      </c>
      <c r="G1484">
        <v>1487097</v>
      </c>
      <c r="H1484" t="s">
        <v>68</v>
      </c>
      <c r="I1484" t="s">
        <v>120</v>
      </c>
      <c r="J1484" t="str">
        <f>"9781135398842"</f>
        <v>9781135398842</v>
      </c>
      <c r="K1484" t="s">
        <v>33</v>
      </c>
      <c r="L1484">
        <v>3</v>
      </c>
      <c r="N1484" t="s">
        <v>2552</v>
      </c>
      <c r="O1484" t="s">
        <v>30</v>
      </c>
      <c r="P1484" t="s">
        <v>47</v>
      </c>
      <c r="Q1484" s="1">
        <v>42370.042974537035</v>
      </c>
      <c r="R1484">
        <v>1</v>
      </c>
      <c r="S1484" t="s">
        <v>40</v>
      </c>
      <c r="T1484" t="s">
        <v>1106</v>
      </c>
      <c r="U1484">
        <v>306.76799999999997</v>
      </c>
      <c r="V1484" s="3">
        <v>41565</v>
      </c>
    </row>
    <row r="1485" spans="1:22" x14ac:dyDescent="0.35">
      <c r="A1485" s="1">
        <v>42370.042974537035</v>
      </c>
      <c r="B1485" s="2">
        <v>0</v>
      </c>
      <c r="C1485" t="s">
        <v>1389</v>
      </c>
      <c r="D1485" t="s">
        <v>35</v>
      </c>
      <c r="E1485" t="s">
        <v>36</v>
      </c>
      <c r="F1485" t="s">
        <v>1104</v>
      </c>
      <c r="G1485">
        <v>1487097</v>
      </c>
      <c r="H1485" t="s">
        <v>68</v>
      </c>
      <c r="I1485" t="s">
        <v>120</v>
      </c>
      <c r="J1485" t="str">
        <f>"9781135398842"</f>
        <v>9781135398842</v>
      </c>
      <c r="L1485">
        <v>0</v>
      </c>
      <c r="N1485" t="s">
        <v>2552</v>
      </c>
      <c r="O1485" t="s">
        <v>30</v>
      </c>
      <c r="P1485" t="s">
        <v>47</v>
      </c>
      <c r="Q1485" s="1">
        <v>42370.042974537035</v>
      </c>
      <c r="R1485">
        <v>1</v>
      </c>
      <c r="S1485" t="s">
        <v>40</v>
      </c>
      <c r="T1485" t="s">
        <v>1106</v>
      </c>
      <c r="U1485">
        <v>306.76799999999997</v>
      </c>
      <c r="V1485" s="3">
        <v>41565</v>
      </c>
    </row>
    <row r="1486" spans="1:22" x14ac:dyDescent="0.35">
      <c r="A1486" s="1">
        <v>42370.04247685185</v>
      </c>
      <c r="B1486" s="2">
        <v>4.9768518518518521E-4</v>
      </c>
      <c r="C1486" t="s">
        <v>1389</v>
      </c>
      <c r="D1486" t="s">
        <v>35</v>
      </c>
      <c r="E1486" t="s">
        <v>36</v>
      </c>
      <c r="F1486" t="s">
        <v>1104</v>
      </c>
      <c r="G1486">
        <v>1487097</v>
      </c>
      <c r="H1486" t="s">
        <v>68</v>
      </c>
      <c r="I1486" t="s">
        <v>120</v>
      </c>
      <c r="J1486" t="str">
        <f>"9781135398842"</f>
        <v>9781135398842</v>
      </c>
      <c r="K1486" t="s">
        <v>2533</v>
      </c>
      <c r="L1486">
        <v>8</v>
      </c>
      <c r="O1486" t="s">
        <v>30</v>
      </c>
      <c r="P1486" t="s">
        <v>50</v>
      </c>
      <c r="S1486" t="s">
        <v>40</v>
      </c>
      <c r="T1486" t="s">
        <v>1106</v>
      </c>
      <c r="U1486">
        <v>306.76799999999997</v>
      </c>
      <c r="V1486" s="3">
        <v>41565</v>
      </c>
    </row>
    <row r="1487" spans="1:22" x14ac:dyDescent="0.35">
      <c r="A1487" s="1">
        <v>42369.950787037036</v>
      </c>
      <c r="B1487" s="2">
        <v>3.8819444444444441E-2</v>
      </c>
      <c r="C1487" t="s">
        <v>1566</v>
      </c>
      <c r="D1487" t="s">
        <v>35</v>
      </c>
      <c r="E1487" t="s">
        <v>36</v>
      </c>
      <c r="F1487" t="s">
        <v>327</v>
      </c>
      <c r="G1487">
        <v>1691426</v>
      </c>
      <c r="H1487" t="s">
        <v>26</v>
      </c>
      <c r="I1487" t="s">
        <v>328</v>
      </c>
      <c r="J1487" t="str">
        <f>"9781118839492"</f>
        <v>9781118839492</v>
      </c>
      <c r="K1487" t="s">
        <v>2553</v>
      </c>
      <c r="L1487">
        <v>83</v>
      </c>
      <c r="O1487" t="s">
        <v>30</v>
      </c>
      <c r="P1487" t="s">
        <v>29</v>
      </c>
      <c r="Q1487" s="1">
        <v>42369.950787037036</v>
      </c>
      <c r="R1487">
        <v>7</v>
      </c>
      <c r="S1487" t="s">
        <v>40</v>
      </c>
      <c r="T1487" t="s">
        <v>331</v>
      </c>
      <c r="U1487">
        <v>613.70460000000003</v>
      </c>
      <c r="V1487" s="3">
        <v>41772</v>
      </c>
    </row>
    <row r="1488" spans="1:22" x14ac:dyDescent="0.35">
      <c r="A1488" s="1">
        <v>42369.943831018521</v>
      </c>
      <c r="B1488" s="2">
        <v>6.9560185185185185E-3</v>
      </c>
      <c r="C1488" t="s">
        <v>1566</v>
      </c>
      <c r="D1488" t="s">
        <v>35</v>
      </c>
      <c r="E1488" t="s">
        <v>36</v>
      </c>
      <c r="F1488" t="s">
        <v>327</v>
      </c>
      <c r="G1488">
        <v>1691426</v>
      </c>
      <c r="H1488" t="s">
        <v>26</v>
      </c>
      <c r="I1488" t="s">
        <v>328</v>
      </c>
      <c r="J1488" t="str">
        <f>"9781118839492"</f>
        <v>9781118839492</v>
      </c>
      <c r="K1488" t="s">
        <v>2554</v>
      </c>
      <c r="L1488">
        <v>32</v>
      </c>
      <c r="O1488" t="s">
        <v>30</v>
      </c>
      <c r="P1488" t="s">
        <v>42</v>
      </c>
      <c r="S1488" t="s">
        <v>40</v>
      </c>
      <c r="T1488" t="s">
        <v>331</v>
      </c>
      <c r="U1488">
        <v>613.70460000000003</v>
      </c>
      <c r="V1488" s="3">
        <v>41772</v>
      </c>
    </row>
    <row r="1489" spans="1:22" x14ac:dyDescent="0.35">
      <c r="A1489" s="1">
        <v>42369.797488425924</v>
      </c>
      <c r="B1489" s="2">
        <v>3.4722222222222222E-5</v>
      </c>
      <c r="C1489" t="s">
        <v>2555</v>
      </c>
      <c r="D1489" t="s">
        <v>23</v>
      </c>
      <c r="E1489" t="s">
        <v>24</v>
      </c>
      <c r="F1489" t="s">
        <v>2220</v>
      </c>
      <c r="G1489">
        <v>1919320</v>
      </c>
      <c r="H1489" t="s">
        <v>26</v>
      </c>
      <c r="I1489" t="s">
        <v>2221</v>
      </c>
      <c r="J1489" t="str">
        <f>"9781118468265"</f>
        <v>9781118468265</v>
      </c>
      <c r="K1489" t="s">
        <v>33</v>
      </c>
      <c r="L1489">
        <v>3</v>
      </c>
      <c r="O1489" t="s">
        <v>30</v>
      </c>
      <c r="P1489" t="s">
        <v>50</v>
      </c>
      <c r="S1489" t="s">
        <v>31</v>
      </c>
      <c r="T1489" t="s">
        <v>2223</v>
      </c>
      <c r="U1489" t="s">
        <v>2224</v>
      </c>
      <c r="V1489" s="3">
        <v>42012</v>
      </c>
    </row>
    <row r="1490" spans="1:22" x14ac:dyDescent="0.35">
      <c r="A1490" s="1">
        <v>42369.781585648147</v>
      </c>
      <c r="B1490" s="2">
        <v>9.8379629629629642E-4</v>
      </c>
      <c r="C1490" t="s">
        <v>2556</v>
      </c>
      <c r="D1490" t="s">
        <v>23</v>
      </c>
      <c r="E1490" t="s">
        <v>24</v>
      </c>
      <c r="F1490" t="s">
        <v>2557</v>
      </c>
      <c r="G1490">
        <v>1517671</v>
      </c>
      <c r="H1490" t="s">
        <v>68</v>
      </c>
      <c r="I1490" t="s">
        <v>310</v>
      </c>
      <c r="J1490" t="str">
        <f>"9781136601156"</f>
        <v>9781136601156</v>
      </c>
      <c r="K1490" t="s">
        <v>2558</v>
      </c>
      <c r="L1490">
        <v>12</v>
      </c>
      <c r="O1490" t="s">
        <v>30</v>
      </c>
      <c r="P1490" t="s">
        <v>50</v>
      </c>
      <c r="S1490" t="s">
        <v>31</v>
      </c>
      <c r="T1490" t="s">
        <v>2559</v>
      </c>
      <c r="U1490">
        <v>822.33</v>
      </c>
      <c r="V1490" s="3">
        <v>41575</v>
      </c>
    </row>
    <row r="1491" spans="1:22" x14ac:dyDescent="0.35">
      <c r="A1491" s="1">
        <v>42369.767650462964</v>
      </c>
      <c r="B1491" s="2">
        <v>7.3726851851851861E-3</v>
      </c>
      <c r="C1491" t="s">
        <v>2560</v>
      </c>
      <c r="D1491" t="s">
        <v>23</v>
      </c>
      <c r="E1491" t="s">
        <v>24</v>
      </c>
      <c r="F1491" t="s">
        <v>2561</v>
      </c>
      <c r="G1491">
        <v>1870655</v>
      </c>
      <c r="H1491" t="s">
        <v>526</v>
      </c>
      <c r="I1491" t="s">
        <v>69</v>
      </c>
      <c r="J1491" t="str">
        <f>"9780226201979"</f>
        <v>9780226201979</v>
      </c>
      <c r="K1491" t="s">
        <v>2562</v>
      </c>
      <c r="L1491">
        <v>6</v>
      </c>
      <c r="M1491" t="s">
        <v>2563</v>
      </c>
      <c r="O1491" t="s">
        <v>30</v>
      </c>
      <c r="P1491" t="s">
        <v>47</v>
      </c>
      <c r="Q1491" s="1">
        <v>42369.767650462964</v>
      </c>
      <c r="R1491">
        <v>1</v>
      </c>
      <c r="S1491" t="s">
        <v>31</v>
      </c>
      <c r="T1491" t="s">
        <v>2564</v>
      </c>
      <c r="U1491" t="s">
        <v>2565</v>
      </c>
      <c r="V1491" s="3">
        <v>42004</v>
      </c>
    </row>
    <row r="1492" spans="1:22" x14ac:dyDescent="0.35">
      <c r="A1492" s="1">
        <v>42369.765289351853</v>
      </c>
      <c r="B1492" s="2">
        <v>2.3611111111111111E-3</v>
      </c>
      <c r="C1492" t="s">
        <v>2560</v>
      </c>
      <c r="D1492" t="s">
        <v>23</v>
      </c>
      <c r="E1492" t="s">
        <v>24</v>
      </c>
      <c r="F1492" t="s">
        <v>2561</v>
      </c>
      <c r="G1492">
        <v>1870655</v>
      </c>
      <c r="H1492" t="s">
        <v>526</v>
      </c>
      <c r="I1492" t="s">
        <v>69</v>
      </c>
      <c r="J1492" t="str">
        <f>"9780226201979"</f>
        <v>9780226201979</v>
      </c>
      <c r="K1492" t="s">
        <v>2566</v>
      </c>
      <c r="L1492">
        <v>21</v>
      </c>
      <c r="O1492" t="s">
        <v>30</v>
      </c>
      <c r="P1492" t="s">
        <v>50</v>
      </c>
      <c r="S1492" t="s">
        <v>31</v>
      </c>
      <c r="T1492" t="s">
        <v>2564</v>
      </c>
      <c r="U1492" t="s">
        <v>2565</v>
      </c>
      <c r="V1492" s="3">
        <v>42004</v>
      </c>
    </row>
    <row r="1493" spans="1:22" x14ac:dyDescent="0.35">
      <c r="A1493" s="1">
        <v>42369.70653935185</v>
      </c>
      <c r="B1493" s="2">
        <v>1.5740740740740741E-3</v>
      </c>
      <c r="C1493" t="s">
        <v>2567</v>
      </c>
      <c r="D1493" t="s">
        <v>1222</v>
      </c>
      <c r="E1493" t="s">
        <v>1223</v>
      </c>
      <c r="F1493" t="s">
        <v>1072</v>
      </c>
      <c r="G1493">
        <v>1662668</v>
      </c>
      <c r="H1493" t="s">
        <v>26</v>
      </c>
      <c r="I1493" t="s">
        <v>276</v>
      </c>
      <c r="J1493" t="str">
        <f>"9781118810095"</f>
        <v>9781118810095</v>
      </c>
      <c r="K1493" t="s">
        <v>2568</v>
      </c>
      <c r="L1493">
        <v>49</v>
      </c>
      <c r="O1493" t="s">
        <v>30</v>
      </c>
      <c r="P1493" t="s">
        <v>42</v>
      </c>
      <c r="S1493" t="s">
        <v>1226</v>
      </c>
      <c r="T1493" t="s">
        <v>1074</v>
      </c>
      <c r="U1493" t="s">
        <v>1075</v>
      </c>
      <c r="V1493" s="3">
        <v>41722</v>
      </c>
    </row>
    <row r="1494" spans="1:22" x14ac:dyDescent="0.35">
      <c r="A1494" s="1">
        <v>42369.657164351855</v>
      </c>
      <c r="B1494" s="2">
        <v>2.9386574074074075E-2</v>
      </c>
      <c r="C1494" t="s">
        <v>1595</v>
      </c>
      <c r="D1494" t="s">
        <v>23</v>
      </c>
      <c r="E1494" t="s">
        <v>24</v>
      </c>
      <c r="F1494" t="s">
        <v>1993</v>
      </c>
      <c r="G1494">
        <v>1358564</v>
      </c>
      <c r="H1494" t="s">
        <v>26</v>
      </c>
      <c r="I1494" t="s">
        <v>841</v>
      </c>
      <c r="J1494" t="str">
        <f>"9781118646267"</f>
        <v>9781118646267</v>
      </c>
      <c r="K1494" t="s">
        <v>2569</v>
      </c>
      <c r="L1494">
        <v>50</v>
      </c>
      <c r="O1494" t="s">
        <v>30</v>
      </c>
      <c r="P1494" t="s">
        <v>29</v>
      </c>
      <c r="Q1494" s="1">
        <v>42368.857418981483</v>
      </c>
      <c r="R1494">
        <v>7</v>
      </c>
      <c r="S1494" t="s">
        <v>31</v>
      </c>
      <c r="T1494" t="s">
        <v>1995</v>
      </c>
      <c r="U1494">
        <v>355.00760000000002</v>
      </c>
      <c r="V1494" s="3">
        <v>41487</v>
      </c>
    </row>
    <row r="1495" spans="1:22" x14ac:dyDescent="0.35">
      <c r="A1495" s="1">
        <v>42369.655127314814</v>
      </c>
      <c r="B1495" s="2">
        <v>3.0092592592592595E-4</v>
      </c>
      <c r="C1495" t="s">
        <v>2468</v>
      </c>
      <c r="D1495" t="s">
        <v>35</v>
      </c>
      <c r="E1495" t="s">
        <v>36</v>
      </c>
      <c r="F1495" t="s">
        <v>327</v>
      </c>
      <c r="G1495">
        <v>1691426</v>
      </c>
      <c r="H1495" t="s">
        <v>26</v>
      </c>
      <c r="I1495" t="s">
        <v>328</v>
      </c>
      <c r="J1495" t="str">
        <f>"9781118839492"</f>
        <v>9781118839492</v>
      </c>
      <c r="K1495" t="s">
        <v>98</v>
      </c>
      <c r="L1495">
        <v>7</v>
      </c>
      <c r="O1495" t="s">
        <v>30</v>
      </c>
      <c r="P1495" t="s">
        <v>29</v>
      </c>
      <c r="Q1495" s="1">
        <v>42366.691099537034</v>
      </c>
      <c r="R1495">
        <v>7</v>
      </c>
      <c r="S1495" t="s">
        <v>40</v>
      </c>
      <c r="T1495" t="s">
        <v>331</v>
      </c>
      <c r="U1495">
        <v>613.70460000000003</v>
      </c>
      <c r="V1495" s="3">
        <v>41772</v>
      </c>
    </row>
    <row r="1496" spans="1:22" x14ac:dyDescent="0.35">
      <c r="A1496" s="1">
        <v>42369.65315972222</v>
      </c>
      <c r="B1496" s="2">
        <v>3.0324074074074073E-3</v>
      </c>
      <c r="C1496" t="s">
        <v>2199</v>
      </c>
      <c r="D1496" t="s">
        <v>23</v>
      </c>
      <c r="E1496" t="s">
        <v>24</v>
      </c>
      <c r="F1496" t="s">
        <v>2200</v>
      </c>
      <c r="G1496">
        <v>1119449</v>
      </c>
      <c r="H1496" t="s">
        <v>26</v>
      </c>
      <c r="I1496" t="s">
        <v>219</v>
      </c>
      <c r="J1496" t="str">
        <f>"9781118482230"</f>
        <v>9781118482230</v>
      </c>
      <c r="K1496" t="s">
        <v>2570</v>
      </c>
      <c r="L1496">
        <v>13</v>
      </c>
      <c r="O1496" t="s">
        <v>30</v>
      </c>
      <c r="P1496" t="s">
        <v>29</v>
      </c>
      <c r="Q1496" s="1">
        <v>42369.126469907409</v>
      </c>
      <c r="R1496">
        <v>7</v>
      </c>
      <c r="S1496" t="s">
        <v>31</v>
      </c>
      <c r="T1496" t="s">
        <v>2203</v>
      </c>
      <c r="U1496" t="s">
        <v>2204</v>
      </c>
      <c r="V1496" s="3">
        <v>41302</v>
      </c>
    </row>
    <row r="1497" spans="1:22" x14ac:dyDescent="0.35">
      <c r="A1497" s="1">
        <v>42369.652418981481</v>
      </c>
      <c r="B1497" s="2">
        <v>1.9675925925925926E-4</v>
      </c>
      <c r="C1497" t="s">
        <v>2199</v>
      </c>
      <c r="D1497" t="s">
        <v>23</v>
      </c>
      <c r="E1497" t="s">
        <v>24</v>
      </c>
      <c r="F1497" t="s">
        <v>2571</v>
      </c>
      <c r="G1497">
        <v>1119450</v>
      </c>
      <c r="H1497" t="s">
        <v>26</v>
      </c>
      <c r="I1497" t="s">
        <v>219</v>
      </c>
      <c r="J1497" t="str">
        <f>"9781118483794"</f>
        <v>9781118483794</v>
      </c>
      <c r="K1497" t="s">
        <v>176</v>
      </c>
      <c r="L1497">
        <v>8</v>
      </c>
      <c r="O1497" t="s">
        <v>30</v>
      </c>
      <c r="P1497" t="s">
        <v>50</v>
      </c>
      <c r="S1497" t="s">
        <v>31</v>
      </c>
      <c r="T1497" t="s">
        <v>2203</v>
      </c>
      <c r="U1497" t="s">
        <v>2204</v>
      </c>
      <c r="V1497" s="3">
        <v>41302</v>
      </c>
    </row>
    <row r="1498" spans="1:22" x14ac:dyDescent="0.35">
      <c r="A1498" s="1">
        <v>42369.651608796295</v>
      </c>
      <c r="B1498" s="2">
        <v>5.0925925925925921E-4</v>
      </c>
      <c r="C1498" t="s">
        <v>2199</v>
      </c>
      <c r="D1498" t="s">
        <v>23</v>
      </c>
      <c r="E1498" t="s">
        <v>24</v>
      </c>
      <c r="F1498" t="s">
        <v>2572</v>
      </c>
      <c r="G1498">
        <v>1119451</v>
      </c>
      <c r="H1498" t="s">
        <v>26</v>
      </c>
      <c r="I1498" t="s">
        <v>219</v>
      </c>
      <c r="J1498" t="str">
        <f>"9781118483893"</f>
        <v>9781118483893</v>
      </c>
      <c r="K1498" t="s">
        <v>2573</v>
      </c>
      <c r="L1498">
        <v>15</v>
      </c>
      <c r="O1498" t="s">
        <v>30</v>
      </c>
      <c r="P1498" t="s">
        <v>50</v>
      </c>
      <c r="S1498" t="s">
        <v>31</v>
      </c>
      <c r="T1498" t="s">
        <v>2203</v>
      </c>
      <c r="U1498" t="s">
        <v>2204</v>
      </c>
      <c r="V1498" s="3">
        <v>41302</v>
      </c>
    </row>
    <row r="1499" spans="1:22" x14ac:dyDescent="0.35">
      <c r="A1499" s="1">
        <v>42369.649826388886</v>
      </c>
      <c r="B1499" s="2">
        <v>2.2893518518518521E-2</v>
      </c>
      <c r="C1499" t="s">
        <v>988</v>
      </c>
      <c r="D1499" t="s">
        <v>23</v>
      </c>
      <c r="E1499" t="s">
        <v>24</v>
      </c>
      <c r="F1499" t="s">
        <v>989</v>
      </c>
      <c r="G1499">
        <v>330580</v>
      </c>
      <c r="H1499" t="s">
        <v>91</v>
      </c>
      <c r="I1499" t="s">
        <v>247</v>
      </c>
      <c r="J1499" t="str">
        <f>"9781593859398"</f>
        <v>9781593859398</v>
      </c>
      <c r="K1499" t="s">
        <v>2574</v>
      </c>
      <c r="L1499">
        <v>10</v>
      </c>
      <c r="O1499" t="s">
        <v>30</v>
      </c>
      <c r="P1499" t="s">
        <v>47</v>
      </c>
      <c r="Q1499" s="1">
        <v>42369.649826388886</v>
      </c>
      <c r="R1499">
        <v>1</v>
      </c>
      <c r="S1499" t="s">
        <v>31</v>
      </c>
      <c r="T1499" t="s">
        <v>991</v>
      </c>
      <c r="U1499">
        <v>616.89142000000004</v>
      </c>
      <c r="V1499" s="3">
        <v>41773</v>
      </c>
    </row>
    <row r="1500" spans="1:22" x14ac:dyDescent="0.35">
      <c r="A1500" s="1">
        <v>42369.63722222222</v>
      </c>
      <c r="B1500" s="2">
        <v>1.2604166666666666E-2</v>
      </c>
      <c r="C1500" t="s">
        <v>988</v>
      </c>
      <c r="D1500" t="s">
        <v>23</v>
      </c>
      <c r="E1500" t="s">
        <v>24</v>
      </c>
      <c r="F1500" t="s">
        <v>989</v>
      </c>
      <c r="G1500">
        <v>330580</v>
      </c>
      <c r="H1500" t="s">
        <v>91</v>
      </c>
      <c r="I1500" t="s">
        <v>247</v>
      </c>
      <c r="J1500" t="str">
        <f>"9781593859398"</f>
        <v>9781593859398</v>
      </c>
      <c r="K1500" t="s">
        <v>2575</v>
      </c>
      <c r="L1500">
        <v>29</v>
      </c>
      <c r="O1500" t="s">
        <v>30</v>
      </c>
      <c r="P1500" t="s">
        <v>50</v>
      </c>
      <c r="S1500" t="s">
        <v>31</v>
      </c>
      <c r="T1500" t="s">
        <v>991</v>
      </c>
      <c r="U1500">
        <v>616.89142000000004</v>
      </c>
      <c r="V1500" s="3">
        <v>41773</v>
      </c>
    </row>
    <row r="1501" spans="1:22" x14ac:dyDescent="0.35">
      <c r="A1501" s="1">
        <v>42369.582349537035</v>
      </c>
      <c r="B1501" s="2">
        <v>1.2534722222222223E-2</v>
      </c>
      <c r="C1501" t="s">
        <v>2576</v>
      </c>
      <c r="D1501" t="s">
        <v>23</v>
      </c>
      <c r="E1501" t="s">
        <v>24</v>
      </c>
      <c r="F1501" t="s">
        <v>2577</v>
      </c>
      <c r="G1501">
        <v>1137758</v>
      </c>
      <c r="H1501" t="s">
        <v>26</v>
      </c>
      <c r="I1501" t="s">
        <v>445</v>
      </c>
      <c r="J1501" t="str">
        <f>"9781118399279"</f>
        <v>9781118399279</v>
      </c>
      <c r="K1501" t="s">
        <v>2578</v>
      </c>
      <c r="L1501">
        <v>8</v>
      </c>
      <c r="O1501" t="s">
        <v>30</v>
      </c>
      <c r="P1501" t="s">
        <v>29</v>
      </c>
      <c r="Q1501" s="1">
        <v>42367.696689814817</v>
      </c>
      <c r="R1501">
        <v>7</v>
      </c>
      <c r="S1501" t="s">
        <v>31</v>
      </c>
      <c r="T1501" t="s">
        <v>2579</v>
      </c>
      <c r="U1501" t="s">
        <v>2580</v>
      </c>
      <c r="V1501" s="3">
        <v>41331</v>
      </c>
    </row>
    <row r="1502" spans="1:22" x14ac:dyDescent="0.35">
      <c r="A1502" s="1">
        <v>42369.547129629631</v>
      </c>
      <c r="B1502" s="2">
        <v>6.2500000000000001E-4</v>
      </c>
      <c r="C1502" t="s">
        <v>2581</v>
      </c>
      <c r="D1502" t="s">
        <v>35</v>
      </c>
      <c r="E1502" t="s">
        <v>36</v>
      </c>
      <c r="F1502" t="s">
        <v>1104</v>
      </c>
      <c r="G1502">
        <v>1487097</v>
      </c>
      <c r="H1502" t="s">
        <v>68</v>
      </c>
      <c r="I1502" t="s">
        <v>120</v>
      </c>
      <c r="J1502" t="str">
        <f>"9781135398842"</f>
        <v>9781135398842</v>
      </c>
      <c r="K1502" t="s">
        <v>2582</v>
      </c>
      <c r="L1502">
        <v>8</v>
      </c>
      <c r="O1502" t="s">
        <v>30</v>
      </c>
      <c r="P1502" t="s">
        <v>50</v>
      </c>
      <c r="S1502" t="s">
        <v>40</v>
      </c>
      <c r="T1502" t="s">
        <v>1106</v>
      </c>
      <c r="U1502">
        <v>306.76799999999997</v>
      </c>
      <c r="V1502" s="3">
        <v>41565</v>
      </c>
    </row>
    <row r="1503" spans="1:22" x14ac:dyDescent="0.35">
      <c r="A1503" s="1">
        <v>42369.169108796297</v>
      </c>
      <c r="B1503" s="2">
        <v>0</v>
      </c>
      <c r="C1503" t="s">
        <v>2547</v>
      </c>
      <c r="D1503" t="s">
        <v>23</v>
      </c>
      <c r="E1503" t="s">
        <v>24</v>
      </c>
      <c r="F1503" t="s">
        <v>2583</v>
      </c>
      <c r="G1503">
        <v>1895941</v>
      </c>
      <c r="H1503" t="s">
        <v>26</v>
      </c>
      <c r="I1503" t="s">
        <v>445</v>
      </c>
      <c r="J1503" t="str">
        <f>"9781119025788"</f>
        <v>9781119025788</v>
      </c>
      <c r="L1503">
        <v>0</v>
      </c>
      <c r="O1503" t="s">
        <v>28</v>
      </c>
      <c r="P1503" t="s">
        <v>29</v>
      </c>
      <c r="Q1503" s="1">
        <v>42369.165752314817</v>
      </c>
      <c r="R1503">
        <v>7</v>
      </c>
      <c r="S1503" t="s">
        <v>31</v>
      </c>
      <c r="T1503" t="s">
        <v>2584</v>
      </c>
      <c r="U1503">
        <v>332.6</v>
      </c>
      <c r="V1503" s="3">
        <v>42039</v>
      </c>
    </row>
    <row r="1504" spans="1:22" x14ac:dyDescent="0.35">
      <c r="A1504" s="1">
        <v>42369.165752314817</v>
      </c>
      <c r="B1504" s="2">
        <v>2.9398148148148148E-3</v>
      </c>
      <c r="C1504" t="s">
        <v>2547</v>
      </c>
      <c r="D1504" t="s">
        <v>23</v>
      </c>
      <c r="E1504" t="s">
        <v>24</v>
      </c>
      <c r="F1504" t="s">
        <v>2583</v>
      </c>
      <c r="G1504">
        <v>1895941</v>
      </c>
      <c r="H1504" t="s">
        <v>26</v>
      </c>
      <c r="I1504" t="s">
        <v>445</v>
      </c>
      <c r="J1504" t="str">
        <f>"9781119025788"</f>
        <v>9781119025788</v>
      </c>
      <c r="K1504" t="s">
        <v>2585</v>
      </c>
      <c r="L1504">
        <v>7</v>
      </c>
      <c r="O1504" t="s">
        <v>28</v>
      </c>
      <c r="P1504" t="s">
        <v>29</v>
      </c>
      <c r="Q1504" s="1">
        <v>42369.165752314817</v>
      </c>
      <c r="R1504">
        <v>7</v>
      </c>
      <c r="S1504" t="s">
        <v>31</v>
      </c>
      <c r="T1504" t="s">
        <v>2584</v>
      </c>
      <c r="U1504">
        <v>332.6</v>
      </c>
      <c r="V1504" s="3">
        <v>42039</v>
      </c>
    </row>
    <row r="1505" spans="1:22" x14ac:dyDescent="0.35">
      <c r="A1505" s="1">
        <v>42369.165752314817</v>
      </c>
      <c r="B1505" s="2">
        <v>0</v>
      </c>
      <c r="C1505" t="s">
        <v>2547</v>
      </c>
      <c r="D1505" t="s">
        <v>23</v>
      </c>
      <c r="E1505" t="s">
        <v>24</v>
      </c>
      <c r="F1505" t="s">
        <v>2583</v>
      </c>
      <c r="G1505">
        <v>1895941</v>
      </c>
      <c r="H1505" t="s">
        <v>26</v>
      </c>
      <c r="I1505" t="s">
        <v>445</v>
      </c>
      <c r="J1505" t="str">
        <f>"9781119025788"</f>
        <v>9781119025788</v>
      </c>
      <c r="L1505">
        <v>0</v>
      </c>
      <c r="O1505" t="s">
        <v>30</v>
      </c>
      <c r="P1505" t="s">
        <v>29</v>
      </c>
      <c r="Q1505" s="1">
        <v>42369.165752314817</v>
      </c>
      <c r="R1505">
        <v>7</v>
      </c>
      <c r="S1505" t="s">
        <v>31</v>
      </c>
      <c r="T1505" t="s">
        <v>2584</v>
      </c>
      <c r="U1505">
        <v>332.6</v>
      </c>
      <c r="V1505" s="3">
        <v>42039</v>
      </c>
    </row>
    <row r="1506" spans="1:22" x14ac:dyDescent="0.35">
      <c r="A1506" s="1">
        <v>42369.165127314816</v>
      </c>
      <c r="B1506" s="2">
        <v>6.2500000000000001E-4</v>
      </c>
      <c r="C1506" t="s">
        <v>2547</v>
      </c>
      <c r="D1506" t="s">
        <v>23</v>
      </c>
      <c r="E1506" t="s">
        <v>24</v>
      </c>
      <c r="F1506" t="s">
        <v>2583</v>
      </c>
      <c r="G1506">
        <v>1895941</v>
      </c>
      <c r="H1506" t="s">
        <v>26</v>
      </c>
      <c r="I1506" t="s">
        <v>445</v>
      </c>
      <c r="J1506" t="str">
        <f>"9781119025788"</f>
        <v>9781119025788</v>
      </c>
      <c r="K1506" t="s">
        <v>2586</v>
      </c>
      <c r="L1506">
        <v>12</v>
      </c>
      <c r="O1506" t="s">
        <v>30</v>
      </c>
      <c r="P1506" t="s">
        <v>50</v>
      </c>
      <c r="S1506" t="s">
        <v>31</v>
      </c>
      <c r="T1506" t="s">
        <v>2584</v>
      </c>
      <c r="U1506">
        <v>332.6</v>
      </c>
      <c r="V1506" s="3">
        <v>42039</v>
      </c>
    </row>
    <row r="1507" spans="1:22" x14ac:dyDescent="0.35">
      <c r="A1507" s="1">
        <v>42369.129907407405</v>
      </c>
      <c r="B1507" s="2">
        <v>0.01</v>
      </c>
      <c r="C1507" t="s">
        <v>2587</v>
      </c>
      <c r="D1507" t="s">
        <v>23</v>
      </c>
      <c r="E1507" t="s">
        <v>24</v>
      </c>
      <c r="F1507" t="s">
        <v>2588</v>
      </c>
      <c r="G1507">
        <v>1979982</v>
      </c>
      <c r="H1507" t="s">
        <v>26</v>
      </c>
      <c r="I1507" t="s">
        <v>630</v>
      </c>
      <c r="J1507" t="str">
        <f>"9781118939383"</f>
        <v>9781118939383</v>
      </c>
      <c r="K1507" t="s">
        <v>2589</v>
      </c>
      <c r="L1507">
        <v>21</v>
      </c>
      <c r="O1507" t="s">
        <v>30</v>
      </c>
      <c r="P1507" t="s">
        <v>29</v>
      </c>
      <c r="Q1507" s="1">
        <v>42369.129907407405</v>
      </c>
      <c r="R1507">
        <v>7</v>
      </c>
      <c r="S1507" t="s">
        <v>31</v>
      </c>
      <c r="T1507" t="s">
        <v>2590</v>
      </c>
      <c r="U1507">
        <v>171.30922000000001</v>
      </c>
      <c r="V1507" s="3">
        <v>42061</v>
      </c>
    </row>
    <row r="1508" spans="1:22" x14ac:dyDescent="0.35">
      <c r="A1508" s="1">
        <v>42369.126469907409</v>
      </c>
      <c r="B1508" s="2">
        <v>8.6342592592592599E-3</v>
      </c>
      <c r="C1508" t="s">
        <v>2199</v>
      </c>
      <c r="D1508" t="s">
        <v>23</v>
      </c>
      <c r="E1508" t="s">
        <v>24</v>
      </c>
      <c r="F1508" t="s">
        <v>2200</v>
      </c>
      <c r="G1508">
        <v>1119449</v>
      </c>
      <c r="H1508" t="s">
        <v>26</v>
      </c>
      <c r="I1508" t="s">
        <v>219</v>
      </c>
      <c r="J1508" t="str">
        <f>"9781118482230"</f>
        <v>9781118482230</v>
      </c>
      <c r="K1508" t="s">
        <v>2591</v>
      </c>
      <c r="L1508">
        <v>28</v>
      </c>
      <c r="O1508" t="s">
        <v>30</v>
      </c>
      <c r="P1508" t="s">
        <v>29</v>
      </c>
      <c r="Q1508" s="1">
        <v>42369.126469907409</v>
      </c>
      <c r="R1508">
        <v>7</v>
      </c>
      <c r="S1508" t="s">
        <v>31</v>
      </c>
      <c r="T1508" t="s">
        <v>2203</v>
      </c>
      <c r="U1508" t="s">
        <v>2204</v>
      </c>
      <c r="V1508" s="3">
        <v>41302</v>
      </c>
    </row>
    <row r="1509" spans="1:22" x14ac:dyDescent="0.35">
      <c r="A1509" s="1">
        <v>42369.126111111109</v>
      </c>
      <c r="B1509" s="2">
        <v>3.7847222222222223E-3</v>
      </c>
      <c r="C1509" t="s">
        <v>2587</v>
      </c>
      <c r="D1509" t="s">
        <v>23</v>
      </c>
      <c r="E1509" t="s">
        <v>24</v>
      </c>
      <c r="F1509" t="s">
        <v>2588</v>
      </c>
      <c r="G1509">
        <v>1979982</v>
      </c>
      <c r="H1509" t="s">
        <v>26</v>
      </c>
      <c r="I1509" t="s">
        <v>630</v>
      </c>
      <c r="J1509" t="str">
        <f>"9781118939383"</f>
        <v>9781118939383</v>
      </c>
      <c r="K1509" t="s">
        <v>2592</v>
      </c>
      <c r="L1509">
        <v>18</v>
      </c>
      <c r="O1509" t="s">
        <v>30</v>
      </c>
      <c r="P1509" t="s">
        <v>50</v>
      </c>
      <c r="S1509" t="s">
        <v>31</v>
      </c>
      <c r="T1509" t="s">
        <v>2590</v>
      </c>
      <c r="U1509">
        <v>171.30922000000001</v>
      </c>
      <c r="V1509" s="3">
        <v>42061</v>
      </c>
    </row>
    <row r="1510" spans="1:22" x14ac:dyDescent="0.35">
      <c r="A1510" s="1">
        <v>42369.114224537036</v>
      </c>
      <c r="B1510" s="2">
        <v>1.224537037037037E-2</v>
      </c>
      <c r="C1510" t="s">
        <v>2199</v>
      </c>
      <c r="D1510" t="s">
        <v>23</v>
      </c>
      <c r="E1510" t="s">
        <v>24</v>
      </c>
      <c r="F1510" t="s">
        <v>2200</v>
      </c>
      <c r="G1510">
        <v>1119449</v>
      </c>
      <c r="H1510" t="s">
        <v>26</v>
      </c>
      <c r="I1510" t="s">
        <v>219</v>
      </c>
      <c r="J1510" t="str">
        <f>"9781118482230"</f>
        <v>9781118482230</v>
      </c>
      <c r="K1510" t="s">
        <v>2593</v>
      </c>
      <c r="L1510">
        <v>14</v>
      </c>
      <c r="O1510" t="s">
        <v>30</v>
      </c>
      <c r="P1510" t="s">
        <v>42</v>
      </c>
      <c r="S1510" t="s">
        <v>31</v>
      </c>
      <c r="T1510" t="s">
        <v>2203</v>
      </c>
      <c r="U1510" t="s">
        <v>2204</v>
      </c>
      <c r="V1510" s="3">
        <v>41302</v>
      </c>
    </row>
    <row r="1511" spans="1:22" x14ac:dyDescent="0.35">
      <c r="A1511" s="1">
        <v>42369.070717592593</v>
      </c>
      <c r="B1511" s="2">
        <v>8.1307870370370364E-2</v>
      </c>
      <c r="C1511" t="s">
        <v>1595</v>
      </c>
      <c r="D1511" t="s">
        <v>23</v>
      </c>
      <c r="E1511" t="s">
        <v>24</v>
      </c>
      <c r="F1511" t="s">
        <v>1993</v>
      </c>
      <c r="G1511">
        <v>1358564</v>
      </c>
      <c r="H1511" t="s">
        <v>26</v>
      </c>
      <c r="I1511" t="s">
        <v>841</v>
      </c>
      <c r="J1511" t="str">
        <f>"9781118646267"</f>
        <v>9781118646267</v>
      </c>
      <c r="K1511" t="s">
        <v>2594</v>
      </c>
      <c r="L1511">
        <v>91</v>
      </c>
      <c r="O1511" t="s">
        <v>30</v>
      </c>
      <c r="P1511" t="s">
        <v>29</v>
      </c>
      <c r="Q1511" s="1">
        <v>42368.857418981483</v>
      </c>
      <c r="R1511">
        <v>7</v>
      </c>
      <c r="S1511" t="s">
        <v>31</v>
      </c>
      <c r="T1511" t="s">
        <v>1995</v>
      </c>
      <c r="U1511">
        <v>355.00760000000002</v>
      </c>
      <c r="V1511" s="3">
        <v>41487</v>
      </c>
    </row>
    <row r="1512" spans="1:22" x14ac:dyDescent="0.35">
      <c r="A1512" s="1">
        <v>42368.923842592594</v>
      </c>
      <c r="B1512" s="2">
        <v>5.6712962962962956E-4</v>
      </c>
      <c r="C1512" t="s">
        <v>2595</v>
      </c>
      <c r="D1512" t="s">
        <v>23</v>
      </c>
      <c r="E1512" t="s">
        <v>24</v>
      </c>
      <c r="F1512" t="s">
        <v>2596</v>
      </c>
      <c r="G1512">
        <v>1762797</v>
      </c>
      <c r="H1512" t="s">
        <v>26</v>
      </c>
      <c r="I1512" t="s">
        <v>120</v>
      </c>
      <c r="J1512" t="str">
        <f>"9781118921296"</f>
        <v>9781118921296</v>
      </c>
      <c r="K1512" t="s">
        <v>2597</v>
      </c>
      <c r="L1512">
        <v>11</v>
      </c>
      <c r="O1512" t="s">
        <v>30</v>
      </c>
      <c r="P1512" t="s">
        <v>42</v>
      </c>
      <c r="S1512" t="s">
        <v>31</v>
      </c>
      <c r="T1512" t="s">
        <v>2598</v>
      </c>
      <c r="U1512" t="s">
        <v>2599</v>
      </c>
      <c r="V1512" s="3">
        <v>41857</v>
      </c>
    </row>
    <row r="1513" spans="1:22" x14ac:dyDescent="0.35">
      <c r="A1513" s="1">
        <v>42368.857418981483</v>
      </c>
      <c r="B1513" s="2">
        <v>1.9259259259259261E-2</v>
      </c>
      <c r="C1513" t="s">
        <v>1595</v>
      </c>
      <c r="D1513" t="s">
        <v>23</v>
      </c>
      <c r="E1513" t="s">
        <v>24</v>
      </c>
      <c r="F1513" t="s">
        <v>1993</v>
      </c>
      <c r="G1513">
        <v>1358564</v>
      </c>
      <c r="H1513" t="s">
        <v>26</v>
      </c>
      <c r="I1513" t="s">
        <v>841</v>
      </c>
      <c r="J1513" t="str">
        <f>"9781118646267"</f>
        <v>9781118646267</v>
      </c>
      <c r="K1513" t="s">
        <v>2600</v>
      </c>
      <c r="L1513">
        <v>19</v>
      </c>
      <c r="O1513" t="s">
        <v>30</v>
      </c>
      <c r="P1513" t="s">
        <v>29</v>
      </c>
      <c r="Q1513" s="1">
        <v>42368.857418981483</v>
      </c>
      <c r="R1513">
        <v>7</v>
      </c>
      <c r="S1513" t="s">
        <v>31</v>
      </c>
      <c r="T1513" t="s">
        <v>1995</v>
      </c>
      <c r="U1513">
        <v>355.00760000000002</v>
      </c>
      <c r="V1513" s="3">
        <v>41487</v>
      </c>
    </row>
    <row r="1514" spans="1:22" x14ac:dyDescent="0.35">
      <c r="A1514" s="1">
        <v>42368.85125</v>
      </c>
      <c r="B1514" s="2">
        <v>6.168981481481481E-3</v>
      </c>
      <c r="C1514" t="s">
        <v>1595</v>
      </c>
      <c r="D1514" t="s">
        <v>23</v>
      </c>
      <c r="E1514" t="s">
        <v>24</v>
      </c>
      <c r="F1514" t="s">
        <v>1993</v>
      </c>
      <c r="G1514">
        <v>1358564</v>
      </c>
      <c r="H1514" t="s">
        <v>26</v>
      </c>
      <c r="I1514" t="s">
        <v>841</v>
      </c>
      <c r="J1514" t="str">
        <f>"9781118646267"</f>
        <v>9781118646267</v>
      </c>
      <c r="K1514" t="s">
        <v>2601</v>
      </c>
      <c r="L1514">
        <v>61</v>
      </c>
      <c r="O1514" t="s">
        <v>30</v>
      </c>
      <c r="P1514" t="s">
        <v>50</v>
      </c>
      <c r="S1514" t="s">
        <v>31</v>
      </c>
      <c r="T1514" t="s">
        <v>1995</v>
      </c>
      <c r="U1514">
        <v>355.00760000000002</v>
      </c>
      <c r="V1514" s="3">
        <v>41487</v>
      </c>
    </row>
    <row r="1515" spans="1:22" x14ac:dyDescent="0.35">
      <c r="A1515" s="1">
        <v>42368.822812500002</v>
      </c>
      <c r="B1515" s="2">
        <v>0.22082175925925926</v>
      </c>
      <c r="C1515" t="s">
        <v>2602</v>
      </c>
      <c r="D1515" t="s">
        <v>335</v>
      </c>
      <c r="E1515" t="s">
        <v>336</v>
      </c>
      <c r="F1515" t="s">
        <v>2603</v>
      </c>
      <c r="G1515">
        <v>822491</v>
      </c>
      <c r="H1515" t="s">
        <v>26</v>
      </c>
      <c r="I1515" t="s">
        <v>2604</v>
      </c>
      <c r="J1515" t="str">
        <f>"9781118276273"</f>
        <v>9781118276273</v>
      </c>
      <c r="K1515" t="s">
        <v>2605</v>
      </c>
      <c r="L1515">
        <v>71</v>
      </c>
      <c r="M1515" t="s">
        <v>2606</v>
      </c>
      <c r="O1515" t="s">
        <v>30</v>
      </c>
      <c r="P1515" t="s">
        <v>29</v>
      </c>
      <c r="Q1515" s="1">
        <v>42368.822800925926</v>
      </c>
      <c r="R1515">
        <v>7</v>
      </c>
      <c r="S1515" t="s">
        <v>340</v>
      </c>
      <c r="T1515" t="s">
        <v>2607</v>
      </c>
      <c r="U1515">
        <v>612</v>
      </c>
      <c r="V1515" s="3">
        <v>40868</v>
      </c>
    </row>
    <row r="1516" spans="1:22" x14ac:dyDescent="0.35">
      <c r="A1516" s="1">
        <v>42368.817199074074</v>
      </c>
      <c r="B1516" s="2">
        <v>5.6018518518518518E-3</v>
      </c>
      <c r="C1516" t="s">
        <v>2602</v>
      </c>
      <c r="D1516" t="s">
        <v>335</v>
      </c>
      <c r="E1516" t="s">
        <v>336</v>
      </c>
      <c r="F1516" t="s">
        <v>2603</v>
      </c>
      <c r="G1516">
        <v>822491</v>
      </c>
      <c r="H1516" t="s">
        <v>26</v>
      </c>
      <c r="I1516" t="s">
        <v>2604</v>
      </c>
      <c r="J1516" t="str">
        <f>"9781118276273"</f>
        <v>9781118276273</v>
      </c>
      <c r="K1516" t="s">
        <v>2608</v>
      </c>
      <c r="L1516">
        <v>30</v>
      </c>
      <c r="O1516" t="s">
        <v>30</v>
      </c>
      <c r="P1516" t="s">
        <v>42</v>
      </c>
      <c r="S1516" t="s">
        <v>340</v>
      </c>
      <c r="T1516" t="s">
        <v>2607</v>
      </c>
      <c r="U1516">
        <v>612</v>
      </c>
      <c r="V1516" s="3">
        <v>40868</v>
      </c>
    </row>
    <row r="1517" spans="1:22" x14ac:dyDescent="0.35">
      <c r="A1517" s="1">
        <v>42368.816018518519</v>
      </c>
      <c r="B1517" s="2">
        <v>4.8611111111111104E-4</v>
      </c>
      <c r="C1517" t="s">
        <v>1595</v>
      </c>
      <c r="D1517" t="s">
        <v>23</v>
      </c>
      <c r="E1517" t="s">
        <v>24</v>
      </c>
      <c r="F1517" t="s">
        <v>2035</v>
      </c>
      <c r="G1517">
        <v>2006127</v>
      </c>
      <c r="H1517" t="s">
        <v>26</v>
      </c>
      <c r="I1517" t="s">
        <v>841</v>
      </c>
      <c r="J1517" t="str">
        <f>"9781119038474"</f>
        <v>9781119038474</v>
      </c>
      <c r="K1517" t="s">
        <v>2609</v>
      </c>
      <c r="L1517">
        <v>12</v>
      </c>
      <c r="O1517" t="s">
        <v>30</v>
      </c>
      <c r="P1517" t="s">
        <v>50</v>
      </c>
      <c r="S1517" t="s">
        <v>31</v>
      </c>
      <c r="T1517" t="s">
        <v>2037</v>
      </c>
      <c r="U1517">
        <v>355.00760000000002</v>
      </c>
      <c r="V1517" s="3">
        <v>42090</v>
      </c>
    </row>
    <row r="1518" spans="1:22" x14ac:dyDescent="0.35">
      <c r="A1518" s="1">
        <v>42368.806250000001</v>
      </c>
      <c r="B1518" s="2">
        <v>8.5416666666666679E-3</v>
      </c>
      <c r="C1518" t="s">
        <v>1595</v>
      </c>
      <c r="D1518" t="s">
        <v>23</v>
      </c>
      <c r="E1518" t="s">
        <v>24</v>
      </c>
      <c r="F1518" t="s">
        <v>2610</v>
      </c>
      <c r="G1518">
        <v>1770413</v>
      </c>
      <c r="H1518" t="s">
        <v>26</v>
      </c>
      <c r="I1518" t="s">
        <v>841</v>
      </c>
      <c r="J1518" t="str">
        <f>"9781118830765"</f>
        <v>9781118830765</v>
      </c>
      <c r="K1518" t="s">
        <v>2611</v>
      </c>
      <c r="L1518">
        <v>74</v>
      </c>
      <c r="N1518" t="s">
        <v>2612</v>
      </c>
      <c r="O1518" t="s">
        <v>30</v>
      </c>
      <c r="P1518" t="s">
        <v>47</v>
      </c>
      <c r="Q1518" s="1">
        <v>42368.806250000001</v>
      </c>
      <c r="R1518">
        <v>1</v>
      </c>
      <c r="S1518" t="s">
        <v>31</v>
      </c>
      <c r="T1518" t="s">
        <v>2613</v>
      </c>
      <c r="U1518">
        <v>355.00760000000002</v>
      </c>
      <c r="V1518" s="3">
        <v>41869</v>
      </c>
    </row>
    <row r="1519" spans="1:22" x14ac:dyDescent="0.35">
      <c r="A1519" s="1">
        <v>42368.805625000001</v>
      </c>
      <c r="B1519" s="2">
        <v>6.2500000000000001E-4</v>
      </c>
      <c r="C1519" t="s">
        <v>1595</v>
      </c>
      <c r="D1519" t="s">
        <v>23</v>
      </c>
      <c r="E1519" t="s">
        <v>24</v>
      </c>
      <c r="F1519" t="s">
        <v>2610</v>
      </c>
      <c r="G1519">
        <v>1770413</v>
      </c>
      <c r="H1519" t="s">
        <v>26</v>
      </c>
      <c r="I1519" t="s">
        <v>841</v>
      </c>
      <c r="J1519" t="str">
        <f>"9781118830765"</f>
        <v>9781118830765</v>
      </c>
      <c r="K1519" t="s">
        <v>2614</v>
      </c>
      <c r="L1519">
        <v>20</v>
      </c>
      <c r="O1519" t="s">
        <v>30</v>
      </c>
      <c r="P1519" t="s">
        <v>50</v>
      </c>
      <c r="S1519" t="s">
        <v>31</v>
      </c>
      <c r="T1519" t="s">
        <v>2613</v>
      </c>
      <c r="U1519">
        <v>355.00760000000002</v>
      </c>
      <c r="V1519" s="3">
        <v>41869</v>
      </c>
    </row>
    <row r="1520" spans="1:22" x14ac:dyDescent="0.35">
      <c r="A1520" s="1">
        <v>42368.802094907405</v>
      </c>
      <c r="B1520" s="2">
        <v>1.283564814814815E-2</v>
      </c>
      <c r="C1520" t="s">
        <v>2602</v>
      </c>
      <c r="D1520" t="s">
        <v>335</v>
      </c>
      <c r="E1520" t="s">
        <v>336</v>
      </c>
      <c r="F1520" t="s">
        <v>472</v>
      </c>
      <c r="G1520">
        <v>1222131</v>
      </c>
      <c r="H1520" t="s">
        <v>26</v>
      </c>
      <c r="I1520" t="s">
        <v>97</v>
      </c>
      <c r="J1520" t="str">
        <f>"9781118760048"</f>
        <v>9781118760048</v>
      </c>
      <c r="K1520" t="s">
        <v>2615</v>
      </c>
      <c r="L1520">
        <v>34</v>
      </c>
      <c r="M1520" t="s">
        <v>972</v>
      </c>
      <c r="O1520" t="s">
        <v>30</v>
      </c>
      <c r="P1520" t="s">
        <v>29</v>
      </c>
      <c r="Q1520" s="1">
        <v>42368.802083333336</v>
      </c>
      <c r="R1520">
        <v>7</v>
      </c>
      <c r="S1520" t="s">
        <v>340</v>
      </c>
      <c r="T1520" t="s">
        <v>473</v>
      </c>
      <c r="U1520">
        <v>657</v>
      </c>
      <c r="V1520" s="3">
        <v>41446</v>
      </c>
    </row>
    <row r="1521" spans="1:22" x14ac:dyDescent="0.35">
      <c r="A1521" s="1">
        <v>42368.795787037037</v>
      </c>
      <c r="B1521" s="2">
        <v>4.4560185185185189E-3</v>
      </c>
      <c r="C1521" t="s">
        <v>106</v>
      </c>
      <c r="D1521" t="s">
        <v>23</v>
      </c>
      <c r="E1521" t="s">
        <v>24</v>
      </c>
      <c r="F1521" t="s">
        <v>2610</v>
      </c>
      <c r="G1521">
        <v>1770413</v>
      </c>
      <c r="H1521" t="s">
        <v>26</v>
      </c>
      <c r="I1521" t="s">
        <v>841</v>
      </c>
      <c r="J1521" t="str">
        <f>"9781118830765"</f>
        <v>9781118830765</v>
      </c>
      <c r="K1521" t="s">
        <v>2616</v>
      </c>
      <c r="L1521">
        <v>24</v>
      </c>
      <c r="M1521" t="s">
        <v>2617</v>
      </c>
      <c r="O1521" t="s">
        <v>30</v>
      </c>
      <c r="P1521" t="s">
        <v>47</v>
      </c>
      <c r="Q1521" s="1">
        <v>42368.714201388888</v>
      </c>
      <c r="R1521">
        <v>1</v>
      </c>
      <c r="S1521" t="s">
        <v>31</v>
      </c>
      <c r="T1521" t="s">
        <v>2613</v>
      </c>
      <c r="U1521">
        <v>355.00760000000002</v>
      </c>
      <c r="V1521" s="3">
        <v>41869</v>
      </c>
    </row>
    <row r="1522" spans="1:22" x14ac:dyDescent="0.35">
      <c r="A1522" s="1">
        <v>42368.791041666664</v>
      </c>
      <c r="B1522" s="2">
        <v>1.1041666666666667E-2</v>
      </c>
      <c r="C1522" t="s">
        <v>2602</v>
      </c>
      <c r="D1522" t="s">
        <v>335</v>
      </c>
      <c r="E1522" t="s">
        <v>336</v>
      </c>
      <c r="F1522" t="s">
        <v>472</v>
      </c>
      <c r="G1522">
        <v>1222131</v>
      </c>
      <c r="H1522" t="s">
        <v>26</v>
      </c>
      <c r="I1522" t="s">
        <v>97</v>
      </c>
      <c r="J1522" t="str">
        <f>"9781118760048"</f>
        <v>9781118760048</v>
      </c>
      <c r="K1522" t="s">
        <v>2618</v>
      </c>
      <c r="L1522">
        <v>13</v>
      </c>
      <c r="O1522" t="s">
        <v>30</v>
      </c>
      <c r="P1522" t="s">
        <v>42</v>
      </c>
      <c r="S1522" t="s">
        <v>340</v>
      </c>
      <c r="T1522" t="s">
        <v>473</v>
      </c>
      <c r="U1522">
        <v>657</v>
      </c>
      <c r="V1522" s="3">
        <v>41446</v>
      </c>
    </row>
    <row r="1523" spans="1:22" x14ac:dyDescent="0.35">
      <c r="A1523" s="1">
        <v>42368.757523148146</v>
      </c>
      <c r="B1523" s="2">
        <v>0</v>
      </c>
      <c r="C1523" t="s">
        <v>2619</v>
      </c>
      <c r="D1523" t="s">
        <v>211</v>
      </c>
      <c r="E1523" t="s">
        <v>212</v>
      </c>
      <c r="F1523" t="s">
        <v>2620</v>
      </c>
      <c r="G1523">
        <v>1524198</v>
      </c>
      <c r="H1523" t="s">
        <v>68</v>
      </c>
      <c r="I1523" t="s">
        <v>247</v>
      </c>
      <c r="J1523" t="str">
        <f>"9781134668526"</f>
        <v>9781134668526</v>
      </c>
      <c r="L1523">
        <v>0</v>
      </c>
      <c r="O1523" t="s">
        <v>28</v>
      </c>
      <c r="P1523" t="s">
        <v>47</v>
      </c>
      <c r="Q1523" s="1">
        <v>42368.754560185182</v>
      </c>
      <c r="R1523">
        <v>1</v>
      </c>
      <c r="S1523" t="s">
        <v>214</v>
      </c>
      <c r="T1523" t="s">
        <v>2621</v>
      </c>
      <c r="U1523">
        <v>616.89008349999995</v>
      </c>
      <c r="V1523" s="3">
        <v>41568</v>
      </c>
    </row>
    <row r="1524" spans="1:22" x14ac:dyDescent="0.35">
      <c r="A1524" s="1">
        <v>42368.754560185182</v>
      </c>
      <c r="B1524" s="2">
        <v>6.7129629629629625E-4</v>
      </c>
      <c r="C1524" t="s">
        <v>2619</v>
      </c>
      <c r="D1524" t="s">
        <v>211</v>
      </c>
      <c r="E1524" t="s">
        <v>212</v>
      </c>
      <c r="F1524" t="s">
        <v>2620</v>
      </c>
      <c r="G1524">
        <v>1524198</v>
      </c>
      <c r="H1524" t="s">
        <v>68</v>
      </c>
      <c r="I1524" t="s">
        <v>247</v>
      </c>
      <c r="J1524" t="str">
        <f>"9781134668526"</f>
        <v>9781134668526</v>
      </c>
      <c r="K1524" t="s">
        <v>2622</v>
      </c>
      <c r="L1524">
        <v>26</v>
      </c>
      <c r="O1524" t="s">
        <v>30</v>
      </c>
      <c r="P1524" t="s">
        <v>47</v>
      </c>
      <c r="Q1524" s="1">
        <v>42368.754560185182</v>
      </c>
      <c r="R1524">
        <v>1</v>
      </c>
      <c r="S1524" t="s">
        <v>214</v>
      </c>
      <c r="T1524" t="s">
        <v>2621</v>
      </c>
      <c r="U1524">
        <v>616.89008349999995</v>
      </c>
      <c r="V1524" s="3">
        <v>41568</v>
      </c>
    </row>
    <row r="1525" spans="1:22" x14ac:dyDescent="0.35">
      <c r="A1525" s="1">
        <v>42368.714201388888</v>
      </c>
      <c r="B1525" s="2">
        <v>7.8993055555555566E-2</v>
      </c>
      <c r="C1525" t="s">
        <v>106</v>
      </c>
      <c r="D1525" t="s">
        <v>23</v>
      </c>
      <c r="E1525" t="s">
        <v>24</v>
      </c>
      <c r="F1525" t="s">
        <v>2610</v>
      </c>
      <c r="G1525">
        <v>1770413</v>
      </c>
      <c r="H1525" t="s">
        <v>26</v>
      </c>
      <c r="I1525" t="s">
        <v>841</v>
      </c>
      <c r="J1525" t="str">
        <f>"9781118830765"</f>
        <v>9781118830765</v>
      </c>
      <c r="K1525" t="s">
        <v>2623</v>
      </c>
      <c r="L1525">
        <v>22</v>
      </c>
      <c r="O1525" t="s">
        <v>30</v>
      </c>
      <c r="P1525" t="s">
        <v>47</v>
      </c>
      <c r="Q1525" s="1">
        <v>42368.714201388888</v>
      </c>
      <c r="R1525">
        <v>1</v>
      </c>
      <c r="S1525" t="s">
        <v>31</v>
      </c>
      <c r="T1525" t="s">
        <v>2613</v>
      </c>
      <c r="U1525">
        <v>355.00760000000002</v>
      </c>
      <c r="V1525" s="3">
        <v>41869</v>
      </c>
    </row>
    <row r="1526" spans="1:22" x14ac:dyDescent="0.35">
      <c r="A1526" s="1">
        <v>42368.709687499999</v>
      </c>
      <c r="B1526" s="2">
        <v>4.5138888888888893E-3</v>
      </c>
      <c r="C1526" t="s">
        <v>106</v>
      </c>
      <c r="D1526" t="s">
        <v>23</v>
      </c>
      <c r="E1526" t="s">
        <v>24</v>
      </c>
      <c r="F1526" t="s">
        <v>2610</v>
      </c>
      <c r="G1526">
        <v>1770413</v>
      </c>
      <c r="H1526" t="s">
        <v>26</v>
      </c>
      <c r="I1526" t="s">
        <v>841</v>
      </c>
      <c r="J1526" t="str">
        <f>"9781118830765"</f>
        <v>9781118830765</v>
      </c>
      <c r="K1526" t="s">
        <v>2624</v>
      </c>
      <c r="L1526">
        <v>20</v>
      </c>
      <c r="O1526" t="s">
        <v>30</v>
      </c>
      <c r="P1526" t="s">
        <v>50</v>
      </c>
      <c r="S1526" t="s">
        <v>31</v>
      </c>
      <c r="T1526" t="s">
        <v>2613</v>
      </c>
      <c r="U1526">
        <v>355.00760000000002</v>
      </c>
      <c r="V1526" s="3">
        <v>41869</v>
      </c>
    </row>
    <row r="1527" spans="1:22" x14ac:dyDescent="0.35">
      <c r="A1527" s="1">
        <v>42368.707291666666</v>
      </c>
      <c r="B1527" s="2">
        <v>5.9837962962962961E-3</v>
      </c>
      <c r="C1527" t="s">
        <v>2378</v>
      </c>
      <c r="D1527" t="s">
        <v>35</v>
      </c>
      <c r="E1527" t="s">
        <v>36</v>
      </c>
      <c r="F1527" t="s">
        <v>327</v>
      </c>
      <c r="G1527">
        <v>1691426</v>
      </c>
      <c r="H1527" t="s">
        <v>26</v>
      </c>
      <c r="I1527" t="s">
        <v>328</v>
      </c>
      <c r="J1527" t="str">
        <f>"9781118839492"</f>
        <v>9781118839492</v>
      </c>
      <c r="K1527" t="s">
        <v>2625</v>
      </c>
      <c r="L1527">
        <v>14</v>
      </c>
      <c r="M1527" t="s">
        <v>2626</v>
      </c>
      <c r="N1527" t="s">
        <v>2627</v>
      </c>
      <c r="O1527" t="s">
        <v>30</v>
      </c>
      <c r="P1527" t="s">
        <v>29</v>
      </c>
      <c r="Q1527" s="1">
        <v>42367.879351851851</v>
      </c>
      <c r="R1527">
        <v>7</v>
      </c>
      <c r="S1527" t="s">
        <v>40</v>
      </c>
      <c r="T1527" t="s">
        <v>331</v>
      </c>
      <c r="U1527">
        <v>613.70460000000003</v>
      </c>
      <c r="V1527" s="3">
        <v>41772</v>
      </c>
    </row>
    <row r="1528" spans="1:22" x14ac:dyDescent="0.35">
      <c r="A1528" s="1">
        <v>42368.702210648145</v>
      </c>
      <c r="B1528" s="2">
        <v>0</v>
      </c>
      <c r="C1528" t="s">
        <v>2628</v>
      </c>
      <c r="D1528" t="s">
        <v>158</v>
      </c>
      <c r="E1528" t="s">
        <v>159</v>
      </c>
      <c r="F1528" t="s">
        <v>521</v>
      </c>
      <c r="G1528">
        <v>1603265</v>
      </c>
      <c r="H1528" t="s">
        <v>26</v>
      </c>
      <c r="I1528" t="s">
        <v>445</v>
      </c>
      <c r="J1528" t="str">
        <f>"9781118808139"</f>
        <v>9781118808139</v>
      </c>
      <c r="L1528">
        <v>0</v>
      </c>
      <c r="O1528" t="s">
        <v>28</v>
      </c>
      <c r="P1528" t="s">
        <v>29</v>
      </c>
      <c r="Q1528" s="1">
        <v>42368.700601851851</v>
      </c>
      <c r="R1528">
        <v>7</v>
      </c>
      <c r="S1528" t="s">
        <v>163</v>
      </c>
      <c r="T1528" t="s">
        <v>523</v>
      </c>
      <c r="U1528">
        <v>332.642</v>
      </c>
      <c r="V1528" s="3">
        <v>41663</v>
      </c>
    </row>
    <row r="1529" spans="1:22" x14ac:dyDescent="0.35">
      <c r="A1529" s="1">
        <v>42368.701840277776</v>
      </c>
      <c r="B1529" s="2">
        <v>1.1574074074074073E-5</v>
      </c>
      <c r="C1529" t="s">
        <v>2628</v>
      </c>
      <c r="D1529" t="s">
        <v>158</v>
      </c>
      <c r="E1529" t="s">
        <v>159</v>
      </c>
      <c r="F1529" t="s">
        <v>521</v>
      </c>
      <c r="G1529">
        <v>1603265</v>
      </c>
      <c r="H1529" t="s">
        <v>26</v>
      </c>
      <c r="I1529" t="s">
        <v>445</v>
      </c>
      <c r="J1529" t="str">
        <f>"9781118808139"</f>
        <v>9781118808139</v>
      </c>
      <c r="K1529" t="s">
        <v>834</v>
      </c>
      <c r="L1529">
        <v>1</v>
      </c>
      <c r="O1529" t="s">
        <v>28</v>
      </c>
      <c r="P1529" t="s">
        <v>29</v>
      </c>
      <c r="Q1529" s="1">
        <v>42368.700601851851</v>
      </c>
      <c r="R1529">
        <v>7</v>
      </c>
      <c r="S1529" t="s">
        <v>163</v>
      </c>
      <c r="T1529" t="s">
        <v>523</v>
      </c>
      <c r="U1529">
        <v>332.642</v>
      </c>
      <c r="V1529" s="3">
        <v>41663</v>
      </c>
    </row>
    <row r="1530" spans="1:22" x14ac:dyDescent="0.35">
      <c r="A1530" s="1">
        <v>42368.700601851851</v>
      </c>
      <c r="B1530" s="2">
        <v>1.2037037037037038E-3</v>
      </c>
      <c r="C1530" t="s">
        <v>2628</v>
      </c>
      <c r="D1530" t="s">
        <v>158</v>
      </c>
      <c r="E1530" t="s">
        <v>159</v>
      </c>
      <c r="F1530" t="s">
        <v>521</v>
      </c>
      <c r="G1530">
        <v>1603265</v>
      </c>
      <c r="H1530" t="s">
        <v>26</v>
      </c>
      <c r="I1530" t="s">
        <v>445</v>
      </c>
      <c r="J1530" t="str">
        <f>"9781118808139"</f>
        <v>9781118808139</v>
      </c>
      <c r="K1530" t="s">
        <v>2629</v>
      </c>
      <c r="L1530">
        <v>18</v>
      </c>
      <c r="O1530" t="s">
        <v>30</v>
      </c>
      <c r="P1530" t="s">
        <v>29</v>
      </c>
      <c r="Q1530" s="1">
        <v>42368.700601851851</v>
      </c>
      <c r="R1530">
        <v>7</v>
      </c>
      <c r="S1530" t="s">
        <v>163</v>
      </c>
      <c r="T1530" t="s">
        <v>523</v>
      </c>
      <c r="U1530">
        <v>332.642</v>
      </c>
      <c r="V1530" s="3">
        <v>41663</v>
      </c>
    </row>
    <row r="1531" spans="1:22" x14ac:dyDescent="0.35">
      <c r="A1531" s="1">
        <v>42368.700497685182</v>
      </c>
      <c r="B1531" s="2">
        <v>1.0416666666666667E-4</v>
      </c>
      <c r="C1531" t="s">
        <v>2628</v>
      </c>
      <c r="D1531" t="s">
        <v>158</v>
      </c>
      <c r="E1531" t="s">
        <v>159</v>
      </c>
      <c r="F1531" t="s">
        <v>521</v>
      </c>
      <c r="G1531">
        <v>1603265</v>
      </c>
      <c r="H1531" t="s">
        <v>26</v>
      </c>
      <c r="I1531" t="s">
        <v>445</v>
      </c>
      <c r="J1531" t="str">
        <f>"9781118808139"</f>
        <v>9781118808139</v>
      </c>
      <c r="K1531" t="s">
        <v>33</v>
      </c>
      <c r="L1531">
        <v>3</v>
      </c>
      <c r="O1531" t="s">
        <v>30</v>
      </c>
      <c r="P1531" t="s">
        <v>42</v>
      </c>
      <c r="S1531" t="s">
        <v>163</v>
      </c>
      <c r="T1531" t="s">
        <v>523</v>
      </c>
      <c r="U1531">
        <v>332.642</v>
      </c>
      <c r="V1531" s="3">
        <v>41663</v>
      </c>
    </row>
    <row r="1532" spans="1:22" x14ac:dyDescent="0.35">
      <c r="A1532" s="1">
        <v>42368.699189814812</v>
      </c>
      <c r="B1532" s="2">
        <v>5.5370370370370368E-2</v>
      </c>
      <c r="C1532" t="s">
        <v>2619</v>
      </c>
      <c r="D1532" t="s">
        <v>211</v>
      </c>
      <c r="E1532" t="s">
        <v>212</v>
      </c>
      <c r="F1532" t="s">
        <v>2620</v>
      </c>
      <c r="G1532">
        <v>1524198</v>
      </c>
      <c r="H1532" t="s">
        <v>68</v>
      </c>
      <c r="I1532" t="s">
        <v>247</v>
      </c>
      <c r="J1532" t="str">
        <f>"9781134668526"</f>
        <v>9781134668526</v>
      </c>
      <c r="K1532" t="s">
        <v>33</v>
      </c>
      <c r="L1532">
        <v>3</v>
      </c>
      <c r="O1532" t="s">
        <v>30</v>
      </c>
      <c r="P1532" t="s">
        <v>50</v>
      </c>
      <c r="S1532" t="s">
        <v>214</v>
      </c>
      <c r="T1532" t="s">
        <v>2621</v>
      </c>
      <c r="U1532">
        <v>616.89008349999995</v>
      </c>
      <c r="V1532" s="3">
        <v>41568</v>
      </c>
    </row>
    <row r="1533" spans="1:22" x14ac:dyDescent="0.35">
      <c r="A1533" s="1">
        <v>42368.698645833334</v>
      </c>
      <c r="B1533" s="2">
        <v>1.8634259259259261E-3</v>
      </c>
      <c r="C1533" t="s">
        <v>2630</v>
      </c>
      <c r="D1533" t="s">
        <v>35</v>
      </c>
      <c r="E1533" t="s">
        <v>36</v>
      </c>
      <c r="F1533" t="s">
        <v>2631</v>
      </c>
      <c r="G1533">
        <v>1422405</v>
      </c>
      <c r="H1533" t="s">
        <v>68</v>
      </c>
      <c r="I1533" t="s">
        <v>69</v>
      </c>
      <c r="J1533" t="str">
        <f>"9781317923305"</f>
        <v>9781317923305</v>
      </c>
      <c r="K1533" t="s">
        <v>1007</v>
      </c>
      <c r="L1533">
        <v>26</v>
      </c>
      <c r="O1533" t="s">
        <v>30</v>
      </c>
      <c r="P1533" t="s">
        <v>50</v>
      </c>
      <c r="S1533" t="s">
        <v>40</v>
      </c>
      <c r="T1533" t="s">
        <v>2632</v>
      </c>
      <c r="U1533">
        <v>370.71</v>
      </c>
      <c r="V1533" s="3">
        <v>41544</v>
      </c>
    </row>
    <row r="1534" spans="1:22" x14ac:dyDescent="0.35">
      <c r="A1534" s="1">
        <v>42368.691307870373</v>
      </c>
      <c r="B1534" s="2">
        <v>6.134259259259259E-4</v>
      </c>
      <c r="C1534" t="s">
        <v>1653</v>
      </c>
      <c r="D1534" t="s">
        <v>35</v>
      </c>
      <c r="E1534" t="s">
        <v>36</v>
      </c>
      <c r="F1534" t="s">
        <v>327</v>
      </c>
      <c r="G1534">
        <v>1691426</v>
      </c>
      <c r="H1534" t="s">
        <v>26</v>
      </c>
      <c r="I1534" t="s">
        <v>328</v>
      </c>
      <c r="J1534" t="str">
        <f>"9781118839492"</f>
        <v>9781118839492</v>
      </c>
      <c r="K1534" t="s">
        <v>463</v>
      </c>
      <c r="L1534">
        <v>9</v>
      </c>
      <c r="O1534" t="s">
        <v>30</v>
      </c>
      <c r="P1534" t="s">
        <v>42</v>
      </c>
      <c r="S1534" t="s">
        <v>40</v>
      </c>
      <c r="T1534" t="s">
        <v>331</v>
      </c>
      <c r="U1534">
        <v>613.70460000000003</v>
      </c>
      <c r="V1534" s="3">
        <v>41772</v>
      </c>
    </row>
    <row r="1535" spans="1:22" x14ac:dyDescent="0.35">
      <c r="A1535" s="1">
        <v>42368.669236111113</v>
      </c>
      <c r="B1535" s="2">
        <v>9.7222222222222209E-4</v>
      </c>
      <c r="C1535" t="s">
        <v>2628</v>
      </c>
      <c r="D1535" t="s">
        <v>158</v>
      </c>
      <c r="E1535" t="s">
        <v>159</v>
      </c>
      <c r="F1535" t="s">
        <v>521</v>
      </c>
      <c r="G1535">
        <v>1603265</v>
      </c>
      <c r="H1535" t="s">
        <v>26</v>
      </c>
      <c r="I1535" t="s">
        <v>445</v>
      </c>
      <c r="J1535" t="str">
        <f>"9781118808139"</f>
        <v>9781118808139</v>
      </c>
      <c r="K1535" t="s">
        <v>2633</v>
      </c>
      <c r="L1535">
        <v>21</v>
      </c>
      <c r="O1535" t="s">
        <v>30</v>
      </c>
      <c r="P1535" t="s">
        <v>42</v>
      </c>
      <c r="S1535" t="s">
        <v>163</v>
      </c>
      <c r="T1535" t="s">
        <v>523</v>
      </c>
      <c r="U1535">
        <v>332.642</v>
      </c>
      <c r="V1535" s="3">
        <v>41663</v>
      </c>
    </row>
    <row r="1536" spans="1:22" x14ac:dyDescent="0.35">
      <c r="A1536" s="1">
        <v>42368.668865740743</v>
      </c>
      <c r="B1536" s="2">
        <v>6.3657407407407402E-4</v>
      </c>
      <c r="C1536" t="s">
        <v>1911</v>
      </c>
      <c r="D1536" t="s">
        <v>23</v>
      </c>
      <c r="E1536" t="s">
        <v>24</v>
      </c>
      <c r="F1536" t="s">
        <v>2634</v>
      </c>
      <c r="G1536">
        <v>1521132</v>
      </c>
      <c r="H1536" t="s">
        <v>68</v>
      </c>
      <c r="I1536" t="s">
        <v>120</v>
      </c>
      <c r="J1536" t="str">
        <f>"9781317982371"</f>
        <v>9781317982371</v>
      </c>
      <c r="K1536" t="s">
        <v>2635</v>
      </c>
      <c r="L1536">
        <v>10</v>
      </c>
      <c r="O1536" t="s">
        <v>30</v>
      </c>
      <c r="P1536" t="s">
        <v>47</v>
      </c>
      <c r="Q1536" s="1">
        <v>42368.668865740743</v>
      </c>
      <c r="R1536">
        <v>1</v>
      </c>
      <c r="S1536" t="s">
        <v>31</v>
      </c>
      <c r="U1536">
        <v>301.01</v>
      </c>
      <c r="V1536" s="3">
        <v>41578</v>
      </c>
    </row>
    <row r="1537" spans="1:22" x14ac:dyDescent="0.35">
      <c r="A1537" s="1">
        <v>42368.666342592594</v>
      </c>
      <c r="B1537" s="2">
        <v>1.8750000000000001E-3</v>
      </c>
      <c r="C1537" t="s">
        <v>2628</v>
      </c>
      <c r="D1537" t="s">
        <v>158</v>
      </c>
      <c r="E1537" t="s">
        <v>159</v>
      </c>
      <c r="F1537" t="s">
        <v>521</v>
      </c>
      <c r="G1537">
        <v>1603265</v>
      </c>
      <c r="H1537" t="s">
        <v>26</v>
      </c>
      <c r="I1537" t="s">
        <v>445</v>
      </c>
      <c r="J1537" t="str">
        <f>"9781118808139"</f>
        <v>9781118808139</v>
      </c>
      <c r="K1537" t="s">
        <v>2636</v>
      </c>
      <c r="L1537">
        <v>27</v>
      </c>
      <c r="O1537" t="s">
        <v>30</v>
      </c>
      <c r="P1537" t="s">
        <v>42</v>
      </c>
      <c r="S1537" t="s">
        <v>163</v>
      </c>
      <c r="T1537" t="s">
        <v>523</v>
      </c>
      <c r="U1537">
        <v>332.642</v>
      </c>
      <c r="V1537" s="3">
        <v>41663</v>
      </c>
    </row>
    <row r="1538" spans="1:22" x14ac:dyDescent="0.35">
      <c r="A1538" s="1">
        <v>42368.665300925924</v>
      </c>
      <c r="B1538" s="2">
        <v>3.5648148148148154E-3</v>
      </c>
      <c r="C1538" t="s">
        <v>1911</v>
      </c>
      <c r="D1538" t="s">
        <v>23</v>
      </c>
      <c r="E1538" t="s">
        <v>24</v>
      </c>
      <c r="F1538" t="s">
        <v>2634</v>
      </c>
      <c r="G1538">
        <v>1521132</v>
      </c>
      <c r="H1538" t="s">
        <v>68</v>
      </c>
      <c r="I1538" t="s">
        <v>120</v>
      </c>
      <c r="J1538" t="str">
        <f>"9781317982371"</f>
        <v>9781317982371</v>
      </c>
      <c r="K1538" t="s">
        <v>2637</v>
      </c>
      <c r="L1538">
        <v>33</v>
      </c>
      <c r="O1538" t="s">
        <v>30</v>
      </c>
      <c r="P1538" t="s">
        <v>50</v>
      </c>
      <c r="S1538" t="s">
        <v>31</v>
      </c>
      <c r="U1538">
        <v>301.01</v>
      </c>
      <c r="V1538" s="3">
        <v>41578</v>
      </c>
    </row>
    <row r="1539" spans="1:22" x14ac:dyDescent="0.35">
      <c r="A1539" s="1">
        <v>42368.648564814815</v>
      </c>
      <c r="B1539" s="2">
        <v>9.2592592592592588E-5</v>
      </c>
      <c r="C1539" t="s">
        <v>106</v>
      </c>
      <c r="D1539" t="s">
        <v>23</v>
      </c>
      <c r="E1539" t="s">
        <v>24</v>
      </c>
      <c r="F1539" t="s">
        <v>61</v>
      </c>
      <c r="G1539">
        <v>699526</v>
      </c>
      <c r="H1539" t="s">
        <v>26</v>
      </c>
      <c r="I1539" t="s">
        <v>62</v>
      </c>
      <c r="J1539" t="str">
        <f>"9781118586006"</f>
        <v>9781118586006</v>
      </c>
      <c r="K1539" t="s">
        <v>86</v>
      </c>
      <c r="L1539">
        <v>5</v>
      </c>
      <c r="O1539" t="s">
        <v>30</v>
      </c>
      <c r="P1539" t="s">
        <v>29</v>
      </c>
      <c r="Q1539" s="1">
        <v>42368.645868055559</v>
      </c>
      <c r="R1539">
        <v>7</v>
      </c>
      <c r="S1539" t="s">
        <v>31</v>
      </c>
      <c r="T1539" t="s">
        <v>64</v>
      </c>
      <c r="U1539">
        <v>6.4</v>
      </c>
      <c r="V1539" s="3">
        <v>41222</v>
      </c>
    </row>
    <row r="1540" spans="1:22" x14ac:dyDescent="0.35">
      <c r="A1540" s="1">
        <v>42368.645868055559</v>
      </c>
      <c r="B1540" s="2">
        <v>3.4722222222222222E-5</v>
      </c>
      <c r="C1540" t="s">
        <v>106</v>
      </c>
      <c r="D1540" t="s">
        <v>23</v>
      </c>
      <c r="E1540" t="s">
        <v>24</v>
      </c>
      <c r="F1540" t="s">
        <v>61</v>
      </c>
      <c r="G1540">
        <v>699526</v>
      </c>
      <c r="H1540" t="s">
        <v>26</v>
      </c>
      <c r="I1540" t="s">
        <v>62</v>
      </c>
      <c r="J1540" t="str">
        <f>"9781118586006"</f>
        <v>9781118586006</v>
      </c>
      <c r="K1540" t="s">
        <v>1309</v>
      </c>
      <c r="L1540">
        <v>1</v>
      </c>
      <c r="O1540" t="s">
        <v>30</v>
      </c>
      <c r="P1540" t="s">
        <v>29</v>
      </c>
      <c r="Q1540" s="1">
        <v>42368.645868055559</v>
      </c>
      <c r="R1540">
        <v>7</v>
      </c>
      <c r="S1540" t="s">
        <v>31</v>
      </c>
      <c r="T1540" t="s">
        <v>64</v>
      </c>
      <c r="U1540">
        <v>6.4</v>
      </c>
      <c r="V1540" s="3">
        <v>41222</v>
      </c>
    </row>
    <row r="1541" spans="1:22" x14ac:dyDescent="0.35">
      <c r="A1541" s="1">
        <v>42368.634305555555</v>
      </c>
      <c r="B1541" s="2">
        <v>1.1550925925925925E-2</v>
      </c>
      <c r="C1541" t="s">
        <v>106</v>
      </c>
      <c r="D1541" t="s">
        <v>23</v>
      </c>
      <c r="E1541" t="s">
        <v>24</v>
      </c>
      <c r="F1541" t="s">
        <v>61</v>
      </c>
      <c r="G1541">
        <v>699526</v>
      </c>
      <c r="H1541" t="s">
        <v>26</v>
      </c>
      <c r="I1541" t="s">
        <v>62</v>
      </c>
      <c r="J1541" t="str">
        <f>"9781118586006"</f>
        <v>9781118586006</v>
      </c>
      <c r="K1541" t="s">
        <v>2638</v>
      </c>
      <c r="L1541">
        <v>8</v>
      </c>
      <c r="O1541" t="s">
        <v>30</v>
      </c>
      <c r="P1541" t="s">
        <v>42</v>
      </c>
      <c r="S1541" t="s">
        <v>31</v>
      </c>
      <c r="T1541" t="s">
        <v>64</v>
      </c>
      <c r="U1541">
        <v>6.4</v>
      </c>
      <c r="V1541" s="3">
        <v>41222</v>
      </c>
    </row>
    <row r="1542" spans="1:22" x14ac:dyDescent="0.35">
      <c r="A1542" s="1">
        <v>42368.608310185184</v>
      </c>
      <c r="B1542" s="2">
        <v>4.5833333333333337E-2</v>
      </c>
      <c r="C1542" t="s">
        <v>2468</v>
      </c>
      <c r="D1542" t="s">
        <v>35</v>
      </c>
      <c r="E1542" t="s">
        <v>36</v>
      </c>
      <c r="F1542" t="s">
        <v>327</v>
      </c>
      <c r="G1542">
        <v>1691426</v>
      </c>
      <c r="H1542" t="s">
        <v>26</v>
      </c>
      <c r="I1542" t="s">
        <v>328</v>
      </c>
      <c r="J1542" t="str">
        <f>"9781118839492"</f>
        <v>9781118839492</v>
      </c>
      <c r="K1542" t="s">
        <v>2639</v>
      </c>
      <c r="L1542">
        <v>63</v>
      </c>
      <c r="O1542" t="s">
        <v>30</v>
      </c>
      <c r="P1542" t="s">
        <v>29</v>
      </c>
      <c r="Q1542" s="1">
        <v>42366.691099537034</v>
      </c>
      <c r="R1542">
        <v>7</v>
      </c>
      <c r="S1542" t="s">
        <v>40</v>
      </c>
      <c r="T1542" t="s">
        <v>331</v>
      </c>
      <c r="U1542">
        <v>613.70460000000003</v>
      </c>
      <c r="V1542" s="3">
        <v>41772</v>
      </c>
    </row>
    <row r="1543" spans="1:22" x14ac:dyDescent="0.35">
      <c r="A1543" s="1">
        <v>42368.600277777776</v>
      </c>
      <c r="B1543" s="2">
        <v>1.3888888888888889E-4</v>
      </c>
      <c r="C1543" t="s">
        <v>210</v>
      </c>
      <c r="D1543" t="s">
        <v>211</v>
      </c>
      <c r="E1543" t="s">
        <v>212</v>
      </c>
      <c r="F1543" t="s">
        <v>2640</v>
      </c>
      <c r="G1543">
        <v>1546788</v>
      </c>
      <c r="H1543" t="s">
        <v>68</v>
      </c>
      <c r="I1543" t="s">
        <v>120</v>
      </c>
      <c r="J1543" t="str">
        <f>"9781317975021"</f>
        <v>9781317975021</v>
      </c>
      <c r="K1543" t="s">
        <v>2641</v>
      </c>
      <c r="L1543">
        <v>7</v>
      </c>
      <c r="O1543" t="s">
        <v>30</v>
      </c>
      <c r="P1543" t="s">
        <v>50</v>
      </c>
      <c r="S1543" t="s">
        <v>214</v>
      </c>
      <c r="T1543" t="s">
        <v>2642</v>
      </c>
      <c r="U1543">
        <v>300.10000000000002</v>
      </c>
      <c r="V1543" s="3">
        <v>41585</v>
      </c>
    </row>
    <row r="1544" spans="1:22" x14ac:dyDescent="0.35">
      <c r="A1544" s="1">
        <v>42368.487175925926</v>
      </c>
      <c r="B1544" s="2">
        <v>0.20469907407407406</v>
      </c>
      <c r="C1544" t="s">
        <v>2643</v>
      </c>
      <c r="D1544" t="s">
        <v>35</v>
      </c>
      <c r="E1544" t="s">
        <v>36</v>
      </c>
      <c r="F1544" t="s">
        <v>2644</v>
      </c>
      <c r="G1544">
        <v>1826893</v>
      </c>
      <c r="H1544" t="s">
        <v>26</v>
      </c>
      <c r="I1544" t="s">
        <v>2645</v>
      </c>
      <c r="J1544" t="str">
        <f>"9781118774816"</f>
        <v>9781118774816</v>
      </c>
      <c r="K1544" t="s">
        <v>2646</v>
      </c>
      <c r="L1544">
        <v>213</v>
      </c>
      <c r="O1544" t="s">
        <v>30</v>
      </c>
      <c r="P1544" t="s">
        <v>47</v>
      </c>
      <c r="Q1544" s="1">
        <v>42367.984618055554</v>
      </c>
      <c r="R1544">
        <v>1</v>
      </c>
      <c r="S1544" t="s">
        <v>40</v>
      </c>
      <c r="T1544" t="s">
        <v>2647</v>
      </c>
      <c r="U1544">
        <v>973.30920000000003</v>
      </c>
      <c r="V1544" s="3">
        <v>41939</v>
      </c>
    </row>
    <row r="1545" spans="1:22" x14ac:dyDescent="0.35">
      <c r="A1545" s="1">
        <v>42368.179479166669</v>
      </c>
      <c r="B1545" s="2">
        <v>8.3333333333333339E-4</v>
      </c>
      <c r="C1545" t="s">
        <v>2648</v>
      </c>
      <c r="D1545" t="s">
        <v>158</v>
      </c>
      <c r="E1545" t="s">
        <v>159</v>
      </c>
      <c r="F1545" t="s">
        <v>2649</v>
      </c>
      <c r="G1545">
        <v>1143522</v>
      </c>
      <c r="H1545" t="s">
        <v>26</v>
      </c>
      <c r="I1545" t="s">
        <v>172</v>
      </c>
      <c r="J1545" t="str">
        <f>"9781118257197"</f>
        <v>9781118257197</v>
      </c>
      <c r="K1545" t="s">
        <v>2650</v>
      </c>
      <c r="L1545">
        <v>10</v>
      </c>
      <c r="O1545" t="s">
        <v>30</v>
      </c>
      <c r="P1545" t="s">
        <v>42</v>
      </c>
      <c r="S1545" t="s">
        <v>163</v>
      </c>
      <c r="T1545" t="s">
        <v>2651</v>
      </c>
      <c r="U1545">
        <v>972</v>
      </c>
      <c r="V1545" s="3">
        <v>41334</v>
      </c>
    </row>
    <row r="1546" spans="1:22" x14ac:dyDescent="0.35">
      <c r="A1546" s="1">
        <v>42368.134027777778</v>
      </c>
      <c r="B1546" s="2">
        <v>2.1296296296296298E-3</v>
      </c>
      <c r="C1546" t="s">
        <v>2652</v>
      </c>
      <c r="D1546" t="s">
        <v>23</v>
      </c>
      <c r="E1546" t="s">
        <v>24</v>
      </c>
      <c r="F1546" t="s">
        <v>604</v>
      </c>
      <c r="G1546">
        <v>2166474</v>
      </c>
      <c r="H1546" t="s">
        <v>26</v>
      </c>
      <c r="I1546" t="s">
        <v>247</v>
      </c>
      <c r="J1546" t="str">
        <f>"9781118929285"</f>
        <v>9781118929285</v>
      </c>
      <c r="K1546" t="s">
        <v>2653</v>
      </c>
      <c r="L1546">
        <v>31</v>
      </c>
      <c r="O1546" t="s">
        <v>30</v>
      </c>
      <c r="P1546" t="s">
        <v>42</v>
      </c>
      <c r="S1546" t="s">
        <v>31</v>
      </c>
      <c r="T1546" t="s">
        <v>606</v>
      </c>
      <c r="U1546">
        <v>617.6</v>
      </c>
      <c r="V1546" s="3">
        <v>42156</v>
      </c>
    </row>
    <row r="1547" spans="1:22" x14ac:dyDescent="0.35">
      <c r="A1547" s="1">
        <v>42368.131331018521</v>
      </c>
      <c r="B1547" s="2">
        <v>1.1574074074074073E-5</v>
      </c>
      <c r="C1547" t="s">
        <v>2652</v>
      </c>
      <c r="D1547" t="s">
        <v>23</v>
      </c>
      <c r="E1547" t="s">
        <v>24</v>
      </c>
      <c r="F1547" t="s">
        <v>2654</v>
      </c>
      <c r="G1547">
        <v>2052356</v>
      </c>
      <c r="H1547" t="s">
        <v>26</v>
      </c>
      <c r="I1547" t="s">
        <v>247</v>
      </c>
      <c r="J1547" t="str">
        <f>"9781118938485"</f>
        <v>9781118938485</v>
      </c>
      <c r="K1547" t="s">
        <v>1270</v>
      </c>
      <c r="L1547">
        <v>1</v>
      </c>
      <c r="O1547" t="s">
        <v>30</v>
      </c>
      <c r="P1547" t="s">
        <v>29</v>
      </c>
      <c r="Q1547" s="1">
        <v>42368.131331018521</v>
      </c>
      <c r="R1547">
        <v>7</v>
      </c>
      <c r="S1547" t="s">
        <v>31</v>
      </c>
      <c r="T1547" t="s">
        <v>2655</v>
      </c>
      <c r="U1547">
        <v>617.52200000000005</v>
      </c>
      <c r="V1547" s="3">
        <v>42139</v>
      </c>
    </row>
    <row r="1548" spans="1:22" x14ac:dyDescent="0.35">
      <c r="A1548" s="1">
        <v>42368.123993055553</v>
      </c>
      <c r="B1548" s="2">
        <v>7.3379629629629628E-3</v>
      </c>
      <c r="C1548" t="s">
        <v>2652</v>
      </c>
      <c r="D1548" t="s">
        <v>23</v>
      </c>
      <c r="E1548" t="s">
        <v>24</v>
      </c>
      <c r="F1548" t="s">
        <v>2654</v>
      </c>
      <c r="G1548">
        <v>2052356</v>
      </c>
      <c r="H1548" t="s">
        <v>26</v>
      </c>
      <c r="I1548" t="s">
        <v>247</v>
      </c>
      <c r="J1548" t="str">
        <f>"9781118938485"</f>
        <v>9781118938485</v>
      </c>
      <c r="K1548" t="s">
        <v>2656</v>
      </c>
      <c r="L1548">
        <v>16</v>
      </c>
      <c r="O1548" t="s">
        <v>30</v>
      </c>
      <c r="P1548" t="s">
        <v>42</v>
      </c>
      <c r="S1548" t="s">
        <v>31</v>
      </c>
      <c r="T1548" t="s">
        <v>2655</v>
      </c>
      <c r="U1548">
        <v>617.52200000000005</v>
      </c>
      <c r="V1548" s="3">
        <v>42139</v>
      </c>
    </row>
    <row r="1549" spans="1:22" x14ac:dyDescent="0.35">
      <c r="A1549" s="1">
        <v>42367.984618055554</v>
      </c>
      <c r="B1549" s="2">
        <v>1.8402777777777777E-3</v>
      </c>
      <c r="C1549" t="s">
        <v>2643</v>
      </c>
      <c r="D1549" t="s">
        <v>35</v>
      </c>
      <c r="E1549" t="s">
        <v>36</v>
      </c>
      <c r="F1549" t="s">
        <v>2644</v>
      </c>
      <c r="G1549">
        <v>1826893</v>
      </c>
      <c r="H1549" t="s">
        <v>26</v>
      </c>
      <c r="I1549" t="s">
        <v>2645</v>
      </c>
      <c r="J1549" t="str">
        <f>"9781118774816"</f>
        <v>9781118774816</v>
      </c>
      <c r="K1549" t="s">
        <v>2657</v>
      </c>
      <c r="L1549">
        <v>6</v>
      </c>
      <c r="O1549" t="s">
        <v>30</v>
      </c>
      <c r="P1549" t="s">
        <v>47</v>
      </c>
      <c r="Q1549" s="1">
        <v>42367.984618055554</v>
      </c>
      <c r="R1549">
        <v>1</v>
      </c>
      <c r="S1549" t="s">
        <v>40</v>
      </c>
      <c r="T1549" t="s">
        <v>2647</v>
      </c>
      <c r="U1549">
        <v>973.30920000000003</v>
      </c>
      <c r="V1549" s="3">
        <v>41939</v>
      </c>
    </row>
    <row r="1550" spans="1:22" x14ac:dyDescent="0.35">
      <c r="A1550" s="1">
        <v>42367.982199074075</v>
      </c>
      <c r="B1550" s="2">
        <v>3.0324074074074073E-3</v>
      </c>
      <c r="C1550" t="s">
        <v>2658</v>
      </c>
      <c r="D1550" t="s">
        <v>23</v>
      </c>
      <c r="E1550" t="s">
        <v>24</v>
      </c>
      <c r="F1550" t="s">
        <v>2659</v>
      </c>
      <c r="G1550">
        <v>1784637</v>
      </c>
      <c r="H1550" t="s">
        <v>45</v>
      </c>
      <c r="I1550" t="s">
        <v>630</v>
      </c>
      <c r="J1550" t="str">
        <f>"9781472412034"</f>
        <v>9781472412034</v>
      </c>
      <c r="K1550" t="s">
        <v>2660</v>
      </c>
      <c r="L1550">
        <v>14</v>
      </c>
      <c r="O1550" t="s">
        <v>30</v>
      </c>
      <c r="P1550" t="s">
        <v>50</v>
      </c>
      <c r="S1550" t="s">
        <v>31</v>
      </c>
      <c r="T1550" t="s">
        <v>2661</v>
      </c>
      <c r="U1550" t="s">
        <v>2662</v>
      </c>
      <c r="V1550" s="3">
        <v>41971</v>
      </c>
    </row>
    <row r="1551" spans="1:22" x14ac:dyDescent="0.35">
      <c r="A1551" s="1">
        <v>42367.980706018519</v>
      </c>
      <c r="B1551" s="2">
        <v>3.9120370370370368E-3</v>
      </c>
      <c r="C1551" t="s">
        <v>2643</v>
      </c>
      <c r="D1551" t="s">
        <v>35</v>
      </c>
      <c r="E1551" t="s">
        <v>36</v>
      </c>
      <c r="F1551" t="s">
        <v>2644</v>
      </c>
      <c r="G1551">
        <v>1826893</v>
      </c>
      <c r="H1551" t="s">
        <v>26</v>
      </c>
      <c r="I1551" t="s">
        <v>2645</v>
      </c>
      <c r="J1551" t="str">
        <f>"9781118774816"</f>
        <v>9781118774816</v>
      </c>
      <c r="K1551" t="s">
        <v>2663</v>
      </c>
      <c r="L1551">
        <v>15</v>
      </c>
      <c r="O1551" t="s">
        <v>30</v>
      </c>
      <c r="P1551" t="s">
        <v>50</v>
      </c>
      <c r="S1551" t="s">
        <v>40</v>
      </c>
      <c r="T1551" t="s">
        <v>2647</v>
      </c>
      <c r="U1551">
        <v>973.30920000000003</v>
      </c>
      <c r="V1551" s="3">
        <v>41939</v>
      </c>
    </row>
    <row r="1552" spans="1:22" x14ac:dyDescent="0.35">
      <c r="A1552" s="1">
        <v>42367.961759259262</v>
      </c>
      <c r="B1552" s="2">
        <v>1.383101851851852E-2</v>
      </c>
      <c r="C1552" t="s">
        <v>2664</v>
      </c>
      <c r="D1552" t="s">
        <v>1222</v>
      </c>
      <c r="E1552" t="s">
        <v>1223</v>
      </c>
      <c r="F1552" t="s">
        <v>2665</v>
      </c>
      <c r="G1552">
        <v>1974902</v>
      </c>
      <c r="H1552" t="s">
        <v>84</v>
      </c>
      <c r="I1552" t="s">
        <v>426</v>
      </c>
      <c r="J1552" t="str">
        <f>"9780520961555"</f>
        <v>9780520961555</v>
      </c>
      <c r="K1552" t="s">
        <v>2666</v>
      </c>
      <c r="L1552">
        <v>24</v>
      </c>
      <c r="O1552" t="s">
        <v>30</v>
      </c>
      <c r="P1552" t="s">
        <v>47</v>
      </c>
      <c r="Q1552" s="1">
        <v>42367.961759259262</v>
      </c>
      <c r="R1552">
        <v>1</v>
      </c>
      <c r="S1552" t="s">
        <v>1226</v>
      </c>
      <c r="T1552" t="s">
        <v>2667</v>
      </c>
      <c r="U1552" t="s">
        <v>2668</v>
      </c>
      <c r="V1552" s="3">
        <v>42206</v>
      </c>
    </row>
    <row r="1553" spans="1:22" x14ac:dyDescent="0.35">
      <c r="A1553" s="1">
        <v>42367.955555555556</v>
      </c>
      <c r="B1553" s="2">
        <v>6.2037037037037043E-3</v>
      </c>
      <c r="C1553" t="s">
        <v>2664</v>
      </c>
      <c r="D1553" t="s">
        <v>1222</v>
      </c>
      <c r="E1553" t="s">
        <v>1223</v>
      </c>
      <c r="F1553" t="s">
        <v>2665</v>
      </c>
      <c r="G1553">
        <v>1974902</v>
      </c>
      <c r="H1553" t="s">
        <v>84</v>
      </c>
      <c r="I1553" t="s">
        <v>426</v>
      </c>
      <c r="J1553" t="str">
        <f>"9780520961555"</f>
        <v>9780520961555</v>
      </c>
      <c r="K1553" t="s">
        <v>217</v>
      </c>
      <c r="L1553">
        <v>12</v>
      </c>
      <c r="O1553" t="s">
        <v>30</v>
      </c>
      <c r="P1553" t="s">
        <v>50</v>
      </c>
      <c r="S1553" t="s">
        <v>1226</v>
      </c>
      <c r="T1553" t="s">
        <v>2667</v>
      </c>
      <c r="U1553" t="s">
        <v>2668</v>
      </c>
      <c r="V1553" s="3">
        <v>42206</v>
      </c>
    </row>
    <row r="1554" spans="1:22" x14ac:dyDescent="0.35">
      <c r="A1554" s="1">
        <v>42367.953159722223</v>
      </c>
      <c r="B1554" s="2">
        <v>2.0347222222222221E-2</v>
      </c>
      <c r="C1554" t="s">
        <v>2468</v>
      </c>
      <c r="D1554" t="s">
        <v>35</v>
      </c>
      <c r="E1554" t="s">
        <v>36</v>
      </c>
      <c r="F1554" t="s">
        <v>327</v>
      </c>
      <c r="G1554">
        <v>1691426</v>
      </c>
      <c r="H1554" t="s">
        <v>26</v>
      </c>
      <c r="I1554" t="s">
        <v>328</v>
      </c>
      <c r="J1554" t="str">
        <f t="shared" ref="J1554:J1559" si="20">"9781118839492"</f>
        <v>9781118839492</v>
      </c>
      <c r="K1554" t="s">
        <v>2669</v>
      </c>
      <c r="L1554">
        <v>99</v>
      </c>
      <c r="O1554" t="s">
        <v>30</v>
      </c>
      <c r="P1554" t="s">
        <v>29</v>
      </c>
      <c r="Q1554" s="1">
        <v>42366.691099537034</v>
      </c>
      <c r="R1554">
        <v>7</v>
      </c>
      <c r="S1554" t="s">
        <v>40</v>
      </c>
      <c r="T1554" t="s">
        <v>331</v>
      </c>
      <c r="U1554">
        <v>613.70460000000003</v>
      </c>
      <c r="V1554" s="3">
        <v>41772</v>
      </c>
    </row>
    <row r="1555" spans="1:22" x14ac:dyDescent="0.35">
      <c r="A1555" s="1">
        <v>42367.939236111109</v>
      </c>
      <c r="B1555" s="2">
        <v>4.6296296296296294E-5</v>
      </c>
      <c r="C1555" t="s">
        <v>2211</v>
      </c>
      <c r="D1555" t="s">
        <v>35</v>
      </c>
      <c r="E1555" t="s">
        <v>36</v>
      </c>
      <c r="F1555" t="s">
        <v>327</v>
      </c>
      <c r="G1555">
        <v>1691426</v>
      </c>
      <c r="H1555" t="s">
        <v>26</v>
      </c>
      <c r="I1555" t="s">
        <v>328</v>
      </c>
      <c r="J1555" t="str">
        <f t="shared" si="20"/>
        <v>9781118839492</v>
      </c>
      <c r="K1555" t="s">
        <v>33</v>
      </c>
      <c r="L1555">
        <v>3</v>
      </c>
      <c r="O1555" t="s">
        <v>30</v>
      </c>
      <c r="P1555" t="s">
        <v>42</v>
      </c>
      <c r="S1555" t="s">
        <v>40</v>
      </c>
      <c r="T1555" t="s">
        <v>331</v>
      </c>
      <c r="U1555">
        <v>613.70460000000003</v>
      </c>
      <c r="V1555" s="3">
        <v>41772</v>
      </c>
    </row>
    <row r="1556" spans="1:22" x14ac:dyDescent="0.35">
      <c r="A1556" s="1">
        <v>42367.883923611109</v>
      </c>
      <c r="B1556" s="2">
        <v>3.2407407407407406E-4</v>
      </c>
      <c r="C1556" t="s">
        <v>2537</v>
      </c>
      <c r="D1556" t="s">
        <v>35</v>
      </c>
      <c r="E1556" t="s">
        <v>36</v>
      </c>
      <c r="F1556" t="s">
        <v>327</v>
      </c>
      <c r="G1556">
        <v>1691426</v>
      </c>
      <c r="H1556" t="s">
        <v>26</v>
      </c>
      <c r="I1556" t="s">
        <v>328</v>
      </c>
      <c r="J1556" t="str">
        <f t="shared" si="20"/>
        <v>9781118839492</v>
      </c>
      <c r="K1556" t="s">
        <v>2670</v>
      </c>
      <c r="L1556">
        <v>13</v>
      </c>
      <c r="O1556" t="s">
        <v>30</v>
      </c>
      <c r="P1556" t="s">
        <v>29</v>
      </c>
      <c r="Q1556" s="1">
        <v>42367.883923611109</v>
      </c>
      <c r="R1556">
        <v>7</v>
      </c>
      <c r="S1556" t="s">
        <v>40</v>
      </c>
      <c r="T1556" t="s">
        <v>331</v>
      </c>
      <c r="U1556">
        <v>613.70460000000003</v>
      </c>
      <c r="V1556" s="3">
        <v>41772</v>
      </c>
    </row>
    <row r="1557" spans="1:22" x14ac:dyDescent="0.35">
      <c r="A1557" s="1">
        <v>42367.879351851851</v>
      </c>
      <c r="B1557" s="2">
        <v>1.9097222222222222E-3</v>
      </c>
      <c r="C1557" t="s">
        <v>2378</v>
      </c>
      <c r="D1557" t="s">
        <v>35</v>
      </c>
      <c r="E1557" t="s">
        <v>36</v>
      </c>
      <c r="F1557" t="s">
        <v>327</v>
      </c>
      <c r="G1557">
        <v>1691426</v>
      </c>
      <c r="H1557" t="s">
        <v>26</v>
      </c>
      <c r="I1557" t="s">
        <v>328</v>
      </c>
      <c r="J1557" t="str">
        <f t="shared" si="20"/>
        <v>9781118839492</v>
      </c>
      <c r="K1557" t="s">
        <v>2671</v>
      </c>
      <c r="L1557">
        <v>19</v>
      </c>
      <c r="O1557" t="s">
        <v>30</v>
      </c>
      <c r="P1557" t="s">
        <v>29</v>
      </c>
      <c r="Q1557" s="1">
        <v>42367.879351851851</v>
      </c>
      <c r="R1557">
        <v>7</v>
      </c>
      <c r="S1557" t="s">
        <v>40</v>
      </c>
      <c r="T1557" t="s">
        <v>331</v>
      </c>
      <c r="U1557">
        <v>613.70460000000003</v>
      </c>
      <c r="V1557" s="3">
        <v>41772</v>
      </c>
    </row>
    <row r="1558" spans="1:22" x14ac:dyDescent="0.35">
      <c r="A1558" s="1">
        <v>42367.865960648145</v>
      </c>
      <c r="B1558" s="2">
        <v>1.7962962962962962E-2</v>
      </c>
      <c r="C1558" t="s">
        <v>2537</v>
      </c>
      <c r="D1558" t="s">
        <v>35</v>
      </c>
      <c r="E1558" t="s">
        <v>36</v>
      </c>
      <c r="F1558" t="s">
        <v>327</v>
      </c>
      <c r="G1558">
        <v>1691426</v>
      </c>
      <c r="H1558" t="s">
        <v>26</v>
      </c>
      <c r="I1558" t="s">
        <v>328</v>
      </c>
      <c r="J1558" t="str">
        <f t="shared" si="20"/>
        <v>9781118839492</v>
      </c>
      <c r="K1558" t="s">
        <v>2672</v>
      </c>
      <c r="L1558">
        <v>8</v>
      </c>
      <c r="O1558" t="s">
        <v>30</v>
      </c>
      <c r="P1558" t="s">
        <v>42</v>
      </c>
      <c r="S1558" t="s">
        <v>40</v>
      </c>
      <c r="T1558" t="s">
        <v>331</v>
      </c>
      <c r="U1558">
        <v>613.70460000000003</v>
      </c>
      <c r="V1558" s="3">
        <v>41772</v>
      </c>
    </row>
    <row r="1559" spans="1:22" x14ac:dyDescent="0.35">
      <c r="A1559" s="1">
        <v>42367.823368055557</v>
      </c>
      <c r="B1559" s="2">
        <v>5.5983796296296295E-2</v>
      </c>
      <c r="C1559" t="s">
        <v>2378</v>
      </c>
      <c r="D1559" t="s">
        <v>35</v>
      </c>
      <c r="E1559" t="s">
        <v>36</v>
      </c>
      <c r="F1559" t="s">
        <v>327</v>
      </c>
      <c r="G1559">
        <v>1691426</v>
      </c>
      <c r="H1559" t="s">
        <v>26</v>
      </c>
      <c r="I1559" t="s">
        <v>328</v>
      </c>
      <c r="J1559" t="str">
        <f t="shared" si="20"/>
        <v>9781118839492</v>
      </c>
      <c r="K1559" t="s">
        <v>2673</v>
      </c>
      <c r="L1559">
        <v>12</v>
      </c>
      <c r="O1559" t="s">
        <v>30</v>
      </c>
      <c r="P1559" t="s">
        <v>42</v>
      </c>
      <c r="S1559" t="s">
        <v>40</v>
      </c>
      <c r="T1559" t="s">
        <v>331</v>
      </c>
      <c r="U1559">
        <v>613.70460000000003</v>
      </c>
      <c r="V1559" s="3">
        <v>41772</v>
      </c>
    </row>
    <row r="1560" spans="1:22" x14ac:dyDescent="0.35">
      <c r="A1560" s="1">
        <v>42367.779560185183</v>
      </c>
      <c r="B1560" s="2">
        <v>1.9444444444444442E-3</v>
      </c>
      <c r="C1560" t="s">
        <v>2674</v>
      </c>
      <c r="D1560" t="s">
        <v>35</v>
      </c>
      <c r="E1560" t="s">
        <v>36</v>
      </c>
      <c r="F1560" t="s">
        <v>2675</v>
      </c>
      <c r="G1560">
        <v>4036739</v>
      </c>
      <c r="H1560" t="s">
        <v>26</v>
      </c>
      <c r="I1560" t="s">
        <v>310</v>
      </c>
      <c r="J1560" t="str">
        <f>"9781118607343"</f>
        <v>9781118607343</v>
      </c>
      <c r="K1560" t="s">
        <v>2676</v>
      </c>
      <c r="L1560">
        <v>20</v>
      </c>
      <c r="O1560" t="s">
        <v>30</v>
      </c>
      <c r="P1560" t="s">
        <v>50</v>
      </c>
      <c r="S1560" t="s">
        <v>40</v>
      </c>
      <c r="T1560" t="s">
        <v>2677</v>
      </c>
      <c r="U1560" t="s">
        <v>2678</v>
      </c>
      <c r="V1560" s="3">
        <v>42114</v>
      </c>
    </row>
    <row r="1561" spans="1:22" x14ac:dyDescent="0.35">
      <c r="A1561" s="1">
        <v>42367.75203703704</v>
      </c>
      <c r="B1561" s="2">
        <v>0</v>
      </c>
      <c r="C1561" t="s">
        <v>2679</v>
      </c>
      <c r="D1561" t="s">
        <v>1222</v>
      </c>
      <c r="E1561" t="s">
        <v>1223</v>
      </c>
      <c r="F1561" t="s">
        <v>2680</v>
      </c>
      <c r="G1561">
        <v>1641157</v>
      </c>
      <c r="H1561" t="s">
        <v>526</v>
      </c>
      <c r="I1561" t="s">
        <v>2681</v>
      </c>
      <c r="J1561" t="str">
        <f>"9780226024134"</f>
        <v>9780226024134</v>
      </c>
      <c r="L1561">
        <v>0</v>
      </c>
      <c r="N1561" t="s">
        <v>2682</v>
      </c>
      <c r="O1561" t="s">
        <v>30</v>
      </c>
      <c r="P1561" t="s">
        <v>47</v>
      </c>
      <c r="Q1561" s="1">
        <v>42367.75203703704</v>
      </c>
      <c r="R1561">
        <v>1</v>
      </c>
      <c r="S1561" t="s">
        <v>1226</v>
      </c>
      <c r="T1561" t="s">
        <v>2683</v>
      </c>
      <c r="U1561">
        <v>577.29999999999995</v>
      </c>
      <c r="V1561" s="3">
        <v>41702</v>
      </c>
    </row>
    <row r="1562" spans="1:22" x14ac:dyDescent="0.35">
      <c r="A1562" s="1">
        <v>42367.750497685185</v>
      </c>
      <c r="B1562" s="2">
        <v>1.5393518518518519E-3</v>
      </c>
      <c r="C1562" t="s">
        <v>2679</v>
      </c>
      <c r="D1562" t="s">
        <v>1222</v>
      </c>
      <c r="E1562" t="s">
        <v>1223</v>
      </c>
      <c r="F1562" t="s">
        <v>2680</v>
      </c>
      <c r="G1562">
        <v>1641157</v>
      </c>
      <c r="H1562" t="s">
        <v>526</v>
      </c>
      <c r="I1562" t="s">
        <v>2681</v>
      </c>
      <c r="J1562" t="str">
        <f>"9780226024134"</f>
        <v>9780226024134</v>
      </c>
      <c r="K1562" t="s">
        <v>2684</v>
      </c>
      <c r="L1562">
        <v>32</v>
      </c>
      <c r="O1562" t="s">
        <v>30</v>
      </c>
      <c r="P1562" t="s">
        <v>50</v>
      </c>
      <c r="S1562" t="s">
        <v>1226</v>
      </c>
      <c r="T1562" t="s">
        <v>2683</v>
      </c>
      <c r="U1562">
        <v>577.29999999999995</v>
      </c>
      <c r="V1562" s="3">
        <v>41702</v>
      </c>
    </row>
    <row r="1563" spans="1:22" x14ac:dyDescent="0.35">
      <c r="A1563" s="1">
        <v>42367.749918981484</v>
      </c>
      <c r="B1563" s="2">
        <v>4.2824074074074075E-4</v>
      </c>
      <c r="C1563" t="s">
        <v>2679</v>
      </c>
      <c r="D1563" t="s">
        <v>1222</v>
      </c>
      <c r="E1563" t="s">
        <v>1223</v>
      </c>
      <c r="F1563" t="s">
        <v>2685</v>
      </c>
      <c r="G1563">
        <v>1693182</v>
      </c>
      <c r="H1563" t="s">
        <v>613</v>
      </c>
      <c r="I1563" t="s">
        <v>435</v>
      </c>
      <c r="J1563" t="str">
        <f>"9781469616063"</f>
        <v>9781469616063</v>
      </c>
      <c r="K1563" t="s">
        <v>2686</v>
      </c>
      <c r="L1563">
        <v>10</v>
      </c>
      <c r="O1563" t="s">
        <v>30</v>
      </c>
      <c r="P1563" t="s">
        <v>50</v>
      </c>
      <c r="S1563" t="s">
        <v>1226</v>
      </c>
      <c r="T1563" t="s">
        <v>2687</v>
      </c>
      <c r="U1563" t="s">
        <v>2688</v>
      </c>
      <c r="V1563" s="3">
        <v>41855</v>
      </c>
    </row>
    <row r="1564" spans="1:22" x14ac:dyDescent="0.35">
      <c r="A1564" s="1">
        <v>42367.696689814817</v>
      </c>
      <c r="B1564" s="2">
        <v>7.4444444444444438E-2</v>
      </c>
      <c r="C1564" t="s">
        <v>2576</v>
      </c>
      <c r="D1564" t="s">
        <v>23</v>
      </c>
      <c r="E1564" t="s">
        <v>24</v>
      </c>
      <c r="F1564" t="s">
        <v>2577</v>
      </c>
      <c r="G1564">
        <v>1137758</v>
      </c>
      <c r="H1564" t="s">
        <v>26</v>
      </c>
      <c r="I1564" t="s">
        <v>445</v>
      </c>
      <c r="J1564" t="str">
        <f>"9781118399279"</f>
        <v>9781118399279</v>
      </c>
      <c r="K1564" t="s">
        <v>2689</v>
      </c>
      <c r="L1564">
        <v>43</v>
      </c>
      <c r="O1564" t="s">
        <v>30</v>
      </c>
      <c r="P1564" t="s">
        <v>29</v>
      </c>
      <c r="Q1564" s="1">
        <v>42367.696689814817</v>
      </c>
      <c r="R1564">
        <v>7</v>
      </c>
      <c r="S1564" t="s">
        <v>31</v>
      </c>
      <c r="T1564" t="s">
        <v>2579</v>
      </c>
      <c r="U1564" t="s">
        <v>2580</v>
      </c>
      <c r="V1564" s="3">
        <v>41331</v>
      </c>
    </row>
    <row r="1565" spans="1:22" x14ac:dyDescent="0.35">
      <c r="A1565" s="1">
        <v>42367.688923611109</v>
      </c>
      <c r="B1565" s="2">
        <v>7.7662037037037031E-3</v>
      </c>
      <c r="C1565" t="s">
        <v>2576</v>
      </c>
      <c r="D1565" t="s">
        <v>23</v>
      </c>
      <c r="E1565" t="s">
        <v>24</v>
      </c>
      <c r="F1565" t="s">
        <v>2577</v>
      </c>
      <c r="G1565">
        <v>1137758</v>
      </c>
      <c r="H1565" t="s">
        <v>26</v>
      </c>
      <c r="I1565" t="s">
        <v>445</v>
      </c>
      <c r="J1565" t="str">
        <f>"9781118399279"</f>
        <v>9781118399279</v>
      </c>
      <c r="K1565" t="s">
        <v>2690</v>
      </c>
      <c r="L1565">
        <v>10</v>
      </c>
      <c r="O1565" t="s">
        <v>30</v>
      </c>
      <c r="P1565" t="s">
        <v>42</v>
      </c>
      <c r="S1565" t="s">
        <v>31</v>
      </c>
      <c r="T1565" t="s">
        <v>2579</v>
      </c>
      <c r="U1565" t="s">
        <v>2580</v>
      </c>
      <c r="V1565" s="3">
        <v>41331</v>
      </c>
    </row>
    <row r="1566" spans="1:22" x14ac:dyDescent="0.35">
      <c r="A1566" s="1">
        <v>42367.668483796297</v>
      </c>
      <c r="B1566" s="2">
        <v>2.6620370370370372E-4</v>
      </c>
      <c r="C1566" t="s">
        <v>2691</v>
      </c>
      <c r="D1566" t="s">
        <v>211</v>
      </c>
      <c r="E1566" t="s">
        <v>212</v>
      </c>
      <c r="F1566" t="s">
        <v>2692</v>
      </c>
      <c r="G1566">
        <v>1895411</v>
      </c>
      <c r="H1566" t="s">
        <v>26</v>
      </c>
      <c r="I1566" t="s">
        <v>120</v>
      </c>
      <c r="J1566" t="str">
        <f>"9780745688961"</f>
        <v>9780745688961</v>
      </c>
      <c r="K1566" t="s">
        <v>2693</v>
      </c>
      <c r="L1566">
        <v>5</v>
      </c>
      <c r="M1566" t="s">
        <v>2694</v>
      </c>
      <c r="N1566" t="s">
        <v>2695</v>
      </c>
      <c r="O1566" t="s">
        <v>30</v>
      </c>
      <c r="P1566" t="s">
        <v>29</v>
      </c>
      <c r="Q1566" s="1">
        <v>42367.668483796297</v>
      </c>
      <c r="R1566">
        <v>7</v>
      </c>
      <c r="S1566" t="s">
        <v>214</v>
      </c>
      <c r="T1566" t="s">
        <v>2696</v>
      </c>
      <c r="U1566">
        <v>301.09199999999998</v>
      </c>
      <c r="V1566" s="3">
        <v>42100</v>
      </c>
    </row>
    <row r="1567" spans="1:22" x14ac:dyDescent="0.35">
      <c r="A1567" s="1">
        <v>42367.665636574071</v>
      </c>
      <c r="B1567" s="2">
        <v>2.8472222222222219E-3</v>
      </c>
      <c r="C1567" t="s">
        <v>2691</v>
      </c>
      <c r="D1567" t="s">
        <v>211</v>
      </c>
      <c r="E1567" t="s">
        <v>212</v>
      </c>
      <c r="F1567" t="s">
        <v>2692</v>
      </c>
      <c r="G1567">
        <v>1895411</v>
      </c>
      <c r="H1567" t="s">
        <v>26</v>
      </c>
      <c r="I1567" t="s">
        <v>120</v>
      </c>
      <c r="J1567" t="str">
        <f>"9780745688961"</f>
        <v>9780745688961</v>
      </c>
      <c r="K1567" t="s">
        <v>2697</v>
      </c>
      <c r="L1567">
        <v>34</v>
      </c>
      <c r="O1567" t="s">
        <v>30</v>
      </c>
      <c r="P1567" t="s">
        <v>42</v>
      </c>
      <c r="S1567" t="s">
        <v>214</v>
      </c>
      <c r="T1567" t="s">
        <v>2696</v>
      </c>
      <c r="U1567">
        <v>301.09199999999998</v>
      </c>
      <c r="V1567" s="3">
        <v>42100</v>
      </c>
    </row>
    <row r="1568" spans="1:22" x14ac:dyDescent="0.35">
      <c r="A1568" s="1">
        <v>42367.639710648145</v>
      </c>
      <c r="B1568" s="2">
        <v>6.9444444444444444E-5</v>
      </c>
      <c r="C1568" t="s">
        <v>2576</v>
      </c>
      <c r="D1568" t="s">
        <v>23</v>
      </c>
      <c r="E1568" t="s">
        <v>24</v>
      </c>
      <c r="F1568" t="s">
        <v>2698</v>
      </c>
      <c r="G1568">
        <v>818049</v>
      </c>
      <c r="H1568" t="s">
        <v>26</v>
      </c>
      <c r="I1568" t="s">
        <v>108</v>
      </c>
      <c r="J1568" t="str">
        <f>"9781118224274"</f>
        <v>9781118224274</v>
      </c>
      <c r="K1568" t="s">
        <v>33</v>
      </c>
      <c r="L1568">
        <v>3</v>
      </c>
      <c r="O1568" t="s">
        <v>30</v>
      </c>
      <c r="P1568" t="s">
        <v>29</v>
      </c>
      <c r="Q1568" s="1">
        <v>42362.127708333333</v>
      </c>
      <c r="R1568">
        <v>7</v>
      </c>
      <c r="S1568" t="s">
        <v>31</v>
      </c>
      <c r="T1568" t="s">
        <v>2699</v>
      </c>
      <c r="U1568" t="s">
        <v>2700</v>
      </c>
      <c r="V1568" s="3">
        <v>41035</v>
      </c>
    </row>
    <row r="1569" spans="1:22" x14ac:dyDescent="0.35">
      <c r="A1569" s="1">
        <v>42367.601226851853</v>
      </c>
      <c r="B1569" s="2">
        <v>1.7245370370370372E-3</v>
      </c>
      <c r="C1569" t="s">
        <v>2701</v>
      </c>
      <c r="D1569" t="s">
        <v>35</v>
      </c>
      <c r="E1569" t="s">
        <v>36</v>
      </c>
      <c r="F1569" t="s">
        <v>2702</v>
      </c>
      <c r="G1569">
        <v>1574802</v>
      </c>
      <c r="H1569" t="s">
        <v>68</v>
      </c>
      <c r="I1569" t="s">
        <v>172</v>
      </c>
      <c r="J1569" t="str">
        <f>"9781317799078"</f>
        <v>9781317799078</v>
      </c>
      <c r="K1569" t="s">
        <v>2703</v>
      </c>
      <c r="L1569">
        <v>7</v>
      </c>
      <c r="O1569" t="s">
        <v>30</v>
      </c>
      <c r="P1569" t="s">
        <v>50</v>
      </c>
      <c r="S1569" t="s">
        <v>40</v>
      </c>
      <c r="T1569" t="s">
        <v>2704</v>
      </c>
      <c r="U1569">
        <v>936.6</v>
      </c>
      <c r="V1569" s="3">
        <v>41610</v>
      </c>
    </row>
    <row r="1570" spans="1:22" x14ac:dyDescent="0.35">
      <c r="A1570" s="1">
        <v>42367.450162037036</v>
      </c>
      <c r="B1570" s="2">
        <v>1.4548611111111111E-2</v>
      </c>
      <c r="C1570" t="s">
        <v>2705</v>
      </c>
      <c r="D1570" t="s">
        <v>23</v>
      </c>
      <c r="E1570" t="s">
        <v>24</v>
      </c>
      <c r="F1570" t="s">
        <v>226</v>
      </c>
      <c r="G1570">
        <v>817313</v>
      </c>
      <c r="H1570" t="s">
        <v>26</v>
      </c>
      <c r="I1570" t="s">
        <v>69</v>
      </c>
      <c r="J1570" t="str">
        <f>"9781118136829"</f>
        <v>9781118136829</v>
      </c>
      <c r="K1570" t="s">
        <v>2706</v>
      </c>
      <c r="L1570">
        <v>21</v>
      </c>
      <c r="O1570" t="s">
        <v>30</v>
      </c>
      <c r="P1570" t="s">
        <v>29</v>
      </c>
      <c r="Q1570" s="1">
        <v>42364.901018518518</v>
      </c>
      <c r="R1570">
        <v>7</v>
      </c>
      <c r="S1570" t="s">
        <v>31</v>
      </c>
      <c r="T1570" t="s">
        <v>2311</v>
      </c>
      <c r="U1570">
        <v>378.16640000000001</v>
      </c>
      <c r="V1570" s="3">
        <v>40918</v>
      </c>
    </row>
    <row r="1571" spans="1:22" x14ac:dyDescent="0.35">
      <c r="A1571" s="1">
        <v>42367.322187500002</v>
      </c>
      <c r="B1571" s="2">
        <v>3.2638888888888891E-3</v>
      </c>
      <c r="C1571" t="s">
        <v>2707</v>
      </c>
      <c r="D1571" t="s">
        <v>23</v>
      </c>
      <c r="E1571" t="s">
        <v>24</v>
      </c>
      <c r="F1571" t="s">
        <v>2708</v>
      </c>
      <c r="G1571">
        <v>817977</v>
      </c>
      <c r="H1571" t="s">
        <v>26</v>
      </c>
      <c r="I1571" t="s">
        <v>280</v>
      </c>
      <c r="J1571" t="str">
        <f>"9781118222188"</f>
        <v>9781118222188</v>
      </c>
      <c r="K1571" t="s">
        <v>2709</v>
      </c>
      <c r="L1571">
        <v>6</v>
      </c>
      <c r="M1571" t="s">
        <v>2710</v>
      </c>
      <c r="O1571" t="s">
        <v>30</v>
      </c>
      <c r="P1571" t="s">
        <v>29</v>
      </c>
      <c r="Q1571" s="1">
        <v>42367.322187500002</v>
      </c>
      <c r="R1571">
        <v>7</v>
      </c>
      <c r="S1571" t="s">
        <v>31</v>
      </c>
      <c r="T1571" t="s">
        <v>2711</v>
      </c>
      <c r="U1571" t="s">
        <v>2712</v>
      </c>
      <c r="V1571" s="3">
        <v>41239</v>
      </c>
    </row>
    <row r="1572" spans="1:22" x14ac:dyDescent="0.35">
      <c r="A1572" s="1">
        <v>42367.320567129631</v>
      </c>
      <c r="B1572" s="2">
        <v>1.6203703703703703E-3</v>
      </c>
      <c r="C1572" t="s">
        <v>2707</v>
      </c>
      <c r="D1572" t="s">
        <v>23</v>
      </c>
      <c r="E1572" t="s">
        <v>24</v>
      </c>
      <c r="F1572" t="s">
        <v>2708</v>
      </c>
      <c r="G1572">
        <v>817977</v>
      </c>
      <c r="H1572" t="s">
        <v>26</v>
      </c>
      <c r="I1572" t="s">
        <v>280</v>
      </c>
      <c r="J1572" t="str">
        <f>"9781118222188"</f>
        <v>9781118222188</v>
      </c>
      <c r="K1572" t="s">
        <v>2322</v>
      </c>
      <c r="L1572">
        <v>23</v>
      </c>
      <c r="O1572" t="s">
        <v>30</v>
      </c>
      <c r="P1572" t="s">
        <v>42</v>
      </c>
      <c r="S1572" t="s">
        <v>31</v>
      </c>
      <c r="T1572" t="s">
        <v>2711</v>
      </c>
      <c r="U1572" t="s">
        <v>2712</v>
      </c>
      <c r="V1572" s="3">
        <v>41239</v>
      </c>
    </row>
    <row r="1573" spans="1:22" x14ac:dyDescent="0.35">
      <c r="A1573" s="1">
        <v>42367.318877314814</v>
      </c>
      <c r="B1573" s="2">
        <v>1.4583333333333334E-3</v>
      </c>
      <c r="C1573" t="s">
        <v>2707</v>
      </c>
      <c r="D1573" t="s">
        <v>23</v>
      </c>
      <c r="E1573" t="s">
        <v>24</v>
      </c>
      <c r="F1573" t="s">
        <v>2708</v>
      </c>
      <c r="G1573">
        <v>817977</v>
      </c>
      <c r="H1573" t="s">
        <v>26</v>
      </c>
      <c r="I1573" t="s">
        <v>280</v>
      </c>
      <c r="J1573" t="str">
        <f>"9781118222188"</f>
        <v>9781118222188</v>
      </c>
      <c r="K1573" t="s">
        <v>2713</v>
      </c>
      <c r="L1573">
        <v>21</v>
      </c>
      <c r="O1573" t="s">
        <v>30</v>
      </c>
      <c r="P1573" t="s">
        <v>42</v>
      </c>
      <c r="S1573" t="s">
        <v>31</v>
      </c>
      <c r="T1573" t="s">
        <v>2711</v>
      </c>
      <c r="U1573" t="s">
        <v>2712</v>
      </c>
      <c r="V1573" s="3">
        <v>41239</v>
      </c>
    </row>
    <row r="1574" spans="1:22" x14ac:dyDescent="0.35">
      <c r="A1574" s="1">
        <v>42367.277129629627</v>
      </c>
      <c r="B1574" s="2">
        <v>2.2453703703703702E-3</v>
      </c>
      <c r="C1574" t="s">
        <v>2714</v>
      </c>
      <c r="D1574" t="s">
        <v>23</v>
      </c>
      <c r="E1574" t="s">
        <v>24</v>
      </c>
      <c r="F1574" t="s">
        <v>2715</v>
      </c>
      <c r="G1574">
        <v>2027199</v>
      </c>
      <c r="H1574" t="s">
        <v>26</v>
      </c>
      <c r="J1574" t="str">
        <f>"9781118880784"</f>
        <v>9781118880784</v>
      </c>
      <c r="K1574" t="s">
        <v>2716</v>
      </c>
      <c r="L1574">
        <v>15</v>
      </c>
      <c r="O1574" t="s">
        <v>30</v>
      </c>
      <c r="P1574" t="s">
        <v>50</v>
      </c>
      <c r="S1574" t="s">
        <v>31</v>
      </c>
      <c r="V1574" s="3">
        <v>42102</v>
      </c>
    </row>
    <row r="1575" spans="1:22" x14ac:dyDescent="0.35">
      <c r="A1575" s="1">
        <v>42367.085555555554</v>
      </c>
      <c r="B1575" s="2">
        <v>3.2407407407407406E-4</v>
      </c>
      <c r="C1575" t="s">
        <v>2717</v>
      </c>
      <c r="D1575" t="s">
        <v>23</v>
      </c>
      <c r="E1575" t="s">
        <v>24</v>
      </c>
      <c r="F1575" t="s">
        <v>2718</v>
      </c>
      <c r="G1575">
        <v>1461204</v>
      </c>
      <c r="H1575" t="s">
        <v>68</v>
      </c>
      <c r="I1575" t="s">
        <v>69</v>
      </c>
      <c r="J1575" t="str">
        <f>"9781317749653"</f>
        <v>9781317749653</v>
      </c>
      <c r="K1575" t="s">
        <v>2719</v>
      </c>
      <c r="L1575">
        <v>4</v>
      </c>
      <c r="M1575" t="s">
        <v>2720</v>
      </c>
      <c r="O1575" t="s">
        <v>30</v>
      </c>
      <c r="P1575" t="s">
        <v>47</v>
      </c>
      <c r="Q1575" s="1">
        <v>42367.085555555554</v>
      </c>
      <c r="R1575">
        <v>1</v>
      </c>
      <c r="S1575" t="s">
        <v>31</v>
      </c>
      <c r="T1575">
        <v>2007024388</v>
      </c>
      <c r="U1575">
        <v>370.72</v>
      </c>
      <c r="V1575" s="3">
        <v>41555</v>
      </c>
    </row>
    <row r="1576" spans="1:22" x14ac:dyDescent="0.35">
      <c r="A1576" s="1">
        <v>42367.081932870373</v>
      </c>
      <c r="B1576" s="2">
        <v>3.6226851851851854E-3</v>
      </c>
      <c r="C1576" t="s">
        <v>2717</v>
      </c>
      <c r="D1576" t="s">
        <v>23</v>
      </c>
      <c r="E1576" t="s">
        <v>24</v>
      </c>
      <c r="F1576" t="s">
        <v>2718</v>
      </c>
      <c r="G1576">
        <v>1461204</v>
      </c>
      <c r="H1576" t="s">
        <v>68</v>
      </c>
      <c r="I1576" t="s">
        <v>69</v>
      </c>
      <c r="J1576" t="str">
        <f>"9781317749653"</f>
        <v>9781317749653</v>
      </c>
      <c r="K1576" t="s">
        <v>2721</v>
      </c>
      <c r="L1576">
        <v>33</v>
      </c>
      <c r="O1576" t="s">
        <v>30</v>
      </c>
      <c r="P1576" t="s">
        <v>50</v>
      </c>
      <c r="S1576" t="s">
        <v>31</v>
      </c>
      <c r="T1576">
        <v>2007024388</v>
      </c>
      <c r="U1576">
        <v>370.72</v>
      </c>
      <c r="V1576" s="3">
        <v>41555</v>
      </c>
    </row>
    <row r="1577" spans="1:22" x14ac:dyDescent="0.35">
      <c r="A1577" s="1">
        <v>42367.060335648152</v>
      </c>
      <c r="B1577" s="2">
        <v>0</v>
      </c>
      <c r="C1577" t="s">
        <v>2705</v>
      </c>
      <c r="D1577" t="s">
        <v>23</v>
      </c>
      <c r="E1577" t="s">
        <v>24</v>
      </c>
      <c r="F1577" t="s">
        <v>226</v>
      </c>
      <c r="G1577">
        <v>1895348</v>
      </c>
      <c r="H1577" t="s">
        <v>26</v>
      </c>
      <c r="I1577" t="s">
        <v>69</v>
      </c>
      <c r="J1577" t="str">
        <f>"9781119068839"</f>
        <v>9781119068839</v>
      </c>
      <c r="K1577" t="s">
        <v>2722</v>
      </c>
      <c r="L1577">
        <v>1</v>
      </c>
      <c r="O1577" t="s">
        <v>30</v>
      </c>
      <c r="P1577" t="s">
        <v>29</v>
      </c>
      <c r="Q1577" s="1">
        <v>42367.060335648152</v>
      </c>
      <c r="R1577">
        <v>7</v>
      </c>
      <c r="S1577" t="s">
        <v>31</v>
      </c>
      <c r="T1577" t="s">
        <v>227</v>
      </c>
      <c r="U1577">
        <v>378.16640000000001</v>
      </c>
      <c r="V1577" s="3">
        <v>42151</v>
      </c>
    </row>
    <row r="1578" spans="1:22" x14ac:dyDescent="0.35">
      <c r="A1578" s="1">
        <v>42367.060081018521</v>
      </c>
      <c r="B1578" s="2">
        <v>0</v>
      </c>
      <c r="C1578" t="s">
        <v>2705</v>
      </c>
      <c r="D1578" t="s">
        <v>23</v>
      </c>
      <c r="E1578" t="s">
        <v>24</v>
      </c>
      <c r="F1578" t="s">
        <v>226</v>
      </c>
      <c r="G1578">
        <v>1895348</v>
      </c>
      <c r="H1578" t="s">
        <v>26</v>
      </c>
      <c r="I1578" t="s">
        <v>69</v>
      </c>
      <c r="J1578" t="str">
        <f>"9781119068839"</f>
        <v>9781119068839</v>
      </c>
      <c r="K1578" t="s">
        <v>2723</v>
      </c>
      <c r="L1578">
        <v>1</v>
      </c>
      <c r="O1578" t="s">
        <v>30</v>
      </c>
      <c r="P1578" t="s">
        <v>29</v>
      </c>
      <c r="Q1578" s="1">
        <v>42367.060069444444</v>
      </c>
      <c r="R1578">
        <v>7</v>
      </c>
      <c r="S1578" t="s">
        <v>31</v>
      </c>
      <c r="T1578" t="s">
        <v>227</v>
      </c>
      <c r="U1578">
        <v>378.16640000000001</v>
      </c>
      <c r="V1578" s="3">
        <v>42151</v>
      </c>
    </row>
    <row r="1579" spans="1:22" x14ac:dyDescent="0.35">
      <c r="A1579" s="1">
        <v>42367.047048611108</v>
      </c>
      <c r="B1579" s="2">
        <v>1.3020833333333334E-2</v>
      </c>
      <c r="C1579" t="s">
        <v>2705</v>
      </c>
      <c r="D1579" t="s">
        <v>23</v>
      </c>
      <c r="E1579" t="s">
        <v>24</v>
      </c>
      <c r="F1579" t="s">
        <v>226</v>
      </c>
      <c r="G1579">
        <v>1895348</v>
      </c>
      <c r="H1579" t="s">
        <v>26</v>
      </c>
      <c r="I1579" t="s">
        <v>69</v>
      </c>
      <c r="J1579" t="str">
        <f>"9781119068839"</f>
        <v>9781119068839</v>
      </c>
      <c r="K1579" t="s">
        <v>2724</v>
      </c>
      <c r="L1579">
        <v>8</v>
      </c>
      <c r="O1579" t="s">
        <v>30</v>
      </c>
      <c r="P1579" t="s">
        <v>42</v>
      </c>
      <c r="S1579" t="s">
        <v>31</v>
      </c>
      <c r="T1579" t="s">
        <v>227</v>
      </c>
      <c r="U1579">
        <v>378.16640000000001</v>
      </c>
      <c r="V1579" s="3">
        <v>42151</v>
      </c>
    </row>
    <row r="1580" spans="1:22" x14ac:dyDescent="0.35">
      <c r="A1580" s="1">
        <v>42367.046238425923</v>
      </c>
      <c r="B1580" s="2">
        <v>1.4097222222222221E-2</v>
      </c>
      <c r="C1580" t="s">
        <v>2705</v>
      </c>
      <c r="D1580" t="s">
        <v>23</v>
      </c>
      <c r="E1580" t="s">
        <v>24</v>
      </c>
      <c r="F1580" t="s">
        <v>226</v>
      </c>
      <c r="G1580">
        <v>1895348</v>
      </c>
      <c r="H1580" t="s">
        <v>26</v>
      </c>
      <c r="I1580" t="s">
        <v>69</v>
      </c>
      <c r="J1580" t="str">
        <f>"9781119068839"</f>
        <v>9781119068839</v>
      </c>
      <c r="K1580" t="s">
        <v>2725</v>
      </c>
      <c r="L1580">
        <v>13</v>
      </c>
      <c r="O1580" t="s">
        <v>30</v>
      </c>
      <c r="P1580" t="s">
        <v>42</v>
      </c>
      <c r="S1580" t="s">
        <v>31</v>
      </c>
      <c r="T1580" t="s">
        <v>227</v>
      </c>
      <c r="U1580">
        <v>378.16640000000001</v>
      </c>
      <c r="V1580" s="3">
        <v>42151</v>
      </c>
    </row>
    <row r="1581" spans="1:22" x14ac:dyDescent="0.35">
      <c r="A1581" s="1">
        <v>42367.006157407406</v>
      </c>
      <c r="B1581" s="2">
        <v>3.9085648148148147E-2</v>
      </c>
      <c r="C1581" t="s">
        <v>2705</v>
      </c>
      <c r="D1581" t="s">
        <v>23</v>
      </c>
      <c r="E1581" t="s">
        <v>24</v>
      </c>
      <c r="F1581" t="s">
        <v>226</v>
      </c>
      <c r="G1581">
        <v>817313</v>
      </c>
      <c r="H1581" t="s">
        <v>26</v>
      </c>
      <c r="I1581" t="s">
        <v>69</v>
      </c>
      <c r="J1581" t="str">
        <f>"9781118136829"</f>
        <v>9781118136829</v>
      </c>
      <c r="K1581" t="s">
        <v>2726</v>
      </c>
      <c r="L1581">
        <v>33</v>
      </c>
      <c r="O1581" t="s">
        <v>30</v>
      </c>
      <c r="P1581" t="s">
        <v>29</v>
      </c>
      <c r="Q1581" s="1">
        <v>42364.901018518518</v>
      </c>
      <c r="R1581">
        <v>7</v>
      </c>
      <c r="S1581" t="s">
        <v>31</v>
      </c>
      <c r="T1581" t="s">
        <v>2311</v>
      </c>
      <c r="U1581">
        <v>378.16640000000001</v>
      </c>
      <c r="V1581" s="3">
        <v>40918</v>
      </c>
    </row>
    <row r="1582" spans="1:22" x14ac:dyDescent="0.35">
      <c r="A1582" s="1">
        <v>42366.968969907408</v>
      </c>
      <c r="B1582" s="2">
        <v>7.6354166666666667E-2</v>
      </c>
      <c r="C1582" t="s">
        <v>2705</v>
      </c>
      <c r="D1582" t="s">
        <v>23</v>
      </c>
      <c r="E1582" t="s">
        <v>24</v>
      </c>
      <c r="F1582" t="s">
        <v>226</v>
      </c>
      <c r="G1582">
        <v>817313</v>
      </c>
      <c r="H1582" t="s">
        <v>26</v>
      </c>
      <c r="I1582" t="s">
        <v>69</v>
      </c>
      <c r="J1582" t="str">
        <f>"9781118136829"</f>
        <v>9781118136829</v>
      </c>
      <c r="K1582" t="s">
        <v>2727</v>
      </c>
      <c r="L1582">
        <v>26</v>
      </c>
      <c r="O1582" t="s">
        <v>30</v>
      </c>
      <c r="P1582" t="s">
        <v>29</v>
      </c>
      <c r="Q1582" s="1">
        <v>42364.901018518518</v>
      </c>
      <c r="R1582">
        <v>7</v>
      </c>
      <c r="S1582" t="s">
        <v>31</v>
      </c>
      <c r="T1582" t="s">
        <v>2311</v>
      </c>
      <c r="U1582">
        <v>378.16640000000001</v>
      </c>
      <c r="V1582" s="3">
        <v>40918</v>
      </c>
    </row>
    <row r="1583" spans="1:22" x14ac:dyDescent="0.35">
      <c r="A1583" s="1">
        <v>42366.965405092589</v>
      </c>
      <c r="B1583" s="2">
        <v>3.2754629629629631E-3</v>
      </c>
      <c r="C1583" t="s">
        <v>2705</v>
      </c>
      <c r="D1583" t="s">
        <v>23</v>
      </c>
      <c r="E1583" t="s">
        <v>24</v>
      </c>
      <c r="F1583" t="s">
        <v>226</v>
      </c>
      <c r="G1583">
        <v>817313</v>
      </c>
      <c r="H1583" t="s">
        <v>26</v>
      </c>
      <c r="I1583" t="s">
        <v>69</v>
      </c>
      <c r="J1583" t="str">
        <f>"9781118136829"</f>
        <v>9781118136829</v>
      </c>
      <c r="K1583" t="s">
        <v>2728</v>
      </c>
      <c r="L1583">
        <v>20</v>
      </c>
      <c r="O1583" t="s">
        <v>30</v>
      </c>
      <c r="P1583" t="s">
        <v>29</v>
      </c>
      <c r="Q1583" s="1">
        <v>42364.901018518518</v>
      </c>
      <c r="R1583">
        <v>7</v>
      </c>
      <c r="S1583" t="s">
        <v>31</v>
      </c>
      <c r="T1583" t="s">
        <v>2311</v>
      </c>
      <c r="U1583">
        <v>378.16640000000001</v>
      </c>
      <c r="V1583" s="3">
        <v>40918</v>
      </c>
    </row>
    <row r="1584" spans="1:22" x14ac:dyDescent="0.35">
      <c r="A1584" s="1">
        <v>42366.961736111109</v>
      </c>
      <c r="B1584" s="2">
        <v>4.7453703703703704E-4</v>
      </c>
      <c r="C1584" t="s">
        <v>2729</v>
      </c>
      <c r="D1584" t="s">
        <v>211</v>
      </c>
      <c r="E1584" t="s">
        <v>212</v>
      </c>
      <c r="F1584" t="s">
        <v>2640</v>
      </c>
      <c r="G1584">
        <v>1546788</v>
      </c>
      <c r="H1584" t="s">
        <v>68</v>
      </c>
      <c r="I1584" t="s">
        <v>120</v>
      </c>
      <c r="J1584" t="str">
        <f>"9781317975021"</f>
        <v>9781317975021</v>
      </c>
      <c r="K1584" t="s">
        <v>2730</v>
      </c>
      <c r="L1584">
        <v>1</v>
      </c>
      <c r="O1584" t="s">
        <v>28</v>
      </c>
      <c r="P1584" t="s">
        <v>47</v>
      </c>
      <c r="Q1584" s="1">
        <v>42366.961736111109</v>
      </c>
      <c r="R1584">
        <v>1</v>
      </c>
      <c r="S1584" t="s">
        <v>214</v>
      </c>
      <c r="T1584" t="s">
        <v>2642</v>
      </c>
      <c r="U1584">
        <v>300.10000000000002</v>
      </c>
      <c r="V1584" s="3">
        <v>41585</v>
      </c>
    </row>
    <row r="1585" spans="1:22" x14ac:dyDescent="0.35">
      <c r="A1585" s="1">
        <v>42366.961736111109</v>
      </c>
      <c r="B1585" s="2">
        <v>0</v>
      </c>
      <c r="C1585" t="s">
        <v>2729</v>
      </c>
      <c r="D1585" t="s">
        <v>211</v>
      </c>
      <c r="E1585" t="s">
        <v>212</v>
      </c>
      <c r="F1585" t="s">
        <v>2640</v>
      </c>
      <c r="G1585">
        <v>1546788</v>
      </c>
      <c r="H1585" t="s">
        <v>68</v>
      </c>
      <c r="I1585" t="s">
        <v>120</v>
      </c>
      <c r="J1585" t="str">
        <f>"9781317975021"</f>
        <v>9781317975021</v>
      </c>
      <c r="L1585">
        <v>0</v>
      </c>
      <c r="O1585" t="s">
        <v>30</v>
      </c>
      <c r="P1585" t="s">
        <v>47</v>
      </c>
      <c r="Q1585" s="1">
        <v>42366.961736111109</v>
      </c>
      <c r="R1585">
        <v>1</v>
      </c>
      <c r="S1585" t="s">
        <v>214</v>
      </c>
      <c r="T1585" t="s">
        <v>2642</v>
      </c>
      <c r="U1585">
        <v>300.10000000000002</v>
      </c>
      <c r="V1585" s="3">
        <v>41585</v>
      </c>
    </row>
    <row r="1586" spans="1:22" x14ac:dyDescent="0.35">
      <c r="A1586" s="1">
        <v>42366.959837962961</v>
      </c>
      <c r="B1586" s="2">
        <v>1.8981481481481482E-3</v>
      </c>
      <c r="C1586" t="s">
        <v>2729</v>
      </c>
      <c r="D1586" t="s">
        <v>211</v>
      </c>
      <c r="E1586" t="s">
        <v>212</v>
      </c>
      <c r="F1586" t="s">
        <v>2640</v>
      </c>
      <c r="G1586">
        <v>1546788</v>
      </c>
      <c r="H1586" t="s">
        <v>68</v>
      </c>
      <c r="I1586" t="s">
        <v>120</v>
      </c>
      <c r="J1586" t="str">
        <f>"9781317975021"</f>
        <v>9781317975021</v>
      </c>
      <c r="K1586" t="s">
        <v>2731</v>
      </c>
      <c r="L1586">
        <v>9</v>
      </c>
      <c r="O1586" t="s">
        <v>30</v>
      </c>
      <c r="P1586" t="s">
        <v>50</v>
      </c>
      <c r="S1586" t="s">
        <v>214</v>
      </c>
      <c r="T1586" t="s">
        <v>2642</v>
      </c>
      <c r="U1586">
        <v>300.10000000000002</v>
      </c>
      <c r="V1586" s="3">
        <v>41585</v>
      </c>
    </row>
    <row r="1587" spans="1:22" x14ac:dyDescent="0.35">
      <c r="A1587" s="1">
        <v>42366.934930555559</v>
      </c>
      <c r="B1587" s="2">
        <v>2.1527777777777778E-3</v>
      </c>
      <c r="C1587" t="s">
        <v>2732</v>
      </c>
      <c r="D1587" t="s">
        <v>261</v>
      </c>
      <c r="E1587" t="s">
        <v>262</v>
      </c>
      <c r="F1587" t="s">
        <v>2733</v>
      </c>
      <c r="G1587">
        <v>1295002</v>
      </c>
      <c r="H1587" t="s">
        <v>26</v>
      </c>
      <c r="I1587" t="s">
        <v>120</v>
      </c>
      <c r="J1587" t="str">
        <f>"9780745674674"</f>
        <v>9780745674674</v>
      </c>
      <c r="K1587" t="s">
        <v>2734</v>
      </c>
      <c r="L1587">
        <v>24</v>
      </c>
      <c r="O1587" t="s">
        <v>30</v>
      </c>
      <c r="P1587" t="s">
        <v>42</v>
      </c>
      <c r="S1587" t="s">
        <v>264</v>
      </c>
      <c r="T1587" t="s">
        <v>2735</v>
      </c>
      <c r="U1587">
        <v>391.00900000000001</v>
      </c>
      <c r="V1587" s="3">
        <v>41393</v>
      </c>
    </row>
    <row r="1588" spans="1:22" x14ac:dyDescent="0.35">
      <c r="A1588" s="1">
        <v>42366.934386574074</v>
      </c>
      <c r="B1588" s="2">
        <v>0</v>
      </c>
      <c r="C1588" t="s">
        <v>2736</v>
      </c>
      <c r="D1588" t="s">
        <v>23</v>
      </c>
      <c r="E1588" t="s">
        <v>24</v>
      </c>
      <c r="F1588" t="s">
        <v>2737</v>
      </c>
      <c r="G1588">
        <v>1382093</v>
      </c>
      <c r="H1588" t="s">
        <v>68</v>
      </c>
      <c r="I1588" t="s">
        <v>630</v>
      </c>
      <c r="J1588" t="str">
        <f>"9781135776008"</f>
        <v>9781135776008</v>
      </c>
      <c r="L1588">
        <v>0</v>
      </c>
      <c r="O1588" t="s">
        <v>28</v>
      </c>
      <c r="P1588" t="s">
        <v>47</v>
      </c>
      <c r="Q1588" s="1">
        <v>42366.934386574074</v>
      </c>
      <c r="R1588">
        <v>7</v>
      </c>
      <c r="S1588" t="s">
        <v>31</v>
      </c>
      <c r="T1588" t="s">
        <v>2738</v>
      </c>
      <c r="U1588">
        <v>194</v>
      </c>
      <c r="V1588" s="3">
        <v>41522</v>
      </c>
    </row>
    <row r="1589" spans="1:22" x14ac:dyDescent="0.35">
      <c r="A1589" s="1">
        <v>42366.934386574074</v>
      </c>
      <c r="B1589" s="2">
        <v>0</v>
      </c>
      <c r="C1589" t="s">
        <v>2736</v>
      </c>
      <c r="D1589" t="s">
        <v>23</v>
      </c>
      <c r="E1589" t="s">
        <v>24</v>
      </c>
      <c r="F1589" t="s">
        <v>2737</v>
      </c>
      <c r="G1589">
        <v>1382093</v>
      </c>
      <c r="H1589" t="s">
        <v>68</v>
      </c>
      <c r="I1589" t="s">
        <v>630</v>
      </c>
      <c r="J1589" t="str">
        <f>"9781135776008"</f>
        <v>9781135776008</v>
      </c>
      <c r="L1589">
        <v>0</v>
      </c>
      <c r="O1589" t="s">
        <v>30</v>
      </c>
      <c r="P1589" t="s">
        <v>47</v>
      </c>
      <c r="Q1589" s="1">
        <v>42366.934386574074</v>
      </c>
      <c r="R1589">
        <v>7</v>
      </c>
      <c r="S1589" t="s">
        <v>31</v>
      </c>
      <c r="T1589" t="s">
        <v>2738</v>
      </c>
      <c r="U1589">
        <v>194</v>
      </c>
      <c r="V1589" s="3">
        <v>41522</v>
      </c>
    </row>
    <row r="1590" spans="1:22" x14ac:dyDescent="0.35">
      <c r="A1590" s="1">
        <v>42366.934224537035</v>
      </c>
      <c r="B1590" s="2">
        <v>1.6203703703703703E-4</v>
      </c>
      <c r="C1590" t="s">
        <v>2736</v>
      </c>
      <c r="D1590" t="s">
        <v>23</v>
      </c>
      <c r="E1590" t="s">
        <v>24</v>
      </c>
      <c r="F1590" t="s">
        <v>2737</v>
      </c>
      <c r="G1590">
        <v>1382093</v>
      </c>
      <c r="H1590" t="s">
        <v>68</v>
      </c>
      <c r="I1590" t="s">
        <v>630</v>
      </c>
      <c r="J1590" t="str">
        <f>"9781135776008"</f>
        <v>9781135776008</v>
      </c>
      <c r="K1590" t="s">
        <v>33</v>
      </c>
      <c r="L1590">
        <v>3</v>
      </c>
      <c r="O1590" t="s">
        <v>30</v>
      </c>
      <c r="P1590" t="s">
        <v>50</v>
      </c>
      <c r="S1590" t="s">
        <v>31</v>
      </c>
      <c r="T1590" t="s">
        <v>2738</v>
      </c>
      <c r="U1590">
        <v>194</v>
      </c>
      <c r="V1590" s="3">
        <v>41522</v>
      </c>
    </row>
    <row r="1591" spans="1:22" x14ac:dyDescent="0.35">
      <c r="A1591" s="1">
        <v>42366.89503472222</v>
      </c>
      <c r="B1591" s="2">
        <v>7.3923611111111107E-2</v>
      </c>
      <c r="C1591" t="s">
        <v>2705</v>
      </c>
      <c r="D1591" t="s">
        <v>23</v>
      </c>
      <c r="E1591" t="s">
        <v>24</v>
      </c>
      <c r="F1591" t="s">
        <v>226</v>
      </c>
      <c r="G1591">
        <v>817313</v>
      </c>
      <c r="H1591" t="s">
        <v>26</v>
      </c>
      <c r="I1591" t="s">
        <v>69</v>
      </c>
      <c r="J1591" t="str">
        <f>"9781118136829"</f>
        <v>9781118136829</v>
      </c>
      <c r="K1591" t="s">
        <v>2739</v>
      </c>
      <c r="L1591">
        <v>20</v>
      </c>
      <c r="O1591" t="s">
        <v>30</v>
      </c>
      <c r="P1591" t="s">
        <v>29</v>
      </c>
      <c r="Q1591" s="1">
        <v>42364.901018518518</v>
      </c>
      <c r="R1591">
        <v>7</v>
      </c>
      <c r="S1591" t="s">
        <v>31</v>
      </c>
      <c r="T1591" t="s">
        <v>2311</v>
      </c>
      <c r="U1591">
        <v>378.16640000000001</v>
      </c>
      <c r="V1591" s="3">
        <v>40918</v>
      </c>
    </row>
    <row r="1592" spans="1:22" x14ac:dyDescent="0.35">
      <c r="A1592" s="1">
        <v>42366.894120370373</v>
      </c>
      <c r="B1592" s="2">
        <v>1.6203703703703703E-4</v>
      </c>
      <c r="C1592" t="s">
        <v>2705</v>
      </c>
      <c r="D1592" t="s">
        <v>23</v>
      </c>
      <c r="E1592" t="s">
        <v>24</v>
      </c>
      <c r="F1592" t="s">
        <v>226</v>
      </c>
      <c r="G1592">
        <v>1895348</v>
      </c>
      <c r="H1592" t="s">
        <v>26</v>
      </c>
      <c r="I1592" t="s">
        <v>69</v>
      </c>
      <c r="J1592" t="str">
        <f>"9781119068839"</f>
        <v>9781119068839</v>
      </c>
      <c r="K1592" t="s">
        <v>2740</v>
      </c>
      <c r="L1592">
        <v>8</v>
      </c>
      <c r="O1592" t="s">
        <v>30</v>
      </c>
      <c r="P1592" t="s">
        <v>42</v>
      </c>
      <c r="S1592" t="s">
        <v>31</v>
      </c>
      <c r="T1592" t="s">
        <v>227</v>
      </c>
      <c r="U1592">
        <v>378.16640000000001</v>
      </c>
      <c r="V1592" s="3">
        <v>42151</v>
      </c>
    </row>
    <row r="1593" spans="1:22" x14ac:dyDescent="0.35">
      <c r="A1593" s="1">
        <v>42366.892187500001</v>
      </c>
      <c r="B1593" s="2">
        <v>2.3379629629629631E-3</v>
      </c>
      <c r="C1593" t="s">
        <v>2705</v>
      </c>
      <c r="D1593" t="s">
        <v>23</v>
      </c>
      <c r="E1593" t="s">
        <v>24</v>
      </c>
      <c r="F1593" t="s">
        <v>226</v>
      </c>
      <c r="G1593">
        <v>1895348</v>
      </c>
      <c r="H1593" t="s">
        <v>26</v>
      </c>
      <c r="I1593" t="s">
        <v>69</v>
      </c>
      <c r="J1593" t="str">
        <f>"9781119068839"</f>
        <v>9781119068839</v>
      </c>
      <c r="K1593" t="s">
        <v>2741</v>
      </c>
      <c r="L1593">
        <v>27</v>
      </c>
      <c r="O1593" t="s">
        <v>30</v>
      </c>
      <c r="P1593" t="s">
        <v>42</v>
      </c>
      <c r="S1593" t="s">
        <v>31</v>
      </c>
      <c r="T1593" t="s">
        <v>227</v>
      </c>
      <c r="U1593">
        <v>378.16640000000001</v>
      </c>
      <c r="V1593" s="3">
        <v>42151</v>
      </c>
    </row>
    <row r="1594" spans="1:22" x14ac:dyDescent="0.35">
      <c r="A1594" s="1">
        <v>42366.887372685182</v>
      </c>
      <c r="B1594" s="2">
        <v>0</v>
      </c>
      <c r="C1594" t="s">
        <v>2742</v>
      </c>
      <c r="D1594" t="s">
        <v>23</v>
      </c>
      <c r="E1594" t="s">
        <v>24</v>
      </c>
      <c r="F1594" t="s">
        <v>2743</v>
      </c>
      <c r="G1594">
        <v>1569694</v>
      </c>
      <c r="H1594" t="s">
        <v>68</v>
      </c>
      <c r="I1594" t="s">
        <v>150</v>
      </c>
      <c r="J1594" t="str">
        <f>"9781317860938"</f>
        <v>9781317860938</v>
      </c>
      <c r="L1594">
        <v>0</v>
      </c>
      <c r="O1594" t="s">
        <v>28</v>
      </c>
      <c r="P1594" t="s">
        <v>47</v>
      </c>
      <c r="Q1594" s="1">
        <v>42366.887372685182</v>
      </c>
      <c r="R1594">
        <v>7</v>
      </c>
      <c r="S1594" t="s">
        <v>31</v>
      </c>
      <c r="T1594" t="s">
        <v>2744</v>
      </c>
      <c r="U1594">
        <v>700.41120000000001</v>
      </c>
      <c r="V1594" s="3">
        <v>41582</v>
      </c>
    </row>
    <row r="1595" spans="1:22" x14ac:dyDescent="0.35">
      <c r="A1595" s="1">
        <v>42366.887372685182</v>
      </c>
      <c r="B1595" s="2">
        <v>0</v>
      </c>
      <c r="C1595" t="s">
        <v>2742</v>
      </c>
      <c r="D1595" t="s">
        <v>23</v>
      </c>
      <c r="E1595" t="s">
        <v>24</v>
      </c>
      <c r="F1595" t="s">
        <v>2743</v>
      </c>
      <c r="G1595">
        <v>1569694</v>
      </c>
      <c r="H1595" t="s">
        <v>68</v>
      </c>
      <c r="I1595" t="s">
        <v>150</v>
      </c>
      <c r="J1595" t="str">
        <f>"9781317860938"</f>
        <v>9781317860938</v>
      </c>
      <c r="L1595">
        <v>0</v>
      </c>
      <c r="O1595" t="s">
        <v>30</v>
      </c>
      <c r="P1595" t="s">
        <v>47</v>
      </c>
      <c r="Q1595" s="1">
        <v>42366.887372685182</v>
      </c>
      <c r="R1595">
        <v>7</v>
      </c>
      <c r="S1595" t="s">
        <v>31</v>
      </c>
      <c r="T1595" t="s">
        <v>2744</v>
      </c>
      <c r="U1595">
        <v>700.41120000000001</v>
      </c>
      <c r="V1595" s="3">
        <v>41582</v>
      </c>
    </row>
    <row r="1596" spans="1:22" x14ac:dyDescent="0.35">
      <c r="A1596" s="1">
        <v>42366.882997685185</v>
      </c>
      <c r="B1596" s="2">
        <v>4.363425925925926E-3</v>
      </c>
      <c r="C1596" t="s">
        <v>2742</v>
      </c>
      <c r="D1596" t="s">
        <v>23</v>
      </c>
      <c r="E1596" t="s">
        <v>24</v>
      </c>
      <c r="F1596" t="s">
        <v>2743</v>
      </c>
      <c r="G1596">
        <v>1569694</v>
      </c>
      <c r="H1596" t="s">
        <v>68</v>
      </c>
      <c r="I1596" t="s">
        <v>150</v>
      </c>
      <c r="J1596" t="str">
        <f>"9781317860938"</f>
        <v>9781317860938</v>
      </c>
      <c r="K1596" t="s">
        <v>2745</v>
      </c>
      <c r="L1596">
        <v>36</v>
      </c>
      <c r="O1596" t="s">
        <v>30</v>
      </c>
      <c r="P1596" t="s">
        <v>50</v>
      </c>
      <c r="S1596" t="s">
        <v>31</v>
      </c>
      <c r="T1596" t="s">
        <v>2744</v>
      </c>
      <c r="U1596">
        <v>700.41120000000001</v>
      </c>
      <c r="V1596" s="3">
        <v>41582</v>
      </c>
    </row>
    <row r="1597" spans="1:22" x14ac:dyDescent="0.35">
      <c r="A1597" s="1">
        <v>42366.857094907406</v>
      </c>
      <c r="B1597" s="2">
        <v>7.5104166666666666E-2</v>
      </c>
      <c r="C1597" t="s">
        <v>2705</v>
      </c>
      <c r="D1597" t="s">
        <v>23</v>
      </c>
      <c r="E1597" t="s">
        <v>24</v>
      </c>
      <c r="F1597" t="s">
        <v>226</v>
      </c>
      <c r="G1597">
        <v>817313</v>
      </c>
      <c r="H1597" t="s">
        <v>26</v>
      </c>
      <c r="I1597" t="s">
        <v>69</v>
      </c>
      <c r="J1597" t="str">
        <f>"9781118136829"</f>
        <v>9781118136829</v>
      </c>
      <c r="K1597" t="s">
        <v>2746</v>
      </c>
      <c r="L1597">
        <v>44</v>
      </c>
      <c r="O1597" t="s">
        <v>30</v>
      </c>
      <c r="P1597" t="s">
        <v>29</v>
      </c>
      <c r="Q1597" s="1">
        <v>42364.901018518518</v>
      </c>
      <c r="R1597">
        <v>7</v>
      </c>
      <c r="S1597" t="s">
        <v>31</v>
      </c>
      <c r="T1597" t="s">
        <v>2311</v>
      </c>
      <c r="U1597">
        <v>378.16640000000001</v>
      </c>
      <c r="V1597" s="3">
        <v>40918</v>
      </c>
    </row>
    <row r="1598" spans="1:22" x14ac:dyDescent="0.35">
      <c r="A1598" s="1">
        <v>42366.74659722222</v>
      </c>
      <c r="B1598" s="2">
        <v>5.7361111111111113E-2</v>
      </c>
      <c r="C1598" t="s">
        <v>2705</v>
      </c>
      <c r="D1598" t="s">
        <v>23</v>
      </c>
      <c r="E1598" t="s">
        <v>24</v>
      </c>
      <c r="F1598" t="s">
        <v>226</v>
      </c>
      <c r="G1598">
        <v>817313</v>
      </c>
      <c r="H1598" t="s">
        <v>26</v>
      </c>
      <c r="I1598" t="s">
        <v>69</v>
      </c>
      <c r="J1598" t="str">
        <f>"9781118136829"</f>
        <v>9781118136829</v>
      </c>
      <c r="K1598" t="s">
        <v>2747</v>
      </c>
      <c r="L1598">
        <v>62</v>
      </c>
      <c r="O1598" t="s">
        <v>30</v>
      </c>
      <c r="P1598" t="s">
        <v>29</v>
      </c>
      <c r="Q1598" s="1">
        <v>42364.901018518518</v>
      </c>
      <c r="R1598">
        <v>7</v>
      </c>
      <c r="S1598" t="s">
        <v>31</v>
      </c>
      <c r="T1598" t="s">
        <v>2311</v>
      </c>
      <c r="U1598">
        <v>378.16640000000001</v>
      </c>
      <c r="V1598" s="3">
        <v>40918</v>
      </c>
    </row>
    <row r="1599" spans="1:22" x14ac:dyDescent="0.35">
      <c r="A1599" s="1">
        <v>42366.718819444446</v>
      </c>
      <c r="B1599" s="2">
        <v>3.0497685185185183E-2</v>
      </c>
      <c r="C1599" t="s">
        <v>2576</v>
      </c>
      <c r="D1599" t="s">
        <v>23</v>
      </c>
      <c r="E1599" t="s">
        <v>24</v>
      </c>
      <c r="F1599" t="s">
        <v>2698</v>
      </c>
      <c r="G1599">
        <v>818049</v>
      </c>
      <c r="H1599" t="s">
        <v>26</v>
      </c>
      <c r="I1599" t="s">
        <v>108</v>
      </c>
      <c r="J1599" t="str">
        <f>"9781118224274"</f>
        <v>9781118224274</v>
      </c>
      <c r="K1599" t="s">
        <v>2748</v>
      </c>
      <c r="L1599">
        <v>22</v>
      </c>
      <c r="O1599" t="s">
        <v>30</v>
      </c>
      <c r="P1599" t="s">
        <v>29</v>
      </c>
      <c r="Q1599" s="1">
        <v>42362.127708333333</v>
      </c>
      <c r="R1599">
        <v>7</v>
      </c>
      <c r="S1599" t="s">
        <v>31</v>
      </c>
      <c r="T1599" t="s">
        <v>2699</v>
      </c>
      <c r="U1599" t="s">
        <v>2700</v>
      </c>
      <c r="V1599" s="3">
        <v>41035</v>
      </c>
    </row>
    <row r="1600" spans="1:22" x14ac:dyDescent="0.35">
      <c r="A1600" s="1">
        <v>42366.698136574072</v>
      </c>
      <c r="B1600" s="2">
        <v>4.6296296296296294E-5</v>
      </c>
      <c r="C1600" t="s">
        <v>2749</v>
      </c>
      <c r="D1600" t="s">
        <v>23</v>
      </c>
      <c r="E1600" t="s">
        <v>24</v>
      </c>
      <c r="F1600" t="s">
        <v>2750</v>
      </c>
      <c r="G1600">
        <v>1775205</v>
      </c>
      <c r="H1600" t="s">
        <v>26</v>
      </c>
      <c r="I1600" t="s">
        <v>2751</v>
      </c>
      <c r="J1600" t="str">
        <f>"9781118823347"</f>
        <v>9781118823347</v>
      </c>
      <c r="K1600" t="s">
        <v>2752</v>
      </c>
      <c r="L1600">
        <v>3</v>
      </c>
      <c r="O1600" t="s">
        <v>30</v>
      </c>
      <c r="P1600" t="s">
        <v>50</v>
      </c>
      <c r="S1600" t="s">
        <v>31</v>
      </c>
      <c r="T1600" t="s">
        <v>2753</v>
      </c>
      <c r="U1600" t="s">
        <v>2754</v>
      </c>
      <c r="V1600" s="3">
        <v>41876</v>
      </c>
    </row>
    <row r="1601" spans="1:22" x14ac:dyDescent="0.35">
      <c r="A1601" s="1">
        <v>42366.691099537034</v>
      </c>
      <c r="B1601" s="2">
        <v>1.6724537037037034E-2</v>
      </c>
      <c r="C1601" t="s">
        <v>2468</v>
      </c>
      <c r="D1601" t="s">
        <v>35</v>
      </c>
      <c r="E1601" t="s">
        <v>36</v>
      </c>
      <c r="F1601" t="s">
        <v>327</v>
      </c>
      <c r="G1601">
        <v>1691426</v>
      </c>
      <c r="H1601" t="s">
        <v>26</v>
      </c>
      <c r="I1601" t="s">
        <v>328</v>
      </c>
      <c r="J1601" t="str">
        <f>"9781118839492"</f>
        <v>9781118839492</v>
      </c>
      <c r="K1601" t="s">
        <v>2755</v>
      </c>
      <c r="L1601">
        <v>39</v>
      </c>
      <c r="O1601" t="s">
        <v>30</v>
      </c>
      <c r="P1601" t="s">
        <v>29</v>
      </c>
      <c r="Q1601" s="1">
        <v>42366.691099537034</v>
      </c>
      <c r="R1601">
        <v>7</v>
      </c>
      <c r="S1601" t="s">
        <v>40</v>
      </c>
      <c r="T1601" t="s">
        <v>331</v>
      </c>
      <c r="U1601">
        <v>613.70460000000003</v>
      </c>
      <c r="V1601" s="3">
        <v>41772</v>
      </c>
    </row>
    <row r="1602" spans="1:22" x14ac:dyDescent="0.35">
      <c r="A1602" s="1">
        <v>42366.687465277777</v>
      </c>
      <c r="B1602" s="2">
        <v>3.6226851851851854E-3</v>
      </c>
      <c r="C1602" t="s">
        <v>2468</v>
      </c>
      <c r="D1602" t="s">
        <v>35</v>
      </c>
      <c r="E1602" t="s">
        <v>36</v>
      </c>
      <c r="F1602" t="s">
        <v>327</v>
      </c>
      <c r="G1602">
        <v>1691426</v>
      </c>
      <c r="H1602" t="s">
        <v>26</v>
      </c>
      <c r="I1602" t="s">
        <v>328</v>
      </c>
      <c r="J1602" t="str">
        <f>"9781118839492"</f>
        <v>9781118839492</v>
      </c>
      <c r="K1602" t="s">
        <v>2756</v>
      </c>
      <c r="L1602">
        <v>15</v>
      </c>
      <c r="O1602" t="s">
        <v>30</v>
      </c>
      <c r="P1602" t="s">
        <v>50</v>
      </c>
      <c r="S1602" t="s">
        <v>40</v>
      </c>
      <c r="T1602" t="s">
        <v>331</v>
      </c>
      <c r="U1602">
        <v>613.70460000000003</v>
      </c>
      <c r="V1602" s="3">
        <v>41772</v>
      </c>
    </row>
    <row r="1603" spans="1:22" x14ac:dyDescent="0.35">
      <c r="A1603" s="1">
        <v>42366.684270833335</v>
      </c>
      <c r="B1603" s="2">
        <v>3.8148148148148146E-2</v>
      </c>
      <c r="C1603" t="s">
        <v>2705</v>
      </c>
      <c r="D1603" t="s">
        <v>23</v>
      </c>
      <c r="E1603" t="s">
        <v>24</v>
      </c>
      <c r="F1603" t="s">
        <v>226</v>
      </c>
      <c r="G1603">
        <v>817313</v>
      </c>
      <c r="H1603" t="s">
        <v>26</v>
      </c>
      <c r="I1603" t="s">
        <v>69</v>
      </c>
      <c r="J1603" t="str">
        <f>"9781118136829"</f>
        <v>9781118136829</v>
      </c>
      <c r="K1603" t="s">
        <v>2757</v>
      </c>
      <c r="L1603">
        <v>116</v>
      </c>
      <c r="O1603" t="s">
        <v>30</v>
      </c>
      <c r="P1603" t="s">
        <v>29</v>
      </c>
      <c r="Q1603" s="1">
        <v>42364.901018518518</v>
      </c>
      <c r="R1603">
        <v>7</v>
      </c>
      <c r="S1603" t="s">
        <v>31</v>
      </c>
      <c r="T1603" t="s">
        <v>2311</v>
      </c>
      <c r="U1603">
        <v>378.16640000000001</v>
      </c>
      <c r="V1603" s="3">
        <v>40918</v>
      </c>
    </row>
    <row r="1604" spans="1:22" x14ac:dyDescent="0.35">
      <c r="A1604" s="1">
        <v>42366.673854166664</v>
      </c>
      <c r="B1604" s="2">
        <v>5.7523148148148143E-3</v>
      </c>
      <c r="C1604" t="s">
        <v>2658</v>
      </c>
      <c r="D1604" t="s">
        <v>23</v>
      </c>
      <c r="E1604" t="s">
        <v>24</v>
      </c>
      <c r="F1604" t="s">
        <v>2659</v>
      </c>
      <c r="G1604">
        <v>1784637</v>
      </c>
      <c r="H1604" t="s">
        <v>45</v>
      </c>
      <c r="I1604" t="s">
        <v>630</v>
      </c>
      <c r="J1604" t="str">
        <f>"9781472412034"</f>
        <v>9781472412034</v>
      </c>
      <c r="K1604" t="s">
        <v>2758</v>
      </c>
      <c r="L1604">
        <v>23</v>
      </c>
      <c r="O1604" t="s">
        <v>30</v>
      </c>
      <c r="P1604" t="s">
        <v>47</v>
      </c>
      <c r="Q1604" s="1">
        <v>42366.673854166664</v>
      </c>
      <c r="R1604">
        <v>1</v>
      </c>
      <c r="S1604" t="s">
        <v>31</v>
      </c>
      <c r="T1604" t="s">
        <v>2661</v>
      </c>
      <c r="U1604" t="s">
        <v>2662</v>
      </c>
      <c r="V1604" s="3">
        <v>41971</v>
      </c>
    </row>
    <row r="1605" spans="1:22" x14ac:dyDescent="0.35">
      <c r="A1605" s="1">
        <v>42366.67015046296</v>
      </c>
      <c r="B1605" s="2">
        <v>3.7037037037037034E-3</v>
      </c>
      <c r="C1605" t="s">
        <v>2658</v>
      </c>
      <c r="D1605" t="s">
        <v>23</v>
      </c>
      <c r="E1605" t="s">
        <v>24</v>
      </c>
      <c r="F1605" t="s">
        <v>2659</v>
      </c>
      <c r="G1605">
        <v>1784637</v>
      </c>
      <c r="H1605" t="s">
        <v>45</v>
      </c>
      <c r="I1605" t="s">
        <v>630</v>
      </c>
      <c r="J1605" t="str">
        <f>"9781472412034"</f>
        <v>9781472412034</v>
      </c>
      <c r="K1605" t="s">
        <v>2759</v>
      </c>
      <c r="L1605">
        <v>57</v>
      </c>
      <c r="O1605" t="s">
        <v>30</v>
      </c>
      <c r="P1605" t="s">
        <v>50</v>
      </c>
      <c r="S1605" t="s">
        <v>31</v>
      </c>
      <c r="T1605" t="s">
        <v>2661</v>
      </c>
      <c r="U1605" t="s">
        <v>2662</v>
      </c>
      <c r="V1605" s="3">
        <v>41971</v>
      </c>
    </row>
    <row r="1606" spans="1:22" x14ac:dyDescent="0.35">
      <c r="A1606" s="1">
        <v>42366.656354166669</v>
      </c>
      <c r="B1606" s="2">
        <v>1.2268518518518518E-3</v>
      </c>
      <c r="C1606" t="s">
        <v>2760</v>
      </c>
      <c r="D1606" t="s">
        <v>23</v>
      </c>
      <c r="E1606" t="s">
        <v>24</v>
      </c>
      <c r="F1606" t="s">
        <v>2761</v>
      </c>
      <c r="G1606">
        <v>1339411</v>
      </c>
      <c r="H1606" t="s">
        <v>526</v>
      </c>
      <c r="I1606" t="s">
        <v>2762</v>
      </c>
      <c r="J1606" t="str">
        <f>"9780226033525"</f>
        <v>9780226033525</v>
      </c>
      <c r="K1606" t="s">
        <v>2763</v>
      </c>
      <c r="L1606">
        <v>2</v>
      </c>
      <c r="O1606" t="s">
        <v>30</v>
      </c>
      <c r="P1606" t="s">
        <v>47</v>
      </c>
      <c r="Q1606" s="1">
        <v>42366.656354166669</v>
      </c>
      <c r="R1606">
        <v>1</v>
      </c>
      <c r="S1606" t="s">
        <v>31</v>
      </c>
      <c r="T1606" t="s">
        <v>2764</v>
      </c>
      <c r="U1606">
        <v>321.89999999999998</v>
      </c>
      <c r="V1606" s="3">
        <v>41593</v>
      </c>
    </row>
    <row r="1607" spans="1:22" x14ac:dyDescent="0.35">
      <c r="A1607" s="1">
        <v>42366.652592592596</v>
      </c>
      <c r="B1607" s="2">
        <v>3.7500000000000003E-3</v>
      </c>
      <c r="C1607" t="s">
        <v>2760</v>
      </c>
      <c r="D1607" t="s">
        <v>23</v>
      </c>
      <c r="E1607" t="s">
        <v>24</v>
      </c>
      <c r="F1607" t="s">
        <v>2761</v>
      </c>
      <c r="G1607">
        <v>1339411</v>
      </c>
      <c r="H1607" t="s">
        <v>526</v>
      </c>
      <c r="I1607" t="s">
        <v>2762</v>
      </c>
      <c r="J1607" t="str">
        <f>"9780226033525"</f>
        <v>9780226033525</v>
      </c>
      <c r="K1607" t="s">
        <v>2765</v>
      </c>
      <c r="L1607">
        <v>14</v>
      </c>
      <c r="O1607" t="s">
        <v>30</v>
      </c>
      <c r="P1607" t="s">
        <v>50</v>
      </c>
      <c r="S1607" t="s">
        <v>31</v>
      </c>
      <c r="T1607" t="s">
        <v>2764</v>
      </c>
      <c r="U1607">
        <v>321.89999999999998</v>
      </c>
      <c r="V1607" s="3">
        <v>41593</v>
      </c>
    </row>
    <row r="1608" spans="1:22" x14ac:dyDescent="0.35">
      <c r="A1608" s="1">
        <v>42366.643865740742</v>
      </c>
      <c r="B1608" s="2">
        <v>1.2685185185185183E-2</v>
      </c>
      <c r="C1608" t="s">
        <v>2766</v>
      </c>
      <c r="D1608" t="s">
        <v>23</v>
      </c>
      <c r="E1608" t="s">
        <v>24</v>
      </c>
      <c r="F1608" t="s">
        <v>2767</v>
      </c>
      <c r="G1608">
        <v>1742825</v>
      </c>
      <c r="H1608" t="s">
        <v>26</v>
      </c>
      <c r="I1608" t="s">
        <v>247</v>
      </c>
      <c r="J1608" t="str">
        <f>"9781118298664"</f>
        <v>9781118298664</v>
      </c>
      <c r="K1608" t="s">
        <v>2768</v>
      </c>
      <c r="L1608">
        <v>5</v>
      </c>
      <c r="O1608" t="s">
        <v>28</v>
      </c>
      <c r="P1608" t="s">
        <v>47</v>
      </c>
      <c r="Q1608" s="1">
        <v>42366.643865740742</v>
      </c>
      <c r="R1608">
        <v>1</v>
      </c>
      <c r="S1608" t="s">
        <v>31</v>
      </c>
      <c r="T1608" t="s">
        <v>2769</v>
      </c>
      <c r="U1608" t="s">
        <v>2770</v>
      </c>
      <c r="V1608" s="3">
        <v>41834</v>
      </c>
    </row>
    <row r="1609" spans="1:22" x14ac:dyDescent="0.35">
      <c r="A1609" s="1">
        <v>42366.643865740742</v>
      </c>
      <c r="B1609" s="2">
        <v>0</v>
      </c>
      <c r="C1609" t="s">
        <v>2766</v>
      </c>
      <c r="D1609" t="s">
        <v>23</v>
      </c>
      <c r="E1609" t="s">
        <v>24</v>
      </c>
      <c r="F1609" t="s">
        <v>2767</v>
      </c>
      <c r="G1609">
        <v>1742825</v>
      </c>
      <c r="H1609" t="s">
        <v>26</v>
      </c>
      <c r="I1609" t="s">
        <v>247</v>
      </c>
      <c r="J1609" t="str">
        <f>"9781118298664"</f>
        <v>9781118298664</v>
      </c>
      <c r="L1609">
        <v>0</v>
      </c>
      <c r="O1609" t="s">
        <v>30</v>
      </c>
      <c r="P1609" t="s">
        <v>47</v>
      </c>
      <c r="Q1609" s="1">
        <v>42366.643865740742</v>
      </c>
      <c r="R1609">
        <v>1</v>
      </c>
      <c r="S1609" t="s">
        <v>31</v>
      </c>
      <c r="T1609" t="s">
        <v>2769</v>
      </c>
      <c r="U1609" t="s">
        <v>2770</v>
      </c>
      <c r="V1609" s="3">
        <v>41834</v>
      </c>
    </row>
    <row r="1610" spans="1:22" x14ac:dyDescent="0.35">
      <c r="A1610" s="1">
        <v>42366.642696759256</v>
      </c>
      <c r="B1610" s="2">
        <v>1.1689814814814816E-3</v>
      </c>
      <c r="C1610" t="s">
        <v>2766</v>
      </c>
      <c r="D1610" t="s">
        <v>23</v>
      </c>
      <c r="E1610" t="s">
        <v>24</v>
      </c>
      <c r="F1610" t="s">
        <v>2767</v>
      </c>
      <c r="G1610">
        <v>1742825</v>
      </c>
      <c r="H1610" t="s">
        <v>26</v>
      </c>
      <c r="I1610" t="s">
        <v>247</v>
      </c>
      <c r="J1610" t="str">
        <f>"9781118298664"</f>
        <v>9781118298664</v>
      </c>
      <c r="K1610" t="s">
        <v>2771</v>
      </c>
      <c r="L1610">
        <v>4</v>
      </c>
      <c r="O1610" t="s">
        <v>30</v>
      </c>
      <c r="P1610" t="s">
        <v>50</v>
      </c>
      <c r="S1610" t="s">
        <v>31</v>
      </c>
      <c r="T1610" t="s">
        <v>2769</v>
      </c>
      <c r="U1610" t="s">
        <v>2770</v>
      </c>
      <c r="V1610" s="3">
        <v>41834</v>
      </c>
    </row>
    <row r="1611" spans="1:22" x14ac:dyDescent="0.35">
      <c r="A1611" s="1">
        <v>42366.139189814814</v>
      </c>
      <c r="B1611" s="2">
        <v>2.2754629629629628E-2</v>
      </c>
      <c r="C1611" t="s">
        <v>2705</v>
      </c>
      <c r="D1611" t="s">
        <v>23</v>
      </c>
      <c r="E1611" t="s">
        <v>24</v>
      </c>
      <c r="F1611" t="s">
        <v>226</v>
      </c>
      <c r="G1611">
        <v>817313</v>
      </c>
      <c r="H1611" t="s">
        <v>26</v>
      </c>
      <c r="I1611" t="s">
        <v>69</v>
      </c>
      <c r="J1611" t="str">
        <f>"9781118136829"</f>
        <v>9781118136829</v>
      </c>
      <c r="K1611" t="s">
        <v>2772</v>
      </c>
      <c r="L1611">
        <v>48</v>
      </c>
      <c r="O1611" t="s">
        <v>30</v>
      </c>
      <c r="P1611" t="s">
        <v>29</v>
      </c>
      <c r="Q1611" s="1">
        <v>42364.901018518518</v>
      </c>
      <c r="R1611">
        <v>7</v>
      </c>
      <c r="S1611" t="s">
        <v>31</v>
      </c>
      <c r="T1611" t="s">
        <v>2311</v>
      </c>
      <c r="U1611">
        <v>378.16640000000001</v>
      </c>
      <c r="V1611" s="3">
        <v>40918</v>
      </c>
    </row>
    <row r="1612" spans="1:22" x14ac:dyDescent="0.35">
      <c r="A1612" s="1">
        <v>42366.073229166665</v>
      </c>
      <c r="B1612" s="2">
        <v>7.3611111111111108E-3</v>
      </c>
      <c r="C1612" t="s">
        <v>2705</v>
      </c>
      <c r="D1612" t="s">
        <v>23</v>
      </c>
      <c r="E1612" t="s">
        <v>24</v>
      </c>
      <c r="F1612" t="s">
        <v>226</v>
      </c>
      <c r="G1612">
        <v>817313</v>
      </c>
      <c r="H1612" t="s">
        <v>26</v>
      </c>
      <c r="I1612" t="s">
        <v>69</v>
      </c>
      <c r="J1612" t="str">
        <f>"9781118136829"</f>
        <v>9781118136829</v>
      </c>
      <c r="K1612" t="s">
        <v>2773</v>
      </c>
      <c r="L1612">
        <v>22</v>
      </c>
      <c r="O1612" t="s">
        <v>30</v>
      </c>
      <c r="P1612" t="s">
        <v>29</v>
      </c>
      <c r="Q1612" s="1">
        <v>42364.901018518518</v>
      </c>
      <c r="R1612">
        <v>7</v>
      </c>
      <c r="S1612" t="s">
        <v>31</v>
      </c>
      <c r="T1612" t="s">
        <v>2311</v>
      </c>
      <c r="U1612">
        <v>378.16640000000001</v>
      </c>
      <c r="V1612" s="3">
        <v>40918</v>
      </c>
    </row>
    <row r="1613" spans="1:22" x14ac:dyDescent="0.35">
      <c r="A1613" s="1">
        <v>42366.046539351853</v>
      </c>
      <c r="B1613" s="2">
        <v>2.8356481481481479E-3</v>
      </c>
      <c r="C1613" t="s">
        <v>2774</v>
      </c>
      <c r="D1613" t="s">
        <v>23</v>
      </c>
      <c r="E1613" t="s">
        <v>24</v>
      </c>
      <c r="F1613" t="s">
        <v>2775</v>
      </c>
      <c r="G1613">
        <v>1890983</v>
      </c>
      <c r="H1613" t="s">
        <v>26</v>
      </c>
      <c r="I1613" t="s">
        <v>97</v>
      </c>
      <c r="J1613" t="str">
        <f>"9780857085054"</f>
        <v>9780857085054</v>
      </c>
      <c r="K1613" t="s">
        <v>2776</v>
      </c>
      <c r="L1613">
        <v>10</v>
      </c>
      <c r="O1613" t="s">
        <v>30</v>
      </c>
      <c r="P1613" t="s">
        <v>50</v>
      </c>
      <c r="S1613" t="s">
        <v>31</v>
      </c>
      <c r="T1613" t="s">
        <v>2777</v>
      </c>
      <c r="U1613" t="s">
        <v>2778</v>
      </c>
      <c r="V1613" s="3">
        <v>41984</v>
      </c>
    </row>
    <row r="1614" spans="1:22" x14ac:dyDescent="0.35">
      <c r="A1614" s="1">
        <v>42366.04519675926</v>
      </c>
      <c r="B1614" s="2">
        <v>1.5520833333333333E-2</v>
      </c>
      <c r="C1614" t="s">
        <v>2705</v>
      </c>
      <c r="D1614" t="s">
        <v>23</v>
      </c>
      <c r="E1614" t="s">
        <v>24</v>
      </c>
      <c r="F1614" t="s">
        <v>226</v>
      </c>
      <c r="G1614">
        <v>817313</v>
      </c>
      <c r="H1614" t="s">
        <v>26</v>
      </c>
      <c r="I1614" t="s">
        <v>69</v>
      </c>
      <c r="J1614" t="str">
        <f>"9781118136829"</f>
        <v>9781118136829</v>
      </c>
      <c r="K1614" t="s">
        <v>2779</v>
      </c>
      <c r="L1614">
        <v>121</v>
      </c>
      <c r="O1614" t="s">
        <v>28</v>
      </c>
      <c r="P1614" t="s">
        <v>29</v>
      </c>
      <c r="Q1614" s="1">
        <v>42364.901018518518</v>
      </c>
      <c r="R1614">
        <v>7</v>
      </c>
      <c r="S1614" t="s">
        <v>31</v>
      </c>
      <c r="T1614" t="s">
        <v>2311</v>
      </c>
      <c r="U1614">
        <v>378.16640000000001</v>
      </c>
      <c r="V1614" s="3">
        <v>40918</v>
      </c>
    </row>
    <row r="1615" spans="1:22" x14ac:dyDescent="0.35">
      <c r="A1615" s="1">
        <v>42366.045092592591</v>
      </c>
      <c r="B1615" s="2">
        <v>3.4722222222222222E-5</v>
      </c>
      <c r="C1615" t="s">
        <v>2705</v>
      </c>
      <c r="D1615" t="s">
        <v>23</v>
      </c>
      <c r="E1615" t="s">
        <v>24</v>
      </c>
      <c r="F1615" t="s">
        <v>226</v>
      </c>
      <c r="G1615">
        <v>817313</v>
      </c>
      <c r="H1615" t="s">
        <v>26</v>
      </c>
      <c r="I1615" t="s">
        <v>69</v>
      </c>
      <c r="J1615" t="str">
        <f>"9781118136829"</f>
        <v>9781118136829</v>
      </c>
      <c r="K1615" t="s">
        <v>33</v>
      </c>
      <c r="L1615">
        <v>3</v>
      </c>
      <c r="O1615" t="s">
        <v>30</v>
      </c>
      <c r="P1615" t="s">
        <v>29</v>
      </c>
      <c r="Q1615" s="1">
        <v>42364.901018518518</v>
      </c>
      <c r="R1615">
        <v>7</v>
      </c>
      <c r="S1615" t="s">
        <v>31</v>
      </c>
      <c r="T1615" t="s">
        <v>2311</v>
      </c>
      <c r="U1615">
        <v>378.16640000000001</v>
      </c>
      <c r="V1615" s="3">
        <v>40918</v>
      </c>
    </row>
    <row r="1616" spans="1:22" x14ac:dyDescent="0.35">
      <c r="A1616" s="1">
        <v>42365.957048611112</v>
      </c>
      <c r="B1616" s="2">
        <v>1.6203703703703703E-4</v>
      </c>
      <c r="C1616" t="s">
        <v>2040</v>
      </c>
      <c r="D1616" t="s">
        <v>23</v>
      </c>
      <c r="E1616" t="s">
        <v>24</v>
      </c>
      <c r="F1616" t="s">
        <v>2041</v>
      </c>
      <c r="G1616">
        <v>1184140</v>
      </c>
      <c r="H1616" t="s">
        <v>26</v>
      </c>
      <c r="I1616" t="s">
        <v>417</v>
      </c>
      <c r="J1616" t="str">
        <f>"9780745663036"</f>
        <v>9780745663036</v>
      </c>
      <c r="K1616" t="s">
        <v>2780</v>
      </c>
      <c r="L1616">
        <v>3</v>
      </c>
      <c r="O1616" t="s">
        <v>30</v>
      </c>
      <c r="P1616" t="s">
        <v>50</v>
      </c>
      <c r="S1616" t="s">
        <v>31</v>
      </c>
      <c r="T1616" t="s">
        <v>2043</v>
      </c>
      <c r="U1616">
        <v>303.66000000000003</v>
      </c>
      <c r="V1616" s="3">
        <v>41390</v>
      </c>
    </row>
    <row r="1617" spans="1:22" x14ac:dyDescent="0.35">
      <c r="A1617" s="1">
        <v>42365.939074074071</v>
      </c>
      <c r="B1617" s="2">
        <v>4.6296296296296293E-4</v>
      </c>
      <c r="C1617" t="s">
        <v>2781</v>
      </c>
      <c r="D1617" t="s">
        <v>23</v>
      </c>
      <c r="E1617" t="s">
        <v>24</v>
      </c>
      <c r="F1617" t="s">
        <v>2782</v>
      </c>
      <c r="G1617">
        <v>1181435</v>
      </c>
      <c r="H1617" t="s">
        <v>26</v>
      </c>
      <c r="I1617" t="s">
        <v>2783</v>
      </c>
      <c r="J1617" t="str">
        <f>"9780745669625"</f>
        <v>9780745669625</v>
      </c>
      <c r="K1617" t="s">
        <v>2784</v>
      </c>
      <c r="L1617">
        <v>8</v>
      </c>
      <c r="O1617" t="s">
        <v>30</v>
      </c>
      <c r="P1617" t="s">
        <v>50</v>
      </c>
      <c r="S1617" t="s">
        <v>31</v>
      </c>
      <c r="T1617" t="s">
        <v>2785</v>
      </c>
      <c r="U1617">
        <v>170</v>
      </c>
      <c r="V1617" s="3">
        <v>41388</v>
      </c>
    </row>
    <row r="1618" spans="1:22" x14ac:dyDescent="0.35">
      <c r="A1618" s="1">
        <v>42365.928240740737</v>
      </c>
      <c r="B1618" s="2">
        <v>6.9444444444444444E-5</v>
      </c>
      <c r="C1618" t="s">
        <v>617</v>
      </c>
      <c r="D1618" t="s">
        <v>23</v>
      </c>
      <c r="E1618" t="s">
        <v>24</v>
      </c>
      <c r="F1618" t="s">
        <v>2786</v>
      </c>
      <c r="G1618">
        <v>4093369</v>
      </c>
      <c r="H1618" t="s">
        <v>26</v>
      </c>
      <c r="J1618" t="str">
        <f>"9781119074670"</f>
        <v>9781119074670</v>
      </c>
      <c r="K1618" t="s">
        <v>2787</v>
      </c>
      <c r="L1618">
        <v>3</v>
      </c>
      <c r="O1618" t="s">
        <v>30</v>
      </c>
      <c r="P1618" t="s">
        <v>29</v>
      </c>
      <c r="Q1618" s="1">
        <v>42360.123668981483</v>
      </c>
      <c r="R1618">
        <v>7</v>
      </c>
      <c r="S1618" t="s">
        <v>31</v>
      </c>
      <c r="V1618" s="3">
        <v>42277</v>
      </c>
    </row>
    <row r="1619" spans="1:22" x14ac:dyDescent="0.35">
      <c r="A1619" s="1">
        <v>42365.766550925924</v>
      </c>
      <c r="B1619" s="2">
        <v>9.0312500000000004E-2</v>
      </c>
      <c r="C1619" t="s">
        <v>2788</v>
      </c>
      <c r="D1619" t="s">
        <v>23</v>
      </c>
      <c r="E1619" t="s">
        <v>24</v>
      </c>
      <c r="F1619" t="s">
        <v>745</v>
      </c>
      <c r="G1619">
        <v>1166322</v>
      </c>
      <c r="H1619" t="s">
        <v>26</v>
      </c>
      <c r="I1619" t="s">
        <v>200</v>
      </c>
      <c r="J1619" t="str">
        <f>"9781118418512"</f>
        <v>9781118418512</v>
      </c>
      <c r="K1619" t="s">
        <v>2789</v>
      </c>
      <c r="L1619">
        <v>47</v>
      </c>
      <c r="O1619" t="s">
        <v>30</v>
      </c>
      <c r="P1619" t="s">
        <v>29</v>
      </c>
      <c r="Q1619" s="1">
        <v>42365.766539351855</v>
      </c>
      <c r="R1619">
        <v>7</v>
      </c>
      <c r="S1619" t="s">
        <v>31</v>
      </c>
      <c r="T1619" t="s">
        <v>747</v>
      </c>
      <c r="U1619">
        <v>720.072</v>
      </c>
      <c r="V1619" s="3">
        <v>41367</v>
      </c>
    </row>
    <row r="1620" spans="1:22" x14ac:dyDescent="0.35">
      <c r="A1620" s="1">
        <v>42365.758935185186</v>
      </c>
      <c r="B1620" s="2">
        <v>7.6041666666666662E-3</v>
      </c>
      <c r="C1620" t="s">
        <v>2788</v>
      </c>
      <c r="D1620" t="s">
        <v>23</v>
      </c>
      <c r="E1620" t="s">
        <v>24</v>
      </c>
      <c r="F1620" t="s">
        <v>745</v>
      </c>
      <c r="G1620">
        <v>1166322</v>
      </c>
      <c r="H1620" t="s">
        <v>26</v>
      </c>
      <c r="I1620" t="s">
        <v>200</v>
      </c>
      <c r="J1620" t="str">
        <f>"9781118418512"</f>
        <v>9781118418512</v>
      </c>
      <c r="K1620" t="s">
        <v>2790</v>
      </c>
      <c r="L1620">
        <v>15</v>
      </c>
      <c r="O1620" t="s">
        <v>30</v>
      </c>
      <c r="P1620" t="s">
        <v>42</v>
      </c>
      <c r="S1620" t="s">
        <v>31</v>
      </c>
      <c r="T1620" t="s">
        <v>747</v>
      </c>
      <c r="U1620">
        <v>720.072</v>
      </c>
      <c r="V1620" s="3">
        <v>41367</v>
      </c>
    </row>
    <row r="1621" spans="1:22" x14ac:dyDescent="0.35">
      <c r="A1621" s="1">
        <v>42365.746157407404</v>
      </c>
      <c r="B1621" s="2">
        <v>0.12355324074074074</v>
      </c>
      <c r="C1621" t="s">
        <v>2576</v>
      </c>
      <c r="D1621" t="s">
        <v>23</v>
      </c>
      <c r="E1621" t="s">
        <v>24</v>
      </c>
      <c r="F1621" t="s">
        <v>2698</v>
      </c>
      <c r="G1621">
        <v>818049</v>
      </c>
      <c r="H1621" t="s">
        <v>26</v>
      </c>
      <c r="I1621" t="s">
        <v>108</v>
      </c>
      <c r="J1621" t="str">
        <f>"9781118224274"</f>
        <v>9781118224274</v>
      </c>
      <c r="K1621" t="s">
        <v>2791</v>
      </c>
      <c r="L1621">
        <v>23</v>
      </c>
      <c r="O1621" t="s">
        <v>30</v>
      </c>
      <c r="P1621" t="s">
        <v>29</v>
      </c>
      <c r="Q1621" s="1">
        <v>42362.127708333333</v>
      </c>
      <c r="R1621">
        <v>7</v>
      </c>
      <c r="S1621" t="s">
        <v>31</v>
      </c>
      <c r="T1621" t="s">
        <v>2699</v>
      </c>
      <c r="U1621" t="s">
        <v>2700</v>
      </c>
      <c r="V1621" s="3">
        <v>41035</v>
      </c>
    </row>
    <row r="1622" spans="1:22" x14ac:dyDescent="0.35">
      <c r="A1622" s="1">
        <v>42365.705671296295</v>
      </c>
      <c r="B1622" s="2">
        <v>1.1574074074074073E-4</v>
      </c>
      <c r="C1622" t="s">
        <v>2576</v>
      </c>
      <c r="D1622" t="s">
        <v>23</v>
      </c>
      <c r="E1622" t="s">
        <v>24</v>
      </c>
      <c r="F1622" t="s">
        <v>2698</v>
      </c>
      <c r="G1622">
        <v>818049</v>
      </c>
      <c r="H1622" t="s">
        <v>26</v>
      </c>
      <c r="I1622" t="s">
        <v>108</v>
      </c>
      <c r="J1622" t="str">
        <f>"9781118224274"</f>
        <v>9781118224274</v>
      </c>
      <c r="K1622" t="s">
        <v>33</v>
      </c>
      <c r="L1622">
        <v>3</v>
      </c>
      <c r="O1622" t="s">
        <v>30</v>
      </c>
      <c r="P1622" t="s">
        <v>29</v>
      </c>
      <c r="Q1622" s="1">
        <v>42362.127708333333</v>
      </c>
      <c r="R1622">
        <v>7</v>
      </c>
      <c r="S1622" t="s">
        <v>31</v>
      </c>
      <c r="T1622" t="s">
        <v>2699</v>
      </c>
      <c r="U1622" t="s">
        <v>2700</v>
      </c>
      <c r="V1622" s="3">
        <v>41035</v>
      </c>
    </row>
    <row r="1623" spans="1:22" x14ac:dyDescent="0.35">
      <c r="A1623" s="1">
        <v>42365.547060185185</v>
      </c>
      <c r="B1623" s="2">
        <v>2.9351851851851851E-2</v>
      </c>
      <c r="C1623" t="s">
        <v>2705</v>
      </c>
      <c r="D1623" t="s">
        <v>23</v>
      </c>
      <c r="E1623" t="s">
        <v>24</v>
      </c>
      <c r="F1623" t="s">
        <v>226</v>
      </c>
      <c r="G1623">
        <v>817313</v>
      </c>
      <c r="H1623" t="s">
        <v>26</v>
      </c>
      <c r="I1623" t="s">
        <v>69</v>
      </c>
      <c r="J1623" t="str">
        <f>"9781118136829"</f>
        <v>9781118136829</v>
      </c>
      <c r="K1623" t="s">
        <v>2792</v>
      </c>
      <c r="L1623">
        <v>108</v>
      </c>
      <c r="O1623" t="s">
        <v>30</v>
      </c>
      <c r="P1623" t="s">
        <v>29</v>
      </c>
      <c r="Q1623" s="1">
        <v>42364.901018518518</v>
      </c>
      <c r="R1623">
        <v>7</v>
      </c>
      <c r="S1623" t="s">
        <v>31</v>
      </c>
      <c r="T1623" t="s">
        <v>2311</v>
      </c>
      <c r="U1623">
        <v>378.16640000000001</v>
      </c>
      <c r="V1623" s="3">
        <v>40918</v>
      </c>
    </row>
    <row r="1624" spans="1:22" x14ac:dyDescent="0.35">
      <c r="A1624" s="1">
        <v>42365.008101851854</v>
      </c>
      <c r="B1624" s="2">
        <v>0.13483796296296297</v>
      </c>
      <c r="C1624" t="s">
        <v>2793</v>
      </c>
      <c r="D1624" t="s">
        <v>23</v>
      </c>
      <c r="E1624" t="s">
        <v>24</v>
      </c>
      <c r="F1624" t="s">
        <v>2794</v>
      </c>
      <c r="G1624">
        <v>667860</v>
      </c>
      <c r="H1624" t="s">
        <v>68</v>
      </c>
      <c r="I1624" t="s">
        <v>120</v>
      </c>
      <c r="J1624" t="str">
        <f>"9781136970382"</f>
        <v>9781136970382</v>
      </c>
      <c r="K1624" t="s">
        <v>2795</v>
      </c>
      <c r="L1624">
        <v>121</v>
      </c>
      <c r="O1624" t="s">
        <v>30</v>
      </c>
      <c r="P1624" t="s">
        <v>47</v>
      </c>
      <c r="Q1624" s="1">
        <v>42365.008101851854</v>
      </c>
      <c r="R1624">
        <v>1</v>
      </c>
      <c r="S1624" t="s">
        <v>31</v>
      </c>
      <c r="T1624" t="s">
        <v>2796</v>
      </c>
      <c r="U1624">
        <v>305.42095599999999</v>
      </c>
      <c r="V1624" s="3">
        <v>41522</v>
      </c>
    </row>
    <row r="1625" spans="1:22" x14ac:dyDescent="0.35">
      <c r="A1625" s="1">
        <v>42365.008090277777</v>
      </c>
      <c r="B1625" s="2">
        <v>1.1574074074074073E-5</v>
      </c>
      <c r="C1625" t="s">
        <v>2793</v>
      </c>
      <c r="D1625" t="s">
        <v>23</v>
      </c>
      <c r="E1625" t="s">
        <v>24</v>
      </c>
      <c r="F1625" t="s">
        <v>2794</v>
      </c>
      <c r="G1625">
        <v>667860</v>
      </c>
      <c r="H1625" t="s">
        <v>68</v>
      </c>
      <c r="I1625" t="s">
        <v>120</v>
      </c>
      <c r="J1625" t="str">
        <f>"9781136970382"</f>
        <v>9781136970382</v>
      </c>
      <c r="L1625">
        <v>0</v>
      </c>
      <c r="O1625" t="s">
        <v>30</v>
      </c>
      <c r="P1625" t="s">
        <v>50</v>
      </c>
      <c r="S1625" t="s">
        <v>31</v>
      </c>
      <c r="T1625" t="s">
        <v>2796</v>
      </c>
      <c r="U1625">
        <v>305.42095599999999</v>
      </c>
      <c r="V1625" s="3">
        <v>41522</v>
      </c>
    </row>
    <row r="1626" spans="1:22" x14ac:dyDescent="0.35">
      <c r="A1626" s="1">
        <v>42364.986006944448</v>
      </c>
      <c r="B1626" s="2">
        <v>6.2500000000000001E-4</v>
      </c>
      <c r="C1626" t="s">
        <v>1904</v>
      </c>
      <c r="D1626" t="s">
        <v>35</v>
      </c>
      <c r="E1626" t="s">
        <v>36</v>
      </c>
      <c r="F1626" t="s">
        <v>625</v>
      </c>
      <c r="G1626">
        <v>1566387</v>
      </c>
      <c r="H1626" t="s">
        <v>26</v>
      </c>
      <c r="I1626" t="s">
        <v>120</v>
      </c>
      <c r="J1626" t="str">
        <f>"9781118471906"</f>
        <v>9781118471906</v>
      </c>
      <c r="K1626" t="s">
        <v>2797</v>
      </c>
      <c r="L1626">
        <v>12</v>
      </c>
      <c r="N1626" t="s">
        <v>2798</v>
      </c>
      <c r="O1626" t="s">
        <v>30</v>
      </c>
      <c r="P1626" t="s">
        <v>29</v>
      </c>
      <c r="Q1626" s="1">
        <v>42363.615289351852</v>
      </c>
      <c r="R1626">
        <v>7</v>
      </c>
      <c r="S1626" t="s">
        <v>40</v>
      </c>
      <c r="T1626" t="s">
        <v>628</v>
      </c>
      <c r="U1626">
        <v>301</v>
      </c>
      <c r="V1626" s="3">
        <v>41596</v>
      </c>
    </row>
    <row r="1627" spans="1:22" x14ac:dyDescent="0.35">
      <c r="A1627" s="1">
        <v>42364.95857638889</v>
      </c>
      <c r="B1627" s="2">
        <v>1.726851851851852E-2</v>
      </c>
      <c r="C1627" t="s">
        <v>2705</v>
      </c>
      <c r="D1627" t="s">
        <v>23</v>
      </c>
      <c r="E1627" t="s">
        <v>24</v>
      </c>
      <c r="F1627" t="s">
        <v>226</v>
      </c>
      <c r="G1627">
        <v>817313</v>
      </c>
      <c r="H1627" t="s">
        <v>26</v>
      </c>
      <c r="I1627" t="s">
        <v>69</v>
      </c>
      <c r="J1627" t="str">
        <f>"9781118136829"</f>
        <v>9781118136829</v>
      </c>
      <c r="K1627" t="s">
        <v>2799</v>
      </c>
      <c r="L1627">
        <v>15</v>
      </c>
      <c r="O1627" t="s">
        <v>30</v>
      </c>
      <c r="P1627" t="s">
        <v>29</v>
      </c>
      <c r="Q1627" s="1">
        <v>42364.901018518518</v>
      </c>
      <c r="R1627">
        <v>7</v>
      </c>
      <c r="S1627" t="s">
        <v>31</v>
      </c>
      <c r="T1627" t="s">
        <v>2311</v>
      </c>
      <c r="U1627">
        <v>378.16640000000001</v>
      </c>
      <c r="V1627" s="3">
        <v>40918</v>
      </c>
    </row>
    <row r="1628" spans="1:22" x14ac:dyDescent="0.35">
      <c r="A1628" s="1">
        <v>42364.926215277781</v>
      </c>
      <c r="B1628" s="2">
        <v>3.1250000000000001E-4</v>
      </c>
      <c r="C1628" t="s">
        <v>2705</v>
      </c>
      <c r="D1628" t="s">
        <v>23</v>
      </c>
      <c r="E1628" t="s">
        <v>24</v>
      </c>
      <c r="F1628" t="s">
        <v>226</v>
      </c>
      <c r="G1628">
        <v>817313</v>
      </c>
      <c r="H1628" t="s">
        <v>26</v>
      </c>
      <c r="I1628" t="s">
        <v>69</v>
      </c>
      <c r="J1628" t="str">
        <f>"9781118136829"</f>
        <v>9781118136829</v>
      </c>
      <c r="K1628" t="s">
        <v>2800</v>
      </c>
      <c r="L1628">
        <v>3</v>
      </c>
      <c r="O1628" t="s">
        <v>30</v>
      </c>
      <c r="P1628" t="s">
        <v>29</v>
      </c>
      <c r="Q1628" s="1">
        <v>42364.901018518518</v>
      </c>
      <c r="R1628">
        <v>7</v>
      </c>
      <c r="S1628" t="s">
        <v>31</v>
      </c>
      <c r="T1628" t="s">
        <v>2311</v>
      </c>
      <c r="U1628">
        <v>378.16640000000001</v>
      </c>
      <c r="V1628" s="3">
        <v>40918</v>
      </c>
    </row>
    <row r="1629" spans="1:22" x14ac:dyDescent="0.35">
      <c r="A1629" s="1">
        <v>42364.901018518518</v>
      </c>
      <c r="B1629" s="2">
        <v>2.5486111111111112E-2</v>
      </c>
      <c r="C1629" t="s">
        <v>2705</v>
      </c>
      <c r="D1629" t="s">
        <v>23</v>
      </c>
      <c r="E1629" t="s">
        <v>24</v>
      </c>
      <c r="F1629" t="s">
        <v>226</v>
      </c>
      <c r="G1629">
        <v>817313</v>
      </c>
      <c r="H1629" t="s">
        <v>26</v>
      </c>
      <c r="I1629" t="s">
        <v>69</v>
      </c>
      <c r="J1629" t="str">
        <f>"9781118136829"</f>
        <v>9781118136829</v>
      </c>
      <c r="K1629" t="s">
        <v>2801</v>
      </c>
      <c r="L1629">
        <v>13</v>
      </c>
      <c r="O1629" t="s">
        <v>30</v>
      </c>
      <c r="P1629" t="s">
        <v>29</v>
      </c>
      <c r="Q1629" s="1">
        <v>42364.901018518518</v>
      </c>
      <c r="R1629">
        <v>7</v>
      </c>
      <c r="S1629" t="s">
        <v>31</v>
      </c>
      <c r="T1629" t="s">
        <v>2311</v>
      </c>
      <c r="U1629">
        <v>378.16640000000001</v>
      </c>
      <c r="V1629" s="3">
        <v>40918</v>
      </c>
    </row>
    <row r="1630" spans="1:22" x14ac:dyDescent="0.35">
      <c r="A1630" s="1">
        <v>42364.893611111111</v>
      </c>
      <c r="B1630" s="2">
        <v>7.4074074074074068E-3</v>
      </c>
      <c r="C1630" t="s">
        <v>2705</v>
      </c>
      <c r="D1630" t="s">
        <v>23</v>
      </c>
      <c r="E1630" t="s">
        <v>24</v>
      </c>
      <c r="F1630" t="s">
        <v>226</v>
      </c>
      <c r="G1630">
        <v>817313</v>
      </c>
      <c r="H1630" t="s">
        <v>26</v>
      </c>
      <c r="I1630" t="s">
        <v>69</v>
      </c>
      <c r="J1630" t="str">
        <f>"9781118136829"</f>
        <v>9781118136829</v>
      </c>
      <c r="K1630" t="s">
        <v>2802</v>
      </c>
      <c r="L1630">
        <v>10</v>
      </c>
      <c r="O1630" t="s">
        <v>30</v>
      </c>
      <c r="P1630" t="s">
        <v>42</v>
      </c>
      <c r="S1630" t="s">
        <v>31</v>
      </c>
      <c r="T1630" t="s">
        <v>2311</v>
      </c>
      <c r="U1630">
        <v>378.16640000000001</v>
      </c>
      <c r="V1630" s="3">
        <v>40918</v>
      </c>
    </row>
    <row r="1631" spans="1:22" x14ac:dyDescent="0.35">
      <c r="A1631" s="1">
        <v>42364.623194444444</v>
      </c>
      <c r="B1631" s="2">
        <v>0</v>
      </c>
      <c r="C1631" t="s">
        <v>2742</v>
      </c>
      <c r="D1631" t="s">
        <v>23</v>
      </c>
      <c r="E1631" t="s">
        <v>24</v>
      </c>
      <c r="F1631" t="s">
        <v>2743</v>
      </c>
      <c r="G1631">
        <v>1569694</v>
      </c>
      <c r="H1631" t="s">
        <v>68</v>
      </c>
      <c r="I1631" t="s">
        <v>150</v>
      </c>
      <c r="J1631" t="str">
        <f>"9781317860938"</f>
        <v>9781317860938</v>
      </c>
      <c r="L1631">
        <v>0</v>
      </c>
      <c r="O1631" t="s">
        <v>28</v>
      </c>
      <c r="P1631" t="s">
        <v>47</v>
      </c>
      <c r="Q1631" s="1">
        <v>42364.622569444444</v>
      </c>
      <c r="R1631">
        <v>1</v>
      </c>
      <c r="S1631" t="s">
        <v>31</v>
      </c>
      <c r="T1631" t="s">
        <v>2744</v>
      </c>
      <c r="U1631">
        <v>700.41120000000001</v>
      </c>
      <c r="V1631" s="3">
        <v>41582</v>
      </c>
    </row>
    <row r="1632" spans="1:22" x14ac:dyDescent="0.35">
      <c r="A1632" s="1">
        <v>42364.622569444444</v>
      </c>
      <c r="B1632" s="2">
        <v>4.7453703703703704E-4</v>
      </c>
      <c r="C1632" t="s">
        <v>2742</v>
      </c>
      <c r="D1632" t="s">
        <v>23</v>
      </c>
      <c r="E1632" t="s">
        <v>24</v>
      </c>
      <c r="F1632" t="s">
        <v>2743</v>
      </c>
      <c r="G1632">
        <v>1569694</v>
      </c>
      <c r="H1632" t="s">
        <v>68</v>
      </c>
      <c r="I1632" t="s">
        <v>150</v>
      </c>
      <c r="J1632" t="str">
        <f>"9781317860938"</f>
        <v>9781317860938</v>
      </c>
      <c r="K1632" t="s">
        <v>2803</v>
      </c>
      <c r="L1632">
        <v>4</v>
      </c>
      <c r="M1632" t="s">
        <v>2804</v>
      </c>
      <c r="O1632" t="s">
        <v>30</v>
      </c>
      <c r="P1632" t="s">
        <v>47</v>
      </c>
      <c r="Q1632" s="1">
        <v>42364.622569444444</v>
      </c>
      <c r="R1632">
        <v>1</v>
      </c>
      <c r="S1632" t="s">
        <v>31</v>
      </c>
      <c r="T1632" t="s">
        <v>2744</v>
      </c>
      <c r="U1632">
        <v>700.41120000000001</v>
      </c>
      <c r="V1632" s="3">
        <v>41582</v>
      </c>
    </row>
    <row r="1633" spans="1:22" x14ac:dyDescent="0.35">
      <c r="A1633" s="1">
        <v>42364.621979166666</v>
      </c>
      <c r="B1633" s="2">
        <v>5.7870370370370378E-4</v>
      </c>
      <c r="C1633" t="s">
        <v>2742</v>
      </c>
      <c r="D1633" t="s">
        <v>23</v>
      </c>
      <c r="E1633" t="s">
        <v>24</v>
      </c>
      <c r="F1633" t="s">
        <v>2743</v>
      </c>
      <c r="G1633">
        <v>1569694</v>
      </c>
      <c r="H1633" t="s">
        <v>68</v>
      </c>
      <c r="I1633" t="s">
        <v>150</v>
      </c>
      <c r="J1633" t="str">
        <f>"9781317860938"</f>
        <v>9781317860938</v>
      </c>
      <c r="K1633" t="s">
        <v>463</v>
      </c>
      <c r="L1633">
        <v>9</v>
      </c>
      <c r="O1633" t="s">
        <v>30</v>
      </c>
      <c r="P1633" t="s">
        <v>50</v>
      </c>
      <c r="S1633" t="s">
        <v>31</v>
      </c>
      <c r="T1633" t="s">
        <v>2744</v>
      </c>
      <c r="U1633">
        <v>700.41120000000001</v>
      </c>
      <c r="V1633" s="3">
        <v>41582</v>
      </c>
    </row>
    <row r="1634" spans="1:22" x14ac:dyDescent="0.35">
      <c r="A1634" s="1">
        <v>42364.564456018517</v>
      </c>
      <c r="B1634" s="2">
        <v>0.13145833333333332</v>
      </c>
      <c r="C1634" t="s">
        <v>2793</v>
      </c>
      <c r="D1634" t="s">
        <v>23</v>
      </c>
      <c r="E1634" t="s">
        <v>24</v>
      </c>
      <c r="F1634" t="s">
        <v>2794</v>
      </c>
      <c r="G1634">
        <v>667860</v>
      </c>
      <c r="H1634" t="s">
        <v>68</v>
      </c>
      <c r="I1634" t="s">
        <v>120</v>
      </c>
      <c r="J1634" t="str">
        <f>"9781136970382"</f>
        <v>9781136970382</v>
      </c>
      <c r="K1634" t="s">
        <v>2805</v>
      </c>
      <c r="L1634">
        <v>110</v>
      </c>
      <c r="O1634" t="s">
        <v>30</v>
      </c>
      <c r="P1634" t="s">
        <v>47</v>
      </c>
      <c r="Q1634" s="1">
        <v>42363.927407407406</v>
      </c>
      <c r="R1634">
        <v>1</v>
      </c>
      <c r="S1634" t="s">
        <v>31</v>
      </c>
      <c r="T1634" t="s">
        <v>2796</v>
      </c>
      <c r="U1634">
        <v>305.42095599999999</v>
      </c>
      <c r="V1634" s="3">
        <v>41522</v>
      </c>
    </row>
    <row r="1635" spans="1:22" x14ac:dyDescent="0.35">
      <c r="A1635" s="1">
        <v>42364.335335648146</v>
      </c>
      <c r="B1635" s="2">
        <v>1.9421296296296294E-2</v>
      </c>
      <c r="C1635" t="s">
        <v>2806</v>
      </c>
      <c r="D1635" t="s">
        <v>23</v>
      </c>
      <c r="E1635" t="s">
        <v>24</v>
      </c>
      <c r="F1635" t="s">
        <v>2807</v>
      </c>
      <c r="G1635">
        <v>1767915</v>
      </c>
      <c r="H1635" t="s">
        <v>26</v>
      </c>
      <c r="I1635" t="s">
        <v>120</v>
      </c>
      <c r="J1635" t="str">
        <f>"9780730315148"</f>
        <v>9780730315148</v>
      </c>
      <c r="K1635" t="s">
        <v>2808</v>
      </c>
      <c r="L1635">
        <v>39</v>
      </c>
      <c r="O1635" t="s">
        <v>30</v>
      </c>
      <c r="P1635" t="s">
        <v>29</v>
      </c>
      <c r="Q1635" s="1">
        <v>42364.335335648146</v>
      </c>
      <c r="R1635">
        <v>7</v>
      </c>
      <c r="S1635" t="s">
        <v>31</v>
      </c>
      <c r="T1635" t="s">
        <v>2809</v>
      </c>
      <c r="U1635">
        <v>302.23099999999999</v>
      </c>
      <c r="V1635" s="3">
        <v>41866</v>
      </c>
    </row>
    <row r="1636" spans="1:22" x14ac:dyDescent="0.35">
      <c r="A1636" s="1">
        <v>42364.326863425929</v>
      </c>
      <c r="B1636" s="2">
        <v>8.4722222222222213E-3</v>
      </c>
      <c r="C1636" t="s">
        <v>2806</v>
      </c>
      <c r="D1636" t="s">
        <v>23</v>
      </c>
      <c r="E1636" t="s">
        <v>24</v>
      </c>
      <c r="F1636" t="s">
        <v>2807</v>
      </c>
      <c r="G1636">
        <v>1767915</v>
      </c>
      <c r="H1636" t="s">
        <v>26</v>
      </c>
      <c r="I1636" t="s">
        <v>120</v>
      </c>
      <c r="J1636" t="str">
        <f>"9780730315148"</f>
        <v>9780730315148</v>
      </c>
      <c r="K1636" t="s">
        <v>889</v>
      </c>
      <c r="L1636">
        <v>6</v>
      </c>
      <c r="O1636" t="s">
        <v>30</v>
      </c>
      <c r="P1636" t="s">
        <v>42</v>
      </c>
      <c r="S1636" t="s">
        <v>31</v>
      </c>
      <c r="T1636" t="s">
        <v>2809</v>
      </c>
      <c r="U1636">
        <v>302.23099999999999</v>
      </c>
      <c r="V1636" s="3">
        <v>41866</v>
      </c>
    </row>
    <row r="1637" spans="1:22" x14ac:dyDescent="0.35">
      <c r="A1637" s="1">
        <v>42364.192511574074</v>
      </c>
      <c r="B1637" s="2">
        <v>1.59375E-2</v>
      </c>
      <c r="C1637" t="s">
        <v>2810</v>
      </c>
      <c r="D1637" t="s">
        <v>23</v>
      </c>
      <c r="E1637" t="s">
        <v>24</v>
      </c>
      <c r="F1637" t="s">
        <v>2811</v>
      </c>
      <c r="G1637">
        <v>1517682</v>
      </c>
      <c r="H1637" t="s">
        <v>68</v>
      </c>
      <c r="I1637" t="s">
        <v>2115</v>
      </c>
      <c r="J1637" t="str">
        <f>"9781135064655"</f>
        <v>9781135064655</v>
      </c>
      <c r="K1637" t="s">
        <v>2812</v>
      </c>
      <c r="L1637">
        <v>16</v>
      </c>
      <c r="O1637" t="s">
        <v>28</v>
      </c>
      <c r="P1637" t="s">
        <v>47</v>
      </c>
      <c r="Q1637" s="1">
        <v>42364.192511574074</v>
      </c>
      <c r="R1637">
        <v>7</v>
      </c>
      <c r="S1637" t="s">
        <v>31</v>
      </c>
      <c r="T1637" t="s">
        <v>2813</v>
      </c>
      <c r="U1637">
        <v>612.79999999999995</v>
      </c>
      <c r="V1637" s="3">
        <v>41575</v>
      </c>
    </row>
    <row r="1638" spans="1:22" x14ac:dyDescent="0.35">
      <c r="A1638" s="1">
        <v>42364.192511574074</v>
      </c>
      <c r="B1638" s="2">
        <v>0</v>
      </c>
      <c r="C1638" t="s">
        <v>2810</v>
      </c>
      <c r="D1638" t="s">
        <v>23</v>
      </c>
      <c r="E1638" t="s">
        <v>24</v>
      </c>
      <c r="F1638" t="s">
        <v>2811</v>
      </c>
      <c r="G1638">
        <v>1517682</v>
      </c>
      <c r="H1638" t="s">
        <v>68</v>
      </c>
      <c r="I1638" t="s">
        <v>2115</v>
      </c>
      <c r="J1638" t="str">
        <f>"9781135064655"</f>
        <v>9781135064655</v>
      </c>
      <c r="L1638">
        <v>0</v>
      </c>
      <c r="O1638" t="s">
        <v>30</v>
      </c>
      <c r="P1638" t="s">
        <v>47</v>
      </c>
      <c r="Q1638" s="1">
        <v>42364.192511574074</v>
      </c>
      <c r="R1638">
        <v>7</v>
      </c>
      <c r="S1638" t="s">
        <v>31</v>
      </c>
      <c r="T1638" t="s">
        <v>2813</v>
      </c>
      <c r="U1638">
        <v>612.79999999999995</v>
      </c>
      <c r="V1638" s="3">
        <v>41575</v>
      </c>
    </row>
    <row r="1639" spans="1:22" x14ac:dyDescent="0.35">
      <c r="A1639" s="1">
        <v>42364.190868055557</v>
      </c>
      <c r="B1639" s="2">
        <v>1.6435185185185183E-3</v>
      </c>
      <c r="C1639" t="s">
        <v>2810</v>
      </c>
      <c r="D1639" t="s">
        <v>23</v>
      </c>
      <c r="E1639" t="s">
        <v>24</v>
      </c>
      <c r="F1639" t="s">
        <v>2811</v>
      </c>
      <c r="G1639">
        <v>1517682</v>
      </c>
      <c r="H1639" t="s">
        <v>68</v>
      </c>
      <c r="I1639" t="s">
        <v>2115</v>
      </c>
      <c r="J1639" t="str">
        <f>"9781135064655"</f>
        <v>9781135064655</v>
      </c>
      <c r="K1639" t="s">
        <v>2814</v>
      </c>
      <c r="L1639">
        <v>13</v>
      </c>
      <c r="O1639" t="s">
        <v>30</v>
      </c>
      <c r="P1639" t="s">
        <v>50</v>
      </c>
      <c r="S1639" t="s">
        <v>31</v>
      </c>
      <c r="T1639" t="s">
        <v>2813</v>
      </c>
      <c r="U1639">
        <v>612.79999999999995</v>
      </c>
      <c r="V1639" s="3">
        <v>41575</v>
      </c>
    </row>
    <row r="1640" spans="1:22" x14ac:dyDescent="0.35">
      <c r="A1640" s="1">
        <v>42363.927407407406</v>
      </c>
      <c r="B1640" s="2">
        <v>3.0578703703703702E-2</v>
      </c>
      <c r="C1640" t="s">
        <v>2793</v>
      </c>
      <c r="D1640" t="s">
        <v>23</v>
      </c>
      <c r="E1640" t="s">
        <v>24</v>
      </c>
      <c r="F1640" t="s">
        <v>2794</v>
      </c>
      <c r="G1640">
        <v>667860</v>
      </c>
      <c r="H1640" t="s">
        <v>68</v>
      </c>
      <c r="I1640" t="s">
        <v>120</v>
      </c>
      <c r="J1640" t="str">
        <f>"9781136970382"</f>
        <v>9781136970382</v>
      </c>
      <c r="K1640" t="s">
        <v>2815</v>
      </c>
      <c r="L1640">
        <v>17</v>
      </c>
      <c r="O1640" t="s">
        <v>30</v>
      </c>
      <c r="P1640" t="s">
        <v>47</v>
      </c>
      <c r="Q1640" s="1">
        <v>42363.927407407406</v>
      </c>
      <c r="R1640">
        <v>1</v>
      </c>
      <c r="S1640" t="s">
        <v>31</v>
      </c>
      <c r="T1640" t="s">
        <v>2796</v>
      </c>
      <c r="U1640">
        <v>305.42095599999999</v>
      </c>
      <c r="V1640" s="3">
        <v>41522</v>
      </c>
    </row>
    <row r="1641" spans="1:22" x14ac:dyDescent="0.35">
      <c r="A1641" s="1">
        <v>42363.92465277778</v>
      </c>
      <c r="B1641" s="2">
        <v>2.7546296296296294E-3</v>
      </c>
      <c r="C1641" t="s">
        <v>2793</v>
      </c>
      <c r="D1641" t="s">
        <v>23</v>
      </c>
      <c r="E1641" t="s">
        <v>24</v>
      </c>
      <c r="F1641" t="s">
        <v>2794</v>
      </c>
      <c r="G1641">
        <v>667860</v>
      </c>
      <c r="H1641" t="s">
        <v>68</v>
      </c>
      <c r="I1641" t="s">
        <v>120</v>
      </c>
      <c r="J1641" t="str">
        <f>"9781136970382"</f>
        <v>9781136970382</v>
      </c>
      <c r="K1641" t="s">
        <v>2816</v>
      </c>
      <c r="L1641">
        <v>16</v>
      </c>
      <c r="O1641" t="s">
        <v>30</v>
      </c>
      <c r="P1641" t="s">
        <v>50</v>
      </c>
      <c r="S1641" t="s">
        <v>31</v>
      </c>
      <c r="T1641" t="s">
        <v>2796</v>
      </c>
      <c r="U1641">
        <v>305.42095599999999</v>
      </c>
      <c r="V1641" s="3">
        <v>41522</v>
      </c>
    </row>
    <row r="1642" spans="1:22" x14ac:dyDescent="0.35">
      <c r="A1642" s="1">
        <v>42363.782048611109</v>
      </c>
      <c r="B1642" s="2">
        <v>2.0370370370370373E-3</v>
      </c>
      <c r="C1642" t="s">
        <v>2793</v>
      </c>
      <c r="D1642" t="s">
        <v>23</v>
      </c>
      <c r="E1642" t="s">
        <v>24</v>
      </c>
      <c r="F1642" t="s">
        <v>2794</v>
      </c>
      <c r="G1642">
        <v>667860</v>
      </c>
      <c r="H1642" t="s">
        <v>68</v>
      </c>
      <c r="I1642" t="s">
        <v>120</v>
      </c>
      <c r="J1642" t="str">
        <f>"9781136970382"</f>
        <v>9781136970382</v>
      </c>
      <c r="K1642" t="s">
        <v>2817</v>
      </c>
      <c r="L1642">
        <v>15</v>
      </c>
      <c r="O1642" t="s">
        <v>30</v>
      </c>
      <c r="P1642" t="s">
        <v>50</v>
      </c>
      <c r="S1642" t="s">
        <v>31</v>
      </c>
      <c r="T1642" t="s">
        <v>2796</v>
      </c>
      <c r="U1642">
        <v>305.42095599999999</v>
      </c>
      <c r="V1642" s="3">
        <v>41522</v>
      </c>
    </row>
    <row r="1643" spans="1:22" x14ac:dyDescent="0.35">
      <c r="A1643" s="1">
        <v>42363.64435185185</v>
      </c>
      <c r="B1643" s="2">
        <v>1.5393518518518519E-3</v>
      </c>
      <c r="C1643" t="s">
        <v>2818</v>
      </c>
      <c r="D1643" t="s">
        <v>23</v>
      </c>
      <c r="E1643" t="s">
        <v>24</v>
      </c>
      <c r="F1643" t="s">
        <v>2819</v>
      </c>
      <c r="G1643">
        <v>4038113</v>
      </c>
      <c r="H1643" t="s">
        <v>26</v>
      </c>
      <c r="I1643" t="s">
        <v>348</v>
      </c>
      <c r="J1643" t="str">
        <f>"9781118725870"</f>
        <v>9781118725870</v>
      </c>
      <c r="K1643" t="s">
        <v>2820</v>
      </c>
      <c r="L1643">
        <v>52</v>
      </c>
      <c r="O1643" t="s">
        <v>30</v>
      </c>
      <c r="P1643" t="s">
        <v>50</v>
      </c>
      <c r="S1643" t="s">
        <v>31</v>
      </c>
      <c r="T1643" t="s">
        <v>2821</v>
      </c>
      <c r="U1643" t="s">
        <v>2822</v>
      </c>
      <c r="V1643" s="3">
        <v>42226</v>
      </c>
    </row>
    <row r="1644" spans="1:22" x14ac:dyDescent="0.35">
      <c r="A1644" s="1">
        <v>42363.643796296295</v>
      </c>
      <c r="B1644" s="2">
        <v>4.6296296296296294E-5</v>
      </c>
      <c r="C1644" t="s">
        <v>2818</v>
      </c>
      <c r="D1644" t="s">
        <v>23</v>
      </c>
      <c r="E1644" t="s">
        <v>24</v>
      </c>
      <c r="F1644" t="s">
        <v>2819</v>
      </c>
      <c r="G1644">
        <v>4038113</v>
      </c>
      <c r="H1644" t="s">
        <v>26</v>
      </c>
      <c r="I1644" t="s">
        <v>348</v>
      </c>
      <c r="J1644" t="str">
        <f>"9781118725870"</f>
        <v>9781118725870</v>
      </c>
      <c r="K1644" t="s">
        <v>611</v>
      </c>
      <c r="L1644">
        <v>3</v>
      </c>
      <c r="O1644" t="s">
        <v>30</v>
      </c>
      <c r="P1644" t="s">
        <v>50</v>
      </c>
      <c r="S1644" t="s">
        <v>31</v>
      </c>
      <c r="T1644" t="s">
        <v>2821</v>
      </c>
      <c r="U1644" t="s">
        <v>2822</v>
      </c>
      <c r="V1644" s="3">
        <v>42226</v>
      </c>
    </row>
    <row r="1645" spans="1:22" x14ac:dyDescent="0.35">
      <c r="A1645" s="1">
        <v>42363.615381944444</v>
      </c>
      <c r="B1645" s="2">
        <v>6.3194444444444444E-3</v>
      </c>
      <c r="C1645" t="s">
        <v>2705</v>
      </c>
      <c r="D1645" t="s">
        <v>23</v>
      </c>
      <c r="E1645" t="s">
        <v>24</v>
      </c>
      <c r="F1645" t="s">
        <v>226</v>
      </c>
      <c r="G1645">
        <v>817313</v>
      </c>
      <c r="H1645" t="s">
        <v>26</v>
      </c>
      <c r="I1645" t="s">
        <v>69</v>
      </c>
      <c r="J1645" t="str">
        <f>"9781118136829"</f>
        <v>9781118136829</v>
      </c>
      <c r="K1645" t="s">
        <v>2823</v>
      </c>
      <c r="L1645">
        <v>38</v>
      </c>
      <c r="O1645" t="s">
        <v>30</v>
      </c>
      <c r="P1645" t="s">
        <v>42</v>
      </c>
      <c r="S1645" t="s">
        <v>31</v>
      </c>
      <c r="T1645" t="s">
        <v>2311</v>
      </c>
      <c r="U1645">
        <v>378.16640000000001</v>
      </c>
      <c r="V1645" s="3">
        <v>40918</v>
      </c>
    </row>
    <row r="1646" spans="1:22" x14ac:dyDescent="0.35">
      <c r="A1646" s="1">
        <v>42363.615289351852</v>
      </c>
      <c r="B1646" s="2">
        <v>2.2013888888888888E-2</v>
      </c>
      <c r="C1646" t="s">
        <v>1904</v>
      </c>
      <c r="D1646" t="s">
        <v>35</v>
      </c>
      <c r="E1646" t="s">
        <v>36</v>
      </c>
      <c r="F1646" t="s">
        <v>625</v>
      </c>
      <c r="G1646">
        <v>1566387</v>
      </c>
      <c r="H1646" t="s">
        <v>26</v>
      </c>
      <c r="I1646" t="s">
        <v>120</v>
      </c>
      <c r="J1646" t="str">
        <f>"9781118471906"</f>
        <v>9781118471906</v>
      </c>
      <c r="K1646" t="s">
        <v>2824</v>
      </c>
      <c r="L1646">
        <v>23</v>
      </c>
      <c r="O1646" t="s">
        <v>30</v>
      </c>
      <c r="P1646" t="s">
        <v>29</v>
      </c>
      <c r="Q1646" s="1">
        <v>42363.615289351852</v>
      </c>
      <c r="R1646">
        <v>7</v>
      </c>
      <c r="S1646" t="s">
        <v>40</v>
      </c>
      <c r="T1646" t="s">
        <v>628</v>
      </c>
      <c r="U1646">
        <v>301</v>
      </c>
      <c r="V1646" s="3">
        <v>41596</v>
      </c>
    </row>
    <row r="1647" spans="1:22" x14ac:dyDescent="0.35">
      <c r="A1647" s="1">
        <v>42363.61</v>
      </c>
      <c r="B1647" s="2">
        <v>5.2893518518518515E-3</v>
      </c>
      <c r="C1647" t="s">
        <v>1904</v>
      </c>
      <c r="D1647" t="s">
        <v>35</v>
      </c>
      <c r="E1647" t="s">
        <v>36</v>
      </c>
      <c r="F1647" t="s">
        <v>625</v>
      </c>
      <c r="G1647">
        <v>1566387</v>
      </c>
      <c r="H1647" t="s">
        <v>26</v>
      </c>
      <c r="I1647" t="s">
        <v>120</v>
      </c>
      <c r="J1647" t="str">
        <f>"9781118471906"</f>
        <v>9781118471906</v>
      </c>
      <c r="K1647" t="s">
        <v>2825</v>
      </c>
      <c r="L1647">
        <v>15</v>
      </c>
      <c r="O1647" t="s">
        <v>30</v>
      </c>
      <c r="P1647" t="s">
        <v>50</v>
      </c>
      <c r="S1647" t="s">
        <v>40</v>
      </c>
      <c r="T1647" t="s">
        <v>628</v>
      </c>
      <c r="U1647">
        <v>301</v>
      </c>
      <c r="V1647" s="3">
        <v>41596</v>
      </c>
    </row>
    <row r="1648" spans="1:22" x14ac:dyDescent="0.35">
      <c r="A1648" s="1">
        <v>42363.287129629629</v>
      </c>
      <c r="B1648" s="2">
        <v>1.9560185185185184E-3</v>
      </c>
      <c r="C1648" t="s">
        <v>2826</v>
      </c>
      <c r="D1648" t="s">
        <v>23</v>
      </c>
      <c r="E1648" t="s">
        <v>24</v>
      </c>
      <c r="F1648" t="s">
        <v>2827</v>
      </c>
      <c r="G1648">
        <v>707971</v>
      </c>
      <c r="H1648" t="s">
        <v>26</v>
      </c>
      <c r="I1648" t="s">
        <v>247</v>
      </c>
      <c r="J1648" t="str">
        <f>"9781118293973"</f>
        <v>9781118293973</v>
      </c>
      <c r="K1648" t="s">
        <v>2828</v>
      </c>
      <c r="L1648">
        <v>6</v>
      </c>
      <c r="O1648" t="s">
        <v>30</v>
      </c>
      <c r="P1648" t="s">
        <v>29</v>
      </c>
      <c r="Q1648" s="1">
        <v>42363.287129629629</v>
      </c>
      <c r="R1648">
        <v>7</v>
      </c>
      <c r="S1648" t="s">
        <v>31</v>
      </c>
      <c r="T1648" t="s">
        <v>2829</v>
      </c>
      <c r="U1648" t="s">
        <v>2830</v>
      </c>
      <c r="V1648" s="3">
        <v>40868</v>
      </c>
    </row>
    <row r="1649" spans="1:22" x14ac:dyDescent="0.35">
      <c r="A1649" s="1">
        <v>42363.285219907404</v>
      </c>
      <c r="B1649" s="2">
        <v>1.9097222222222222E-3</v>
      </c>
      <c r="C1649" t="s">
        <v>2826</v>
      </c>
      <c r="D1649" t="s">
        <v>23</v>
      </c>
      <c r="E1649" t="s">
        <v>24</v>
      </c>
      <c r="F1649" t="s">
        <v>2827</v>
      </c>
      <c r="G1649">
        <v>707971</v>
      </c>
      <c r="H1649" t="s">
        <v>26</v>
      </c>
      <c r="I1649" t="s">
        <v>247</v>
      </c>
      <c r="J1649" t="str">
        <f>"9781118293973"</f>
        <v>9781118293973</v>
      </c>
      <c r="K1649" t="s">
        <v>2831</v>
      </c>
      <c r="L1649">
        <v>19</v>
      </c>
      <c r="O1649" t="s">
        <v>30</v>
      </c>
      <c r="P1649" t="s">
        <v>42</v>
      </c>
      <c r="S1649" t="s">
        <v>31</v>
      </c>
      <c r="T1649" t="s">
        <v>2829</v>
      </c>
      <c r="U1649" t="s">
        <v>2830</v>
      </c>
      <c r="V1649" s="3">
        <v>40868</v>
      </c>
    </row>
    <row r="1650" spans="1:22" x14ac:dyDescent="0.35">
      <c r="A1650" s="1">
        <v>42363.004004629627</v>
      </c>
      <c r="B1650" s="2">
        <v>7.1516203703703707E-2</v>
      </c>
      <c r="C1650" t="s">
        <v>1595</v>
      </c>
      <c r="D1650" t="s">
        <v>23</v>
      </c>
      <c r="E1650" t="s">
        <v>24</v>
      </c>
      <c r="F1650" t="s">
        <v>840</v>
      </c>
      <c r="G1650">
        <v>1166311</v>
      </c>
      <c r="H1650" t="s">
        <v>26</v>
      </c>
      <c r="I1650" t="s">
        <v>841</v>
      </c>
      <c r="J1650" t="str">
        <f>"9781118525616"</f>
        <v>9781118525616</v>
      </c>
      <c r="K1650" t="s">
        <v>2832</v>
      </c>
      <c r="L1650">
        <v>5</v>
      </c>
      <c r="O1650" t="s">
        <v>30</v>
      </c>
      <c r="P1650" t="s">
        <v>29</v>
      </c>
      <c r="Q1650" s="1">
        <v>42363.004004629627</v>
      </c>
      <c r="R1650">
        <v>7</v>
      </c>
      <c r="S1650" t="s">
        <v>31</v>
      </c>
      <c r="T1650" t="s">
        <v>842</v>
      </c>
      <c r="U1650">
        <v>355.00700000000001</v>
      </c>
      <c r="V1650" s="3">
        <v>41366</v>
      </c>
    </row>
    <row r="1651" spans="1:22" x14ac:dyDescent="0.35">
      <c r="A1651" s="1">
        <v>42362.995520833334</v>
      </c>
      <c r="B1651" s="2">
        <v>8.4837962962962966E-3</v>
      </c>
      <c r="C1651" t="s">
        <v>1595</v>
      </c>
      <c r="D1651" t="s">
        <v>23</v>
      </c>
      <c r="E1651" t="s">
        <v>24</v>
      </c>
      <c r="F1651" t="s">
        <v>840</v>
      </c>
      <c r="G1651">
        <v>1166311</v>
      </c>
      <c r="H1651" t="s">
        <v>26</v>
      </c>
      <c r="I1651" t="s">
        <v>841</v>
      </c>
      <c r="J1651" t="str">
        <f>"9781118525616"</f>
        <v>9781118525616</v>
      </c>
      <c r="K1651" t="s">
        <v>2833</v>
      </c>
      <c r="L1651">
        <v>24</v>
      </c>
      <c r="O1651" t="s">
        <v>30</v>
      </c>
      <c r="P1651" t="s">
        <v>42</v>
      </c>
      <c r="S1651" t="s">
        <v>31</v>
      </c>
      <c r="T1651" t="s">
        <v>842</v>
      </c>
      <c r="U1651">
        <v>355.00700000000001</v>
      </c>
      <c r="V1651" s="3">
        <v>41366</v>
      </c>
    </row>
    <row r="1652" spans="1:22" x14ac:dyDescent="0.35">
      <c r="A1652" s="1">
        <v>42362.837141203701</v>
      </c>
      <c r="B1652" s="2">
        <v>0</v>
      </c>
      <c r="C1652" t="s">
        <v>2834</v>
      </c>
      <c r="D1652" t="s">
        <v>23</v>
      </c>
      <c r="E1652" t="s">
        <v>24</v>
      </c>
      <c r="F1652" t="s">
        <v>2835</v>
      </c>
      <c r="G1652">
        <v>1210953</v>
      </c>
      <c r="H1652" t="s">
        <v>26</v>
      </c>
      <c r="I1652" t="s">
        <v>2836</v>
      </c>
      <c r="J1652" t="str">
        <f>"9781118652831"</f>
        <v>9781118652831</v>
      </c>
      <c r="L1652">
        <v>0</v>
      </c>
      <c r="O1652" t="s">
        <v>28</v>
      </c>
      <c r="P1652" t="s">
        <v>29</v>
      </c>
      <c r="Q1652" s="1">
        <v>42362.837141203701</v>
      </c>
      <c r="R1652">
        <v>7</v>
      </c>
      <c r="S1652" t="s">
        <v>31</v>
      </c>
      <c r="T1652" t="s">
        <v>2837</v>
      </c>
      <c r="U1652">
        <v>650.1</v>
      </c>
      <c r="V1652" s="3">
        <v>41400</v>
      </c>
    </row>
    <row r="1653" spans="1:22" x14ac:dyDescent="0.35">
      <c r="A1653" s="1">
        <v>42362.837141203701</v>
      </c>
      <c r="B1653" s="2">
        <v>0</v>
      </c>
      <c r="C1653" t="s">
        <v>2834</v>
      </c>
      <c r="D1653" t="s">
        <v>23</v>
      </c>
      <c r="E1653" t="s">
        <v>24</v>
      </c>
      <c r="F1653" t="s">
        <v>2835</v>
      </c>
      <c r="G1653">
        <v>1210953</v>
      </c>
      <c r="H1653" t="s">
        <v>26</v>
      </c>
      <c r="I1653" t="s">
        <v>2836</v>
      </c>
      <c r="J1653" t="str">
        <f>"9781118652831"</f>
        <v>9781118652831</v>
      </c>
      <c r="L1653">
        <v>0</v>
      </c>
      <c r="O1653" t="s">
        <v>30</v>
      </c>
      <c r="P1653" t="s">
        <v>29</v>
      </c>
      <c r="Q1653" s="1">
        <v>42362.837141203701</v>
      </c>
      <c r="R1653">
        <v>7</v>
      </c>
      <c r="S1653" t="s">
        <v>31</v>
      </c>
      <c r="T1653" t="s">
        <v>2837</v>
      </c>
      <c r="U1653">
        <v>650.1</v>
      </c>
      <c r="V1653" s="3">
        <v>41400</v>
      </c>
    </row>
    <row r="1654" spans="1:22" x14ac:dyDescent="0.35">
      <c r="A1654" s="1">
        <v>42362.836944444447</v>
      </c>
      <c r="B1654" s="2">
        <v>1.9675925925925926E-4</v>
      </c>
      <c r="C1654" t="s">
        <v>2834</v>
      </c>
      <c r="D1654" t="s">
        <v>23</v>
      </c>
      <c r="E1654" t="s">
        <v>24</v>
      </c>
      <c r="F1654" t="s">
        <v>2835</v>
      </c>
      <c r="G1654">
        <v>1210953</v>
      </c>
      <c r="H1654" t="s">
        <v>26</v>
      </c>
      <c r="I1654" t="s">
        <v>2836</v>
      </c>
      <c r="J1654" t="str">
        <f>"9781118652831"</f>
        <v>9781118652831</v>
      </c>
      <c r="K1654" t="s">
        <v>33</v>
      </c>
      <c r="L1654">
        <v>3</v>
      </c>
      <c r="O1654" t="s">
        <v>30</v>
      </c>
      <c r="P1654" t="s">
        <v>50</v>
      </c>
      <c r="S1654" t="s">
        <v>31</v>
      </c>
      <c r="T1654" t="s">
        <v>2837</v>
      </c>
      <c r="U1654">
        <v>650.1</v>
      </c>
      <c r="V1654" s="3">
        <v>41400</v>
      </c>
    </row>
    <row r="1655" spans="1:22" x14ac:dyDescent="0.35">
      <c r="A1655" s="1">
        <v>42362.690324074072</v>
      </c>
      <c r="B1655" s="2">
        <v>2.5925925925925925E-3</v>
      </c>
      <c r="C1655" t="s">
        <v>2838</v>
      </c>
      <c r="D1655" t="s">
        <v>23</v>
      </c>
      <c r="E1655" t="s">
        <v>24</v>
      </c>
      <c r="F1655" t="s">
        <v>2839</v>
      </c>
      <c r="G1655">
        <v>1562534</v>
      </c>
      <c r="H1655" t="s">
        <v>68</v>
      </c>
      <c r="I1655" t="s">
        <v>172</v>
      </c>
      <c r="J1655" t="str">
        <f>"9781317898917"</f>
        <v>9781317898917</v>
      </c>
      <c r="K1655" t="s">
        <v>2840</v>
      </c>
      <c r="L1655">
        <v>15</v>
      </c>
      <c r="O1655" t="s">
        <v>30</v>
      </c>
      <c r="P1655" t="s">
        <v>47</v>
      </c>
      <c r="Q1655" s="1">
        <v>42362.276574074072</v>
      </c>
      <c r="R1655">
        <v>1</v>
      </c>
      <c r="S1655" t="s">
        <v>31</v>
      </c>
      <c r="T1655" t="s">
        <v>2841</v>
      </c>
      <c r="U1655">
        <v>940.28399999999999</v>
      </c>
      <c r="V1655" s="3">
        <v>41592</v>
      </c>
    </row>
    <row r="1656" spans="1:22" x14ac:dyDescent="0.35">
      <c r="A1656" s="1">
        <v>42362.593865740739</v>
      </c>
      <c r="B1656" s="2">
        <v>1.8715277777777779E-2</v>
      </c>
      <c r="C1656" t="s">
        <v>1904</v>
      </c>
      <c r="D1656" t="s">
        <v>35</v>
      </c>
      <c r="E1656" t="s">
        <v>36</v>
      </c>
      <c r="F1656" t="s">
        <v>625</v>
      </c>
      <c r="G1656">
        <v>1566387</v>
      </c>
      <c r="H1656" t="s">
        <v>26</v>
      </c>
      <c r="I1656" t="s">
        <v>120</v>
      </c>
      <c r="J1656" t="str">
        <f>"9781118471906"</f>
        <v>9781118471906</v>
      </c>
      <c r="K1656" t="s">
        <v>2842</v>
      </c>
      <c r="L1656">
        <v>114</v>
      </c>
      <c r="N1656" t="s">
        <v>2843</v>
      </c>
      <c r="O1656" t="s">
        <v>30</v>
      </c>
      <c r="P1656" t="s">
        <v>47</v>
      </c>
      <c r="Q1656" s="1">
        <v>42361.866249999999</v>
      </c>
      <c r="R1656">
        <v>1</v>
      </c>
      <c r="S1656" t="s">
        <v>40</v>
      </c>
      <c r="T1656" t="s">
        <v>628</v>
      </c>
      <c r="U1656">
        <v>301</v>
      </c>
      <c r="V1656" s="3">
        <v>41596</v>
      </c>
    </row>
    <row r="1657" spans="1:22" x14ac:dyDescent="0.35">
      <c r="A1657" s="1">
        <v>42362.422465277778</v>
      </c>
      <c r="B1657" s="2">
        <v>3.7037037037037035E-4</v>
      </c>
      <c r="C1657" t="s">
        <v>1904</v>
      </c>
      <c r="D1657" t="s">
        <v>35</v>
      </c>
      <c r="E1657" t="s">
        <v>36</v>
      </c>
      <c r="F1657" t="s">
        <v>625</v>
      </c>
      <c r="G1657">
        <v>1566387</v>
      </c>
      <c r="H1657" t="s">
        <v>26</v>
      </c>
      <c r="I1657" t="s">
        <v>120</v>
      </c>
      <c r="J1657" t="str">
        <f>"9781118471906"</f>
        <v>9781118471906</v>
      </c>
      <c r="K1657" t="s">
        <v>2844</v>
      </c>
      <c r="L1657">
        <v>8</v>
      </c>
      <c r="O1657" t="s">
        <v>30</v>
      </c>
      <c r="P1657" t="s">
        <v>47</v>
      </c>
      <c r="Q1657" s="1">
        <v>42361.866249999999</v>
      </c>
      <c r="R1657">
        <v>1</v>
      </c>
      <c r="S1657" t="s">
        <v>40</v>
      </c>
      <c r="T1657" t="s">
        <v>628</v>
      </c>
      <c r="U1657">
        <v>301</v>
      </c>
      <c r="V1657" s="3">
        <v>41596</v>
      </c>
    </row>
    <row r="1658" spans="1:22" x14ac:dyDescent="0.35">
      <c r="A1658" s="1">
        <v>42362.301747685182</v>
      </c>
      <c r="B1658" s="2">
        <v>2.3831018518518519E-2</v>
      </c>
      <c r="C1658" t="s">
        <v>2838</v>
      </c>
      <c r="D1658" t="s">
        <v>23</v>
      </c>
      <c r="E1658" t="s">
        <v>24</v>
      </c>
      <c r="F1658" t="s">
        <v>2839</v>
      </c>
      <c r="G1658">
        <v>1562534</v>
      </c>
      <c r="H1658" t="s">
        <v>68</v>
      </c>
      <c r="I1658" t="s">
        <v>172</v>
      </c>
      <c r="J1658" t="str">
        <f>"9781317898917"</f>
        <v>9781317898917</v>
      </c>
      <c r="K1658" t="s">
        <v>2845</v>
      </c>
      <c r="L1658">
        <v>27</v>
      </c>
      <c r="O1658" t="s">
        <v>30</v>
      </c>
      <c r="P1658" t="s">
        <v>47</v>
      </c>
      <c r="Q1658" s="1">
        <v>42362.276574074072</v>
      </c>
      <c r="R1658">
        <v>1</v>
      </c>
      <c r="S1658" t="s">
        <v>31</v>
      </c>
      <c r="T1658" t="s">
        <v>2841</v>
      </c>
      <c r="U1658">
        <v>940.28399999999999</v>
      </c>
      <c r="V1658" s="3">
        <v>41592</v>
      </c>
    </row>
    <row r="1659" spans="1:22" x14ac:dyDescent="0.35">
      <c r="A1659" s="1">
        <v>42362.276574074072</v>
      </c>
      <c r="B1659" s="2">
        <v>1.8576388888888889E-2</v>
      </c>
      <c r="C1659" t="s">
        <v>2838</v>
      </c>
      <c r="D1659" t="s">
        <v>23</v>
      </c>
      <c r="E1659" t="s">
        <v>24</v>
      </c>
      <c r="F1659" t="s">
        <v>2839</v>
      </c>
      <c r="G1659">
        <v>1562534</v>
      </c>
      <c r="H1659" t="s">
        <v>68</v>
      </c>
      <c r="I1659" t="s">
        <v>172</v>
      </c>
      <c r="J1659" t="str">
        <f>"9781317898917"</f>
        <v>9781317898917</v>
      </c>
      <c r="K1659" t="s">
        <v>2846</v>
      </c>
      <c r="L1659">
        <v>5</v>
      </c>
      <c r="O1659" t="s">
        <v>30</v>
      </c>
      <c r="P1659" t="s">
        <v>47</v>
      </c>
      <c r="Q1659" s="1">
        <v>42362.276574074072</v>
      </c>
      <c r="R1659">
        <v>1</v>
      </c>
      <c r="S1659" t="s">
        <v>31</v>
      </c>
      <c r="T1659" t="s">
        <v>2841</v>
      </c>
      <c r="U1659">
        <v>940.28399999999999</v>
      </c>
      <c r="V1659" s="3">
        <v>41592</v>
      </c>
    </row>
    <row r="1660" spans="1:22" x14ac:dyDescent="0.35">
      <c r="A1660" s="1">
        <v>42362.274097222224</v>
      </c>
      <c r="B1660" s="2">
        <v>2.4768518518518516E-3</v>
      </c>
      <c r="C1660" t="s">
        <v>2838</v>
      </c>
      <c r="D1660" t="s">
        <v>23</v>
      </c>
      <c r="E1660" t="s">
        <v>24</v>
      </c>
      <c r="F1660" t="s">
        <v>2839</v>
      </c>
      <c r="G1660">
        <v>1562534</v>
      </c>
      <c r="H1660" t="s">
        <v>68</v>
      </c>
      <c r="I1660" t="s">
        <v>172</v>
      </c>
      <c r="J1660" t="str">
        <f>"9781317898917"</f>
        <v>9781317898917</v>
      </c>
      <c r="K1660" t="s">
        <v>2847</v>
      </c>
      <c r="L1660">
        <v>13</v>
      </c>
      <c r="O1660" t="s">
        <v>30</v>
      </c>
      <c r="P1660" t="s">
        <v>50</v>
      </c>
      <c r="S1660" t="s">
        <v>31</v>
      </c>
      <c r="T1660" t="s">
        <v>2841</v>
      </c>
      <c r="U1660">
        <v>940.28399999999999</v>
      </c>
      <c r="V1660" s="3">
        <v>41592</v>
      </c>
    </row>
    <row r="1661" spans="1:22" x14ac:dyDescent="0.35">
      <c r="A1661" s="1">
        <v>42362.12771990741</v>
      </c>
      <c r="B1661" s="2">
        <v>2.3148148148148147E-5</v>
      </c>
      <c r="C1661" t="s">
        <v>2576</v>
      </c>
      <c r="D1661" t="s">
        <v>23</v>
      </c>
      <c r="E1661" t="s">
        <v>24</v>
      </c>
      <c r="F1661" t="s">
        <v>2698</v>
      </c>
      <c r="G1661">
        <v>818049</v>
      </c>
      <c r="H1661" t="s">
        <v>26</v>
      </c>
      <c r="I1661" t="s">
        <v>108</v>
      </c>
      <c r="J1661" t="str">
        <f>"9781118224274"</f>
        <v>9781118224274</v>
      </c>
      <c r="K1661" t="s">
        <v>2848</v>
      </c>
      <c r="L1661">
        <v>6</v>
      </c>
      <c r="O1661" t="s">
        <v>30</v>
      </c>
      <c r="P1661" t="s">
        <v>29</v>
      </c>
      <c r="Q1661" s="1">
        <v>42362.127708333333</v>
      </c>
      <c r="R1661">
        <v>7</v>
      </c>
      <c r="S1661" t="s">
        <v>31</v>
      </c>
      <c r="T1661" t="s">
        <v>2699</v>
      </c>
      <c r="U1661" t="s">
        <v>2700</v>
      </c>
      <c r="V1661" s="3">
        <v>41035</v>
      </c>
    </row>
    <row r="1662" spans="1:22" x14ac:dyDescent="0.35">
      <c r="A1662" s="1">
        <v>42362.0703587963</v>
      </c>
      <c r="B1662" s="2">
        <v>5.7349537037037039E-2</v>
      </c>
      <c r="C1662" t="s">
        <v>2576</v>
      </c>
      <c r="D1662" t="s">
        <v>23</v>
      </c>
      <c r="E1662" t="s">
        <v>24</v>
      </c>
      <c r="F1662" t="s">
        <v>2698</v>
      </c>
      <c r="G1662">
        <v>818049</v>
      </c>
      <c r="H1662" t="s">
        <v>26</v>
      </c>
      <c r="I1662" t="s">
        <v>108</v>
      </c>
      <c r="J1662" t="str">
        <f>"9781118224274"</f>
        <v>9781118224274</v>
      </c>
      <c r="K1662" t="s">
        <v>2849</v>
      </c>
      <c r="L1662">
        <v>17</v>
      </c>
      <c r="O1662" t="s">
        <v>30</v>
      </c>
      <c r="P1662" t="s">
        <v>42</v>
      </c>
      <c r="S1662" t="s">
        <v>31</v>
      </c>
      <c r="T1662" t="s">
        <v>2699</v>
      </c>
      <c r="U1662" t="s">
        <v>2700</v>
      </c>
      <c r="V1662" s="3">
        <v>41035</v>
      </c>
    </row>
    <row r="1663" spans="1:22" x14ac:dyDescent="0.35">
      <c r="A1663" s="1">
        <v>42361.987997685188</v>
      </c>
      <c r="B1663" s="2">
        <v>1.7245370370370372E-3</v>
      </c>
      <c r="C1663" t="s">
        <v>2838</v>
      </c>
      <c r="D1663" t="s">
        <v>23</v>
      </c>
      <c r="E1663" t="s">
        <v>24</v>
      </c>
      <c r="F1663" t="s">
        <v>2839</v>
      </c>
      <c r="G1663">
        <v>1562534</v>
      </c>
      <c r="H1663" t="s">
        <v>68</v>
      </c>
      <c r="I1663" t="s">
        <v>172</v>
      </c>
      <c r="J1663" t="str">
        <f>"9781317898917"</f>
        <v>9781317898917</v>
      </c>
      <c r="K1663" t="s">
        <v>2850</v>
      </c>
      <c r="L1663">
        <v>12</v>
      </c>
      <c r="O1663" t="s">
        <v>30</v>
      </c>
      <c r="P1663" t="s">
        <v>50</v>
      </c>
      <c r="S1663" t="s">
        <v>31</v>
      </c>
      <c r="T1663" t="s">
        <v>2841</v>
      </c>
      <c r="U1663">
        <v>940.28399999999999</v>
      </c>
      <c r="V1663" s="3">
        <v>41592</v>
      </c>
    </row>
    <row r="1664" spans="1:22" x14ac:dyDescent="0.35">
      <c r="A1664" s="1">
        <v>42361.888854166667</v>
      </c>
      <c r="B1664" s="2">
        <v>1.4004629629629629E-3</v>
      </c>
      <c r="C1664" t="s">
        <v>1904</v>
      </c>
      <c r="D1664" t="s">
        <v>35</v>
      </c>
      <c r="E1664" t="s">
        <v>36</v>
      </c>
      <c r="F1664" t="s">
        <v>625</v>
      </c>
      <c r="G1664">
        <v>1566387</v>
      </c>
      <c r="H1664" t="s">
        <v>26</v>
      </c>
      <c r="I1664" t="s">
        <v>120</v>
      </c>
      <c r="J1664" t="str">
        <f t="shared" ref="J1664:J1669" si="21">"9781118471906"</f>
        <v>9781118471906</v>
      </c>
      <c r="K1664" t="s">
        <v>2851</v>
      </c>
      <c r="L1664">
        <v>46</v>
      </c>
      <c r="N1664" t="s">
        <v>2852</v>
      </c>
      <c r="O1664" t="s">
        <v>30</v>
      </c>
      <c r="P1664" t="s">
        <v>47</v>
      </c>
      <c r="Q1664" s="1">
        <v>42361.866249999999</v>
      </c>
      <c r="R1664">
        <v>1</v>
      </c>
      <c r="S1664" t="s">
        <v>40</v>
      </c>
      <c r="T1664" t="s">
        <v>628</v>
      </c>
      <c r="U1664">
        <v>301</v>
      </c>
      <c r="V1664" s="3">
        <v>41596</v>
      </c>
    </row>
    <row r="1665" spans="1:22" x14ac:dyDescent="0.35">
      <c r="A1665" s="1">
        <v>42361.882094907407</v>
      </c>
      <c r="B1665" s="2">
        <v>3.3564814814814811E-3</v>
      </c>
      <c r="C1665" t="s">
        <v>1904</v>
      </c>
      <c r="D1665" t="s">
        <v>35</v>
      </c>
      <c r="E1665" t="s">
        <v>36</v>
      </c>
      <c r="F1665" t="s">
        <v>625</v>
      </c>
      <c r="G1665">
        <v>1566387</v>
      </c>
      <c r="H1665" t="s">
        <v>26</v>
      </c>
      <c r="I1665" t="s">
        <v>120</v>
      </c>
      <c r="J1665" t="str">
        <f t="shared" si="21"/>
        <v>9781118471906</v>
      </c>
      <c r="K1665" t="s">
        <v>2853</v>
      </c>
      <c r="L1665">
        <v>63</v>
      </c>
      <c r="N1665" t="s">
        <v>2854</v>
      </c>
      <c r="O1665" t="s">
        <v>30</v>
      </c>
      <c r="P1665" t="s">
        <v>47</v>
      </c>
      <c r="Q1665" s="1">
        <v>42361.866249999999</v>
      </c>
      <c r="R1665">
        <v>1</v>
      </c>
      <c r="S1665" t="s">
        <v>40</v>
      </c>
      <c r="T1665" t="s">
        <v>628</v>
      </c>
      <c r="U1665">
        <v>301</v>
      </c>
      <c r="V1665" s="3">
        <v>41596</v>
      </c>
    </row>
    <row r="1666" spans="1:22" x14ac:dyDescent="0.35">
      <c r="A1666" s="1">
        <v>42361.876157407409</v>
      </c>
      <c r="B1666" s="2">
        <v>1.8055555555555557E-3</v>
      </c>
      <c r="C1666" t="s">
        <v>1904</v>
      </c>
      <c r="D1666" t="s">
        <v>35</v>
      </c>
      <c r="E1666" t="s">
        <v>36</v>
      </c>
      <c r="F1666" t="s">
        <v>625</v>
      </c>
      <c r="G1666">
        <v>1566387</v>
      </c>
      <c r="H1666" t="s">
        <v>26</v>
      </c>
      <c r="I1666" t="s">
        <v>120</v>
      </c>
      <c r="J1666" t="str">
        <f t="shared" si="21"/>
        <v>9781118471906</v>
      </c>
      <c r="K1666" t="s">
        <v>2855</v>
      </c>
      <c r="L1666">
        <v>36</v>
      </c>
      <c r="N1666" t="s">
        <v>2856</v>
      </c>
      <c r="O1666" t="s">
        <v>30</v>
      </c>
      <c r="P1666" t="s">
        <v>47</v>
      </c>
      <c r="Q1666" s="1">
        <v>42361.866249999999</v>
      </c>
      <c r="R1666">
        <v>1</v>
      </c>
      <c r="S1666" t="s">
        <v>40</v>
      </c>
      <c r="T1666" t="s">
        <v>628</v>
      </c>
      <c r="U1666">
        <v>301</v>
      </c>
      <c r="V1666" s="3">
        <v>41596</v>
      </c>
    </row>
    <row r="1667" spans="1:22" x14ac:dyDescent="0.35">
      <c r="A1667" s="1">
        <v>42361.868287037039</v>
      </c>
      <c r="B1667" s="2">
        <v>5.7754629629629623E-3</v>
      </c>
      <c r="C1667" t="s">
        <v>1904</v>
      </c>
      <c r="D1667" t="s">
        <v>35</v>
      </c>
      <c r="E1667" t="s">
        <v>36</v>
      </c>
      <c r="F1667" t="s">
        <v>625</v>
      </c>
      <c r="G1667">
        <v>1566387</v>
      </c>
      <c r="H1667" t="s">
        <v>26</v>
      </c>
      <c r="I1667" t="s">
        <v>120</v>
      </c>
      <c r="J1667" t="str">
        <f t="shared" si="21"/>
        <v>9781118471906</v>
      </c>
      <c r="K1667" t="s">
        <v>2857</v>
      </c>
      <c r="L1667">
        <v>31</v>
      </c>
      <c r="N1667" t="s">
        <v>2858</v>
      </c>
      <c r="O1667" t="s">
        <v>30</v>
      </c>
      <c r="P1667" t="s">
        <v>47</v>
      </c>
      <c r="Q1667" s="1">
        <v>42361.866249999999</v>
      </c>
      <c r="R1667">
        <v>1</v>
      </c>
      <c r="S1667" t="s">
        <v>40</v>
      </c>
      <c r="T1667" t="s">
        <v>628</v>
      </c>
      <c r="U1667">
        <v>301</v>
      </c>
      <c r="V1667" s="3">
        <v>41596</v>
      </c>
    </row>
    <row r="1668" spans="1:22" x14ac:dyDescent="0.35">
      <c r="A1668" s="1">
        <v>42361.866249999999</v>
      </c>
      <c r="B1668" s="2">
        <v>0</v>
      </c>
      <c r="C1668" t="s">
        <v>1904</v>
      </c>
      <c r="D1668" t="s">
        <v>35</v>
      </c>
      <c r="E1668" t="s">
        <v>36</v>
      </c>
      <c r="F1668" t="s">
        <v>625</v>
      </c>
      <c r="G1668">
        <v>1566387</v>
      </c>
      <c r="H1668" t="s">
        <v>26</v>
      </c>
      <c r="I1668" t="s">
        <v>120</v>
      </c>
      <c r="J1668" t="str">
        <f t="shared" si="21"/>
        <v>9781118471906</v>
      </c>
      <c r="L1668">
        <v>0</v>
      </c>
      <c r="N1668" t="s">
        <v>2859</v>
      </c>
      <c r="O1668" t="s">
        <v>30</v>
      </c>
      <c r="P1668" t="s">
        <v>47</v>
      </c>
      <c r="Q1668" s="1">
        <v>42361.866249999999</v>
      </c>
      <c r="R1668">
        <v>1</v>
      </c>
      <c r="S1668" t="s">
        <v>40</v>
      </c>
      <c r="T1668" t="s">
        <v>628</v>
      </c>
      <c r="U1668">
        <v>301</v>
      </c>
      <c r="V1668" s="3">
        <v>41596</v>
      </c>
    </row>
    <row r="1669" spans="1:22" x14ac:dyDescent="0.35">
      <c r="A1669" s="1">
        <v>42361.863576388889</v>
      </c>
      <c r="B1669" s="2">
        <v>2.673611111111111E-3</v>
      </c>
      <c r="C1669" t="s">
        <v>1904</v>
      </c>
      <c r="D1669" t="s">
        <v>35</v>
      </c>
      <c r="E1669" t="s">
        <v>36</v>
      </c>
      <c r="F1669" t="s">
        <v>625</v>
      </c>
      <c r="G1669">
        <v>1566387</v>
      </c>
      <c r="H1669" t="s">
        <v>26</v>
      </c>
      <c r="I1669" t="s">
        <v>120</v>
      </c>
      <c r="J1669" t="str">
        <f t="shared" si="21"/>
        <v>9781118471906</v>
      </c>
      <c r="K1669" t="s">
        <v>2860</v>
      </c>
      <c r="L1669">
        <v>27</v>
      </c>
      <c r="O1669" t="s">
        <v>30</v>
      </c>
      <c r="P1669" t="s">
        <v>50</v>
      </c>
      <c r="S1669" t="s">
        <v>40</v>
      </c>
      <c r="T1669" t="s">
        <v>628</v>
      </c>
      <c r="U1669">
        <v>301</v>
      </c>
      <c r="V1669" s="3">
        <v>41596</v>
      </c>
    </row>
    <row r="1670" spans="1:22" x14ac:dyDescent="0.35">
      <c r="A1670" s="1">
        <v>42361.852106481485</v>
      </c>
      <c r="B1670" s="2">
        <v>2.0833333333333335E-4</v>
      </c>
      <c r="C1670" t="s">
        <v>2861</v>
      </c>
      <c r="D1670" t="s">
        <v>23</v>
      </c>
      <c r="E1670" t="s">
        <v>24</v>
      </c>
      <c r="F1670" t="s">
        <v>2862</v>
      </c>
      <c r="G1670">
        <v>817933</v>
      </c>
      <c r="H1670" t="s">
        <v>26</v>
      </c>
      <c r="I1670" t="s">
        <v>108</v>
      </c>
      <c r="J1670" t="str">
        <f>"9781118220290"</f>
        <v>9781118220290</v>
      </c>
      <c r="K1670" t="s">
        <v>2863</v>
      </c>
      <c r="L1670">
        <v>10</v>
      </c>
      <c r="O1670" t="s">
        <v>30</v>
      </c>
      <c r="P1670" t="s">
        <v>29</v>
      </c>
      <c r="Q1670" s="1">
        <v>42361.852106481485</v>
      </c>
      <c r="R1670">
        <v>7</v>
      </c>
      <c r="S1670" t="s">
        <v>31</v>
      </c>
      <c r="T1670" t="s">
        <v>2864</v>
      </c>
      <c r="U1670">
        <v>332.6</v>
      </c>
      <c r="V1670" s="3">
        <v>41376</v>
      </c>
    </row>
    <row r="1671" spans="1:22" x14ac:dyDescent="0.35">
      <c r="A1671" s="1">
        <v>42361.841006944444</v>
      </c>
      <c r="B1671" s="2">
        <v>1.1099537037037038E-2</v>
      </c>
      <c r="C1671" t="s">
        <v>2861</v>
      </c>
      <c r="D1671" t="s">
        <v>23</v>
      </c>
      <c r="E1671" t="s">
        <v>24</v>
      </c>
      <c r="F1671" t="s">
        <v>2862</v>
      </c>
      <c r="G1671">
        <v>817933</v>
      </c>
      <c r="H1671" t="s">
        <v>26</v>
      </c>
      <c r="I1671" t="s">
        <v>108</v>
      </c>
      <c r="J1671" t="str">
        <f>"9781118220290"</f>
        <v>9781118220290</v>
      </c>
      <c r="K1671" t="s">
        <v>33</v>
      </c>
      <c r="L1671">
        <v>3</v>
      </c>
      <c r="O1671" t="s">
        <v>30</v>
      </c>
      <c r="P1671" t="s">
        <v>50</v>
      </c>
      <c r="S1671" t="s">
        <v>31</v>
      </c>
      <c r="T1671" t="s">
        <v>2864</v>
      </c>
      <c r="U1671">
        <v>332.6</v>
      </c>
      <c r="V1671" s="3">
        <v>41376</v>
      </c>
    </row>
    <row r="1672" spans="1:22" x14ac:dyDescent="0.35">
      <c r="A1672" s="1">
        <v>42361.812280092592</v>
      </c>
      <c r="B1672" s="2">
        <v>1.3900462962962962E-2</v>
      </c>
      <c r="C1672" t="s">
        <v>2576</v>
      </c>
      <c r="D1672" t="s">
        <v>23</v>
      </c>
      <c r="E1672" t="s">
        <v>24</v>
      </c>
      <c r="F1672" t="s">
        <v>2577</v>
      </c>
      <c r="G1672">
        <v>1137758</v>
      </c>
      <c r="H1672" t="s">
        <v>26</v>
      </c>
      <c r="I1672" t="s">
        <v>445</v>
      </c>
      <c r="J1672" t="str">
        <f>"9781118399279"</f>
        <v>9781118399279</v>
      </c>
      <c r="K1672" t="s">
        <v>2865</v>
      </c>
      <c r="L1672">
        <v>10</v>
      </c>
      <c r="O1672" t="s">
        <v>30</v>
      </c>
      <c r="P1672" t="s">
        <v>29</v>
      </c>
      <c r="Q1672" s="1">
        <v>42358.091539351852</v>
      </c>
      <c r="R1672">
        <v>7</v>
      </c>
      <c r="S1672" t="s">
        <v>31</v>
      </c>
      <c r="T1672" t="s">
        <v>2579</v>
      </c>
      <c r="U1672" t="s">
        <v>2580</v>
      </c>
      <c r="V1672" s="3">
        <v>41331</v>
      </c>
    </row>
    <row r="1673" spans="1:22" x14ac:dyDescent="0.35">
      <c r="A1673" s="1">
        <v>42361.808009259257</v>
      </c>
      <c r="B1673" s="2">
        <v>3.3958333333333333E-2</v>
      </c>
      <c r="C1673" t="s">
        <v>2866</v>
      </c>
      <c r="D1673" t="s">
        <v>35</v>
      </c>
      <c r="E1673" t="s">
        <v>36</v>
      </c>
      <c r="F1673" t="s">
        <v>1254</v>
      </c>
      <c r="G1673">
        <v>915727</v>
      </c>
      <c r="H1673" t="s">
        <v>26</v>
      </c>
      <c r="I1673" t="s">
        <v>247</v>
      </c>
      <c r="J1673" t="str">
        <f>"9781118316764"</f>
        <v>9781118316764</v>
      </c>
      <c r="K1673" t="s">
        <v>2867</v>
      </c>
      <c r="L1673">
        <v>7</v>
      </c>
      <c r="O1673" t="s">
        <v>30</v>
      </c>
      <c r="P1673" t="s">
        <v>29</v>
      </c>
      <c r="Q1673" s="1">
        <v>42361.808009259257</v>
      </c>
      <c r="R1673">
        <v>7</v>
      </c>
      <c r="S1673" t="s">
        <v>40</v>
      </c>
      <c r="T1673" t="s">
        <v>1257</v>
      </c>
      <c r="U1673" t="s">
        <v>1258</v>
      </c>
      <c r="V1673" s="3">
        <v>41337</v>
      </c>
    </row>
    <row r="1674" spans="1:22" x14ac:dyDescent="0.35">
      <c r="A1674" s="1">
        <v>42361.794571759259</v>
      </c>
      <c r="B1674" s="2">
        <v>1.34375E-2</v>
      </c>
      <c r="C1674" t="s">
        <v>2866</v>
      </c>
      <c r="D1674" t="s">
        <v>35</v>
      </c>
      <c r="E1674" t="s">
        <v>36</v>
      </c>
      <c r="F1674" t="s">
        <v>1254</v>
      </c>
      <c r="G1674">
        <v>915727</v>
      </c>
      <c r="H1674" t="s">
        <v>26</v>
      </c>
      <c r="I1674" t="s">
        <v>247</v>
      </c>
      <c r="J1674" t="str">
        <f>"9781118316764"</f>
        <v>9781118316764</v>
      </c>
      <c r="K1674" t="s">
        <v>2868</v>
      </c>
      <c r="L1674">
        <v>13</v>
      </c>
      <c r="O1674" t="s">
        <v>30</v>
      </c>
      <c r="P1674" t="s">
        <v>42</v>
      </c>
      <c r="S1674" t="s">
        <v>40</v>
      </c>
      <c r="T1674" t="s">
        <v>1257</v>
      </c>
      <c r="U1674" t="s">
        <v>1258</v>
      </c>
      <c r="V1674" s="3">
        <v>41337</v>
      </c>
    </row>
    <row r="1675" spans="1:22" x14ac:dyDescent="0.35">
      <c r="A1675" s="1">
        <v>42361.790162037039</v>
      </c>
      <c r="B1675" s="2">
        <v>1.0879629629629629E-3</v>
      </c>
      <c r="C1675" t="s">
        <v>2869</v>
      </c>
      <c r="D1675" t="s">
        <v>23</v>
      </c>
      <c r="E1675" t="s">
        <v>24</v>
      </c>
      <c r="F1675" t="s">
        <v>2870</v>
      </c>
      <c r="G1675">
        <v>1562126</v>
      </c>
      <c r="H1675" t="s">
        <v>68</v>
      </c>
      <c r="I1675" t="s">
        <v>120</v>
      </c>
      <c r="J1675" t="str">
        <f>"9781317773542"</f>
        <v>9781317773542</v>
      </c>
      <c r="K1675" t="s">
        <v>2871</v>
      </c>
      <c r="L1675">
        <v>9</v>
      </c>
      <c r="O1675" t="s">
        <v>30</v>
      </c>
      <c r="P1675" t="s">
        <v>50</v>
      </c>
      <c r="S1675" t="s">
        <v>31</v>
      </c>
      <c r="T1675" t="s">
        <v>2872</v>
      </c>
      <c r="U1675">
        <v>306.76608805500001</v>
      </c>
      <c r="V1675" s="3">
        <v>41590</v>
      </c>
    </row>
    <row r="1676" spans="1:22" x14ac:dyDescent="0.35">
      <c r="A1676" s="1">
        <v>42361.742314814815</v>
      </c>
      <c r="B1676" s="2">
        <v>9.2592592592592585E-4</v>
      </c>
      <c r="C1676" t="s">
        <v>2873</v>
      </c>
      <c r="D1676" t="s">
        <v>23</v>
      </c>
      <c r="E1676" t="s">
        <v>24</v>
      </c>
      <c r="F1676" t="s">
        <v>2874</v>
      </c>
      <c r="G1676">
        <v>1574786</v>
      </c>
      <c r="H1676" t="s">
        <v>68</v>
      </c>
      <c r="I1676" t="s">
        <v>2875</v>
      </c>
      <c r="J1676" t="str">
        <f>"9781135955229"</f>
        <v>9781135955229</v>
      </c>
      <c r="K1676" t="s">
        <v>2876</v>
      </c>
      <c r="L1676">
        <v>30</v>
      </c>
      <c r="O1676" t="s">
        <v>30</v>
      </c>
      <c r="P1676" t="s">
        <v>50</v>
      </c>
      <c r="S1676" t="s">
        <v>31</v>
      </c>
      <c r="T1676" t="s">
        <v>2877</v>
      </c>
      <c r="U1676">
        <v>1.9</v>
      </c>
      <c r="V1676" s="3">
        <v>41610</v>
      </c>
    </row>
    <row r="1677" spans="1:22" x14ac:dyDescent="0.35">
      <c r="A1677" s="1">
        <v>42361.713923611111</v>
      </c>
      <c r="B1677" s="2">
        <v>2.1296296296296298E-3</v>
      </c>
      <c r="C1677" t="s">
        <v>2866</v>
      </c>
      <c r="D1677" t="s">
        <v>35</v>
      </c>
      <c r="E1677" t="s">
        <v>36</v>
      </c>
      <c r="F1677" t="s">
        <v>2878</v>
      </c>
      <c r="G1677">
        <v>1356183</v>
      </c>
      <c r="H1677" t="s">
        <v>68</v>
      </c>
      <c r="I1677" t="s">
        <v>2879</v>
      </c>
      <c r="J1677" t="str">
        <f>"9781135454395"</f>
        <v>9781135454395</v>
      </c>
      <c r="K1677" t="s">
        <v>2880</v>
      </c>
      <c r="L1677">
        <v>15</v>
      </c>
      <c r="O1677" t="s">
        <v>30</v>
      </c>
      <c r="P1677" t="s">
        <v>50</v>
      </c>
      <c r="S1677" t="s">
        <v>40</v>
      </c>
      <c r="T1677" t="s">
        <v>2881</v>
      </c>
      <c r="U1677">
        <v>616.89156000000003</v>
      </c>
      <c r="V1677" s="3">
        <v>41507</v>
      </c>
    </row>
    <row r="1678" spans="1:22" x14ac:dyDescent="0.35">
      <c r="A1678" s="1">
        <v>42361.688252314816</v>
      </c>
      <c r="B1678" s="2">
        <v>0.10241898148148149</v>
      </c>
      <c r="C1678" t="s">
        <v>2576</v>
      </c>
      <c r="D1678" t="s">
        <v>23</v>
      </c>
      <c r="E1678" t="s">
        <v>24</v>
      </c>
      <c r="F1678" t="s">
        <v>2577</v>
      </c>
      <c r="G1678">
        <v>1137758</v>
      </c>
      <c r="H1678" t="s">
        <v>26</v>
      </c>
      <c r="I1678" t="s">
        <v>445</v>
      </c>
      <c r="J1678" t="str">
        <f>"9781118399279"</f>
        <v>9781118399279</v>
      </c>
      <c r="K1678" t="s">
        <v>2882</v>
      </c>
      <c r="L1678">
        <v>32</v>
      </c>
      <c r="O1678" t="s">
        <v>30</v>
      </c>
      <c r="P1678" t="s">
        <v>29</v>
      </c>
      <c r="Q1678" s="1">
        <v>42358.091539351852</v>
      </c>
      <c r="R1678">
        <v>7</v>
      </c>
      <c r="S1678" t="s">
        <v>31</v>
      </c>
      <c r="T1678" t="s">
        <v>2579</v>
      </c>
      <c r="U1678" t="s">
        <v>2580</v>
      </c>
      <c r="V1678" s="3">
        <v>41331</v>
      </c>
    </row>
    <row r="1679" spans="1:22" x14ac:dyDescent="0.35">
      <c r="A1679" s="1">
        <v>42361.685925925929</v>
      </c>
      <c r="B1679" s="2">
        <v>0</v>
      </c>
      <c r="C1679" t="s">
        <v>2576</v>
      </c>
      <c r="D1679" t="s">
        <v>23</v>
      </c>
      <c r="E1679" t="s">
        <v>24</v>
      </c>
      <c r="F1679" t="s">
        <v>2577</v>
      </c>
      <c r="G1679">
        <v>1137758</v>
      </c>
      <c r="H1679" t="s">
        <v>26</v>
      </c>
      <c r="I1679" t="s">
        <v>445</v>
      </c>
      <c r="J1679" t="str">
        <f>"9781118399279"</f>
        <v>9781118399279</v>
      </c>
      <c r="L1679">
        <v>0</v>
      </c>
      <c r="O1679" t="s">
        <v>28</v>
      </c>
      <c r="P1679" t="s">
        <v>29</v>
      </c>
      <c r="Q1679" s="1">
        <v>42358.091539351852</v>
      </c>
      <c r="R1679">
        <v>7</v>
      </c>
      <c r="S1679" t="s">
        <v>31</v>
      </c>
      <c r="T1679" t="s">
        <v>2579</v>
      </c>
      <c r="U1679" t="s">
        <v>2580</v>
      </c>
      <c r="V1679" s="3">
        <v>41331</v>
      </c>
    </row>
    <row r="1680" spans="1:22" x14ac:dyDescent="0.35">
      <c r="A1680" s="1">
        <v>42361.685706018521</v>
      </c>
      <c r="B1680" s="2">
        <v>0</v>
      </c>
      <c r="C1680" t="s">
        <v>2576</v>
      </c>
      <c r="D1680" t="s">
        <v>23</v>
      </c>
      <c r="E1680" t="s">
        <v>24</v>
      </c>
      <c r="F1680" t="s">
        <v>2577</v>
      </c>
      <c r="G1680">
        <v>1137758</v>
      </c>
      <c r="H1680" t="s">
        <v>26</v>
      </c>
      <c r="I1680" t="s">
        <v>445</v>
      </c>
      <c r="J1680" t="str">
        <f>"9781118399279"</f>
        <v>9781118399279</v>
      </c>
      <c r="L1680">
        <v>0</v>
      </c>
      <c r="O1680" t="s">
        <v>28</v>
      </c>
      <c r="P1680" t="s">
        <v>29</v>
      </c>
      <c r="Q1680" s="1">
        <v>42358.091539351852</v>
      </c>
      <c r="R1680">
        <v>7</v>
      </c>
      <c r="S1680" t="s">
        <v>31</v>
      </c>
      <c r="T1680" t="s">
        <v>2579</v>
      </c>
      <c r="U1680" t="s">
        <v>2580</v>
      </c>
      <c r="V1680" s="3">
        <v>41331</v>
      </c>
    </row>
    <row r="1681" spans="1:22" x14ac:dyDescent="0.35">
      <c r="A1681" s="1">
        <v>42361.658182870371</v>
      </c>
      <c r="B1681" s="2">
        <v>2.7210648148148147E-2</v>
      </c>
      <c r="C1681" t="s">
        <v>2576</v>
      </c>
      <c r="D1681" t="s">
        <v>23</v>
      </c>
      <c r="E1681" t="s">
        <v>24</v>
      </c>
      <c r="F1681" t="s">
        <v>2577</v>
      </c>
      <c r="G1681">
        <v>1137758</v>
      </c>
      <c r="H1681" t="s">
        <v>26</v>
      </c>
      <c r="I1681" t="s">
        <v>445</v>
      </c>
      <c r="J1681" t="str">
        <f>"9781118399279"</f>
        <v>9781118399279</v>
      </c>
      <c r="K1681" t="s">
        <v>2883</v>
      </c>
      <c r="L1681">
        <v>58</v>
      </c>
      <c r="O1681" t="s">
        <v>30</v>
      </c>
      <c r="P1681" t="s">
        <v>29</v>
      </c>
      <c r="Q1681" s="1">
        <v>42358.091539351852</v>
      </c>
      <c r="R1681">
        <v>7</v>
      </c>
      <c r="S1681" t="s">
        <v>31</v>
      </c>
      <c r="T1681" t="s">
        <v>2579</v>
      </c>
      <c r="U1681" t="s">
        <v>2580</v>
      </c>
      <c r="V1681" s="3">
        <v>41331</v>
      </c>
    </row>
    <row r="1682" spans="1:22" x14ac:dyDescent="0.35">
      <c r="A1682" s="1">
        <v>42361.642395833333</v>
      </c>
      <c r="B1682" s="2">
        <v>5.3865740740740742E-2</v>
      </c>
      <c r="C1682" t="s">
        <v>2866</v>
      </c>
      <c r="D1682" t="s">
        <v>35</v>
      </c>
      <c r="E1682" t="s">
        <v>36</v>
      </c>
      <c r="F1682" t="s">
        <v>2410</v>
      </c>
      <c r="G1682">
        <v>1186393</v>
      </c>
      <c r="H1682" t="s">
        <v>91</v>
      </c>
      <c r="I1682" t="s">
        <v>247</v>
      </c>
      <c r="J1682" t="str">
        <f>"9781462508525"</f>
        <v>9781462508525</v>
      </c>
      <c r="K1682" t="s">
        <v>2884</v>
      </c>
      <c r="L1682">
        <v>43</v>
      </c>
      <c r="O1682" t="s">
        <v>30</v>
      </c>
      <c r="P1682" t="s">
        <v>29</v>
      </c>
      <c r="Q1682" s="1">
        <v>42361.642395833333</v>
      </c>
      <c r="R1682">
        <v>7</v>
      </c>
      <c r="S1682" t="s">
        <v>40</v>
      </c>
      <c r="T1682" t="s">
        <v>2411</v>
      </c>
      <c r="U1682">
        <v>618.92849999999999</v>
      </c>
      <c r="V1682" s="3">
        <v>41773</v>
      </c>
    </row>
    <row r="1683" spans="1:22" x14ac:dyDescent="0.35">
      <c r="A1683" s="1">
        <v>42361.636203703703</v>
      </c>
      <c r="B1683" s="2">
        <v>6.1921296296296299E-3</v>
      </c>
      <c r="C1683" t="s">
        <v>2866</v>
      </c>
      <c r="D1683" t="s">
        <v>35</v>
      </c>
      <c r="E1683" t="s">
        <v>36</v>
      </c>
      <c r="F1683" t="s">
        <v>2410</v>
      </c>
      <c r="G1683">
        <v>1186393</v>
      </c>
      <c r="H1683" t="s">
        <v>91</v>
      </c>
      <c r="I1683" t="s">
        <v>247</v>
      </c>
      <c r="J1683" t="str">
        <f>"9781462508525"</f>
        <v>9781462508525</v>
      </c>
      <c r="K1683" t="s">
        <v>2885</v>
      </c>
      <c r="L1683">
        <v>8</v>
      </c>
      <c r="O1683" t="s">
        <v>30</v>
      </c>
      <c r="P1683" t="s">
        <v>50</v>
      </c>
      <c r="S1683" t="s">
        <v>40</v>
      </c>
      <c r="T1683" t="s">
        <v>2411</v>
      </c>
      <c r="U1683">
        <v>618.92849999999999</v>
      </c>
      <c r="V1683" s="3">
        <v>41773</v>
      </c>
    </row>
    <row r="1684" spans="1:22" x14ac:dyDescent="0.35">
      <c r="A1684" s="1">
        <v>42361.609282407408</v>
      </c>
      <c r="B1684" s="2">
        <v>1.6412037037037037E-2</v>
      </c>
      <c r="C1684" t="s">
        <v>2866</v>
      </c>
      <c r="D1684" t="s">
        <v>35</v>
      </c>
      <c r="E1684" t="s">
        <v>36</v>
      </c>
      <c r="F1684" t="s">
        <v>2886</v>
      </c>
      <c r="G1684">
        <v>1323304</v>
      </c>
      <c r="H1684" t="s">
        <v>68</v>
      </c>
      <c r="I1684" t="s">
        <v>2091</v>
      </c>
      <c r="J1684" t="str">
        <f>"9781135068349"</f>
        <v>9781135068349</v>
      </c>
      <c r="K1684" t="s">
        <v>2887</v>
      </c>
      <c r="L1684">
        <v>27</v>
      </c>
      <c r="O1684" t="s">
        <v>30</v>
      </c>
      <c r="P1684" t="s">
        <v>47</v>
      </c>
      <c r="Q1684" s="1">
        <v>42361.609282407408</v>
      </c>
      <c r="R1684">
        <v>1</v>
      </c>
      <c r="S1684" t="s">
        <v>40</v>
      </c>
      <c r="T1684" t="s">
        <v>2888</v>
      </c>
      <c r="U1684">
        <v>616.85829999999999</v>
      </c>
      <c r="V1684" s="3">
        <v>41479</v>
      </c>
    </row>
    <row r="1685" spans="1:22" x14ac:dyDescent="0.35">
      <c r="A1685" s="1">
        <v>42361.60423611111</v>
      </c>
      <c r="B1685" s="2">
        <v>5.0462962962962961E-3</v>
      </c>
      <c r="C1685" t="s">
        <v>2866</v>
      </c>
      <c r="D1685" t="s">
        <v>35</v>
      </c>
      <c r="E1685" t="s">
        <v>36</v>
      </c>
      <c r="F1685" t="s">
        <v>2886</v>
      </c>
      <c r="G1685">
        <v>1323304</v>
      </c>
      <c r="H1685" t="s">
        <v>68</v>
      </c>
      <c r="I1685" t="s">
        <v>2091</v>
      </c>
      <c r="J1685" t="str">
        <f>"9781135068349"</f>
        <v>9781135068349</v>
      </c>
      <c r="K1685" t="s">
        <v>2889</v>
      </c>
      <c r="L1685">
        <v>12</v>
      </c>
      <c r="O1685" t="s">
        <v>30</v>
      </c>
      <c r="P1685" t="s">
        <v>50</v>
      </c>
      <c r="S1685" t="s">
        <v>40</v>
      </c>
      <c r="T1685" t="s">
        <v>2888</v>
      </c>
      <c r="U1685">
        <v>616.85829999999999</v>
      </c>
      <c r="V1685" s="3">
        <v>41479</v>
      </c>
    </row>
    <row r="1686" spans="1:22" x14ac:dyDescent="0.35">
      <c r="A1686" s="1">
        <v>42361.600104166668</v>
      </c>
      <c r="B1686" s="2">
        <v>2.4652777777777776E-3</v>
      </c>
      <c r="C1686" t="s">
        <v>2890</v>
      </c>
      <c r="D1686" t="s">
        <v>117</v>
      </c>
      <c r="E1686" t="s">
        <v>118</v>
      </c>
      <c r="F1686" t="s">
        <v>2891</v>
      </c>
      <c r="G1686">
        <v>1940019</v>
      </c>
      <c r="H1686" t="s">
        <v>26</v>
      </c>
      <c r="I1686" t="s">
        <v>2892</v>
      </c>
      <c r="J1686" t="str">
        <f>"9781509501632"</f>
        <v>9781509501632</v>
      </c>
      <c r="K1686" t="s">
        <v>2893</v>
      </c>
      <c r="L1686">
        <v>9</v>
      </c>
      <c r="O1686" t="s">
        <v>30</v>
      </c>
      <c r="P1686" t="s">
        <v>29</v>
      </c>
      <c r="Q1686" s="1">
        <v>42361.600104166668</v>
      </c>
      <c r="R1686">
        <v>7</v>
      </c>
      <c r="S1686" t="s">
        <v>121</v>
      </c>
      <c r="T1686" t="s">
        <v>2894</v>
      </c>
      <c r="U1686" t="s">
        <v>2895</v>
      </c>
      <c r="V1686" s="3">
        <v>42038</v>
      </c>
    </row>
    <row r="1687" spans="1:22" x14ac:dyDescent="0.35">
      <c r="A1687" s="1">
        <v>42361.597268518519</v>
      </c>
      <c r="B1687" s="2">
        <v>2.7777777777777779E-3</v>
      </c>
      <c r="C1687" t="s">
        <v>2866</v>
      </c>
      <c r="D1687" t="s">
        <v>35</v>
      </c>
      <c r="E1687" t="s">
        <v>36</v>
      </c>
      <c r="F1687" t="s">
        <v>2896</v>
      </c>
      <c r="G1687">
        <v>1655938</v>
      </c>
      <c r="H1687" t="s">
        <v>91</v>
      </c>
      <c r="I1687" t="s">
        <v>247</v>
      </c>
      <c r="J1687" t="str">
        <f>"9781462515714"</f>
        <v>9781462515714</v>
      </c>
      <c r="K1687" t="s">
        <v>2897</v>
      </c>
      <c r="L1687">
        <v>11</v>
      </c>
      <c r="O1687" t="s">
        <v>30</v>
      </c>
      <c r="P1687" t="s">
        <v>50</v>
      </c>
      <c r="S1687" t="s">
        <v>40</v>
      </c>
      <c r="T1687" t="s">
        <v>2898</v>
      </c>
      <c r="U1687">
        <v>616.89139999999998</v>
      </c>
      <c r="V1687" s="3">
        <v>41773</v>
      </c>
    </row>
    <row r="1688" spans="1:22" x14ac:dyDescent="0.35">
      <c r="A1688" s="1">
        <v>42361.596620370372</v>
      </c>
      <c r="B1688" s="2">
        <v>3.483796296296296E-3</v>
      </c>
      <c r="C1688" t="s">
        <v>2890</v>
      </c>
      <c r="D1688" t="s">
        <v>117</v>
      </c>
      <c r="E1688" t="s">
        <v>118</v>
      </c>
      <c r="F1688" t="s">
        <v>2891</v>
      </c>
      <c r="G1688">
        <v>1940019</v>
      </c>
      <c r="H1688" t="s">
        <v>26</v>
      </c>
      <c r="I1688" t="s">
        <v>2892</v>
      </c>
      <c r="J1688" t="str">
        <f>"9781509501632"</f>
        <v>9781509501632</v>
      </c>
      <c r="K1688" t="s">
        <v>2899</v>
      </c>
      <c r="L1688">
        <v>19</v>
      </c>
      <c r="O1688" t="s">
        <v>30</v>
      </c>
      <c r="P1688" t="s">
        <v>50</v>
      </c>
      <c r="S1688" t="s">
        <v>121</v>
      </c>
      <c r="T1688" t="s">
        <v>2894</v>
      </c>
      <c r="U1688" t="s">
        <v>2895</v>
      </c>
      <c r="V1688" s="3">
        <v>42038</v>
      </c>
    </row>
    <row r="1689" spans="1:22" x14ac:dyDescent="0.35">
      <c r="A1689" s="1">
        <v>42361.531365740739</v>
      </c>
      <c r="B1689" s="2">
        <v>4.4641203703703704E-2</v>
      </c>
      <c r="C1689" t="s">
        <v>2866</v>
      </c>
      <c r="D1689" t="s">
        <v>35</v>
      </c>
      <c r="E1689" t="s">
        <v>36</v>
      </c>
      <c r="F1689" t="s">
        <v>2900</v>
      </c>
      <c r="G1689">
        <v>1474854</v>
      </c>
      <c r="H1689" t="s">
        <v>68</v>
      </c>
      <c r="I1689" t="s">
        <v>2901</v>
      </c>
      <c r="J1689" t="str">
        <f>"9781136601781"</f>
        <v>9781136601781</v>
      </c>
      <c r="K1689" t="s">
        <v>2902</v>
      </c>
      <c r="L1689">
        <v>21</v>
      </c>
      <c r="O1689" t="s">
        <v>30</v>
      </c>
      <c r="P1689" t="s">
        <v>47</v>
      </c>
      <c r="Q1689" s="1">
        <v>42361.531365740739</v>
      </c>
      <c r="R1689">
        <v>1</v>
      </c>
      <c r="S1689" t="s">
        <v>40</v>
      </c>
      <c r="T1689" t="s">
        <v>2903</v>
      </c>
      <c r="U1689">
        <v>418.40190000000001</v>
      </c>
      <c r="V1689" s="3">
        <v>41561</v>
      </c>
    </row>
    <row r="1690" spans="1:22" x14ac:dyDescent="0.35">
      <c r="A1690" s="1">
        <v>42361.518483796295</v>
      </c>
      <c r="B1690" s="2">
        <v>1.2881944444444446E-2</v>
      </c>
      <c r="C1690" t="s">
        <v>2866</v>
      </c>
      <c r="D1690" t="s">
        <v>35</v>
      </c>
      <c r="E1690" t="s">
        <v>36</v>
      </c>
      <c r="F1690" t="s">
        <v>2900</v>
      </c>
      <c r="G1690">
        <v>1474854</v>
      </c>
      <c r="H1690" t="s">
        <v>68</v>
      </c>
      <c r="I1690" t="s">
        <v>2901</v>
      </c>
      <c r="J1690" t="str">
        <f>"9781136601781"</f>
        <v>9781136601781</v>
      </c>
      <c r="K1690" t="s">
        <v>2904</v>
      </c>
      <c r="L1690">
        <v>9</v>
      </c>
      <c r="O1690" t="s">
        <v>30</v>
      </c>
      <c r="P1690" t="s">
        <v>50</v>
      </c>
      <c r="S1690" t="s">
        <v>40</v>
      </c>
      <c r="T1690" t="s">
        <v>2903</v>
      </c>
      <c r="U1690">
        <v>418.40190000000001</v>
      </c>
      <c r="V1690" s="3">
        <v>41561</v>
      </c>
    </row>
    <row r="1691" spans="1:22" x14ac:dyDescent="0.35">
      <c r="A1691" s="1">
        <v>42361.512754629628</v>
      </c>
      <c r="B1691" s="2">
        <v>2.2685185185185182E-3</v>
      </c>
      <c r="C1691" t="s">
        <v>2866</v>
      </c>
      <c r="D1691" t="s">
        <v>35</v>
      </c>
      <c r="E1691" t="s">
        <v>36</v>
      </c>
      <c r="F1691" t="s">
        <v>2900</v>
      </c>
      <c r="G1691">
        <v>1474854</v>
      </c>
      <c r="H1691" t="s">
        <v>68</v>
      </c>
      <c r="I1691" t="s">
        <v>2901</v>
      </c>
      <c r="J1691" t="str">
        <f>"9781136601781"</f>
        <v>9781136601781</v>
      </c>
      <c r="K1691" t="s">
        <v>2905</v>
      </c>
      <c r="L1691">
        <v>10</v>
      </c>
      <c r="O1691" t="s">
        <v>30</v>
      </c>
      <c r="P1691" t="s">
        <v>50</v>
      </c>
      <c r="S1691" t="s">
        <v>40</v>
      </c>
      <c r="T1691" t="s">
        <v>2903</v>
      </c>
      <c r="U1691">
        <v>418.40190000000001</v>
      </c>
      <c r="V1691" s="3">
        <v>41561</v>
      </c>
    </row>
    <row r="1692" spans="1:22" x14ac:dyDescent="0.35">
      <c r="A1692" s="1">
        <v>42361.316724537035</v>
      </c>
      <c r="B1692" s="2">
        <v>7.8703703703703705E-4</v>
      </c>
      <c r="C1692" t="s">
        <v>2906</v>
      </c>
      <c r="D1692" t="s">
        <v>23</v>
      </c>
      <c r="E1692" t="s">
        <v>24</v>
      </c>
      <c r="F1692" t="s">
        <v>2907</v>
      </c>
      <c r="G1692">
        <v>1382114</v>
      </c>
      <c r="H1692" t="s">
        <v>68</v>
      </c>
      <c r="I1692" t="s">
        <v>69</v>
      </c>
      <c r="J1692" t="str">
        <f>"9781317919520"</f>
        <v>9781317919520</v>
      </c>
      <c r="K1692" t="s">
        <v>2908</v>
      </c>
      <c r="L1692">
        <v>8</v>
      </c>
      <c r="O1692" t="s">
        <v>30</v>
      </c>
      <c r="P1692" t="s">
        <v>50</v>
      </c>
      <c r="S1692" t="s">
        <v>31</v>
      </c>
      <c r="T1692" t="s">
        <v>2909</v>
      </c>
      <c r="U1692">
        <v>371.2</v>
      </c>
      <c r="V1692" s="3">
        <v>41522</v>
      </c>
    </row>
    <row r="1693" spans="1:22" x14ac:dyDescent="0.35">
      <c r="A1693" s="1">
        <v>42361.315775462965</v>
      </c>
      <c r="B1693" s="2">
        <v>8.1018518518518516E-5</v>
      </c>
      <c r="C1693" t="s">
        <v>2906</v>
      </c>
      <c r="D1693" t="s">
        <v>23</v>
      </c>
      <c r="E1693" t="s">
        <v>24</v>
      </c>
      <c r="F1693" t="s">
        <v>2910</v>
      </c>
      <c r="G1693">
        <v>1422355</v>
      </c>
      <c r="H1693" t="s">
        <v>68</v>
      </c>
      <c r="J1693" t="str">
        <f>"9781317928010"</f>
        <v>9781317928010</v>
      </c>
      <c r="K1693" t="s">
        <v>33</v>
      </c>
      <c r="L1693">
        <v>3</v>
      </c>
      <c r="O1693" t="s">
        <v>30</v>
      </c>
      <c r="P1693" t="s">
        <v>50</v>
      </c>
      <c r="S1693" t="s">
        <v>31</v>
      </c>
      <c r="V1693" s="3">
        <v>41544</v>
      </c>
    </row>
    <row r="1694" spans="1:22" x14ac:dyDescent="0.35">
      <c r="A1694" s="1">
        <v>42361.314745370371</v>
      </c>
      <c r="B1694" s="2">
        <v>4.0509259259259258E-4</v>
      </c>
      <c r="C1694" t="s">
        <v>2906</v>
      </c>
      <c r="D1694" t="s">
        <v>23</v>
      </c>
      <c r="E1694" t="s">
        <v>24</v>
      </c>
      <c r="F1694" t="s">
        <v>2911</v>
      </c>
      <c r="G1694">
        <v>1422352</v>
      </c>
      <c r="H1694" t="s">
        <v>68</v>
      </c>
      <c r="I1694" t="s">
        <v>69</v>
      </c>
      <c r="J1694" t="str">
        <f>"9781317919377"</f>
        <v>9781317919377</v>
      </c>
      <c r="K1694" t="s">
        <v>889</v>
      </c>
      <c r="L1694">
        <v>6</v>
      </c>
      <c r="O1694" t="s">
        <v>30</v>
      </c>
      <c r="P1694" t="s">
        <v>50</v>
      </c>
      <c r="S1694" t="s">
        <v>31</v>
      </c>
      <c r="T1694" t="s">
        <v>2912</v>
      </c>
      <c r="U1694">
        <v>379</v>
      </c>
      <c r="V1694" s="3">
        <v>41544</v>
      </c>
    </row>
    <row r="1695" spans="1:22" x14ac:dyDescent="0.35">
      <c r="A1695" s="1">
        <v>42361.300115740742</v>
      </c>
      <c r="B1695" s="2">
        <v>7.7546296296296304E-4</v>
      </c>
      <c r="C1695" t="s">
        <v>2906</v>
      </c>
      <c r="D1695" t="s">
        <v>23</v>
      </c>
      <c r="E1695" t="s">
        <v>24</v>
      </c>
      <c r="F1695" t="s">
        <v>2913</v>
      </c>
      <c r="G1695">
        <v>1337537</v>
      </c>
      <c r="H1695" t="s">
        <v>68</v>
      </c>
      <c r="I1695" t="s">
        <v>69</v>
      </c>
      <c r="J1695" t="str">
        <f>"9781317926245"</f>
        <v>9781317926245</v>
      </c>
      <c r="K1695" t="s">
        <v>2914</v>
      </c>
      <c r="L1695">
        <v>17</v>
      </c>
      <c r="O1695" t="s">
        <v>30</v>
      </c>
      <c r="P1695" t="s">
        <v>50</v>
      </c>
      <c r="S1695" t="s">
        <v>31</v>
      </c>
      <c r="T1695" t="s">
        <v>2915</v>
      </c>
      <c r="U1695">
        <v>371.26</v>
      </c>
      <c r="V1695" s="3">
        <v>41558</v>
      </c>
    </row>
    <row r="1696" spans="1:22" x14ac:dyDescent="0.35">
      <c r="A1696" s="1">
        <v>42361.283009259256</v>
      </c>
      <c r="B1696" s="2">
        <v>9.7916666666666655E-3</v>
      </c>
      <c r="C1696" t="s">
        <v>2906</v>
      </c>
      <c r="D1696" t="s">
        <v>23</v>
      </c>
      <c r="E1696" t="s">
        <v>24</v>
      </c>
      <c r="F1696" t="s">
        <v>2916</v>
      </c>
      <c r="G1696">
        <v>1323116</v>
      </c>
      <c r="H1696" t="s">
        <v>68</v>
      </c>
      <c r="I1696" t="s">
        <v>69</v>
      </c>
      <c r="J1696" t="str">
        <f>"9781317926306"</f>
        <v>9781317926306</v>
      </c>
      <c r="K1696" t="s">
        <v>2917</v>
      </c>
      <c r="L1696">
        <v>19</v>
      </c>
      <c r="O1696" t="s">
        <v>30</v>
      </c>
      <c r="P1696" t="s">
        <v>47</v>
      </c>
      <c r="Q1696" s="1">
        <v>42361.283009259256</v>
      </c>
      <c r="R1696">
        <v>1</v>
      </c>
      <c r="S1696" t="s">
        <v>31</v>
      </c>
      <c r="T1696" t="s">
        <v>2918</v>
      </c>
      <c r="U1696">
        <v>371.10199999999998</v>
      </c>
      <c r="V1696" s="3">
        <v>41478</v>
      </c>
    </row>
    <row r="1697" spans="1:22" x14ac:dyDescent="0.35">
      <c r="A1697" s="1">
        <v>42361.267291666663</v>
      </c>
      <c r="B1697" s="2">
        <v>1.5717592592592592E-2</v>
      </c>
      <c r="C1697" t="s">
        <v>2906</v>
      </c>
      <c r="D1697" t="s">
        <v>23</v>
      </c>
      <c r="E1697" t="s">
        <v>24</v>
      </c>
      <c r="F1697" t="s">
        <v>2916</v>
      </c>
      <c r="G1697">
        <v>1323116</v>
      </c>
      <c r="H1697" t="s">
        <v>68</v>
      </c>
      <c r="I1697" t="s">
        <v>69</v>
      </c>
      <c r="J1697" t="str">
        <f>"9781317926306"</f>
        <v>9781317926306</v>
      </c>
      <c r="K1697" t="s">
        <v>2919</v>
      </c>
      <c r="L1697">
        <v>20</v>
      </c>
      <c r="O1697" t="s">
        <v>30</v>
      </c>
      <c r="P1697" t="s">
        <v>50</v>
      </c>
      <c r="S1697" t="s">
        <v>31</v>
      </c>
      <c r="T1697" t="s">
        <v>2918</v>
      </c>
      <c r="U1697">
        <v>371.10199999999998</v>
      </c>
      <c r="V1697" s="3">
        <v>41478</v>
      </c>
    </row>
    <row r="1698" spans="1:22" x14ac:dyDescent="0.35">
      <c r="A1698" s="1">
        <v>42361.264849537038</v>
      </c>
      <c r="B1698" s="2">
        <v>9.2592592592592588E-5</v>
      </c>
      <c r="C1698" t="s">
        <v>2906</v>
      </c>
      <c r="D1698" t="s">
        <v>23</v>
      </c>
      <c r="E1698" t="s">
        <v>24</v>
      </c>
      <c r="F1698" t="s">
        <v>2916</v>
      </c>
      <c r="G1698">
        <v>1323116</v>
      </c>
      <c r="H1698" t="s">
        <v>68</v>
      </c>
      <c r="I1698" t="s">
        <v>69</v>
      </c>
      <c r="J1698" t="str">
        <f>"9781317926306"</f>
        <v>9781317926306</v>
      </c>
      <c r="K1698" t="s">
        <v>33</v>
      </c>
      <c r="L1698">
        <v>3</v>
      </c>
      <c r="O1698" t="s">
        <v>30</v>
      </c>
      <c r="P1698" t="s">
        <v>50</v>
      </c>
      <c r="S1698" t="s">
        <v>31</v>
      </c>
      <c r="T1698" t="s">
        <v>2918</v>
      </c>
      <c r="U1698">
        <v>371.10199999999998</v>
      </c>
      <c r="V1698" s="3">
        <v>41478</v>
      </c>
    </row>
    <row r="1699" spans="1:22" x14ac:dyDescent="0.35">
      <c r="A1699" s="1">
        <v>42361.259548611109</v>
      </c>
      <c r="B1699" s="2">
        <v>0</v>
      </c>
      <c r="C1699" t="s">
        <v>2920</v>
      </c>
      <c r="D1699" t="s">
        <v>23</v>
      </c>
      <c r="E1699" t="s">
        <v>24</v>
      </c>
      <c r="F1699" t="s">
        <v>2921</v>
      </c>
      <c r="G1699">
        <v>875438</v>
      </c>
      <c r="H1699" t="s">
        <v>26</v>
      </c>
      <c r="I1699" t="s">
        <v>120</v>
      </c>
      <c r="J1699" t="str">
        <f>"9781118232682"</f>
        <v>9781118232682</v>
      </c>
      <c r="L1699">
        <v>0</v>
      </c>
      <c r="O1699" t="s">
        <v>30</v>
      </c>
      <c r="P1699" t="s">
        <v>42</v>
      </c>
      <c r="S1699" t="s">
        <v>31</v>
      </c>
      <c r="T1699" t="s">
        <v>2922</v>
      </c>
      <c r="U1699">
        <v>302.3</v>
      </c>
      <c r="V1699" s="3">
        <v>40976</v>
      </c>
    </row>
    <row r="1700" spans="1:22" x14ac:dyDescent="0.35">
      <c r="A1700" s="1">
        <v>42361.101284722223</v>
      </c>
      <c r="B1700" s="2">
        <v>1.8634259259259261E-3</v>
      </c>
      <c r="C1700" t="s">
        <v>2576</v>
      </c>
      <c r="D1700" t="s">
        <v>23</v>
      </c>
      <c r="E1700" t="s">
        <v>24</v>
      </c>
      <c r="F1700" t="s">
        <v>2577</v>
      </c>
      <c r="G1700">
        <v>1137758</v>
      </c>
      <c r="H1700" t="s">
        <v>26</v>
      </c>
      <c r="I1700" t="s">
        <v>445</v>
      </c>
      <c r="J1700" t="str">
        <f>"9781118399279"</f>
        <v>9781118399279</v>
      </c>
      <c r="K1700" t="s">
        <v>2923</v>
      </c>
      <c r="L1700">
        <v>12</v>
      </c>
      <c r="O1700" t="s">
        <v>30</v>
      </c>
      <c r="P1700" t="s">
        <v>29</v>
      </c>
      <c r="Q1700" s="1">
        <v>42358.091539351852</v>
      </c>
      <c r="R1700">
        <v>7</v>
      </c>
      <c r="S1700" t="s">
        <v>31</v>
      </c>
      <c r="T1700" t="s">
        <v>2579</v>
      </c>
      <c r="U1700" t="s">
        <v>2580</v>
      </c>
      <c r="V1700" s="3">
        <v>41331</v>
      </c>
    </row>
    <row r="1701" spans="1:22" x14ac:dyDescent="0.35">
      <c r="A1701" s="1">
        <v>42360.926261574074</v>
      </c>
      <c r="B1701" s="2">
        <v>2.1180555555555553E-3</v>
      </c>
      <c r="C1701" t="s">
        <v>2866</v>
      </c>
      <c r="D1701" t="s">
        <v>35</v>
      </c>
      <c r="E1701" t="s">
        <v>36</v>
      </c>
      <c r="F1701" t="s">
        <v>2924</v>
      </c>
      <c r="G1701">
        <v>2008480</v>
      </c>
      <c r="H1701" t="s">
        <v>91</v>
      </c>
      <c r="I1701" t="s">
        <v>247</v>
      </c>
      <c r="J1701" t="str">
        <f>"9781462523221"</f>
        <v>9781462523221</v>
      </c>
      <c r="K1701" t="s">
        <v>2925</v>
      </c>
      <c r="L1701">
        <v>54</v>
      </c>
      <c r="O1701" t="s">
        <v>30</v>
      </c>
      <c r="P1701" t="s">
        <v>50</v>
      </c>
      <c r="S1701" t="s">
        <v>40</v>
      </c>
      <c r="T1701" t="s">
        <v>2926</v>
      </c>
      <c r="U1701">
        <v>616.85220000000004</v>
      </c>
      <c r="V1701" s="3">
        <v>42005</v>
      </c>
    </row>
    <row r="1702" spans="1:22" x14ac:dyDescent="0.35">
      <c r="A1702" s="1">
        <v>42360.85869212963</v>
      </c>
      <c r="B1702" s="2">
        <v>4.108796296296297E-3</v>
      </c>
      <c r="C1702" t="s">
        <v>2576</v>
      </c>
      <c r="D1702" t="s">
        <v>23</v>
      </c>
      <c r="E1702" t="s">
        <v>24</v>
      </c>
      <c r="F1702" t="s">
        <v>2577</v>
      </c>
      <c r="G1702">
        <v>1137758</v>
      </c>
      <c r="H1702" t="s">
        <v>26</v>
      </c>
      <c r="I1702" t="s">
        <v>445</v>
      </c>
      <c r="J1702" t="str">
        <f>"9781118399279"</f>
        <v>9781118399279</v>
      </c>
      <c r="K1702" t="s">
        <v>2927</v>
      </c>
      <c r="L1702">
        <v>6</v>
      </c>
      <c r="O1702" t="s">
        <v>30</v>
      </c>
      <c r="P1702" t="s">
        <v>29</v>
      </c>
      <c r="Q1702" s="1">
        <v>42358.091539351852</v>
      </c>
      <c r="R1702">
        <v>7</v>
      </c>
      <c r="S1702" t="s">
        <v>31</v>
      </c>
      <c r="T1702" t="s">
        <v>2579</v>
      </c>
      <c r="U1702" t="s">
        <v>2580</v>
      </c>
      <c r="V1702" s="3">
        <v>41331</v>
      </c>
    </row>
    <row r="1703" spans="1:22" x14ac:dyDescent="0.35">
      <c r="A1703" s="1">
        <v>42360.746064814812</v>
      </c>
      <c r="B1703" s="2">
        <v>2.0601851851851853E-3</v>
      </c>
      <c r="C1703" t="s">
        <v>2928</v>
      </c>
      <c r="D1703" t="s">
        <v>23</v>
      </c>
      <c r="E1703" t="s">
        <v>24</v>
      </c>
      <c r="F1703" t="s">
        <v>2132</v>
      </c>
      <c r="G1703">
        <v>821801</v>
      </c>
      <c r="H1703" t="s">
        <v>26</v>
      </c>
      <c r="I1703" t="s">
        <v>2133</v>
      </c>
      <c r="J1703" t="str">
        <f>"9781118224144"</f>
        <v>9781118224144</v>
      </c>
      <c r="K1703" t="s">
        <v>2929</v>
      </c>
      <c r="L1703">
        <v>20</v>
      </c>
      <c r="O1703" t="s">
        <v>30</v>
      </c>
      <c r="P1703" t="s">
        <v>42</v>
      </c>
      <c r="S1703" t="s">
        <v>31</v>
      </c>
      <c r="T1703" t="s">
        <v>2135</v>
      </c>
      <c r="U1703">
        <v>658.00760000000002</v>
      </c>
      <c r="V1703" s="3">
        <v>40974</v>
      </c>
    </row>
    <row r="1704" spans="1:22" x14ac:dyDescent="0.35">
      <c r="A1704" s="1">
        <v>42360.743043981478</v>
      </c>
      <c r="B1704" s="2">
        <v>4.0925925925925928E-2</v>
      </c>
      <c r="C1704" t="s">
        <v>2576</v>
      </c>
      <c r="D1704" t="s">
        <v>23</v>
      </c>
      <c r="E1704" t="s">
        <v>24</v>
      </c>
      <c r="F1704" t="s">
        <v>2577</v>
      </c>
      <c r="G1704">
        <v>1137758</v>
      </c>
      <c r="H1704" t="s">
        <v>26</v>
      </c>
      <c r="I1704" t="s">
        <v>445</v>
      </c>
      <c r="J1704" t="str">
        <f>"9781118399279"</f>
        <v>9781118399279</v>
      </c>
      <c r="K1704" t="s">
        <v>2930</v>
      </c>
      <c r="L1704">
        <v>24</v>
      </c>
      <c r="O1704" t="s">
        <v>30</v>
      </c>
      <c r="P1704" t="s">
        <v>29</v>
      </c>
      <c r="Q1704" s="1">
        <v>42358.091539351852</v>
      </c>
      <c r="R1704">
        <v>7</v>
      </c>
      <c r="S1704" t="s">
        <v>31</v>
      </c>
      <c r="T1704" t="s">
        <v>2579</v>
      </c>
      <c r="U1704" t="s">
        <v>2580</v>
      </c>
      <c r="V1704" s="3">
        <v>41331</v>
      </c>
    </row>
    <row r="1705" spans="1:22" x14ac:dyDescent="0.35">
      <c r="A1705" s="1">
        <v>42360.741793981484</v>
      </c>
      <c r="B1705" s="2">
        <v>4.7453703703703704E-4</v>
      </c>
      <c r="C1705" t="s">
        <v>2576</v>
      </c>
      <c r="D1705" t="s">
        <v>23</v>
      </c>
      <c r="E1705" t="s">
        <v>24</v>
      </c>
      <c r="F1705" t="s">
        <v>2577</v>
      </c>
      <c r="G1705">
        <v>1137758</v>
      </c>
      <c r="H1705" t="s">
        <v>26</v>
      </c>
      <c r="I1705" t="s">
        <v>445</v>
      </c>
      <c r="J1705" t="str">
        <f>"9781118399279"</f>
        <v>9781118399279</v>
      </c>
      <c r="K1705" t="s">
        <v>2931</v>
      </c>
      <c r="L1705">
        <v>8</v>
      </c>
      <c r="O1705" t="s">
        <v>30</v>
      </c>
      <c r="P1705" t="s">
        <v>29</v>
      </c>
      <c r="Q1705" s="1">
        <v>42358.091539351852</v>
      </c>
      <c r="R1705">
        <v>7</v>
      </c>
      <c r="S1705" t="s">
        <v>31</v>
      </c>
      <c r="T1705" t="s">
        <v>2579</v>
      </c>
      <c r="U1705" t="s">
        <v>2580</v>
      </c>
      <c r="V1705" s="3">
        <v>41331</v>
      </c>
    </row>
    <row r="1706" spans="1:22" x14ac:dyDescent="0.35">
      <c r="A1706" s="1">
        <v>42360.687083333331</v>
      </c>
      <c r="B1706" s="2">
        <v>8.5763888888888886E-3</v>
      </c>
      <c r="C1706" t="s">
        <v>2932</v>
      </c>
      <c r="D1706" t="s">
        <v>23</v>
      </c>
      <c r="E1706" t="s">
        <v>24</v>
      </c>
      <c r="F1706" t="s">
        <v>2292</v>
      </c>
      <c r="G1706">
        <v>3061145</v>
      </c>
      <c r="H1706" t="s">
        <v>68</v>
      </c>
      <c r="I1706" t="s">
        <v>120</v>
      </c>
      <c r="J1706" t="str">
        <f>"9781315079424"</f>
        <v>9781315079424</v>
      </c>
      <c r="K1706" t="s">
        <v>2933</v>
      </c>
      <c r="L1706">
        <v>24</v>
      </c>
      <c r="N1706" t="s">
        <v>2934</v>
      </c>
      <c r="O1706" t="s">
        <v>28</v>
      </c>
      <c r="P1706" t="s">
        <v>47</v>
      </c>
      <c r="Q1706" s="1">
        <v>42360.687083333331</v>
      </c>
      <c r="R1706">
        <v>1</v>
      </c>
      <c r="S1706" t="s">
        <v>31</v>
      </c>
      <c r="T1706" t="s">
        <v>2294</v>
      </c>
      <c r="U1706">
        <v>363.8</v>
      </c>
      <c r="V1706" s="3">
        <v>41579</v>
      </c>
    </row>
    <row r="1707" spans="1:22" x14ac:dyDescent="0.35">
      <c r="A1707" s="1">
        <v>42360.687083333331</v>
      </c>
      <c r="B1707" s="2">
        <v>0</v>
      </c>
      <c r="C1707" t="s">
        <v>2932</v>
      </c>
      <c r="D1707" t="s">
        <v>23</v>
      </c>
      <c r="E1707" t="s">
        <v>24</v>
      </c>
      <c r="F1707" t="s">
        <v>2292</v>
      </c>
      <c r="G1707">
        <v>3061145</v>
      </c>
      <c r="H1707" t="s">
        <v>68</v>
      </c>
      <c r="I1707" t="s">
        <v>120</v>
      </c>
      <c r="J1707" t="str">
        <f>"9781315079424"</f>
        <v>9781315079424</v>
      </c>
      <c r="L1707">
        <v>0</v>
      </c>
      <c r="O1707" t="s">
        <v>30</v>
      </c>
      <c r="P1707" t="s">
        <v>47</v>
      </c>
      <c r="Q1707" s="1">
        <v>42360.687083333331</v>
      </c>
      <c r="R1707">
        <v>1</v>
      </c>
      <c r="S1707" t="s">
        <v>31</v>
      </c>
      <c r="T1707" t="s">
        <v>2294</v>
      </c>
      <c r="U1707">
        <v>363.8</v>
      </c>
      <c r="V1707" s="3">
        <v>41579</v>
      </c>
    </row>
    <row r="1708" spans="1:22" x14ac:dyDescent="0.35">
      <c r="A1708" s="1">
        <v>42360.68681712963</v>
      </c>
      <c r="B1708" s="2">
        <v>2.6620370370370372E-4</v>
      </c>
      <c r="C1708" t="s">
        <v>2932</v>
      </c>
      <c r="D1708" t="s">
        <v>23</v>
      </c>
      <c r="E1708" t="s">
        <v>24</v>
      </c>
      <c r="F1708" t="s">
        <v>2292</v>
      </c>
      <c r="G1708">
        <v>3061145</v>
      </c>
      <c r="H1708" t="s">
        <v>68</v>
      </c>
      <c r="I1708" t="s">
        <v>120</v>
      </c>
      <c r="J1708" t="str">
        <f>"9781315079424"</f>
        <v>9781315079424</v>
      </c>
      <c r="K1708" t="s">
        <v>33</v>
      </c>
      <c r="L1708">
        <v>3</v>
      </c>
      <c r="O1708" t="s">
        <v>30</v>
      </c>
      <c r="P1708" t="s">
        <v>50</v>
      </c>
      <c r="S1708" t="s">
        <v>31</v>
      </c>
      <c r="T1708" t="s">
        <v>2294</v>
      </c>
      <c r="U1708">
        <v>363.8</v>
      </c>
      <c r="V1708" s="3">
        <v>41579</v>
      </c>
    </row>
    <row r="1709" spans="1:22" x14ac:dyDescent="0.35">
      <c r="A1709" s="1">
        <v>42360.402094907404</v>
      </c>
      <c r="B1709" s="2">
        <v>3.2407407407407406E-4</v>
      </c>
      <c r="C1709" t="s">
        <v>260</v>
      </c>
      <c r="D1709" t="s">
        <v>261</v>
      </c>
      <c r="E1709" t="s">
        <v>262</v>
      </c>
      <c r="F1709" t="s">
        <v>2935</v>
      </c>
      <c r="G1709">
        <v>1895384</v>
      </c>
      <c r="H1709" t="s">
        <v>26</v>
      </c>
      <c r="I1709" t="s">
        <v>2936</v>
      </c>
      <c r="J1709" t="str">
        <f>"9781119085836"</f>
        <v>9781119085836</v>
      </c>
      <c r="K1709" t="s">
        <v>2937</v>
      </c>
      <c r="L1709">
        <v>6</v>
      </c>
      <c r="O1709" t="s">
        <v>30</v>
      </c>
      <c r="P1709" t="s">
        <v>47</v>
      </c>
      <c r="Q1709" s="1">
        <v>42360.402094907404</v>
      </c>
      <c r="R1709">
        <v>1</v>
      </c>
      <c r="S1709" t="s">
        <v>264</v>
      </c>
      <c r="T1709" t="s">
        <v>2938</v>
      </c>
      <c r="U1709">
        <v>741.6</v>
      </c>
      <c r="V1709" s="3">
        <v>42157</v>
      </c>
    </row>
    <row r="1710" spans="1:22" x14ac:dyDescent="0.35">
      <c r="A1710" s="1">
        <v>42360.384386574071</v>
      </c>
      <c r="B1710" s="2">
        <v>1.7708333333333333E-2</v>
      </c>
      <c r="C1710" t="s">
        <v>260</v>
      </c>
      <c r="D1710" t="s">
        <v>261</v>
      </c>
      <c r="E1710" t="s">
        <v>262</v>
      </c>
      <c r="F1710" t="s">
        <v>2935</v>
      </c>
      <c r="G1710">
        <v>1895384</v>
      </c>
      <c r="H1710" t="s">
        <v>26</v>
      </c>
      <c r="I1710" t="s">
        <v>2936</v>
      </c>
      <c r="J1710" t="str">
        <f>"9781119085836"</f>
        <v>9781119085836</v>
      </c>
      <c r="K1710" t="s">
        <v>33</v>
      </c>
      <c r="L1710">
        <v>3</v>
      </c>
      <c r="O1710" t="s">
        <v>30</v>
      </c>
      <c r="P1710" t="s">
        <v>50</v>
      </c>
      <c r="S1710" t="s">
        <v>264</v>
      </c>
      <c r="T1710" t="s">
        <v>2938</v>
      </c>
      <c r="U1710">
        <v>741.6</v>
      </c>
      <c r="V1710" s="3">
        <v>42157</v>
      </c>
    </row>
    <row r="1711" spans="1:22" x14ac:dyDescent="0.35">
      <c r="A1711" s="1">
        <v>42360.216724537036</v>
      </c>
      <c r="B1711" s="2">
        <v>4.6296296296296293E-4</v>
      </c>
      <c r="C1711" t="s">
        <v>260</v>
      </c>
      <c r="D1711" t="s">
        <v>261</v>
      </c>
      <c r="E1711" t="s">
        <v>262</v>
      </c>
      <c r="F1711" t="s">
        <v>2935</v>
      </c>
      <c r="G1711">
        <v>1895384</v>
      </c>
      <c r="H1711" t="s">
        <v>26</v>
      </c>
      <c r="I1711" t="s">
        <v>2936</v>
      </c>
      <c r="J1711" t="str">
        <f>"9781119085836"</f>
        <v>9781119085836</v>
      </c>
      <c r="K1711" t="s">
        <v>2939</v>
      </c>
      <c r="L1711">
        <v>10</v>
      </c>
      <c r="O1711" t="s">
        <v>30</v>
      </c>
      <c r="P1711" t="s">
        <v>50</v>
      </c>
      <c r="S1711" t="s">
        <v>264</v>
      </c>
      <c r="T1711" t="s">
        <v>2938</v>
      </c>
      <c r="U1711">
        <v>741.6</v>
      </c>
      <c r="V1711" s="3">
        <v>42157</v>
      </c>
    </row>
    <row r="1712" spans="1:22" x14ac:dyDescent="0.35">
      <c r="A1712" s="1">
        <v>42360.123668981483</v>
      </c>
      <c r="B1712" s="2">
        <v>0</v>
      </c>
      <c r="C1712" t="s">
        <v>617</v>
      </c>
      <c r="D1712" t="s">
        <v>23</v>
      </c>
      <c r="E1712" t="s">
        <v>24</v>
      </c>
      <c r="F1712" t="s">
        <v>2786</v>
      </c>
      <c r="G1712">
        <v>4093369</v>
      </c>
      <c r="H1712" t="s">
        <v>26</v>
      </c>
      <c r="J1712" t="str">
        <f>"9781119074670"</f>
        <v>9781119074670</v>
      </c>
      <c r="L1712">
        <v>0</v>
      </c>
      <c r="O1712" t="s">
        <v>28</v>
      </c>
      <c r="P1712" t="s">
        <v>29</v>
      </c>
      <c r="Q1712" s="1">
        <v>42360.123668981483</v>
      </c>
      <c r="R1712">
        <v>7</v>
      </c>
      <c r="S1712" t="s">
        <v>31</v>
      </c>
      <c r="V1712" s="3">
        <v>42277</v>
      </c>
    </row>
    <row r="1713" spans="1:22" x14ac:dyDescent="0.35">
      <c r="A1713" s="1">
        <v>42360.123668981483</v>
      </c>
      <c r="B1713" s="2">
        <v>0</v>
      </c>
      <c r="C1713" t="s">
        <v>617</v>
      </c>
      <c r="D1713" t="s">
        <v>23</v>
      </c>
      <c r="E1713" t="s">
        <v>24</v>
      </c>
      <c r="F1713" t="s">
        <v>2786</v>
      </c>
      <c r="G1713">
        <v>4093369</v>
      </c>
      <c r="H1713" t="s">
        <v>26</v>
      </c>
      <c r="J1713" t="str">
        <f>"9781119074670"</f>
        <v>9781119074670</v>
      </c>
      <c r="L1713">
        <v>0</v>
      </c>
      <c r="O1713" t="s">
        <v>30</v>
      </c>
      <c r="P1713" t="s">
        <v>29</v>
      </c>
      <c r="Q1713" s="1">
        <v>42360.123668981483</v>
      </c>
      <c r="R1713">
        <v>7</v>
      </c>
      <c r="S1713" t="s">
        <v>31</v>
      </c>
      <c r="V1713" s="3">
        <v>42277</v>
      </c>
    </row>
    <row r="1714" spans="1:22" x14ac:dyDescent="0.35">
      <c r="A1714" s="1">
        <v>42360.123194444444</v>
      </c>
      <c r="B1714" s="2">
        <v>4.7453703703703704E-4</v>
      </c>
      <c r="C1714" t="s">
        <v>617</v>
      </c>
      <c r="D1714" t="s">
        <v>23</v>
      </c>
      <c r="E1714" t="s">
        <v>24</v>
      </c>
      <c r="F1714" t="s">
        <v>2786</v>
      </c>
      <c r="G1714">
        <v>4093369</v>
      </c>
      <c r="H1714" t="s">
        <v>26</v>
      </c>
      <c r="J1714" t="str">
        <f>"9781119074670"</f>
        <v>9781119074670</v>
      </c>
      <c r="K1714" t="s">
        <v>2940</v>
      </c>
      <c r="L1714">
        <v>2</v>
      </c>
      <c r="O1714" t="s">
        <v>30</v>
      </c>
      <c r="P1714" t="s">
        <v>50</v>
      </c>
      <c r="S1714" t="s">
        <v>31</v>
      </c>
      <c r="V1714" s="3">
        <v>42277</v>
      </c>
    </row>
    <row r="1715" spans="1:22" x14ac:dyDescent="0.35">
      <c r="A1715" s="1">
        <v>42359.979201388887</v>
      </c>
      <c r="B1715" s="2">
        <v>7.2974537037037032E-2</v>
      </c>
      <c r="C1715" t="s">
        <v>2576</v>
      </c>
      <c r="D1715" t="s">
        <v>23</v>
      </c>
      <c r="E1715" t="s">
        <v>24</v>
      </c>
      <c r="F1715" t="s">
        <v>2577</v>
      </c>
      <c r="G1715">
        <v>1137758</v>
      </c>
      <c r="H1715" t="s">
        <v>26</v>
      </c>
      <c r="I1715" t="s">
        <v>445</v>
      </c>
      <c r="J1715" t="str">
        <f>"9781118399279"</f>
        <v>9781118399279</v>
      </c>
      <c r="K1715" t="s">
        <v>2941</v>
      </c>
      <c r="L1715">
        <v>26</v>
      </c>
      <c r="O1715" t="s">
        <v>30</v>
      </c>
      <c r="P1715" t="s">
        <v>29</v>
      </c>
      <c r="Q1715" s="1">
        <v>42358.091539351852</v>
      </c>
      <c r="R1715">
        <v>7</v>
      </c>
      <c r="S1715" t="s">
        <v>31</v>
      </c>
      <c r="T1715" t="s">
        <v>2579</v>
      </c>
      <c r="U1715" t="s">
        <v>2580</v>
      </c>
      <c r="V1715" s="3">
        <v>41331</v>
      </c>
    </row>
    <row r="1716" spans="1:22" x14ac:dyDescent="0.35">
      <c r="A1716" s="1">
        <v>42359.979201388887</v>
      </c>
      <c r="B1716" s="2">
        <v>0</v>
      </c>
      <c r="C1716" t="s">
        <v>2576</v>
      </c>
      <c r="D1716" t="s">
        <v>23</v>
      </c>
      <c r="E1716" t="s">
        <v>24</v>
      </c>
      <c r="F1716" t="s">
        <v>2577</v>
      </c>
      <c r="G1716">
        <v>1137758</v>
      </c>
      <c r="H1716" t="s">
        <v>26</v>
      </c>
      <c r="I1716" t="s">
        <v>445</v>
      </c>
      <c r="J1716" t="str">
        <f>"9781118399279"</f>
        <v>9781118399279</v>
      </c>
      <c r="L1716">
        <v>0</v>
      </c>
      <c r="O1716" t="s">
        <v>30</v>
      </c>
      <c r="P1716" t="s">
        <v>29</v>
      </c>
      <c r="Q1716" s="1">
        <v>42358.091539351852</v>
      </c>
      <c r="R1716">
        <v>7</v>
      </c>
      <c r="S1716" t="s">
        <v>31</v>
      </c>
      <c r="T1716" t="s">
        <v>2579</v>
      </c>
      <c r="U1716" t="s">
        <v>2580</v>
      </c>
      <c r="V1716" s="3">
        <v>41331</v>
      </c>
    </row>
    <row r="1717" spans="1:22" x14ac:dyDescent="0.35">
      <c r="A1717" s="1">
        <v>42359.931111111109</v>
      </c>
      <c r="B1717" s="2">
        <v>4.6296296296296293E-4</v>
      </c>
      <c r="C1717" t="s">
        <v>2942</v>
      </c>
      <c r="D1717" t="s">
        <v>261</v>
      </c>
      <c r="E1717" t="s">
        <v>262</v>
      </c>
      <c r="F1717" t="s">
        <v>2943</v>
      </c>
      <c r="G1717">
        <v>817845</v>
      </c>
      <c r="H1717" t="s">
        <v>26</v>
      </c>
      <c r="I1717" t="s">
        <v>2944</v>
      </c>
      <c r="J1717" t="str">
        <f>"9781118205495"</f>
        <v>9781118205495</v>
      </c>
      <c r="K1717" t="s">
        <v>2945</v>
      </c>
      <c r="L1717">
        <v>9</v>
      </c>
      <c r="O1717" t="s">
        <v>30</v>
      </c>
      <c r="P1717" t="s">
        <v>42</v>
      </c>
      <c r="S1717" t="s">
        <v>264</v>
      </c>
      <c r="T1717" t="s">
        <v>2946</v>
      </c>
      <c r="U1717" t="s">
        <v>2947</v>
      </c>
      <c r="V1717" s="3">
        <v>40940</v>
      </c>
    </row>
    <row r="1718" spans="1:22" x14ac:dyDescent="0.35">
      <c r="A1718" s="1">
        <v>42359.911898148152</v>
      </c>
      <c r="B1718" s="2">
        <v>3.2407407407407406E-4</v>
      </c>
      <c r="C1718" t="s">
        <v>2948</v>
      </c>
      <c r="D1718" t="s">
        <v>23</v>
      </c>
      <c r="E1718" t="s">
        <v>24</v>
      </c>
      <c r="F1718" t="s">
        <v>2949</v>
      </c>
      <c r="G1718">
        <v>1170449</v>
      </c>
      <c r="H1718" t="s">
        <v>526</v>
      </c>
      <c r="I1718" t="s">
        <v>150</v>
      </c>
      <c r="J1718" t="str">
        <f>"9780226038674"</f>
        <v>9780226038674</v>
      </c>
      <c r="K1718" t="s">
        <v>217</v>
      </c>
      <c r="L1718">
        <v>12</v>
      </c>
      <c r="O1718" t="s">
        <v>30</v>
      </c>
      <c r="P1718" t="s">
        <v>50</v>
      </c>
      <c r="S1718" t="s">
        <v>31</v>
      </c>
      <c r="T1718" t="s">
        <v>2950</v>
      </c>
      <c r="U1718">
        <v>709.2</v>
      </c>
      <c r="V1718" s="3">
        <v>41421</v>
      </c>
    </row>
    <row r="1719" spans="1:22" x14ac:dyDescent="0.35">
      <c r="A1719" s="1">
        <v>42359.796886574077</v>
      </c>
      <c r="B1719" s="2">
        <v>1.712962962962963E-3</v>
      </c>
      <c r="C1719" t="s">
        <v>2705</v>
      </c>
      <c r="D1719" t="s">
        <v>23</v>
      </c>
      <c r="E1719" t="s">
        <v>24</v>
      </c>
      <c r="F1719" t="s">
        <v>226</v>
      </c>
      <c r="G1719">
        <v>817313</v>
      </c>
      <c r="H1719" t="s">
        <v>26</v>
      </c>
      <c r="I1719" t="s">
        <v>69</v>
      </c>
      <c r="J1719" t="str">
        <f>"9781118136829"</f>
        <v>9781118136829</v>
      </c>
      <c r="K1719" t="s">
        <v>2951</v>
      </c>
      <c r="L1719">
        <v>68</v>
      </c>
      <c r="O1719" t="s">
        <v>30</v>
      </c>
      <c r="P1719" t="s">
        <v>29</v>
      </c>
      <c r="Q1719" s="1">
        <v>42356.604004629633</v>
      </c>
      <c r="R1719">
        <v>7</v>
      </c>
      <c r="S1719" t="s">
        <v>31</v>
      </c>
      <c r="T1719" t="s">
        <v>2311</v>
      </c>
      <c r="U1719">
        <v>378.16640000000001</v>
      </c>
      <c r="V1719" s="3">
        <v>40918</v>
      </c>
    </row>
    <row r="1720" spans="1:22" x14ac:dyDescent="0.35">
      <c r="A1720" s="1">
        <v>42359.69667824074</v>
      </c>
      <c r="B1720" s="2">
        <v>2.5347222222222221E-3</v>
      </c>
      <c r="C1720" t="s">
        <v>503</v>
      </c>
      <c r="D1720" t="s">
        <v>23</v>
      </c>
      <c r="E1720" t="s">
        <v>24</v>
      </c>
      <c r="F1720" t="s">
        <v>2952</v>
      </c>
      <c r="G1720">
        <v>4035601</v>
      </c>
      <c r="H1720" t="s">
        <v>26</v>
      </c>
      <c r="I1720" t="s">
        <v>247</v>
      </c>
      <c r="J1720" t="str">
        <f>"9781118463116"</f>
        <v>9781118463116</v>
      </c>
      <c r="K1720" t="s">
        <v>2953</v>
      </c>
      <c r="L1720">
        <v>24</v>
      </c>
      <c r="O1720" t="s">
        <v>30</v>
      </c>
      <c r="P1720" t="s">
        <v>50</v>
      </c>
      <c r="S1720" t="s">
        <v>31</v>
      </c>
      <c r="T1720" t="s">
        <v>2954</v>
      </c>
      <c r="U1720">
        <v>616</v>
      </c>
      <c r="V1720" s="3">
        <v>41585</v>
      </c>
    </row>
    <row r="1721" spans="1:22" x14ac:dyDescent="0.35">
      <c r="A1721" s="1">
        <v>42359.620243055557</v>
      </c>
      <c r="B1721" s="2">
        <v>2.6620370370370372E-4</v>
      </c>
      <c r="C1721" t="s">
        <v>2955</v>
      </c>
      <c r="D1721" t="s">
        <v>23</v>
      </c>
      <c r="E1721" t="s">
        <v>24</v>
      </c>
      <c r="F1721" t="s">
        <v>763</v>
      </c>
      <c r="G1721">
        <v>1882098</v>
      </c>
      <c r="H1721" t="s">
        <v>84</v>
      </c>
      <c r="I1721" t="s">
        <v>172</v>
      </c>
      <c r="J1721" t="str">
        <f>"9780520959187"</f>
        <v>9780520959187</v>
      </c>
      <c r="K1721" t="s">
        <v>2956</v>
      </c>
      <c r="L1721">
        <v>3</v>
      </c>
      <c r="O1721" t="s">
        <v>30</v>
      </c>
      <c r="P1721" t="s">
        <v>50</v>
      </c>
      <c r="S1721" t="s">
        <v>31</v>
      </c>
      <c r="T1721" t="s">
        <v>765</v>
      </c>
      <c r="U1721">
        <v>987.06299999999999</v>
      </c>
      <c r="V1721" s="3">
        <v>42209</v>
      </c>
    </row>
    <row r="1722" spans="1:22" x14ac:dyDescent="0.35">
      <c r="A1722" s="1">
        <v>42359.599490740744</v>
      </c>
      <c r="B1722" s="2">
        <v>5.115740740740741E-3</v>
      </c>
      <c r="C1722" t="s">
        <v>2705</v>
      </c>
      <c r="D1722" t="s">
        <v>23</v>
      </c>
      <c r="E1722" t="s">
        <v>24</v>
      </c>
      <c r="F1722" t="s">
        <v>226</v>
      </c>
      <c r="G1722">
        <v>817313</v>
      </c>
      <c r="H1722" t="s">
        <v>26</v>
      </c>
      <c r="I1722" t="s">
        <v>69</v>
      </c>
      <c r="J1722" t="str">
        <f>"9781118136829"</f>
        <v>9781118136829</v>
      </c>
      <c r="K1722" t="s">
        <v>2957</v>
      </c>
      <c r="L1722">
        <v>18</v>
      </c>
      <c r="O1722" t="s">
        <v>30</v>
      </c>
      <c r="P1722" t="s">
        <v>29</v>
      </c>
      <c r="Q1722" s="1">
        <v>42356.604004629633</v>
      </c>
      <c r="R1722">
        <v>7</v>
      </c>
      <c r="S1722" t="s">
        <v>31</v>
      </c>
      <c r="T1722" t="s">
        <v>2311</v>
      </c>
      <c r="U1722">
        <v>378.16640000000001</v>
      </c>
      <c r="V1722" s="3">
        <v>40918</v>
      </c>
    </row>
    <row r="1723" spans="1:22" x14ac:dyDescent="0.35">
      <c r="A1723" s="1">
        <v>42359.587638888886</v>
      </c>
      <c r="B1723" s="2">
        <v>4.8611111111111104E-4</v>
      </c>
      <c r="C1723" t="s">
        <v>2958</v>
      </c>
      <c r="D1723" t="s">
        <v>146</v>
      </c>
      <c r="E1723" t="s">
        <v>147</v>
      </c>
      <c r="F1723" t="s">
        <v>2959</v>
      </c>
      <c r="G1723">
        <v>1092959</v>
      </c>
      <c r="H1723" t="s">
        <v>84</v>
      </c>
      <c r="I1723" t="s">
        <v>120</v>
      </c>
      <c r="J1723" t="str">
        <f>"9780520955097"</f>
        <v>9780520955097</v>
      </c>
      <c r="K1723" t="s">
        <v>2960</v>
      </c>
      <c r="L1723">
        <v>11</v>
      </c>
      <c r="O1723" t="s">
        <v>30</v>
      </c>
      <c r="P1723" t="s">
        <v>42</v>
      </c>
      <c r="S1723" t="s">
        <v>2961</v>
      </c>
      <c r="T1723" t="s">
        <v>2962</v>
      </c>
      <c r="U1723">
        <v>306.85097300000001</v>
      </c>
      <c r="V1723" s="3">
        <v>41334</v>
      </c>
    </row>
    <row r="1724" spans="1:22" x14ac:dyDescent="0.35">
      <c r="A1724" s="1">
        <v>42359.305891203701</v>
      </c>
      <c r="B1724" s="2">
        <v>4.6296296296296294E-5</v>
      </c>
      <c r="C1724" t="s">
        <v>260</v>
      </c>
      <c r="D1724" t="s">
        <v>261</v>
      </c>
      <c r="E1724" t="s">
        <v>262</v>
      </c>
      <c r="F1724" t="s">
        <v>2935</v>
      </c>
      <c r="G1724">
        <v>1895384</v>
      </c>
      <c r="H1724" t="s">
        <v>26</v>
      </c>
      <c r="I1724" t="s">
        <v>2936</v>
      </c>
      <c r="J1724" t="str">
        <f>"9781119085836"</f>
        <v>9781119085836</v>
      </c>
      <c r="K1724" t="s">
        <v>33</v>
      </c>
      <c r="L1724">
        <v>3</v>
      </c>
      <c r="O1724" t="s">
        <v>30</v>
      </c>
      <c r="P1724" t="s">
        <v>50</v>
      </c>
      <c r="S1724" t="s">
        <v>264</v>
      </c>
      <c r="T1724" t="s">
        <v>2938</v>
      </c>
      <c r="U1724">
        <v>741.6</v>
      </c>
      <c r="V1724" s="3">
        <v>42157</v>
      </c>
    </row>
    <row r="1725" spans="1:22" x14ac:dyDescent="0.35">
      <c r="A1725" s="1">
        <v>42359.157395833332</v>
      </c>
      <c r="B1725" s="2">
        <v>2.1805555555555554E-2</v>
      </c>
      <c r="C1725" t="s">
        <v>2963</v>
      </c>
      <c r="D1725" t="s">
        <v>35</v>
      </c>
      <c r="E1725" t="s">
        <v>36</v>
      </c>
      <c r="F1725" t="s">
        <v>2649</v>
      </c>
      <c r="G1725">
        <v>1143522</v>
      </c>
      <c r="H1725" t="s">
        <v>26</v>
      </c>
      <c r="I1725" t="s">
        <v>172</v>
      </c>
      <c r="J1725" t="str">
        <f>"9781118257197"</f>
        <v>9781118257197</v>
      </c>
      <c r="K1725" t="s">
        <v>2964</v>
      </c>
      <c r="L1725">
        <v>40</v>
      </c>
      <c r="M1725" t="s">
        <v>2965</v>
      </c>
      <c r="O1725" t="s">
        <v>30</v>
      </c>
      <c r="P1725" t="s">
        <v>29</v>
      </c>
      <c r="Q1725" s="1">
        <v>42356.13380787037</v>
      </c>
      <c r="R1725">
        <v>7</v>
      </c>
      <c r="S1725" t="s">
        <v>40</v>
      </c>
      <c r="T1725" t="s">
        <v>2651</v>
      </c>
      <c r="U1725">
        <v>972</v>
      </c>
      <c r="V1725" s="3">
        <v>41334</v>
      </c>
    </row>
    <row r="1726" spans="1:22" x14ac:dyDescent="0.35">
      <c r="A1726" s="1">
        <v>42359.002245370371</v>
      </c>
      <c r="B1726" s="2">
        <v>3.2974537037037038E-2</v>
      </c>
      <c r="C1726" t="s">
        <v>2576</v>
      </c>
      <c r="D1726" t="s">
        <v>23</v>
      </c>
      <c r="E1726" t="s">
        <v>24</v>
      </c>
      <c r="F1726" t="s">
        <v>2577</v>
      </c>
      <c r="G1726">
        <v>1137758</v>
      </c>
      <c r="H1726" t="s">
        <v>26</v>
      </c>
      <c r="I1726" t="s">
        <v>445</v>
      </c>
      <c r="J1726" t="str">
        <f>"9781118399279"</f>
        <v>9781118399279</v>
      </c>
      <c r="K1726" t="s">
        <v>2966</v>
      </c>
      <c r="L1726">
        <v>37</v>
      </c>
      <c r="O1726" t="s">
        <v>30</v>
      </c>
      <c r="P1726" t="s">
        <v>29</v>
      </c>
      <c r="Q1726" s="1">
        <v>42358.091539351852</v>
      </c>
      <c r="R1726">
        <v>7</v>
      </c>
      <c r="S1726" t="s">
        <v>31</v>
      </c>
      <c r="T1726" t="s">
        <v>2579</v>
      </c>
      <c r="U1726" t="s">
        <v>2580</v>
      </c>
      <c r="V1726" s="3">
        <v>41331</v>
      </c>
    </row>
    <row r="1727" spans="1:22" x14ac:dyDescent="0.35">
      <c r="A1727" s="1">
        <v>42358.914074074077</v>
      </c>
      <c r="B1727" s="2">
        <v>1.7708333333333332E-3</v>
      </c>
      <c r="C1727" t="s">
        <v>2967</v>
      </c>
      <c r="D1727" t="s">
        <v>261</v>
      </c>
      <c r="E1727" t="s">
        <v>262</v>
      </c>
      <c r="F1727" t="s">
        <v>2968</v>
      </c>
      <c r="G1727">
        <v>1573284</v>
      </c>
      <c r="H1727" t="s">
        <v>68</v>
      </c>
      <c r="I1727" t="s">
        <v>69</v>
      </c>
      <c r="J1727" t="str">
        <f>"9781134607693"</f>
        <v>9781134607693</v>
      </c>
      <c r="K1727" t="s">
        <v>2969</v>
      </c>
      <c r="L1727">
        <v>11</v>
      </c>
      <c r="O1727" t="s">
        <v>30</v>
      </c>
      <c r="P1727" t="s">
        <v>50</v>
      </c>
      <c r="S1727" t="s">
        <v>264</v>
      </c>
      <c r="T1727" t="s">
        <v>2970</v>
      </c>
      <c r="U1727">
        <v>371.33</v>
      </c>
      <c r="V1727" s="3">
        <v>41604</v>
      </c>
    </row>
    <row r="1728" spans="1:22" x14ac:dyDescent="0.35">
      <c r="A1728" s="1">
        <v>42358.886689814812</v>
      </c>
      <c r="B1728" s="2">
        <v>1.0567129629629629E-2</v>
      </c>
      <c r="C1728" t="s">
        <v>2576</v>
      </c>
      <c r="D1728" t="s">
        <v>23</v>
      </c>
      <c r="E1728" t="s">
        <v>24</v>
      </c>
      <c r="F1728" t="s">
        <v>2577</v>
      </c>
      <c r="G1728">
        <v>1137758</v>
      </c>
      <c r="H1728" t="s">
        <v>26</v>
      </c>
      <c r="I1728" t="s">
        <v>445</v>
      </c>
      <c r="J1728" t="str">
        <f>"9781118399279"</f>
        <v>9781118399279</v>
      </c>
      <c r="K1728" t="s">
        <v>2971</v>
      </c>
      <c r="L1728">
        <v>20</v>
      </c>
      <c r="O1728" t="s">
        <v>30</v>
      </c>
      <c r="P1728" t="s">
        <v>29</v>
      </c>
      <c r="Q1728" s="1">
        <v>42358.091539351852</v>
      </c>
      <c r="R1728">
        <v>7</v>
      </c>
      <c r="S1728" t="s">
        <v>31</v>
      </c>
      <c r="T1728" t="s">
        <v>2579</v>
      </c>
      <c r="U1728" t="s">
        <v>2580</v>
      </c>
      <c r="V1728" s="3">
        <v>41331</v>
      </c>
    </row>
    <row r="1729" spans="1:22" x14ac:dyDescent="0.35">
      <c r="A1729" s="1">
        <v>42358.86445601852</v>
      </c>
      <c r="B1729" s="2">
        <v>3.1828703703703702E-3</v>
      </c>
      <c r="C1729" t="s">
        <v>2972</v>
      </c>
      <c r="D1729" t="s">
        <v>23</v>
      </c>
      <c r="E1729" t="s">
        <v>24</v>
      </c>
      <c r="F1729" t="s">
        <v>1051</v>
      </c>
      <c r="G1729">
        <v>821663</v>
      </c>
      <c r="H1729" t="s">
        <v>26</v>
      </c>
      <c r="I1729" t="s">
        <v>200</v>
      </c>
      <c r="J1729" t="str">
        <f>"9781118168479"</f>
        <v>9781118168479</v>
      </c>
      <c r="K1729" t="s">
        <v>2973</v>
      </c>
      <c r="L1729">
        <v>16</v>
      </c>
      <c r="M1729" t="s">
        <v>2722</v>
      </c>
      <c r="O1729" t="s">
        <v>30</v>
      </c>
      <c r="P1729" t="s">
        <v>29</v>
      </c>
      <c r="Q1729" s="1">
        <v>42358.86445601852</v>
      </c>
      <c r="R1729">
        <v>7</v>
      </c>
      <c r="S1729" t="s">
        <v>31</v>
      </c>
      <c r="T1729" t="s">
        <v>1053</v>
      </c>
      <c r="U1729">
        <v>729</v>
      </c>
      <c r="V1729" s="3">
        <v>40973</v>
      </c>
    </row>
    <row r="1730" spans="1:22" x14ac:dyDescent="0.35">
      <c r="A1730" s="1">
        <v>42358.863587962966</v>
      </c>
      <c r="B1730" s="2">
        <v>8.6805555555555551E-4</v>
      </c>
      <c r="C1730" t="s">
        <v>2972</v>
      </c>
      <c r="D1730" t="s">
        <v>23</v>
      </c>
      <c r="E1730" t="s">
        <v>24</v>
      </c>
      <c r="F1730" t="s">
        <v>1051</v>
      </c>
      <c r="G1730">
        <v>821663</v>
      </c>
      <c r="H1730" t="s">
        <v>26</v>
      </c>
      <c r="I1730" t="s">
        <v>200</v>
      </c>
      <c r="J1730" t="str">
        <f>"9781118168479"</f>
        <v>9781118168479</v>
      </c>
      <c r="K1730" t="s">
        <v>2974</v>
      </c>
      <c r="L1730">
        <v>9</v>
      </c>
      <c r="O1730" t="s">
        <v>30</v>
      </c>
      <c r="P1730" t="s">
        <v>42</v>
      </c>
      <c r="S1730" t="s">
        <v>31</v>
      </c>
      <c r="T1730" t="s">
        <v>1053</v>
      </c>
      <c r="U1730">
        <v>729</v>
      </c>
      <c r="V1730" s="3">
        <v>40973</v>
      </c>
    </row>
    <row r="1731" spans="1:22" x14ac:dyDescent="0.35">
      <c r="A1731" s="1">
        <v>42358.841226851851</v>
      </c>
      <c r="B1731" s="2">
        <v>2.9976851851851852E-2</v>
      </c>
      <c r="C1731" t="s">
        <v>2963</v>
      </c>
      <c r="D1731" t="s">
        <v>35</v>
      </c>
      <c r="E1731" t="s">
        <v>36</v>
      </c>
      <c r="F1731" t="s">
        <v>2649</v>
      </c>
      <c r="G1731">
        <v>1143522</v>
      </c>
      <c r="H1731" t="s">
        <v>26</v>
      </c>
      <c r="I1731" t="s">
        <v>172</v>
      </c>
      <c r="J1731" t="str">
        <f>"9781118257197"</f>
        <v>9781118257197</v>
      </c>
      <c r="K1731" t="s">
        <v>2975</v>
      </c>
      <c r="L1731">
        <v>38</v>
      </c>
      <c r="O1731" t="s">
        <v>30</v>
      </c>
      <c r="P1731" t="s">
        <v>29</v>
      </c>
      <c r="Q1731" s="1">
        <v>42356.13380787037</v>
      </c>
      <c r="R1731">
        <v>7</v>
      </c>
      <c r="S1731" t="s">
        <v>40</v>
      </c>
      <c r="T1731" t="s">
        <v>2651</v>
      </c>
      <c r="U1731">
        <v>972</v>
      </c>
      <c r="V1731" s="3">
        <v>41334</v>
      </c>
    </row>
    <row r="1732" spans="1:22" x14ac:dyDescent="0.35">
      <c r="A1732" s="1">
        <v>42358.807824074072</v>
      </c>
      <c r="B1732" s="2">
        <v>1.3287037037037036E-2</v>
      </c>
      <c r="C1732" t="s">
        <v>2679</v>
      </c>
      <c r="D1732" t="s">
        <v>1222</v>
      </c>
      <c r="E1732" t="s">
        <v>1223</v>
      </c>
      <c r="F1732" t="s">
        <v>2680</v>
      </c>
      <c r="G1732">
        <v>1641157</v>
      </c>
      <c r="H1732" t="s">
        <v>526</v>
      </c>
      <c r="I1732" t="s">
        <v>2681</v>
      </c>
      <c r="J1732" t="str">
        <f>"9780226024134"</f>
        <v>9780226024134</v>
      </c>
      <c r="K1732" t="s">
        <v>2976</v>
      </c>
      <c r="L1732">
        <v>18</v>
      </c>
      <c r="M1732" t="s">
        <v>2977</v>
      </c>
      <c r="O1732" t="s">
        <v>28</v>
      </c>
      <c r="P1732" t="s">
        <v>47</v>
      </c>
      <c r="Q1732" s="1">
        <v>42358.806956018518</v>
      </c>
      <c r="R1732">
        <v>1</v>
      </c>
      <c r="S1732" t="s">
        <v>1226</v>
      </c>
      <c r="T1732" t="s">
        <v>2683</v>
      </c>
      <c r="U1732">
        <v>577.29999999999995</v>
      </c>
      <c r="V1732" s="3">
        <v>41702</v>
      </c>
    </row>
    <row r="1733" spans="1:22" x14ac:dyDescent="0.35">
      <c r="A1733" s="1">
        <v>42358.806956018518</v>
      </c>
      <c r="B1733" s="2">
        <v>2.0833333333333335E-4</v>
      </c>
      <c r="C1733" t="s">
        <v>2679</v>
      </c>
      <c r="D1733" t="s">
        <v>1222</v>
      </c>
      <c r="E1733" t="s">
        <v>1223</v>
      </c>
      <c r="F1733" t="s">
        <v>2680</v>
      </c>
      <c r="G1733">
        <v>1641157</v>
      </c>
      <c r="H1733" t="s">
        <v>526</v>
      </c>
      <c r="I1733" t="s">
        <v>2681</v>
      </c>
      <c r="J1733" t="str">
        <f>"9780226024134"</f>
        <v>9780226024134</v>
      </c>
      <c r="K1733" t="s">
        <v>2978</v>
      </c>
      <c r="L1733">
        <v>4</v>
      </c>
      <c r="M1733" t="s">
        <v>2979</v>
      </c>
      <c r="O1733" t="s">
        <v>30</v>
      </c>
      <c r="P1733" t="s">
        <v>47</v>
      </c>
      <c r="Q1733" s="1">
        <v>42358.806956018518</v>
      </c>
      <c r="R1733">
        <v>1</v>
      </c>
      <c r="S1733" t="s">
        <v>1226</v>
      </c>
      <c r="T1733" t="s">
        <v>2683</v>
      </c>
      <c r="U1733">
        <v>577.29999999999995</v>
      </c>
      <c r="V1733" s="3">
        <v>41702</v>
      </c>
    </row>
    <row r="1734" spans="1:22" x14ac:dyDescent="0.35">
      <c r="A1734" s="1">
        <v>42358.803946759261</v>
      </c>
      <c r="B1734" s="2">
        <v>3.0092592592592588E-3</v>
      </c>
      <c r="C1734" t="s">
        <v>2679</v>
      </c>
      <c r="D1734" t="s">
        <v>1222</v>
      </c>
      <c r="E1734" t="s">
        <v>1223</v>
      </c>
      <c r="F1734" t="s">
        <v>2680</v>
      </c>
      <c r="G1734">
        <v>1641157</v>
      </c>
      <c r="H1734" t="s">
        <v>526</v>
      </c>
      <c r="I1734" t="s">
        <v>2681</v>
      </c>
      <c r="J1734" t="str">
        <f>"9780226024134"</f>
        <v>9780226024134</v>
      </c>
      <c r="K1734" t="s">
        <v>2980</v>
      </c>
      <c r="L1734">
        <v>44</v>
      </c>
      <c r="O1734" t="s">
        <v>30</v>
      </c>
      <c r="P1734" t="s">
        <v>50</v>
      </c>
      <c r="S1734" t="s">
        <v>1226</v>
      </c>
      <c r="T1734" t="s">
        <v>2683</v>
      </c>
      <c r="U1734">
        <v>577.29999999999995</v>
      </c>
      <c r="V1734" s="3">
        <v>41702</v>
      </c>
    </row>
    <row r="1735" spans="1:22" x14ac:dyDescent="0.35">
      <c r="A1735" s="1">
        <v>42358.799421296295</v>
      </c>
      <c r="B1735" s="2">
        <v>5.4398148148148144E-4</v>
      </c>
      <c r="C1735" t="s">
        <v>2981</v>
      </c>
      <c r="D1735" t="s">
        <v>23</v>
      </c>
      <c r="E1735" t="s">
        <v>24</v>
      </c>
      <c r="F1735" t="s">
        <v>2982</v>
      </c>
      <c r="G1735">
        <v>1204090</v>
      </c>
      <c r="H1735" t="s">
        <v>26</v>
      </c>
      <c r="I1735" t="s">
        <v>200</v>
      </c>
      <c r="J1735" t="str">
        <f>"9781118332917"</f>
        <v>9781118332917</v>
      </c>
      <c r="K1735" t="s">
        <v>86</v>
      </c>
      <c r="L1735">
        <v>5</v>
      </c>
      <c r="O1735" t="s">
        <v>30</v>
      </c>
      <c r="P1735" t="s">
        <v>50</v>
      </c>
      <c r="S1735" t="s">
        <v>31</v>
      </c>
      <c r="T1735" t="s">
        <v>2983</v>
      </c>
      <c r="U1735" t="s">
        <v>2984</v>
      </c>
      <c r="V1735" s="3">
        <v>41415</v>
      </c>
    </row>
    <row r="1736" spans="1:22" x14ac:dyDescent="0.35">
      <c r="A1736" s="1">
        <v>42358.76363425926</v>
      </c>
      <c r="B1736" s="2">
        <v>1.1574074074074073E-4</v>
      </c>
      <c r="C1736" t="s">
        <v>2985</v>
      </c>
      <c r="D1736" t="s">
        <v>23</v>
      </c>
      <c r="E1736" t="s">
        <v>24</v>
      </c>
      <c r="F1736" t="s">
        <v>2986</v>
      </c>
      <c r="G1736">
        <v>1781084</v>
      </c>
      <c r="H1736" t="s">
        <v>26</v>
      </c>
      <c r="I1736" t="s">
        <v>150</v>
      </c>
      <c r="J1736" t="str">
        <f>"9781118900079"</f>
        <v>9781118900079</v>
      </c>
      <c r="K1736" t="s">
        <v>889</v>
      </c>
      <c r="L1736">
        <v>6</v>
      </c>
      <c r="O1736" t="s">
        <v>30</v>
      </c>
      <c r="P1736" t="s">
        <v>50</v>
      </c>
      <c r="S1736" t="s">
        <v>31</v>
      </c>
      <c r="T1736" t="s">
        <v>2987</v>
      </c>
      <c r="U1736">
        <v>786.21929999999998</v>
      </c>
      <c r="V1736" s="3">
        <v>41885</v>
      </c>
    </row>
    <row r="1737" spans="1:22" x14ac:dyDescent="0.35">
      <c r="A1737" s="1">
        <v>42358.762430555558</v>
      </c>
      <c r="B1737" s="2">
        <v>3.7037037037037035E-4</v>
      </c>
      <c r="C1737" t="s">
        <v>2985</v>
      </c>
      <c r="D1737" t="s">
        <v>23</v>
      </c>
      <c r="E1737" t="s">
        <v>24</v>
      </c>
      <c r="F1737" t="s">
        <v>2986</v>
      </c>
      <c r="G1737">
        <v>1781084</v>
      </c>
      <c r="H1737" t="s">
        <v>26</v>
      </c>
      <c r="I1737" t="s">
        <v>150</v>
      </c>
      <c r="J1737" t="str">
        <f>"9781118900079"</f>
        <v>9781118900079</v>
      </c>
      <c r="K1737" t="s">
        <v>355</v>
      </c>
      <c r="L1737">
        <v>8</v>
      </c>
      <c r="O1737" t="s">
        <v>30</v>
      </c>
      <c r="P1737" t="s">
        <v>50</v>
      </c>
      <c r="S1737" t="s">
        <v>31</v>
      </c>
      <c r="T1737" t="s">
        <v>2987</v>
      </c>
      <c r="U1737">
        <v>786.21929999999998</v>
      </c>
      <c r="V1737" s="3">
        <v>41885</v>
      </c>
    </row>
    <row r="1738" spans="1:22" x14ac:dyDescent="0.35">
      <c r="A1738" s="1">
        <v>42358.74113425926</v>
      </c>
      <c r="B1738" s="2">
        <v>6.5138888888888885E-2</v>
      </c>
      <c r="C1738" t="s">
        <v>2576</v>
      </c>
      <c r="D1738" t="s">
        <v>23</v>
      </c>
      <c r="E1738" t="s">
        <v>24</v>
      </c>
      <c r="F1738" t="s">
        <v>2577</v>
      </c>
      <c r="G1738">
        <v>1137758</v>
      </c>
      <c r="H1738" t="s">
        <v>26</v>
      </c>
      <c r="I1738" t="s">
        <v>445</v>
      </c>
      <c r="J1738" t="str">
        <f>"9781118399279"</f>
        <v>9781118399279</v>
      </c>
      <c r="K1738" t="s">
        <v>2988</v>
      </c>
      <c r="L1738">
        <v>36</v>
      </c>
      <c r="O1738" t="s">
        <v>30</v>
      </c>
      <c r="P1738" t="s">
        <v>29</v>
      </c>
      <c r="Q1738" s="1">
        <v>42358.091539351852</v>
      </c>
      <c r="R1738">
        <v>7</v>
      </c>
      <c r="S1738" t="s">
        <v>31</v>
      </c>
      <c r="T1738" t="s">
        <v>2579</v>
      </c>
      <c r="U1738" t="s">
        <v>2580</v>
      </c>
      <c r="V1738" s="3">
        <v>41331</v>
      </c>
    </row>
    <row r="1739" spans="1:22" x14ac:dyDescent="0.35">
      <c r="A1739" s="1">
        <v>42358.735509259262</v>
      </c>
      <c r="B1739" s="2">
        <v>2.0208333333333335E-2</v>
      </c>
      <c r="C1739" t="s">
        <v>471</v>
      </c>
      <c r="D1739" t="s">
        <v>211</v>
      </c>
      <c r="E1739" t="s">
        <v>212</v>
      </c>
      <c r="F1739" t="s">
        <v>497</v>
      </c>
      <c r="G1739">
        <v>1986951</v>
      </c>
      <c r="H1739" t="s">
        <v>26</v>
      </c>
      <c r="I1739" t="s">
        <v>97</v>
      </c>
      <c r="J1739" t="str">
        <f>"9781119130468"</f>
        <v>9781119130468</v>
      </c>
      <c r="K1739" t="s">
        <v>2989</v>
      </c>
      <c r="L1739">
        <v>18</v>
      </c>
      <c r="M1739" t="s">
        <v>2990</v>
      </c>
      <c r="O1739" t="s">
        <v>30</v>
      </c>
      <c r="P1739" t="s">
        <v>29</v>
      </c>
      <c r="Q1739" s="1">
        <v>42358.718715277777</v>
      </c>
      <c r="R1739">
        <v>7</v>
      </c>
      <c r="S1739" t="s">
        <v>214</v>
      </c>
      <c r="T1739" t="s">
        <v>500</v>
      </c>
      <c r="U1739">
        <v>657.07600000000002</v>
      </c>
      <c r="V1739" s="3">
        <v>42143</v>
      </c>
    </row>
    <row r="1740" spans="1:22" x14ac:dyDescent="0.35">
      <c r="A1740" s="1">
        <v>42358.718715277777</v>
      </c>
      <c r="B1740" s="2">
        <v>3.7500000000000003E-3</v>
      </c>
      <c r="C1740" t="s">
        <v>471</v>
      </c>
      <c r="D1740" t="s">
        <v>211</v>
      </c>
      <c r="E1740" t="s">
        <v>212</v>
      </c>
      <c r="F1740" t="s">
        <v>497</v>
      </c>
      <c r="G1740">
        <v>1986951</v>
      </c>
      <c r="H1740" t="s">
        <v>26</v>
      </c>
      <c r="I1740" t="s">
        <v>97</v>
      </c>
      <c r="J1740" t="str">
        <f>"9781119130468"</f>
        <v>9781119130468</v>
      </c>
      <c r="K1740" t="s">
        <v>2991</v>
      </c>
      <c r="L1740">
        <v>1</v>
      </c>
      <c r="M1740" t="s">
        <v>2992</v>
      </c>
      <c r="O1740" t="s">
        <v>30</v>
      </c>
      <c r="P1740" t="s">
        <v>29</v>
      </c>
      <c r="Q1740" s="1">
        <v>42358.718715277777</v>
      </c>
      <c r="R1740">
        <v>7</v>
      </c>
      <c r="S1740" t="s">
        <v>214</v>
      </c>
      <c r="T1740" t="s">
        <v>500</v>
      </c>
      <c r="U1740">
        <v>657.07600000000002</v>
      </c>
      <c r="V1740" s="3">
        <v>42143</v>
      </c>
    </row>
    <row r="1741" spans="1:22" x14ac:dyDescent="0.35">
      <c r="A1741" s="1">
        <v>42358.718310185184</v>
      </c>
      <c r="B1741" s="2">
        <v>4.0509259259259258E-4</v>
      </c>
      <c r="C1741" t="s">
        <v>471</v>
      </c>
      <c r="D1741" t="s">
        <v>211</v>
      </c>
      <c r="E1741" t="s">
        <v>212</v>
      </c>
      <c r="F1741" t="s">
        <v>497</v>
      </c>
      <c r="G1741">
        <v>1986951</v>
      </c>
      <c r="H1741" t="s">
        <v>26</v>
      </c>
      <c r="I1741" t="s">
        <v>97</v>
      </c>
      <c r="J1741" t="str">
        <f>"9781119130468"</f>
        <v>9781119130468</v>
      </c>
      <c r="K1741" t="s">
        <v>2993</v>
      </c>
      <c r="L1741">
        <v>8</v>
      </c>
      <c r="O1741" t="s">
        <v>30</v>
      </c>
      <c r="P1741" t="s">
        <v>42</v>
      </c>
      <c r="S1741" t="s">
        <v>214</v>
      </c>
      <c r="T1741" t="s">
        <v>500</v>
      </c>
      <c r="U1741">
        <v>657.07600000000002</v>
      </c>
      <c r="V1741" s="3">
        <v>42143</v>
      </c>
    </row>
    <row r="1742" spans="1:22" x14ac:dyDescent="0.35">
      <c r="A1742" s="1">
        <v>42358.712500000001</v>
      </c>
      <c r="B1742" s="2">
        <v>4.1666666666666669E-4</v>
      </c>
      <c r="C1742" t="s">
        <v>471</v>
      </c>
      <c r="D1742" t="s">
        <v>211</v>
      </c>
      <c r="E1742" t="s">
        <v>212</v>
      </c>
      <c r="F1742" t="s">
        <v>2994</v>
      </c>
      <c r="G1742">
        <v>4081526</v>
      </c>
      <c r="H1742" t="s">
        <v>26</v>
      </c>
      <c r="J1742" t="str">
        <f>"9781119144649"</f>
        <v>9781119144649</v>
      </c>
      <c r="K1742" t="s">
        <v>2995</v>
      </c>
      <c r="L1742">
        <v>5</v>
      </c>
      <c r="O1742" t="s">
        <v>30</v>
      </c>
      <c r="P1742" t="s">
        <v>50</v>
      </c>
      <c r="S1742" t="s">
        <v>214</v>
      </c>
      <c r="V1742" s="3">
        <v>42307</v>
      </c>
    </row>
    <row r="1743" spans="1:22" x14ac:dyDescent="0.35">
      <c r="A1743" s="1">
        <v>42358.652071759258</v>
      </c>
      <c r="B1743" s="2">
        <v>8.0335648148148142E-2</v>
      </c>
      <c r="C1743" t="s">
        <v>2576</v>
      </c>
      <c r="D1743" t="s">
        <v>23</v>
      </c>
      <c r="E1743" t="s">
        <v>24</v>
      </c>
      <c r="F1743" t="s">
        <v>2577</v>
      </c>
      <c r="G1743">
        <v>1137758</v>
      </c>
      <c r="H1743" t="s">
        <v>26</v>
      </c>
      <c r="I1743" t="s">
        <v>445</v>
      </c>
      <c r="J1743" t="str">
        <f>"9781118399279"</f>
        <v>9781118399279</v>
      </c>
      <c r="K1743" t="s">
        <v>2996</v>
      </c>
      <c r="L1743">
        <v>32</v>
      </c>
      <c r="O1743" t="s">
        <v>30</v>
      </c>
      <c r="P1743" t="s">
        <v>29</v>
      </c>
      <c r="Q1743" s="1">
        <v>42358.091539351852</v>
      </c>
      <c r="R1743">
        <v>7</v>
      </c>
      <c r="S1743" t="s">
        <v>31</v>
      </c>
      <c r="T1743" t="s">
        <v>2579</v>
      </c>
      <c r="U1743" t="s">
        <v>2580</v>
      </c>
      <c r="V1743" s="3">
        <v>41331</v>
      </c>
    </row>
    <row r="1744" spans="1:22" x14ac:dyDescent="0.35">
      <c r="A1744" s="1">
        <v>42358.605509259258</v>
      </c>
      <c r="B1744" s="2">
        <v>1.2731481481481483E-3</v>
      </c>
      <c r="C1744" t="s">
        <v>2742</v>
      </c>
      <c r="D1744" t="s">
        <v>23</v>
      </c>
      <c r="E1744" t="s">
        <v>24</v>
      </c>
      <c r="F1744" t="s">
        <v>2997</v>
      </c>
      <c r="G1744">
        <v>1767554</v>
      </c>
      <c r="H1744" t="s">
        <v>2998</v>
      </c>
      <c r="I1744" t="s">
        <v>219</v>
      </c>
      <c r="J1744" t="str">
        <f>"9780748691142"</f>
        <v>9780748691142</v>
      </c>
      <c r="K1744" t="s">
        <v>2999</v>
      </c>
      <c r="L1744">
        <v>1</v>
      </c>
      <c r="O1744" t="s">
        <v>28</v>
      </c>
      <c r="P1744" t="s">
        <v>29</v>
      </c>
      <c r="Q1744" s="1">
        <v>42358.605509259258</v>
      </c>
      <c r="R1744">
        <v>7</v>
      </c>
      <c r="S1744" t="s">
        <v>31</v>
      </c>
      <c r="T1744" t="s">
        <v>3000</v>
      </c>
      <c r="U1744">
        <v>152.4</v>
      </c>
      <c r="V1744" s="3">
        <v>41801</v>
      </c>
    </row>
    <row r="1745" spans="1:22" x14ac:dyDescent="0.35">
      <c r="A1745" s="1">
        <v>42358.605509259258</v>
      </c>
      <c r="B1745" s="2">
        <v>0</v>
      </c>
      <c r="C1745" t="s">
        <v>2742</v>
      </c>
      <c r="D1745" t="s">
        <v>23</v>
      </c>
      <c r="E1745" t="s">
        <v>24</v>
      </c>
      <c r="F1745" t="s">
        <v>2997</v>
      </c>
      <c r="G1745">
        <v>1767554</v>
      </c>
      <c r="H1745" t="s">
        <v>2998</v>
      </c>
      <c r="I1745" t="s">
        <v>219</v>
      </c>
      <c r="J1745" t="str">
        <f>"9780748691142"</f>
        <v>9780748691142</v>
      </c>
      <c r="L1745">
        <v>0</v>
      </c>
      <c r="O1745" t="s">
        <v>30</v>
      </c>
      <c r="P1745" t="s">
        <v>29</v>
      </c>
      <c r="Q1745" s="1">
        <v>42358.605509259258</v>
      </c>
      <c r="R1745">
        <v>7</v>
      </c>
      <c r="S1745" t="s">
        <v>31</v>
      </c>
      <c r="T1745" t="s">
        <v>3000</v>
      </c>
      <c r="U1745">
        <v>152.4</v>
      </c>
      <c r="V1745" s="3">
        <v>41801</v>
      </c>
    </row>
    <row r="1746" spans="1:22" x14ac:dyDescent="0.35">
      <c r="A1746" s="1">
        <v>42358.604513888888</v>
      </c>
      <c r="B1746" s="2">
        <v>9.9537037037037042E-4</v>
      </c>
      <c r="C1746" t="s">
        <v>2742</v>
      </c>
      <c r="D1746" t="s">
        <v>23</v>
      </c>
      <c r="E1746" t="s">
        <v>24</v>
      </c>
      <c r="F1746" t="s">
        <v>2997</v>
      </c>
      <c r="G1746">
        <v>1767554</v>
      </c>
      <c r="H1746" t="s">
        <v>2998</v>
      </c>
      <c r="I1746" t="s">
        <v>219</v>
      </c>
      <c r="J1746" t="str">
        <f>"9780748691142"</f>
        <v>9780748691142</v>
      </c>
      <c r="K1746" t="s">
        <v>3001</v>
      </c>
      <c r="L1746">
        <v>8</v>
      </c>
      <c r="O1746" t="s">
        <v>30</v>
      </c>
      <c r="P1746" t="s">
        <v>42</v>
      </c>
      <c r="S1746" t="s">
        <v>31</v>
      </c>
      <c r="T1746" t="s">
        <v>3000</v>
      </c>
      <c r="U1746">
        <v>152.4</v>
      </c>
      <c r="V1746" s="3">
        <v>41801</v>
      </c>
    </row>
    <row r="1747" spans="1:22" x14ac:dyDescent="0.35">
      <c r="A1747" s="1">
        <v>42358.111655092594</v>
      </c>
      <c r="B1747" s="2">
        <v>4.6296296296296294E-5</v>
      </c>
      <c r="C1747" t="s">
        <v>2576</v>
      </c>
      <c r="D1747" t="s">
        <v>23</v>
      </c>
      <c r="E1747" t="s">
        <v>24</v>
      </c>
      <c r="F1747" t="s">
        <v>2577</v>
      </c>
      <c r="G1747">
        <v>1137758</v>
      </c>
      <c r="H1747" t="s">
        <v>26</v>
      </c>
      <c r="I1747" t="s">
        <v>445</v>
      </c>
      <c r="J1747" t="str">
        <f>"9781118399279"</f>
        <v>9781118399279</v>
      </c>
      <c r="K1747" t="s">
        <v>33</v>
      </c>
      <c r="L1747">
        <v>3</v>
      </c>
      <c r="O1747" t="s">
        <v>30</v>
      </c>
      <c r="P1747" t="s">
        <v>29</v>
      </c>
      <c r="Q1747" s="1">
        <v>42358.091539351852</v>
      </c>
      <c r="R1747">
        <v>7</v>
      </c>
      <c r="S1747" t="s">
        <v>31</v>
      </c>
      <c r="T1747" t="s">
        <v>2579</v>
      </c>
      <c r="U1747" t="s">
        <v>2580</v>
      </c>
      <c r="V1747" s="3">
        <v>41331</v>
      </c>
    </row>
    <row r="1748" spans="1:22" x14ac:dyDescent="0.35">
      <c r="A1748" s="1">
        <v>42358.107881944445</v>
      </c>
      <c r="B1748" s="2">
        <v>3.9351851851851852E-4</v>
      </c>
      <c r="C1748" t="s">
        <v>3002</v>
      </c>
      <c r="D1748" t="s">
        <v>35</v>
      </c>
      <c r="E1748" t="s">
        <v>36</v>
      </c>
      <c r="F1748" t="s">
        <v>3003</v>
      </c>
      <c r="G1748">
        <v>4034178</v>
      </c>
      <c r="H1748" t="s">
        <v>26</v>
      </c>
      <c r="I1748" t="s">
        <v>150</v>
      </c>
      <c r="J1748" t="str">
        <f>"9781118325087"</f>
        <v>9781118325087</v>
      </c>
      <c r="K1748" t="s">
        <v>3004</v>
      </c>
      <c r="L1748">
        <v>7</v>
      </c>
      <c r="O1748" t="s">
        <v>30</v>
      </c>
      <c r="P1748" t="s">
        <v>29</v>
      </c>
      <c r="Q1748" s="1">
        <v>42358.100405092591</v>
      </c>
      <c r="R1748">
        <v>7</v>
      </c>
      <c r="S1748" t="s">
        <v>40</v>
      </c>
      <c r="U1748">
        <v>709</v>
      </c>
      <c r="V1748" s="3">
        <v>41996</v>
      </c>
    </row>
    <row r="1749" spans="1:22" x14ac:dyDescent="0.35">
      <c r="A1749" s="1">
        <v>42358.107835648145</v>
      </c>
      <c r="B1749" s="2">
        <v>0</v>
      </c>
      <c r="C1749" t="s">
        <v>3002</v>
      </c>
      <c r="D1749" t="s">
        <v>35</v>
      </c>
      <c r="E1749" t="s">
        <v>36</v>
      </c>
      <c r="F1749" t="s">
        <v>3003</v>
      </c>
      <c r="G1749">
        <v>4034178</v>
      </c>
      <c r="H1749" t="s">
        <v>26</v>
      </c>
      <c r="I1749" t="s">
        <v>150</v>
      </c>
      <c r="J1749" t="str">
        <f>"9781118325087"</f>
        <v>9781118325087</v>
      </c>
      <c r="L1749">
        <v>0</v>
      </c>
      <c r="O1749" t="s">
        <v>30</v>
      </c>
      <c r="P1749" t="s">
        <v>29</v>
      </c>
      <c r="Q1749" s="1">
        <v>42358.100405092591</v>
      </c>
      <c r="R1749">
        <v>7</v>
      </c>
      <c r="S1749" t="s">
        <v>40</v>
      </c>
      <c r="U1749">
        <v>709</v>
      </c>
      <c r="V1749" s="3">
        <v>41996</v>
      </c>
    </row>
    <row r="1750" spans="1:22" x14ac:dyDescent="0.35">
      <c r="A1750" s="1">
        <v>42358.100405092591</v>
      </c>
      <c r="B1750" s="2">
        <v>8.1481481481481474E-3</v>
      </c>
      <c r="C1750" t="s">
        <v>3002</v>
      </c>
      <c r="D1750" t="s">
        <v>35</v>
      </c>
      <c r="E1750" t="s">
        <v>36</v>
      </c>
      <c r="F1750" t="s">
        <v>3003</v>
      </c>
      <c r="G1750">
        <v>4034178</v>
      </c>
      <c r="H1750" t="s">
        <v>26</v>
      </c>
      <c r="I1750" t="s">
        <v>150</v>
      </c>
      <c r="J1750" t="str">
        <f>"9781118325087"</f>
        <v>9781118325087</v>
      </c>
      <c r="K1750" t="s">
        <v>3005</v>
      </c>
      <c r="L1750">
        <v>65</v>
      </c>
      <c r="O1750" t="s">
        <v>30</v>
      </c>
      <c r="P1750" t="s">
        <v>29</v>
      </c>
      <c r="Q1750" s="1">
        <v>42358.100405092591</v>
      </c>
      <c r="R1750">
        <v>7</v>
      </c>
      <c r="S1750" t="s">
        <v>40</v>
      </c>
      <c r="U1750">
        <v>709</v>
      </c>
      <c r="V1750" s="3">
        <v>41996</v>
      </c>
    </row>
    <row r="1751" spans="1:22" x14ac:dyDescent="0.35">
      <c r="A1751" s="1">
        <v>42358.097384259258</v>
      </c>
      <c r="B1751" s="2">
        <v>9.9537037037037042E-4</v>
      </c>
      <c r="C1751" t="s">
        <v>2963</v>
      </c>
      <c r="D1751" t="s">
        <v>35</v>
      </c>
      <c r="E1751" t="s">
        <v>36</v>
      </c>
      <c r="F1751" t="s">
        <v>2649</v>
      </c>
      <c r="G1751">
        <v>1143522</v>
      </c>
      <c r="H1751" t="s">
        <v>26</v>
      </c>
      <c r="I1751" t="s">
        <v>172</v>
      </c>
      <c r="J1751" t="str">
        <f>"9781118257197"</f>
        <v>9781118257197</v>
      </c>
      <c r="K1751" t="s">
        <v>3006</v>
      </c>
      <c r="L1751">
        <v>13</v>
      </c>
      <c r="O1751" t="s">
        <v>30</v>
      </c>
      <c r="P1751" t="s">
        <v>29</v>
      </c>
      <c r="Q1751" s="1">
        <v>42356.13380787037</v>
      </c>
      <c r="R1751">
        <v>7</v>
      </c>
      <c r="S1751" t="s">
        <v>40</v>
      </c>
      <c r="T1751" t="s">
        <v>2651</v>
      </c>
      <c r="U1751">
        <v>972</v>
      </c>
      <c r="V1751" s="3">
        <v>41334</v>
      </c>
    </row>
    <row r="1752" spans="1:22" x14ac:dyDescent="0.35">
      <c r="A1752" s="1">
        <v>42358.091909722221</v>
      </c>
      <c r="B1752" s="2">
        <v>1.3680555555555555E-2</v>
      </c>
      <c r="C1752" t="s">
        <v>2576</v>
      </c>
      <c r="D1752" t="s">
        <v>23</v>
      </c>
      <c r="E1752" t="s">
        <v>24</v>
      </c>
      <c r="F1752" t="s">
        <v>2577</v>
      </c>
      <c r="G1752">
        <v>1137758</v>
      </c>
      <c r="H1752" t="s">
        <v>26</v>
      </c>
      <c r="I1752" t="s">
        <v>445</v>
      </c>
      <c r="J1752" t="str">
        <f>"9781118399279"</f>
        <v>9781118399279</v>
      </c>
      <c r="K1752" t="s">
        <v>3007</v>
      </c>
      <c r="L1752">
        <v>22</v>
      </c>
      <c r="O1752" t="s">
        <v>28</v>
      </c>
      <c r="P1752" t="s">
        <v>29</v>
      </c>
      <c r="Q1752" s="1">
        <v>42358.091539351852</v>
      </c>
      <c r="R1752">
        <v>7</v>
      </c>
      <c r="S1752" t="s">
        <v>31</v>
      </c>
      <c r="T1752" t="s">
        <v>2579</v>
      </c>
      <c r="U1752" t="s">
        <v>2580</v>
      </c>
      <c r="V1752" s="3">
        <v>41331</v>
      </c>
    </row>
    <row r="1753" spans="1:22" x14ac:dyDescent="0.35">
      <c r="A1753" s="1">
        <v>42358.09171296296</v>
      </c>
      <c r="B1753" s="2">
        <v>0</v>
      </c>
      <c r="C1753" t="s">
        <v>2576</v>
      </c>
      <c r="D1753" t="s">
        <v>23</v>
      </c>
      <c r="E1753" t="s">
        <v>24</v>
      </c>
      <c r="F1753" t="s">
        <v>2577</v>
      </c>
      <c r="G1753">
        <v>1137758</v>
      </c>
      <c r="H1753" t="s">
        <v>26</v>
      </c>
      <c r="I1753" t="s">
        <v>445</v>
      </c>
      <c r="J1753" t="str">
        <f>"9781118399279"</f>
        <v>9781118399279</v>
      </c>
      <c r="L1753">
        <v>0</v>
      </c>
      <c r="O1753" t="s">
        <v>28</v>
      </c>
      <c r="P1753" t="s">
        <v>29</v>
      </c>
      <c r="Q1753" s="1">
        <v>42358.091539351852</v>
      </c>
      <c r="R1753">
        <v>7</v>
      </c>
      <c r="S1753" t="s">
        <v>31</v>
      </c>
      <c r="T1753" t="s">
        <v>2579</v>
      </c>
      <c r="U1753" t="s">
        <v>2580</v>
      </c>
      <c r="V1753" s="3">
        <v>41331</v>
      </c>
    </row>
    <row r="1754" spans="1:22" x14ac:dyDescent="0.35">
      <c r="A1754" s="1">
        <v>42358.091539351852</v>
      </c>
      <c r="B1754" s="2">
        <v>0</v>
      </c>
      <c r="C1754" t="s">
        <v>2576</v>
      </c>
      <c r="D1754" t="s">
        <v>23</v>
      </c>
      <c r="E1754" t="s">
        <v>24</v>
      </c>
      <c r="F1754" t="s">
        <v>2577</v>
      </c>
      <c r="G1754">
        <v>1137758</v>
      </c>
      <c r="H1754" t="s">
        <v>26</v>
      </c>
      <c r="I1754" t="s">
        <v>445</v>
      </c>
      <c r="J1754" t="str">
        <f>"9781118399279"</f>
        <v>9781118399279</v>
      </c>
      <c r="L1754">
        <v>0</v>
      </c>
      <c r="O1754" t="s">
        <v>28</v>
      </c>
      <c r="P1754" t="s">
        <v>29</v>
      </c>
      <c r="Q1754" s="1">
        <v>42358.091539351852</v>
      </c>
      <c r="R1754">
        <v>7</v>
      </c>
      <c r="S1754" t="s">
        <v>31</v>
      </c>
      <c r="T1754" t="s">
        <v>2579</v>
      </c>
      <c r="U1754" t="s">
        <v>2580</v>
      </c>
      <c r="V1754" s="3">
        <v>41331</v>
      </c>
    </row>
    <row r="1755" spans="1:22" x14ac:dyDescent="0.35">
      <c r="A1755" s="1">
        <v>42358.091539351852</v>
      </c>
      <c r="B1755" s="2">
        <v>0</v>
      </c>
      <c r="C1755" t="s">
        <v>2576</v>
      </c>
      <c r="D1755" t="s">
        <v>23</v>
      </c>
      <c r="E1755" t="s">
        <v>24</v>
      </c>
      <c r="F1755" t="s">
        <v>2577</v>
      </c>
      <c r="G1755">
        <v>1137758</v>
      </c>
      <c r="H1755" t="s">
        <v>26</v>
      </c>
      <c r="I1755" t="s">
        <v>445</v>
      </c>
      <c r="J1755" t="str">
        <f>"9781118399279"</f>
        <v>9781118399279</v>
      </c>
      <c r="L1755">
        <v>0</v>
      </c>
      <c r="O1755" t="s">
        <v>30</v>
      </c>
      <c r="P1755" t="s">
        <v>29</v>
      </c>
      <c r="Q1755" s="1">
        <v>42358.091539351852</v>
      </c>
      <c r="R1755">
        <v>7</v>
      </c>
      <c r="S1755" t="s">
        <v>31</v>
      </c>
      <c r="T1755" t="s">
        <v>2579</v>
      </c>
      <c r="U1755" t="s">
        <v>2580</v>
      </c>
      <c r="V1755" s="3">
        <v>41331</v>
      </c>
    </row>
    <row r="1756" spans="1:22" x14ac:dyDescent="0.35">
      <c r="A1756" s="1">
        <v>42358.090057870373</v>
      </c>
      <c r="B1756" s="2">
        <v>1.4583333333333334E-3</v>
      </c>
      <c r="C1756" t="s">
        <v>2576</v>
      </c>
      <c r="D1756" t="s">
        <v>23</v>
      </c>
      <c r="E1756" t="s">
        <v>24</v>
      </c>
      <c r="F1756" t="s">
        <v>2577</v>
      </c>
      <c r="G1756">
        <v>1137758</v>
      </c>
      <c r="H1756" t="s">
        <v>26</v>
      </c>
      <c r="I1756" t="s">
        <v>445</v>
      </c>
      <c r="J1756" t="str">
        <f>"9781118399279"</f>
        <v>9781118399279</v>
      </c>
      <c r="K1756" t="s">
        <v>33</v>
      </c>
      <c r="L1756">
        <v>3</v>
      </c>
      <c r="O1756" t="s">
        <v>30</v>
      </c>
      <c r="P1756" t="s">
        <v>50</v>
      </c>
      <c r="S1756" t="s">
        <v>31</v>
      </c>
      <c r="T1756" t="s">
        <v>2579</v>
      </c>
      <c r="U1756" t="s">
        <v>2580</v>
      </c>
      <c r="V1756" s="3">
        <v>41331</v>
      </c>
    </row>
    <row r="1757" spans="1:22" x14ac:dyDescent="0.35">
      <c r="A1757" s="1">
        <v>42358.088090277779</v>
      </c>
      <c r="B1757" s="2">
        <v>1.2314814814814815E-2</v>
      </c>
      <c r="C1757" t="s">
        <v>3002</v>
      </c>
      <c r="D1757" t="s">
        <v>35</v>
      </c>
      <c r="E1757" t="s">
        <v>36</v>
      </c>
      <c r="F1757" t="s">
        <v>3003</v>
      </c>
      <c r="G1757">
        <v>4034178</v>
      </c>
      <c r="H1757" t="s">
        <v>26</v>
      </c>
      <c r="I1757" t="s">
        <v>150</v>
      </c>
      <c r="J1757" t="str">
        <f>"9781118325087"</f>
        <v>9781118325087</v>
      </c>
      <c r="K1757" t="s">
        <v>355</v>
      </c>
      <c r="L1757">
        <v>8</v>
      </c>
      <c r="O1757" t="s">
        <v>30</v>
      </c>
      <c r="P1757" t="s">
        <v>50</v>
      </c>
      <c r="S1757" t="s">
        <v>40</v>
      </c>
      <c r="U1757">
        <v>709</v>
      </c>
      <c r="V1757" s="3">
        <v>41996</v>
      </c>
    </row>
    <row r="1758" spans="1:22" x14ac:dyDescent="0.35">
      <c r="A1758" s="1">
        <v>42358.003553240742</v>
      </c>
      <c r="B1758" s="2">
        <v>6.9444444444444444E-5</v>
      </c>
      <c r="C1758" t="s">
        <v>2963</v>
      </c>
      <c r="D1758" t="s">
        <v>35</v>
      </c>
      <c r="E1758" t="s">
        <v>36</v>
      </c>
      <c r="F1758" t="s">
        <v>2649</v>
      </c>
      <c r="G1758">
        <v>1143522</v>
      </c>
      <c r="H1758" t="s">
        <v>26</v>
      </c>
      <c r="I1758" t="s">
        <v>172</v>
      </c>
      <c r="J1758" t="str">
        <f>"9781118257197"</f>
        <v>9781118257197</v>
      </c>
      <c r="K1758" t="s">
        <v>33</v>
      </c>
      <c r="L1758">
        <v>3</v>
      </c>
      <c r="O1758" t="s">
        <v>30</v>
      </c>
      <c r="P1758" t="s">
        <v>29</v>
      </c>
      <c r="Q1758" s="1">
        <v>42356.13380787037</v>
      </c>
      <c r="R1758">
        <v>7</v>
      </c>
      <c r="S1758" t="s">
        <v>40</v>
      </c>
      <c r="T1758" t="s">
        <v>2651</v>
      </c>
      <c r="U1758">
        <v>972</v>
      </c>
      <c r="V1758" s="3">
        <v>41334</v>
      </c>
    </row>
    <row r="1759" spans="1:22" x14ac:dyDescent="0.35">
      <c r="A1759" s="1">
        <v>42357.962592592594</v>
      </c>
      <c r="B1759" s="2">
        <v>1.4699074074074074E-3</v>
      </c>
      <c r="C1759" t="s">
        <v>3008</v>
      </c>
      <c r="D1759" t="s">
        <v>35</v>
      </c>
      <c r="E1759" t="s">
        <v>36</v>
      </c>
      <c r="F1759" t="s">
        <v>3009</v>
      </c>
      <c r="G1759">
        <v>1434047</v>
      </c>
      <c r="H1759" t="s">
        <v>68</v>
      </c>
      <c r="I1759" t="s">
        <v>172</v>
      </c>
      <c r="J1759" t="str">
        <f>"9781134624492"</f>
        <v>9781134624492</v>
      </c>
      <c r="K1759" t="s">
        <v>3010</v>
      </c>
      <c r="L1759">
        <v>60</v>
      </c>
      <c r="O1759" t="s">
        <v>30</v>
      </c>
      <c r="P1759" t="s">
        <v>47</v>
      </c>
      <c r="Q1759" s="1">
        <v>42356.994803240741</v>
      </c>
      <c r="R1759">
        <v>1</v>
      </c>
      <c r="S1759" t="s">
        <v>40</v>
      </c>
      <c r="T1759" t="s">
        <v>3011</v>
      </c>
      <c r="U1759">
        <v>937.72559999999999</v>
      </c>
      <c r="V1759" s="3">
        <v>41543</v>
      </c>
    </row>
    <row r="1760" spans="1:22" x14ac:dyDescent="0.35">
      <c r="A1760" s="1">
        <v>42357.941574074073</v>
      </c>
      <c r="B1760" s="2">
        <v>6.018518518518519E-4</v>
      </c>
      <c r="C1760" t="s">
        <v>3012</v>
      </c>
      <c r="D1760" t="s">
        <v>35</v>
      </c>
      <c r="E1760" t="s">
        <v>36</v>
      </c>
      <c r="F1760" t="s">
        <v>3013</v>
      </c>
      <c r="G1760">
        <v>1126720</v>
      </c>
      <c r="H1760" t="s">
        <v>139</v>
      </c>
      <c r="I1760" t="s">
        <v>1211</v>
      </c>
      <c r="J1760" t="str">
        <f>"9780814724460"</f>
        <v>9780814724460</v>
      </c>
      <c r="K1760" t="s">
        <v>3014</v>
      </c>
      <c r="L1760">
        <v>10</v>
      </c>
      <c r="O1760" t="s">
        <v>30</v>
      </c>
      <c r="P1760" t="s">
        <v>50</v>
      </c>
      <c r="S1760" t="s">
        <v>40</v>
      </c>
      <c r="T1760" t="s">
        <v>3015</v>
      </c>
      <c r="U1760" t="s">
        <v>3016</v>
      </c>
      <c r="V1760" s="3">
        <v>41351</v>
      </c>
    </row>
    <row r="1761" spans="1:22" x14ac:dyDescent="0.35">
      <c r="A1761" s="1">
        <v>42357.930081018516</v>
      </c>
      <c r="B1761" s="2">
        <v>2.9166666666666668E-3</v>
      </c>
      <c r="C1761" t="s">
        <v>3017</v>
      </c>
      <c r="D1761" t="s">
        <v>23</v>
      </c>
      <c r="E1761" t="s">
        <v>24</v>
      </c>
      <c r="F1761" t="s">
        <v>3018</v>
      </c>
      <c r="G1761">
        <v>1953321</v>
      </c>
      <c r="H1761" t="s">
        <v>26</v>
      </c>
      <c r="I1761" t="s">
        <v>97</v>
      </c>
      <c r="J1761" t="str">
        <f>"9781119062448"</f>
        <v>9781119062448</v>
      </c>
      <c r="K1761" t="s">
        <v>3019</v>
      </c>
      <c r="L1761">
        <v>20</v>
      </c>
      <c r="O1761" t="s">
        <v>30</v>
      </c>
      <c r="P1761" t="s">
        <v>42</v>
      </c>
      <c r="S1761" t="s">
        <v>31</v>
      </c>
      <c r="T1761" t="s">
        <v>3020</v>
      </c>
      <c r="U1761">
        <v>658.15028555399999</v>
      </c>
      <c r="V1761" s="3">
        <v>42079</v>
      </c>
    </row>
    <row r="1762" spans="1:22" x14ac:dyDescent="0.35">
      <c r="A1762" s="1">
        <v>42357.92527777778</v>
      </c>
      <c r="B1762" s="2">
        <v>8.0208333333333329E-3</v>
      </c>
      <c r="C1762" t="s">
        <v>2963</v>
      </c>
      <c r="D1762" t="s">
        <v>35</v>
      </c>
      <c r="E1762" t="s">
        <v>36</v>
      </c>
      <c r="F1762" t="s">
        <v>2649</v>
      </c>
      <c r="G1762">
        <v>1143522</v>
      </c>
      <c r="H1762" t="s">
        <v>26</v>
      </c>
      <c r="I1762" t="s">
        <v>172</v>
      </c>
      <c r="J1762" t="str">
        <f>"9781118257197"</f>
        <v>9781118257197</v>
      </c>
      <c r="K1762" t="s">
        <v>3021</v>
      </c>
      <c r="L1762">
        <v>14</v>
      </c>
      <c r="O1762" t="s">
        <v>30</v>
      </c>
      <c r="P1762" t="s">
        <v>29</v>
      </c>
      <c r="Q1762" s="1">
        <v>42356.13380787037</v>
      </c>
      <c r="R1762">
        <v>7</v>
      </c>
      <c r="S1762" t="s">
        <v>40</v>
      </c>
      <c r="T1762" t="s">
        <v>2651</v>
      </c>
      <c r="U1762">
        <v>972</v>
      </c>
      <c r="V1762" s="3">
        <v>41334</v>
      </c>
    </row>
    <row r="1763" spans="1:22" x14ac:dyDescent="0.35">
      <c r="A1763" s="1">
        <v>42357.753229166665</v>
      </c>
      <c r="B1763" s="2">
        <v>6.018518518518519E-4</v>
      </c>
      <c r="C1763" t="s">
        <v>3022</v>
      </c>
      <c r="D1763" t="s">
        <v>261</v>
      </c>
      <c r="E1763" t="s">
        <v>262</v>
      </c>
      <c r="F1763" t="s">
        <v>3023</v>
      </c>
      <c r="G1763">
        <v>1895748</v>
      </c>
      <c r="H1763" t="s">
        <v>26</v>
      </c>
      <c r="I1763" t="s">
        <v>3024</v>
      </c>
      <c r="J1763" t="str">
        <f>"9781118917138"</f>
        <v>9781118917138</v>
      </c>
      <c r="K1763" t="s">
        <v>202</v>
      </c>
      <c r="L1763">
        <v>3</v>
      </c>
      <c r="O1763" t="s">
        <v>30</v>
      </c>
      <c r="P1763" t="s">
        <v>50</v>
      </c>
      <c r="S1763" t="s">
        <v>264</v>
      </c>
      <c r="T1763" t="s">
        <v>3025</v>
      </c>
      <c r="U1763" t="s">
        <v>3026</v>
      </c>
      <c r="V1763" s="3">
        <v>42016</v>
      </c>
    </row>
    <row r="1764" spans="1:22" x14ac:dyDescent="0.35">
      <c r="A1764" s="1">
        <v>42357.737905092596</v>
      </c>
      <c r="B1764" s="2">
        <v>4.5486111111111109E-3</v>
      </c>
      <c r="C1764" t="s">
        <v>3008</v>
      </c>
      <c r="D1764" t="s">
        <v>35</v>
      </c>
      <c r="E1764" t="s">
        <v>36</v>
      </c>
      <c r="F1764" t="s">
        <v>3009</v>
      </c>
      <c r="G1764">
        <v>1434047</v>
      </c>
      <c r="H1764" t="s">
        <v>68</v>
      </c>
      <c r="I1764" t="s">
        <v>172</v>
      </c>
      <c r="J1764" t="str">
        <f>"9781134624492"</f>
        <v>9781134624492</v>
      </c>
      <c r="K1764" t="s">
        <v>278</v>
      </c>
      <c r="L1764">
        <v>21</v>
      </c>
      <c r="O1764" t="s">
        <v>30</v>
      </c>
      <c r="P1764" t="s">
        <v>47</v>
      </c>
      <c r="Q1764" s="1">
        <v>42356.994803240741</v>
      </c>
      <c r="R1764">
        <v>1</v>
      </c>
      <c r="S1764" t="s">
        <v>40</v>
      </c>
      <c r="T1764" t="s">
        <v>3011</v>
      </c>
      <c r="U1764">
        <v>937.72559999999999</v>
      </c>
      <c r="V1764" s="3">
        <v>41543</v>
      </c>
    </row>
    <row r="1765" spans="1:22" x14ac:dyDescent="0.35">
      <c r="A1765" s="1">
        <v>42357.663715277777</v>
      </c>
      <c r="B1765" s="2">
        <v>8.1597222222222227E-3</v>
      </c>
      <c r="C1765" t="s">
        <v>2705</v>
      </c>
      <c r="D1765" t="s">
        <v>23</v>
      </c>
      <c r="E1765" t="s">
        <v>24</v>
      </c>
      <c r="F1765" t="s">
        <v>226</v>
      </c>
      <c r="G1765">
        <v>817313</v>
      </c>
      <c r="H1765" t="s">
        <v>26</v>
      </c>
      <c r="I1765" t="s">
        <v>69</v>
      </c>
      <c r="J1765" t="str">
        <f>"9781118136829"</f>
        <v>9781118136829</v>
      </c>
      <c r="K1765" t="s">
        <v>3027</v>
      </c>
      <c r="L1765">
        <v>25</v>
      </c>
      <c r="O1765" t="s">
        <v>28</v>
      </c>
      <c r="P1765" t="s">
        <v>29</v>
      </c>
      <c r="Q1765" s="1">
        <v>42356.604004629633</v>
      </c>
      <c r="R1765">
        <v>7</v>
      </c>
      <c r="S1765" t="s">
        <v>31</v>
      </c>
      <c r="T1765" t="s">
        <v>2311</v>
      </c>
      <c r="U1765">
        <v>378.16640000000001</v>
      </c>
      <c r="V1765" s="3">
        <v>40918</v>
      </c>
    </row>
    <row r="1766" spans="1:22" x14ac:dyDescent="0.35">
      <c r="A1766" s="1">
        <v>42357.663472222222</v>
      </c>
      <c r="B1766" s="2">
        <v>2.3148148148148146E-4</v>
      </c>
      <c r="C1766" t="s">
        <v>2705</v>
      </c>
      <c r="D1766" t="s">
        <v>23</v>
      </c>
      <c r="E1766" t="s">
        <v>24</v>
      </c>
      <c r="F1766" t="s">
        <v>226</v>
      </c>
      <c r="G1766">
        <v>817313</v>
      </c>
      <c r="H1766" t="s">
        <v>26</v>
      </c>
      <c r="I1766" t="s">
        <v>69</v>
      </c>
      <c r="J1766" t="str">
        <f>"9781118136829"</f>
        <v>9781118136829</v>
      </c>
      <c r="K1766" t="s">
        <v>3028</v>
      </c>
      <c r="L1766">
        <v>14</v>
      </c>
      <c r="O1766" t="s">
        <v>30</v>
      </c>
      <c r="P1766" t="s">
        <v>29</v>
      </c>
      <c r="Q1766" s="1">
        <v>42356.604004629633</v>
      </c>
      <c r="R1766">
        <v>7</v>
      </c>
      <c r="S1766" t="s">
        <v>31</v>
      </c>
      <c r="T1766" t="s">
        <v>2311</v>
      </c>
      <c r="U1766">
        <v>378.16640000000001</v>
      </c>
      <c r="V1766" s="3">
        <v>40918</v>
      </c>
    </row>
    <row r="1767" spans="1:22" x14ac:dyDescent="0.35">
      <c r="A1767" s="1">
        <v>42357.640925925924</v>
      </c>
      <c r="B1767" s="2">
        <v>1.6203703703703703E-4</v>
      </c>
      <c r="C1767" t="s">
        <v>3008</v>
      </c>
      <c r="D1767" t="s">
        <v>35</v>
      </c>
      <c r="E1767" t="s">
        <v>36</v>
      </c>
      <c r="F1767" t="s">
        <v>3009</v>
      </c>
      <c r="G1767">
        <v>1434047</v>
      </c>
      <c r="H1767" t="s">
        <v>68</v>
      </c>
      <c r="I1767" t="s">
        <v>172</v>
      </c>
      <c r="J1767" t="str">
        <f>"9781134624492"</f>
        <v>9781134624492</v>
      </c>
      <c r="K1767" t="s">
        <v>98</v>
      </c>
      <c r="L1767">
        <v>7</v>
      </c>
      <c r="O1767" t="s">
        <v>30</v>
      </c>
      <c r="P1767" t="s">
        <v>47</v>
      </c>
      <c r="Q1767" s="1">
        <v>42356.994803240741</v>
      </c>
      <c r="R1767">
        <v>1</v>
      </c>
      <c r="S1767" t="s">
        <v>40</v>
      </c>
      <c r="T1767" t="s">
        <v>3011</v>
      </c>
      <c r="U1767">
        <v>937.72559999999999</v>
      </c>
      <c r="V1767" s="3">
        <v>41543</v>
      </c>
    </row>
    <row r="1768" spans="1:22" x14ac:dyDescent="0.35">
      <c r="A1768" s="1">
        <v>42357.618101851855</v>
      </c>
      <c r="B1768" s="2">
        <v>2.4305555555555552E-4</v>
      </c>
      <c r="C1768" t="s">
        <v>2705</v>
      </c>
      <c r="D1768" t="s">
        <v>23</v>
      </c>
      <c r="E1768" t="s">
        <v>24</v>
      </c>
      <c r="F1768" t="s">
        <v>226</v>
      </c>
      <c r="G1768">
        <v>817313</v>
      </c>
      <c r="H1768" t="s">
        <v>26</v>
      </c>
      <c r="I1768" t="s">
        <v>69</v>
      </c>
      <c r="J1768" t="str">
        <f>"9781118136829"</f>
        <v>9781118136829</v>
      </c>
      <c r="K1768" t="s">
        <v>3029</v>
      </c>
      <c r="L1768">
        <v>10</v>
      </c>
      <c r="O1768" t="s">
        <v>30</v>
      </c>
      <c r="P1768" t="s">
        <v>29</v>
      </c>
      <c r="Q1768" s="1">
        <v>42356.604004629633</v>
      </c>
      <c r="R1768">
        <v>7</v>
      </c>
      <c r="S1768" t="s">
        <v>31</v>
      </c>
      <c r="T1768" t="s">
        <v>2311</v>
      </c>
      <c r="U1768">
        <v>378.16640000000001</v>
      </c>
      <c r="V1768" s="3">
        <v>40918</v>
      </c>
    </row>
    <row r="1769" spans="1:22" x14ac:dyDescent="0.35">
      <c r="A1769" s="1">
        <v>42357.547835648147</v>
      </c>
      <c r="B1769" s="2">
        <v>3.9861111111111111E-2</v>
      </c>
      <c r="C1769" t="s">
        <v>2963</v>
      </c>
      <c r="D1769" t="s">
        <v>35</v>
      </c>
      <c r="E1769" t="s">
        <v>36</v>
      </c>
      <c r="F1769" t="s">
        <v>2649</v>
      </c>
      <c r="G1769">
        <v>1143522</v>
      </c>
      <c r="H1769" t="s">
        <v>26</v>
      </c>
      <c r="I1769" t="s">
        <v>172</v>
      </c>
      <c r="J1769" t="str">
        <f>"9781118257197"</f>
        <v>9781118257197</v>
      </c>
      <c r="K1769" t="s">
        <v>3030</v>
      </c>
      <c r="L1769">
        <v>11</v>
      </c>
      <c r="O1769" t="s">
        <v>30</v>
      </c>
      <c r="P1769" t="s">
        <v>29</v>
      </c>
      <c r="Q1769" s="1">
        <v>42356.13380787037</v>
      </c>
      <c r="R1769">
        <v>7</v>
      </c>
      <c r="S1769" t="s">
        <v>40</v>
      </c>
      <c r="T1769" t="s">
        <v>2651</v>
      </c>
      <c r="U1769">
        <v>972</v>
      </c>
      <c r="V1769" s="3">
        <v>41334</v>
      </c>
    </row>
    <row r="1770" spans="1:22" x14ac:dyDescent="0.35">
      <c r="A1770" s="1">
        <v>42357.10497685185</v>
      </c>
      <c r="B1770" s="2">
        <v>2.5231481481481481E-3</v>
      </c>
      <c r="C1770" t="s">
        <v>3008</v>
      </c>
      <c r="D1770" t="s">
        <v>35</v>
      </c>
      <c r="E1770" t="s">
        <v>36</v>
      </c>
      <c r="F1770" t="s">
        <v>3009</v>
      </c>
      <c r="G1770">
        <v>1434047</v>
      </c>
      <c r="H1770" t="s">
        <v>68</v>
      </c>
      <c r="I1770" t="s">
        <v>172</v>
      </c>
      <c r="J1770" t="str">
        <f>"9781134624492"</f>
        <v>9781134624492</v>
      </c>
      <c r="K1770" t="s">
        <v>3031</v>
      </c>
      <c r="L1770">
        <v>56</v>
      </c>
      <c r="O1770" t="s">
        <v>30</v>
      </c>
      <c r="P1770" t="s">
        <v>47</v>
      </c>
      <c r="Q1770" s="1">
        <v>42356.994803240741</v>
      </c>
      <c r="R1770">
        <v>1</v>
      </c>
      <c r="S1770" t="s">
        <v>40</v>
      </c>
      <c r="T1770" t="s">
        <v>3011</v>
      </c>
      <c r="U1770">
        <v>937.72559999999999</v>
      </c>
      <c r="V1770" s="3">
        <v>41543</v>
      </c>
    </row>
    <row r="1771" spans="1:22" x14ac:dyDescent="0.35">
      <c r="A1771" s="1">
        <v>42357.100752314815</v>
      </c>
      <c r="B1771" s="2">
        <v>3.4722222222222224E-4</v>
      </c>
      <c r="C1771" t="s">
        <v>2920</v>
      </c>
      <c r="D1771" t="s">
        <v>23</v>
      </c>
      <c r="E1771" t="s">
        <v>24</v>
      </c>
      <c r="F1771" t="s">
        <v>2921</v>
      </c>
      <c r="G1771">
        <v>875438</v>
      </c>
      <c r="H1771" t="s">
        <v>26</v>
      </c>
      <c r="I1771" t="s">
        <v>120</v>
      </c>
      <c r="J1771" t="str">
        <f>"9781118232682"</f>
        <v>9781118232682</v>
      </c>
      <c r="K1771" t="s">
        <v>3032</v>
      </c>
      <c r="L1771">
        <v>7</v>
      </c>
      <c r="O1771" t="s">
        <v>30</v>
      </c>
      <c r="P1771" t="s">
        <v>42</v>
      </c>
      <c r="S1771" t="s">
        <v>31</v>
      </c>
      <c r="T1771" t="s">
        <v>2922</v>
      </c>
      <c r="U1771">
        <v>302.3</v>
      </c>
      <c r="V1771" s="3">
        <v>40976</v>
      </c>
    </row>
    <row r="1772" spans="1:22" x14ac:dyDescent="0.35">
      <c r="A1772" s="1">
        <v>42357.05364583333</v>
      </c>
      <c r="B1772" s="2">
        <v>0.1013888888888889</v>
      </c>
      <c r="C1772" t="s">
        <v>2963</v>
      </c>
      <c r="D1772" t="s">
        <v>35</v>
      </c>
      <c r="E1772" t="s">
        <v>36</v>
      </c>
      <c r="F1772" t="s">
        <v>2649</v>
      </c>
      <c r="G1772">
        <v>1143522</v>
      </c>
      <c r="H1772" t="s">
        <v>26</v>
      </c>
      <c r="I1772" t="s">
        <v>172</v>
      </c>
      <c r="J1772" t="str">
        <f>"9781118257197"</f>
        <v>9781118257197</v>
      </c>
      <c r="K1772" t="s">
        <v>3033</v>
      </c>
      <c r="L1772">
        <v>18</v>
      </c>
      <c r="O1772" t="s">
        <v>30</v>
      </c>
      <c r="P1772" t="s">
        <v>29</v>
      </c>
      <c r="Q1772" s="1">
        <v>42356.13380787037</v>
      </c>
      <c r="R1772">
        <v>7</v>
      </c>
      <c r="S1772" t="s">
        <v>40</v>
      </c>
      <c r="T1772" t="s">
        <v>2651</v>
      </c>
      <c r="U1772">
        <v>972</v>
      </c>
      <c r="V1772" s="3">
        <v>41334</v>
      </c>
    </row>
    <row r="1773" spans="1:22" x14ac:dyDescent="0.35">
      <c r="A1773" s="1">
        <v>42356.994803240741</v>
      </c>
      <c r="B1773" s="2">
        <v>8.0787037037037043E-3</v>
      </c>
      <c r="C1773" t="s">
        <v>3008</v>
      </c>
      <c r="D1773" t="s">
        <v>35</v>
      </c>
      <c r="E1773" t="s">
        <v>36</v>
      </c>
      <c r="F1773" t="s">
        <v>3009</v>
      </c>
      <c r="G1773">
        <v>1434047</v>
      </c>
      <c r="H1773" t="s">
        <v>68</v>
      </c>
      <c r="I1773" t="s">
        <v>172</v>
      </c>
      <c r="J1773" t="str">
        <f>"9781134624492"</f>
        <v>9781134624492</v>
      </c>
      <c r="K1773" t="s">
        <v>3034</v>
      </c>
      <c r="L1773">
        <v>12</v>
      </c>
      <c r="O1773" t="s">
        <v>30</v>
      </c>
      <c r="P1773" t="s">
        <v>47</v>
      </c>
      <c r="Q1773" s="1">
        <v>42356.994803240741</v>
      </c>
      <c r="R1773">
        <v>1</v>
      </c>
      <c r="S1773" t="s">
        <v>40</v>
      </c>
      <c r="T1773" t="s">
        <v>3011</v>
      </c>
      <c r="U1773">
        <v>937.72559999999999</v>
      </c>
      <c r="V1773" s="3">
        <v>41543</v>
      </c>
    </row>
    <row r="1774" spans="1:22" x14ac:dyDescent="0.35">
      <c r="A1774" s="1">
        <v>42356.920995370368</v>
      </c>
      <c r="B1774" s="2">
        <v>7.3807870370370371E-2</v>
      </c>
      <c r="C1774" t="s">
        <v>3008</v>
      </c>
      <c r="D1774" t="s">
        <v>35</v>
      </c>
      <c r="E1774" t="s">
        <v>36</v>
      </c>
      <c r="F1774" t="s">
        <v>3009</v>
      </c>
      <c r="G1774">
        <v>1434047</v>
      </c>
      <c r="H1774" t="s">
        <v>68</v>
      </c>
      <c r="I1774" t="s">
        <v>172</v>
      </c>
      <c r="J1774" t="str">
        <f>"9781134624492"</f>
        <v>9781134624492</v>
      </c>
      <c r="K1774" t="s">
        <v>3035</v>
      </c>
      <c r="L1774">
        <v>53</v>
      </c>
      <c r="O1774" t="s">
        <v>30</v>
      </c>
      <c r="P1774" t="s">
        <v>50</v>
      </c>
      <c r="S1774" t="s">
        <v>40</v>
      </c>
      <c r="T1774" t="s">
        <v>3011</v>
      </c>
      <c r="U1774">
        <v>937.72559999999999</v>
      </c>
      <c r="V1774" s="3">
        <v>41543</v>
      </c>
    </row>
    <row r="1775" spans="1:22" x14ac:dyDescent="0.35">
      <c r="A1775" s="1">
        <v>42356.912951388891</v>
      </c>
      <c r="B1775" s="2">
        <v>9.6238425925925922E-2</v>
      </c>
      <c r="C1775" t="s">
        <v>3036</v>
      </c>
      <c r="D1775" t="s">
        <v>23</v>
      </c>
      <c r="E1775" t="s">
        <v>24</v>
      </c>
      <c r="F1775" t="s">
        <v>3037</v>
      </c>
      <c r="G1775">
        <v>836624</v>
      </c>
      <c r="H1775" t="s">
        <v>26</v>
      </c>
      <c r="I1775" t="s">
        <v>1650</v>
      </c>
      <c r="J1775" t="str">
        <f>"9781118346686"</f>
        <v>9781118346686</v>
      </c>
      <c r="K1775" t="s">
        <v>3038</v>
      </c>
      <c r="L1775">
        <v>41</v>
      </c>
      <c r="O1775" t="s">
        <v>30</v>
      </c>
      <c r="P1775" t="s">
        <v>29</v>
      </c>
      <c r="Q1775" s="1">
        <v>42356.912951388891</v>
      </c>
      <c r="R1775">
        <v>7</v>
      </c>
      <c r="S1775" t="s">
        <v>31</v>
      </c>
      <c r="T1775" t="s">
        <v>3039</v>
      </c>
      <c r="U1775">
        <v>741.59730000000002</v>
      </c>
      <c r="V1775" s="3">
        <v>40969</v>
      </c>
    </row>
    <row r="1776" spans="1:22" x14ac:dyDescent="0.35">
      <c r="A1776" s="1">
        <v>42356.884270833332</v>
      </c>
      <c r="B1776" s="2">
        <v>9.6435185185185179E-2</v>
      </c>
      <c r="C1776" t="s">
        <v>3040</v>
      </c>
      <c r="D1776" t="s">
        <v>261</v>
      </c>
      <c r="E1776" t="s">
        <v>262</v>
      </c>
      <c r="F1776" t="s">
        <v>3041</v>
      </c>
      <c r="G1776">
        <v>1461087</v>
      </c>
      <c r="H1776" t="s">
        <v>68</v>
      </c>
      <c r="I1776" t="s">
        <v>776</v>
      </c>
      <c r="J1776" t="str">
        <f>"9781135205195"</f>
        <v>9781135205195</v>
      </c>
      <c r="K1776" t="s">
        <v>3042</v>
      </c>
      <c r="L1776">
        <v>54</v>
      </c>
      <c r="O1776" t="s">
        <v>30</v>
      </c>
      <c r="P1776" t="s">
        <v>47</v>
      </c>
      <c r="Q1776" s="1">
        <v>42356.884270833332</v>
      </c>
      <c r="R1776">
        <v>1</v>
      </c>
      <c r="S1776" t="s">
        <v>264</v>
      </c>
      <c r="T1776" t="s">
        <v>3043</v>
      </c>
      <c r="U1776">
        <v>794.8</v>
      </c>
      <c r="V1776" s="3">
        <v>41555</v>
      </c>
    </row>
    <row r="1777" spans="1:22" x14ac:dyDescent="0.35">
      <c r="A1777" s="1">
        <v>42356.883402777778</v>
      </c>
      <c r="B1777" s="2">
        <v>2.9548611111111109E-2</v>
      </c>
      <c r="C1777" t="s">
        <v>3036</v>
      </c>
      <c r="D1777" t="s">
        <v>23</v>
      </c>
      <c r="E1777" t="s">
        <v>24</v>
      </c>
      <c r="F1777" t="s">
        <v>3037</v>
      </c>
      <c r="G1777">
        <v>836624</v>
      </c>
      <c r="H1777" t="s">
        <v>26</v>
      </c>
      <c r="I1777" t="s">
        <v>1650</v>
      </c>
      <c r="J1777" t="str">
        <f>"9781118346686"</f>
        <v>9781118346686</v>
      </c>
      <c r="K1777" t="s">
        <v>3044</v>
      </c>
      <c r="L1777">
        <v>13</v>
      </c>
      <c r="O1777" t="s">
        <v>30</v>
      </c>
      <c r="P1777" t="s">
        <v>42</v>
      </c>
      <c r="S1777" t="s">
        <v>31</v>
      </c>
      <c r="T1777" t="s">
        <v>3039</v>
      </c>
      <c r="U1777">
        <v>741.59730000000002</v>
      </c>
      <c r="V1777" s="3">
        <v>40969</v>
      </c>
    </row>
    <row r="1778" spans="1:22" x14ac:dyDescent="0.35">
      <c r="A1778" s="1">
        <v>42356.86241898148</v>
      </c>
      <c r="B1778" s="2">
        <v>2.1851851851851848E-2</v>
      </c>
      <c r="C1778" t="s">
        <v>3040</v>
      </c>
      <c r="D1778" t="s">
        <v>261</v>
      </c>
      <c r="E1778" t="s">
        <v>262</v>
      </c>
      <c r="F1778" t="s">
        <v>3041</v>
      </c>
      <c r="G1778">
        <v>1461087</v>
      </c>
      <c r="H1778" t="s">
        <v>68</v>
      </c>
      <c r="I1778" t="s">
        <v>776</v>
      </c>
      <c r="J1778" t="str">
        <f>"9781135205195"</f>
        <v>9781135205195</v>
      </c>
      <c r="K1778" t="s">
        <v>3045</v>
      </c>
      <c r="L1778">
        <v>17</v>
      </c>
      <c r="O1778" t="s">
        <v>30</v>
      </c>
      <c r="P1778" t="s">
        <v>50</v>
      </c>
      <c r="S1778" t="s">
        <v>264</v>
      </c>
      <c r="T1778" t="s">
        <v>3043</v>
      </c>
      <c r="U1778">
        <v>794.8</v>
      </c>
      <c r="V1778" s="3">
        <v>41555</v>
      </c>
    </row>
    <row r="1779" spans="1:22" x14ac:dyDescent="0.35">
      <c r="A1779" s="1">
        <v>42356.834849537037</v>
      </c>
      <c r="B1779" s="2">
        <v>1.8518518518518518E-4</v>
      </c>
      <c r="C1779" t="s">
        <v>3046</v>
      </c>
      <c r="D1779" t="s">
        <v>23</v>
      </c>
      <c r="E1779" t="s">
        <v>24</v>
      </c>
      <c r="F1779" t="s">
        <v>1440</v>
      </c>
      <c r="G1779">
        <v>871501</v>
      </c>
      <c r="H1779" t="s">
        <v>26</v>
      </c>
      <c r="I1779" t="s">
        <v>310</v>
      </c>
      <c r="J1779" t="str">
        <f>"9781118231760"</f>
        <v>9781118231760</v>
      </c>
      <c r="K1779" t="s">
        <v>3047</v>
      </c>
      <c r="L1779">
        <v>13</v>
      </c>
      <c r="O1779" t="s">
        <v>30</v>
      </c>
      <c r="P1779" t="s">
        <v>29</v>
      </c>
      <c r="Q1779" s="1">
        <v>42356.834849537037</v>
      </c>
      <c r="R1779">
        <v>7</v>
      </c>
      <c r="S1779" t="s">
        <v>31</v>
      </c>
      <c r="T1779" t="s">
        <v>1441</v>
      </c>
      <c r="U1779" t="s">
        <v>1442</v>
      </c>
      <c r="V1779" s="3">
        <v>40969</v>
      </c>
    </row>
    <row r="1780" spans="1:22" x14ac:dyDescent="0.35">
      <c r="A1780" s="1">
        <v>42356.826655092591</v>
      </c>
      <c r="B1780" s="2">
        <v>8.1944444444444452E-3</v>
      </c>
      <c r="C1780" t="s">
        <v>3046</v>
      </c>
      <c r="D1780" t="s">
        <v>23</v>
      </c>
      <c r="E1780" t="s">
        <v>24</v>
      </c>
      <c r="F1780" t="s">
        <v>1440</v>
      </c>
      <c r="G1780">
        <v>871501</v>
      </c>
      <c r="H1780" t="s">
        <v>26</v>
      </c>
      <c r="I1780" t="s">
        <v>310</v>
      </c>
      <c r="J1780" t="str">
        <f>"9781118231760"</f>
        <v>9781118231760</v>
      </c>
      <c r="K1780" t="s">
        <v>33</v>
      </c>
      <c r="L1780">
        <v>3</v>
      </c>
      <c r="O1780" t="s">
        <v>30</v>
      </c>
      <c r="P1780" t="s">
        <v>42</v>
      </c>
      <c r="S1780" t="s">
        <v>31</v>
      </c>
      <c r="T1780" t="s">
        <v>1441</v>
      </c>
      <c r="U1780" t="s">
        <v>1442</v>
      </c>
      <c r="V1780" s="3">
        <v>40969</v>
      </c>
    </row>
    <row r="1781" spans="1:22" x14ac:dyDescent="0.35">
      <c r="A1781" s="1">
        <v>42356.812175925923</v>
      </c>
      <c r="B1781" s="2">
        <v>3.4722222222222222E-5</v>
      </c>
      <c r="C1781" t="s">
        <v>2985</v>
      </c>
      <c r="D1781" t="s">
        <v>23</v>
      </c>
      <c r="E1781" t="s">
        <v>24</v>
      </c>
      <c r="F1781" t="s">
        <v>3048</v>
      </c>
      <c r="G1781">
        <v>4037223</v>
      </c>
      <c r="H1781" t="s">
        <v>26</v>
      </c>
      <c r="I1781" t="s">
        <v>3049</v>
      </c>
      <c r="J1781" t="str">
        <f>"9781118649350"</f>
        <v>9781118649350</v>
      </c>
      <c r="K1781" t="s">
        <v>3050</v>
      </c>
      <c r="L1781">
        <v>3</v>
      </c>
      <c r="O1781" t="s">
        <v>30</v>
      </c>
      <c r="P1781" t="s">
        <v>50</v>
      </c>
      <c r="S1781" t="s">
        <v>31</v>
      </c>
      <c r="U1781">
        <v>620.20000000000005</v>
      </c>
      <c r="V1781" s="3">
        <v>41745</v>
      </c>
    </row>
    <row r="1782" spans="1:22" x14ac:dyDescent="0.35">
      <c r="A1782" s="1">
        <v>42356.765925925924</v>
      </c>
      <c r="B1782" s="2">
        <v>1.5856481481481479E-3</v>
      </c>
      <c r="C1782" t="s">
        <v>3051</v>
      </c>
      <c r="D1782" t="s">
        <v>23</v>
      </c>
      <c r="E1782" t="s">
        <v>24</v>
      </c>
      <c r="F1782" t="s">
        <v>2132</v>
      </c>
      <c r="G1782">
        <v>821801</v>
      </c>
      <c r="H1782" t="s">
        <v>26</v>
      </c>
      <c r="I1782" t="s">
        <v>2133</v>
      </c>
      <c r="J1782" t="str">
        <f>"9781118224144"</f>
        <v>9781118224144</v>
      </c>
      <c r="K1782" t="s">
        <v>3052</v>
      </c>
      <c r="L1782">
        <v>10</v>
      </c>
      <c r="O1782" t="s">
        <v>30</v>
      </c>
      <c r="P1782" t="s">
        <v>42</v>
      </c>
      <c r="S1782" t="s">
        <v>31</v>
      </c>
      <c r="T1782" t="s">
        <v>2135</v>
      </c>
      <c r="U1782">
        <v>658.00760000000002</v>
      </c>
      <c r="V1782" s="3">
        <v>40974</v>
      </c>
    </row>
    <row r="1783" spans="1:22" x14ac:dyDescent="0.35">
      <c r="A1783" s="1">
        <v>42356.720497685186</v>
      </c>
      <c r="B1783" s="2">
        <v>3.1250000000000001E-4</v>
      </c>
      <c r="C1783" t="s">
        <v>3053</v>
      </c>
      <c r="D1783" t="s">
        <v>23</v>
      </c>
      <c r="E1783" t="s">
        <v>24</v>
      </c>
      <c r="F1783" t="s">
        <v>3054</v>
      </c>
      <c r="G1783">
        <v>1224709</v>
      </c>
      <c r="H1783" t="s">
        <v>26</v>
      </c>
      <c r="I1783" t="s">
        <v>856</v>
      </c>
      <c r="J1783" t="str">
        <f>"9781118553893"</f>
        <v>9781118553893</v>
      </c>
      <c r="K1783" t="s">
        <v>3055</v>
      </c>
      <c r="L1783">
        <v>6</v>
      </c>
      <c r="O1783" t="s">
        <v>30</v>
      </c>
      <c r="P1783" t="s">
        <v>47</v>
      </c>
      <c r="Q1783" s="1">
        <v>42356.720497685186</v>
      </c>
      <c r="R1783">
        <v>1</v>
      </c>
      <c r="S1783" t="s">
        <v>31</v>
      </c>
      <c r="T1783" t="s">
        <v>3056</v>
      </c>
      <c r="U1783" t="s">
        <v>3057</v>
      </c>
      <c r="V1783" s="3">
        <v>41444</v>
      </c>
    </row>
    <row r="1784" spans="1:22" x14ac:dyDescent="0.35">
      <c r="A1784" s="1">
        <v>42356.714895833335</v>
      </c>
      <c r="B1784" s="2">
        <v>5.6018518518518518E-3</v>
      </c>
      <c r="C1784" t="s">
        <v>3053</v>
      </c>
      <c r="D1784" t="s">
        <v>23</v>
      </c>
      <c r="E1784" t="s">
        <v>24</v>
      </c>
      <c r="F1784" t="s">
        <v>3054</v>
      </c>
      <c r="G1784">
        <v>1224709</v>
      </c>
      <c r="H1784" t="s">
        <v>26</v>
      </c>
      <c r="I1784" t="s">
        <v>856</v>
      </c>
      <c r="J1784" t="str">
        <f>"9781118553893"</f>
        <v>9781118553893</v>
      </c>
      <c r="K1784" t="s">
        <v>3058</v>
      </c>
      <c r="L1784">
        <v>9</v>
      </c>
      <c r="O1784" t="s">
        <v>30</v>
      </c>
      <c r="P1784" t="s">
        <v>50</v>
      </c>
      <c r="S1784" t="s">
        <v>31</v>
      </c>
      <c r="T1784" t="s">
        <v>3056</v>
      </c>
      <c r="U1784" t="s">
        <v>3057</v>
      </c>
      <c r="V1784" s="3">
        <v>41444</v>
      </c>
    </row>
    <row r="1785" spans="1:22" x14ac:dyDescent="0.35">
      <c r="A1785" s="1">
        <v>42356.708622685182</v>
      </c>
      <c r="B1785" s="2">
        <v>2.7430555555555559E-3</v>
      </c>
      <c r="C1785" t="s">
        <v>3059</v>
      </c>
      <c r="D1785" t="s">
        <v>23</v>
      </c>
      <c r="E1785" t="s">
        <v>24</v>
      </c>
      <c r="F1785" t="s">
        <v>3060</v>
      </c>
      <c r="G1785">
        <v>1120279</v>
      </c>
      <c r="H1785" t="s">
        <v>26</v>
      </c>
      <c r="I1785" t="s">
        <v>3061</v>
      </c>
      <c r="J1785" t="str">
        <f>"9781118537671"</f>
        <v>9781118537671</v>
      </c>
      <c r="K1785" t="s">
        <v>3062</v>
      </c>
      <c r="L1785">
        <v>20</v>
      </c>
      <c r="O1785" t="s">
        <v>30</v>
      </c>
      <c r="P1785" t="s">
        <v>42</v>
      </c>
      <c r="S1785" t="s">
        <v>31</v>
      </c>
      <c r="T1785" t="s">
        <v>3063</v>
      </c>
      <c r="U1785">
        <v>599.93499999999995</v>
      </c>
      <c r="V1785" s="3">
        <v>41232</v>
      </c>
    </row>
    <row r="1786" spans="1:22" x14ac:dyDescent="0.35">
      <c r="A1786" s="1">
        <v>42356.67763888889</v>
      </c>
      <c r="B1786" s="2">
        <v>1.3078703703703705E-3</v>
      </c>
      <c r="C1786" t="s">
        <v>210</v>
      </c>
      <c r="D1786" t="s">
        <v>211</v>
      </c>
      <c r="E1786" t="s">
        <v>212</v>
      </c>
      <c r="F1786" t="s">
        <v>3064</v>
      </c>
      <c r="G1786">
        <v>951110</v>
      </c>
      <c r="H1786" t="s">
        <v>91</v>
      </c>
      <c r="I1786" t="s">
        <v>219</v>
      </c>
      <c r="J1786" t="str">
        <f>"9781462505333"</f>
        <v>9781462505333</v>
      </c>
      <c r="K1786" t="s">
        <v>3065</v>
      </c>
      <c r="L1786">
        <v>12</v>
      </c>
      <c r="O1786" t="s">
        <v>30</v>
      </c>
      <c r="P1786" t="s">
        <v>50</v>
      </c>
      <c r="S1786" t="s">
        <v>214</v>
      </c>
      <c r="T1786" t="s">
        <v>3066</v>
      </c>
      <c r="U1786">
        <v>155.9042</v>
      </c>
      <c r="V1786" s="3">
        <v>41773</v>
      </c>
    </row>
    <row r="1787" spans="1:22" x14ac:dyDescent="0.35">
      <c r="A1787" s="1">
        <v>42356.672430555554</v>
      </c>
      <c r="B1787" s="2">
        <v>1.2731481481481483E-3</v>
      </c>
      <c r="C1787" t="s">
        <v>210</v>
      </c>
      <c r="D1787" t="s">
        <v>211</v>
      </c>
      <c r="E1787" t="s">
        <v>212</v>
      </c>
      <c r="F1787" t="s">
        <v>3067</v>
      </c>
      <c r="G1787">
        <v>1578367</v>
      </c>
      <c r="H1787" t="s">
        <v>91</v>
      </c>
      <c r="I1787" t="s">
        <v>247</v>
      </c>
      <c r="J1787" t="str">
        <f>"9781462512942"</f>
        <v>9781462512942</v>
      </c>
      <c r="K1787" t="s">
        <v>3068</v>
      </c>
      <c r="L1787">
        <v>42</v>
      </c>
      <c r="O1787" t="s">
        <v>30</v>
      </c>
      <c r="P1787" t="s">
        <v>50</v>
      </c>
      <c r="S1787" t="s">
        <v>214</v>
      </c>
      <c r="T1787" t="s">
        <v>3069</v>
      </c>
      <c r="U1787">
        <v>616.85270000000003</v>
      </c>
      <c r="V1787" s="3">
        <v>41773</v>
      </c>
    </row>
    <row r="1788" spans="1:22" x14ac:dyDescent="0.35">
      <c r="A1788" s="1">
        <v>42356.670844907407</v>
      </c>
      <c r="B1788" s="2">
        <v>2.7777777777777779E-3</v>
      </c>
      <c r="C1788" t="s">
        <v>1509</v>
      </c>
      <c r="D1788" t="s">
        <v>261</v>
      </c>
      <c r="E1788" t="s">
        <v>262</v>
      </c>
      <c r="F1788" t="s">
        <v>3070</v>
      </c>
      <c r="G1788">
        <v>1732137</v>
      </c>
      <c r="H1788" t="s">
        <v>84</v>
      </c>
      <c r="I1788" t="s">
        <v>120</v>
      </c>
      <c r="J1788" t="str">
        <f>"9780520959286"</f>
        <v>9780520959286</v>
      </c>
      <c r="K1788" t="s">
        <v>3071</v>
      </c>
      <c r="L1788">
        <v>5</v>
      </c>
      <c r="M1788" t="s">
        <v>105</v>
      </c>
      <c r="N1788" t="s">
        <v>3072</v>
      </c>
      <c r="O1788" t="s">
        <v>30</v>
      </c>
      <c r="P1788" t="s">
        <v>42</v>
      </c>
      <c r="S1788" t="s">
        <v>264</v>
      </c>
      <c r="T1788" t="s">
        <v>3073</v>
      </c>
      <c r="U1788">
        <v>306.87430000000001</v>
      </c>
      <c r="V1788" s="3">
        <v>42041</v>
      </c>
    </row>
    <row r="1789" spans="1:22" x14ac:dyDescent="0.35">
      <c r="A1789" s="1">
        <v>42356.670300925929</v>
      </c>
      <c r="B1789" s="2">
        <v>5.4398148148148144E-4</v>
      </c>
      <c r="C1789" t="s">
        <v>1509</v>
      </c>
      <c r="D1789" t="s">
        <v>261</v>
      </c>
      <c r="E1789" t="s">
        <v>262</v>
      </c>
      <c r="F1789" t="s">
        <v>3070</v>
      </c>
      <c r="G1789">
        <v>1732137</v>
      </c>
      <c r="H1789" t="s">
        <v>84</v>
      </c>
      <c r="I1789" t="s">
        <v>120</v>
      </c>
      <c r="J1789" t="str">
        <f>"9780520959286"</f>
        <v>9780520959286</v>
      </c>
      <c r="K1789" t="s">
        <v>33</v>
      </c>
      <c r="L1789">
        <v>3</v>
      </c>
      <c r="O1789" t="s">
        <v>30</v>
      </c>
      <c r="P1789" t="s">
        <v>50</v>
      </c>
      <c r="S1789" t="s">
        <v>264</v>
      </c>
      <c r="T1789" t="s">
        <v>3073</v>
      </c>
      <c r="U1789">
        <v>306.87430000000001</v>
      </c>
      <c r="V1789" s="3">
        <v>42041</v>
      </c>
    </row>
    <row r="1790" spans="1:22" x14ac:dyDescent="0.35">
      <c r="A1790" s="1">
        <v>42356.660428240742</v>
      </c>
      <c r="B1790" s="2">
        <v>2.0648148148148148E-2</v>
      </c>
      <c r="C1790" t="s">
        <v>471</v>
      </c>
      <c r="D1790" t="s">
        <v>211</v>
      </c>
      <c r="E1790" t="s">
        <v>212</v>
      </c>
      <c r="F1790" t="s">
        <v>497</v>
      </c>
      <c r="G1790">
        <v>1986951</v>
      </c>
      <c r="H1790" t="s">
        <v>26</v>
      </c>
      <c r="I1790" t="s">
        <v>97</v>
      </c>
      <c r="J1790" t="str">
        <f>"9781119130468"</f>
        <v>9781119130468</v>
      </c>
      <c r="K1790" t="s">
        <v>3074</v>
      </c>
      <c r="L1790">
        <v>40</v>
      </c>
      <c r="M1790" t="s">
        <v>3075</v>
      </c>
      <c r="O1790" t="s">
        <v>30</v>
      </c>
      <c r="P1790" t="s">
        <v>29</v>
      </c>
      <c r="Q1790" s="1">
        <v>42349.868807870371</v>
      </c>
      <c r="R1790">
        <v>7</v>
      </c>
      <c r="S1790" t="s">
        <v>214</v>
      </c>
      <c r="T1790" t="s">
        <v>500</v>
      </c>
      <c r="U1790">
        <v>657.07600000000002</v>
      </c>
      <c r="V1790" s="3">
        <v>42143</v>
      </c>
    </row>
    <row r="1791" spans="1:22" x14ac:dyDescent="0.35">
      <c r="A1791" s="1">
        <v>42356.660034722219</v>
      </c>
      <c r="B1791" s="2">
        <v>2.3148148148148147E-5</v>
      </c>
      <c r="C1791" t="s">
        <v>471</v>
      </c>
      <c r="D1791" t="s">
        <v>211</v>
      </c>
      <c r="E1791" t="s">
        <v>212</v>
      </c>
      <c r="F1791" t="s">
        <v>497</v>
      </c>
      <c r="G1791">
        <v>1986951</v>
      </c>
      <c r="H1791" t="s">
        <v>26</v>
      </c>
      <c r="I1791" t="s">
        <v>97</v>
      </c>
      <c r="J1791" t="str">
        <f>"9781119130468"</f>
        <v>9781119130468</v>
      </c>
      <c r="K1791" t="s">
        <v>33</v>
      </c>
      <c r="L1791">
        <v>3</v>
      </c>
      <c r="O1791" t="s">
        <v>30</v>
      </c>
      <c r="P1791" t="s">
        <v>29</v>
      </c>
      <c r="Q1791" s="1">
        <v>42349.868807870371</v>
      </c>
      <c r="R1791">
        <v>7</v>
      </c>
      <c r="S1791" t="s">
        <v>214</v>
      </c>
      <c r="T1791" t="s">
        <v>500</v>
      </c>
      <c r="U1791">
        <v>657.07600000000002</v>
      </c>
      <c r="V1791" s="3">
        <v>42143</v>
      </c>
    </row>
    <row r="1792" spans="1:22" x14ac:dyDescent="0.35">
      <c r="A1792" s="1">
        <v>42356.641157407408</v>
      </c>
      <c r="B1792" s="2">
        <v>4.1666666666666669E-4</v>
      </c>
      <c r="C1792" t="s">
        <v>3076</v>
      </c>
      <c r="D1792" t="s">
        <v>146</v>
      </c>
      <c r="E1792" t="s">
        <v>147</v>
      </c>
      <c r="F1792" t="s">
        <v>775</v>
      </c>
      <c r="G1792">
        <v>1809742</v>
      </c>
      <c r="H1792" t="s">
        <v>26</v>
      </c>
      <c r="I1792" t="s">
        <v>776</v>
      </c>
      <c r="J1792" t="str">
        <f>"9781118968291"</f>
        <v>9781118968291</v>
      </c>
      <c r="K1792" t="s">
        <v>3077</v>
      </c>
      <c r="L1792">
        <v>18</v>
      </c>
      <c r="O1792" t="s">
        <v>30</v>
      </c>
      <c r="P1792" t="s">
        <v>42</v>
      </c>
      <c r="S1792" t="s">
        <v>3078</v>
      </c>
      <c r="T1792" t="s">
        <v>779</v>
      </c>
      <c r="U1792">
        <v>794.8</v>
      </c>
      <c r="V1792" s="3">
        <v>41911</v>
      </c>
    </row>
    <row r="1793" spans="1:22" x14ac:dyDescent="0.35">
      <c r="A1793" s="1">
        <v>42356.604004629633</v>
      </c>
      <c r="B1793" s="2">
        <v>3.9120370370370368E-3</v>
      </c>
      <c r="C1793" t="s">
        <v>2705</v>
      </c>
      <c r="D1793" t="s">
        <v>23</v>
      </c>
      <c r="E1793" t="s">
        <v>24</v>
      </c>
      <c r="F1793" t="s">
        <v>226</v>
      </c>
      <c r="G1793">
        <v>817313</v>
      </c>
      <c r="H1793" t="s">
        <v>26</v>
      </c>
      <c r="I1793" t="s">
        <v>69</v>
      </c>
      <c r="J1793" t="str">
        <f>"9781118136829"</f>
        <v>9781118136829</v>
      </c>
      <c r="K1793" t="s">
        <v>3079</v>
      </c>
      <c r="L1793">
        <v>3</v>
      </c>
      <c r="O1793" t="s">
        <v>30</v>
      </c>
      <c r="P1793" t="s">
        <v>29</v>
      </c>
      <c r="Q1793" s="1">
        <v>42356.604004629633</v>
      </c>
      <c r="R1793">
        <v>7</v>
      </c>
      <c r="S1793" t="s">
        <v>31</v>
      </c>
      <c r="T1793" t="s">
        <v>2311</v>
      </c>
      <c r="U1793">
        <v>378.16640000000001</v>
      </c>
      <c r="V1793" s="3">
        <v>40918</v>
      </c>
    </row>
    <row r="1794" spans="1:22" x14ac:dyDescent="0.35">
      <c r="A1794" s="1">
        <v>42356.595509259256</v>
      </c>
      <c r="B1794" s="2">
        <v>8.4953703703703701E-3</v>
      </c>
      <c r="C1794" t="s">
        <v>2705</v>
      </c>
      <c r="D1794" t="s">
        <v>23</v>
      </c>
      <c r="E1794" t="s">
        <v>24</v>
      </c>
      <c r="F1794" t="s">
        <v>226</v>
      </c>
      <c r="G1794">
        <v>817313</v>
      </c>
      <c r="H1794" t="s">
        <v>26</v>
      </c>
      <c r="I1794" t="s">
        <v>69</v>
      </c>
      <c r="J1794" t="str">
        <f>"9781118136829"</f>
        <v>9781118136829</v>
      </c>
      <c r="K1794" t="s">
        <v>3080</v>
      </c>
      <c r="L1794">
        <v>28</v>
      </c>
      <c r="O1794" t="s">
        <v>30</v>
      </c>
      <c r="P1794" t="s">
        <v>42</v>
      </c>
      <c r="S1794" t="s">
        <v>31</v>
      </c>
      <c r="T1794" t="s">
        <v>2311</v>
      </c>
      <c r="U1794">
        <v>378.16640000000001</v>
      </c>
      <c r="V1794" s="3">
        <v>40918</v>
      </c>
    </row>
    <row r="1795" spans="1:22" x14ac:dyDescent="0.35">
      <c r="A1795" s="1">
        <v>42356.218645833331</v>
      </c>
      <c r="B1795" s="2">
        <v>1.650462962962963E-2</v>
      </c>
      <c r="C1795" t="s">
        <v>3081</v>
      </c>
      <c r="D1795" t="s">
        <v>35</v>
      </c>
      <c r="E1795" t="s">
        <v>36</v>
      </c>
      <c r="F1795" t="s">
        <v>1433</v>
      </c>
      <c r="G1795">
        <v>3570599</v>
      </c>
      <c r="H1795" t="s">
        <v>526</v>
      </c>
      <c r="I1795" t="s">
        <v>1434</v>
      </c>
      <c r="J1795" t="str">
        <f>"9780226299358"</f>
        <v>9780226299358</v>
      </c>
      <c r="K1795" t="s">
        <v>3082</v>
      </c>
      <c r="L1795">
        <v>18</v>
      </c>
      <c r="O1795" t="s">
        <v>30</v>
      </c>
      <c r="P1795" t="s">
        <v>47</v>
      </c>
      <c r="Q1795" s="1">
        <v>42356.218645833331</v>
      </c>
      <c r="R1795">
        <v>1</v>
      </c>
      <c r="S1795" t="s">
        <v>40</v>
      </c>
      <c r="T1795" t="s">
        <v>1436</v>
      </c>
      <c r="U1795">
        <v>324.20972999999998</v>
      </c>
      <c r="V1795" s="3">
        <v>42248</v>
      </c>
    </row>
    <row r="1796" spans="1:22" x14ac:dyDescent="0.35">
      <c r="A1796" s="1">
        <v>42356.211053240739</v>
      </c>
      <c r="B1796" s="2">
        <v>7.5925925925925926E-3</v>
      </c>
      <c r="C1796" t="s">
        <v>3081</v>
      </c>
      <c r="D1796" t="s">
        <v>35</v>
      </c>
      <c r="E1796" t="s">
        <v>36</v>
      </c>
      <c r="F1796" t="s">
        <v>1433</v>
      </c>
      <c r="G1796">
        <v>3570599</v>
      </c>
      <c r="H1796" t="s">
        <v>526</v>
      </c>
      <c r="I1796" t="s">
        <v>1434</v>
      </c>
      <c r="J1796" t="str">
        <f>"9780226299358"</f>
        <v>9780226299358</v>
      </c>
      <c r="K1796" t="s">
        <v>3083</v>
      </c>
      <c r="L1796">
        <v>7</v>
      </c>
      <c r="O1796" t="s">
        <v>30</v>
      </c>
      <c r="P1796" t="s">
        <v>50</v>
      </c>
      <c r="S1796" t="s">
        <v>40</v>
      </c>
      <c r="T1796" t="s">
        <v>1436</v>
      </c>
      <c r="U1796">
        <v>324.20972999999998</v>
      </c>
      <c r="V1796" s="3">
        <v>42248</v>
      </c>
    </row>
    <row r="1797" spans="1:22" x14ac:dyDescent="0.35">
      <c r="A1797" s="1">
        <v>42356.1796875</v>
      </c>
      <c r="B1797" s="2">
        <v>3.0092592592592595E-4</v>
      </c>
      <c r="C1797" t="s">
        <v>2972</v>
      </c>
      <c r="D1797" t="s">
        <v>23</v>
      </c>
      <c r="E1797" t="s">
        <v>24</v>
      </c>
      <c r="F1797" t="s">
        <v>1051</v>
      </c>
      <c r="G1797">
        <v>821663</v>
      </c>
      <c r="H1797" t="s">
        <v>26</v>
      </c>
      <c r="I1797" t="s">
        <v>200</v>
      </c>
      <c r="J1797" t="str">
        <f>"9781118168479"</f>
        <v>9781118168479</v>
      </c>
      <c r="K1797" t="s">
        <v>3084</v>
      </c>
      <c r="L1797">
        <v>8</v>
      </c>
      <c r="O1797" t="s">
        <v>30</v>
      </c>
      <c r="P1797" t="s">
        <v>42</v>
      </c>
      <c r="S1797" t="s">
        <v>31</v>
      </c>
      <c r="T1797" t="s">
        <v>1053</v>
      </c>
      <c r="U1797">
        <v>729</v>
      </c>
      <c r="V1797" s="3">
        <v>40973</v>
      </c>
    </row>
    <row r="1798" spans="1:22" x14ac:dyDescent="0.35">
      <c r="A1798" s="1">
        <v>42356.13380787037</v>
      </c>
      <c r="B1798" s="2">
        <v>1.230324074074074E-2</v>
      </c>
      <c r="C1798" t="s">
        <v>2963</v>
      </c>
      <c r="D1798" t="s">
        <v>35</v>
      </c>
      <c r="E1798" t="s">
        <v>36</v>
      </c>
      <c r="F1798" t="s">
        <v>2649</v>
      </c>
      <c r="G1798">
        <v>1143522</v>
      </c>
      <c r="H1798" t="s">
        <v>26</v>
      </c>
      <c r="I1798" t="s">
        <v>172</v>
      </c>
      <c r="J1798" t="str">
        <f>"9781118257197"</f>
        <v>9781118257197</v>
      </c>
      <c r="K1798" t="s">
        <v>3085</v>
      </c>
      <c r="L1798">
        <v>16</v>
      </c>
      <c r="M1798" t="s">
        <v>3086</v>
      </c>
      <c r="O1798" t="s">
        <v>30</v>
      </c>
      <c r="P1798" t="s">
        <v>29</v>
      </c>
      <c r="Q1798" s="1">
        <v>42356.13380787037</v>
      </c>
      <c r="R1798">
        <v>7</v>
      </c>
      <c r="S1798" t="s">
        <v>40</v>
      </c>
      <c r="T1798" t="s">
        <v>2651</v>
      </c>
      <c r="U1798">
        <v>972</v>
      </c>
      <c r="V1798" s="3">
        <v>41334</v>
      </c>
    </row>
    <row r="1799" spans="1:22" x14ac:dyDescent="0.35">
      <c r="A1799" s="1">
        <v>42356.132048611114</v>
      </c>
      <c r="B1799" s="2">
        <v>1.7592592592592592E-3</v>
      </c>
      <c r="C1799" t="s">
        <v>2963</v>
      </c>
      <c r="D1799" t="s">
        <v>35</v>
      </c>
      <c r="E1799" t="s">
        <v>36</v>
      </c>
      <c r="F1799" t="s">
        <v>2649</v>
      </c>
      <c r="G1799">
        <v>1143522</v>
      </c>
      <c r="H1799" t="s">
        <v>26</v>
      </c>
      <c r="I1799" t="s">
        <v>172</v>
      </c>
      <c r="J1799" t="str">
        <f>"9781118257197"</f>
        <v>9781118257197</v>
      </c>
      <c r="K1799" t="s">
        <v>3087</v>
      </c>
      <c r="L1799">
        <v>7</v>
      </c>
      <c r="O1799" t="s">
        <v>30</v>
      </c>
      <c r="P1799" t="s">
        <v>42</v>
      </c>
      <c r="S1799" t="s">
        <v>40</v>
      </c>
      <c r="T1799" t="s">
        <v>2651</v>
      </c>
      <c r="U1799">
        <v>972</v>
      </c>
      <c r="V1799" s="3">
        <v>41334</v>
      </c>
    </row>
    <row r="1800" spans="1:22" x14ac:dyDescent="0.35">
      <c r="A1800" s="1">
        <v>42356.040416666663</v>
      </c>
      <c r="B1800" s="2">
        <v>2.0856481481481479E-2</v>
      </c>
      <c r="C1800" t="s">
        <v>1496</v>
      </c>
      <c r="D1800" t="s">
        <v>23</v>
      </c>
      <c r="E1800" t="s">
        <v>24</v>
      </c>
      <c r="F1800" t="s">
        <v>3088</v>
      </c>
      <c r="G1800">
        <v>1650828</v>
      </c>
      <c r="H1800" t="s">
        <v>26</v>
      </c>
      <c r="I1800" t="s">
        <v>97</v>
      </c>
      <c r="J1800" t="str">
        <f>"9781118729205"</f>
        <v>9781118729205</v>
      </c>
      <c r="K1800" t="s">
        <v>3089</v>
      </c>
      <c r="L1800">
        <v>36</v>
      </c>
      <c r="O1800" t="s">
        <v>30</v>
      </c>
      <c r="P1800" t="s">
        <v>29</v>
      </c>
      <c r="Q1800" s="1">
        <v>42356.040416666663</v>
      </c>
      <c r="R1800">
        <v>7</v>
      </c>
      <c r="S1800" t="s">
        <v>31</v>
      </c>
      <c r="T1800" t="s">
        <v>3090</v>
      </c>
      <c r="U1800">
        <v>658.05631200000005</v>
      </c>
      <c r="V1800" s="3">
        <v>41704</v>
      </c>
    </row>
    <row r="1801" spans="1:22" x14ac:dyDescent="0.35">
      <c r="A1801" s="1">
        <v>42356.031261574077</v>
      </c>
      <c r="B1801" s="2">
        <v>9.1550925925925931E-3</v>
      </c>
      <c r="C1801" t="s">
        <v>1496</v>
      </c>
      <c r="D1801" t="s">
        <v>23</v>
      </c>
      <c r="E1801" t="s">
        <v>24</v>
      </c>
      <c r="F1801" t="s">
        <v>3088</v>
      </c>
      <c r="G1801">
        <v>1650828</v>
      </c>
      <c r="H1801" t="s">
        <v>26</v>
      </c>
      <c r="I1801" t="s">
        <v>97</v>
      </c>
      <c r="J1801" t="str">
        <f>"9781118729205"</f>
        <v>9781118729205</v>
      </c>
      <c r="K1801" t="s">
        <v>3091</v>
      </c>
      <c r="L1801">
        <v>14</v>
      </c>
      <c r="O1801" t="s">
        <v>30</v>
      </c>
      <c r="P1801" t="s">
        <v>42</v>
      </c>
      <c r="S1801" t="s">
        <v>31</v>
      </c>
      <c r="T1801" t="s">
        <v>3090</v>
      </c>
      <c r="U1801">
        <v>658.05631200000005</v>
      </c>
      <c r="V1801" s="3">
        <v>41704</v>
      </c>
    </row>
    <row r="1802" spans="1:22" x14ac:dyDescent="0.35">
      <c r="A1802" s="1">
        <v>42356.027592592596</v>
      </c>
      <c r="B1802" s="2">
        <v>1.1574074074074073E-3</v>
      </c>
      <c r="C1802" t="s">
        <v>3092</v>
      </c>
      <c r="D1802" t="s">
        <v>35</v>
      </c>
      <c r="E1802" t="s">
        <v>36</v>
      </c>
      <c r="F1802" t="s">
        <v>3093</v>
      </c>
      <c r="G1802">
        <v>4042998</v>
      </c>
      <c r="H1802" t="s">
        <v>26</v>
      </c>
      <c r="I1802" t="s">
        <v>3094</v>
      </c>
      <c r="J1802" t="str">
        <f>"9781118941522"</f>
        <v>9781118941522</v>
      </c>
      <c r="K1802" t="s">
        <v>3095</v>
      </c>
      <c r="L1802">
        <v>11</v>
      </c>
      <c r="O1802" t="s">
        <v>28</v>
      </c>
      <c r="P1802" t="s">
        <v>29</v>
      </c>
      <c r="Q1802" s="1">
        <v>42356.026898148149</v>
      </c>
      <c r="R1802">
        <v>7</v>
      </c>
      <c r="S1802" t="s">
        <v>40</v>
      </c>
      <c r="T1802" t="s">
        <v>3096</v>
      </c>
      <c r="U1802" t="s">
        <v>3097</v>
      </c>
      <c r="V1802" s="3">
        <v>42296</v>
      </c>
    </row>
    <row r="1803" spans="1:22" x14ac:dyDescent="0.35">
      <c r="A1803" s="1">
        <v>42356.026909722219</v>
      </c>
      <c r="B1803" s="2">
        <v>4.2824074074074075E-4</v>
      </c>
      <c r="C1803" t="s">
        <v>3092</v>
      </c>
      <c r="D1803" t="s">
        <v>35</v>
      </c>
      <c r="E1803" t="s">
        <v>36</v>
      </c>
      <c r="F1803" t="s">
        <v>3093</v>
      </c>
      <c r="G1803">
        <v>4042998</v>
      </c>
      <c r="H1803" t="s">
        <v>26</v>
      </c>
      <c r="I1803" t="s">
        <v>3094</v>
      </c>
      <c r="J1803" t="str">
        <f>"9781118941522"</f>
        <v>9781118941522</v>
      </c>
      <c r="K1803" t="s">
        <v>33</v>
      </c>
      <c r="L1803">
        <v>3</v>
      </c>
      <c r="O1803" t="s">
        <v>28</v>
      </c>
      <c r="P1803" t="s">
        <v>29</v>
      </c>
      <c r="Q1803" s="1">
        <v>42356.026898148149</v>
      </c>
      <c r="R1803">
        <v>7</v>
      </c>
      <c r="S1803" t="s">
        <v>40</v>
      </c>
      <c r="T1803" t="s">
        <v>3096</v>
      </c>
      <c r="U1803" t="s">
        <v>3097</v>
      </c>
      <c r="V1803" s="3">
        <v>42296</v>
      </c>
    </row>
    <row r="1804" spans="1:22" x14ac:dyDescent="0.35">
      <c r="A1804" s="1">
        <v>42356.026898148149</v>
      </c>
      <c r="B1804" s="2">
        <v>0</v>
      </c>
      <c r="C1804" t="s">
        <v>3092</v>
      </c>
      <c r="D1804" t="s">
        <v>35</v>
      </c>
      <c r="E1804" t="s">
        <v>36</v>
      </c>
      <c r="F1804" t="s">
        <v>3093</v>
      </c>
      <c r="G1804">
        <v>4042998</v>
      </c>
      <c r="H1804" t="s">
        <v>26</v>
      </c>
      <c r="I1804" t="s">
        <v>3094</v>
      </c>
      <c r="J1804" t="str">
        <f>"9781118941522"</f>
        <v>9781118941522</v>
      </c>
      <c r="L1804">
        <v>0</v>
      </c>
      <c r="O1804" t="s">
        <v>30</v>
      </c>
      <c r="P1804" t="s">
        <v>29</v>
      </c>
      <c r="Q1804" s="1">
        <v>42356.026898148149</v>
      </c>
      <c r="R1804">
        <v>7</v>
      </c>
      <c r="S1804" t="s">
        <v>40</v>
      </c>
      <c r="T1804" t="s">
        <v>3096</v>
      </c>
      <c r="U1804" t="s">
        <v>3097</v>
      </c>
      <c r="V1804" s="3">
        <v>42296</v>
      </c>
    </row>
    <row r="1805" spans="1:22" x14ac:dyDescent="0.35">
      <c r="A1805" s="1">
        <v>42356.026203703703</v>
      </c>
      <c r="B1805" s="2">
        <v>6.9444444444444447E-4</v>
      </c>
      <c r="C1805" t="s">
        <v>3092</v>
      </c>
      <c r="D1805" t="s">
        <v>35</v>
      </c>
      <c r="E1805" t="s">
        <v>36</v>
      </c>
      <c r="F1805" t="s">
        <v>3093</v>
      </c>
      <c r="G1805">
        <v>4042998</v>
      </c>
      <c r="H1805" t="s">
        <v>26</v>
      </c>
      <c r="I1805" t="s">
        <v>3094</v>
      </c>
      <c r="J1805" t="str">
        <f>"9781118941522"</f>
        <v>9781118941522</v>
      </c>
      <c r="K1805" t="s">
        <v>33</v>
      </c>
      <c r="L1805">
        <v>3</v>
      </c>
      <c r="O1805" t="s">
        <v>30</v>
      </c>
      <c r="P1805" t="s">
        <v>50</v>
      </c>
      <c r="S1805" t="s">
        <v>40</v>
      </c>
      <c r="T1805" t="s">
        <v>3096</v>
      </c>
      <c r="U1805" t="s">
        <v>3097</v>
      </c>
      <c r="V1805" s="3">
        <v>42296</v>
      </c>
    </row>
    <row r="1806" spans="1:22" x14ac:dyDescent="0.35">
      <c r="A1806" s="1">
        <v>42355.917893518519</v>
      </c>
      <c r="B1806" s="2">
        <v>2.5462962962962961E-4</v>
      </c>
      <c r="C1806" t="s">
        <v>3098</v>
      </c>
      <c r="D1806" t="s">
        <v>35</v>
      </c>
      <c r="E1806" t="s">
        <v>36</v>
      </c>
      <c r="F1806" t="s">
        <v>3099</v>
      </c>
      <c r="G1806">
        <v>1422383</v>
      </c>
      <c r="H1806" t="s">
        <v>68</v>
      </c>
      <c r="I1806" t="s">
        <v>69</v>
      </c>
      <c r="J1806" t="str">
        <f>"9781317922254"</f>
        <v>9781317922254</v>
      </c>
      <c r="K1806" t="s">
        <v>3100</v>
      </c>
      <c r="L1806">
        <v>8</v>
      </c>
      <c r="O1806" t="s">
        <v>30</v>
      </c>
      <c r="P1806" t="s">
        <v>50</v>
      </c>
      <c r="S1806" t="s">
        <v>40</v>
      </c>
      <c r="T1806" t="s">
        <v>3101</v>
      </c>
      <c r="U1806">
        <v>371.2</v>
      </c>
      <c r="V1806" s="3">
        <v>41544</v>
      </c>
    </row>
    <row r="1807" spans="1:22" x14ac:dyDescent="0.35">
      <c r="A1807" s="1">
        <v>42355.895381944443</v>
      </c>
      <c r="B1807" s="2">
        <v>3.2407407407407406E-4</v>
      </c>
      <c r="C1807" t="s">
        <v>2424</v>
      </c>
      <c r="D1807" t="s">
        <v>35</v>
      </c>
      <c r="E1807" t="s">
        <v>36</v>
      </c>
      <c r="F1807" t="s">
        <v>3102</v>
      </c>
      <c r="G1807">
        <v>1461036</v>
      </c>
      <c r="H1807" t="s">
        <v>68</v>
      </c>
      <c r="I1807" t="s">
        <v>150</v>
      </c>
      <c r="J1807" t="str">
        <f>"9781135858629"</f>
        <v>9781135858629</v>
      </c>
      <c r="K1807" t="s">
        <v>3103</v>
      </c>
      <c r="L1807">
        <v>8</v>
      </c>
      <c r="O1807" t="s">
        <v>30</v>
      </c>
      <c r="P1807" t="s">
        <v>50</v>
      </c>
      <c r="S1807" t="s">
        <v>40</v>
      </c>
      <c r="T1807" t="s">
        <v>3104</v>
      </c>
      <c r="U1807">
        <v>792.02499999999998</v>
      </c>
      <c r="V1807" s="3">
        <v>35247</v>
      </c>
    </row>
    <row r="1808" spans="1:22" x14ac:dyDescent="0.35">
      <c r="A1808" s="1">
        <v>42355.877592592595</v>
      </c>
      <c r="B1808" s="2">
        <v>9.9537037037037042E-4</v>
      </c>
      <c r="C1808" t="s">
        <v>3105</v>
      </c>
      <c r="D1808" t="s">
        <v>23</v>
      </c>
      <c r="E1808" t="s">
        <v>24</v>
      </c>
      <c r="F1808" t="s">
        <v>3106</v>
      </c>
      <c r="G1808">
        <v>843407</v>
      </c>
      <c r="H1808" t="s">
        <v>26</v>
      </c>
      <c r="I1808" t="s">
        <v>310</v>
      </c>
      <c r="J1808" t="str">
        <f>"9781118256589"</f>
        <v>9781118256589</v>
      </c>
      <c r="K1808" t="s">
        <v>3107</v>
      </c>
      <c r="L1808">
        <v>11</v>
      </c>
      <c r="O1808" t="s">
        <v>30</v>
      </c>
      <c r="P1808" t="s">
        <v>42</v>
      </c>
      <c r="S1808" t="s">
        <v>31</v>
      </c>
      <c r="T1808" t="s">
        <v>3108</v>
      </c>
      <c r="U1808" t="s">
        <v>3109</v>
      </c>
      <c r="V1808" s="3">
        <v>40921</v>
      </c>
    </row>
    <row r="1809" spans="1:22" x14ac:dyDescent="0.35">
      <c r="A1809" s="1">
        <v>42355.832685185182</v>
      </c>
      <c r="B1809" s="2">
        <v>1.1574074074074073E-5</v>
      </c>
      <c r="C1809" t="s">
        <v>106</v>
      </c>
      <c r="D1809" t="s">
        <v>23</v>
      </c>
      <c r="E1809" t="s">
        <v>24</v>
      </c>
      <c r="F1809" t="s">
        <v>3110</v>
      </c>
      <c r="G1809">
        <v>1661521</v>
      </c>
      <c r="H1809" t="s">
        <v>1474</v>
      </c>
      <c r="I1809" t="s">
        <v>630</v>
      </c>
      <c r="J1809" t="str">
        <f>"9781137361516"</f>
        <v>9781137361516</v>
      </c>
      <c r="K1809" t="s">
        <v>3111</v>
      </c>
      <c r="L1809">
        <v>1</v>
      </c>
      <c r="O1809" t="s">
        <v>30</v>
      </c>
      <c r="P1809" t="s">
        <v>29</v>
      </c>
      <c r="Q1809" s="1">
        <v>42355.832685185182</v>
      </c>
      <c r="R1809">
        <v>7</v>
      </c>
      <c r="S1809" t="s">
        <v>31</v>
      </c>
      <c r="T1809" t="s">
        <v>3112</v>
      </c>
      <c r="U1809" t="s">
        <v>3113</v>
      </c>
      <c r="V1809" s="3">
        <v>41738</v>
      </c>
    </row>
    <row r="1810" spans="1:22" x14ac:dyDescent="0.35">
      <c r="A1810" s="1">
        <v>42355.820497685185</v>
      </c>
      <c r="B1810" s="2">
        <v>2.5462962962962961E-4</v>
      </c>
      <c r="C1810" t="s">
        <v>3114</v>
      </c>
      <c r="D1810" t="s">
        <v>35</v>
      </c>
      <c r="E1810" t="s">
        <v>36</v>
      </c>
      <c r="F1810" t="s">
        <v>1758</v>
      </c>
      <c r="G1810">
        <v>4039553</v>
      </c>
      <c r="H1810" t="s">
        <v>26</v>
      </c>
      <c r="I1810" t="s">
        <v>150</v>
      </c>
      <c r="J1810" t="str">
        <f>"9781118886045"</f>
        <v>9781118886045</v>
      </c>
      <c r="K1810" t="s">
        <v>3115</v>
      </c>
      <c r="L1810">
        <v>7</v>
      </c>
      <c r="O1810" t="s">
        <v>30</v>
      </c>
      <c r="P1810" t="s">
        <v>42</v>
      </c>
      <c r="S1810" t="s">
        <v>40</v>
      </c>
      <c r="T1810" t="s">
        <v>1759</v>
      </c>
      <c r="U1810">
        <v>709.37</v>
      </c>
      <c r="V1810" s="3">
        <v>42256</v>
      </c>
    </row>
    <row r="1811" spans="1:22" x14ac:dyDescent="0.35">
      <c r="A1811" s="1">
        <v>42355.780891203707</v>
      </c>
      <c r="B1811" s="2">
        <v>5.1793981481481483E-2</v>
      </c>
      <c r="C1811" t="s">
        <v>106</v>
      </c>
      <c r="D1811" t="s">
        <v>23</v>
      </c>
      <c r="E1811" t="s">
        <v>24</v>
      </c>
      <c r="F1811" t="s">
        <v>3110</v>
      </c>
      <c r="G1811">
        <v>1661521</v>
      </c>
      <c r="H1811" t="s">
        <v>1474</v>
      </c>
      <c r="I1811" t="s">
        <v>630</v>
      </c>
      <c r="J1811" t="str">
        <f>"9781137361516"</f>
        <v>9781137361516</v>
      </c>
      <c r="K1811" t="s">
        <v>3116</v>
      </c>
      <c r="L1811">
        <v>19</v>
      </c>
      <c r="O1811" t="s">
        <v>30</v>
      </c>
      <c r="P1811" t="s">
        <v>42</v>
      </c>
      <c r="S1811" t="s">
        <v>31</v>
      </c>
      <c r="T1811" t="s">
        <v>3112</v>
      </c>
      <c r="U1811" t="s">
        <v>3113</v>
      </c>
      <c r="V1811" s="3">
        <v>41738</v>
      </c>
    </row>
    <row r="1812" spans="1:22" x14ac:dyDescent="0.35">
      <c r="A1812" s="1">
        <v>42355.766655092593</v>
      </c>
      <c r="B1812" s="2">
        <v>0</v>
      </c>
      <c r="C1812" t="s">
        <v>2958</v>
      </c>
      <c r="D1812" t="s">
        <v>146</v>
      </c>
      <c r="E1812" t="s">
        <v>147</v>
      </c>
      <c r="F1812" t="s">
        <v>3117</v>
      </c>
      <c r="G1812">
        <v>1022416</v>
      </c>
      <c r="H1812" t="s">
        <v>26</v>
      </c>
      <c r="I1812" t="s">
        <v>2751</v>
      </c>
      <c r="J1812" t="str">
        <f>"9781118373811"</f>
        <v>9781118373811</v>
      </c>
      <c r="L1812">
        <v>0</v>
      </c>
      <c r="N1812" t="s">
        <v>3118</v>
      </c>
      <c r="O1812" t="s">
        <v>30</v>
      </c>
      <c r="P1812" t="s">
        <v>29</v>
      </c>
      <c r="Q1812" s="1">
        <v>42355.766655092593</v>
      </c>
      <c r="R1812">
        <v>7</v>
      </c>
      <c r="S1812" t="s">
        <v>2961</v>
      </c>
      <c r="T1812" t="s">
        <v>3119</v>
      </c>
      <c r="U1812">
        <v>664</v>
      </c>
      <c r="V1812" s="3">
        <v>41157</v>
      </c>
    </row>
    <row r="1813" spans="1:22" x14ac:dyDescent="0.35">
      <c r="A1813" s="1">
        <v>42355.76185185185</v>
      </c>
      <c r="B1813" s="2">
        <v>1.2384259259259258E-3</v>
      </c>
      <c r="C1813" t="s">
        <v>3120</v>
      </c>
      <c r="D1813" t="s">
        <v>23</v>
      </c>
      <c r="E1813" t="s">
        <v>24</v>
      </c>
      <c r="F1813" t="s">
        <v>3060</v>
      </c>
      <c r="G1813">
        <v>1120279</v>
      </c>
      <c r="H1813" t="s">
        <v>26</v>
      </c>
      <c r="I1813" t="s">
        <v>3061</v>
      </c>
      <c r="J1813" t="str">
        <f>"9781118537671"</f>
        <v>9781118537671</v>
      </c>
      <c r="K1813" t="s">
        <v>3121</v>
      </c>
      <c r="L1813">
        <v>19</v>
      </c>
      <c r="O1813" t="s">
        <v>30</v>
      </c>
      <c r="P1813" t="s">
        <v>29</v>
      </c>
      <c r="Q1813" s="1">
        <v>42351.924108796295</v>
      </c>
      <c r="R1813">
        <v>7</v>
      </c>
      <c r="S1813" t="s">
        <v>31</v>
      </c>
      <c r="T1813" t="s">
        <v>3063</v>
      </c>
      <c r="U1813">
        <v>599.93499999999995</v>
      </c>
      <c r="V1813" s="3">
        <v>41232</v>
      </c>
    </row>
    <row r="1814" spans="1:22" x14ac:dyDescent="0.35">
      <c r="A1814" s="1">
        <v>42355.761111111111</v>
      </c>
      <c r="B1814" s="2">
        <v>5.5439814814814822E-3</v>
      </c>
      <c r="C1814" t="s">
        <v>2958</v>
      </c>
      <c r="D1814" t="s">
        <v>146</v>
      </c>
      <c r="E1814" t="s">
        <v>147</v>
      </c>
      <c r="F1814" t="s">
        <v>3117</v>
      </c>
      <c r="G1814">
        <v>1022416</v>
      </c>
      <c r="H1814" t="s">
        <v>26</v>
      </c>
      <c r="I1814" t="s">
        <v>2751</v>
      </c>
      <c r="J1814" t="str">
        <f>"9781118373811"</f>
        <v>9781118373811</v>
      </c>
      <c r="K1814" t="s">
        <v>3122</v>
      </c>
      <c r="L1814">
        <v>9</v>
      </c>
      <c r="O1814" t="s">
        <v>30</v>
      </c>
      <c r="P1814" t="s">
        <v>42</v>
      </c>
      <c r="S1814" t="s">
        <v>2961</v>
      </c>
      <c r="T1814" t="s">
        <v>3119</v>
      </c>
      <c r="U1814">
        <v>664</v>
      </c>
      <c r="V1814" s="3">
        <v>41157</v>
      </c>
    </row>
    <row r="1815" spans="1:22" x14ac:dyDescent="0.35">
      <c r="A1815" s="1">
        <v>42355.757685185185</v>
      </c>
      <c r="B1815" s="2">
        <v>6.895833333333333E-2</v>
      </c>
      <c r="C1815" t="s">
        <v>1904</v>
      </c>
      <c r="D1815" t="s">
        <v>35</v>
      </c>
      <c r="E1815" t="s">
        <v>36</v>
      </c>
      <c r="F1815" t="s">
        <v>625</v>
      </c>
      <c r="G1815">
        <v>1566387</v>
      </c>
      <c r="H1815" t="s">
        <v>26</v>
      </c>
      <c r="I1815" t="s">
        <v>120</v>
      </c>
      <c r="J1815" t="str">
        <f>"9781118471906"</f>
        <v>9781118471906</v>
      </c>
      <c r="K1815" t="s">
        <v>3123</v>
      </c>
      <c r="L1815">
        <v>48</v>
      </c>
      <c r="O1815" t="s">
        <v>30</v>
      </c>
      <c r="P1815" t="s">
        <v>47</v>
      </c>
      <c r="Q1815" s="1">
        <v>42355.752592592595</v>
      </c>
      <c r="R1815">
        <v>1</v>
      </c>
      <c r="S1815" t="s">
        <v>40</v>
      </c>
      <c r="T1815" t="s">
        <v>628</v>
      </c>
      <c r="U1815">
        <v>301</v>
      </c>
      <c r="V1815" s="3">
        <v>41596</v>
      </c>
    </row>
    <row r="1816" spans="1:22" x14ac:dyDescent="0.35">
      <c r="A1816" s="1">
        <v>42355.752592592595</v>
      </c>
      <c r="B1816" s="2">
        <v>3.5995370370370369E-3</v>
      </c>
      <c r="C1816" t="s">
        <v>1904</v>
      </c>
      <c r="D1816" t="s">
        <v>35</v>
      </c>
      <c r="E1816" t="s">
        <v>36</v>
      </c>
      <c r="F1816" t="s">
        <v>625</v>
      </c>
      <c r="G1816">
        <v>1566387</v>
      </c>
      <c r="H1816" t="s">
        <v>26</v>
      </c>
      <c r="I1816" t="s">
        <v>120</v>
      </c>
      <c r="J1816" t="str">
        <f>"9781118471906"</f>
        <v>9781118471906</v>
      </c>
      <c r="K1816" t="s">
        <v>3124</v>
      </c>
      <c r="L1816">
        <v>7</v>
      </c>
      <c r="O1816" t="s">
        <v>30</v>
      </c>
      <c r="P1816" t="s">
        <v>47</v>
      </c>
      <c r="Q1816" s="1">
        <v>42355.752592592595</v>
      </c>
      <c r="R1816">
        <v>1</v>
      </c>
      <c r="S1816" t="s">
        <v>40</v>
      </c>
      <c r="T1816" t="s">
        <v>628</v>
      </c>
      <c r="U1816">
        <v>301</v>
      </c>
      <c r="V1816" s="3">
        <v>41596</v>
      </c>
    </row>
    <row r="1817" spans="1:22" x14ac:dyDescent="0.35">
      <c r="A1817" s="1">
        <v>42355.751782407409</v>
      </c>
      <c r="B1817" s="2">
        <v>8.1018518518518516E-4</v>
      </c>
      <c r="C1817" t="s">
        <v>1904</v>
      </c>
      <c r="D1817" t="s">
        <v>35</v>
      </c>
      <c r="E1817" t="s">
        <v>36</v>
      </c>
      <c r="F1817" t="s">
        <v>625</v>
      </c>
      <c r="G1817">
        <v>1566387</v>
      </c>
      <c r="H1817" t="s">
        <v>26</v>
      </c>
      <c r="I1817" t="s">
        <v>120</v>
      </c>
      <c r="J1817" t="str">
        <f>"9781118471906"</f>
        <v>9781118471906</v>
      </c>
      <c r="K1817" t="s">
        <v>3125</v>
      </c>
      <c r="L1817">
        <v>57</v>
      </c>
      <c r="O1817" t="s">
        <v>30</v>
      </c>
      <c r="P1817" t="s">
        <v>50</v>
      </c>
      <c r="S1817" t="s">
        <v>40</v>
      </c>
      <c r="T1817" t="s">
        <v>628</v>
      </c>
      <c r="U1817">
        <v>301</v>
      </c>
      <c r="V1817" s="3">
        <v>41596</v>
      </c>
    </row>
    <row r="1818" spans="1:22" x14ac:dyDescent="0.35">
      <c r="A1818" s="1">
        <v>42355.747557870367</v>
      </c>
      <c r="B1818" s="2">
        <v>2.673611111111111E-3</v>
      </c>
      <c r="C1818" t="s">
        <v>1904</v>
      </c>
      <c r="D1818" t="s">
        <v>35</v>
      </c>
      <c r="E1818" t="s">
        <v>36</v>
      </c>
      <c r="F1818" t="s">
        <v>625</v>
      </c>
      <c r="G1818">
        <v>1566387</v>
      </c>
      <c r="H1818" t="s">
        <v>26</v>
      </c>
      <c r="I1818" t="s">
        <v>120</v>
      </c>
      <c r="J1818" t="str">
        <f>"9781118471906"</f>
        <v>9781118471906</v>
      </c>
      <c r="K1818" t="s">
        <v>3126</v>
      </c>
      <c r="L1818">
        <v>32</v>
      </c>
      <c r="O1818" t="s">
        <v>30</v>
      </c>
      <c r="P1818" t="s">
        <v>50</v>
      </c>
      <c r="S1818" t="s">
        <v>40</v>
      </c>
      <c r="T1818" t="s">
        <v>628</v>
      </c>
      <c r="U1818">
        <v>301</v>
      </c>
      <c r="V1818" s="3">
        <v>41596</v>
      </c>
    </row>
    <row r="1819" spans="1:22" x14ac:dyDescent="0.35">
      <c r="A1819" s="1">
        <v>42355.7422337963</v>
      </c>
      <c r="B1819" s="2">
        <v>9.6643518518518531E-2</v>
      </c>
      <c r="C1819" t="s">
        <v>3127</v>
      </c>
      <c r="D1819" t="s">
        <v>35</v>
      </c>
      <c r="E1819" t="s">
        <v>36</v>
      </c>
      <c r="F1819" t="s">
        <v>3128</v>
      </c>
      <c r="G1819">
        <v>1632624</v>
      </c>
      <c r="H1819" t="s">
        <v>26</v>
      </c>
      <c r="I1819" t="s">
        <v>3129</v>
      </c>
      <c r="J1819" t="str">
        <f>"9783527681143"</f>
        <v>9783527681143</v>
      </c>
      <c r="K1819" t="s">
        <v>3130</v>
      </c>
      <c r="L1819">
        <v>74</v>
      </c>
      <c r="O1819" t="s">
        <v>30</v>
      </c>
      <c r="P1819" t="s">
        <v>47</v>
      </c>
      <c r="Q1819" s="1">
        <v>42355.665277777778</v>
      </c>
      <c r="R1819">
        <v>1</v>
      </c>
      <c r="S1819" t="s">
        <v>40</v>
      </c>
      <c r="T1819" t="s">
        <v>3131</v>
      </c>
      <c r="U1819">
        <v>548.83000000000004</v>
      </c>
      <c r="V1819" s="3">
        <v>41680</v>
      </c>
    </row>
    <row r="1820" spans="1:22" x14ac:dyDescent="0.35">
      <c r="A1820" s="1">
        <v>42355.720266203702</v>
      </c>
      <c r="B1820" s="2">
        <v>5.7870370370370366E-5</v>
      </c>
      <c r="C1820" t="s">
        <v>3132</v>
      </c>
      <c r="D1820" t="s">
        <v>158</v>
      </c>
      <c r="E1820" t="s">
        <v>159</v>
      </c>
      <c r="F1820" t="s">
        <v>3133</v>
      </c>
      <c r="G1820">
        <v>1767439</v>
      </c>
      <c r="H1820" t="s">
        <v>26</v>
      </c>
      <c r="I1820" t="s">
        <v>247</v>
      </c>
      <c r="J1820" t="str">
        <f>"9781118437780"</f>
        <v>9781118437780</v>
      </c>
      <c r="K1820" t="s">
        <v>3134</v>
      </c>
      <c r="L1820">
        <v>6</v>
      </c>
      <c r="O1820" t="s">
        <v>30</v>
      </c>
      <c r="P1820" t="s">
        <v>50</v>
      </c>
      <c r="S1820" t="s">
        <v>163</v>
      </c>
      <c r="T1820" t="s">
        <v>3135</v>
      </c>
      <c r="U1820">
        <v>616.029</v>
      </c>
      <c r="V1820" s="3">
        <v>41864</v>
      </c>
    </row>
    <row r="1821" spans="1:22" x14ac:dyDescent="0.35">
      <c r="A1821" s="1">
        <v>42355.718738425923</v>
      </c>
      <c r="B1821" s="2">
        <v>3.7037037037037035E-4</v>
      </c>
      <c r="C1821" t="s">
        <v>3132</v>
      </c>
      <c r="D1821" t="s">
        <v>158</v>
      </c>
      <c r="E1821" t="s">
        <v>159</v>
      </c>
      <c r="F1821" t="s">
        <v>3136</v>
      </c>
      <c r="G1821">
        <v>967182</v>
      </c>
      <c r="H1821" t="s">
        <v>68</v>
      </c>
      <c r="I1821" t="s">
        <v>79</v>
      </c>
      <c r="J1821" t="str">
        <f>"9781444179651"</f>
        <v>9781444179651</v>
      </c>
      <c r="K1821" t="s">
        <v>3137</v>
      </c>
      <c r="L1821">
        <v>11</v>
      </c>
      <c r="O1821" t="s">
        <v>30</v>
      </c>
      <c r="P1821" t="s">
        <v>50</v>
      </c>
      <c r="S1821" t="s">
        <v>163</v>
      </c>
      <c r="T1821" t="s">
        <v>3138</v>
      </c>
      <c r="U1821">
        <v>344.04101000000003</v>
      </c>
      <c r="V1821" s="3">
        <v>41544</v>
      </c>
    </row>
    <row r="1822" spans="1:22" x14ac:dyDescent="0.35">
      <c r="A1822" s="1">
        <v>42355.717951388891</v>
      </c>
      <c r="B1822" s="2">
        <v>2.199074074074074E-4</v>
      </c>
      <c r="C1822" t="s">
        <v>3132</v>
      </c>
      <c r="D1822" t="s">
        <v>158</v>
      </c>
      <c r="E1822" t="s">
        <v>159</v>
      </c>
      <c r="F1822" t="s">
        <v>3139</v>
      </c>
      <c r="G1822">
        <v>4041690</v>
      </c>
      <c r="H1822" t="s">
        <v>26</v>
      </c>
      <c r="I1822" t="s">
        <v>3094</v>
      </c>
      <c r="J1822" t="str">
        <f>"9781444345407"</f>
        <v>9781444345407</v>
      </c>
      <c r="K1822" t="s">
        <v>3140</v>
      </c>
      <c r="L1822">
        <v>6</v>
      </c>
      <c r="O1822" t="s">
        <v>30</v>
      </c>
      <c r="P1822" t="s">
        <v>50</v>
      </c>
      <c r="S1822" t="s">
        <v>163</v>
      </c>
      <c r="T1822" t="s">
        <v>3141</v>
      </c>
      <c r="U1822">
        <v>174.2</v>
      </c>
      <c r="V1822" s="3">
        <v>41380</v>
      </c>
    </row>
    <row r="1823" spans="1:22" x14ac:dyDescent="0.35">
      <c r="A1823" s="1">
        <v>42355.71670138889</v>
      </c>
      <c r="B1823" s="2">
        <v>2.5462962962962961E-4</v>
      </c>
      <c r="C1823" t="s">
        <v>3132</v>
      </c>
      <c r="D1823" t="s">
        <v>158</v>
      </c>
      <c r="E1823" t="s">
        <v>159</v>
      </c>
      <c r="F1823" t="s">
        <v>1077</v>
      </c>
      <c r="G1823">
        <v>1597998</v>
      </c>
      <c r="H1823" t="s">
        <v>26</v>
      </c>
      <c r="I1823" t="s">
        <v>630</v>
      </c>
      <c r="J1823" t="str">
        <f>"9781118479834"</f>
        <v>9781118479834</v>
      </c>
      <c r="K1823" t="s">
        <v>3142</v>
      </c>
      <c r="L1823">
        <v>7</v>
      </c>
      <c r="O1823" t="s">
        <v>30</v>
      </c>
      <c r="P1823" t="s">
        <v>42</v>
      </c>
      <c r="S1823" t="s">
        <v>163</v>
      </c>
      <c r="T1823" t="s">
        <v>1079</v>
      </c>
      <c r="U1823">
        <v>170</v>
      </c>
      <c r="V1823" s="3">
        <v>41653</v>
      </c>
    </row>
    <row r="1824" spans="1:22" x14ac:dyDescent="0.35">
      <c r="A1824" s="1">
        <v>42355.715671296297</v>
      </c>
      <c r="B1824" s="2">
        <v>8.3333333333333339E-4</v>
      </c>
      <c r="C1824" t="s">
        <v>3132</v>
      </c>
      <c r="D1824" t="s">
        <v>158</v>
      </c>
      <c r="E1824" t="s">
        <v>159</v>
      </c>
      <c r="F1824" t="s">
        <v>1077</v>
      </c>
      <c r="G1824">
        <v>1597998</v>
      </c>
      <c r="H1824" t="s">
        <v>26</v>
      </c>
      <c r="I1824" t="s">
        <v>630</v>
      </c>
      <c r="J1824" t="str">
        <f>"9781118479834"</f>
        <v>9781118479834</v>
      </c>
      <c r="K1824" t="s">
        <v>3143</v>
      </c>
      <c r="L1824">
        <v>15</v>
      </c>
      <c r="O1824" t="s">
        <v>30</v>
      </c>
      <c r="P1824" t="s">
        <v>42</v>
      </c>
      <c r="S1824" t="s">
        <v>163</v>
      </c>
      <c r="T1824" t="s">
        <v>1079</v>
      </c>
      <c r="U1824">
        <v>170</v>
      </c>
      <c r="V1824" s="3">
        <v>41653</v>
      </c>
    </row>
    <row r="1825" spans="1:22" x14ac:dyDescent="0.35">
      <c r="A1825" s="1">
        <v>42355.691516203704</v>
      </c>
      <c r="B1825" s="2">
        <v>2.0833333333333335E-4</v>
      </c>
      <c r="C1825" t="s">
        <v>2788</v>
      </c>
      <c r="D1825" t="s">
        <v>23</v>
      </c>
      <c r="E1825" t="s">
        <v>24</v>
      </c>
      <c r="F1825" t="s">
        <v>1051</v>
      </c>
      <c r="G1825">
        <v>821663</v>
      </c>
      <c r="H1825" t="s">
        <v>26</v>
      </c>
      <c r="I1825" t="s">
        <v>200</v>
      </c>
      <c r="J1825" t="str">
        <f>"9781118168479"</f>
        <v>9781118168479</v>
      </c>
      <c r="K1825" t="s">
        <v>2582</v>
      </c>
      <c r="L1825">
        <v>8</v>
      </c>
      <c r="O1825" t="s">
        <v>30</v>
      </c>
      <c r="P1825" t="s">
        <v>42</v>
      </c>
      <c r="S1825" t="s">
        <v>31</v>
      </c>
      <c r="T1825" t="s">
        <v>1053</v>
      </c>
      <c r="U1825">
        <v>729</v>
      </c>
      <c r="V1825" s="3">
        <v>40973</v>
      </c>
    </row>
    <row r="1826" spans="1:22" x14ac:dyDescent="0.35">
      <c r="A1826" s="1">
        <v>42355.691192129627</v>
      </c>
      <c r="B1826" s="2">
        <v>2.5462962962962962E-2</v>
      </c>
      <c r="C1826" t="s">
        <v>3120</v>
      </c>
      <c r="D1826" t="s">
        <v>23</v>
      </c>
      <c r="E1826" t="s">
        <v>24</v>
      </c>
      <c r="F1826" t="s">
        <v>3060</v>
      </c>
      <c r="G1826">
        <v>1120279</v>
      </c>
      <c r="H1826" t="s">
        <v>26</v>
      </c>
      <c r="I1826" t="s">
        <v>3061</v>
      </c>
      <c r="J1826" t="str">
        <f>"9781118537671"</f>
        <v>9781118537671</v>
      </c>
      <c r="K1826" t="s">
        <v>3144</v>
      </c>
      <c r="L1826">
        <v>28</v>
      </c>
      <c r="O1826" t="s">
        <v>30</v>
      </c>
      <c r="P1826" t="s">
        <v>29</v>
      </c>
      <c r="Q1826" s="1">
        <v>42351.924108796295</v>
      </c>
      <c r="R1826">
        <v>7</v>
      </c>
      <c r="S1826" t="s">
        <v>31</v>
      </c>
      <c r="T1826" t="s">
        <v>3063</v>
      </c>
      <c r="U1826">
        <v>599.93499999999995</v>
      </c>
      <c r="V1826" s="3">
        <v>41232</v>
      </c>
    </row>
    <row r="1827" spans="1:22" x14ac:dyDescent="0.35">
      <c r="A1827" s="1">
        <v>42355.688148148147</v>
      </c>
      <c r="B1827" s="2">
        <v>1.5972222222222221E-3</v>
      </c>
      <c r="C1827" t="s">
        <v>3145</v>
      </c>
      <c r="D1827" t="s">
        <v>23</v>
      </c>
      <c r="E1827" t="s">
        <v>24</v>
      </c>
      <c r="F1827" t="s">
        <v>3146</v>
      </c>
      <c r="G1827">
        <v>1353495</v>
      </c>
      <c r="H1827" t="s">
        <v>68</v>
      </c>
      <c r="I1827" t="s">
        <v>69</v>
      </c>
      <c r="J1827" t="str">
        <f>"9781317921745"</f>
        <v>9781317921745</v>
      </c>
      <c r="K1827" t="s">
        <v>3147</v>
      </c>
      <c r="L1827">
        <v>24</v>
      </c>
      <c r="O1827" t="s">
        <v>30</v>
      </c>
      <c r="P1827" t="s">
        <v>47</v>
      </c>
      <c r="Q1827" s="1">
        <v>42355.688148148147</v>
      </c>
      <c r="R1827">
        <v>1</v>
      </c>
      <c r="S1827" t="s">
        <v>31</v>
      </c>
      <c r="T1827" t="s">
        <v>3148</v>
      </c>
      <c r="U1827">
        <v>370.15199999999999</v>
      </c>
      <c r="V1827" s="3">
        <v>41502</v>
      </c>
    </row>
    <row r="1828" spans="1:22" x14ac:dyDescent="0.35">
      <c r="A1828" s="1">
        <v>42355.684641203705</v>
      </c>
      <c r="B1828" s="2">
        <v>3.5069444444444445E-3</v>
      </c>
      <c r="C1828" t="s">
        <v>3145</v>
      </c>
      <c r="D1828" t="s">
        <v>23</v>
      </c>
      <c r="E1828" t="s">
        <v>24</v>
      </c>
      <c r="F1828" t="s">
        <v>3146</v>
      </c>
      <c r="G1828">
        <v>1353495</v>
      </c>
      <c r="H1828" t="s">
        <v>68</v>
      </c>
      <c r="I1828" t="s">
        <v>69</v>
      </c>
      <c r="J1828" t="str">
        <f>"9781317921745"</f>
        <v>9781317921745</v>
      </c>
      <c r="K1828" t="s">
        <v>3149</v>
      </c>
      <c r="L1828">
        <v>48</v>
      </c>
      <c r="O1828" t="s">
        <v>30</v>
      </c>
      <c r="P1828" t="s">
        <v>50</v>
      </c>
      <c r="S1828" t="s">
        <v>31</v>
      </c>
      <c r="T1828" t="s">
        <v>3148</v>
      </c>
      <c r="U1828">
        <v>370.15199999999999</v>
      </c>
      <c r="V1828" s="3">
        <v>41502</v>
      </c>
    </row>
    <row r="1829" spans="1:22" x14ac:dyDescent="0.35">
      <c r="A1829" s="1">
        <v>42355.678240740737</v>
      </c>
      <c r="B1829" s="2">
        <v>3.4722222222222222E-5</v>
      </c>
      <c r="C1829" t="s">
        <v>3150</v>
      </c>
      <c r="D1829" t="s">
        <v>23</v>
      </c>
      <c r="E1829" t="s">
        <v>24</v>
      </c>
      <c r="F1829" t="s">
        <v>3151</v>
      </c>
      <c r="G1829">
        <v>1397138</v>
      </c>
      <c r="H1829" t="s">
        <v>68</v>
      </c>
      <c r="I1829" t="s">
        <v>3152</v>
      </c>
      <c r="J1829" t="str">
        <f>"9781317993452"</f>
        <v>9781317993452</v>
      </c>
      <c r="K1829" t="s">
        <v>33</v>
      </c>
      <c r="L1829">
        <v>3</v>
      </c>
      <c r="O1829" t="s">
        <v>30</v>
      </c>
      <c r="P1829" t="s">
        <v>50</v>
      </c>
      <c r="S1829" t="s">
        <v>31</v>
      </c>
      <c r="U1829">
        <v>25.04</v>
      </c>
      <c r="V1829" s="3">
        <v>41530</v>
      </c>
    </row>
    <row r="1830" spans="1:22" x14ac:dyDescent="0.35">
      <c r="A1830" s="1">
        <v>42355.674687500003</v>
      </c>
      <c r="B1830" s="2">
        <v>6.5972222222222213E-4</v>
      </c>
      <c r="C1830" t="s">
        <v>3120</v>
      </c>
      <c r="D1830" t="s">
        <v>23</v>
      </c>
      <c r="E1830" t="s">
        <v>24</v>
      </c>
      <c r="F1830" t="s">
        <v>3060</v>
      </c>
      <c r="G1830">
        <v>1120279</v>
      </c>
      <c r="H1830" t="s">
        <v>26</v>
      </c>
      <c r="I1830" t="s">
        <v>3061</v>
      </c>
      <c r="J1830" t="str">
        <f>"9781118537671"</f>
        <v>9781118537671</v>
      </c>
      <c r="K1830" t="s">
        <v>3153</v>
      </c>
      <c r="L1830">
        <v>15</v>
      </c>
      <c r="O1830" t="s">
        <v>30</v>
      </c>
      <c r="P1830" t="s">
        <v>29</v>
      </c>
      <c r="Q1830" s="1">
        <v>42351.924108796295</v>
      </c>
      <c r="R1830">
        <v>7</v>
      </c>
      <c r="S1830" t="s">
        <v>31</v>
      </c>
      <c r="T1830" t="s">
        <v>3063</v>
      </c>
      <c r="U1830">
        <v>599.93499999999995</v>
      </c>
      <c r="V1830" s="3">
        <v>41232</v>
      </c>
    </row>
    <row r="1831" spans="1:22" x14ac:dyDescent="0.35">
      <c r="A1831" s="1">
        <v>42355.665277777778</v>
      </c>
      <c r="B1831" s="2">
        <v>4.6296296296296294E-5</v>
      </c>
      <c r="C1831" t="s">
        <v>3127</v>
      </c>
      <c r="D1831" t="s">
        <v>35</v>
      </c>
      <c r="E1831" t="s">
        <v>36</v>
      </c>
      <c r="F1831" t="s">
        <v>3128</v>
      </c>
      <c r="G1831">
        <v>1632624</v>
      </c>
      <c r="H1831" t="s">
        <v>26</v>
      </c>
      <c r="I1831" t="s">
        <v>3129</v>
      </c>
      <c r="J1831" t="str">
        <f>"9783527681143"</f>
        <v>9783527681143</v>
      </c>
      <c r="K1831" t="s">
        <v>3154</v>
      </c>
      <c r="L1831">
        <v>3</v>
      </c>
      <c r="O1831" t="s">
        <v>30</v>
      </c>
      <c r="P1831" t="s">
        <v>47</v>
      </c>
      <c r="Q1831" s="1">
        <v>42355.665277777778</v>
      </c>
      <c r="R1831">
        <v>1</v>
      </c>
      <c r="S1831" t="s">
        <v>40</v>
      </c>
      <c r="T1831" t="s">
        <v>3131</v>
      </c>
      <c r="U1831">
        <v>548.83000000000004</v>
      </c>
      <c r="V1831" s="3">
        <v>41680</v>
      </c>
    </row>
    <row r="1832" spans="1:22" x14ac:dyDescent="0.35">
      <c r="A1832" s="1">
        <v>42355.661319444444</v>
      </c>
      <c r="B1832" s="2">
        <v>3.9583333333333337E-3</v>
      </c>
      <c r="C1832" t="s">
        <v>3127</v>
      </c>
      <c r="D1832" t="s">
        <v>35</v>
      </c>
      <c r="E1832" t="s">
        <v>36</v>
      </c>
      <c r="F1832" t="s">
        <v>3128</v>
      </c>
      <c r="G1832">
        <v>1632624</v>
      </c>
      <c r="H1832" t="s">
        <v>26</v>
      </c>
      <c r="I1832" t="s">
        <v>3129</v>
      </c>
      <c r="J1832" t="str">
        <f>"9783527681143"</f>
        <v>9783527681143</v>
      </c>
      <c r="K1832" t="s">
        <v>3155</v>
      </c>
      <c r="L1832">
        <v>10</v>
      </c>
      <c r="O1832" t="s">
        <v>30</v>
      </c>
      <c r="P1832" t="s">
        <v>50</v>
      </c>
      <c r="S1832" t="s">
        <v>40</v>
      </c>
      <c r="T1832" t="s">
        <v>3131</v>
      </c>
      <c r="U1832">
        <v>548.83000000000004</v>
      </c>
      <c r="V1832" s="3">
        <v>41680</v>
      </c>
    </row>
    <row r="1833" spans="1:22" x14ac:dyDescent="0.35">
      <c r="A1833" s="1">
        <v>42355.658483796295</v>
      </c>
      <c r="B1833" s="2">
        <v>7.5000000000000006E-3</v>
      </c>
      <c r="C1833" t="s">
        <v>3120</v>
      </c>
      <c r="D1833" t="s">
        <v>23</v>
      </c>
      <c r="E1833" t="s">
        <v>24</v>
      </c>
      <c r="F1833" t="s">
        <v>3060</v>
      </c>
      <c r="G1833">
        <v>1120279</v>
      </c>
      <c r="H1833" t="s">
        <v>26</v>
      </c>
      <c r="I1833" t="s">
        <v>3061</v>
      </c>
      <c r="J1833" t="str">
        <f>"9781118537671"</f>
        <v>9781118537671</v>
      </c>
      <c r="K1833" t="s">
        <v>3156</v>
      </c>
      <c r="L1833">
        <v>41</v>
      </c>
      <c r="O1833" t="s">
        <v>30</v>
      </c>
      <c r="P1833" t="s">
        <v>29</v>
      </c>
      <c r="Q1833" s="1">
        <v>42351.924108796295</v>
      </c>
      <c r="R1833">
        <v>7</v>
      </c>
      <c r="S1833" t="s">
        <v>31</v>
      </c>
      <c r="T1833" t="s">
        <v>3063</v>
      </c>
      <c r="U1833">
        <v>599.93499999999995</v>
      </c>
      <c r="V1833" s="3">
        <v>41232</v>
      </c>
    </row>
    <row r="1834" spans="1:22" x14ac:dyDescent="0.35">
      <c r="A1834" s="1">
        <v>42355.645960648151</v>
      </c>
      <c r="B1834" s="2">
        <v>3.6770833333333336E-2</v>
      </c>
      <c r="C1834" t="s">
        <v>471</v>
      </c>
      <c r="D1834" t="s">
        <v>211</v>
      </c>
      <c r="E1834" t="s">
        <v>212</v>
      </c>
      <c r="F1834" t="s">
        <v>497</v>
      </c>
      <c r="G1834">
        <v>1986951</v>
      </c>
      <c r="H1834" t="s">
        <v>26</v>
      </c>
      <c r="I1834" t="s">
        <v>97</v>
      </c>
      <c r="J1834" t="str">
        <f>"9781119130468"</f>
        <v>9781119130468</v>
      </c>
      <c r="K1834" t="s">
        <v>3157</v>
      </c>
      <c r="L1834">
        <v>62</v>
      </c>
      <c r="M1834" t="s">
        <v>3158</v>
      </c>
      <c r="O1834" t="s">
        <v>30</v>
      </c>
      <c r="P1834" t="s">
        <v>29</v>
      </c>
      <c r="Q1834" s="1">
        <v>42349.868807870371</v>
      </c>
      <c r="R1834">
        <v>7</v>
      </c>
      <c r="S1834" t="s">
        <v>214</v>
      </c>
      <c r="T1834" t="s">
        <v>500</v>
      </c>
      <c r="U1834">
        <v>657.07600000000002</v>
      </c>
      <c r="V1834" s="3">
        <v>42143</v>
      </c>
    </row>
    <row r="1835" spans="1:22" x14ac:dyDescent="0.35">
      <c r="A1835" s="1">
        <v>42355.598078703704</v>
      </c>
      <c r="B1835" s="2">
        <v>4.7453703703703704E-4</v>
      </c>
      <c r="C1835" t="s">
        <v>2279</v>
      </c>
      <c r="D1835" t="s">
        <v>23</v>
      </c>
      <c r="E1835" t="s">
        <v>24</v>
      </c>
      <c r="F1835" t="s">
        <v>3159</v>
      </c>
      <c r="G1835">
        <v>947565</v>
      </c>
      <c r="H1835" t="s">
        <v>26</v>
      </c>
      <c r="I1835" t="s">
        <v>3160</v>
      </c>
      <c r="J1835" t="str">
        <f>"9781118416945"</f>
        <v>9781118416945</v>
      </c>
      <c r="K1835" t="s">
        <v>1203</v>
      </c>
      <c r="L1835">
        <v>17</v>
      </c>
      <c r="O1835" t="s">
        <v>30</v>
      </c>
      <c r="P1835" t="s">
        <v>42</v>
      </c>
      <c r="S1835" t="s">
        <v>31</v>
      </c>
      <c r="T1835" t="s">
        <v>3161</v>
      </c>
      <c r="U1835">
        <v>6.6859999999999999</v>
      </c>
      <c r="V1835" s="3">
        <v>41296</v>
      </c>
    </row>
    <row r="1836" spans="1:22" x14ac:dyDescent="0.35">
      <c r="A1836" s="1">
        <v>42355.584641203706</v>
      </c>
      <c r="B1836" s="2">
        <v>4.1898148148148146E-3</v>
      </c>
      <c r="C1836" t="s">
        <v>3162</v>
      </c>
      <c r="D1836" t="s">
        <v>335</v>
      </c>
      <c r="E1836" t="s">
        <v>336</v>
      </c>
      <c r="F1836" t="s">
        <v>3163</v>
      </c>
      <c r="G1836">
        <v>1397330</v>
      </c>
      <c r="H1836" t="s">
        <v>68</v>
      </c>
      <c r="I1836" t="s">
        <v>150</v>
      </c>
      <c r="J1836" t="str">
        <f>"9781134723751"</f>
        <v>9781134723751</v>
      </c>
      <c r="K1836" t="s">
        <v>3164</v>
      </c>
      <c r="L1836">
        <v>21</v>
      </c>
      <c r="O1836" t="s">
        <v>30</v>
      </c>
      <c r="P1836" t="s">
        <v>47</v>
      </c>
      <c r="Q1836" s="1">
        <v>42355.172210648147</v>
      </c>
      <c r="R1836">
        <v>1</v>
      </c>
      <c r="S1836" t="s">
        <v>340</v>
      </c>
      <c r="T1836" t="s">
        <v>3165</v>
      </c>
      <c r="U1836">
        <v>792.02800000000002</v>
      </c>
      <c r="V1836" s="3">
        <v>39682</v>
      </c>
    </row>
    <row r="1837" spans="1:22" x14ac:dyDescent="0.35">
      <c r="A1837" s="1">
        <v>42355.401076388887</v>
      </c>
      <c r="B1837" s="2">
        <v>3.414351851851852E-3</v>
      </c>
      <c r="C1837" t="s">
        <v>3166</v>
      </c>
      <c r="D1837" t="s">
        <v>23</v>
      </c>
      <c r="E1837" t="s">
        <v>24</v>
      </c>
      <c r="F1837" t="s">
        <v>3167</v>
      </c>
      <c r="G1837">
        <v>1711046</v>
      </c>
      <c r="H1837" t="s">
        <v>84</v>
      </c>
      <c r="I1837" t="s">
        <v>150</v>
      </c>
      <c r="J1837" t="str">
        <f>"9780520958944"</f>
        <v>9780520958944</v>
      </c>
      <c r="K1837" t="s">
        <v>3168</v>
      </c>
      <c r="L1837">
        <v>56</v>
      </c>
      <c r="O1837" t="s">
        <v>30</v>
      </c>
      <c r="P1837" t="s">
        <v>50</v>
      </c>
      <c r="S1837" t="s">
        <v>31</v>
      </c>
      <c r="T1837" t="s">
        <v>3169</v>
      </c>
      <c r="U1837">
        <v>781.63095195000005</v>
      </c>
      <c r="V1837" s="3">
        <v>41967</v>
      </c>
    </row>
    <row r="1838" spans="1:22" x14ac:dyDescent="0.35">
      <c r="A1838" s="1">
        <v>42355.368148148147</v>
      </c>
      <c r="B1838" s="2">
        <v>9.3750000000000007E-4</v>
      </c>
      <c r="C1838" t="s">
        <v>3170</v>
      </c>
      <c r="D1838" t="s">
        <v>23</v>
      </c>
      <c r="E1838" t="s">
        <v>24</v>
      </c>
      <c r="F1838" t="s">
        <v>3171</v>
      </c>
      <c r="G1838">
        <v>1825699</v>
      </c>
      <c r="H1838" t="s">
        <v>45</v>
      </c>
      <c r="I1838" t="s">
        <v>150</v>
      </c>
      <c r="J1838" t="str">
        <f>"9781472409645"</f>
        <v>9781472409645</v>
      </c>
      <c r="K1838" t="s">
        <v>3172</v>
      </c>
      <c r="L1838">
        <v>23</v>
      </c>
      <c r="O1838" t="s">
        <v>30</v>
      </c>
      <c r="P1838" t="s">
        <v>29</v>
      </c>
      <c r="Q1838" s="1">
        <v>42352.647696759261</v>
      </c>
      <c r="R1838">
        <v>7</v>
      </c>
      <c r="S1838" t="s">
        <v>31</v>
      </c>
      <c r="T1838" t="s">
        <v>3173</v>
      </c>
      <c r="U1838">
        <v>780.92</v>
      </c>
      <c r="V1838" s="3">
        <v>42001</v>
      </c>
    </row>
    <row r="1839" spans="1:22" x14ac:dyDescent="0.35">
      <c r="A1839" s="1">
        <v>42355.292974537035</v>
      </c>
      <c r="B1839" s="2">
        <v>3.5624999999999997E-2</v>
      </c>
      <c r="C1839" t="s">
        <v>3174</v>
      </c>
      <c r="D1839" t="s">
        <v>261</v>
      </c>
      <c r="E1839" t="s">
        <v>262</v>
      </c>
      <c r="F1839" t="s">
        <v>3175</v>
      </c>
      <c r="G1839">
        <v>867850</v>
      </c>
      <c r="H1839" t="s">
        <v>492</v>
      </c>
      <c r="I1839" t="s">
        <v>172</v>
      </c>
      <c r="J1839" t="str">
        <f>"9781400834860"</f>
        <v>9781400834860</v>
      </c>
      <c r="K1839" t="s">
        <v>3176</v>
      </c>
      <c r="L1839">
        <v>15</v>
      </c>
      <c r="O1839" t="s">
        <v>30</v>
      </c>
      <c r="P1839" t="s">
        <v>42</v>
      </c>
      <c r="S1839" t="s">
        <v>264</v>
      </c>
      <c r="T1839" t="s">
        <v>3177</v>
      </c>
      <c r="U1839" t="s">
        <v>3178</v>
      </c>
      <c r="V1839" s="3">
        <v>40993</v>
      </c>
    </row>
    <row r="1840" spans="1:22" x14ac:dyDescent="0.35">
      <c r="A1840" s="1">
        <v>42355.274456018517</v>
      </c>
      <c r="B1840" s="2">
        <v>5.4606481481481478E-2</v>
      </c>
      <c r="C1840" t="s">
        <v>3174</v>
      </c>
      <c r="D1840" t="s">
        <v>261</v>
      </c>
      <c r="E1840" t="s">
        <v>262</v>
      </c>
      <c r="F1840" t="s">
        <v>3179</v>
      </c>
      <c r="G1840">
        <v>1172554</v>
      </c>
      <c r="H1840" t="s">
        <v>1365</v>
      </c>
      <c r="I1840" t="s">
        <v>172</v>
      </c>
      <c r="J1840" t="str">
        <f>""</f>
        <v/>
      </c>
      <c r="K1840" t="s">
        <v>3180</v>
      </c>
      <c r="L1840">
        <v>36</v>
      </c>
      <c r="M1840" t="s">
        <v>3181</v>
      </c>
      <c r="O1840" t="s">
        <v>30</v>
      </c>
      <c r="P1840" t="s">
        <v>29</v>
      </c>
      <c r="Q1840" s="1">
        <v>42355.274456018517</v>
      </c>
      <c r="R1840">
        <v>7</v>
      </c>
      <c r="S1840" t="s">
        <v>264</v>
      </c>
      <c r="T1840" t="s">
        <v>3182</v>
      </c>
      <c r="U1840" t="s">
        <v>3183</v>
      </c>
      <c r="V1840" s="3">
        <v>41375</v>
      </c>
    </row>
    <row r="1841" spans="1:22" x14ac:dyDescent="0.35">
      <c r="A1841" s="1">
        <v>42355.270289351851</v>
      </c>
      <c r="B1841" s="2">
        <v>4.1666666666666666E-3</v>
      </c>
      <c r="C1841" t="s">
        <v>3174</v>
      </c>
      <c r="D1841" t="s">
        <v>261</v>
      </c>
      <c r="E1841" t="s">
        <v>262</v>
      </c>
      <c r="F1841" t="s">
        <v>3179</v>
      </c>
      <c r="G1841">
        <v>1172554</v>
      </c>
      <c r="H1841" t="s">
        <v>1365</v>
      </c>
      <c r="I1841" t="s">
        <v>172</v>
      </c>
      <c r="J1841" t="str">
        <f>""</f>
        <v/>
      </c>
      <c r="K1841" t="s">
        <v>3184</v>
      </c>
      <c r="L1841">
        <v>25</v>
      </c>
      <c r="O1841" t="s">
        <v>30</v>
      </c>
      <c r="P1841" t="s">
        <v>42</v>
      </c>
      <c r="S1841" t="s">
        <v>264</v>
      </c>
      <c r="T1841" t="s">
        <v>3182</v>
      </c>
      <c r="U1841" t="s">
        <v>3183</v>
      </c>
      <c r="V1841" s="3">
        <v>41375</v>
      </c>
    </row>
    <row r="1842" spans="1:22" x14ac:dyDescent="0.35">
      <c r="A1842" s="1">
        <v>42355.209965277776</v>
      </c>
      <c r="B1842" s="2">
        <v>0</v>
      </c>
      <c r="C1842" t="s">
        <v>3185</v>
      </c>
      <c r="D1842" t="s">
        <v>23</v>
      </c>
      <c r="E1842" t="s">
        <v>24</v>
      </c>
      <c r="F1842" t="s">
        <v>3186</v>
      </c>
      <c r="G1842">
        <v>699744</v>
      </c>
      <c r="H1842" t="s">
        <v>26</v>
      </c>
      <c r="I1842" t="s">
        <v>3187</v>
      </c>
      <c r="J1842" t="str">
        <f>"9781118585818"</f>
        <v>9781118585818</v>
      </c>
      <c r="L1842">
        <v>0</v>
      </c>
      <c r="O1842" t="s">
        <v>28</v>
      </c>
      <c r="P1842" t="s">
        <v>29</v>
      </c>
      <c r="Q1842" s="1">
        <v>42355.209965277776</v>
      </c>
      <c r="R1842">
        <v>7</v>
      </c>
      <c r="S1842" t="s">
        <v>31</v>
      </c>
      <c r="T1842" t="s">
        <v>3188</v>
      </c>
      <c r="U1842">
        <v>621.36</v>
      </c>
      <c r="V1842" s="3">
        <v>41310</v>
      </c>
    </row>
    <row r="1843" spans="1:22" x14ac:dyDescent="0.35">
      <c r="A1843" s="1">
        <v>42355.209965277776</v>
      </c>
      <c r="B1843" s="2">
        <v>0</v>
      </c>
      <c r="C1843" t="s">
        <v>3185</v>
      </c>
      <c r="D1843" t="s">
        <v>23</v>
      </c>
      <c r="E1843" t="s">
        <v>24</v>
      </c>
      <c r="F1843" t="s">
        <v>3186</v>
      </c>
      <c r="G1843">
        <v>699744</v>
      </c>
      <c r="H1843" t="s">
        <v>26</v>
      </c>
      <c r="I1843" t="s">
        <v>3187</v>
      </c>
      <c r="J1843" t="str">
        <f>"9781118585818"</f>
        <v>9781118585818</v>
      </c>
      <c r="L1843">
        <v>0</v>
      </c>
      <c r="O1843" t="s">
        <v>30</v>
      </c>
      <c r="P1843" t="s">
        <v>29</v>
      </c>
      <c r="Q1843" s="1">
        <v>42355.209965277776</v>
      </c>
      <c r="R1843">
        <v>7</v>
      </c>
      <c r="S1843" t="s">
        <v>31</v>
      </c>
      <c r="T1843" t="s">
        <v>3188</v>
      </c>
      <c r="U1843">
        <v>621.36</v>
      </c>
      <c r="V1843" s="3">
        <v>41310</v>
      </c>
    </row>
    <row r="1844" spans="1:22" x14ac:dyDescent="0.35">
      <c r="A1844" s="1">
        <v>42355.209756944445</v>
      </c>
      <c r="B1844" s="2">
        <v>2.0833333333333335E-4</v>
      </c>
      <c r="C1844" t="s">
        <v>3185</v>
      </c>
      <c r="D1844" t="s">
        <v>23</v>
      </c>
      <c r="E1844" t="s">
        <v>24</v>
      </c>
      <c r="F1844" t="s">
        <v>3186</v>
      </c>
      <c r="G1844">
        <v>699744</v>
      </c>
      <c r="H1844" t="s">
        <v>26</v>
      </c>
      <c r="I1844" t="s">
        <v>3187</v>
      </c>
      <c r="J1844" t="str">
        <f>"9781118585818"</f>
        <v>9781118585818</v>
      </c>
      <c r="K1844" t="s">
        <v>33</v>
      </c>
      <c r="L1844">
        <v>3</v>
      </c>
      <c r="O1844" t="s">
        <v>30</v>
      </c>
      <c r="P1844" t="s">
        <v>42</v>
      </c>
      <c r="S1844" t="s">
        <v>31</v>
      </c>
      <c r="T1844" t="s">
        <v>3188</v>
      </c>
      <c r="U1844">
        <v>621.36</v>
      </c>
      <c r="V1844" s="3">
        <v>41310</v>
      </c>
    </row>
    <row r="1845" spans="1:22" x14ac:dyDescent="0.35">
      <c r="A1845" s="1">
        <v>42355.1955787037</v>
      </c>
      <c r="B1845" s="2">
        <v>4.5138888888888892E-4</v>
      </c>
      <c r="C1845" t="s">
        <v>3162</v>
      </c>
      <c r="D1845" t="s">
        <v>335</v>
      </c>
      <c r="E1845" t="s">
        <v>336</v>
      </c>
      <c r="F1845" t="s">
        <v>3189</v>
      </c>
      <c r="G1845">
        <v>1461093</v>
      </c>
      <c r="H1845" t="s">
        <v>68</v>
      </c>
      <c r="I1845" t="s">
        <v>150</v>
      </c>
      <c r="J1845" t="str">
        <f>"9781135205898"</f>
        <v>9781135205898</v>
      </c>
      <c r="K1845" t="s">
        <v>33</v>
      </c>
      <c r="L1845">
        <v>3</v>
      </c>
      <c r="O1845" t="s">
        <v>30</v>
      </c>
      <c r="P1845" t="s">
        <v>50</v>
      </c>
      <c r="S1845" t="s">
        <v>340</v>
      </c>
      <c r="T1845" t="s">
        <v>3190</v>
      </c>
      <c r="U1845">
        <v>791.43028092273005</v>
      </c>
      <c r="V1845" s="3">
        <v>41555</v>
      </c>
    </row>
    <row r="1846" spans="1:22" x14ac:dyDescent="0.35">
      <c r="A1846" s="1">
        <v>42355.192407407405</v>
      </c>
      <c r="B1846" s="2">
        <v>8.8425925925925911E-3</v>
      </c>
      <c r="C1846" t="s">
        <v>3170</v>
      </c>
      <c r="D1846" t="s">
        <v>23</v>
      </c>
      <c r="E1846" t="s">
        <v>24</v>
      </c>
      <c r="F1846" t="s">
        <v>3171</v>
      </c>
      <c r="G1846">
        <v>1825699</v>
      </c>
      <c r="H1846" t="s">
        <v>45</v>
      </c>
      <c r="I1846" t="s">
        <v>150</v>
      </c>
      <c r="J1846" t="str">
        <f>"9781472409645"</f>
        <v>9781472409645</v>
      </c>
      <c r="K1846" t="s">
        <v>3191</v>
      </c>
      <c r="L1846">
        <v>30</v>
      </c>
      <c r="O1846" t="s">
        <v>30</v>
      </c>
      <c r="P1846" t="s">
        <v>29</v>
      </c>
      <c r="Q1846" s="1">
        <v>42352.647696759261</v>
      </c>
      <c r="R1846">
        <v>7</v>
      </c>
      <c r="S1846" t="s">
        <v>31</v>
      </c>
      <c r="T1846" t="s">
        <v>3173</v>
      </c>
      <c r="U1846">
        <v>780.92</v>
      </c>
      <c r="V1846" s="3">
        <v>42001</v>
      </c>
    </row>
    <row r="1847" spans="1:22" x14ac:dyDescent="0.35">
      <c r="A1847" s="1">
        <v>42355.191655092596</v>
      </c>
      <c r="B1847" s="2">
        <v>9.2824074074074076E-3</v>
      </c>
      <c r="C1847" t="s">
        <v>3192</v>
      </c>
      <c r="D1847" t="s">
        <v>23</v>
      </c>
      <c r="E1847" t="s">
        <v>24</v>
      </c>
      <c r="F1847" t="s">
        <v>3193</v>
      </c>
      <c r="G1847">
        <v>1821088</v>
      </c>
      <c r="H1847" t="s">
        <v>91</v>
      </c>
      <c r="I1847" t="s">
        <v>247</v>
      </c>
      <c r="J1847" t="str">
        <f>"9781462519811"</f>
        <v>9781462519811</v>
      </c>
      <c r="K1847" t="s">
        <v>3194</v>
      </c>
      <c r="L1847">
        <v>64</v>
      </c>
      <c r="O1847" t="s">
        <v>30</v>
      </c>
      <c r="P1847" t="s">
        <v>47</v>
      </c>
      <c r="Q1847" s="1">
        <v>42355.191655092596</v>
      </c>
      <c r="R1847">
        <v>1</v>
      </c>
      <c r="S1847" t="s">
        <v>31</v>
      </c>
      <c r="T1847" t="s">
        <v>3195</v>
      </c>
      <c r="U1847">
        <v>618.9289</v>
      </c>
      <c r="V1847" s="3">
        <v>42143</v>
      </c>
    </row>
    <row r="1848" spans="1:22" x14ac:dyDescent="0.35">
      <c r="A1848" s="1">
        <v>42355.188032407408</v>
      </c>
      <c r="B1848" s="2">
        <v>3.6226851851851854E-3</v>
      </c>
      <c r="C1848" t="s">
        <v>3192</v>
      </c>
      <c r="D1848" t="s">
        <v>23</v>
      </c>
      <c r="E1848" t="s">
        <v>24</v>
      </c>
      <c r="F1848" t="s">
        <v>3193</v>
      </c>
      <c r="G1848">
        <v>1821088</v>
      </c>
      <c r="H1848" t="s">
        <v>91</v>
      </c>
      <c r="I1848" t="s">
        <v>247</v>
      </c>
      <c r="J1848" t="str">
        <f>"9781462519811"</f>
        <v>9781462519811</v>
      </c>
      <c r="K1848" t="s">
        <v>3196</v>
      </c>
      <c r="L1848">
        <v>38</v>
      </c>
      <c r="O1848" t="s">
        <v>30</v>
      </c>
      <c r="P1848" t="s">
        <v>50</v>
      </c>
      <c r="S1848" t="s">
        <v>31</v>
      </c>
      <c r="T1848" t="s">
        <v>3195</v>
      </c>
      <c r="U1848">
        <v>618.9289</v>
      </c>
      <c r="V1848" s="3">
        <v>42143</v>
      </c>
    </row>
    <row r="1849" spans="1:22" x14ac:dyDescent="0.35">
      <c r="A1849" s="1">
        <v>42355.172210648147</v>
      </c>
      <c r="B1849" s="2">
        <v>2.1458333333333333E-2</v>
      </c>
      <c r="C1849" t="s">
        <v>3162</v>
      </c>
      <c r="D1849" t="s">
        <v>335</v>
      </c>
      <c r="E1849" t="s">
        <v>336</v>
      </c>
      <c r="F1849" t="s">
        <v>3163</v>
      </c>
      <c r="G1849">
        <v>1397330</v>
      </c>
      <c r="H1849" t="s">
        <v>68</v>
      </c>
      <c r="I1849" t="s">
        <v>150</v>
      </c>
      <c r="J1849" t="str">
        <f>"9781134723751"</f>
        <v>9781134723751</v>
      </c>
      <c r="K1849" t="s">
        <v>3197</v>
      </c>
      <c r="L1849">
        <v>21</v>
      </c>
      <c r="O1849" t="s">
        <v>30</v>
      </c>
      <c r="P1849" t="s">
        <v>47</v>
      </c>
      <c r="Q1849" s="1">
        <v>42355.172210648147</v>
      </c>
      <c r="R1849">
        <v>1</v>
      </c>
      <c r="S1849" t="s">
        <v>340</v>
      </c>
      <c r="T1849" t="s">
        <v>3165</v>
      </c>
      <c r="U1849">
        <v>792.02800000000002</v>
      </c>
      <c r="V1849" s="3">
        <v>39682</v>
      </c>
    </row>
    <row r="1850" spans="1:22" x14ac:dyDescent="0.35">
      <c r="A1850" s="1">
        <v>42355.168310185189</v>
      </c>
      <c r="B1850" s="2">
        <v>3.9004629629629632E-3</v>
      </c>
      <c r="C1850" t="s">
        <v>3162</v>
      </c>
      <c r="D1850" t="s">
        <v>335</v>
      </c>
      <c r="E1850" t="s">
        <v>336</v>
      </c>
      <c r="F1850" t="s">
        <v>3163</v>
      </c>
      <c r="G1850">
        <v>1397330</v>
      </c>
      <c r="H1850" t="s">
        <v>68</v>
      </c>
      <c r="I1850" t="s">
        <v>150</v>
      </c>
      <c r="J1850" t="str">
        <f>"9781134723751"</f>
        <v>9781134723751</v>
      </c>
      <c r="K1850" t="s">
        <v>86</v>
      </c>
      <c r="L1850">
        <v>5</v>
      </c>
      <c r="O1850" t="s">
        <v>30</v>
      </c>
      <c r="P1850" t="s">
        <v>50</v>
      </c>
      <c r="S1850" t="s">
        <v>340</v>
      </c>
      <c r="T1850" t="s">
        <v>3165</v>
      </c>
      <c r="U1850">
        <v>792.02800000000002</v>
      </c>
      <c r="V1850" s="3">
        <v>39682</v>
      </c>
    </row>
    <row r="1851" spans="1:22" x14ac:dyDescent="0.35">
      <c r="A1851" s="1">
        <v>42355.166956018518</v>
      </c>
      <c r="B1851" s="2">
        <v>4.5138888888888892E-4</v>
      </c>
      <c r="C1851" t="s">
        <v>3162</v>
      </c>
      <c r="D1851" t="s">
        <v>335</v>
      </c>
      <c r="E1851" t="s">
        <v>336</v>
      </c>
      <c r="F1851" t="s">
        <v>3198</v>
      </c>
      <c r="G1851">
        <v>1356050</v>
      </c>
      <c r="H1851" t="s">
        <v>68</v>
      </c>
      <c r="I1851" t="s">
        <v>247</v>
      </c>
      <c r="J1851" t="str">
        <f>"9781135058821"</f>
        <v>9781135058821</v>
      </c>
      <c r="K1851" t="s">
        <v>3199</v>
      </c>
      <c r="L1851">
        <v>12</v>
      </c>
      <c r="O1851" t="s">
        <v>30</v>
      </c>
      <c r="P1851" t="s">
        <v>50</v>
      </c>
      <c r="S1851" t="s">
        <v>340</v>
      </c>
      <c r="T1851" t="s">
        <v>3200</v>
      </c>
      <c r="U1851">
        <v>616.89152300000001</v>
      </c>
      <c r="V1851" s="3">
        <v>41507</v>
      </c>
    </row>
    <row r="1852" spans="1:22" x14ac:dyDescent="0.35">
      <c r="A1852" s="1">
        <v>42355.166261574072</v>
      </c>
      <c r="B1852" s="2">
        <v>2.4189814814814816E-3</v>
      </c>
      <c r="C1852" t="s">
        <v>3201</v>
      </c>
      <c r="D1852" t="s">
        <v>35</v>
      </c>
      <c r="E1852" t="s">
        <v>36</v>
      </c>
      <c r="F1852" t="s">
        <v>986</v>
      </c>
      <c r="G1852">
        <v>968030</v>
      </c>
      <c r="H1852" t="s">
        <v>26</v>
      </c>
      <c r="I1852" t="s">
        <v>219</v>
      </c>
      <c r="J1852" t="str">
        <f>"9781118285138"</f>
        <v>9781118285138</v>
      </c>
      <c r="K1852" t="s">
        <v>3202</v>
      </c>
      <c r="L1852">
        <v>11</v>
      </c>
      <c r="O1852" t="s">
        <v>30</v>
      </c>
      <c r="P1852" t="s">
        <v>42</v>
      </c>
      <c r="S1852" t="s">
        <v>40</v>
      </c>
      <c r="T1852" t="s">
        <v>987</v>
      </c>
      <c r="U1852">
        <v>158.30000000000001</v>
      </c>
      <c r="V1852" s="3">
        <v>41100</v>
      </c>
    </row>
    <row r="1853" spans="1:22" x14ac:dyDescent="0.35">
      <c r="A1853" s="1">
        <v>42355.145740740743</v>
      </c>
      <c r="B1853" s="2">
        <v>4.0162037037037033E-3</v>
      </c>
      <c r="C1853" t="s">
        <v>3203</v>
      </c>
      <c r="D1853" t="s">
        <v>35</v>
      </c>
      <c r="E1853" t="s">
        <v>36</v>
      </c>
      <c r="F1853" t="s">
        <v>3204</v>
      </c>
      <c r="G1853">
        <v>4044660</v>
      </c>
      <c r="H1853" t="s">
        <v>139</v>
      </c>
      <c r="I1853" t="s">
        <v>120</v>
      </c>
      <c r="J1853" t="str">
        <f>"9781479849680"</f>
        <v>9781479849680</v>
      </c>
      <c r="K1853" t="s">
        <v>3205</v>
      </c>
      <c r="L1853">
        <v>14</v>
      </c>
      <c r="O1853" t="s">
        <v>30</v>
      </c>
      <c r="P1853" t="s">
        <v>42</v>
      </c>
      <c r="S1853" t="s">
        <v>40</v>
      </c>
      <c r="T1853" t="s">
        <v>3206</v>
      </c>
      <c r="U1853" t="s">
        <v>3207</v>
      </c>
      <c r="V1853" s="3">
        <v>42349</v>
      </c>
    </row>
    <row r="1854" spans="1:22" x14ac:dyDescent="0.35">
      <c r="A1854" s="1">
        <v>42355.134409722225</v>
      </c>
      <c r="B1854" s="2">
        <v>1.1574074074074073E-5</v>
      </c>
      <c r="C1854" t="s">
        <v>3208</v>
      </c>
      <c r="D1854" t="s">
        <v>117</v>
      </c>
      <c r="E1854" t="s">
        <v>118</v>
      </c>
      <c r="F1854" t="s">
        <v>3209</v>
      </c>
      <c r="G1854">
        <v>1725830</v>
      </c>
      <c r="H1854" t="s">
        <v>26</v>
      </c>
      <c r="I1854" t="s">
        <v>445</v>
      </c>
      <c r="J1854" t="str">
        <f>"9780745684116"</f>
        <v>9780745684116</v>
      </c>
      <c r="K1854" t="s">
        <v>3210</v>
      </c>
      <c r="L1854">
        <v>2</v>
      </c>
      <c r="O1854" t="s">
        <v>30</v>
      </c>
      <c r="P1854" t="s">
        <v>47</v>
      </c>
      <c r="Q1854" s="1">
        <v>42355.134409722225</v>
      </c>
      <c r="R1854">
        <v>1</v>
      </c>
      <c r="S1854" t="s">
        <v>121</v>
      </c>
      <c r="T1854" t="s">
        <v>3211</v>
      </c>
      <c r="U1854">
        <v>331.13704100000001</v>
      </c>
      <c r="V1854" s="3">
        <v>41817</v>
      </c>
    </row>
    <row r="1855" spans="1:22" x14ac:dyDescent="0.35">
      <c r="A1855" s="1">
        <v>42355.130879629629</v>
      </c>
      <c r="B1855" s="2">
        <v>3.530092592592592E-3</v>
      </c>
      <c r="C1855" t="s">
        <v>3208</v>
      </c>
      <c r="D1855" t="s">
        <v>117</v>
      </c>
      <c r="E1855" t="s">
        <v>118</v>
      </c>
      <c r="F1855" t="s">
        <v>3209</v>
      </c>
      <c r="G1855">
        <v>1725830</v>
      </c>
      <c r="H1855" t="s">
        <v>26</v>
      </c>
      <c r="I1855" t="s">
        <v>445</v>
      </c>
      <c r="J1855" t="str">
        <f>"9780745684116"</f>
        <v>9780745684116</v>
      </c>
      <c r="K1855" t="s">
        <v>3212</v>
      </c>
      <c r="L1855">
        <v>19</v>
      </c>
      <c r="O1855" t="s">
        <v>30</v>
      </c>
      <c r="P1855" t="s">
        <v>50</v>
      </c>
      <c r="S1855" t="s">
        <v>121</v>
      </c>
      <c r="T1855" t="s">
        <v>3211</v>
      </c>
      <c r="U1855">
        <v>331.13704100000001</v>
      </c>
      <c r="V1855" s="3">
        <v>41817</v>
      </c>
    </row>
    <row r="1856" spans="1:22" x14ac:dyDescent="0.35">
      <c r="A1856" s="1">
        <v>42354.999826388892</v>
      </c>
      <c r="B1856" s="2">
        <v>6.3055555555555545E-2</v>
      </c>
      <c r="C1856" t="s">
        <v>3213</v>
      </c>
      <c r="D1856" t="s">
        <v>35</v>
      </c>
      <c r="E1856" t="s">
        <v>36</v>
      </c>
      <c r="F1856" t="s">
        <v>1758</v>
      </c>
      <c r="G1856">
        <v>4039553</v>
      </c>
      <c r="H1856" t="s">
        <v>26</v>
      </c>
      <c r="I1856" t="s">
        <v>150</v>
      </c>
      <c r="J1856" t="str">
        <f>"9781118886045"</f>
        <v>9781118886045</v>
      </c>
      <c r="K1856" t="s">
        <v>3214</v>
      </c>
      <c r="L1856">
        <v>21</v>
      </c>
      <c r="O1856" t="s">
        <v>30</v>
      </c>
      <c r="P1856" t="s">
        <v>29</v>
      </c>
      <c r="Q1856" s="1">
        <v>42353.14806712963</v>
      </c>
      <c r="R1856">
        <v>7</v>
      </c>
      <c r="S1856" t="s">
        <v>40</v>
      </c>
      <c r="T1856" t="s">
        <v>1759</v>
      </c>
      <c r="U1856">
        <v>709.37</v>
      </c>
      <c r="V1856" s="3">
        <v>42256</v>
      </c>
    </row>
    <row r="1857" spans="1:22" x14ac:dyDescent="0.35">
      <c r="A1857" s="1">
        <v>42354.999525462961</v>
      </c>
      <c r="B1857" s="2">
        <v>3.4722222222222222E-5</v>
      </c>
      <c r="C1857" t="s">
        <v>3213</v>
      </c>
      <c r="D1857" t="s">
        <v>35</v>
      </c>
      <c r="E1857" t="s">
        <v>36</v>
      </c>
      <c r="F1857" t="s">
        <v>3215</v>
      </c>
      <c r="G1857">
        <v>4034179</v>
      </c>
      <c r="H1857" t="s">
        <v>26</v>
      </c>
      <c r="I1857" t="s">
        <v>200</v>
      </c>
      <c r="J1857" t="str">
        <f>"9781118325131"</f>
        <v>9781118325131</v>
      </c>
      <c r="K1857" t="s">
        <v>33</v>
      </c>
      <c r="L1857">
        <v>3</v>
      </c>
      <c r="O1857" t="s">
        <v>30</v>
      </c>
      <c r="P1857" t="s">
        <v>50</v>
      </c>
      <c r="S1857" t="s">
        <v>40</v>
      </c>
      <c r="U1857">
        <v>720.37</v>
      </c>
      <c r="V1857" s="3">
        <v>41557</v>
      </c>
    </row>
    <row r="1858" spans="1:22" x14ac:dyDescent="0.35">
      <c r="A1858" s="1">
        <v>42354.955324074072</v>
      </c>
      <c r="B1858" s="2">
        <v>1.1574074074074073E-5</v>
      </c>
      <c r="C1858" t="s">
        <v>3216</v>
      </c>
      <c r="D1858" t="s">
        <v>35</v>
      </c>
      <c r="E1858" t="s">
        <v>36</v>
      </c>
      <c r="F1858" t="s">
        <v>3217</v>
      </c>
      <c r="G1858">
        <v>289391</v>
      </c>
      <c r="H1858" t="s">
        <v>68</v>
      </c>
      <c r="I1858" t="s">
        <v>291</v>
      </c>
      <c r="J1858" t="str">
        <f>"9780203954928"</f>
        <v>9780203954928</v>
      </c>
      <c r="K1858" t="s">
        <v>3218</v>
      </c>
      <c r="L1858">
        <v>2</v>
      </c>
      <c r="O1858" t="s">
        <v>30</v>
      </c>
      <c r="P1858" t="s">
        <v>47</v>
      </c>
      <c r="Q1858" s="1">
        <v>42354.955324074072</v>
      </c>
      <c r="R1858">
        <v>1</v>
      </c>
      <c r="S1858" t="s">
        <v>40</v>
      </c>
      <c r="T1858" t="s">
        <v>3219</v>
      </c>
      <c r="U1858" t="s">
        <v>3220</v>
      </c>
      <c r="V1858" s="3">
        <v>41507</v>
      </c>
    </row>
    <row r="1859" spans="1:22" x14ac:dyDescent="0.35">
      <c r="A1859" s="1">
        <v>42354.951770833337</v>
      </c>
      <c r="B1859" s="2">
        <v>3.5416666666666665E-3</v>
      </c>
      <c r="C1859" t="s">
        <v>3216</v>
      </c>
      <c r="D1859" t="s">
        <v>35</v>
      </c>
      <c r="E1859" t="s">
        <v>36</v>
      </c>
      <c r="F1859" t="s">
        <v>3217</v>
      </c>
      <c r="G1859">
        <v>289391</v>
      </c>
      <c r="H1859" t="s">
        <v>68</v>
      </c>
      <c r="I1859" t="s">
        <v>291</v>
      </c>
      <c r="J1859" t="str">
        <f>"9780203954928"</f>
        <v>9780203954928</v>
      </c>
      <c r="K1859" t="s">
        <v>3221</v>
      </c>
      <c r="L1859">
        <v>22</v>
      </c>
      <c r="O1859" t="s">
        <v>30</v>
      </c>
      <c r="P1859" t="s">
        <v>50</v>
      </c>
      <c r="S1859" t="s">
        <v>40</v>
      </c>
      <c r="T1859" t="s">
        <v>3219</v>
      </c>
      <c r="U1859" t="s">
        <v>3220</v>
      </c>
      <c r="V1859" s="3">
        <v>41507</v>
      </c>
    </row>
    <row r="1860" spans="1:22" x14ac:dyDescent="0.35">
      <c r="A1860" s="1">
        <v>42354.946782407409</v>
      </c>
      <c r="B1860" s="2">
        <v>4.6296296296296293E-4</v>
      </c>
      <c r="C1860" t="s">
        <v>3213</v>
      </c>
      <c r="D1860" t="s">
        <v>35</v>
      </c>
      <c r="E1860" t="s">
        <v>36</v>
      </c>
      <c r="F1860" t="s">
        <v>1758</v>
      </c>
      <c r="G1860">
        <v>4039553</v>
      </c>
      <c r="H1860" t="s">
        <v>26</v>
      </c>
      <c r="I1860" t="s">
        <v>150</v>
      </c>
      <c r="J1860" t="str">
        <f>"9781118886045"</f>
        <v>9781118886045</v>
      </c>
      <c r="K1860" t="s">
        <v>3222</v>
      </c>
      <c r="L1860">
        <v>14</v>
      </c>
      <c r="O1860" t="s">
        <v>30</v>
      </c>
      <c r="P1860" t="s">
        <v>29</v>
      </c>
      <c r="Q1860" s="1">
        <v>42353.14806712963</v>
      </c>
      <c r="R1860">
        <v>7</v>
      </c>
      <c r="S1860" t="s">
        <v>40</v>
      </c>
      <c r="T1860" t="s">
        <v>1759</v>
      </c>
      <c r="U1860">
        <v>709.37</v>
      </c>
      <c r="V1860" s="3">
        <v>42256</v>
      </c>
    </row>
    <row r="1861" spans="1:22" x14ac:dyDescent="0.35">
      <c r="A1861" s="1">
        <v>42354.940474537034</v>
      </c>
      <c r="B1861" s="2">
        <v>9.5023148148148159E-3</v>
      </c>
      <c r="C1861" t="s">
        <v>3223</v>
      </c>
      <c r="D1861" t="s">
        <v>23</v>
      </c>
      <c r="E1861" t="s">
        <v>24</v>
      </c>
      <c r="F1861" t="s">
        <v>3224</v>
      </c>
      <c r="G1861">
        <v>1882107</v>
      </c>
      <c r="H1861" t="s">
        <v>84</v>
      </c>
      <c r="I1861" t="s">
        <v>998</v>
      </c>
      <c r="J1861" t="str">
        <f>"9780520961593"</f>
        <v>9780520961593</v>
      </c>
      <c r="K1861" t="s">
        <v>3225</v>
      </c>
      <c r="L1861">
        <v>61</v>
      </c>
      <c r="O1861" t="s">
        <v>30</v>
      </c>
      <c r="P1861" t="s">
        <v>29</v>
      </c>
      <c r="Q1861" s="1">
        <v>42348.176412037035</v>
      </c>
      <c r="R1861">
        <v>7</v>
      </c>
      <c r="S1861" t="s">
        <v>31</v>
      </c>
      <c r="T1861" t="s">
        <v>3226</v>
      </c>
      <c r="U1861">
        <v>952.03099999999995</v>
      </c>
      <c r="V1861" s="3">
        <v>42164</v>
      </c>
    </row>
    <row r="1862" spans="1:22" x14ac:dyDescent="0.35">
      <c r="A1862" s="1">
        <v>42354.930486111109</v>
      </c>
      <c r="B1862" s="2">
        <v>1.0416666666666667E-3</v>
      </c>
      <c r="C1862" t="s">
        <v>3227</v>
      </c>
      <c r="D1862" t="s">
        <v>23</v>
      </c>
      <c r="E1862" t="s">
        <v>24</v>
      </c>
      <c r="F1862" t="s">
        <v>3228</v>
      </c>
      <c r="G1862">
        <v>1115640</v>
      </c>
      <c r="H1862" t="s">
        <v>26</v>
      </c>
      <c r="I1862" t="s">
        <v>3229</v>
      </c>
      <c r="J1862" t="str">
        <f>"9781118419090"</f>
        <v>9781118419090</v>
      </c>
      <c r="K1862" t="s">
        <v>3230</v>
      </c>
      <c r="L1862">
        <v>56</v>
      </c>
      <c r="O1862" t="s">
        <v>30</v>
      </c>
      <c r="P1862" t="s">
        <v>29</v>
      </c>
      <c r="Q1862" s="1">
        <v>42354.930486111109</v>
      </c>
      <c r="R1862">
        <v>7</v>
      </c>
      <c r="S1862" t="s">
        <v>31</v>
      </c>
      <c r="T1862" t="s">
        <v>3231</v>
      </c>
      <c r="U1862">
        <v>624</v>
      </c>
      <c r="V1862" s="3">
        <v>41296</v>
      </c>
    </row>
    <row r="1863" spans="1:22" x14ac:dyDescent="0.35">
      <c r="A1863" s="1">
        <v>42354.909039351849</v>
      </c>
      <c r="B1863" s="2">
        <v>0</v>
      </c>
      <c r="C1863" t="s">
        <v>210</v>
      </c>
      <c r="D1863" t="s">
        <v>211</v>
      </c>
      <c r="E1863" t="s">
        <v>212</v>
      </c>
      <c r="F1863" t="s">
        <v>3232</v>
      </c>
      <c r="G1863">
        <v>1109590</v>
      </c>
      <c r="H1863" t="s">
        <v>1286</v>
      </c>
      <c r="I1863" t="s">
        <v>150</v>
      </c>
      <c r="J1863" t="str">
        <f>"9781476600093"</f>
        <v>9781476600093</v>
      </c>
      <c r="L1863">
        <v>0</v>
      </c>
      <c r="N1863" t="s">
        <v>3233</v>
      </c>
      <c r="O1863" t="s">
        <v>30</v>
      </c>
      <c r="P1863" t="s">
        <v>29</v>
      </c>
      <c r="Q1863" s="1">
        <v>42354.909039351849</v>
      </c>
      <c r="R1863">
        <v>7</v>
      </c>
      <c r="S1863" t="s">
        <v>214</v>
      </c>
      <c r="T1863" t="s">
        <v>3234</v>
      </c>
      <c r="U1863" t="s">
        <v>3235</v>
      </c>
      <c r="V1863" s="3">
        <v>41294</v>
      </c>
    </row>
    <row r="1864" spans="1:22" x14ac:dyDescent="0.35">
      <c r="A1864" s="1">
        <v>42354.907743055555</v>
      </c>
      <c r="B1864" s="2">
        <v>1.2962962962962963E-3</v>
      </c>
      <c r="C1864" t="s">
        <v>210</v>
      </c>
      <c r="D1864" t="s">
        <v>211</v>
      </c>
      <c r="E1864" t="s">
        <v>212</v>
      </c>
      <c r="F1864" t="s">
        <v>3232</v>
      </c>
      <c r="G1864">
        <v>1109590</v>
      </c>
      <c r="H1864" t="s">
        <v>1286</v>
      </c>
      <c r="I1864" t="s">
        <v>150</v>
      </c>
      <c r="J1864" t="str">
        <f>"9781476600093"</f>
        <v>9781476600093</v>
      </c>
      <c r="K1864" t="s">
        <v>3236</v>
      </c>
      <c r="L1864">
        <v>20</v>
      </c>
      <c r="O1864" t="s">
        <v>30</v>
      </c>
      <c r="P1864" t="s">
        <v>42</v>
      </c>
      <c r="S1864" t="s">
        <v>214</v>
      </c>
      <c r="T1864" t="s">
        <v>3234</v>
      </c>
      <c r="U1864" t="s">
        <v>3235</v>
      </c>
      <c r="V1864" s="3">
        <v>41294</v>
      </c>
    </row>
    <row r="1865" spans="1:22" x14ac:dyDescent="0.35">
      <c r="A1865" s="1">
        <v>42354.886307870373</v>
      </c>
      <c r="B1865" s="2">
        <v>4.4178240740740747E-2</v>
      </c>
      <c r="C1865" t="s">
        <v>3227</v>
      </c>
      <c r="D1865" t="s">
        <v>23</v>
      </c>
      <c r="E1865" t="s">
        <v>24</v>
      </c>
      <c r="F1865" t="s">
        <v>3228</v>
      </c>
      <c r="G1865">
        <v>1115640</v>
      </c>
      <c r="H1865" t="s">
        <v>26</v>
      </c>
      <c r="I1865" t="s">
        <v>3229</v>
      </c>
      <c r="J1865" t="str">
        <f>"9781118419090"</f>
        <v>9781118419090</v>
      </c>
      <c r="K1865" t="s">
        <v>3237</v>
      </c>
      <c r="L1865">
        <v>49</v>
      </c>
      <c r="O1865" t="s">
        <v>30</v>
      </c>
      <c r="P1865" t="s">
        <v>42</v>
      </c>
      <c r="S1865" t="s">
        <v>31</v>
      </c>
      <c r="T1865" t="s">
        <v>3231</v>
      </c>
      <c r="U1865">
        <v>624</v>
      </c>
      <c r="V1865" s="3">
        <v>41296</v>
      </c>
    </row>
    <row r="1866" spans="1:22" x14ac:dyDescent="0.35">
      <c r="A1866" s="1">
        <v>42354.84302083333</v>
      </c>
      <c r="B1866" s="2">
        <v>1.6203703703703703E-3</v>
      </c>
      <c r="C1866" t="s">
        <v>3238</v>
      </c>
      <c r="D1866" t="s">
        <v>23</v>
      </c>
      <c r="E1866" t="s">
        <v>24</v>
      </c>
      <c r="F1866" t="s">
        <v>3239</v>
      </c>
      <c r="G1866">
        <v>1655943</v>
      </c>
      <c r="H1866" t="s">
        <v>91</v>
      </c>
      <c r="I1866" t="s">
        <v>247</v>
      </c>
      <c r="J1866" t="str">
        <f>"9781462514205"</f>
        <v>9781462514205</v>
      </c>
      <c r="K1866" t="s">
        <v>3240</v>
      </c>
      <c r="L1866">
        <v>47</v>
      </c>
      <c r="O1866" t="s">
        <v>30</v>
      </c>
      <c r="P1866" t="s">
        <v>47</v>
      </c>
      <c r="Q1866" s="1">
        <v>42354.84302083333</v>
      </c>
      <c r="R1866">
        <v>1</v>
      </c>
      <c r="S1866" t="s">
        <v>31</v>
      </c>
      <c r="T1866" t="s">
        <v>3241</v>
      </c>
      <c r="U1866">
        <v>618.9289</v>
      </c>
      <c r="V1866" s="3">
        <v>41773</v>
      </c>
    </row>
    <row r="1867" spans="1:22" x14ac:dyDescent="0.35">
      <c r="A1867" s="1">
        <v>42354.83697916667</v>
      </c>
      <c r="B1867" s="2">
        <v>6.0416666666666665E-3</v>
      </c>
      <c r="C1867" t="s">
        <v>3238</v>
      </c>
      <c r="D1867" t="s">
        <v>23</v>
      </c>
      <c r="E1867" t="s">
        <v>24</v>
      </c>
      <c r="F1867" t="s">
        <v>3239</v>
      </c>
      <c r="G1867">
        <v>1655943</v>
      </c>
      <c r="H1867" t="s">
        <v>91</v>
      </c>
      <c r="I1867" t="s">
        <v>247</v>
      </c>
      <c r="J1867" t="str">
        <f>"9781462514205"</f>
        <v>9781462514205</v>
      </c>
      <c r="K1867" t="s">
        <v>3242</v>
      </c>
      <c r="L1867">
        <v>33</v>
      </c>
      <c r="O1867" t="s">
        <v>30</v>
      </c>
      <c r="P1867" t="s">
        <v>50</v>
      </c>
      <c r="S1867" t="s">
        <v>31</v>
      </c>
      <c r="T1867" t="s">
        <v>3241</v>
      </c>
      <c r="U1867">
        <v>618.9289</v>
      </c>
      <c r="V1867" s="3">
        <v>41773</v>
      </c>
    </row>
    <row r="1868" spans="1:22" x14ac:dyDescent="0.35">
      <c r="A1868" s="1">
        <v>42354.805821759262</v>
      </c>
      <c r="B1868" s="2">
        <v>1.2337962962962962E-2</v>
      </c>
      <c r="C1868" t="s">
        <v>3243</v>
      </c>
      <c r="D1868" t="s">
        <v>35</v>
      </c>
      <c r="E1868" t="s">
        <v>36</v>
      </c>
      <c r="F1868" t="s">
        <v>3244</v>
      </c>
      <c r="G1868">
        <v>1539141</v>
      </c>
      <c r="H1868" t="s">
        <v>68</v>
      </c>
      <c r="I1868" t="s">
        <v>3245</v>
      </c>
      <c r="J1868" t="str">
        <f>"9781134064427"</f>
        <v>9781134064427</v>
      </c>
      <c r="K1868" t="s">
        <v>3246</v>
      </c>
      <c r="L1868">
        <v>22</v>
      </c>
      <c r="O1868" t="s">
        <v>30</v>
      </c>
      <c r="P1868" t="s">
        <v>47</v>
      </c>
      <c r="Q1868" s="1">
        <v>42354.805821759262</v>
      </c>
      <c r="R1868">
        <v>1</v>
      </c>
      <c r="S1868" t="s">
        <v>40</v>
      </c>
      <c r="T1868" t="s">
        <v>3247</v>
      </c>
      <c r="U1868">
        <v>333.75091300000003</v>
      </c>
      <c r="V1868" s="3">
        <v>40087</v>
      </c>
    </row>
    <row r="1869" spans="1:22" x14ac:dyDescent="0.35">
      <c r="A1869" s="1">
        <v>42354.795810185184</v>
      </c>
      <c r="B1869" s="2">
        <v>0</v>
      </c>
      <c r="C1869" t="s">
        <v>3248</v>
      </c>
      <c r="D1869" t="s">
        <v>261</v>
      </c>
      <c r="E1869" t="s">
        <v>262</v>
      </c>
      <c r="F1869" t="s">
        <v>3249</v>
      </c>
      <c r="G1869">
        <v>1174343</v>
      </c>
      <c r="H1869" t="s">
        <v>26</v>
      </c>
      <c r="I1869" t="s">
        <v>445</v>
      </c>
      <c r="J1869" t="str">
        <f>"9780745676579"</f>
        <v>9780745676579</v>
      </c>
      <c r="L1869">
        <v>0</v>
      </c>
      <c r="N1869" t="s">
        <v>3250</v>
      </c>
      <c r="O1869" t="s">
        <v>30</v>
      </c>
      <c r="P1869" t="s">
        <v>47</v>
      </c>
      <c r="Q1869" s="1">
        <v>42354.795810185184</v>
      </c>
      <c r="R1869">
        <v>1</v>
      </c>
      <c r="S1869" t="s">
        <v>264</v>
      </c>
      <c r="T1869" t="s">
        <v>3251</v>
      </c>
      <c r="U1869">
        <v>338.92700000000002</v>
      </c>
      <c r="V1869" s="3">
        <v>41380</v>
      </c>
    </row>
    <row r="1870" spans="1:22" x14ac:dyDescent="0.35">
      <c r="A1870" s="1">
        <v>42354.79347222222</v>
      </c>
      <c r="B1870" s="2">
        <v>2.3263888888888887E-3</v>
      </c>
      <c r="C1870" t="s">
        <v>3248</v>
      </c>
      <c r="D1870" t="s">
        <v>261</v>
      </c>
      <c r="E1870" t="s">
        <v>262</v>
      </c>
      <c r="F1870" t="s">
        <v>3249</v>
      </c>
      <c r="G1870">
        <v>1174343</v>
      </c>
      <c r="H1870" t="s">
        <v>26</v>
      </c>
      <c r="I1870" t="s">
        <v>445</v>
      </c>
      <c r="J1870" t="str">
        <f>"9780745676579"</f>
        <v>9780745676579</v>
      </c>
      <c r="K1870" t="s">
        <v>3252</v>
      </c>
      <c r="L1870">
        <v>28</v>
      </c>
      <c r="O1870" t="s">
        <v>30</v>
      </c>
      <c r="P1870" t="s">
        <v>50</v>
      </c>
      <c r="S1870" t="s">
        <v>264</v>
      </c>
      <c r="T1870" t="s">
        <v>3251</v>
      </c>
      <c r="U1870">
        <v>338.92700000000002</v>
      </c>
      <c r="V1870" s="3">
        <v>41380</v>
      </c>
    </row>
    <row r="1871" spans="1:22" x14ac:dyDescent="0.35">
      <c r="A1871" s="1">
        <v>42354.772164351853</v>
      </c>
      <c r="B1871" s="2">
        <v>3.3657407407407407E-2</v>
      </c>
      <c r="C1871" t="s">
        <v>3243</v>
      </c>
      <c r="D1871" t="s">
        <v>35</v>
      </c>
      <c r="E1871" t="s">
        <v>36</v>
      </c>
      <c r="F1871" t="s">
        <v>3244</v>
      </c>
      <c r="G1871">
        <v>1539141</v>
      </c>
      <c r="H1871" t="s">
        <v>68</v>
      </c>
      <c r="I1871" t="s">
        <v>3245</v>
      </c>
      <c r="J1871" t="str">
        <f>"9781134064427"</f>
        <v>9781134064427</v>
      </c>
      <c r="K1871" t="s">
        <v>552</v>
      </c>
      <c r="L1871">
        <v>9</v>
      </c>
      <c r="O1871" t="s">
        <v>30</v>
      </c>
      <c r="P1871" t="s">
        <v>50</v>
      </c>
      <c r="S1871" t="s">
        <v>40</v>
      </c>
      <c r="T1871" t="s">
        <v>3247</v>
      </c>
      <c r="U1871">
        <v>333.75091300000003</v>
      </c>
      <c r="V1871" s="3">
        <v>40087</v>
      </c>
    </row>
    <row r="1872" spans="1:22" x14ac:dyDescent="0.35">
      <c r="A1872" s="1">
        <v>42354.762777777774</v>
      </c>
      <c r="B1872" s="2">
        <v>0</v>
      </c>
      <c r="C1872" t="s">
        <v>2556</v>
      </c>
      <c r="D1872" t="s">
        <v>23</v>
      </c>
      <c r="E1872" t="s">
        <v>24</v>
      </c>
      <c r="F1872" t="s">
        <v>3253</v>
      </c>
      <c r="G1872">
        <v>2039143</v>
      </c>
      <c r="H1872" t="s">
        <v>45</v>
      </c>
      <c r="I1872" t="s">
        <v>310</v>
      </c>
      <c r="J1872" t="str">
        <f>"9781472449160"</f>
        <v>9781472449160</v>
      </c>
      <c r="L1872">
        <v>0</v>
      </c>
      <c r="N1872" t="s">
        <v>3254</v>
      </c>
      <c r="O1872" t="s">
        <v>30</v>
      </c>
      <c r="P1872" t="s">
        <v>47</v>
      </c>
      <c r="Q1872" s="1">
        <v>42354.762777777774</v>
      </c>
      <c r="R1872">
        <v>1</v>
      </c>
      <c r="S1872" t="s">
        <v>31</v>
      </c>
      <c r="T1872" t="s">
        <v>3255</v>
      </c>
      <c r="U1872" t="s">
        <v>3256</v>
      </c>
      <c r="V1872" s="3">
        <v>42183</v>
      </c>
    </row>
    <row r="1873" spans="1:22" x14ac:dyDescent="0.35">
      <c r="A1873" s="1">
        <v>42354.761921296296</v>
      </c>
      <c r="B1873" s="2">
        <v>8.564814814814815E-4</v>
      </c>
      <c r="C1873" t="s">
        <v>2556</v>
      </c>
      <c r="D1873" t="s">
        <v>23</v>
      </c>
      <c r="E1873" t="s">
        <v>24</v>
      </c>
      <c r="F1873" t="s">
        <v>3253</v>
      </c>
      <c r="G1873">
        <v>2039143</v>
      </c>
      <c r="H1873" t="s">
        <v>45</v>
      </c>
      <c r="I1873" t="s">
        <v>310</v>
      </c>
      <c r="J1873" t="str">
        <f>"9781472449160"</f>
        <v>9781472449160</v>
      </c>
      <c r="K1873" t="s">
        <v>3257</v>
      </c>
      <c r="L1873">
        <v>20</v>
      </c>
      <c r="O1873" t="s">
        <v>30</v>
      </c>
      <c r="P1873" t="s">
        <v>50</v>
      </c>
      <c r="S1873" t="s">
        <v>31</v>
      </c>
      <c r="T1873" t="s">
        <v>3255</v>
      </c>
      <c r="U1873" t="s">
        <v>3256</v>
      </c>
      <c r="V1873" s="3">
        <v>42183</v>
      </c>
    </row>
    <row r="1874" spans="1:22" x14ac:dyDescent="0.35">
      <c r="A1874" s="1">
        <v>42354.739571759259</v>
      </c>
      <c r="B1874" s="2">
        <v>3.7615740740740739E-3</v>
      </c>
      <c r="C1874" t="s">
        <v>3258</v>
      </c>
      <c r="D1874" t="s">
        <v>211</v>
      </c>
      <c r="E1874" t="s">
        <v>212</v>
      </c>
      <c r="F1874" t="s">
        <v>3259</v>
      </c>
      <c r="G1874">
        <v>1887115</v>
      </c>
      <c r="H1874" t="s">
        <v>26</v>
      </c>
      <c r="I1874" t="s">
        <v>120</v>
      </c>
      <c r="J1874" t="str">
        <f>"9781118787083"</f>
        <v>9781118787083</v>
      </c>
      <c r="K1874" t="s">
        <v>3260</v>
      </c>
      <c r="L1874">
        <v>11</v>
      </c>
      <c r="O1874" t="s">
        <v>30</v>
      </c>
      <c r="P1874" t="s">
        <v>42</v>
      </c>
      <c r="S1874" t="s">
        <v>214</v>
      </c>
      <c r="T1874" t="s">
        <v>3261</v>
      </c>
      <c r="U1874">
        <v>302.23083000000003</v>
      </c>
      <c r="V1874" s="3">
        <v>41977</v>
      </c>
    </row>
    <row r="1875" spans="1:22" x14ac:dyDescent="0.35">
      <c r="A1875" s="1">
        <v>42354.671585648146</v>
      </c>
      <c r="B1875" s="2">
        <v>4.6296296296296294E-5</v>
      </c>
      <c r="C1875" t="s">
        <v>3262</v>
      </c>
      <c r="D1875" t="s">
        <v>1222</v>
      </c>
      <c r="E1875" t="s">
        <v>1223</v>
      </c>
      <c r="F1875" t="s">
        <v>3263</v>
      </c>
      <c r="G1875">
        <v>1840835</v>
      </c>
      <c r="H1875" t="s">
        <v>26</v>
      </c>
      <c r="I1875" t="s">
        <v>108</v>
      </c>
      <c r="J1875" t="str">
        <f>"9781118950166"</f>
        <v>9781118950166</v>
      </c>
      <c r="K1875" t="s">
        <v>33</v>
      </c>
      <c r="L1875">
        <v>3</v>
      </c>
      <c r="O1875" t="s">
        <v>30</v>
      </c>
      <c r="P1875" t="s">
        <v>42</v>
      </c>
      <c r="S1875" t="s">
        <v>1226</v>
      </c>
      <c r="T1875" t="s">
        <v>3264</v>
      </c>
      <c r="U1875">
        <v>338.10923789999998</v>
      </c>
      <c r="V1875" s="3">
        <v>41953</v>
      </c>
    </row>
    <row r="1876" spans="1:22" x14ac:dyDescent="0.35">
      <c r="A1876" s="1">
        <v>42354.6406712963</v>
      </c>
      <c r="B1876" s="2">
        <v>5.3749999999999999E-2</v>
      </c>
      <c r="C1876" t="s">
        <v>471</v>
      </c>
      <c r="D1876" t="s">
        <v>211</v>
      </c>
      <c r="E1876" t="s">
        <v>212</v>
      </c>
      <c r="F1876" t="s">
        <v>497</v>
      </c>
      <c r="G1876">
        <v>1986951</v>
      </c>
      <c r="H1876" t="s">
        <v>26</v>
      </c>
      <c r="I1876" t="s">
        <v>97</v>
      </c>
      <c r="J1876" t="str">
        <f>"9781119130468"</f>
        <v>9781119130468</v>
      </c>
      <c r="K1876" t="s">
        <v>3265</v>
      </c>
      <c r="L1876">
        <v>38</v>
      </c>
      <c r="M1876" t="s">
        <v>3266</v>
      </c>
      <c r="O1876" t="s">
        <v>30</v>
      </c>
      <c r="P1876" t="s">
        <v>29</v>
      </c>
      <c r="Q1876" s="1">
        <v>42349.868807870371</v>
      </c>
      <c r="R1876">
        <v>7</v>
      </c>
      <c r="S1876" t="s">
        <v>214</v>
      </c>
      <c r="T1876" t="s">
        <v>500</v>
      </c>
      <c r="U1876">
        <v>657.07600000000002</v>
      </c>
      <c r="V1876" s="3">
        <v>42143</v>
      </c>
    </row>
    <row r="1877" spans="1:22" x14ac:dyDescent="0.35">
      <c r="A1877" s="1">
        <v>42354.59</v>
      </c>
      <c r="B1877" s="2">
        <v>1.554398148148148E-2</v>
      </c>
      <c r="C1877" t="s">
        <v>2705</v>
      </c>
      <c r="D1877" t="s">
        <v>23</v>
      </c>
      <c r="E1877" t="s">
        <v>24</v>
      </c>
      <c r="F1877" t="s">
        <v>226</v>
      </c>
      <c r="G1877">
        <v>817313</v>
      </c>
      <c r="H1877" t="s">
        <v>26</v>
      </c>
      <c r="I1877" t="s">
        <v>69</v>
      </c>
      <c r="J1877" t="str">
        <f>"9781118136829"</f>
        <v>9781118136829</v>
      </c>
      <c r="K1877" t="s">
        <v>3267</v>
      </c>
      <c r="L1877">
        <v>26</v>
      </c>
      <c r="O1877" t="s">
        <v>30</v>
      </c>
      <c r="P1877" t="s">
        <v>29</v>
      </c>
      <c r="Q1877" s="1">
        <v>42348.608298611114</v>
      </c>
      <c r="R1877">
        <v>7</v>
      </c>
      <c r="S1877" t="s">
        <v>31</v>
      </c>
      <c r="T1877" t="s">
        <v>2311</v>
      </c>
      <c r="U1877">
        <v>378.16640000000001</v>
      </c>
      <c r="V1877" s="3">
        <v>40918</v>
      </c>
    </row>
    <row r="1878" spans="1:22" x14ac:dyDescent="0.35">
      <c r="A1878" s="1">
        <v>42354.217141203706</v>
      </c>
      <c r="B1878" s="2">
        <v>1.6203703703703703E-4</v>
      </c>
      <c r="C1878" t="s">
        <v>106</v>
      </c>
      <c r="D1878" t="s">
        <v>23</v>
      </c>
      <c r="E1878" t="s">
        <v>24</v>
      </c>
      <c r="F1878" t="s">
        <v>3268</v>
      </c>
      <c r="G1878">
        <v>1645679</v>
      </c>
      <c r="H1878" t="s">
        <v>45</v>
      </c>
      <c r="I1878" t="s">
        <v>2879</v>
      </c>
      <c r="J1878" t="str">
        <f>"9781472413079"</f>
        <v>9781472413079</v>
      </c>
      <c r="K1878" t="s">
        <v>2295</v>
      </c>
      <c r="L1878">
        <v>8</v>
      </c>
      <c r="O1878" t="s">
        <v>30</v>
      </c>
      <c r="P1878" t="s">
        <v>29</v>
      </c>
      <c r="Q1878" s="1">
        <v>42354.065011574072</v>
      </c>
      <c r="R1878">
        <v>7</v>
      </c>
      <c r="S1878" t="s">
        <v>31</v>
      </c>
      <c r="T1878" t="s">
        <v>3269</v>
      </c>
      <c r="U1878" t="s">
        <v>3270</v>
      </c>
      <c r="V1878" s="3">
        <v>41726</v>
      </c>
    </row>
    <row r="1879" spans="1:22" x14ac:dyDescent="0.35">
      <c r="A1879" s="1">
        <v>42354.215451388889</v>
      </c>
      <c r="B1879" s="2">
        <v>1.2939814814814814E-2</v>
      </c>
      <c r="C1879" t="s">
        <v>2701</v>
      </c>
      <c r="D1879" t="s">
        <v>35</v>
      </c>
      <c r="E1879" t="s">
        <v>36</v>
      </c>
      <c r="F1879" t="s">
        <v>3271</v>
      </c>
      <c r="G1879">
        <v>1895714</v>
      </c>
      <c r="H1879" t="s">
        <v>26</v>
      </c>
      <c r="I1879" t="s">
        <v>172</v>
      </c>
      <c r="J1879" t="str">
        <f>"9781118896112"</f>
        <v>9781118896112</v>
      </c>
      <c r="K1879" t="s">
        <v>3272</v>
      </c>
      <c r="L1879">
        <v>45</v>
      </c>
      <c r="O1879" t="s">
        <v>30</v>
      </c>
      <c r="P1879" t="s">
        <v>29</v>
      </c>
      <c r="Q1879" s="1">
        <v>42353.896967592591</v>
      </c>
      <c r="R1879">
        <v>7</v>
      </c>
      <c r="S1879" t="s">
        <v>40</v>
      </c>
      <c r="T1879" t="s">
        <v>3273</v>
      </c>
      <c r="U1879">
        <v>932</v>
      </c>
      <c r="V1879" s="3">
        <v>42011</v>
      </c>
    </row>
    <row r="1880" spans="1:22" x14ac:dyDescent="0.35">
      <c r="A1880" s="1">
        <v>42354.164756944447</v>
      </c>
      <c r="B1880" s="2">
        <v>6.9444444444444444E-5</v>
      </c>
      <c r="C1880" t="s">
        <v>3274</v>
      </c>
      <c r="D1880" t="s">
        <v>35</v>
      </c>
      <c r="E1880" t="s">
        <v>36</v>
      </c>
      <c r="F1880" t="s">
        <v>3275</v>
      </c>
      <c r="G1880">
        <v>822662</v>
      </c>
      <c r="H1880" t="s">
        <v>26</v>
      </c>
      <c r="I1880" t="s">
        <v>172</v>
      </c>
      <c r="J1880" t="str">
        <f>"9781444355130"</f>
        <v>9781444355130</v>
      </c>
      <c r="K1880" t="s">
        <v>3276</v>
      </c>
      <c r="L1880">
        <v>9</v>
      </c>
      <c r="O1880" t="s">
        <v>30</v>
      </c>
      <c r="P1880" t="s">
        <v>29</v>
      </c>
      <c r="Q1880" s="1">
        <v>42354.164756944447</v>
      </c>
      <c r="R1880">
        <v>7</v>
      </c>
      <c r="S1880" t="s">
        <v>40</v>
      </c>
      <c r="T1880" t="s">
        <v>3277</v>
      </c>
      <c r="U1880">
        <v>960.3</v>
      </c>
      <c r="V1880" s="3">
        <v>40858</v>
      </c>
    </row>
    <row r="1881" spans="1:22" x14ac:dyDescent="0.35">
      <c r="A1881" s="1">
        <v>42354.142500000002</v>
      </c>
      <c r="B1881" s="2">
        <v>3.4490740740740745E-3</v>
      </c>
      <c r="C1881" t="s">
        <v>3278</v>
      </c>
      <c r="D1881" t="s">
        <v>35</v>
      </c>
      <c r="E1881" t="s">
        <v>36</v>
      </c>
      <c r="F1881" t="s">
        <v>3279</v>
      </c>
      <c r="G1881">
        <v>1422365</v>
      </c>
      <c r="H1881" t="s">
        <v>68</v>
      </c>
      <c r="I1881" t="s">
        <v>69</v>
      </c>
      <c r="J1881" t="str">
        <f>"9781317922162"</f>
        <v>9781317922162</v>
      </c>
      <c r="K1881" t="s">
        <v>3280</v>
      </c>
      <c r="L1881">
        <v>9</v>
      </c>
      <c r="O1881" t="s">
        <v>30</v>
      </c>
      <c r="P1881" t="s">
        <v>50</v>
      </c>
      <c r="S1881" t="s">
        <v>40</v>
      </c>
      <c r="T1881" t="s">
        <v>3281</v>
      </c>
      <c r="U1881">
        <v>372.6044</v>
      </c>
      <c r="V1881" s="3">
        <v>41558</v>
      </c>
    </row>
    <row r="1882" spans="1:22" x14ac:dyDescent="0.35">
      <c r="A1882" s="1">
        <v>42354.125555555554</v>
      </c>
      <c r="B1882" s="2">
        <v>3.0208333333333333E-3</v>
      </c>
      <c r="C1882" t="s">
        <v>3282</v>
      </c>
      <c r="D1882" t="s">
        <v>623</v>
      </c>
      <c r="E1882" t="s">
        <v>624</v>
      </c>
      <c r="F1882" t="s">
        <v>3283</v>
      </c>
      <c r="G1882">
        <v>1882109</v>
      </c>
      <c r="H1882" t="s">
        <v>84</v>
      </c>
      <c r="I1882" t="s">
        <v>3284</v>
      </c>
      <c r="J1882" t="str">
        <f>"9780520961807"</f>
        <v>9780520961807</v>
      </c>
      <c r="K1882" t="s">
        <v>3285</v>
      </c>
      <c r="L1882">
        <v>14</v>
      </c>
      <c r="O1882" t="s">
        <v>30</v>
      </c>
      <c r="P1882" t="s">
        <v>50</v>
      </c>
      <c r="S1882" t="s">
        <v>627</v>
      </c>
      <c r="T1882" t="s">
        <v>3286</v>
      </c>
      <c r="U1882">
        <v>333.95</v>
      </c>
      <c r="V1882" s="3">
        <v>42171</v>
      </c>
    </row>
    <row r="1883" spans="1:22" x14ac:dyDescent="0.35">
      <c r="A1883" s="1">
        <v>42354.118969907409</v>
      </c>
      <c r="B1883" s="2">
        <v>4.5787037037037036E-2</v>
      </c>
      <c r="C1883" t="s">
        <v>3274</v>
      </c>
      <c r="D1883" t="s">
        <v>35</v>
      </c>
      <c r="E1883" t="s">
        <v>36</v>
      </c>
      <c r="F1883" t="s">
        <v>3275</v>
      </c>
      <c r="G1883">
        <v>822662</v>
      </c>
      <c r="H1883" t="s">
        <v>26</v>
      </c>
      <c r="I1883" t="s">
        <v>172</v>
      </c>
      <c r="J1883" t="str">
        <f>"9781444355130"</f>
        <v>9781444355130</v>
      </c>
      <c r="K1883" t="s">
        <v>3287</v>
      </c>
      <c r="L1883">
        <v>13</v>
      </c>
      <c r="O1883" t="s">
        <v>30</v>
      </c>
      <c r="P1883" t="s">
        <v>42</v>
      </c>
      <c r="S1883" t="s">
        <v>40</v>
      </c>
      <c r="T1883" t="s">
        <v>3277</v>
      </c>
      <c r="U1883">
        <v>960.3</v>
      </c>
      <c r="V1883" s="3">
        <v>40858</v>
      </c>
    </row>
    <row r="1884" spans="1:22" x14ac:dyDescent="0.35">
      <c r="A1884" s="1">
        <v>42354.098645833335</v>
      </c>
      <c r="B1884" s="2">
        <v>5.7870370370370366E-5</v>
      </c>
      <c r="C1884" t="s">
        <v>3288</v>
      </c>
      <c r="D1884" t="s">
        <v>261</v>
      </c>
      <c r="E1884" t="s">
        <v>262</v>
      </c>
      <c r="F1884" t="s">
        <v>3289</v>
      </c>
      <c r="G1884">
        <v>1569888</v>
      </c>
      <c r="H1884" t="s">
        <v>68</v>
      </c>
      <c r="I1884" t="s">
        <v>172</v>
      </c>
      <c r="J1884" t="str">
        <f>"9781317861386"</f>
        <v>9781317861386</v>
      </c>
      <c r="K1884" t="s">
        <v>33</v>
      </c>
      <c r="L1884">
        <v>3</v>
      </c>
      <c r="O1884" t="s">
        <v>30</v>
      </c>
      <c r="P1884" t="s">
        <v>50</v>
      </c>
      <c r="S1884" t="s">
        <v>264</v>
      </c>
      <c r="T1884" t="s">
        <v>3290</v>
      </c>
      <c r="U1884">
        <v>940.53179999999998</v>
      </c>
      <c r="V1884" s="3">
        <v>41582</v>
      </c>
    </row>
    <row r="1885" spans="1:22" x14ac:dyDescent="0.35">
      <c r="A1885" s="1">
        <v>42354.09778935185</v>
      </c>
      <c r="B1885" s="2">
        <v>2.4305555555555552E-4</v>
      </c>
      <c r="C1885" t="s">
        <v>2985</v>
      </c>
      <c r="D1885" t="s">
        <v>23</v>
      </c>
      <c r="E1885" t="s">
        <v>24</v>
      </c>
      <c r="F1885" t="s">
        <v>3291</v>
      </c>
      <c r="G1885">
        <v>1395248</v>
      </c>
      <c r="H1885" t="s">
        <v>68</v>
      </c>
      <c r="I1885" t="s">
        <v>69</v>
      </c>
      <c r="J1885" t="str">
        <f>"9781135361341"</f>
        <v>9781135361341</v>
      </c>
      <c r="K1885" t="s">
        <v>889</v>
      </c>
      <c r="L1885">
        <v>6</v>
      </c>
      <c r="O1885" t="s">
        <v>30</v>
      </c>
      <c r="P1885" t="s">
        <v>50</v>
      </c>
      <c r="S1885" t="s">
        <v>31</v>
      </c>
      <c r="T1885" t="s">
        <v>3292</v>
      </c>
      <c r="U1885" t="s">
        <v>3293</v>
      </c>
      <c r="V1885" s="3">
        <v>35186</v>
      </c>
    </row>
    <row r="1886" spans="1:22" x14ac:dyDescent="0.35">
      <c r="A1886" s="1">
        <v>42354.069976851853</v>
      </c>
      <c r="B1886" s="2">
        <v>4.1435185185185186E-3</v>
      </c>
      <c r="C1886" t="s">
        <v>106</v>
      </c>
      <c r="D1886" t="s">
        <v>23</v>
      </c>
      <c r="E1886" t="s">
        <v>24</v>
      </c>
      <c r="F1886" t="s">
        <v>3186</v>
      </c>
      <c r="G1886">
        <v>699744</v>
      </c>
      <c r="H1886" t="s">
        <v>26</v>
      </c>
      <c r="I1886" t="s">
        <v>3187</v>
      </c>
      <c r="J1886" t="str">
        <f>"9781118585818"</f>
        <v>9781118585818</v>
      </c>
      <c r="K1886" t="s">
        <v>3294</v>
      </c>
      <c r="L1886">
        <v>19</v>
      </c>
      <c r="O1886" t="s">
        <v>30</v>
      </c>
      <c r="P1886" t="s">
        <v>42</v>
      </c>
      <c r="S1886" t="s">
        <v>31</v>
      </c>
      <c r="T1886" t="s">
        <v>3188</v>
      </c>
      <c r="U1886">
        <v>621.36</v>
      </c>
      <c r="V1886" s="3">
        <v>41310</v>
      </c>
    </row>
    <row r="1887" spans="1:22" x14ac:dyDescent="0.35">
      <c r="A1887" s="1">
        <v>42354.066840277781</v>
      </c>
      <c r="B1887" s="2">
        <v>1.4004629629629629E-3</v>
      </c>
      <c r="C1887" t="s">
        <v>3295</v>
      </c>
      <c r="D1887" t="s">
        <v>158</v>
      </c>
      <c r="E1887" t="s">
        <v>159</v>
      </c>
      <c r="F1887" t="s">
        <v>3117</v>
      </c>
      <c r="G1887">
        <v>1022416</v>
      </c>
      <c r="H1887" t="s">
        <v>26</v>
      </c>
      <c r="I1887" t="s">
        <v>2751</v>
      </c>
      <c r="J1887" t="str">
        <f>"9781118373811"</f>
        <v>9781118373811</v>
      </c>
      <c r="K1887" t="s">
        <v>3296</v>
      </c>
      <c r="L1887">
        <v>13</v>
      </c>
      <c r="O1887" t="s">
        <v>30</v>
      </c>
      <c r="P1887" t="s">
        <v>42</v>
      </c>
      <c r="S1887" t="s">
        <v>163</v>
      </c>
      <c r="T1887" t="s">
        <v>3119</v>
      </c>
      <c r="U1887">
        <v>664</v>
      </c>
      <c r="V1887" s="3">
        <v>41157</v>
      </c>
    </row>
    <row r="1888" spans="1:22" x14ac:dyDescent="0.35">
      <c r="A1888" s="1">
        <v>42354.065729166665</v>
      </c>
      <c r="B1888" s="2">
        <v>1.3263888888888889E-2</v>
      </c>
      <c r="C1888" t="s">
        <v>3297</v>
      </c>
      <c r="D1888" t="s">
        <v>23</v>
      </c>
      <c r="E1888" t="s">
        <v>24</v>
      </c>
      <c r="F1888" t="s">
        <v>3298</v>
      </c>
      <c r="G1888">
        <v>1742625</v>
      </c>
      <c r="H1888" t="s">
        <v>526</v>
      </c>
      <c r="I1888" t="s">
        <v>267</v>
      </c>
      <c r="J1888" t="str">
        <f>"9780226135250"</f>
        <v>9780226135250</v>
      </c>
      <c r="K1888" t="s">
        <v>3299</v>
      </c>
      <c r="L1888">
        <v>13</v>
      </c>
      <c r="O1888" t="s">
        <v>30</v>
      </c>
      <c r="P1888" t="s">
        <v>47</v>
      </c>
      <c r="Q1888" s="1">
        <v>42353.949386574073</v>
      </c>
      <c r="R1888">
        <v>1</v>
      </c>
      <c r="S1888" t="s">
        <v>31</v>
      </c>
      <c r="T1888" t="s">
        <v>3300</v>
      </c>
      <c r="U1888" t="s">
        <v>3301</v>
      </c>
      <c r="V1888" s="3">
        <v>41876</v>
      </c>
    </row>
    <row r="1889" spans="1:22" x14ac:dyDescent="0.35">
      <c r="A1889" s="1">
        <v>42354.065011574072</v>
      </c>
      <c r="B1889" s="2">
        <v>3.4722222222222222E-5</v>
      </c>
      <c r="C1889" t="s">
        <v>106</v>
      </c>
      <c r="D1889" t="s">
        <v>23</v>
      </c>
      <c r="E1889" t="s">
        <v>24</v>
      </c>
      <c r="F1889" t="s">
        <v>3268</v>
      </c>
      <c r="G1889">
        <v>1645679</v>
      </c>
      <c r="H1889" t="s">
        <v>45</v>
      </c>
      <c r="I1889" t="s">
        <v>2879</v>
      </c>
      <c r="J1889" t="str">
        <f>"9781472413079"</f>
        <v>9781472413079</v>
      </c>
      <c r="K1889" t="s">
        <v>3302</v>
      </c>
      <c r="L1889">
        <v>5</v>
      </c>
      <c r="O1889" t="s">
        <v>30</v>
      </c>
      <c r="P1889" t="s">
        <v>29</v>
      </c>
      <c r="Q1889" s="1">
        <v>42354.065011574072</v>
      </c>
      <c r="R1889">
        <v>7</v>
      </c>
      <c r="S1889" t="s">
        <v>31</v>
      </c>
      <c r="T1889" t="s">
        <v>3269</v>
      </c>
      <c r="U1889" t="s">
        <v>3270</v>
      </c>
      <c r="V1889" s="3">
        <v>41726</v>
      </c>
    </row>
    <row r="1890" spans="1:22" x14ac:dyDescent="0.35">
      <c r="A1890" s="1">
        <v>42354.057650462964</v>
      </c>
      <c r="B1890" s="2">
        <v>7.3611111111111108E-3</v>
      </c>
      <c r="C1890" t="s">
        <v>106</v>
      </c>
      <c r="D1890" t="s">
        <v>23</v>
      </c>
      <c r="E1890" t="s">
        <v>24</v>
      </c>
      <c r="F1890" t="s">
        <v>3268</v>
      </c>
      <c r="G1890">
        <v>1645679</v>
      </c>
      <c r="H1890" t="s">
        <v>45</v>
      </c>
      <c r="I1890" t="s">
        <v>2879</v>
      </c>
      <c r="J1890" t="str">
        <f>"9781472413079"</f>
        <v>9781472413079</v>
      </c>
      <c r="K1890" t="s">
        <v>33</v>
      </c>
      <c r="L1890">
        <v>3</v>
      </c>
      <c r="O1890" t="s">
        <v>30</v>
      </c>
      <c r="P1890" t="s">
        <v>42</v>
      </c>
      <c r="S1890" t="s">
        <v>31</v>
      </c>
      <c r="T1890" t="s">
        <v>3269</v>
      </c>
      <c r="U1890" t="s">
        <v>3270</v>
      </c>
      <c r="V1890" s="3">
        <v>41726</v>
      </c>
    </row>
    <row r="1891" spans="1:22" x14ac:dyDescent="0.35">
      <c r="A1891" s="1">
        <v>42354.03800925926</v>
      </c>
      <c r="B1891" s="2">
        <v>2.3495370370370371E-3</v>
      </c>
      <c r="C1891" t="s">
        <v>3303</v>
      </c>
      <c r="D1891" t="s">
        <v>35</v>
      </c>
      <c r="E1891" t="s">
        <v>36</v>
      </c>
      <c r="F1891" t="s">
        <v>3304</v>
      </c>
      <c r="G1891">
        <v>1386401</v>
      </c>
      <c r="H1891" t="s">
        <v>68</v>
      </c>
      <c r="I1891" t="s">
        <v>27</v>
      </c>
      <c r="J1891" t="str">
        <f>"9781136288562"</f>
        <v>9781136288562</v>
      </c>
      <c r="K1891" t="s">
        <v>3305</v>
      </c>
      <c r="L1891">
        <v>13</v>
      </c>
      <c r="O1891" t="s">
        <v>30</v>
      </c>
      <c r="P1891" t="s">
        <v>50</v>
      </c>
      <c r="S1891" t="s">
        <v>40</v>
      </c>
      <c r="T1891" t="s">
        <v>3306</v>
      </c>
      <c r="U1891">
        <v>468.24</v>
      </c>
      <c r="V1891" s="3">
        <v>41528</v>
      </c>
    </row>
    <row r="1892" spans="1:22" x14ac:dyDescent="0.35">
      <c r="A1892" s="1">
        <v>42354.010381944441</v>
      </c>
      <c r="B1892" s="2">
        <v>6.9444444444444444E-5</v>
      </c>
      <c r="C1892" t="s">
        <v>3307</v>
      </c>
      <c r="D1892" t="s">
        <v>261</v>
      </c>
      <c r="E1892" t="s">
        <v>262</v>
      </c>
      <c r="F1892" t="s">
        <v>3244</v>
      </c>
      <c r="G1892">
        <v>1539141</v>
      </c>
      <c r="H1892" t="s">
        <v>68</v>
      </c>
      <c r="I1892" t="s">
        <v>3245</v>
      </c>
      <c r="J1892" t="str">
        <f>"9781134064427"</f>
        <v>9781134064427</v>
      </c>
      <c r="K1892" t="s">
        <v>33</v>
      </c>
      <c r="L1892">
        <v>3</v>
      </c>
      <c r="O1892" t="s">
        <v>30</v>
      </c>
      <c r="P1892" t="s">
        <v>50</v>
      </c>
      <c r="S1892" t="s">
        <v>264</v>
      </c>
      <c r="T1892" t="s">
        <v>3247</v>
      </c>
      <c r="U1892">
        <v>333.75091300000003</v>
      </c>
      <c r="V1892" s="3">
        <v>40087</v>
      </c>
    </row>
    <row r="1893" spans="1:22" x14ac:dyDescent="0.35">
      <c r="A1893" s="1">
        <v>42354.009398148148</v>
      </c>
      <c r="B1893" s="2">
        <v>7.6388888888888893E-4</v>
      </c>
      <c r="C1893" t="s">
        <v>3307</v>
      </c>
      <c r="D1893" t="s">
        <v>261</v>
      </c>
      <c r="E1893" t="s">
        <v>262</v>
      </c>
      <c r="F1893" t="s">
        <v>3308</v>
      </c>
      <c r="G1893">
        <v>1539282</v>
      </c>
      <c r="H1893" t="s">
        <v>68</v>
      </c>
      <c r="I1893" t="s">
        <v>445</v>
      </c>
      <c r="J1893" t="str">
        <f>"9781134070589"</f>
        <v>9781134070589</v>
      </c>
      <c r="K1893" t="s">
        <v>278</v>
      </c>
      <c r="L1893">
        <v>21</v>
      </c>
      <c r="O1893" t="s">
        <v>30</v>
      </c>
      <c r="P1893" t="s">
        <v>50</v>
      </c>
      <c r="S1893" t="s">
        <v>264</v>
      </c>
      <c r="T1893" t="s">
        <v>3309</v>
      </c>
      <c r="U1893">
        <v>338.91410172399998</v>
      </c>
      <c r="V1893" s="3">
        <v>40087</v>
      </c>
    </row>
    <row r="1894" spans="1:22" x14ac:dyDescent="0.35">
      <c r="A1894" s="1">
        <v>42353.997199074074</v>
      </c>
      <c r="B1894" s="2">
        <v>4.7453703703703704E-4</v>
      </c>
      <c r="C1894" t="s">
        <v>3203</v>
      </c>
      <c r="D1894" t="s">
        <v>35</v>
      </c>
      <c r="E1894" t="s">
        <v>36</v>
      </c>
      <c r="F1894" t="s">
        <v>3204</v>
      </c>
      <c r="G1894">
        <v>4044660</v>
      </c>
      <c r="H1894" t="s">
        <v>139</v>
      </c>
      <c r="I1894" t="s">
        <v>120</v>
      </c>
      <c r="J1894" t="str">
        <f>"9781479849680"</f>
        <v>9781479849680</v>
      </c>
      <c r="K1894" t="s">
        <v>3310</v>
      </c>
      <c r="L1894">
        <v>12</v>
      </c>
      <c r="O1894" t="s">
        <v>30</v>
      </c>
      <c r="P1894" t="s">
        <v>42</v>
      </c>
      <c r="S1894" t="s">
        <v>40</v>
      </c>
      <c r="T1894" t="s">
        <v>3206</v>
      </c>
      <c r="U1894" t="s">
        <v>3207</v>
      </c>
      <c r="V1894" s="3">
        <v>42349</v>
      </c>
    </row>
    <row r="1895" spans="1:22" x14ac:dyDescent="0.35">
      <c r="A1895" s="1">
        <v>42353.949386574073</v>
      </c>
      <c r="B1895" s="2">
        <v>5.7094907407407407E-2</v>
      </c>
      <c r="C1895" t="s">
        <v>3297</v>
      </c>
      <c r="D1895" t="s">
        <v>23</v>
      </c>
      <c r="E1895" t="s">
        <v>24</v>
      </c>
      <c r="F1895" t="s">
        <v>3298</v>
      </c>
      <c r="G1895">
        <v>1742625</v>
      </c>
      <c r="H1895" t="s">
        <v>526</v>
      </c>
      <c r="I1895" t="s">
        <v>267</v>
      </c>
      <c r="J1895" t="str">
        <f>"9780226135250"</f>
        <v>9780226135250</v>
      </c>
      <c r="K1895" t="s">
        <v>3311</v>
      </c>
      <c r="L1895">
        <v>37</v>
      </c>
      <c r="O1895" t="s">
        <v>30</v>
      </c>
      <c r="P1895" t="s">
        <v>47</v>
      </c>
      <c r="Q1895" s="1">
        <v>42353.949386574073</v>
      </c>
      <c r="R1895">
        <v>1</v>
      </c>
      <c r="S1895" t="s">
        <v>31</v>
      </c>
      <c r="T1895" t="s">
        <v>3300</v>
      </c>
      <c r="U1895" t="s">
        <v>3301</v>
      </c>
      <c r="V1895" s="3">
        <v>41876</v>
      </c>
    </row>
    <row r="1896" spans="1:22" x14ac:dyDescent="0.35">
      <c r="A1896" s="1">
        <v>42353.943935185183</v>
      </c>
      <c r="B1896" s="2">
        <v>5.4513888888888884E-3</v>
      </c>
      <c r="C1896" t="s">
        <v>3297</v>
      </c>
      <c r="D1896" t="s">
        <v>23</v>
      </c>
      <c r="E1896" t="s">
        <v>24</v>
      </c>
      <c r="F1896" t="s">
        <v>3298</v>
      </c>
      <c r="G1896">
        <v>1742625</v>
      </c>
      <c r="H1896" t="s">
        <v>526</v>
      </c>
      <c r="I1896" t="s">
        <v>267</v>
      </c>
      <c r="J1896" t="str">
        <f>"9780226135250"</f>
        <v>9780226135250</v>
      </c>
      <c r="K1896" t="s">
        <v>3312</v>
      </c>
      <c r="L1896">
        <v>13</v>
      </c>
      <c r="O1896" t="s">
        <v>30</v>
      </c>
      <c r="P1896" t="s">
        <v>50</v>
      </c>
      <c r="S1896" t="s">
        <v>31</v>
      </c>
      <c r="T1896" t="s">
        <v>3300</v>
      </c>
      <c r="U1896" t="s">
        <v>3301</v>
      </c>
      <c r="V1896" s="3">
        <v>41876</v>
      </c>
    </row>
    <row r="1897" spans="1:22" x14ac:dyDescent="0.35">
      <c r="A1897" s="1">
        <v>42353.896967592591</v>
      </c>
      <c r="B1897" s="2">
        <v>6.8287037037037025E-4</v>
      </c>
      <c r="C1897" t="s">
        <v>2701</v>
      </c>
      <c r="D1897" t="s">
        <v>35</v>
      </c>
      <c r="E1897" t="s">
        <v>36</v>
      </c>
      <c r="F1897" t="s">
        <v>3271</v>
      </c>
      <c r="G1897">
        <v>1895714</v>
      </c>
      <c r="H1897" t="s">
        <v>26</v>
      </c>
      <c r="I1897" t="s">
        <v>172</v>
      </c>
      <c r="J1897" t="str">
        <f>"9781118896112"</f>
        <v>9781118896112</v>
      </c>
      <c r="K1897" t="s">
        <v>3313</v>
      </c>
      <c r="L1897">
        <v>10</v>
      </c>
      <c r="O1897" t="s">
        <v>30</v>
      </c>
      <c r="P1897" t="s">
        <v>29</v>
      </c>
      <c r="Q1897" s="1">
        <v>42353.896967592591</v>
      </c>
      <c r="R1897">
        <v>7</v>
      </c>
      <c r="S1897" t="s">
        <v>40</v>
      </c>
      <c r="T1897" t="s">
        <v>3273</v>
      </c>
      <c r="U1897">
        <v>932</v>
      </c>
      <c r="V1897" s="3">
        <v>42011</v>
      </c>
    </row>
    <row r="1898" spans="1:22" x14ac:dyDescent="0.35">
      <c r="A1898" s="1">
        <v>42353.872037037036</v>
      </c>
      <c r="B1898" s="2">
        <v>2.4930555555555553E-2</v>
      </c>
      <c r="C1898" t="s">
        <v>2701</v>
      </c>
      <c r="D1898" t="s">
        <v>35</v>
      </c>
      <c r="E1898" t="s">
        <v>36</v>
      </c>
      <c r="F1898" t="s">
        <v>3271</v>
      </c>
      <c r="G1898">
        <v>1895714</v>
      </c>
      <c r="H1898" t="s">
        <v>26</v>
      </c>
      <c r="I1898" t="s">
        <v>172</v>
      </c>
      <c r="J1898" t="str">
        <f>"9781118896112"</f>
        <v>9781118896112</v>
      </c>
      <c r="K1898" t="s">
        <v>355</v>
      </c>
      <c r="L1898">
        <v>8</v>
      </c>
      <c r="O1898" t="s">
        <v>30</v>
      </c>
      <c r="P1898" t="s">
        <v>42</v>
      </c>
      <c r="S1898" t="s">
        <v>40</v>
      </c>
      <c r="T1898" t="s">
        <v>3273</v>
      </c>
      <c r="U1898">
        <v>932</v>
      </c>
      <c r="V1898" s="3">
        <v>42011</v>
      </c>
    </row>
    <row r="1899" spans="1:22" x14ac:dyDescent="0.35">
      <c r="A1899" s="1">
        <v>42353.86347222222</v>
      </c>
      <c r="B1899" s="2">
        <v>3.4374999999999996E-2</v>
      </c>
      <c r="C1899" t="s">
        <v>3213</v>
      </c>
      <c r="D1899" t="s">
        <v>35</v>
      </c>
      <c r="E1899" t="s">
        <v>36</v>
      </c>
      <c r="F1899" t="s">
        <v>1758</v>
      </c>
      <c r="G1899">
        <v>4039553</v>
      </c>
      <c r="H1899" t="s">
        <v>26</v>
      </c>
      <c r="I1899" t="s">
        <v>150</v>
      </c>
      <c r="J1899" t="str">
        <f>"9781118886045"</f>
        <v>9781118886045</v>
      </c>
      <c r="K1899" t="s">
        <v>3314</v>
      </c>
      <c r="L1899">
        <v>20</v>
      </c>
      <c r="O1899" t="s">
        <v>30</v>
      </c>
      <c r="P1899" t="s">
        <v>29</v>
      </c>
      <c r="Q1899" s="1">
        <v>42353.14806712963</v>
      </c>
      <c r="R1899">
        <v>7</v>
      </c>
      <c r="S1899" t="s">
        <v>40</v>
      </c>
      <c r="T1899" t="s">
        <v>1759</v>
      </c>
      <c r="U1899">
        <v>709.37</v>
      </c>
      <c r="V1899" s="3">
        <v>42256</v>
      </c>
    </row>
    <row r="1900" spans="1:22" x14ac:dyDescent="0.35">
      <c r="A1900" s="1">
        <v>42353.837314814817</v>
      </c>
      <c r="B1900" s="2">
        <v>1.3888888888888889E-4</v>
      </c>
      <c r="C1900" t="s">
        <v>3315</v>
      </c>
      <c r="D1900" t="s">
        <v>1222</v>
      </c>
      <c r="E1900" t="s">
        <v>1223</v>
      </c>
      <c r="F1900" t="s">
        <v>1064</v>
      </c>
      <c r="G1900">
        <v>1744258</v>
      </c>
      <c r="H1900" t="s">
        <v>26</v>
      </c>
      <c r="I1900" t="s">
        <v>297</v>
      </c>
      <c r="J1900" t="str">
        <f>"9781118776162"</f>
        <v>9781118776162</v>
      </c>
      <c r="K1900" t="s">
        <v>33</v>
      </c>
      <c r="L1900">
        <v>3</v>
      </c>
      <c r="O1900" t="s">
        <v>30</v>
      </c>
      <c r="P1900" t="s">
        <v>42</v>
      </c>
      <c r="S1900" t="s">
        <v>1226</v>
      </c>
      <c r="T1900" t="s">
        <v>1066</v>
      </c>
      <c r="U1900">
        <v>513.07600000000002</v>
      </c>
      <c r="V1900" s="3">
        <v>41835</v>
      </c>
    </row>
    <row r="1901" spans="1:22" x14ac:dyDescent="0.35">
      <c r="A1901" s="1">
        <v>42353.837222222224</v>
      </c>
      <c r="B1901" s="2">
        <v>4.6296296296296294E-5</v>
      </c>
      <c r="C1901" t="s">
        <v>3316</v>
      </c>
      <c r="D1901" t="s">
        <v>623</v>
      </c>
      <c r="E1901" t="s">
        <v>624</v>
      </c>
      <c r="F1901" t="s">
        <v>3317</v>
      </c>
      <c r="G1901">
        <v>1895554</v>
      </c>
      <c r="H1901" t="s">
        <v>26</v>
      </c>
      <c r="I1901" t="s">
        <v>3318</v>
      </c>
      <c r="J1901" t="str">
        <f>"9781118708507"</f>
        <v>9781118708507</v>
      </c>
      <c r="K1901" t="s">
        <v>1300</v>
      </c>
      <c r="L1901">
        <v>2</v>
      </c>
      <c r="O1901" t="s">
        <v>30</v>
      </c>
      <c r="P1901" t="s">
        <v>42</v>
      </c>
      <c r="S1901" t="s">
        <v>627</v>
      </c>
      <c r="T1901" t="s">
        <v>3319</v>
      </c>
      <c r="U1901">
        <v>551.6</v>
      </c>
      <c r="V1901" s="3">
        <v>42039</v>
      </c>
    </row>
    <row r="1902" spans="1:22" x14ac:dyDescent="0.35">
      <c r="A1902" s="1">
        <v>42353.822743055556</v>
      </c>
      <c r="B1902" s="2">
        <v>0</v>
      </c>
      <c r="C1902" t="s">
        <v>3320</v>
      </c>
      <c r="D1902" t="s">
        <v>35</v>
      </c>
      <c r="E1902" t="s">
        <v>36</v>
      </c>
      <c r="F1902" t="s">
        <v>3321</v>
      </c>
      <c r="G1902">
        <v>1869291</v>
      </c>
      <c r="H1902" t="s">
        <v>45</v>
      </c>
      <c r="I1902" t="s">
        <v>79</v>
      </c>
      <c r="J1902" t="str">
        <f>"9781409450320"</f>
        <v>9781409450320</v>
      </c>
      <c r="K1902" t="s">
        <v>3322</v>
      </c>
      <c r="L1902">
        <v>1</v>
      </c>
      <c r="O1902" t="s">
        <v>30</v>
      </c>
      <c r="P1902" t="s">
        <v>47</v>
      </c>
      <c r="Q1902" s="1">
        <v>42353.822743055556</v>
      </c>
      <c r="R1902">
        <v>1</v>
      </c>
      <c r="S1902" t="s">
        <v>40</v>
      </c>
      <c r="T1902" t="s">
        <v>3323</v>
      </c>
      <c r="U1902" t="s">
        <v>3324</v>
      </c>
      <c r="V1902" s="3">
        <v>42032</v>
      </c>
    </row>
    <row r="1903" spans="1:22" x14ac:dyDescent="0.35">
      <c r="A1903" s="1">
        <v>42353.818981481483</v>
      </c>
      <c r="B1903" s="2">
        <v>3.7615740740740739E-3</v>
      </c>
      <c r="C1903" t="s">
        <v>3320</v>
      </c>
      <c r="D1903" t="s">
        <v>35</v>
      </c>
      <c r="E1903" t="s">
        <v>36</v>
      </c>
      <c r="F1903" t="s">
        <v>3321</v>
      </c>
      <c r="G1903">
        <v>1869291</v>
      </c>
      <c r="H1903" t="s">
        <v>45</v>
      </c>
      <c r="I1903" t="s">
        <v>79</v>
      </c>
      <c r="J1903" t="str">
        <f>"9781409450320"</f>
        <v>9781409450320</v>
      </c>
      <c r="K1903" t="s">
        <v>3325</v>
      </c>
      <c r="L1903">
        <v>27</v>
      </c>
      <c r="O1903" t="s">
        <v>30</v>
      </c>
      <c r="P1903" t="s">
        <v>50</v>
      </c>
      <c r="S1903" t="s">
        <v>40</v>
      </c>
      <c r="T1903" t="s">
        <v>3323</v>
      </c>
      <c r="U1903" t="s">
        <v>3324</v>
      </c>
      <c r="V1903" s="3">
        <v>42032</v>
      </c>
    </row>
    <row r="1904" spans="1:22" x14ac:dyDescent="0.35">
      <c r="A1904" s="1">
        <v>42353.796817129631</v>
      </c>
      <c r="B1904" s="2">
        <v>2.9050925925925928E-3</v>
      </c>
      <c r="C1904" t="s">
        <v>3326</v>
      </c>
      <c r="D1904" t="s">
        <v>35</v>
      </c>
      <c r="E1904" t="s">
        <v>36</v>
      </c>
      <c r="F1904" t="s">
        <v>1285</v>
      </c>
      <c r="G1904">
        <v>979950</v>
      </c>
      <c r="H1904" t="s">
        <v>1286</v>
      </c>
      <c r="I1904" t="s">
        <v>310</v>
      </c>
      <c r="J1904" t="str">
        <f>"9781476600321"</f>
        <v>9781476600321</v>
      </c>
      <c r="K1904" t="s">
        <v>3327</v>
      </c>
      <c r="L1904">
        <v>32</v>
      </c>
      <c r="N1904" t="s">
        <v>3328</v>
      </c>
      <c r="O1904" t="s">
        <v>30</v>
      </c>
      <c r="P1904" t="s">
        <v>29</v>
      </c>
      <c r="Q1904" s="1">
        <v>42348.918344907404</v>
      </c>
      <c r="R1904">
        <v>7</v>
      </c>
      <c r="S1904" t="s">
        <v>40</v>
      </c>
      <c r="T1904" t="s">
        <v>1288</v>
      </c>
      <c r="U1904" t="s">
        <v>1289</v>
      </c>
      <c r="V1904" s="3">
        <v>41100</v>
      </c>
    </row>
    <row r="1905" spans="1:22" x14ac:dyDescent="0.35">
      <c r="A1905" s="1">
        <v>42353.789907407408</v>
      </c>
      <c r="B1905" s="2">
        <v>1.6319444444444445E-3</v>
      </c>
      <c r="C1905" t="s">
        <v>3329</v>
      </c>
      <c r="D1905" t="s">
        <v>35</v>
      </c>
      <c r="E1905" t="s">
        <v>36</v>
      </c>
      <c r="F1905" t="s">
        <v>986</v>
      </c>
      <c r="G1905">
        <v>968030</v>
      </c>
      <c r="H1905" t="s">
        <v>26</v>
      </c>
      <c r="I1905" t="s">
        <v>219</v>
      </c>
      <c r="J1905" t="str">
        <f>"9781118285138"</f>
        <v>9781118285138</v>
      </c>
      <c r="K1905" t="s">
        <v>3330</v>
      </c>
      <c r="L1905">
        <v>27</v>
      </c>
      <c r="O1905" t="s">
        <v>30</v>
      </c>
      <c r="P1905" t="s">
        <v>42</v>
      </c>
      <c r="S1905" t="s">
        <v>40</v>
      </c>
      <c r="T1905" t="s">
        <v>987</v>
      </c>
      <c r="U1905">
        <v>158.30000000000001</v>
      </c>
      <c r="V1905" s="3">
        <v>41100</v>
      </c>
    </row>
    <row r="1906" spans="1:22" x14ac:dyDescent="0.35">
      <c r="A1906" s="1">
        <v>42353.771724537037</v>
      </c>
      <c r="B1906" s="2">
        <v>3.3842592592592598E-2</v>
      </c>
      <c r="C1906" t="s">
        <v>3331</v>
      </c>
      <c r="D1906" t="s">
        <v>261</v>
      </c>
      <c r="E1906" t="s">
        <v>262</v>
      </c>
      <c r="F1906" t="s">
        <v>3332</v>
      </c>
      <c r="G1906">
        <v>1822530</v>
      </c>
      <c r="H1906" t="s">
        <v>26</v>
      </c>
      <c r="I1906" t="s">
        <v>1407</v>
      </c>
      <c r="J1906" t="str">
        <f>"9781118871317"</f>
        <v>9781118871317</v>
      </c>
      <c r="K1906" t="s">
        <v>3333</v>
      </c>
      <c r="L1906">
        <v>36</v>
      </c>
      <c r="O1906" t="s">
        <v>30</v>
      </c>
      <c r="P1906" t="s">
        <v>47</v>
      </c>
      <c r="Q1906" s="1">
        <v>42353.771724537037</v>
      </c>
      <c r="R1906">
        <v>1</v>
      </c>
      <c r="S1906" t="s">
        <v>264</v>
      </c>
      <c r="T1906" t="s">
        <v>3334</v>
      </c>
      <c r="U1906">
        <v>579</v>
      </c>
      <c r="V1906" s="3">
        <v>41932</v>
      </c>
    </row>
    <row r="1907" spans="1:22" x14ac:dyDescent="0.35">
      <c r="A1907" s="1">
        <v>42353.771493055552</v>
      </c>
      <c r="B1907" s="2">
        <v>8.1018518518518516E-5</v>
      </c>
      <c r="C1907" t="s">
        <v>210</v>
      </c>
      <c r="D1907" t="s">
        <v>211</v>
      </c>
      <c r="E1907" t="s">
        <v>212</v>
      </c>
      <c r="F1907" t="s">
        <v>52</v>
      </c>
      <c r="G1907">
        <v>822040</v>
      </c>
      <c r="H1907" t="s">
        <v>26</v>
      </c>
      <c r="I1907" t="s">
        <v>53</v>
      </c>
      <c r="J1907" t="str">
        <f>"9781118289099"</f>
        <v>9781118289099</v>
      </c>
      <c r="K1907" t="s">
        <v>209</v>
      </c>
      <c r="L1907">
        <v>4</v>
      </c>
      <c r="O1907" t="s">
        <v>30</v>
      </c>
      <c r="P1907" t="s">
        <v>42</v>
      </c>
      <c r="S1907" t="s">
        <v>214</v>
      </c>
      <c r="T1907" t="s">
        <v>55</v>
      </c>
      <c r="U1907" t="s">
        <v>56</v>
      </c>
      <c r="V1907" s="3">
        <v>40990</v>
      </c>
    </row>
    <row r="1908" spans="1:22" x14ac:dyDescent="0.35">
      <c r="A1908" s="1">
        <v>42353.769293981481</v>
      </c>
      <c r="B1908" s="2">
        <v>1.273148148148148E-4</v>
      </c>
      <c r="C1908" t="s">
        <v>2658</v>
      </c>
      <c r="D1908" t="s">
        <v>23</v>
      </c>
      <c r="E1908" t="s">
        <v>24</v>
      </c>
      <c r="F1908" t="s">
        <v>3335</v>
      </c>
      <c r="G1908">
        <v>1694837</v>
      </c>
      <c r="H1908" t="s">
        <v>526</v>
      </c>
      <c r="I1908" t="s">
        <v>630</v>
      </c>
      <c r="J1908" t="str">
        <f>"9780226135564"</f>
        <v>9780226135564</v>
      </c>
      <c r="K1908" t="s">
        <v>3336</v>
      </c>
      <c r="L1908">
        <v>8</v>
      </c>
      <c r="O1908" t="s">
        <v>30</v>
      </c>
      <c r="P1908" t="s">
        <v>50</v>
      </c>
      <c r="S1908" t="s">
        <v>31</v>
      </c>
      <c r="T1908" t="s">
        <v>3337</v>
      </c>
      <c r="U1908">
        <v>121</v>
      </c>
      <c r="V1908" s="3">
        <v>41805</v>
      </c>
    </row>
    <row r="1909" spans="1:22" x14ac:dyDescent="0.35">
      <c r="A1909" s="1">
        <v>42353.764791666668</v>
      </c>
      <c r="B1909" s="2">
        <v>6.9328703703703696E-3</v>
      </c>
      <c r="C1909" t="s">
        <v>3331</v>
      </c>
      <c r="D1909" t="s">
        <v>261</v>
      </c>
      <c r="E1909" t="s">
        <v>262</v>
      </c>
      <c r="F1909" t="s">
        <v>3332</v>
      </c>
      <c r="G1909">
        <v>1822530</v>
      </c>
      <c r="H1909" t="s">
        <v>26</v>
      </c>
      <c r="I1909" t="s">
        <v>1407</v>
      </c>
      <c r="J1909" t="str">
        <f>"9781118871317"</f>
        <v>9781118871317</v>
      </c>
      <c r="K1909" t="s">
        <v>3338</v>
      </c>
      <c r="L1909">
        <v>41</v>
      </c>
      <c r="O1909" t="s">
        <v>30</v>
      </c>
      <c r="P1909" t="s">
        <v>50</v>
      </c>
      <c r="S1909" t="s">
        <v>264</v>
      </c>
      <c r="T1909" t="s">
        <v>3334</v>
      </c>
      <c r="U1909">
        <v>579</v>
      </c>
      <c r="V1909" s="3">
        <v>41932</v>
      </c>
    </row>
    <row r="1910" spans="1:22" x14ac:dyDescent="0.35">
      <c r="A1910" s="1">
        <v>42353.753657407404</v>
      </c>
      <c r="B1910" s="2">
        <v>6.8287037037037025E-4</v>
      </c>
      <c r="C1910" t="s">
        <v>2958</v>
      </c>
      <c r="D1910" t="s">
        <v>146</v>
      </c>
      <c r="E1910" t="s">
        <v>147</v>
      </c>
      <c r="F1910" t="s">
        <v>3117</v>
      </c>
      <c r="G1910">
        <v>1022416</v>
      </c>
      <c r="H1910" t="s">
        <v>26</v>
      </c>
      <c r="I1910" t="s">
        <v>2751</v>
      </c>
      <c r="J1910" t="str">
        <f>"9781118373811"</f>
        <v>9781118373811</v>
      </c>
      <c r="K1910" t="s">
        <v>3339</v>
      </c>
      <c r="L1910">
        <v>9</v>
      </c>
      <c r="O1910" t="s">
        <v>30</v>
      </c>
      <c r="P1910" t="s">
        <v>42</v>
      </c>
      <c r="S1910" t="s">
        <v>2961</v>
      </c>
      <c r="T1910" t="s">
        <v>3119</v>
      </c>
      <c r="U1910">
        <v>664</v>
      </c>
      <c r="V1910" s="3">
        <v>41157</v>
      </c>
    </row>
    <row r="1911" spans="1:22" x14ac:dyDescent="0.35">
      <c r="A1911" s="1">
        <v>42353.724270833336</v>
      </c>
      <c r="B1911" s="2">
        <v>6.134259259259259E-4</v>
      </c>
      <c r="C1911" t="s">
        <v>3282</v>
      </c>
      <c r="D1911" t="s">
        <v>623</v>
      </c>
      <c r="E1911" t="s">
        <v>624</v>
      </c>
      <c r="F1911" t="s">
        <v>3340</v>
      </c>
      <c r="G1911">
        <v>1882100</v>
      </c>
      <c r="H1911" t="s">
        <v>84</v>
      </c>
      <c r="I1911" t="s">
        <v>3341</v>
      </c>
      <c r="J1911" t="str">
        <f>"9780520961098"</f>
        <v>9780520961098</v>
      </c>
      <c r="K1911" t="s">
        <v>3342</v>
      </c>
      <c r="L1911">
        <v>8</v>
      </c>
      <c r="O1911" t="s">
        <v>30</v>
      </c>
      <c r="P1911" t="s">
        <v>50</v>
      </c>
      <c r="S1911" t="s">
        <v>627</v>
      </c>
      <c r="T1911" t="s">
        <v>3343</v>
      </c>
      <c r="U1911">
        <v>577.29999999999995</v>
      </c>
      <c r="V1911" s="3">
        <v>42125</v>
      </c>
    </row>
    <row r="1912" spans="1:22" x14ac:dyDescent="0.35">
      <c r="A1912" s="1">
        <v>42353.716192129628</v>
      </c>
      <c r="B1912" s="2">
        <v>2.4305555555555552E-4</v>
      </c>
      <c r="C1912" t="s">
        <v>3282</v>
      </c>
      <c r="D1912" t="s">
        <v>623</v>
      </c>
      <c r="E1912" t="s">
        <v>624</v>
      </c>
      <c r="F1912" t="s">
        <v>3344</v>
      </c>
      <c r="G1912">
        <v>1895927</v>
      </c>
      <c r="H1912" t="s">
        <v>26</v>
      </c>
      <c r="I1912" t="s">
        <v>3061</v>
      </c>
      <c r="J1912" t="str">
        <f>"9781119019794"</f>
        <v>9781119019794</v>
      </c>
      <c r="K1912" t="s">
        <v>1197</v>
      </c>
      <c r="L1912">
        <v>3</v>
      </c>
      <c r="N1912" t="s">
        <v>3345</v>
      </c>
      <c r="O1912" t="s">
        <v>30</v>
      </c>
      <c r="P1912" t="s">
        <v>29</v>
      </c>
      <c r="Q1912" s="1">
        <v>42353.714803240742</v>
      </c>
      <c r="R1912">
        <v>7</v>
      </c>
      <c r="S1912" t="s">
        <v>627</v>
      </c>
      <c r="T1912" t="s">
        <v>3346</v>
      </c>
      <c r="U1912">
        <v>577.67999999999995</v>
      </c>
      <c r="V1912" s="3">
        <v>42061</v>
      </c>
    </row>
    <row r="1913" spans="1:22" x14ac:dyDescent="0.35">
      <c r="A1913" s="1">
        <v>42353.714803240742</v>
      </c>
      <c r="B1913" s="2">
        <v>0</v>
      </c>
      <c r="C1913" t="s">
        <v>3282</v>
      </c>
      <c r="D1913" t="s">
        <v>623</v>
      </c>
      <c r="E1913" t="s">
        <v>624</v>
      </c>
      <c r="F1913" t="s">
        <v>3344</v>
      </c>
      <c r="G1913">
        <v>1895927</v>
      </c>
      <c r="H1913" t="s">
        <v>26</v>
      </c>
      <c r="I1913" t="s">
        <v>3061</v>
      </c>
      <c r="J1913" t="str">
        <f>"9781119019794"</f>
        <v>9781119019794</v>
      </c>
      <c r="L1913">
        <v>0</v>
      </c>
      <c r="N1913" t="s">
        <v>3347</v>
      </c>
      <c r="O1913" t="s">
        <v>30</v>
      </c>
      <c r="P1913" t="s">
        <v>29</v>
      </c>
      <c r="Q1913" s="1">
        <v>42353.714803240742</v>
      </c>
      <c r="R1913">
        <v>7</v>
      </c>
      <c r="S1913" t="s">
        <v>627</v>
      </c>
      <c r="T1913" t="s">
        <v>3346</v>
      </c>
      <c r="U1913">
        <v>577.67999999999995</v>
      </c>
      <c r="V1913" s="3">
        <v>42061</v>
      </c>
    </row>
    <row r="1914" spans="1:22" x14ac:dyDescent="0.35">
      <c r="A1914" s="1">
        <v>42353.713379629633</v>
      </c>
      <c r="B1914" s="2">
        <v>1.423611111111111E-3</v>
      </c>
      <c r="C1914" t="s">
        <v>3282</v>
      </c>
      <c r="D1914" t="s">
        <v>623</v>
      </c>
      <c r="E1914" t="s">
        <v>624</v>
      </c>
      <c r="F1914" t="s">
        <v>3344</v>
      </c>
      <c r="G1914">
        <v>1895927</v>
      </c>
      <c r="H1914" t="s">
        <v>26</v>
      </c>
      <c r="I1914" t="s">
        <v>3061</v>
      </c>
      <c r="J1914" t="str">
        <f>"9781119019794"</f>
        <v>9781119019794</v>
      </c>
      <c r="K1914" t="s">
        <v>3348</v>
      </c>
      <c r="L1914">
        <v>20</v>
      </c>
      <c r="O1914" t="s">
        <v>30</v>
      </c>
      <c r="P1914" t="s">
        <v>42</v>
      </c>
      <c r="S1914" t="s">
        <v>627</v>
      </c>
      <c r="T1914" t="s">
        <v>3346</v>
      </c>
      <c r="U1914">
        <v>577.67999999999995</v>
      </c>
      <c r="V1914" s="3">
        <v>42061</v>
      </c>
    </row>
    <row r="1915" spans="1:22" x14ac:dyDescent="0.35">
      <c r="A1915" s="1">
        <v>42353.671365740738</v>
      </c>
      <c r="B1915" s="2">
        <v>3.8541666666666669E-2</v>
      </c>
      <c r="C1915" t="s">
        <v>471</v>
      </c>
      <c r="D1915" t="s">
        <v>211</v>
      </c>
      <c r="E1915" t="s">
        <v>212</v>
      </c>
      <c r="F1915" t="s">
        <v>497</v>
      </c>
      <c r="G1915">
        <v>1986951</v>
      </c>
      <c r="H1915" t="s">
        <v>26</v>
      </c>
      <c r="I1915" t="s">
        <v>97</v>
      </c>
      <c r="J1915" t="str">
        <f>"9781119130468"</f>
        <v>9781119130468</v>
      </c>
      <c r="K1915" t="s">
        <v>3349</v>
      </c>
      <c r="L1915">
        <v>26</v>
      </c>
      <c r="O1915" t="s">
        <v>30</v>
      </c>
      <c r="P1915" t="s">
        <v>29</v>
      </c>
      <c r="Q1915" s="1">
        <v>42349.868807870371</v>
      </c>
      <c r="R1915">
        <v>7</v>
      </c>
      <c r="S1915" t="s">
        <v>214</v>
      </c>
      <c r="T1915" t="s">
        <v>500</v>
      </c>
      <c r="U1915">
        <v>657.07600000000002</v>
      </c>
      <c r="V1915" s="3">
        <v>42143</v>
      </c>
    </row>
    <row r="1916" spans="1:22" x14ac:dyDescent="0.35">
      <c r="A1916" s="1">
        <v>42353.668622685182</v>
      </c>
      <c r="B1916" s="2">
        <v>7.0601851851851847E-4</v>
      </c>
      <c r="C1916" t="s">
        <v>3350</v>
      </c>
      <c r="D1916" t="s">
        <v>23</v>
      </c>
      <c r="E1916" t="s">
        <v>24</v>
      </c>
      <c r="F1916" t="s">
        <v>3351</v>
      </c>
      <c r="G1916">
        <v>1760720</v>
      </c>
      <c r="H1916" t="s">
        <v>91</v>
      </c>
      <c r="I1916" t="s">
        <v>247</v>
      </c>
      <c r="J1916" t="str">
        <f>"9781462517459"</f>
        <v>9781462517459</v>
      </c>
      <c r="K1916" t="s">
        <v>3352</v>
      </c>
      <c r="L1916">
        <v>46</v>
      </c>
      <c r="O1916" t="s">
        <v>30</v>
      </c>
      <c r="P1916" t="s">
        <v>42</v>
      </c>
      <c r="S1916" t="s">
        <v>31</v>
      </c>
      <c r="T1916" t="s">
        <v>3353</v>
      </c>
      <c r="U1916">
        <v>616.89142000000004</v>
      </c>
      <c r="V1916" s="3">
        <v>41996</v>
      </c>
    </row>
    <row r="1917" spans="1:22" x14ac:dyDescent="0.35">
      <c r="A1917" s="1">
        <v>42353.604259259257</v>
      </c>
      <c r="B1917" s="2">
        <v>4.1666666666666666E-3</v>
      </c>
      <c r="C1917" t="s">
        <v>2705</v>
      </c>
      <c r="D1917" t="s">
        <v>23</v>
      </c>
      <c r="E1917" t="s">
        <v>24</v>
      </c>
      <c r="F1917" t="s">
        <v>226</v>
      </c>
      <c r="G1917">
        <v>817313</v>
      </c>
      <c r="H1917" t="s">
        <v>26</v>
      </c>
      <c r="I1917" t="s">
        <v>69</v>
      </c>
      <c r="J1917" t="str">
        <f>"9781118136829"</f>
        <v>9781118136829</v>
      </c>
      <c r="K1917" t="s">
        <v>3354</v>
      </c>
      <c r="L1917">
        <v>3</v>
      </c>
      <c r="O1917" t="s">
        <v>28</v>
      </c>
      <c r="P1917" t="s">
        <v>29</v>
      </c>
      <c r="Q1917" s="1">
        <v>42348.608298611114</v>
      </c>
      <c r="R1917">
        <v>7</v>
      </c>
      <c r="S1917" t="s">
        <v>31</v>
      </c>
      <c r="T1917" t="s">
        <v>2311</v>
      </c>
      <c r="U1917">
        <v>378.16640000000001</v>
      </c>
      <c r="V1917" s="3">
        <v>40918</v>
      </c>
    </row>
    <row r="1918" spans="1:22" x14ac:dyDescent="0.35">
      <c r="A1918" s="1">
        <v>42353.597245370373</v>
      </c>
      <c r="B1918" s="2">
        <v>6.828703703703704E-3</v>
      </c>
      <c r="C1918" t="s">
        <v>2705</v>
      </c>
      <c r="D1918" t="s">
        <v>23</v>
      </c>
      <c r="E1918" t="s">
        <v>24</v>
      </c>
      <c r="F1918" t="s">
        <v>226</v>
      </c>
      <c r="G1918">
        <v>817313</v>
      </c>
      <c r="H1918" t="s">
        <v>26</v>
      </c>
      <c r="I1918" t="s">
        <v>69</v>
      </c>
      <c r="J1918" t="str">
        <f>"9781118136829"</f>
        <v>9781118136829</v>
      </c>
      <c r="K1918" t="s">
        <v>3355</v>
      </c>
      <c r="L1918">
        <v>64</v>
      </c>
      <c r="O1918" t="s">
        <v>30</v>
      </c>
      <c r="P1918" t="s">
        <v>29</v>
      </c>
      <c r="Q1918" s="1">
        <v>42348.608298611114</v>
      </c>
      <c r="R1918">
        <v>7</v>
      </c>
      <c r="S1918" t="s">
        <v>31</v>
      </c>
      <c r="T1918" t="s">
        <v>2311</v>
      </c>
      <c r="U1918">
        <v>378.16640000000001</v>
      </c>
      <c r="V1918" s="3">
        <v>40918</v>
      </c>
    </row>
    <row r="1919" spans="1:22" x14ac:dyDescent="0.35">
      <c r="A1919" s="1">
        <v>42353.5628125</v>
      </c>
      <c r="B1919" s="2">
        <v>3.4722222222222222E-5</v>
      </c>
      <c r="C1919" t="s">
        <v>3356</v>
      </c>
      <c r="D1919" t="s">
        <v>158</v>
      </c>
      <c r="E1919" t="s">
        <v>159</v>
      </c>
      <c r="F1919" t="s">
        <v>3357</v>
      </c>
      <c r="G1919">
        <v>1753378</v>
      </c>
      <c r="H1919" t="s">
        <v>26</v>
      </c>
      <c r="I1919" t="s">
        <v>97</v>
      </c>
      <c r="J1919" t="str">
        <f>"9781118883570"</f>
        <v>9781118883570</v>
      </c>
      <c r="K1919" t="s">
        <v>611</v>
      </c>
      <c r="L1919">
        <v>3</v>
      </c>
      <c r="O1919" t="s">
        <v>30</v>
      </c>
      <c r="P1919" t="s">
        <v>42</v>
      </c>
      <c r="S1919" t="s">
        <v>163</v>
      </c>
      <c r="T1919" t="s">
        <v>3358</v>
      </c>
      <c r="U1919" t="s">
        <v>3359</v>
      </c>
      <c r="V1919" s="3">
        <v>41843</v>
      </c>
    </row>
    <row r="1920" spans="1:22" x14ac:dyDescent="0.35">
      <c r="A1920" s="1">
        <v>42353.559976851851</v>
      </c>
      <c r="B1920" s="2">
        <v>5.7870370370370366E-5</v>
      </c>
      <c r="C1920" t="s">
        <v>1306</v>
      </c>
      <c r="D1920" t="s">
        <v>158</v>
      </c>
      <c r="E1920" t="s">
        <v>159</v>
      </c>
      <c r="F1920" t="s">
        <v>3357</v>
      </c>
      <c r="G1920">
        <v>1753378</v>
      </c>
      <c r="H1920" t="s">
        <v>26</v>
      </c>
      <c r="I1920" t="s">
        <v>97</v>
      </c>
      <c r="J1920" t="str">
        <f>"9781118883570"</f>
        <v>9781118883570</v>
      </c>
      <c r="K1920" t="s">
        <v>33</v>
      </c>
      <c r="L1920">
        <v>3</v>
      </c>
      <c r="O1920" t="s">
        <v>30</v>
      </c>
      <c r="P1920" t="s">
        <v>42</v>
      </c>
      <c r="S1920" t="s">
        <v>163</v>
      </c>
      <c r="T1920" t="s">
        <v>3358</v>
      </c>
      <c r="U1920" t="s">
        <v>3359</v>
      </c>
      <c r="V1920" s="3">
        <v>41843</v>
      </c>
    </row>
    <row r="1921" spans="1:22" x14ac:dyDescent="0.35">
      <c r="A1921" s="1">
        <v>42353.355949074074</v>
      </c>
      <c r="B1921" s="2">
        <v>8.6574074074074071E-3</v>
      </c>
      <c r="C1921" t="s">
        <v>3360</v>
      </c>
      <c r="D1921" t="s">
        <v>335</v>
      </c>
      <c r="E1921" t="s">
        <v>336</v>
      </c>
      <c r="F1921" t="s">
        <v>148</v>
      </c>
      <c r="G1921">
        <v>877717</v>
      </c>
      <c r="H1921" t="s">
        <v>149</v>
      </c>
      <c r="I1921" t="s">
        <v>150</v>
      </c>
      <c r="J1921" t="str">
        <f>"9781438139265"</f>
        <v>9781438139265</v>
      </c>
      <c r="K1921" t="s">
        <v>3361</v>
      </c>
      <c r="L1921">
        <v>43</v>
      </c>
      <c r="O1921" t="s">
        <v>30</v>
      </c>
      <c r="P1921" t="s">
        <v>29</v>
      </c>
      <c r="Q1921" s="1">
        <v>42352.036932870367</v>
      </c>
      <c r="R1921">
        <v>7</v>
      </c>
      <c r="S1921" t="s">
        <v>340</v>
      </c>
      <c r="T1921" t="s">
        <v>153</v>
      </c>
      <c r="U1921" t="s">
        <v>154</v>
      </c>
      <c r="V1921" s="3">
        <v>40909</v>
      </c>
    </row>
    <row r="1922" spans="1:22" x14ac:dyDescent="0.35">
      <c r="A1922" s="1">
        <v>42353.331875000003</v>
      </c>
      <c r="B1922" s="2">
        <v>3.4953703703703705E-3</v>
      </c>
      <c r="C1922" t="s">
        <v>3362</v>
      </c>
      <c r="D1922" t="s">
        <v>35</v>
      </c>
      <c r="E1922" t="s">
        <v>36</v>
      </c>
      <c r="F1922" t="s">
        <v>3363</v>
      </c>
      <c r="G1922">
        <v>1386405</v>
      </c>
      <c r="H1922" t="s">
        <v>68</v>
      </c>
      <c r="I1922" t="s">
        <v>150</v>
      </c>
      <c r="J1922" t="str">
        <f>"9781136222900"</f>
        <v>9781136222900</v>
      </c>
      <c r="K1922" t="s">
        <v>3364</v>
      </c>
      <c r="L1922">
        <v>13</v>
      </c>
      <c r="O1922" t="s">
        <v>30</v>
      </c>
      <c r="P1922" t="s">
        <v>47</v>
      </c>
      <c r="Q1922" s="1">
        <v>42353.331875000003</v>
      </c>
      <c r="R1922">
        <v>1</v>
      </c>
      <c r="S1922" t="s">
        <v>40</v>
      </c>
      <c r="T1922" t="s">
        <v>3365</v>
      </c>
      <c r="U1922">
        <v>791.43616999999995</v>
      </c>
      <c r="V1922" s="3">
        <v>41528</v>
      </c>
    </row>
    <row r="1923" spans="1:22" x14ac:dyDescent="0.35">
      <c r="A1923" s="1">
        <v>42353.249525462961</v>
      </c>
      <c r="B1923" s="2">
        <v>8.2349537037037041E-2</v>
      </c>
      <c r="C1923" t="s">
        <v>3362</v>
      </c>
      <c r="D1923" t="s">
        <v>35</v>
      </c>
      <c r="E1923" t="s">
        <v>36</v>
      </c>
      <c r="F1923" t="s">
        <v>3363</v>
      </c>
      <c r="G1923">
        <v>1386405</v>
      </c>
      <c r="H1923" t="s">
        <v>68</v>
      </c>
      <c r="I1923" t="s">
        <v>150</v>
      </c>
      <c r="J1923" t="str">
        <f>"9781136222900"</f>
        <v>9781136222900</v>
      </c>
      <c r="K1923" t="s">
        <v>33</v>
      </c>
      <c r="L1923">
        <v>3</v>
      </c>
      <c r="O1923" t="s">
        <v>30</v>
      </c>
      <c r="P1923" t="s">
        <v>50</v>
      </c>
      <c r="S1923" t="s">
        <v>40</v>
      </c>
      <c r="T1923" t="s">
        <v>3365</v>
      </c>
      <c r="U1923">
        <v>791.43616999999995</v>
      </c>
      <c r="V1923" s="3">
        <v>41528</v>
      </c>
    </row>
    <row r="1924" spans="1:22" x14ac:dyDescent="0.35">
      <c r="A1924" s="1">
        <v>42353.216909722221</v>
      </c>
      <c r="B1924" s="2">
        <v>2.8935185185185189E-4</v>
      </c>
      <c r="C1924" t="s">
        <v>106</v>
      </c>
      <c r="D1924" t="s">
        <v>23</v>
      </c>
      <c r="E1924" t="s">
        <v>24</v>
      </c>
      <c r="F1924" t="s">
        <v>3366</v>
      </c>
      <c r="G1924">
        <v>836166</v>
      </c>
      <c r="H1924" t="s">
        <v>149</v>
      </c>
      <c r="I1924" t="s">
        <v>3367</v>
      </c>
      <c r="J1924" t="str">
        <f>"9781438139470"</f>
        <v>9781438139470</v>
      </c>
      <c r="K1924" t="s">
        <v>3368</v>
      </c>
      <c r="L1924">
        <v>15</v>
      </c>
      <c r="O1924" t="s">
        <v>30</v>
      </c>
      <c r="P1924" t="s">
        <v>29</v>
      </c>
      <c r="Q1924" s="1">
        <v>42353.036979166667</v>
      </c>
      <c r="R1924">
        <v>7</v>
      </c>
      <c r="S1924" t="s">
        <v>31</v>
      </c>
      <c r="T1924" t="s">
        <v>3369</v>
      </c>
      <c r="U1924">
        <v>6.3</v>
      </c>
      <c r="V1924" s="3">
        <v>40848</v>
      </c>
    </row>
    <row r="1925" spans="1:22" x14ac:dyDescent="0.35">
      <c r="A1925" s="1">
        <v>42353.21534722222</v>
      </c>
      <c r="B1925" s="2">
        <v>3.7037037037037035E-4</v>
      </c>
      <c r="C1925" t="s">
        <v>3295</v>
      </c>
      <c r="D1925" t="s">
        <v>158</v>
      </c>
      <c r="E1925" t="s">
        <v>159</v>
      </c>
      <c r="F1925" t="s">
        <v>3117</v>
      </c>
      <c r="G1925">
        <v>1022416</v>
      </c>
      <c r="H1925" t="s">
        <v>26</v>
      </c>
      <c r="I1925" t="s">
        <v>2751</v>
      </c>
      <c r="J1925" t="str">
        <f>"9781118373811"</f>
        <v>9781118373811</v>
      </c>
      <c r="K1925" t="s">
        <v>3370</v>
      </c>
      <c r="L1925">
        <v>9</v>
      </c>
      <c r="O1925" t="s">
        <v>30</v>
      </c>
      <c r="P1925" t="s">
        <v>42</v>
      </c>
      <c r="S1925" t="s">
        <v>163</v>
      </c>
      <c r="T1925" t="s">
        <v>3119</v>
      </c>
      <c r="U1925">
        <v>664</v>
      </c>
      <c r="V1925" s="3">
        <v>41157</v>
      </c>
    </row>
    <row r="1926" spans="1:22" x14ac:dyDescent="0.35">
      <c r="A1926" s="1">
        <v>42353.201863425929</v>
      </c>
      <c r="B1926" s="2">
        <v>3.8194444444444446E-4</v>
      </c>
      <c r="C1926" t="s">
        <v>3213</v>
      </c>
      <c r="D1926" t="s">
        <v>35</v>
      </c>
      <c r="E1926" t="s">
        <v>36</v>
      </c>
      <c r="F1926" t="s">
        <v>1758</v>
      </c>
      <c r="G1926">
        <v>4039553</v>
      </c>
      <c r="H1926" t="s">
        <v>26</v>
      </c>
      <c r="I1926" t="s">
        <v>150</v>
      </c>
      <c r="J1926" t="str">
        <f>"9781118886045"</f>
        <v>9781118886045</v>
      </c>
      <c r="K1926" t="s">
        <v>3371</v>
      </c>
      <c r="L1926">
        <v>15</v>
      </c>
      <c r="O1926" t="s">
        <v>30</v>
      </c>
      <c r="P1926" t="s">
        <v>29</v>
      </c>
      <c r="Q1926" s="1">
        <v>42353.14806712963</v>
      </c>
      <c r="R1926">
        <v>7</v>
      </c>
      <c r="S1926" t="s">
        <v>40</v>
      </c>
      <c r="T1926" t="s">
        <v>1759</v>
      </c>
      <c r="U1926">
        <v>709.37</v>
      </c>
      <c r="V1926" s="3">
        <v>42256</v>
      </c>
    </row>
    <row r="1927" spans="1:22" x14ac:dyDescent="0.35">
      <c r="A1927" s="1">
        <v>42353.192743055559</v>
      </c>
      <c r="B1927" s="2">
        <v>1.273148148148148E-4</v>
      </c>
      <c r="C1927" t="s">
        <v>3213</v>
      </c>
      <c r="D1927" t="s">
        <v>35</v>
      </c>
      <c r="E1927" t="s">
        <v>36</v>
      </c>
      <c r="F1927" t="s">
        <v>3215</v>
      </c>
      <c r="G1927">
        <v>4034179</v>
      </c>
      <c r="H1927" t="s">
        <v>26</v>
      </c>
      <c r="I1927" t="s">
        <v>200</v>
      </c>
      <c r="J1927" t="str">
        <f>"9781118325131"</f>
        <v>9781118325131</v>
      </c>
      <c r="K1927" t="s">
        <v>33</v>
      </c>
      <c r="L1927">
        <v>3</v>
      </c>
      <c r="O1927" t="s">
        <v>30</v>
      </c>
      <c r="P1927" t="s">
        <v>50</v>
      </c>
      <c r="S1927" t="s">
        <v>40</v>
      </c>
      <c r="U1927">
        <v>720.37</v>
      </c>
      <c r="V1927" s="3">
        <v>41557</v>
      </c>
    </row>
    <row r="1928" spans="1:22" x14ac:dyDescent="0.35">
      <c r="A1928" s="1">
        <v>42353.171377314815</v>
      </c>
      <c r="B1928" s="2">
        <v>3.4189814814814819E-2</v>
      </c>
      <c r="C1928" t="s">
        <v>3372</v>
      </c>
      <c r="D1928" t="s">
        <v>623</v>
      </c>
      <c r="E1928" t="s">
        <v>624</v>
      </c>
      <c r="F1928" t="s">
        <v>3373</v>
      </c>
      <c r="G1928">
        <v>1710992</v>
      </c>
      <c r="H1928" t="s">
        <v>84</v>
      </c>
      <c r="I1928" t="s">
        <v>120</v>
      </c>
      <c r="J1928" t="str">
        <f>"9780520959125"</f>
        <v>9780520959125</v>
      </c>
      <c r="K1928" t="s">
        <v>3374</v>
      </c>
      <c r="L1928">
        <v>25</v>
      </c>
      <c r="M1928" t="s">
        <v>3375</v>
      </c>
      <c r="O1928" t="s">
        <v>30</v>
      </c>
      <c r="P1928" t="s">
        <v>29</v>
      </c>
      <c r="Q1928" s="1">
        <v>42353.171377314815</v>
      </c>
      <c r="R1928">
        <v>7</v>
      </c>
      <c r="S1928" t="s">
        <v>627</v>
      </c>
      <c r="T1928" t="s">
        <v>3376</v>
      </c>
      <c r="U1928">
        <v>398.209</v>
      </c>
      <c r="V1928" s="3">
        <v>42018</v>
      </c>
    </row>
    <row r="1929" spans="1:22" x14ac:dyDescent="0.35">
      <c r="A1929" s="1">
        <v>42353.166331018518</v>
      </c>
      <c r="B1929" s="2">
        <v>5.0462962962962961E-3</v>
      </c>
      <c r="C1929" t="s">
        <v>3372</v>
      </c>
      <c r="D1929" t="s">
        <v>623</v>
      </c>
      <c r="E1929" t="s">
        <v>624</v>
      </c>
      <c r="F1929" t="s">
        <v>3373</v>
      </c>
      <c r="G1929">
        <v>1710992</v>
      </c>
      <c r="H1929" t="s">
        <v>84</v>
      </c>
      <c r="I1929" t="s">
        <v>120</v>
      </c>
      <c r="J1929" t="str">
        <f>"9780520959125"</f>
        <v>9780520959125</v>
      </c>
      <c r="K1929" t="s">
        <v>3377</v>
      </c>
      <c r="L1929">
        <v>28</v>
      </c>
      <c r="O1929" t="s">
        <v>30</v>
      </c>
      <c r="P1929" t="s">
        <v>42</v>
      </c>
      <c r="S1929" t="s">
        <v>627</v>
      </c>
      <c r="T1929" t="s">
        <v>3376</v>
      </c>
      <c r="U1929">
        <v>398.209</v>
      </c>
      <c r="V1929" s="3">
        <v>42018</v>
      </c>
    </row>
    <row r="1930" spans="1:22" x14ac:dyDescent="0.35">
      <c r="A1930" s="1">
        <v>42353.14806712963</v>
      </c>
      <c r="B1930" s="2">
        <v>3.2916666666666664E-2</v>
      </c>
      <c r="C1930" t="s">
        <v>3213</v>
      </c>
      <c r="D1930" t="s">
        <v>35</v>
      </c>
      <c r="E1930" t="s">
        <v>36</v>
      </c>
      <c r="F1930" t="s">
        <v>1758</v>
      </c>
      <c r="G1930">
        <v>4039553</v>
      </c>
      <c r="H1930" t="s">
        <v>26</v>
      </c>
      <c r="I1930" t="s">
        <v>150</v>
      </c>
      <c r="J1930" t="str">
        <f>"9781118886045"</f>
        <v>9781118886045</v>
      </c>
      <c r="K1930" t="s">
        <v>3378</v>
      </c>
      <c r="L1930">
        <v>12</v>
      </c>
      <c r="N1930" t="s">
        <v>3379</v>
      </c>
      <c r="O1930" t="s">
        <v>30</v>
      </c>
      <c r="P1930" t="s">
        <v>29</v>
      </c>
      <c r="Q1930" s="1">
        <v>42353.14806712963</v>
      </c>
      <c r="R1930">
        <v>7</v>
      </c>
      <c r="S1930" t="s">
        <v>40</v>
      </c>
      <c r="T1930" t="s">
        <v>1759</v>
      </c>
      <c r="U1930">
        <v>709.37</v>
      </c>
      <c r="V1930" s="3">
        <v>42256</v>
      </c>
    </row>
    <row r="1931" spans="1:22" x14ac:dyDescent="0.35">
      <c r="A1931" s="1">
        <v>42353.133113425924</v>
      </c>
      <c r="B1931" s="2">
        <v>2.2523148148148143E-2</v>
      </c>
      <c r="C1931" t="s">
        <v>3380</v>
      </c>
      <c r="D1931" t="s">
        <v>23</v>
      </c>
      <c r="E1931" t="s">
        <v>24</v>
      </c>
      <c r="F1931" t="s">
        <v>3381</v>
      </c>
      <c r="G1931">
        <v>1687669</v>
      </c>
      <c r="H1931" t="s">
        <v>84</v>
      </c>
      <c r="I1931" t="s">
        <v>120</v>
      </c>
      <c r="J1931" t="str">
        <f>"9780520957282"</f>
        <v>9780520957282</v>
      </c>
      <c r="K1931" t="s">
        <v>3382</v>
      </c>
      <c r="L1931">
        <v>8</v>
      </c>
      <c r="O1931" t="s">
        <v>30</v>
      </c>
      <c r="P1931" t="s">
        <v>47</v>
      </c>
      <c r="Q1931" s="1">
        <v>42353.133113425924</v>
      </c>
      <c r="R1931">
        <v>1</v>
      </c>
      <c r="S1931" t="s">
        <v>31</v>
      </c>
      <c r="T1931" t="s">
        <v>3383</v>
      </c>
      <c r="U1931">
        <v>305.42</v>
      </c>
      <c r="V1931" s="3">
        <v>41775</v>
      </c>
    </row>
    <row r="1932" spans="1:22" x14ac:dyDescent="0.35">
      <c r="A1932" s="1">
        <v>42353.13177083333</v>
      </c>
      <c r="B1932" s="2">
        <v>1.6296296296296295E-2</v>
      </c>
      <c r="C1932" t="s">
        <v>3213</v>
      </c>
      <c r="D1932" t="s">
        <v>35</v>
      </c>
      <c r="E1932" t="s">
        <v>36</v>
      </c>
      <c r="F1932" t="s">
        <v>1758</v>
      </c>
      <c r="G1932">
        <v>4039553</v>
      </c>
      <c r="H1932" t="s">
        <v>26</v>
      </c>
      <c r="I1932" t="s">
        <v>150</v>
      </c>
      <c r="J1932" t="str">
        <f>"9781118886045"</f>
        <v>9781118886045</v>
      </c>
      <c r="K1932" t="s">
        <v>3384</v>
      </c>
      <c r="L1932">
        <v>6</v>
      </c>
      <c r="O1932" t="s">
        <v>30</v>
      </c>
      <c r="P1932" t="s">
        <v>50</v>
      </c>
      <c r="S1932" t="s">
        <v>40</v>
      </c>
      <c r="T1932" t="s">
        <v>1759</v>
      </c>
      <c r="U1932">
        <v>709.37</v>
      </c>
      <c r="V1932" s="3">
        <v>42256</v>
      </c>
    </row>
    <row r="1933" spans="1:22" x14ac:dyDescent="0.35">
      <c r="A1933" s="1">
        <v>42353.117256944446</v>
      </c>
      <c r="B1933" s="2">
        <v>1.5844907407407408E-2</v>
      </c>
      <c r="C1933" t="s">
        <v>3380</v>
      </c>
      <c r="D1933" t="s">
        <v>23</v>
      </c>
      <c r="E1933" t="s">
        <v>24</v>
      </c>
      <c r="F1933" t="s">
        <v>3381</v>
      </c>
      <c r="G1933">
        <v>1687669</v>
      </c>
      <c r="H1933" t="s">
        <v>84</v>
      </c>
      <c r="I1933" t="s">
        <v>120</v>
      </c>
      <c r="J1933" t="str">
        <f>"9780520957282"</f>
        <v>9780520957282</v>
      </c>
      <c r="K1933" t="s">
        <v>3385</v>
      </c>
      <c r="L1933">
        <v>17</v>
      </c>
      <c r="O1933" t="s">
        <v>30</v>
      </c>
      <c r="P1933" t="s">
        <v>50</v>
      </c>
      <c r="S1933" t="s">
        <v>31</v>
      </c>
      <c r="T1933" t="s">
        <v>3383</v>
      </c>
      <c r="U1933">
        <v>305.42</v>
      </c>
      <c r="V1933" s="3">
        <v>41775</v>
      </c>
    </row>
    <row r="1934" spans="1:22" x14ac:dyDescent="0.35">
      <c r="A1934" s="1">
        <v>42353.111956018518</v>
      </c>
      <c r="B1934" s="2">
        <v>4.7453703703703704E-4</v>
      </c>
      <c r="C1934" t="s">
        <v>3223</v>
      </c>
      <c r="D1934" t="s">
        <v>23</v>
      </c>
      <c r="E1934" t="s">
        <v>24</v>
      </c>
      <c r="F1934" t="s">
        <v>3224</v>
      </c>
      <c r="G1934">
        <v>1882107</v>
      </c>
      <c r="H1934" t="s">
        <v>84</v>
      </c>
      <c r="I1934" t="s">
        <v>998</v>
      </c>
      <c r="J1934" t="str">
        <f>"9780520961593"</f>
        <v>9780520961593</v>
      </c>
      <c r="K1934" t="s">
        <v>3386</v>
      </c>
      <c r="L1934">
        <v>22</v>
      </c>
      <c r="O1934" t="s">
        <v>30</v>
      </c>
      <c r="P1934" t="s">
        <v>29</v>
      </c>
      <c r="Q1934" s="1">
        <v>42348.176412037035</v>
      </c>
      <c r="R1934">
        <v>7</v>
      </c>
      <c r="S1934" t="s">
        <v>31</v>
      </c>
      <c r="T1934" t="s">
        <v>3226</v>
      </c>
      <c r="U1934">
        <v>952.03099999999995</v>
      </c>
      <c r="V1934" s="3">
        <v>42164</v>
      </c>
    </row>
    <row r="1935" spans="1:22" x14ac:dyDescent="0.35">
      <c r="A1935" s="1">
        <v>42353.095300925925</v>
      </c>
      <c r="B1935" s="2">
        <v>8.1018518518518516E-4</v>
      </c>
      <c r="C1935" t="s">
        <v>3170</v>
      </c>
      <c r="D1935" t="s">
        <v>23</v>
      </c>
      <c r="E1935" t="s">
        <v>24</v>
      </c>
      <c r="F1935" t="s">
        <v>3171</v>
      </c>
      <c r="G1935">
        <v>1825699</v>
      </c>
      <c r="H1935" t="s">
        <v>45</v>
      </c>
      <c r="I1935" t="s">
        <v>150</v>
      </c>
      <c r="J1935" t="str">
        <f>"9781472409645"</f>
        <v>9781472409645</v>
      </c>
      <c r="K1935" t="s">
        <v>3387</v>
      </c>
      <c r="L1935">
        <v>20</v>
      </c>
      <c r="O1935" t="s">
        <v>30</v>
      </c>
      <c r="P1935" t="s">
        <v>29</v>
      </c>
      <c r="Q1935" s="1">
        <v>42352.647696759261</v>
      </c>
      <c r="R1935">
        <v>7</v>
      </c>
      <c r="S1935" t="s">
        <v>31</v>
      </c>
      <c r="T1935" t="s">
        <v>3173</v>
      </c>
      <c r="U1935">
        <v>780.92</v>
      </c>
      <c r="V1935" s="3">
        <v>42001</v>
      </c>
    </row>
    <row r="1936" spans="1:22" x14ac:dyDescent="0.35">
      <c r="A1936" s="1">
        <v>42353.044722222221</v>
      </c>
      <c r="B1936" s="2">
        <v>8.8541666666666664E-3</v>
      </c>
      <c r="C1936" t="s">
        <v>860</v>
      </c>
      <c r="D1936" t="s">
        <v>23</v>
      </c>
      <c r="E1936" t="s">
        <v>24</v>
      </c>
      <c r="F1936" t="s">
        <v>3228</v>
      </c>
      <c r="G1936">
        <v>1115640</v>
      </c>
      <c r="H1936" t="s">
        <v>26</v>
      </c>
      <c r="I1936" t="s">
        <v>3229</v>
      </c>
      <c r="J1936" t="str">
        <f>"9781118419090"</f>
        <v>9781118419090</v>
      </c>
      <c r="K1936" t="s">
        <v>3388</v>
      </c>
      <c r="L1936">
        <v>10</v>
      </c>
      <c r="O1936" t="s">
        <v>30</v>
      </c>
      <c r="P1936" t="s">
        <v>29</v>
      </c>
      <c r="Q1936" s="1">
        <v>42353.044722222221</v>
      </c>
      <c r="R1936">
        <v>7</v>
      </c>
      <c r="S1936" t="s">
        <v>31</v>
      </c>
      <c r="T1936" t="s">
        <v>3231</v>
      </c>
      <c r="U1936">
        <v>624</v>
      </c>
      <c r="V1936" s="3">
        <v>41296</v>
      </c>
    </row>
    <row r="1937" spans="1:22" x14ac:dyDescent="0.35">
      <c r="A1937" s="1">
        <v>42353.041678240741</v>
      </c>
      <c r="B1937" s="2">
        <v>1.3310185185185185E-3</v>
      </c>
      <c r="C1937" t="s">
        <v>3389</v>
      </c>
      <c r="D1937" t="s">
        <v>35</v>
      </c>
      <c r="E1937" t="s">
        <v>36</v>
      </c>
      <c r="F1937" t="s">
        <v>986</v>
      </c>
      <c r="G1937">
        <v>968030</v>
      </c>
      <c r="H1937" t="s">
        <v>26</v>
      </c>
      <c r="I1937" t="s">
        <v>219</v>
      </c>
      <c r="J1937" t="str">
        <f>"9781118285138"</f>
        <v>9781118285138</v>
      </c>
      <c r="K1937" t="s">
        <v>3390</v>
      </c>
      <c r="L1937">
        <v>31</v>
      </c>
      <c r="O1937" t="s">
        <v>30</v>
      </c>
      <c r="P1937" t="s">
        <v>42</v>
      </c>
      <c r="S1937" t="s">
        <v>40</v>
      </c>
      <c r="T1937" t="s">
        <v>987</v>
      </c>
      <c r="U1937">
        <v>158.30000000000001</v>
      </c>
      <c r="V1937" s="3">
        <v>41100</v>
      </c>
    </row>
    <row r="1938" spans="1:22" x14ac:dyDescent="0.35">
      <c r="A1938" s="1">
        <v>42353.040960648148</v>
      </c>
      <c r="B1938" s="2">
        <v>4.6296296296296294E-5</v>
      </c>
      <c r="C1938" t="s">
        <v>3389</v>
      </c>
      <c r="D1938" t="s">
        <v>35</v>
      </c>
      <c r="E1938" t="s">
        <v>36</v>
      </c>
      <c r="F1938" t="s">
        <v>986</v>
      </c>
      <c r="G1938">
        <v>968030</v>
      </c>
      <c r="H1938" t="s">
        <v>26</v>
      </c>
      <c r="I1938" t="s">
        <v>219</v>
      </c>
      <c r="J1938" t="str">
        <f>"9781118285138"</f>
        <v>9781118285138</v>
      </c>
      <c r="K1938" t="s">
        <v>33</v>
      </c>
      <c r="L1938">
        <v>3</v>
      </c>
      <c r="O1938" t="s">
        <v>30</v>
      </c>
      <c r="P1938" t="s">
        <v>42</v>
      </c>
      <c r="S1938" t="s">
        <v>40</v>
      </c>
      <c r="T1938" t="s">
        <v>987</v>
      </c>
      <c r="U1938">
        <v>158.30000000000001</v>
      </c>
      <c r="V1938" s="3">
        <v>41100</v>
      </c>
    </row>
    <row r="1939" spans="1:22" x14ac:dyDescent="0.35">
      <c r="A1939" s="1">
        <v>42353.03802083333</v>
      </c>
      <c r="B1939" s="2">
        <v>1.9745370370370371E-2</v>
      </c>
      <c r="C1939" t="s">
        <v>3391</v>
      </c>
      <c r="D1939" t="s">
        <v>35</v>
      </c>
      <c r="E1939" t="s">
        <v>36</v>
      </c>
      <c r="F1939" t="s">
        <v>3392</v>
      </c>
      <c r="G1939">
        <v>1189363</v>
      </c>
      <c r="H1939" t="s">
        <v>26</v>
      </c>
      <c r="I1939" t="s">
        <v>97</v>
      </c>
      <c r="J1939" t="str">
        <f>"9781118688458"</f>
        <v>9781118688458</v>
      </c>
      <c r="K1939" t="s">
        <v>3393</v>
      </c>
      <c r="L1939">
        <v>12</v>
      </c>
      <c r="O1939" t="s">
        <v>30</v>
      </c>
      <c r="P1939" t="s">
        <v>47</v>
      </c>
      <c r="Q1939" s="1">
        <v>42353.03802083333</v>
      </c>
      <c r="R1939">
        <v>1</v>
      </c>
      <c r="S1939" t="s">
        <v>40</v>
      </c>
      <c r="T1939" t="s">
        <v>3394</v>
      </c>
      <c r="U1939">
        <v>658.8</v>
      </c>
      <c r="V1939" s="3">
        <v>41407</v>
      </c>
    </row>
    <row r="1940" spans="1:22" x14ac:dyDescent="0.35">
      <c r="A1940" s="1">
        <v>42353.036979166667</v>
      </c>
      <c r="B1940" s="2">
        <v>7.1724537037037031E-2</v>
      </c>
      <c r="C1940" t="s">
        <v>106</v>
      </c>
      <c r="D1940" t="s">
        <v>23</v>
      </c>
      <c r="E1940" t="s">
        <v>24</v>
      </c>
      <c r="F1940" t="s">
        <v>3366</v>
      </c>
      <c r="G1940">
        <v>836166</v>
      </c>
      <c r="H1940" t="s">
        <v>149</v>
      </c>
      <c r="I1940" t="s">
        <v>3367</v>
      </c>
      <c r="J1940" t="str">
        <f>"9781438139470"</f>
        <v>9781438139470</v>
      </c>
      <c r="K1940" t="s">
        <v>3395</v>
      </c>
      <c r="L1940">
        <v>8</v>
      </c>
      <c r="O1940" t="s">
        <v>30</v>
      </c>
      <c r="P1940" t="s">
        <v>29</v>
      </c>
      <c r="Q1940" s="1">
        <v>42353.036979166667</v>
      </c>
      <c r="R1940">
        <v>7</v>
      </c>
      <c r="S1940" t="s">
        <v>31</v>
      </c>
      <c r="T1940" t="s">
        <v>3369</v>
      </c>
      <c r="U1940">
        <v>6.3</v>
      </c>
      <c r="V1940" s="3">
        <v>40848</v>
      </c>
    </row>
    <row r="1941" spans="1:22" x14ac:dyDescent="0.35">
      <c r="A1941" s="1">
        <v>42353.034525462965</v>
      </c>
      <c r="B1941" s="2">
        <v>3.4953703703703705E-3</v>
      </c>
      <c r="C1941" t="s">
        <v>3391</v>
      </c>
      <c r="D1941" t="s">
        <v>35</v>
      </c>
      <c r="E1941" t="s">
        <v>36</v>
      </c>
      <c r="F1941" t="s">
        <v>3392</v>
      </c>
      <c r="G1941">
        <v>1189363</v>
      </c>
      <c r="H1941" t="s">
        <v>26</v>
      </c>
      <c r="I1941" t="s">
        <v>97</v>
      </c>
      <c r="J1941" t="str">
        <f>"9781118688458"</f>
        <v>9781118688458</v>
      </c>
      <c r="K1941" t="s">
        <v>3396</v>
      </c>
      <c r="L1941">
        <v>14</v>
      </c>
      <c r="O1941" t="s">
        <v>30</v>
      </c>
      <c r="P1941" t="s">
        <v>50</v>
      </c>
      <c r="S1941" t="s">
        <v>40</v>
      </c>
      <c r="T1941" t="s">
        <v>3394</v>
      </c>
      <c r="U1941">
        <v>658.8</v>
      </c>
      <c r="V1941" s="3">
        <v>41407</v>
      </c>
    </row>
    <row r="1942" spans="1:22" x14ac:dyDescent="0.35">
      <c r="A1942" s="1">
        <v>42353.025127314817</v>
      </c>
      <c r="B1942" s="2">
        <v>1.9594907407407405E-2</v>
      </c>
      <c r="C1942" t="s">
        <v>860</v>
      </c>
      <c r="D1942" t="s">
        <v>23</v>
      </c>
      <c r="E1942" t="s">
        <v>24</v>
      </c>
      <c r="F1942" t="s">
        <v>3228</v>
      </c>
      <c r="G1942">
        <v>1115640</v>
      </c>
      <c r="H1942" t="s">
        <v>26</v>
      </c>
      <c r="I1942" t="s">
        <v>3229</v>
      </c>
      <c r="J1942" t="str">
        <f>"9781118419090"</f>
        <v>9781118419090</v>
      </c>
      <c r="K1942" t="s">
        <v>3397</v>
      </c>
      <c r="L1942">
        <v>14</v>
      </c>
      <c r="O1942" t="s">
        <v>30</v>
      </c>
      <c r="P1942" t="s">
        <v>42</v>
      </c>
      <c r="S1942" t="s">
        <v>31</v>
      </c>
      <c r="T1942" t="s">
        <v>3231</v>
      </c>
      <c r="U1942">
        <v>624</v>
      </c>
      <c r="V1942" s="3">
        <v>41296</v>
      </c>
    </row>
    <row r="1943" spans="1:22" x14ac:dyDescent="0.35">
      <c r="A1943" s="1">
        <v>42353.02416666667</v>
      </c>
      <c r="B1943" s="2">
        <v>3.1307870370370368E-2</v>
      </c>
      <c r="C1943" t="s">
        <v>3120</v>
      </c>
      <c r="D1943" t="s">
        <v>23</v>
      </c>
      <c r="E1943" t="s">
        <v>24</v>
      </c>
      <c r="F1943" t="s">
        <v>3060</v>
      </c>
      <c r="G1943">
        <v>1120279</v>
      </c>
      <c r="H1943" t="s">
        <v>26</v>
      </c>
      <c r="I1943" t="s">
        <v>3061</v>
      </c>
      <c r="J1943" t="str">
        <f>"9781118537671"</f>
        <v>9781118537671</v>
      </c>
      <c r="K1943" t="s">
        <v>3398</v>
      </c>
      <c r="L1943">
        <v>18</v>
      </c>
      <c r="O1943" t="s">
        <v>30</v>
      </c>
      <c r="P1943" t="s">
        <v>29</v>
      </c>
      <c r="Q1943" s="1">
        <v>42351.924108796295</v>
      </c>
      <c r="R1943">
        <v>7</v>
      </c>
      <c r="S1943" t="s">
        <v>31</v>
      </c>
      <c r="T1943" t="s">
        <v>3063</v>
      </c>
      <c r="U1943">
        <v>599.93499999999995</v>
      </c>
      <c r="V1943" s="3">
        <v>41232</v>
      </c>
    </row>
    <row r="1944" spans="1:22" x14ac:dyDescent="0.35">
      <c r="A1944" s="1">
        <v>42352.958796296298</v>
      </c>
      <c r="B1944" s="2">
        <v>7.8182870370370375E-2</v>
      </c>
      <c r="C1944" t="s">
        <v>106</v>
      </c>
      <c r="D1944" t="s">
        <v>23</v>
      </c>
      <c r="E1944" t="s">
        <v>24</v>
      </c>
      <c r="F1944" t="s">
        <v>3366</v>
      </c>
      <c r="G1944">
        <v>836166</v>
      </c>
      <c r="H1944" t="s">
        <v>149</v>
      </c>
      <c r="I1944" t="s">
        <v>3367</v>
      </c>
      <c r="J1944" t="str">
        <f>"9781438139470"</f>
        <v>9781438139470</v>
      </c>
      <c r="K1944" t="s">
        <v>3399</v>
      </c>
      <c r="L1944">
        <v>25</v>
      </c>
      <c r="O1944" t="s">
        <v>30</v>
      </c>
      <c r="P1944" t="s">
        <v>42</v>
      </c>
      <c r="S1944" t="s">
        <v>31</v>
      </c>
      <c r="T1944" t="s">
        <v>3369</v>
      </c>
      <c r="U1944">
        <v>6.3</v>
      </c>
      <c r="V1944" s="3">
        <v>40848</v>
      </c>
    </row>
    <row r="1945" spans="1:22" x14ac:dyDescent="0.35">
      <c r="A1945" s="1">
        <v>42352.942210648151</v>
      </c>
      <c r="B1945" s="2">
        <v>1.0023148148148147E-2</v>
      </c>
      <c r="C1945" t="s">
        <v>3400</v>
      </c>
      <c r="D1945" t="s">
        <v>35</v>
      </c>
      <c r="E1945" t="s">
        <v>36</v>
      </c>
      <c r="F1945" t="s">
        <v>3401</v>
      </c>
      <c r="G1945">
        <v>1355985</v>
      </c>
      <c r="H1945" t="s">
        <v>68</v>
      </c>
      <c r="I1945" t="s">
        <v>247</v>
      </c>
      <c r="J1945" t="str">
        <f>"9781135057985"</f>
        <v>9781135057985</v>
      </c>
      <c r="K1945" t="s">
        <v>3402</v>
      </c>
      <c r="L1945">
        <v>7</v>
      </c>
      <c r="O1945" t="s">
        <v>30</v>
      </c>
      <c r="P1945" t="s">
        <v>47</v>
      </c>
      <c r="Q1945" s="1">
        <v>42352.942210648151</v>
      </c>
      <c r="R1945">
        <v>1</v>
      </c>
      <c r="S1945" t="s">
        <v>40</v>
      </c>
      <c r="T1945" t="s">
        <v>3403</v>
      </c>
      <c r="U1945">
        <v>616.89139999999998</v>
      </c>
      <c r="V1945" s="3">
        <v>41507</v>
      </c>
    </row>
    <row r="1946" spans="1:22" x14ac:dyDescent="0.35">
      <c r="A1946" s="1">
        <v>42352.940347222226</v>
      </c>
      <c r="B1946" s="2">
        <v>2.3148148148148147E-5</v>
      </c>
      <c r="C1946" t="s">
        <v>3404</v>
      </c>
      <c r="D1946" t="s">
        <v>23</v>
      </c>
      <c r="E1946" t="s">
        <v>24</v>
      </c>
      <c r="F1946" t="s">
        <v>2807</v>
      </c>
      <c r="G1946">
        <v>1767915</v>
      </c>
      <c r="H1946" t="s">
        <v>26</v>
      </c>
      <c r="I1946" t="s">
        <v>120</v>
      </c>
      <c r="J1946" t="str">
        <f>"9780730315148"</f>
        <v>9780730315148</v>
      </c>
      <c r="K1946" t="s">
        <v>105</v>
      </c>
      <c r="L1946">
        <v>1</v>
      </c>
      <c r="O1946" t="s">
        <v>30</v>
      </c>
      <c r="P1946" t="s">
        <v>42</v>
      </c>
      <c r="S1946" t="s">
        <v>31</v>
      </c>
      <c r="T1946" t="s">
        <v>2809</v>
      </c>
      <c r="U1946">
        <v>302.23099999999999</v>
      </c>
      <c r="V1946" s="3">
        <v>41866</v>
      </c>
    </row>
    <row r="1947" spans="1:22" x14ac:dyDescent="0.35">
      <c r="A1947" s="1">
        <v>42352.936863425923</v>
      </c>
      <c r="B1947" s="2">
        <v>5.347222222222222E-3</v>
      </c>
      <c r="C1947" t="s">
        <v>3400</v>
      </c>
      <c r="D1947" t="s">
        <v>35</v>
      </c>
      <c r="E1947" t="s">
        <v>36</v>
      </c>
      <c r="F1947" t="s">
        <v>3401</v>
      </c>
      <c r="G1947">
        <v>1355985</v>
      </c>
      <c r="H1947" t="s">
        <v>68</v>
      </c>
      <c r="I1947" t="s">
        <v>247</v>
      </c>
      <c r="J1947" t="str">
        <f>"9781135057985"</f>
        <v>9781135057985</v>
      </c>
      <c r="K1947" t="s">
        <v>3405</v>
      </c>
      <c r="L1947">
        <v>19</v>
      </c>
      <c r="O1947" t="s">
        <v>30</v>
      </c>
      <c r="P1947" t="s">
        <v>50</v>
      </c>
      <c r="S1947" t="s">
        <v>40</v>
      </c>
      <c r="T1947" t="s">
        <v>3403</v>
      </c>
      <c r="U1947">
        <v>616.89139999999998</v>
      </c>
      <c r="V1947" s="3">
        <v>41507</v>
      </c>
    </row>
    <row r="1948" spans="1:22" x14ac:dyDescent="0.35">
      <c r="A1948" s="1">
        <v>42352.925740740742</v>
      </c>
      <c r="B1948" s="2">
        <v>9.2094907407407403E-2</v>
      </c>
      <c r="C1948" t="s">
        <v>3406</v>
      </c>
      <c r="D1948" t="s">
        <v>623</v>
      </c>
      <c r="E1948" t="s">
        <v>624</v>
      </c>
      <c r="F1948" t="s">
        <v>3317</v>
      </c>
      <c r="G1948">
        <v>1895554</v>
      </c>
      <c r="H1948" t="s">
        <v>26</v>
      </c>
      <c r="I1948" t="s">
        <v>3318</v>
      </c>
      <c r="J1948" t="str">
        <f>"9781118708507"</f>
        <v>9781118708507</v>
      </c>
      <c r="K1948" t="s">
        <v>3407</v>
      </c>
      <c r="L1948">
        <v>110</v>
      </c>
      <c r="O1948" t="s">
        <v>30</v>
      </c>
      <c r="P1948" t="s">
        <v>29</v>
      </c>
      <c r="Q1948" s="1">
        <v>42352.925740740742</v>
      </c>
      <c r="R1948">
        <v>7</v>
      </c>
      <c r="S1948" t="s">
        <v>627</v>
      </c>
      <c r="T1948" t="s">
        <v>3319</v>
      </c>
      <c r="U1948">
        <v>551.6</v>
      </c>
      <c r="V1948" s="3">
        <v>42039</v>
      </c>
    </row>
    <row r="1949" spans="1:22" x14ac:dyDescent="0.35">
      <c r="A1949" s="1">
        <v>42352.924050925925</v>
      </c>
      <c r="B1949" s="2">
        <v>3.9699074074074072E-3</v>
      </c>
      <c r="C1949" t="s">
        <v>3120</v>
      </c>
      <c r="D1949" t="s">
        <v>23</v>
      </c>
      <c r="E1949" t="s">
        <v>24</v>
      </c>
      <c r="F1949" t="s">
        <v>3060</v>
      </c>
      <c r="G1949">
        <v>1120279</v>
      </c>
      <c r="H1949" t="s">
        <v>26</v>
      </c>
      <c r="I1949" t="s">
        <v>3061</v>
      </c>
      <c r="J1949" t="str">
        <f>"9781118537671"</f>
        <v>9781118537671</v>
      </c>
      <c r="K1949" t="s">
        <v>3408</v>
      </c>
      <c r="L1949">
        <v>13</v>
      </c>
      <c r="O1949" t="s">
        <v>30</v>
      </c>
      <c r="P1949" t="s">
        <v>29</v>
      </c>
      <c r="Q1949" s="1">
        <v>42351.924108796295</v>
      </c>
      <c r="R1949">
        <v>7</v>
      </c>
      <c r="S1949" t="s">
        <v>31</v>
      </c>
      <c r="T1949" t="s">
        <v>3063</v>
      </c>
      <c r="U1949">
        <v>599.93499999999995</v>
      </c>
      <c r="V1949" s="3">
        <v>41232</v>
      </c>
    </row>
    <row r="1950" spans="1:22" x14ac:dyDescent="0.35">
      <c r="A1950" s="1">
        <v>42352.912569444445</v>
      </c>
      <c r="B1950" s="2">
        <v>2.2222222222222222E-3</v>
      </c>
      <c r="C1950" t="s">
        <v>3409</v>
      </c>
      <c r="D1950" t="s">
        <v>35</v>
      </c>
      <c r="E1950" t="s">
        <v>36</v>
      </c>
      <c r="F1950" t="s">
        <v>1285</v>
      </c>
      <c r="G1950">
        <v>979950</v>
      </c>
      <c r="H1950" t="s">
        <v>1286</v>
      </c>
      <c r="I1950" t="s">
        <v>310</v>
      </c>
      <c r="J1950" t="str">
        <f>"9781476600321"</f>
        <v>9781476600321</v>
      </c>
      <c r="K1950" t="s">
        <v>3410</v>
      </c>
      <c r="L1950">
        <v>13</v>
      </c>
      <c r="O1950" t="s">
        <v>30</v>
      </c>
      <c r="P1950" t="s">
        <v>29</v>
      </c>
      <c r="Q1950" s="1">
        <v>42352.833043981482</v>
      </c>
      <c r="R1950">
        <v>7</v>
      </c>
      <c r="S1950" t="s">
        <v>40</v>
      </c>
      <c r="T1950" t="s">
        <v>1288</v>
      </c>
      <c r="U1950" t="s">
        <v>1289</v>
      </c>
      <c r="V1950" s="3">
        <v>41100</v>
      </c>
    </row>
    <row r="1951" spans="1:22" x14ac:dyDescent="0.35">
      <c r="A1951" s="1">
        <v>42352.911516203705</v>
      </c>
      <c r="B1951" s="2">
        <v>1.4212962962962962E-2</v>
      </c>
      <c r="C1951" t="s">
        <v>3406</v>
      </c>
      <c r="D1951" t="s">
        <v>623</v>
      </c>
      <c r="E1951" t="s">
        <v>624</v>
      </c>
      <c r="F1951" t="s">
        <v>3317</v>
      </c>
      <c r="G1951">
        <v>1895554</v>
      </c>
      <c r="H1951" t="s">
        <v>26</v>
      </c>
      <c r="I1951" t="s">
        <v>3318</v>
      </c>
      <c r="J1951" t="str">
        <f>"9781118708507"</f>
        <v>9781118708507</v>
      </c>
      <c r="K1951" t="s">
        <v>3411</v>
      </c>
      <c r="L1951">
        <v>20</v>
      </c>
      <c r="O1951" t="s">
        <v>30</v>
      </c>
      <c r="P1951" t="s">
        <v>50</v>
      </c>
      <c r="S1951" t="s">
        <v>627</v>
      </c>
      <c r="T1951" t="s">
        <v>3319</v>
      </c>
      <c r="U1951">
        <v>551.6</v>
      </c>
      <c r="V1951" s="3">
        <v>42039</v>
      </c>
    </row>
    <row r="1952" spans="1:22" x14ac:dyDescent="0.35">
      <c r="A1952" s="1">
        <v>42352.888078703705</v>
      </c>
      <c r="B1952" s="2">
        <v>1.273148148148148E-4</v>
      </c>
      <c r="C1952" t="s">
        <v>3412</v>
      </c>
      <c r="D1952" t="s">
        <v>35</v>
      </c>
      <c r="E1952" t="s">
        <v>36</v>
      </c>
      <c r="F1952" t="s">
        <v>3413</v>
      </c>
      <c r="G1952">
        <v>1719914</v>
      </c>
      <c r="H1952" t="s">
        <v>45</v>
      </c>
      <c r="I1952" t="s">
        <v>97</v>
      </c>
      <c r="J1952" t="str">
        <f>"9781472426475"</f>
        <v>9781472426475</v>
      </c>
      <c r="K1952" t="s">
        <v>3414</v>
      </c>
      <c r="L1952">
        <v>8</v>
      </c>
      <c r="O1952" t="s">
        <v>30</v>
      </c>
      <c r="P1952" t="s">
        <v>50</v>
      </c>
      <c r="S1952" t="s">
        <v>40</v>
      </c>
      <c r="T1952" t="s">
        <v>3415</v>
      </c>
      <c r="U1952">
        <v>658.4058</v>
      </c>
      <c r="V1952" s="3">
        <v>41879</v>
      </c>
    </row>
    <row r="1953" spans="1:22" x14ac:dyDescent="0.35">
      <c r="A1953" s="1">
        <v>42352.88722222222</v>
      </c>
      <c r="B1953" s="2">
        <v>1.292824074074074E-2</v>
      </c>
      <c r="C1953" t="s">
        <v>3416</v>
      </c>
      <c r="D1953" t="s">
        <v>35</v>
      </c>
      <c r="E1953" t="s">
        <v>36</v>
      </c>
      <c r="F1953" t="s">
        <v>3417</v>
      </c>
      <c r="G1953">
        <v>1356227</v>
      </c>
      <c r="H1953" t="s">
        <v>68</v>
      </c>
      <c r="I1953" t="s">
        <v>247</v>
      </c>
      <c r="J1953" t="str">
        <f>"9781135059613"</f>
        <v>9781135059613</v>
      </c>
      <c r="K1953" t="s">
        <v>3418</v>
      </c>
      <c r="L1953">
        <v>14</v>
      </c>
      <c r="O1953" t="s">
        <v>30</v>
      </c>
      <c r="P1953" t="s">
        <v>47</v>
      </c>
      <c r="Q1953" s="1">
        <v>42352.88722222222</v>
      </c>
      <c r="R1953">
        <v>1</v>
      </c>
      <c r="S1953" t="s">
        <v>40</v>
      </c>
      <c r="T1953" t="s">
        <v>3419</v>
      </c>
      <c r="U1953">
        <v>616.85199999999998</v>
      </c>
      <c r="V1953" s="3">
        <v>41507</v>
      </c>
    </row>
    <row r="1954" spans="1:22" x14ac:dyDescent="0.35">
      <c r="A1954" s="1">
        <v>42352.882453703707</v>
      </c>
      <c r="B1954" s="2">
        <v>4.7685185185185183E-3</v>
      </c>
      <c r="C1954" t="s">
        <v>3416</v>
      </c>
      <c r="D1954" t="s">
        <v>35</v>
      </c>
      <c r="E1954" t="s">
        <v>36</v>
      </c>
      <c r="F1954" t="s">
        <v>3417</v>
      </c>
      <c r="G1954">
        <v>1356227</v>
      </c>
      <c r="H1954" t="s">
        <v>68</v>
      </c>
      <c r="I1954" t="s">
        <v>247</v>
      </c>
      <c r="J1954" t="str">
        <f>"9781135059613"</f>
        <v>9781135059613</v>
      </c>
      <c r="K1954" t="s">
        <v>3420</v>
      </c>
      <c r="L1954">
        <v>24</v>
      </c>
      <c r="O1954" t="s">
        <v>30</v>
      </c>
      <c r="P1954" t="s">
        <v>50</v>
      </c>
      <c r="S1954" t="s">
        <v>40</v>
      </c>
      <c r="T1954" t="s">
        <v>3419</v>
      </c>
      <c r="U1954">
        <v>616.85199999999998</v>
      </c>
      <c r="V1954" s="3">
        <v>41507</v>
      </c>
    </row>
    <row r="1955" spans="1:22" x14ac:dyDescent="0.35">
      <c r="A1955" s="1">
        <v>42352.861666666664</v>
      </c>
      <c r="B1955" s="2">
        <v>2.0347222222222221E-2</v>
      </c>
      <c r="C1955" t="s">
        <v>106</v>
      </c>
      <c r="D1955" t="s">
        <v>23</v>
      </c>
      <c r="E1955" t="s">
        <v>24</v>
      </c>
      <c r="F1955" t="s">
        <v>486</v>
      </c>
      <c r="G1955">
        <v>1119505</v>
      </c>
      <c r="H1955" t="s">
        <v>26</v>
      </c>
      <c r="I1955" t="s">
        <v>450</v>
      </c>
      <c r="J1955" t="str">
        <f>"9781118355015"</f>
        <v>9781118355015</v>
      </c>
      <c r="K1955" t="s">
        <v>3421</v>
      </c>
      <c r="L1955">
        <v>50</v>
      </c>
      <c r="O1955" t="s">
        <v>30</v>
      </c>
      <c r="P1955" t="s">
        <v>29</v>
      </c>
      <c r="Q1955" s="1">
        <v>42352.750347222223</v>
      </c>
      <c r="R1955">
        <v>7</v>
      </c>
      <c r="S1955" t="s">
        <v>31</v>
      </c>
      <c r="T1955" t="s">
        <v>487</v>
      </c>
      <c r="U1955" t="s">
        <v>488</v>
      </c>
      <c r="V1955" s="3">
        <v>41302</v>
      </c>
    </row>
    <row r="1956" spans="1:22" x14ac:dyDescent="0.35">
      <c r="A1956" s="1">
        <v>42352.848645833335</v>
      </c>
      <c r="B1956" s="2">
        <v>4.4976851851851851E-2</v>
      </c>
      <c r="C1956" t="s">
        <v>3360</v>
      </c>
      <c r="D1956" t="s">
        <v>335</v>
      </c>
      <c r="E1956" t="s">
        <v>336</v>
      </c>
      <c r="F1956" t="s">
        <v>148</v>
      </c>
      <c r="G1956">
        <v>877717</v>
      </c>
      <c r="H1956" t="s">
        <v>149</v>
      </c>
      <c r="I1956" t="s">
        <v>150</v>
      </c>
      <c r="J1956" t="str">
        <f>"9781438139265"</f>
        <v>9781438139265</v>
      </c>
      <c r="K1956" t="s">
        <v>3422</v>
      </c>
      <c r="L1956">
        <v>17</v>
      </c>
      <c r="O1956" t="s">
        <v>30</v>
      </c>
      <c r="P1956" t="s">
        <v>29</v>
      </c>
      <c r="Q1956" s="1">
        <v>42352.036932870367</v>
      </c>
      <c r="R1956">
        <v>7</v>
      </c>
      <c r="S1956" t="s">
        <v>340</v>
      </c>
      <c r="T1956" t="s">
        <v>153</v>
      </c>
      <c r="U1956" t="s">
        <v>154</v>
      </c>
      <c r="V1956" s="3">
        <v>40909</v>
      </c>
    </row>
    <row r="1957" spans="1:22" x14ac:dyDescent="0.35">
      <c r="A1957" s="1">
        <v>42352.843449074076</v>
      </c>
      <c r="B1957" s="2">
        <v>1.9444444444444442E-3</v>
      </c>
      <c r="C1957" t="s">
        <v>3423</v>
      </c>
      <c r="D1957" t="s">
        <v>261</v>
      </c>
      <c r="E1957" t="s">
        <v>262</v>
      </c>
      <c r="F1957" t="s">
        <v>3424</v>
      </c>
      <c r="G1957">
        <v>1170296</v>
      </c>
      <c r="H1957" t="s">
        <v>68</v>
      </c>
      <c r="I1957" t="s">
        <v>3425</v>
      </c>
      <c r="J1957" t="str">
        <f>"9781136176036"</f>
        <v>9781136176036</v>
      </c>
      <c r="K1957" t="s">
        <v>3426</v>
      </c>
      <c r="L1957">
        <v>9</v>
      </c>
      <c r="O1957" t="s">
        <v>30</v>
      </c>
      <c r="P1957" t="s">
        <v>47</v>
      </c>
      <c r="Q1957" s="1">
        <v>42352.843449074076</v>
      </c>
      <c r="R1957">
        <v>1</v>
      </c>
      <c r="S1957" t="s">
        <v>264</v>
      </c>
      <c r="T1957" t="s">
        <v>3427</v>
      </c>
      <c r="U1957">
        <v>973.5</v>
      </c>
      <c r="V1957" s="3">
        <v>41470</v>
      </c>
    </row>
    <row r="1958" spans="1:22" x14ac:dyDescent="0.35">
      <c r="A1958" s="1">
        <v>42352.841400462959</v>
      </c>
      <c r="B1958" s="2">
        <v>6.9340277777777778E-2</v>
      </c>
      <c r="C1958" t="s">
        <v>3409</v>
      </c>
      <c r="D1958" t="s">
        <v>35</v>
      </c>
      <c r="E1958" t="s">
        <v>36</v>
      </c>
      <c r="F1958" t="s">
        <v>1373</v>
      </c>
      <c r="G1958">
        <v>979949</v>
      </c>
      <c r="H1958" t="s">
        <v>1286</v>
      </c>
      <c r="I1958" t="s">
        <v>310</v>
      </c>
      <c r="J1958" t="str">
        <f>"9780786493234"</f>
        <v>9780786493234</v>
      </c>
      <c r="K1958" t="s">
        <v>3428</v>
      </c>
      <c r="L1958">
        <v>16</v>
      </c>
      <c r="N1958" t="s">
        <v>1375</v>
      </c>
      <c r="O1958" t="s">
        <v>30</v>
      </c>
      <c r="P1958" t="s">
        <v>29</v>
      </c>
      <c r="Q1958" s="1">
        <v>42352.841400462959</v>
      </c>
      <c r="R1958">
        <v>7</v>
      </c>
      <c r="S1958" t="s">
        <v>40</v>
      </c>
      <c r="T1958" t="s">
        <v>1376</v>
      </c>
      <c r="U1958" t="s">
        <v>1289</v>
      </c>
      <c r="V1958" s="3">
        <v>41102</v>
      </c>
    </row>
    <row r="1959" spans="1:22" x14ac:dyDescent="0.35">
      <c r="A1959" s="1">
        <v>42352.840740740743</v>
      </c>
      <c r="B1959" s="2">
        <v>2.6620370370370372E-4</v>
      </c>
      <c r="C1959" t="s">
        <v>3429</v>
      </c>
      <c r="D1959" t="s">
        <v>35</v>
      </c>
      <c r="E1959" t="s">
        <v>36</v>
      </c>
      <c r="F1959" t="s">
        <v>3275</v>
      </c>
      <c r="G1959">
        <v>822662</v>
      </c>
      <c r="H1959" t="s">
        <v>26</v>
      </c>
      <c r="I1959" t="s">
        <v>172</v>
      </c>
      <c r="J1959" t="str">
        <f>"9781444355130"</f>
        <v>9781444355130</v>
      </c>
      <c r="K1959" t="s">
        <v>536</v>
      </c>
      <c r="L1959">
        <v>3</v>
      </c>
      <c r="O1959" t="s">
        <v>30</v>
      </c>
      <c r="P1959" t="s">
        <v>42</v>
      </c>
      <c r="S1959" t="s">
        <v>40</v>
      </c>
      <c r="T1959" t="s">
        <v>3277</v>
      </c>
      <c r="U1959">
        <v>960.3</v>
      </c>
      <c r="V1959" s="3">
        <v>40858</v>
      </c>
    </row>
    <row r="1960" spans="1:22" x14ac:dyDescent="0.35">
      <c r="A1960" s="1">
        <v>42352.840740740743</v>
      </c>
      <c r="B1960" s="2">
        <v>6.5972222222222213E-4</v>
      </c>
      <c r="C1960" t="s">
        <v>3409</v>
      </c>
      <c r="D1960" t="s">
        <v>35</v>
      </c>
      <c r="E1960" t="s">
        <v>36</v>
      </c>
      <c r="F1960" t="s">
        <v>1373</v>
      </c>
      <c r="G1960">
        <v>979949</v>
      </c>
      <c r="H1960" t="s">
        <v>1286</v>
      </c>
      <c r="I1960" t="s">
        <v>310</v>
      </c>
      <c r="J1960" t="str">
        <f>"9780786493234"</f>
        <v>9780786493234</v>
      </c>
      <c r="K1960" t="s">
        <v>3430</v>
      </c>
      <c r="L1960">
        <v>8</v>
      </c>
      <c r="O1960" t="s">
        <v>30</v>
      </c>
      <c r="P1960" t="s">
        <v>42</v>
      </c>
      <c r="S1960" t="s">
        <v>40</v>
      </c>
      <c r="T1960" t="s">
        <v>1376</v>
      </c>
      <c r="U1960" t="s">
        <v>1289</v>
      </c>
      <c r="V1960" s="3">
        <v>41102</v>
      </c>
    </row>
    <row r="1961" spans="1:22" x14ac:dyDescent="0.35">
      <c r="A1961" s="1">
        <v>42352.839953703704</v>
      </c>
      <c r="B1961" s="2">
        <v>4.0740740740740746E-3</v>
      </c>
      <c r="C1961" t="s">
        <v>3223</v>
      </c>
      <c r="D1961" t="s">
        <v>23</v>
      </c>
      <c r="E1961" t="s">
        <v>24</v>
      </c>
      <c r="F1961" t="s">
        <v>3224</v>
      </c>
      <c r="G1961">
        <v>1882107</v>
      </c>
      <c r="H1961" t="s">
        <v>84</v>
      </c>
      <c r="I1961" t="s">
        <v>998</v>
      </c>
      <c r="J1961" t="str">
        <f>"9780520961593"</f>
        <v>9780520961593</v>
      </c>
      <c r="K1961" t="s">
        <v>3431</v>
      </c>
      <c r="L1961">
        <v>48</v>
      </c>
      <c r="O1961" t="s">
        <v>30</v>
      </c>
      <c r="P1961" t="s">
        <v>29</v>
      </c>
      <c r="Q1961" s="1">
        <v>42348.176412037035</v>
      </c>
      <c r="R1961">
        <v>7</v>
      </c>
      <c r="S1961" t="s">
        <v>31</v>
      </c>
      <c r="T1961" t="s">
        <v>3226</v>
      </c>
      <c r="U1961">
        <v>952.03099999999995</v>
      </c>
      <c r="V1961" s="3">
        <v>42164</v>
      </c>
    </row>
    <row r="1962" spans="1:22" x14ac:dyDescent="0.35">
      <c r="A1962" s="1">
        <v>42352.833043981482</v>
      </c>
      <c r="B1962" s="2">
        <v>4.2824074074074075E-3</v>
      </c>
      <c r="C1962" t="s">
        <v>3409</v>
      </c>
      <c r="D1962" t="s">
        <v>35</v>
      </c>
      <c r="E1962" t="s">
        <v>36</v>
      </c>
      <c r="F1962" t="s">
        <v>1285</v>
      </c>
      <c r="G1962">
        <v>979950</v>
      </c>
      <c r="H1962" t="s">
        <v>1286</v>
      </c>
      <c r="I1962" t="s">
        <v>310</v>
      </c>
      <c r="J1962" t="str">
        <f>"9781476600321"</f>
        <v>9781476600321</v>
      </c>
      <c r="K1962" t="s">
        <v>3432</v>
      </c>
      <c r="L1962">
        <v>14</v>
      </c>
      <c r="N1962" t="s">
        <v>3433</v>
      </c>
      <c r="O1962" t="s">
        <v>30</v>
      </c>
      <c r="P1962" t="s">
        <v>29</v>
      </c>
      <c r="Q1962" s="1">
        <v>42352.833043981482</v>
      </c>
      <c r="R1962">
        <v>7</v>
      </c>
      <c r="S1962" t="s">
        <v>40</v>
      </c>
      <c r="T1962" t="s">
        <v>1288</v>
      </c>
      <c r="U1962" t="s">
        <v>1289</v>
      </c>
      <c r="V1962" s="3">
        <v>41100</v>
      </c>
    </row>
    <row r="1963" spans="1:22" x14ac:dyDescent="0.35">
      <c r="A1963" s="1">
        <v>42352.82980324074</v>
      </c>
      <c r="B1963" s="2">
        <v>2.0486111111111113E-3</v>
      </c>
      <c r="C1963" t="s">
        <v>3434</v>
      </c>
      <c r="D1963" t="s">
        <v>35</v>
      </c>
      <c r="E1963" t="s">
        <v>36</v>
      </c>
      <c r="F1963" t="s">
        <v>3435</v>
      </c>
      <c r="G1963">
        <v>1154618</v>
      </c>
      <c r="H1963" t="s">
        <v>526</v>
      </c>
      <c r="I1963" t="s">
        <v>435</v>
      </c>
      <c r="J1963" t="str">
        <f>"9780226012599"</f>
        <v>9780226012599</v>
      </c>
      <c r="K1963" t="s">
        <v>3436</v>
      </c>
      <c r="L1963">
        <v>27</v>
      </c>
      <c r="O1963" t="s">
        <v>30</v>
      </c>
      <c r="P1963" t="s">
        <v>47</v>
      </c>
      <c r="Q1963" s="1">
        <v>42352.82980324074</v>
      </c>
      <c r="R1963">
        <v>1</v>
      </c>
      <c r="S1963" t="s">
        <v>40</v>
      </c>
      <c r="T1963" t="s">
        <v>3437</v>
      </c>
      <c r="U1963" t="s">
        <v>3438</v>
      </c>
      <c r="V1963" s="3">
        <v>41379</v>
      </c>
    </row>
    <row r="1964" spans="1:22" x14ac:dyDescent="0.35">
      <c r="A1964" s="1">
        <v>42352.829201388886</v>
      </c>
      <c r="B1964" s="2">
        <v>1.4247685185185184E-2</v>
      </c>
      <c r="C1964" t="s">
        <v>3423</v>
      </c>
      <c r="D1964" t="s">
        <v>261</v>
      </c>
      <c r="E1964" t="s">
        <v>262</v>
      </c>
      <c r="F1964" t="s">
        <v>3424</v>
      </c>
      <c r="G1964">
        <v>1170296</v>
      </c>
      <c r="H1964" t="s">
        <v>68</v>
      </c>
      <c r="I1964" t="s">
        <v>3425</v>
      </c>
      <c r="J1964" t="str">
        <f>"9781136176036"</f>
        <v>9781136176036</v>
      </c>
      <c r="K1964" t="s">
        <v>3439</v>
      </c>
      <c r="L1964">
        <v>31</v>
      </c>
      <c r="O1964" t="s">
        <v>30</v>
      </c>
      <c r="P1964" t="s">
        <v>50</v>
      </c>
      <c r="S1964" t="s">
        <v>264</v>
      </c>
      <c r="T1964" t="s">
        <v>3427</v>
      </c>
      <c r="U1964">
        <v>973.5</v>
      </c>
      <c r="V1964" s="3">
        <v>41470</v>
      </c>
    </row>
    <row r="1965" spans="1:22" x14ac:dyDescent="0.35">
      <c r="A1965" s="1">
        <v>42352.82613425926</v>
      </c>
      <c r="B1965" s="2">
        <v>3.6689814814814814E-3</v>
      </c>
      <c r="C1965" t="s">
        <v>3434</v>
      </c>
      <c r="D1965" t="s">
        <v>35</v>
      </c>
      <c r="E1965" t="s">
        <v>36</v>
      </c>
      <c r="F1965" t="s">
        <v>3435</v>
      </c>
      <c r="G1965">
        <v>1154618</v>
      </c>
      <c r="H1965" t="s">
        <v>526</v>
      </c>
      <c r="I1965" t="s">
        <v>435</v>
      </c>
      <c r="J1965" t="str">
        <f>"9780226012599"</f>
        <v>9780226012599</v>
      </c>
      <c r="K1965" t="s">
        <v>33</v>
      </c>
      <c r="L1965">
        <v>3</v>
      </c>
      <c r="O1965" t="s">
        <v>30</v>
      </c>
      <c r="P1965" t="s">
        <v>50</v>
      </c>
      <c r="S1965" t="s">
        <v>40</v>
      </c>
      <c r="T1965" t="s">
        <v>3437</v>
      </c>
      <c r="U1965" t="s">
        <v>3438</v>
      </c>
      <c r="V1965" s="3">
        <v>41379</v>
      </c>
    </row>
    <row r="1966" spans="1:22" x14ac:dyDescent="0.35">
      <c r="A1966" s="1">
        <v>42352.825902777775</v>
      </c>
      <c r="B1966" s="2">
        <v>7.1412037037037043E-3</v>
      </c>
      <c r="C1966" t="s">
        <v>3409</v>
      </c>
      <c r="D1966" t="s">
        <v>35</v>
      </c>
      <c r="E1966" t="s">
        <v>36</v>
      </c>
      <c r="F1966" t="s">
        <v>1285</v>
      </c>
      <c r="G1966">
        <v>979950</v>
      </c>
      <c r="H1966" t="s">
        <v>1286</v>
      </c>
      <c r="I1966" t="s">
        <v>310</v>
      </c>
      <c r="J1966" t="str">
        <f>"9781476600321"</f>
        <v>9781476600321</v>
      </c>
      <c r="K1966" t="s">
        <v>3440</v>
      </c>
      <c r="L1966">
        <v>13</v>
      </c>
      <c r="O1966" t="s">
        <v>30</v>
      </c>
      <c r="P1966" t="s">
        <v>42</v>
      </c>
      <c r="S1966" t="s">
        <v>40</v>
      </c>
      <c r="T1966" t="s">
        <v>1288</v>
      </c>
      <c r="U1966" t="s">
        <v>1289</v>
      </c>
      <c r="V1966" s="3">
        <v>41100</v>
      </c>
    </row>
    <row r="1967" spans="1:22" x14ac:dyDescent="0.35">
      <c r="A1967" s="1">
        <v>42352.819618055553</v>
      </c>
      <c r="B1967" s="2">
        <v>1.4525462962962964E-2</v>
      </c>
      <c r="C1967" t="s">
        <v>3170</v>
      </c>
      <c r="D1967" t="s">
        <v>23</v>
      </c>
      <c r="E1967" t="s">
        <v>24</v>
      </c>
      <c r="F1967" t="s">
        <v>3171</v>
      </c>
      <c r="G1967">
        <v>1825699</v>
      </c>
      <c r="H1967" t="s">
        <v>45</v>
      </c>
      <c r="I1967" t="s">
        <v>150</v>
      </c>
      <c r="J1967" t="str">
        <f>"9781472409645"</f>
        <v>9781472409645</v>
      </c>
      <c r="K1967" t="s">
        <v>3441</v>
      </c>
      <c r="L1967">
        <v>12</v>
      </c>
      <c r="O1967" t="s">
        <v>30</v>
      </c>
      <c r="P1967" t="s">
        <v>29</v>
      </c>
      <c r="Q1967" s="1">
        <v>42352.647696759261</v>
      </c>
      <c r="R1967">
        <v>7</v>
      </c>
      <c r="S1967" t="s">
        <v>31</v>
      </c>
      <c r="T1967" t="s">
        <v>3173</v>
      </c>
      <c r="U1967">
        <v>780.92</v>
      </c>
      <c r="V1967" s="3">
        <v>42001</v>
      </c>
    </row>
    <row r="1968" spans="1:22" x14ac:dyDescent="0.35">
      <c r="A1968" s="1">
        <v>42352.805150462962</v>
      </c>
      <c r="B1968" s="2">
        <v>1.9456018518518518E-2</v>
      </c>
      <c r="C1968" t="s">
        <v>106</v>
      </c>
      <c r="D1968" t="s">
        <v>23</v>
      </c>
      <c r="E1968" t="s">
        <v>24</v>
      </c>
      <c r="F1968" t="s">
        <v>3442</v>
      </c>
      <c r="G1968">
        <v>1873238</v>
      </c>
      <c r="H1968" t="s">
        <v>84</v>
      </c>
      <c r="I1968" t="s">
        <v>27</v>
      </c>
      <c r="J1968" t="str">
        <f>"9780520961647"</f>
        <v>9780520961647</v>
      </c>
      <c r="K1968" t="s">
        <v>3443</v>
      </c>
      <c r="L1968">
        <v>12</v>
      </c>
      <c r="O1968" t="s">
        <v>30</v>
      </c>
      <c r="P1968" t="s">
        <v>29</v>
      </c>
      <c r="Q1968" s="1">
        <v>42352.805150462962</v>
      </c>
      <c r="R1968">
        <v>7</v>
      </c>
      <c r="S1968" t="s">
        <v>31</v>
      </c>
      <c r="T1968" t="s">
        <v>3444</v>
      </c>
      <c r="U1968">
        <v>497.9</v>
      </c>
      <c r="V1968" s="3">
        <v>42005</v>
      </c>
    </row>
    <row r="1969" spans="1:22" x14ac:dyDescent="0.35">
      <c r="A1969" s="1">
        <v>42352.797442129631</v>
      </c>
      <c r="B1969" s="2">
        <v>7.7083333333333335E-3</v>
      </c>
      <c r="C1969" t="s">
        <v>106</v>
      </c>
      <c r="D1969" t="s">
        <v>23</v>
      </c>
      <c r="E1969" t="s">
        <v>24</v>
      </c>
      <c r="F1969" t="s">
        <v>3442</v>
      </c>
      <c r="G1969">
        <v>1873238</v>
      </c>
      <c r="H1969" t="s">
        <v>84</v>
      </c>
      <c r="I1969" t="s">
        <v>27</v>
      </c>
      <c r="J1969" t="str">
        <f>"9780520961647"</f>
        <v>9780520961647</v>
      </c>
      <c r="K1969" t="s">
        <v>3445</v>
      </c>
      <c r="L1969">
        <v>9</v>
      </c>
      <c r="O1969" t="s">
        <v>30</v>
      </c>
      <c r="P1969" t="s">
        <v>42</v>
      </c>
      <c r="S1969" t="s">
        <v>31</v>
      </c>
      <c r="T1969" t="s">
        <v>3444</v>
      </c>
      <c r="U1969">
        <v>497.9</v>
      </c>
      <c r="V1969" s="3">
        <v>42005</v>
      </c>
    </row>
    <row r="1970" spans="1:22" x14ac:dyDescent="0.35">
      <c r="A1970" s="1">
        <v>42352.788032407407</v>
      </c>
      <c r="B1970" s="2">
        <v>2.5462962962962961E-4</v>
      </c>
      <c r="C1970" t="s">
        <v>3429</v>
      </c>
      <c r="D1970" t="s">
        <v>35</v>
      </c>
      <c r="E1970" t="s">
        <v>36</v>
      </c>
      <c r="F1970" t="s">
        <v>3275</v>
      </c>
      <c r="G1970">
        <v>822662</v>
      </c>
      <c r="H1970" t="s">
        <v>26</v>
      </c>
      <c r="I1970" t="s">
        <v>172</v>
      </c>
      <c r="J1970" t="str">
        <f>"9781444355130"</f>
        <v>9781444355130</v>
      </c>
      <c r="K1970" t="s">
        <v>3446</v>
      </c>
      <c r="L1970">
        <v>8</v>
      </c>
      <c r="O1970" t="s">
        <v>30</v>
      </c>
      <c r="P1970" t="s">
        <v>42</v>
      </c>
      <c r="S1970" t="s">
        <v>40</v>
      </c>
      <c r="T1970" t="s">
        <v>3277</v>
      </c>
      <c r="U1970">
        <v>960.3</v>
      </c>
      <c r="V1970" s="3">
        <v>40858</v>
      </c>
    </row>
    <row r="1971" spans="1:22" x14ac:dyDescent="0.35">
      <c r="A1971" s="1">
        <v>42352.781724537039</v>
      </c>
      <c r="B1971" s="2">
        <v>9.7499999999999989E-2</v>
      </c>
      <c r="C1971" t="s">
        <v>471</v>
      </c>
      <c r="D1971" t="s">
        <v>211</v>
      </c>
      <c r="E1971" t="s">
        <v>212</v>
      </c>
      <c r="F1971" t="s">
        <v>497</v>
      </c>
      <c r="G1971">
        <v>1986951</v>
      </c>
      <c r="H1971" t="s">
        <v>26</v>
      </c>
      <c r="I1971" t="s">
        <v>97</v>
      </c>
      <c r="J1971" t="str">
        <f>"9781119130468"</f>
        <v>9781119130468</v>
      </c>
      <c r="K1971" t="s">
        <v>3447</v>
      </c>
      <c r="L1971">
        <v>82</v>
      </c>
      <c r="M1971" t="s">
        <v>3448</v>
      </c>
      <c r="O1971" t="s">
        <v>30</v>
      </c>
      <c r="P1971" t="s">
        <v>29</v>
      </c>
      <c r="Q1971" s="1">
        <v>42349.868807870371</v>
      </c>
      <c r="R1971">
        <v>7</v>
      </c>
      <c r="S1971" t="s">
        <v>214</v>
      </c>
      <c r="T1971" t="s">
        <v>500</v>
      </c>
      <c r="U1971">
        <v>657.07600000000002</v>
      </c>
      <c r="V1971" s="3">
        <v>42143</v>
      </c>
    </row>
    <row r="1972" spans="1:22" x14ac:dyDescent="0.35">
      <c r="A1972" s="1">
        <v>42352.776724537034</v>
      </c>
      <c r="B1972" s="2">
        <v>2.199074074074074E-4</v>
      </c>
      <c r="C1972" t="s">
        <v>2958</v>
      </c>
      <c r="D1972" t="s">
        <v>146</v>
      </c>
      <c r="E1972" t="s">
        <v>147</v>
      </c>
      <c r="F1972" t="s">
        <v>3117</v>
      </c>
      <c r="G1972">
        <v>1022416</v>
      </c>
      <c r="H1972" t="s">
        <v>26</v>
      </c>
      <c r="I1972" t="s">
        <v>2751</v>
      </c>
      <c r="J1972" t="str">
        <f>"9781118373811"</f>
        <v>9781118373811</v>
      </c>
      <c r="K1972" t="s">
        <v>98</v>
      </c>
      <c r="L1972">
        <v>7</v>
      </c>
      <c r="O1972" t="s">
        <v>30</v>
      </c>
      <c r="P1972" t="s">
        <v>42</v>
      </c>
      <c r="S1972" t="s">
        <v>2961</v>
      </c>
      <c r="T1972" t="s">
        <v>3119</v>
      </c>
      <c r="U1972">
        <v>664</v>
      </c>
      <c r="V1972" s="3">
        <v>41157</v>
      </c>
    </row>
    <row r="1973" spans="1:22" x14ac:dyDescent="0.35">
      <c r="A1973" s="1">
        <v>42352.772511574076</v>
      </c>
      <c r="B1973" s="2">
        <v>0</v>
      </c>
      <c r="C1973" t="s">
        <v>2958</v>
      </c>
      <c r="D1973" t="s">
        <v>146</v>
      </c>
      <c r="E1973" t="s">
        <v>147</v>
      </c>
      <c r="F1973" t="s">
        <v>3449</v>
      </c>
      <c r="G1973">
        <v>1809344</v>
      </c>
      <c r="H1973" t="s">
        <v>1474</v>
      </c>
      <c r="I1973" t="s">
        <v>120</v>
      </c>
      <c r="J1973" t="str">
        <f>"9781137356192"</f>
        <v>9781137356192</v>
      </c>
      <c r="K1973" t="s">
        <v>3450</v>
      </c>
      <c r="L1973">
        <v>1</v>
      </c>
      <c r="O1973" t="s">
        <v>30</v>
      </c>
      <c r="P1973" t="s">
        <v>29</v>
      </c>
      <c r="Q1973" s="1">
        <v>42352.772511574076</v>
      </c>
      <c r="R1973">
        <v>7</v>
      </c>
      <c r="S1973" t="s">
        <v>2961</v>
      </c>
      <c r="T1973" t="s">
        <v>3451</v>
      </c>
      <c r="U1973">
        <v>364.4</v>
      </c>
      <c r="V1973" s="3">
        <v>41915</v>
      </c>
    </row>
    <row r="1974" spans="1:22" x14ac:dyDescent="0.35">
      <c r="A1974" s="1">
        <v>42352.770694444444</v>
      </c>
      <c r="B1974" s="2">
        <v>4.4560185185185189E-3</v>
      </c>
      <c r="C1974" t="s">
        <v>2958</v>
      </c>
      <c r="D1974" t="s">
        <v>146</v>
      </c>
      <c r="E1974" t="s">
        <v>147</v>
      </c>
      <c r="F1974" t="s">
        <v>3117</v>
      </c>
      <c r="G1974">
        <v>1022416</v>
      </c>
      <c r="H1974" t="s">
        <v>26</v>
      </c>
      <c r="I1974" t="s">
        <v>2751</v>
      </c>
      <c r="J1974" t="str">
        <f>"9781118373811"</f>
        <v>9781118373811</v>
      </c>
      <c r="K1974" t="s">
        <v>3452</v>
      </c>
      <c r="L1974">
        <v>26</v>
      </c>
      <c r="O1974" t="s">
        <v>30</v>
      </c>
      <c r="P1974" t="s">
        <v>42</v>
      </c>
      <c r="S1974" t="s">
        <v>2961</v>
      </c>
      <c r="T1974" t="s">
        <v>3119</v>
      </c>
      <c r="U1974">
        <v>664</v>
      </c>
      <c r="V1974" s="3">
        <v>41157</v>
      </c>
    </row>
    <row r="1975" spans="1:22" x14ac:dyDescent="0.35">
      <c r="A1975" s="1">
        <v>42352.757407407407</v>
      </c>
      <c r="B1975" s="2">
        <v>1.5104166666666667E-2</v>
      </c>
      <c r="C1975" t="s">
        <v>2958</v>
      </c>
      <c r="D1975" t="s">
        <v>146</v>
      </c>
      <c r="E1975" t="s">
        <v>147</v>
      </c>
      <c r="F1975" t="s">
        <v>3449</v>
      </c>
      <c r="G1975">
        <v>1809344</v>
      </c>
      <c r="H1975" t="s">
        <v>1474</v>
      </c>
      <c r="I1975" t="s">
        <v>120</v>
      </c>
      <c r="J1975" t="str">
        <f>"9781137356192"</f>
        <v>9781137356192</v>
      </c>
      <c r="K1975" t="s">
        <v>3453</v>
      </c>
      <c r="L1975">
        <v>8</v>
      </c>
      <c r="O1975" t="s">
        <v>30</v>
      </c>
      <c r="P1975" t="s">
        <v>42</v>
      </c>
      <c r="S1975" t="s">
        <v>2961</v>
      </c>
      <c r="T1975" t="s">
        <v>3451</v>
      </c>
      <c r="U1975">
        <v>364.4</v>
      </c>
      <c r="V1975" s="3">
        <v>41915</v>
      </c>
    </row>
    <row r="1976" spans="1:22" x14ac:dyDescent="0.35">
      <c r="A1976" s="1">
        <v>42352.755358796298</v>
      </c>
      <c r="B1976" s="2">
        <v>3.4722222222222222E-5</v>
      </c>
      <c r="C1976" t="s">
        <v>2958</v>
      </c>
      <c r="D1976" t="s">
        <v>146</v>
      </c>
      <c r="E1976" t="s">
        <v>147</v>
      </c>
      <c r="F1976" t="s">
        <v>3449</v>
      </c>
      <c r="G1976">
        <v>1809344</v>
      </c>
      <c r="H1976" t="s">
        <v>1474</v>
      </c>
      <c r="I1976" t="s">
        <v>120</v>
      </c>
      <c r="J1976" t="str">
        <f>"9781137356192"</f>
        <v>9781137356192</v>
      </c>
      <c r="K1976" t="s">
        <v>33</v>
      </c>
      <c r="L1976">
        <v>3</v>
      </c>
      <c r="O1976" t="s">
        <v>30</v>
      </c>
      <c r="P1976" t="s">
        <v>42</v>
      </c>
      <c r="S1976" t="s">
        <v>2961</v>
      </c>
      <c r="T1976" t="s">
        <v>3451</v>
      </c>
      <c r="U1976">
        <v>364.4</v>
      </c>
      <c r="V1976" s="3">
        <v>41915</v>
      </c>
    </row>
    <row r="1977" spans="1:22" x14ac:dyDescent="0.35">
      <c r="A1977" s="1">
        <v>42352.753159722219</v>
      </c>
      <c r="B1977" s="2">
        <v>5.7870370370370366E-5</v>
      </c>
      <c r="C1977" t="s">
        <v>3454</v>
      </c>
      <c r="D1977" t="s">
        <v>23</v>
      </c>
      <c r="E1977" t="s">
        <v>24</v>
      </c>
      <c r="F1977" t="s">
        <v>3351</v>
      </c>
      <c r="G1977">
        <v>1760720</v>
      </c>
      <c r="H1977" t="s">
        <v>91</v>
      </c>
      <c r="I1977" t="s">
        <v>247</v>
      </c>
      <c r="J1977" t="str">
        <f>"9781462517459"</f>
        <v>9781462517459</v>
      </c>
      <c r="K1977" t="s">
        <v>33</v>
      </c>
      <c r="L1977">
        <v>3</v>
      </c>
      <c r="O1977" t="s">
        <v>30</v>
      </c>
      <c r="P1977" t="s">
        <v>42</v>
      </c>
      <c r="S1977" t="s">
        <v>31</v>
      </c>
      <c r="T1977" t="s">
        <v>3353</v>
      </c>
      <c r="U1977">
        <v>616.89142000000004</v>
      </c>
      <c r="V1977" s="3">
        <v>41996</v>
      </c>
    </row>
    <row r="1978" spans="1:22" x14ac:dyDescent="0.35">
      <c r="A1978" s="1">
        <v>42352.750347222223</v>
      </c>
      <c r="B1978" s="2">
        <v>0.13813657407407406</v>
      </c>
      <c r="C1978" t="s">
        <v>106</v>
      </c>
      <c r="D1978" t="s">
        <v>23</v>
      </c>
      <c r="E1978" t="s">
        <v>24</v>
      </c>
      <c r="F1978" t="s">
        <v>486</v>
      </c>
      <c r="G1978">
        <v>1119505</v>
      </c>
      <c r="H1978" t="s">
        <v>26</v>
      </c>
      <c r="I1978" t="s">
        <v>450</v>
      </c>
      <c r="J1978" t="str">
        <f>"9781118355015"</f>
        <v>9781118355015</v>
      </c>
      <c r="K1978" t="s">
        <v>3455</v>
      </c>
      <c r="L1978">
        <v>80</v>
      </c>
      <c r="O1978" t="s">
        <v>30</v>
      </c>
      <c r="P1978" t="s">
        <v>29</v>
      </c>
      <c r="Q1978" s="1">
        <v>42352.750347222223</v>
      </c>
      <c r="R1978">
        <v>7</v>
      </c>
      <c r="S1978" t="s">
        <v>31</v>
      </c>
      <c r="T1978" t="s">
        <v>487</v>
      </c>
      <c r="U1978" t="s">
        <v>488</v>
      </c>
      <c r="V1978" s="3">
        <v>41302</v>
      </c>
    </row>
    <row r="1979" spans="1:22" x14ac:dyDescent="0.35">
      <c r="A1979" s="1">
        <v>42352.742175925923</v>
      </c>
      <c r="B1979" s="2">
        <v>8.1712962962962963E-3</v>
      </c>
      <c r="C1979" t="s">
        <v>106</v>
      </c>
      <c r="D1979" t="s">
        <v>23</v>
      </c>
      <c r="E1979" t="s">
        <v>24</v>
      </c>
      <c r="F1979" t="s">
        <v>486</v>
      </c>
      <c r="G1979">
        <v>1119505</v>
      </c>
      <c r="H1979" t="s">
        <v>26</v>
      </c>
      <c r="I1979" t="s">
        <v>450</v>
      </c>
      <c r="J1979" t="str">
        <f>"9781118355015"</f>
        <v>9781118355015</v>
      </c>
      <c r="K1979" t="s">
        <v>3456</v>
      </c>
      <c r="L1979">
        <v>28</v>
      </c>
      <c r="O1979" t="s">
        <v>30</v>
      </c>
      <c r="P1979" t="s">
        <v>42</v>
      </c>
      <c r="S1979" t="s">
        <v>31</v>
      </c>
      <c r="T1979" t="s">
        <v>487</v>
      </c>
      <c r="U1979" t="s">
        <v>488</v>
      </c>
      <c r="V1979" s="3">
        <v>41302</v>
      </c>
    </row>
    <row r="1980" spans="1:22" x14ac:dyDescent="0.35">
      <c r="A1980" s="1">
        <v>42352.739108796297</v>
      </c>
      <c r="B1980" s="2">
        <v>5.9953703703703697E-3</v>
      </c>
      <c r="C1980" t="s">
        <v>3457</v>
      </c>
      <c r="D1980" t="s">
        <v>23</v>
      </c>
      <c r="E1980" t="s">
        <v>24</v>
      </c>
      <c r="F1980" t="s">
        <v>3458</v>
      </c>
      <c r="G1980">
        <v>1763138</v>
      </c>
      <c r="H1980" t="s">
        <v>526</v>
      </c>
      <c r="I1980" t="s">
        <v>310</v>
      </c>
      <c r="J1980" t="str">
        <f>"9780226150789"</f>
        <v>9780226150789</v>
      </c>
      <c r="K1980" t="s">
        <v>3459</v>
      </c>
      <c r="L1980">
        <v>29</v>
      </c>
      <c r="M1980" t="s">
        <v>3460</v>
      </c>
      <c r="O1980" t="s">
        <v>30</v>
      </c>
      <c r="P1980" t="s">
        <v>47</v>
      </c>
      <c r="Q1980" s="1">
        <v>42352.161898148152</v>
      </c>
      <c r="R1980">
        <v>1</v>
      </c>
      <c r="S1980" t="s">
        <v>31</v>
      </c>
      <c r="T1980" t="s">
        <v>3461</v>
      </c>
      <c r="U1980" t="s">
        <v>3462</v>
      </c>
      <c r="V1980" s="3">
        <v>41892</v>
      </c>
    </row>
    <row r="1981" spans="1:22" x14ac:dyDescent="0.35">
      <c r="A1981" s="1">
        <v>42352.730983796297</v>
      </c>
      <c r="B1981" s="2">
        <v>5.2083333333333333E-4</v>
      </c>
      <c r="C1981" t="s">
        <v>3463</v>
      </c>
      <c r="D1981" t="s">
        <v>158</v>
      </c>
      <c r="E1981" t="s">
        <v>159</v>
      </c>
      <c r="F1981" t="s">
        <v>3464</v>
      </c>
      <c r="G1981">
        <v>771134</v>
      </c>
      <c r="H1981" t="s">
        <v>3465</v>
      </c>
      <c r="I1981" t="s">
        <v>120</v>
      </c>
      <c r="J1981" t="str">
        <f>"9781608706426"</f>
        <v>9781608706426</v>
      </c>
      <c r="K1981" t="s">
        <v>3466</v>
      </c>
      <c r="L1981">
        <v>18</v>
      </c>
      <c r="O1981" t="s">
        <v>30</v>
      </c>
      <c r="P1981" t="s">
        <v>42</v>
      </c>
      <c r="S1981" t="s">
        <v>163</v>
      </c>
      <c r="T1981" t="s">
        <v>3467</v>
      </c>
      <c r="U1981">
        <v>306.84800000000001</v>
      </c>
      <c r="V1981" s="3">
        <v>40909</v>
      </c>
    </row>
    <row r="1982" spans="1:22" x14ac:dyDescent="0.35">
      <c r="A1982" s="1">
        <v>42352.659861111111</v>
      </c>
      <c r="B1982" s="2">
        <v>6.3750000000000001E-2</v>
      </c>
      <c r="C1982" t="s">
        <v>471</v>
      </c>
      <c r="D1982" t="s">
        <v>211</v>
      </c>
      <c r="E1982" t="s">
        <v>212</v>
      </c>
      <c r="F1982" t="s">
        <v>497</v>
      </c>
      <c r="G1982">
        <v>1986951</v>
      </c>
      <c r="H1982" t="s">
        <v>26</v>
      </c>
      <c r="I1982" t="s">
        <v>97</v>
      </c>
      <c r="J1982" t="str">
        <f>"9781119130468"</f>
        <v>9781119130468</v>
      </c>
      <c r="K1982" t="s">
        <v>3468</v>
      </c>
      <c r="L1982">
        <v>48</v>
      </c>
      <c r="M1982" t="s">
        <v>3469</v>
      </c>
      <c r="O1982" t="s">
        <v>30</v>
      </c>
      <c r="P1982" t="s">
        <v>29</v>
      </c>
      <c r="Q1982" s="1">
        <v>42349.868807870371</v>
      </c>
      <c r="R1982">
        <v>7</v>
      </c>
      <c r="S1982" t="s">
        <v>214</v>
      </c>
      <c r="T1982" t="s">
        <v>500</v>
      </c>
      <c r="U1982">
        <v>657.07600000000002</v>
      </c>
      <c r="V1982" s="3">
        <v>42143</v>
      </c>
    </row>
    <row r="1983" spans="1:22" x14ac:dyDescent="0.35">
      <c r="A1983" s="1">
        <v>42352.64770833333</v>
      </c>
      <c r="B1983" s="2">
        <v>2.4039351851851853E-2</v>
      </c>
      <c r="C1983" t="s">
        <v>3170</v>
      </c>
      <c r="D1983" t="s">
        <v>23</v>
      </c>
      <c r="E1983" t="s">
        <v>24</v>
      </c>
      <c r="F1983" t="s">
        <v>3171</v>
      </c>
      <c r="G1983">
        <v>1825699</v>
      </c>
      <c r="H1983" t="s">
        <v>45</v>
      </c>
      <c r="I1983" t="s">
        <v>150</v>
      </c>
      <c r="J1983" t="str">
        <f>"9781472409645"</f>
        <v>9781472409645</v>
      </c>
      <c r="K1983" t="s">
        <v>3470</v>
      </c>
      <c r="L1983">
        <v>51</v>
      </c>
      <c r="O1983" t="s">
        <v>30</v>
      </c>
      <c r="P1983" t="s">
        <v>29</v>
      </c>
      <c r="Q1983" s="1">
        <v>42352.647696759261</v>
      </c>
      <c r="R1983">
        <v>7</v>
      </c>
      <c r="S1983" t="s">
        <v>31</v>
      </c>
      <c r="T1983" t="s">
        <v>3173</v>
      </c>
      <c r="U1983">
        <v>780.92</v>
      </c>
      <c r="V1983" s="3">
        <v>42001</v>
      </c>
    </row>
    <row r="1984" spans="1:22" x14ac:dyDescent="0.35">
      <c r="A1984" s="1">
        <v>42352.641250000001</v>
      </c>
      <c r="B1984" s="2">
        <v>1.6203703703703703E-3</v>
      </c>
      <c r="C1984" t="s">
        <v>3471</v>
      </c>
      <c r="D1984" t="s">
        <v>261</v>
      </c>
      <c r="E1984" t="s">
        <v>262</v>
      </c>
      <c r="F1984" t="s">
        <v>3472</v>
      </c>
      <c r="G1984">
        <v>1397485</v>
      </c>
      <c r="H1984" t="s">
        <v>68</v>
      </c>
      <c r="I1984" t="s">
        <v>172</v>
      </c>
      <c r="J1984" t="str">
        <f>"9781317862642"</f>
        <v>9781317862642</v>
      </c>
      <c r="K1984" t="s">
        <v>3473</v>
      </c>
      <c r="L1984">
        <v>11</v>
      </c>
      <c r="O1984" t="s">
        <v>30</v>
      </c>
      <c r="P1984" t="s">
        <v>50</v>
      </c>
      <c r="S1984" t="s">
        <v>264</v>
      </c>
      <c r="T1984" t="s">
        <v>3474</v>
      </c>
      <c r="U1984">
        <v>945.08299999999997</v>
      </c>
      <c r="V1984" s="3">
        <v>41530</v>
      </c>
    </row>
    <row r="1985" spans="1:22" x14ac:dyDescent="0.35">
      <c r="A1985" s="1">
        <v>42352.62871527778</v>
      </c>
      <c r="B1985" s="2">
        <v>1.8981481481481481E-2</v>
      </c>
      <c r="C1985" t="s">
        <v>3170</v>
      </c>
      <c r="D1985" t="s">
        <v>23</v>
      </c>
      <c r="E1985" t="s">
        <v>24</v>
      </c>
      <c r="F1985" t="s">
        <v>3171</v>
      </c>
      <c r="G1985">
        <v>1825699</v>
      </c>
      <c r="H1985" t="s">
        <v>45</v>
      </c>
      <c r="I1985" t="s">
        <v>150</v>
      </c>
      <c r="J1985" t="str">
        <f>"9781472409645"</f>
        <v>9781472409645</v>
      </c>
      <c r="K1985" t="s">
        <v>3475</v>
      </c>
      <c r="L1985">
        <v>11</v>
      </c>
      <c r="O1985" t="s">
        <v>30</v>
      </c>
      <c r="P1985" t="s">
        <v>50</v>
      </c>
      <c r="S1985" t="s">
        <v>31</v>
      </c>
      <c r="T1985" t="s">
        <v>3173</v>
      </c>
      <c r="U1985">
        <v>780.92</v>
      </c>
      <c r="V1985" s="3">
        <v>42001</v>
      </c>
    </row>
    <row r="1986" spans="1:22" x14ac:dyDescent="0.35">
      <c r="A1986" s="1">
        <v>42352.603981481479</v>
      </c>
      <c r="B1986" s="2">
        <v>5.9722222222222225E-3</v>
      </c>
      <c r="C1986" t="s">
        <v>2705</v>
      </c>
      <c r="D1986" t="s">
        <v>23</v>
      </c>
      <c r="E1986" t="s">
        <v>24</v>
      </c>
      <c r="F1986" t="s">
        <v>226</v>
      </c>
      <c r="G1986">
        <v>817313</v>
      </c>
      <c r="H1986" t="s">
        <v>26</v>
      </c>
      <c r="I1986" t="s">
        <v>69</v>
      </c>
      <c r="J1986" t="str">
        <f>"9781118136829"</f>
        <v>9781118136829</v>
      </c>
      <c r="K1986" t="s">
        <v>3476</v>
      </c>
      <c r="L1986">
        <v>21</v>
      </c>
      <c r="O1986" t="s">
        <v>30</v>
      </c>
      <c r="P1986" t="s">
        <v>29</v>
      </c>
      <c r="Q1986" s="1">
        <v>42348.608298611114</v>
      </c>
      <c r="R1986">
        <v>7</v>
      </c>
      <c r="S1986" t="s">
        <v>31</v>
      </c>
      <c r="T1986" t="s">
        <v>2311</v>
      </c>
      <c r="U1986">
        <v>378.16640000000001</v>
      </c>
      <c r="V1986" s="3">
        <v>40918</v>
      </c>
    </row>
    <row r="1987" spans="1:22" x14ac:dyDescent="0.35">
      <c r="A1987" s="1">
        <v>42352.542916666665</v>
      </c>
      <c r="B1987" s="2">
        <v>1.8171296296296297E-3</v>
      </c>
      <c r="C1987" t="s">
        <v>2705</v>
      </c>
      <c r="D1987" t="s">
        <v>23</v>
      </c>
      <c r="E1987" t="s">
        <v>24</v>
      </c>
      <c r="F1987" t="s">
        <v>226</v>
      </c>
      <c r="G1987">
        <v>817313</v>
      </c>
      <c r="H1987" t="s">
        <v>26</v>
      </c>
      <c r="I1987" t="s">
        <v>69</v>
      </c>
      <c r="J1987" t="str">
        <f>"9781118136829"</f>
        <v>9781118136829</v>
      </c>
      <c r="K1987" t="s">
        <v>3477</v>
      </c>
      <c r="L1987">
        <v>29</v>
      </c>
      <c r="O1987" t="s">
        <v>30</v>
      </c>
      <c r="P1987" t="s">
        <v>29</v>
      </c>
      <c r="Q1987" s="1">
        <v>42348.608298611114</v>
      </c>
      <c r="R1987">
        <v>7</v>
      </c>
      <c r="S1987" t="s">
        <v>31</v>
      </c>
      <c r="T1987" t="s">
        <v>2311</v>
      </c>
      <c r="U1987">
        <v>378.16640000000001</v>
      </c>
      <c r="V1987" s="3">
        <v>40918</v>
      </c>
    </row>
    <row r="1988" spans="1:22" x14ac:dyDescent="0.35">
      <c r="A1988" s="1">
        <v>42352.529479166667</v>
      </c>
      <c r="B1988" s="2">
        <v>6.7997685185185189E-2</v>
      </c>
      <c r="C1988" t="s">
        <v>3478</v>
      </c>
      <c r="D1988" t="s">
        <v>23</v>
      </c>
      <c r="E1988" t="s">
        <v>24</v>
      </c>
      <c r="F1988" t="s">
        <v>3479</v>
      </c>
      <c r="G1988">
        <v>1650800</v>
      </c>
      <c r="H1988" t="s">
        <v>84</v>
      </c>
      <c r="I1988" t="s">
        <v>776</v>
      </c>
      <c r="J1988" t="str">
        <f>"9780520958258"</f>
        <v>9780520958258</v>
      </c>
      <c r="K1988" t="s">
        <v>3480</v>
      </c>
      <c r="L1988">
        <v>39</v>
      </c>
      <c r="O1988" t="s">
        <v>30</v>
      </c>
      <c r="P1988" t="s">
        <v>47</v>
      </c>
      <c r="Q1988" s="1">
        <v>42352.529479166667</v>
      </c>
      <c r="R1988">
        <v>1</v>
      </c>
      <c r="S1988" t="s">
        <v>31</v>
      </c>
      <c r="T1988" t="s">
        <v>3481</v>
      </c>
      <c r="U1988">
        <v>796.33409810000001</v>
      </c>
      <c r="V1988" s="3">
        <v>41802</v>
      </c>
    </row>
    <row r="1989" spans="1:22" x14ac:dyDescent="0.35">
      <c r="A1989" s="1">
        <v>42352.522048611114</v>
      </c>
      <c r="B1989" s="2">
        <v>7.4305555555555548E-3</v>
      </c>
      <c r="C1989" t="s">
        <v>3478</v>
      </c>
      <c r="D1989" t="s">
        <v>23</v>
      </c>
      <c r="E1989" t="s">
        <v>24</v>
      </c>
      <c r="F1989" t="s">
        <v>3479</v>
      </c>
      <c r="G1989">
        <v>1650800</v>
      </c>
      <c r="H1989" t="s">
        <v>84</v>
      </c>
      <c r="I1989" t="s">
        <v>776</v>
      </c>
      <c r="J1989" t="str">
        <f>"9780520958258"</f>
        <v>9780520958258</v>
      </c>
      <c r="K1989" t="s">
        <v>3482</v>
      </c>
      <c r="L1989">
        <v>26</v>
      </c>
      <c r="O1989" t="s">
        <v>30</v>
      </c>
      <c r="P1989" t="s">
        <v>50</v>
      </c>
      <c r="S1989" t="s">
        <v>31</v>
      </c>
      <c r="T1989" t="s">
        <v>3481</v>
      </c>
      <c r="U1989">
        <v>796.33409810000001</v>
      </c>
      <c r="V1989" s="3">
        <v>41802</v>
      </c>
    </row>
    <row r="1990" spans="1:22" x14ac:dyDescent="0.35">
      <c r="A1990" s="1">
        <v>42352.327291666668</v>
      </c>
      <c r="B1990" s="2">
        <v>9.9444444444444446E-2</v>
      </c>
      <c r="C1990" t="s">
        <v>3483</v>
      </c>
      <c r="D1990" t="s">
        <v>261</v>
      </c>
      <c r="E1990" t="s">
        <v>262</v>
      </c>
      <c r="F1990" t="s">
        <v>3484</v>
      </c>
      <c r="G1990">
        <v>1434051</v>
      </c>
      <c r="H1990" t="s">
        <v>68</v>
      </c>
      <c r="I1990" t="s">
        <v>172</v>
      </c>
      <c r="J1990" t="str">
        <f>"9781134589494"</f>
        <v>9781134589494</v>
      </c>
      <c r="K1990" t="s">
        <v>3485</v>
      </c>
      <c r="L1990">
        <v>22</v>
      </c>
      <c r="O1990" t="s">
        <v>30</v>
      </c>
      <c r="P1990" t="s">
        <v>47</v>
      </c>
      <c r="Q1990" s="1">
        <v>42352.116226851853</v>
      </c>
      <c r="R1990">
        <v>1</v>
      </c>
      <c r="S1990" t="s">
        <v>264</v>
      </c>
      <c r="T1990" t="s">
        <v>3486</v>
      </c>
      <c r="U1990">
        <v>937.07092</v>
      </c>
      <c r="V1990" s="3">
        <v>41537</v>
      </c>
    </row>
    <row r="1991" spans="1:22" x14ac:dyDescent="0.35">
      <c r="A1991" s="1">
        <v>42352.226875</v>
      </c>
      <c r="B1991" s="2">
        <v>2.5196759259259256E-2</v>
      </c>
      <c r="C1991" t="s">
        <v>3487</v>
      </c>
      <c r="D1991" t="s">
        <v>23</v>
      </c>
      <c r="E1991" t="s">
        <v>24</v>
      </c>
      <c r="F1991" t="s">
        <v>3488</v>
      </c>
      <c r="G1991">
        <v>1294909</v>
      </c>
      <c r="H1991" t="s">
        <v>84</v>
      </c>
      <c r="I1991" t="s">
        <v>445</v>
      </c>
      <c r="J1991" t="str">
        <f>"9780520956797"</f>
        <v>9780520956797</v>
      </c>
      <c r="K1991" t="s">
        <v>3489</v>
      </c>
      <c r="L1991">
        <v>29</v>
      </c>
      <c r="O1991" t="s">
        <v>30</v>
      </c>
      <c r="P1991" t="s">
        <v>29</v>
      </c>
      <c r="Q1991" s="1">
        <v>42352.020694444444</v>
      </c>
      <c r="R1991">
        <v>7</v>
      </c>
      <c r="S1991" t="s">
        <v>31</v>
      </c>
      <c r="T1991" t="s">
        <v>3490</v>
      </c>
      <c r="U1991" t="s">
        <v>3491</v>
      </c>
      <c r="V1991" s="3">
        <v>41487</v>
      </c>
    </row>
    <row r="1992" spans="1:22" x14ac:dyDescent="0.35">
      <c r="A1992" s="1">
        <v>42352.223483796297</v>
      </c>
      <c r="B1992" s="2">
        <v>5.3240740740740744E-4</v>
      </c>
      <c r="C1992" t="s">
        <v>3492</v>
      </c>
      <c r="D1992" t="s">
        <v>35</v>
      </c>
      <c r="E1992" t="s">
        <v>36</v>
      </c>
      <c r="F1992" t="s">
        <v>226</v>
      </c>
      <c r="G1992">
        <v>1895348</v>
      </c>
      <c r="H1992" t="s">
        <v>26</v>
      </c>
      <c r="I1992" t="s">
        <v>69</v>
      </c>
      <c r="J1992" t="str">
        <f>"9781119068839"</f>
        <v>9781119068839</v>
      </c>
      <c r="K1992" t="s">
        <v>3493</v>
      </c>
      <c r="L1992">
        <v>7</v>
      </c>
      <c r="O1992" t="s">
        <v>30</v>
      </c>
      <c r="P1992" t="s">
        <v>42</v>
      </c>
      <c r="S1992" t="s">
        <v>40</v>
      </c>
      <c r="T1992" t="s">
        <v>227</v>
      </c>
      <c r="U1992">
        <v>378.16640000000001</v>
      </c>
      <c r="V1992" s="3">
        <v>42151</v>
      </c>
    </row>
    <row r="1993" spans="1:22" x14ac:dyDescent="0.35">
      <c r="A1993" s="1">
        <v>42352.169351851851</v>
      </c>
      <c r="B1993" s="2">
        <v>7.5115740740740742E-3</v>
      </c>
      <c r="C1993" t="s">
        <v>3494</v>
      </c>
      <c r="D1993" t="s">
        <v>1222</v>
      </c>
      <c r="E1993" t="s">
        <v>1223</v>
      </c>
      <c r="F1993" t="s">
        <v>3495</v>
      </c>
      <c r="G1993">
        <v>1655861</v>
      </c>
      <c r="H1993" t="s">
        <v>613</v>
      </c>
      <c r="I1993" t="s">
        <v>291</v>
      </c>
      <c r="J1993" t="str">
        <f>"9781469615578"</f>
        <v>9781469615578</v>
      </c>
      <c r="K1993" t="s">
        <v>3496</v>
      </c>
      <c r="L1993">
        <v>17</v>
      </c>
      <c r="O1993" t="s">
        <v>30</v>
      </c>
      <c r="P1993" t="s">
        <v>47</v>
      </c>
      <c r="Q1993" s="1">
        <v>42352.169351851851</v>
      </c>
      <c r="R1993">
        <v>1</v>
      </c>
      <c r="S1993" t="s">
        <v>1226</v>
      </c>
      <c r="T1993" t="s">
        <v>3497</v>
      </c>
      <c r="U1993" t="s">
        <v>3498</v>
      </c>
      <c r="V1993" s="3">
        <v>41715</v>
      </c>
    </row>
    <row r="1994" spans="1:22" x14ac:dyDescent="0.35">
      <c r="A1994" s="1">
        <v>42352.168298611112</v>
      </c>
      <c r="B1994" s="2">
        <v>1.0532407407407407E-3</v>
      </c>
      <c r="C1994" t="s">
        <v>3494</v>
      </c>
      <c r="D1994" t="s">
        <v>1222</v>
      </c>
      <c r="E1994" t="s">
        <v>1223</v>
      </c>
      <c r="F1994" t="s">
        <v>3495</v>
      </c>
      <c r="G1994">
        <v>1655861</v>
      </c>
      <c r="H1994" t="s">
        <v>613</v>
      </c>
      <c r="I1994" t="s">
        <v>291</v>
      </c>
      <c r="J1994" t="str">
        <f>"9781469615578"</f>
        <v>9781469615578</v>
      </c>
      <c r="K1994" t="s">
        <v>33</v>
      </c>
      <c r="L1994">
        <v>3</v>
      </c>
      <c r="O1994" t="s">
        <v>30</v>
      </c>
      <c r="P1994" t="s">
        <v>50</v>
      </c>
      <c r="S1994" t="s">
        <v>1226</v>
      </c>
      <c r="T1994" t="s">
        <v>3497</v>
      </c>
      <c r="U1994" t="s">
        <v>3498</v>
      </c>
      <c r="V1994" s="3">
        <v>41715</v>
      </c>
    </row>
    <row r="1995" spans="1:22" x14ac:dyDescent="0.35">
      <c r="A1995" s="1">
        <v>42352.165625000001</v>
      </c>
      <c r="B1995" s="2">
        <v>2.1064814814814813E-3</v>
      </c>
      <c r="C1995" t="s">
        <v>3499</v>
      </c>
      <c r="D1995" t="s">
        <v>23</v>
      </c>
      <c r="E1995" t="s">
        <v>24</v>
      </c>
      <c r="F1995" t="s">
        <v>3228</v>
      </c>
      <c r="G1995">
        <v>1115640</v>
      </c>
      <c r="H1995" t="s">
        <v>26</v>
      </c>
      <c r="I1995" t="s">
        <v>3229</v>
      </c>
      <c r="J1995" t="str">
        <f>"9781118419090"</f>
        <v>9781118419090</v>
      </c>
      <c r="K1995" t="s">
        <v>3500</v>
      </c>
      <c r="L1995">
        <v>23</v>
      </c>
      <c r="O1995" t="s">
        <v>30</v>
      </c>
      <c r="P1995" t="s">
        <v>29</v>
      </c>
      <c r="Q1995" s="1">
        <v>42352.165625000001</v>
      </c>
      <c r="R1995">
        <v>7</v>
      </c>
      <c r="S1995" t="s">
        <v>31</v>
      </c>
      <c r="T1995" t="s">
        <v>3231</v>
      </c>
      <c r="U1995">
        <v>624</v>
      </c>
      <c r="V1995" s="3">
        <v>41296</v>
      </c>
    </row>
    <row r="1996" spans="1:22" x14ac:dyDescent="0.35">
      <c r="A1996" s="1">
        <v>42352.161898148152</v>
      </c>
      <c r="B1996" s="2">
        <v>2.4305555555555552E-4</v>
      </c>
      <c r="C1996" t="s">
        <v>3457</v>
      </c>
      <c r="D1996" t="s">
        <v>23</v>
      </c>
      <c r="E1996" t="s">
        <v>24</v>
      </c>
      <c r="F1996" t="s">
        <v>3458</v>
      </c>
      <c r="G1996">
        <v>1763138</v>
      </c>
      <c r="H1996" t="s">
        <v>526</v>
      </c>
      <c r="I1996" t="s">
        <v>310</v>
      </c>
      <c r="J1996" t="str">
        <f>"9780226150789"</f>
        <v>9780226150789</v>
      </c>
      <c r="K1996" t="s">
        <v>3501</v>
      </c>
      <c r="L1996">
        <v>11</v>
      </c>
      <c r="O1996" t="s">
        <v>30</v>
      </c>
      <c r="P1996" t="s">
        <v>47</v>
      </c>
      <c r="Q1996" s="1">
        <v>42352.161898148152</v>
      </c>
      <c r="R1996">
        <v>1</v>
      </c>
      <c r="S1996" t="s">
        <v>31</v>
      </c>
      <c r="T1996" t="s">
        <v>3461</v>
      </c>
      <c r="U1996" t="s">
        <v>3462</v>
      </c>
      <c r="V1996" s="3">
        <v>41892</v>
      </c>
    </row>
    <row r="1997" spans="1:22" x14ac:dyDescent="0.35">
      <c r="A1997" s="1">
        <v>42352.157824074071</v>
      </c>
      <c r="B1997" s="2">
        <v>7.8009259259259256E-3</v>
      </c>
      <c r="C1997" t="s">
        <v>3499</v>
      </c>
      <c r="D1997" t="s">
        <v>23</v>
      </c>
      <c r="E1997" t="s">
        <v>24</v>
      </c>
      <c r="F1997" t="s">
        <v>3228</v>
      </c>
      <c r="G1997">
        <v>1115640</v>
      </c>
      <c r="H1997" t="s">
        <v>26</v>
      </c>
      <c r="I1997" t="s">
        <v>3229</v>
      </c>
      <c r="J1997" t="str">
        <f>"9781118419090"</f>
        <v>9781118419090</v>
      </c>
      <c r="K1997" t="s">
        <v>3502</v>
      </c>
      <c r="L1997">
        <v>39</v>
      </c>
      <c r="O1997" t="s">
        <v>30</v>
      </c>
      <c r="P1997" t="s">
        <v>42</v>
      </c>
      <c r="S1997" t="s">
        <v>31</v>
      </c>
      <c r="T1997" t="s">
        <v>3231</v>
      </c>
      <c r="U1997">
        <v>624</v>
      </c>
      <c r="V1997" s="3">
        <v>41296</v>
      </c>
    </row>
    <row r="1998" spans="1:22" x14ac:dyDescent="0.35">
      <c r="A1998" s="1">
        <v>42352.156053240738</v>
      </c>
      <c r="B1998" s="2">
        <v>5.8449074074074072E-3</v>
      </c>
      <c r="C1998" t="s">
        <v>3457</v>
      </c>
      <c r="D1998" t="s">
        <v>23</v>
      </c>
      <c r="E1998" t="s">
        <v>24</v>
      </c>
      <c r="F1998" t="s">
        <v>3458</v>
      </c>
      <c r="G1998">
        <v>1763138</v>
      </c>
      <c r="H1998" t="s">
        <v>526</v>
      </c>
      <c r="I1998" t="s">
        <v>310</v>
      </c>
      <c r="J1998" t="str">
        <f>"9780226150789"</f>
        <v>9780226150789</v>
      </c>
      <c r="K1998" t="s">
        <v>33</v>
      </c>
      <c r="L1998">
        <v>3</v>
      </c>
      <c r="O1998" t="s">
        <v>30</v>
      </c>
      <c r="P1998" t="s">
        <v>50</v>
      </c>
      <c r="S1998" t="s">
        <v>31</v>
      </c>
      <c r="T1998" t="s">
        <v>3461</v>
      </c>
      <c r="U1998" t="s">
        <v>3462</v>
      </c>
      <c r="V1998" s="3">
        <v>41892</v>
      </c>
    </row>
    <row r="1999" spans="1:22" x14ac:dyDescent="0.35">
      <c r="A1999" s="1">
        <v>42352.150555555556</v>
      </c>
      <c r="B1999" s="2">
        <v>8.4027777777777781E-3</v>
      </c>
      <c r="C1999" t="s">
        <v>3213</v>
      </c>
      <c r="D1999" t="s">
        <v>35</v>
      </c>
      <c r="E1999" t="s">
        <v>36</v>
      </c>
      <c r="F1999" t="s">
        <v>3503</v>
      </c>
      <c r="G1999">
        <v>1517531</v>
      </c>
      <c r="H1999" t="s">
        <v>68</v>
      </c>
      <c r="I1999" t="s">
        <v>172</v>
      </c>
      <c r="J1999" t="str">
        <f>"9780203559291"</f>
        <v>9780203559291</v>
      </c>
      <c r="K1999" t="s">
        <v>3504</v>
      </c>
      <c r="L1999">
        <v>63</v>
      </c>
      <c r="O1999" t="s">
        <v>30</v>
      </c>
      <c r="P1999" t="s">
        <v>47</v>
      </c>
      <c r="Q1999" s="1">
        <v>42352.150555555556</v>
      </c>
      <c r="R1999">
        <v>1</v>
      </c>
      <c r="S1999" t="s">
        <v>40</v>
      </c>
      <c r="T1999" t="s">
        <v>3505</v>
      </c>
      <c r="U1999" t="s">
        <v>3506</v>
      </c>
      <c r="V1999" s="3">
        <v>41548</v>
      </c>
    </row>
    <row r="2000" spans="1:22" x14ac:dyDescent="0.35">
      <c r="A2000" s="1">
        <v>42352.143171296295</v>
      </c>
      <c r="B2000" s="2">
        <v>4.6296296296296294E-5</v>
      </c>
      <c r="C2000" t="s">
        <v>3507</v>
      </c>
      <c r="D2000" t="s">
        <v>23</v>
      </c>
      <c r="E2000" t="s">
        <v>24</v>
      </c>
      <c r="F2000" t="s">
        <v>3228</v>
      </c>
      <c r="G2000">
        <v>1115640</v>
      </c>
      <c r="H2000" t="s">
        <v>26</v>
      </c>
      <c r="I2000" t="s">
        <v>3229</v>
      </c>
      <c r="J2000" t="str">
        <f>"9781118419090"</f>
        <v>9781118419090</v>
      </c>
      <c r="K2000" t="s">
        <v>33</v>
      </c>
      <c r="L2000">
        <v>3</v>
      </c>
      <c r="O2000" t="s">
        <v>30</v>
      </c>
      <c r="P2000" t="s">
        <v>42</v>
      </c>
      <c r="S2000" t="s">
        <v>31</v>
      </c>
      <c r="T2000" t="s">
        <v>3231</v>
      </c>
      <c r="U2000">
        <v>624</v>
      </c>
      <c r="V2000" s="3">
        <v>41296</v>
      </c>
    </row>
    <row r="2001" spans="1:22" x14ac:dyDescent="0.35">
      <c r="A2001" s="1">
        <v>42352.137453703705</v>
      </c>
      <c r="B2001" s="2">
        <v>1.3101851851851852E-2</v>
      </c>
      <c r="C2001" t="s">
        <v>3213</v>
      </c>
      <c r="D2001" t="s">
        <v>35</v>
      </c>
      <c r="E2001" t="s">
        <v>36</v>
      </c>
      <c r="F2001" t="s">
        <v>3503</v>
      </c>
      <c r="G2001">
        <v>1517531</v>
      </c>
      <c r="H2001" t="s">
        <v>68</v>
      </c>
      <c r="I2001" t="s">
        <v>172</v>
      </c>
      <c r="J2001" t="str">
        <f>"9780203559291"</f>
        <v>9780203559291</v>
      </c>
      <c r="K2001" t="s">
        <v>3508</v>
      </c>
      <c r="L2001">
        <v>36</v>
      </c>
      <c r="O2001" t="s">
        <v>30</v>
      </c>
      <c r="P2001" t="s">
        <v>50</v>
      </c>
      <c r="S2001" t="s">
        <v>40</v>
      </c>
      <c r="T2001" t="s">
        <v>3505</v>
      </c>
      <c r="U2001" t="s">
        <v>3506</v>
      </c>
      <c r="V2001" s="3">
        <v>41548</v>
      </c>
    </row>
    <row r="2002" spans="1:22" x14ac:dyDescent="0.35">
      <c r="A2002" s="1">
        <v>42352.133611111109</v>
      </c>
      <c r="B2002" s="2">
        <v>2.2604166666666665E-2</v>
      </c>
      <c r="C2002" t="s">
        <v>3120</v>
      </c>
      <c r="D2002" t="s">
        <v>23</v>
      </c>
      <c r="E2002" t="s">
        <v>24</v>
      </c>
      <c r="F2002" t="s">
        <v>3060</v>
      </c>
      <c r="G2002">
        <v>1120279</v>
      </c>
      <c r="H2002" t="s">
        <v>26</v>
      </c>
      <c r="I2002" t="s">
        <v>3061</v>
      </c>
      <c r="J2002" t="str">
        <f>"9781118537671"</f>
        <v>9781118537671</v>
      </c>
      <c r="K2002" t="s">
        <v>3509</v>
      </c>
      <c r="L2002">
        <v>19</v>
      </c>
      <c r="O2002" t="s">
        <v>30</v>
      </c>
      <c r="P2002" t="s">
        <v>29</v>
      </c>
      <c r="Q2002" s="1">
        <v>42351.924108796295</v>
      </c>
      <c r="R2002">
        <v>7</v>
      </c>
      <c r="S2002" t="s">
        <v>31</v>
      </c>
      <c r="T2002" t="s">
        <v>3063</v>
      </c>
      <c r="U2002">
        <v>599.93499999999995</v>
      </c>
      <c r="V2002" s="3">
        <v>41232</v>
      </c>
    </row>
    <row r="2003" spans="1:22" x14ac:dyDescent="0.35">
      <c r="A2003" s="1">
        <v>42352.133148148147</v>
      </c>
      <c r="B2003" s="2">
        <v>0</v>
      </c>
      <c r="C2003" t="s">
        <v>3120</v>
      </c>
      <c r="D2003" t="s">
        <v>23</v>
      </c>
      <c r="E2003" t="s">
        <v>24</v>
      </c>
      <c r="F2003" t="s">
        <v>3060</v>
      </c>
      <c r="G2003">
        <v>1120279</v>
      </c>
      <c r="H2003" t="s">
        <v>26</v>
      </c>
      <c r="I2003" t="s">
        <v>3061</v>
      </c>
      <c r="J2003" t="str">
        <f>"9781118537671"</f>
        <v>9781118537671</v>
      </c>
      <c r="L2003">
        <v>0</v>
      </c>
      <c r="O2003" t="s">
        <v>28</v>
      </c>
      <c r="P2003" t="s">
        <v>29</v>
      </c>
      <c r="Q2003" s="1">
        <v>42351.924108796295</v>
      </c>
      <c r="R2003">
        <v>7</v>
      </c>
      <c r="S2003" t="s">
        <v>31</v>
      </c>
      <c r="T2003" t="s">
        <v>3063</v>
      </c>
      <c r="U2003">
        <v>599.93499999999995</v>
      </c>
      <c r="V2003" s="3">
        <v>41232</v>
      </c>
    </row>
    <row r="2004" spans="1:22" x14ac:dyDescent="0.35">
      <c r="A2004" s="1">
        <v>42352.13008101852</v>
      </c>
      <c r="B2004" s="2">
        <v>6.9444444444444444E-5</v>
      </c>
      <c r="C2004" t="s">
        <v>1389</v>
      </c>
      <c r="D2004" t="s">
        <v>35</v>
      </c>
      <c r="E2004" t="s">
        <v>36</v>
      </c>
      <c r="F2004" t="s">
        <v>1104</v>
      </c>
      <c r="G2004">
        <v>1487097</v>
      </c>
      <c r="H2004" t="s">
        <v>68</v>
      </c>
      <c r="I2004" t="s">
        <v>120</v>
      </c>
      <c r="J2004" t="str">
        <f>"9781135398842"</f>
        <v>9781135398842</v>
      </c>
      <c r="K2004" t="s">
        <v>33</v>
      </c>
      <c r="L2004">
        <v>3</v>
      </c>
      <c r="O2004" t="s">
        <v>30</v>
      </c>
      <c r="P2004" t="s">
        <v>50</v>
      </c>
      <c r="S2004" t="s">
        <v>40</v>
      </c>
      <c r="T2004" t="s">
        <v>1106</v>
      </c>
      <c r="U2004">
        <v>306.76799999999997</v>
      </c>
      <c r="V2004" s="3">
        <v>41565</v>
      </c>
    </row>
    <row r="2005" spans="1:22" x14ac:dyDescent="0.35">
      <c r="A2005" s="1">
        <v>42352.126562500001</v>
      </c>
      <c r="B2005" s="2">
        <v>8.7499999999999991E-3</v>
      </c>
      <c r="C2005" t="s">
        <v>3510</v>
      </c>
      <c r="D2005" t="s">
        <v>35</v>
      </c>
      <c r="E2005" t="s">
        <v>36</v>
      </c>
      <c r="F2005" t="s">
        <v>37</v>
      </c>
      <c r="G2005">
        <v>1684620</v>
      </c>
      <c r="H2005" t="s">
        <v>26</v>
      </c>
      <c r="I2005" t="s">
        <v>38</v>
      </c>
      <c r="J2005" t="str">
        <f>"9781118418925"</f>
        <v>9781118418925</v>
      </c>
      <c r="K2005" t="s">
        <v>3511</v>
      </c>
      <c r="L2005">
        <v>35</v>
      </c>
      <c r="O2005" t="s">
        <v>30</v>
      </c>
      <c r="P2005" t="s">
        <v>29</v>
      </c>
      <c r="Q2005" s="1">
        <v>42352.126562500001</v>
      </c>
      <c r="R2005">
        <v>7</v>
      </c>
      <c r="S2005" t="s">
        <v>40</v>
      </c>
      <c r="T2005" t="s">
        <v>41</v>
      </c>
      <c r="U2005">
        <v>362.10680000000002</v>
      </c>
      <c r="V2005" s="3">
        <v>41759</v>
      </c>
    </row>
    <row r="2006" spans="1:22" x14ac:dyDescent="0.35">
      <c r="A2006" s="1">
        <v>42352.116840277777</v>
      </c>
      <c r="B2006" s="2">
        <v>9.7222222222222224E-3</v>
      </c>
      <c r="C2006" t="s">
        <v>3510</v>
      </c>
      <c r="D2006" t="s">
        <v>35</v>
      </c>
      <c r="E2006" t="s">
        <v>36</v>
      </c>
      <c r="F2006" t="s">
        <v>37</v>
      </c>
      <c r="G2006">
        <v>1684620</v>
      </c>
      <c r="H2006" t="s">
        <v>26</v>
      </c>
      <c r="I2006" t="s">
        <v>38</v>
      </c>
      <c r="J2006" t="str">
        <f>"9781118418925"</f>
        <v>9781118418925</v>
      </c>
      <c r="K2006" t="s">
        <v>3512</v>
      </c>
      <c r="L2006">
        <v>30</v>
      </c>
      <c r="O2006" t="s">
        <v>30</v>
      </c>
      <c r="P2006" t="s">
        <v>42</v>
      </c>
      <c r="S2006" t="s">
        <v>40</v>
      </c>
      <c r="T2006" t="s">
        <v>41</v>
      </c>
      <c r="U2006">
        <v>362.10680000000002</v>
      </c>
      <c r="V2006" s="3">
        <v>41759</v>
      </c>
    </row>
    <row r="2007" spans="1:22" x14ac:dyDescent="0.35">
      <c r="A2007" s="1">
        <v>42352.116226851853</v>
      </c>
      <c r="B2007" s="2">
        <v>5.590277777777778E-2</v>
      </c>
      <c r="C2007" t="s">
        <v>3483</v>
      </c>
      <c r="D2007" t="s">
        <v>261</v>
      </c>
      <c r="E2007" t="s">
        <v>262</v>
      </c>
      <c r="F2007" t="s">
        <v>3484</v>
      </c>
      <c r="G2007">
        <v>1434051</v>
      </c>
      <c r="H2007" t="s">
        <v>68</v>
      </c>
      <c r="I2007" t="s">
        <v>172</v>
      </c>
      <c r="J2007" t="str">
        <f>"9781134589494"</f>
        <v>9781134589494</v>
      </c>
      <c r="K2007" t="s">
        <v>3513</v>
      </c>
      <c r="L2007">
        <v>45</v>
      </c>
      <c r="O2007" t="s">
        <v>30</v>
      </c>
      <c r="P2007" t="s">
        <v>47</v>
      </c>
      <c r="Q2007" s="1">
        <v>42352.116226851853</v>
      </c>
      <c r="R2007">
        <v>1</v>
      </c>
      <c r="S2007" t="s">
        <v>264</v>
      </c>
      <c r="T2007" t="s">
        <v>3486</v>
      </c>
      <c r="U2007">
        <v>937.07092</v>
      </c>
      <c r="V2007" s="3">
        <v>41537</v>
      </c>
    </row>
    <row r="2008" spans="1:22" x14ac:dyDescent="0.35">
      <c r="A2008" s="1">
        <v>42352.110844907409</v>
      </c>
      <c r="B2008" s="2">
        <v>5.3819444444444453E-3</v>
      </c>
      <c r="C2008" t="s">
        <v>3483</v>
      </c>
      <c r="D2008" t="s">
        <v>261</v>
      </c>
      <c r="E2008" t="s">
        <v>262</v>
      </c>
      <c r="F2008" t="s">
        <v>3484</v>
      </c>
      <c r="G2008">
        <v>1434051</v>
      </c>
      <c r="H2008" t="s">
        <v>68</v>
      </c>
      <c r="I2008" t="s">
        <v>172</v>
      </c>
      <c r="J2008" t="str">
        <f>"9781134589494"</f>
        <v>9781134589494</v>
      </c>
      <c r="K2008" t="s">
        <v>3514</v>
      </c>
      <c r="L2008">
        <v>21</v>
      </c>
      <c r="O2008" t="s">
        <v>30</v>
      </c>
      <c r="P2008" t="s">
        <v>50</v>
      </c>
      <c r="S2008" t="s">
        <v>264</v>
      </c>
      <c r="T2008" t="s">
        <v>3486</v>
      </c>
      <c r="U2008">
        <v>937.07092</v>
      </c>
      <c r="V2008" s="3">
        <v>41537</v>
      </c>
    </row>
    <row r="2009" spans="1:22" x14ac:dyDescent="0.35">
      <c r="A2009" s="1">
        <v>42352.109699074077</v>
      </c>
      <c r="B2009" s="2">
        <v>2.3148148148148147E-5</v>
      </c>
      <c r="C2009" t="s">
        <v>3213</v>
      </c>
      <c r="D2009" t="s">
        <v>35</v>
      </c>
      <c r="E2009" t="s">
        <v>36</v>
      </c>
      <c r="F2009" t="s">
        <v>3215</v>
      </c>
      <c r="G2009">
        <v>4034179</v>
      </c>
      <c r="H2009" t="s">
        <v>26</v>
      </c>
      <c r="I2009" t="s">
        <v>200</v>
      </c>
      <c r="J2009" t="str">
        <f>"9781118325131"</f>
        <v>9781118325131</v>
      </c>
      <c r="K2009" t="s">
        <v>33</v>
      </c>
      <c r="L2009">
        <v>3</v>
      </c>
      <c r="O2009" t="s">
        <v>30</v>
      </c>
      <c r="P2009" t="s">
        <v>50</v>
      </c>
      <c r="S2009" t="s">
        <v>40</v>
      </c>
      <c r="U2009">
        <v>720.37</v>
      </c>
      <c r="V2009" s="3">
        <v>41557</v>
      </c>
    </row>
    <row r="2010" spans="1:22" x14ac:dyDescent="0.35">
      <c r="A2010" s="1">
        <v>42352.102083333331</v>
      </c>
      <c r="B2010" s="2">
        <v>3.2407407407407406E-4</v>
      </c>
      <c r="C2010" t="s">
        <v>3213</v>
      </c>
      <c r="D2010" t="s">
        <v>35</v>
      </c>
      <c r="E2010" t="s">
        <v>36</v>
      </c>
      <c r="F2010" t="s">
        <v>1758</v>
      </c>
      <c r="G2010">
        <v>4039553</v>
      </c>
      <c r="H2010" t="s">
        <v>26</v>
      </c>
      <c r="I2010" t="s">
        <v>150</v>
      </c>
      <c r="J2010" t="str">
        <f>"9781118886045"</f>
        <v>9781118886045</v>
      </c>
      <c r="K2010" t="s">
        <v>3515</v>
      </c>
      <c r="L2010">
        <v>9</v>
      </c>
      <c r="O2010" t="s">
        <v>30</v>
      </c>
      <c r="P2010" t="s">
        <v>50</v>
      </c>
      <c r="S2010" t="s">
        <v>40</v>
      </c>
      <c r="T2010" t="s">
        <v>1759</v>
      </c>
      <c r="U2010">
        <v>709.37</v>
      </c>
      <c r="V2010" s="3">
        <v>42256</v>
      </c>
    </row>
    <row r="2011" spans="1:22" x14ac:dyDescent="0.35">
      <c r="A2011" s="1">
        <v>42352.036932870367</v>
      </c>
      <c r="B2011" s="2">
        <v>4.9305555555555554E-2</v>
      </c>
      <c r="C2011" t="s">
        <v>3360</v>
      </c>
      <c r="D2011" t="s">
        <v>335</v>
      </c>
      <c r="E2011" t="s">
        <v>336</v>
      </c>
      <c r="F2011" t="s">
        <v>148</v>
      </c>
      <c r="G2011">
        <v>877717</v>
      </c>
      <c r="H2011" t="s">
        <v>149</v>
      </c>
      <c r="I2011" t="s">
        <v>150</v>
      </c>
      <c r="J2011" t="str">
        <f>"9781438139265"</f>
        <v>9781438139265</v>
      </c>
      <c r="K2011" t="s">
        <v>3516</v>
      </c>
      <c r="L2011">
        <v>66</v>
      </c>
      <c r="O2011" t="s">
        <v>30</v>
      </c>
      <c r="P2011" t="s">
        <v>29</v>
      </c>
      <c r="Q2011" s="1">
        <v>42352.036932870367</v>
      </c>
      <c r="R2011">
        <v>7</v>
      </c>
      <c r="S2011" t="s">
        <v>340</v>
      </c>
      <c r="T2011" t="s">
        <v>153</v>
      </c>
      <c r="U2011" t="s">
        <v>154</v>
      </c>
      <c r="V2011" s="3">
        <v>40909</v>
      </c>
    </row>
    <row r="2012" spans="1:22" x14ac:dyDescent="0.35">
      <c r="A2012" s="1">
        <v>42352.032835648148</v>
      </c>
      <c r="B2012" s="2">
        <v>1.1805555555555556E-3</v>
      </c>
      <c r="C2012" t="s">
        <v>2705</v>
      </c>
      <c r="D2012" t="s">
        <v>23</v>
      </c>
      <c r="E2012" t="s">
        <v>24</v>
      </c>
      <c r="F2012" t="s">
        <v>226</v>
      </c>
      <c r="G2012">
        <v>817313</v>
      </c>
      <c r="H2012" t="s">
        <v>26</v>
      </c>
      <c r="I2012" t="s">
        <v>69</v>
      </c>
      <c r="J2012" t="str">
        <f>"9781118136829"</f>
        <v>9781118136829</v>
      </c>
      <c r="K2012" t="s">
        <v>3517</v>
      </c>
      <c r="L2012">
        <v>25</v>
      </c>
      <c r="O2012" t="s">
        <v>30</v>
      </c>
      <c r="P2012" t="s">
        <v>29</v>
      </c>
      <c r="Q2012" s="1">
        <v>42348.608298611114</v>
      </c>
      <c r="R2012">
        <v>7</v>
      </c>
      <c r="S2012" t="s">
        <v>31</v>
      </c>
      <c r="T2012" t="s">
        <v>2311</v>
      </c>
      <c r="U2012">
        <v>378.16640000000001</v>
      </c>
      <c r="V2012" s="3">
        <v>40918</v>
      </c>
    </row>
    <row r="2013" spans="1:22" x14ac:dyDescent="0.35">
      <c r="A2013" s="1">
        <v>42352.020694444444</v>
      </c>
      <c r="B2013" s="2">
        <v>7.3391203703703708E-2</v>
      </c>
      <c r="C2013" t="s">
        <v>3487</v>
      </c>
      <c r="D2013" t="s">
        <v>23</v>
      </c>
      <c r="E2013" t="s">
        <v>24</v>
      </c>
      <c r="F2013" t="s">
        <v>3488</v>
      </c>
      <c r="G2013">
        <v>1294909</v>
      </c>
      <c r="H2013" t="s">
        <v>84</v>
      </c>
      <c r="I2013" t="s">
        <v>445</v>
      </c>
      <c r="J2013" t="str">
        <f>"9780520956797"</f>
        <v>9780520956797</v>
      </c>
      <c r="K2013" t="s">
        <v>3518</v>
      </c>
      <c r="L2013">
        <v>21</v>
      </c>
      <c r="O2013" t="s">
        <v>30</v>
      </c>
      <c r="P2013" t="s">
        <v>29</v>
      </c>
      <c r="Q2013" s="1">
        <v>42352.020694444444</v>
      </c>
      <c r="R2013">
        <v>7</v>
      </c>
      <c r="S2013" t="s">
        <v>31</v>
      </c>
      <c r="T2013" t="s">
        <v>3490</v>
      </c>
      <c r="U2013" t="s">
        <v>3491</v>
      </c>
      <c r="V2013" s="3">
        <v>41487</v>
      </c>
    </row>
    <row r="2014" spans="1:22" x14ac:dyDescent="0.35">
      <c r="A2014" s="1">
        <v>42352.012627314813</v>
      </c>
      <c r="B2014" s="2">
        <v>8.0671296296296307E-3</v>
      </c>
      <c r="C2014" t="s">
        <v>3487</v>
      </c>
      <c r="D2014" t="s">
        <v>23</v>
      </c>
      <c r="E2014" t="s">
        <v>24</v>
      </c>
      <c r="F2014" t="s">
        <v>3488</v>
      </c>
      <c r="G2014">
        <v>1294909</v>
      </c>
      <c r="H2014" t="s">
        <v>84</v>
      </c>
      <c r="I2014" t="s">
        <v>445</v>
      </c>
      <c r="J2014" t="str">
        <f>"9780520956797"</f>
        <v>9780520956797</v>
      </c>
      <c r="K2014" t="s">
        <v>176</v>
      </c>
      <c r="L2014">
        <v>8</v>
      </c>
      <c r="O2014" t="s">
        <v>30</v>
      </c>
      <c r="P2014" t="s">
        <v>42</v>
      </c>
      <c r="S2014" t="s">
        <v>31</v>
      </c>
      <c r="T2014" t="s">
        <v>3490</v>
      </c>
      <c r="U2014" t="s">
        <v>3491</v>
      </c>
      <c r="V2014" s="3">
        <v>41487</v>
      </c>
    </row>
    <row r="2015" spans="1:22" x14ac:dyDescent="0.35">
      <c r="A2015" s="1">
        <v>42351.974699074075</v>
      </c>
      <c r="B2015" s="2">
        <v>1.6319444444444445E-3</v>
      </c>
      <c r="C2015" t="s">
        <v>3519</v>
      </c>
      <c r="D2015" t="s">
        <v>23</v>
      </c>
      <c r="E2015" t="s">
        <v>24</v>
      </c>
      <c r="F2015" t="s">
        <v>3228</v>
      </c>
      <c r="G2015">
        <v>1115640</v>
      </c>
      <c r="H2015" t="s">
        <v>26</v>
      </c>
      <c r="I2015" t="s">
        <v>3229</v>
      </c>
      <c r="J2015" t="str">
        <f>"9781118419090"</f>
        <v>9781118419090</v>
      </c>
      <c r="K2015" t="s">
        <v>3520</v>
      </c>
      <c r="L2015">
        <v>25</v>
      </c>
      <c r="O2015" t="s">
        <v>30</v>
      </c>
      <c r="P2015" t="s">
        <v>42</v>
      </c>
      <c r="S2015" t="s">
        <v>31</v>
      </c>
      <c r="T2015" t="s">
        <v>3231</v>
      </c>
      <c r="U2015">
        <v>624</v>
      </c>
      <c r="V2015" s="3">
        <v>41296</v>
      </c>
    </row>
    <row r="2016" spans="1:22" x14ac:dyDescent="0.35">
      <c r="A2016" s="1">
        <v>42351.968784722223</v>
      </c>
      <c r="B2016" s="2">
        <v>1.1574074074074073E-4</v>
      </c>
      <c r="C2016" t="s">
        <v>3521</v>
      </c>
      <c r="D2016" t="s">
        <v>335</v>
      </c>
      <c r="E2016" t="s">
        <v>336</v>
      </c>
      <c r="F2016" t="s">
        <v>148</v>
      </c>
      <c r="G2016">
        <v>877717</v>
      </c>
      <c r="H2016" t="s">
        <v>149</v>
      </c>
      <c r="I2016" t="s">
        <v>150</v>
      </c>
      <c r="J2016" t="str">
        <f>"9781438139265"</f>
        <v>9781438139265</v>
      </c>
      <c r="K2016" t="s">
        <v>86</v>
      </c>
      <c r="L2016">
        <v>5</v>
      </c>
      <c r="O2016" t="s">
        <v>30</v>
      </c>
      <c r="P2016" t="s">
        <v>29</v>
      </c>
      <c r="Q2016" s="1">
        <v>42351.876261574071</v>
      </c>
      <c r="R2016">
        <v>7</v>
      </c>
      <c r="S2016" t="s">
        <v>340</v>
      </c>
      <c r="T2016" t="s">
        <v>153</v>
      </c>
      <c r="U2016" t="s">
        <v>154</v>
      </c>
      <c r="V2016" s="3">
        <v>40909</v>
      </c>
    </row>
    <row r="2017" spans="1:22" x14ac:dyDescent="0.35">
      <c r="A2017" s="1">
        <v>42351.968414351853</v>
      </c>
      <c r="B2017" s="2">
        <v>6.851851851851852E-2</v>
      </c>
      <c r="C2017" t="s">
        <v>3360</v>
      </c>
      <c r="D2017" t="s">
        <v>335</v>
      </c>
      <c r="E2017" t="s">
        <v>336</v>
      </c>
      <c r="F2017" t="s">
        <v>148</v>
      </c>
      <c r="G2017">
        <v>877717</v>
      </c>
      <c r="H2017" t="s">
        <v>149</v>
      </c>
      <c r="I2017" t="s">
        <v>150</v>
      </c>
      <c r="J2017" t="str">
        <f>"9781438139265"</f>
        <v>9781438139265</v>
      </c>
      <c r="K2017" t="s">
        <v>3522</v>
      </c>
      <c r="L2017">
        <v>10</v>
      </c>
      <c r="O2017" t="s">
        <v>30</v>
      </c>
      <c r="P2017" t="s">
        <v>42</v>
      </c>
      <c r="S2017" t="s">
        <v>340</v>
      </c>
      <c r="T2017" t="s">
        <v>153</v>
      </c>
      <c r="U2017" t="s">
        <v>154</v>
      </c>
      <c r="V2017" s="3">
        <v>40909</v>
      </c>
    </row>
    <row r="2018" spans="1:22" x14ac:dyDescent="0.35">
      <c r="A2018" s="1">
        <v>42351.924120370371</v>
      </c>
      <c r="B2018" s="2">
        <v>0.13251157407407407</v>
      </c>
      <c r="C2018" t="s">
        <v>3120</v>
      </c>
      <c r="D2018" t="s">
        <v>23</v>
      </c>
      <c r="E2018" t="s">
        <v>24</v>
      </c>
      <c r="F2018" t="s">
        <v>3060</v>
      </c>
      <c r="G2018">
        <v>1120279</v>
      </c>
      <c r="H2018" t="s">
        <v>26</v>
      </c>
      <c r="I2018" t="s">
        <v>3061</v>
      </c>
      <c r="J2018" t="str">
        <f>"9781118537671"</f>
        <v>9781118537671</v>
      </c>
      <c r="K2018" t="s">
        <v>3523</v>
      </c>
      <c r="L2018">
        <v>31</v>
      </c>
      <c r="O2018" t="s">
        <v>28</v>
      </c>
      <c r="P2018" t="s">
        <v>29</v>
      </c>
      <c r="Q2018" s="1">
        <v>42351.924108796295</v>
      </c>
      <c r="R2018">
        <v>7</v>
      </c>
      <c r="S2018" t="s">
        <v>31</v>
      </c>
      <c r="T2018" t="s">
        <v>3063</v>
      </c>
      <c r="U2018">
        <v>599.93499999999995</v>
      </c>
      <c r="V2018" s="3">
        <v>41232</v>
      </c>
    </row>
    <row r="2019" spans="1:22" x14ac:dyDescent="0.35">
      <c r="A2019" s="1">
        <v>42351.924108796295</v>
      </c>
      <c r="B2019" s="2">
        <v>0</v>
      </c>
      <c r="C2019" t="s">
        <v>3120</v>
      </c>
      <c r="D2019" t="s">
        <v>23</v>
      </c>
      <c r="E2019" t="s">
        <v>24</v>
      </c>
      <c r="F2019" t="s">
        <v>3060</v>
      </c>
      <c r="G2019">
        <v>1120279</v>
      </c>
      <c r="H2019" t="s">
        <v>26</v>
      </c>
      <c r="I2019" t="s">
        <v>3061</v>
      </c>
      <c r="J2019" t="str">
        <f>"9781118537671"</f>
        <v>9781118537671</v>
      </c>
      <c r="L2019">
        <v>0</v>
      </c>
      <c r="O2019" t="s">
        <v>30</v>
      </c>
      <c r="P2019" t="s">
        <v>29</v>
      </c>
      <c r="Q2019" s="1">
        <v>42351.924108796295</v>
      </c>
      <c r="R2019">
        <v>7</v>
      </c>
      <c r="S2019" t="s">
        <v>31</v>
      </c>
      <c r="T2019" t="s">
        <v>3063</v>
      </c>
      <c r="U2019">
        <v>599.93499999999995</v>
      </c>
      <c r="V2019" s="3">
        <v>41232</v>
      </c>
    </row>
    <row r="2020" spans="1:22" x14ac:dyDescent="0.35">
      <c r="A2020" s="1">
        <v>42351.921400462961</v>
      </c>
      <c r="B2020" s="2">
        <v>2.7083333333333334E-3</v>
      </c>
      <c r="C2020" t="s">
        <v>3120</v>
      </c>
      <c r="D2020" t="s">
        <v>23</v>
      </c>
      <c r="E2020" t="s">
        <v>24</v>
      </c>
      <c r="F2020" t="s">
        <v>3060</v>
      </c>
      <c r="G2020">
        <v>1120279</v>
      </c>
      <c r="H2020" t="s">
        <v>26</v>
      </c>
      <c r="I2020" t="s">
        <v>3061</v>
      </c>
      <c r="J2020" t="str">
        <f>"9781118537671"</f>
        <v>9781118537671</v>
      </c>
      <c r="K2020" t="s">
        <v>3524</v>
      </c>
      <c r="L2020">
        <v>20</v>
      </c>
      <c r="O2020" t="s">
        <v>30</v>
      </c>
      <c r="P2020" t="s">
        <v>42</v>
      </c>
      <c r="S2020" t="s">
        <v>31</v>
      </c>
      <c r="T2020" t="s">
        <v>3063</v>
      </c>
      <c r="U2020">
        <v>599.93499999999995</v>
      </c>
      <c r="V2020" s="3">
        <v>41232</v>
      </c>
    </row>
    <row r="2021" spans="1:22" x14ac:dyDescent="0.35">
      <c r="A2021" s="1">
        <v>42351.876261574071</v>
      </c>
      <c r="B2021" s="2">
        <v>5.2083333333333333E-4</v>
      </c>
      <c r="C2021" t="s">
        <v>3521</v>
      </c>
      <c r="D2021" t="s">
        <v>335</v>
      </c>
      <c r="E2021" t="s">
        <v>336</v>
      </c>
      <c r="F2021" t="s">
        <v>148</v>
      </c>
      <c r="G2021">
        <v>877717</v>
      </c>
      <c r="H2021" t="s">
        <v>149</v>
      </c>
      <c r="I2021" t="s">
        <v>150</v>
      </c>
      <c r="J2021" t="str">
        <f>"9781438139265"</f>
        <v>9781438139265</v>
      </c>
      <c r="K2021" t="s">
        <v>3525</v>
      </c>
      <c r="L2021">
        <v>2</v>
      </c>
      <c r="O2021" t="s">
        <v>30</v>
      </c>
      <c r="P2021" t="s">
        <v>29</v>
      </c>
      <c r="Q2021" s="1">
        <v>42351.876261574071</v>
      </c>
      <c r="R2021">
        <v>7</v>
      </c>
      <c r="S2021" t="s">
        <v>340</v>
      </c>
      <c r="T2021" t="s">
        <v>153</v>
      </c>
      <c r="U2021" t="s">
        <v>154</v>
      </c>
      <c r="V2021" s="3">
        <v>40909</v>
      </c>
    </row>
    <row r="2022" spans="1:22" x14ac:dyDescent="0.35">
      <c r="A2022" s="1">
        <v>42351.868668981479</v>
      </c>
      <c r="B2022" s="2">
        <v>7.5925925925925926E-3</v>
      </c>
      <c r="C2022" t="s">
        <v>3521</v>
      </c>
      <c r="D2022" t="s">
        <v>335</v>
      </c>
      <c r="E2022" t="s">
        <v>336</v>
      </c>
      <c r="F2022" t="s">
        <v>148</v>
      </c>
      <c r="G2022">
        <v>877717</v>
      </c>
      <c r="H2022" t="s">
        <v>149</v>
      </c>
      <c r="I2022" t="s">
        <v>150</v>
      </c>
      <c r="J2022" t="str">
        <f>"9781438139265"</f>
        <v>9781438139265</v>
      </c>
      <c r="K2022" t="s">
        <v>3526</v>
      </c>
      <c r="L2022">
        <v>15</v>
      </c>
      <c r="O2022" t="s">
        <v>30</v>
      </c>
      <c r="P2022" t="s">
        <v>42</v>
      </c>
      <c r="S2022" t="s">
        <v>340</v>
      </c>
      <c r="T2022" t="s">
        <v>153</v>
      </c>
      <c r="U2022" t="s">
        <v>154</v>
      </c>
      <c r="V2022" s="3">
        <v>40909</v>
      </c>
    </row>
    <row r="2023" spans="1:22" x14ac:dyDescent="0.35">
      <c r="A2023" s="1">
        <v>42351.857349537036</v>
      </c>
      <c r="B2023" s="2">
        <v>1.8518518518518517E-3</v>
      </c>
      <c r="C2023" t="s">
        <v>3527</v>
      </c>
      <c r="D2023" t="s">
        <v>35</v>
      </c>
      <c r="E2023" t="s">
        <v>36</v>
      </c>
      <c r="F2023" t="s">
        <v>1285</v>
      </c>
      <c r="G2023">
        <v>979950</v>
      </c>
      <c r="H2023" t="s">
        <v>1286</v>
      </c>
      <c r="I2023" t="s">
        <v>310</v>
      </c>
      <c r="J2023" t="str">
        <f>"9781476600321"</f>
        <v>9781476600321</v>
      </c>
      <c r="K2023" t="s">
        <v>3528</v>
      </c>
      <c r="L2023">
        <v>3</v>
      </c>
      <c r="O2023" t="s">
        <v>30</v>
      </c>
      <c r="P2023" t="s">
        <v>29</v>
      </c>
      <c r="Q2023" s="1">
        <v>42351.85733796296</v>
      </c>
      <c r="R2023">
        <v>7</v>
      </c>
      <c r="S2023" t="s">
        <v>40</v>
      </c>
      <c r="T2023" t="s">
        <v>1288</v>
      </c>
      <c r="U2023" t="s">
        <v>1289</v>
      </c>
      <c r="V2023" s="3">
        <v>41100</v>
      </c>
    </row>
    <row r="2024" spans="1:22" x14ac:dyDescent="0.35">
      <c r="A2024" s="1">
        <v>42351.8516087963</v>
      </c>
      <c r="B2024" s="2">
        <v>2.199074074074074E-4</v>
      </c>
      <c r="C2024" t="s">
        <v>3529</v>
      </c>
      <c r="D2024" t="s">
        <v>1222</v>
      </c>
      <c r="E2024" t="s">
        <v>1223</v>
      </c>
      <c r="F2024" t="s">
        <v>3530</v>
      </c>
      <c r="G2024">
        <v>822647</v>
      </c>
      <c r="H2024" t="s">
        <v>26</v>
      </c>
      <c r="I2024" t="s">
        <v>27</v>
      </c>
      <c r="J2024" t="str">
        <f>"9781444347173"</f>
        <v>9781444347173</v>
      </c>
      <c r="K2024" t="s">
        <v>240</v>
      </c>
      <c r="L2024">
        <v>14</v>
      </c>
      <c r="O2024" t="s">
        <v>30</v>
      </c>
      <c r="P2024" t="s">
        <v>42</v>
      </c>
      <c r="S2024" t="s">
        <v>1226</v>
      </c>
      <c r="T2024" t="s">
        <v>3531</v>
      </c>
      <c r="U2024" t="s">
        <v>3532</v>
      </c>
      <c r="V2024" s="3">
        <v>40840</v>
      </c>
    </row>
    <row r="2025" spans="1:22" x14ac:dyDescent="0.35">
      <c r="A2025" s="1">
        <v>42351.849965277775</v>
      </c>
      <c r="B2025" s="2">
        <v>7.3726851851851861E-3</v>
      </c>
      <c r="C2025" t="s">
        <v>3527</v>
      </c>
      <c r="D2025" t="s">
        <v>35</v>
      </c>
      <c r="E2025" t="s">
        <v>36</v>
      </c>
      <c r="F2025" t="s">
        <v>1285</v>
      </c>
      <c r="G2025">
        <v>979950</v>
      </c>
      <c r="H2025" t="s">
        <v>1286</v>
      </c>
      <c r="I2025" t="s">
        <v>310</v>
      </c>
      <c r="J2025" t="str">
        <f>"9781476600321"</f>
        <v>9781476600321</v>
      </c>
      <c r="K2025" t="s">
        <v>3533</v>
      </c>
      <c r="L2025">
        <v>18</v>
      </c>
      <c r="O2025" t="s">
        <v>30</v>
      </c>
      <c r="P2025" t="s">
        <v>42</v>
      </c>
      <c r="S2025" t="s">
        <v>40</v>
      </c>
      <c r="T2025" t="s">
        <v>1288</v>
      </c>
      <c r="U2025" t="s">
        <v>1289</v>
      </c>
      <c r="V2025" s="3">
        <v>41100</v>
      </c>
    </row>
    <row r="2026" spans="1:22" x14ac:dyDescent="0.35">
      <c r="A2026" s="1">
        <v>42351.845196759263</v>
      </c>
      <c r="B2026" s="2">
        <v>4.3287037037037035E-3</v>
      </c>
      <c r="C2026" t="s">
        <v>3527</v>
      </c>
      <c r="D2026" t="s">
        <v>35</v>
      </c>
      <c r="E2026" t="s">
        <v>36</v>
      </c>
      <c r="F2026" t="s">
        <v>1373</v>
      </c>
      <c r="G2026">
        <v>979949</v>
      </c>
      <c r="H2026" t="s">
        <v>1286</v>
      </c>
      <c r="I2026" t="s">
        <v>310</v>
      </c>
      <c r="J2026" t="str">
        <f>"9780786493234"</f>
        <v>9780786493234</v>
      </c>
      <c r="K2026" t="s">
        <v>3534</v>
      </c>
      <c r="L2026">
        <v>17</v>
      </c>
      <c r="O2026" t="s">
        <v>30</v>
      </c>
      <c r="P2026" t="s">
        <v>42</v>
      </c>
      <c r="S2026" t="s">
        <v>40</v>
      </c>
      <c r="T2026" t="s">
        <v>1376</v>
      </c>
      <c r="U2026" t="s">
        <v>1289</v>
      </c>
      <c r="V2026" s="3">
        <v>41102</v>
      </c>
    </row>
    <row r="2027" spans="1:22" x14ac:dyDescent="0.35">
      <c r="A2027" s="1">
        <v>42351.824780092589</v>
      </c>
      <c r="B2027" s="2">
        <v>3.3680555555555551E-3</v>
      </c>
      <c r="C2027" t="s">
        <v>3494</v>
      </c>
      <c r="D2027" t="s">
        <v>1222</v>
      </c>
      <c r="E2027" t="s">
        <v>1223</v>
      </c>
      <c r="F2027" t="s">
        <v>3495</v>
      </c>
      <c r="G2027">
        <v>1655861</v>
      </c>
      <c r="H2027" t="s">
        <v>613</v>
      </c>
      <c r="I2027" t="s">
        <v>291</v>
      </c>
      <c r="J2027" t="str">
        <f>"9781469615578"</f>
        <v>9781469615578</v>
      </c>
      <c r="K2027" t="s">
        <v>3535</v>
      </c>
      <c r="L2027">
        <v>11</v>
      </c>
      <c r="O2027" t="s">
        <v>30</v>
      </c>
      <c r="P2027" t="s">
        <v>50</v>
      </c>
      <c r="S2027" t="s">
        <v>1226</v>
      </c>
      <c r="T2027" t="s">
        <v>3497</v>
      </c>
      <c r="U2027" t="s">
        <v>3498</v>
      </c>
      <c r="V2027" s="3">
        <v>41715</v>
      </c>
    </row>
    <row r="2028" spans="1:22" x14ac:dyDescent="0.35">
      <c r="A2028" s="1">
        <v>42351.810891203706</v>
      </c>
      <c r="B2028" s="2">
        <v>4.0358796296296295E-2</v>
      </c>
      <c r="C2028" t="s">
        <v>3536</v>
      </c>
      <c r="D2028" t="s">
        <v>35</v>
      </c>
      <c r="E2028" t="s">
        <v>36</v>
      </c>
      <c r="F2028" t="s">
        <v>3537</v>
      </c>
      <c r="G2028">
        <v>2095087</v>
      </c>
      <c r="H2028" t="s">
        <v>45</v>
      </c>
      <c r="I2028" t="s">
        <v>161</v>
      </c>
      <c r="J2028" t="str">
        <f>"9781472471017"</f>
        <v>9781472471017</v>
      </c>
      <c r="K2028" t="s">
        <v>3538</v>
      </c>
      <c r="L2028">
        <v>12</v>
      </c>
      <c r="O2028" t="s">
        <v>30</v>
      </c>
      <c r="P2028" t="s">
        <v>47</v>
      </c>
      <c r="Q2028" s="1">
        <v>42351.810891203706</v>
      </c>
      <c r="R2028">
        <v>1</v>
      </c>
      <c r="S2028" t="s">
        <v>40</v>
      </c>
      <c r="T2028" t="s">
        <v>3539</v>
      </c>
      <c r="U2028" t="s">
        <v>3540</v>
      </c>
      <c r="V2028" s="3">
        <v>42275</v>
      </c>
    </row>
    <row r="2029" spans="1:22" x14ac:dyDescent="0.35">
      <c r="A2029" s="1">
        <v>42351.806898148148</v>
      </c>
      <c r="B2029" s="2">
        <v>1.5624999999999999E-3</v>
      </c>
      <c r="C2029" t="s">
        <v>3541</v>
      </c>
      <c r="D2029" t="s">
        <v>211</v>
      </c>
      <c r="E2029" t="s">
        <v>212</v>
      </c>
      <c r="F2029" t="s">
        <v>3542</v>
      </c>
      <c r="G2029">
        <v>1460958</v>
      </c>
      <c r="H2029" t="s">
        <v>68</v>
      </c>
      <c r="I2029" t="s">
        <v>120</v>
      </c>
      <c r="J2029" t="str">
        <f>"9781136660153"</f>
        <v>9781136660153</v>
      </c>
      <c r="K2029" t="s">
        <v>3543</v>
      </c>
      <c r="L2029">
        <v>2</v>
      </c>
      <c r="O2029" t="s">
        <v>30</v>
      </c>
      <c r="P2029" t="s">
        <v>47</v>
      </c>
      <c r="Q2029" s="1">
        <v>42351.806886574072</v>
      </c>
      <c r="R2029">
        <v>1</v>
      </c>
      <c r="S2029" t="s">
        <v>214</v>
      </c>
      <c r="T2029" t="s">
        <v>3544</v>
      </c>
      <c r="U2029" t="s">
        <v>3545</v>
      </c>
      <c r="V2029" s="3">
        <v>41555</v>
      </c>
    </row>
    <row r="2030" spans="1:22" x14ac:dyDescent="0.35">
      <c r="A2030" s="1">
        <v>42351.805636574078</v>
      </c>
      <c r="B2030" s="2">
        <v>3.3217592592592591E-3</v>
      </c>
      <c r="C2030" t="s">
        <v>1820</v>
      </c>
      <c r="D2030" t="s">
        <v>23</v>
      </c>
      <c r="E2030" t="s">
        <v>24</v>
      </c>
      <c r="F2030" t="s">
        <v>90</v>
      </c>
      <c r="G2030">
        <v>1683360</v>
      </c>
      <c r="H2030" t="s">
        <v>91</v>
      </c>
      <c r="I2030" t="s">
        <v>92</v>
      </c>
      <c r="J2030" t="str">
        <f>"9781462516032"</f>
        <v>9781462516032</v>
      </c>
      <c r="K2030" t="s">
        <v>3546</v>
      </c>
      <c r="L2030">
        <v>50</v>
      </c>
      <c r="O2030" t="s">
        <v>30</v>
      </c>
      <c r="P2030" t="s">
        <v>42</v>
      </c>
      <c r="S2030" t="s">
        <v>31</v>
      </c>
      <c r="T2030" t="s">
        <v>94</v>
      </c>
      <c r="U2030">
        <v>1.42</v>
      </c>
      <c r="V2030" s="3">
        <v>41823</v>
      </c>
    </row>
    <row r="2031" spans="1:22" x14ac:dyDescent="0.35">
      <c r="A2031" s="1">
        <v>42351.803194444445</v>
      </c>
      <c r="B2031" s="2">
        <v>3.6921296296296298E-3</v>
      </c>
      <c r="C2031" t="s">
        <v>3541</v>
      </c>
      <c r="D2031" t="s">
        <v>211</v>
      </c>
      <c r="E2031" t="s">
        <v>212</v>
      </c>
      <c r="F2031" t="s">
        <v>3542</v>
      </c>
      <c r="G2031">
        <v>1460958</v>
      </c>
      <c r="H2031" t="s">
        <v>68</v>
      </c>
      <c r="I2031" t="s">
        <v>120</v>
      </c>
      <c r="J2031" t="str">
        <f>"9781136660153"</f>
        <v>9781136660153</v>
      </c>
      <c r="K2031" t="s">
        <v>3547</v>
      </c>
      <c r="L2031">
        <v>16</v>
      </c>
      <c r="O2031" t="s">
        <v>30</v>
      </c>
      <c r="P2031" t="s">
        <v>50</v>
      </c>
      <c r="S2031" t="s">
        <v>214</v>
      </c>
      <c r="T2031" t="s">
        <v>3544</v>
      </c>
      <c r="U2031" t="s">
        <v>3545</v>
      </c>
      <c r="V2031" s="3">
        <v>41555</v>
      </c>
    </row>
    <row r="2032" spans="1:22" x14ac:dyDescent="0.35">
      <c r="A2032" s="1">
        <v>42351.801608796297</v>
      </c>
      <c r="B2032" s="2">
        <v>9.2824074074074076E-3</v>
      </c>
      <c r="C2032" t="s">
        <v>3536</v>
      </c>
      <c r="D2032" t="s">
        <v>35</v>
      </c>
      <c r="E2032" t="s">
        <v>36</v>
      </c>
      <c r="F2032" t="s">
        <v>3537</v>
      </c>
      <c r="G2032">
        <v>2095087</v>
      </c>
      <c r="H2032" t="s">
        <v>45</v>
      </c>
      <c r="I2032" t="s">
        <v>161</v>
      </c>
      <c r="J2032" t="str">
        <f>"9781472471017"</f>
        <v>9781472471017</v>
      </c>
      <c r="K2032" t="s">
        <v>3548</v>
      </c>
      <c r="L2032">
        <v>8</v>
      </c>
      <c r="O2032" t="s">
        <v>30</v>
      </c>
      <c r="P2032" t="s">
        <v>50</v>
      </c>
      <c r="S2032" t="s">
        <v>40</v>
      </c>
      <c r="T2032" t="s">
        <v>3539</v>
      </c>
      <c r="U2032" t="s">
        <v>3540</v>
      </c>
      <c r="V2032" s="3">
        <v>42275</v>
      </c>
    </row>
    <row r="2033" spans="1:22" x14ac:dyDescent="0.35">
      <c r="A2033" s="1">
        <v>42351.798726851855</v>
      </c>
      <c r="B2033" s="2">
        <v>8.5405092592592588E-2</v>
      </c>
      <c r="C2033" t="s">
        <v>3549</v>
      </c>
      <c r="D2033" t="s">
        <v>23</v>
      </c>
      <c r="E2033" t="s">
        <v>24</v>
      </c>
      <c r="F2033" t="s">
        <v>3550</v>
      </c>
      <c r="G2033">
        <v>1841093</v>
      </c>
      <c r="H2033" t="s">
        <v>526</v>
      </c>
      <c r="I2033" t="s">
        <v>310</v>
      </c>
      <c r="J2033" t="str">
        <f>"9780226183848"</f>
        <v>9780226183848</v>
      </c>
      <c r="K2033" t="s">
        <v>3551</v>
      </c>
      <c r="L2033">
        <v>71</v>
      </c>
      <c r="O2033" t="s">
        <v>30</v>
      </c>
      <c r="P2033" t="s">
        <v>47</v>
      </c>
      <c r="Q2033" s="1">
        <v>42351.798726851855</v>
      </c>
      <c r="R2033">
        <v>1</v>
      </c>
      <c r="S2033" t="s">
        <v>31</v>
      </c>
      <c r="T2033" t="s">
        <v>3552</v>
      </c>
      <c r="U2033">
        <v>820.9</v>
      </c>
      <c r="V2033" s="3">
        <v>41995</v>
      </c>
    </row>
    <row r="2034" spans="1:22" x14ac:dyDescent="0.35">
      <c r="A2034" s="1">
        <v>42351.79483796296</v>
      </c>
      <c r="B2034" s="2">
        <v>3.8888888888888883E-3</v>
      </c>
      <c r="C2034" t="s">
        <v>3549</v>
      </c>
      <c r="D2034" t="s">
        <v>23</v>
      </c>
      <c r="E2034" t="s">
        <v>24</v>
      </c>
      <c r="F2034" t="s">
        <v>3550</v>
      </c>
      <c r="G2034">
        <v>1841093</v>
      </c>
      <c r="H2034" t="s">
        <v>526</v>
      </c>
      <c r="I2034" t="s">
        <v>310</v>
      </c>
      <c r="J2034" t="str">
        <f>"9780226183848"</f>
        <v>9780226183848</v>
      </c>
      <c r="K2034" t="s">
        <v>3553</v>
      </c>
      <c r="L2034">
        <v>20</v>
      </c>
      <c r="O2034" t="s">
        <v>30</v>
      </c>
      <c r="P2034" t="s">
        <v>50</v>
      </c>
      <c r="S2034" t="s">
        <v>31</v>
      </c>
      <c r="T2034" t="s">
        <v>3552</v>
      </c>
      <c r="U2034">
        <v>820.9</v>
      </c>
      <c r="V2034" s="3">
        <v>41995</v>
      </c>
    </row>
    <row r="2035" spans="1:22" x14ac:dyDescent="0.35">
      <c r="A2035" s="1">
        <v>42351.716666666667</v>
      </c>
      <c r="B2035" s="2">
        <v>6.5972222222222213E-4</v>
      </c>
      <c r="C2035" t="s">
        <v>3478</v>
      </c>
      <c r="D2035" t="s">
        <v>23</v>
      </c>
      <c r="E2035" t="s">
        <v>24</v>
      </c>
      <c r="F2035" t="s">
        <v>3479</v>
      </c>
      <c r="G2035">
        <v>1650800</v>
      </c>
      <c r="H2035" t="s">
        <v>84</v>
      </c>
      <c r="I2035" t="s">
        <v>776</v>
      </c>
      <c r="J2035" t="str">
        <f>"9780520958258"</f>
        <v>9780520958258</v>
      </c>
      <c r="K2035" t="s">
        <v>3554</v>
      </c>
      <c r="L2035">
        <v>21</v>
      </c>
      <c r="O2035" t="s">
        <v>30</v>
      </c>
      <c r="P2035" t="s">
        <v>50</v>
      </c>
      <c r="S2035" t="s">
        <v>31</v>
      </c>
      <c r="T2035" t="s">
        <v>3481</v>
      </c>
      <c r="U2035">
        <v>796.33409810000001</v>
      </c>
      <c r="V2035" s="3">
        <v>41802</v>
      </c>
    </row>
    <row r="2036" spans="1:22" x14ac:dyDescent="0.35">
      <c r="A2036" s="1">
        <v>42351.633576388886</v>
      </c>
      <c r="B2036" s="2">
        <v>3.1597222222222222E-3</v>
      </c>
      <c r="C2036" t="s">
        <v>3521</v>
      </c>
      <c r="D2036" t="s">
        <v>335</v>
      </c>
      <c r="E2036" t="s">
        <v>336</v>
      </c>
      <c r="F2036" t="s">
        <v>148</v>
      </c>
      <c r="G2036">
        <v>877717</v>
      </c>
      <c r="H2036" t="s">
        <v>149</v>
      </c>
      <c r="I2036" t="s">
        <v>150</v>
      </c>
      <c r="J2036" t="str">
        <f>"9781438139265"</f>
        <v>9781438139265</v>
      </c>
      <c r="K2036" t="s">
        <v>3555</v>
      </c>
      <c r="L2036">
        <v>6</v>
      </c>
      <c r="O2036" t="s">
        <v>30</v>
      </c>
      <c r="P2036" t="s">
        <v>42</v>
      </c>
      <c r="S2036" t="s">
        <v>340</v>
      </c>
      <c r="T2036" t="s">
        <v>153</v>
      </c>
      <c r="U2036" t="s">
        <v>154</v>
      </c>
      <c r="V2036" s="3">
        <v>40909</v>
      </c>
    </row>
    <row r="2037" spans="1:22" x14ac:dyDescent="0.35">
      <c r="A2037" s="1">
        <v>42351.261076388888</v>
      </c>
      <c r="B2037" s="2">
        <v>2.1585648148148145E-2</v>
      </c>
      <c r="C2037" t="s">
        <v>3556</v>
      </c>
      <c r="D2037" t="s">
        <v>23</v>
      </c>
      <c r="E2037" t="s">
        <v>24</v>
      </c>
      <c r="F2037" t="s">
        <v>3060</v>
      </c>
      <c r="G2037">
        <v>1120279</v>
      </c>
      <c r="H2037" t="s">
        <v>26</v>
      </c>
      <c r="I2037" t="s">
        <v>3061</v>
      </c>
      <c r="J2037" t="str">
        <f>"9781118537671"</f>
        <v>9781118537671</v>
      </c>
      <c r="K2037" t="s">
        <v>3557</v>
      </c>
      <c r="L2037">
        <v>15</v>
      </c>
      <c r="O2037" t="s">
        <v>30</v>
      </c>
      <c r="P2037" t="s">
        <v>29</v>
      </c>
      <c r="Q2037" s="1">
        <v>42348.03025462963</v>
      </c>
      <c r="R2037">
        <v>7</v>
      </c>
      <c r="S2037" t="s">
        <v>31</v>
      </c>
      <c r="T2037" t="s">
        <v>3063</v>
      </c>
      <c r="U2037">
        <v>599.93499999999995</v>
      </c>
      <c r="V2037" s="3">
        <v>41232</v>
      </c>
    </row>
    <row r="2038" spans="1:22" x14ac:dyDescent="0.35">
      <c r="A2038" s="1">
        <v>42351.221886574072</v>
      </c>
      <c r="B2038" s="2">
        <v>5.6944444444444438E-3</v>
      </c>
      <c r="C2038" t="s">
        <v>3558</v>
      </c>
      <c r="D2038" t="s">
        <v>23</v>
      </c>
      <c r="E2038" t="s">
        <v>24</v>
      </c>
      <c r="F2038" t="s">
        <v>3559</v>
      </c>
      <c r="G2038">
        <v>1217954</v>
      </c>
      <c r="H2038" t="s">
        <v>45</v>
      </c>
      <c r="I2038" t="s">
        <v>3560</v>
      </c>
      <c r="J2038" t="str">
        <f>"9781409457558"</f>
        <v>9781409457558</v>
      </c>
      <c r="K2038" t="s">
        <v>3561</v>
      </c>
      <c r="L2038">
        <v>23</v>
      </c>
      <c r="O2038" t="s">
        <v>30</v>
      </c>
      <c r="P2038" t="s">
        <v>42</v>
      </c>
      <c r="S2038" t="s">
        <v>31</v>
      </c>
      <c r="T2038" t="s">
        <v>3562</v>
      </c>
      <c r="U2038" t="s">
        <v>3563</v>
      </c>
      <c r="V2038" s="3">
        <v>41575</v>
      </c>
    </row>
    <row r="2039" spans="1:22" x14ac:dyDescent="0.35">
      <c r="A2039" s="1">
        <v>42351.221759259257</v>
      </c>
      <c r="B2039" s="2">
        <v>2.8356481481481479E-3</v>
      </c>
      <c r="C2039" t="s">
        <v>1147</v>
      </c>
      <c r="D2039" t="s">
        <v>211</v>
      </c>
      <c r="E2039" t="s">
        <v>212</v>
      </c>
      <c r="F2039" t="s">
        <v>3564</v>
      </c>
      <c r="G2039">
        <v>1582002</v>
      </c>
      <c r="H2039" t="s">
        <v>68</v>
      </c>
      <c r="I2039" t="s">
        <v>219</v>
      </c>
      <c r="J2039" t="str">
        <f>"9781317710332"</f>
        <v>9781317710332</v>
      </c>
      <c r="K2039" t="s">
        <v>3565</v>
      </c>
      <c r="L2039">
        <v>23</v>
      </c>
      <c r="O2039" t="s">
        <v>30</v>
      </c>
      <c r="P2039" t="s">
        <v>50</v>
      </c>
      <c r="S2039" t="s">
        <v>214</v>
      </c>
      <c r="T2039" t="s">
        <v>3566</v>
      </c>
      <c r="U2039">
        <v>155.19999999999999</v>
      </c>
      <c r="V2039" s="3">
        <v>41624</v>
      </c>
    </row>
    <row r="2040" spans="1:22" x14ac:dyDescent="0.35">
      <c r="A2040" s="1">
        <v>42351.182835648149</v>
      </c>
      <c r="B2040" s="2">
        <v>9.2592592592592585E-4</v>
      </c>
      <c r="C2040" t="s">
        <v>3567</v>
      </c>
      <c r="D2040" t="s">
        <v>23</v>
      </c>
      <c r="E2040" t="s">
        <v>24</v>
      </c>
      <c r="F2040" t="s">
        <v>3568</v>
      </c>
      <c r="G2040">
        <v>1566124</v>
      </c>
      <c r="H2040" t="s">
        <v>526</v>
      </c>
      <c r="I2040" t="s">
        <v>630</v>
      </c>
      <c r="J2040" t="str">
        <f>"9780226061238"</f>
        <v>9780226061238</v>
      </c>
      <c r="K2040" t="s">
        <v>3569</v>
      </c>
      <c r="L2040">
        <v>8</v>
      </c>
      <c r="O2040" t="s">
        <v>30</v>
      </c>
      <c r="P2040" t="s">
        <v>50</v>
      </c>
      <c r="S2040" t="s">
        <v>31</v>
      </c>
      <c r="T2040" t="s">
        <v>3570</v>
      </c>
      <c r="U2040" t="s">
        <v>3571</v>
      </c>
      <c r="V2040" s="3">
        <v>41642</v>
      </c>
    </row>
    <row r="2041" spans="1:22" x14ac:dyDescent="0.35">
      <c r="A2041" s="1">
        <v>42351.175775462965</v>
      </c>
      <c r="B2041" s="2">
        <v>2.8935185185185189E-4</v>
      </c>
      <c r="C2041" t="s">
        <v>3572</v>
      </c>
      <c r="D2041" t="s">
        <v>23</v>
      </c>
      <c r="E2041" t="s">
        <v>24</v>
      </c>
      <c r="F2041" t="s">
        <v>3228</v>
      </c>
      <c r="G2041">
        <v>1115640</v>
      </c>
      <c r="H2041" t="s">
        <v>26</v>
      </c>
      <c r="I2041" t="s">
        <v>3229</v>
      </c>
      <c r="J2041" t="str">
        <f>"9781118419090"</f>
        <v>9781118419090</v>
      </c>
      <c r="K2041" t="s">
        <v>3573</v>
      </c>
      <c r="L2041">
        <v>21</v>
      </c>
      <c r="O2041" t="s">
        <v>30</v>
      </c>
      <c r="P2041" t="s">
        <v>42</v>
      </c>
      <c r="S2041" t="s">
        <v>31</v>
      </c>
      <c r="T2041" t="s">
        <v>3231</v>
      </c>
      <c r="U2041">
        <v>624</v>
      </c>
      <c r="V2041" s="3">
        <v>41296</v>
      </c>
    </row>
    <row r="2042" spans="1:22" x14ac:dyDescent="0.35">
      <c r="A2042" s="1">
        <v>42351.162939814814</v>
      </c>
      <c r="B2042" s="2">
        <v>1.6203703703703703E-4</v>
      </c>
      <c r="C2042" t="s">
        <v>3574</v>
      </c>
      <c r="D2042" t="s">
        <v>35</v>
      </c>
      <c r="E2042" t="s">
        <v>36</v>
      </c>
      <c r="F2042" t="s">
        <v>3575</v>
      </c>
      <c r="G2042">
        <v>1574876</v>
      </c>
      <c r="H2042" t="s">
        <v>68</v>
      </c>
      <c r="I2042" t="s">
        <v>120</v>
      </c>
      <c r="J2042" t="str">
        <f>"9781317765080"</f>
        <v>9781317765080</v>
      </c>
      <c r="K2042" t="s">
        <v>33</v>
      </c>
      <c r="L2042">
        <v>3</v>
      </c>
      <c r="O2042" t="s">
        <v>30</v>
      </c>
      <c r="P2042" t="s">
        <v>47</v>
      </c>
      <c r="Q2042" s="1">
        <v>42350.594386574077</v>
      </c>
      <c r="R2042">
        <v>1</v>
      </c>
      <c r="S2042" t="s">
        <v>40</v>
      </c>
      <c r="T2042" t="s">
        <v>3576</v>
      </c>
      <c r="U2042">
        <v>363.46</v>
      </c>
      <c r="V2042" s="3">
        <v>41610</v>
      </c>
    </row>
    <row r="2043" spans="1:22" x14ac:dyDescent="0.35">
      <c r="A2043" s="1">
        <v>42351.108483796299</v>
      </c>
      <c r="B2043" s="2">
        <v>3.1250000000000001E-4</v>
      </c>
      <c r="C2043" t="s">
        <v>3577</v>
      </c>
      <c r="D2043" t="s">
        <v>35</v>
      </c>
      <c r="E2043" t="s">
        <v>36</v>
      </c>
      <c r="F2043" t="s">
        <v>3578</v>
      </c>
      <c r="G2043">
        <v>1397223</v>
      </c>
      <c r="H2043" t="s">
        <v>68</v>
      </c>
      <c r="I2043" t="s">
        <v>69</v>
      </c>
      <c r="J2043" t="str">
        <f>"9781135854706"</f>
        <v>9781135854706</v>
      </c>
      <c r="K2043" t="s">
        <v>1294</v>
      </c>
      <c r="L2043">
        <v>10</v>
      </c>
      <c r="O2043" t="s">
        <v>30</v>
      </c>
      <c r="P2043" t="s">
        <v>50</v>
      </c>
      <c r="S2043" t="s">
        <v>40</v>
      </c>
      <c r="T2043" t="s">
        <v>3579</v>
      </c>
      <c r="U2043">
        <v>372.6</v>
      </c>
      <c r="V2043" s="3">
        <v>41530</v>
      </c>
    </row>
    <row r="2044" spans="1:22" x14ac:dyDescent="0.35">
      <c r="A2044" s="1">
        <v>42351.023715277777</v>
      </c>
      <c r="B2044" s="2">
        <v>1.1458333333333333E-3</v>
      </c>
      <c r="C2044" t="s">
        <v>3556</v>
      </c>
      <c r="D2044" t="s">
        <v>23</v>
      </c>
      <c r="E2044" t="s">
        <v>24</v>
      </c>
      <c r="F2044" t="s">
        <v>3060</v>
      </c>
      <c r="G2044">
        <v>1120279</v>
      </c>
      <c r="H2044" t="s">
        <v>26</v>
      </c>
      <c r="I2044" t="s">
        <v>3061</v>
      </c>
      <c r="J2044" t="str">
        <f>"9781118537671"</f>
        <v>9781118537671</v>
      </c>
      <c r="K2044" t="s">
        <v>3580</v>
      </c>
      <c r="L2044">
        <v>20</v>
      </c>
      <c r="O2044" t="s">
        <v>30</v>
      </c>
      <c r="P2044" t="s">
        <v>29</v>
      </c>
      <c r="Q2044" s="1">
        <v>42348.03025462963</v>
      </c>
      <c r="R2044">
        <v>7</v>
      </c>
      <c r="S2044" t="s">
        <v>31</v>
      </c>
      <c r="T2044" t="s">
        <v>3063</v>
      </c>
      <c r="U2044">
        <v>599.93499999999995</v>
      </c>
      <c r="V2044" s="3">
        <v>41232</v>
      </c>
    </row>
    <row r="2045" spans="1:22" x14ac:dyDescent="0.35">
      <c r="A2045" s="1">
        <v>42351.019317129627</v>
      </c>
      <c r="B2045" s="2">
        <v>6.9444444444444444E-5</v>
      </c>
      <c r="C2045" t="s">
        <v>3581</v>
      </c>
      <c r="D2045" t="s">
        <v>23</v>
      </c>
      <c r="E2045" t="s">
        <v>24</v>
      </c>
      <c r="F2045" t="s">
        <v>806</v>
      </c>
      <c r="G2045">
        <v>1715305</v>
      </c>
      <c r="H2045" t="s">
        <v>91</v>
      </c>
      <c r="I2045" t="s">
        <v>247</v>
      </c>
      <c r="J2045" t="str">
        <f>"9781462516742"</f>
        <v>9781462516742</v>
      </c>
      <c r="K2045" t="s">
        <v>3582</v>
      </c>
      <c r="L2045">
        <v>6</v>
      </c>
      <c r="O2045" t="s">
        <v>30</v>
      </c>
      <c r="P2045" t="s">
        <v>42</v>
      </c>
      <c r="S2045" t="s">
        <v>31</v>
      </c>
      <c r="T2045" t="s">
        <v>808</v>
      </c>
      <c r="U2045">
        <v>618.9289</v>
      </c>
      <c r="V2045" s="3">
        <v>41886</v>
      </c>
    </row>
    <row r="2046" spans="1:22" x14ac:dyDescent="0.35">
      <c r="A2046" s="1">
        <v>42350.951620370368</v>
      </c>
      <c r="B2046" s="2">
        <v>8.1018518518518516E-5</v>
      </c>
      <c r="C2046" t="s">
        <v>3583</v>
      </c>
      <c r="D2046" t="s">
        <v>1222</v>
      </c>
      <c r="E2046" t="s">
        <v>1223</v>
      </c>
      <c r="F2046" t="s">
        <v>3584</v>
      </c>
      <c r="G2046">
        <v>1367839</v>
      </c>
      <c r="H2046" t="s">
        <v>526</v>
      </c>
      <c r="I2046" t="s">
        <v>426</v>
      </c>
      <c r="J2046" t="str">
        <f>"9780226410357"</f>
        <v>9780226410357</v>
      </c>
      <c r="K2046" t="s">
        <v>33</v>
      </c>
      <c r="L2046">
        <v>3</v>
      </c>
      <c r="O2046" t="s">
        <v>30</v>
      </c>
      <c r="P2046" t="s">
        <v>50</v>
      </c>
      <c r="S2046" t="s">
        <v>1226</v>
      </c>
      <c r="T2046" t="s">
        <v>3585</v>
      </c>
      <c r="U2046" t="s">
        <v>3586</v>
      </c>
      <c r="V2046" s="3">
        <v>41520</v>
      </c>
    </row>
    <row r="2047" spans="1:22" x14ac:dyDescent="0.35">
      <c r="A2047" s="1">
        <v>42350.894432870373</v>
      </c>
      <c r="B2047" s="2">
        <v>1.1296296296296296E-2</v>
      </c>
      <c r="C2047" t="s">
        <v>3574</v>
      </c>
      <c r="D2047" t="s">
        <v>35</v>
      </c>
      <c r="E2047" t="s">
        <v>36</v>
      </c>
      <c r="F2047" t="s">
        <v>3575</v>
      </c>
      <c r="G2047">
        <v>1574876</v>
      </c>
      <c r="H2047" t="s">
        <v>68</v>
      </c>
      <c r="I2047" t="s">
        <v>120</v>
      </c>
      <c r="J2047" t="str">
        <f>"9781317765080"</f>
        <v>9781317765080</v>
      </c>
      <c r="K2047" t="s">
        <v>3587</v>
      </c>
      <c r="L2047">
        <v>28</v>
      </c>
      <c r="O2047" t="s">
        <v>30</v>
      </c>
      <c r="P2047" t="s">
        <v>47</v>
      </c>
      <c r="Q2047" s="1">
        <v>42350.594386574077</v>
      </c>
      <c r="R2047">
        <v>1</v>
      </c>
      <c r="S2047" t="s">
        <v>40</v>
      </c>
      <c r="T2047" t="s">
        <v>3576</v>
      </c>
      <c r="U2047">
        <v>363.46</v>
      </c>
      <c r="V2047" s="3">
        <v>41610</v>
      </c>
    </row>
    <row r="2048" spans="1:22" x14ac:dyDescent="0.35">
      <c r="A2048" s="1">
        <v>42350.85056712963</v>
      </c>
      <c r="B2048" s="2">
        <v>5.6365740740740742E-3</v>
      </c>
      <c r="C2048" t="s">
        <v>3588</v>
      </c>
      <c r="D2048" t="s">
        <v>1222</v>
      </c>
      <c r="E2048" t="s">
        <v>1223</v>
      </c>
      <c r="F2048" t="s">
        <v>1072</v>
      </c>
      <c r="G2048">
        <v>1662668</v>
      </c>
      <c r="H2048" t="s">
        <v>26</v>
      </c>
      <c r="I2048" t="s">
        <v>276</v>
      </c>
      <c r="J2048" t="str">
        <f>"9781118810095"</f>
        <v>9781118810095</v>
      </c>
      <c r="K2048" t="s">
        <v>3589</v>
      </c>
      <c r="L2048">
        <v>37</v>
      </c>
      <c r="O2048" t="s">
        <v>30</v>
      </c>
      <c r="P2048" t="s">
        <v>29</v>
      </c>
      <c r="Q2048" s="1">
        <v>42350.85056712963</v>
      </c>
      <c r="R2048">
        <v>7</v>
      </c>
      <c r="S2048" t="s">
        <v>1226</v>
      </c>
      <c r="T2048" t="s">
        <v>1074</v>
      </c>
      <c r="U2048" t="s">
        <v>1075</v>
      </c>
      <c r="V2048" s="3">
        <v>41722</v>
      </c>
    </row>
    <row r="2049" spans="1:22" x14ac:dyDescent="0.35">
      <c r="A2049" s="1">
        <v>42350.787222222221</v>
      </c>
      <c r="B2049" s="2">
        <v>0</v>
      </c>
      <c r="C2049" t="s">
        <v>3590</v>
      </c>
      <c r="D2049" t="s">
        <v>158</v>
      </c>
      <c r="E2049" t="s">
        <v>159</v>
      </c>
      <c r="F2049" t="s">
        <v>1547</v>
      </c>
      <c r="G2049">
        <v>848510</v>
      </c>
      <c r="H2049" t="s">
        <v>26</v>
      </c>
      <c r="I2049" t="s">
        <v>247</v>
      </c>
      <c r="J2049" t="str">
        <f>"9781118220481"</f>
        <v>9781118220481</v>
      </c>
      <c r="L2049">
        <v>0</v>
      </c>
      <c r="N2049" t="s">
        <v>3591</v>
      </c>
      <c r="O2049" t="s">
        <v>30</v>
      </c>
      <c r="P2049" t="s">
        <v>29</v>
      </c>
      <c r="Q2049" s="1">
        <v>42350.787222222221</v>
      </c>
      <c r="R2049">
        <v>7</v>
      </c>
      <c r="S2049" t="s">
        <v>163</v>
      </c>
      <c r="T2049" t="s">
        <v>1548</v>
      </c>
      <c r="U2049" t="s">
        <v>1549</v>
      </c>
      <c r="V2049" s="3">
        <v>41066</v>
      </c>
    </row>
    <row r="2050" spans="1:22" x14ac:dyDescent="0.35">
      <c r="A2050" s="1">
        <v>42350.782743055555</v>
      </c>
      <c r="B2050" s="2">
        <v>4.4791666666666669E-3</v>
      </c>
      <c r="C2050" t="s">
        <v>3590</v>
      </c>
      <c r="D2050" t="s">
        <v>158</v>
      </c>
      <c r="E2050" t="s">
        <v>159</v>
      </c>
      <c r="F2050" t="s">
        <v>1547</v>
      </c>
      <c r="G2050">
        <v>848510</v>
      </c>
      <c r="H2050" t="s">
        <v>26</v>
      </c>
      <c r="I2050" t="s">
        <v>247</v>
      </c>
      <c r="J2050" t="str">
        <f>"9781118220481"</f>
        <v>9781118220481</v>
      </c>
      <c r="K2050" t="s">
        <v>3592</v>
      </c>
      <c r="L2050">
        <v>27</v>
      </c>
      <c r="O2050" t="s">
        <v>30</v>
      </c>
      <c r="P2050" t="s">
        <v>42</v>
      </c>
      <c r="S2050" t="s">
        <v>163</v>
      </c>
      <c r="T2050" t="s">
        <v>1548</v>
      </c>
      <c r="U2050" t="s">
        <v>1549</v>
      </c>
      <c r="V2050" s="3">
        <v>41066</v>
      </c>
    </row>
    <row r="2051" spans="1:22" x14ac:dyDescent="0.35">
      <c r="A2051" s="1">
        <v>42350.779803240737</v>
      </c>
      <c r="B2051" s="2">
        <v>7.076388888888889E-2</v>
      </c>
      <c r="C2051" t="s">
        <v>3588</v>
      </c>
      <c r="D2051" t="s">
        <v>1222</v>
      </c>
      <c r="E2051" t="s">
        <v>1223</v>
      </c>
      <c r="F2051" t="s">
        <v>1072</v>
      </c>
      <c r="G2051">
        <v>1662668</v>
      </c>
      <c r="H2051" t="s">
        <v>26</v>
      </c>
      <c r="I2051" t="s">
        <v>276</v>
      </c>
      <c r="J2051" t="str">
        <f>"9781118810095"</f>
        <v>9781118810095</v>
      </c>
      <c r="K2051" t="s">
        <v>33</v>
      </c>
      <c r="L2051">
        <v>3</v>
      </c>
      <c r="O2051" t="s">
        <v>30</v>
      </c>
      <c r="P2051" t="s">
        <v>42</v>
      </c>
      <c r="S2051" t="s">
        <v>1226</v>
      </c>
      <c r="T2051" t="s">
        <v>1074</v>
      </c>
      <c r="U2051" t="s">
        <v>1075</v>
      </c>
      <c r="V2051" s="3">
        <v>41722</v>
      </c>
    </row>
    <row r="2052" spans="1:22" x14ac:dyDescent="0.35">
      <c r="A2052" s="1">
        <v>42350.772777777776</v>
      </c>
      <c r="B2052" s="2">
        <v>3.4722222222222222E-5</v>
      </c>
      <c r="C2052" t="s">
        <v>3409</v>
      </c>
      <c r="D2052" t="s">
        <v>35</v>
      </c>
      <c r="E2052" t="s">
        <v>36</v>
      </c>
      <c r="F2052" t="s">
        <v>1373</v>
      </c>
      <c r="G2052">
        <v>979949</v>
      </c>
      <c r="H2052" t="s">
        <v>1286</v>
      </c>
      <c r="I2052" t="s">
        <v>310</v>
      </c>
      <c r="J2052" t="str">
        <f>"9780786493234"</f>
        <v>9780786493234</v>
      </c>
      <c r="K2052" t="s">
        <v>33</v>
      </c>
      <c r="L2052">
        <v>3</v>
      </c>
      <c r="O2052" t="s">
        <v>30</v>
      </c>
      <c r="P2052" t="s">
        <v>42</v>
      </c>
      <c r="S2052" t="s">
        <v>40</v>
      </c>
      <c r="T2052" t="s">
        <v>1376</v>
      </c>
      <c r="U2052" t="s">
        <v>1289</v>
      </c>
      <c r="V2052" s="3">
        <v>41102</v>
      </c>
    </row>
    <row r="2053" spans="1:22" x14ac:dyDescent="0.35">
      <c r="A2053" s="1">
        <v>42350.772534722222</v>
      </c>
      <c r="B2053" s="2">
        <v>3.4722222222222222E-5</v>
      </c>
      <c r="C2053" t="s">
        <v>3409</v>
      </c>
      <c r="D2053" t="s">
        <v>35</v>
      </c>
      <c r="E2053" t="s">
        <v>36</v>
      </c>
      <c r="F2053" t="s">
        <v>1285</v>
      </c>
      <c r="G2053">
        <v>979950</v>
      </c>
      <c r="H2053" t="s">
        <v>1286</v>
      </c>
      <c r="I2053" t="s">
        <v>310</v>
      </c>
      <c r="J2053" t="str">
        <f>"9781476600321"</f>
        <v>9781476600321</v>
      </c>
      <c r="K2053" t="s">
        <v>33</v>
      </c>
      <c r="L2053">
        <v>3</v>
      </c>
      <c r="O2053" t="s">
        <v>30</v>
      </c>
      <c r="P2053" t="s">
        <v>42</v>
      </c>
      <c r="S2053" t="s">
        <v>40</v>
      </c>
      <c r="T2053" t="s">
        <v>1288</v>
      </c>
      <c r="U2053" t="s">
        <v>1289</v>
      </c>
      <c r="V2053" s="3">
        <v>41100</v>
      </c>
    </row>
    <row r="2054" spans="1:22" x14ac:dyDescent="0.35">
      <c r="A2054" s="1">
        <v>42350.77238425926</v>
      </c>
      <c r="B2054" s="2">
        <v>4.9189814814814816E-3</v>
      </c>
      <c r="C2054" t="s">
        <v>3409</v>
      </c>
      <c r="D2054" t="s">
        <v>35</v>
      </c>
      <c r="E2054" t="s">
        <v>36</v>
      </c>
      <c r="F2054" t="s">
        <v>1285</v>
      </c>
      <c r="G2054">
        <v>979950</v>
      </c>
      <c r="H2054" t="s">
        <v>1286</v>
      </c>
      <c r="I2054" t="s">
        <v>310</v>
      </c>
      <c r="J2054" t="str">
        <f>"9781476600321"</f>
        <v>9781476600321</v>
      </c>
      <c r="K2054" t="s">
        <v>3593</v>
      </c>
      <c r="L2054">
        <v>7</v>
      </c>
      <c r="O2054" t="s">
        <v>30</v>
      </c>
      <c r="P2054" t="s">
        <v>42</v>
      </c>
      <c r="S2054" t="s">
        <v>40</v>
      </c>
      <c r="T2054" t="s">
        <v>1288</v>
      </c>
      <c r="U2054" t="s">
        <v>1289</v>
      </c>
      <c r="V2054" s="3">
        <v>41100</v>
      </c>
    </row>
    <row r="2055" spans="1:22" x14ac:dyDescent="0.35">
      <c r="A2055" s="1">
        <v>42350.626400462963</v>
      </c>
      <c r="B2055" s="2">
        <v>0</v>
      </c>
      <c r="C2055" t="s">
        <v>210</v>
      </c>
      <c r="D2055" t="s">
        <v>211</v>
      </c>
      <c r="E2055" t="s">
        <v>212</v>
      </c>
      <c r="F2055" t="s">
        <v>2233</v>
      </c>
      <c r="G2055">
        <v>2122524</v>
      </c>
      <c r="H2055" t="s">
        <v>26</v>
      </c>
      <c r="I2055" t="s">
        <v>97</v>
      </c>
      <c r="J2055" t="str">
        <f>"9781119103561"</f>
        <v>9781119103561</v>
      </c>
      <c r="L2055">
        <v>0</v>
      </c>
      <c r="O2055" t="s">
        <v>28</v>
      </c>
      <c r="P2055" t="s">
        <v>29</v>
      </c>
      <c r="Q2055" s="1">
        <v>42350.624768518515</v>
      </c>
      <c r="R2055">
        <v>7</v>
      </c>
      <c r="S2055" t="s">
        <v>214</v>
      </c>
      <c r="T2055" t="s">
        <v>2236</v>
      </c>
      <c r="U2055">
        <v>658.4</v>
      </c>
      <c r="V2055" s="3">
        <v>42199</v>
      </c>
    </row>
    <row r="2056" spans="1:22" x14ac:dyDescent="0.35">
      <c r="A2056" s="1">
        <v>42350.624768518515</v>
      </c>
      <c r="B2056" s="2">
        <v>0</v>
      </c>
      <c r="C2056" t="s">
        <v>210</v>
      </c>
      <c r="D2056" t="s">
        <v>211</v>
      </c>
      <c r="E2056" t="s">
        <v>212</v>
      </c>
      <c r="F2056" t="s">
        <v>2233</v>
      </c>
      <c r="G2056">
        <v>2122524</v>
      </c>
      <c r="H2056" t="s">
        <v>26</v>
      </c>
      <c r="I2056" t="s">
        <v>97</v>
      </c>
      <c r="J2056" t="str">
        <f>"9781119103561"</f>
        <v>9781119103561</v>
      </c>
      <c r="L2056">
        <v>0</v>
      </c>
      <c r="O2056" t="s">
        <v>28</v>
      </c>
      <c r="P2056" t="s">
        <v>29</v>
      </c>
      <c r="Q2056" s="1">
        <v>42350.624768518515</v>
      </c>
      <c r="R2056">
        <v>7</v>
      </c>
      <c r="S2056" t="s">
        <v>214</v>
      </c>
      <c r="T2056" t="s">
        <v>2236</v>
      </c>
      <c r="U2056">
        <v>658.4</v>
      </c>
      <c r="V2056" s="3">
        <v>42199</v>
      </c>
    </row>
    <row r="2057" spans="1:22" x14ac:dyDescent="0.35">
      <c r="A2057" s="1">
        <v>42350.624768518515</v>
      </c>
      <c r="B2057" s="2">
        <v>0</v>
      </c>
      <c r="C2057" t="s">
        <v>210</v>
      </c>
      <c r="D2057" t="s">
        <v>211</v>
      </c>
      <c r="E2057" t="s">
        <v>212</v>
      </c>
      <c r="F2057" t="s">
        <v>2233</v>
      </c>
      <c r="G2057">
        <v>2122524</v>
      </c>
      <c r="H2057" t="s">
        <v>26</v>
      </c>
      <c r="I2057" t="s">
        <v>97</v>
      </c>
      <c r="J2057" t="str">
        <f>"9781119103561"</f>
        <v>9781119103561</v>
      </c>
      <c r="L2057">
        <v>0</v>
      </c>
      <c r="O2057" t="s">
        <v>30</v>
      </c>
      <c r="P2057" t="s">
        <v>29</v>
      </c>
      <c r="Q2057" s="1">
        <v>42350.624768518515</v>
      </c>
      <c r="R2057">
        <v>7</v>
      </c>
      <c r="S2057" t="s">
        <v>214</v>
      </c>
      <c r="T2057" t="s">
        <v>2236</v>
      </c>
      <c r="U2057">
        <v>658.4</v>
      </c>
      <c r="V2057" s="3">
        <v>42199</v>
      </c>
    </row>
    <row r="2058" spans="1:22" x14ac:dyDescent="0.35">
      <c r="A2058" s="1">
        <v>42350.62427083333</v>
      </c>
      <c r="B2058" s="2">
        <v>4.9768518518518521E-4</v>
      </c>
      <c r="C2058" t="s">
        <v>210</v>
      </c>
      <c r="D2058" t="s">
        <v>211</v>
      </c>
      <c r="E2058" t="s">
        <v>212</v>
      </c>
      <c r="F2058" t="s">
        <v>2233</v>
      </c>
      <c r="G2058">
        <v>2122524</v>
      </c>
      <c r="H2058" t="s">
        <v>26</v>
      </c>
      <c r="I2058" t="s">
        <v>97</v>
      </c>
      <c r="J2058" t="str">
        <f>"9781119103561"</f>
        <v>9781119103561</v>
      </c>
      <c r="K2058" t="s">
        <v>33</v>
      </c>
      <c r="L2058">
        <v>3</v>
      </c>
      <c r="O2058" t="s">
        <v>30</v>
      </c>
      <c r="P2058" t="s">
        <v>50</v>
      </c>
      <c r="S2058" t="s">
        <v>214</v>
      </c>
      <c r="T2058" t="s">
        <v>2236</v>
      </c>
      <c r="U2058">
        <v>658.4</v>
      </c>
      <c r="V2058" s="3">
        <v>42199</v>
      </c>
    </row>
    <row r="2059" spans="1:22" x14ac:dyDescent="0.35">
      <c r="A2059" s="1">
        <v>42350.594386574077</v>
      </c>
      <c r="B2059" s="2">
        <v>9.4097222222222238E-3</v>
      </c>
      <c r="C2059" t="s">
        <v>3574</v>
      </c>
      <c r="D2059" t="s">
        <v>35</v>
      </c>
      <c r="E2059" t="s">
        <v>36</v>
      </c>
      <c r="F2059" t="s">
        <v>3575</v>
      </c>
      <c r="G2059">
        <v>1574876</v>
      </c>
      <c r="H2059" t="s">
        <v>68</v>
      </c>
      <c r="I2059" t="s">
        <v>120</v>
      </c>
      <c r="J2059" t="str">
        <f>"9781317765080"</f>
        <v>9781317765080</v>
      </c>
      <c r="K2059" t="s">
        <v>3594</v>
      </c>
      <c r="L2059">
        <v>52</v>
      </c>
      <c r="O2059" t="s">
        <v>30</v>
      </c>
      <c r="P2059" t="s">
        <v>47</v>
      </c>
      <c r="Q2059" s="1">
        <v>42350.594386574077</v>
      </c>
      <c r="R2059">
        <v>1</v>
      </c>
      <c r="S2059" t="s">
        <v>40</v>
      </c>
      <c r="T2059" t="s">
        <v>3576</v>
      </c>
      <c r="U2059">
        <v>363.46</v>
      </c>
      <c r="V2059" s="3">
        <v>41610</v>
      </c>
    </row>
    <row r="2060" spans="1:22" x14ac:dyDescent="0.35">
      <c r="A2060" s="1">
        <v>42350.590844907405</v>
      </c>
      <c r="B2060" s="2">
        <v>3.5416666666666665E-3</v>
      </c>
      <c r="C2060" t="s">
        <v>3574</v>
      </c>
      <c r="D2060" t="s">
        <v>35</v>
      </c>
      <c r="E2060" t="s">
        <v>36</v>
      </c>
      <c r="F2060" t="s">
        <v>3575</v>
      </c>
      <c r="G2060">
        <v>1574876</v>
      </c>
      <c r="H2060" t="s">
        <v>68</v>
      </c>
      <c r="I2060" t="s">
        <v>120</v>
      </c>
      <c r="J2060" t="str">
        <f>"9781317765080"</f>
        <v>9781317765080</v>
      </c>
      <c r="K2060" t="s">
        <v>2663</v>
      </c>
      <c r="L2060">
        <v>15</v>
      </c>
      <c r="O2060" t="s">
        <v>30</v>
      </c>
      <c r="P2060" t="s">
        <v>50</v>
      </c>
      <c r="S2060" t="s">
        <v>40</v>
      </c>
      <c r="T2060" t="s">
        <v>3576</v>
      </c>
      <c r="U2060">
        <v>363.46</v>
      </c>
      <c r="V2060" s="3">
        <v>41610</v>
      </c>
    </row>
    <row r="2061" spans="1:22" x14ac:dyDescent="0.35">
      <c r="A2061" s="1">
        <v>42350.376782407409</v>
      </c>
      <c r="B2061" s="2">
        <v>5.8101851851851856E-3</v>
      </c>
      <c r="C2061" t="s">
        <v>3595</v>
      </c>
      <c r="D2061" t="s">
        <v>23</v>
      </c>
      <c r="E2061" t="s">
        <v>24</v>
      </c>
      <c r="F2061" t="s">
        <v>3559</v>
      </c>
      <c r="G2061">
        <v>1217954</v>
      </c>
      <c r="H2061" t="s">
        <v>45</v>
      </c>
      <c r="I2061" t="s">
        <v>3560</v>
      </c>
      <c r="J2061" t="str">
        <f>"9781409457558"</f>
        <v>9781409457558</v>
      </c>
      <c r="K2061" t="s">
        <v>3596</v>
      </c>
      <c r="L2061">
        <v>11</v>
      </c>
      <c r="O2061" t="s">
        <v>30</v>
      </c>
      <c r="P2061" t="s">
        <v>29</v>
      </c>
      <c r="Q2061" s="1">
        <v>42350.376782407409</v>
      </c>
      <c r="R2061">
        <v>7</v>
      </c>
      <c r="S2061" t="s">
        <v>31</v>
      </c>
      <c r="T2061" t="s">
        <v>3562</v>
      </c>
      <c r="U2061" t="s">
        <v>3563</v>
      </c>
      <c r="V2061" s="3">
        <v>41575</v>
      </c>
    </row>
    <row r="2062" spans="1:22" x14ac:dyDescent="0.35">
      <c r="A2062" s="1">
        <v>42350.368472222224</v>
      </c>
      <c r="B2062" s="2">
        <v>8.3101851851851861E-3</v>
      </c>
      <c r="C2062" t="s">
        <v>3595</v>
      </c>
      <c r="D2062" t="s">
        <v>23</v>
      </c>
      <c r="E2062" t="s">
        <v>24</v>
      </c>
      <c r="F2062" t="s">
        <v>3559</v>
      </c>
      <c r="G2062">
        <v>1217954</v>
      </c>
      <c r="H2062" t="s">
        <v>45</v>
      </c>
      <c r="I2062" t="s">
        <v>3560</v>
      </c>
      <c r="J2062" t="str">
        <f>"9781409457558"</f>
        <v>9781409457558</v>
      </c>
      <c r="K2062" t="s">
        <v>3597</v>
      </c>
      <c r="L2062">
        <v>15</v>
      </c>
      <c r="O2062" t="s">
        <v>30</v>
      </c>
      <c r="P2062" t="s">
        <v>42</v>
      </c>
      <c r="S2062" t="s">
        <v>31</v>
      </c>
      <c r="T2062" t="s">
        <v>3562</v>
      </c>
      <c r="U2062" t="s">
        <v>3563</v>
      </c>
      <c r="V2062" s="3">
        <v>41575</v>
      </c>
    </row>
    <row r="2063" spans="1:22" x14ac:dyDescent="0.35">
      <c r="A2063" s="1">
        <v>42350.129780092589</v>
      </c>
      <c r="B2063" s="2">
        <v>0</v>
      </c>
      <c r="C2063" t="s">
        <v>3598</v>
      </c>
      <c r="D2063" t="s">
        <v>35</v>
      </c>
      <c r="E2063" t="s">
        <v>36</v>
      </c>
      <c r="F2063" t="s">
        <v>3401</v>
      </c>
      <c r="G2063">
        <v>1355985</v>
      </c>
      <c r="H2063" t="s">
        <v>68</v>
      </c>
      <c r="I2063" t="s">
        <v>247</v>
      </c>
      <c r="J2063" t="str">
        <f>"9781135057985"</f>
        <v>9781135057985</v>
      </c>
      <c r="L2063">
        <v>0</v>
      </c>
      <c r="M2063" t="s">
        <v>3599</v>
      </c>
      <c r="O2063" t="s">
        <v>28</v>
      </c>
      <c r="P2063" t="s">
        <v>47</v>
      </c>
      <c r="Q2063" s="1">
        <v>42350.129780092589</v>
      </c>
      <c r="R2063">
        <v>7</v>
      </c>
      <c r="S2063" t="s">
        <v>40</v>
      </c>
      <c r="T2063" t="s">
        <v>3403</v>
      </c>
      <c r="U2063">
        <v>616.89139999999998</v>
      </c>
      <c r="V2063" s="3">
        <v>41507</v>
      </c>
    </row>
    <row r="2064" spans="1:22" x14ac:dyDescent="0.35">
      <c r="A2064" s="1">
        <v>42350.129780092589</v>
      </c>
      <c r="B2064" s="2">
        <v>0</v>
      </c>
      <c r="C2064" t="s">
        <v>3598</v>
      </c>
      <c r="D2064" t="s">
        <v>35</v>
      </c>
      <c r="E2064" t="s">
        <v>36</v>
      </c>
      <c r="F2064" t="s">
        <v>3401</v>
      </c>
      <c r="G2064">
        <v>1355985</v>
      </c>
      <c r="H2064" t="s">
        <v>68</v>
      </c>
      <c r="I2064" t="s">
        <v>247</v>
      </c>
      <c r="J2064" t="str">
        <f>"9781135057985"</f>
        <v>9781135057985</v>
      </c>
      <c r="L2064">
        <v>0</v>
      </c>
      <c r="O2064" t="s">
        <v>30</v>
      </c>
      <c r="P2064" t="s">
        <v>47</v>
      </c>
      <c r="Q2064" s="1">
        <v>42350.129780092589</v>
      </c>
      <c r="R2064">
        <v>7</v>
      </c>
      <c r="S2064" t="s">
        <v>40</v>
      </c>
      <c r="T2064" t="s">
        <v>3403</v>
      </c>
      <c r="U2064">
        <v>616.89139999999998</v>
      </c>
      <c r="V2064" s="3">
        <v>41507</v>
      </c>
    </row>
    <row r="2065" spans="1:22" x14ac:dyDescent="0.35">
      <c r="A2065" s="1">
        <v>42350.128344907411</v>
      </c>
      <c r="B2065" s="2">
        <v>1.4351851851851854E-3</v>
      </c>
      <c r="C2065" t="s">
        <v>3598</v>
      </c>
      <c r="D2065" t="s">
        <v>35</v>
      </c>
      <c r="E2065" t="s">
        <v>36</v>
      </c>
      <c r="F2065" t="s">
        <v>3401</v>
      </c>
      <c r="G2065">
        <v>1355985</v>
      </c>
      <c r="H2065" t="s">
        <v>68</v>
      </c>
      <c r="I2065" t="s">
        <v>247</v>
      </c>
      <c r="J2065" t="str">
        <f>"9781135057985"</f>
        <v>9781135057985</v>
      </c>
      <c r="K2065" t="s">
        <v>3600</v>
      </c>
      <c r="L2065">
        <v>28</v>
      </c>
      <c r="O2065" t="s">
        <v>30</v>
      </c>
      <c r="P2065" t="s">
        <v>50</v>
      </c>
      <c r="S2065" t="s">
        <v>40</v>
      </c>
      <c r="T2065" t="s">
        <v>3403</v>
      </c>
      <c r="U2065">
        <v>616.89139999999998</v>
      </c>
      <c r="V2065" s="3">
        <v>41507</v>
      </c>
    </row>
    <row r="2066" spans="1:22" x14ac:dyDescent="0.35">
      <c r="A2066" s="1">
        <v>42349.894942129627</v>
      </c>
      <c r="B2066" s="2">
        <v>1.3622685185185184E-2</v>
      </c>
      <c r="C2066" t="s">
        <v>3601</v>
      </c>
      <c r="D2066" t="s">
        <v>597</v>
      </c>
      <c r="E2066" t="s">
        <v>598</v>
      </c>
      <c r="F2066" t="s">
        <v>3602</v>
      </c>
      <c r="G2066">
        <v>877786</v>
      </c>
      <c r="H2066" t="s">
        <v>26</v>
      </c>
      <c r="I2066" t="s">
        <v>247</v>
      </c>
      <c r="J2066" t="str">
        <f>"9781118318393"</f>
        <v>9781118318393</v>
      </c>
      <c r="K2066" t="s">
        <v>3603</v>
      </c>
      <c r="L2066">
        <v>21</v>
      </c>
      <c r="O2066" t="s">
        <v>30</v>
      </c>
      <c r="P2066" t="s">
        <v>29</v>
      </c>
      <c r="Q2066" s="1">
        <v>42349.894942129627</v>
      </c>
      <c r="R2066">
        <v>7</v>
      </c>
      <c r="S2066" t="s">
        <v>600</v>
      </c>
      <c r="T2066" t="s">
        <v>3604</v>
      </c>
      <c r="U2066" t="s">
        <v>3605</v>
      </c>
      <c r="V2066" s="3">
        <v>40988</v>
      </c>
    </row>
    <row r="2067" spans="1:22" x14ac:dyDescent="0.35">
      <c r="A2067" s="1">
        <v>42349.869675925926</v>
      </c>
      <c r="B2067" s="2">
        <v>5.7407407407407416E-3</v>
      </c>
      <c r="C2067" t="s">
        <v>471</v>
      </c>
      <c r="D2067" t="s">
        <v>211</v>
      </c>
      <c r="E2067" t="s">
        <v>212</v>
      </c>
      <c r="F2067" t="s">
        <v>497</v>
      </c>
      <c r="G2067">
        <v>1986951</v>
      </c>
      <c r="H2067" t="s">
        <v>26</v>
      </c>
      <c r="I2067" t="s">
        <v>97</v>
      </c>
      <c r="J2067" t="str">
        <f>"9781119130468"</f>
        <v>9781119130468</v>
      </c>
      <c r="K2067" t="s">
        <v>3606</v>
      </c>
      <c r="L2067">
        <v>35</v>
      </c>
      <c r="O2067" t="s">
        <v>28</v>
      </c>
      <c r="P2067" t="s">
        <v>29</v>
      </c>
      <c r="Q2067" s="1">
        <v>42349.868807870371</v>
      </c>
      <c r="R2067">
        <v>7</v>
      </c>
      <c r="S2067" t="s">
        <v>214</v>
      </c>
      <c r="T2067" t="s">
        <v>500</v>
      </c>
      <c r="U2067">
        <v>657.07600000000002</v>
      </c>
      <c r="V2067" s="3">
        <v>42143</v>
      </c>
    </row>
    <row r="2068" spans="1:22" x14ac:dyDescent="0.35">
      <c r="A2068" s="1">
        <v>42349.868807870371</v>
      </c>
      <c r="B2068" s="2">
        <v>7.7546296296296304E-4</v>
      </c>
      <c r="C2068" t="s">
        <v>471</v>
      </c>
      <c r="D2068" t="s">
        <v>211</v>
      </c>
      <c r="E2068" t="s">
        <v>212</v>
      </c>
      <c r="F2068" t="s">
        <v>497</v>
      </c>
      <c r="G2068">
        <v>1986951</v>
      </c>
      <c r="H2068" t="s">
        <v>26</v>
      </c>
      <c r="I2068" t="s">
        <v>97</v>
      </c>
      <c r="J2068" t="str">
        <f>"9781119130468"</f>
        <v>9781119130468</v>
      </c>
      <c r="K2068" t="s">
        <v>3607</v>
      </c>
      <c r="L2068">
        <v>11</v>
      </c>
      <c r="O2068" t="s">
        <v>30</v>
      </c>
      <c r="P2068" t="s">
        <v>29</v>
      </c>
      <c r="Q2068" s="1">
        <v>42349.868807870371</v>
      </c>
      <c r="R2068">
        <v>7</v>
      </c>
      <c r="S2068" t="s">
        <v>214</v>
      </c>
      <c r="T2068" t="s">
        <v>500</v>
      </c>
      <c r="U2068">
        <v>657.07600000000002</v>
      </c>
      <c r="V2068" s="3">
        <v>42143</v>
      </c>
    </row>
    <row r="2069" spans="1:22" x14ac:dyDescent="0.35">
      <c r="A2069" s="1">
        <v>42349.868761574071</v>
      </c>
      <c r="B2069" s="2">
        <v>4.6296296296296294E-5</v>
      </c>
      <c r="C2069" t="s">
        <v>471</v>
      </c>
      <c r="D2069" t="s">
        <v>211</v>
      </c>
      <c r="E2069" t="s">
        <v>212</v>
      </c>
      <c r="F2069" t="s">
        <v>497</v>
      </c>
      <c r="G2069">
        <v>1986951</v>
      </c>
      <c r="H2069" t="s">
        <v>26</v>
      </c>
      <c r="I2069" t="s">
        <v>97</v>
      </c>
      <c r="J2069" t="str">
        <f>"9781119130468"</f>
        <v>9781119130468</v>
      </c>
      <c r="L2069">
        <v>0</v>
      </c>
      <c r="O2069" t="s">
        <v>30</v>
      </c>
      <c r="P2069" t="s">
        <v>42</v>
      </c>
      <c r="S2069" t="s">
        <v>214</v>
      </c>
      <c r="T2069" t="s">
        <v>500</v>
      </c>
      <c r="U2069">
        <v>657.07600000000002</v>
      </c>
      <c r="V2069" s="3">
        <v>42143</v>
      </c>
    </row>
    <row r="2070" spans="1:22" x14ac:dyDescent="0.35">
      <c r="A2070" s="1">
        <v>42349.868136574078</v>
      </c>
      <c r="B2070" s="2">
        <v>6.9444444444444444E-5</v>
      </c>
      <c r="C2070" t="s">
        <v>471</v>
      </c>
      <c r="D2070" t="s">
        <v>211</v>
      </c>
      <c r="E2070" t="s">
        <v>212</v>
      </c>
      <c r="F2070" t="s">
        <v>796</v>
      </c>
      <c r="G2070">
        <v>947579</v>
      </c>
      <c r="H2070" t="s">
        <v>26</v>
      </c>
      <c r="I2070" t="s">
        <v>97</v>
      </c>
      <c r="J2070" t="str">
        <f>"9781118419632"</f>
        <v>9781118419632</v>
      </c>
      <c r="K2070" t="s">
        <v>33</v>
      </c>
      <c r="L2070">
        <v>3</v>
      </c>
      <c r="O2070" t="s">
        <v>30</v>
      </c>
      <c r="P2070" t="s">
        <v>42</v>
      </c>
      <c r="S2070" t="s">
        <v>214</v>
      </c>
      <c r="T2070" t="s">
        <v>797</v>
      </c>
      <c r="U2070">
        <v>657.45</v>
      </c>
      <c r="V2070" s="3">
        <v>41241</v>
      </c>
    </row>
    <row r="2071" spans="1:22" x14ac:dyDescent="0.35">
      <c r="A2071" s="1">
        <v>42349.865185185183</v>
      </c>
      <c r="B2071" s="2">
        <v>1.7361111111111112E-4</v>
      </c>
      <c r="C2071" t="s">
        <v>2985</v>
      </c>
      <c r="D2071" t="s">
        <v>23</v>
      </c>
      <c r="E2071" t="s">
        <v>24</v>
      </c>
      <c r="F2071" t="s">
        <v>3608</v>
      </c>
      <c r="G2071">
        <v>1542844</v>
      </c>
      <c r="H2071" t="s">
        <v>68</v>
      </c>
      <c r="I2071" t="s">
        <v>3609</v>
      </c>
      <c r="J2071" t="str">
        <f>"9781134222629"</f>
        <v>9781134222629</v>
      </c>
      <c r="K2071" t="s">
        <v>889</v>
      </c>
      <c r="L2071">
        <v>6</v>
      </c>
      <c r="O2071" t="s">
        <v>30</v>
      </c>
      <c r="P2071" t="s">
        <v>50</v>
      </c>
      <c r="S2071" t="s">
        <v>31</v>
      </c>
      <c r="T2071" t="s">
        <v>3610</v>
      </c>
      <c r="U2071">
        <v>944</v>
      </c>
      <c r="V2071" s="3">
        <v>41583</v>
      </c>
    </row>
    <row r="2072" spans="1:22" x14ac:dyDescent="0.35">
      <c r="A2072" s="1">
        <v>42349.858113425929</v>
      </c>
      <c r="B2072" s="2">
        <v>2.1423611111111112E-2</v>
      </c>
      <c r="C2072" t="s">
        <v>1595</v>
      </c>
      <c r="D2072" t="s">
        <v>23</v>
      </c>
      <c r="E2072" t="s">
        <v>24</v>
      </c>
      <c r="F2072" t="s">
        <v>840</v>
      </c>
      <c r="G2072">
        <v>1166311</v>
      </c>
      <c r="H2072" t="s">
        <v>26</v>
      </c>
      <c r="I2072" t="s">
        <v>841</v>
      </c>
      <c r="J2072" t="str">
        <f>"9781118525616"</f>
        <v>9781118525616</v>
      </c>
      <c r="K2072" t="s">
        <v>3611</v>
      </c>
      <c r="L2072">
        <v>5</v>
      </c>
      <c r="O2072" t="s">
        <v>30</v>
      </c>
      <c r="P2072" t="s">
        <v>29</v>
      </c>
      <c r="Q2072" s="1">
        <v>42349.858113425929</v>
      </c>
      <c r="R2072">
        <v>7</v>
      </c>
      <c r="S2072" t="s">
        <v>31</v>
      </c>
      <c r="T2072" t="s">
        <v>842</v>
      </c>
      <c r="U2072">
        <v>355.00700000000001</v>
      </c>
      <c r="V2072" s="3">
        <v>41366</v>
      </c>
    </row>
    <row r="2073" spans="1:22" x14ac:dyDescent="0.35">
      <c r="A2073" s="1">
        <v>42349.851851851854</v>
      </c>
      <c r="B2073" s="2">
        <v>4.3090277777777776E-2</v>
      </c>
      <c r="C2073" t="s">
        <v>3601</v>
      </c>
      <c r="D2073" t="s">
        <v>597</v>
      </c>
      <c r="E2073" t="s">
        <v>598</v>
      </c>
      <c r="F2073" t="s">
        <v>3602</v>
      </c>
      <c r="G2073">
        <v>877786</v>
      </c>
      <c r="H2073" t="s">
        <v>26</v>
      </c>
      <c r="I2073" t="s">
        <v>247</v>
      </c>
      <c r="J2073" t="str">
        <f>"9781118318393"</f>
        <v>9781118318393</v>
      </c>
      <c r="K2073" t="s">
        <v>3612</v>
      </c>
      <c r="L2073">
        <v>38</v>
      </c>
      <c r="O2073" t="s">
        <v>30</v>
      </c>
      <c r="P2073" t="s">
        <v>42</v>
      </c>
      <c r="S2073" t="s">
        <v>600</v>
      </c>
      <c r="T2073" t="s">
        <v>3604</v>
      </c>
      <c r="U2073" t="s">
        <v>3605</v>
      </c>
      <c r="V2073" s="3">
        <v>40988</v>
      </c>
    </row>
    <row r="2074" spans="1:22" x14ac:dyDescent="0.35">
      <c r="A2074" s="1">
        <v>42349.851377314815</v>
      </c>
      <c r="B2074" s="2">
        <v>6.3657407407407402E-4</v>
      </c>
      <c r="C2074" t="s">
        <v>3613</v>
      </c>
      <c r="D2074" t="s">
        <v>623</v>
      </c>
      <c r="E2074" t="s">
        <v>624</v>
      </c>
      <c r="F2074" t="s">
        <v>3614</v>
      </c>
      <c r="G2074">
        <v>3038545</v>
      </c>
      <c r="H2074" t="s">
        <v>526</v>
      </c>
      <c r="I2074" t="s">
        <v>1407</v>
      </c>
      <c r="J2074" t="str">
        <f>"9780226062211"</f>
        <v>9780226062211</v>
      </c>
      <c r="K2074" t="s">
        <v>3615</v>
      </c>
      <c r="L2074">
        <v>24</v>
      </c>
      <c r="O2074" t="s">
        <v>30</v>
      </c>
      <c r="P2074" t="s">
        <v>50</v>
      </c>
      <c r="S2074" t="s">
        <v>627</v>
      </c>
      <c r="T2074" t="s">
        <v>3616</v>
      </c>
      <c r="U2074">
        <v>577.2709744</v>
      </c>
      <c r="V2074" s="3">
        <v>41730</v>
      </c>
    </row>
    <row r="2075" spans="1:22" x14ac:dyDescent="0.35">
      <c r="A2075" s="1">
        <v>42349.832824074074</v>
      </c>
      <c r="B2075" s="2">
        <v>2.5289351851851851E-2</v>
      </c>
      <c r="C2075" t="s">
        <v>1595</v>
      </c>
      <c r="D2075" t="s">
        <v>23</v>
      </c>
      <c r="E2075" t="s">
        <v>24</v>
      </c>
      <c r="F2075" t="s">
        <v>840</v>
      </c>
      <c r="G2075">
        <v>1166311</v>
      </c>
      <c r="H2075" t="s">
        <v>26</v>
      </c>
      <c r="I2075" t="s">
        <v>841</v>
      </c>
      <c r="J2075" t="str">
        <f>"9781118525616"</f>
        <v>9781118525616</v>
      </c>
      <c r="K2075" t="s">
        <v>3617</v>
      </c>
      <c r="L2075">
        <v>3</v>
      </c>
      <c r="O2075" t="s">
        <v>28</v>
      </c>
      <c r="P2075" t="s">
        <v>29</v>
      </c>
      <c r="Q2075" s="1">
        <v>42342.855023148149</v>
      </c>
      <c r="R2075">
        <v>7</v>
      </c>
      <c r="S2075" t="s">
        <v>31</v>
      </c>
      <c r="T2075" t="s">
        <v>842</v>
      </c>
      <c r="U2075">
        <v>355.00700000000001</v>
      </c>
      <c r="V2075" s="3">
        <v>41366</v>
      </c>
    </row>
    <row r="2076" spans="1:22" x14ac:dyDescent="0.35">
      <c r="A2076" s="1">
        <v>42349.824583333335</v>
      </c>
      <c r="B2076" s="2">
        <v>4.3981481481481481E-4</v>
      </c>
      <c r="C2076" t="s">
        <v>3618</v>
      </c>
      <c r="D2076" t="s">
        <v>360</v>
      </c>
      <c r="E2076" t="s">
        <v>361</v>
      </c>
      <c r="F2076" t="s">
        <v>3619</v>
      </c>
      <c r="G2076">
        <v>1819342</v>
      </c>
      <c r="H2076" t="s">
        <v>26</v>
      </c>
      <c r="I2076" t="s">
        <v>912</v>
      </c>
      <c r="J2076" t="str">
        <f>"9781118940334"</f>
        <v>9781118940334</v>
      </c>
      <c r="K2076" t="s">
        <v>3620</v>
      </c>
      <c r="L2076">
        <v>8</v>
      </c>
      <c r="O2076" t="s">
        <v>30</v>
      </c>
      <c r="P2076" t="s">
        <v>42</v>
      </c>
      <c r="S2076" t="s">
        <v>363</v>
      </c>
      <c r="T2076" t="s">
        <v>3621</v>
      </c>
      <c r="U2076">
        <v>1.6419999999999999</v>
      </c>
      <c r="V2076" s="3">
        <v>41928</v>
      </c>
    </row>
    <row r="2077" spans="1:22" x14ac:dyDescent="0.35">
      <c r="A2077" s="1">
        <v>42349.813090277778</v>
      </c>
      <c r="B2077" s="2">
        <v>1.8969907407407408E-2</v>
      </c>
      <c r="C2077" t="s">
        <v>1595</v>
      </c>
      <c r="D2077" t="s">
        <v>23</v>
      </c>
      <c r="E2077" t="s">
        <v>24</v>
      </c>
      <c r="F2077" t="s">
        <v>840</v>
      </c>
      <c r="G2077">
        <v>1166311</v>
      </c>
      <c r="H2077" t="s">
        <v>26</v>
      </c>
      <c r="I2077" t="s">
        <v>841</v>
      </c>
      <c r="J2077" t="str">
        <f>"9781118525616"</f>
        <v>9781118525616</v>
      </c>
      <c r="K2077" t="s">
        <v>3622</v>
      </c>
      <c r="L2077">
        <v>49</v>
      </c>
      <c r="O2077" t="s">
        <v>30</v>
      </c>
      <c r="P2077" t="s">
        <v>29</v>
      </c>
      <c r="Q2077" s="1">
        <v>42342.855023148149</v>
      </c>
      <c r="R2077">
        <v>7</v>
      </c>
      <c r="S2077" t="s">
        <v>31</v>
      </c>
      <c r="T2077" t="s">
        <v>842</v>
      </c>
      <c r="U2077">
        <v>355.00700000000001</v>
      </c>
      <c r="V2077" s="3">
        <v>41366</v>
      </c>
    </row>
    <row r="2078" spans="1:22" x14ac:dyDescent="0.35">
      <c r="A2078" s="1">
        <v>42349.805393518516</v>
      </c>
      <c r="B2078" s="2">
        <v>2.199074074074074E-4</v>
      </c>
      <c r="C2078" t="s">
        <v>3623</v>
      </c>
      <c r="D2078" t="s">
        <v>35</v>
      </c>
      <c r="E2078" t="s">
        <v>36</v>
      </c>
      <c r="F2078" t="s">
        <v>3624</v>
      </c>
      <c r="G2078">
        <v>1163220</v>
      </c>
      <c r="H2078" t="s">
        <v>26</v>
      </c>
      <c r="I2078" t="s">
        <v>247</v>
      </c>
      <c r="J2078" t="str">
        <f>"9781118306680"</f>
        <v>9781118306680</v>
      </c>
      <c r="K2078" t="s">
        <v>3625</v>
      </c>
      <c r="L2078">
        <v>13</v>
      </c>
      <c r="O2078" t="s">
        <v>30</v>
      </c>
      <c r="P2078" t="s">
        <v>50</v>
      </c>
      <c r="S2078" t="s">
        <v>40</v>
      </c>
      <c r="T2078" t="s">
        <v>3626</v>
      </c>
      <c r="U2078">
        <v>615.53800000000001</v>
      </c>
      <c r="V2078" s="3">
        <v>41362</v>
      </c>
    </row>
    <row r="2079" spans="1:22" x14ac:dyDescent="0.35">
      <c r="A2079" s="1">
        <v>42349.803252314814</v>
      </c>
      <c r="B2079" s="2">
        <v>6.4814814814814813E-4</v>
      </c>
      <c r="C2079" t="s">
        <v>471</v>
      </c>
      <c r="D2079" t="s">
        <v>211</v>
      </c>
      <c r="E2079" t="s">
        <v>212</v>
      </c>
      <c r="F2079" t="s">
        <v>497</v>
      </c>
      <c r="G2079">
        <v>1986951</v>
      </c>
      <c r="H2079" t="s">
        <v>26</v>
      </c>
      <c r="I2079" t="s">
        <v>97</v>
      </c>
      <c r="J2079" t="str">
        <f>"9781119130468"</f>
        <v>9781119130468</v>
      </c>
      <c r="K2079" t="s">
        <v>3627</v>
      </c>
      <c r="L2079">
        <v>12</v>
      </c>
      <c r="O2079" t="s">
        <v>30</v>
      </c>
      <c r="P2079" t="s">
        <v>29</v>
      </c>
      <c r="Q2079" s="1">
        <v>42342.824803240743</v>
      </c>
      <c r="R2079">
        <v>7</v>
      </c>
      <c r="S2079" t="s">
        <v>214</v>
      </c>
      <c r="T2079" t="s">
        <v>500</v>
      </c>
      <c r="U2079">
        <v>657.07600000000002</v>
      </c>
      <c r="V2079" s="3">
        <v>42143</v>
      </c>
    </row>
    <row r="2080" spans="1:22" x14ac:dyDescent="0.35">
      <c r="A2080" s="1">
        <v>42349.801226851851</v>
      </c>
      <c r="B2080" s="2">
        <v>1.8981481481481482E-3</v>
      </c>
      <c r="C2080" t="s">
        <v>471</v>
      </c>
      <c r="D2080" t="s">
        <v>211</v>
      </c>
      <c r="E2080" t="s">
        <v>212</v>
      </c>
      <c r="F2080" t="s">
        <v>497</v>
      </c>
      <c r="G2080">
        <v>1986951</v>
      </c>
      <c r="H2080" t="s">
        <v>26</v>
      </c>
      <c r="I2080" t="s">
        <v>97</v>
      </c>
      <c r="J2080" t="str">
        <f>"9781119130468"</f>
        <v>9781119130468</v>
      </c>
      <c r="K2080" t="s">
        <v>3628</v>
      </c>
      <c r="L2080">
        <v>24</v>
      </c>
      <c r="O2080" t="s">
        <v>30</v>
      </c>
      <c r="P2080" t="s">
        <v>29</v>
      </c>
      <c r="Q2080" s="1">
        <v>42342.824803240743</v>
      </c>
      <c r="R2080">
        <v>7</v>
      </c>
      <c r="S2080" t="s">
        <v>214</v>
      </c>
      <c r="T2080" t="s">
        <v>500</v>
      </c>
      <c r="U2080">
        <v>657.07600000000002</v>
      </c>
      <c r="V2080" s="3">
        <v>42143</v>
      </c>
    </row>
    <row r="2081" spans="1:22" x14ac:dyDescent="0.35">
      <c r="A2081" s="1">
        <v>42349.764999999999</v>
      </c>
      <c r="B2081" s="2">
        <v>7.743055555555556E-3</v>
      </c>
      <c r="C2081" t="s">
        <v>471</v>
      </c>
      <c r="D2081" t="s">
        <v>211</v>
      </c>
      <c r="E2081" t="s">
        <v>212</v>
      </c>
      <c r="F2081" t="s">
        <v>497</v>
      </c>
      <c r="G2081">
        <v>1986951</v>
      </c>
      <c r="H2081" t="s">
        <v>26</v>
      </c>
      <c r="I2081" t="s">
        <v>97</v>
      </c>
      <c r="J2081" t="str">
        <f>"9781119130468"</f>
        <v>9781119130468</v>
      </c>
      <c r="K2081" t="s">
        <v>3629</v>
      </c>
      <c r="L2081">
        <v>16</v>
      </c>
      <c r="O2081" t="s">
        <v>30</v>
      </c>
      <c r="P2081" t="s">
        <v>29</v>
      </c>
      <c r="Q2081" s="1">
        <v>42342.824803240743</v>
      </c>
      <c r="R2081">
        <v>7</v>
      </c>
      <c r="S2081" t="s">
        <v>214</v>
      </c>
      <c r="T2081" t="s">
        <v>500</v>
      </c>
      <c r="U2081">
        <v>657.07600000000002</v>
      </c>
      <c r="V2081" s="3">
        <v>42143</v>
      </c>
    </row>
    <row r="2082" spans="1:22" x14ac:dyDescent="0.35">
      <c r="A2082" s="1">
        <v>42349.656840277778</v>
      </c>
      <c r="B2082" s="2">
        <v>3.4722222222222222E-5</v>
      </c>
      <c r="C2082" t="s">
        <v>3454</v>
      </c>
      <c r="D2082" t="s">
        <v>23</v>
      </c>
      <c r="E2082" t="s">
        <v>24</v>
      </c>
      <c r="F2082" t="s">
        <v>3351</v>
      </c>
      <c r="G2082">
        <v>1760720</v>
      </c>
      <c r="H2082" t="s">
        <v>91</v>
      </c>
      <c r="I2082" t="s">
        <v>247</v>
      </c>
      <c r="J2082" t="str">
        <f>"9781462517459"</f>
        <v>9781462517459</v>
      </c>
      <c r="K2082" t="s">
        <v>33</v>
      </c>
      <c r="L2082">
        <v>3</v>
      </c>
      <c r="O2082" t="s">
        <v>30</v>
      </c>
      <c r="P2082" t="s">
        <v>42</v>
      </c>
      <c r="S2082" t="s">
        <v>31</v>
      </c>
      <c r="T2082" t="s">
        <v>3353</v>
      </c>
      <c r="U2082">
        <v>616.89142000000004</v>
      </c>
      <c r="V2082" s="3">
        <v>41996</v>
      </c>
    </row>
    <row r="2083" spans="1:22" x14ac:dyDescent="0.35">
      <c r="A2083" s="1">
        <v>42349.655810185184</v>
      </c>
      <c r="B2083" s="2">
        <v>5.4652777777777772E-2</v>
      </c>
      <c r="C2083" t="s">
        <v>106</v>
      </c>
      <c r="D2083" t="s">
        <v>23</v>
      </c>
      <c r="E2083" t="s">
        <v>24</v>
      </c>
      <c r="F2083" t="s">
        <v>3630</v>
      </c>
      <c r="G2083">
        <v>2130028</v>
      </c>
      <c r="H2083" t="s">
        <v>526</v>
      </c>
      <c r="I2083" t="s">
        <v>3631</v>
      </c>
      <c r="J2083" t="str">
        <f>"9780226284453"</f>
        <v>9780226284453</v>
      </c>
      <c r="K2083" t="s">
        <v>3632</v>
      </c>
      <c r="L2083">
        <v>28</v>
      </c>
      <c r="O2083" t="s">
        <v>30</v>
      </c>
      <c r="P2083" t="s">
        <v>47</v>
      </c>
      <c r="Q2083" s="1">
        <v>42348.722777777781</v>
      </c>
      <c r="R2083">
        <v>1</v>
      </c>
      <c r="S2083" t="s">
        <v>31</v>
      </c>
      <c r="T2083" t="s">
        <v>3633</v>
      </c>
      <c r="U2083">
        <v>333.91009730000002</v>
      </c>
      <c r="V2083" s="3">
        <v>42272</v>
      </c>
    </row>
    <row r="2084" spans="1:22" x14ac:dyDescent="0.35">
      <c r="A2084" s="1">
        <v>42349.64638888889</v>
      </c>
      <c r="B2084" s="2">
        <v>2.9166666666666668E-3</v>
      </c>
      <c r="C2084" t="s">
        <v>3634</v>
      </c>
      <c r="D2084" t="s">
        <v>35</v>
      </c>
      <c r="E2084" t="s">
        <v>36</v>
      </c>
      <c r="F2084" t="s">
        <v>3635</v>
      </c>
      <c r="G2084">
        <v>1583995</v>
      </c>
      <c r="H2084" t="s">
        <v>526</v>
      </c>
      <c r="I2084" t="s">
        <v>172</v>
      </c>
      <c r="J2084" t="str">
        <f>"9780226080796"</f>
        <v>9780226080796</v>
      </c>
      <c r="K2084" t="s">
        <v>3636</v>
      </c>
      <c r="L2084">
        <v>64</v>
      </c>
      <c r="O2084" t="s">
        <v>30</v>
      </c>
      <c r="P2084" t="s">
        <v>50</v>
      </c>
      <c r="S2084" t="s">
        <v>40</v>
      </c>
      <c r="T2084" t="s">
        <v>3637</v>
      </c>
      <c r="U2084">
        <v>942.12059999999997</v>
      </c>
      <c r="V2084" s="3">
        <v>41645</v>
      </c>
    </row>
    <row r="2085" spans="1:22" x14ac:dyDescent="0.35">
      <c r="A2085" s="1">
        <v>42349.596018518518</v>
      </c>
      <c r="B2085" s="2">
        <v>4.5370370370370365E-3</v>
      </c>
      <c r="C2085" t="s">
        <v>2705</v>
      </c>
      <c r="D2085" t="s">
        <v>23</v>
      </c>
      <c r="E2085" t="s">
        <v>24</v>
      </c>
      <c r="F2085" t="s">
        <v>226</v>
      </c>
      <c r="G2085">
        <v>1895348</v>
      </c>
      <c r="H2085" t="s">
        <v>26</v>
      </c>
      <c r="I2085" t="s">
        <v>69</v>
      </c>
      <c r="J2085" t="str">
        <f>"9781119068839"</f>
        <v>9781119068839</v>
      </c>
      <c r="K2085" t="s">
        <v>3638</v>
      </c>
      <c r="L2085">
        <v>4</v>
      </c>
      <c r="O2085" t="s">
        <v>30</v>
      </c>
      <c r="P2085" t="s">
        <v>29</v>
      </c>
      <c r="Q2085" s="1">
        <v>42349.596018518518</v>
      </c>
      <c r="R2085">
        <v>7</v>
      </c>
      <c r="S2085" t="s">
        <v>31</v>
      </c>
      <c r="T2085" t="s">
        <v>227</v>
      </c>
      <c r="U2085">
        <v>378.16640000000001</v>
      </c>
      <c r="V2085" s="3">
        <v>42151</v>
      </c>
    </row>
    <row r="2086" spans="1:22" x14ac:dyDescent="0.35">
      <c r="A2086" s="1">
        <v>42349.592141203706</v>
      </c>
      <c r="B2086" s="2">
        <v>3.8773148148148143E-3</v>
      </c>
      <c r="C2086" t="s">
        <v>2705</v>
      </c>
      <c r="D2086" t="s">
        <v>23</v>
      </c>
      <c r="E2086" t="s">
        <v>24</v>
      </c>
      <c r="F2086" t="s">
        <v>226</v>
      </c>
      <c r="G2086">
        <v>1895348</v>
      </c>
      <c r="H2086" t="s">
        <v>26</v>
      </c>
      <c r="I2086" t="s">
        <v>69</v>
      </c>
      <c r="J2086" t="str">
        <f>"9781119068839"</f>
        <v>9781119068839</v>
      </c>
      <c r="K2086" t="s">
        <v>3639</v>
      </c>
      <c r="L2086">
        <v>40</v>
      </c>
      <c r="O2086" t="s">
        <v>30</v>
      </c>
      <c r="P2086" t="s">
        <v>50</v>
      </c>
      <c r="S2086" t="s">
        <v>31</v>
      </c>
      <c r="T2086" t="s">
        <v>227</v>
      </c>
      <c r="U2086">
        <v>378.16640000000001</v>
      </c>
      <c r="V2086" s="3">
        <v>42151</v>
      </c>
    </row>
    <row r="2087" spans="1:22" x14ac:dyDescent="0.35">
      <c r="A2087" s="1">
        <v>42349.570185185185</v>
      </c>
      <c r="B2087" s="2">
        <v>3.4722222222222222E-5</v>
      </c>
      <c r="C2087" t="s">
        <v>1291</v>
      </c>
      <c r="D2087" t="s">
        <v>23</v>
      </c>
      <c r="E2087" t="s">
        <v>24</v>
      </c>
      <c r="F2087" t="s">
        <v>3640</v>
      </c>
      <c r="G2087">
        <v>1662670</v>
      </c>
      <c r="H2087" t="s">
        <v>26</v>
      </c>
      <c r="I2087" t="s">
        <v>3641</v>
      </c>
      <c r="J2087" t="str">
        <f>"9781118821251"</f>
        <v>9781118821251</v>
      </c>
      <c r="K2087" t="s">
        <v>33</v>
      </c>
      <c r="L2087">
        <v>3</v>
      </c>
      <c r="O2087" t="s">
        <v>30</v>
      </c>
      <c r="P2087" t="s">
        <v>42</v>
      </c>
      <c r="S2087" t="s">
        <v>31</v>
      </c>
      <c r="T2087" t="s">
        <v>3642</v>
      </c>
      <c r="U2087" t="s">
        <v>3643</v>
      </c>
      <c r="V2087" s="3">
        <v>41724</v>
      </c>
    </row>
    <row r="2088" spans="1:22" x14ac:dyDescent="0.35">
      <c r="A2088" s="1">
        <v>42349.385046296295</v>
      </c>
      <c r="B2088" s="2">
        <v>7.5578703703703702E-3</v>
      </c>
      <c r="C2088" t="s">
        <v>3223</v>
      </c>
      <c r="D2088" t="s">
        <v>23</v>
      </c>
      <c r="E2088" t="s">
        <v>24</v>
      </c>
      <c r="F2088" t="s">
        <v>3224</v>
      </c>
      <c r="G2088">
        <v>1882107</v>
      </c>
      <c r="H2088" t="s">
        <v>84</v>
      </c>
      <c r="I2088" t="s">
        <v>998</v>
      </c>
      <c r="J2088" t="str">
        <f>"9780520961593"</f>
        <v>9780520961593</v>
      </c>
      <c r="K2088" t="s">
        <v>3644</v>
      </c>
      <c r="L2088">
        <v>44</v>
      </c>
      <c r="O2088" t="s">
        <v>30</v>
      </c>
      <c r="P2088" t="s">
        <v>29</v>
      </c>
      <c r="Q2088" s="1">
        <v>42348.176412037035</v>
      </c>
      <c r="R2088">
        <v>7</v>
      </c>
      <c r="S2088" t="s">
        <v>31</v>
      </c>
      <c r="T2088" t="s">
        <v>3226</v>
      </c>
      <c r="U2088">
        <v>952.03099999999995</v>
      </c>
      <c r="V2088" s="3">
        <v>42164</v>
      </c>
    </row>
    <row r="2089" spans="1:22" x14ac:dyDescent="0.35">
      <c r="A2089" s="1">
        <v>42349.381006944444</v>
      </c>
      <c r="B2089" s="2">
        <v>3.4722222222222222E-5</v>
      </c>
      <c r="C2089" t="s">
        <v>3223</v>
      </c>
      <c r="D2089" t="s">
        <v>23</v>
      </c>
      <c r="E2089" t="s">
        <v>24</v>
      </c>
      <c r="F2089" t="s">
        <v>3224</v>
      </c>
      <c r="G2089">
        <v>1882107</v>
      </c>
      <c r="H2089" t="s">
        <v>84</v>
      </c>
      <c r="I2089" t="s">
        <v>998</v>
      </c>
      <c r="J2089" t="str">
        <f>"9780520961593"</f>
        <v>9780520961593</v>
      </c>
      <c r="K2089" t="s">
        <v>33</v>
      </c>
      <c r="L2089">
        <v>3</v>
      </c>
      <c r="O2089" t="s">
        <v>30</v>
      </c>
      <c r="P2089" t="s">
        <v>29</v>
      </c>
      <c r="Q2089" s="1">
        <v>42348.176412037035</v>
      </c>
      <c r="R2089">
        <v>7</v>
      </c>
      <c r="S2089" t="s">
        <v>31</v>
      </c>
      <c r="T2089" t="s">
        <v>3226</v>
      </c>
      <c r="U2089">
        <v>952.03099999999995</v>
      </c>
      <c r="V2089" s="3">
        <v>42164</v>
      </c>
    </row>
    <row r="2090" spans="1:22" x14ac:dyDescent="0.35">
      <c r="A2090" s="1">
        <v>42349.191851851851</v>
      </c>
      <c r="B2090" s="2">
        <v>5.7870370370370366E-5</v>
      </c>
      <c r="C2090" t="s">
        <v>3645</v>
      </c>
      <c r="D2090" t="s">
        <v>35</v>
      </c>
      <c r="E2090" t="s">
        <v>36</v>
      </c>
      <c r="F2090" t="s">
        <v>2870</v>
      </c>
      <c r="G2090">
        <v>1562126</v>
      </c>
      <c r="H2090" t="s">
        <v>68</v>
      </c>
      <c r="I2090" t="s">
        <v>120</v>
      </c>
      <c r="J2090" t="str">
        <f>"9781317773542"</f>
        <v>9781317773542</v>
      </c>
      <c r="K2090" t="s">
        <v>3646</v>
      </c>
      <c r="L2090">
        <v>6</v>
      </c>
      <c r="O2090" t="s">
        <v>30</v>
      </c>
      <c r="P2090" t="s">
        <v>47</v>
      </c>
      <c r="Q2090" s="1">
        <v>42349.191851851851</v>
      </c>
      <c r="R2090">
        <v>1</v>
      </c>
      <c r="S2090" t="s">
        <v>40</v>
      </c>
      <c r="T2090" t="s">
        <v>2872</v>
      </c>
      <c r="U2090">
        <v>306.76608805500001</v>
      </c>
      <c r="V2090" s="3">
        <v>41590</v>
      </c>
    </row>
    <row r="2091" spans="1:22" x14ac:dyDescent="0.35">
      <c r="A2091" s="1">
        <v>42349.166180555556</v>
      </c>
      <c r="B2091" s="2">
        <v>2.56712962962963E-2</v>
      </c>
      <c r="C2091" t="s">
        <v>3645</v>
      </c>
      <c r="D2091" t="s">
        <v>35</v>
      </c>
      <c r="E2091" t="s">
        <v>36</v>
      </c>
      <c r="F2091" t="s">
        <v>2870</v>
      </c>
      <c r="G2091">
        <v>1562126</v>
      </c>
      <c r="H2091" t="s">
        <v>68</v>
      </c>
      <c r="I2091" t="s">
        <v>120</v>
      </c>
      <c r="J2091" t="str">
        <f>"9781317773542"</f>
        <v>9781317773542</v>
      </c>
      <c r="K2091" t="s">
        <v>1007</v>
      </c>
      <c r="L2091">
        <v>26</v>
      </c>
      <c r="O2091" t="s">
        <v>30</v>
      </c>
      <c r="P2091" t="s">
        <v>50</v>
      </c>
      <c r="S2091" t="s">
        <v>40</v>
      </c>
      <c r="T2091" t="s">
        <v>2872</v>
      </c>
      <c r="U2091">
        <v>306.76608805500001</v>
      </c>
      <c r="V2091" s="3">
        <v>41590</v>
      </c>
    </row>
    <row r="2092" spans="1:22" x14ac:dyDescent="0.35">
      <c r="A2092" s="1">
        <v>42349.151631944442</v>
      </c>
      <c r="B2092" s="2">
        <v>3.2407407407407406E-4</v>
      </c>
      <c r="C2092" t="s">
        <v>3647</v>
      </c>
      <c r="D2092" t="s">
        <v>23</v>
      </c>
      <c r="E2092" t="s">
        <v>24</v>
      </c>
      <c r="F2092" t="s">
        <v>83</v>
      </c>
      <c r="G2092">
        <v>1711065</v>
      </c>
      <c r="H2092" t="s">
        <v>84</v>
      </c>
      <c r="I2092" t="s">
        <v>85</v>
      </c>
      <c r="J2092" t="str">
        <f>"9780520959156"</f>
        <v>9780520959156</v>
      </c>
      <c r="K2092" t="s">
        <v>3648</v>
      </c>
      <c r="L2092">
        <v>18</v>
      </c>
      <c r="O2092" t="s">
        <v>30</v>
      </c>
      <c r="P2092" t="s">
        <v>29</v>
      </c>
      <c r="Q2092" s="1">
        <v>42347.943738425929</v>
      </c>
      <c r="R2092">
        <v>7</v>
      </c>
      <c r="S2092" t="s">
        <v>31</v>
      </c>
      <c r="T2092" t="s">
        <v>87</v>
      </c>
      <c r="U2092" t="s">
        <v>88</v>
      </c>
      <c r="V2092" s="3">
        <v>41881</v>
      </c>
    </row>
    <row r="2093" spans="1:22" x14ac:dyDescent="0.35">
      <c r="A2093" s="1">
        <v>42349.122314814813</v>
      </c>
      <c r="B2093" s="2">
        <v>3.9351851851851852E-4</v>
      </c>
      <c r="C2093" t="s">
        <v>3213</v>
      </c>
      <c r="D2093" t="s">
        <v>35</v>
      </c>
      <c r="E2093" t="s">
        <v>36</v>
      </c>
      <c r="F2093" t="s">
        <v>1758</v>
      </c>
      <c r="G2093">
        <v>4039553</v>
      </c>
      <c r="H2093" t="s">
        <v>26</v>
      </c>
      <c r="I2093" t="s">
        <v>150</v>
      </c>
      <c r="J2093" t="str">
        <f>"9781118886045"</f>
        <v>9781118886045</v>
      </c>
      <c r="K2093" t="s">
        <v>1651</v>
      </c>
      <c r="L2093">
        <v>11</v>
      </c>
      <c r="O2093" t="s">
        <v>30</v>
      </c>
      <c r="P2093" t="s">
        <v>50</v>
      </c>
      <c r="S2093" t="s">
        <v>40</v>
      </c>
      <c r="T2093" t="s">
        <v>1759</v>
      </c>
      <c r="U2093">
        <v>709.37</v>
      </c>
      <c r="V2093" s="3">
        <v>42256</v>
      </c>
    </row>
    <row r="2094" spans="1:22" x14ac:dyDescent="0.35">
      <c r="A2094" s="1">
        <v>42349.098425925928</v>
      </c>
      <c r="B2094" s="2">
        <v>8.564814814814815E-4</v>
      </c>
      <c r="C2094" t="s">
        <v>3649</v>
      </c>
      <c r="D2094" t="s">
        <v>623</v>
      </c>
      <c r="E2094" t="s">
        <v>624</v>
      </c>
      <c r="F2094" t="s">
        <v>3650</v>
      </c>
      <c r="G2094">
        <v>2065773</v>
      </c>
      <c r="H2094" t="s">
        <v>26</v>
      </c>
      <c r="I2094" t="s">
        <v>120</v>
      </c>
      <c r="J2094" t="str">
        <f>"9780745690490"</f>
        <v>9780745690490</v>
      </c>
      <c r="K2094" t="s">
        <v>3651</v>
      </c>
      <c r="L2094">
        <v>35</v>
      </c>
      <c r="O2094" t="s">
        <v>30</v>
      </c>
      <c r="P2094" t="s">
        <v>42</v>
      </c>
      <c r="S2094" t="s">
        <v>627</v>
      </c>
      <c r="T2094" t="s">
        <v>3652</v>
      </c>
      <c r="U2094">
        <v>303.61</v>
      </c>
      <c r="V2094" s="3">
        <v>42159</v>
      </c>
    </row>
    <row r="2095" spans="1:22" x14ac:dyDescent="0.35">
      <c r="A2095" s="1">
        <v>42349.077164351853</v>
      </c>
      <c r="B2095" s="2">
        <v>2.4305555555555552E-4</v>
      </c>
      <c r="C2095" t="s">
        <v>3645</v>
      </c>
      <c r="D2095" t="s">
        <v>35</v>
      </c>
      <c r="E2095" t="s">
        <v>36</v>
      </c>
      <c r="F2095" t="s">
        <v>2870</v>
      </c>
      <c r="G2095">
        <v>1562126</v>
      </c>
      <c r="H2095" t="s">
        <v>68</v>
      </c>
      <c r="I2095" t="s">
        <v>120</v>
      </c>
      <c r="J2095" t="str">
        <f>"9781317773542"</f>
        <v>9781317773542</v>
      </c>
      <c r="K2095" t="s">
        <v>3653</v>
      </c>
      <c r="L2095">
        <v>8</v>
      </c>
      <c r="O2095" t="s">
        <v>30</v>
      </c>
      <c r="P2095" t="s">
        <v>50</v>
      </c>
      <c r="S2095" t="s">
        <v>40</v>
      </c>
      <c r="T2095" t="s">
        <v>2872</v>
      </c>
      <c r="U2095">
        <v>306.76608805500001</v>
      </c>
      <c r="V2095" s="3">
        <v>41590</v>
      </c>
    </row>
    <row r="2096" spans="1:22" x14ac:dyDescent="0.35">
      <c r="A2096" s="1">
        <v>42349.070497685185</v>
      </c>
      <c r="B2096" s="2">
        <v>2.7997685185185184E-2</v>
      </c>
      <c r="C2096" t="s">
        <v>3654</v>
      </c>
      <c r="D2096" t="s">
        <v>35</v>
      </c>
      <c r="E2096" t="s">
        <v>36</v>
      </c>
      <c r="F2096" t="s">
        <v>3655</v>
      </c>
      <c r="G2096">
        <v>1397079</v>
      </c>
      <c r="H2096" t="s">
        <v>68</v>
      </c>
      <c r="I2096" t="s">
        <v>3656</v>
      </c>
      <c r="J2096" t="str">
        <f>"9781317991205"</f>
        <v>9781317991205</v>
      </c>
      <c r="K2096" t="s">
        <v>3657</v>
      </c>
      <c r="L2096">
        <v>11</v>
      </c>
      <c r="O2096" t="s">
        <v>30</v>
      </c>
      <c r="P2096" t="s">
        <v>47</v>
      </c>
      <c r="Q2096" s="1">
        <v>42349.070497685185</v>
      </c>
      <c r="R2096">
        <v>1</v>
      </c>
      <c r="S2096" t="s">
        <v>40</v>
      </c>
      <c r="U2096">
        <v>363.73874560000002</v>
      </c>
      <c r="V2096" s="3">
        <v>41530</v>
      </c>
    </row>
    <row r="2097" spans="1:22" x14ac:dyDescent="0.35">
      <c r="A2097" s="1">
        <v>42349.066469907404</v>
      </c>
      <c r="B2097" s="2">
        <v>4.0277777777777777E-3</v>
      </c>
      <c r="C2097" t="s">
        <v>3654</v>
      </c>
      <c r="D2097" t="s">
        <v>35</v>
      </c>
      <c r="E2097" t="s">
        <v>36</v>
      </c>
      <c r="F2097" t="s">
        <v>3655</v>
      </c>
      <c r="G2097">
        <v>1397079</v>
      </c>
      <c r="H2097" t="s">
        <v>68</v>
      </c>
      <c r="I2097" t="s">
        <v>3656</v>
      </c>
      <c r="J2097" t="str">
        <f>"9781317991205"</f>
        <v>9781317991205</v>
      </c>
      <c r="K2097" t="s">
        <v>3658</v>
      </c>
      <c r="L2097">
        <v>9</v>
      </c>
      <c r="O2097" t="s">
        <v>30</v>
      </c>
      <c r="P2097" t="s">
        <v>50</v>
      </c>
      <c r="S2097" t="s">
        <v>40</v>
      </c>
      <c r="U2097">
        <v>363.73874560000002</v>
      </c>
      <c r="V2097" s="3">
        <v>41530</v>
      </c>
    </row>
    <row r="2098" spans="1:22" x14ac:dyDescent="0.35">
      <c r="A2098" s="1">
        <v>42349.01326388889</v>
      </c>
      <c r="B2098" s="2">
        <v>3.3564814814814812E-4</v>
      </c>
      <c r="C2098" t="s">
        <v>3659</v>
      </c>
      <c r="D2098" t="s">
        <v>35</v>
      </c>
      <c r="E2098" t="s">
        <v>36</v>
      </c>
      <c r="F2098" t="s">
        <v>3660</v>
      </c>
      <c r="G2098">
        <v>1355959</v>
      </c>
      <c r="H2098" t="s">
        <v>68</v>
      </c>
      <c r="I2098" t="s">
        <v>108</v>
      </c>
      <c r="J2098" t="str">
        <f>"9781135022112"</f>
        <v>9781135022112</v>
      </c>
      <c r="K2098" t="s">
        <v>3661</v>
      </c>
      <c r="L2098">
        <v>8</v>
      </c>
      <c r="O2098" t="s">
        <v>30</v>
      </c>
      <c r="P2098" t="s">
        <v>50</v>
      </c>
      <c r="S2098" t="s">
        <v>40</v>
      </c>
      <c r="T2098" t="s">
        <v>3662</v>
      </c>
      <c r="U2098">
        <v>330.15300000000002</v>
      </c>
      <c r="V2098" s="3">
        <v>41507</v>
      </c>
    </row>
    <row r="2099" spans="1:22" x14ac:dyDescent="0.35">
      <c r="A2099" s="1">
        <v>42349.005196759259</v>
      </c>
      <c r="B2099" s="2">
        <v>3.1250000000000001E-4</v>
      </c>
      <c r="C2099" t="s">
        <v>1389</v>
      </c>
      <c r="D2099" t="s">
        <v>35</v>
      </c>
      <c r="E2099" t="s">
        <v>36</v>
      </c>
      <c r="F2099" t="s">
        <v>1104</v>
      </c>
      <c r="G2099">
        <v>1487097</v>
      </c>
      <c r="H2099" t="s">
        <v>68</v>
      </c>
      <c r="I2099" t="s">
        <v>120</v>
      </c>
      <c r="J2099" t="str">
        <f>"9781135398842"</f>
        <v>9781135398842</v>
      </c>
      <c r="K2099" t="s">
        <v>3663</v>
      </c>
      <c r="L2099">
        <v>9</v>
      </c>
      <c r="O2099" t="s">
        <v>30</v>
      </c>
      <c r="P2099" t="s">
        <v>50</v>
      </c>
      <c r="S2099" t="s">
        <v>40</v>
      </c>
      <c r="T2099" t="s">
        <v>1106</v>
      </c>
      <c r="U2099">
        <v>306.76799999999997</v>
      </c>
      <c r="V2099" s="3">
        <v>41565</v>
      </c>
    </row>
    <row r="2100" spans="1:22" x14ac:dyDescent="0.35">
      <c r="A2100" s="1">
        <v>42348.976944444446</v>
      </c>
      <c r="B2100" s="2">
        <v>2.0717592592592593E-3</v>
      </c>
      <c r="C2100" t="s">
        <v>2525</v>
      </c>
      <c r="D2100" t="s">
        <v>117</v>
      </c>
      <c r="E2100" t="s">
        <v>118</v>
      </c>
      <c r="F2100" t="s">
        <v>3664</v>
      </c>
      <c r="G2100">
        <v>1129763</v>
      </c>
      <c r="H2100" t="s">
        <v>26</v>
      </c>
      <c r="I2100" t="s">
        <v>3665</v>
      </c>
      <c r="J2100" t="str">
        <f>"9781118448038"</f>
        <v>9781118448038</v>
      </c>
      <c r="K2100" t="s">
        <v>3666</v>
      </c>
      <c r="L2100">
        <v>24</v>
      </c>
      <c r="O2100" t="s">
        <v>30</v>
      </c>
      <c r="P2100" t="s">
        <v>50</v>
      </c>
      <c r="S2100" t="s">
        <v>121</v>
      </c>
      <c r="T2100" t="s">
        <v>3667</v>
      </c>
      <c r="U2100">
        <v>641.59730000000002</v>
      </c>
      <c r="V2100" s="3">
        <v>41318</v>
      </c>
    </row>
    <row r="2101" spans="1:22" x14ac:dyDescent="0.35">
      <c r="A2101" s="1">
        <v>42348.971898148149</v>
      </c>
      <c r="B2101" s="2">
        <v>2.199074074074074E-4</v>
      </c>
      <c r="C2101" t="s">
        <v>1098</v>
      </c>
      <c r="D2101" t="s">
        <v>360</v>
      </c>
      <c r="E2101" t="s">
        <v>361</v>
      </c>
      <c r="F2101" t="s">
        <v>3668</v>
      </c>
      <c r="G2101">
        <v>3057841</v>
      </c>
      <c r="H2101" t="s">
        <v>26</v>
      </c>
      <c r="I2101" t="s">
        <v>382</v>
      </c>
      <c r="J2101" t="str">
        <f>"9780470746714"</f>
        <v>9780470746714</v>
      </c>
      <c r="K2101" t="s">
        <v>98</v>
      </c>
      <c r="L2101">
        <v>7</v>
      </c>
      <c r="O2101" t="s">
        <v>30</v>
      </c>
      <c r="P2101" t="s">
        <v>50</v>
      </c>
      <c r="S2101" t="s">
        <v>363</v>
      </c>
      <c r="T2101" t="s">
        <v>3669</v>
      </c>
      <c r="U2101">
        <v>915.93044399999997</v>
      </c>
      <c r="V2101" s="3">
        <v>39995</v>
      </c>
    </row>
    <row r="2102" spans="1:22" x14ac:dyDescent="0.35">
      <c r="A2102" s="1">
        <v>42348.965277777781</v>
      </c>
      <c r="B2102" s="2">
        <v>6.2500000000000001E-4</v>
      </c>
      <c r="C2102" t="s">
        <v>3670</v>
      </c>
      <c r="D2102" t="s">
        <v>35</v>
      </c>
      <c r="E2102" t="s">
        <v>36</v>
      </c>
      <c r="F2102" t="s">
        <v>37</v>
      </c>
      <c r="G2102">
        <v>1684620</v>
      </c>
      <c r="H2102" t="s">
        <v>26</v>
      </c>
      <c r="I2102" t="s">
        <v>38</v>
      </c>
      <c r="J2102" t="str">
        <f>"9781118418925"</f>
        <v>9781118418925</v>
      </c>
      <c r="K2102" t="s">
        <v>3671</v>
      </c>
      <c r="L2102">
        <v>10</v>
      </c>
      <c r="O2102" t="s">
        <v>30</v>
      </c>
      <c r="P2102" t="s">
        <v>42</v>
      </c>
      <c r="S2102" t="s">
        <v>40</v>
      </c>
      <c r="T2102" t="s">
        <v>41</v>
      </c>
      <c r="U2102">
        <v>362.10680000000002</v>
      </c>
      <c r="V2102" s="3">
        <v>41759</v>
      </c>
    </row>
    <row r="2103" spans="1:22" x14ac:dyDescent="0.35">
      <c r="A2103" s="1">
        <v>42348.942118055558</v>
      </c>
      <c r="B2103" s="2">
        <v>1.4675925925925926E-2</v>
      </c>
      <c r="C2103" t="s">
        <v>3672</v>
      </c>
      <c r="D2103" t="s">
        <v>35</v>
      </c>
      <c r="E2103" t="s">
        <v>36</v>
      </c>
      <c r="F2103" t="s">
        <v>3673</v>
      </c>
      <c r="G2103">
        <v>1816989</v>
      </c>
      <c r="H2103" t="s">
        <v>186</v>
      </c>
      <c r="I2103" t="s">
        <v>3674</v>
      </c>
      <c r="J2103" t="str">
        <f>"9781780644578"</f>
        <v>9781780644578</v>
      </c>
      <c r="K2103" t="s">
        <v>3675</v>
      </c>
      <c r="L2103">
        <v>12</v>
      </c>
      <c r="O2103" t="s">
        <v>30</v>
      </c>
      <c r="P2103" t="s">
        <v>29</v>
      </c>
      <c r="Q2103" s="1">
        <v>42348.942118055558</v>
      </c>
      <c r="R2103">
        <v>7</v>
      </c>
      <c r="S2103" t="s">
        <v>40</v>
      </c>
      <c r="T2103" t="s">
        <v>3676</v>
      </c>
      <c r="U2103" t="s">
        <v>3677</v>
      </c>
      <c r="V2103" s="3">
        <v>41908</v>
      </c>
    </row>
    <row r="2104" spans="1:22" x14ac:dyDescent="0.35">
      <c r="A2104" s="1">
        <v>42348.937708333331</v>
      </c>
      <c r="B2104" s="2">
        <v>4.8611111111111112E-3</v>
      </c>
      <c r="C2104" t="s">
        <v>3678</v>
      </c>
      <c r="D2104" t="s">
        <v>23</v>
      </c>
      <c r="E2104" t="s">
        <v>24</v>
      </c>
      <c r="F2104" t="s">
        <v>3679</v>
      </c>
      <c r="G2104">
        <v>1732136</v>
      </c>
      <c r="H2104" t="s">
        <v>84</v>
      </c>
      <c r="I2104" t="s">
        <v>150</v>
      </c>
      <c r="J2104" t="str">
        <f>"9780520960015"</f>
        <v>9780520960015</v>
      </c>
      <c r="K2104" t="s">
        <v>3680</v>
      </c>
      <c r="L2104">
        <v>22</v>
      </c>
      <c r="N2104" t="s">
        <v>3681</v>
      </c>
      <c r="O2104" t="s">
        <v>30</v>
      </c>
      <c r="P2104" t="s">
        <v>47</v>
      </c>
      <c r="Q2104" s="1">
        <v>42348.937708333331</v>
      </c>
      <c r="R2104">
        <v>1</v>
      </c>
      <c r="S2104" t="s">
        <v>31</v>
      </c>
      <c r="T2104" t="s">
        <v>3682</v>
      </c>
      <c r="U2104" t="s">
        <v>3683</v>
      </c>
      <c r="V2104" s="3">
        <v>41991</v>
      </c>
    </row>
    <row r="2105" spans="1:22" x14ac:dyDescent="0.35">
      <c r="A2105" s="1">
        <v>42348.93550925926</v>
      </c>
      <c r="B2105" s="2">
        <v>3.4722222222222222E-5</v>
      </c>
      <c r="C2105" t="s">
        <v>3684</v>
      </c>
      <c r="D2105" t="s">
        <v>35</v>
      </c>
      <c r="E2105" t="s">
        <v>36</v>
      </c>
      <c r="F2105" t="s">
        <v>3685</v>
      </c>
      <c r="G2105">
        <v>1869290</v>
      </c>
      <c r="H2105" t="s">
        <v>45</v>
      </c>
      <c r="I2105" t="s">
        <v>120</v>
      </c>
      <c r="J2105" t="str">
        <f>"9781409445425"</f>
        <v>9781409445425</v>
      </c>
      <c r="K2105" t="s">
        <v>33</v>
      </c>
      <c r="L2105">
        <v>3</v>
      </c>
      <c r="O2105" t="s">
        <v>30</v>
      </c>
      <c r="P2105" t="s">
        <v>50</v>
      </c>
      <c r="S2105" t="s">
        <v>40</v>
      </c>
      <c r="T2105" t="s">
        <v>3686</v>
      </c>
      <c r="U2105" t="s">
        <v>3687</v>
      </c>
      <c r="V2105" s="3">
        <v>42032</v>
      </c>
    </row>
    <row r="2106" spans="1:22" x14ac:dyDescent="0.35">
      <c r="A2106" s="1">
        <v>42348.93409722222</v>
      </c>
      <c r="B2106" s="2">
        <v>3.6111111111111114E-3</v>
      </c>
      <c r="C2106" t="s">
        <v>3678</v>
      </c>
      <c r="D2106" t="s">
        <v>23</v>
      </c>
      <c r="E2106" t="s">
        <v>24</v>
      </c>
      <c r="F2106" t="s">
        <v>3679</v>
      </c>
      <c r="G2106">
        <v>1732136</v>
      </c>
      <c r="H2106" t="s">
        <v>84</v>
      </c>
      <c r="I2106" t="s">
        <v>150</v>
      </c>
      <c r="J2106" t="str">
        <f>"9780520960015"</f>
        <v>9780520960015</v>
      </c>
      <c r="K2106" t="s">
        <v>3688</v>
      </c>
      <c r="L2106">
        <v>68</v>
      </c>
      <c r="O2106" t="s">
        <v>30</v>
      </c>
      <c r="P2106" t="s">
        <v>50</v>
      </c>
      <c r="S2106" t="s">
        <v>31</v>
      </c>
      <c r="T2106" t="s">
        <v>3682</v>
      </c>
      <c r="U2106" t="s">
        <v>3683</v>
      </c>
      <c r="V2106" s="3">
        <v>41991</v>
      </c>
    </row>
    <row r="2107" spans="1:22" x14ac:dyDescent="0.35">
      <c r="A2107" s="1">
        <v>42348.918344907404</v>
      </c>
      <c r="B2107" s="2">
        <v>8.9004629629629625E-3</v>
      </c>
      <c r="C2107" t="s">
        <v>3326</v>
      </c>
      <c r="D2107" t="s">
        <v>35</v>
      </c>
      <c r="E2107" t="s">
        <v>36</v>
      </c>
      <c r="F2107" t="s">
        <v>1285</v>
      </c>
      <c r="G2107">
        <v>979950</v>
      </c>
      <c r="H2107" t="s">
        <v>1286</v>
      </c>
      <c r="I2107" t="s">
        <v>310</v>
      </c>
      <c r="J2107" t="str">
        <f>"9781476600321"</f>
        <v>9781476600321</v>
      </c>
      <c r="K2107" t="s">
        <v>3689</v>
      </c>
      <c r="L2107">
        <v>42</v>
      </c>
      <c r="N2107" t="s">
        <v>3690</v>
      </c>
      <c r="O2107" t="s">
        <v>30</v>
      </c>
      <c r="P2107" t="s">
        <v>29</v>
      </c>
      <c r="Q2107" s="1">
        <v>42348.918344907404</v>
      </c>
      <c r="R2107">
        <v>7</v>
      </c>
      <c r="S2107" t="s">
        <v>40</v>
      </c>
      <c r="T2107" t="s">
        <v>1288</v>
      </c>
      <c r="U2107" t="s">
        <v>1289</v>
      </c>
      <c r="V2107" s="3">
        <v>41100</v>
      </c>
    </row>
    <row r="2108" spans="1:22" x14ac:dyDescent="0.35">
      <c r="A2108" s="1">
        <v>42348.916597222225</v>
      </c>
      <c r="B2108" s="2">
        <v>2.5509259259259259E-2</v>
      </c>
      <c r="C2108" t="s">
        <v>3672</v>
      </c>
      <c r="D2108" t="s">
        <v>35</v>
      </c>
      <c r="E2108" t="s">
        <v>36</v>
      </c>
      <c r="F2108" t="s">
        <v>3673</v>
      </c>
      <c r="G2108">
        <v>1816989</v>
      </c>
      <c r="H2108" t="s">
        <v>186</v>
      </c>
      <c r="I2108" t="s">
        <v>3674</v>
      </c>
      <c r="J2108" t="str">
        <f>"9781780644578"</f>
        <v>9781780644578</v>
      </c>
      <c r="K2108" t="s">
        <v>1326</v>
      </c>
      <c r="L2108">
        <v>3</v>
      </c>
      <c r="O2108" t="s">
        <v>30</v>
      </c>
      <c r="P2108" t="s">
        <v>50</v>
      </c>
      <c r="S2108" t="s">
        <v>40</v>
      </c>
      <c r="T2108" t="s">
        <v>3676</v>
      </c>
      <c r="U2108" t="s">
        <v>3677</v>
      </c>
      <c r="V2108" s="3">
        <v>41908</v>
      </c>
    </row>
    <row r="2109" spans="1:22" x14ac:dyDescent="0.35">
      <c r="A2109" s="1">
        <v>42348.906192129631</v>
      </c>
      <c r="B2109" s="2">
        <v>1.2152777777777778E-2</v>
      </c>
      <c r="C2109" t="s">
        <v>3326</v>
      </c>
      <c r="D2109" t="s">
        <v>35</v>
      </c>
      <c r="E2109" t="s">
        <v>36</v>
      </c>
      <c r="F2109" t="s">
        <v>1285</v>
      </c>
      <c r="G2109">
        <v>979950</v>
      </c>
      <c r="H2109" t="s">
        <v>1286</v>
      </c>
      <c r="I2109" t="s">
        <v>310</v>
      </c>
      <c r="J2109" t="str">
        <f>"9781476600321"</f>
        <v>9781476600321</v>
      </c>
      <c r="K2109" t="s">
        <v>33</v>
      </c>
      <c r="L2109">
        <v>3</v>
      </c>
      <c r="O2109" t="s">
        <v>30</v>
      </c>
      <c r="P2109" t="s">
        <v>42</v>
      </c>
      <c r="S2109" t="s">
        <v>40</v>
      </c>
      <c r="T2109" t="s">
        <v>1288</v>
      </c>
      <c r="U2109" t="s">
        <v>1289</v>
      </c>
      <c r="V2109" s="3">
        <v>41100</v>
      </c>
    </row>
    <row r="2110" spans="1:22" x14ac:dyDescent="0.35">
      <c r="A2110" s="1">
        <v>42348.904456018521</v>
      </c>
      <c r="B2110" s="2">
        <v>4.6990740740740743E-3</v>
      </c>
      <c r="C2110" t="s">
        <v>3691</v>
      </c>
      <c r="D2110" t="s">
        <v>23</v>
      </c>
      <c r="E2110" t="s">
        <v>24</v>
      </c>
      <c r="F2110" t="s">
        <v>3692</v>
      </c>
      <c r="G2110">
        <v>1124406</v>
      </c>
      <c r="H2110" t="s">
        <v>26</v>
      </c>
      <c r="I2110" t="s">
        <v>3693</v>
      </c>
      <c r="J2110" t="str">
        <f>"9781118490389"</f>
        <v>9781118490389</v>
      </c>
      <c r="K2110" t="s">
        <v>3694</v>
      </c>
      <c r="L2110">
        <v>24</v>
      </c>
      <c r="O2110" t="s">
        <v>30</v>
      </c>
      <c r="P2110" t="s">
        <v>42</v>
      </c>
      <c r="S2110" t="s">
        <v>31</v>
      </c>
      <c r="T2110" t="s">
        <v>3695</v>
      </c>
      <c r="U2110">
        <v>5.54</v>
      </c>
      <c r="V2110" s="3">
        <v>41311</v>
      </c>
    </row>
    <row r="2111" spans="1:22" x14ac:dyDescent="0.35">
      <c r="A2111" s="1">
        <v>42348.904050925928</v>
      </c>
      <c r="B2111" s="2">
        <v>5.4513888888888884E-3</v>
      </c>
      <c r="C2111" t="s">
        <v>3696</v>
      </c>
      <c r="D2111" t="s">
        <v>23</v>
      </c>
      <c r="E2111" t="s">
        <v>24</v>
      </c>
      <c r="F2111" t="s">
        <v>3228</v>
      </c>
      <c r="G2111">
        <v>1115640</v>
      </c>
      <c r="H2111" t="s">
        <v>26</v>
      </c>
      <c r="I2111" t="s">
        <v>3229</v>
      </c>
      <c r="J2111" t="str">
        <f>"9781118419090"</f>
        <v>9781118419090</v>
      </c>
      <c r="K2111" t="s">
        <v>278</v>
      </c>
      <c r="L2111">
        <v>21</v>
      </c>
      <c r="O2111" t="s">
        <v>30</v>
      </c>
      <c r="P2111" t="s">
        <v>42</v>
      </c>
      <c r="S2111" t="s">
        <v>31</v>
      </c>
      <c r="T2111" t="s">
        <v>3231</v>
      </c>
      <c r="U2111">
        <v>624</v>
      </c>
      <c r="V2111" s="3">
        <v>41296</v>
      </c>
    </row>
    <row r="2112" spans="1:22" x14ac:dyDescent="0.35">
      <c r="A2112" s="1">
        <v>42348.857291666667</v>
      </c>
      <c r="B2112" s="2">
        <v>5.5208333333333333E-3</v>
      </c>
      <c r="C2112" t="s">
        <v>106</v>
      </c>
      <c r="D2112" t="s">
        <v>23</v>
      </c>
      <c r="E2112" t="s">
        <v>24</v>
      </c>
      <c r="F2112" t="s">
        <v>3630</v>
      </c>
      <c r="G2112">
        <v>2130028</v>
      </c>
      <c r="H2112" t="s">
        <v>526</v>
      </c>
      <c r="I2112" t="s">
        <v>3631</v>
      </c>
      <c r="J2112" t="str">
        <f>"9780226284453"</f>
        <v>9780226284453</v>
      </c>
      <c r="K2112" t="s">
        <v>3697</v>
      </c>
      <c r="L2112">
        <v>20</v>
      </c>
      <c r="O2112" t="s">
        <v>30</v>
      </c>
      <c r="P2112" t="s">
        <v>47</v>
      </c>
      <c r="Q2112" s="1">
        <v>42348.722777777781</v>
      </c>
      <c r="R2112">
        <v>1</v>
      </c>
      <c r="S2112" t="s">
        <v>31</v>
      </c>
      <c r="T2112" t="s">
        <v>3633</v>
      </c>
      <c r="U2112">
        <v>333.91009730000002</v>
      </c>
      <c r="V2112" s="3">
        <v>42272</v>
      </c>
    </row>
    <row r="2113" spans="1:22" x14ac:dyDescent="0.35">
      <c r="A2113" s="1">
        <v>42348.838148148148</v>
      </c>
      <c r="B2113" s="2">
        <v>7.2106481481481475E-3</v>
      </c>
      <c r="C2113" t="s">
        <v>3698</v>
      </c>
      <c r="D2113" t="s">
        <v>146</v>
      </c>
      <c r="E2113" t="s">
        <v>147</v>
      </c>
      <c r="F2113" t="s">
        <v>3699</v>
      </c>
      <c r="G2113">
        <v>817432</v>
      </c>
      <c r="H2113" t="s">
        <v>26</v>
      </c>
      <c r="I2113" t="s">
        <v>150</v>
      </c>
      <c r="J2113" t="str">
        <f>"9781118169261"</f>
        <v>9781118169261</v>
      </c>
      <c r="K2113" t="s">
        <v>3700</v>
      </c>
      <c r="L2113">
        <v>5</v>
      </c>
      <c r="M2113" t="s">
        <v>3701</v>
      </c>
      <c r="O2113" t="s">
        <v>30</v>
      </c>
      <c r="P2113" t="s">
        <v>29</v>
      </c>
      <c r="Q2113" s="1">
        <v>42348.838148148148</v>
      </c>
      <c r="R2113">
        <v>7</v>
      </c>
      <c r="S2113" t="s">
        <v>3702</v>
      </c>
      <c r="T2113" t="s">
        <v>3703</v>
      </c>
      <c r="U2113">
        <v>781</v>
      </c>
      <c r="V2113" s="3">
        <v>40834</v>
      </c>
    </row>
    <row r="2114" spans="1:22" x14ac:dyDescent="0.35">
      <c r="A2114" s="1">
        <v>42348.834224537037</v>
      </c>
      <c r="B2114" s="2">
        <v>1.7071759259259259E-2</v>
      </c>
      <c r="C2114" t="s">
        <v>471</v>
      </c>
      <c r="D2114" t="s">
        <v>211</v>
      </c>
      <c r="E2114" t="s">
        <v>212</v>
      </c>
      <c r="F2114" t="s">
        <v>497</v>
      </c>
      <c r="G2114">
        <v>1986951</v>
      </c>
      <c r="H2114" t="s">
        <v>26</v>
      </c>
      <c r="I2114" t="s">
        <v>97</v>
      </c>
      <c r="J2114" t="str">
        <f>"9781119130468"</f>
        <v>9781119130468</v>
      </c>
      <c r="K2114" t="s">
        <v>3704</v>
      </c>
      <c r="L2114">
        <v>17</v>
      </c>
      <c r="M2114" t="s">
        <v>3705</v>
      </c>
      <c r="O2114" t="s">
        <v>30</v>
      </c>
      <c r="P2114" t="s">
        <v>29</v>
      </c>
      <c r="Q2114" s="1">
        <v>42342.824803240743</v>
      </c>
      <c r="R2114">
        <v>7</v>
      </c>
      <c r="S2114" t="s">
        <v>214</v>
      </c>
      <c r="T2114" t="s">
        <v>500</v>
      </c>
      <c r="U2114">
        <v>657.07600000000002</v>
      </c>
      <c r="V2114" s="3">
        <v>42143</v>
      </c>
    </row>
    <row r="2115" spans="1:22" x14ac:dyDescent="0.35">
      <c r="A2115" s="1">
        <v>42348.831863425927</v>
      </c>
      <c r="B2115" s="2">
        <v>2.0833333333333332E-2</v>
      </c>
      <c r="C2115" t="s">
        <v>106</v>
      </c>
      <c r="D2115" t="s">
        <v>23</v>
      </c>
      <c r="E2115" t="s">
        <v>24</v>
      </c>
      <c r="F2115" t="s">
        <v>3630</v>
      </c>
      <c r="G2115">
        <v>2130028</v>
      </c>
      <c r="H2115" t="s">
        <v>526</v>
      </c>
      <c r="I2115" t="s">
        <v>3631</v>
      </c>
      <c r="J2115" t="str">
        <f>"9780226284453"</f>
        <v>9780226284453</v>
      </c>
      <c r="K2115" t="s">
        <v>634</v>
      </c>
      <c r="L2115">
        <v>24</v>
      </c>
      <c r="O2115" t="s">
        <v>30</v>
      </c>
      <c r="P2115" t="s">
        <v>47</v>
      </c>
      <c r="Q2115" s="1">
        <v>42348.722777777781</v>
      </c>
      <c r="R2115">
        <v>1</v>
      </c>
      <c r="S2115" t="s">
        <v>31</v>
      </c>
      <c r="T2115" t="s">
        <v>3633</v>
      </c>
      <c r="U2115">
        <v>333.91009730000002</v>
      </c>
      <c r="V2115" s="3">
        <v>42272</v>
      </c>
    </row>
    <row r="2116" spans="1:22" x14ac:dyDescent="0.35">
      <c r="A2116" s="1">
        <v>42348.831817129627</v>
      </c>
      <c r="B2116" s="2">
        <v>1.8981481481481482E-3</v>
      </c>
      <c r="C2116" t="s">
        <v>471</v>
      </c>
      <c r="D2116" t="s">
        <v>211</v>
      </c>
      <c r="E2116" t="s">
        <v>212</v>
      </c>
      <c r="F2116" t="s">
        <v>1182</v>
      </c>
      <c r="G2116">
        <v>1557279</v>
      </c>
      <c r="H2116" t="s">
        <v>26</v>
      </c>
      <c r="I2116" t="s">
        <v>97</v>
      </c>
      <c r="J2116" t="str">
        <f>"9781118863664"</f>
        <v>9781118863664</v>
      </c>
      <c r="K2116" t="s">
        <v>3706</v>
      </c>
      <c r="L2116">
        <v>42</v>
      </c>
      <c r="O2116" t="s">
        <v>30</v>
      </c>
      <c r="P2116" t="s">
        <v>42</v>
      </c>
      <c r="S2116" t="s">
        <v>214</v>
      </c>
      <c r="T2116" t="s">
        <v>1183</v>
      </c>
      <c r="U2116">
        <v>657.37800000000004</v>
      </c>
      <c r="V2116" s="3">
        <v>41585</v>
      </c>
    </row>
    <row r="2117" spans="1:22" x14ac:dyDescent="0.35">
      <c r="A2117" s="1">
        <v>42348.831006944441</v>
      </c>
      <c r="B2117" s="2">
        <v>7.1412037037037043E-3</v>
      </c>
      <c r="C2117" t="s">
        <v>3698</v>
      </c>
      <c r="D2117" t="s">
        <v>146</v>
      </c>
      <c r="E2117" t="s">
        <v>147</v>
      </c>
      <c r="F2117" t="s">
        <v>3699</v>
      </c>
      <c r="G2117">
        <v>817432</v>
      </c>
      <c r="H2117" t="s">
        <v>26</v>
      </c>
      <c r="I2117" t="s">
        <v>150</v>
      </c>
      <c r="J2117" t="str">
        <f>"9781118169261"</f>
        <v>9781118169261</v>
      </c>
      <c r="K2117" t="s">
        <v>3707</v>
      </c>
      <c r="L2117">
        <v>35</v>
      </c>
      <c r="O2117" t="s">
        <v>30</v>
      </c>
      <c r="P2117" t="s">
        <v>42</v>
      </c>
      <c r="S2117" t="s">
        <v>3702</v>
      </c>
      <c r="T2117" t="s">
        <v>3703</v>
      </c>
      <c r="U2117">
        <v>781</v>
      </c>
      <c r="V2117" s="3">
        <v>40834</v>
      </c>
    </row>
    <row r="2118" spans="1:22" x14ac:dyDescent="0.35">
      <c r="A2118" s="1">
        <v>42348.806990740741</v>
      </c>
      <c r="B2118" s="2">
        <v>0</v>
      </c>
      <c r="C2118" t="s">
        <v>3708</v>
      </c>
      <c r="D2118" t="s">
        <v>23</v>
      </c>
      <c r="E2118" t="s">
        <v>24</v>
      </c>
      <c r="F2118" t="s">
        <v>3709</v>
      </c>
      <c r="G2118">
        <v>1687475</v>
      </c>
      <c r="H2118" t="s">
        <v>91</v>
      </c>
      <c r="I2118" t="s">
        <v>69</v>
      </c>
      <c r="J2118" t="str">
        <f>"9781462516254"</f>
        <v>9781462516254</v>
      </c>
      <c r="L2118">
        <v>0</v>
      </c>
      <c r="O2118" t="s">
        <v>28</v>
      </c>
      <c r="P2118" t="s">
        <v>29</v>
      </c>
      <c r="Q2118" s="1">
        <v>42348.806990740741</v>
      </c>
      <c r="R2118">
        <v>7</v>
      </c>
      <c r="S2118" t="s">
        <v>31</v>
      </c>
      <c r="T2118" t="s">
        <v>3710</v>
      </c>
      <c r="U2118">
        <v>371.29129999999998</v>
      </c>
      <c r="V2118" s="3">
        <v>41893</v>
      </c>
    </row>
    <row r="2119" spans="1:22" x14ac:dyDescent="0.35">
      <c r="A2119" s="1">
        <v>42348.806990740741</v>
      </c>
      <c r="B2119" s="2">
        <v>0</v>
      </c>
      <c r="C2119" t="s">
        <v>3708</v>
      </c>
      <c r="D2119" t="s">
        <v>23</v>
      </c>
      <c r="E2119" t="s">
        <v>24</v>
      </c>
      <c r="F2119" t="s">
        <v>3709</v>
      </c>
      <c r="G2119">
        <v>1687475</v>
      </c>
      <c r="H2119" t="s">
        <v>91</v>
      </c>
      <c r="I2119" t="s">
        <v>69</v>
      </c>
      <c r="J2119" t="str">
        <f>"9781462516254"</f>
        <v>9781462516254</v>
      </c>
      <c r="L2119">
        <v>0</v>
      </c>
      <c r="O2119" t="s">
        <v>30</v>
      </c>
      <c r="P2119" t="s">
        <v>29</v>
      </c>
      <c r="Q2119" s="1">
        <v>42348.806990740741</v>
      </c>
      <c r="R2119">
        <v>7</v>
      </c>
      <c r="S2119" t="s">
        <v>31</v>
      </c>
      <c r="T2119" t="s">
        <v>3710</v>
      </c>
      <c r="U2119">
        <v>371.29129999999998</v>
      </c>
      <c r="V2119" s="3">
        <v>41893</v>
      </c>
    </row>
    <row r="2120" spans="1:22" x14ac:dyDescent="0.35">
      <c r="A2120" s="1">
        <v>42348.805590277778</v>
      </c>
      <c r="B2120" s="2">
        <v>1.4004629629629629E-3</v>
      </c>
      <c r="C2120" t="s">
        <v>3708</v>
      </c>
      <c r="D2120" t="s">
        <v>23</v>
      </c>
      <c r="E2120" t="s">
        <v>24</v>
      </c>
      <c r="F2120" t="s">
        <v>3709</v>
      </c>
      <c r="G2120">
        <v>1687475</v>
      </c>
      <c r="H2120" t="s">
        <v>91</v>
      </c>
      <c r="I2120" t="s">
        <v>69</v>
      </c>
      <c r="J2120" t="str">
        <f>"9781462516254"</f>
        <v>9781462516254</v>
      </c>
      <c r="K2120" t="s">
        <v>3711</v>
      </c>
      <c r="L2120">
        <v>26</v>
      </c>
      <c r="O2120" t="s">
        <v>30</v>
      </c>
      <c r="P2120" t="s">
        <v>42</v>
      </c>
      <c r="S2120" t="s">
        <v>31</v>
      </c>
      <c r="T2120" t="s">
        <v>3710</v>
      </c>
      <c r="U2120">
        <v>371.29129999999998</v>
      </c>
      <c r="V2120" s="3">
        <v>41893</v>
      </c>
    </row>
    <row r="2121" spans="1:22" x14ac:dyDescent="0.35">
      <c r="A2121" s="1">
        <v>42348.761932870373</v>
      </c>
      <c r="B2121" s="2">
        <v>6.134259259259259E-4</v>
      </c>
      <c r="C2121" t="s">
        <v>3712</v>
      </c>
      <c r="D2121" t="s">
        <v>23</v>
      </c>
      <c r="E2121" t="s">
        <v>24</v>
      </c>
      <c r="F2121" t="s">
        <v>3713</v>
      </c>
      <c r="G2121">
        <v>1895557</v>
      </c>
      <c r="H2121" t="s">
        <v>26</v>
      </c>
      <c r="I2121" t="s">
        <v>150</v>
      </c>
      <c r="J2121" t="str">
        <f>"9781118715659"</f>
        <v>9781118715659</v>
      </c>
      <c r="K2121" t="s">
        <v>3714</v>
      </c>
      <c r="L2121">
        <v>28</v>
      </c>
      <c r="O2121" t="s">
        <v>30</v>
      </c>
      <c r="P2121" t="s">
        <v>42</v>
      </c>
      <c r="S2121" t="s">
        <v>31</v>
      </c>
      <c r="T2121" t="s">
        <v>3715</v>
      </c>
      <c r="U2121" t="s">
        <v>3716</v>
      </c>
      <c r="V2121" s="3">
        <v>42009</v>
      </c>
    </row>
    <row r="2122" spans="1:22" x14ac:dyDescent="0.35">
      <c r="A2122" s="1">
        <v>42348.761608796296</v>
      </c>
      <c r="B2122" s="2">
        <v>1.3888888888888889E-4</v>
      </c>
      <c r="C2122" t="s">
        <v>2271</v>
      </c>
      <c r="D2122" t="s">
        <v>35</v>
      </c>
      <c r="E2122" t="s">
        <v>36</v>
      </c>
      <c r="F2122" t="s">
        <v>3717</v>
      </c>
      <c r="G2122">
        <v>1251046</v>
      </c>
      <c r="H2122" t="s">
        <v>68</v>
      </c>
      <c r="I2122" t="s">
        <v>426</v>
      </c>
      <c r="J2122" t="str">
        <f t="shared" ref="J2122:J2128" si="22">"9781136750724"</f>
        <v>9781136750724</v>
      </c>
      <c r="K2122" t="s">
        <v>63</v>
      </c>
      <c r="L2122">
        <v>1</v>
      </c>
      <c r="O2122" t="s">
        <v>28</v>
      </c>
      <c r="P2122" t="s">
        <v>47</v>
      </c>
      <c r="Q2122" s="1">
        <v>42348.757604166669</v>
      </c>
      <c r="R2122">
        <v>7</v>
      </c>
      <c r="S2122" t="s">
        <v>40</v>
      </c>
      <c r="T2122" t="s">
        <v>3718</v>
      </c>
      <c r="U2122">
        <v>292.85000000000002</v>
      </c>
      <c r="V2122" s="3">
        <v>41459</v>
      </c>
    </row>
    <row r="2123" spans="1:22" x14ac:dyDescent="0.35">
      <c r="A2123" s="1">
        <v>42348.761481481481</v>
      </c>
      <c r="B2123" s="2">
        <v>5.7870370370370366E-5</v>
      </c>
      <c r="C2123" t="s">
        <v>2271</v>
      </c>
      <c r="D2123" t="s">
        <v>35</v>
      </c>
      <c r="E2123" t="s">
        <v>36</v>
      </c>
      <c r="F2123" t="s">
        <v>3717</v>
      </c>
      <c r="G2123">
        <v>1251046</v>
      </c>
      <c r="H2123" t="s">
        <v>68</v>
      </c>
      <c r="I2123" t="s">
        <v>426</v>
      </c>
      <c r="J2123" t="str">
        <f t="shared" si="22"/>
        <v>9781136750724</v>
      </c>
      <c r="K2123" t="s">
        <v>73</v>
      </c>
      <c r="L2123">
        <v>3</v>
      </c>
      <c r="O2123" t="s">
        <v>30</v>
      </c>
      <c r="P2123" t="s">
        <v>47</v>
      </c>
      <c r="Q2123" s="1">
        <v>42348.757604166669</v>
      </c>
      <c r="R2123">
        <v>7</v>
      </c>
      <c r="S2123" t="s">
        <v>40</v>
      </c>
      <c r="T2123" t="s">
        <v>3718</v>
      </c>
      <c r="U2123">
        <v>292.85000000000002</v>
      </c>
      <c r="V2123" s="3">
        <v>41459</v>
      </c>
    </row>
    <row r="2124" spans="1:22" x14ac:dyDescent="0.35">
      <c r="A2124" s="1">
        <v>42348.761307870373</v>
      </c>
      <c r="B2124" s="2">
        <v>0</v>
      </c>
      <c r="C2124" t="s">
        <v>2271</v>
      </c>
      <c r="D2124" t="s">
        <v>35</v>
      </c>
      <c r="E2124" t="s">
        <v>36</v>
      </c>
      <c r="F2124" t="s">
        <v>3717</v>
      </c>
      <c r="G2124">
        <v>1251046</v>
      </c>
      <c r="H2124" t="s">
        <v>68</v>
      </c>
      <c r="I2124" t="s">
        <v>426</v>
      </c>
      <c r="J2124" t="str">
        <f t="shared" si="22"/>
        <v>9781136750724</v>
      </c>
      <c r="L2124">
        <v>0</v>
      </c>
      <c r="O2124" t="s">
        <v>28</v>
      </c>
      <c r="P2124" t="s">
        <v>47</v>
      </c>
      <c r="Q2124" s="1">
        <v>42348.757604166669</v>
      </c>
      <c r="R2124">
        <v>7</v>
      </c>
      <c r="S2124" t="s">
        <v>40</v>
      </c>
      <c r="T2124" t="s">
        <v>3718</v>
      </c>
      <c r="U2124">
        <v>292.85000000000002</v>
      </c>
      <c r="V2124" s="3">
        <v>41459</v>
      </c>
    </row>
    <row r="2125" spans="1:22" x14ac:dyDescent="0.35">
      <c r="A2125" s="1">
        <v>42348.76121527778</v>
      </c>
      <c r="B2125" s="2">
        <v>0</v>
      </c>
      <c r="C2125" t="s">
        <v>2271</v>
      </c>
      <c r="D2125" t="s">
        <v>35</v>
      </c>
      <c r="E2125" t="s">
        <v>36</v>
      </c>
      <c r="F2125" t="s">
        <v>3717</v>
      </c>
      <c r="G2125">
        <v>1251046</v>
      </c>
      <c r="H2125" t="s">
        <v>68</v>
      </c>
      <c r="I2125" t="s">
        <v>426</v>
      </c>
      <c r="J2125" t="str">
        <f t="shared" si="22"/>
        <v>9781136750724</v>
      </c>
      <c r="L2125">
        <v>0</v>
      </c>
      <c r="O2125" t="s">
        <v>28</v>
      </c>
      <c r="P2125" t="s">
        <v>47</v>
      </c>
      <c r="Q2125" s="1">
        <v>42348.757604166669</v>
      </c>
      <c r="R2125">
        <v>7</v>
      </c>
      <c r="S2125" t="s">
        <v>40</v>
      </c>
      <c r="T2125" t="s">
        <v>3718</v>
      </c>
      <c r="U2125">
        <v>292.85000000000002</v>
      </c>
      <c r="V2125" s="3">
        <v>41459</v>
      </c>
    </row>
    <row r="2126" spans="1:22" x14ac:dyDescent="0.35">
      <c r="A2126" s="1">
        <v>42348.757604166669</v>
      </c>
      <c r="B2126" s="2">
        <v>0</v>
      </c>
      <c r="C2126" t="s">
        <v>2271</v>
      </c>
      <c r="D2126" t="s">
        <v>35</v>
      </c>
      <c r="E2126" t="s">
        <v>36</v>
      </c>
      <c r="F2126" t="s">
        <v>3717</v>
      </c>
      <c r="G2126">
        <v>1251046</v>
      </c>
      <c r="H2126" t="s">
        <v>68</v>
      </c>
      <c r="I2126" t="s">
        <v>426</v>
      </c>
      <c r="J2126" t="str">
        <f t="shared" si="22"/>
        <v>9781136750724</v>
      </c>
      <c r="L2126">
        <v>0</v>
      </c>
      <c r="O2126" t="s">
        <v>28</v>
      </c>
      <c r="P2126" t="s">
        <v>47</v>
      </c>
      <c r="Q2126" s="1">
        <v>42348.757604166669</v>
      </c>
      <c r="R2126">
        <v>7</v>
      </c>
      <c r="S2126" t="s">
        <v>40</v>
      </c>
      <c r="T2126" t="s">
        <v>3718</v>
      </c>
      <c r="U2126">
        <v>292.85000000000002</v>
      </c>
      <c r="V2126" s="3">
        <v>41459</v>
      </c>
    </row>
    <row r="2127" spans="1:22" x14ac:dyDescent="0.35">
      <c r="A2127" s="1">
        <v>42348.757604166669</v>
      </c>
      <c r="B2127" s="2">
        <v>0</v>
      </c>
      <c r="C2127" t="s">
        <v>2271</v>
      </c>
      <c r="D2127" t="s">
        <v>35</v>
      </c>
      <c r="E2127" t="s">
        <v>36</v>
      </c>
      <c r="F2127" t="s">
        <v>3717</v>
      </c>
      <c r="G2127">
        <v>1251046</v>
      </c>
      <c r="H2127" t="s">
        <v>68</v>
      </c>
      <c r="I2127" t="s">
        <v>426</v>
      </c>
      <c r="J2127" t="str">
        <f t="shared" si="22"/>
        <v>9781136750724</v>
      </c>
      <c r="L2127">
        <v>0</v>
      </c>
      <c r="O2127" t="s">
        <v>30</v>
      </c>
      <c r="P2127" t="s">
        <v>47</v>
      </c>
      <c r="Q2127" s="1">
        <v>42348.757604166669</v>
      </c>
      <c r="R2127">
        <v>7</v>
      </c>
      <c r="S2127" t="s">
        <v>40</v>
      </c>
      <c r="T2127" t="s">
        <v>3718</v>
      </c>
      <c r="U2127">
        <v>292.85000000000002</v>
      </c>
      <c r="V2127" s="3">
        <v>41459</v>
      </c>
    </row>
    <row r="2128" spans="1:22" x14ac:dyDescent="0.35">
      <c r="A2128" s="1">
        <v>42348.756712962961</v>
      </c>
      <c r="B2128" s="2">
        <v>8.9120370370370362E-4</v>
      </c>
      <c r="C2128" t="s">
        <v>2271</v>
      </c>
      <c r="D2128" t="s">
        <v>35</v>
      </c>
      <c r="E2128" t="s">
        <v>36</v>
      </c>
      <c r="F2128" t="s">
        <v>3717</v>
      </c>
      <c r="G2128">
        <v>1251046</v>
      </c>
      <c r="H2128" t="s">
        <v>68</v>
      </c>
      <c r="I2128" t="s">
        <v>426</v>
      </c>
      <c r="J2128" t="str">
        <f t="shared" si="22"/>
        <v>9781136750724</v>
      </c>
      <c r="K2128" t="s">
        <v>3719</v>
      </c>
      <c r="L2128">
        <v>8</v>
      </c>
      <c r="O2128" t="s">
        <v>30</v>
      </c>
      <c r="P2128" t="s">
        <v>50</v>
      </c>
      <c r="S2128" t="s">
        <v>40</v>
      </c>
      <c r="T2128" t="s">
        <v>3718</v>
      </c>
      <c r="U2128">
        <v>292.85000000000002</v>
      </c>
      <c r="V2128" s="3">
        <v>41459</v>
      </c>
    </row>
    <row r="2129" spans="1:22" x14ac:dyDescent="0.35">
      <c r="A2129" s="1">
        <v>42348.751620370371</v>
      </c>
      <c r="B2129" s="2">
        <v>1.1805555555555556E-3</v>
      </c>
      <c r="C2129" t="s">
        <v>3720</v>
      </c>
      <c r="D2129" t="s">
        <v>35</v>
      </c>
      <c r="E2129" t="s">
        <v>36</v>
      </c>
      <c r="F2129" t="s">
        <v>3721</v>
      </c>
      <c r="G2129">
        <v>1696226</v>
      </c>
      <c r="H2129" t="s">
        <v>613</v>
      </c>
      <c r="I2129" t="s">
        <v>267</v>
      </c>
      <c r="J2129" t="str">
        <f>"9781469613987"</f>
        <v>9781469613987</v>
      </c>
      <c r="K2129" t="s">
        <v>339</v>
      </c>
      <c r="L2129">
        <v>18</v>
      </c>
      <c r="O2129" t="s">
        <v>30</v>
      </c>
      <c r="P2129" t="s">
        <v>50</v>
      </c>
      <c r="S2129" t="s">
        <v>40</v>
      </c>
      <c r="T2129" t="s">
        <v>3722</v>
      </c>
      <c r="U2129" t="s">
        <v>3723</v>
      </c>
      <c r="V2129" s="3">
        <v>41778</v>
      </c>
    </row>
    <row r="2130" spans="1:22" x14ac:dyDescent="0.35">
      <c r="A2130" s="1">
        <v>42348.722777777781</v>
      </c>
      <c r="B2130" s="2">
        <v>5.5162037037037037E-2</v>
      </c>
      <c r="C2130" t="s">
        <v>106</v>
      </c>
      <c r="D2130" t="s">
        <v>23</v>
      </c>
      <c r="E2130" t="s">
        <v>24</v>
      </c>
      <c r="F2130" t="s">
        <v>3630</v>
      </c>
      <c r="G2130">
        <v>2130028</v>
      </c>
      <c r="H2130" t="s">
        <v>526</v>
      </c>
      <c r="I2130" t="s">
        <v>3631</v>
      </c>
      <c r="J2130" t="str">
        <f>"9780226284453"</f>
        <v>9780226284453</v>
      </c>
      <c r="K2130" t="s">
        <v>3724</v>
      </c>
      <c r="L2130">
        <v>13</v>
      </c>
      <c r="O2130" t="s">
        <v>30</v>
      </c>
      <c r="P2130" t="s">
        <v>47</v>
      </c>
      <c r="Q2130" s="1">
        <v>42348.722777777781</v>
      </c>
      <c r="R2130">
        <v>1</v>
      </c>
      <c r="S2130" t="s">
        <v>31</v>
      </c>
      <c r="T2130" t="s">
        <v>3633</v>
      </c>
      <c r="U2130">
        <v>333.91009730000002</v>
      </c>
      <c r="V2130" s="3">
        <v>42272</v>
      </c>
    </row>
    <row r="2131" spans="1:22" x14ac:dyDescent="0.35">
      <c r="A2131" s="1">
        <v>42348.712268518517</v>
      </c>
      <c r="B2131" s="2">
        <v>1.050925925925926E-2</v>
      </c>
      <c r="C2131" t="s">
        <v>106</v>
      </c>
      <c r="D2131" t="s">
        <v>23</v>
      </c>
      <c r="E2131" t="s">
        <v>24</v>
      </c>
      <c r="F2131" t="s">
        <v>3630</v>
      </c>
      <c r="G2131">
        <v>2130028</v>
      </c>
      <c r="H2131" t="s">
        <v>526</v>
      </c>
      <c r="I2131" t="s">
        <v>3631</v>
      </c>
      <c r="J2131" t="str">
        <f>"9780226284453"</f>
        <v>9780226284453</v>
      </c>
      <c r="K2131" t="s">
        <v>1203</v>
      </c>
      <c r="L2131">
        <v>17</v>
      </c>
      <c r="O2131" t="s">
        <v>30</v>
      </c>
      <c r="P2131" t="s">
        <v>50</v>
      </c>
      <c r="S2131" t="s">
        <v>31</v>
      </c>
      <c r="T2131" t="s">
        <v>3633</v>
      </c>
      <c r="U2131">
        <v>333.91009730000002</v>
      </c>
      <c r="V2131" s="3">
        <v>42272</v>
      </c>
    </row>
    <row r="2132" spans="1:22" x14ac:dyDescent="0.35">
      <c r="A2132" s="1">
        <v>42348.695972222224</v>
      </c>
      <c r="B2132" s="2">
        <v>1.4143518518518519E-2</v>
      </c>
      <c r="C2132" t="s">
        <v>3725</v>
      </c>
      <c r="D2132" t="s">
        <v>35</v>
      </c>
      <c r="E2132" t="s">
        <v>36</v>
      </c>
      <c r="F2132" t="s">
        <v>3726</v>
      </c>
      <c r="G2132">
        <v>4034662</v>
      </c>
      <c r="H2132" t="s">
        <v>26</v>
      </c>
      <c r="I2132" t="s">
        <v>3727</v>
      </c>
      <c r="J2132" t="str">
        <f>"9781118376720"</f>
        <v>9781118376720</v>
      </c>
      <c r="K2132" t="s">
        <v>3728</v>
      </c>
      <c r="L2132">
        <v>16</v>
      </c>
      <c r="O2132" t="s">
        <v>30</v>
      </c>
      <c r="P2132" t="s">
        <v>29</v>
      </c>
      <c r="Q2132" s="1">
        <v>42341.87400462963</v>
      </c>
      <c r="R2132">
        <v>7</v>
      </c>
      <c r="S2132" t="s">
        <v>40</v>
      </c>
      <c r="T2132" t="s">
        <v>3729</v>
      </c>
      <c r="U2132" t="s">
        <v>3730</v>
      </c>
      <c r="V2132" s="3">
        <v>42241</v>
      </c>
    </row>
    <row r="2133" spans="1:22" x14ac:dyDescent="0.35">
      <c r="A2133" s="1">
        <v>42348.690844907411</v>
      </c>
      <c r="B2133" s="2">
        <v>9.6064814814814808E-4</v>
      </c>
      <c r="C2133" t="s">
        <v>3731</v>
      </c>
      <c r="D2133" t="s">
        <v>360</v>
      </c>
      <c r="E2133" t="s">
        <v>361</v>
      </c>
      <c r="F2133" t="s">
        <v>3732</v>
      </c>
      <c r="G2133">
        <v>284109</v>
      </c>
      <c r="H2133" t="s">
        <v>26</v>
      </c>
      <c r="I2133" t="s">
        <v>338</v>
      </c>
      <c r="J2133" t="str">
        <f>"9781405173469"</f>
        <v>9781405173469</v>
      </c>
      <c r="K2133" t="s">
        <v>3733</v>
      </c>
      <c r="L2133">
        <v>11</v>
      </c>
      <c r="O2133" t="s">
        <v>30</v>
      </c>
      <c r="P2133" t="s">
        <v>50</v>
      </c>
      <c r="S2133" t="s">
        <v>363</v>
      </c>
      <c r="T2133" t="s">
        <v>3734</v>
      </c>
      <c r="U2133" t="s">
        <v>3735</v>
      </c>
      <c r="V2133" s="3">
        <v>41409</v>
      </c>
    </row>
    <row r="2134" spans="1:22" x14ac:dyDescent="0.35">
      <c r="A2134" s="1">
        <v>42348.68990740741</v>
      </c>
      <c r="B2134" s="2">
        <v>6.9444444444444447E-4</v>
      </c>
      <c r="C2134" t="s">
        <v>3731</v>
      </c>
      <c r="D2134" t="s">
        <v>360</v>
      </c>
      <c r="E2134" t="s">
        <v>361</v>
      </c>
      <c r="F2134" t="s">
        <v>3732</v>
      </c>
      <c r="G2134">
        <v>4035739</v>
      </c>
      <c r="H2134" t="s">
        <v>26</v>
      </c>
      <c r="I2134" t="s">
        <v>247</v>
      </c>
      <c r="J2134" t="str">
        <f>"9781118484913"</f>
        <v>9781118484913</v>
      </c>
      <c r="K2134" t="s">
        <v>3140</v>
      </c>
      <c r="L2134">
        <v>6</v>
      </c>
      <c r="O2134" t="s">
        <v>30</v>
      </c>
      <c r="P2134" t="s">
        <v>50</v>
      </c>
      <c r="S2134" t="s">
        <v>363</v>
      </c>
      <c r="U2134">
        <v>616.86</v>
      </c>
      <c r="V2134" s="3">
        <v>41500</v>
      </c>
    </row>
    <row r="2135" spans="1:22" x14ac:dyDescent="0.35">
      <c r="A2135" s="1">
        <v>42348.687754629631</v>
      </c>
      <c r="B2135" s="2">
        <v>4.2824074074074075E-4</v>
      </c>
      <c r="C2135" t="s">
        <v>3731</v>
      </c>
      <c r="D2135" t="s">
        <v>360</v>
      </c>
      <c r="E2135" t="s">
        <v>361</v>
      </c>
      <c r="F2135" t="s">
        <v>3736</v>
      </c>
      <c r="G2135">
        <v>1938274</v>
      </c>
      <c r="H2135" t="s">
        <v>26</v>
      </c>
      <c r="I2135" t="s">
        <v>338</v>
      </c>
      <c r="J2135" t="str">
        <f>"9781119098201"</f>
        <v>9781119098201</v>
      </c>
      <c r="K2135" t="s">
        <v>3737</v>
      </c>
      <c r="L2135">
        <v>12</v>
      </c>
      <c r="O2135" t="s">
        <v>30</v>
      </c>
      <c r="P2135" t="s">
        <v>42</v>
      </c>
      <c r="S2135" t="s">
        <v>363</v>
      </c>
      <c r="T2135" t="s">
        <v>3738</v>
      </c>
      <c r="U2135" t="s">
        <v>3739</v>
      </c>
      <c r="V2135" s="3">
        <v>42033</v>
      </c>
    </row>
    <row r="2136" spans="1:22" x14ac:dyDescent="0.35">
      <c r="A2136" s="1">
        <v>42348.670335648145</v>
      </c>
      <c r="B2136" s="2">
        <v>1.8518518518518518E-4</v>
      </c>
      <c r="C2136" t="s">
        <v>3740</v>
      </c>
      <c r="D2136" t="s">
        <v>35</v>
      </c>
      <c r="E2136" t="s">
        <v>36</v>
      </c>
      <c r="F2136" t="s">
        <v>3741</v>
      </c>
      <c r="G2136">
        <v>837573</v>
      </c>
      <c r="H2136" t="s">
        <v>26</v>
      </c>
      <c r="I2136" t="s">
        <v>120</v>
      </c>
      <c r="J2136" t="str">
        <f>"9781444354805"</f>
        <v>9781444354805</v>
      </c>
      <c r="K2136" t="s">
        <v>3742</v>
      </c>
      <c r="L2136">
        <v>9</v>
      </c>
      <c r="M2136" t="s">
        <v>3743</v>
      </c>
      <c r="O2136" t="s">
        <v>30</v>
      </c>
      <c r="P2136" t="s">
        <v>29</v>
      </c>
      <c r="Q2136" s="1">
        <v>42347.677060185182</v>
      </c>
      <c r="R2136">
        <v>7</v>
      </c>
      <c r="S2136" t="s">
        <v>40</v>
      </c>
      <c r="T2136" t="s">
        <v>3744</v>
      </c>
      <c r="U2136">
        <v>305.40929999999997</v>
      </c>
      <c r="V2136" s="3">
        <v>40917</v>
      </c>
    </row>
    <row r="2137" spans="1:22" x14ac:dyDescent="0.35">
      <c r="A2137" s="1">
        <v>42348.66300925926</v>
      </c>
      <c r="B2137" s="2">
        <v>7.5231481481481471E-4</v>
      </c>
      <c r="C2137" t="s">
        <v>210</v>
      </c>
      <c r="D2137" t="s">
        <v>211</v>
      </c>
      <c r="E2137" t="s">
        <v>212</v>
      </c>
      <c r="F2137" t="s">
        <v>3232</v>
      </c>
      <c r="G2137">
        <v>1109590</v>
      </c>
      <c r="H2137" t="s">
        <v>1286</v>
      </c>
      <c r="I2137" t="s">
        <v>150</v>
      </c>
      <c r="J2137" t="str">
        <f>"9781476600093"</f>
        <v>9781476600093</v>
      </c>
      <c r="K2137" t="s">
        <v>3745</v>
      </c>
      <c r="L2137">
        <v>10</v>
      </c>
      <c r="O2137" t="s">
        <v>30</v>
      </c>
      <c r="P2137" t="s">
        <v>42</v>
      </c>
      <c r="S2137" t="s">
        <v>214</v>
      </c>
      <c r="T2137" t="s">
        <v>3234</v>
      </c>
      <c r="U2137" t="s">
        <v>3235</v>
      </c>
      <c r="V2137" s="3">
        <v>41294</v>
      </c>
    </row>
    <row r="2138" spans="1:22" x14ac:dyDescent="0.35">
      <c r="A2138" s="1">
        <v>42348.661898148152</v>
      </c>
      <c r="B2138" s="2">
        <v>7.3171296296296304E-2</v>
      </c>
      <c r="C2138" t="s">
        <v>471</v>
      </c>
      <c r="D2138" t="s">
        <v>211</v>
      </c>
      <c r="E2138" t="s">
        <v>212</v>
      </c>
      <c r="F2138" t="s">
        <v>497</v>
      </c>
      <c r="G2138">
        <v>1986951</v>
      </c>
      <c r="H2138" t="s">
        <v>26</v>
      </c>
      <c r="I2138" t="s">
        <v>97</v>
      </c>
      <c r="J2138" t="str">
        <f>"9781119130468"</f>
        <v>9781119130468</v>
      </c>
      <c r="K2138" t="s">
        <v>3746</v>
      </c>
      <c r="L2138">
        <v>95</v>
      </c>
      <c r="M2138" t="s">
        <v>3747</v>
      </c>
      <c r="O2138" t="s">
        <v>30</v>
      </c>
      <c r="P2138" t="s">
        <v>29</v>
      </c>
      <c r="Q2138" s="1">
        <v>42342.824803240743</v>
      </c>
      <c r="R2138">
        <v>7</v>
      </c>
      <c r="S2138" t="s">
        <v>214</v>
      </c>
      <c r="T2138" t="s">
        <v>500</v>
      </c>
      <c r="U2138">
        <v>657.07600000000002</v>
      </c>
      <c r="V2138" s="3">
        <v>42143</v>
      </c>
    </row>
    <row r="2139" spans="1:22" x14ac:dyDescent="0.35">
      <c r="A2139" s="1">
        <v>42348.658032407409</v>
      </c>
      <c r="B2139" s="2">
        <v>2.0601851851851853E-3</v>
      </c>
      <c r="C2139" t="s">
        <v>471</v>
      </c>
      <c r="D2139" t="s">
        <v>211</v>
      </c>
      <c r="E2139" t="s">
        <v>212</v>
      </c>
      <c r="F2139" t="s">
        <v>472</v>
      </c>
      <c r="G2139">
        <v>1222131</v>
      </c>
      <c r="H2139" t="s">
        <v>26</v>
      </c>
      <c r="I2139" t="s">
        <v>97</v>
      </c>
      <c r="J2139" t="str">
        <f>"9781118760048"</f>
        <v>9781118760048</v>
      </c>
      <c r="K2139" t="s">
        <v>3748</v>
      </c>
      <c r="L2139">
        <v>17</v>
      </c>
      <c r="O2139" t="s">
        <v>30</v>
      </c>
      <c r="P2139" t="s">
        <v>42</v>
      </c>
      <c r="S2139" t="s">
        <v>214</v>
      </c>
      <c r="T2139" t="s">
        <v>473</v>
      </c>
      <c r="U2139">
        <v>657</v>
      </c>
      <c r="V2139" s="3">
        <v>41446</v>
      </c>
    </row>
    <row r="2140" spans="1:22" x14ac:dyDescent="0.35">
      <c r="A2140" s="1">
        <v>42348.618888888886</v>
      </c>
      <c r="B2140" s="2">
        <v>0</v>
      </c>
      <c r="C2140" t="s">
        <v>3749</v>
      </c>
      <c r="D2140" t="s">
        <v>261</v>
      </c>
      <c r="E2140" t="s">
        <v>262</v>
      </c>
      <c r="F2140" t="s">
        <v>3750</v>
      </c>
      <c r="G2140">
        <v>1319041</v>
      </c>
      <c r="H2140" t="s">
        <v>68</v>
      </c>
      <c r="I2140" t="s">
        <v>120</v>
      </c>
      <c r="J2140" t="str">
        <f>"9781135022310"</f>
        <v>9781135022310</v>
      </c>
      <c r="K2140" t="s">
        <v>2858</v>
      </c>
      <c r="L2140">
        <v>1</v>
      </c>
      <c r="O2140" t="s">
        <v>30</v>
      </c>
      <c r="P2140" t="s">
        <v>47</v>
      </c>
      <c r="Q2140" s="1">
        <v>42348.618888888886</v>
      </c>
      <c r="R2140">
        <v>1</v>
      </c>
      <c r="S2140" t="s">
        <v>264</v>
      </c>
      <c r="T2140" t="s">
        <v>3751</v>
      </c>
      <c r="U2140">
        <v>305.42</v>
      </c>
      <c r="V2140" s="3">
        <v>41473</v>
      </c>
    </row>
    <row r="2141" spans="1:22" x14ac:dyDescent="0.35">
      <c r="A2141" s="1">
        <v>42348.608298611114</v>
      </c>
      <c r="B2141" s="2">
        <v>9.3750000000000007E-4</v>
      </c>
      <c r="C2141" t="s">
        <v>2705</v>
      </c>
      <c r="D2141" t="s">
        <v>23</v>
      </c>
      <c r="E2141" t="s">
        <v>24</v>
      </c>
      <c r="F2141" t="s">
        <v>226</v>
      </c>
      <c r="G2141">
        <v>817313</v>
      </c>
      <c r="H2141" t="s">
        <v>26</v>
      </c>
      <c r="I2141" t="s">
        <v>69</v>
      </c>
      <c r="J2141" t="str">
        <f>"9781118136829"</f>
        <v>9781118136829</v>
      </c>
      <c r="K2141" t="s">
        <v>3752</v>
      </c>
      <c r="L2141">
        <v>2</v>
      </c>
      <c r="O2141" t="s">
        <v>30</v>
      </c>
      <c r="P2141" t="s">
        <v>29</v>
      </c>
      <c r="Q2141" s="1">
        <v>42348.608298611114</v>
      </c>
      <c r="R2141">
        <v>7</v>
      </c>
      <c r="S2141" t="s">
        <v>31</v>
      </c>
      <c r="T2141" t="s">
        <v>2311</v>
      </c>
      <c r="U2141">
        <v>378.16640000000001</v>
      </c>
      <c r="V2141" s="3">
        <v>40918</v>
      </c>
    </row>
    <row r="2142" spans="1:22" x14ac:dyDescent="0.35">
      <c r="A2142" s="1">
        <v>42348.604421296295</v>
      </c>
      <c r="B2142" s="2">
        <v>8.4953703703703701E-3</v>
      </c>
      <c r="C2142" t="s">
        <v>3753</v>
      </c>
      <c r="D2142" t="s">
        <v>35</v>
      </c>
      <c r="E2142" t="s">
        <v>36</v>
      </c>
      <c r="F2142" t="s">
        <v>986</v>
      </c>
      <c r="G2142">
        <v>968030</v>
      </c>
      <c r="H2142" t="s">
        <v>26</v>
      </c>
      <c r="I2142" t="s">
        <v>219</v>
      </c>
      <c r="J2142" t="str">
        <f>"9781118285138"</f>
        <v>9781118285138</v>
      </c>
      <c r="K2142" t="s">
        <v>3754</v>
      </c>
      <c r="L2142">
        <v>21</v>
      </c>
      <c r="O2142" t="s">
        <v>30</v>
      </c>
      <c r="P2142" t="s">
        <v>29</v>
      </c>
      <c r="Q2142" s="1">
        <v>42348.143368055556</v>
      </c>
      <c r="R2142">
        <v>7</v>
      </c>
      <c r="S2142" t="s">
        <v>40</v>
      </c>
      <c r="T2142" t="s">
        <v>987</v>
      </c>
      <c r="U2142">
        <v>158.30000000000001</v>
      </c>
      <c r="V2142" s="3">
        <v>41100</v>
      </c>
    </row>
    <row r="2143" spans="1:22" x14ac:dyDescent="0.35">
      <c r="A2143" s="1">
        <v>42348.604259259257</v>
      </c>
      <c r="B2143" s="2">
        <v>1.462962962962963E-2</v>
      </c>
      <c r="C2143" t="s">
        <v>3749</v>
      </c>
      <c r="D2143" t="s">
        <v>261</v>
      </c>
      <c r="E2143" t="s">
        <v>262</v>
      </c>
      <c r="F2143" t="s">
        <v>3750</v>
      </c>
      <c r="G2143">
        <v>1319041</v>
      </c>
      <c r="H2143" t="s">
        <v>68</v>
      </c>
      <c r="I2143" t="s">
        <v>120</v>
      </c>
      <c r="J2143" t="str">
        <f>"9781135022310"</f>
        <v>9781135022310</v>
      </c>
      <c r="K2143" t="s">
        <v>3755</v>
      </c>
      <c r="L2143">
        <v>24</v>
      </c>
      <c r="O2143" t="s">
        <v>30</v>
      </c>
      <c r="P2143" t="s">
        <v>50</v>
      </c>
      <c r="S2143" t="s">
        <v>264</v>
      </c>
      <c r="T2143" t="s">
        <v>3751</v>
      </c>
      <c r="U2143">
        <v>305.42</v>
      </c>
      <c r="V2143" s="3">
        <v>41473</v>
      </c>
    </row>
    <row r="2144" spans="1:22" x14ac:dyDescent="0.35">
      <c r="A2144" s="1">
        <v>42348.600682870368</v>
      </c>
      <c r="B2144" s="2">
        <v>7.6157407407407415E-3</v>
      </c>
      <c r="C2144" t="s">
        <v>2705</v>
      </c>
      <c r="D2144" t="s">
        <v>23</v>
      </c>
      <c r="E2144" t="s">
        <v>24</v>
      </c>
      <c r="F2144" t="s">
        <v>226</v>
      </c>
      <c r="G2144">
        <v>817313</v>
      </c>
      <c r="H2144" t="s">
        <v>26</v>
      </c>
      <c r="I2144" t="s">
        <v>69</v>
      </c>
      <c r="J2144" t="str">
        <f>"9781118136829"</f>
        <v>9781118136829</v>
      </c>
      <c r="K2144" t="s">
        <v>3756</v>
      </c>
      <c r="L2144">
        <v>37</v>
      </c>
      <c r="O2144" t="s">
        <v>30</v>
      </c>
      <c r="P2144" t="s">
        <v>42</v>
      </c>
      <c r="S2144" t="s">
        <v>31</v>
      </c>
      <c r="T2144" t="s">
        <v>2311</v>
      </c>
      <c r="U2144">
        <v>378.16640000000001</v>
      </c>
      <c r="V2144" s="3">
        <v>40918</v>
      </c>
    </row>
    <row r="2145" spans="1:22" x14ac:dyDescent="0.35">
      <c r="A2145" s="1">
        <v>42348.568009259259</v>
      </c>
      <c r="B2145" s="2">
        <v>2.5462962962962961E-4</v>
      </c>
      <c r="C2145" t="s">
        <v>3757</v>
      </c>
      <c r="D2145" t="s">
        <v>23</v>
      </c>
      <c r="E2145" t="s">
        <v>24</v>
      </c>
      <c r="F2145" t="s">
        <v>3758</v>
      </c>
      <c r="G2145">
        <v>1655946</v>
      </c>
      <c r="H2145" t="s">
        <v>91</v>
      </c>
      <c r="I2145" t="s">
        <v>247</v>
      </c>
      <c r="J2145" t="str">
        <f>"9781462514472"</f>
        <v>9781462514472</v>
      </c>
      <c r="K2145" t="s">
        <v>3759</v>
      </c>
      <c r="L2145">
        <v>11</v>
      </c>
      <c r="O2145" t="s">
        <v>30</v>
      </c>
      <c r="P2145" t="s">
        <v>50</v>
      </c>
      <c r="S2145" t="s">
        <v>31</v>
      </c>
      <c r="T2145" t="s">
        <v>3760</v>
      </c>
      <c r="U2145">
        <v>616.89008349999995</v>
      </c>
      <c r="V2145" s="3">
        <v>41773</v>
      </c>
    </row>
    <row r="2146" spans="1:22" x14ac:dyDescent="0.35">
      <c r="A2146" s="1">
        <v>42348.376770833333</v>
      </c>
      <c r="B2146" s="2">
        <v>5.7870370370370378E-4</v>
      </c>
      <c r="C2146" t="s">
        <v>3761</v>
      </c>
      <c r="D2146" t="s">
        <v>117</v>
      </c>
      <c r="E2146" t="s">
        <v>118</v>
      </c>
      <c r="F2146" t="s">
        <v>3762</v>
      </c>
      <c r="G2146">
        <v>943954</v>
      </c>
      <c r="H2146" t="s">
        <v>1286</v>
      </c>
      <c r="I2146" t="s">
        <v>172</v>
      </c>
      <c r="J2146" t="str">
        <f>"9780786492770"</f>
        <v>9780786492770</v>
      </c>
      <c r="K2146" t="s">
        <v>3763</v>
      </c>
      <c r="L2146">
        <v>16</v>
      </c>
      <c r="O2146" t="s">
        <v>30</v>
      </c>
      <c r="P2146" t="s">
        <v>42</v>
      </c>
      <c r="S2146" t="s">
        <v>121</v>
      </c>
      <c r="T2146" t="s">
        <v>3764</v>
      </c>
      <c r="U2146" t="s">
        <v>3765</v>
      </c>
      <c r="V2146" s="3">
        <v>41061</v>
      </c>
    </row>
    <row r="2147" spans="1:22" x14ac:dyDescent="0.35">
      <c r="A2147" s="1">
        <v>42348.295567129629</v>
      </c>
      <c r="B2147" s="2">
        <v>2.7893518518518519E-3</v>
      </c>
      <c r="C2147" t="s">
        <v>3766</v>
      </c>
      <c r="D2147" t="s">
        <v>23</v>
      </c>
      <c r="E2147" t="s">
        <v>24</v>
      </c>
      <c r="F2147" t="s">
        <v>25</v>
      </c>
      <c r="G2147">
        <v>1120290</v>
      </c>
      <c r="H2147" t="s">
        <v>26</v>
      </c>
      <c r="I2147" t="s">
        <v>27</v>
      </c>
      <c r="J2147" t="str">
        <f>"9781118347478"</f>
        <v>9781118347478</v>
      </c>
      <c r="K2147" t="s">
        <v>3767</v>
      </c>
      <c r="L2147">
        <v>33</v>
      </c>
      <c r="O2147" t="s">
        <v>30</v>
      </c>
      <c r="P2147" t="s">
        <v>42</v>
      </c>
      <c r="S2147" t="s">
        <v>31</v>
      </c>
      <c r="T2147" t="s">
        <v>32</v>
      </c>
      <c r="U2147">
        <v>421</v>
      </c>
      <c r="V2147" s="3">
        <v>41101</v>
      </c>
    </row>
    <row r="2148" spans="1:22" x14ac:dyDescent="0.35">
      <c r="A2148" s="1">
        <v>42348.270486111112</v>
      </c>
      <c r="B2148" s="2">
        <v>4.6296296296296293E-4</v>
      </c>
      <c r="C2148" t="s">
        <v>3768</v>
      </c>
      <c r="D2148" t="s">
        <v>35</v>
      </c>
      <c r="E2148" t="s">
        <v>36</v>
      </c>
      <c r="F2148" t="s">
        <v>3769</v>
      </c>
      <c r="G2148">
        <v>1120507</v>
      </c>
      <c r="H2148" t="s">
        <v>613</v>
      </c>
      <c r="I2148" t="s">
        <v>120</v>
      </c>
      <c r="J2148" t="str">
        <f>"9781469607191"</f>
        <v>9781469607191</v>
      </c>
      <c r="K2148" t="s">
        <v>3770</v>
      </c>
      <c r="L2148">
        <v>10</v>
      </c>
      <c r="O2148" t="s">
        <v>30</v>
      </c>
      <c r="P2148" t="s">
        <v>50</v>
      </c>
      <c r="S2148" t="s">
        <v>40</v>
      </c>
      <c r="T2148" t="s">
        <v>3771</v>
      </c>
      <c r="U2148" t="s">
        <v>3772</v>
      </c>
      <c r="V2148" s="3">
        <v>41520</v>
      </c>
    </row>
    <row r="2149" spans="1:22" x14ac:dyDescent="0.35">
      <c r="A2149" s="1">
        <v>42348.262650462966</v>
      </c>
      <c r="B2149" s="2">
        <v>1.7476851851851852E-3</v>
      </c>
      <c r="C2149" t="s">
        <v>3773</v>
      </c>
      <c r="D2149" t="s">
        <v>623</v>
      </c>
      <c r="E2149" t="s">
        <v>624</v>
      </c>
      <c r="F2149" t="s">
        <v>3774</v>
      </c>
      <c r="G2149">
        <v>894289</v>
      </c>
      <c r="H2149" t="s">
        <v>26</v>
      </c>
      <c r="I2149" t="s">
        <v>247</v>
      </c>
      <c r="J2149" t="str">
        <f>"9781118404430"</f>
        <v>9781118404430</v>
      </c>
      <c r="K2149" t="s">
        <v>3775</v>
      </c>
      <c r="L2149">
        <v>13</v>
      </c>
      <c r="O2149" t="s">
        <v>30</v>
      </c>
      <c r="P2149" t="s">
        <v>42</v>
      </c>
      <c r="S2149" t="s">
        <v>627</v>
      </c>
      <c r="T2149" t="s">
        <v>3776</v>
      </c>
      <c r="U2149">
        <v>616.89</v>
      </c>
      <c r="V2149" s="3">
        <v>41192</v>
      </c>
    </row>
    <row r="2150" spans="1:22" x14ac:dyDescent="0.35">
      <c r="A2150" s="1">
        <v>42348.249282407407</v>
      </c>
      <c r="B2150" s="2">
        <v>0</v>
      </c>
      <c r="C2150" t="s">
        <v>3773</v>
      </c>
      <c r="D2150" t="s">
        <v>623</v>
      </c>
      <c r="E2150" t="s">
        <v>624</v>
      </c>
      <c r="F2150" t="s">
        <v>3777</v>
      </c>
      <c r="G2150">
        <v>1010497</v>
      </c>
      <c r="H2150" t="s">
        <v>26</v>
      </c>
      <c r="I2150" t="s">
        <v>247</v>
      </c>
      <c r="J2150" t="str">
        <f>"9781118314753"</f>
        <v>9781118314753</v>
      </c>
      <c r="K2150" t="s">
        <v>3778</v>
      </c>
      <c r="L2150">
        <v>1</v>
      </c>
      <c r="O2150" t="s">
        <v>30</v>
      </c>
      <c r="P2150" t="s">
        <v>29</v>
      </c>
      <c r="Q2150" s="1">
        <v>42348.249282407407</v>
      </c>
      <c r="R2150">
        <v>7</v>
      </c>
      <c r="S2150" t="s">
        <v>627</v>
      </c>
      <c r="T2150" t="s">
        <v>3779</v>
      </c>
      <c r="U2150" t="s">
        <v>2346</v>
      </c>
      <c r="V2150" s="3">
        <v>41142</v>
      </c>
    </row>
    <row r="2151" spans="1:22" x14ac:dyDescent="0.35">
      <c r="A2151" s="1">
        <v>42348.242291666669</v>
      </c>
      <c r="B2151" s="2">
        <v>6.9907407407407409E-3</v>
      </c>
      <c r="C2151" t="s">
        <v>3773</v>
      </c>
      <c r="D2151" t="s">
        <v>623</v>
      </c>
      <c r="E2151" t="s">
        <v>624</v>
      </c>
      <c r="F2151" t="s">
        <v>3777</v>
      </c>
      <c r="G2151">
        <v>1010497</v>
      </c>
      <c r="H2151" t="s">
        <v>26</v>
      </c>
      <c r="I2151" t="s">
        <v>247</v>
      </c>
      <c r="J2151" t="str">
        <f>"9781118314753"</f>
        <v>9781118314753</v>
      </c>
      <c r="K2151" t="s">
        <v>3780</v>
      </c>
      <c r="L2151">
        <v>10</v>
      </c>
      <c r="O2151" t="s">
        <v>30</v>
      </c>
      <c r="P2151" t="s">
        <v>42</v>
      </c>
      <c r="S2151" t="s">
        <v>627</v>
      </c>
      <c r="T2151" t="s">
        <v>3779</v>
      </c>
      <c r="U2151" t="s">
        <v>2346</v>
      </c>
      <c r="V2151" s="3">
        <v>41142</v>
      </c>
    </row>
    <row r="2152" spans="1:22" x14ac:dyDescent="0.35">
      <c r="A2152" s="1">
        <v>42348.23542824074</v>
      </c>
      <c r="B2152" s="2">
        <v>2.2916666666666667E-3</v>
      </c>
      <c r="C2152" t="s">
        <v>210</v>
      </c>
      <c r="D2152" t="s">
        <v>211</v>
      </c>
      <c r="E2152" t="s">
        <v>212</v>
      </c>
      <c r="F2152" t="s">
        <v>3781</v>
      </c>
      <c r="G2152">
        <v>1397128</v>
      </c>
      <c r="H2152" t="s">
        <v>68</v>
      </c>
      <c r="I2152" t="s">
        <v>348</v>
      </c>
      <c r="J2152" t="str">
        <f>"9781317990031"</f>
        <v>9781317990031</v>
      </c>
      <c r="K2152" t="s">
        <v>3782</v>
      </c>
      <c r="L2152">
        <v>54</v>
      </c>
      <c r="O2152" t="s">
        <v>30</v>
      </c>
      <c r="P2152" t="s">
        <v>50</v>
      </c>
      <c r="S2152" t="s">
        <v>214</v>
      </c>
      <c r="U2152">
        <v>320.94929999999999</v>
      </c>
      <c r="V2152" s="3">
        <v>41530</v>
      </c>
    </row>
    <row r="2153" spans="1:22" x14ac:dyDescent="0.35">
      <c r="A2153" s="1">
        <v>42348.204270833332</v>
      </c>
      <c r="B2153" s="2">
        <v>4.7453703703703704E-4</v>
      </c>
      <c r="C2153" t="s">
        <v>3783</v>
      </c>
      <c r="D2153" t="s">
        <v>2519</v>
      </c>
      <c r="E2153" t="s">
        <v>2520</v>
      </c>
      <c r="F2153" t="s">
        <v>3784</v>
      </c>
      <c r="G2153">
        <v>1895271</v>
      </c>
      <c r="H2153" t="s">
        <v>26</v>
      </c>
      <c r="I2153" t="s">
        <v>247</v>
      </c>
      <c r="J2153" t="str">
        <f>"9781119026655"</f>
        <v>9781119026655</v>
      </c>
      <c r="K2153" t="s">
        <v>3785</v>
      </c>
      <c r="L2153">
        <v>10</v>
      </c>
      <c r="O2153" t="s">
        <v>30</v>
      </c>
      <c r="P2153" t="s">
        <v>42</v>
      </c>
      <c r="S2153" t="s">
        <v>3786</v>
      </c>
      <c r="T2153" t="s">
        <v>3787</v>
      </c>
      <c r="U2153" t="s">
        <v>3788</v>
      </c>
      <c r="V2153" s="3">
        <v>42011</v>
      </c>
    </row>
    <row r="2154" spans="1:22" x14ac:dyDescent="0.35">
      <c r="A2154" s="1">
        <v>42348.176412037035</v>
      </c>
      <c r="B2154" s="2">
        <v>0</v>
      </c>
      <c r="C2154" t="s">
        <v>3223</v>
      </c>
      <c r="D2154" t="s">
        <v>23</v>
      </c>
      <c r="E2154" t="s">
        <v>24</v>
      </c>
      <c r="F2154" t="s">
        <v>3224</v>
      </c>
      <c r="G2154">
        <v>1882107</v>
      </c>
      <c r="H2154" t="s">
        <v>84</v>
      </c>
      <c r="I2154" t="s">
        <v>998</v>
      </c>
      <c r="J2154" t="str">
        <f>"9780520961593"</f>
        <v>9780520961593</v>
      </c>
      <c r="L2154">
        <v>0</v>
      </c>
      <c r="M2154" t="s">
        <v>3789</v>
      </c>
      <c r="O2154" t="s">
        <v>30</v>
      </c>
      <c r="P2154" t="s">
        <v>29</v>
      </c>
      <c r="Q2154" s="1">
        <v>42348.176412037035</v>
      </c>
      <c r="R2154">
        <v>7</v>
      </c>
      <c r="S2154" t="s">
        <v>31</v>
      </c>
      <c r="T2154" t="s">
        <v>3226</v>
      </c>
      <c r="U2154">
        <v>952.03099999999995</v>
      </c>
      <c r="V2154" s="3">
        <v>42164</v>
      </c>
    </row>
    <row r="2155" spans="1:22" x14ac:dyDescent="0.35">
      <c r="A2155" s="1">
        <v>42348.17560185185</v>
      </c>
      <c r="B2155" s="2">
        <v>8.1018518518518516E-4</v>
      </c>
      <c r="C2155" t="s">
        <v>3223</v>
      </c>
      <c r="D2155" t="s">
        <v>23</v>
      </c>
      <c r="E2155" t="s">
        <v>24</v>
      </c>
      <c r="F2155" t="s">
        <v>3224</v>
      </c>
      <c r="G2155">
        <v>1882107</v>
      </c>
      <c r="H2155" t="s">
        <v>84</v>
      </c>
      <c r="I2155" t="s">
        <v>998</v>
      </c>
      <c r="J2155" t="str">
        <f>"9780520961593"</f>
        <v>9780520961593</v>
      </c>
      <c r="K2155" t="s">
        <v>3790</v>
      </c>
      <c r="L2155">
        <v>11</v>
      </c>
      <c r="O2155" t="s">
        <v>30</v>
      </c>
      <c r="P2155" t="s">
        <v>42</v>
      </c>
      <c r="S2155" t="s">
        <v>31</v>
      </c>
      <c r="T2155" t="s">
        <v>3226</v>
      </c>
      <c r="U2155">
        <v>952.03099999999995</v>
      </c>
      <c r="V2155" s="3">
        <v>42164</v>
      </c>
    </row>
    <row r="2156" spans="1:22" x14ac:dyDescent="0.35">
      <c r="A2156" s="1">
        <v>42348.151273148149</v>
      </c>
      <c r="B2156" s="2">
        <v>0</v>
      </c>
      <c r="C2156" t="s">
        <v>3791</v>
      </c>
      <c r="D2156" t="s">
        <v>35</v>
      </c>
      <c r="E2156" t="s">
        <v>36</v>
      </c>
      <c r="F2156" t="s">
        <v>3792</v>
      </c>
      <c r="G2156">
        <v>4025801</v>
      </c>
      <c r="H2156" t="s">
        <v>26</v>
      </c>
      <c r="I2156" t="s">
        <v>120</v>
      </c>
      <c r="J2156" t="str">
        <f>"9780745665283"</f>
        <v>9780745665283</v>
      </c>
      <c r="L2156">
        <v>0</v>
      </c>
      <c r="N2156" t="s">
        <v>3793</v>
      </c>
      <c r="O2156" t="s">
        <v>30</v>
      </c>
      <c r="P2156" t="s">
        <v>47</v>
      </c>
      <c r="Q2156" s="1">
        <v>42348.151273148149</v>
      </c>
      <c r="R2156">
        <v>1</v>
      </c>
      <c r="S2156" t="s">
        <v>40</v>
      </c>
      <c r="T2156" t="s">
        <v>3794</v>
      </c>
      <c r="U2156">
        <v>301.01</v>
      </c>
      <c r="V2156" s="3">
        <v>41453</v>
      </c>
    </row>
    <row r="2157" spans="1:22" x14ac:dyDescent="0.35">
      <c r="A2157" s="1">
        <v>42348.150972222225</v>
      </c>
      <c r="B2157" s="2">
        <v>3.0092592592592595E-4</v>
      </c>
      <c r="C2157" t="s">
        <v>3791</v>
      </c>
      <c r="D2157" t="s">
        <v>35</v>
      </c>
      <c r="E2157" t="s">
        <v>36</v>
      </c>
      <c r="F2157" t="s">
        <v>3792</v>
      </c>
      <c r="G2157">
        <v>4025801</v>
      </c>
      <c r="H2157" t="s">
        <v>26</v>
      </c>
      <c r="I2157" t="s">
        <v>120</v>
      </c>
      <c r="J2157" t="str">
        <f>"9780745665283"</f>
        <v>9780745665283</v>
      </c>
      <c r="K2157" t="s">
        <v>889</v>
      </c>
      <c r="L2157">
        <v>6</v>
      </c>
      <c r="O2157" t="s">
        <v>30</v>
      </c>
      <c r="P2157" t="s">
        <v>50</v>
      </c>
      <c r="S2157" t="s">
        <v>40</v>
      </c>
      <c r="T2157" t="s">
        <v>3794</v>
      </c>
      <c r="U2157">
        <v>301.01</v>
      </c>
      <c r="V2157" s="3">
        <v>41453</v>
      </c>
    </row>
    <row r="2158" spans="1:22" x14ac:dyDescent="0.35">
      <c r="A2158" s="1">
        <v>42348.143379629626</v>
      </c>
      <c r="B2158" s="2">
        <v>1.0798611111111111E-2</v>
      </c>
      <c r="C2158" t="s">
        <v>3753</v>
      </c>
      <c r="D2158" t="s">
        <v>35</v>
      </c>
      <c r="E2158" t="s">
        <v>36</v>
      </c>
      <c r="F2158" t="s">
        <v>986</v>
      </c>
      <c r="G2158">
        <v>968030</v>
      </c>
      <c r="H2158" t="s">
        <v>26</v>
      </c>
      <c r="I2158" t="s">
        <v>219</v>
      </c>
      <c r="J2158" t="str">
        <f>"9781118285138"</f>
        <v>9781118285138</v>
      </c>
      <c r="K2158" t="s">
        <v>3795</v>
      </c>
      <c r="L2158">
        <v>14</v>
      </c>
      <c r="O2158" t="s">
        <v>30</v>
      </c>
      <c r="P2158" t="s">
        <v>29</v>
      </c>
      <c r="Q2158" s="1">
        <v>42348.143368055556</v>
      </c>
      <c r="R2158">
        <v>7</v>
      </c>
      <c r="S2158" t="s">
        <v>40</v>
      </c>
      <c r="T2158" t="s">
        <v>987</v>
      </c>
      <c r="U2158">
        <v>158.30000000000001</v>
      </c>
      <c r="V2158" s="3">
        <v>41100</v>
      </c>
    </row>
    <row r="2159" spans="1:22" x14ac:dyDescent="0.35">
      <c r="A2159" s="1">
        <v>42348.1094212963</v>
      </c>
      <c r="B2159" s="2">
        <v>1.9606481481481482E-2</v>
      </c>
      <c r="C2159" t="s">
        <v>1554</v>
      </c>
      <c r="D2159" t="s">
        <v>23</v>
      </c>
      <c r="E2159" t="s">
        <v>24</v>
      </c>
      <c r="F2159" t="s">
        <v>698</v>
      </c>
      <c r="G2159">
        <v>865191</v>
      </c>
      <c r="H2159" t="s">
        <v>26</v>
      </c>
      <c r="I2159" t="s">
        <v>120</v>
      </c>
      <c r="J2159" t="str">
        <f>"9781118101681"</f>
        <v>9781118101681</v>
      </c>
      <c r="K2159" t="s">
        <v>3796</v>
      </c>
      <c r="L2159">
        <v>69</v>
      </c>
      <c r="O2159" t="s">
        <v>30</v>
      </c>
      <c r="P2159" t="s">
        <v>29</v>
      </c>
      <c r="Q2159" s="1">
        <v>42348.109409722223</v>
      </c>
      <c r="R2159">
        <v>7</v>
      </c>
      <c r="S2159" t="s">
        <v>31</v>
      </c>
      <c r="T2159" t="s">
        <v>699</v>
      </c>
      <c r="U2159" t="s">
        <v>700</v>
      </c>
      <c r="V2159" s="3">
        <v>40960</v>
      </c>
    </row>
    <row r="2160" spans="1:22" x14ac:dyDescent="0.35">
      <c r="A2160" s="1">
        <v>42348.108553240738</v>
      </c>
      <c r="B2160" s="2">
        <v>3.4814814814814812E-2</v>
      </c>
      <c r="C2160" t="s">
        <v>3753</v>
      </c>
      <c r="D2160" t="s">
        <v>35</v>
      </c>
      <c r="E2160" t="s">
        <v>36</v>
      </c>
      <c r="F2160" t="s">
        <v>986</v>
      </c>
      <c r="G2160">
        <v>968030</v>
      </c>
      <c r="H2160" t="s">
        <v>26</v>
      </c>
      <c r="I2160" t="s">
        <v>219</v>
      </c>
      <c r="J2160" t="str">
        <f>"9781118285138"</f>
        <v>9781118285138</v>
      </c>
      <c r="K2160" t="s">
        <v>3797</v>
      </c>
      <c r="L2160">
        <v>8</v>
      </c>
      <c r="O2160" t="s">
        <v>30</v>
      </c>
      <c r="P2160" t="s">
        <v>42</v>
      </c>
      <c r="S2160" t="s">
        <v>40</v>
      </c>
      <c r="T2160" t="s">
        <v>987</v>
      </c>
      <c r="U2160">
        <v>158.30000000000001</v>
      </c>
      <c r="V2160" s="3">
        <v>41100</v>
      </c>
    </row>
    <row r="2161" spans="1:22" x14ac:dyDescent="0.35">
      <c r="A2161" s="1">
        <v>42348.1016087963</v>
      </c>
      <c r="B2161" s="2">
        <v>3.8425925925925923E-3</v>
      </c>
      <c r="C2161" t="s">
        <v>3798</v>
      </c>
      <c r="D2161" t="s">
        <v>335</v>
      </c>
      <c r="E2161" t="s">
        <v>336</v>
      </c>
      <c r="F2161" t="s">
        <v>3060</v>
      </c>
      <c r="G2161">
        <v>1120279</v>
      </c>
      <c r="H2161" t="s">
        <v>26</v>
      </c>
      <c r="I2161" t="s">
        <v>3061</v>
      </c>
      <c r="J2161" t="str">
        <f>"9781118537671"</f>
        <v>9781118537671</v>
      </c>
      <c r="K2161" t="s">
        <v>3799</v>
      </c>
      <c r="L2161">
        <v>59</v>
      </c>
      <c r="O2161" t="s">
        <v>30</v>
      </c>
      <c r="P2161" t="s">
        <v>42</v>
      </c>
      <c r="S2161" t="s">
        <v>340</v>
      </c>
      <c r="T2161" t="s">
        <v>3063</v>
      </c>
      <c r="U2161">
        <v>599.93499999999995</v>
      </c>
      <c r="V2161" s="3">
        <v>41232</v>
      </c>
    </row>
    <row r="2162" spans="1:22" x14ac:dyDescent="0.35">
      <c r="A2162" s="1">
        <v>42348.09542824074</v>
      </c>
      <c r="B2162" s="2">
        <v>2.6967592592592594E-3</v>
      </c>
      <c r="C2162" t="s">
        <v>3800</v>
      </c>
      <c r="D2162" t="s">
        <v>1222</v>
      </c>
      <c r="E2162" t="s">
        <v>1223</v>
      </c>
      <c r="F2162" t="s">
        <v>3801</v>
      </c>
      <c r="G2162">
        <v>867075</v>
      </c>
      <c r="H2162" t="s">
        <v>1286</v>
      </c>
      <c r="I2162" t="s">
        <v>3802</v>
      </c>
      <c r="J2162" t="str">
        <f>"9780786489473"</f>
        <v>9780786489473</v>
      </c>
      <c r="K2162" t="s">
        <v>3803</v>
      </c>
      <c r="L2162">
        <v>18</v>
      </c>
      <c r="M2162" t="s">
        <v>3804</v>
      </c>
      <c r="O2162" t="s">
        <v>30</v>
      </c>
      <c r="P2162" t="s">
        <v>29</v>
      </c>
      <c r="Q2162" s="1">
        <v>42348.095416666663</v>
      </c>
      <c r="R2162">
        <v>7</v>
      </c>
      <c r="S2162" t="s">
        <v>1226</v>
      </c>
      <c r="T2162" t="s">
        <v>3805</v>
      </c>
      <c r="U2162" t="s">
        <v>3806</v>
      </c>
      <c r="V2162" s="3">
        <v>40947</v>
      </c>
    </row>
    <row r="2163" spans="1:22" x14ac:dyDescent="0.35">
      <c r="A2163" s="1">
        <v>42348.089317129627</v>
      </c>
      <c r="B2163" s="2">
        <v>4.6805555555555552E-2</v>
      </c>
      <c r="C2163" t="s">
        <v>3807</v>
      </c>
      <c r="D2163" t="s">
        <v>23</v>
      </c>
      <c r="E2163" t="s">
        <v>24</v>
      </c>
      <c r="F2163" t="s">
        <v>3808</v>
      </c>
      <c r="G2163">
        <v>1675475</v>
      </c>
      <c r="H2163" t="s">
        <v>91</v>
      </c>
      <c r="I2163" t="s">
        <v>247</v>
      </c>
      <c r="J2163" t="str">
        <f>"9781462514342"</f>
        <v>9781462514342</v>
      </c>
      <c r="K2163" t="s">
        <v>3809</v>
      </c>
      <c r="L2163">
        <v>28</v>
      </c>
      <c r="O2163" t="s">
        <v>30</v>
      </c>
      <c r="P2163" t="s">
        <v>47</v>
      </c>
      <c r="Q2163" s="1">
        <v>42348.089317129627</v>
      </c>
      <c r="R2163">
        <v>1</v>
      </c>
      <c r="S2163" t="s">
        <v>31</v>
      </c>
      <c r="T2163" t="s">
        <v>3810</v>
      </c>
      <c r="U2163">
        <v>616.85883200000001</v>
      </c>
      <c r="V2163" s="3">
        <v>41830</v>
      </c>
    </row>
    <row r="2164" spans="1:22" x14ac:dyDescent="0.35">
      <c r="A2164" s="1">
        <v>42348.087523148148</v>
      </c>
      <c r="B2164" s="2">
        <v>1.7361111111111112E-4</v>
      </c>
      <c r="C2164" t="s">
        <v>106</v>
      </c>
      <c r="D2164" t="s">
        <v>23</v>
      </c>
      <c r="E2164" t="s">
        <v>24</v>
      </c>
      <c r="F2164" t="s">
        <v>982</v>
      </c>
      <c r="G2164">
        <v>1882108</v>
      </c>
      <c r="H2164" t="s">
        <v>84</v>
      </c>
      <c r="I2164" t="s">
        <v>310</v>
      </c>
      <c r="J2164" t="str">
        <f>"9780520961326"</f>
        <v>9780520961326</v>
      </c>
      <c r="K2164" t="s">
        <v>355</v>
      </c>
      <c r="L2164">
        <v>8</v>
      </c>
      <c r="O2164" t="s">
        <v>30</v>
      </c>
      <c r="P2164" t="s">
        <v>29</v>
      </c>
      <c r="Q2164" s="1">
        <v>42346.642025462963</v>
      </c>
      <c r="R2164">
        <v>7</v>
      </c>
      <c r="S2164" t="s">
        <v>31</v>
      </c>
      <c r="T2164" t="s">
        <v>983</v>
      </c>
      <c r="U2164">
        <v>883</v>
      </c>
      <c r="V2164" s="3">
        <v>42138</v>
      </c>
    </row>
    <row r="2165" spans="1:22" x14ac:dyDescent="0.35">
      <c r="A2165" s="1">
        <v>42348.080474537041</v>
      </c>
      <c r="B2165" s="2">
        <v>8.8425925925925911E-3</v>
      </c>
      <c r="C2165" t="s">
        <v>3807</v>
      </c>
      <c r="D2165" t="s">
        <v>23</v>
      </c>
      <c r="E2165" t="s">
        <v>24</v>
      </c>
      <c r="F2165" t="s">
        <v>3808</v>
      </c>
      <c r="G2165">
        <v>1675475</v>
      </c>
      <c r="H2165" t="s">
        <v>91</v>
      </c>
      <c r="I2165" t="s">
        <v>247</v>
      </c>
      <c r="J2165" t="str">
        <f>"9781462514342"</f>
        <v>9781462514342</v>
      </c>
      <c r="K2165" t="s">
        <v>33</v>
      </c>
      <c r="L2165">
        <v>3</v>
      </c>
      <c r="O2165" t="s">
        <v>30</v>
      </c>
      <c r="P2165" t="s">
        <v>50</v>
      </c>
      <c r="S2165" t="s">
        <v>31</v>
      </c>
      <c r="T2165" t="s">
        <v>3810</v>
      </c>
      <c r="U2165">
        <v>616.85883200000001</v>
      </c>
      <c r="V2165" s="3">
        <v>41830</v>
      </c>
    </row>
    <row r="2166" spans="1:22" x14ac:dyDescent="0.35">
      <c r="A2166" s="1">
        <v>42348.065381944441</v>
      </c>
      <c r="B2166" s="2">
        <v>8.1018518518518516E-5</v>
      </c>
      <c r="C2166" t="s">
        <v>3811</v>
      </c>
      <c r="D2166" t="s">
        <v>35</v>
      </c>
      <c r="E2166" t="s">
        <v>36</v>
      </c>
      <c r="F2166" t="s">
        <v>3812</v>
      </c>
      <c r="G2166">
        <v>3038360</v>
      </c>
      <c r="H2166" t="s">
        <v>526</v>
      </c>
      <c r="I2166" t="s">
        <v>3813</v>
      </c>
      <c r="J2166" t="str">
        <f>"9780226043692"</f>
        <v>9780226043692</v>
      </c>
      <c r="K2166" t="s">
        <v>33</v>
      </c>
      <c r="L2166">
        <v>3</v>
      </c>
      <c r="O2166" t="s">
        <v>30</v>
      </c>
      <c r="P2166" t="s">
        <v>50</v>
      </c>
      <c r="S2166" t="s">
        <v>40</v>
      </c>
      <c r="T2166" t="s">
        <v>3814</v>
      </c>
      <c r="U2166">
        <v>364.601</v>
      </c>
      <c r="V2166" s="3">
        <v>41365</v>
      </c>
    </row>
    <row r="2167" spans="1:22" x14ac:dyDescent="0.35">
      <c r="A2167" s="1">
        <v>42348.064236111109</v>
      </c>
      <c r="B2167" s="2">
        <v>2.9178240740740741E-2</v>
      </c>
      <c r="C2167" t="s">
        <v>3800</v>
      </c>
      <c r="D2167" t="s">
        <v>1222</v>
      </c>
      <c r="E2167" t="s">
        <v>1223</v>
      </c>
      <c r="F2167" t="s">
        <v>3815</v>
      </c>
      <c r="G2167">
        <v>1710985</v>
      </c>
      <c r="H2167" t="s">
        <v>84</v>
      </c>
      <c r="I2167" t="s">
        <v>1650</v>
      </c>
      <c r="J2167" t="str">
        <f>"9780520960022"</f>
        <v>9780520960022</v>
      </c>
      <c r="K2167" t="s">
        <v>3816</v>
      </c>
      <c r="L2167">
        <v>50</v>
      </c>
      <c r="O2167" t="s">
        <v>30</v>
      </c>
      <c r="P2167" t="s">
        <v>47</v>
      </c>
      <c r="Q2167" s="1">
        <v>42348.064236111109</v>
      </c>
      <c r="R2167">
        <v>1</v>
      </c>
      <c r="S2167" t="s">
        <v>1226</v>
      </c>
      <c r="T2167" t="s">
        <v>3817</v>
      </c>
      <c r="U2167">
        <v>741.59</v>
      </c>
      <c r="V2167" s="3">
        <v>41970</v>
      </c>
    </row>
    <row r="2168" spans="1:22" x14ac:dyDescent="0.35">
      <c r="A2168" s="1">
        <v>42348.064143518517</v>
      </c>
      <c r="B2168" s="2">
        <v>4.5266203703703704E-2</v>
      </c>
      <c r="C2168" t="s">
        <v>1554</v>
      </c>
      <c r="D2168" t="s">
        <v>23</v>
      </c>
      <c r="E2168" t="s">
        <v>24</v>
      </c>
      <c r="F2168" t="s">
        <v>698</v>
      </c>
      <c r="G2168">
        <v>865191</v>
      </c>
      <c r="H2168" t="s">
        <v>26</v>
      </c>
      <c r="I2168" t="s">
        <v>120</v>
      </c>
      <c r="J2168" t="str">
        <f>"9781118101681"</f>
        <v>9781118101681</v>
      </c>
      <c r="K2168" t="s">
        <v>3818</v>
      </c>
      <c r="L2168">
        <v>37</v>
      </c>
      <c r="O2168" t="s">
        <v>30</v>
      </c>
      <c r="P2168" t="s">
        <v>42</v>
      </c>
      <c r="S2168" t="s">
        <v>31</v>
      </c>
      <c r="T2168" t="s">
        <v>699</v>
      </c>
      <c r="U2168" t="s">
        <v>700</v>
      </c>
      <c r="V2168" s="3">
        <v>40960</v>
      </c>
    </row>
    <row r="2169" spans="1:22" x14ac:dyDescent="0.35">
      <c r="A2169" s="1">
        <v>42348.058171296296</v>
      </c>
      <c r="B2169" s="2">
        <v>3.7245370370370366E-2</v>
      </c>
      <c r="C2169" t="s">
        <v>3800</v>
      </c>
      <c r="D2169" t="s">
        <v>1222</v>
      </c>
      <c r="E2169" t="s">
        <v>1223</v>
      </c>
      <c r="F2169" t="s">
        <v>3801</v>
      </c>
      <c r="G2169">
        <v>867075</v>
      </c>
      <c r="H2169" t="s">
        <v>1286</v>
      </c>
      <c r="I2169" t="s">
        <v>3802</v>
      </c>
      <c r="J2169" t="str">
        <f>"9780786489473"</f>
        <v>9780786489473</v>
      </c>
      <c r="K2169" t="s">
        <v>3819</v>
      </c>
      <c r="L2169">
        <v>41</v>
      </c>
      <c r="O2169" t="s">
        <v>30</v>
      </c>
      <c r="P2169" t="s">
        <v>42</v>
      </c>
      <c r="S2169" t="s">
        <v>1226</v>
      </c>
      <c r="T2169" t="s">
        <v>3805</v>
      </c>
      <c r="U2169" t="s">
        <v>3806</v>
      </c>
      <c r="V2169" s="3">
        <v>40947</v>
      </c>
    </row>
    <row r="2170" spans="1:22" x14ac:dyDescent="0.35">
      <c r="A2170" s="1">
        <v>42348.058136574073</v>
      </c>
      <c r="B2170" s="2">
        <v>6.0995370370370361E-3</v>
      </c>
      <c r="C2170" t="s">
        <v>3800</v>
      </c>
      <c r="D2170" t="s">
        <v>1222</v>
      </c>
      <c r="E2170" t="s">
        <v>1223</v>
      </c>
      <c r="F2170" t="s">
        <v>3815</v>
      </c>
      <c r="G2170">
        <v>1710985</v>
      </c>
      <c r="H2170" t="s">
        <v>84</v>
      </c>
      <c r="I2170" t="s">
        <v>1650</v>
      </c>
      <c r="J2170" t="str">
        <f>"9780520960022"</f>
        <v>9780520960022</v>
      </c>
      <c r="K2170" t="s">
        <v>33</v>
      </c>
      <c r="L2170">
        <v>3</v>
      </c>
      <c r="O2170" t="s">
        <v>30</v>
      </c>
      <c r="P2170" t="s">
        <v>50</v>
      </c>
      <c r="S2170" t="s">
        <v>1226</v>
      </c>
      <c r="T2170" t="s">
        <v>3817</v>
      </c>
      <c r="U2170">
        <v>741.59</v>
      </c>
      <c r="V2170" s="3">
        <v>41970</v>
      </c>
    </row>
    <row r="2171" spans="1:22" x14ac:dyDescent="0.35">
      <c r="A2171" s="1">
        <v>42348.054305555554</v>
      </c>
      <c r="B2171" s="2">
        <v>3.4722222222222224E-4</v>
      </c>
      <c r="C2171" t="s">
        <v>3820</v>
      </c>
      <c r="D2171" t="s">
        <v>2519</v>
      </c>
      <c r="E2171" t="s">
        <v>2520</v>
      </c>
      <c r="F2171" t="s">
        <v>3821</v>
      </c>
      <c r="G2171">
        <v>1680798</v>
      </c>
      <c r="H2171" t="s">
        <v>26</v>
      </c>
      <c r="I2171" t="s">
        <v>219</v>
      </c>
      <c r="J2171" t="str">
        <f>"9780857085597"</f>
        <v>9780857085597</v>
      </c>
      <c r="K2171" t="s">
        <v>3260</v>
      </c>
      <c r="L2171">
        <v>11</v>
      </c>
      <c r="O2171" t="s">
        <v>30</v>
      </c>
      <c r="P2171" t="s">
        <v>50</v>
      </c>
      <c r="S2171" t="s">
        <v>3786</v>
      </c>
      <c r="T2171" t="s">
        <v>3822</v>
      </c>
      <c r="U2171">
        <v>158</v>
      </c>
      <c r="V2171" s="3">
        <v>41753</v>
      </c>
    </row>
    <row r="2172" spans="1:22" x14ac:dyDescent="0.35">
      <c r="A2172" s="1">
        <v>42348.03025462963</v>
      </c>
      <c r="B2172" s="2">
        <v>5.4398148148148144E-4</v>
      </c>
      <c r="C2172" t="s">
        <v>3556</v>
      </c>
      <c r="D2172" t="s">
        <v>23</v>
      </c>
      <c r="E2172" t="s">
        <v>24</v>
      </c>
      <c r="F2172" t="s">
        <v>3060</v>
      </c>
      <c r="G2172">
        <v>1120279</v>
      </c>
      <c r="H2172" t="s">
        <v>26</v>
      </c>
      <c r="I2172" t="s">
        <v>3061</v>
      </c>
      <c r="J2172" t="str">
        <f>"9781118537671"</f>
        <v>9781118537671</v>
      </c>
      <c r="K2172" t="s">
        <v>3823</v>
      </c>
      <c r="L2172">
        <v>18</v>
      </c>
      <c r="O2172" t="s">
        <v>30</v>
      </c>
      <c r="P2172" t="s">
        <v>29</v>
      </c>
      <c r="Q2172" s="1">
        <v>42348.03025462963</v>
      </c>
      <c r="R2172">
        <v>7</v>
      </c>
      <c r="S2172" t="s">
        <v>31</v>
      </c>
      <c r="T2172" t="s">
        <v>3063</v>
      </c>
      <c r="U2172">
        <v>599.93499999999995</v>
      </c>
      <c r="V2172" s="3">
        <v>41232</v>
      </c>
    </row>
    <row r="2173" spans="1:22" x14ac:dyDescent="0.35">
      <c r="A2173" s="1">
        <v>42348.029456018521</v>
      </c>
      <c r="B2173" s="2">
        <v>1.3657407407407409E-3</v>
      </c>
      <c r="C2173" t="s">
        <v>3824</v>
      </c>
      <c r="D2173" t="s">
        <v>623</v>
      </c>
      <c r="E2173" t="s">
        <v>624</v>
      </c>
      <c r="F2173" t="s">
        <v>3271</v>
      </c>
      <c r="G2173">
        <v>1895714</v>
      </c>
      <c r="H2173" t="s">
        <v>26</v>
      </c>
      <c r="I2173" t="s">
        <v>172</v>
      </c>
      <c r="J2173" t="str">
        <f>"9781118896112"</f>
        <v>9781118896112</v>
      </c>
      <c r="K2173" t="s">
        <v>3825</v>
      </c>
      <c r="L2173">
        <v>21</v>
      </c>
      <c r="O2173" t="s">
        <v>30</v>
      </c>
      <c r="P2173" t="s">
        <v>42</v>
      </c>
      <c r="S2173" t="s">
        <v>627</v>
      </c>
      <c r="T2173" t="s">
        <v>3273</v>
      </c>
      <c r="U2173">
        <v>932</v>
      </c>
      <c r="V2173" s="3">
        <v>42011</v>
      </c>
    </row>
    <row r="2174" spans="1:22" x14ac:dyDescent="0.35">
      <c r="A2174" s="1">
        <v>42348.018935185188</v>
      </c>
      <c r="B2174" s="2">
        <v>8.1018518518518516E-5</v>
      </c>
      <c r="C2174" t="s">
        <v>3826</v>
      </c>
      <c r="D2174" t="s">
        <v>261</v>
      </c>
      <c r="E2174" t="s">
        <v>262</v>
      </c>
      <c r="F2174" t="s">
        <v>3179</v>
      </c>
      <c r="G2174">
        <v>1172554</v>
      </c>
      <c r="H2174" t="s">
        <v>1365</v>
      </c>
      <c r="I2174" t="s">
        <v>172</v>
      </c>
      <c r="J2174" t="str">
        <f>""</f>
        <v/>
      </c>
      <c r="K2174" t="s">
        <v>3827</v>
      </c>
      <c r="L2174">
        <v>1</v>
      </c>
      <c r="O2174" t="s">
        <v>30</v>
      </c>
      <c r="P2174" t="s">
        <v>29</v>
      </c>
      <c r="Q2174" s="1">
        <v>42348.018935185188</v>
      </c>
      <c r="R2174">
        <v>7</v>
      </c>
      <c r="S2174" t="s">
        <v>264</v>
      </c>
      <c r="T2174" t="s">
        <v>3182</v>
      </c>
      <c r="U2174" t="s">
        <v>3183</v>
      </c>
      <c r="V2174" s="3">
        <v>41375</v>
      </c>
    </row>
    <row r="2175" spans="1:22" x14ac:dyDescent="0.35">
      <c r="A2175" s="1">
        <v>42347.977002314816</v>
      </c>
      <c r="B2175" s="2">
        <v>5.3252314814814815E-2</v>
      </c>
      <c r="C2175" t="s">
        <v>3556</v>
      </c>
      <c r="D2175" t="s">
        <v>23</v>
      </c>
      <c r="E2175" t="s">
        <v>24</v>
      </c>
      <c r="F2175" t="s">
        <v>3060</v>
      </c>
      <c r="G2175">
        <v>1120279</v>
      </c>
      <c r="H2175" t="s">
        <v>26</v>
      </c>
      <c r="I2175" t="s">
        <v>3061</v>
      </c>
      <c r="J2175" t="str">
        <f>"9781118537671"</f>
        <v>9781118537671</v>
      </c>
      <c r="K2175" t="s">
        <v>3828</v>
      </c>
      <c r="L2175">
        <v>13</v>
      </c>
      <c r="O2175" t="s">
        <v>30</v>
      </c>
      <c r="P2175" t="s">
        <v>42</v>
      </c>
      <c r="S2175" t="s">
        <v>31</v>
      </c>
      <c r="T2175" t="s">
        <v>3063</v>
      </c>
      <c r="U2175">
        <v>599.93499999999995</v>
      </c>
      <c r="V2175" s="3">
        <v>41232</v>
      </c>
    </row>
    <row r="2176" spans="1:22" x14ac:dyDescent="0.35">
      <c r="A2176" s="1">
        <v>42347.966481481482</v>
      </c>
      <c r="B2176" s="2">
        <v>3.4722222222222222E-5</v>
      </c>
      <c r="C2176" t="s">
        <v>3829</v>
      </c>
      <c r="D2176" t="s">
        <v>23</v>
      </c>
      <c r="E2176" t="s">
        <v>24</v>
      </c>
      <c r="F2176" t="s">
        <v>3830</v>
      </c>
      <c r="G2176">
        <v>832297</v>
      </c>
      <c r="H2176" t="s">
        <v>26</v>
      </c>
      <c r="I2176" t="s">
        <v>172</v>
      </c>
      <c r="J2176" t="str">
        <f>"9781118300947"</f>
        <v>9781118300947</v>
      </c>
      <c r="K2176" t="s">
        <v>33</v>
      </c>
      <c r="L2176">
        <v>3</v>
      </c>
      <c r="O2176" t="s">
        <v>30</v>
      </c>
      <c r="P2176" t="s">
        <v>29</v>
      </c>
      <c r="Q2176" s="1">
        <v>42344.956238425926</v>
      </c>
      <c r="R2176">
        <v>7</v>
      </c>
      <c r="S2176" t="s">
        <v>31</v>
      </c>
      <c r="T2176" t="s">
        <v>3831</v>
      </c>
      <c r="U2176">
        <v>938</v>
      </c>
      <c r="V2176" s="3">
        <v>40896</v>
      </c>
    </row>
    <row r="2177" spans="1:22" x14ac:dyDescent="0.35">
      <c r="A2177" s="1">
        <v>42347.950937499998</v>
      </c>
      <c r="B2177" s="2">
        <v>6.7997685185185189E-2</v>
      </c>
      <c r="C2177" t="s">
        <v>3826</v>
      </c>
      <c r="D2177" t="s">
        <v>261</v>
      </c>
      <c r="E2177" t="s">
        <v>262</v>
      </c>
      <c r="F2177" t="s">
        <v>3179</v>
      </c>
      <c r="G2177">
        <v>1172554</v>
      </c>
      <c r="H2177" t="s">
        <v>1365</v>
      </c>
      <c r="I2177" t="s">
        <v>172</v>
      </c>
      <c r="J2177" t="str">
        <f>""</f>
        <v/>
      </c>
      <c r="K2177" t="s">
        <v>3832</v>
      </c>
      <c r="L2177">
        <v>15</v>
      </c>
      <c r="O2177" t="s">
        <v>30</v>
      </c>
      <c r="P2177" t="s">
        <v>42</v>
      </c>
      <c r="S2177" t="s">
        <v>264</v>
      </c>
      <c r="T2177" t="s">
        <v>3182</v>
      </c>
      <c r="U2177" t="s">
        <v>3183</v>
      </c>
      <c r="V2177" s="3">
        <v>41375</v>
      </c>
    </row>
    <row r="2178" spans="1:22" x14ac:dyDescent="0.35">
      <c r="A2178" s="1">
        <v>42347.943738425929</v>
      </c>
      <c r="B2178" s="2">
        <v>5.5324074074074074E-2</v>
      </c>
      <c r="C2178" t="s">
        <v>3647</v>
      </c>
      <c r="D2178" t="s">
        <v>23</v>
      </c>
      <c r="E2178" t="s">
        <v>24</v>
      </c>
      <c r="F2178" t="s">
        <v>83</v>
      </c>
      <c r="G2178">
        <v>1711065</v>
      </c>
      <c r="H2178" t="s">
        <v>84</v>
      </c>
      <c r="I2178" t="s">
        <v>85</v>
      </c>
      <c r="J2178" t="str">
        <f>"9780520959156"</f>
        <v>9780520959156</v>
      </c>
      <c r="K2178" t="s">
        <v>3833</v>
      </c>
      <c r="L2178">
        <v>96</v>
      </c>
      <c r="O2178" t="s">
        <v>30</v>
      </c>
      <c r="P2178" t="s">
        <v>29</v>
      </c>
      <c r="Q2178" s="1">
        <v>42347.943738425929</v>
      </c>
      <c r="R2178">
        <v>7</v>
      </c>
      <c r="S2178" t="s">
        <v>31</v>
      </c>
      <c r="T2178" t="s">
        <v>87</v>
      </c>
      <c r="U2178" t="s">
        <v>88</v>
      </c>
      <c r="V2178" s="3">
        <v>41881</v>
      </c>
    </row>
    <row r="2179" spans="1:22" x14ac:dyDescent="0.35">
      <c r="A2179" s="1">
        <v>42347.935555555552</v>
      </c>
      <c r="B2179" s="2">
        <v>8.1828703703703699E-3</v>
      </c>
      <c r="C2179" t="s">
        <v>3647</v>
      </c>
      <c r="D2179" t="s">
        <v>23</v>
      </c>
      <c r="E2179" t="s">
        <v>24</v>
      </c>
      <c r="F2179" t="s">
        <v>83</v>
      </c>
      <c r="G2179">
        <v>1711065</v>
      </c>
      <c r="H2179" t="s">
        <v>84</v>
      </c>
      <c r="I2179" t="s">
        <v>85</v>
      </c>
      <c r="J2179" t="str">
        <f>"9780520959156"</f>
        <v>9780520959156</v>
      </c>
      <c r="K2179" t="s">
        <v>3834</v>
      </c>
      <c r="L2179">
        <v>13</v>
      </c>
      <c r="O2179" t="s">
        <v>30</v>
      </c>
      <c r="P2179" t="s">
        <v>42</v>
      </c>
      <c r="S2179" t="s">
        <v>31</v>
      </c>
      <c r="T2179" t="s">
        <v>87</v>
      </c>
      <c r="U2179" t="s">
        <v>88</v>
      </c>
      <c r="V2179" s="3">
        <v>41881</v>
      </c>
    </row>
    <row r="2180" spans="1:22" x14ac:dyDescent="0.35">
      <c r="A2180" s="1">
        <v>42347.935057870367</v>
      </c>
      <c r="B2180" s="2">
        <v>3.4722222222222222E-5</v>
      </c>
      <c r="C2180" t="s">
        <v>3835</v>
      </c>
      <c r="D2180" t="s">
        <v>35</v>
      </c>
      <c r="E2180" t="s">
        <v>36</v>
      </c>
      <c r="F2180" t="s">
        <v>3836</v>
      </c>
      <c r="G2180">
        <v>1344554</v>
      </c>
      <c r="H2180" t="s">
        <v>68</v>
      </c>
      <c r="I2180" t="s">
        <v>85</v>
      </c>
      <c r="J2180" t="str">
        <f>"9781136285516"</f>
        <v>9781136285516</v>
      </c>
      <c r="K2180" t="s">
        <v>3837</v>
      </c>
      <c r="L2180">
        <v>2</v>
      </c>
      <c r="O2180" t="s">
        <v>30</v>
      </c>
      <c r="P2180" t="s">
        <v>50</v>
      </c>
      <c r="S2180" t="s">
        <v>40</v>
      </c>
      <c r="T2180" t="s">
        <v>3838</v>
      </c>
      <c r="U2180">
        <v>363.32537000000002</v>
      </c>
      <c r="V2180" s="3">
        <v>41501</v>
      </c>
    </row>
    <row r="2181" spans="1:22" x14ac:dyDescent="0.35">
      <c r="A2181" s="1">
        <v>42347.934942129628</v>
      </c>
      <c r="B2181" s="2">
        <v>3.4722222222222222E-5</v>
      </c>
      <c r="C2181" t="s">
        <v>3835</v>
      </c>
      <c r="D2181" t="s">
        <v>35</v>
      </c>
      <c r="E2181" t="s">
        <v>36</v>
      </c>
      <c r="F2181" t="s">
        <v>3836</v>
      </c>
      <c r="G2181">
        <v>1344554</v>
      </c>
      <c r="H2181" t="s">
        <v>68</v>
      </c>
      <c r="I2181" t="s">
        <v>85</v>
      </c>
      <c r="J2181" t="str">
        <f>"9781136285516"</f>
        <v>9781136285516</v>
      </c>
      <c r="K2181" t="s">
        <v>1300</v>
      </c>
      <c r="L2181">
        <v>2</v>
      </c>
      <c r="O2181" t="s">
        <v>30</v>
      </c>
      <c r="P2181" t="s">
        <v>50</v>
      </c>
      <c r="S2181" t="s">
        <v>40</v>
      </c>
      <c r="T2181" t="s">
        <v>3838</v>
      </c>
      <c r="U2181">
        <v>363.32537000000002</v>
      </c>
      <c r="V2181" s="3">
        <v>41501</v>
      </c>
    </row>
    <row r="2182" spans="1:22" x14ac:dyDescent="0.35">
      <c r="A2182" s="1">
        <v>42347.919965277775</v>
      </c>
      <c r="B2182" s="2">
        <v>4.5138888888888892E-4</v>
      </c>
      <c r="C2182" t="s">
        <v>3826</v>
      </c>
      <c r="D2182" t="s">
        <v>261</v>
      </c>
      <c r="E2182" t="s">
        <v>262</v>
      </c>
      <c r="F2182" t="s">
        <v>3839</v>
      </c>
      <c r="G2182">
        <v>1979914</v>
      </c>
      <c r="H2182" t="s">
        <v>526</v>
      </c>
      <c r="I2182" t="s">
        <v>172</v>
      </c>
      <c r="J2182" t="str">
        <f>"9780226229195"</f>
        <v>9780226229195</v>
      </c>
      <c r="K2182" t="s">
        <v>3840</v>
      </c>
      <c r="L2182">
        <v>12</v>
      </c>
      <c r="O2182" t="s">
        <v>30</v>
      </c>
      <c r="P2182" t="s">
        <v>50</v>
      </c>
      <c r="S2182" t="s">
        <v>264</v>
      </c>
      <c r="T2182" t="s">
        <v>3841</v>
      </c>
      <c r="U2182" t="s">
        <v>3842</v>
      </c>
      <c r="V2182" s="3">
        <v>41983</v>
      </c>
    </row>
    <row r="2183" spans="1:22" x14ac:dyDescent="0.35">
      <c r="A2183" s="1">
        <v>42347.914317129631</v>
      </c>
      <c r="B2183" s="2">
        <v>3.4722222222222222E-5</v>
      </c>
      <c r="C2183" t="s">
        <v>3843</v>
      </c>
      <c r="D2183" t="s">
        <v>35</v>
      </c>
      <c r="E2183" t="s">
        <v>36</v>
      </c>
      <c r="F2183" t="s">
        <v>1285</v>
      </c>
      <c r="G2183">
        <v>979950</v>
      </c>
      <c r="H2183" t="s">
        <v>1286</v>
      </c>
      <c r="I2183" t="s">
        <v>310</v>
      </c>
      <c r="J2183" t="str">
        <f>"9781476600321"</f>
        <v>9781476600321</v>
      </c>
      <c r="K2183" t="s">
        <v>611</v>
      </c>
      <c r="L2183">
        <v>3</v>
      </c>
      <c r="O2183" t="s">
        <v>30</v>
      </c>
      <c r="P2183" t="s">
        <v>29</v>
      </c>
      <c r="Q2183" s="1">
        <v>42347.906111111108</v>
      </c>
      <c r="R2183">
        <v>7</v>
      </c>
      <c r="S2183" t="s">
        <v>40</v>
      </c>
      <c r="T2183" t="s">
        <v>1288</v>
      </c>
      <c r="U2183" t="s">
        <v>1289</v>
      </c>
      <c r="V2183" s="3">
        <v>41100</v>
      </c>
    </row>
    <row r="2184" spans="1:22" x14ac:dyDescent="0.35">
      <c r="A2184" s="1">
        <v>42347.908020833333</v>
      </c>
      <c r="B2184" s="2">
        <v>6.2500000000000001E-4</v>
      </c>
      <c r="C2184" t="s">
        <v>3844</v>
      </c>
      <c r="D2184" t="s">
        <v>23</v>
      </c>
      <c r="E2184" t="s">
        <v>24</v>
      </c>
      <c r="F2184" t="s">
        <v>3845</v>
      </c>
      <c r="G2184">
        <v>1986617</v>
      </c>
      <c r="H2184" t="s">
        <v>91</v>
      </c>
      <c r="I2184" t="s">
        <v>219</v>
      </c>
      <c r="J2184" t="str">
        <f>"9781462520398"</f>
        <v>9781462520398</v>
      </c>
      <c r="K2184" t="s">
        <v>3846</v>
      </c>
      <c r="L2184">
        <v>8</v>
      </c>
      <c r="O2184" t="s">
        <v>30</v>
      </c>
      <c r="P2184" t="s">
        <v>50</v>
      </c>
      <c r="S2184" t="s">
        <v>31</v>
      </c>
      <c r="T2184" t="s">
        <v>3847</v>
      </c>
      <c r="U2184" t="s">
        <v>3848</v>
      </c>
      <c r="V2184" s="3">
        <v>42178</v>
      </c>
    </row>
    <row r="2185" spans="1:22" x14ac:dyDescent="0.35">
      <c r="A2185" s="1">
        <v>42347.906111111108</v>
      </c>
      <c r="B2185" s="2">
        <v>0</v>
      </c>
      <c r="C2185" t="s">
        <v>3843</v>
      </c>
      <c r="D2185" t="s">
        <v>35</v>
      </c>
      <c r="E2185" t="s">
        <v>36</v>
      </c>
      <c r="F2185" t="s">
        <v>1285</v>
      </c>
      <c r="G2185">
        <v>979950</v>
      </c>
      <c r="H2185" t="s">
        <v>1286</v>
      </c>
      <c r="I2185" t="s">
        <v>310</v>
      </c>
      <c r="J2185" t="str">
        <f>"9781476600321"</f>
        <v>9781476600321</v>
      </c>
      <c r="L2185">
        <v>0</v>
      </c>
      <c r="N2185" t="s">
        <v>3849</v>
      </c>
      <c r="O2185" t="s">
        <v>30</v>
      </c>
      <c r="P2185" t="s">
        <v>29</v>
      </c>
      <c r="Q2185" s="1">
        <v>42347.906111111108</v>
      </c>
      <c r="R2185">
        <v>7</v>
      </c>
      <c r="S2185" t="s">
        <v>40</v>
      </c>
      <c r="T2185" t="s">
        <v>1288</v>
      </c>
      <c r="U2185" t="s">
        <v>1289</v>
      </c>
      <c r="V2185" s="3">
        <v>41100</v>
      </c>
    </row>
    <row r="2186" spans="1:22" x14ac:dyDescent="0.35">
      <c r="A2186" s="1">
        <v>42347.902499999997</v>
      </c>
      <c r="B2186" s="2">
        <v>3.6111111111111114E-3</v>
      </c>
      <c r="C2186" t="s">
        <v>3843</v>
      </c>
      <c r="D2186" t="s">
        <v>35</v>
      </c>
      <c r="E2186" t="s">
        <v>36</v>
      </c>
      <c r="F2186" t="s">
        <v>1285</v>
      </c>
      <c r="G2186">
        <v>979950</v>
      </c>
      <c r="H2186" t="s">
        <v>1286</v>
      </c>
      <c r="I2186" t="s">
        <v>310</v>
      </c>
      <c r="J2186" t="str">
        <f>"9781476600321"</f>
        <v>9781476600321</v>
      </c>
      <c r="K2186" t="s">
        <v>3850</v>
      </c>
      <c r="L2186">
        <v>18</v>
      </c>
      <c r="O2186" t="s">
        <v>30</v>
      </c>
      <c r="P2186" t="s">
        <v>42</v>
      </c>
      <c r="S2186" t="s">
        <v>40</v>
      </c>
      <c r="T2186" t="s">
        <v>1288</v>
      </c>
      <c r="U2186" t="s">
        <v>1289</v>
      </c>
      <c r="V2186" s="3">
        <v>41100</v>
      </c>
    </row>
    <row r="2187" spans="1:22" x14ac:dyDescent="0.35">
      <c r="A2187" s="1">
        <v>42347.886782407404</v>
      </c>
      <c r="B2187" s="2">
        <v>1.1030092592592591E-2</v>
      </c>
      <c r="C2187" t="s">
        <v>3297</v>
      </c>
      <c r="D2187" t="s">
        <v>23</v>
      </c>
      <c r="E2187" t="s">
        <v>24</v>
      </c>
      <c r="F2187" t="s">
        <v>3298</v>
      </c>
      <c r="G2187">
        <v>1742625</v>
      </c>
      <c r="H2187" t="s">
        <v>526</v>
      </c>
      <c r="I2187" t="s">
        <v>267</v>
      </c>
      <c r="J2187" t="str">
        <f>"9780226135250"</f>
        <v>9780226135250</v>
      </c>
      <c r="K2187" t="s">
        <v>3851</v>
      </c>
      <c r="L2187">
        <v>21</v>
      </c>
      <c r="O2187" t="s">
        <v>30</v>
      </c>
      <c r="P2187" t="s">
        <v>47</v>
      </c>
      <c r="Q2187" s="1">
        <v>42347.80537037037</v>
      </c>
      <c r="R2187">
        <v>1</v>
      </c>
      <c r="S2187" t="s">
        <v>31</v>
      </c>
      <c r="T2187" t="s">
        <v>3300</v>
      </c>
      <c r="U2187" t="s">
        <v>3301</v>
      </c>
      <c r="V2187" s="3">
        <v>41876</v>
      </c>
    </row>
    <row r="2188" spans="1:22" x14ac:dyDescent="0.35">
      <c r="A2188" s="1">
        <v>42347.850844907407</v>
      </c>
      <c r="B2188" s="2">
        <v>1.8634259259259261E-3</v>
      </c>
      <c r="C2188" t="s">
        <v>3852</v>
      </c>
      <c r="D2188" t="s">
        <v>35</v>
      </c>
      <c r="E2188" t="s">
        <v>36</v>
      </c>
      <c r="F2188" t="s">
        <v>3853</v>
      </c>
      <c r="G2188">
        <v>2089475</v>
      </c>
      <c r="H2188" t="s">
        <v>26</v>
      </c>
      <c r="I2188" t="s">
        <v>120</v>
      </c>
      <c r="J2188" t="str">
        <f>"9781119003656"</f>
        <v>9781119003656</v>
      </c>
      <c r="K2188" t="s">
        <v>3854</v>
      </c>
      <c r="L2188">
        <v>30</v>
      </c>
      <c r="O2188" t="s">
        <v>30</v>
      </c>
      <c r="P2188" t="s">
        <v>50</v>
      </c>
      <c r="S2188" t="s">
        <v>40</v>
      </c>
      <c r="T2188" t="s">
        <v>3855</v>
      </c>
      <c r="U2188" t="s">
        <v>3856</v>
      </c>
      <c r="V2188" s="3">
        <v>42191</v>
      </c>
    </row>
    <row r="2189" spans="1:22" x14ac:dyDescent="0.35">
      <c r="A2189" s="1">
        <v>42347.839375000003</v>
      </c>
      <c r="B2189" s="2">
        <v>5.0671296296296298E-2</v>
      </c>
      <c r="C2189" t="s">
        <v>471</v>
      </c>
      <c r="D2189" t="s">
        <v>211</v>
      </c>
      <c r="E2189" t="s">
        <v>212</v>
      </c>
      <c r="F2189" t="s">
        <v>497</v>
      </c>
      <c r="G2189">
        <v>1986951</v>
      </c>
      <c r="H2189" t="s">
        <v>26</v>
      </c>
      <c r="I2189" t="s">
        <v>97</v>
      </c>
      <c r="J2189" t="str">
        <f>"9781119130468"</f>
        <v>9781119130468</v>
      </c>
      <c r="K2189" t="s">
        <v>3857</v>
      </c>
      <c r="L2189">
        <v>46</v>
      </c>
      <c r="M2189" t="s">
        <v>3858</v>
      </c>
      <c r="O2189" t="s">
        <v>30</v>
      </c>
      <c r="P2189" t="s">
        <v>29</v>
      </c>
      <c r="Q2189" s="1">
        <v>42342.824803240743</v>
      </c>
      <c r="R2189">
        <v>7</v>
      </c>
      <c r="S2189" t="s">
        <v>214</v>
      </c>
      <c r="T2189" t="s">
        <v>500</v>
      </c>
      <c r="U2189">
        <v>657.07600000000002</v>
      </c>
      <c r="V2189" s="3">
        <v>42143</v>
      </c>
    </row>
    <row r="2190" spans="1:22" x14ac:dyDescent="0.35">
      <c r="A2190" s="1">
        <v>42347.826261574075</v>
      </c>
      <c r="B2190" s="2">
        <v>1.2708333333333334E-2</v>
      </c>
      <c r="C2190" t="s">
        <v>3859</v>
      </c>
      <c r="D2190" t="s">
        <v>23</v>
      </c>
      <c r="E2190" t="s">
        <v>24</v>
      </c>
      <c r="F2190" t="s">
        <v>3175</v>
      </c>
      <c r="G2190">
        <v>867850</v>
      </c>
      <c r="H2190" t="s">
        <v>492</v>
      </c>
      <c r="I2190" t="s">
        <v>172</v>
      </c>
      <c r="J2190" t="str">
        <f>"9781400834860"</f>
        <v>9781400834860</v>
      </c>
      <c r="K2190" t="s">
        <v>3860</v>
      </c>
      <c r="L2190">
        <v>23</v>
      </c>
      <c r="O2190" t="s">
        <v>30</v>
      </c>
      <c r="P2190" t="s">
        <v>42</v>
      </c>
      <c r="S2190" t="s">
        <v>31</v>
      </c>
      <c r="T2190" t="s">
        <v>3177</v>
      </c>
      <c r="U2190" t="s">
        <v>3178</v>
      </c>
      <c r="V2190" s="3">
        <v>40993</v>
      </c>
    </row>
    <row r="2191" spans="1:22" x14ac:dyDescent="0.35">
      <c r="A2191" s="1">
        <v>42347.820555555554</v>
      </c>
      <c r="B2191" s="2">
        <v>2.9328703703703704E-2</v>
      </c>
      <c r="C2191" t="s">
        <v>3861</v>
      </c>
      <c r="D2191" t="s">
        <v>35</v>
      </c>
      <c r="E2191" t="s">
        <v>36</v>
      </c>
      <c r="F2191" t="s">
        <v>3862</v>
      </c>
      <c r="G2191">
        <v>1969437</v>
      </c>
      <c r="H2191" t="s">
        <v>45</v>
      </c>
      <c r="I2191" t="s">
        <v>120</v>
      </c>
      <c r="J2191" t="str">
        <f>"9781472453358"</f>
        <v>9781472453358</v>
      </c>
      <c r="K2191" t="s">
        <v>3863</v>
      </c>
      <c r="L2191">
        <v>6</v>
      </c>
      <c r="O2191" t="s">
        <v>30</v>
      </c>
      <c r="P2191" t="s">
        <v>47</v>
      </c>
      <c r="Q2191" s="1">
        <v>42347.820555555554</v>
      </c>
      <c r="R2191">
        <v>1</v>
      </c>
      <c r="S2191" t="s">
        <v>40</v>
      </c>
      <c r="T2191" t="s">
        <v>3864</v>
      </c>
      <c r="U2191" t="s">
        <v>3865</v>
      </c>
      <c r="V2191" s="3">
        <v>42091</v>
      </c>
    </row>
    <row r="2192" spans="1:22" x14ac:dyDescent="0.35">
      <c r="A2192" s="1">
        <v>42347.816967592589</v>
      </c>
      <c r="B2192" s="2">
        <v>3.5879629629629629E-3</v>
      </c>
      <c r="C2192" t="s">
        <v>3861</v>
      </c>
      <c r="D2192" t="s">
        <v>35</v>
      </c>
      <c r="E2192" t="s">
        <v>36</v>
      </c>
      <c r="F2192" t="s">
        <v>3862</v>
      </c>
      <c r="G2192">
        <v>1969437</v>
      </c>
      <c r="H2192" t="s">
        <v>45</v>
      </c>
      <c r="I2192" t="s">
        <v>120</v>
      </c>
      <c r="J2192" t="str">
        <f>"9781472453358"</f>
        <v>9781472453358</v>
      </c>
      <c r="K2192" t="s">
        <v>3866</v>
      </c>
      <c r="L2192">
        <v>16</v>
      </c>
      <c r="O2192" t="s">
        <v>30</v>
      </c>
      <c r="P2192" t="s">
        <v>50</v>
      </c>
      <c r="S2192" t="s">
        <v>40</v>
      </c>
      <c r="T2192" t="s">
        <v>3864</v>
      </c>
      <c r="U2192" t="s">
        <v>3865</v>
      </c>
      <c r="V2192" s="3">
        <v>42091</v>
      </c>
    </row>
    <row r="2193" spans="1:22" x14ac:dyDescent="0.35">
      <c r="A2193" s="1">
        <v>42347.809849537036</v>
      </c>
      <c r="B2193" s="2">
        <v>1.0439814814814813E-2</v>
      </c>
      <c r="C2193" t="s">
        <v>3867</v>
      </c>
      <c r="D2193" t="s">
        <v>23</v>
      </c>
      <c r="E2193" t="s">
        <v>24</v>
      </c>
      <c r="F2193" t="s">
        <v>3630</v>
      </c>
      <c r="G2193">
        <v>2130028</v>
      </c>
      <c r="H2193" t="s">
        <v>526</v>
      </c>
      <c r="I2193" t="s">
        <v>3631</v>
      </c>
      <c r="J2193" t="str">
        <f>"9780226284453"</f>
        <v>9780226284453</v>
      </c>
      <c r="K2193" t="s">
        <v>3868</v>
      </c>
      <c r="L2193">
        <v>4</v>
      </c>
      <c r="O2193" t="s">
        <v>30</v>
      </c>
      <c r="P2193" t="s">
        <v>47</v>
      </c>
      <c r="Q2193" s="1">
        <v>42347.809849537036</v>
      </c>
      <c r="R2193">
        <v>1</v>
      </c>
      <c r="S2193" t="s">
        <v>31</v>
      </c>
      <c r="T2193" t="s">
        <v>3633</v>
      </c>
      <c r="U2193">
        <v>333.91009730000002</v>
      </c>
      <c r="V2193" s="3">
        <v>42272</v>
      </c>
    </row>
    <row r="2194" spans="1:22" x14ac:dyDescent="0.35">
      <c r="A2194" s="1">
        <v>42347.805960648147</v>
      </c>
      <c r="B2194" s="2">
        <v>3.8888888888888883E-3</v>
      </c>
      <c r="C2194" t="s">
        <v>3867</v>
      </c>
      <c r="D2194" t="s">
        <v>23</v>
      </c>
      <c r="E2194" t="s">
        <v>24</v>
      </c>
      <c r="F2194" t="s">
        <v>3630</v>
      </c>
      <c r="G2194">
        <v>2130028</v>
      </c>
      <c r="H2194" t="s">
        <v>526</v>
      </c>
      <c r="I2194" t="s">
        <v>3631</v>
      </c>
      <c r="J2194" t="str">
        <f>"9780226284453"</f>
        <v>9780226284453</v>
      </c>
      <c r="K2194" t="s">
        <v>3869</v>
      </c>
      <c r="L2194">
        <v>16</v>
      </c>
      <c r="O2194" t="s">
        <v>30</v>
      </c>
      <c r="P2194" t="s">
        <v>50</v>
      </c>
      <c r="S2194" t="s">
        <v>31</v>
      </c>
      <c r="T2194" t="s">
        <v>3633</v>
      </c>
      <c r="U2194">
        <v>333.91009730000002</v>
      </c>
      <c r="V2194" s="3">
        <v>42272</v>
      </c>
    </row>
    <row r="2195" spans="1:22" x14ac:dyDescent="0.35">
      <c r="A2195" s="1">
        <v>42347.80537037037</v>
      </c>
      <c r="B2195" s="2">
        <v>4.3981481481481481E-4</v>
      </c>
      <c r="C2195" t="s">
        <v>3297</v>
      </c>
      <c r="D2195" t="s">
        <v>23</v>
      </c>
      <c r="E2195" t="s">
        <v>24</v>
      </c>
      <c r="F2195" t="s">
        <v>3298</v>
      </c>
      <c r="G2195">
        <v>1742625</v>
      </c>
      <c r="H2195" t="s">
        <v>526</v>
      </c>
      <c r="I2195" t="s">
        <v>267</v>
      </c>
      <c r="J2195" t="str">
        <f>"9780226135250"</f>
        <v>9780226135250</v>
      </c>
      <c r="K2195" t="s">
        <v>3870</v>
      </c>
      <c r="L2195">
        <v>6</v>
      </c>
      <c r="O2195" t="s">
        <v>30</v>
      </c>
      <c r="P2195" t="s">
        <v>47</v>
      </c>
      <c r="Q2195" s="1">
        <v>42347.80537037037</v>
      </c>
      <c r="R2195">
        <v>1</v>
      </c>
      <c r="S2195" t="s">
        <v>31</v>
      </c>
      <c r="T2195" t="s">
        <v>3300</v>
      </c>
      <c r="U2195" t="s">
        <v>3301</v>
      </c>
      <c r="V2195" s="3">
        <v>41876</v>
      </c>
    </row>
    <row r="2196" spans="1:22" x14ac:dyDescent="0.35">
      <c r="A2196" s="1">
        <v>42347.783113425925</v>
      </c>
      <c r="B2196" s="2">
        <v>2.225694444444444E-2</v>
      </c>
      <c r="C2196" t="s">
        <v>3297</v>
      </c>
      <c r="D2196" t="s">
        <v>23</v>
      </c>
      <c r="E2196" t="s">
        <v>24</v>
      </c>
      <c r="F2196" t="s">
        <v>3298</v>
      </c>
      <c r="G2196">
        <v>1742625</v>
      </c>
      <c r="H2196" t="s">
        <v>526</v>
      </c>
      <c r="I2196" t="s">
        <v>267</v>
      </c>
      <c r="J2196" t="str">
        <f>"9780226135250"</f>
        <v>9780226135250</v>
      </c>
      <c r="K2196" t="s">
        <v>3871</v>
      </c>
      <c r="L2196">
        <v>13</v>
      </c>
      <c r="O2196" t="s">
        <v>30</v>
      </c>
      <c r="P2196" t="s">
        <v>50</v>
      </c>
      <c r="S2196" t="s">
        <v>31</v>
      </c>
      <c r="T2196" t="s">
        <v>3300</v>
      </c>
      <c r="U2196" t="s">
        <v>3301</v>
      </c>
      <c r="V2196" s="3">
        <v>41876</v>
      </c>
    </row>
    <row r="2197" spans="1:22" x14ac:dyDescent="0.35">
      <c r="A2197" s="1">
        <v>42347.781134259261</v>
      </c>
      <c r="B2197" s="2">
        <v>2.1550925925925928E-2</v>
      </c>
      <c r="C2197" t="s">
        <v>3872</v>
      </c>
      <c r="D2197" t="s">
        <v>23</v>
      </c>
      <c r="E2197" t="s">
        <v>24</v>
      </c>
      <c r="F2197" t="s">
        <v>3830</v>
      </c>
      <c r="G2197">
        <v>832297</v>
      </c>
      <c r="H2197" t="s">
        <v>26</v>
      </c>
      <c r="I2197" t="s">
        <v>172</v>
      </c>
      <c r="J2197" t="str">
        <f>"9781118300947"</f>
        <v>9781118300947</v>
      </c>
      <c r="K2197" t="s">
        <v>3873</v>
      </c>
      <c r="L2197">
        <v>21</v>
      </c>
      <c r="O2197" t="s">
        <v>30</v>
      </c>
      <c r="P2197" t="s">
        <v>29</v>
      </c>
      <c r="Q2197" s="1">
        <v>42347.734537037039</v>
      </c>
      <c r="R2197">
        <v>7</v>
      </c>
      <c r="S2197" t="s">
        <v>31</v>
      </c>
      <c r="T2197" t="s">
        <v>3831</v>
      </c>
      <c r="U2197">
        <v>938</v>
      </c>
      <c r="V2197" s="3">
        <v>40896</v>
      </c>
    </row>
    <row r="2198" spans="1:22" x14ac:dyDescent="0.35">
      <c r="A2198" s="1">
        <v>42347.757152777776</v>
      </c>
      <c r="B2198" s="2">
        <v>8.0787037037037032E-2</v>
      </c>
      <c r="C2198" t="s">
        <v>3874</v>
      </c>
      <c r="D2198" t="s">
        <v>261</v>
      </c>
      <c r="E2198" t="s">
        <v>262</v>
      </c>
      <c r="F2198" t="s">
        <v>3875</v>
      </c>
      <c r="G2198">
        <v>917254</v>
      </c>
      <c r="H2198" t="s">
        <v>91</v>
      </c>
      <c r="I2198" t="s">
        <v>247</v>
      </c>
      <c r="J2198" t="str">
        <f>"9781462505067"</f>
        <v>9781462505067</v>
      </c>
      <c r="K2198" t="s">
        <v>3876</v>
      </c>
      <c r="L2198">
        <v>62</v>
      </c>
      <c r="O2198" t="s">
        <v>30</v>
      </c>
      <c r="P2198" t="s">
        <v>29</v>
      </c>
      <c r="Q2198" s="1">
        <v>42347.757141203707</v>
      </c>
      <c r="R2198">
        <v>7</v>
      </c>
      <c r="S2198" t="s">
        <v>264</v>
      </c>
      <c r="T2198" t="s">
        <v>3877</v>
      </c>
      <c r="U2198">
        <v>618.92858820000004</v>
      </c>
      <c r="V2198" s="3">
        <v>41773</v>
      </c>
    </row>
    <row r="2199" spans="1:22" x14ac:dyDescent="0.35">
      <c r="A2199" s="1">
        <v>42347.743657407409</v>
      </c>
      <c r="B2199" s="2">
        <v>1.273148148148148E-4</v>
      </c>
      <c r="C2199" t="s">
        <v>3878</v>
      </c>
      <c r="D2199" t="s">
        <v>158</v>
      </c>
      <c r="E2199" t="s">
        <v>159</v>
      </c>
      <c r="F2199" t="s">
        <v>3879</v>
      </c>
      <c r="G2199">
        <v>4039175</v>
      </c>
      <c r="H2199" t="s">
        <v>26</v>
      </c>
      <c r="I2199" t="s">
        <v>310</v>
      </c>
      <c r="J2199" t="str">
        <f>"9781118843185"</f>
        <v>9781118843185</v>
      </c>
      <c r="K2199" t="s">
        <v>3880</v>
      </c>
      <c r="L2199">
        <v>8</v>
      </c>
      <c r="O2199" t="s">
        <v>30</v>
      </c>
      <c r="P2199" t="s">
        <v>50</v>
      </c>
      <c r="S2199" t="s">
        <v>163</v>
      </c>
      <c r="T2199" t="s">
        <v>3881</v>
      </c>
      <c r="U2199">
        <v>820.9008</v>
      </c>
      <c r="V2199" s="3">
        <v>42072</v>
      </c>
    </row>
    <row r="2200" spans="1:22" x14ac:dyDescent="0.35">
      <c r="A2200" s="1">
        <v>42347.734548611108</v>
      </c>
      <c r="B2200" s="2">
        <v>4.1944444444444444E-2</v>
      </c>
      <c r="C2200" t="s">
        <v>3872</v>
      </c>
      <c r="D2200" t="s">
        <v>23</v>
      </c>
      <c r="E2200" t="s">
        <v>24</v>
      </c>
      <c r="F2200" t="s">
        <v>3830</v>
      </c>
      <c r="G2200">
        <v>832297</v>
      </c>
      <c r="H2200" t="s">
        <v>26</v>
      </c>
      <c r="I2200" t="s">
        <v>172</v>
      </c>
      <c r="J2200" t="str">
        <f>"9781118300947"</f>
        <v>9781118300947</v>
      </c>
      <c r="K2200" t="s">
        <v>3882</v>
      </c>
      <c r="L2200">
        <v>10</v>
      </c>
      <c r="O2200" t="s">
        <v>30</v>
      </c>
      <c r="P2200" t="s">
        <v>29</v>
      </c>
      <c r="Q2200" s="1">
        <v>42347.734537037039</v>
      </c>
      <c r="R2200">
        <v>7</v>
      </c>
      <c r="S2200" t="s">
        <v>31</v>
      </c>
      <c r="T2200" t="s">
        <v>3831</v>
      </c>
      <c r="U2200">
        <v>938</v>
      </c>
      <c r="V2200" s="3">
        <v>40896</v>
      </c>
    </row>
    <row r="2201" spans="1:22" x14ac:dyDescent="0.35">
      <c r="A2201" s="1">
        <v>42347.728576388887</v>
      </c>
      <c r="B2201" s="2">
        <v>5.9606481481481489E-3</v>
      </c>
      <c r="C2201" t="s">
        <v>3872</v>
      </c>
      <c r="D2201" t="s">
        <v>23</v>
      </c>
      <c r="E2201" t="s">
        <v>24</v>
      </c>
      <c r="F2201" t="s">
        <v>3830</v>
      </c>
      <c r="G2201">
        <v>832297</v>
      </c>
      <c r="H2201" t="s">
        <v>26</v>
      </c>
      <c r="I2201" t="s">
        <v>172</v>
      </c>
      <c r="J2201" t="str">
        <f>"9781118300947"</f>
        <v>9781118300947</v>
      </c>
      <c r="K2201" t="s">
        <v>3883</v>
      </c>
      <c r="L2201">
        <v>8</v>
      </c>
      <c r="O2201" t="s">
        <v>30</v>
      </c>
      <c r="P2201" t="s">
        <v>42</v>
      </c>
      <c r="S2201" t="s">
        <v>31</v>
      </c>
      <c r="T2201" t="s">
        <v>3831</v>
      </c>
      <c r="U2201">
        <v>938</v>
      </c>
      <c r="V2201" s="3">
        <v>40896</v>
      </c>
    </row>
    <row r="2202" spans="1:22" x14ac:dyDescent="0.35">
      <c r="A2202" s="1">
        <v>42347.727418981478</v>
      </c>
      <c r="B2202" s="2">
        <v>4.9513888888888892E-2</v>
      </c>
      <c r="C2202" t="s">
        <v>3884</v>
      </c>
      <c r="D2202" t="s">
        <v>261</v>
      </c>
      <c r="E2202" t="s">
        <v>262</v>
      </c>
      <c r="F2202" t="s">
        <v>3885</v>
      </c>
      <c r="G2202">
        <v>1935791</v>
      </c>
      <c r="H2202" t="s">
        <v>26</v>
      </c>
      <c r="I2202" t="s">
        <v>108</v>
      </c>
      <c r="J2202" t="str">
        <f>"9781118909935"</f>
        <v>9781118909935</v>
      </c>
      <c r="K2202" t="s">
        <v>3886</v>
      </c>
      <c r="L2202">
        <v>22</v>
      </c>
      <c r="O2202" t="s">
        <v>30</v>
      </c>
      <c r="P2202" t="s">
        <v>29</v>
      </c>
      <c r="Q2202" s="1">
        <v>42345.988576388889</v>
      </c>
      <c r="R2202">
        <v>7</v>
      </c>
      <c r="S2202" t="s">
        <v>264</v>
      </c>
      <c r="T2202" t="s">
        <v>3887</v>
      </c>
      <c r="U2202">
        <v>338.95100000000002</v>
      </c>
      <c r="V2202" s="3">
        <v>41995</v>
      </c>
    </row>
    <row r="2203" spans="1:22" x14ac:dyDescent="0.35">
      <c r="A2203" s="1">
        <v>42347.722569444442</v>
      </c>
      <c r="B2203" s="2">
        <v>3.2175925925925926E-3</v>
      </c>
      <c r="C2203" t="s">
        <v>3878</v>
      </c>
      <c r="D2203" t="s">
        <v>158</v>
      </c>
      <c r="E2203" t="s">
        <v>159</v>
      </c>
      <c r="F2203" t="s">
        <v>3888</v>
      </c>
      <c r="G2203">
        <v>4039690</v>
      </c>
      <c r="H2203" t="s">
        <v>26</v>
      </c>
      <c r="I2203" t="s">
        <v>310</v>
      </c>
      <c r="J2203" t="str">
        <f>"9781118902158"</f>
        <v>9781118902158</v>
      </c>
      <c r="K2203" t="s">
        <v>3889</v>
      </c>
      <c r="L2203">
        <v>20</v>
      </c>
      <c r="O2203" t="s">
        <v>30</v>
      </c>
      <c r="P2203" t="s">
        <v>29</v>
      </c>
      <c r="Q2203" s="1">
        <v>42347.722569444442</v>
      </c>
      <c r="R2203">
        <v>7</v>
      </c>
      <c r="S2203" t="s">
        <v>163</v>
      </c>
      <c r="T2203" t="s">
        <v>3890</v>
      </c>
      <c r="U2203" t="s">
        <v>3891</v>
      </c>
      <c r="V2203" s="3">
        <v>42256</v>
      </c>
    </row>
    <row r="2204" spans="1:22" x14ac:dyDescent="0.35">
      <c r="A2204" s="1">
        <v>42347.717650462961</v>
      </c>
      <c r="B2204" s="2">
        <v>4.9189814814814816E-3</v>
      </c>
      <c r="C2204" t="s">
        <v>3878</v>
      </c>
      <c r="D2204" t="s">
        <v>158</v>
      </c>
      <c r="E2204" t="s">
        <v>159</v>
      </c>
      <c r="F2204" t="s">
        <v>3888</v>
      </c>
      <c r="G2204">
        <v>4039690</v>
      </c>
      <c r="H2204" t="s">
        <v>26</v>
      </c>
      <c r="I2204" t="s">
        <v>310</v>
      </c>
      <c r="J2204" t="str">
        <f>"9781118902158"</f>
        <v>9781118902158</v>
      </c>
      <c r="K2204" t="s">
        <v>3892</v>
      </c>
      <c r="L2204">
        <v>6</v>
      </c>
      <c r="O2204" t="s">
        <v>30</v>
      </c>
      <c r="P2204" t="s">
        <v>50</v>
      </c>
      <c r="S2204" t="s">
        <v>163</v>
      </c>
      <c r="T2204" t="s">
        <v>3890</v>
      </c>
      <c r="U2204" t="s">
        <v>3891</v>
      </c>
      <c r="V2204" s="3">
        <v>42256</v>
      </c>
    </row>
    <row r="2205" spans="1:22" x14ac:dyDescent="0.35">
      <c r="A2205" s="1">
        <v>42347.715937499997</v>
      </c>
      <c r="B2205" s="2">
        <v>4.1203703703703708E-2</v>
      </c>
      <c r="C2205" t="s">
        <v>3874</v>
      </c>
      <c r="D2205" t="s">
        <v>261</v>
      </c>
      <c r="E2205" t="s">
        <v>262</v>
      </c>
      <c r="F2205" t="s">
        <v>3875</v>
      </c>
      <c r="G2205">
        <v>917254</v>
      </c>
      <c r="H2205" t="s">
        <v>91</v>
      </c>
      <c r="I2205" t="s">
        <v>247</v>
      </c>
      <c r="J2205" t="str">
        <f>"9781462505067"</f>
        <v>9781462505067</v>
      </c>
      <c r="K2205" t="s">
        <v>3893</v>
      </c>
      <c r="L2205">
        <v>8</v>
      </c>
      <c r="O2205" t="s">
        <v>30</v>
      </c>
      <c r="P2205" t="s">
        <v>42</v>
      </c>
      <c r="S2205" t="s">
        <v>264</v>
      </c>
      <c r="T2205" t="s">
        <v>3877</v>
      </c>
      <c r="U2205">
        <v>618.92858820000004</v>
      </c>
      <c r="V2205" s="3">
        <v>41773</v>
      </c>
    </row>
    <row r="2206" spans="1:22" x14ac:dyDescent="0.35">
      <c r="A2206" s="1">
        <v>42347.714189814818</v>
      </c>
      <c r="B2206" s="2">
        <v>2.9282407407407412E-3</v>
      </c>
      <c r="C2206" t="s">
        <v>3878</v>
      </c>
      <c r="D2206" t="s">
        <v>158</v>
      </c>
      <c r="E2206" t="s">
        <v>159</v>
      </c>
      <c r="F2206" t="s">
        <v>3894</v>
      </c>
      <c r="G2206">
        <v>1461134</v>
      </c>
      <c r="H2206" t="s">
        <v>68</v>
      </c>
      <c r="I2206" t="s">
        <v>310</v>
      </c>
      <c r="J2206" t="str">
        <f>"9781135052980"</f>
        <v>9781135052980</v>
      </c>
      <c r="K2206" t="s">
        <v>3895</v>
      </c>
      <c r="L2206">
        <v>7</v>
      </c>
      <c r="O2206" t="s">
        <v>30</v>
      </c>
      <c r="P2206" t="s">
        <v>47</v>
      </c>
      <c r="Q2206" s="1">
        <v>42347.714189814818</v>
      </c>
      <c r="R2206">
        <v>1</v>
      </c>
      <c r="S2206" t="s">
        <v>163</v>
      </c>
      <c r="T2206" t="s">
        <v>3896</v>
      </c>
      <c r="U2206">
        <v>801</v>
      </c>
      <c r="V2206" s="3">
        <v>41555</v>
      </c>
    </row>
    <row r="2207" spans="1:22" x14ac:dyDescent="0.35">
      <c r="A2207" s="1">
        <v>42347.710532407407</v>
      </c>
      <c r="B2207" s="2">
        <v>3.6574074074074074E-3</v>
      </c>
      <c r="C2207" t="s">
        <v>3878</v>
      </c>
      <c r="D2207" t="s">
        <v>158</v>
      </c>
      <c r="E2207" t="s">
        <v>159</v>
      </c>
      <c r="F2207" t="s">
        <v>3894</v>
      </c>
      <c r="G2207">
        <v>1461134</v>
      </c>
      <c r="H2207" t="s">
        <v>68</v>
      </c>
      <c r="I2207" t="s">
        <v>310</v>
      </c>
      <c r="J2207" t="str">
        <f>"9781135052980"</f>
        <v>9781135052980</v>
      </c>
      <c r="K2207" t="s">
        <v>3897</v>
      </c>
      <c r="L2207">
        <v>36</v>
      </c>
      <c r="O2207" t="s">
        <v>30</v>
      </c>
      <c r="P2207" t="s">
        <v>50</v>
      </c>
      <c r="S2207" t="s">
        <v>163</v>
      </c>
      <c r="T2207" t="s">
        <v>3896</v>
      </c>
      <c r="U2207">
        <v>801</v>
      </c>
      <c r="V2207" s="3">
        <v>41555</v>
      </c>
    </row>
    <row r="2208" spans="1:22" x14ac:dyDescent="0.35">
      <c r="A2208" s="1">
        <v>42347.702870370369</v>
      </c>
      <c r="B2208" s="2">
        <v>1.6666666666666668E-3</v>
      </c>
      <c r="C2208" t="s">
        <v>3898</v>
      </c>
      <c r="D2208" t="s">
        <v>35</v>
      </c>
      <c r="E2208" t="s">
        <v>36</v>
      </c>
      <c r="F2208" t="s">
        <v>3899</v>
      </c>
      <c r="G2208">
        <v>3039551</v>
      </c>
      <c r="H2208" t="s">
        <v>613</v>
      </c>
      <c r="I2208" t="s">
        <v>172</v>
      </c>
      <c r="J2208" t="str">
        <f>"9781469623184"</f>
        <v>9781469623184</v>
      </c>
      <c r="K2208" t="s">
        <v>3900</v>
      </c>
      <c r="L2208">
        <v>10</v>
      </c>
      <c r="O2208" t="s">
        <v>30</v>
      </c>
      <c r="P2208" t="s">
        <v>47</v>
      </c>
      <c r="Q2208" s="1">
        <v>42347.615995370368</v>
      </c>
      <c r="R2208">
        <v>1</v>
      </c>
      <c r="S2208" t="s">
        <v>40</v>
      </c>
      <c r="T2208" t="s">
        <v>3901</v>
      </c>
      <c r="U2208" t="s">
        <v>3902</v>
      </c>
      <c r="V2208" s="3">
        <v>42125</v>
      </c>
    </row>
    <row r="2209" spans="1:22" x14ac:dyDescent="0.35">
      <c r="A2209" s="1">
        <v>42347.701898148145</v>
      </c>
      <c r="B2209" s="2">
        <v>2.4305555555555552E-4</v>
      </c>
      <c r="C2209" t="s">
        <v>3898</v>
      </c>
      <c r="D2209" t="s">
        <v>35</v>
      </c>
      <c r="E2209" t="s">
        <v>36</v>
      </c>
      <c r="F2209" t="s">
        <v>3903</v>
      </c>
      <c r="G2209">
        <v>1562532</v>
      </c>
      <c r="H2209" t="s">
        <v>68</v>
      </c>
      <c r="I2209" t="s">
        <v>172</v>
      </c>
      <c r="J2209" t="str">
        <f>"9781317882411"</f>
        <v>9781317882411</v>
      </c>
      <c r="K2209" t="s">
        <v>3904</v>
      </c>
      <c r="L2209">
        <v>3</v>
      </c>
      <c r="O2209" t="s">
        <v>30</v>
      </c>
      <c r="P2209" t="s">
        <v>50</v>
      </c>
      <c r="S2209" t="s">
        <v>40</v>
      </c>
      <c r="T2209" t="s">
        <v>3905</v>
      </c>
      <c r="U2209">
        <v>973.7</v>
      </c>
      <c r="V2209" s="3">
        <v>41592</v>
      </c>
    </row>
    <row r="2210" spans="1:22" x14ac:dyDescent="0.35">
      <c r="A2210" s="1">
        <v>42347.700578703705</v>
      </c>
      <c r="B2210" s="2">
        <v>0</v>
      </c>
      <c r="C2210" t="s">
        <v>3740</v>
      </c>
      <c r="D2210" t="s">
        <v>35</v>
      </c>
      <c r="E2210" t="s">
        <v>36</v>
      </c>
      <c r="F2210" t="s">
        <v>3741</v>
      </c>
      <c r="G2210">
        <v>837573</v>
      </c>
      <c r="H2210" t="s">
        <v>26</v>
      </c>
      <c r="I2210" t="s">
        <v>120</v>
      </c>
      <c r="J2210" t="str">
        <f>"9781444354805"</f>
        <v>9781444354805</v>
      </c>
      <c r="L2210">
        <v>0</v>
      </c>
      <c r="O2210" t="s">
        <v>28</v>
      </c>
      <c r="P2210" t="s">
        <v>29</v>
      </c>
      <c r="Q2210" s="1">
        <v>42347.677060185182</v>
      </c>
      <c r="R2210">
        <v>7</v>
      </c>
      <c r="S2210" t="s">
        <v>40</v>
      </c>
      <c r="T2210" t="s">
        <v>3744</v>
      </c>
      <c r="U2210">
        <v>305.40929999999997</v>
      </c>
      <c r="V2210" s="3">
        <v>40917</v>
      </c>
    </row>
    <row r="2211" spans="1:22" x14ac:dyDescent="0.35">
      <c r="A2211" s="1">
        <v>42347.697928240741</v>
      </c>
      <c r="B2211" s="2">
        <v>4.0509259259259258E-4</v>
      </c>
      <c r="C2211" t="s">
        <v>3906</v>
      </c>
      <c r="D2211" t="s">
        <v>35</v>
      </c>
      <c r="E2211" t="s">
        <v>36</v>
      </c>
      <c r="F2211" t="s">
        <v>37</v>
      </c>
      <c r="G2211">
        <v>1684620</v>
      </c>
      <c r="H2211" t="s">
        <v>26</v>
      </c>
      <c r="I2211" t="s">
        <v>38</v>
      </c>
      <c r="J2211" t="str">
        <f>"9781118418925"</f>
        <v>9781118418925</v>
      </c>
      <c r="K2211" t="s">
        <v>3907</v>
      </c>
      <c r="L2211">
        <v>9</v>
      </c>
      <c r="O2211" t="s">
        <v>30</v>
      </c>
      <c r="P2211" t="s">
        <v>29</v>
      </c>
      <c r="Q2211" s="1">
        <v>42344.04792824074</v>
      </c>
      <c r="R2211">
        <v>7</v>
      </c>
      <c r="S2211" t="s">
        <v>40</v>
      </c>
      <c r="T2211" t="s">
        <v>41</v>
      </c>
      <c r="U2211">
        <v>362.10680000000002</v>
      </c>
      <c r="V2211" s="3">
        <v>41759</v>
      </c>
    </row>
    <row r="2212" spans="1:22" x14ac:dyDescent="0.35">
      <c r="A2212" s="1">
        <v>42347.697581018518</v>
      </c>
      <c r="B2212" s="2">
        <v>3.1828703703703702E-3</v>
      </c>
      <c r="C2212" t="s">
        <v>3898</v>
      </c>
      <c r="D2212" t="s">
        <v>35</v>
      </c>
      <c r="E2212" t="s">
        <v>36</v>
      </c>
      <c r="F2212" t="s">
        <v>3899</v>
      </c>
      <c r="G2212">
        <v>3039551</v>
      </c>
      <c r="H2212" t="s">
        <v>613</v>
      </c>
      <c r="I2212" t="s">
        <v>172</v>
      </c>
      <c r="J2212" t="str">
        <f>"9781469623184"</f>
        <v>9781469623184</v>
      </c>
      <c r="K2212" t="s">
        <v>3908</v>
      </c>
      <c r="L2212">
        <v>40</v>
      </c>
      <c r="O2212" t="s">
        <v>30</v>
      </c>
      <c r="P2212" t="s">
        <v>47</v>
      </c>
      <c r="Q2212" s="1">
        <v>42347.615995370368</v>
      </c>
      <c r="R2212">
        <v>1</v>
      </c>
      <c r="S2212" t="s">
        <v>40</v>
      </c>
      <c r="T2212" t="s">
        <v>3901</v>
      </c>
      <c r="U2212" t="s">
        <v>3902</v>
      </c>
      <c r="V2212" s="3">
        <v>42125</v>
      </c>
    </row>
    <row r="2213" spans="1:22" x14ac:dyDescent="0.35">
      <c r="A2213" s="1">
        <v>42347.684710648151</v>
      </c>
      <c r="B2213" s="2">
        <v>1.2152777777777778E-3</v>
      </c>
      <c r="C2213" t="s">
        <v>3712</v>
      </c>
      <c r="D2213" t="s">
        <v>23</v>
      </c>
      <c r="E2213" t="s">
        <v>24</v>
      </c>
      <c r="F2213" t="s">
        <v>3909</v>
      </c>
      <c r="G2213">
        <v>1890993</v>
      </c>
      <c r="H2213" t="s">
        <v>26</v>
      </c>
      <c r="I2213" t="s">
        <v>247</v>
      </c>
      <c r="J2213" t="str">
        <f>"9781118939161"</f>
        <v>9781118939161</v>
      </c>
      <c r="K2213" t="s">
        <v>3910</v>
      </c>
      <c r="L2213">
        <v>28</v>
      </c>
      <c r="O2213" t="s">
        <v>30</v>
      </c>
      <c r="P2213" t="s">
        <v>42</v>
      </c>
      <c r="S2213" t="s">
        <v>31</v>
      </c>
      <c r="T2213" t="s">
        <v>3911</v>
      </c>
      <c r="U2213">
        <v>616.02800000000002</v>
      </c>
      <c r="V2213" s="3">
        <v>41984</v>
      </c>
    </row>
    <row r="2214" spans="1:22" x14ac:dyDescent="0.35">
      <c r="A2214" s="1">
        <v>42347.678981481484</v>
      </c>
      <c r="B2214" s="2">
        <v>3.0092592592592595E-4</v>
      </c>
      <c r="C2214" t="s">
        <v>3712</v>
      </c>
      <c r="D2214" t="s">
        <v>23</v>
      </c>
      <c r="E2214" t="s">
        <v>24</v>
      </c>
      <c r="F2214" t="s">
        <v>3912</v>
      </c>
      <c r="G2214">
        <v>1823054</v>
      </c>
      <c r="H2214" t="s">
        <v>26</v>
      </c>
      <c r="I2214" t="s">
        <v>3913</v>
      </c>
      <c r="J2214" t="str">
        <f>"9781118690314"</f>
        <v>9781118690314</v>
      </c>
      <c r="K2214" t="s">
        <v>3914</v>
      </c>
      <c r="L2214">
        <v>14</v>
      </c>
      <c r="O2214" t="s">
        <v>30</v>
      </c>
      <c r="P2214" t="s">
        <v>42</v>
      </c>
      <c r="S2214" t="s">
        <v>31</v>
      </c>
      <c r="T2214" t="s">
        <v>3915</v>
      </c>
      <c r="U2214">
        <v>610.73649999999998</v>
      </c>
      <c r="V2214" s="3">
        <v>41932</v>
      </c>
    </row>
    <row r="2215" spans="1:22" x14ac:dyDescent="0.35">
      <c r="A2215" s="1">
        <v>42347.677060185182</v>
      </c>
      <c r="B2215" s="2">
        <v>2.1666666666666667E-2</v>
      </c>
      <c r="C2215" t="s">
        <v>3740</v>
      </c>
      <c r="D2215" t="s">
        <v>35</v>
      </c>
      <c r="E2215" t="s">
        <v>36</v>
      </c>
      <c r="F2215" t="s">
        <v>3741</v>
      </c>
      <c r="G2215">
        <v>837573</v>
      </c>
      <c r="H2215" t="s">
        <v>26</v>
      </c>
      <c r="I2215" t="s">
        <v>120</v>
      </c>
      <c r="J2215" t="str">
        <f>"9781444354805"</f>
        <v>9781444354805</v>
      </c>
      <c r="K2215" t="s">
        <v>3916</v>
      </c>
      <c r="L2215">
        <v>9</v>
      </c>
      <c r="M2215" t="s">
        <v>3917</v>
      </c>
      <c r="O2215" t="s">
        <v>30</v>
      </c>
      <c r="P2215" t="s">
        <v>29</v>
      </c>
      <c r="Q2215" s="1">
        <v>42347.677060185182</v>
      </c>
      <c r="R2215">
        <v>7</v>
      </c>
      <c r="S2215" t="s">
        <v>40</v>
      </c>
      <c r="T2215" t="s">
        <v>3744</v>
      </c>
      <c r="U2215">
        <v>305.40929999999997</v>
      </c>
      <c r="V2215" s="3">
        <v>40917</v>
      </c>
    </row>
    <row r="2216" spans="1:22" x14ac:dyDescent="0.35">
      <c r="A2216" s="1">
        <v>42347.663495370369</v>
      </c>
      <c r="B2216" s="2">
        <v>1.3564814814814816E-2</v>
      </c>
      <c r="C2216" t="s">
        <v>3740</v>
      </c>
      <c r="D2216" t="s">
        <v>35</v>
      </c>
      <c r="E2216" t="s">
        <v>36</v>
      </c>
      <c r="F2216" t="s">
        <v>3741</v>
      </c>
      <c r="G2216">
        <v>837573</v>
      </c>
      <c r="H2216" t="s">
        <v>26</v>
      </c>
      <c r="I2216" t="s">
        <v>120</v>
      </c>
      <c r="J2216" t="str">
        <f>"9781444354805"</f>
        <v>9781444354805</v>
      </c>
      <c r="K2216" t="s">
        <v>3918</v>
      </c>
      <c r="L2216">
        <v>20</v>
      </c>
      <c r="O2216" t="s">
        <v>30</v>
      </c>
      <c r="P2216" t="s">
        <v>42</v>
      </c>
      <c r="S2216" t="s">
        <v>40</v>
      </c>
      <c r="T2216" t="s">
        <v>3744</v>
      </c>
      <c r="U2216">
        <v>305.40929999999997</v>
      </c>
      <c r="V2216" s="3">
        <v>40917</v>
      </c>
    </row>
    <row r="2217" spans="1:22" x14ac:dyDescent="0.35">
      <c r="A2217" s="1">
        <v>42347.615995370368</v>
      </c>
      <c r="B2217" s="2">
        <v>4.6782407407407411E-2</v>
      </c>
      <c r="C2217" t="s">
        <v>3898</v>
      </c>
      <c r="D2217" t="s">
        <v>35</v>
      </c>
      <c r="E2217" t="s">
        <v>36</v>
      </c>
      <c r="F2217" t="s">
        <v>3899</v>
      </c>
      <c r="G2217">
        <v>3039551</v>
      </c>
      <c r="H2217" t="s">
        <v>613</v>
      </c>
      <c r="I2217" t="s">
        <v>172</v>
      </c>
      <c r="J2217" t="str">
        <f>"9781469623184"</f>
        <v>9781469623184</v>
      </c>
      <c r="K2217" t="s">
        <v>3919</v>
      </c>
      <c r="L2217">
        <v>24</v>
      </c>
      <c r="O2217" t="s">
        <v>30</v>
      </c>
      <c r="P2217" t="s">
        <v>47</v>
      </c>
      <c r="Q2217" s="1">
        <v>42347.615995370368</v>
      </c>
      <c r="R2217">
        <v>1</v>
      </c>
      <c r="S2217" t="s">
        <v>40</v>
      </c>
      <c r="T2217" t="s">
        <v>3901</v>
      </c>
      <c r="U2217" t="s">
        <v>3902</v>
      </c>
      <c r="V2217" s="3">
        <v>42125</v>
      </c>
    </row>
    <row r="2218" spans="1:22" x14ac:dyDescent="0.35">
      <c r="A2218" s="1">
        <v>42347.606504629628</v>
      </c>
      <c r="B2218" s="2">
        <v>9.4907407407407406E-3</v>
      </c>
      <c r="C2218" t="s">
        <v>3898</v>
      </c>
      <c r="D2218" t="s">
        <v>35</v>
      </c>
      <c r="E2218" t="s">
        <v>36</v>
      </c>
      <c r="F2218" t="s">
        <v>3899</v>
      </c>
      <c r="G2218">
        <v>3039551</v>
      </c>
      <c r="H2218" t="s">
        <v>613</v>
      </c>
      <c r="I2218" t="s">
        <v>172</v>
      </c>
      <c r="J2218" t="str">
        <f>"9781469623184"</f>
        <v>9781469623184</v>
      </c>
      <c r="K2218" t="s">
        <v>1315</v>
      </c>
      <c r="L2218">
        <v>3</v>
      </c>
      <c r="O2218" t="s">
        <v>30</v>
      </c>
      <c r="P2218" t="s">
        <v>50</v>
      </c>
      <c r="S2218" t="s">
        <v>40</v>
      </c>
      <c r="T2218" t="s">
        <v>3901</v>
      </c>
      <c r="U2218" t="s">
        <v>3902</v>
      </c>
      <c r="V2218" s="3">
        <v>42125</v>
      </c>
    </row>
    <row r="2219" spans="1:22" x14ac:dyDescent="0.35">
      <c r="A2219" s="1">
        <v>42347.59275462963</v>
      </c>
      <c r="B2219" s="2">
        <v>4.7453703703703704E-4</v>
      </c>
      <c r="C2219" t="s">
        <v>3920</v>
      </c>
      <c r="D2219" t="s">
        <v>35</v>
      </c>
      <c r="E2219" t="s">
        <v>36</v>
      </c>
      <c r="F2219" t="s">
        <v>3921</v>
      </c>
      <c r="G2219">
        <v>1696224</v>
      </c>
      <c r="H2219" t="s">
        <v>613</v>
      </c>
      <c r="I2219" t="s">
        <v>120</v>
      </c>
      <c r="J2219" t="str">
        <f>"9781469610825"</f>
        <v>9781469610825</v>
      </c>
      <c r="K2219" t="s">
        <v>3922</v>
      </c>
      <c r="L2219">
        <v>21</v>
      </c>
      <c r="O2219" t="s">
        <v>30</v>
      </c>
      <c r="P2219" t="s">
        <v>50</v>
      </c>
      <c r="S2219" t="s">
        <v>40</v>
      </c>
      <c r="T2219" t="s">
        <v>3923</v>
      </c>
      <c r="U2219" t="s">
        <v>3924</v>
      </c>
      <c r="V2219" s="3">
        <v>41792</v>
      </c>
    </row>
    <row r="2220" spans="1:22" x14ac:dyDescent="0.35">
      <c r="A2220" s="1">
        <v>42347.590694444443</v>
      </c>
      <c r="B2220" s="2">
        <v>1.6203703703703703E-4</v>
      </c>
      <c r="C2220" t="s">
        <v>3712</v>
      </c>
      <c r="D2220" t="s">
        <v>23</v>
      </c>
      <c r="E2220" t="s">
        <v>24</v>
      </c>
      <c r="F2220" t="s">
        <v>3925</v>
      </c>
      <c r="G2220">
        <v>3057792</v>
      </c>
      <c r="H2220" t="s">
        <v>26</v>
      </c>
      <c r="I2220" t="s">
        <v>3926</v>
      </c>
      <c r="J2220" t="str">
        <f>"9780470466223"</f>
        <v>9780470466223</v>
      </c>
      <c r="K2220" t="s">
        <v>3927</v>
      </c>
      <c r="L2220">
        <v>7</v>
      </c>
      <c r="O2220" t="s">
        <v>30</v>
      </c>
      <c r="P2220" t="s">
        <v>42</v>
      </c>
      <c r="S2220" t="s">
        <v>31</v>
      </c>
      <c r="T2220" t="s">
        <v>3928</v>
      </c>
      <c r="U2220" t="s">
        <v>3929</v>
      </c>
      <c r="V2220" s="3">
        <v>39762</v>
      </c>
    </row>
    <row r="2221" spans="1:22" x14ac:dyDescent="0.35">
      <c r="A2221" s="1">
        <v>42347.574652777781</v>
      </c>
      <c r="B2221" s="2">
        <v>1.0416666666666667E-4</v>
      </c>
      <c r="C2221" t="s">
        <v>3712</v>
      </c>
      <c r="D2221" t="s">
        <v>23</v>
      </c>
      <c r="E2221" t="s">
        <v>24</v>
      </c>
      <c r="F2221" t="s">
        <v>3930</v>
      </c>
      <c r="G2221">
        <v>1887759</v>
      </c>
      <c r="H2221" t="s">
        <v>26</v>
      </c>
      <c r="I2221" t="s">
        <v>267</v>
      </c>
      <c r="J2221" t="str">
        <f>"9781118951347"</f>
        <v>9781118951347</v>
      </c>
      <c r="K2221" t="s">
        <v>889</v>
      </c>
      <c r="L2221">
        <v>6</v>
      </c>
      <c r="O2221" t="s">
        <v>30</v>
      </c>
      <c r="P2221" t="s">
        <v>42</v>
      </c>
      <c r="S2221" t="s">
        <v>31</v>
      </c>
      <c r="T2221" t="s">
        <v>3931</v>
      </c>
      <c r="U2221">
        <v>658.87199999999996</v>
      </c>
      <c r="V2221" s="3">
        <v>41981</v>
      </c>
    </row>
    <row r="2222" spans="1:22" x14ac:dyDescent="0.35">
      <c r="A2222" s="1">
        <v>42347.572187500002</v>
      </c>
      <c r="B2222" s="2">
        <v>8.7962962962962962E-4</v>
      </c>
      <c r="C2222" t="s">
        <v>3712</v>
      </c>
      <c r="D2222" t="s">
        <v>23</v>
      </c>
      <c r="E2222" t="s">
        <v>24</v>
      </c>
      <c r="F2222" t="s">
        <v>3263</v>
      </c>
      <c r="G2222">
        <v>1840835</v>
      </c>
      <c r="H2222" t="s">
        <v>26</v>
      </c>
      <c r="I2222" t="s">
        <v>108</v>
      </c>
      <c r="J2222" t="str">
        <f>"9781118950166"</f>
        <v>9781118950166</v>
      </c>
      <c r="K2222" t="s">
        <v>3932</v>
      </c>
      <c r="L2222">
        <v>29</v>
      </c>
      <c r="O2222" t="s">
        <v>30</v>
      </c>
      <c r="P2222" t="s">
        <v>42</v>
      </c>
      <c r="S2222" t="s">
        <v>31</v>
      </c>
      <c r="T2222" t="s">
        <v>3264</v>
      </c>
      <c r="U2222">
        <v>338.10923789999998</v>
      </c>
      <c r="V2222" s="3">
        <v>41953</v>
      </c>
    </row>
    <row r="2223" spans="1:22" x14ac:dyDescent="0.35">
      <c r="A2223" s="1">
        <v>42347.551886574074</v>
      </c>
      <c r="B2223" s="2">
        <v>2.613425925925926E-2</v>
      </c>
      <c r="C2223" t="s">
        <v>3829</v>
      </c>
      <c r="D2223" t="s">
        <v>23</v>
      </c>
      <c r="E2223" t="s">
        <v>24</v>
      </c>
      <c r="F2223" t="s">
        <v>3830</v>
      </c>
      <c r="G2223">
        <v>832297</v>
      </c>
      <c r="H2223" t="s">
        <v>26</v>
      </c>
      <c r="I2223" t="s">
        <v>172</v>
      </c>
      <c r="J2223" t="str">
        <f>"9781118300947"</f>
        <v>9781118300947</v>
      </c>
      <c r="K2223" t="s">
        <v>3933</v>
      </c>
      <c r="L2223">
        <v>38</v>
      </c>
      <c r="O2223" t="s">
        <v>30</v>
      </c>
      <c r="P2223" t="s">
        <v>29</v>
      </c>
      <c r="Q2223" s="1">
        <v>42344.956238425926</v>
      </c>
      <c r="R2223">
        <v>7</v>
      </c>
      <c r="S2223" t="s">
        <v>31</v>
      </c>
      <c r="T2223" t="s">
        <v>3831</v>
      </c>
      <c r="U2223">
        <v>938</v>
      </c>
      <c r="V2223" s="3">
        <v>40896</v>
      </c>
    </row>
    <row r="2224" spans="1:22" x14ac:dyDescent="0.35">
      <c r="A2224" s="1">
        <v>42347.399606481478</v>
      </c>
      <c r="B2224" s="2">
        <v>4.6296296296296294E-5</v>
      </c>
      <c r="C2224" t="s">
        <v>3934</v>
      </c>
      <c r="D2224" t="s">
        <v>1222</v>
      </c>
      <c r="E2224" t="s">
        <v>1223</v>
      </c>
      <c r="F2224" t="s">
        <v>3935</v>
      </c>
      <c r="G2224">
        <v>1725781</v>
      </c>
      <c r="H2224" t="s">
        <v>1474</v>
      </c>
      <c r="I2224" t="s">
        <v>3936</v>
      </c>
      <c r="J2224" t="str">
        <f>"9781137287021"</f>
        <v>9781137287021</v>
      </c>
      <c r="K2224" t="s">
        <v>33</v>
      </c>
      <c r="L2224">
        <v>3</v>
      </c>
      <c r="O2224" t="s">
        <v>30</v>
      </c>
      <c r="P2224" t="s">
        <v>42</v>
      </c>
      <c r="S2224" t="s">
        <v>1226</v>
      </c>
      <c r="T2224" t="s">
        <v>3937</v>
      </c>
      <c r="U2224">
        <v>4.6780834999999996</v>
      </c>
      <c r="V2224" s="3">
        <v>41806</v>
      </c>
    </row>
    <row r="2225" spans="1:22" x14ac:dyDescent="0.35">
      <c r="A2225" s="1">
        <v>42347.212442129632</v>
      </c>
      <c r="B2225" s="2">
        <v>3.4722222222222222E-5</v>
      </c>
      <c r="C2225" t="s">
        <v>3938</v>
      </c>
      <c r="D2225" t="s">
        <v>623</v>
      </c>
      <c r="E2225" t="s">
        <v>624</v>
      </c>
      <c r="F2225" t="s">
        <v>3939</v>
      </c>
      <c r="G2225">
        <v>1132027</v>
      </c>
      <c r="H2225" t="s">
        <v>84</v>
      </c>
      <c r="I2225" t="s">
        <v>172</v>
      </c>
      <c r="J2225" t="str">
        <f>"9780520954694"</f>
        <v>9780520954694</v>
      </c>
      <c r="K2225" t="s">
        <v>33</v>
      </c>
      <c r="L2225">
        <v>3</v>
      </c>
      <c r="O2225" t="s">
        <v>30</v>
      </c>
      <c r="P2225" t="s">
        <v>42</v>
      </c>
      <c r="S2225" t="s">
        <v>627</v>
      </c>
      <c r="T2225" t="s">
        <v>3940</v>
      </c>
      <c r="U2225">
        <v>938.07</v>
      </c>
      <c r="V2225" s="3">
        <v>41282</v>
      </c>
    </row>
    <row r="2226" spans="1:22" x14ac:dyDescent="0.35">
      <c r="A2226" s="1">
        <v>42347.18378472222</v>
      </c>
      <c r="B2226" s="2">
        <v>2.5462962962962961E-3</v>
      </c>
      <c r="C2226" t="s">
        <v>3872</v>
      </c>
      <c r="D2226" t="s">
        <v>23</v>
      </c>
      <c r="E2226" t="s">
        <v>24</v>
      </c>
      <c r="F2226" t="s">
        <v>3830</v>
      </c>
      <c r="G2226">
        <v>832297</v>
      </c>
      <c r="H2226" t="s">
        <v>26</v>
      </c>
      <c r="I2226" t="s">
        <v>172</v>
      </c>
      <c r="J2226" t="str">
        <f>"9781118300947"</f>
        <v>9781118300947</v>
      </c>
      <c r="K2226" t="s">
        <v>3941</v>
      </c>
      <c r="L2226">
        <v>9</v>
      </c>
      <c r="O2226" t="s">
        <v>30</v>
      </c>
      <c r="P2226" t="s">
        <v>42</v>
      </c>
      <c r="S2226" t="s">
        <v>31</v>
      </c>
      <c r="T2226" t="s">
        <v>3831</v>
      </c>
      <c r="U2226">
        <v>938</v>
      </c>
      <c r="V2226" s="3">
        <v>40896</v>
      </c>
    </row>
    <row r="2227" spans="1:22" x14ac:dyDescent="0.35">
      <c r="A2227" s="1">
        <v>42347.181828703702</v>
      </c>
      <c r="B2227" s="2">
        <v>4.9930555555555554E-2</v>
      </c>
      <c r="C2227" t="s">
        <v>3942</v>
      </c>
      <c r="D2227" t="s">
        <v>35</v>
      </c>
      <c r="E2227" t="s">
        <v>36</v>
      </c>
      <c r="F2227" t="s">
        <v>3943</v>
      </c>
      <c r="G2227">
        <v>836167</v>
      </c>
      <c r="H2227" t="s">
        <v>149</v>
      </c>
      <c r="I2227" t="s">
        <v>3944</v>
      </c>
      <c r="J2227" t="str">
        <f>"9781438139487"</f>
        <v>9781438139487</v>
      </c>
      <c r="K2227" t="s">
        <v>3945</v>
      </c>
      <c r="L2227">
        <v>68</v>
      </c>
      <c r="O2227" t="s">
        <v>30</v>
      </c>
      <c r="P2227" t="s">
        <v>29</v>
      </c>
      <c r="Q2227" s="1">
        <v>42346.975659722222</v>
      </c>
      <c r="R2227">
        <v>7</v>
      </c>
      <c r="S2227" t="s">
        <v>40</v>
      </c>
      <c r="T2227" t="s">
        <v>3946</v>
      </c>
      <c r="U2227" t="s">
        <v>3947</v>
      </c>
      <c r="V2227" s="3">
        <v>40848</v>
      </c>
    </row>
    <row r="2228" spans="1:22" x14ac:dyDescent="0.35">
      <c r="A2228" s="1">
        <v>42347.173310185186</v>
      </c>
      <c r="B2228" s="2">
        <v>1.6666666666666668E-3</v>
      </c>
      <c r="C2228" t="s">
        <v>3948</v>
      </c>
      <c r="D2228" t="s">
        <v>1482</v>
      </c>
      <c r="E2228" t="s">
        <v>1483</v>
      </c>
      <c r="F2228" t="s">
        <v>3949</v>
      </c>
      <c r="G2228">
        <v>877713</v>
      </c>
      <c r="H2228" t="s">
        <v>149</v>
      </c>
      <c r="I2228" t="s">
        <v>172</v>
      </c>
      <c r="J2228" t="str">
        <f>"9781438138596"</f>
        <v>9781438138596</v>
      </c>
      <c r="K2228" t="s">
        <v>3950</v>
      </c>
      <c r="L2228">
        <v>24</v>
      </c>
      <c r="O2228" t="s">
        <v>30</v>
      </c>
      <c r="P2228" t="s">
        <v>29</v>
      </c>
      <c r="Q2228" s="1">
        <v>42347.173310185186</v>
      </c>
      <c r="R2228">
        <v>7</v>
      </c>
      <c r="S2228" t="s">
        <v>1485</v>
      </c>
      <c r="T2228" t="s">
        <v>3951</v>
      </c>
      <c r="U2228">
        <v>932.00300000000004</v>
      </c>
      <c r="V2228" s="3">
        <v>40909</v>
      </c>
    </row>
    <row r="2229" spans="1:22" x14ac:dyDescent="0.35">
      <c r="A2229" s="1">
        <v>42347.17324074074</v>
      </c>
      <c r="B2229" s="2">
        <v>6.9444444444444444E-5</v>
      </c>
      <c r="C2229" t="s">
        <v>3948</v>
      </c>
      <c r="D2229" t="s">
        <v>1482</v>
      </c>
      <c r="E2229" t="s">
        <v>1483</v>
      </c>
      <c r="F2229" t="s">
        <v>3949</v>
      </c>
      <c r="G2229">
        <v>877713</v>
      </c>
      <c r="H2229" t="s">
        <v>149</v>
      </c>
      <c r="I2229" t="s">
        <v>172</v>
      </c>
      <c r="J2229" t="str">
        <f>"9781438138596"</f>
        <v>9781438138596</v>
      </c>
      <c r="L2229">
        <v>0</v>
      </c>
      <c r="O2229" t="s">
        <v>30</v>
      </c>
      <c r="P2229" t="s">
        <v>42</v>
      </c>
      <c r="S2229" t="s">
        <v>1485</v>
      </c>
      <c r="T2229" t="s">
        <v>3951</v>
      </c>
      <c r="U2229">
        <v>932.00300000000004</v>
      </c>
      <c r="V2229" s="3">
        <v>40909</v>
      </c>
    </row>
    <row r="2230" spans="1:22" x14ac:dyDescent="0.35">
      <c r="A2230" s="1">
        <v>42347.14707175926</v>
      </c>
      <c r="B2230" s="2">
        <v>0</v>
      </c>
      <c r="C2230" t="s">
        <v>3952</v>
      </c>
      <c r="D2230" t="s">
        <v>1222</v>
      </c>
      <c r="E2230" t="s">
        <v>1223</v>
      </c>
      <c r="F2230" t="s">
        <v>3953</v>
      </c>
      <c r="G2230">
        <v>1675480</v>
      </c>
      <c r="H2230" t="s">
        <v>26</v>
      </c>
      <c r="I2230" t="s">
        <v>450</v>
      </c>
      <c r="J2230" t="str">
        <f>"9781118828137"</f>
        <v>9781118828137</v>
      </c>
      <c r="K2230" t="s">
        <v>3954</v>
      </c>
      <c r="L2230">
        <v>1</v>
      </c>
      <c r="O2230" t="s">
        <v>30</v>
      </c>
      <c r="P2230" t="s">
        <v>29</v>
      </c>
      <c r="Q2230" s="1">
        <v>42347.14707175926</v>
      </c>
      <c r="R2230">
        <v>7</v>
      </c>
      <c r="S2230" t="s">
        <v>1226</v>
      </c>
      <c r="T2230" t="s">
        <v>3955</v>
      </c>
      <c r="U2230">
        <v>547</v>
      </c>
      <c r="V2230" s="3">
        <v>41725</v>
      </c>
    </row>
    <row r="2231" spans="1:22" x14ac:dyDescent="0.35">
      <c r="A2231" s="1">
        <v>42347.139687499999</v>
      </c>
      <c r="B2231" s="2">
        <v>7.3842592592592597E-3</v>
      </c>
      <c r="C2231" t="s">
        <v>3952</v>
      </c>
      <c r="D2231" t="s">
        <v>1222</v>
      </c>
      <c r="E2231" t="s">
        <v>1223</v>
      </c>
      <c r="F2231" t="s">
        <v>3953</v>
      </c>
      <c r="G2231">
        <v>1675480</v>
      </c>
      <c r="H2231" t="s">
        <v>26</v>
      </c>
      <c r="I2231" t="s">
        <v>450</v>
      </c>
      <c r="J2231" t="str">
        <f>"9781118828137"</f>
        <v>9781118828137</v>
      </c>
      <c r="K2231" t="s">
        <v>3956</v>
      </c>
      <c r="L2231">
        <v>10</v>
      </c>
      <c r="O2231" t="s">
        <v>30</v>
      </c>
      <c r="P2231" t="s">
        <v>42</v>
      </c>
      <c r="S2231" t="s">
        <v>1226</v>
      </c>
      <c r="T2231" t="s">
        <v>3955</v>
      </c>
      <c r="U2231">
        <v>547</v>
      </c>
      <c r="V2231" s="3">
        <v>41725</v>
      </c>
    </row>
    <row r="2232" spans="1:22" x14ac:dyDescent="0.35">
      <c r="A2232" s="1">
        <v>42347.137037037035</v>
      </c>
      <c r="B2232" s="2">
        <v>5.8796296296296296E-3</v>
      </c>
      <c r="C2232" t="s">
        <v>3948</v>
      </c>
      <c r="D2232" t="s">
        <v>1482</v>
      </c>
      <c r="E2232" t="s">
        <v>1483</v>
      </c>
      <c r="F2232" t="s">
        <v>3949</v>
      </c>
      <c r="G2232">
        <v>877713</v>
      </c>
      <c r="H2232" t="s">
        <v>149</v>
      </c>
      <c r="I2232" t="s">
        <v>172</v>
      </c>
      <c r="J2232" t="str">
        <f>"9781438138596"</f>
        <v>9781438138596</v>
      </c>
      <c r="K2232" t="s">
        <v>3950</v>
      </c>
      <c r="L2232">
        <v>24</v>
      </c>
      <c r="O2232" t="s">
        <v>30</v>
      </c>
      <c r="P2232" t="s">
        <v>29</v>
      </c>
      <c r="Q2232" s="1">
        <v>42340.143240740741</v>
      </c>
      <c r="R2232">
        <v>7</v>
      </c>
      <c r="S2232" t="s">
        <v>1485</v>
      </c>
      <c r="T2232" t="s">
        <v>3951</v>
      </c>
      <c r="U2232">
        <v>932.00300000000004</v>
      </c>
      <c r="V2232" s="3">
        <v>40909</v>
      </c>
    </row>
    <row r="2233" spans="1:22" x14ac:dyDescent="0.35">
      <c r="A2233" s="1">
        <v>42347.103541666664</v>
      </c>
      <c r="B2233" s="2">
        <v>4.6678240740740735E-2</v>
      </c>
      <c r="C2233" t="s">
        <v>3957</v>
      </c>
      <c r="D2233" t="s">
        <v>1482</v>
      </c>
      <c r="E2233" t="s">
        <v>1483</v>
      </c>
      <c r="F2233" t="s">
        <v>3949</v>
      </c>
      <c r="G2233">
        <v>877713</v>
      </c>
      <c r="H2233" t="s">
        <v>149</v>
      </c>
      <c r="I2233" t="s">
        <v>172</v>
      </c>
      <c r="J2233" t="str">
        <f>"9781438138596"</f>
        <v>9781438138596</v>
      </c>
      <c r="K2233" t="s">
        <v>3958</v>
      </c>
      <c r="L2233">
        <v>82</v>
      </c>
      <c r="O2233" t="s">
        <v>30</v>
      </c>
      <c r="P2233" t="s">
        <v>29</v>
      </c>
      <c r="Q2233" s="1">
        <v>42347.103530092594</v>
      </c>
      <c r="R2233">
        <v>7</v>
      </c>
      <c r="S2233" t="s">
        <v>1485</v>
      </c>
      <c r="T2233" t="s">
        <v>3951</v>
      </c>
      <c r="U2233">
        <v>932.00300000000004</v>
      </c>
      <c r="V2233" s="3">
        <v>40909</v>
      </c>
    </row>
    <row r="2234" spans="1:22" x14ac:dyDescent="0.35">
      <c r="A2234" s="1">
        <v>42347.093923611108</v>
      </c>
      <c r="B2234" s="2">
        <v>9.6064814814814815E-3</v>
      </c>
      <c r="C2234" t="s">
        <v>3957</v>
      </c>
      <c r="D2234" t="s">
        <v>1482</v>
      </c>
      <c r="E2234" t="s">
        <v>1483</v>
      </c>
      <c r="F2234" t="s">
        <v>3949</v>
      </c>
      <c r="G2234">
        <v>877713</v>
      </c>
      <c r="H2234" t="s">
        <v>149</v>
      </c>
      <c r="I2234" t="s">
        <v>172</v>
      </c>
      <c r="J2234" t="str">
        <f>"9781438138596"</f>
        <v>9781438138596</v>
      </c>
      <c r="K2234" t="s">
        <v>3959</v>
      </c>
      <c r="L2234">
        <v>45</v>
      </c>
      <c r="O2234" t="s">
        <v>30</v>
      </c>
      <c r="P2234" t="s">
        <v>42</v>
      </c>
      <c r="S2234" t="s">
        <v>1485</v>
      </c>
      <c r="T2234" t="s">
        <v>3951</v>
      </c>
      <c r="U2234">
        <v>932.00300000000004</v>
      </c>
      <c r="V2234" s="3">
        <v>40909</v>
      </c>
    </row>
    <row r="2235" spans="1:22" x14ac:dyDescent="0.35">
      <c r="A2235" s="1">
        <v>42347.083564814813</v>
      </c>
      <c r="B2235" s="2">
        <v>2.3379629629629631E-3</v>
      </c>
      <c r="C2235" t="s">
        <v>3960</v>
      </c>
      <c r="D2235" t="s">
        <v>35</v>
      </c>
      <c r="E2235" t="s">
        <v>36</v>
      </c>
      <c r="F2235" t="s">
        <v>3961</v>
      </c>
      <c r="G2235">
        <v>1610008</v>
      </c>
      <c r="H2235" t="s">
        <v>45</v>
      </c>
      <c r="I2235" t="s">
        <v>3962</v>
      </c>
      <c r="J2235" t="str">
        <f>"9781409457206"</f>
        <v>9781409457206</v>
      </c>
      <c r="K2235" t="s">
        <v>3963</v>
      </c>
      <c r="L2235">
        <v>37</v>
      </c>
      <c r="O2235" t="s">
        <v>30</v>
      </c>
      <c r="P2235" t="s">
        <v>42</v>
      </c>
      <c r="S2235" t="s">
        <v>40</v>
      </c>
      <c r="T2235" t="s">
        <v>3964</v>
      </c>
      <c r="U2235">
        <v>364.66</v>
      </c>
      <c r="V2235" s="3">
        <v>41726</v>
      </c>
    </row>
    <row r="2236" spans="1:22" x14ac:dyDescent="0.35">
      <c r="A2236" s="1">
        <v>42347.07671296296</v>
      </c>
      <c r="B2236" s="2">
        <v>1.6087962962962963E-3</v>
      </c>
      <c r="C2236" t="s">
        <v>3807</v>
      </c>
      <c r="D2236" t="s">
        <v>23</v>
      </c>
      <c r="E2236" t="s">
        <v>24</v>
      </c>
      <c r="F2236" t="s">
        <v>3808</v>
      </c>
      <c r="G2236">
        <v>1675475</v>
      </c>
      <c r="H2236" t="s">
        <v>91</v>
      </c>
      <c r="I2236" t="s">
        <v>247</v>
      </c>
      <c r="J2236" t="str">
        <f>"9781462514342"</f>
        <v>9781462514342</v>
      </c>
      <c r="K2236" t="s">
        <v>3965</v>
      </c>
      <c r="L2236">
        <v>15</v>
      </c>
      <c r="O2236" t="s">
        <v>30</v>
      </c>
      <c r="P2236" t="s">
        <v>50</v>
      </c>
      <c r="S2236" t="s">
        <v>31</v>
      </c>
      <c r="T2236" t="s">
        <v>3810</v>
      </c>
      <c r="U2236">
        <v>616.85883200000001</v>
      </c>
      <c r="V2236" s="3">
        <v>41830</v>
      </c>
    </row>
    <row r="2237" spans="1:22" x14ac:dyDescent="0.35">
      <c r="A2237" s="1">
        <v>42347.064652777779</v>
      </c>
      <c r="B2237" s="2">
        <v>4.5023148148148149E-3</v>
      </c>
      <c r="C2237" t="s">
        <v>3966</v>
      </c>
      <c r="D2237" t="s">
        <v>158</v>
      </c>
      <c r="E2237" t="s">
        <v>159</v>
      </c>
      <c r="F2237" t="s">
        <v>52</v>
      </c>
      <c r="G2237">
        <v>822040</v>
      </c>
      <c r="H2237" t="s">
        <v>26</v>
      </c>
      <c r="I2237" t="s">
        <v>53</v>
      </c>
      <c r="J2237" t="str">
        <f>"9781118289099"</f>
        <v>9781118289099</v>
      </c>
      <c r="K2237" t="s">
        <v>3967</v>
      </c>
      <c r="L2237">
        <v>22</v>
      </c>
      <c r="O2237" t="s">
        <v>30</v>
      </c>
      <c r="P2237" t="s">
        <v>42</v>
      </c>
      <c r="S2237" t="s">
        <v>163</v>
      </c>
      <c r="T2237" t="s">
        <v>55</v>
      </c>
      <c r="U2237" t="s">
        <v>56</v>
      </c>
      <c r="V2237" s="3">
        <v>40990</v>
      </c>
    </row>
    <row r="2238" spans="1:22" x14ac:dyDescent="0.35">
      <c r="A2238" s="1">
        <v>42347.019317129627</v>
      </c>
      <c r="B2238" s="2">
        <v>0</v>
      </c>
      <c r="C2238" t="s">
        <v>3968</v>
      </c>
      <c r="D2238" t="s">
        <v>1222</v>
      </c>
      <c r="E2238" t="s">
        <v>1223</v>
      </c>
      <c r="F2238" t="s">
        <v>3969</v>
      </c>
      <c r="G2238">
        <v>1663553</v>
      </c>
      <c r="H2238" t="s">
        <v>613</v>
      </c>
      <c r="I2238" t="s">
        <v>348</v>
      </c>
      <c r="J2238" t="str">
        <f>"9781469615608"</f>
        <v>9781469615608</v>
      </c>
      <c r="L2238">
        <v>0</v>
      </c>
      <c r="O2238" t="s">
        <v>30</v>
      </c>
      <c r="P2238" t="s">
        <v>47</v>
      </c>
      <c r="Q2238" s="1">
        <v>42346.995069444441</v>
      </c>
      <c r="R2238">
        <v>1</v>
      </c>
      <c r="S2238" t="s">
        <v>1226</v>
      </c>
      <c r="T2238" t="s">
        <v>3970</v>
      </c>
      <c r="U2238" t="s">
        <v>3971</v>
      </c>
      <c r="V2238" s="3">
        <v>41805</v>
      </c>
    </row>
    <row r="2239" spans="1:22" x14ac:dyDescent="0.35">
      <c r="A2239" s="1">
        <v>42346.995069444441</v>
      </c>
      <c r="B2239" s="2">
        <v>2.431712962962963E-2</v>
      </c>
      <c r="C2239" t="s">
        <v>3968</v>
      </c>
      <c r="D2239" t="s">
        <v>1222</v>
      </c>
      <c r="E2239" t="s">
        <v>1223</v>
      </c>
      <c r="F2239" t="s">
        <v>3969</v>
      </c>
      <c r="G2239">
        <v>1663553</v>
      </c>
      <c r="H2239" t="s">
        <v>613</v>
      </c>
      <c r="I2239" t="s">
        <v>348</v>
      </c>
      <c r="J2239" t="str">
        <f>"9781469615608"</f>
        <v>9781469615608</v>
      </c>
      <c r="K2239" t="s">
        <v>3972</v>
      </c>
      <c r="L2239">
        <v>10</v>
      </c>
      <c r="O2239" t="s">
        <v>30</v>
      </c>
      <c r="P2239" t="s">
        <v>47</v>
      </c>
      <c r="Q2239" s="1">
        <v>42346.995069444441</v>
      </c>
      <c r="R2239">
        <v>1</v>
      </c>
      <c r="S2239" t="s">
        <v>1226</v>
      </c>
      <c r="T2239" t="s">
        <v>3970</v>
      </c>
      <c r="U2239" t="s">
        <v>3971</v>
      </c>
      <c r="V2239" s="3">
        <v>41805</v>
      </c>
    </row>
    <row r="2240" spans="1:22" x14ac:dyDescent="0.35">
      <c r="A2240" s="1">
        <v>42346.98877314815</v>
      </c>
      <c r="B2240" s="2">
        <v>9.1377314814814814E-2</v>
      </c>
      <c r="C2240" t="s">
        <v>3942</v>
      </c>
      <c r="D2240" t="s">
        <v>35</v>
      </c>
      <c r="E2240" t="s">
        <v>36</v>
      </c>
      <c r="F2240" t="s">
        <v>3973</v>
      </c>
      <c r="G2240">
        <v>771049</v>
      </c>
      <c r="H2240" t="s">
        <v>3465</v>
      </c>
      <c r="I2240" t="s">
        <v>3974</v>
      </c>
      <c r="J2240" t="str">
        <f>"9781608706648"</f>
        <v>9781608706648</v>
      </c>
      <c r="K2240" t="s">
        <v>3975</v>
      </c>
      <c r="L2240">
        <v>35</v>
      </c>
      <c r="O2240" t="s">
        <v>30</v>
      </c>
      <c r="P2240" t="s">
        <v>29</v>
      </c>
      <c r="Q2240" s="1">
        <v>42346.98877314815</v>
      </c>
      <c r="R2240">
        <v>7</v>
      </c>
      <c r="S2240" t="s">
        <v>40</v>
      </c>
      <c r="T2240" t="s">
        <v>3976</v>
      </c>
      <c r="U2240">
        <v>363.73874000000001</v>
      </c>
      <c r="V2240" s="3">
        <v>40909</v>
      </c>
    </row>
    <row r="2241" spans="1:22" x14ac:dyDescent="0.35">
      <c r="A2241" s="1">
        <v>42346.980393518519</v>
      </c>
      <c r="B2241" s="2">
        <v>8.3796296296296292E-3</v>
      </c>
      <c r="C2241" t="s">
        <v>3942</v>
      </c>
      <c r="D2241" t="s">
        <v>35</v>
      </c>
      <c r="E2241" t="s">
        <v>36</v>
      </c>
      <c r="F2241" t="s">
        <v>3973</v>
      </c>
      <c r="G2241">
        <v>771049</v>
      </c>
      <c r="H2241" t="s">
        <v>3465</v>
      </c>
      <c r="I2241" t="s">
        <v>3974</v>
      </c>
      <c r="J2241" t="str">
        <f>"9781608706648"</f>
        <v>9781608706648</v>
      </c>
      <c r="K2241" t="s">
        <v>3977</v>
      </c>
      <c r="L2241">
        <v>15</v>
      </c>
      <c r="O2241" t="s">
        <v>30</v>
      </c>
      <c r="P2241" t="s">
        <v>42</v>
      </c>
      <c r="S2241" t="s">
        <v>40</v>
      </c>
      <c r="T2241" t="s">
        <v>3976</v>
      </c>
      <c r="U2241">
        <v>363.73874000000001</v>
      </c>
      <c r="V2241" s="3">
        <v>40909</v>
      </c>
    </row>
    <row r="2242" spans="1:22" x14ac:dyDescent="0.35">
      <c r="A2242" s="1">
        <v>42346.97896990741</v>
      </c>
      <c r="B2242" s="2">
        <v>1.6099537037037037E-2</v>
      </c>
      <c r="C2242" t="s">
        <v>3968</v>
      </c>
      <c r="D2242" t="s">
        <v>1222</v>
      </c>
      <c r="E2242" t="s">
        <v>1223</v>
      </c>
      <c r="F2242" t="s">
        <v>3969</v>
      </c>
      <c r="G2242">
        <v>1663553</v>
      </c>
      <c r="H2242" t="s">
        <v>613</v>
      </c>
      <c r="I2242" t="s">
        <v>348</v>
      </c>
      <c r="J2242" t="str">
        <f>"9781469615608"</f>
        <v>9781469615608</v>
      </c>
      <c r="K2242" t="s">
        <v>443</v>
      </c>
      <c r="L2242">
        <v>19</v>
      </c>
      <c r="O2242" t="s">
        <v>30</v>
      </c>
      <c r="P2242" t="s">
        <v>50</v>
      </c>
      <c r="S2242" t="s">
        <v>1226</v>
      </c>
      <c r="T2242" t="s">
        <v>3970</v>
      </c>
      <c r="U2242" t="s">
        <v>3971</v>
      </c>
      <c r="V2242" s="3">
        <v>41805</v>
      </c>
    </row>
    <row r="2243" spans="1:22" x14ac:dyDescent="0.35">
      <c r="A2243" s="1">
        <v>42346.975659722222</v>
      </c>
      <c r="B2243" s="2">
        <v>5.3240740740740744E-4</v>
      </c>
      <c r="C2243" t="s">
        <v>3942</v>
      </c>
      <c r="D2243" t="s">
        <v>35</v>
      </c>
      <c r="E2243" t="s">
        <v>36</v>
      </c>
      <c r="F2243" t="s">
        <v>3943</v>
      </c>
      <c r="G2243">
        <v>836167</v>
      </c>
      <c r="H2243" t="s">
        <v>149</v>
      </c>
      <c r="I2243" t="s">
        <v>3944</v>
      </c>
      <c r="J2243" t="str">
        <f>"9781438139487"</f>
        <v>9781438139487</v>
      </c>
      <c r="K2243" t="s">
        <v>3978</v>
      </c>
      <c r="L2243">
        <v>4</v>
      </c>
      <c r="O2243" t="s">
        <v>30</v>
      </c>
      <c r="P2243" t="s">
        <v>29</v>
      </c>
      <c r="Q2243" s="1">
        <v>42346.975659722222</v>
      </c>
      <c r="R2243">
        <v>7</v>
      </c>
      <c r="S2243" t="s">
        <v>40</v>
      </c>
      <c r="T2243" t="s">
        <v>3946</v>
      </c>
      <c r="U2243" t="s">
        <v>3947</v>
      </c>
      <c r="V2243" s="3">
        <v>40848</v>
      </c>
    </row>
    <row r="2244" spans="1:22" x14ac:dyDescent="0.35">
      <c r="A2244" s="1">
        <v>42346.968634259261</v>
      </c>
      <c r="B2244" s="2">
        <v>7.0254629629629634E-3</v>
      </c>
      <c r="C2244" t="s">
        <v>3942</v>
      </c>
      <c r="D2244" t="s">
        <v>35</v>
      </c>
      <c r="E2244" t="s">
        <v>36</v>
      </c>
      <c r="F2244" t="s">
        <v>3943</v>
      </c>
      <c r="G2244">
        <v>836167</v>
      </c>
      <c r="H2244" t="s">
        <v>149</v>
      </c>
      <c r="I2244" t="s">
        <v>3944</v>
      </c>
      <c r="J2244" t="str">
        <f>"9781438139487"</f>
        <v>9781438139487</v>
      </c>
      <c r="K2244" t="s">
        <v>3979</v>
      </c>
      <c r="L2244">
        <v>16</v>
      </c>
      <c r="O2244" t="s">
        <v>30</v>
      </c>
      <c r="P2244" t="s">
        <v>42</v>
      </c>
      <c r="S2244" t="s">
        <v>40</v>
      </c>
      <c r="T2244" t="s">
        <v>3946</v>
      </c>
      <c r="U2244" t="s">
        <v>3947</v>
      </c>
      <c r="V2244" s="3">
        <v>40848</v>
      </c>
    </row>
    <row r="2245" spans="1:22" x14ac:dyDescent="0.35">
      <c r="A2245" s="1">
        <v>42346.921747685185</v>
      </c>
      <c r="B2245" s="2">
        <v>2.4305555555555552E-4</v>
      </c>
      <c r="C2245" t="s">
        <v>3807</v>
      </c>
      <c r="D2245" t="s">
        <v>23</v>
      </c>
      <c r="E2245" t="s">
        <v>24</v>
      </c>
      <c r="F2245" t="s">
        <v>3808</v>
      </c>
      <c r="G2245">
        <v>1675475</v>
      </c>
      <c r="H2245" t="s">
        <v>91</v>
      </c>
      <c r="I2245" t="s">
        <v>247</v>
      </c>
      <c r="J2245" t="str">
        <f>"9781462514342"</f>
        <v>9781462514342</v>
      </c>
      <c r="K2245" t="s">
        <v>3980</v>
      </c>
      <c r="L2245">
        <v>10</v>
      </c>
      <c r="O2245" t="s">
        <v>30</v>
      </c>
      <c r="P2245" t="s">
        <v>50</v>
      </c>
      <c r="S2245" t="s">
        <v>31</v>
      </c>
      <c r="T2245" t="s">
        <v>3810</v>
      </c>
      <c r="U2245">
        <v>616.85883200000001</v>
      </c>
      <c r="V2245" s="3">
        <v>41830</v>
      </c>
    </row>
    <row r="2246" spans="1:22" x14ac:dyDescent="0.35">
      <c r="A2246" s="1">
        <v>42346.916932870372</v>
      </c>
      <c r="B2246" s="2">
        <v>2.7314814814814819E-3</v>
      </c>
      <c r="C2246" t="s">
        <v>3981</v>
      </c>
      <c r="D2246" t="s">
        <v>35</v>
      </c>
      <c r="E2246" t="s">
        <v>36</v>
      </c>
      <c r="F2246" t="s">
        <v>2807</v>
      </c>
      <c r="G2246">
        <v>1767915</v>
      </c>
      <c r="H2246" t="s">
        <v>26</v>
      </c>
      <c r="I2246" t="s">
        <v>120</v>
      </c>
      <c r="J2246" t="str">
        <f>"9780730315148"</f>
        <v>9780730315148</v>
      </c>
      <c r="K2246" t="s">
        <v>3982</v>
      </c>
      <c r="L2246">
        <v>25</v>
      </c>
      <c r="O2246" t="s">
        <v>30</v>
      </c>
      <c r="P2246" t="s">
        <v>42</v>
      </c>
      <c r="S2246" t="s">
        <v>40</v>
      </c>
      <c r="T2246" t="s">
        <v>2809</v>
      </c>
      <c r="U2246">
        <v>302.23099999999999</v>
      </c>
      <c r="V2246" s="3">
        <v>41866</v>
      </c>
    </row>
    <row r="2247" spans="1:22" x14ac:dyDescent="0.35">
      <c r="A2247" s="1">
        <v>42346.90792824074</v>
      </c>
      <c r="B2247" s="2">
        <v>2.7430555555555555E-2</v>
      </c>
      <c r="C2247" t="s">
        <v>3948</v>
      </c>
      <c r="D2247" t="s">
        <v>1482</v>
      </c>
      <c r="E2247" t="s">
        <v>1483</v>
      </c>
      <c r="F2247" t="s">
        <v>3949</v>
      </c>
      <c r="G2247">
        <v>877713</v>
      </c>
      <c r="H2247" t="s">
        <v>149</v>
      </c>
      <c r="I2247" t="s">
        <v>172</v>
      </c>
      <c r="J2247" t="str">
        <f>"9781438138596"</f>
        <v>9781438138596</v>
      </c>
      <c r="K2247" t="s">
        <v>3983</v>
      </c>
      <c r="L2247">
        <v>12</v>
      </c>
      <c r="O2247" t="s">
        <v>30</v>
      </c>
      <c r="P2247" t="s">
        <v>29</v>
      </c>
      <c r="Q2247" s="1">
        <v>42340.143240740741</v>
      </c>
      <c r="R2247">
        <v>7</v>
      </c>
      <c r="S2247" t="s">
        <v>1485</v>
      </c>
      <c r="T2247" t="s">
        <v>3951</v>
      </c>
      <c r="U2247">
        <v>932.00300000000004</v>
      </c>
      <c r="V2247" s="3">
        <v>40909</v>
      </c>
    </row>
    <row r="2248" spans="1:22" x14ac:dyDescent="0.35">
      <c r="A2248" s="1">
        <v>42346.877743055556</v>
      </c>
      <c r="B2248" s="2">
        <v>1.0300925925925926E-3</v>
      </c>
      <c r="C2248" t="s">
        <v>3874</v>
      </c>
      <c r="D2248" t="s">
        <v>261</v>
      </c>
      <c r="E2248" t="s">
        <v>262</v>
      </c>
      <c r="F2248" t="s">
        <v>3875</v>
      </c>
      <c r="G2248">
        <v>917254</v>
      </c>
      <c r="H2248" t="s">
        <v>91</v>
      </c>
      <c r="I2248" t="s">
        <v>247</v>
      </c>
      <c r="J2248" t="str">
        <f>"9781462505067"</f>
        <v>9781462505067</v>
      </c>
      <c r="K2248" t="s">
        <v>3984</v>
      </c>
      <c r="L2248">
        <v>16</v>
      </c>
      <c r="O2248" t="s">
        <v>30</v>
      </c>
      <c r="P2248" t="s">
        <v>42</v>
      </c>
      <c r="S2248" t="s">
        <v>264</v>
      </c>
      <c r="T2248" t="s">
        <v>3877</v>
      </c>
      <c r="U2248">
        <v>618.92858820000004</v>
      </c>
      <c r="V2248" s="3">
        <v>41773</v>
      </c>
    </row>
    <row r="2249" spans="1:22" x14ac:dyDescent="0.35">
      <c r="A2249" s="1">
        <v>42346.876562500001</v>
      </c>
      <c r="B2249" s="2">
        <v>1.0648148148148147E-3</v>
      </c>
      <c r="C2249" t="s">
        <v>3985</v>
      </c>
      <c r="D2249" t="s">
        <v>23</v>
      </c>
      <c r="E2249" t="s">
        <v>24</v>
      </c>
      <c r="F2249" t="s">
        <v>3939</v>
      </c>
      <c r="G2249">
        <v>1132027</v>
      </c>
      <c r="H2249" t="s">
        <v>84</v>
      </c>
      <c r="I2249" t="s">
        <v>172</v>
      </c>
      <c r="J2249" t="str">
        <f>"9780520954694"</f>
        <v>9780520954694</v>
      </c>
      <c r="K2249" t="s">
        <v>3986</v>
      </c>
      <c r="L2249">
        <v>15</v>
      </c>
      <c r="O2249" t="s">
        <v>30</v>
      </c>
      <c r="P2249" t="s">
        <v>29</v>
      </c>
      <c r="Q2249" s="1">
        <v>42346.876562500001</v>
      </c>
      <c r="R2249">
        <v>7</v>
      </c>
      <c r="S2249" t="s">
        <v>31</v>
      </c>
      <c r="T2249" t="s">
        <v>3940</v>
      </c>
      <c r="U2249">
        <v>938.07</v>
      </c>
      <c r="V2249" s="3">
        <v>41282</v>
      </c>
    </row>
    <row r="2250" spans="1:22" x14ac:dyDescent="0.35">
      <c r="A2250" s="1">
        <v>42346.875671296293</v>
      </c>
      <c r="B2250" s="2">
        <v>6.7384259259259269E-2</v>
      </c>
      <c r="C2250" t="s">
        <v>3987</v>
      </c>
      <c r="D2250" t="s">
        <v>23</v>
      </c>
      <c r="E2250" t="s">
        <v>24</v>
      </c>
      <c r="F2250" t="s">
        <v>982</v>
      </c>
      <c r="G2250">
        <v>1882108</v>
      </c>
      <c r="H2250" t="s">
        <v>84</v>
      </c>
      <c r="I2250" t="s">
        <v>310</v>
      </c>
      <c r="J2250" t="str">
        <f>"9780520961326"</f>
        <v>9780520961326</v>
      </c>
      <c r="K2250" t="s">
        <v>3988</v>
      </c>
      <c r="L2250">
        <v>61</v>
      </c>
      <c r="M2250" t="s">
        <v>3989</v>
      </c>
      <c r="O2250" t="s">
        <v>30</v>
      </c>
      <c r="P2250" t="s">
        <v>29</v>
      </c>
      <c r="Q2250" s="1">
        <v>42346.875671296293</v>
      </c>
      <c r="R2250">
        <v>7</v>
      </c>
      <c r="S2250" t="s">
        <v>31</v>
      </c>
      <c r="T2250" t="s">
        <v>983</v>
      </c>
      <c r="U2250">
        <v>883</v>
      </c>
      <c r="V2250" s="3">
        <v>42138</v>
      </c>
    </row>
    <row r="2251" spans="1:22" x14ac:dyDescent="0.35">
      <c r="A2251" s="1">
        <v>42346.872986111113</v>
      </c>
      <c r="B2251" s="2">
        <v>2.685185185185185E-3</v>
      </c>
      <c r="C2251" t="s">
        <v>3987</v>
      </c>
      <c r="D2251" t="s">
        <v>23</v>
      </c>
      <c r="E2251" t="s">
        <v>24</v>
      </c>
      <c r="F2251" t="s">
        <v>982</v>
      </c>
      <c r="G2251">
        <v>1882108</v>
      </c>
      <c r="H2251" t="s">
        <v>84</v>
      </c>
      <c r="I2251" t="s">
        <v>310</v>
      </c>
      <c r="J2251" t="str">
        <f>"9780520961326"</f>
        <v>9780520961326</v>
      </c>
      <c r="K2251" t="s">
        <v>3990</v>
      </c>
      <c r="L2251">
        <v>18</v>
      </c>
      <c r="O2251" t="s">
        <v>30</v>
      </c>
      <c r="P2251" t="s">
        <v>42</v>
      </c>
      <c r="S2251" t="s">
        <v>31</v>
      </c>
      <c r="T2251" t="s">
        <v>983</v>
      </c>
      <c r="U2251">
        <v>883</v>
      </c>
      <c r="V2251" s="3">
        <v>42138</v>
      </c>
    </row>
    <row r="2252" spans="1:22" x14ac:dyDescent="0.35">
      <c r="A2252" s="1">
        <v>42346.867789351854</v>
      </c>
      <c r="B2252" s="2">
        <v>3.9814814814814817E-3</v>
      </c>
      <c r="C2252" t="s">
        <v>3811</v>
      </c>
      <c r="D2252" t="s">
        <v>35</v>
      </c>
      <c r="E2252" t="s">
        <v>36</v>
      </c>
      <c r="F2252" t="s">
        <v>3812</v>
      </c>
      <c r="G2252">
        <v>3038360</v>
      </c>
      <c r="H2252" t="s">
        <v>526</v>
      </c>
      <c r="I2252" t="s">
        <v>3813</v>
      </c>
      <c r="J2252" t="str">
        <f>"9780226043692"</f>
        <v>9780226043692</v>
      </c>
      <c r="K2252" t="s">
        <v>3991</v>
      </c>
      <c r="L2252">
        <v>26</v>
      </c>
      <c r="O2252" t="s">
        <v>30</v>
      </c>
      <c r="P2252" t="s">
        <v>47</v>
      </c>
      <c r="Q2252" s="1">
        <v>42346.867789351854</v>
      </c>
      <c r="R2252">
        <v>1</v>
      </c>
      <c r="S2252" t="s">
        <v>40</v>
      </c>
      <c r="T2252" t="s">
        <v>3814</v>
      </c>
      <c r="U2252">
        <v>364.601</v>
      </c>
      <c r="V2252" s="3">
        <v>41365</v>
      </c>
    </row>
    <row r="2253" spans="1:22" x14ac:dyDescent="0.35">
      <c r="A2253" s="1">
        <v>42346.859432870369</v>
      </c>
      <c r="B2253" s="2">
        <v>1.712962962962963E-2</v>
      </c>
      <c r="C2253" t="s">
        <v>3985</v>
      </c>
      <c r="D2253" t="s">
        <v>23</v>
      </c>
      <c r="E2253" t="s">
        <v>24</v>
      </c>
      <c r="F2253" t="s">
        <v>3939</v>
      </c>
      <c r="G2253">
        <v>1132027</v>
      </c>
      <c r="H2253" t="s">
        <v>84</v>
      </c>
      <c r="I2253" t="s">
        <v>172</v>
      </c>
      <c r="J2253" t="str">
        <f>"9780520954694"</f>
        <v>9780520954694</v>
      </c>
      <c r="K2253" t="s">
        <v>3992</v>
      </c>
      <c r="L2253">
        <v>11</v>
      </c>
      <c r="O2253" t="s">
        <v>30</v>
      </c>
      <c r="P2253" t="s">
        <v>42</v>
      </c>
      <c r="S2253" t="s">
        <v>31</v>
      </c>
      <c r="T2253" t="s">
        <v>3940</v>
      </c>
      <c r="U2253">
        <v>938.07</v>
      </c>
      <c r="V2253" s="3">
        <v>41282</v>
      </c>
    </row>
    <row r="2254" spans="1:22" x14ac:dyDescent="0.35">
      <c r="A2254" s="1">
        <v>42346.849363425928</v>
      </c>
      <c r="B2254" s="2">
        <v>2.4305555555555552E-4</v>
      </c>
      <c r="C2254" t="s">
        <v>210</v>
      </c>
      <c r="D2254" t="s">
        <v>211</v>
      </c>
      <c r="E2254" t="s">
        <v>212</v>
      </c>
      <c r="F2254" t="s">
        <v>3993</v>
      </c>
      <c r="G2254">
        <v>1798778</v>
      </c>
      <c r="H2254" t="s">
        <v>26</v>
      </c>
      <c r="I2254" t="s">
        <v>247</v>
      </c>
      <c r="J2254" t="str">
        <f>"9781118760741"</f>
        <v>9781118760741</v>
      </c>
      <c r="K2254" t="s">
        <v>3994</v>
      </c>
      <c r="L2254">
        <v>10</v>
      </c>
      <c r="O2254" t="s">
        <v>30</v>
      </c>
      <c r="P2254" t="s">
        <v>42</v>
      </c>
      <c r="S2254" t="s">
        <v>214</v>
      </c>
      <c r="T2254" t="s">
        <v>3995</v>
      </c>
      <c r="U2254">
        <v>616.07500000000005</v>
      </c>
      <c r="V2254" s="3">
        <v>41906</v>
      </c>
    </row>
    <row r="2255" spans="1:22" x14ac:dyDescent="0.35">
      <c r="A2255" s="1">
        <v>42346.837152777778</v>
      </c>
      <c r="B2255" s="2">
        <v>2.7777777777777778E-4</v>
      </c>
      <c r="C2255" t="s">
        <v>106</v>
      </c>
      <c r="D2255" t="s">
        <v>23</v>
      </c>
      <c r="E2255" t="s">
        <v>24</v>
      </c>
      <c r="F2255" t="s">
        <v>3060</v>
      </c>
      <c r="G2255">
        <v>1120279</v>
      </c>
      <c r="H2255" t="s">
        <v>26</v>
      </c>
      <c r="I2255" t="s">
        <v>3061</v>
      </c>
      <c r="J2255" t="str">
        <f>"9781118537671"</f>
        <v>9781118537671</v>
      </c>
      <c r="K2255" t="s">
        <v>3996</v>
      </c>
      <c r="L2255">
        <v>10</v>
      </c>
      <c r="O2255" t="s">
        <v>30</v>
      </c>
      <c r="P2255" t="s">
        <v>42</v>
      </c>
      <c r="S2255" t="s">
        <v>31</v>
      </c>
      <c r="T2255" t="s">
        <v>3063</v>
      </c>
      <c r="U2255">
        <v>599.93499999999995</v>
      </c>
      <c r="V2255" s="3">
        <v>41232</v>
      </c>
    </row>
    <row r="2256" spans="1:22" x14ac:dyDescent="0.35">
      <c r="A2256" s="1">
        <v>42346.830023148148</v>
      </c>
      <c r="B2256" s="2">
        <v>3.7766203703703705E-2</v>
      </c>
      <c r="C2256" t="s">
        <v>3811</v>
      </c>
      <c r="D2256" t="s">
        <v>35</v>
      </c>
      <c r="E2256" t="s">
        <v>36</v>
      </c>
      <c r="F2256" t="s">
        <v>3812</v>
      </c>
      <c r="G2256">
        <v>3038360</v>
      </c>
      <c r="H2256" t="s">
        <v>526</v>
      </c>
      <c r="I2256" t="s">
        <v>3813</v>
      </c>
      <c r="J2256" t="str">
        <f>"9780226043692"</f>
        <v>9780226043692</v>
      </c>
      <c r="K2256" t="s">
        <v>3997</v>
      </c>
      <c r="L2256">
        <v>13</v>
      </c>
      <c r="O2256" t="s">
        <v>30</v>
      </c>
      <c r="P2256" t="s">
        <v>50</v>
      </c>
      <c r="S2256" t="s">
        <v>40</v>
      </c>
      <c r="T2256" t="s">
        <v>3814</v>
      </c>
      <c r="U2256">
        <v>364.601</v>
      </c>
      <c r="V2256" s="3">
        <v>41365</v>
      </c>
    </row>
    <row r="2257" spans="1:22" x14ac:dyDescent="0.35">
      <c r="A2257" s="1">
        <v>42346.824120370373</v>
      </c>
      <c r="B2257" s="2">
        <v>9.375E-2</v>
      </c>
      <c r="C2257" t="s">
        <v>3998</v>
      </c>
      <c r="D2257" t="s">
        <v>35</v>
      </c>
      <c r="E2257" t="s">
        <v>36</v>
      </c>
      <c r="F2257" t="s">
        <v>3999</v>
      </c>
      <c r="G2257">
        <v>1895039</v>
      </c>
      <c r="H2257" t="s">
        <v>26</v>
      </c>
      <c r="I2257" t="s">
        <v>3061</v>
      </c>
      <c r="J2257" t="str">
        <f>"9781118335741"</f>
        <v>9781118335741</v>
      </c>
      <c r="K2257" t="s">
        <v>4000</v>
      </c>
      <c r="L2257">
        <v>37</v>
      </c>
      <c r="O2257" t="s">
        <v>30</v>
      </c>
      <c r="P2257" t="s">
        <v>29</v>
      </c>
      <c r="Q2257" s="1">
        <v>42346.824120370373</v>
      </c>
      <c r="R2257">
        <v>7</v>
      </c>
      <c r="S2257" t="s">
        <v>40</v>
      </c>
      <c r="T2257" t="s">
        <v>4001</v>
      </c>
      <c r="U2257" t="s">
        <v>4002</v>
      </c>
      <c r="V2257" s="3">
        <v>42058</v>
      </c>
    </row>
    <row r="2258" spans="1:22" x14ac:dyDescent="0.35">
      <c r="A2258" s="1">
        <v>42346.815428240741</v>
      </c>
      <c r="B2258" s="2">
        <v>8.6921296296296312E-3</v>
      </c>
      <c r="C2258" t="s">
        <v>3998</v>
      </c>
      <c r="D2258" t="s">
        <v>35</v>
      </c>
      <c r="E2258" t="s">
        <v>36</v>
      </c>
      <c r="F2258" t="s">
        <v>3999</v>
      </c>
      <c r="G2258">
        <v>1895039</v>
      </c>
      <c r="H2258" t="s">
        <v>26</v>
      </c>
      <c r="I2258" t="s">
        <v>3061</v>
      </c>
      <c r="J2258" t="str">
        <f>"9781118335741"</f>
        <v>9781118335741</v>
      </c>
      <c r="K2258" t="s">
        <v>4003</v>
      </c>
      <c r="L2258">
        <v>9</v>
      </c>
      <c r="O2258" t="s">
        <v>30</v>
      </c>
      <c r="P2258" t="s">
        <v>42</v>
      </c>
      <c r="S2258" t="s">
        <v>40</v>
      </c>
      <c r="T2258" t="s">
        <v>4001</v>
      </c>
      <c r="U2258" t="s">
        <v>4002</v>
      </c>
      <c r="V2258" s="3">
        <v>42058</v>
      </c>
    </row>
    <row r="2259" spans="1:22" x14ac:dyDescent="0.35">
      <c r="A2259" s="1">
        <v>42346.802083333336</v>
      </c>
      <c r="B2259" s="2">
        <v>2.5312500000000002E-2</v>
      </c>
      <c r="C2259" t="s">
        <v>4004</v>
      </c>
      <c r="D2259" t="s">
        <v>35</v>
      </c>
      <c r="E2259" t="s">
        <v>36</v>
      </c>
      <c r="F2259" t="s">
        <v>1886</v>
      </c>
      <c r="G2259">
        <v>1692797</v>
      </c>
      <c r="H2259" t="s">
        <v>45</v>
      </c>
      <c r="I2259" t="s">
        <v>310</v>
      </c>
      <c r="J2259" t="str">
        <f>"9781472431509"</f>
        <v>9781472431509</v>
      </c>
      <c r="K2259" t="s">
        <v>4005</v>
      </c>
      <c r="L2259">
        <v>33</v>
      </c>
      <c r="O2259" t="s">
        <v>30</v>
      </c>
      <c r="P2259" t="s">
        <v>29</v>
      </c>
      <c r="Q2259" s="1">
        <v>42341.761331018519</v>
      </c>
      <c r="R2259">
        <v>7</v>
      </c>
      <c r="S2259" t="s">
        <v>40</v>
      </c>
      <c r="T2259" t="s">
        <v>1890</v>
      </c>
      <c r="U2259" t="s">
        <v>1891</v>
      </c>
      <c r="V2259" s="3">
        <v>41848</v>
      </c>
    </row>
    <row r="2260" spans="1:22" x14ac:dyDescent="0.35">
      <c r="A2260" s="1">
        <v>42346.796898148146</v>
      </c>
      <c r="B2260" s="2">
        <v>9.3750000000000007E-4</v>
      </c>
      <c r="C2260" t="s">
        <v>4006</v>
      </c>
      <c r="D2260" t="s">
        <v>623</v>
      </c>
      <c r="E2260" t="s">
        <v>624</v>
      </c>
      <c r="F2260" t="s">
        <v>4007</v>
      </c>
      <c r="G2260">
        <v>1638614</v>
      </c>
      <c r="H2260" t="s">
        <v>26</v>
      </c>
      <c r="I2260" t="s">
        <v>69</v>
      </c>
      <c r="J2260" t="str">
        <f>"9781118866979"</f>
        <v>9781118866979</v>
      </c>
      <c r="K2260" t="s">
        <v>4008</v>
      </c>
      <c r="L2260">
        <v>8</v>
      </c>
      <c r="N2260" t="s">
        <v>4009</v>
      </c>
      <c r="O2260" t="s">
        <v>30</v>
      </c>
      <c r="P2260" t="s">
        <v>47</v>
      </c>
      <c r="Q2260" s="1">
        <v>42346.796319444446</v>
      </c>
      <c r="R2260">
        <v>1</v>
      </c>
      <c r="S2260" t="s">
        <v>627</v>
      </c>
      <c r="T2260" t="s">
        <v>4010</v>
      </c>
      <c r="U2260">
        <v>378.19684999999998</v>
      </c>
      <c r="V2260" s="3">
        <v>41690</v>
      </c>
    </row>
    <row r="2261" spans="1:22" x14ac:dyDescent="0.35">
      <c r="A2261" s="1">
        <v>42346.796319444446</v>
      </c>
      <c r="B2261" s="2">
        <v>0</v>
      </c>
      <c r="C2261" t="s">
        <v>4006</v>
      </c>
      <c r="D2261" t="s">
        <v>623</v>
      </c>
      <c r="E2261" t="s">
        <v>624</v>
      </c>
      <c r="F2261" t="s">
        <v>4007</v>
      </c>
      <c r="G2261">
        <v>1638614</v>
      </c>
      <c r="H2261" t="s">
        <v>26</v>
      </c>
      <c r="I2261" t="s">
        <v>69</v>
      </c>
      <c r="J2261" t="str">
        <f>"9781118866979"</f>
        <v>9781118866979</v>
      </c>
      <c r="L2261">
        <v>0</v>
      </c>
      <c r="N2261" t="s">
        <v>4011</v>
      </c>
      <c r="O2261" t="s">
        <v>30</v>
      </c>
      <c r="P2261" t="s">
        <v>47</v>
      </c>
      <c r="Q2261" s="1">
        <v>42346.796319444446</v>
      </c>
      <c r="R2261">
        <v>1</v>
      </c>
      <c r="S2261" t="s">
        <v>627</v>
      </c>
      <c r="T2261" t="s">
        <v>4010</v>
      </c>
      <c r="U2261">
        <v>378.19684999999998</v>
      </c>
      <c r="V2261" s="3">
        <v>41690</v>
      </c>
    </row>
    <row r="2262" spans="1:22" x14ac:dyDescent="0.35">
      <c r="A2262" s="1">
        <v>42346.795300925929</v>
      </c>
      <c r="B2262" s="2">
        <v>1.0185185185185186E-3</v>
      </c>
      <c r="C2262" t="s">
        <v>4006</v>
      </c>
      <c r="D2262" t="s">
        <v>623</v>
      </c>
      <c r="E2262" t="s">
        <v>624</v>
      </c>
      <c r="F2262" t="s">
        <v>4007</v>
      </c>
      <c r="G2262">
        <v>1638614</v>
      </c>
      <c r="H2262" t="s">
        <v>26</v>
      </c>
      <c r="I2262" t="s">
        <v>69</v>
      </c>
      <c r="J2262" t="str">
        <f>"9781118866979"</f>
        <v>9781118866979</v>
      </c>
      <c r="K2262" t="s">
        <v>4012</v>
      </c>
      <c r="L2262">
        <v>16</v>
      </c>
      <c r="O2262" t="s">
        <v>30</v>
      </c>
      <c r="P2262" t="s">
        <v>50</v>
      </c>
      <c r="S2262" t="s">
        <v>627</v>
      </c>
      <c r="T2262" t="s">
        <v>4010</v>
      </c>
      <c r="U2262">
        <v>378.19684999999998</v>
      </c>
      <c r="V2262" s="3">
        <v>41690</v>
      </c>
    </row>
    <row r="2263" spans="1:22" x14ac:dyDescent="0.35">
      <c r="A2263" s="1">
        <v>42346.786435185182</v>
      </c>
      <c r="B2263" s="2">
        <v>3.2986111111111111E-3</v>
      </c>
      <c r="C2263" t="s">
        <v>4013</v>
      </c>
      <c r="D2263" t="s">
        <v>335</v>
      </c>
      <c r="E2263" t="s">
        <v>336</v>
      </c>
      <c r="F2263" t="s">
        <v>4014</v>
      </c>
      <c r="G2263">
        <v>1540239</v>
      </c>
      <c r="H2263" t="s">
        <v>68</v>
      </c>
      <c r="I2263" t="s">
        <v>4015</v>
      </c>
      <c r="J2263" t="str">
        <f>"9781134063581"</f>
        <v>9781134063581</v>
      </c>
      <c r="K2263" t="s">
        <v>4016</v>
      </c>
      <c r="L2263">
        <v>15</v>
      </c>
      <c r="O2263" t="s">
        <v>30</v>
      </c>
      <c r="P2263" t="s">
        <v>50</v>
      </c>
      <c r="S2263" t="s">
        <v>340</v>
      </c>
      <c r="T2263" t="s">
        <v>4017</v>
      </c>
      <c r="U2263">
        <v>363.73</v>
      </c>
      <c r="V2263" s="3">
        <v>40087</v>
      </c>
    </row>
    <row r="2264" spans="1:22" x14ac:dyDescent="0.35">
      <c r="A2264" s="1">
        <v>42346.785879629628</v>
      </c>
      <c r="B2264" s="2">
        <v>2.4305555555555552E-4</v>
      </c>
      <c r="C2264" t="s">
        <v>4013</v>
      </c>
      <c r="D2264" t="s">
        <v>335</v>
      </c>
      <c r="E2264" t="s">
        <v>336</v>
      </c>
      <c r="F2264" t="s">
        <v>4018</v>
      </c>
      <c r="G2264">
        <v>1486883</v>
      </c>
      <c r="H2264" t="s">
        <v>68</v>
      </c>
      <c r="I2264" t="s">
        <v>338</v>
      </c>
      <c r="J2264" t="str">
        <f>"9781135996666"</f>
        <v>9781135996666</v>
      </c>
      <c r="K2264" t="s">
        <v>4019</v>
      </c>
      <c r="L2264">
        <v>8</v>
      </c>
      <c r="O2264" t="s">
        <v>30</v>
      </c>
      <c r="P2264" t="s">
        <v>50</v>
      </c>
      <c r="S2264" t="s">
        <v>340</v>
      </c>
      <c r="T2264" t="s">
        <v>4020</v>
      </c>
      <c r="U2264">
        <v>615.90200000000004</v>
      </c>
      <c r="V2264" s="3">
        <v>40562</v>
      </c>
    </row>
    <row r="2265" spans="1:22" x14ac:dyDescent="0.35">
      <c r="A2265" s="1">
        <v>42346.784594907411</v>
      </c>
      <c r="B2265" s="2">
        <v>5.6712962962962956E-4</v>
      </c>
      <c r="C2265" t="s">
        <v>4013</v>
      </c>
      <c r="D2265" t="s">
        <v>335</v>
      </c>
      <c r="E2265" t="s">
        <v>336</v>
      </c>
      <c r="F2265" t="s">
        <v>4021</v>
      </c>
      <c r="G2265">
        <v>1486914</v>
      </c>
      <c r="H2265" t="s">
        <v>68</v>
      </c>
      <c r="I2265" t="s">
        <v>4022</v>
      </c>
      <c r="J2265" t="str">
        <f>"9781135997502"</f>
        <v>9781135997502</v>
      </c>
      <c r="K2265" t="s">
        <v>4023</v>
      </c>
      <c r="L2265">
        <v>18</v>
      </c>
      <c r="O2265" t="s">
        <v>30</v>
      </c>
      <c r="P2265" t="s">
        <v>50</v>
      </c>
      <c r="S2265" t="s">
        <v>340</v>
      </c>
      <c r="T2265" t="s">
        <v>4024</v>
      </c>
      <c r="U2265">
        <v>363.7063</v>
      </c>
      <c r="V2265" s="3">
        <v>41565</v>
      </c>
    </row>
    <row r="2266" spans="1:22" x14ac:dyDescent="0.35">
      <c r="A2266" s="1">
        <v>42346.781006944446</v>
      </c>
      <c r="B2266" s="2">
        <v>0</v>
      </c>
      <c r="C2266" t="s">
        <v>4025</v>
      </c>
      <c r="D2266" t="s">
        <v>23</v>
      </c>
      <c r="E2266" t="s">
        <v>24</v>
      </c>
      <c r="F2266" t="s">
        <v>4026</v>
      </c>
      <c r="G2266">
        <v>1816988</v>
      </c>
      <c r="H2266" t="s">
        <v>186</v>
      </c>
      <c r="I2266" t="s">
        <v>1407</v>
      </c>
      <c r="J2266" t="str">
        <f>"9781780642048"</f>
        <v>9781780642048</v>
      </c>
      <c r="L2266">
        <v>0</v>
      </c>
      <c r="O2266" t="s">
        <v>28</v>
      </c>
      <c r="P2266" t="s">
        <v>47</v>
      </c>
      <c r="Q2266" s="1">
        <v>42346.781006944446</v>
      </c>
      <c r="R2266">
        <v>1</v>
      </c>
      <c r="S2266" t="s">
        <v>31</v>
      </c>
      <c r="T2266" t="s">
        <v>4027</v>
      </c>
      <c r="U2266">
        <v>577.27</v>
      </c>
      <c r="V2266" s="3">
        <v>41894</v>
      </c>
    </row>
    <row r="2267" spans="1:22" x14ac:dyDescent="0.35">
      <c r="A2267" s="1">
        <v>42346.781006944446</v>
      </c>
      <c r="B2267" s="2">
        <v>0</v>
      </c>
      <c r="C2267" t="s">
        <v>4025</v>
      </c>
      <c r="D2267" t="s">
        <v>23</v>
      </c>
      <c r="E2267" t="s">
        <v>24</v>
      </c>
      <c r="F2267" t="s">
        <v>4026</v>
      </c>
      <c r="G2267">
        <v>1816988</v>
      </c>
      <c r="H2267" t="s">
        <v>186</v>
      </c>
      <c r="I2267" t="s">
        <v>1407</v>
      </c>
      <c r="J2267" t="str">
        <f>"9781780642048"</f>
        <v>9781780642048</v>
      </c>
      <c r="L2267">
        <v>0</v>
      </c>
      <c r="O2267" t="s">
        <v>30</v>
      </c>
      <c r="P2267" t="s">
        <v>47</v>
      </c>
      <c r="Q2267" s="1">
        <v>42346.781006944446</v>
      </c>
      <c r="R2267">
        <v>1</v>
      </c>
      <c r="S2267" t="s">
        <v>31</v>
      </c>
      <c r="T2267" t="s">
        <v>4027</v>
      </c>
      <c r="U2267">
        <v>577.27</v>
      </c>
      <c r="V2267" s="3">
        <v>41894</v>
      </c>
    </row>
    <row r="2268" spans="1:22" x14ac:dyDescent="0.35">
      <c r="A2268" s="1">
        <v>42346.780636574076</v>
      </c>
      <c r="B2268" s="2">
        <v>3.7037037037037035E-4</v>
      </c>
      <c r="C2268" t="s">
        <v>4025</v>
      </c>
      <c r="D2268" t="s">
        <v>23</v>
      </c>
      <c r="E2268" t="s">
        <v>24</v>
      </c>
      <c r="F2268" t="s">
        <v>4026</v>
      </c>
      <c r="G2268">
        <v>1816988</v>
      </c>
      <c r="H2268" t="s">
        <v>186</v>
      </c>
      <c r="I2268" t="s">
        <v>1407</v>
      </c>
      <c r="J2268" t="str">
        <f>"9781780642048"</f>
        <v>9781780642048</v>
      </c>
      <c r="K2268" t="s">
        <v>4028</v>
      </c>
      <c r="L2268">
        <v>16</v>
      </c>
      <c r="O2268" t="s">
        <v>30</v>
      </c>
      <c r="P2268" t="s">
        <v>50</v>
      </c>
      <c r="S2268" t="s">
        <v>31</v>
      </c>
      <c r="T2268" t="s">
        <v>4027</v>
      </c>
      <c r="U2268">
        <v>577.27</v>
      </c>
      <c r="V2268" s="3">
        <v>41894</v>
      </c>
    </row>
    <row r="2269" spans="1:22" x14ac:dyDescent="0.35">
      <c r="A2269" s="1">
        <v>42346.766875000001</v>
      </c>
      <c r="B2269" s="2">
        <v>1.0648148148148147E-3</v>
      </c>
      <c r="C2269" t="s">
        <v>4029</v>
      </c>
      <c r="D2269" t="s">
        <v>35</v>
      </c>
      <c r="E2269" t="s">
        <v>36</v>
      </c>
      <c r="F2269" t="s">
        <v>4030</v>
      </c>
      <c r="G2269">
        <v>1767754</v>
      </c>
      <c r="H2269" t="s">
        <v>26</v>
      </c>
      <c r="I2269" t="s">
        <v>38</v>
      </c>
      <c r="J2269" t="str">
        <f>"9781118455289"</f>
        <v>9781118455289</v>
      </c>
      <c r="K2269" t="s">
        <v>4031</v>
      </c>
      <c r="L2269">
        <v>30</v>
      </c>
      <c r="O2269" t="s">
        <v>30</v>
      </c>
      <c r="P2269" t="s">
        <v>50</v>
      </c>
      <c r="S2269" t="s">
        <v>40</v>
      </c>
      <c r="T2269" t="s">
        <v>4032</v>
      </c>
      <c r="U2269">
        <v>362.1</v>
      </c>
      <c r="V2269" s="3">
        <v>41865</v>
      </c>
    </row>
    <row r="2270" spans="1:22" x14ac:dyDescent="0.35">
      <c r="A2270" s="1">
        <v>42346.759965277779</v>
      </c>
      <c r="B2270" s="2">
        <v>5.9027777777777778E-4</v>
      </c>
      <c r="C2270" t="s">
        <v>3874</v>
      </c>
      <c r="D2270" t="s">
        <v>261</v>
      </c>
      <c r="E2270" t="s">
        <v>262</v>
      </c>
      <c r="F2270" t="s">
        <v>3875</v>
      </c>
      <c r="G2270">
        <v>917254</v>
      </c>
      <c r="H2270" t="s">
        <v>91</v>
      </c>
      <c r="I2270" t="s">
        <v>247</v>
      </c>
      <c r="J2270" t="str">
        <f>"9781462505067"</f>
        <v>9781462505067</v>
      </c>
      <c r="K2270" t="s">
        <v>4033</v>
      </c>
      <c r="L2270">
        <v>13</v>
      </c>
      <c r="O2270" t="s">
        <v>30</v>
      </c>
      <c r="P2270" t="s">
        <v>42</v>
      </c>
      <c r="S2270" t="s">
        <v>264</v>
      </c>
      <c r="T2270" t="s">
        <v>3877</v>
      </c>
      <c r="U2270">
        <v>618.92858820000004</v>
      </c>
      <c r="V2270" s="3">
        <v>41773</v>
      </c>
    </row>
    <row r="2271" spans="1:22" x14ac:dyDescent="0.35">
      <c r="A2271" s="1">
        <v>42346.747569444444</v>
      </c>
      <c r="B2271" s="2">
        <v>1.8402777777777777E-3</v>
      </c>
      <c r="C2271" t="s">
        <v>4006</v>
      </c>
      <c r="D2271" t="s">
        <v>623</v>
      </c>
      <c r="E2271" t="s">
        <v>624</v>
      </c>
      <c r="F2271" t="s">
        <v>4007</v>
      </c>
      <c r="G2271">
        <v>1638614</v>
      </c>
      <c r="H2271" t="s">
        <v>26</v>
      </c>
      <c r="I2271" t="s">
        <v>69</v>
      </c>
      <c r="J2271" t="str">
        <f>"9781118866979"</f>
        <v>9781118866979</v>
      </c>
      <c r="K2271" t="s">
        <v>4034</v>
      </c>
      <c r="L2271">
        <v>19</v>
      </c>
      <c r="O2271" t="s">
        <v>30</v>
      </c>
      <c r="P2271" t="s">
        <v>50</v>
      </c>
      <c r="S2271" t="s">
        <v>627</v>
      </c>
      <c r="T2271" t="s">
        <v>4010</v>
      </c>
      <c r="U2271">
        <v>378.19684999999998</v>
      </c>
      <c r="V2271" s="3">
        <v>41690</v>
      </c>
    </row>
    <row r="2272" spans="1:22" x14ac:dyDescent="0.35">
      <c r="A2272" s="1">
        <v>42346.693541666667</v>
      </c>
      <c r="B2272" s="2">
        <v>1.5162037037037036E-3</v>
      </c>
      <c r="C2272" t="s">
        <v>4035</v>
      </c>
      <c r="D2272" t="s">
        <v>2519</v>
      </c>
      <c r="E2272" t="s">
        <v>2520</v>
      </c>
      <c r="F2272" t="s">
        <v>4036</v>
      </c>
      <c r="G2272">
        <v>1710998</v>
      </c>
      <c r="H2272" t="s">
        <v>84</v>
      </c>
      <c r="I2272" t="s">
        <v>187</v>
      </c>
      <c r="J2272" t="str">
        <f>"9780520958982"</f>
        <v>9780520958982</v>
      </c>
      <c r="K2272" t="s">
        <v>4037</v>
      </c>
      <c r="L2272">
        <v>22</v>
      </c>
      <c r="O2272" t="s">
        <v>30</v>
      </c>
      <c r="P2272" t="s">
        <v>47</v>
      </c>
      <c r="Q2272" s="1">
        <v>42346.648240740738</v>
      </c>
      <c r="R2272">
        <v>1</v>
      </c>
      <c r="S2272" t="s">
        <v>3786</v>
      </c>
      <c r="T2272" t="s">
        <v>4038</v>
      </c>
      <c r="U2272" t="s">
        <v>4039</v>
      </c>
      <c r="V2272" s="3">
        <v>41946</v>
      </c>
    </row>
    <row r="2273" spans="1:22" x14ac:dyDescent="0.35">
      <c r="A2273" s="1">
        <v>42346.680185185185</v>
      </c>
      <c r="B2273" s="2">
        <v>0</v>
      </c>
      <c r="C2273" t="s">
        <v>1284</v>
      </c>
      <c r="D2273" t="s">
        <v>35</v>
      </c>
      <c r="E2273" t="s">
        <v>36</v>
      </c>
      <c r="F2273" t="s">
        <v>1285</v>
      </c>
      <c r="G2273">
        <v>979950</v>
      </c>
      <c r="H2273" t="s">
        <v>1286</v>
      </c>
      <c r="I2273" t="s">
        <v>310</v>
      </c>
      <c r="J2273" t="str">
        <f>"9781476600321"</f>
        <v>9781476600321</v>
      </c>
      <c r="L2273">
        <v>0</v>
      </c>
      <c r="O2273" t="s">
        <v>28</v>
      </c>
      <c r="P2273" t="s">
        <v>29</v>
      </c>
      <c r="Q2273" s="1">
        <v>42346.680185185185</v>
      </c>
      <c r="R2273">
        <v>7</v>
      </c>
      <c r="S2273" t="s">
        <v>40</v>
      </c>
      <c r="T2273" t="s">
        <v>1288</v>
      </c>
      <c r="U2273" t="s">
        <v>1289</v>
      </c>
      <c r="V2273" s="3">
        <v>41100</v>
      </c>
    </row>
    <row r="2274" spans="1:22" x14ac:dyDescent="0.35">
      <c r="A2274" s="1">
        <v>42346.680185185185</v>
      </c>
      <c r="B2274" s="2">
        <v>0</v>
      </c>
      <c r="C2274" t="s">
        <v>1284</v>
      </c>
      <c r="D2274" t="s">
        <v>35</v>
      </c>
      <c r="E2274" t="s">
        <v>36</v>
      </c>
      <c r="F2274" t="s">
        <v>1285</v>
      </c>
      <c r="G2274">
        <v>979950</v>
      </c>
      <c r="H2274" t="s">
        <v>1286</v>
      </c>
      <c r="I2274" t="s">
        <v>310</v>
      </c>
      <c r="J2274" t="str">
        <f>"9781476600321"</f>
        <v>9781476600321</v>
      </c>
      <c r="L2274">
        <v>0</v>
      </c>
      <c r="O2274" t="s">
        <v>30</v>
      </c>
      <c r="P2274" t="s">
        <v>29</v>
      </c>
      <c r="Q2274" s="1">
        <v>42346.680185185185</v>
      </c>
      <c r="R2274">
        <v>7</v>
      </c>
      <c r="S2274" t="s">
        <v>40</v>
      </c>
      <c r="T2274" t="s">
        <v>1288</v>
      </c>
      <c r="U2274" t="s">
        <v>1289</v>
      </c>
      <c r="V2274" s="3">
        <v>41100</v>
      </c>
    </row>
    <row r="2275" spans="1:22" x14ac:dyDescent="0.35">
      <c r="A2275" s="1">
        <v>42346.679861111108</v>
      </c>
      <c r="B2275" s="2">
        <v>3.2407407407407406E-4</v>
      </c>
      <c r="C2275" t="s">
        <v>1284</v>
      </c>
      <c r="D2275" t="s">
        <v>35</v>
      </c>
      <c r="E2275" t="s">
        <v>36</v>
      </c>
      <c r="F2275" t="s">
        <v>1285</v>
      </c>
      <c r="G2275">
        <v>979950</v>
      </c>
      <c r="H2275" t="s">
        <v>1286</v>
      </c>
      <c r="I2275" t="s">
        <v>310</v>
      </c>
      <c r="J2275" t="str">
        <f>"9781476600321"</f>
        <v>9781476600321</v>
      </c>
      <c r="K2275" t="s">
        <v>4040</v>
      </c>
      <c r="L2275">
        <v>7</v>
      </c>
      <c r="O2275" t="s">
        <v>30</v>
      </c>
      <c r="P2275" t="s">
        <v>42</v>
      </c>
      <c r="S2275" t="s">
        <v>40</v>
      </c>
      <c r="T2275" t="s">
        <v>1288</v>
      </c>
      <c r="U2275" t="s">
        <v>1289</v>
      </c>
      <c r="V2275" s="3">
        <v>41100</v>
      </c>
    </row>
    <row r="2276" spans="1:22" x14ac:dyDescent="0.35">
      <c r="A2276" s="1">
        <v>42346.671990740739</v>
      </c>
      <c r="B2276" s="2">
        <v>2.0833333333333335E-4</v>
      </c>
      <c r="C2276" t="s">
        <v>4041</v>
      </c>
      <c r="D2276" t="s">
        <v>23</v>
      </c>
      <c r="E2276" t="s">
        <v>24</v>
      </c>
      <c r="F2276" t="s">
        <v>3060</v>
      </c>
      <c r="G2276">
        <v>1120279</v>
      </c>
      <c r="H2276" t="s">
        <v>26</v>
      </c>
      <c r="I2276" t="s">
        <v>3061</v>
      </c>
      <c r="J2276" t="str">
        <f>"9781118537671"</f>
        <v>9781118537671</v>
      </c>
      <c r="K2276" t="s">
        <v>4042</v>
      </c>
      <c r="L2276">
        <v>10</v>
      </c>
      <c r="O2276" t="s">
        <v>30</v>
      </c>
      <c r="P2276" t="s">
        <v>42</v>
      </c>
      <c r="S2276" t="s">
        <v>31</v>
      </c>
      <c r="T2276" t="s">
        <v>3063</v>
      </c>
      <c r="U2276">
        <v>599.93499999999995</v>
      </c>
      <c r="V2276" s="3">
        <v>41232</v>
      </c>
    </row>
    <row r="2277" spans="1:22" x14ac:dyDescent="0.35">
      <c r="A2277" s="1">
        <v>42346.665706018517</v>
      </c>
      <c r="B2277" s="2">
        <v>1.9097222222222222E-3</v>
      </c>
      <c r="C2277" t="s">
        <v>4043</v>
      </c>
      <c r="D2277" t="s">
        <v>158</v>
      </c>
      <c r="E2277" t="s">
        <v>159</v>
      </c>
      <c r="F2277" t="s">
        <v>2191</v>
      </c>
      <c r="G2277">
        <v>1691133</v>
      </c>
      <c r="H2277" t="s">
        <v>91</v>
      </c>
      <c r="I2277" t="s">
        <v>247</v>
      </c>
      <c r="J2277" t="str">
        <f>"9781462516278"</f>
        <v>9781462516278</v>
      </c>
      <c r="K2277" t="s">
        <v>4044</v>
      </c>
      <c r="L2277">
        <v>15</v>
      </c>
      <c r="N2277" t="s">
        <v>4045</v>
      </c>
      <c r="O2277" t="s">
        <v>30</v>
      </c>
      <c r="P2277" t="s">
        <v>29</v>
      </c>
      <c r="Q2277" s="1">
        <v>42342.675983796296</v>
      </c>
      <c r="R2277">
        <v>7</v>
      </c>
      <c r="S2277" t="s">
        <v>163</v>
      </c>
      <c r="T2277" t="s">
        <v>2194</v>
      </c>
      <c r="U2277" t="s">
        <v>2195</v>
      </c>
      <c r="V2277" s="3">
        <v>41774</v>
      </c>
    </row>
    <row r="2278" spans="1:22" x14ac:dyDescent="0.35">
      <c r="A2278" s="1">
        <v>42346.664363425924</v>
      </c>
      <c r="B2278" s="2">
        <v>1.8287037037037037E-3</v>
      </c>
      <c r="C2278" t="s">
        <v>4046</v>
      </c>
      <c r="D2278" t="s">
        <v>2519</v>
      </c>
      <c r="E2278" t="s">
        <v>2520</v>
      </c>
      <c r="F2278" t="s">
        <v>4047</v>
      </c>
      <c r="G2278">
        <v>4000649</v>
      </c>
      <c r="H2278" t="s">
        <v>91</v>
      </c>
      <c r="J2278" t="str">
        <f>"9781462522927"</f>
        <v>9781462522927</v>
      </c>
      <c r="K2278" t="s">
        <v>1073</v>
      </c>
      <c r="L2278">
        <v>25</v>
      </c>
      <c r="O2278" t="s">
        <v>30</v>
      </c>
      <c r="P2278" t="s">
        <v>50</v>
      </c>
      <c r="S2278" t="s">
        <v>2523</v>
      </c>
      <c r="V2278" s="3">
        <v>42300</v>
      </c>
    </row>
    <row r="2279" spans="1:22" x14ac:dyDescent="0.35">
      <c r="A2279" s="1">
        <v>42346.66101851852</v>
      </c>
      <c r="B2279" s="2">
        <v>1.6203703703703703E-4</v>
      </c>
      <c r="C2279" t="s">
        <v>3712</v>
      </c>
      <c r="D2279" t="s">
        <v>23</v>
      </c>
      <c r="E2279" t="s">
        <v>24</v>
      </c>
      <c r="F2279" t="s">
        <v>4048</v>
      </c>
      <c r="G2279">
        <v>1895586</v>
      </c>
      <c r="H2279" t="s">
        <v>26</v>
      </c>
      <c r="I2279" t="s">
        <v>247</v>
      </c>
      <c r="J2279" t="str">
        <f>"9781118766651"</f>
        <v>9781118766651</v>
      </c>
      <c r="K2279" t="s">
        <v>355</v>
      </c>
      <c r="L2279">
        <v>8</v>
      </c>
      <c r="O2279" t="s">
        <v>30</v>
      </c>
      <c r="P2279" t="s">
        <v>42</v>
      </c>
      <c r="S2279" t="s">
        <v>31</v>
      </c>
      <c r="T2279" t="s">
        <v>4049</v>
      </c>
      <c r="U2279" t="s">
        <v>4050</v>
      </c>
      <c r="V2279" s="3">
        <v>42094</v>
      </c>
    </row>
    <row r="2280" spans="1:22" x14ac:dyDescent="0.35">
      <c r="A2280" s="1">
        <v>42346.6559375</v>
      </c>
      <c r="B2280" s="2">
        <v>2.4305555555555552E-4</v>
      </c>
      <c r="C2280" t="s">
        <v>4051</v>
      </c>
      <c r="D2280" t="s">
        <v>1222</v>
      </c>
      <c r="E2280" t="s">
        <v>1223</v>
      </c>
      <c r="F2280" t="s">
        <v>1698</v>
      </c>
      <c r="G2280">
        <v>1637652</v>
      </c>
      <c r="H2280" t="s">
        <v>84</v>
      </c>
      <c r="I2280" t="s">
        <v>69</v>
      </c>
      <c r="J2280" t="str">
        <f>"9780520958449"</f>
        <v>9780520958449</v>
      </c>
      <c r="K2280" t="s">
        <v>4052</v>
      </c>
      <c r="L2280">
        <v>9</v>
      </c>
      <c r="O2280" t="s">
        <v>30</v>
      </c>
      <c r="P2280" t="s">
        <v>29</v>
      </c>
      <c r="Q2280" s="1">
        <v>42341.69872685185</v>
      </c>
      <c r="R2280">
        <v>7</v>
      </c>
      <c r="S2280" t="s">
        <v>1226</v>
      </c>
      <c r="T2280" t="s">
        <v>1700</v>
      </c>
      <c r="U2280" t="s">
        <v>1701</v>
      </c>
      <c r="V2280" s="3">
        <v>41761</v>
      </c>
    </row>
    <row r="2281" spans="1:22" x14ac:dyDescent="0.35">
      <c r="A2281" s="1">
        <v>42346.648240740738</v>
      </c>
      <c r="B2281" s="2">
        <v>1.292824074074074E-2</v>
      </c>
      <c r="C2281" t="s">
        <v>4035</v>
      </c>
      <c r="D2281" t="s">
        <v>2519</v>
      </c>
      <c r="E2281" t="s">
        <v>2520</v>
      </c>
      <c r="F2281" t="s">
        <v>4036</v>
      </c>
      <c r="G2281">
        <v>1710998</v>
      </c>
      <c r="H2281" t="s">
        <v>84</v>
      </c>
      <c r="I2281" t="s">
        <v>187</v>
      </c>
      <c r="J2281" t="str">
        <f>"9780520958982"</f>
        <v>9780520958982</v>
      </c>
      <c r="K2281" t="s">
        <v>4053</v>
      </c>
      <c r="L2281">
        <v>16</v>
      </c>
      <c r="O2281" t="s">
        <v>30</v>
      </c>
      <c r="P2281" t="s">
        <v>47</v>
      </c>
      <c r="Q2281" s="1">
        <v>42346.648240740738</v>
      </c>
      <c r="R2281">
        <v>1</v>
      </c>
      <c r="S2281" t="s">
        <v>3786</v>
      </c>
      <c r="T2281" t="s">
        <v>4038</v>
      </c>
      <c r="U2281" t="s">
        <v>4039</v>
      </c>
      <c r="V2281" s="3">
        <v>41946</v>
      </c>
    </row>
    <row r="2282" spans="1:22" x14ac:dyDescent="0.35">
      <c r="A2282" s="1">
        <v>42346.645057870373</v>
      </c>
      <c r="B2282" s="2">
        <v>0.13859953703703703</v>
      </c>
      <c r="C2282" t="s">
        <v>471</v>
      </c>
      <c r="D2282" t="s">
        <v>211</v>
      </c>
      <c r="E2282" t="s">
        <v>212</v>
      </c>
      <c r="F2282" t="s">
        <v>497</v>
      </c>
      <c r="G2282">
        <v>1986951</v>
      </c>
      <c r="H2282" t="s">
        <v>26</v>
      </c>
      <c r="I2282" t="s">
        <v>97</v>
      </c>
      <c r="J2282" t="str">
        <f>"9781119130468"</f>
        <v>9781119130468</v>
      </c>
      <c r="K2282" t="s">
        <v>4054</v>
      </c>
      <c r="L2282">
        <v>35</v>
      </c>
      <c r="M2282" t="s">
        <v>4055</v>
      </c>
      <c r="O2282" t="s">
        <v>30</v>
      </c>
      <c r="P2282" t="s">
        <v>29</v>
      </c>
      <c r="Q2282" s="1">
        <v>42342.824803240743</v>
      </c>
      <c r="R2282">
        <v>7</v>
      </c>
      <c r="S2282" t="s">
        <v>214</v>
      </c>
      <c r="T2282" t="s">
        <v>500</v>
      </c>
      <c r="U2282">
        <v>657.07600000000002</v>
      </c>
      <c r="V2282" s="3">
        <v>42143</v>
      </c>
    </row>
    <row r="2283" spans="1:22" x14ac:dyDescent="0.35">
      <c r="A2283" s="1">
        <v>42346.642025462963</v>
      </c>
      <c r="B2283" s="2">
        <v>1.4259259259259261E-2</v>
      </c>
      <c r="C2283" t="s">
        <v>106</v>
      </c>
      <c r="D2283" t="s">
        <v>23</v>
      </c>
      <c r="E2283" t="s">
        <v>24</v>
      </c>
      <c r="F2283" t="s">
        <v>982</v>
      </c>
      <c r="G2283">
        <v>1882108</v>
      </c>
      <c r="H2283" t="s">
        <v>84</v>
      </c>
      <c r="I2283" t="s">
        <v>310</v>
      </c>
      <c r="J2283" t="str">
        <f>"9780520961326"</f>
        <v>9780520961326</v>
      </c>
      <c r="K2283" t="s">
        <v>4056</v>
      </c>
      <c r="L2283">
        <v>13</v>
      </c>
      <c r="O2283" t="s">
        <v>30</v>
      </c>
      <c r="P2283" t="s">
        <v>29</v>
      </c>
      <c r="Q2283" s="1">
        <v>42346.642025462963</v>
      </c>
      <c r="R2283">
        <v>7</v>
      </c>
      <c r="S2283" t="s">
        <v>31</v>
      </c>
      <c r="T2283" t="s">
        <v>983</v>
      </c>
      <c r="U2283">
        <v>883</v>
      </c>
      <c r="V2283" s="3">
        <v>42138</v>
      </c>
    </row>
    <row r="2284" spans="1:22" x14ac:dyDescent="0.35">
      <c r="A2284" s="1">
        <v>42346.641770833332</v>
      </c>
      <c r="B2284" s="2">
        <v>2.5462962962962961E-4</v>
      </c>
      <c r="C2284" t="s">
        <v>106</v>
      </c>
      <c r="D2284" t="s">
        <v>23</v>
      </c>
      <c r="E2284" t="s">
        <v>24</v>
      </c>
      <c r="F2284" t="s">
        <v>982</v>
      </c>
      <c r="G2284">
        <v>1882108</v>
      </c>
      <c r="H2284" t="s">
        <v>84</v>
      </c>
      <c r="I2284" t="s">
        <v>310</v>
      </c>
      <c r="J2284" t="str">
        <f>"9780520961326"</f>
        <v>9780520961326</v>
      </c>
      <c r="K2284" t="s">
        <v>4057</v>
      </c>
      <c r="L2284">
        <v>11</v>
      </c>
      <c r="O2284" t="s">
        <v>30</v>
      </c>
      <c r="P2284" t="s">
        <v>42</v>
      </c>
      <c r="S2284" t="s">
        <v>31</v>
      </c>
      <c r="T2284" t="s">
        <v>983</v>
      </c>
      <c r="U2284">
        <v>883</v>
      </c>
      <c r="V2284" s="3">
        <v>42138</v>
      </c>
    </row>
    <row r="2285" spans="1:22" x14ac:dyDescent="0.35">
      <c r="A2285" s="1">
        <v>42346.635208333333</v>
      </c>
      <c r="B2285" s="2">
        <v>1.3032407407407407E-2</v>
      </c>
      <c r="C2285" t="s">
        <v>4035</v>
      </c>
      <c r="D2285" t="s">
        <v>2519</v>
      </c>
      <c r="E2285" t="s">
        <v>2520</v>
      </c>
      <c r="F2285" t="s">
        <v>4036</v>
      </c>
      <c r="G2285">
        <v>1710998</v>
      </c>
      <c r="H2285" t="s">
        <v>84</v>
      </c>
      <c r="I2285" t="s">
        <v>187</v>
      </c>
      <c r="J2285" t="str">
        <f>"9780520958982"</f>
        <v>9780520958982</v>
      </c>
      <c r="K2285" t="s">
        <v>33</v>
      </c>
      <c r="L2285">
        <v>3</v>
      </c>
      <c r="O2285" t="s">
        <v>30</v>
      </c>
      <c r="P2285" t="s">
        <v>50</v>
      </c>
      <c r="S2285" t="s">
        <v>3786</v>
      </c>
      <c r="T2285" t="s">
        <v>4038</v>
      </c>
      <c r="U2285" t="s">
        <v>4039</v>
      </c>
      <c r="V2285" s="3">
        <v>41946</v>
      </c>
    </row>
    <row r="2286" spans="1:22" x14ac:dyDescent="0.35">
      <c r="A2286" s="1">
        <v>42346.633356481485</v>
      </c>
      <c r="B2286" s="2">
        <v>1.0879629629629629E-3</v>
      </c>
      <c r="C2286" t="s">
        <v>4035</v>
      </c>
      <c r="D2286" t="s">
        <v>2519</v>
      </c>
      <c r="E2286" t="s">
        <v>2520</v>
      </c>
      <c r="F2286" t="s">
        <v>4036</v>
      </c>
      <c r="G2286">
        <v>1710998</v>
      </c>
      <c r="H2286" t="s">
        <v>84</v>
      </c>
      <c r="I2286" t="s">
        <v>187</v>
      </c>
      <c r="J2286" t="str">
        <f>"9780520958982"</f>
        <v>9780520958982</v>
      </c>
      <c r="K2286" t="s">
        <v>4058</v>
      </c>
      <c r="L2286">
        <v>6</v>
      </c>
      <c r="O2286" t="s">
        <v>30</v>
      </c>
      <c r="P2286" t="s">
        <v>50</v>
      </c>
      <c r="S2286" t="s">
        <v>3786</v>
      </c>
      <c r="T2286" t="s">
        <v>4038</v>
      </c>
      <c r="U2286" t="s">
        <v>4039</v>
      </c>
      <c r="V2286" s="3">
        <v>41946</v>
      </c>
    </row>
    <row r="2287" spans="1:22" x14ac:dyDescent="0.35">
      <c r="A2287" s="1">
        <v>42346.632569444446</v>
      </c>
      <c r="B2287" s="2">
        <v>3.4722222222222222E-5</v>
      </c>
      <c r="C2287" t="s">
        <v>4035</v>
      </c>
      <c r="D2287" t="s">
        <v>2519</v>
      </c>
      <c r="E2287" t="s">
        <v>2520</v>
      </c>
      <c r="F2287" t="s">
        <v>4036</v>
      </c>
      <c r="G2287">
        <v>1710998</v>
      </c>
      <c r="H2287" t="s">
        <v>84</v>
      </c>
      <c r="I2287" t="s">
        <v>187</v>
      </c>
      <c r="J2287" t="str">
        <f>"9780520958982"</f>
        <v>9780520958982</v>
      </c>
      <c r="K2287" t="s">
        <v>33</v>
      </c>
      <c r="L2287">
        <v>3</v>
      </c>
      <c r="O2287" t="s">
        <v>30</v>
      </c>
      <c r="P2287" t="s">
        <v>50</v>
      </c>
      <c r="S2287" t="s">
        <v>3786</v>
      </c>
      <c r="T2287" t="s">
        <v>4038</v>
      </c>
      <c r="U2287" t="s">
        <v>4039</v>
      </c>
      <c r="V2287" s="3">
        <v>41946</v>
      </c>
    </row>
    <row r="2288" spans="1:22" x14ac:dyDescent="0.35">
      <c r="A2288" s="1">
        <v>42346.627847222226</v>
      </c>
      <c r="B2288" s="2">
        <v>9.5833333333333343E-3</v>
      </c>
      <c r="C2288" t="s">
        <v>4059</v>
      </c>
      <c r="D2288" t="s">
        <v>23</v>
      </c>
      <c r="E2288" t="s">
        <v>24</v>
      </c>
      <c r="F2288" t="s">
        <v>3186</v>
      </c>
      <c r="G2288">
        <v>699744</v>
      </c>
      <c r="H2288" t="s">
        <v>26</v>
      </c>
      <c r="I2288" t="s">
        <v>3187</v>
      </c>
      <c r="J2288" t="str">
        <f>"9781118585818"</f>
        <v>9781118585818</v>
      </c>
      <c r="K2288" t="s">
        <v>4060</v>
      </c>
      <c r="L2288">
        <v>24</v>
      </c>
      <c r="O2288" t="s">
        <v>30</v>
      </c>
      <c r="P2288" t="s">
        <v>29</v>
      </c>
      <c r="Q2288" s="1">
        <v>42345.093171296299</v>
      </c>
      <c r="R2288">
        <v>7</v>
      </c>
      <c r="S2288" t="s">
        <v>31</v>
      </c>
      <c r="T2288" t="s">
        <v>3188</v>
      </c>
      <c r="U2288">
        <v>621.36</v>
      </c>
      <c r="V2288" s="3">
        <v>41310</v>
      </c>
    </row>
    <row r="2289" spans="1:22" x14ac:dyDescent="0.35">
      <c r="A2289" s="1">
        <v>42346.627002314817</v>
      </c>
      <c r="B2289" s="2">
        <v>3.5879629629629635E-4</v>
      </c>
      <c r="C2289" t="s">
        <v>3521</v>
      </c>
      <c r="D2289" t="s">
        <v>335</v>
      </c>
      <c r="E2289" t="s">
        <v>336</v>
      </c>
      <c r="F2289" t="s">
        <v>148</v>
      </c>
      <c r="G2289">
        <v>877717</v>
      </c>
      <c r="H2289" t="s">
        <v>149</v>
      </c>
      <c r="I2289" t="s">
        <v>150</v>
      </c>
      <c r="J2289" t="str">
        <f>"9781438139265"</f>
        <v>9781438139265</v>
      </c>
      <c r="K2289" t="s">
        <v>4061</v>
      </c>
      <c r="L2289">
        <v>23</v>
      </c>
      <c r="O2289" t="s">
        <v>30</v>
      </c>
      <c r="P2289" t="s">
        <v>42</v>
      </c>
      <c r="S2289" t="s">
        <v>340</v>
      </c>
      <c r="T2289" t="s">
        <v>153</v>
      </c>
      <c r="U2289" t="s">
        <v>154</v>
      </c>
      <c r="V2289" s="3">
        <v>40909</v>
      </c>
    </row>
    <row r="2290" spans="1:22" x14ac:dyDescent="0.35">
      <c r="A2290" s="1">
        <v>42346.626087962963</v>
      </c>
      <c r="B2290" s="2">
        <v>6.7939814814814816E-3</v>
      </c>
      <c r="C2290" t="s">
        <v>106</v>
      </c>
      <c r="D2290" t="s">
        <v>23</v>
      </c>
      <c r="E2290" t="s">
        <v>24</v>
      </c>
      <c r="F2290" t="s">
        <v>982</v>
      </c>
      <c r="G2290">
        <v>1882108</v>
      </c>
      <c r="H2290" t="s">
        <v>84</v>
      </c>
      <c r="I2290" t="s">
        <v>310</v>
      </c>
      <c r="J2290" t="str">
        <f>"9780520961326"</f>
        <v>9780520961326</v>
      </c>
      <c r="K2290" t="s">
        <v>4062</v>
      </c>
      <c r="L2290">
        <v>77</v>
      </c>
      <c r="O2290" t="s">
        <v>30</v>
      </c>
      <c r="P2290" t="s">
        <v>42</v>
      </c>
      <c r="S2290" t="s">
        <v>31</v>
      </c>
      <c r="T2290" t="s">
        <v>983</v>
      </c>
      <c r="U2290">
        <v>883</v>
      </c>
      <c r="V2290" s="3">
        <v>42138</v>
      </c>
    </row>
    <row r="2291" spans="1:22" x14ac:dyDescent="0.35">
      <c r="A2291" s="1">
        <v>42346.61990740741</v>
      </c>
      <c r="B2291" s="2">
        <v>0</v>
      </c>
      <c r="C2291" t="s">
        <v>106</v>
      </c>
      <c r="D2291" t="s">
        <v>23</v>
      </c>
      <c r="E2291" t="s">
        <v>24</v>
      </c>
      <c r="F2291" t="s">
        <v>3268</v>
      </c>
      <c r="G2291">
        <v>1645679</v>
      </c>
      <c r="H2291" t="s">
        <v>45</v>
      </c>
      <c r="I2291" t="s">
        <v>2879</v>
      </c>
      <c r="J2291" t="str">
        <f>"9781472413079"</f>
        <v>9781472413079</v>
      </c>
      <c r="L2291">
        <v>0</v>
      </c>
      <c r="N2291" t="s">
        <v>4063</v>
      </c>
      <c r="O2291" t="s">
        <v>30</v>
      </c>
      <c r="P2291" t="s">
        <v>29</v>
      </c>
      <c r="Q2291" s="1">
        <v>42346.61990740741</v>
      </c>
      <c r="R2291">
        <v>7</v>
      </c>
      <c r="S2291" t="s">
        <v>31</v>
      </c>
      <c r="T2291" t="s">
        <v>3269</v>
      </c>
      <c r="U2291" t="s">
        <v>3270</v>
      </c>
      <c r="V2291" s="3">
        <v>41726</v>
      </c>
    </row>
    <row r="2292" spans="1:22" x14ac:dyDescent="0.35">
      <c r="A2292" s="1">
        <v>42346.619710648149</v>
      </c>
      <c r="B2292" s="2">
        <v>1.0416666666666667E-3</v>
      </c>
      <c r="C2292" t="s">
        <v>4064</v>
      </c>
      <c r="D2292" t="s">
        <v>23</v>
      </c>
      <c r="E2292" t="s">
        <v>24</v>
      </c>
      <c r="F2292" t="s">
        <v>4065</v>
      </c>
      <c r="G2292">
        <v>918746</v>
      </c>
      <c r="H2292" t="s">
        <v>1365</v>
      </c>
      <c r="I2292" t="s">
        <v>150</v>
      </c>
      <c r="J2292" t="str">
        <f>"9780826441850"</f>
        <v>9780826441850</v>
      </c>
      <c r="K2292" t="s">
        <v>1203</v>
      </c>
      <c r="L2292">
        <v>17</v>
      </c>
      <c r="O2292" t="s">
        <v>30</v>
      </c>
      <c r="P2292" t="s">
        <v>42</v>
      </c>
      <c r="S2292" t="s">
        <v>31</v>
      </c>
      <c r="T2292" t="s">
        <v>4066</v>
      </c>
      <c r="U2292">
        <v>791.45749999999998</v>
      </c>
      <c r="V2292" s="3">
        <v>41091</v>
      </c>
    </row>
    <row r="2293" spans="1:22" x14ac:dyDescent="0.35">
      <c r="A2293" s="1">
        <v>42346.619490740741</v>
      </c>
      <c r="B2293" s="2">
        <v>4.1666666666666669E-4</v>
      </c>
      <c r="C2293" t="s">
        <v>106</v>
      </c>
      <c r="D2293" t="s">
        <v>23</v>
      </c>
      <c r="E2293" t="s">
        <v>24</v>
      </c>
      <c r="F2293" t="s">
        <v>3268</v>
      </c>
      <c r="G2293">
        <v>1645679</v>
      </c>
      <c r="H2293" t="s">
        <v>45</v>
      </c>
      <c r="I2293" t="s">
        <v>2879</v>
      </c>
      <c r="J2293" t="str">
        <f>"9781472413079"</f>
        <v>9781472413079</v>
      </c>
      <c r="K2293" t="s">
        <v>4067</v>
      </c>
      <c r="L2293">
        <v>10</v>
      </c>
      <c r="O2293" t="s">
        <v>30</v>
      </c>
      <c r="P2293" t="s">
        <v>42</v>
      </c>
      <c r="S2293" t="s">
        <v>31</v>
      </c>
      <c r="T2293" t="s">
        <v>3269</v>
      </c>
      <c r="U2293" t="s">
        <v>3270</v>
      </c>
      <c r="V2293" s="3">
        <v>41726</v>
      </c>
    </row>
    <row r="2294" spans="1:22" x14ac:dyDescent="0.35">
      <c r="A2294" s="1">
        <v>42346.607800925929</v>
      </c>
      <c r="B2294" s="2">
        <v>8.7546296296296289E-2</v>
      </c>
      <c r="C2294" t="s">
        <v>106</v>
      </c>
      <c r="D2294" t="s">
        <v>23</v>
      </c>
      <c r="E2294" t="s">
        <v>24</v>
      </c>
      <c r="F2294" t="s">
        <v>3186</v>
      </c>
      <c r="G2294">
        <v>699744</v>
      </c>
      <c r="H2294" t="s">
        <v>26</v>
      </c>
      <c r="I2294" t="s">
        <v>3187</v>
      </c>
      <c r="J2294" t="str">
        <f>"9781118585818"</f>
        <v>9781118585818</v>
      </c>
      <c r="K2294" t="s">
        <v>4068</v>
      </c>
      <c r="L2294">
        <v>44</v>
      </c>
      <c r="O2294" t="s">
        <v>28</v>
      </c>
      <c r="P2294" t="s">
        <v>29</v>
      </c>
      <c r="Q2294" s="1">
        <v>42343.853854166664</v>
      </c>
      <c r="R2294">
        <v>7</v>
      </c>
      <c r="S2294" t="s">
        <v>31</v>
      </c>
      <c r="T2294" t="s">
        <v>3188</v>
      </c>
      <c r="U2294">
        <v>621.36</v>
      </c>
      <c r="V2294" s="3">
        <v>41310</v>
      </c>
    </row>
    <row r="2295" spans="1:22" x14ac:dyDescent="0.35">
      <c r="A2295" s="1">
        <v>42346.607627314814</v>
      </c>
      <c r="B2295" s="2">
        <v>4.6296296296296294E-5</v>
      </c>
      <c r="C2295" t="s">
        <v>106</v>
      </c>
      <c r="D2295" t="s">
        <v>23</v>
      </c>
      <c r="E2295" t="s">
        <v>24</v>
      </c>
      <c r="F2295" t="s">
        <v>3186</v>
      </c>
      <c r="G2295">
        <v>699744</v>
      </c>
      <c r="H2295" t="s">
        <v>26</v>
      </c>
      <c r="I2295" t="s">
        <v>3187</v>
      </c>
      <c r="J2295" t="str">
        <f>"9781118585818"</f>
        <v>9781118585818</v>
      </c>
      <c r="K2295" t="s">
        <v>33</v>
      </c>
      <c r="L2295">
        <v>3</v>
      </c>
      <c r="O2295" t="s">
        <v>30</v>
      </c>
      <c r="P2295" t="s">
        <v>29</v>
      </c>
      <c r="Q2295" s="1">
        <v>42343.853854166664</v>
      </c>
      <c r="R2295">
        <v>7</v>
      </c>
      <c r="S2295" t="s">
        <v>31</v>
      </c>
      <c r="T2295" t="s">
        <v>3188</v>
      </c>
      <c r="U2295">
        <v>621.36</v>
      </c>
      <c r="V2295" s="3">
        <v>41310</v>
      </c>
    </row>
    <row r="2296" spans="1:22" x14ac:dyDescent="0.35">
      <c r="A2296" s="1">
        <v>42346.607418981483</v>
      </c>
      <c r="B2296" s="2">
        <v>1.273148148148148E-4</v>
      </c>
      <c r="C2296" t="s">
        <v>3712</v>
      </c>
      <c r="D2296" t="s">
        <v>23</v>
      </c>
      <c r="E2296" t="s">
        <v>24</v>
      </c>
      <c r="F2296" t="s">
        <v>4069</v>
      </c>
      <c r="G2296">
        <v>2083724</v>
      </c>
      <c r="H2296" t="s">
        <v>26</v>
      </c>
      <c r="I2296" t="s">
        <v>4070</v>
      </c>
      <c r="J2296" t="str">
        <f>"9781118502211"</f>
        <v>9781118502211</v>
      </c>
      <c r="K2296" t="s">
        <v>355</v>
      </c>
      <c r="L2296">
        <v>8</v>
      </c>
      <c r="O2296" t="s">
        <v>30</v>
      </c>
      <c r="P2296" t="s">
        <v>42</v>
      </c>
      <c r="S2296" t="s">
        <v>31</v>
      </c>
      <c r="T2296" t="s">
        <v>4071</v>
      </c>
      <c r="U2296">
        <v>581.79999999999995</v>
      </c>
      <c r="V2296" s="3">
        <v>42187</v>
      </c>
    </row>
    <row r="2297" spans="1:22" x14ac:dyDescent="0.35">
      <c r="A2297" s="1">
        <v>42346.601493055554</v>
      </c>
      <c r="B2297" s="2">
        <v>1.3888888888888889E-4</v>
      </c>
      <c r="C2297" t="s">
        <v>3712</v>
      </c>
      <c r="D2297" t="s">
        <v>23</v>
      </c>
      <c r="E2297" t="s">
        <v>24</v>
      </c>
      <c r="F2297" t="s">
        <v>1867</v>
      </c>
      <c r="G2297">
        <v>2122525</v>
      </c>
      <c r="H2297" t="s">
        <v>26</v>
      </c>
      <c r="I2297" t="s">
        <v>1325</v>
      </c>
      <c r="J2297" t="str">
        <f>"9781118369432"</f>
        <v>9781118369432</v>
      </c>
      <c r="K2297" t="s">
        <v>4072</v>
      </c>
      <c r="L2297">
        <v>8</v>
      </c>
      <c r="O2297" t="s">
        <v>30</v>
      </c>
      <c r="P2297" t="s">
        <v>42</v>
      </c>
      <c r="S2297" t="s">
        <v>31</v>
      </c>
      <c r="T2297" t="s">
        <v>1869</v>
      </c>
      <c r="U2297">
        <v>362.18</v>
      </c>
      <c r="V2297" s="3">
        <v>42150</v>
      </c>
    </row>
    <row r="2298" spans="1:22" x14ac:dyDescent="0.35">
      <c r="A2298" s="1">
        <v>42346.561018518521</v>
      </c>
      <c r="B2298" s="2">
        <v>4.3981481481481481E-4</v>
      </c>
      <c r="C2298" t="s">
        <v>106</v>
      </c>
      <c r="D2298" t="s">
        <v>23</v>
      </c>
      <c r="E2298" t="s">
        <v>24</v>
      </c>
      <c r="F2298" t="s">
        <v>3186</v>
      </c>
      <c r="G2298">
        <v>699744</v>
      </c>
      <c r="H2298" t="s">
        <v>26</v>
      </c>
      <c r="I2298" t="s">
        <v>3187</v>
      </c>
      <c r="J2298" t="str">
        <f>"9781118585818"</f>
        <v>9781118585818</v>
      </c>
      <c r="K2298" t="s">
        <v>4073</v>
      </c>
      <c r="L2298">
        <v>18</v>
      </c>
      <c r="O2298" t="s">
        <v>30</v>
      </c>
      <c r="P2298" t="s">
        <v>29</v>
      </c>
      <c r="Q2298" s="1">
        <v>42343.853854166664</v>
      </c>
      <c r="R2298">
        <v>7</v>
      </c>
      <c r="S2298" t="s">
        <v>31</v>
      </c>
      <c r="T2298" t="s">
        <v>3188</v>
      </c>
      <c r="U2298">
        <v>621.36</v>
      </c>
      <c r="V2298" s="3">
        <v>41310</v>
      </c>
    </row>
    <row r="2299" spans="1:22" x14ac:dyDescent="0.35">
      <c r="A2299" s="1">
        <v>42346.559444444443</v>
      </c>
      <c r="B2299" s="2">
        <v>2.6620370370370372E-4</v>
      </c>
      <c r="C2299" t="s">
        <v>4074</v>
      </c>
      <c r="D2299" t="s">
        <v>1222</v>
      </c>
      <c r="E2299" t="s">
        <v>1223</v>
      </c>
      <c r="F2299" t="s">
        <v>4075</v>
      </c>
      <c r="G2299">
        <v>1774206</v>
      </c>
      <c r="H2299" t="s">
        <v>45</v>
      </c>
      <c r="I2299" t="s">
        <v>310</v>
      </c>
      <c r="J2299" t="str">
        <f>"9781472442024"</f>
        <v>9781472442024</v>
      </c>
      <c r="K2299" t="s">
        <v>4076</v>
      </c>
      <c r="L2299">
        <v>8</v>
      </c>
      <c r="O2299" t="s">
        <v>30</v>
      </c>
      <c r="P2299" t="s">
        <v>50</v>
      </c>
      <c r="S2299" t="s">
        <v>1226</v>
      </c>
      <c r="T2299" t="s">
        <v>4077</v>
      </c>
      <c r="U2299" t="s">
        <v>4078</v>
      </c>
      <c r="V2299" s="3">
        <v>41940</v>
      </c>
    </row>
    <row r="2300" spans="1:22" x14ac:dyDescent="0.35">
      <c r="A2300" s="1">
        <v>42346.552928240744</v>
      </c>
      <c r="B2300" s="2">
        <v>1.5046296296296297E-4</v>
      </c>
      <c r="C2300" t="s">
        <v>3712</v>
      </c>
      <c r="D2300" t="s">
        <v>23</v>
      </c>
      <c r="E2300" t="s">
        <v>24</v>
      </c>
      <c r="F2300" t="s">
        <v>4079</v>
      </c>
      <c r="G2300">
        <v>1998231</v>
      </c>
      <c r="H2300" t="s">
        <v>26</v>
      </c>
      <c r="I2300" t="s">
        <v>120</v>
      </c>
      <c r="J2300" t="str">
        <f>"9780745695778"</f>
        <v>9780745695778</v>
      </c>
      <c r="K2300" t="s">
        <v>98</v>
      </c>
      <c r="L2300">
        <v>7</v>
      </c>
      <c r="O2300" t="s">
        <v>30</v>
      </c>
      <c r="P2300" t="s">
        <v>42</v>
      </c>
      <c r="S2300" t="s">
        <v>31</v>
      </c>
      <c r="T2300" t="s">
        <v>4080</v>
      </c>
      <c r="U2300">
        <v>302.23099999999999</v>
      </c>
      <c r="V2300" s="3">
        <v>42118</v>
      </c>
    </row>
    <row r="2301" spans="1:22" x14ac:dyDescent="0.35">
      <c r="A2301" s="1">
        <v>42346.533553240741</v>
      </c>
      <c r="B2301" s="2">
        <v>1.3888888888888889E-4</v>
      </c>
      <c r="C2301" t="s">
        <v>3712</v>
      </c>
      <c r="D2301" t="s">
        <v>23</v>
      </c>
      <c r="E2301" t="s">
        <v>24</v>
      </c>
      <c r="F2301" t="s">
        <v>4081</v>
      </c>
      <c r="G2301">
        <v>2198556</v>
      </c>
      <c r="H2301" t="s">
        <v>26</v>
      </c>
      <c r="J2301" t="str">
        <f>"9781118905166"</f>
        <v>9781118905166</v>
      </c>
      <c r="K2301" t="s">
        <v>355</v>
      </c>
      <c r="L2301">
        <v>8</v>
      </c>
      <c r="O2301" t="s">
        <v>30</v>
      </c>
      <c r="P2301" t="s">
        <v>42</v>
      </c>
      <c r="S2301" t="s">
        <v>31</v>
      </c>
      <c r="V2301" s="3">
        <v>42243</v>
      </c>
    </row>
    <row r="2302" spans="1:22" x14ac:dyDescent="0.35">
      <c r="A2302" s="1">
        <v>42346.435335648152</v>
      </c>
      <c r="B2302" s="2">
        <v>6.9444444444444444E-5</v>
      </c>
      <c r="C2302" t="s">
        <v>4082</v>
      </c>
      <c r="D2302" t="s">
        <v>35</v>
      </c>
      <c r="E2302" t="s">
        <v>36</v>
      </c>
      <c r="F2302" t="s">
        <v>4083</v>
      </c>
      <c r="G2302">
        <v>1166366</v>
      </c>
      <c r="H2302" t="s">
        <v>68</v>
      </c>
      <c r="I2302" t="s">
        <v>150</v>
      </c>
      <c r="J2302" t="str">
        <f>"9781136089541"</f>
        <v>9781136089541</v>
      </c>
      <c r="K2302" t="s">
        <v>33</v>
      </c>
      <c r="L2302">
        <v>3</v>
      </c>
      <c r="O2302" t="s">
        <v>30</v>
      </c>
      <c r="P2302" t="s">
        <v>50</v>
      </c>
      <c r="S2302" t="s">
        <v>40</v>
      </c>
      <c r="T2302" t="s">
        <v>4084</v>
      </c>
      <c r="U2302">
        <v>780.89</v>
      </c>
      <c r="V2302" s="3">
        <v>41522</v>
      </c>
    </row>
    <row r="2303" spans="1:22" x14ac:dyDescent="0.35">
      <c r="A2303" s="1">
        <v>42346.349907407406</v>
      </c>
      <c r="B2303" s="2">
        <v>7.3148148148148143E-2</v>
      </c>
      <c r="C2303" t="s">
        <v>4051</v>
      </c>
      <c r="D2303" t="s">
        <v>1222</v>
      </c>
      <c r="E2303" t="s">
        <v>1223</v>
      </c>
      <c r="F2303" t="s">
        <v>1698</v>
      </c>
      <c r="G2303">
        <v>1637652</v>
      </c>
      <c r="H2303" t="s">
        <v>84</v>
      </c>
      <c r="I2303" t="s">
        <v>69</v>
      </c>
      <c r="J2303" t="str">
        <f>"9780520958449"</f>
        <v>9780520958449</v>
      </c>
      <c r="K2303" t="s">
        <v>4085</v>
      </c>
      <c r="L2303">
        <v>12</v>
      </c>
      <c r="O2303" t="s">
        <v>30</v>
      </c>
      <c r="P2303" t="s">
        <v>29</v>
      </c>
      <c r="Q2303" s="1">
        <v>42341.69872685185</v>
      </c>
      <c r="R2303">
        <v>7</v>
      </c>
      <c r="S2303" t="s">
        <v>1226</v>
      </c>
      <c r="T2303" t="s">
        <v>1700</v>
      </c>
      <c r="U2303" t="s">
        <v>1701</v>
      </c>
      <c r="V2303" s="3">
        <v>41761</v>
      </c>
    </row>
    <row r="2304" spans="1:22" x14ac:dyDescent="0.35">
      <c r="A2304" s="1">
        <v>42346.323321759257</v>
      </c>
      <c r="B2304" s="2">
        <v>0</v>
      </c>
      <c r="C2304" t="s">
        <v>4086</v>
      </c>
      <c r="D2304" t="s">
        <v>23</v>
      </c>
      <c r="E2304" t="s">
        <v>24</v>
      </c>
      <c r="F2304" t="s">
        <v>4087</v>
      </c>
      <c r="G2304">
        <v>912464</v>
      </c>
      <c r="H2304" t="s">
        <v>1365</v>
      </c>
      <c r="I2304" t="s">
        <v>27</v>
      </c>
      <c r="J2304" t="str">
        <f>"9781408176238"</f>
        <v>9781408176238</v>
      </c>
      <c r="L2304">
        <v>0</v>
      </c>
      <c r="M2304" t="s">
        <v>105</v>
      </c>
      <c r="O2304" t="s">
        <v>30</v>
      </c>
      <c r="P2304" t="s">
        <v>29</v>
      </c>
      <c r="Q2304" s="1">
        <v>42346.323321759257</v>
      </c>
      <c r="R2304">
        <v>7</v>
      </c>
      <c r="S2304" t="s">
        <v>31</v>
      </c>
      <c r="T2304" t="s">
        <v>4088</v>
      </c>
      <c r="U2304">
        <v>428.24076000000002</v>
      </c>
      <c r="V2304" s="3">
        <v>41046</v>
      </c>
    </row>
    <row r="2305" spans="1:22" x14ac:dyDescent="0.35">
      <c r="A2305" s="1">
        <v>42346.323194444441</v>
      </c>
      <c r="B2305" s="2">
        <v>1.273148148148148E-4</v>
      </c>
      <c r="C2305" t="s">
        <v>4086</v>
      </c>
      <c r="D2305" t="s">
        <v>23</v>
      </c>
      <c r="E2305" t="s">
        <v>24</v>
      </c>
      <c r="F2305" t="s">
        <v>4087</v>
      </c>
      <c r="G2305">
        <v>912464</v>
      </c>
      <c r="H2305" t="s">
        <v>1365</v>
      </c>
      <c r="I2305" t="s">
        <v>27</v>
      </c>
      <c r="J2305" t="str">
        <f>"9781408176238"</f>
        <v>9781408176238</v>
      </c>
      <c r="K2305" t="s">
        <v>209</v>
      </c>
      <c r="L2305">
        <v>4</v>
      </c>
      <c r="O2305" t="s">
        <v>30</v>
      </c>
      <c r="P2305" t="s">
        <v>42</v>
      </c>
      <c r="S2305" t="s">
        <v>31</v>
      </c>
      <c r="T2305" t="s">
        <v>4088</v>
      </c>
      <c r="U2305">
        <v>428.24076000000002</v>
      </c>
      <c r="V2305" s="3">
        <v>41046</v>
      </c>
    </row>
    <row r="2306" spans="1:22" x14ac:dyDescent="0.35">
      <c r="A2306" s="1">
        <v>42346.304826388892</v>
      </c>
      <c r="B2306" s="2">
        <v>5.2083333333333333E-4</v>
      </c>
      <c r="C2306" t="s">
        <v>4051</v>
      </c>
      <c r="D2306" t="s">
        <v>1222</v>
      </c>
      <c r="E2306" t="s">
        <v>1223</v>
      </c>
      <c r="F2306" t="s">
        <v>1698</v>
      </c>
      <c r="G2306">
        <v>1637652</v>
      </c>
      <c r="H2306" t="s">
        <v>84</v>
      </c>
      <c r="I2306" t="s">
        <v>69</v>
      </c>
      <c r="J2306" t="str">
        <f>"9780520958449"</f>
        <v>9780520958449</v>
      </c>
      <c r="K2306" t="s">
        <v>4089</v>
      </c>
      <c r="L2306">
        <v>11</v>
      </c>
      <c r="O2306" t="s">
        <v>30</v>
      </c>
      <c r="P2306" t="s">
        <v>29</v>
      </c>
      <c r="Q2306" s="1">
        <v>42341.69872685185</v>
      </c>
      <c r="R2306">
        <v>7</v>
      </c>
      <c r="S2306" t="s">
        <v>1226</v>
      </c>
      <c r="T2306" t="s">
        <v>1700</v>
      </c>
      <c r="U2306" t="s">
        <v>1701</v>
      </c>
      <c r="V2306" s="3">
        <v>41761</v>
      </c>
    </row>
    <row r="2307" spans="1:22" x14ac:dyDescent="0.35">
      <c r="A2307" s="1">
        <v>42346.268784722219</v>
      </c>
      <c r="B2307" s="2">
        <v>3.9351851851851852E-4</v>
      </c>
      <c r="C2307" t="s">
        <v>106</v>
      </c>
      <c r="D2307" t="s">
        <v>23</v>
      </c>
      <c r="E2307" t="s">
        <v>24</v>
      </c>
      <c r="F2307" t="s">
        <v>4090</v>
      </c>
      <c r="G2307">
        <v>1897129</v>
      </c>
      <c r="H2307" t="s">
        <v>45</v>
      </c>
      <c r="I2307" t="s">
        <v>150</v>
      </c>
      <c r="J2307" t="str">
        <f>"9781472432292"</f>
        <v>9781472432292</v>
      </c>
      <c r="K2307" t="s">
        <v>4091</v>
      </c>
      <c r="L2307">
        <v>17</v>
      </c>
      <c r="O2307" t="s">
        <v>30</v>
      </c>
      <c r="P2307" t="s">
        <v>50</v>
      </c>
      <c r="S2307" t="s">
        <v>31</v>
      </c>
      <c r="T2307" t="s">
        <v>4092</v>
      </c>
      <c r="U2307" t="s">
        <v>4093</v>
      </c>
      <c r="V2307" s="3">
        <v>42063</v>
      </c>
    </row>
    <row r="2308" spans="1:22" x14ac:dyDescent="0.35">
      <c r="A2308" s="1">
        <v>42346.129236111112</v>
      </c>
      <c r="B2308" s="2">
        <v>4.5185185185185189E-2</v>
      </c>
      <c r="C2308" t="s">
        <v>4094</v>
      </c>
      <c r="D2308" t="s">
        <v>1222</v>
      </c>
      <c r="E2308" t="s">
        <v>1223</v>
      </c>
      <c r="F2308" t="s">
        <v>4095</v>
      </c>
      <c r="G2308">
        <v>1910128</v>
      </c>
      <c r="H2308" t="s">
        <v>91</v>
      </c>
      <c r="I2308" t="s">
        <v>4096</v>
      </c>
      <c r="J2308" t="str">
        <f>"9781462519453"</f>
        <v>9781462519453</v>
      </c>
      <c r="K2308" t="s">
        <v>4097</v>
      </c>
      <c r="L2308">
        <v>63</v>
      </c>
      <c r="O2308" t="s">
        <v>30</v>
      </c>
      <c r="P2308" t="s">
        <v>47</v>
      </c>
      <c r="Q2308" s="1">
        <v>42346.129236111112</v>
      </c>
      <c r="R2308">
        <v>1</v>
      </c>
      <c r="S2308" t="s">
        <v>1226</v>
      </c>
      <c r="T2308" t="s">
        <v>4098</v>
      </c>
      <c r="U2308">
        <v>700</v>
      </c>
      <c r="V2308" s="3">
        <v>42045</v>
      </c>
    </row>
    <row r="2309" spans="1:22" x14ac:dyDescent="0.35">
      <c r="A2309" s="1">
        <v>42346.123472222222</v>
      </c>
      <c r="B2309" s="2">
        <v>5.7638888888888887E-3</v>
      </c>
      <c r="C2309" t="s">
        <v>4094</v>
      </c>
      <c r="D2309" t="s">
        <v>1222</v>
      </c>
      <c r="E2309" t="s">
        <v>1223</v>
      </c>
      <c r="F2309" t="s">
        <v>4095</v>
      </c>
      <c r="G2309">
        <v>1910128</v>
      </c>
      <c r="H2309" t="s">
        <v>91</v>
      </c>
      <c r="I2309" t="s">
        <v>4096</v>
      </c>
      <c r="J2309" t="str">
        <f>"9781462519453"</f>
        <v>9781462519453</v>
      </c>
      <c r="K2309" t="s">
        <v>4099</v>
      </c>
      <c r="L2309">
        <v>30</v>
      </c>
      <c r="O2309" t="s">
        <v>30</v>
      </c>
      <c r="P2309" t="s">
        <v>50</v>
      </c>
      <c r="S2309" t="s">
        <v>1226</v>
      </c>
      <c r="T2309" t="s">
        <v>4098</v>
      </c>
      <c r="U2309">
        <v>700</v>
      </c>
      <c r="V2309" s="3">
        <v>42045</v>
      </c>
    </row>
    <row r="2310" spans="1:22" x14ac:dyDescent="0.35">
      <c r="A2310" s="1">
        <v>42346.12054398148</v>
      </c>
      <c r="B2310" s="2">
        <v>6.2500000000000001E-4</v>
      </c>
      <c r="C2310" t="s">
        <v>106</v>
      </c>
      <c r="D2310" t="s">
        <v>23</v>
      </c>
      <c r="E2310" t="s">
        <v>24</v>
      </c>
      <c r="F2310" t="s">
        <v>2132</v>
      </c>
      <c r="G2310">
        <v>821801</v>
      </c>
      <c r="H2310" t="s">
        <v>26</v>
      </c>
      <c r="I2310" t="s">
        <v>2133</v>
      </c>
      <c r="J2310" t="str">
        <f>"9781118224144"</f>
        <v>9781118224144</v>
      </c>
      <c r="K2310" t="s">
        <v>4100</v>
      </c>
      <c r="L2310">
        <v>19</v>
      </c>
      <c r="O2310" t="s">
        <v>30</v>
      </c>
      <c r="P2310" t="s">
        <v>42</v>
      </c>
      <c r="S2310" t="s">
        <v>31</v>
      </c>
      <c r="T2310" t="s">
        <v>2135</v>
      </c>
      <c r="U2310">
        <v>658.00760000000002</v>
      </c>
      <c r="V2310" s="3">
        <v>40974</v>
      </c>
    </row>
    <row r="2311" spans="1:22" x14ac:dyDescent="0.35">
      <c r="A2311" s="1">
        <v>42346.108344907407</v>
      </c>
      <c r="B2311" s="2">
        <v>3.4722222222222222E-5</v>
      </c>
      <c r="C2311" t="s">
        <v>4101</v>
      </c>
      <c r="D2311" t="s">
        <v>623</v>
      </c>
      <c r="E2311" t="s">
        <v>624</v>
      </c>
      <c r="F2311" t="s">
        <v>4102</v>
      </c>
      <c r="G2311">
        <v>1991222</v>
      </c>
      <c r="H2311" t="s">
        <v>91</v>
      </c>
      <c r="I2311" t="s">
        <v>69</v>
      </c>
      <c r="J2311" t="str">
        <f>"9781462521449"</f>
        <v>9781462521449</v>
      </c>
      <c r="K2311" t="s">
        <v>33</v>
      </c>
      <c r="L2311">
        <v>3</v>
      </c>
      <c r="O2311" t="s">
        <v>30</v>
      </c>
      <c r="P2311" t="s">
        <v>50</v>
      </c>
      <c r="S2311" t="s">
        <v>627</v>
      </c>
      <c r="T2311" t="s">
        <v>4103</v>
      </c>
      <c r="U2311" t="s">
        <v>4104</v>
      </c>
      <c r="V2311" s="3">
        <v>42178</v>
      </c>
    </row>
    <row r="2312" spans="1:22" x14ac:dyDescent="0.35">
      <c r="A2312" s="1">
        <v>42346.106261574074</v>
      </c>
      <c r="B2312" s="2">
        <v>6.9444444444444444E-5</v>
      </c>
      <c r="C2312" t="s">
        <v>564</v>
      </c>
      <c r="D2312" t="s">
        <v>23</v>
      </c>
      <c r="E2312" t="s">
        <v>24</v>
      </c>
      <c r="F2312" t="s">
        <v>4105</v>
      </c>
      <c r="G2312">
        <v>977924</v>
      </c>
      <c r="H2312" t="s">
        <v>26</v>
      </c>
      <c r="I2312" t="s">
        <v>4106</v>
      </c>
      <c r="J2312" t="str">
        <f>"9781118387887"</f>
        <v>9781118387887</v>
      </c>
      <c r="K2312" t="s">
        <v>33</v>
      </c>
      <c r="L2312">
        <v>3</v>
      </c>
      <c r="O2312" t="s">
        <v>30</v>
      </c>
      <c r="P2312" t="s">
        <v>42</v>
      </c>
      <c r="S2312" t="s">
        <v>31</v>
      </c>
      <c r="T2312" t="s">
        <v>4107</v>
      </c>
      <c r="U2312" t="s">
        <v>4108</v>
      </c>
      <c r="V2312" s="3">
        <v>41106</v>
      </c>
    </row>
    <row r="2313" spans="1:22" x14ac:dyDescent="0.35">
      <c r="A2313" s="1">
        <v>42346.082881944443</v>
      </c>
      <c r="B2313" s="2">
        <v>9.0277777777777784E-4</v>
      </c>
      <c r="C2313" t="s">
        <v>4109</v>
      </c>
      <c r="D2313" t="s">
        <v>35</v>
      </c>
      <c r="E2313" t="s">
        <v>36</v>
      </c>
      <c r="F2313" t="s">
        <v>4110</v>
      </c>
      <c r="G2313">
        <v>1818237</v>
      </c>
      <c r="H2313" t="s">
        <v>26</v>
      </c>
      <c r="I2313" t="s">
        <v>120</v>
      </c>
      <c r="J2313" t="str">
        <f>"9781118729953"</f>
        <v>9781118729953</v>
      </c>
      <c r="K2313" t="s">
        <v>4111</v>
      </c>
      <c r="L2313">
        <v>30</v>
      </c>
      <c r="O2313" t="s">
        <v>30</v>
      </c>
      <c r="P2313" t="s">
        <v>47</v>
      </c>
      <c r="Q2313" s="1">
        <v>42346.082881944443</v>
      </c>
      <c r="R2313">
        <v>1</v>
      </c>
      <c r="S2313" t="s">
        <v>40</v>
      </c>
      <c r="T2313" t="s">
        <v>4112</v>
      </c>
      <c r="U2313">
        <v>303.48</v>
      </c>
      <c r="V2313" s="3">
        <v>41925</v>
      </c>
    </row>
    <row r="2314" spans="1:22" x14ac:dyDescent="0.35">
      <c r="A2314" s="1">
        <v>42346.032418981478</v>
      </c>
      <c r="B2314" s="2">
        <v>5.0462962962962959E-2</v>
      </c>
      <c r="C2314" t="s">
        <v>4109</v>
      </c>
      <c r="D2314" t="s">
        <v>35</v>
      </c>
      <c r="E2314" t="s">
        <v>36</v>
      </c>
      <c r="F2314" t="s">
        <v>4110</v>
      </c>
      <c r="G2314">
        <v>1818237</v>
      </c>
      <c r="H2314" t="s">
        <v>26</v>
      </c>
      <c r="I2314" t="s">
        <v>120</v>
      </c>
      <c r="J2314" t="str">
        <f>"9781118729953"</f>
        <v>9781118729953</v>
      </c>
      <c r="K2314" t="s">
        <v>4113</v>
      </c>
      <c r="L2314">
        <v>19</v>
      </c>
      <c r="O2314" t="s">
        <v>30</v>
      </c>
      <c r="P2314" t="s">
        <v>50</v>
      </c>
      <c r="S2314" t="s">
        <v>40</v>
      </c>
      <c r="T2314" t="s">
        <v>4112</v>
      </c>
      <c r="U2314">
        <v>303.48</v>
      </c>
      <c r="V2314" s="3">
        <v>41925</v>
      </c>
    </row>
    <row r="2315" spans="1:22" x14ac:dyDescent="0.35">
      <c r="A2315" s="1">
        <v>42346.021157407406</v>
      </c>
      <c r="B2315" s="2">
        <v>1.8148148148148146E-2</v>
      </c>
      <c r="C2315" t="s">
        <v>471</v>
      </c>
      <c r="D2315" t="s">
        <v>211</v>
      </c>
      <c r="E2315" t="s">
        <v>212</v>
      </c>
      <c r="F2315" t="s">
        <v>497</v>
      </c>
      <c r="G2315">
        <v>1986951</v>
      </c>
      <c r="H2315" t="s">
        <v>26</v>
      </c>
      <c r="I2315" t="s">
        <v>97</v>
      </c>
      <c r="J2315" t="str">
        <f>"9781119130468"</f>
        <v>9781119130468</v>
      </c>
      <c r="K2315" t="s">
        <v>4114</v>
      </c>
      <c r="L2315">
        <v>51</v>
      </c>
      <c r="M2315" t="s">
        <v>4115</v>
      </c>
      <c r="O2315" t="s">
        <v>30</v>
      </c>
      <c r="P2315" t="s">
        <v>29</v>
      </c>
      <c r="Q2315" s="1">
        <v>42342.824803240743</v>
      </c>
      <c r="R2315">
        <v>7</v>
      </c>
      <c r="S2315" t="s">
        <v>214</v>
      </c>
      <c r="T2315" t="s">
        <v>500</v>
      </c>
      <c r="U2315">
        <v>657.07600000000002</v>
      </c>
      <c r="V2315" s="3">
        <v>42143</v>
      </c>
    </row>
    <row r="2316" spans="1:22" x14ac:dyDescent="0.35">
      <c r="A2316" s="1">
        <v>42346.015752314815</v>
      </c>
      <c r="B2316" s="2">
        <v>1.0937500000000001E-2</v>
      </c>
      <c r="C2316" t="s">
        <v>4116</v>
      </c>
      <c r="D2316" t="s">
        <v>23</v>
      </c>
      <c r="E2316" t="s">
        <v>24</v>
      </c>
      <c r="F2316" t="s">
        <v>4117</v>
      </c>
      <c r="G2316">
        <v>1724876</v>
      </c>
      <c r="H2316" t="s">
        <v>26</v>
      </c>
      <c r="I2316" t="s">
        <v>108</v>
      </c>
      <c r="J2316" t="str">
        <f>"9781118914113"</f>
        <v>9781118914113</v>
      </c>
      <c r="K2316" t="s">
        <v>4118</v>
      </c>
      <c r="L2316">
        <v>30</v>
      </c>
      <c r="N2316" t="s">
        <v>4119</v>
      </c>
      <c r="O2316" t="s">
        <v>30</v>
      </c>
      <c r="P2316" t="s">
        <v>29</v>
      </c>
      <c r="Q2316" s="1">
        <v>42342.802627314813</v>
      </c>
      <c r="R2316">
        <v>7</v>
      </c>
      <c r="S2316" t="s">
        <v>31</v>
      </c>
      <c r="T2316" t="s">
        <v>4120</v>
      </c>
      <c r="U2316">
        <v>332</v>
      </c>
      <c r="V2316" s="3">
        <v>41816</v>
      </c>
    </row>
    <row r="2317" spans="1:22" x14ac:dyDescent="0.35">
      <c r="A2317" s="1">
        <v>42345.988576388889</v>
      </c>
      <c r="B2317" s="2">
        <v>2.2222222222222222E-3</v>
      </c>
      <c r="C2317" t="s">
        <v>3884</v>
      </c>
      <c r="D2317" t="s">
        <v>261</v>
      </c>
      <c r="E2317" t="s">
        <v>262</v>
      </c>
      <c r="F2317" t="s">
        <v>3885</v>
      </c>
      <c r="G2317">
        <v>1935791</v>
      </c>
      <c r="H2317" t="s">
        <v>26</v>
      </c>
      <c r="I2317" t="s">
        <v>108</v>
      </c>
      <c r="J2317" t="str">
        <f>"9781118909935"</f>
        <v>9781118909935</v>
      </c>
      <c r="K2317" t="s">
        <v>4121</v>
      </c>
      <c r="L2317">
        <v>6</v>
      </c>
      <c r="O2317" t="s">
        <v>30</v>
      </c>
      <c r="P2317" t="s">
        <v>29</v>
      </c>
      <c r="Q2317" s="1">
        <v>42345.988576388889</v>
      </c>
      <c r="R2317">
        <v>7</v>
      </c>
      <c r="S2317" t="s">
        <v>264</v>
      </c>
      <c r="T2317" t="s">
        <v>3887</v>
      </c>
      <c r="U2317">
        <v>338.95100000000002</v>
      </c>
      <c r="V2317" s="3">
        <v>41995</v>
      </c>
    </row>
    <row r="2318" spans="1:22" x14ac:dyDescent="0.35">
      <c r="A2318" s="1">
        <v>42345.951423611114</v>
      </c>
      <c r="B2318" s="2">
        <v>3.7152777777777778E-2</v>
      </c>
      <c r="C2318" t="s">
        <v>3884</v>
      </c>
      <c r="D2318" t="s">
        <v>261</v>
      </c>
      <c r="E2318" t="s">
        <v>262</v>
      </c>
      <c r="F2318" t="s">
        <v>3885</v>
      </c>
      <c r="G2318">
        <v>1935791</v>
      </c>
      <c r="H2318" t="s">
        <v>26</v>
      </c>
      <c r="I2318" t="s">
        <v>108</v>
      </c>
      <c r="J2318" t="str">
        <f>"9781118909935"</f>
        <v>9781118909935</v>
      </c>
      <c r="K2318" t="s">
        <v>611</v>
      </c>
      <c r="L2318">
        <v>3</v>
      </c>
      <c r="O2318" t="s">
        <v>30</v>
      </c>
      <c r="P2318" t="s">
        <v>42</v>
      </c>
      <c r="S2318" t="s">
        <v>264</v>
      </c>
      <c r="T2318" t="s">
        <v>3887</v>
      </c>
      <c r="U2318">
        <v>338.95100000000002</v>
      </c>
      <c r="V2318" s="3">
        <v>41995</v>
      </c>
    </row>
    <row r="2319" spans="1:22" x14ac:dyDescent="0.35">
      <c r="A2319" s="1">
        <v>42345.931562500002</v>
      </c>
      <c r="B2319" s="2">
        <v>1.4583333333333334E-3</v>
      </c>
      <c r="C2319" t="s">
        <v>4122</v>
      </c>
      <c r="D2319" t="s">
        <v>623</v>
      </c>
      <c r="E2319" t="s">
        <v>624</v>
      </c>
      <c r="F2319" t="s">
        <v>3993</v>
      </c>
      <c r="G2319">
        <v>1798778</v>
      </c>
      <c r="H2319" t="s">
        <v>26</v>
      </c>
      <c r="I2319" t="s">
        <v>247</v>
      </c>
      <c r="J2319" t="str">
        <f>"9781118760741"</f>
        <v>9781118760741</v>
      </c>
      <c r="K2319" t="s">
        <v>4123</v>
      </c>
      <c r="L2319">
        <v>12</v>
      </c>
      <c r="O2319" t="s">
        <v>30</v>
      </c>
      <c r="P2319" t="s">
        <v>42</v>
      </c>
      <c r="S2319" t="s">
        <v>627</v>
      </c>
      <c r="T2319" t="s">
        <v>3995</v>
      </c>
      <c r="U2319">
        <v>616.07500000000005</v>
      </c>
      <c r="V2319" s="3">
        <v>41906</v>
      </c>
    </row>
    <row r="2320" spans="1:22" x14ac:dyDescent="0.35">
      <c r="A2320" s="1">
        <v>42345.930312500001</v>
      </c>
      <c r="B2320" s="2">
        <v>5.5324074074074069E-3</v>
      </c>
      <c r="C2320" t="s">
        <v>4124</v>
      </c>
      <c r="D2320" t="s">
        <v>211</v>
      </c>
      <c r="E2320" t="s">
        <v>212</v>
      </c>
      <c r="F2320" t="s">
        <v>1460</v>
      </c>
      <c r="G2320">
        <v>2090105</v>
      </c>
      <c r="H2320" t="s">
        <v>26</v>
      </c>
      <c r="I2320" t="s">
        <v>97</v>
      </c>
      <c r="J2320" t="str">
        <f>"9781119082972"</f>
        <v>9781119082972</v>
      </c>
      <c r="K2320" t="s">
        <v>4125</v>
      </c>
      <c r="L2320">
        <v>23</v>
      </c>
      <c r="O2320" t="s">
        <v>30</v>
      </c>
      <c r="P2320" t="s">
        <v>42</v>
      </c>
      <c r="S2320" t="s">
        <v>214</v>
      </c>
      <c r="T2320" t="s">
        <v>1462</v>
      </c>
      <c r="U2320" t="s">
        <v>1463</v>
      </c>
      <c r="V2320" s="3">
        <v>42194</v>
      </c>
    </row>
    <row r="2321" spans="1:22" x14ac:dyDescent="0.35">
      <c r="A2321" s="1">
        <v>42345.893472222226</v>
      </c>
      <c r="B2321" s="2">
        <v>5.2314814814814819E-3</v>
      </c>
      <c r="C2321" t="s">
        <v>210</v>
      </c>
      <c r="D2321" t="s">
        <v>211</v>
      </c>
      <c r="E2321" t="s">
        <v>212</v>
      </c>
      <c r="F2321" t="s">
        <v>4126</v>
      </c>
      <c r="G2321">
        <v>1698594</v>
      </c>
      <c r="H2321" t="s">
        <v>2998</v>
      </c>
      <c r="I2321" t="s">
        <v>310</v>
      </c>
      <c r="J2321" t="str">
        <f>"9780748689774"</f>
        <v>9780748689774</v>
      </c>
      <c r="K2321" t="s">
        <v>4127</v>
      </c>
      <c r="L2321">
        <v>8</v>
      </c>
      <c r="O2321" t="s">
        <v>30</v>
      </c>
      <c r="P2321" t="s">
        <v>42</v>
      </c>
      <c r="S2321" t="s">
        <v>214</v>
      </c>
      <c r="T2321" t="s">
        <v>4128</v>
      </c>
      <c r="U2321">
        <v>808.02</v>
      </c>
      <c r="V2321" s="3">
        <v>41743</v>
      </c>
    </row>
    <row r="2322" spans="1:22" x14ac:dyDescent="0.35">
      <c r="A2322" s="1">
        <v>42345.842361111114</v>
      </c>
      <c r="B2322" s="2">
        <v>5.9259259259259256E-3</v>
      </c>
      <c r="C2322" t="s">
        <v>4129</v>
      </c>
      <c r="D2322" t="s">
        <v>23</v>
      </c>
      <c r="E2322" t="s">
        <v>24</v>
      </c>
      <c r="F2322" t="s">
        <v>4130</v>
      </c>
      <c r="G2322">
        <v>1433263</v>
      </c>
      <c r="H2322" t="s">
        <v>84</v>
      </c>
      <c r="I2322" t="s">
        <v>172</v>
      </c>
      <c r="J2322" t="str">
        <f>"9780520957145"</f>
        <v>9780520957145</v>
      </c>
      <c r="K2322" t="s">
        <v>4131</v>
      </c>
      <c r="L2322">
        <v>14</v>
      </c>
      <c r="O2322" t="s">
        <v>30</v>
      </c>
      <c r="P2322" t="s">
        <v>42</v>
      </c>
      <c r="S2322" t="s">
        <v>31</v>
      </c>
      <c r="T2322" t="s">
        <v>4132</v>
      </c>
      <c r="U2322">
        <v>961.10400000000004</v>
      </c>
      <c r="V2322" s="3">
        <v>41544</v>
      </c>
    </row>
    <row r="2323" spans="1:22" x14ac:dyDescent="0.35">
      <c r="A2323" s="1">
        <v>42345.822685185187</v>
      </c>
      <c r="B2323" s="2">
        <v>3.4270833333333334E-2</v>
      </c>
      <c r="C2323" t="s">
        <v>471</v>
      </c>
      <c r="D2323" t="s">
        <v>211</v>
      </c>
      <c r="E2323" t="s">
        <v>212</v>
      </c>
      <c r="F2323" t="s">
        <v>497</v>
      </c>
      <c r="G2323">
        <v>1986951</v>
      </c>
      <c r="H2323" t="s">
        <v>26</v>
      </c>
      <c r="I2323" t="s">
        <v>97</v>
      </c>
      <c r="J2323" t="str">
        <f>"9781119130468"</f>
        <v>9781119130468</v>
      </c>
      <c r="K2323" t="s">
        <v>4133</v>
      </c>
      <c r="L2323">
        <v>17</v>
      </c>
      <c r="M2323" t="s">
        <v>4134</v>
      </c>
      <c r="O2323" t="s">
        <v>30</v>
      </c>
      <c r="P2323" t="s">
        <v>29</v>
      </c>
      <c r="Q2323" s="1">
        <v>42342.824803240743</v>
      </c>
      <c r="R2323">
        <v>7</v>
      </c>
      <c r="S2323" t="s">
        <v>214</v>
      </c>
      <c r="T2323" t="s">
        <v>500</v>
      </c>
      <c r="U2323">
        <v>657.07600000000002</v>
      </c>
      <c r="V2323" s="3">
        <v>42143</v>
      </c>
    </row>
    <row r="2324" spans="1:22" x14ac:dyDescent="0.35">
      <c r="A2324" s="1">
        <v>42345.814259259256</v>
      </c>
      <c r="B2324" s="2">
        <v>3.4722222222222222E-5</v>
      </c>
      <c r="C2324" t="s">
        <v>4135</v>
      </c>
      <c r="D2324" t="s">
        <v>23</v>
      </c>
      <c r="E2324" t="s">
        <v>24</v>
      </c>
      <c r="F2324" t="s">
        <v>4136</v>
      </c>
      <c r="G2324">
        <v>1901124</v>
      </c>
      <c r="H2324" t="s">
        <v>84</v>
      </c>
      <c r="I2324" t="s">
        <v>998</v>
      </c>
      <c r="J2324" t="str">
        <f>"9780520962040"</f>
        <v>9780520962040</v>
      </c>
      <c r="K2324" t="s">
        <v>611</v>
      </c>
      <c r="L2324">
        <v>3</v>
      </c>
      <c r="O2324" t="s">
        <v>30</v>
      </c>
      <c r="P2324" t="s">
        <v>50</v>
      </c>
      <c r="S2324" t="s">
        <v>31</v>
      </c>
      <c r="T2324" t="s">
        <v>4137</v>
      </c>
      <c r="U2324">
        <v>306.47000000000003</v>
      </c>
      <c r="V2324" s="3">
        <v>41801</v>
      </c>
    </row>
    <row r="2325" spans="1:22" x14ac:dyDescent="0.35">
      <c r="A2325" s="1">
        <v>42345.810659722221</v>
      </c>
      <c r="B2325" s="2">
        <v>7.8703703703703705E-4</v>
      </c>
      <c r="C2325" t="s">
        <v>471</v>
      </c>
      <c r="D2325" t="s">
        <v>211</v>
      </c>
      <c r="E2325" t="s">
        <v>212</v>
      </c>
      <c r="F2325" t="s">
        <v>4138</v>
      </c>
      <c r="G2325">
        <v>4107738</v>
      </c>
      <c r="H2325" t="s">
        <v>26</v>
      </c>
      <c r="J2325" t="str">
        <f>"9781119242048"</f>
        <v>9781119242048</v>
      </c>
      <c r="K2325" t="s">
        <v>4139</v>
      </c>
      <c r="L2325">
        <v>4</v>
      </c>
      <c r="O2325" t="s">
        <v>30</v>
      </c>
      <c r="P2325" t="s">
        <v>50</v>
      </c>
      <c r="S2325" t="s">
        <v>214</v>
      </c>
      <c r="V2325" s="3">
        <v>42331</v>
      </c>
    </row>
    <row r="2326" spans="1:22" x14ac:dyDescent="0.35">
      <c r="A2326" s="1">
        <v>42345.799108796295</v>
      </c>
      <c r="B2326" s="2">
        <v>7.9861111111111105E-4</v>
      </c>
      <c r="C2326" t="s">
        <v>3872</v>
      </c>
      <c r="D2326" t="s">
        <v>23</v>
      </c>
      <c r="E2326" t="s">
        <v>24</v>
      </c>
      <c r="F2326" t="s">
        <v>4140</v>
      </c>
      <c r="G2326">
        <v>1757100</v>
      </c>
      <c r="H2326" t="s">
        <v>84</v>
      </c>
      <c r="I2326" t="s">
        <v>3609</v>
      </c>
      <c r="J2326" t="str">
        <f>"9780520961302"</f>
        <v>9780520961302</v>
      </c>
      <c r="K2326" t="s">
        <v>4141</v>
      </c>
      <c r="L2326">
        <v>17</v>
      </c>
      <c r="O2326" t="s">
        <v>30</v>
      </c>
      <c r="P2326" t="s">
        <v>42</v>
      </c>
      <c r="S2326" t="s">
        <v>31</v>
      </c>
      <c r="T2326" t="s">
        <v>4142</v>
      </c>
      <c r="U2326" t="s">
        <v>4143</v>
      </c>
      <c r="V2326" s="3">
        <v>41967</v>
      </c>
    </row>
    <row r="2327" spans="1:22" x14ac:dyDescent="0.35">
      <c r="A2327" s="1">
        <v>42345.774340277778</v>
      </c>
      <c r="B2327" s="2">
        <v>7.7546296296296304E-4</v>
      </c>
      <c r="C2327" t="s">
        <v>950</v>
      </c>
      <c r="D2327" t="s">
        <v>623</v>
      </c>
      <c r="E2327" t="s">
        <v>624</v>
      </c>
      <c r="F2327" t="s">
        <v>4144</v>
      </c>
      <c r="G2327">
        <v>1767442</v>
      </c>
      <c r="H2327" t="s">
        <v>26</v>
      </c>
      <c r="I2327" t="s">
        <v>92</v>
      </c>
      <c r="J2327" t="str">
        <f>"9781118904503"</f>
        <v>9781118904503</v>
      </c>
      <c r="K2327" t="s">
        <v>4145</v>
      </c>
      <c r="L2327">
        <v>21</v>
      </c>
      <c r="O2327" t="s">
        <v>30</v>
      </c>
      <c r="P2327" t="s">
        <v>50</v>
      </c>
      <c r="S2327" t="s">
        <v>627</v>
      </c>
      <c r="T2327" t="s">
        <v>4146</v>
      </c>
      <c r="U2327" t="s">
        <v>4147</v>
      </c>
      <c r="V2327" s="3">
        <v>41864</v>
      </c>
    </row>
    <row r="2328" spans="1:22" x14ac:dyDescent="0.35">
      <c r="A2328" s="1">
        <v>42345.773240740738</v>
      </c>
      <c r="B2328" s="2">
        <v>4.5138888888888892E-4</v>
      </c>
      <c r="C2328" t="s">
        <v>950</v>
      </c>
      <c r="D2328" t="s">
        <v>623</v>
      </c>
      <c r="E2328" t="s">
        <v>624</v>
      </c>
      <c r="F2328" t="s">
        <v>4148</v>
      </c>
      <c r="G2328">
        <v>2083727</v>
      </c>
      <c r="H2328" t="s">
        <v>26</v>
      </c>
      <c r="I2328" t="s">
        <v>97</v>
      </c>
      <c r="J2328" t="str">
        <f>"9781118976746"</f>
        <v>9781118976746</v>
      </c>
      <c r="K2328" t="s">
        <v>4149</v>
      </c>
      <c r="L2328">
        <v>18</v>
      </c>
      <c r="O2328" t="s">
        <v>30</v>
      </c>
      <c r="P2328" t="s">
        <v>50</v>
      </c>
      <c r="S2328" t="s">
        <v>627</v>
      </c>
      <c r="T2328" t="s">
        <v>4150</v>
      </c>
      <c r="U2328" t="s">
        <v>4151</v>
      </c>
      <c r="V2328" s="3">
        <v>42187</v>
      </c>
    </row>
    <row r="2329" spans="1:22" x14ac:dyDescent="0.35">
      <c r="A2329" s="1">
        <v>42345.770277777781</v>
      </c>
      <c r="B2329" s="2">
        <v>1.0763888888888889E-3</v>
      </c>
      <c r="C2329" t="s">
        <v>950</v>
      </c>
      <c r="D2329" t="s">
        <v>623</v>
      </c>
      <c r="E2329" t="s">
        <v>624</v>
      </c>
      <c r="F2329" t="s">
        <v>4152</v>
      </c>
      <c r="G2329">
        <v>1318689</v>
      </c>
      <c r="H2329" t="s">
        <v>26</v>
      </c>
      <c r="I2329" t="s">
        <v>97</v>
      </c>
      <c r="J2329" t="str">
        <f>"9781118573310"</f>
        <v>9781118573310</v>
      </c>
      <c r="K2329" t="s">
        <v>4153</v>
      </c>
      <c r="L2329">
        <v>32</v>
      </c>
      <c r="O2329" t="s">
        <v>30</v>
      </c>
      <c r="P2329" t="s">
        <v>42</v>
      </c>
      <c r="S2329" t="s">
        <v>627</v>
      </c>
      <c r="T2329" t="s">
        <v>4154</v>
      </c>
      <c r="U2329" t="s">
        <v>4155</v>
      </c>
      <c r="V2329" s="3">
        <v>41471</v>
      </c>
    </row>
    <row r="2330" spans="1:22" x14ac:dyDescent="0.35">
      <c r="A2330" s="1">
        <v>42345.746087962965</v>
      </c>
      <c r="B2330" s="2">
        <v>8.8888888888888889E-3</v>
      </c>
      <c r="C2330" t="s">
        <v>4156</v>
      </c>
      <c r="D2330" t="s">
        <v>35</v>
      </c>
      <c r="E2330" t="s">
        <v>36</v>
      </c>
      <c r="F2330" t="s">
        <v>4157</v>
      </c>
      <c r="G2330">
        <v>1344631</v>
      </c>
      <c r="H2330" t="s">
        <v>68</v>
      </c>
      <c r="I2330" t="s">
        <v>120</v>
      </c>
      <c r="J2330" t="str">
        <f>"9781136029769"</f>
        <v>9781136029769</v>
      </c>
      <c r="K2330" t="s">
        <v>4158</v>
      </c>
      <c r="L2330">
        <v>36</v>
      </c>
      <c r="O2330" t="s">
        <v>30</v>
      </c>
      <c r="P2330" t="s">
        <v>47</v>
      </c>
      <c r="Q2330" s="1">
        <v>42345.746087962965</v>
      </c>
      <c r="R2330">
        <v>1</v>
      </c>
      <c r="S2330" t="s">
        <v>40</v>
      </c>
      <c r="T2330" t="s">
        <v>4159</v>
      </c>
      <c r="U2330" t="s">
        <v>4160</v>
      </c>
      <c r="V2330" s="3">
        <v>41501</v>
      </c>
    </row>
    <row r="2331" spans="1:22" x14ac:dyDescent="0.35">
      <c r="A2331" s="1">
        <v>42345.743854166663</v>
      </c>
      <c r="B2331" s="2">
        <v>6.2986111111111118E-2</v>
      </c>
      <c r="C2331" t="s">
        <v>4161</v>
      </c>
      <c r="D2331" t="s">
        <v>1222</v>
      </c>
      <c r="E2331" t="s">
        <v>1223</v>
      </c>
      <c r="F2331" t="s">
        <v>4162</v>
      </c>
      <c r="G2331">
        <v>1760726</v>
      </c>
      <c r="H2331" t="s">
        <v>91</v>
      </c>
      <c r="I2331" t="s">
        <v>69</v>
      </c>
      <c r="J2331" t="str">
        <f>"9781462518081"</f>
        <v>9781462518081</v>
      </c>
      <c r="K2331" t="s">
        <v>4163</v>
      </c>
      <c r="L2331">
        <v>30</v>
      </c>
      <c r="O2331" t="s">
        <v>30</v>
      </c>
      <c r="P2331" t="s">
        <v>47</v>
      </c>
      <c r="Q2331" s="1">
        <v>42344.919548611113</v>
      </c>
      <c r="R2331">
        <v>1</v>
      </c>
      <c r="S2331" t="s">
        <v>1226</v>
      </c>
      <c r="T2331" t="s">
        <v>4164</v>
      </c>
      <c r="U2331" t="s">
        <v>4165</v>
      </c>
      <c r="V2331" s="3">
        <v>41953</v>
      </c>
    </row>
    <row r="2332" spans="1:22" x14ac:dyDescent="0.35">
      <c r="A2332" s="1">
        <v>42345.742523148147</v>
      </c>
      <c r="B2332" s="2">
        <v>3.5648148148148154E-3</v>
      </c>
      <c r="C2332" t="s">
        <v>4156</v>
      </c>
      <c r="D2332" t="s">
        <v>35</v>
      </c>
      <c r="E2332" t="s">
        <v>36</v>
      </c>
      <c r="F2332" t="s">
        <v>4157</v>
      </c>
      <c r="G2332">
        <v>1344631</v>
      </c>
      <c r="H2332" t="s">
        <v>68</v>
      </c>
      <c r="I2332" t="s">
        <v>120</v>
      </c>
      <c r="J2332" t="str">
        <f>"9781136029769"</f>
        <v>9781136029769</v>
      </c>
      <c r="K2332" t="s">
        <v>4166</v>
      </c>
      <c r="L2332">
        <v>15</v>
      </c>
      <c r="O2332" t="s">
        <v>30</v>
      </c>
      <c r="P2332" t="s">
        <v>50</v>
      </c>
      <c r="S2332" t="s">
        <v>40</v>
      </c>
      <c r="T2332" t="s">
        <v>4159</v>
      </c>
      <c r="U2332" t="s">
        <v>4160</v>
      </c>
      <c r="V2332" s="3">
        <v>41501</v>
      </c>
    </row>
    <row r="2333" spans="1:22" x14ac:dyDescent="0.35">
      <c r="A2333" s="1">
        <v>42345.729884259257</v>
      </c>
      <c r="B2333" s="2">
        <v>8.4641203703703705E-2</v>
      </c>
      <c r="C2333" t="s">
        <v>106</v>
      </c>
      <c r="D2333" t="s">
        <v>23</v>
      </c>
      <c r="E2333" t="s">
        <v>24</v>
      </c>
      <c r="F2333" t="s">
        <v>3186</v>
      </c>
      <c r="G2333">
        <v>699744</v>
      </c>
      <c r="H2333" t="s">
        <v>26</v>
      </c>
      <c r="I2333" t="s">
        <v>3187</v>
      </c>
      <c r="J2333" t="str">
        <f>"9781118585818"</f>
        <v>9781118585818</v>
      </c>
      <c r="K2333" t="s">
        <v>4167</v>
      </c>
      <c r="L2333">
        <v>86</v>
      </c>
      <c r="O2333" t="s">
        <v>30</v>
      </c>
      <c r="P2333" t="s">
        <v>29</v>
      </c>
      <c r="Q2333" s="1">
        <v>42343.853854166664</v>
      </c>
      <c r="R2333">
        <v>7</v>
      </c>
      <c r="S2333" t="s">
        <v>31</v>
      </c>
      <c r="T2333" t="s">
        <v>3188</v>
      </c>
      <c r="U2333">
        <v>621.36</v>
      </c>
      <c r="V2333" s="3">
        <v>41310</v>
      </c>
    </row>
    <row r="2334" spans="1:22" x14ac:dyDescent="0.35">
      <c r="A2334" s="1">
        <v>42345.723252314812</v>
      </c>
      <c r="B2334" s="2">
        <v>4.0740740740740746E-3</v>
      </c>
      <c r="C2334" t="s">
        <v>4168</v>
      </c>
      <c r="D2334" t="s">
        <v>23</v>
      </c>
      <c r="E2334" t="s">
        <v>24</v>
      </c>
      <c r="F2334" t="s">
        <v>4169</v>
      </c>
      <c r="G2334">
        <v>2006091</v>
      </c>
      <c r="H2334" t="s">
        <v>26</v>
      </c>
      <c r="I2334" t="s">
        <v>310</v>
      </c>
      <c r="J2334" t="str">
        <f>"9781118780961"</f>
        <v>9781118780961</v>
      </c>
      <c r="K2334" t="s">
        <v>4170</v>
      </c>
      <c r="L2334">
        <v>11</v>
      </c>
      <c r="O2334" t="s">
        <v>30</v>
      </c>
      <c r="P2334" t="s">
        <v>29</v>
      </c>
      <c r="Q2334" s="1">
        <v>42345.723252314812</v>
      </c>
      <c r="R2334">
        <v>7</v>
      </c>
      <c r="S2334" t="s">
        <v>31</v>
      </c>
      <c r="T2334" t="s">
        <v>4171</v>
      </c>
      <c r="U2334" t="s">
        <v>4172</v>
      </c>
      <c r="V2334" s="3">
        <v>41936</v>
      </c>
    </row>
    <row r="2335" spans="1:22" x14ac:dyDescent="0.35">
      <c r="A2335" s="1">
        <v>42345.717106481483</v>
      </c>
      <c r="B2335" s="2">
        <v>5.0925925925925921E-4</v>
      </c>
      <c r="C2335" t="s">
        <v>4173</v>
      </c>
      <c r="D2335" t="s">
        <v>335</v>
      </c>
      <c r="E2335" t="s">
        <v>336</v>
      </c>
      <c r="F2335" t="s">
        <v>572</v>
      </c>
      <c r="G2335">
        <v>1597004</v>
      </c>
      <c r="H2335" t="s">
        <v>84</v>
      </c>
      <c r="I2335" t="s">
        <v>120</v>
      </c>
      <c r="J2335" t="str">
        <f>"9780520958173"</f>
        <v>9780520958173</v>
      </c>
      <c r="K2335" t="s">
        <v>4174</v>
      </c>
      <c r="L2335">
        <v>7</v>
      </c>
      <c r="O2335" t="s">
        <v>28</v>
      </c>
      <c r="P2335" t="s">
        <v>29</v>
      </c>
      <c r="Q2335" s="1">
        <v>42345.715624999997</v>
      </c>
      <c r="R2335">
        <v>7</v>
      </c>
      <c r="S2335" t="s">
        <v>340</v>
      </c>
      <c r="T2335" t="s">
        <v>574</v>
      </c>
      <c r="U2335" t="s">
        <v>575</v>
      </c>
      <c r="V2335" s="3">
        <v>41760</v>
      </c>
    </row>
    <row r="2336" spans="1:22" x14ac:dyDescent="0.35">
      <c r="A2336" s="1">
        <v>42345.716180555559</v>
      </c>
      <c r="B2336" s="2">
        <v>7.0717592592592594E-3</v>
      </c>
      <c r="C2336" t="s">
        <v>4168</v>
      </c>
      <c r="D2336" t="s">
        <v>23</v>
      </c>
      <c r="E2336" t="s">
        <v>24</v>
      </c>
      <c r="F2336" t="s">
        <v>4169</v>
      </c>
      <c r="G2336">
        <v>2006091</v>
      </c>
      <c r="H2336" t="s">
        <v>26</v>
      </c>
      <c r="I2336" t="s">
        <v>310</v>
      </c>
      <c r="J2336" t="str">
        <f>"9781118780961"</f>
        <v>9781118780961</v>
      </c>
      <c r="K2336" t="s">
        <v>4175</v>
      </c>
      <c r="L2336">
        <v>9</v>
      </c>
      <c r="O2336" t="s">
        <v>30</v>
      </c>
      <c r="P2336" t="s">
        <v>42</v>
      </c>
      <c r="S2336" t="s">
        <v>31</v>
      </c>
      <c r="T2336" t="s">
        <v>4171</v>
      </c>
      <c r="U2336" t="s">
        <v>4172</v>
      </c>
      <c r="V2336" s="3">
        <v>41936</v>
      </c>
    </row>
    <row r="2337" spans="1:22" x14ac:dyDescent="0.35">
      <c r="A2337" s="1">
        <v>42345.715624999997</v>
      </c>
      <c r="B2337" s="2">
        <v>0</v>
      </c>
      <c r="C2337" t="s">
        <v>4173</v>
      </c>
      <c r="D2337" t="s">
        <v>335</v>
      </c>
      <c r="E2337" t="s">
        <v>336</v>
      </c>
      <c r="F2337" t="s">
        <v>572</v>
      </c>
      <c r="G2337">
        <v>1597004</v>
      </c>
      <c r="H2337" t="s">
        <v>84</v>
      </c>
      <c r="I2337" t="s">
        <v>120</v>
      </c>
      <c r="J2337" t="str">
        <f>"9780520958173"</f>
        <v>9780520958173</v>
      </c>
      <c r="L2337">
        <v>0</v>
      </c>
      <c r="O2337" t="s">
        <v>28</v>
      </c>
      <c r="P2337" t="s">
        <v>29</v>
      </c>
      <c r="Q2337" s="1">
        <v>42345.715624999997</v>
      </c>
      <c r="R2337">
        <v>7</v>
      </c>
      <c r="S2337" t="s">
        <v>340</v>
      </c>
      <c r="T2337" t="s">
        <v>574</v>
      </c>
      <c r="U2337" t="s">
        <v>575</v>
      </c>
      <c r="V2337" s="3">
        <v>41760</v>
      </c>
    </row>
    <row r="2338" spans="1:22" x14ac:dyDescent="0.35">
      <c r="A2338" s="1">
        <v>42345.715624999997</v>
      </c>
      <c r="B2338" s="2">
        <v>0</v>
      </c>
      <c r="C2338" t="s">
        <v>4173</v>
      </c>
      <c r="D2338" t="s">
        <v>335</v>
      </c>
      <c r="E2338" t="s">
        <v>336</v>
      </c>
      <c r="F2338" t="s">
        <v>572</v>
      </c>
      <c r="G2338">
        <v>1597004</v>
      </c>
      <c r="H2338" t="s">
        <v>84</v>
      </c>
      <c r="I2338" t="s">
        <v>120</v>
      </c>
      <c r="J2338" t="str">
        <f>"9780520958173"</f>
        <v>9780520958173</v>
      </c>
      <c r="L2338">
        <v>0</v>
      </c>
      <c r="O2338" t="s">
        <v>30</v>
      </c>
      <c r="P2338" t="s">
        <v>29</v>
      </c>
      <c r="Q2338" s="1">
        <v>42345.715624999997</v>
      </c>
      <c r="R2338">
        <v>7</v>
      </c>
      <c r="S2338" t="s">
        <v>340</v>
      </c>
      <c r="T2338" t="s">
        <v>574</v>
      </c>
      <c r="U2338" t="s">
        <v>575</v>
      </c>
      <c r="V2338" s="3">
        <v>41760</v>
      </c>
    </row>
    <row r="2339" spans="1:22" x14ac:dyDescent="0.35">
      <c r="A2339" s="1">
        <v>42345.714305555557</v>
      </c>
      <c r="B2339" s="2">
        <v>1.3194444444444443E-3</v>
      </c>
      <c r="C2339" t="s">
        <v>4173</v>
      </c>
      <c r="D2339" t="s">
        <v>335</v>
      </c>
      <c r="E2339" t="s">
        <v>336</v>
      </c>
      <c r="F2339" t="s">
        <v>572</v>
      </c>
      <c r="G2339">
        <v>1597004</v>
      </c>
      <c r="H2339" t="s">
        <v>84</v>
      </c>
      <c r="I2339" t="s">
        <v>120</v>
      </c>
      <c r="J2339" t="str">
        <f>"9780520958173"</f>
        <v>9780520958173</v>
      </c>
      <c r="K2339" t="s">
        <v>4176</v>
      </c>
      <c r="L2339">
        <v>10</v>
      </c>
      <c r="O2339" t="s">
        <v>30</v>
      </c>
      <c r="P2339" t="s">
        <v>42</v>
      </c>
      <c r="S2339" t="s">
        <v>340</v>
      </c>
      <c r="T2339" t="s">
        <v>574</v>
      </c>
      <c r="U2339" t="s">
        <v>575</v>
      </c>
      <c r="V2339" s="3">
        <v>41760</v>
      </c>
    </row>
    <row r="2340" spans="1:22" x14ac:dyDescent="0.35">
      <c r="A2340" s="1">
        <v>42345.705520833333</v>
      </c>
      <c r="B2340" s="2">
        <v>1.3194444444444443E-3</v>
      </c>
      <c r="C2340" t="s">
        <v>3829</v>
      </c>
      <c r="D2340" t="s">
        <v>23</v>
      </c>
      <c r="E2340" t="s">
        <v>24</v>
      </c>
      <c r="F2340" t="s">
        <v>3830</v>
      </c>
      <c r="G2340">
        <v>832297</v>
      </c>
      <c r="H2340" t="s">
        <v>26</v>
      </c>
      <c r="I2340" t="s">
        <v>172</v>
      </c>
      <c r="J2340" t="str">
        <f>"9781118300947"</f>
        <v>9781118300947</v>
      </c>
      <c r="K2340" t="s">
        <v>4177</v>
      </c>
      <c r="L2340">
        <v>49</v>
      </c>
      <c r="M2340" t="s">
        <v>4178</v>
      </c>
      <c r="O2340" t="s">
        <v>30</v>
      </c>
      <c r="P2340" t="s">
        <v>29</v>
      </c>
      <c r="Q2340" s="1">
        <v>42344.956238425926</v>
      </c>
      <c r="R2340">
        <v>7</v>
      </c>
      <c r="S2340" t="s">
        <v>31</v>
      </c>
      <c r="T2340" t="s">
        <v>3831</v>
      </c>
      <c r="U2340">
        <v>938</v>
      </c>
      <c r="V2340" s="3">
        <v>40896</v>
      </c>
    </row>
    <row r="2341" spans="1:22" x14ac:dyDescent="0.35">
      <c r="A2341" s="1">
        <v>42345.677164351851</v>
      </c>
      <c r="B2341" s="2">
        <v>1.273148148148148E-4</v>
      </c>
      <c r="C2341" t="s">
        <v>4179</v>
      </c>
      <c r="D2341" t="s">
        <v>158</v>
      </c>
      <c r="E2341" t="s">
        <v>159</v>
      </c>
      <c r="F2341" t="s">
        <v>4180</v>
      </c>
      <c r="G2341">
        <v>817932</v>
      </c>
      <c r="H2341" t="s">
        <v>26</v>
      </c>
      <c r="I2341" t="s">
        <v>276</v>
      </c>
      <c r="J2341" t="str">
        <f>"9781118220146"</f>
        <v>9781118220146</v>
      </c>
      <c r="K2341" t="s">
        <v>4181</v>
      </c>
      <c r="L2341">
        <v>4</v>
      </c>
      <c r="O2341" t="s">
        <v>30</v>
      </c>
      <c r="P2341" t="s">
        <v>42</v>
      </c>
      <c r="S2341" t="s">
        <v>163</v>
      </c>
      <c r="T2341" t="s">
        <v>4182</v>
      </c>
      <c r="U2341">
        <v>5.133</v>
      </c>
      <c r="V2341" s="3">
        <v>40981</v>
      </c>
    </row>
    <row r="2342" spans="1:22" x14ac:dyDescent="0.35">
      <c r="A2342" s="1">
        <v>42345.676516203705</v>
      </c>
      <c r="B2342" s="2">
        <v>1.064814814814815E-2</v>
      </c>
      <c r="C2342" t="s">
        <v>4183</v>
      </c>
      <c r="D2342" t="s">
        <v>35</v>
      </c>
      <c r="E2342" t="s">
        <v>36</v>
      </c>
      <c r="F2342" t="s">
        <v>4184</v>
      </c>
      <c r="G2342">
        <v>800610</v>
      </c>
      <c r="H2342" t="s">
        <v>91</v>
      </c>
      <c r="I2342" t="s">
        <v>247</v>
      </c>
      <c r="J2342" t="str">
        <f>"9781609186951"</f>
        <v>9781609186951</v>
      </c>
      <c r="K2342" t="s">
        <v>4185</v>
      </c>
      <c r="L2342">
        <v>20</v>
      </c>
      <c r="M2342" t="s">
        <v>4186</v>
      </c>
      <c r="O2342" t="s">
        <v>30</v>
      </c>
      <c r="P2342" t="s">
        <v>29</v>
      </c>
      <c r="Q2342" s="1">
        <v>42345.658634259256</v>
      </c>
      <c r="R2342">
        <v>7</v>
      </c>
      <c r="S2342" t="s">
        <v>40</v>
      </c>
      <c r="T2342" t="s">
        <v>4187</v>
      </c>
      <c r="U2342">
        <v>616.89499999999998</v>
      </c>
      <c r="V2342" s="3">
        <v>40856</v>
      </c>
    </row>
    <row r="2343" spans="1:22" x14ac:dyDescent="0.35">
      <c r="A2343" s="1">
        <v>42345.658634259256</v>
      </c>
      <c r="B2343" s="2">
        <v>1.2002314814814815E-2</v>
      </c>
      <c r="C2343" t="s">
        <v>4183</v>
      </c>
      <c r="D2343" t="s">
        <v>35</v>
      </c>
      <c r="E2343" t="s">
        <v>36</v>
      </c>
      <c r="F2343" t="s">
        <v>4184</v>
      </c>
      <c r="G2343">
        <v>800610</v>
      </c>
      <c r="H2343" t="s">
        <v>91</v>
      </c>
      <c r="I2343" t="s">
        <v>247</v>
      </c>
      <c r="J2343" t="str">
        <f>"9781609186951"</f>
        <v>9781609186951</v>
      </c>
      <c r="K2343" t="s">
        <v>4188</v>
      </c>
      <c r="L2343">
        <v>7</v>
      </c>
      <c r="O2343" t="s">
        <v>30</v>
      </c>
      <c r="P2343" t="s">
        <v>29</v>
      </c>
      <c r="Q2343" s="1">
        <v>42345.658634259256</v>
      </c>
      <c r="R2343">
        <v>7</v>
      </c>
      <c r="S2343" t="s">
        <v>40</v>
      </c>
      <c r="T2343" t="s">
        <v>4187</v>
      </c>
      <c r="U2343">
        <v>616.89499999999998</v>
      </c>
      <c r="V2343" s="3">
        <v>40856</v>
      </c>
    </row>
    <row r="2344" spans="1:22" x14ac:dyDescent="0.35">
      <c r="A2344" s="1">
        <v>42345.651550925926</v>
      </c>
      <c r="B2344" s="2">
        <v>7.083333333333333E-3</v>
      </c>
      <c r="C2344" t="s">
        <v>4183</v>
      </c>
      <c r="D2344" t="s">
        <v>35</v>
      </c>
      <c r="E2344" t="s">
        <v>36</v>
      </c>
      <c r="F2344" t="s">
        <v>4184</v>
      </c>
      <c r="G2344">
        <v>800610</v>
      </c>
      <c r="H2344" t="s">
        <v>91</v>
      </c>
      <c r="I2344" t="s">
        <v>247</v>
      </c>
      <c r="J2344" t="str">
        <f>"9781609186951"</f>
        <v>9781609186951</v>
      </c>
      <c r="K2344" t="s">
        <v>4189</v>
      </c>
      <c r="L2344">
        <v>14</v>
      </c>
      <c r="O2344" t="s">
        <v>30</v>
      </c>
      <c r="P2344" t="s">
        <v>42</v>
      </c>
      <c r="S2344" t="s">
        <v>40</v>
      </c>
      <c r="T2344" t="s">
        <v>4187</v>
      </c>
      <c r="U2344">
        <v>616.89499999999998</v>
      </c>
      <c r="V2344" s="3">
        <v>40856</v>
      </c>
    </row>
    <row r="2345" spans="1:22" x14ac:dyDescent="0.35">
      <c r="A2345" s="1">
        <v>42345.630509259259</v>
      </c>
      <c r="B2345" s="2">
        <v>8.2696759259259262E-2</v>
      </c>
      <c r="C2345" t="s">
        <v>524</v>
      </c>
      <c r="D2345" t="s">
        <v>146</v>
      </c>
      <c r="E2345" t="s">
        <v>147</v>
      </c>
      <c r="F2345" t="s">
        <v>1364</v>
      </c>
      <c r="G2345">
        <v>1310741</v>
      </c>
      <c r="H2345" t="s">
        <v>1365</v>
      </c>
      <c r="I2345" t="s">
        <v>1366</v>
      </c>
      <c r="J2345" t="str">
        <f>"9781408107461"</f>
        <v>9781408107461</v>
      </c>
      <c r="K2345" t="s">
        <v>4190</v>
      </c>
      <c r="L2345">
        <v>14</v>
      </c>
      <c r="N2345" t="s">
        <v>4191</v>
      </c>
      <c r="O2345" t="s">
        <v>30</v>
      </c>
      <c r="P2345" t="s">
        <v>29</v>
      </c>
      <c r="Q2345" s="1">
        <v>42339.731689814813</v>
      </c>
      <c r="R2345">
        <v>7</v>
      </c>
      <c r="S2345" t="s">
        <v>591</v>
      </c>
      <c r="T2345" t="s">
        <v>1369</v>
      </c>
      <c r="U2345">
        <v>613.71</v>
      </c>
      <c r="V2345" s="3">
        <v>39814</v>
      </c>
    </row>
    <row r="2346" spans="1:22" x14ac:dyDescent="0.35">
      <c r="A2346" s="1">
        <v>42345.589432870373</v>
      </c>
      <c r="B2346" s="2">
        <v>2.3645833333333335E-2</v>
      </c>
      <c r="C2346" t="s">
        <v>210</v>
      </c>
      <c r="D2346" t="s">
        <v>211</v>
      </c>
      <c r="E2346" t="s">
        <v>212</v>
      </c>
      <c r="F2346" t="s">
        <v>4192</v>
      </c>
      <c r="G2346">
        <v>1674203</v>
      </c>
      <c r="H2346" t="s">
        <v>26</v>
      </c>
      <c r="I2346" t="s">
        <v>630</v>
      </c>
      <c r="J2346" t="str">
        <f>"9780745674179"</f>
        <v>9780745674179</v>
      </c>
      <c r="K2346" t="s">
        <v>4193</v>
      </c>
      <c r="L2346">
        <v>25</v>
      </c>
      <c r="O2346" t="s">
        <v>30</v>
      </c>
      <c r="P2346" t="s">
        <v>47</v>
      </c>
      <c r="Q2346" s="1">
        <v>42345.589432870373</v>
      </c>
      <c r="R2346">
        <v>1</v>
      </c>
      <c r="S2346" t="s">
        <v>214</v>
      </c>
      <c r="T2346" t="s">
        <v>4194</v>
      </c>
      <c r="U2346">
        <v>193</v>
      </c>
      <c r="V2346" s="3">
        <v>41739</v>
      </c>
    </row>
    <row r="2347" spans="1:22" x14ac:dyDescent="0.35">
      <c r="A2347" s="1">
        <v>42345.585300925923</v>
      </c>
      <c r="B2347" s="2">
        <v>4.1319444444444442E-3</v>
      </c>
      <c r="C2347" t="s">
        <v>210</v>
      </c>
      <c r="D2347" t="s">
        <v>211</v>
      </c>
      <c r="E2347" t="s">
        <v>212</v>
      </c>
      <c r="F2347" t="s">
        <v>4192</v>
      </c>
      <c r="G2347">
        <v>1674203</v>
      </c>
      <c r="H2347" t="s">
        <v>26</v>
      </c>
      <c r="I2347" t="s">
        <v>630</v>
      </c>
      <c r="J2347" t="str">
        <f>"9780745674179"</f>
        <v>9780745674179</v>
      </c>
      <c r="K2347" t="s">
        <v>4195</v>
      </c>
      <c r="L2347">
        <v>28</v>
      </c>
      <c r="O2347" t="s">
        <v>30</v>
      </c>
      <c r="P2347" t="s">
        <v>50</v>
      </c>
      <c r="S2347" t="s">
        <v>214</v>
      </c>
      <c r="T2347" t="s">
        <v>4194</v>
      </c>
      <c r="U2347">
        <v>193</v>
      </c>
      <c r="V2347" s="3">
        <v>41739</v>
      </c>
    </row>
    <row r="2348" spans="1:22" x14ac:dyDescent="0.35">
      <c r="A2348" s="1">
        <v>42345.56144675926</v>
      </c>
      <c r="B2348" s="2">
        <v>1.1574074074074073E-4</v>
      </c>
      <c r="C2348" t="s">
        <v>106</v>
      </c>
      <c r="D2348" t="s">
        <v>23</v>
      </c>
      <c r="E2348" t="s">
        <v>24</v>
      </c>
      <c r="F2348" t="s">
        <v>83</v>
      </c>
      <c r="G2348">
        <v>1711065</v>
      </c>
      <c r="H2348" t="s">
        <v>84</v>
      </c>
      <c r="I2348" t="s">
        <v>85</v>
      </c>
      <c r="J2348" t="str">
        <f>"9780520959156"</f>
        <v>9780520959156</v>
      </c>
      <c r="K2348" t="s">
        <v>33</v>
      </c>
      <c r="L2348">
        <v>3</v>
      </c>
      <c r="O2348" t="s">
        <v>30</v>
      </c>
      <c r="P2348" t="s">
        <v>42</v>
      </c>
      <c r="S2348" t="s">
        <v>31</v>
      </c>
      <c r="T2348" t="s">
        <v>87</v>
      </c>
      <c r="U2348" t="s">
        <v>88</v>
      </c>
      <c r="V2348" s="3">
        <v>41881</v>
      </c>
    </row>
    <row r="2349" spans="1:22" x14ac:dyDescent="0.35">
      <c r="A2349" s="1">
        <v>42345.256655092591</v>
      </c>
      <c r="B2349" s="2">
        <v>2.6620370370370372E-4</v>
      </c>
      <c r="C2349" t="s">
        <v>4196</v>
      </c>
      <c r="D2349" t="s">
        <v>23</v>
      </c>
      <c r="E2349" t="s">
        <v>24</v>
      </c>
      <c r="F2349" t="s">
        <v>4197</v>
      </c>
      <c r="G2349">
        <v>1742841</v>
      </c>
      <c r="H2349" t="s">
        <v>91</v>
      </c>
      <c r="I2349" t="s">
        <v>247</v>
      </c>
      <c r="J2349" t="str">
        <f>"9781462516445"</f>
        <v>9781462516445</v>
      </c>
      <c r="K2349" t="s">
        <v>4198</v>
      </c>
      <c r="L2349">
        <v>8</v>
      </c>
      <c r="O2349" t="s">
        <v>30</v>
      </c>
      <c r="P2349" t="s">
        <v>42</v>
      </c>
      <c r="S2349" t="s">
        <v>31</v>
      </c>
      <c r="T2349" t="s">
        <v>4199</v>
      </c>
      <c r="U2349">
        <v>616.85270000000003</v>
      </c>
      <c r="V2349" s="3">
        <v>41934</v>
      </c>
    </row>
    <row r="2350" spans="1:22" x14ac:dyDescent="0.35">
      <c r="A2350" s="1">
        <v>42345.249432870369</v>
      </c>
      <c r="B2350" s="2">
        <v>9.1435185185185185E-4</v>
      </c>
      <c r="C2350" t="s">
        <v>4200</v>
      </c>
      <c r="D2350" t="s">
        <v>35</v>
      </c>
      <c r="E2350" t="s">
        <v>36</v>
      </c>
      <c r="F2350" t="s">
        <v>4201</v>
      </c>
      <c r="G2350">
        <v>958409</v>
      </c>
      <c r="H2350" t="s">
        <v>68</v>
      </c>
      <c r="I2350" t="s">
        <v>4096</v>
      </c>
      <c r="J2350" t="str">
        <f>"9780203127544"</f>
        <v>9780203127544</v>
      </c>
      <c r="K2350" t="s">
        <v>4202</v>
      </c>
      <c r="L2350">
        <v>9</v>
      </c>
      <c r="O2350" t="s">
        <v>30</v>
      </c>
      <c r="P2350" t="s">
        <v>50</v>
      </c>
      <c r="S2350" t="s">
        <v>40</v>
      </c>
      <c r="T2350" t="s">
        <v>4203</v>
      </c>
      <c r="U2350" t="s">
        <v>4204</v>
      </c>
      <c r="V2350" s="3">
        <v>41458</v>
      </c>
    </row>
    <row r="2351" spans="1:22" x14ac:dyDescent="0.35">
      <c r="A2351" s="1">
        <v>42345.213587962964</v>
      </c>
      <c r="B2351" s="2">
        <v>6.1678240740740742E-2</v>
      </c>
      <c r="C2351" t="s">
        <v>4205</v>
      </c>
      <c r="D2351" t="s">
        <v>597</v>
      </c>
      <c r="E2351" t="s">
        <v>598</v>
      </c>
      <c r="F2351" t="s">
        <v>111</v>
      </c>
      <c r="G2351">
        <v>693176</v>
      </c>
      <c r="H2351" t="s">
        <v>26</v>
      </c>
      <c r="I2351" t="s">
        <v>112</v>
      </c>
      <c r="J2351" t="str">
        <f>"9781118017746"</f>
        <v>9781118017746</v>
      </c>
      <c r="K2351" t="s">
        <v>4206</v>
      </c>
      <c r="L2351">
        <v>114</v>
      </c>
      <c r="O2351" t="s">
        <v>30</v>
      </c>
      <c r="P2351" t="s">
        <v>29</v>
      </c>
      <c r="Q2351" s="1">
        <v>42345.213587962964</v>
      </c>
      <c r="R2351">
        <v>7</v>
      </c>
      <c r="S2351" t="s">
        <v>600</v>
      </c>
      <c r="T2351" t="s">
        <v>114</v>
      </c>
      <c r="U2351" t="s">
        <v>115</v>
      </c>
      <c r="V2351" s="3">
        <v>40835</v>
      </c>
    </row>
    <row r="2352" spans="1:22" x14ac:dyDescent="0.35">
      <c r="A2352" s="1">
        <v>42345.201724537037</v>
      </c>
      <c r="B2352" s="2">
        <v>1.1863425925925925E-2</v>
      </c>
      <c r="C2352" t="s">
        <v>4205</v>
      </c>
      <c r="D2352" t="s">
        <v>597</v>
      </c>
      <c r="E2352" t="s">
        <v>598</v>
      </c>
      <c r="F2352" t="s">
        <v>111</v>
      </c>
      <c r="G2352">
        <v>693176</v>
      </c>
      <c r="H2352" t="s">
        <v>26</v>
      </c>
      <c r="I2352" t="s">
        <v>112</v>
      </c>
      <c r="J2352" t="str">
        <f>"9781118017746"</f>
        <v>9781118017746</v>
      </c>
      <c r="K2352" t="s">
        <v>4207</v>
      </c>
      <c r="L2352">
        <v>21</v>
      </c>
      <c r="O2352" t="s">
        <v>30</v>
      </c>
      <c r="P2352" t="s">
        <v>42</v>
      </c>
      <c r="S2352" t="s">
        <v>600</v>
      </c>
      <c r="T2352" t="s">
        <v>114</v>
      </c>
      <c r="U2352" t="s">
        <v>115</v>
      </c>
      <c r="V2352" s="3">
        <v>40835</v>
      </c>
    </row>
    <row r="2353" spans="1:22" x14ac:dyDescent="0.35">
      <c r="A2353" s="1">
        <v>42345.192569444444</v>
      </c>
      <c r="B2353" s="2">
        <v>1.2268518518518518E-3</v>
      </c>
      <c r="C2353" t="s">
        <v>4208</v>
      </c>
      <c r="D2353" t="s">
        <v>35</v>
      </c>
      <c r="E2353" t="s">
        <v>36</v>
      </c>
      <c r="F2353" t="s">
        <v>4209</v>
      </c>
      <c r="G2353">
        <v>1583441</v>
      </c>
      <c r="H2353" t="s">
        <v>68</v>
      </c>
      <c r="I2353" t="s">
        <v>4210</v>
      </c>
      <c r="J2353" t="str">
        <f>"9781317840565"</f>
        <v>9781317840565</v>
      </c>
      <c r="K2353" t="s">
        <v>4211</v>
      </c>
      <c r="L2353">
        <v>21</v>
      </c>
      <c r="O2353" t="s">
        <v>30</v>
      </c>
      <c r="P2353" t="s">
        <v>50</v>
      </c>
      <c r="S2353" t="s">
        <v>40</v>
      </c>
      <c r="T2353" t="s">
        <v>4212</v>
      </c>
      <c r="U2353">
        <v>790.19259999999997</v>
      </c>
      <c r="V2353" s="3">
        <v>41627</v>
      </c>
    </row>
    <row r="2354" spans="1:22" x14ac:dyDescent="0.35">
      <c r="A2354" s="1">
        <v>42345.17396990741</v>
      </c>
      <c r="B2354" s="2">
        <v>5.2083333333333333E-4</v>
      </c>
      <c r="C2354" t="s">
        <v>4213</v>
      </c>
      <c r="D2354" t="s">
        <v>1222</v>
      </c>
      <c r="E2354" t="s">
        <v>1223</v>
      </c>
      <c r="F2354" t="s">
        <v>4214</v>
      </c>
      <c r="G2354">
        <v>1809337</v>
      </c>
      <c r="H2354" t="s">
        <v>1474</v>
      </c>
      <c r="I2354" t="s">
        <v>310</v>
      </c>
      <c r="J2354" t="str">
        <f>"9781137450098"</f>
        <v>9781137450098</v>
      </c>
      <c r="K2354" t="s">
        <v>1438</v>
      </c>
      <c r="L2354">
        <v>16</v>
      </c>
      <c r="O2354" t="s">
        <v>30</v>
      </c>
      <c r="P2354" t="s">
        <v>42</v>
      </c>
      <c r="S2354" t="s">
        <v>1226</v>
      </c>
      <c r="T2354" t="s">
        <v>4215</v>
      </c>
      <c r="U2354" t="s">
        <v>4216</v>
      </c>
      <c r="V2354" s="3">
        <v>41929</v>
      </c>
    </row>
    <row r="2355" spans="1:22" x14ac:dyDescent="0.35">
      <c r="A2355" s="1">
        <v>42345.170381944445</v>
      </c>
      <c r="B2355" s="2">
        <v>3.8194444444444446E-4</v>
      </c>
      <c r="C2355" t="s">
        <v>4217</v>
      </c>
      <c r="D2355" t="s">
        <v>1222</v>
      </c>
      <c r="E2355" t="s">
        <v>1223</v>
      </c>
      <c r="F2355" t="s">
        <v>4218</v>
      </c>
      <c r="G2355">
        <v>1734072</v>
      </c>
      <c r="H2355" t="s">
        <v>45</v>
      </c>
      <c r="I2355" t="s">
        <v>426</v>
      </c>
      <c r="J2355" t="str">
        <f>"9781472421500"</f>
        <v>9781472421500</v>
      </c>
      <c r="K2355" t="s">
        <v>4219</v>
      </c>
      <c r="L2355">
        <v>8</v>
      </c>
      <c r="O2355" t="s">
        <v>30</v>
      </c>
      <c r="P2355" t="s">
        <v>50</v>
      </c>
      <c r="S2355" t="s">
        <v>1226</v>
      </c>
      <c r="T2355" t="s">
        <v>4220</v>
      </c>
      <c r="U2355" t="s">
        <v>4221</v>
      </c>
      <c r="V2355" s="3">
        <v>41910</v>
      </c>
    </row>
    <row r="2356" spans="1:22" x14ac:dyDescent="0.35">
      <c r="A2356" s="1">
        <v>42345.164178240739</v>
      </c>
      <c r="B2356" s="2">
        <v>9.3634259259259261E-3</v>
      </c>
      <c r="C2356" t="s">
        <v>4222</v>
      </c>
      <c r="D2356" t="s">
        <v>35</v>
      </c>
      <c r="E2356" t="s">
        <v>36</v>
      </c>
      <c r="F2356" t="s">
        <v>4223</v>
      </c>
      <c r="G2356">
        <v>980956</v>
      </c>
      <c r="H2356" t="s">
        <v>26</v>
      </c>
      <c r="I2356" t="s">
        <v>4224</v>
      </c>
      <c r="J2356" t="str">
        <f>"9781118227251"</f>
        <v>9781118227251</v>
      </c>
      <c r="K2356" t="s">
        <v>4225</v>
      </c>
      <c r="L2356">
        <v>27</v>
      </c>
      <c r="O2356" t="s">
        <v>30</v>
      </c>
      <c r="P2356" t="s">
        <v>29</v>
      </c>
      <c r="Q2356" s="1">
        <v>42345.164178240739</v>
      </c>
      <c r="R2356">
        <v>7</v>
      </c>
      <c r="S2356" t="s">
        <v>40</v>
      </c>
      <c r="T2356" t="s">
        <v>4226</v>
      </c>
      <c r="U2356" t="s">
        <v>4227</v>
      </c>
      <c r="V2356" s="3">
        <v>41113</v>
      </c>
    </row>
    <row r="2357" spans="1:22" x14ac:dyDescent="0.35">
      <c r="A2357" s="1">
        <v>42345.157881944448</v>
      </c>
      <c r="B2357" s="2">
        <v>6.2962962962962964E-3</v>
      </c>
      <c r="C2357" t="s">
        <v>4222</v>
      </c>
      <c r="D2357" t="s">
        <v>35</v>
      </c>
      <c r="E2357" t="s">
        <v>36</v>
      </c>
      <c r="F2357" t="s">
        <v>4223</v>
      </c>
      <c r="G2357">
        <v>980956</v>
      </c>
      <c r="H2357" t="s">
        <v>26</v>
      </c>
      <c r="I2357" t="s">
        <v>4224</v>
      </c>
      <c r="J2357" t="str">
        <f>"9781118227251"</f>
        <v>9781118227251</v>
      </c>
      <c r="K2357" t="s">
        <v>4228</v>
      </c>
      <c r="L2357">
        <v>8</v>
      </c>
      <c r="O2357" t="s">
        <v>30</v>
      </c>
      <c r="P2357" t="s">
        <v>42</v>
      </c>
      <c r="S2357" t="s">
        <v>40</v>
      </c>
      <c r="T2357" t="s">
        <v>4226</v>
      </c>
      <c r="U2357" t="s">
        <v>4227</v>
      </c>
      <c r="V2357" s="3">
        <v>41113</v>
      </c>
    </row>
    <row r="2358" spans="1:22" x14ac:dyDescent="0.35">
      <c r="A2358" s="1">
        <v>42345.111527777779</v>
      </c>
      <c r="B2358" s="2">
        <v>3.9351851851851852E-4</v>
      </c>
      <c r="C2358" t="s">
        <v>4229</v>
      </c>
      <c r="D2358" t="s">
        <v>23</v>
      </c>
      <c r="E2358" t="s">
        <v>24</v>
      </c>
      <c r="F2358" t="s">
        <v>4230</v>
      </c>
      <c r="G2358">
        <v>1596089</v>
      </c>
      <c r="H2358" t="s">
        <v>91</v>
      </c>
      <c r="I2358" t="s">
        <v>247</v>
      </c>
      <c r="J2358" t="str">
        <f>"9781462513307"</f>
        <v>9781462513307</v>
      </c>
      <c r="K2358" t="s">
        <v>4231</v>
      </c>
      <c r="L2358">
        <v>12</v>
      </c>
      <c r="O2358" t="s">
        <v>30</v>
      </c>
      <c r="P2358" t="s">
        <v>50</v>
      </c>
      <c r="S2358" t="s">
        <v>31</v>
      </c>
      <c r="T2358" t="s">
        <v>4232</v>
      </c>
      <c r="U2358">
        <v>616.85209999999995</v>
      </c>
      <c r="V2358" s="3">
        <v>41773</v>
      </c>
    </row>
    <row r="2359" spans="1:22" x14ac:dyDescent="0.35">
      <c r="A2359" s="1">
        <v>42345.101701388892</v>
      </c>
      <c r="B2359" s="2">
        <v>5.7870370370370366E-5</v>
      </c>
      <c r="C2359" t="s">
        <v>4233</v>
      </c>
      <c r="D2359" t="s">
        <v>2519</v>
      </c>
      <c r="E2359" t="s">
        <v>2520</v>
      </c>
      <c r="F2359" t="s">
        <v>4234</v>
      </c>
      <c r="G2359">
        <v>1745053</v>
      </c>
      <c r="H2359" t="s">
        <v>26</v>
      </c>
      <c r="I2359" t="s">
        <v>841</v>
      </c>
      <c r="J2359" t="str">
        <f>"9780745685359"</f>
        <v>9780745685359</v>
      </c>
      <c r="K2359" t="s">
        <v>33</v>
      </c>
      <c r="L2359">
        <v>3</v>
      </c>
      <c r="O2359" t="s">
        <v>30</v>
      </c>
      <c r="P2359" t="s">
        <v>50</v>
      </c>
      <c r="S2359" t="s">
        <v>2523</v>
      </c>
      <c r="T2359" t="s">
        <v>4235</v>
      </c>
      <c r="U2359">
        <v>355.41097300000001</v>
      </c>
      <c r="V2359" s="3">
        <v>41837</v>
      </c>
    </row>
    <row r="2360" spans="1:22" x14ac:dyDescent="0.35">
      <c r="A2360" s="1">
        <v>42345.101319444446</v>
      </c>
      <c r="B2360" s="2">
        <v>6.9444444444444444E-5</v>
      </c>
      <c r="C2360" t="s">
        <v>4236</v>
      </c>
      <c r="D2360" t="s">
        <v>2519</v>
      </c>
      <c r="E2360" t="s">
        <v>2520</v>
      </c>
      <c r="F2360" t="s">
        <v>4234</v>
      </c>
      <c r="G2360">
        <v>1745053</v>
      </c>
      <c r="H2360" t="s">
        <v>26</v>
      </c>
      <c r="I2360" t="s">
        <v>841</v>
      </c>
      <c r="J2360" t="str">
        <f>"9780745685359"</f>
        <v>9780745685359</v>
      </c>
      <c r="K2360" t="s">
        <v>209</v>
      </c>
      <c r="L2360">
        <v>4</v>
      </c>
      <c r="O2360" t="s">
        <v>30</v>
      </c>
      <c r="P2360" t="s">
        <v>50</v>
      </c>
      <c r="S2360" t="s">
        <v>3786</v>
      </c>
      <c r="T2360" t="s">
        <v>4235</v>
      </c>
      <c r="U2360">
        <v>355.41097300000001</v>
      </c>
      <c r="V2360" s="3">
        <v>41837</v>
      </c>
    </row>
    <row r="2361" spans="1:22" x14ac:dyDescent="0.35">
      <c r="A2361" s="1">
        <v>42345.101215277777</v>
      </c>
      <c r="B2361" s="2">
        <v>1.5046296296296297E-4</v>
      </c>
      <c r="C2361" t="s">
        <v>3672</v>
      </c>
      <c r="D2361" t="s">
        <v>35</v>
      </c>
      <c r="E2361" t="s">
        <v>36</v>
      </c>
      <c r="F2361" t="s">
        <v>3673</v>
      </c>
      <c r="G2361">
        <v>1816989</v>
      </c>
      <c r="H2361" t="s">
        <v>186</v>
      </c>
      <c r="I2361" t="s">
        <v>3674</v>
      </c>
      <c r="J2361" t="str">
        <f>"9781780644578"</f>
        <v>9781780644578</v>
      </c>
      <c r="K2361" t="s">
        <v>4237</v>
      </c>
      <c r="L2361">
        <v>8</v>
      </c>
      <c r="O2361" t="s">
        <v>30</v>
      </c>
      <c r="P2361" t="s">
        <v>50</v>
      </c>
      <c r="S2361" t="s">
        <v>40</v>
      </c>
      <c r="T2361" t="s">
        <v>3676</v>
      </c>
      <c r="U2361" t="s">
        <v>3677</v>
      </c>
      <c r="V2361" s="3">
        <v>41908</v>
      </c>
    </row>
    <row r="2362" spans="1:22" x14ac:dyDescent="0.35">
      <c r="A2362" s="1">
        <v>42345.095057870371</v>
      </c>
      <c r="B2362" s="2">
        <v>6.4351851851851861E-3</v>
      </c>
      <c r="C2362" t="s">
        <v>3192</v>
      </c>
      <c r="D2362" t="s">
        <v>23</v>
      </c>
      <c r="E2362" t="s">
        <v>24</v>
      </c>
      <c r="F2362" t="s">
        <v>3193</v>
      </c>
      <c r="G2362">
        <v>1821088</v>
      </c>
      <c r="H2362" t="s">
        <v>91</v>
      </c>
      <c r="I2362" t="s">
        <v>247</v>
      </c>
      <c r="J2362" t="str">
        <f>"9781462519811"</f>
        <v>9781462519811</v>
      </c>
      <c r="K2362" t="s">
        <v>4238</v>
      </c>
      <c r="L2362">
        <v>9</v>
      </c>
      <c r="O2362" t="s">
        <v>30</v>
      </c>
      <c r="P2362" t="s">
        <v>47</v>
      </c>
      <c r="Q2362" s="1">
        <v>42345.095057870371</v>
      </c>
      <c r="R2362">
        <v>1</v>
      </c>
      <c r="S2362" t="s">
        <v>31</v>
      </c>
      <c r="T2362" t="s">
        <v>3195</v>
      </c>
      <c r="U2362">
        <v>618.9289</v>
      </c>
      <c r="V2362" s="3">
        <v>42143</v>
      </c>
    </row>
    <row r="2363" spans="1:22" x14ac:dyDescent="0.35">
      <c r="A2363" s="1">
        <v>42345.093171296299</v>
      </c>
      <c r="B2363" s="2">
        <v>1.9560185185185184E-2</v>
      </c>
      <c r="C2363" t="s">
        <v>4059</v>
      </c>
      <c r="D2363" t="s">
        <v>23</v>
      </c>
      <c r="E2363" t="s">
        <v>24</v>
      </c>
      <c r="F2363" t="s">
        <v>3186</v>
      </c>
      <c r="G2363">
        <v>699744</v>
      </c>
      <c r="H2363" t="s">
        <v>26</v>
      </c>
      <c r="I2363" t="s">
        <v>3187</v>
      </c>
      <c r="J2363" t="str">
        <f>"9781118585818"</f>
        <v>9781118585818</v>
      </c>
      <c r="K2363" t="s">
        <v>4239</v>
      </c>
      <c r="L2363">
        <v>49</v>
      </c>
      <c r="O2363" t="s">
        <v>30</v>
      </c>
      <c r="P2363" t="s">
        <v>29</v>
      </c>
      <c r="Q2363" s="1">
        <v>42345.093171296299</v>
      </c>
      <c r="R2363">
        <v>7</v>
      </c>
      <c r="S2363" t="s">
        <v>31</v>
      </c>
      <c r="T2363" t="s">
        <v>3188</v>
      </c>
      <c r="U2363">
        <v>621.36</v>
      </c>
      <c r="V2363" s="3">
        <v>41310</v>
      </c>
    </row>
    <row r="2364" spans="1:22" x14ac:dyDescent="0.35">
      <c r="A2364" s="1">
        <v>42345.091006944444</v>
      </c>
      <c r="B2364" s="2">
        <v>4.0509259259259257E-3</v>
      </c>
      <c r="C2364" t="s">
        <v>3192</v>
      </c>
      <c r="D2364" t="s">
        <v>23</v>
      </c>
      <c r="E2364" t="s">
        <v>24</v>
      </c>
      <c r="F2364" t="s">
        <v>3193</v>
      </c>
      <c r="G2364">
        <v>1821088</v>
      </c>
      <c r="H2364" t="s">
        <v>91</v>
      </c>
      <c r="I2364" t="s">
        <v>247</v>
      </c>
      <c r="J2364" t="str">
        <f>"9781462519811"</f>
        <v>9781462519811</v>
      </c>
      <c r="K2364" t="s">
        <v>4240</v>
      </c>
      <c r="L2364">
        <v>21</v>
      </c>
      <c r="O2364" t="s">
        <v>30</v>
      </c>
      <c r="P2364" t="s">
        <v>50</v>
      </c>
      <c r="S2364" t="s">
        <v>31</v>
      </c>
      <c r="T2364" t="s">
        <v>3195</v>
      </c>
      <c r="U2364">
        <v>618.9289</v>
      </c>
      <c r="V2364" s="3">
        <v>42143</v>
      </c>
    </row>
    <row r="2365" spans="1:22" x14ac:dyDescent="0.35">
      <c r="A2365" s="1">
        <v>42345.090208333335</v>
      </c>
      <c r="B2365" s="2">
        <v>7.7777777777777767E-3</v>
      </c>
      <c r="C2365" t="s">
        <v>106</v>
      </c>
      <c r="D2365" t="s">
        <v>23</v>
      </c>
      <c r="E2365" t="s">
        <v>24</v>
      </c>
      <c r="F2365" t="s">
        <v>3228</v>
      </c>
      <c r="G2365">
        <v>1115640</v>
      </c>
      <c r="H2365" t="s">
        <v>26</v>
      </c>
      <c r="I2365" t="s">
        <v>3229</v>
      </c>
      <c r="J2365" t="str">
        <f>"9781118419090"</f>
        <v>9781118419090</v>
      </c>
      <c r="K2365" t="s">
        <v>4241</v>
      </c>
      <c r="L2365">
        <v>31</v>
      </c>
      <c r="O2365" t="s">
        <v>30</v>
      </c>
      <c r="P2365" t="s">
        <v>29</v>
      </c>
      <c r="Q2365" s="1">
        <v>42342.249166666668</v>
      </c>
      <c r="R2365">
        <v>7</v>
      </c>
      <c r="S2365" t="s">
        <v>31</v>
      </c>
      <c r="T2365" t="s">
        <v>3231</v>
      </c>
      <c r="U2365">
        <v>624</v>
      </c>
      <c r="V2365" s="3">
        <v>41296</v>
      </c>
    </row>
    <row r="2366" spans="1:22" x14ac:dyDescent="0.35">
      <c r="A2366" s="1">
        <v>42345.089398148149</v>
      </c>
      <c r="B2366" s="2">
        <v>4.7569444444444447E-3</v>
      </c>
      <c r="C2366" t="s">
        <v>4242</v>
      </c>
      <c r="D2366" t="s">
        <v>117</v>
      </c>
      <c r="E2366" t="s">
        <v>118</v>
      </c>
      <c r="F2366" t="s">
        <v>4243</v>
      </c>
      <c r="G2366">
        <v>477315</v>
      </c>
      <c r="H2366" t="s">
        <v>68</v>
      </c>
      <c r="I2366" t="s">
        <v>120</v>
      </c>
      <c r="J2366" t="str">
        <f>"9781134733200"</f>
        <v>9781134733200</v>
      </c>
      <c r="K2366" t="s">
        <v>4244</v>
      </c>
      <c r="L2366">
        <v>6</v>
      </c>
      <c r="O2366" t="s">
        <v>30</v>
      </c>
      <c r="P2366" t="s">
        <v>47</v>
      </c>
      <c r="Q2366" s="1">
        <v>42345.089398148149</v>
      </c>
      <c r="R2366">
        <v>1</v>
      </c>
      <c r="S2366" t="s">
        <v>121</v>
      </c>
      <c r="T2366" t="s">
        <v>4245</v>
      </c>
      <c r="U2366">
        <v>363.25</v>
      </c>
      <c r="V2366" s="3">
        <v>41507</v>
      </c>
    </row>
    <row r="2367" spans="1:22" x14ac:dyDescent="0.35">
      <c r="A2367" s="1">
        <v>42345.085659722223</v>
      </c>
      <c r="B2367" s="2">
        <v>3.7384259259259263E-3</v>
      </c>
      <c r="C2367" t="s">
        <v>4242</v>
      </c>
      <c r="D2367" t="s">
        <v>117</v>
      </c>
      <c r="E2367" t="s">
        <v>118</v>
      </c>
      <c r="F2367" t="s">
        <v>4243</v>
      </c>
      <c r="G2367">
        <v>477315</v>
      </c>
      <c r="H2367" t="s">
        <v>68</v>
      </c>
      <c r="I2367" t="s">
        <v>120</v>
      </c>
      <c r="J2367" t="str">
        <f>"9781134733200"</f>
        <v>9781134733200</v>
      </c>
      <c r="K2367" t="s">
        <v>4246</v>
      </c>
      <c r="L2367">
        <v>18</v>
      </c>
      <c r="O2367" t="s">
        <v>30</v>
      </c>
      <c r="P2367" t="s">
        <v>50</v>
      </c>
      <c r="S2367" t="s">
        <v>121</v>
      </c>
      <c r="T2367" t="s">
        <v>4245</v>
      </c>
      <c r="U2367">
        <v>363.25</v>
      </c>
      <c r="V2367" s="3">
        <v>41507</v>
      </c>
    </row>
    <row r="2368" spans="1:22" x14ac:dyDescent="0.35">
      <c r="A2368" s="1">
        <v>42345.084062499998</v>
      </c>
      <c r="B2368" s="2">
        <v>9.1087962962962971E-3</v>
      </c>
      <c r="C2368" t="s">
        <v>4059</v>
      </c>
      <c r="D2368" t="s">
        <v>23</v>
      </c>
      <c r="E2368" t="s">
        <v>24</v>
      </c>
      <c r="F2368" t="s">
        <v>3186</v>
      </c>
      <c r="G2368">
        <v>699744</v>
      </c>
      <c r="H2368" t="s">
        <v>26</v>
      </c>
      <c r="I2368" t="s">
        <v>3187</v>
      </c>
      <c r="J2368" t="str">
        <f>"9781118585818"</f>
        <v>9781118585818</v>
      </c>
      <c r="K2368" t="s">
        <v>4247</v>
      </c>
      <c r="L2368">
        <v>16</v>
      </c>
      <c r="O2368" t="s">
        <v>30</v>
      </c>
      <c r="P2368" t="s">
        <v>42</v>
      </c>
      <c r="S2368" t="s">
        <v>31</v>
      </c>
      <c r="T2368" t="s">
        <v>3188</v>
      </c>
      <c r="U2368">
        <v>621.36</v>
      </c>
      <c r="V2368" s="3">
        <v>41310</v>
      </c>
    </row>
    <row r="2369" spans="1:22" x14ac:dyDescent="0.35">
      <c r="A2369" s="1">
        <v>42345.069687499999</v>
      </c>
      <c r="B2369" s="2">
        <v>0.11563657407407407</v>
      </c>
      <c r="C2369" t="s">
        <v>3898</v>
      </c>
      <c r="D2369" t="s">
        <v>35</v>
      </c>
      <c r="E2369" t="s">
        <v>36</v>
      </c>
      <c r="F2369" t="s">
        <v>3899</v>
      </c>
      <c r="G2369">
        <v>3039551</v>
      </c>
      <c r="H2369" t="s">
        <v>613</v>
      </c>
      <c r="I2369" t="s">
        <v>172</v>
      </c>
      <c r="J2369" t="str">
        <f>"9781469623184"</f>
        <v>9781469623184</v>
      </c>
      <c r="K2369" t="s">
        <v>4248</v>
      </c>
      <c r="L2369">
        <v>20</v>
      </c>
      <c r="O2369" t="s">
        <v>30</v>
      </c>
      <c r="P2369" t="s">
        <v>47</v>
      </c>
      <c r="Q2369" s="1">
        <v>42345.069687499999</v>
      </c>
      <c r="R2369">
        <v>1</v>
      </c>
      <c r="S2369" t="s">
        <v>40</v>
      </c>
      <c r="T2369" t="s">
        <v>3901</v>
      </c>
      <c r="U2369" t="s">
        <v>3902</v>
      </c>
      <c r="V2369" s="3">
        <v>42125</v>
      </c>
    </row>
    <row r="2370" spans="1:22" x14ac:dyDescent="0.35">
      <c r="A2370" s="1">
        <v>42345.067071759258</v>
      </c>
      <c r="B2370" s="2">
        <v>8.1018518518518516E-5</v>
      </c>
      <c r="C2370" t="s">
        <v>4242</v>
      </c>
      <c r="D2370" t="s">
        <v>117</v>
      </c>
      <c r="E2370" t="s">
        <v>118</v>
      </c>
      <c r="F2370" t="s">
        <v>4249</v>
      </c>
      <c r="G2370">
        <v>449733</v>
      </c>
      <c r="H2370" t="s">
        <v>68</v>
      </c>
      <c r="I2370" t="s">
        <v>120</v>
      </c>
      <c r="J2370" t="str">
        <f>"9781843926337"</f>
        <v>9781843926337</v>
      </c>
      <c r="K2370" t="s">
        <v>33</v>
      </c>
      <c r="L2370">
        <v>3</v>
      </c>
      <c r="O2370" t="s">
        <v>30</v>
      </c>
      <c r="P2370" t="s">
        <v>50</v>
      </c>
      <c r="S2370" t="s">
        <v>121</v>
      </c>
      <c r="T2370" t="s">
        <v>4250</v>
      </c>
      <c r="U2370">
        <v>363.25</v>
      </c>
      <c r="V2370" s="3">
        <v>41522</v>
      </c>
    </row>
    <row r="2371" spans="1:22" x14ac:dyDescent="0.35">
      <c r="A2371" s="1">
        <v>42345.050763888888</v>
      </c>
      <c r="B2371" s="2">
        <v>2.4652777777777776E-3</v>
      </c>
      <c r="C2371" t="s">
        <v>4161</v>
      </c>
      <c r="D2371" t="s">
        <v>1222</v>
      </c>
      <c r="E2371" t="s">
        <v>1223</v>
      </c>
      <c r="F2371" t="s">
        <v>4162</v>
      </c>
      <c r="G2371">
        <v>1760726</v>
      </c>
      <c r="H2371" t="s">
        <v>91</v>
      </c>
      <c r="I2371" t="s">
        <v>69</v>
      </c>
      <c r="J2371" t="str">
        <f>"9781462518081"</f>
        <v>9781462518081</v>
      </c>
      <c r="K2371" t="s">
        <v>4251</v>
      </c>
      <c r="L2371">
        <v>10</v>
      </c>
      <c r="O2371" t="s">
        <v>30</v>
      </c>
      <c r="P2371" t="s">
        <v>47</v>
      </c>
      <c r="Q2371" s="1">
        <v>42344.919548611113</v>
      </c>
      <c r="R2371">
        <v>1</v>
      </c>
      <c r="S2371" t="s">
        <v>1226</v>
      </c>
      <c r="T2371" t="s">
        <v>4164</v>
      </c>
      <c r="U2371" t="s">
        <v>4165</v>
      </c>
      <c r="V2371" s="3">
        <v>41953</v>
      </c>
    </row>
    <row r="2372" spans="1:22" x14ac:dyDescent="0.35">
      <c r="A2372" s="1">
        <v>42345.02207175926</v>
      </c>
      <c r="B2372" s="2">
        <v>4.760416666666667E-2</v>
      </c>
      <c r="C2372" t="s">
        <v>3898</v>
      </c>
      <c r="D2372" t="s">
        <v>35</v>
      </c>
      <c r="E2372" t="s">
        <v>36</v>
      </c>
      <c r="F2372" t="s">
        <v>3899</v>
      </c>
      <c r="G2372">
        <v>3039551</v>
      </c>
      <c r="H2372" t="s">
        <v>613</v>
      </c>
      <c r="I2372" t="s">
        <v>172</v>
      </c>
      <c r="J2372" t="str">
        <f>"9781469623184"</f>
        <v>9781469623184</v>
      </c>
      <c r="K2372" t="s">
        <v>4252</v>
      </c>
      <c r="L2372">
        <v>24</v>
      </c>
      <c r="O2372" t="s">
        <v>30</v>
      </c>
      <c r="P2372" t="s">
        <v>50</v>
      </c>
      <c r="S2372" t="s">
        <v>40</v>
      </c>
      <c r="T2372" t="s">
        <v>3901</v>
      </c>
      <c r="U2372" t="s">
        <v>3902</v>
      </c>
      <c r="V2372" s="3">
        <v>42125</v>
      </c>
    </row>
    <row r="2373" spans="1:22" x14ac:dyDescent="0.35">
      <c r="A2373" s="1">
        <v>42345.021469907406</v>
      </c>
      <c r="B2373" s="2">
        <v>3.4722222222222222E-5</v>
      </c>
      <c r="C2373" t="s">
        <v>4253</v>
      </c>
      <c r="D2373" t="s">
        <v>23</v>
      </c>
      <c r="E2373" t="s">
        <v>24</v>
      </c>
      <c r="F2373" t="s">
        <v>3228</v>
      </c>
      <c r="G2373">
        <v>1115640</v>
      </c>
      <c r="H2373" t="s">
        <v>26</v>
      </c>
      <c r="I2373" t="s">
        <v>3229</v>
      </c>
      <c r="J2373" t="str">
        <f>"9781118419090"</f>
        <v>9781118419090</v>
      </c>
      <c r="K2373" t="s">
        <v>33</v>
      </c>
      <c r="L2373">
        <v>3</v>
      </c>
      <c r="O2373" t="s">
        <v>30</v>
      </c>
      <c r="P2373" t="s">
        <v>42</v>
      </c>
      <c r="S2373" t="s">
        <v>31</v>
      </c>
      <c r="T2373" t="s">
        <v>3231</v>
      </c>
      <c r="U2373">
        <v>624</v>
      </c>
      <c r="V2373" s="3">
        <v>41296</v>
      </c>
    </row>
    <row r="2374" spans="1:22" x14ac:dyDescent="0.35">
      <c r="A2374" s="1">
        <v>42345.01121527778</v>
      </c>
      <c r="B2374" s="2">
        <v>8.7037037037037031E-3</v>
      </c>
      <c r="C2374" t="s">
        <v>3829</v>
      </c>
      <c r="D2374" t="s">
        <v>23</v>
      </c>
      <c r="E2374" t="s">
        <v>24</v>
      </c>
      <c r="F2374" t="s">
        <v>3830</v>
      </c>
      <c r="G2374">
        <v>832297</v>
      </c>
      <c r="H2374" t="s">
        <v>26</v>
      </c>
      <c r="I2374" t="s">
        <v>172</v>
      </c>
      <c r="J2374" t="str">
        <f>"9781118300947"</f>
        <v>9781118300947</v>
      </c>
      <c r="K2374" t="s">
        <v>4254</v>
      </c>
      <c r="L2374">
        <v>38</v>
      </c>
      <c r="O2374" t="s">
        <v>30</v>
      </c>
      <c r="P2374" t="s">
        <v>29</v>
      </c>
      <c r="Q2374" s="1">
        <v>42344.956238425926</v>
      </c>
      <c r="R2374">
        <v>7</v>
      </c>
      <c r="S2374" t="s">
        <v>31</v>
      </c>
      <c r="T2374" t="s">
        <v>3831</v>
      </c>
      <c r="U2374">
        <v>938</v>
      </c>
      <c r="V2374" s="3">
        <v>40896</v>
      </c>
    </row>
    <row r="2375" spans="1:22" x14ac:dyDescent="0.35">
      <c r="A2375" s="1">
        <v>42345.010844907411</v>
      </c>
      <c r="B2375" s="2">
        <v>3.4722222222222222E-5</v>
      </c>
      <c r="C2375" t="s">
        <v>3672</v>
      </c>
      <c r="D2375" t="s">
        <v>35</v>
      </c>
      <c r="E2375" t="s">
        <v>36</v>
      </c>
      <c r="F2375" t="s">
        <v>3673</v>
      </c>
      <c r="G2375">
        <v>1816989</v>
      </c>
      <c r="H2375" t="s">
        <v>186</v>
      </c>
      <c r="I2375" t="s">
        <v>3674</v>
      </c>
      <c r="J2375" t="str">
        <f>"9781780644578"</f>
        <v>9781780644578</v>
      </c>
      <c r="K2375" t="s">
        <v>33</v>
      </c>
      <c r="L2375">
        <v>3</v>
      </c>
      <c r="O2375" t="s">
        <v>30</v>
      </c>
      <c r="P2375" t="s">
        <v>50</v>
      </c>
      <c r="S2375" t="s">
        <v>40</v>
      </c>
      <c r="T2375" t="s">
        <v>3676</v>
      </c>
      <c r="U2375" t="s">
        <v>3677</v>
      </c>
      <c r="V2375" s="3">
        <v>41908</v>
      </c>
    </row>
    <row r="2376" spans="1:22" x14ac:dyDescent="0.35">
      <c r="A2376" s="1">
        <v>42344.990231481483</v>
      </c>
      <c r="B2376" s="2">
        <v>6.1863425925925926E-2</v>
      </c>
      <c r="C2376" t="s">
        <v>106</v>
      </c>
      <c r="D2376" t="s">
        <v>23</v>
      </c>
      <c r="E2376" t="s">
        <v>24</v>
      </c>
      <c r="F2376" t="s">
        <v>3175</v>
      </c>
      <c r="G2376">
        <v>867850</v>
      </c>
      <c r="H2376" t="s">
        <v>492</v>
      </c>
      <c r="I2376" t="s">
        <v>172</v>
      </c>
      <c r="J2376" t="str">
        <f>"9781400834860"</f>
        <v>9781400834860</v>
      </c>
      <c r="K2376" t="s">
        <v>4255</v>
      </c>
      <c r="L2376">
        <v>23</v>
      </c>
      <c r="O2376" t="s">
        <v>30</v>
      </c>
      <c r="P2376" t="s">
        <v>42</v>
      </c>
      <c r="S2376" t="s">
        <v>31</v>
      </c>
      <c r="T2376" t="s">
        <v>3177</v>
      </c>
      <c r="U2376" t="s">
        <v>3178</v>
      </c>
      <c r="V2376" s="3">
        <v>40993</v>
      </c>
    </row>
    <row r="2377" spans="1:22" x14ac:dyDescent="0.35">
      <c r="A2377" s="1">
        <v>42344.987569444442</v>
      </c>
      <c r="B2377" s="2">
        <v>3.7037037037037035E-4</v>
      </c>
      <c r="C2377" t="s">
        <v>4183</v>
      </c>
      <c r="D2377" t="s">
        <v>35</v>
      </c>
      <c r="E2377" t="s">
        <v>36</v>
      </c>
      <c r="F2377" t="s">
        <v>4184</v>
      </c>
      <c r="G2377">
        <v>800610</v>
      </c>
      <c r="H2377" t="s">
        <v>91</v>
      </c>
      <c r="I2377" t="s">
        <v>247</v>
      </c>
      <c r="J2377" t="str">
        <f>"9781609186951"</f>
        <v>9781609186951</v>
      </c>
      <c r="K2377" t="s">
        <v>4256</v>
      </c>
      <c r="L2377">
        <v>9</v>
      </c>
      <c r="O2377" t="s">
        <v>30</v>
      </c>
      <c r="P2377" t="s">
        <v>42</v>
      </c>
      <c r="S2377" t="s">
        <v>40</v>
      </c>
      <c r="T2377" t="s">
        <v>4187</v>
      </c>
      <c r="U2377">
        <v>616.89499999999998</v>
      </c>
      <c r="V2377" s="3">
        <v>40856</v>
      </c>
    </row>
    <row r="2378" spans="1:22" x14ac:dyDescent="0.35">
      <c r="A2378" s="1">
        <v>42344.982129629629</v>
      </c>
      <c r="B2378" s="2">
        <v>7.8703703703703713E-3</v>
      </c>
      <c r="C2378" t="s">
        <v>106</v>
      </c>
      <c r="D2378" t="s">
        <v>23</v>
      </c>
      <c r="E2378" t="s">
        <v>24</v>
      </c>
      <c r="F2378" t="s">
        <v>3186</v>
      </c>
      <c r="G2378">
        <v>699744</v>
      </c>
      <c r="H2378" t="s">
        <v>26</v>
      </c>
      <c r="I2378" t="s">
        <v>3187</v>
      </c>
      <c r="J2378" t="str">
        <f>"9781118585818"</f>
        <v>9781118585818</v>
      </c>
      <c r="K2378" t="s">
        <v>4257</v>
      </c>
      <c r="L2378">
        <v>14</v>
      </c>
      <c r="O2378" t="s">
        <v>30</v>
      </c>
      <c r="P2378" t="s">
        <v>29</v>
      </c>
      <c r="Q2378" s="1">
        <v>42343.853854166664</v>
      </c>
      <c r="R2378">
        <v>7</v>
      </c>
      <c r="S2378" t="s">
        <v>31</v>
      </c>
      <c r="T2378" t="s">
        <v>3188</v>
      </c>
      <c r="U2378">
        <v>621.36</v>
      </c>
      <c r="V2378" s="3">
        <v>41310</v>
      </c>
    </row>
    <row r="2379" spans="1:22" x14ac:dyDescent="0.35">
      <c r="A2379" s="1">
        <v>42344.956238425926</v>
      </c>
      <c r="B2379" s="2">
        <v>6.053240740740741E-3</v>
      </c>
      <c r="C2379" t="s">
        <v>3829</v>
      </c>
      <c r="D2379" t="s">
        <v>23</v>
      </c>
      <c r="E2379" t="s">
        <v>24</v>
      </c>
      <c r="F2379" t="s">
        <v>3830</v>
      </c>
      <c r="G2379">
        <v>832297</v>
      </c>
      <c r="H2379" t="s">
        <v>26</v>
      </c>
      <c r="I2379" t="s">
        <v>172</v>
      </c>
      <c r="J2379" t="str">
        <f>"9781118300947"</f>
        <v>9781118300947</v>
      </c>
      <c r="K2379" t="s">
        <v>4258</v>
      </c>
      <c r="L2379">
        <v>10</v>
      </c>
      <c r="O2379" t="s">
        <v>30</v>
      </c>
      <c r="P2379" t="s">
        <v>29</v>
      </c>
      <c r="Q2379" s="1">
        <v>42344.956238425926</v>
      </c>
      <c r="R2379">
        <v>7</v>
      </c>
      <c r="S2379" t="s">
        <v>31</v>
      </c>
      <c r="T2379" t="s">
        <v>3831</v>
      </c>
      <c r="U2379">
        <v>938</v>
      </c>
      <c r="V2379" s="3">
        <v>40896</v>
      </c>
    </row>
    <row r="2380" spans="1:22" x14ac:dyDescent="0.35">
      <c r="A2380" s="1">
        <v>42344.950752314813</v>
      </c>
      <c r="B2380" s="2">
        <v>2.0509259259259258E-2</v>
      </c>
      <c r="C2380" t="s">
        <v>4259</v>
      </c>
      <c r="D2380" t="s">
        <v>1222</v>
      </c>
      <c r="E2380" t="s">
        <v>1223</v>
      </c>
      <c r="F2380" t="s">
        <v>4260</v>
      </c>
      <c r="G2380">
        <v>1663538</v>
      </c>
      <c r="H2380" t="s">
        <v>613</v>
      </c>
      <c r="I2380" t="s">
        <v>291</v>
      </c>
      <c r="J2380" t="str">
        <f>"9781469615301"</f>
        <v>9781469615301</v>
      </c>
      <c r="K2380" t="s">
        <v>4261</v>
      </c>
      <c r="L2380">
        <v>44</v>
      </c>
      <c r="O2380" t="s">
        <v>30</v>
      </c>
      <c r="P2380" t="s">
        <v>47</v>
      </c>
      <c r="Q2380" s="1">
        <v>42344.950740740744</v>
      </c>
      <c r="R2380">
        <v>1</v>
      </c>
      <c r="S2380" t="s">
        <v>1226</v>
      </c>
      <c r="T2380" t="s">
        <v>4262</v>
      </c>
      <c r="U2380" t="s">
        <v>4263</v>
      </c>
      <c r="V2380" s="3">
        <v>41673</v>
      </c>
    </row>
    <row r="2381" spans="1:22" x14ac:dyDescent="0.35">
      <c r="A2381" s="1">
        <v>42344.950671296298</v>
      </c>
      <c r="B2381" s="2">
        <v>4.6412037037037038E-3</v>
      </c>
      <c r="C2381" t="s">
        <v>4253</v>
      </c>
      <c r="D2381" t="s">
        <v>23</v>
      </c>
      <c r="E2381" t="s">
        <v>24</v>
      </c>
      <c r="F2381" t="s">
        <v>3228</v>
      </c>
      <c r="G2381">
        <v>1115640</v>
      </c>
      <c r="H2381" t="s">
        <v>26</v>
      </c>
      <c r="I2381" t="s">
        <v>3229</v>
      </c>
      <c r="J2381" t="str">
        <f>"9781118419090"</f>
        <v>9781118419090</v>
      </c>
      <c r="K2381" t="s">
        <v>4264</v>
      </c>
      <c r="L2381">
        <v>84</v>
      </c>
      <c r="O2381" t="s">
        <v>30</v>
      </c>
      <c r="P2381" t="s">
        <v>42</v>
      </c>
      <c r="S2381" t="s">
        <v>31</v>
      </c>
      <c r="T2381" t="s">
        <v>3231</v>
      </c>
      <c r="U2381">
        <v>624</v>
      </c>
      <c r="V2381" s="3">
        <v>41296</v>
      </c>
    </row>
    <row r="2382" spans="1:22" x14ac:dyDescent="0.35">
      <c r="A2382" s="1">
        <v>42344.94804398148</v>
      </c>
      <c r="B2382" s="2">
        <v>8.1944444444444452E-3</v>
      </c>
      <c r="C2382" t="s">
        <v>3829</v>
      </c>
      <c r="D2382" t="s">
        <v>23</v>
      </c>
      <c r="E2382" t="s">
        <v>24</v>
      </c>
      <c r="F2382" t="s">
        <v>3830</v>
      </c>
      <c r="G2382">
        <v>832297</v>
      </c>
      <c r="H2382" t="s">
        <v>26</v>
      </c>
      <c r="I2382" t="s">
        <v>172</v>
      </c>
      <c r="J2382" t="str">
        <f>"9781118300947"</f>
        <v>9781118300947</v>
      </c>
      <c r="K2382" t="s">
        <v>4265</v>
      </c>
      <c r="L2382">
        <v>33</v>
      </c>
      <c r="O2382" t="s">
        <v>30</v>
      </c>
      <c r="P2382" t="s">
        <v>42</v>
      </c>
      <c r="S2382" t="s">
        <v>31</v>
      </c>
      <c r="T2382" t="s">
        <v>3831</v>
      </c>
      <c r="U2382">
        <v>938</v>
      </c>
      <c r="V2382" s="3">
        <v>40896</v>
      </c>
    </row>
    <row r="2383" spans="1:22" x14ac:dyDescent="0.35">
      <c r="A2383" s="1">
        <v>42344.947210648148</v>
      </c>
      <c r="B2383" s="2">
        <v>3.530092592592592E-3</v>
      </c>
      <c r="C2383" t="s">
        <v>4259</v>
      </c>
      <c r="D2383" t="s">
        <v>1222</v>
      </c>
      <c r="E2383" t="s">
        <v>1223</v>
      </c>
      <c r="F2383" t="s">
        <v>4260</v>
      </c>
      <c r="G2383">
        <v>1663538</v>
      </c>
      <c r="H2383" t="s">
        <v>613</v>
      </c>
      <c r="I2383" t="s">
        <v>291</v>
      </c>
      <c r="J2383" t="str">
        <f>"9781469615301"</f>
        <v>9781469615301</v>
      </c>
      <c r="K2383" t="s">
        <v>4266</v>
      </c>
      <c r="L2383">
        <v>10</v>
      </c>
      <c r="O2383" t="s">
        <v>30</v>
      </c>
      <c r="P2383" t="s">
        <v>50</v>
      </c>
      <c r="S2383" t="s">
        <v>1226</v>
      </c>
      <c r="T2383" t="s">
        <v>4262</v>
      </c>
      <c r="U2383" t="s">
        <v>4263</v>
      </c>
      <c r="V2383" s="3">
        <v>41673</v>
      </c>
    </row>
    <row r="2384" spans="1:22" x14ac:dyDescent="0.35">
      <c r="A2384" s="1">
        <v>42344.935393518521</v>
      </c>
      <c r="B2384" s="2">
        <v>2.2569444444444447E-3</v>
      </c>
      <c r="C2384" t="s">
        <v>4267</v>
      </c>
      <c r="D2384" t="s">
        <v>623</v>
      </c>
      <c r="E2384" t="s">
        <v>624</v>
      </c>
      <c r="F2384" t="s">
        <v>4268</v>
      </c>
      <c r="G2384">
        <v>1666573</v>
      </c>
      <c r="H2384" t="s">
        <v>526</v>
      </c>
      <c r="I2384" t="s">
        <v>120</v>
      </c>
      <c r="J2384" t="str">
        <f>"9780226134758"</f>
        <v>9780226134758</v>
      </c>
      <c r="K2384" t="s">
        <v>4269</v>
      </c>
      <c r="L2384">
        <v>13</v>
      </c>
      <c r="O2384" t="s">
        <v>30</v>
      </c>
      <c r="P2384" t="s">
        <v>50</v>
      </c>
      <c r="S2384" t="s">
        <v>627</v>
      </c>
      <c r="T2384" t="s">
        <v>4270</v>
      </c>
      <c r="U2384" t="s">
        <v>4271</v>
      </c>
      <c r="V2384" s="3">
        <v>41767</v>
      </c>
    </row>
    <row r="2385" spans="1:22" x14ac:dyDescent="0.35">
      <c r="A2385" s="1">
        <v>42344.919548611113</v>
      </c>
      <c r="B2385" s="2">
        <v>3.784722222222222E-2</v>
      </c>
      <c r="C2385" t="s">
        <v>4161</v>
      </c>
      <c r="D2385" t="s">
        <v>1222</v>
      </c>
      <c r="E2385" t="s">
        <v>1223</v>
      </c>
      <c r="F2385" t="s">
        <v>4162</v>
      </c>
      <c r="G2385">
        <v>1760726</v>
      </c>
      <c r="H2385" t="s">
        <v>91</v>
      </c>
      <c r="I2385" t="s">
        <v>69</v>
      </c>
      <c r="J2385" t="str">
        <f>"9781462518081"</f>
        <v>9781462518081</v>
      </c>
      <c r="K2385" t="s">
        <v>4272</v>
      </c>
      <c r="L2385">
        <v>18</v>
      </c>
      <c r="O2385" t="s">
        <v>30</v>
      </c>
      <c r="P2385" t="s">
        <v>47</v>
      </c>
      <c r="Q2385" s="1">
        <v>42344.919548611113</v>
      </c>
      <c r="R2385">
        <v>1</v>
      </c>
      <c r="S2385" t="s">
        <v>1226</v>
      </c>
      <c r="T2385" t="s">
        <v>4164</v>
      </c>
      <c r="U2385" t="s">
        <v>4165</v>
      </c>
      <c r="V2385" s="3">
        <v>41953</v>
      </c>
    </row>
    <row r="2386" spans="1:22" x14ac:dyDescent="0.35">
      <c r="A2386" s="1">
        <v>42344.915543981479</v>
      </c>
      <c r="B2386" s="2">
        <v>4.0046296296296297E-3</v>
      </c>
      <c r="C2386" t="s">
        <v>4161</v>
      </c>
      <c r="D2386" t="s">
        <v>1222</v>
      </c>
      <c r="E2386" t="s">
        <v>1223</v>
      </c>
      <c r="F2386" t="s">
        <v>4162</v>
      </c>
      <c r="G2386">
        <v>1760726</v>
      </c>
      <c r="H2386" t="s">
        <v>91</v>
      </c>
      <c r="I2386" t="s">
        <v>69</v>
      </c>
      <c r="J2386" t="str">
        <f>"9781462518081"</f>
        <v>9781462518081</v>
      </c>
      <c r="K2386" t="s">
        <v>4273</v>
      </c>
      <c r="L2386">
        <v>11</v>
      </c>
      <c r="O2386" t="s">
        <v>30</v>
      </c>
      <c r="P2386" t="s">
        <v>50</v>
      </c>
      <c r="S2386" t="s">
        <v>1226</v>
      </c>
      <c r="T2386" t="s">
        <v>4164</v>
      </c>
      <c r="U2386" t="s">
        <v>4165</v>
      </c>
      <c r="V2386" s="3">
        <v>41953</v>
      </c>
    </row>
    <row r="2387" spans="1:22" x14ac:dyDescent="0.35">
      <c r="A2387" s="1">
        <v>42344.910949074074</v>
      </c>
      <c r="B2387" s="2">
        <v>0.14951388888888889</v>
      </c>
      <c r="C2387" t="s">
        <v>4183</v>
      </c>
      <c r="D2387" t="s">
        <v>35</v>
      </c>
      <c r="E2387" t="s">
        <v>36</v>
      </c>
      <c r="F2387" t="s">
        <v>4274</v>
      </c>
      <c r="G2387">
        <v>1693587</v>
      </c>
      <c r="H2387" t="s">
        <v>26</v>
      </c>
      <c r="I2387" t="s">
        <v>4275</v>
      </c>
      <c r="J2387" t="str">
        <f>"9781118388563"</f>
        <v>9781118388563</v>
      </c>
      <c r="K2387" t="s">
        <v>4276</v>
      </c>
      <c r="L2387">
        <v>38</v>
      </c>
      <c r="O2387" t="s">
        <v>30</v>
      </c>
      <c r="P2387" t="s">
        <v>47</v>
      </c>
      <c r="Q2387" s="1">
        <v>42344.600451388891</v>
      </c>
      <c r="R2387">
        <v>1</v>
      </c>
      <c r="S2387" t="s">
        <v>40</v>
      </c>
      <c r="T2387" t="s">
        <v>4277</v>
      </c>
      <c r="U2387" t="s">
        <v>4278</v>
      </c>
      <c r="V2387" s="3">
        <v>41778</v>
      </c>
    </row>
    <row r="2388" spans="1:22" x14ac:dyDescent="0.35">
      <c r="A2388" s="1">
        <v>42344.910694444443</v>
      </c>
      <c r="B2388" s="2">
        <v>1.5972222222222221E-3</v>
      </c>
      <c r="C2388" t="s">
        <v>106</v>
      </c>
      <c r="D2388" t="s">
        <v>23</v>
      </c>
      <c r="E2388" t="s">
        <v>24</v>
      </c>
      <c r="F2388" t="s">
        <v>4140</v>
      </c>
      <c r="G2388">
        <v>1757100</v>
      </c>
      <c r="H2388" t="s">
        <v>84</v>
      </c>
      <c r="I2388" t="s">
        <v>3609</v>
      </c>
      <c r="J2388" t="str">
        <f>"9780520961302"</f>
        <v>9780520961302</v>
      </c>
      <c r="K2388" t="s">
        <v>4279</v>
      </c>
      <c r="L2388">
        <v>18</v>
      </c>
      <c r="O2388" t="s">
        <v>30</v>
      </c>
      <c r="P2388" t="s">
        <v>42</v>
      </c>
      <c r="S2388" t="s">
        <v>31</v>
      </c>
      <c r="T2388" t="s">
        <v>4142</v>
      </c>
      <c r="U2388" t="s">
        <v>4143</v>
      </c>
      <c r="V2388" s="3">
        <v>41967</v>
      </c>
    </row>
    <row r="2389" spans="1:22" x14ac:dyDescent="0.35">
      <c r="A2389" s="1">
        <v>42344.86377314815</v>
      </c>
      <c r="B2389" s="2">
        <v>7.0601851851851847E-4</v>
      </c>
      <c r="C2389" t="s">
        <v>4222</v>
      </c>
      <c r="D2389" t="s">
        <v>35</v>
      </c>
      <c r="E2389" t="s">
        <v>36</v>
      </c>
      <c r="F2389" t="s">
        <v>4223</v>
      </c>
      <c r="G2389">
        <v>980956</v>
      </c>
      <c r="H2389" t="s">
        <v>26</v>
      </c>
      <c r="I2389" t="s">
        <v>4224</v>
      </c>
      <c r="J2389" t="str">
        <f>"9781118227251"</f>
        <v>9781118227251</v>
      </c>
      <c r="K2389" t="s">
        <v>4280</v>
      </c>
      <c r="L2389">
        <v>7</v>
      </c>
      <c r="O2389" t="s">
        <v>30</v>
      </c>
      <c r="P2389" t="s">
        <v>42</v>
      </c>
      <c r="S2389" t="s">
        <v>40</v>
      </c>
      <c r="T2389" t="s">
        <v>4226</v>
      </c>
      <c r="U2389" t="s">
        <v>4227</v>
      </c>
      <c r="V2389" s="3">
        <v>41113</v>
      </c>
    </row>
    <row r="2390" spans="1:22" x14ac:dyDescent="0.35">
      <c r="A2390" s="1">
        <v>42344.863067129627</v>
      </c>
      <c r="B2390" s="2">
        <v>4.6296296296296294E-5</v>
      </c>
      <c r="C2390" t="s">
        <v>4222</v>
      </c>
      <c r="D2390" t="s">
        <v>35</v>
      </c>
      <c r="E2390" t="s">
        <v>36</v>
      </c>
      <c r="F2390" t="s">
        <v>4281</v>
      </c>
      <c r="G2390">
        <v>2038638</v>
      </c>
      <c r="H2390" t="s">
        <v>45</v>
      </c>
      <c r="I2390" t="s">
        <v>79</v>
      </c>
      <c r="J2390" t="str">
        <f>"9781409454038"</f>
        <v>9781409454038</v>
      </c>
      <c r="K2390" t="s">
        <v>33</v>
      </c>
      <c r="L2390">
        <v>3</v>
      </c>
      <c r="O2390" t="s">
        <v>30</v>
      </c>
      <c r="P2390" t="s">
        <v>50</v>
      </c>
      <c r="S2390" t="s">
        <v>40</v>
      </c>
      <c r="T2390">
        <v>2014041032</v>
      </c>
      <c r="U2390">
        <v>340.1</v>
      </c>
      <c r="V2390" s="3">
        <v>42152</v>
      </c>
    </row>
    <row r="2391" spans="1:22" x14ac:dyDescent="0.35">
      <c r="A2391" s="1">
        <v>42344.854351851849</v>
      </c>
      <c r="B2391" s="2">
        <v>3.530092592592592E-3</v>
      </c>
      <c r="C2391" t="s">
        <v>4282</v>
      </c>
      <c r="D2391" t="s">
        <v>623</v>
      </c>
      <c r="E2391" t="s">
        <v>624</v>
      </c>
      <c r="F2391" t="s">
        <v>2767</v>
      </c>
      <c r="G2391">
        <v>1742825</v>
      </c>
      <c r="H2391" t="s">
        <v>26</v>
      </c>
      <c r="I2391" t="s">
        <v>247</v>
      </c>
      <c r="J2391" t="str">
        <f>"9781118298664"</f>
        <v>9781118298664</v>
      </c>
      <c r="K2391" t="s">
        <v>4283</v>
      </c>
      <c r="L2391">
        <v>22</v>
      </c>
      <c r="M2391" t="s">
        <v>258</v>
      </c>
      <c r="N2391" t="s">
        <v>4284</v>
      </c>
      <c r="O2391" t="s">
        <v>30</v>
      </c>
      <c r="P2391" t="s">
        <v>47</v>
      </c>
      <c r="Q2391" s="1">
        <v>42344.854351851849</v>
      </c>
      <c r="R2391">
        <v>1</v>
      </c>
      <c r="S2391" t="s">
        <v>627</v>
      </c>
      <c r="T2391" t="s">
        <v>2769</v>
      </c>
      <c r="U2391" t="s">
        <v>2770</v>
      </c>
      <c r="V2391" s="3">
        <v>41834</v>
      </c>
    </row>
    <row r="2392" spans="1:22" x14ac:dyDescent="0.35">
      <c r="A2392" s="1">
        <v>42344.85050925926</v>
      </c>
      <c r="B2392" s="2">
        <v>3.8425925925925923E-3</v>
      </c>
      <c r="C2392" t="s">
        <v>4282</v>
      </c>
      <c r="D2392" t="s">
        <v>623</v>
      </c>
      <c r="E2392" t="s">
        <v>624</v>
      </c>
      <c r="F2392" t="s">
        <v>2767</v>
      </c>
      <c r="G2392">
        <v>1742825</v>
      </c>
      <c r="H2392" t="s">
        <v>26</v>
      </c>
      <c r="I2392" t="s">
        <v>247</v>
      </c>
      <c r="J2392" t="str">
        <f>"9781118298664"</f>
        <v>9781118298664</v>
      </c>
      <c r="K2392" t="s">
        <v>339</v>
      </c>
      <c r="L2392">
        <v>18</v>
      </c>
      <c r="O2392" t="s">
        <v>30</v>
      </c>
      <c r="P2392" t="s">
        <v>50</v>
      </c>
      <c r="S2392" t="s">
        <v>627</v>
      </c>
      <c r="T2392" t="s">
        <v>2769</v>
      </c>
      <c r="U2392" t="s">
        <v>2770</v>
      </c>
      <c r="V2392" s="3">
        <v>41834</v>
      </c>
    </row>
    <row r="2393" spans="1:22" x14ac:dyDescent="0.35">
      <c r="A2393" s="1">
        <v>42344.847557870373</v>
      </c>
      <c r="B2393" s="2">
        <v>5.7870370370370366E-5</v>
      </c>
      <c r="C2393" t="s">
        <v>4285</v>
      </c>
      <c r="D2393" t="s">
        <v>35</v>
      </c>
      <c r="E2393" t="s">
        <v>36</v>
      </c>
      <c r="F2393" t="s">
        <v>4286</v>
      </c>
      <c r="G2393">
        <v>4036747</v>
      </c>
      <c r="H2393" t="s">
        <v>26</v>
      </c>
      <c r="I2393" t="s">
        <v>120</v>
      </c>
      <c r="J2393" t="str">
        <f>"9781118607763"</f>
        <v>9781118607763</v>
      </c>
      <c r="K2393" t="s">
        <v>611</v>
      </c>
      <c r="L2393">
        <v>3</v>
      </c>
      <c r="O2393" t="s">
        <v>30</v>
      </c>
      <c r="P2393" t="s">
        <v>50</v>
      </c>
      <c r="S2393" t="s">
        <v>40</v>
      </c>
      <c r="T2393" t="s">
        <v>4287</v>
      </c>
      <c r="U2393">
        <v>302.23090000000002</v>
      </c>
      <c r="V2393" s="3">
        <v>41542</v>
      </c>
    </row>
    <row r="2394" spans="1:22" x14ac:dyDescent="0.35">
      <c r="A2394" s="1">
        <v>42344.839050925926</v>
      </c>
      <c r="B2394" s="2">
        <v>1.7361111111111112E-4</v>
      </c>
      <c r="C2394" t="s">
        <v>4288</v>
      </c>
      <c r="D2394" t="s">
        <v>1222</v>
      </c>
      <c r="E2394" t="s">
        <v>1223</v>
      </c>
      <c r="F2394" t="s">
        <v>4289</v>
      </c>
      <c r="G2394">
        <v>1120621</v>
      </c>
      <c r="H2394" t="s">
        <v>26</v>
      </c>
      <c r="I2394" t="s">
        <v>69</v>
      </c>
      <c r="J2394" t="str">
        <f>"9781118362679"</f>
        <v>9781118362679</v>
      </c>
      <c r="K2394" t="s">
        <v>98</v>
      </c>
      <c r="L2394">
        <v>7</v>
      </c>
      <c r="O2394" t="s">
        <v>30</v>
      </c>
      <c r="P2394" t="s">
        <v>42</v>
      </c>
      <c r="S2394" t="s">
        <v>1226</v>
      </c>
      <c r="T2394" t="s">
        <v>4290</v>
      </c>
      <c r="U2394" t="s">
        <v>4291</v>
      </c>
      <c r="V2394" s="3">
        <v>41136</v>
      </c>
    </row>
    <row r="2395" spans="1:22" x14ac:dyDescent="0.35">
      <c r="A2395" s="1">
        <v>42344.833958333336</v>
      </c>
      <c r="B2395" s="2">
        <v>2.5462962962962961E-4</v>
      </c>
      <c r="C2395" t="s">
        <v>106</v>
      </c>
      <c r="D2395" t="s">
        <v>23</v>
      </c>
      <c r="E2395" t="s">
        <v>24</v>
      </c>
      <c r="F2395" t="s">
        <v>3179</v>
      </c>
      <c r="G2395">
        <v>1172554</v>
      </c>
      <c r="H2395" t="s">
        <v>1365</v>
      </c>
      <c r="I2395" t="s">
        <v>172</v>
      </c>
      <c r="J2395" t="str">
        <f>""</f>
        <v/>
      </c>
      <c r="K2395" t="s">
        <v>4292</v>
      </c>
      <c r="L2395">
        <v>23</v>
      </c>
      <c r="O2395" t="s">
        <v>30</v>
      </c>
      <c r="P2395" t="s">
        <v>42</v>
      </c>
      <c r="S2395" t="s">
        <v>31</v>
      </c>
      <c r="T2395" t="s">
        <v>3182</v>
      </c>
      <c r="U2395" t="s">
        <v>3183</v>
      </c>
      <c r="V2395" s="3">
        <v>41375</v>
      </c>
    </row>
    <row r="2396" spans="1:22" x14ac:dyDescent="0.35">
      <c r="A2396" s="1">
        <v>42344.833518518521</v>
      </c>
      <c r="B2396" s="2">
        <v>2.7777777777777778E-4</v>
      </c>
      <c r="C2396" t="s">
        <v>106</v>
      </c>
      <c r="D2396" t="s">
        <v>23</v>
      </c>
      <c r="E2396" t="s">
        <v>24</v>
      </c>
      <c r="F2396" t="s">
        <v>3175</v>
      </c>
      <c r="G2396">
        <v>867850</v>
      </c>
      <c r="H2396" t="s">
        <v>492</v>
      </c>
      <c r="I2396" t="s">
        <v>172</v>
      </c>
      <c r="J2396" t="str">
        <f>"9781400834860"</f>
        <v>9781400834860</v>
      </c>
      <c r="K2396" t="s">
        <v>4293</v>
      </c>
      <c r="L2396">
        <v>22</v>
      </c>
      <c r="O2396" t="s">
        <v>30</v>
      </c>
      <c r="P2396" t="s">
        <v>42</v>
      </c>
      <c r="S2396" t="s">
        <v>31</v>
      </c>
      <c r="T2396" t="s">
        <v>3177</v>
      </c>
      <c r="U2396" t="s">
        <v>3178</v>
      </c>
      <c r="V2396" s="3">
        <v>40993</v>
      </c>
    </row>
    <row r="2397" spans="1:22" x14ac:dyDescent="0.35">
      <c r="A2397" s="1">
        <v>42344.777372685188</v>
      </c>
      <c r="B2397" s="2">
        <v>8.4375000000000006E-3</v>
      </c>
      <c r="C2397" t="s">
        <v>4124</v>
      </c>
      <c r="D2397" t="s">
        <v>211</v>
      </c>
      <c r="E2397" t="s">
        <v>212</v>
      </c>
      <c r="F2397" t="s">
        <v>1460</v>
      </c>
      <c r="G2397">
        <v>2090105</v>
      </c>
      <c r="H2397" t="s">
        <v>26</v>
      </c>
      <c r="I2397" t="s">
        <v>97</v>
      </c>
      <c r="J2397" t="str">
        <f>"9781119082972"</f>
        <v>9781119082972</v>
      </c>
      <c r="K2397" t="s">
        <v>4294</v>
      </c>
      <c r="L2397">
        <v>26</v>
      </c>
      <c r="O2397" t="s">
        <v>30</v>
      </c>
      <c r="P2397" t="s">
        <v>29</v>
      </c>
      <c r="Q2397" s="1">
        <v>42337.900439814817</v>
      </c>
      <c r="R2397">
        <v>7</v>
      </c>
      <c r="S2397" t="s">
        <v>214</v>
      </c>
      <c r="T2397" t="s">
        <v>1462</v>
      </c>
      <c r="U2397" t="s">
        <v>1463</v>
      </c>
      <c r="V2397" s="3">
        <v>42194</v>
      </c>
    </row>
    <row r="2398" spans="1:22" x14ac:dyDescent="0.35">
      <c r="A2398" s="1">
        <v>42344.761157407411</v>
      </c>
      <c r="B2398" s="2">
        <v>2.3148148148148146E-4</v>
      </c>
      <c r="C2398" t="s">
        <v>4124</v>
      </c>
      <c r="D2398" t="s">
        <v>211</v>
      </c>
      <c r="E2398" t="s">
        <v>212</v>
      </c>
      <c r="F2398" t="s">
        <v>1460</v>
      </c>
      <c r="G2398">
        <v>2090105</v>
      </c>
      <c r="H2398" t="s">
        <v>26</v>
      </c>
      <c r="I2398" t="s">
        <v>97</v>
      </c>
      <c r="J2398" t="str">
        <f>"9781119082972"</f>
        <v>9781119082972</v>
      </c>
      <c r="K2398" t="s">
        <v>889</v>
      </c>
      <c r="L2398">
        <v>6</v>
      </c>
      <c r="O2398" t="s">
        <v>30</v>
      </c>
      <c r="P2398" t="s">
        <v>29</v>
      </c>
      <c r="Q2398" s="1">
        <v>42337.900439814817</v>
      </c>
      <c r="R2398">
        <v>7</v>
      </c>
      <c r="S2398" t="s">
        <v>214</v>
      </c>
      <c r="T2398" t="s">
        <v>1462</v>
      </c>
      <c r="U2398" t="s">
        <v>1463</v>
      </c>
      <c r="V2398" s="3">
        <v>42194</v>
      </c>
    </row>
    <row r="2399" spans="1:22" x14ac:dyDescent="0.35">
      <c r="A2399" s="1">
        <v>42344.750196759262</v>
      </c>
      <c r="B2399" s="2">
        <v>1.5046296296296297E-4</v>
      </c>
      <c r="C2399" t="s">
        <v>4295</v>
      </c>
      <c r="D2399" t="s">
        <v>23</v>
      </c>
      <c r="E2399" t="s">
        <v>24</v>
      </c>
      <c r="F2399" t="s">
        <v>4140</v>
      </c>
      <c r="G2399">
        <v>1757100</v>
      </c>
      <c r="H2399" t="s">
        <v>84</v>
      </c>
      <c r="I2399" t="s">
        <v>3609</v>
      </c>
      <c r="J2399" t="str">
        <f>"9780520961302"</f>
        <v>9780520961302</v>
      </c>
      <c r="K2399" t="s">
        <v>4296</v>
      </c>
      <c r="L2399">
        <v>8</v>
      </c>
      <c r="O2399" t="s">
        <v>30</v>
      </c>
      <c r="P2399" t="s">
        <v>42</v>
      </c>
      <c r="S2399" t="s">
        <v>31</v>
      </c>
      <c r="T2399" t="s">
        <v>4142</v>
      </c>
      <c r="U2399" t="s">
        <v>4143</v>
      </c>
      <c r="V2399" s="3">
        <v>41967</v>
      </c>
    </row>
    <row r="2400" spans="1:22" x14ac:dyDescent="0.35">
      <c r="A2400" s="1">
        <v>42344.741365740738</v>
      </c>
      <c r="B2400" s="2">
        <v>8.819444444444444E-3</v>
      </c>
      <c r="C2400" t="s">
        <v>4295</v>
      </c>
      <c r="D2400" t="s">
        <v>23</v>
      </c>
      <c r="E2400" t="s">
        <v>24</v>
      </c>
      <c r="F2400" t="s">
        <v>4140</v>
      </c>
      <c r="G2400">
        <v>1757100</v>
      </c>
      <c r="H2400" t="s">
        <v>84</v>
      </c>
      <c r="I2400" t="s">
        <v>3609</v>
      </c>
      <c r="J2400" t="str">
        <f>"9780520961302"</f>
        <v>9780520961302</v>
      </c>
      <c r="K2400" t="s">
        <v>4297</v>
      </c>
      <c r="L2400">
        <v>16</v>
      </c>
      <c r="O2400" t="s">
        <v>30</v>
      </c>
      <c r="P2400" t="s">
        <v>50</v>
      </c>
      <c r="S2400" t="s">
        <v>31</v>
      </c>
      <c r="T2400" t="s">
        <v>4142</v>
      </c>
      <c r="U2400" t="s">
        <v>4143</v>
      </c>
      <c r="V2400" s="3">
        <v>41967</v>
      </c>
    </row>
    <row r="2401" spans="1:22" x14ac:dyDescent="0.35">
      <c r="A2401" s="1">
        <v>42344.715601851851</v>
      </c>
      <c r="B2401" s="2">
        <v>4.3981481481481481E-4</v>
      </c>
      <c r="C2401" t="s">
        <v>3987</v>
      </c>
      <c r="D2401" t="s">
        <v>23</v>
      </c>
      <c r="E2401" t="s">
        <v>24</v>
      </c>
      <c r="F2401" t="s">
        <v>982</v>
      </c>
      <c r="G2401">
        <v>1882108</v>
      </c>
      <c r="H2401" t="s">
        <v>84</v>
      </c>
      <c r="I2401" t="s">
        <v>310</v>
      </c>
      <c r="J2401" t="str">
        <f>"9780520961326"</f>
        <v>9780520961326</v>
      </c>
      <c r="K2401" t="s">
        <v>4298</v>
      </c>
      <c r="L2401">
        <v>24</v>
      </c>
      <c r="O2401" t="s">
        <v>30</v>
      </c>
      <c r="P2401" t="s">
        <v>42</v>
      </c>
      <c r="S2401" t="s">
        <v>31</v>
      </c>
      <c r="T2401" t="s">
        <v>983</v>
      </c>
      <c r="U2401">
        <v>883</v>
      </c>
      <c r="V2401" s="3">
        <v>42138</v>
      </c>
    </row>
    <row r="2402" spans="1:22" x14ac:dyDescent="0.35">
      <c r="A2402" s="1">
        <v>42344.715266203704</v>
      </c>
      <c r="B2402" s="2">
        <v>0.27835648148148145</v>
      </c>
      <c r="C2402" t="s">
        <v>3320</v>
      </c>
      <c r="D2402" t="s">
        <v>35</v>
      </c>
      <c r="E2402" t="s">
        <v>36</v>
      </c>
      <c r="F2402" t="s">
        <v>3321</v>
      </c>
      <c r="G2402">
        <v>1869291</v>
      </c>
      <c r="H2402" t="s">
        <v>45</v>
      </c>
      <c r="I2402" t="s">
        <v>79</v>
      </c>
      <c r="J2402" t="str">
        <f>"9781409450320"</f>
        <v>9781409450320</v>
      </c>
      <c r="K2402" t="s">
        <v>4299</v>
      </c>
      <c r="L2402">
        <v>41</v>
      </c>
      <c r="M2402" t="s">
        <v>4300</v>
      </c>
      <c r="O2402" t="s">
        <v>30</v>
      </c>
      <c r="P2402" t="s">
        <v>47</v>
      </c>
      <c r="Q2402" s="1">
        <v>42344.715266203704</v>
      </c>
      <c r="R2402">
        <v>1</v>
      </c>
      <c r="S2402" t="s">
        <v>40</v>
      </c>
      <c r="T2402" t="s">
        <v>3323</v>
      </c>
      <c r="U2402" t="s">
        <v>3324</v>
      </c>
      <c r="V2402" s="3">
        <v>42032</v>
      </c>
    </row>
    <row r="2403" spans="1:22" x14ac:dyDescent="0.35">
      <c r="A2403" s="1">
        <v>42344.712916666664</v>
      </c>
      <c r="B2403" s="2">
        <v>4.6296296296296294E-5</v>
      </c>
      <c r="C2403" t="s">
        <v>4301</v>
      </c>
      <c r="D2403" t="s">
        <v>335</v>
      </c>
      <c r="E2403" t="s">
        <v>336</v>
      </c>
      <c r="F2403" t="s">
        <v>3317</v>
      </c>
      <c r="G2403">
        <v>1895554</v>
      </c>
      <c r="H2403" t="s">
        <v>26</v>
      </c>
      <c r="I2403" t="s">
        <v>3318</v>
      </c>
      <c r="J2403" t="str">
        <f>"9781118708507"</f>
        <v>9781118708507</v>
      </c>
      <c r="K2403" t="s">
        <v>33</v>
      </c>
      <c r="L2403">
        <v>3</v>
      </c>
      <c r="O2403" t="s">
        <v>30</v>
      </c>
      <c r="P2403" t="s">
        <v>50</v>
      </c>
      <c r="S2403" t="s">
        <v>340</v>
      </c>
      <c r="T2403" t="s">
        <v>3319</v>
      </c>
      <c r="U2403">
        <v>551.6</v>
      </c>
      <c r="V2403" s="3">
        <v>42039</v>
      </c>
    </row>
    <row r="2404" spans="1:22" x14ac:dyDescent="0.35">
      <c r="A2404" s="1">
        <v>42344.712500000001</v>
      </c>
      <c r="B2404" s="2">
        <v>5.0347222222222225E-3</v>
      </c>
      <c r="C2404" t="s">
        <v>4302</v>
      </c>
      <c r="D2404" t="s">
        <v>261</v>
      </c>
      <c r="E2404" t="s">
        <v>262</v>
      </c>
      <c r="F2404" t="s">
        <v>4303</v>
      </c>
      <c r="G2404">
        <v>2066657</v>
      </c>
      <c r="H2404" t="s">
        <v>26</v>
      </c>
      <c r="I2404" t="s">
        <v>120</v>
      </c>
      <c r="J2404" t="str">
        <f>"9780745685946"</f>
        <v>9780745685946</v>
      </c>
      <c r="K2404" t="s">
        <v>4304</v>
      </c>
      <c r="L2404">
        <v>11</v>
      </c>
      <c r="O2404" t="s">
        <v>30</v>
      </c>
      <c r="P2404" t="s">
        <v>29</v>
      </c>
      <c r="Q2404" s="1">
        <v>42344.708182870374</v>
      </c>
      <c r="R2404">
        <v>7</v>
      </c>
      <c r="S2404" t="s">
        <v>264</v>
      </c>
      <c r="T2404" t="s">
        <v>4305</v>
      </c>
      <c r="U2404">
        <v>306.70951000000002</v>
      </c>
      <c r="V2404" s="3">
        <v>42160</v>
      </c>
    </row>
    <row r="2405" spans="1:22" x14ac:dyDescent="0.35">
      <c r="A2405" s="1">
        <v>42344.708182870374</v>
      </c>
      <c r="B2405" s="2">
        <v>1.8171296296296297E-3</v>
      </c>
      <c r="C2405" t="s">
        <v>4302</v>
      </c>
      <c r="D2405" t="s">
        <v>261</v>
      </c>
      <c r="E2405" t="s">
        <v>262</v>
      </c>
      <c r="F2405" t="s">
        <v>4303</v>
      </c>
      <c r="G2405">
        <v>2066657</v>
      </c>
      <c r="H2405" t="s">
        <v>26</v>
      </c>
      <c r="I2405" t="s">
        <v>120</v>
      </c>
      <c r="J2405" t="str">
        <f>"9780745685946"</f>
        <v>9780745685946</v>
      </c>
      <c r="K2405" t="s">
        <v>4306</v>
      </c>
      <c r="L2405">
        <v>6</v>
      </c>
      <c r="O2405" t="s">
        <v>30</v>
      </c>
      <c r="P2405" t="s">
        <v>29</v>
      </c>
      <c r="Q2405" s="1">
        <v>42344.708182870374</v>
      </c>
      <c r="R2405">
        <v>7</v>
      </c>
      <c r="S2405" t="s">
        <v>264</v>
      </c>
      <c r="T2405" t="s">
        <v>4305</v>
      </c>
      <c r="U2405">
        <v>306.70951000000002</v>
      </c>
      <c r="V2405" s="3">
        <v>42160</v>
      </c>
    </row>
    <row r="2406" spans="1:22" x14ac:dyDescent="0.35">
      <c r="A2406" s="1">
        <v>42344.703414351854</v>
      </c>
      <c r="B2406" s="2">
        <v>4.7685185185185183E-3</v>
      </c>
      <c r="C2406" t="s">
        <v>4302</v>
      </c>
      <c r="D2406" t="s">
        <v>261</v>
      </c>
      <c r="E2406" t="s">
        <v>262</v>
      </c>
      <c r="F2406" t="s">
        <v>4303</v>
      </c>
      <c r="G2406">
        <v>2066657</v>
      </c>
      <c r="H2406" t="s">
        <v>26</v>
      </c>
      <c r="I2406" t="s">
        <v>120</v>
      </c>
      <c r="J2406" t="str">
        <f>"9780745685946"</f>
        <v>9780745685946</v>
      </c>
      <c r="K2406" t="s">
        <v>4307</v>
      </c>
      <c r="L2406">
        <v>6</v>
      </c>
      <c r="O2406" t="s">
        <v>30</v>
      </c>
      <c r="P2406" t="s">
        <v>50</v>
      </c>
      <c r="S2406" t="s">
        <v>264</v>
      </c>
      <c r="T2406" t="s">
        <v>4305</v>
      </c>
      <c r="U2406">
        <v>306.70951000000002</v>
      </c>
      <c r="V2406" s="3">
        <v>42160</v>
      </c>
    </row>
    <row r="2407" spans="1:22" x14ac:dyDescent="0.35">
      <c r="A2407" s="1">
        <v>42344.700578703705</v>
      </c>
      <c r="B2407" s="2">
        <v>1.4687499999999999E-2</v>
      </c>
      <c r="C2407" t="s">
        <v>3320</v>
      </c>
      <c r="D2407" t="s">
        <v>35</v>
      </c>
      <c r="E2407" t="s">
        <v>36</v>
      </c>
      <c r="F2407" t="s">
        <v>3321</v>
      </c>
      <c r="G2407">
        <v>1869291</v>
      </c>
      <c r="H2407" t="s">
        <v>45</v>
      </c>
      <c r="I2407" t="s">
        <v>79</v>
      </c>
      <c r="J2407" t="str">
        <f>"9781409450320"</f>
        <v>9781409450320</v>
      </c>
      <c r="K2407" t="s">
        <v>4308</v>
      </c>
      <c r="L2407">
        <v>12</v>
      </c>
      <c r="O2407" t="s">
        <v>30</v>
      </c>
      <c r="P2407" t="s">
        <v>50</v>
      </c>
      <c r="S2407" t="s">
        <v>40</v>
      </c>
      <c r="T2407" t="s">
        <v>3323</v>
      </c>
      <c r="U2407" t="s">
        <v>3324</v>
      </c>
      <c r="V2407" s="3">
        <v>42032</v>
      </c>
    </row>
    <row r="2408" spans="1:22" x14ac:dyDescent="0.35">
      <c r="A2408" s="1">
        <v>42344.686168981483</v>
      </c>
      <c r="B2408" s="2">
        <v>5.6712962962962956E-4</v>
      </c>
      <c r="C2408" t="s">
        <v>4309</v>
      </c>
      <c r="D2408" t="s">
        <v>211</v>
      </c>
      <c r="E2408" t="s">
        <v>212</v>
      </c>
      <c r="F2408" t="s">
        <v>3762</v>
      </c>
      <c r="G2408">
        <v>943954</v>
      </c>
      <c r="H2408" t="s">
        <v>1286</v>
      </c>
      <c r="I2408" t="s">
        <v>172</v>
      </c>
      <c r="J2408" t="str">
        <f>"9780786492770"</f>
        <v>9780786492770</v>
      </c>
      <c r="K2408" t="s">
        <v>4310</v>
      </c>
      <c r="L2408">
        <v>9</v>
      </c>
      <c r="O2408" t="s">
        <v>30</v>
      </c>
      <c r="P2408" t="s">
        <v>42</v>
      </c>
      <c r="S2408" t="s">
        <v>214</v>
      </c>
      <c r="T2408" t="s">
        <v>3764</v>
      </c>
      <c r="U2408" t="s">
        <v>3765</v>
      </c>
      <c r="V2408" s="3">
        <v>41061</v>
      </c>
    </row>
    <row r="2409" spans="1:22" x14ac:dyDescent="0.35">
      <c r="A2409" s="1">
        <v>42344.680659722224</v>
      </c>
      <c r="B2409" s="2">
        <v>1.3888888888888889E-3</v>
      </c>
      <c r="C2409" t="s">
        <v>4311</v>
      </c>
      <c r="D2409" t="s">
        <v>23</v>
      </c>
      <c r="E2409" t="s">
        <v>24</v>
      </c>
      <c r="F2409" t="s">
        <v>745</v>
      </c>
      <c r="G2409">
        <v>1166322</v>
      </c>
      <c r="H2409" t="s">
        <v>26</v>
      </c>
      <c r="I2409" t="s">
        <v>200</v>
      </c>
      <c r="J2409" t="str">
        <f>"9781118418512"</f>
        <v>9781118418512</v>
      </c>
      <c r="K2409" t="s">
        <v>4312</v>
      </c>
      <c r="L2409">
        <v>19</v>
      </c>
      <c r="O2409" t="s">
        <v>30</v>
      </c>
      <c r="P2409" t="s">
        <v>29</v>
      </c>
      <c r="Q2409" s="1">
        <v>42340.996851851851</v>
      </c>
      <c r="R2409">
        <v>7</v>
      </c>
      <c r="S2409" t="s">
        <v>31</v>
      </c>
      <c r="T2409" t="s">
        <v>747</v>
      </c>
      <c r="U2409">
        <v>720.072</v>
      </c>
      <c r="V2409" s="3">
        <v>41367</v>
      </c>
    </row>
    <row r="2410" spans="1:22" x14ac:dyDescent="0.35">
      <c r="A2410" s="1">
        <v>42344.674490740741</v>
      </c>
      <c r="B2410" s="2">
        <v>3.9351851851851852E-4</v>
      </c>
      <c r="C2410" t="s">
        <v>4313</v>
      </c>
      <c r="D2410" t="s">
        <v>623</v>
      </c>
      <c r="E2410" t="s">
        <v>624</v>
      </c>
      <c r="F2410" t="s">
        <v>4314</v>
      </c>
      <c r="G2410">
        <v>2058076</v>
      </c>
      <c r="H2410" t="s">
        <v>45</v>
      </c>
      <c r="I2410" t="s">
        <v>3802</v>
      </c>
      <c r="J2410" t="str">
        <f>"9781472435446"</f>
        <v>9781472435446</v>
      </c>
      <c r="K2410" t="s">
        <v>4315</v>
      </c>
      <c r="L2410">
        <v>16</v>
      </c>
      <c r="O2410" t="s">
        <v>30</v>
      </c>
      <c r="P2410" t="s">
        <v>50</v>
      </c>
      <c r="S2410" t="s">
        <v>627</v>
      </c>
      <c r="T2410" t="s">
        <v>4316</v>
      </c>
      <c r="U2410" t="s">
        <v>4317</v>
      </c>
      <c r="V2410" s="3">
        <v>42213</v>
      </c>
    </row>
    <row r="2411" spans="1:22" x14ac:dyDescent="0.35">
      <c r="A2411" s="1">
        <v>42344.672349537039</v>
      </c>
      <c r="B2411" s="2">
        <v>2.2569444444444447E-3</v>
      </c>
      <c r="C2411" t="s">
        <v>4116</v>
      </c>
      <c r="D2411" t="s">
        <v>23</v>
      </c>
      <c r="E2411" t="s">
        <v>24</v>
      </c>
      <c r="F2411" t="s">
        <v>4117</v>
      </c>
      <c r="G2411">
        <v>1724876</v>
      </c>
      <c r="H2411" t="s">
        <v>26</v>
      </c>
      <c r="I2411" t="s">
        <v>108</v>
      </c>
      <c r="J2411" t="str">
        <f>"9781118914113"</f>
        <v>9781118914113</v>
      </c>
      <c r="K2411" t="s">
        <v>4318</v>
      </c>
      <c r="L2411">
        <v>23</v>
      </c>
      <c r="N2411" t="s">
        <v>4319</v>
      </c>
      <c r="O2411" t="s">
        <v>30</v>
      </c>
      <c r="P2411" t="s">
        <v>29</v>
      </c>
      <c r="Q2411" s="1">
        <v>42342.802627314813</v>
      </c>
      <c r="R2411">
        <v>7</v>
      </c>
      <c r="S2411" t="s">
        <v>31</v>
      </c>
      <c r="T2411" t="s">
        <v>4120</v>
      </c>
      <c r="U2411">
        <v>332</v>
      </c>
      <c r="V2411" s="3">
        <v>41816</v>
      </c>
    </row>
    <row r="2412" spans="1:22" x14ac:dyDescent="0.35">
      <c r="A2412" s="1">
        <v>42344.613692129627</v>
      </c>
      <c r="B2412" s="2">
        <v>6.8287037037037025E-4</v>
      </c>
      <c r="C2412" t="s">
        <v>4320</v>
      </c>
      <c r="D2412" t="s">
        <v>23</v>
      </c>
      <c r="E2412" t="s">
        <v>24</v>
      </c>
      <c r="F2412" t="s">
        <v>3351</v>
      </c>
      <c r="G2412">
        <v>1760720</v>
      </c>
      <c r="H2412" t="s">
        <v>91</v>
      </c>
      <c r="I2412" t="s">
        <v>247</v>
      </c>
      <c r="J2412" t="str">
        <f>"9781462517459"</f>
        <v>9781462517459</v>
      </c>
      <c r="K2412" t="s">
        <v>4321</v>
      </c>
      <c r="L2412">
        <v>17</v>
      </c>
      <c r="O2412" t="s">
        <v>30</v>
      </c>
      <c r="P2412" t="s">
        <v>42</v>
      </c>
      <c r="S2412" t="s">
        <v>31</v>
      </c>
      <c r="T2412" t="s">
        <v>3353</v>
      </c>
      <c r="U2412">
        <v>616.89142000000004</v>
      </c>
      <c r="V2412" s="3">
        <v>41996</v>
      </c>
    </row>
    <row r="2413" spans="1:22" x14ac:dyDescent="0.35">
      <c r="A2413" s="1">
        <v>42344.600462962961</v>
      </c>
      <c r="B2413" s="2">
        <v>0</v>
      </c>
      <c r="C2413" t="s">
        <v>4183</v>
      </c>
      <c r="D2413" t="s">
        <v>35</v>
      </c>
      <c r="E2413" t="s">
        <v>36</v>
      </c>
      <c r="F2413" t="s">
        <v>4274</v>
      </c>
      <c r="G2413">
        <v>1693587</v>
      </c>
      <c r="H2413" t="s">
        <v>26</v>
      </c>
      <c r="I2413" t="s">
        <v>4275</v>
      </c>
      <c r="J2413" t="str">
        <f>"9781118388563"</f>
        <v>9781118388563</v>
      </c>
      <c r="L2413">
        <v>0</v>
      </c>
      <c r="M2413" t="s">
        <v>3322</v>
      </c>
      <c r="O2413" t="s">
        <v>30</v>
      </c>
      <c r="P2413" t="s">
        <v>47</v>
      </c>
      <c r="Q2413" s="1">
        <v>42344.600451388891</v>
      </c>
      <c r="R2413">
        <v>1</v>
      </c>
      <c r="S2413" t="s">
        <v>40</v>
      </c>
      <c r="T2413" t="s">
        <v>4277</v>
      </c>
      <c r="U2413" t="s">
        <v>4278</v>
      </c>
      <c r="V2413" s="3">
        <v>41778</v>
      </c>
    </row>
    <row r="2414" spans="1:22" x14ac:dyDescent="0.35">
      <c r="A2414" s="1">
        <v>42344.599247685182</v>
      </c>
      <c r="B2414" s="2">
        <v>1.2037037037037038E-3</v>
      </c>
      <c r="C2414" t="s">
        <v>4183</v>
      </c>
      <c r="D2414" t="s">
        <v>35</v>
      </c>
      <c r="E2414" t="s">
        <v>36</v>
      </c>
      <c r="F2414" t="s">
        <v>4274</v>
      </c>
      <c r="G2414">
        <v>1693587</v>
      </c>
      <c r="H2414" t="s">
        <v>26</v>
      </c>
      <c r="I2414" t="s">
        <v>4275</v>
      </c>
      <c r="J2414" t="str">
        <f>"9781118388563"</f>
        <v>9781118388563</v>
      </c>
      <c r="K2414" t="s">
        <v>4322</v>
      </c>
      <c r="L2414">
        <v>18</v>
      </c>
      <c r="O2414" t="s">
        <v>30</v>
      </c>
      <c r="P2414" t="s">
        <v>50</v>
      </c>
      <c r="S2414" t="s">
        <v>40</v>
      </c>
      <c r="T2414" t="s">
        <v>4277</v>
      </c>
      <c r="U2414" t="s">
        <v>4278</v>
      </c>
      <c r="V2414" s="3">
        <v>41778</v>
      </c>
    </row>
    <row r="2415" spans="1:22" x14ac:dyDescent="0.35">
      <c r="A2415" s="1">
        <v>42344.593888888892</v>
      </c>
      <c r="B2415" s="2">
        <v>5.1273148148148146E-3</v>
      </c>
      <c r="C2415" t="s">
        <v>4124</v>
      </c>
      <c r="D2415" t="s">
        <v>211</v>
      </c>
      <c r="E2415" t="s">
        <v>212</v>
      </c>
      <c r="F2415" t="s">
        <v>1460</v>
      </c>
      <c r="G2415">
        <v>2090105</v>
      </c>
      <c r="H2415" t="s">
        <v>26</v>
      </c>
      <c r="I2415" t="s">
        <v>97</v>
      </c>
      <c r="J2415" t="str">
        <f>"9781119082972"</f>
        <v>9781119082972</v>
      </c>
      <c r="K2415" t="s">
        <v>4323</v>
      </c>
      <c r="L2415">
        <v>27</v>
      </c>
      <c r="O2415" t="s">
        <v>30</v>
      </c>
      <c r="P2415" t="s">
        <v>29</v>
      </c>
      <c r="Q2415" s="1">
        <v>42337.900439814817</v>
      </c>
      <c r="R2415">
        <v>7</v>
      </c>
      <c r="S2415" t="s">
        <v>214</v>
      </c>
      <c r="T2415" t="s">
        <v>1462</v>
      </c>
      <c r="U2415" t="s">
        <v>1463</v>
      </c>
      <c r="V2415" s="3">
        <v>42194</v>
      </c>
    </row>
    <row r="2416" spans="1:22" x14ac:dyDescent="0.35">
      <c r="A2416" s="1">
        <v>42344.47148148148</v>
      </c>
      <c r="B2416" s="2">
        <v>5.2083333333333333E-4</v>
      </c>
      <c r="C2416" t="s">
        <v>4324</v>
      </c>
      <c r="D2416" t="s">
        <v>335</v>
      </c>
      <c r="E2416" t="s">
        <v>336</v>
      </c>
      <c r="F2416" t="s">
        <v>4325</v>
      </c>
      <c r="G2416">
        <v>1569869</v>
      </c>
      <c r="H2416" t="s">
        <v>68</v>
      </c>
      <c r="I2416" t="s">
        <v>219</v>
      </c>
      <c r="J2416" t="str">
        <f>"9781317799108"</f>
        <v>9781317799108</v>
      </c>
      <c r="K2416" t="s">
        <v>4326</v>
      </c>
      <c r="L2416">
        <v>7</v>
      </c>
      <c r="O2416" t="s">
        <v>30</v>
      </c>
      <c r="P2416" t="s">
        <v>29</v>
      </c>
      <c r="Q2416" s="1">
        <v>42344.47148148148</v>
      </c>
      <c r="R2416">
        <v>7</v>
      </c>
      <c r="S2416" t="s">
        <v>340</v>
      </c>
      <c r="T2416" t="s">
        <v>4327</v>
      </c>
      <c r="U2416">
        <v>154.63</v>
      </c>
      <c r="V2416" s="3">
        <v>41604</v>
      </c>
    </row>
    <row r="2417" spans="1:22" x14ac:dyDescent="0.35">
      <c r="A2417" s="1">
        <v>42344.45988425926</v>
      </c>
      <c r="B2417" s="2">
        <v>1.1597222222222222E-2</v>
      </c>
      <c r="C2417" t="s">
        <v>4324</v>
      </c>
      <c r="D2417" t="s">
        <v>335</v>
      </c>
      <c r="E2417" t="s">
        <v>336</v>
      </c>
      <c r="F2417" t="s">
        <v>4325</v>
      </c>
      <c r="G2417">
        <v>1569869</v>
      </c>
      <c r="H2417" t="s">
        <v>68</v>
      </c>
      <c r="I2417" t="s">
        <v>219</v>
      </c>
      <c r="J2417" t="str">
        <f>"9781317799108"</f>
        <v>9781317799108</v>
      </c>
      <c r="K2417" t="s">
        <v>4328</v>
      </c>
      <c r="L2417">
        <v>11</v>
      </c>
      <c r="O2417" t="s">
        <v>30</v>
      </c>
      <c r="P2417" t="s">
        <v>50</v>
      </c>
      <c r="S2417" t="s">
        <v>340</v>
      </c>
      <c r="T2417" t="s">
        <v>4327</v>
      </c>
      <c r="U2417">
        <v>154.63</v>
      </c>
      <c r="V2417" s="3">
        <v>41604</v>
      </c>
    </row>
    <row r="2418" spans="1:22" x14ac:dyDescent="0.35">
      <c r="A2418" s="1">
        <v>42344.359490740739</v>
      </c>
      <c r="B2418" s="2">
        <v>1.3657407407407409E-3</v>
      </c>
      <c r="C2418" t="s">
        <v>4324</v>
      </c>
      <c r="D2418" t="s">
        <v>335</v>
      </c>
      <c r="E2418" t="s">
        <v>336</v>
      </c>
      <c r="F2418" t="s">
        <v>4329</v>
      </c>
      <c r="G2418">
        <v>3061306</v>
      </c>
      <c r="H2418" t="s">
        <v>68</v>
      </c>
      <c r="I2418" t="s">
        <v>219</v>
      </c>
      <c r="J2418" t="str">
        <f>"9780203713877"</f>
        <v>9780203713877</v>
      </c>
      <c r="K2418" t="s">
        <v>4330</v>
      </c>
      <c r="L2418">
        <v>5</v>
      </c>
      <c r="O2418" t="s">
        <v>30</v>
      </c>
      <c r="P2418" t="s">
        <v>29</v>
      </c>
      <c r="Q2418" s="1">
        <v>42344.359490740739</v>
      </c>
      <c r="R2418">
        <v>7</v>
      </c>
      <c r="S2418" t="s">
        <v>340</v>
      </c>
      <c r="T2418" t="s">
        <v>4331</v>
      </c>
      <c r="U2418" t="s">
        <v>4332</v>
      </c>
      <c r="V2418" s="3">
        <v>41548</v>
      </c>
    </row>
    <row r="2419" spans="1:22" x14ac:dyDescent="0.35">
      <c r="A2419" s="1">
        <v>42344.346851851849</v>
      </c>
      <c r="B2419" s="2">
        <v>4.6296296296296294E-5</v>
      </c>
      <c r="C2419" t="s">
        <v>4324</v>
      </c>
      <c r="D2419" t="s">
        <v>335</v>
      </c>
      <c r="E2419" t="s">
        <v>336</v>
      </c>
      <c r="F2419" t="s">
        <v>4325</v>
      </c>
      <c r="G2419">
        <v>1569869</v>
      </c>
      <c r="H2419" t="s">
        <v>68</v>
      </c>
      <c r="I2419" t="s">
        <v>219</v>
      </c>
      <c r="J2419" t="str">
        <f>"9781317799108"</f>
        <v>9781317799108</v>
      </c>
      <c r="K2419" t="s">
        <v>33</v>
      </c>
      <c r="L2419">
        <v>3</v>
      </c>
      <c r="O2419" t="s">
        <v>30</v>
      </c>
      <c r="P2419" t="s">
        <v>47</v>
      </c>
      <c r="Q2419" s="1">
        <v>42343.408229166664</v>
      </c>
      <c r="R2419">
        <v>1</v>
      </c>
      <c r="S2419" t="s">
        <v>340</v>
      </c>
      <c r="T2419" t="s">
        <v>4327</v>
      </c>
      <c r="U2419">
        <v>154.63</v>
      </c>
      <c r="V2419" s="3">
        <v>41604</v>
      </c>
    </row>
    <row r="2420" spans="1:22" x14ac:dyDescent="0.35">
      <c r="A2420" s="1">
        <v>42344.346574074072</v>
      </c>
      <c r="B2420" s="2">
        <v>1.2916666666666667E-2</v>
      </c>
      <c r="C2420" t="s">
        <v>4324</v>
      </c>
      <c r="D2420" t="s">
        <v>335</v>
      </c>
      <c r="E2420" t="s">
        <v>336</v>
      </c>
      <c r="F2420" t="s">
        <v>4329</v>
      </c>
      <c r="G2420">
        <v>3061306</v>
      </c>
      <c r="H2420" t="s">
        <v>68</v>
      </c>
      <c r="I2420" t="s">
        <v>219</v>
      </c>
      <c r="J2420" t="str">
        <f>"9780203713877"</f>
        <v>9780203713877</v>
      </c>
      <c r="K2420" t="s">
        <v>4333</v>
      </c>
      <c r="L2420">
        <v>12</v>
      </c>
      <c r="O2420" t="s">
        <v>30</v>
      </c>
      <c r="P2420" t="s">
        <v>50</v>
      </c>
      <c r="S2420" t="s">
        <v>340</v>
      </c>
      <c r="T2420" t="s">
        <v>4331</v>
      </c>
      <c r="U2420" t="s">
        <v>4332</v>
      </c>
      <c r="V2420" s="3">
        <v>41548</v>
      </c>
    </row>
    <row r="2421" spans="1:22" x14ac:dyDescent="0.35">
      <c r="A2421" s="1">
        <v>42344.318495370368</v>
      </c>
      <c r="B2421" s="2">
        <v>3.7199074074074072E-2</v>
      </c>
      <c r="C2421" t="s">
        <v>4334</v>
      </c>
      <c r="D2421" t="s">
        <v>23</v>
      </c>
      <c r="E2421" t="s">
        <v>24</v>
      </c>
      <c r="F2421" t="s">
        <v>3830</v>
      </c>
      <c r="G2421">
        <v>832297</v>
      </c>
      <c r="H2421" t="s">
        <v>26</v>
      </c>
      <c r="I2421" t="s">
        <v>172</v>
      </c>
      <c r="J2421" t="str">
        <f>"9781118300947"</f>
        <v>9781118300947</v>
      </c>
      <c r="K2421" t="s">
        <v>4335</v>
      </c>
      <c r="L2421">
        <v>48</v>
      </c>
      <c r="O2421" t="s">
        <v>30</v>
      </c>
      <c r="P2421" t="s">
        <v>29</v>
      </c>
      <c r="Q2421" s="1">
        <v>42344.318495370368</v>
      </c>
      <c r="R2421">
        <v>7</v>
      </c>
      <c r="S2421" t="s">
        <v>31</v>
      </c>
      <c r="T2421" t="s">
        <v>3831</v>
      </c>
      <c r="U2421">
        <v>938</v>
      </c>
      <c r="V2421" s="3">
        <v>40896</v>
      </c>
    </row>
    <row r="2422" spans="1:22" x14ac:dyDescent="0.35">
      <c r="A2422" s="1">
        <v>42344.299722222226</v>
      </c>
      <c r="B2422" s="2">
        <v>1.877314814814815E-2</v>
      </c>
      <c r="C2422" t="s">
        <v>4334</v>
      </c>
      <c r="D2422" t="s">
        <v>23</v>
      </c>
      <c r="E2422" t="s">
        <v>24</v>
      </c>
      <c r="F2422" t="s">
        <v>3830</v>
      </c>
      <c r="G2422">
        <v>832297</v>
      </c>
      <c r="H2422" t="s">
        <v>26</v>
      </c>
      <c r="I2422" t="s">
        <v>172</v>
      </c>
      <c r="J2422" t="str">
        <f>"9781118300947"</f>
        <v>9781118300947</v>
      </c>
      <c r="K2422" t="s">
        <v>4336</v>
      </c>
      <c r="L2422">
        <v>15</v>
      </c>
      <c r="O2422" t="s">
        <v>30</v>
      </c>
      <c r="P2422" t="s">
        <v>42</v>
      </c>
      <c r="S2422" t="s">
        <v>31</v>
      </c>
      <c r="T2422" t="s">
        <v>3831</v>
      </c>
      <c r="U2422">
        <v>938</v>
      </c>
      <c r="V2422" s="3">
        <v>40896</v>
      </c>
    </row>
    <row r="2423" spans="1:22" x14ac:dyDescent="0.35">
      <c r="A2423" s="1">
        <v>42344.285486111112</v>
      </c>
      <c r="B2423" s="2">
        <v>3.425925925925926E-3</v>
      </c>
      <c r="C2423" t="s">
        <v>106</v>
      </c>
      <c r="D2423" t="s">
        <v>23</v>
      </c>
      <c r="E2423" t="s">
        <v>24</v>
      </c>
      <c r="F2423" t="s">
        <v>3186</v>
      </c>
      <c r="G2423">
        <v>699744</v>
      </c>
      <c r="H2423" t="s">
        <v>26</v>
      </c>
      <c r="I2423" t="s">
        <v>3187</v>
      </c>
      <c r="J2423" t="str">
        <f>"9781118585818"</f>
        <v>9781118585818</v>
      </c>
      <c r="K2423" t="s">
        <v>4337</v>
      </c>
      <c r="L2423">
        <v>17</v>
      </c>
      <c r="O2423" t="s">
        <v>30</v>
      </c>
      <c r="P2423" t="s">
        <v>29</v>
      </c>
      <c r="Q2423" s="1">
        <v>42343.853854166664</v>
      </c>
      <c r="R2423">
        <v>7</v>
      </c>
      <c r="S2423" t="s">
        <v>31</v>
      </c>
      <c r="T2423" t="s">
        <v>3188</v>
      </c>
      <c r="U2423">
        <v>621.36</v>
      </c>
      <c r="V2423" s="3">
        <v>41310</v>
      </c>
    </row>
    <row r="2424" spans="1:22" x14ac:dyDescent="0.35">
      <c r="A2424" s="1">
        <v>42344.210335648146</v>
      </c>
      <c r="B2424" s="2">
        <v>3.3564814814814812E-4</v>
      </c>
      <c r="C2424" t="s">
        <v>106</v>
      </c>
      <c r="D2424" t="s">
        <v>23</v>
      </c>
      <c r="E2424" t="s">
        <v>24</v>
      </c>
      <c r="F2424" t="s">
        <v>3186</v>
      </c>
      <c r="G2424">
        <v>699744</v>
      </c>
      <c r="H2424" t="s">
        <v>26</v>
      </c>
      <c r="I2424" t="s">
        <v>3187</v>
      </c>
      <c r="J2424" t="str">
        <f>"9781118585818"</f>
        <v>9781118585818</v>
      </c>
      <c r="K2424" t="s">
        <v>33</v>
      </c>
      <c r="L2424">
        <v>3</v>
      </c>
      <c r="O2424" t="s">
        <v>30</v>
      </c>
      <c r="P2424" t="s">
        <v>29</v>
      </c>
      <c r="Q2424" s="1">
        <v>42343.853854166664</v>
      </c>
      <c r="R2424">
        <v>7</v>
      </c>
      <c r="S2424" t="s">
        <v>31</v>
      </c>
      <c r="T2424" t="s">
        <v>3188</v>
      </c>
      <c r="U2424">
        <v>621.36</v>
      </c>
      <c r="V2424" s="3">
        <v>41310</v>
      </c>
    </row>
    <row r="2425" spans="1:22" x14ac:dyDescent="0.35">
      <c r="A2425" s="1">
        <v>42344.097685185188</v>
      </c>
      <c r="B2425" s="2">
        <v>1.8668981481481481E-2</v>
      </c>
      <c r="C2425" t="s">
        <v>106</v>
      </c>
      <c r="D2425" t="s">
        <v>23</v>
      </c>
      <c r="E2425" t="s">
        <v>24</v>
      </c>
      <c r="F2425" t="s">
        <v>4338</v>
      </c>
      <c r="G2425">
        <v>1897119</v>
      </c>
      <c r="H2425" t="s">
        <v>45</v>
      </c>
      <c r="I2425" t="s">
        <v>426</v>
      </c>
      <c r="J2425" t="str">
        <f>"9781409447733"</f>
        <v>9781409447733</v>
      </c>
      <c r="K2425" t="s">
        <v>4339</v>
      </c>
      <c r="L2425">
        <v>36</v>
      </c>
      <c r="O2425" t="s">
        <v>30</v>
      </c>
      <c r="P2425" t="s">
        <v>47</v>
      </c>
      <c r="Q2425" s="1">
        <v>42344.097685185188</v>
      </c>
      <c r="R2425">
        <v>1</v>
      </c>
      <c r="S2425" t="s">
        <v>31</v>
      </c>
      <c r="T2425" t="s">
        <v>4340</v>
      </c>
      <c r="U2425" t="s">
        <v>4341</v>
      </c>
      <c r="V2425" s="3">
        <v>42063</v>
      </c>
    </row>
    <row r="2426" spans="1:22" x14ac:dyDescent="0.35">
      <c r="A2426" s="1">
        <v>42344.070925925924</v>
      </c>
      <c r="B2426" s="2">
        <v>2.6759259259259257E-2</v>
      </c>
      <c r="C2426" t="s">
        <v>106</v>
      </c>
      <c r="D2426" t="s">
        <v>23</v>
      </c>
      <c r="E2426" t="s">
        <v>24</v>
      </c>
      <c r="F2426" t="s">
        <v>4338</v>
      </c>
      <c r="G2426">
        <v>1897119</v>
      </c>
      <c r="H2426" t="s">
        <v>45</v>
      </c>
      <c r="I2426" t="s">
        <v>426</v>
      </c>
      <c r="J2426" t="str">
        <f>"9781409447733"</f>
        <v>9781409447733</v>
      </c>
      <c r="K2426" t="s">
        <v>4342</v>
      </c>
      <c r="L2426">
        <v>8</v>
      </c>
      <c r="O2426" t="s">
        <v>30</v>
      </c>
      <c r="P2426" t="s">
        <v>50</v>
      </c>
      <c r="S2426" t="s">
        <v>31</v>
      </c>
      <c r="T2426" t="s">
        <v>4340</v>
      </c>
      <c r="U2426" t="s">
        <v>4341</v>
      </c>
      <c r="V2426" s="3">
        <v>42063</v>
      </c>
    </row>
    <row r="2427" spans="1:22" x14ac:dyDescent="0.35">
      <c r="A2427" s="1">
        <v>42344.04792824074</v>
      </c>
      <c r="B2427" s="2">
        <v>2.199074074074074E-4</v>
      </c>
      <c r="C2427" t="s">
        <v>3906</v>
      </c>
      <c r="D2427" t="s">
        <v>35</v>
      </c>
      <c r="E2427" t="s">
        <v>36</v>
      </c>
      <c r="F2427" t="s">
        <v>37</v>
      </c>
      <c r="G2427">
        <v>1684620</v>
      </c>
      <c r="H2427" t="s">
        <v>26</v>
      </c>
      <c r="I2427" t="s">
        <v>38</v>
      </c>
      <c r="J2427" t="str">
        <f>"9781118418925"</f>
        <v>9781118418925</v>
      </c>
      <c r="K2427" t="s">
        <v>4343</v>
      </c>
      <c r="L2427">
        <v>7</v>
      </c>
      <c r="O2427" t="s">
        <v>30</v>
      </c>
      <c r="P2427" t="s">
        <v>29</v>
      </c>
      <c r="Q2427" s="1">
        <v>42344.04792824074</v>
      </c>
      <c r="R2427">
        <v>7</v>
      </c>
      <c r="S2427" t="s">
        <v>40</v>
      </c>
      <c r="T2427" t="s">
        <v>41</v>
      </c>
      <c r="U2427">
        <v>362.10680000000002</v>
      </c>
      <c r="V2427" s="3">
        <v>41759</v>
      </c>
    </row>
    <row r="2428" spans="1:22" x14ac:dyDescent="0.35">
      <c r="A2428" s="1">
        <v>42344.040590277778</v>
      </c>
      <c r="B2428" s="2">
        <v>1.3078703703703705E-3</v>
      </c>
      <c r="C2428" t="s">
        <v>3948</v>
      </c>
      <c r="D2428" t="s">
        <v>1482</v>
      </c>
      <c r="E2428" t="s">
        <v>1483</v>
      </c>
      <c r="F2428" t="s">
        <v>3949</v>
      </c>
      <c r="G2428">
        <v>877713</v>
      </c>
      <c r="H2428" t="s">
        <v>149</v>
      </c>
      <c r="I2428" t="s">
        <v>172</v>
      </c>
      <c r="J2428" t="str">
        <f>"9781438138596"</f>
        <v>9781438138596</v>
      </c>
      <c r="K2428" t="s">
        <v>4344</v>
      </c>
      <c r="L2428">
        <v>27</v>
      </c>
      <c r="O2428" t="s">
        <v>30</v>
      </c>
      <c r="P2428" t="s">
        <v>29</v>
      </c>
      <c r="Q2428" s="1">
        <v>42340.143240740741</v>
      </c>
      <c r="R2428">
        <v>7</v>
      </c>
      <c r="S2428" t="s">
        <v>1485</v>
      </c>
      <c r="T2428" t="s">
        <v>3951</v>
      </c>
      <c r="U2428">
        <v>932.00300000000004</v>
      </c>
      <c r="V2428" s="3">
        <v>40909</v>
      </c>
    </row>
    <row r="2429" spans="1:22" x14ac:dyDescent="0.35">
      <c r="A2429" s="1">
        <v>42344.039780092593</v>
      </c>
      <c r="B2429" s="2">
        <v>8.1481481481481474E-3</v>
      </c>
      <c r="C2429" t="s">
        <v>3906</v>
      </c>
      <c r="D2429" t="s">
        <v>35</v>
      </c>
      <c r="E2429" t="s">
        <v>36</v>
      </c>
      <c r="F2429" t="s">
        <v>37</v>
      </c>
      <c r="G2429">
        <v>1684620</v>
      </c>
      <c r="H2429" t="s">
        <v>26</v>
      </c>
      <c r="I2429" t="s">
        <v>38</v>
      </c>
      <c r="J2429" t="str">
        <f>"9781118418925"</f>
        <v>9781118418925</v>
      </c>
      <c r="K2429" t="s">
        <v>4345</v>
      </c>
      <c r="L2429">
        <v>50</v>
      </c>
      <c r="O2429" t="s">
        <v>30</v>
      </c>
      <c r="P2429" t="s">
        <v>42</v>
      </c>
      <c r="S2429" t="s">
        <v>40</v>
      </c>
      <c r="T2429" t="s">
        <v>41</v>
      </c>
      <c r="U2429">
        <v>362.10680000000002</v>
      </c>
      <c r="V2429" s="3">
        <v>41759</v>
      </c>
    </row>
    <row r="2430" spans="1:22" x14ac:dyDescent="0.35">
      <c r="A2430" s="1">
        <v>42344.028726851851</v>
      </c>
      <c r="B2430" s="2">
        <v>6.9444444444444444E-5</v>
      </c>
      <c r="C2430" t="s">
        <v>3761</v>
      </c>
      <c r="D2430" t="s">
        <v>117</v>
      </c>
      <c r="E2430" t="s">
        <v>118</v>
      </c>
      <c r="F2430" t="s">
        <v>4346</v>
      </c>
      <c r="G2430">
        <v>1274388</v>
      </c>
      <c r="H2430" t="s">
        <v>139</v>
      </c>
      <c r="I2430" t="s">
        <v>85</v>
      </c>
      <c r="J2430" t="str">
        <f>"9780814776582"</f>
        <v>9780814776582</v>
      </c>
      <c r="K2430" t="s">
        <v>4347</v>
      </c>
      <c r="L2430">
        <v>6</v>
      </c>
      <c r="O2430" t="s">
        <v>30</v>
      </c>
      <c r="P2430" t="s">
        <v>50</v>
      </c>
      <c r="S2430" t="s">
        <v>121</v>
      </c>
      <c r="T2430" t="s">
        <v>4348</v>
      </c>
      <c r="U2430" t="s">
        <v>4349</v>
      </c>
      <c r="V2430" s="3">
        <v>41486</v>
      </c>
    </row>
    <row r="2431" spans="1:22" x14ac:dyDescent="0.35">
      <c r="A2431" s="1">
        <v>42343.979594907411</v>
      </c>
      <c r="B2431" s="2">
        <v>1.423611111111111E-3</v>
      </c>
      <c r="C2431" t="s">
        <v>4350</v>
      </c>
      <c r="D2431" t="s">
        <v>23</v>
      </c>
      <c r="E2431" t="s">
        <v>24</v>
      </c>
      <c r="F2431" t="s">
        <v>4351</v>
      </c>
      <c r="G2431">
        <v>1220628</v>
      </c>
      <c r="H2431" t="s">
        <v>613</v>
      </c>
      <c r="I2431" t="s">
        <v>69</v>
      </c>
      <c r="J2431" t="str">
        <f>"9781469612553"</f>
        <v>9781469612553</v>
      </c>
      <c r="K2431" t="s">
        <v>4352</v>
      </c>
      <c r="L2431">
        <v>22</v>
      </c>
      <c r="O2431" t="s">
        <v>30</v>
      </c>
      <c r="P2431" t="s">
        <v>47</v>
      </c>
      <c r="Q2431" s="1">
        <v>42343.979594907411</v>
      </c>
      <c r="R2431">
        <v>1</v>
      </c>
      <c r="S2431" t="s">
        <v>31</v>
      </c>
      <c r="T2431" t="s">
        <v>4353</v>
      </c>
      <c r="U2431" t="s">
        <v>4354</v>
      </c>
      <c r="V2431" s="3">
        <v>41491</v>
      </c>
    </row>
    <row r="2432" spans="1:22" x14ac:dyDescent="0.35">
      <c r="A2432" s="1">
        <v>42343.950659722221</v>
      </c>
      <c r="B2432" s="2">
        <v>2.8935185185185185E-2</v>
      </c>
      <c r="C2432" t="s">
        <v>4350</v>
      </c>
      <c r="D2432" t="s">
        <v>23</v>
      </c>
      <c r="E2432" t="s">
        <v>24</v>
      </c>
      <c r="F2432" t="s">
        <v>4351</v>
      </c>
      <c r="G2432">
        <v>1220628</v>
      </c>
      <c r="H2432" t="s">
        <v>613</v>
      </c>
      <c r="I2432" t="s">
        <v>69</v>
      </c>
      <c r="J2432" t="str">
        <f>"9781469612553"</f>
        <v>9781469612553</v>
      </c>
      <c r="K2432" t="s">
        <v>2416</v>
      </c>
      <c r="L2432">
        <v>9</v>
      </c>
      <c r="O2432" t="s">
        <v>30</v>
      </c>
      <c r="P2432" t="s">
        <v>50</v>
      </c>
      <c r="S2432" t="s">
        <v>31</v>
      </c>
      <c r="T2432" t="s">
        <v>4353</v>
      </c>
      <c r="U2432" t="s">
        <v>4354</v>
      </c>
      <c r="V2432" s="3">
        <v>41491</v>
      </c>
    </row>
    <row r="2433" spans="1:22" x14ac:dyDescent="0.35">
      <c r="A2433" s="1">
        <v>42343.918391203704</v>
      </c>
      <c r="B2433" s="2">
        <v>3.4722222222222222E-5</v>
      </c>
      <c r="C2433" t="s">
        <v>4355</v>
      </c>
      <c r="D2433" t="s">
        <v>35</v>
      </c>
      <c r="E2433" t="s">
        <v>36</v>
      </c>
      <c r="F2433" t="s">
        <v>4356</v>
      </c>
      <c r="G2433">
        <v>1583400</v>
      </c>
      <c r="H2433" t="s">
        <v>68</v>
      </c>
      <c r="I2433" t="s">
        <v>824</v>
      </c>
      <c r="J2433" t="str">
        <f>"9781317827788"</f>
        <v>9781317827788</v>
      </c>
      <c r="K2433" t="s">
        <v>611</v>
      </c>
      <c r="L2433">
        <v>3</v>
      </c>
      <c r="O2433" t="s">
        <v>30</v>
      </c>
      <c r="P2433" t="s">
        <v>50</v>
      </c>
      <c r="S2433" t="s">
        <v>40</v>
      </c>
      <c r="T2433" t="s">
        <v>4357</v>
      </c>
      <c r="U2433">
        <v>177.5</v>
      </c>
      <c r="V2433" s="3">
        <v>41627</v>
      </c>
    </row>
    <row r="2434" spans="1:22" x14ac:dyDescent="0.35">
      <c r="A2434" s="1">
        <v>42343.917291666665</v>
      </c>
      <c r="B2434" s="2">
        <v>5.4398148148148144E-4</v>
      </c>
      <c r="C2434" t="s">
        <v>4355</v>
      </c>
      <c r="D2434" t="s">
        <v>35</v>
      </c>
      <c r="E2434" t="s">
        <v>36</v>
      </c>
      <c r="F2434" t="s">
        <v>4358</v>
      </c>
      <c r="G2434">
        <v>1581654</v>
      </c>
      <c r="H2434" t="s">
        <v>68</v>
      </c>
      <c r="I2434" t="s">
        <v>3813</v>
      </c>
      <c r="J2434" t="str">
        <f>"9781136699290"</f>
        <v>9781136699290</v>
      </c>
      <c r="K2434" t="s">
        <v>4359</v>
      </c>
      <c r="L2434">
        <v>17</v>
      </c>
      <c r="O2434" t="s">
        <v>30</v>
      </c>
      <c r="P2434" t="s">
        <v>50</v>
      </c>
      <c r="S2434" t="s">
        <v>40</v>
      </c>
      <c r="T2434" t="s">
        <v>4360</v>
      </c>
      <c r="U2434">
        <v>306.43</v>
      </c>
      <c r="V2434" s="3">
        <v>41624</v>
      </c>
    </row>
    <row r="2435" spans="1:22" x14ac:dyDescent="0.35">
      <c r="A2435" s="1">
        <v>42343.914826388886</v>
      </c>
      <c r="B2435" s="2">
        <v>1.4467592592592594E-3</v>
      </c>
      <c r="C2435" t="s">
        <v>210</v>
      </c>
      <c r="D2435" t="s">
        <v>211</v>
      </c>
      <c r="E2435" t="s">
        <v>212</v>
      </c>
      <c r="F2435" t="s">
        <v>1460</v>
      </c>
      <c r="G2435">
        <v>2090105</v>
      </c>
      <c r="H2435" t="s">
        <v>26</v>
      </c>
      <c r="I2435" t="s">
        <v>97</v>
      </c>
      <c r="J2435" t="str">
        <f>"9781119082972"</f>
        <v>9781119082972</v>
      </c>
      <c r="K2435" t="s">
        <v>4361</v>
      </c>
      <c r="L2435">
        <v>4</v>
      </c>
      <c r="O2435" t="s">
        <v>30</v>
      </c>
      <c r="P2435" t="s">
        <v>29</v>
      </c>
      <c r="Q2435" s="1">
        <v>42343.914826388886</v>
      </c>
      <c r="R2435">
        <v>7</v>
      </c>
      <c r="S2435" t="s">
        <v>214</v>
      </c>
      <c r="T2435" t="s">
        <v>1462</v>
      </c>
      <c r="U2435" t="s">
        <v>1463</v>
      </c>
      <c r="V2435" s="3">
        <v>42194</v>
      </c>
    </row>
    <row r="2436" spans="1:22" x14ac:dyDescent="0.35">
      <c r="A2436" s="1">
        <v>42343.900289351855</v>
      </c>
      <c r="B2436" s="2">
        <v>1.4537037037037038E-2</v>
      </c>
      <c r="C2436" t="s">
        <v>210</v>
      </c>
      <c r="D2436" t="s">
        <v>211</v>
      </c>
      <c r="E2436" t="s">
        <v>212</v>
      </c>
      <c r="F2436" t="s">
        <v>1460</v>
      </c>
      <c r="G2436">
        <v>2090105</v>
      </c>
      <c r="H2436" t="s">
        <v>26</v>
      </c>
      <c r="I2436" t="s">
        <v>97</v>
      </c>
      <c r="J2436" t="str">
        <f>"9781119082972"</f>
        <v>9781119082972</v>
      </c>
      <c r="K2436" t="s">
        <v>4362</v>
      </c>
      <c r="L2436">
        <v>11</v>
      </c>
      <c r="O2436" t="s">
        <v>30</v>
      </c>
      <c r="P2436" t="s">
        <v>42</v>
      </c>
      <c r="S2436" t="s">
        <v>214</v>
      </c>
      <c r="T2436" t="s">
        <v>1462</v>
      </c>
      <c r="U2436" t="s">
        <v>1463</v>
      </c>
      <c r="V2436" s="3">
        <v>42194</v>
      </c>
    </row>
    <row r="2437" spans="1:22" x14ac:dyDescent="0.35">
      <c r="A2437" s="1">
        <v>42343.888749999998</v>
      </c>
      <c r="B2437" s="2">
        <v>2.6620370370370372E-4</v>
      </c>
      <c r="C2437" t="s">
        <v>3590</v>
      </c>
      <c r="D2437" t="s">
        <v>158</v>
      </c>
      <c r="E2437" t="s">
        <v>159</v>
      </c>
      <c r="F2437" t="s">
        <v>4363</v>
      </c>
      <c r="G2437">
        <v>697575</v>
      </c>
      <c r="H2437" t="s">
        <v>26</v>
      </c>
      <c r="I2437" t="s">
        <v>328</v>
      </c>
      <c r="J2437" t="str">
        <f>"9781118115909"</f>
        <v>9781118115909</v>
      </c>
      <c r="K2437" t="s">
        <v>4364</v>
      </c>
      <c r="L2437">
        <v>7</v>
      </c>
      <c r="O2437" t="s">
        <v>30</v>
      </c>
      <c r="P2437" t="s">
        <v>42</v>
      </c>
      <c r="S2437" t="s">
        <v>163</v>
      </c>
      <c r="T2437" t="s">
        <v>4365</v>
      </c>
      <c r="U2437" t="s">
        <v>4366</v>
      </c>
      <c r="V2437" s="3">
        <v>40829</v>
      </c>
    </row>
    <row r="2438" spans="1:22" x14ac:dyDescent="0.35">
      <c r="A2438" s="1">
        <v>42343.871863425928</v>
      </c>
      <c r="B2438" s="2">
        <v>4.6296296296296293E-4</v>
      </c>
      <c r="C2438" t="s">
        <v>4367</v>
      </c>
      <c r="D2438" t="s">
        <v>23</v>
      </c>
      <c r="E2438" t="s">
        <v>24</v>
      </c>
      <c r="F2438" t="s">
        <v>4368</v>
      </c>
      <c r="G2438">
        <v>1833665</v>
      </c>
      <c r="H2438" t="s">
        <v>526</v>
      </c>
      <c r="I2438" t="s">
        <v>4369</v>
      </c>
      <c r="J2438" t="str">
        <f>"9780226167022"</f>
        <v>9780226167022</v>
      </c>
      <c r="K2438" t="s">
        <v>4370</v>
      </c>
      <c r="L2438">
        <v>14</v>
      </c>
      <c r="M2438" t="s">
        <v>105</v>
      </c>
      <c r="O2438" t="s">
        <v>30</v>
      </c>
      <c r="P2438" t="s">
        <v>47</v>
      </c>
      <c r="Q2438" s="1">
        <v>42343.871863425928</v>
      </c>
      <c r="R2438">
        <v>1</v>
      </c>
      <c r="S2438" t="s">
        <v>31</v>
      </c>
      <c r="T2438" t="s">
        <v>4371</v>
      </c>
      <c r="U2438">
        <v>509.2</v>
      </c>
      <c r="V2438" s="3">
        <v>41970</v>
      </c>
    </row>
    <row r="2439" spans="1:22" x14ac:dyDescent="0.35">
      <c r="A2439" s="1">
        <v>42343.863587962966</v>
      </c>
      <c r="B2439" s="2">
        <v>8.2754629629629619E-3</v>
      </c>
      <c r="C2439" t="s">
        <v>4367</v>
      </c>
      <c r="D2439" t="s">
        <v>23</v>
      </c>
      <c r="E2439" t="s">
        <v>24</v>
      </c>
      <c r="F2439" t="s">
        <v>4368</v>
      </c>
      <c r="G2439">
        <v>1833665</v>
      </c>
      <c r="H2439" t="s">
        <v>526</v>
      </c>
      <c r="I2439" t="s">
        <v>4369</v>
      </c>
      <c r="J2439" t="str">
        <f>"9780226167022"</f>
        <v>9780226167022</v>
      </c>
      <c r="K2439" t="s">
        <v>4372</v>
      </c>
      <c r="L2439">
        <v>8</v>
      </c>
      <c r="O2439" t="s">
        <v>30</v>
      </c>
      <c r="P2439" t="s">
        <v>50</v>
      </c>
      <c r="S2439" t="s">
        <v>31</v>
      </c>
      <c r="T2439" t="s">
        <v>4371</v>
      </c>
      <c r="U2439">
        <v>509.2</v>
      </c>
      <c r="V2439" s="3">
        <v>41970</v>
      </c>
    </row>
    <row r="2440" spans="1:22" x14ac:dyDescent="0.35">
      <c r="A2440" s="1">
        <v>42343.853865740741</v>
      </c>
      <c r="B2440" s="2">
        <v>0.12616898148148148</v>
      </c>
      <c r="C2440" t="s">
        <v>106</v>
      </c>
      <c r="D2440" t="s">
        <v>23</v>
      </c>
      <c r="E2440" t="s">
        <v>24</v>
      </c>
      <c r="F2440" t="s">
        <v>3186</v>
      </c>
      <c r="G2440">
        <v>699744</v>
      </c>
      <c r="H2440" t="s">
        <v>26</v>
      </c>
      <c r="I2440" t="s">
        <v>3187</v>
      </c>
      <c r="J2440" t="str">
        <f>"9781118585818"</f>
        <v>9781118585818</v>
      </c>
      <c r="K2440" t="s">
        <v>4373</v>
      </c>
      <c r="L2440">
        <v>30</v>
      </c>
      <c r="O2440" t="s">
        <v>30</v>
      </c>
      <c r="P2440" t="s">
        <v>29</v>
      </c>
      <c r="Q2440" s="1">
        <v>42343.853854166664</v>
      </c>
      <c r="R2440">
        <v>7</v>
      </c>
      <c r="S2440" t="s">
        <v>31</v>
      </c>
      <c r="T2440" t="s">
        <v>3188</v>
      </c>
      <c r="U2440">
        <v>621.36</v>
      </c>
      <c r="V2440" s="3">
        <v>41310</v>
      </c>
    </row>
    <row r="2441" spans="1:22" x14ac:dyDescent="0.35">
      <c r="A2441" s="1">
        <v>42343.84646990741</v>
      </c>
      <c r="B2441" s="2">
        <v>7.3842592592592597E-3</v>
      </c>
      <c r="C2441" t="s">
        <v>106</v>
      </c>
      <c r="D2441" t="s">
        <v>23</v>
      </c>
      <c r="E2441" t="s">
        <v>24</v>
      </c>
      <c r="F2441" t="s">
        <v>3186</v>
      </c>
      <c r="G2441">
        <v>699744</v>
      </c>
      <c r="H2441" t="s">
        <v>26</v>
      </c>
      <c r="I2441" t="s">
        <v>3187</v>
      </c>
      <c r="J2441" t="str">
        <f>"9781118585818"</f>
        <v>9781118585818</v>
      </c>
      <c r="K2441" t="s">
        <v>4374</v>
      </c>
      <c r="L2441">
        <v>8</v>
      </c>
      <c r="O2441" t="s">
        <v>30</v>
      </c>
      <c r="P2441" t="s">
        <v>42</v>
      </c>
      <c r="S2441" t="s">
        <v>31</v>
      </c>
      <c r="T2441" t="s">
        <v>3188</v>
      </c>
      <c r="U2441">
        <v>621.36</v>
      </c>
      <c r="V2441" s="3">
        <v>41310</v>
      </c>
    </row>
    <row r="2442" spans="1:22" x14ac:dyDescent="0.35">
      <c r="A2442" s="1">
        <v>42343.844074074077</v>
      </c>
      <c r="B2442" s="2">
        <v>3.1365740740740742E-3</v>
      </c>
      <c r="C2442" t="s">
        <v>4375</v>
      </c>
      <c r="D2442" t="s">
        <v>335</v>
      </c>
      <c r="E2442" t="s">
        <v>336</v>
      </c>
      <c r="F2442" t="s">
        <v>4376</v>
      </c>
      <c r="G2442">
        <v>918742</v>
      </c>
      <c r="H2442" t="s">
        <v>1365</v>
      </c>
      <c r="I2442" t="s">
        <v>120</v>
      </c>
      <c r="J2442" t="str">
        <f>"9781441130525"</f>
        <v>9781441130525</v>
      </c>
      <c r="K2442" t="s">
        <v>4377</v>
      </c>
      <c r="L2442">
        <v>8</v>
      </c>
      <c r="O2442" t="s">
        <v>30</v>
      </c>
      <c r="P2442" t="s">
        <v>29</v>
      </c>
      <c r="Q2442" s="1">
        <v>42343.844074074077</v>
      </c>
      <c r="R2442">
        <v>7</v>
      </c>
      <c r="S2442" t="s">
        <v>340</v>
      </c>
      <c r="T2442" t="s">
        <v>4378</v>
      </c>
      <c r="U2442">
        <v>363.33097299999997</v>
      </c>
      <c r="V2442" s="3">
        <v>41061</v>
      </c>
    </row>
    <row r="2443" spans="1:22" x14ac:dyDescent="0.35">
      <c r="A2443" s="1">
        <v>42343.841886574075</v>
      </c>
      <c r="B2443" s="2">
        <v>2.8703703703703708E-3</v>
      </c>
      <c r="C2443" t="s">
        <v>4379</v>
      </c>
      <c r="D2443" t="s">
        <v>261</v>
      </c>
      <c r="E2443" t="s">
        <v>262</v>
      </c>
      <c r="F2443" t="s">
        <v>4380</v>
      </c>
      <c r="G2443">
        <v>1666465</v>
      </c>
      <c r="H2443" t="s">
        <v>26</v>
      </c>
      <c r="I2443" t="s">
        <v>4381</v>
      </c>
      <c r="J2443" t="str">
        <f>"9780745682280"</f>
        <v>9780745682280</v>
      </c>
      <c r="K2443" t="s">
        <v>4382</v>
      </c>
      <c r="L2443">
        <v>14</v>
      </c>
      <c r="O2443" t="s">
        <v>30</v>
      </c>
      <c r="P2443" t="s">
        <v>50</v>
      </c>
      <c r="S2443" t="s">
        <v>264</v>
      </c>
      <c r="T2443" t="s">
        <v>4383</v>
      </c>
      <c r="U2443" t="s">
        <v>4384</v>
      </c>
      <c r="V2443" s="3">
        <v>41732</v>
      </c>
    </row>
    <row r="2444" spans="1:22" x14ac:dyDescent="0.35">
      <c r="A2444" s="1">
        <v>42343.834467592591</v>
      </c>
      <c r="B2444" s="2">
        <v>9.6064814814814815E-3</v>
      </c>
      <c r="C2444" t="s">
        <v>4375</v>
      </c>
      <c r="D2444" t="s">
        <v>335</v>
      </c>
      <c r="E2444" t="s">
        <v>336</v>
      </c>
      <c r="F2444" t="s">
        <v>4376</v>
      </c>
      <c r="G2444">
        <v>918742</v>
      </c>
      <c r="H2444" t="s">
        <v>1365</v>
      </c>
      <c r="I2444" t="s">
        <v>120</v>
      </c>
      <c r="J2444" t="str">
        <f>"9781441130525"</f>
        <v>9781441130525</v>
      </c>
      <c r="K2444" t="s">
        <v>4385</v>
      </c>
      <c r="L2444">
        <v>25</v>
      </c>
      <c r="O2444" t="s">
        <v>30</v>
      </c>
      <c r="P2444" t="s">
        <v>42</v>
      </c>
      <c r="S2444" t="s">
        <v>340</v>
      </c>
      <c r="T2444" t="s">
        <v>4378</v>
      </c>
      <c r="U2444">
        <v>363.33097299999997</v>
      </c>
      <c r="V2444" s="3">
        <v>41061</v>
      </c>
    </row>
    <row r="2445" spans="1:22" x14ac:dyDescent="0.35">
      <c r="A2445" s="1">
        <v>42343.798043981478</v>
      </c>
      <c r="B2445" s="2">
        <v>1.0995370370370371E-3</v>
      </c>
      <c r="C2445" t="s">
        <v>4386</v>
      </c>
      <c r="D2445" t="s">
        <v>35</v>
      </c>
      <c r="E2445" t="s">
        <v>36</v>
      </c>
      <c r="F2445" t="s">
        <v>4387</v>
      </c>
      <c r="G2445">
        <v>1542215</v>
      </c>
      <c r="H2445" t="s">
        <v>68</v>
      </c>
      <c r="I2445" t="s">
        <v>247</v>
      </c>
      <c r="J2445" t="str">
        <f>"9781134386420"</f>
        <v>9781134386420</v>
      </c>
      <c r="K2445" t="s">
        <v>4388</v>
      </c>
      <c r="L2445">
        <v>28</v>
      </c>
      <c r="O2445" t="s">
        <v>30</v>
      </c>
      <c r="P2445" t="s">
        <v>50</v>
      </c>
      <c r="S2445" t="s">
        <v>40</v>
      </c>
      <c r="T2445">
        <v>99459981</v>
      </c>
      <c r="U2445">
        <v>616.9</v>
      </c>
      <c r="V2445" s="3">
        <v>35818</v>
      </c>
    </row>
    <row r="2446" spans="1:22" x14ac:dyDescent="0.35">
      <c r="A2446" s="1">
        <v>42343.79351851852</v>
      </c>
      <c r="B2446" s="2">
        <v>3.2986111111111111E-3</v>
      </c>
      <c r="C2446" t="s">
        <v>4389</v>
      </c>
      <c r="D2446" t="s">
        <v>35</v>
      </c>
      <c r="E2446" t="s">
        <v>36</v>
      </c>
      <c r="F2446" t="s">
        <v>4390</v>
      </c>
      <c r="G2446">
        <v>2039147</v>
      </c>
      <c r="H2446" t="s">
        <v>45</v>
      </c>
      <c r="I2446" t="s">
        <v>120</v>
      </c>
      <c r="J2446" t="str">
        <f>"9781472419927"</f>
        <v>9781472419927</v>
      </c>
      <c r="K2446" t="s">
        <v>984</v>
      </c>
      <c r="L2446">
        <v>8</v>
      </c>
      <c r="O2446" t="s">
        <v>30</v>
      </c>
      <c r="P2446" t="s">
        <v>50</v>
      </c>
      <c r="S2446" t="s">
        <v>40</v>
      </c>
      <c r="T2446" t="s">
        <v>4391</v>
      </c>
      <c r="U2446" t="s">
        <v>4392</v>
      </c>
      <c r="V2446" s="3">
        <v>42183</v>
      </c>
    </row>
    <row r="2447" spans="1:22" x14ac:dyDescent="0.35">
      <c r="A2447" s="1">
        <v>42343.764293981483</v>
      </c>
      <c r="B2447" s="2">
        <v>3.0972222222222224E-2</v>
      </c>
      <c r="C2447" t="s">
        <v>4393</v>
      </c>
      <c r="D2447" t="s">
        <v>23</v>
      </c>
      <c r="E2447" t="s">
        <v>24</v>
      </c>
      <c r="F2447" t="s">
        <v>4394</v>
      </c>
      <c r="G2447">
        <v>1760709</v>
      </c>
      <c r="H2447" t="s">
        <v>91</v>
      </c>
      <c r="I2447" t="s">
        <v>247</v>
      </c>
      <c r="J2447" t="str">
        <f>"9781462516360"</f>
        <v>9781462516360</v>
      </c>
      <c r="K2447" t="s">
        <v>4395</v>
      </c>
      <c r="L2447">
        <v>24</v>
      </c>
      <c r="O2447" t="s">
        <v>30</v>
      </c>
      <c r="P2447" t="s">
        <v>47</v>
      </c>
      <c r="Q2447" s="1">
        <v>42343.763668981483</v>
      </c>
      <c r="R2447">
        <v>1</v>
      </c>
      <c r="S2447" t="s">
        <v>31</v>
      </c>
      <c r="T2447" t="s">
        <v>4396</v>
      </c>
      <c r="U2447">
        <v>618.92600000000004</v>
      </c>
      <c r="V2447" s="3">
        <v>41933</v>
      </c>
    </row>
    <row r="2448" spans="1:22" x14ac:dyDescent="0.35">
      <c r="A2448" s="1">
        <v>42343.763668981483</v>
      </c>
      <c r="B2448" s="2">
        <v>1.1574074074074073E-5</v>
      </c>
      <c r="C2448" t="s">
        <v>4393</v>
      </c>
      <c r="D2448" t="s">
        <v>23</v>
      </c>
      <c r="E2448" t="s">
        <v>24</v>
      </c>
      <c r="F2448" t="s">
        <v>4394</v>
      </c>
      <c r="G2448">
        <v>1760709</v>
      </c>
      <c r="H2448" t="s">
        <v>91</v>
      </c>
      <c r="I2448" t="s">
        <v>247</v>
      </c>
      <c r="J2448" t="str">
        <f>"9781462516360"</f>
        <v>9781462516360</v>
      </c>
      <c r="K2448" t="s">
        <v>33</v>
      </c>
      <c r="L2448">
        <v>3</v>
      </c>
      <c r="O2448" t="s">
        <v>30</v>
      </c>
      <c r="P2448" t="s">
        <v>47</v>
      </c>
      <c r="Q2448" s="1">
        <v>42343.763668981483</v>
      </c>
      <c r="R2448">
        <v>1</v>
      </c>
      <c r="S2448" t="s">
        <v>31</v>
      </c>
      <c r="T2448" t="s">
        <v>4396</v>
      </c>
      <c r="U2448">
        <v>618.92600000000004</v>
      </c>
      <c r="V2448" s="3">
        <v>41933</v>
      </c>
    </row>
    <row r="2449" spans="1:22" x14ac:dyDescent="0.35">
      <c r="A2449" s="1">
        <v>42343.758240740739</v>
      </c>
      <c r="B2449" s="2">
        <v>5.4282407407407404E-3</v>
      </c>
      <c r="C2449" t="s">
        <v>4393</v>
      </c>
      <c r="D2449" t="s">
        <v>23</v>
      </c>
      <c r="E2449" t="s">
        <v>24</v>
      </c>
      <c r="F2449" t="s">
        <v>4394</v>
      </c>
      <c r="G2449">
        <v>1760709</v>
      </c>
      <c r="H2449" t="s">
        <v>91</v>
      </c>
      <c r="I2449" t="s">
        <v>247</v>
      </c>
      <c r="J2449" t="str">
        <f>"9781462516360"</f>
        <v>9781462516360</v>
      </c>
      <c r="K2449" t="s">
        <v>4397</v>
      </c>
      <c r="L2449">
        <v>11</v>
      </c>
      <c r="O2449" t="s">
        <v>30</v>
      </c>
      <c r="P2449" t="s">
        <v>50</v>
      </c>
      <c r="S2449" t="s">
        <v>31</v>
      </c>
      <c r="T2449" t="s">
        <v>4396</v>
      </c>
      <c r="U2449">
        <v>618.92600000000004</v>
      </c>
      <c r="V2449" s="3">
        <v>41933</v>
      </c>
    </row>
    <row r="2450" spans="1:22" x14ac:dyDescent="0.35">
      <c r="A2450" s="1">
        <v>42343.74554398148</v>
      </c>
      <c r="B2450" s="2">
        <v>2.199074074074074E-4</v>
      </c>
      <c r="C2450" t="s">
        <v>4398</v>
      </c>
      <c r="D2450" t="s">
        <v>35</v>
      </c>
      <c r="E2450" t="s">
        <v>36</v>
      </c>
      <c r="F2450" t="s">
        <v>4399</v>
      </c>
      <c r="G2450">
        <v>1977975</v>
      </c>
      <c r="H2450" t="s">
        <v>526</v>
      </c>
      <c r="I2450" t="s">
        <v>4400</v>
      </c>
      <c r="J2450" t="str">
        <f>"9780226228693"</f>
        <v>9780226228693</v>
      </c>
      <c r="K2450" t="s">
        <v>4401</v>
      </c>
      <c r="L2450">
        <v>12</v>
      </c>
      <c r="O2450" t="s">
        <v>30</v>
      </c>
      <c r="P2450" t="s">
        <v>50</v>
      </c>
      <c r="S2450" t="s">
        <v>40</v>
      </c>
      <c r="T2450" t="s">
        <v>4402</v>
      </c>
      <c r="U2450" t="s">
        <v>4403</v>
      </c>
      <c r="V2450" s="3">
        <v>41983</v>
      </c>
    </row>
    <row r="2451" spans="1:22" x14ac:dyDescent="0.35">
      <c r="A2451" s="1">
        <v>42343.740960648145</v>
      </c>
      <c r="B2451" s="2">
        <v>1.6284722222222221E-2</v>
      </c>
      <c r="C2451" t="s">
        <v>4404</v>
      </c>
      <c r="D2451" t="s">
        <v>158</v>
      </c>
      <c r="E2451" t="s">
        <v>159</v>
      </c>
      <c r="F2451" t="s">
        <v>4405</v>
      </c>
      <c r="G2451">
        <v>1187185</v>
      </c>
      <c r="H2451" t="s">
        <v>26</v>
      </c>
      <c r="I2451" t="s">
        <v>4406</v>
      </c>
      <c r="J2451" t="str">
        <f>"9781118748183"</f>
        <v>9781118748183</v>
      </c>
      <c r="K2451" t="s">
        <v>4407</v>
      </c>
      <c r="L2451">
        <v>75</v>
      </c>
      <c r="O2451" t="s">
        <v>30</v>
      </c>
      <c r="P2451" t="s">
        <v>29</v>
      </c>
      <c r="Q2451" s="1">
        <v>42343.740960648145</v>
      </c>
      <c r="R2451">
        <v>7</v>
      </c>
      <c r="S2451" t="s">
        <v>163</v>
      </c>
      <c r="T2451" t="s">
        <v>4408</v>
      </c>
      <c r="U2451">
        <v>622.33799999999997</v>
      </c>
      <c r="V2451" s="3">
        <v>41400</v>
      </c>
    </row>
    <row r="2452" spans="1:22" x14ac:dyDescent="0.35">
      <c r="A2452" s="1">
        <v>42343.733923611115</v>
      </c>
      <c r="B2452" s="2">
        <v>7.037037037037037E-3</v>
      </c>
      <c r="C2452" t="s">
        <v>4404</v>
      </c>
      <c r="D2452" t="s">
        <v>158</v>
      </c>
      <c r="E2452" t="s">
        <v>159</v>
      </c>
      <c r="F2452" t="s">
        <v>4405</v>
      </c>
      <c r="G2452">
        <v>1187185</v>
      </c>
      <c r="H2452" t="s">
        <v>26</v>
      </c>
      <c r="I2452" t="s">
        <v>4406</v>
      </c>
      <c r="J2452" t="str">
        <f>"9781118748183"</f>
        <v>9781118748183</v>
      </c>
      <c r="K2452" t="s">
        <v>4409</v>
      </c>
      <c r="L2452">
        <v>54</v>
      </c>
      <c r="O2452" t="s">
        <v>30</v>
      </c>
      <c r="P2452" t="s">
        <v>42</v>
      </c>
      <c r="S2452" t="s">
        <v>163</v>
      </c>
      <c r="T2452" t="s">
        <v>4408</v>
      </c>
      <c r="U2452">
        <v>622.33799999999997</v>
      </c>
      <c r="V2452" s="3">
        <v>41400</v>
      </c>
    </row>
    <row r="2453" spans="1:22" x14ac:dyDescent="0.35">
      <c r="A2453" s="1">
        <v>42343.42359953704</v>
      </c>
      <c r="B2453" s="2">
        <v>9.1435185185185185E-4</v>
      </c>
      <c r="C2453" t="s">
        <v>4410</v>
      </c>
      <c r="D2453" t="s">
        <v>23</v>
      </c>
      <c r="E2453" t="s">
        <v>24</v>
      </c>
      <c r="F2453" t="s">
        <v>4411</v>
      </c>
      <c r="G2453">
        <v>1808795</v>
      </c>
      <c r="H2453" t="s">
        <v>45</v>
      </c>
      <c r="I2453" t="s">
        <v>200</v>
      </c>
      <c r="J2453" t="str">
        <f>"9781472447951"</f>
        <v>9781472447951</v>
      </c>
      <c r="K2453" t="s">
        <v>4412</v>
      </c>
      <c r="L2453">
        <v>13</v>
      </c>
      <c r="O2453" t="s">
        <v>30</v>
      </c>
      <c r="P2453" t="s">
        <v>29</v>
      </c>
      <c r="Q2453" s="1">
        <v>42340.394525462965</v>
      </c>
      <c r="R2453">
        <v>7</v>
      </c>
      <c r="S2453" t="s">
        <v>31</v>
      </c>
      <c r="T2453" t="s">
        <v>4413</v>
      </c>
      <c r="U2453" t="s">
        <v>4414</v>
      </c>
      <c r="V2453" s="3">
        <v>41971</v>
      </c>
    </row>
    <row r="2454" spans="1:22" x14ac:dyDescent="0.35">
      <c r="A2454" s="1">
        <v>42343.408229166664</v>
      </c>
      <c r="B2454" s="2">
        <v>5.4409722222222227E-2</v>
      </c>
      <c r="C2454" t="s">
        <v>4324</v>
      </c>
      <c r="D2454" t="s">
        <v>335</v>
      </c>
      <c r="E2454" t="s">
        <v>336</v>
      </c>
      <c r="F2454" t="s">
        <v>4325</v>
      </c>
      <c r="G2454">
        <v>1569869</v>
      </c>
      <c r="H2454" t="s">
        <v>68</v>
      </c>
      <c r="I2454" t="s">
        <v>219</v>
      </c>
      <c r="J2454" t="str">
        <f>"9781317799108"</f>
        <v>9781317799108</v>
      </c>
      <c r="K2454" t="s">
        <v>4415</v>
      </c>
      <c r="L2454">
        <v>14</v>
      </c>
      <c r="O2454" t="s">
        <v>30</v>
      </c>
      <c r="P2454" t="s">
        <v>47</v>
      </c>
      <c r="Q2454" s="1">
        <v>42343.408229166664</v>
      </c>
      <c r="R2454">
        <v>1</v>
      </c>
      <c r="S2454" t="s">
        <v>340</v>
      </c>
      <c r="T2454" t="s">
        <v>4327</v>
      </c>
      <c r="U2454">
        <v>154.63</v>
      </c>
      <c r="V2454" s="3">
        <v>41604</v>
      </c>
    </row>
    <row r="2455" spans="1:22" x14ac:dyDescent="0.35">
      <c r="A2455" s="1">
        <v>42343.404756944445</v>
      </c>
      <c r="B2455" s="2">
        <v>3.472222222222222E-3</v>
      </c>
      <c r="C2455" t="s">
        <v>4324</v>
      </c>
      <c r="D2455" t="s">
        <v>335</v>
      </c>
      <c r="E2455" t="s">
        <v>336</v>
      </c>
      <c r="F2455" t="s">
        <v>4325</v>
      </c>
      <c r="G2455">
        <v>1569869</v>
      </c>
      <c r="H2455" t="s">
        <v>68</v>
      </c>
      <c r="I2455" t="s">
        <v>219</v>
      </c>
      <c r="J2455" t="str">
        <f>"9781317799108"</f>
        <v>9781317799108</v>
      </c>
      <c r="K2455" t="s">
        <v>4416</v>
      </c>
      <c r="L2455">
        <v>20</v>
      </c>
      <c r="O2455" t="s">
        <v>30</v>
      </c>
      <c r="P2455" t="s">
        <v>50</v>
      </c>
      <c r="S2455" t="s">
        <v>340</v>
      </c>
      <c r="T2455" t="s">
        <v>4327</v>
      </c>
      <c r="U2455">
        <v>154.63</v>
      </c>
      <c r="V2455" s="3">
        <v>41604</v>
      </c>
    </row>
    <row r="2456" spans="1:22" x14ac:dyDescent="0.35">
      <c r="A2456" s="1">
        <v>42343.26295138889</v>
      </c>
      <c r="B2456" s="2">
        <v>0.1275</v>
      </c>
      <c r="C2456" t="s">
        <v>4324</v>
      </c>
      <c r="D2456" t="s">
        <v>335</v>
      </c>
      <c r="E2456" t="s">
        <v>336</v>
      </c>
      <c r="F2456" t="s">
        <v>4329</v>
      </c>
      <c r="G2456">
        <v>3061306</v>
      </c>
      <c r="H2456" t="s">
        <v>68</v>
      </c>
      <c r="I2456" t="s">
        <v>219</v>
      </c>
      <c r="J2456" t="str">
        <f>"9780203713877"</f>
        <v>9780203713877</v>
      </c>
      <c r="K2456" t="s">
        <v>4417</v>
      </c>
      <c r="L2456">
        <v>20</v>
      </c>
      <c r="O2456" t="s">
        <v>30</v>
      </c>
      <c r="P2456" t="s">
        <v>47</v>
      </c>
      <c r="Q2456" s="1">
        <v>42343.26295138889</v>
      </c>
      <c r="R2456">
        <v>1</v>
      </c>
      <c r="S2456" t="s">
        <v>340</v>
      </c>
      <c r="T2456" t="s">
        <v>4331</v>
      </c>
      <c r="U2456" t="s">
        <v>4332</v>
      </c>
      <c r="V2456" s="3">
        <v>41548</v>
      </c>
    </row>
    <row r="2457" spans="1:22" x14ac:dyDescent="0.35">
      <c r="A2457" s="1">
        <v>42343.240347222221</v>
      </c>
      <c r="B2457" s="2">
        <v>4.2824074074074075E-4</v>
      </c>
      <c r="C2457" t="s">
        <v>4418</v>
      </c>
      <c r="D2457" t="s">
        <v>35</v>
      </c>
      <c r="E2457" t="s">
        <v>36</v>
      </c>
      <c r="F2457" t="s">
        <v>4419</v>
      </c>
      <c r="G2457">
        <v>1602056</v>
      </c>
      <c r="H2457" t="s">
        <v>68</v>
      </c>
      <c r="I2457" t="s">
        <v>4420</v>
      </c>
      <c r="J2457" t="str">
        <f>"9781317862840"</f>
        <v>9781317862840</v>
      </c>
      <c r="K2457" t="s">
        <v>4421</v>
      </c>
      <c r="L2457">
        <v>2</v>
      </c>
      <c r="O2457" t="s">
        <v>30</v>
      </c>
      <c r="P2457" t="s">
        <v>47</v>
      </c>
      <c r="Q2457" s="1">
        <v>42343.240347222221</v>
      </c>
      <c r="R2457">
        <v>1</v>
      </c>
      <c r="S2457" t="s">
        <v>40</v>
      </c>
      <c r="T2457" t="s">
        <v>4422</v>
      </c>
      <c r="U2457">
        <v>401.93</v>
      </c>
      <c r="V2457" s="3">
        <v>41582</v>
      </c>
    </row>
    <row r="2458" spans="1:22" x14ac:dyDescent="0.35">
      <c r="A2458" s="1">
        <v>42343.236377314817</v>
      </c>
      <c r="B2458" s="2">
        <v>3.9699074074074072E-3</v>
      </c>
      <c r="C2458" t="s">
        <v>4418</v>
      </c>
      <c r="D2458" t="s">
        <v>35</v>
      </c>
      <c r="E2458" t="s">
        <v>36</v>
      </c>
      <c r="F2458" t="s">
        <v>4419</v>
      </c>
      <c r="G2458">
        <v>1602056</v>
      </c>
      <c r="H2458" t="s">
        <v>68</v>
      </c>
      <c r="I2458" t="s">
        <v>4420</v>
      </c>
      <c r="J2458" t="str">
        <f>"9781317862840"</f>
        <v>9781317862840</v>
      </c>
      <c r="K2458" t="s">
        <v>4423</v>
      </c>
      <c r="L2458">
        <v>16</v>
      </c>
      <c r="O2458" t="s">
        <v>30</v>
      </c>
      <c r="P2458" t="s">
        <v>50</v>
      </c>
      <c r="S2458" t="s">
        <v>40</v>
      </c>
      <c r="T2458" t="s">
        <v>4422</v>
      </c>
      <c r="U2458">
        <v>401.93</v>
      </c>
      <c r="V2458" s="3">
        <v>41582</v>
      </c>
    </row>
    <row r="2459" spans="1:22" x14ac:dyDescent="0.35">
      <c r="A2459" s="1">
        <v>42343.200810185182</v>
      </c>
      <c r="B2459" s="2">
        <v>6.2500000000000001E-4</v>
      </c>
      <c r="C2459" t="s">
        <v>4324</v>
      </c>
      <c r="D2459" t="s">
        <v>335</v>
      </c>
      <c r="E2459" t="s">
        <v>336</v>
      </c>
      <c r="F2459" t="s">
        <v>4325</v>
      </c>
      <c r="G2459">
        <v>1569869</v>
      </c>
      <c r="H2459" t="s">
        <v>68</v>
      </c>
      <c r="I2459" t="s">
        <v>219</v>
      </c>
      <c r="J2459" t="str">
        <f>"9781317799108"</f>
        <v>9781317799108</v>
      </c>
      <c r="K2459" t="s">
        <v>4424</v>
      </c>
      <c r="L2459">
        <v>14</v>
      </c>
      <c r="O2459" t="s">
        <v>30</v>
      </c>
      <c r="P2459" t="s">
        <v>50</v>
      </c>
      <c r="S2459" t="s">
        <v>340</v>
      </c>
      <c r="T2459" t="s">
        <v>4327</v>
      </c>
      <c r="U2459">
        <v>154.63</v>
      </c>
      <c r="V2459" s="3">
        <v>41604</v>
      </c>
    </row>
    <row r="2460" spans="1:22" x14ac:dyDescent="0.35">
      <c r="A2460" s="1">
        <v>42343.200671296298</v>
      </c>
      <c r="B2460" s="2">
        <v>6.2280092592592595E-2</v>
      </c>
      <c r="C2460" t="s">
        <v>4324</v>
      </c>
      <c r="D2460" t="s">
        <v>335</v>
      </c>
      <c r="E2460" t="s">
        <v>336</v>
      </c>
      <c r="F2460" t="s">
        <v>4329</v>
      </c>
      <c r="G2460">
        <v>3061306</v>
      </c>
      <c r="H2460" t="s">
        <v>68</v>
      </c>
      <c r="I2460" t="s">
        <v>219</v>
      </c>
      <c r="J2460" t="str">
        <f>"9780203713877"</f>
        <v>9780203713877</v>
      </c>
      <c r="K2460" t="s">
        <v>4425</v>
      </c>
      <c r="L2460">
        <v>19</v>
      </c>
      <c r="O2460" t="s">
        <v>30</v>
      </c>
      <c r="P2460" t="s">
        <v>47</v>
      </c>
      <c r="Q2460" s="1">
        <v>42342.238611111112</v>
      </c>
      <c r="R2460">
        <v>1</v>
      </c>
      <c r="S2460" t="s">
        <v>340</v>
      </c>
      <c r="T2460" t="s">
        <v>4331</v>
      </c>
      <c r="U2460" t="s">
        <v>4332</v>
      </c>
      <c r="V2460" s="3">
        <v>41548</v>
      </c>
    </row>
    <row r="2461" spans="1:22" x14ac:dyDescent="0.35">
      <c r="A2461" s="1">
        <v>42343.154942129629</v>
      </c>
      <c r="B2461" s="2">
        <v>8.7962962962962962E-4</v>
      </c>
      <c r="C2461" t="s">
        <v>4426</v>
      </c>
      <c r="D2461" t="s">
        <v>360</v>
      </c>
      <c r="E2461" t="s">
        <v>361</v>
      </c>
      <c r="F2461" t="s">
        <v>3732</v>
      </c>
      <c r="G2461">
        <v>284109</v>
      </c>
      <c r="H2461" t="s">
        <v>26</v>
      </c>
      <c r="I2461" t="s">
        <v>338</v>
      </c>
      <c r="J2461" t="str">
        <f>"9781405173469"</f>
        <v>9781405173469</v>
      </c>
      <c r="K2461" t="s">
        <v>4427</v>
      </c>
      <c r="L2461">
        <v>11</v>
      </c>
      <c r="O2461" t="s">
        <v>30</v>
      </c>
      <c r="P2461" t="s">
        <v>50</v>
      </c>
      <c r="S2461" t="s">
        <v>363</v>
      </c>
      <c r="T2461" t="s">
        <v>3734</v>
      </c>
      <c r="U2461" t="s">
        <v>3735</v>
      </c>
      <c r="V2461" s="3">
        <v>41409</v>
      </c>
    </row>
    <row r="2462" spans="1:22" x14ac:dyDescent="0.35">
      <c r="A2462" s="1">
        <v>42343.133229166669</v>
      </c>
      <c r="B2462" s="2">
        <v>2.0243055555555552E-2</v>
      </c>
      <c r="C2462" t="s">
        <v>4426</v>
      </c>
      <c r="D2462" t="s">
        <v>360</v>
      </c>
      <c r="E2462" t="s">
        <v>361</v>
      </c>
      <c r="F2462" t="s">
        <v>3736</v>
      </c>
      <c r="G2462">
        <v>1938274</v>
      </c>
      <c r="H2462" t="s">
        <v>26</v>
      </c>
      <c r="I2462" t="s">
        <v>338</v>
      </c>
      <c r="J2462" t="str">
        <f>"9781119098201"</f>
        <v>9781119098201</v>
      </c>
      <c r="K2462" t="s">
        <v>4428</v>
      </c>
      <c r="L2462">
        <v>8</v>
      </c>
      <c r="O2462" t="s">
        <v>30</v>
      </c>
      <c r="P2462" t="s">
        <v>29</v>
      </c>
      <c r="Q2462" s="1">
        <v>42343.133229166669</v>
      </c>
      <c r="R2462">
        <v>7</v>
      </c>
      <c r="S2462" t="s">
        <v>363</v>
      </c>
      <c r="T2462" t="s">
        <v>3738</v>
      </c>
      <c r="U2462" t="s">
        <v>3739</v>
      </c>
      <c r="V2462" s="3">
        <v>42033</v>
      </c>
    </row>
    <row r="2463" spans="1:22" x14ac:dyDescent="0.35">
      <c r="A2463" s="1">
        <v>42343.126273148147</v>
      </c>
      <c r="B2463" s="2">
        <v>6.9560185185185185E-3</v>
      </c>
      <c r="C2463" t="s">
        <v>4426</v>
      </c>
      <c r="D2463" t="s">
        <v>360</v>
      </c>
      <c r="E2463" t="s">
        <v>361</v>
      </c>
      <c r="F2463" t="s">
        <v>3736</v>
      </c>
      <c r="G2463">
        <v>1938274</v>
      </c>
      <c r="H2463" t="s">
        <v>26</v>
      </c>
      <c r="I2463" t="s">
        <v>338</v>
      </c>
      <c r="J2463" t="str">
        <f>"9781119098201"</f>
        <v>9781119098201</v>
      </c>
      <c r="K2463" t="s">
        <v>4429</v>
      </c>
      <c r="L2463">
        <v>30</v>
      </c>
      <c r="O2463" t="s">
        <v>30</v>
      </c>
      <c r="P2463" t="s">
        <v>42</v>
      </c>
      <c r="S2463" t="s">
        <v>363</v>
      </c>
      <c r="T2463" t="s">
        <v>3738</v>
      </c>
      <c r="U2463" t="s">
        <v>3739</v>
      </c>
      <c r="V2463" s="3">
        <v>42033</v>
      </c>
    </row>
    <row r="2464" spans="1:22" x14ac:dyDescent="0.35">
      <c r="A2464" s="1">
        <v>42343.110775462963</v>
      </c>
      <c r="B2464" s="2">
        <v>1.7013888888888892E-3</v>
      </c>
      <c r="C2464" t="s">
        <v>4430</v>
      </c>
      <c r="D2464" t="s">
        <v>261</v>
      </c>
      <c r="E2464" t="s">
        <v>262</v>
      </c>
      <c r="F2464" t="s">
        <v>1547</v>
      </c>
      <c r="G2464">
        <v>848510</v>
      </c>
      <c r="H2464" t="s">
        <v>26</v>
      </c>
      <c r="I2464" t="s">
        <v>247</v>
      </c>
      <c r="J2464" t="str">
        <f>"9781118220481"</f>
        <v>9781118220481</v>
      </c>
      <c r="K2464" t="s">
        <v>2663</v>
      </c>
      <c r="L2464">
        <v>15</v>
      </c>
      <c r="O2464" t="s">
        <v>30</v>
      </c>
      <c r="P2464" t="s">
        <v>42</v>
      </c>
      <c r="S2464" t="s">
        <v>264</v>
      </c>
      <c r="T2464" t="s">
        <v>1548</v>
      </c>
      <c r="U2464" t="s">
        <v>1549</v>
      </c>
      <c r="V2464" s="3">
        <v>41066</v>
      </c>
    </row>
    <row r="2465" spans="1:22" x14ac:dyDescent="0.35">
      <c r="A2465" s="1">
        <v>42343.09648148148</v>
      </c>
      <c r="B2465" s="2">
        <v>5.6284722222222222E-2</v>
      </c>
      <c r="C2465" t="s">
        <v>4004</v>
      </c>
      <c r="D2465" t="s">
        <v>35</v>
      </c>
      <c r="E2465" t="s">
        <v>36</v>
      </c>
      <c r="F2465" t="s">
        <v>1886</v>
      </c>
      <c r="G2465">
        <v>1692797</v>
      </c>
      <c r="H2465" t="s">
        <v>45</v>
      </c>
      <c r="I2465" t="s">
        <v>310</v>
      </c>
      <c r="J2465" t="str">
        <f>"9781472431509"</f>
        <v>9781472431509</v>
      </c>
      <c r="K2465" t="s">
        <v>4431</v>
      </c>
      <c r="L2465">
        <v>19</v>
      </c>
      <c r="O2465" t="s">
        <v>30</v>
      </c>
      <c r="P2465" t="s">
        <v>29</v>
      </c>
      <c r="Q2465" s="1">
        <v>42341.761331018519</v>
      </c>
      <c r="R2465">
        <v>7</v>
      </c>
      <c r="S2465" t="s">
        <v>40</v>
      </c>
      <c r="T2465" t="s">
        <v>1890</v>
      </c>
      <c r="U2465" t="s">
        <v>1891</v>
      </c>
      <c r="V2465" s="3">
        <v>41848</v>
      </c>
    </row>
    <row r="2466" spans="1:22" x14ac:dyDescent="0.35">
      <c r="A2466" s="1">
        <v>42343.067557870374</v>
      </c>
      <c r="B2466" s="2">
        <v>4.9768518518518521E-4</v>
      </c>
      <c r="C2466" t="s">
        <v>4375</v>
      </c>
      <c r="D2466" t="s">
        <v>335</v>
      </c>
      <c r="E2466" t="s">
        <v>336</v>
      </c>
      <c r="F2466" t="s">
        <v>4376</v>
      </c>
      <c r="G2466">
        <v>918742</v>
      </c>
      <c r="H2466" t="s">
        <v>1365</v>
      </c>
      <c r="I2466" t="s">
        <v>120</v>
      </c>
      <c r="J2466" t="str">
        <f>"9781441130525"</f>
        <v>9781441130525</v>
      </c>
      <c r="K2466" t="s">
        <v>4432</v>
      </c>
      <c r="L2466">
        <v>11</v>
      </c>
      <c r="O2466" t="s">
        <v>30</v>
      </c>
      <c r="P2466" t="s">
        <v>42</v>
      </c>
      <c r="S2466" t="s">
        <v>340</v>
      </c>
      <c r="T2466" t="s">
        <v>4378</v>
      </c>
      <c r="U2466">
        <v>363.33097299999997</v>
      </c>
      <c r="V2466" s="3">
        <v>41061</v>
      </c>
    </row>
    <row r="2467" spans="1:22" x14ac:dyDescent="0.35">
      <c r="A2467" s="1">
        <v>42343.057997685188</v>
      </c>
      <c r="B2467" s="2">
        <v>7.5659722222222225E-2</v>
      </c>
      <c r="C2467" t="s">
        <v>106</v>
      </c>
      <c r="D2467" t="s">
        <v>23</v>
      </c>
      <c r="E2467" t="s">
        <v>24</v>
      </c>
      <c r="F2467" t="s">
        <v>78</v>
      </c>
      <c r="G2467">
        <v>1635363</v>
      </c>
      <c r="H2467" t="s">
        <v>26</v>
      </c>
      <c r="I2467" t="s">
        <v>79</v>
      </c>
      <c r="J2467" t="str">
        <f>"9781118678206"</f>
        <v>9781118678206</v>
      </c>
      <c r="K2467" t="s">
        <v>4433</v>
      </c>
      <c r="L2467">
        <v>33</v>
      </c>
      <c r="O2467" t="s">
        <v>30</v>
      </c>
      <c r="P2467" t="s">
        <v>29</v>
      </c>
      <c r="Q2467" s="1">
        <v>42337.939270833333</v>
      </c>
      <c r="R2467">
        <v>7</v>
      </c>
      <c r="S2467" t="s">
        <v>31</v>
      </c>
      <c r="T2467" t="s">
        <v>81</v>
      </c>
      <c r="U2467">
        <v>340.07600000000002</v>
      </c>
      <c r="V2467" s="3">
        <v>41684</v>
      </c>
    </row>
    <row r="2468" spans="1:22" x14ac:dyDescent="0.35">
      <c r="A2468" s="1">
        <v>42343.04414351852</v>
      </c>
      <c r="B2468" s="2">
        <v>1.5509259259259261E-3</v>
      </c>
      <c r="C2468" t="s">
        <v>4434</v>
      </c>
      <c r="D2468" t="s">
        <v>211</v>
      </c>
      <c r="E2468" t="s">
        <v>212</v>
      </c>
      <c r="F2468" t="s">
        <v>4435</v>
      </c>
      <c r="G2468">
        <v>1770683</v>
      </c>
      <c r="H2468" t="s">
        <v>26</v>
      </c>
      <c r="I2468" t="s">
        <v>172</v>
      </c>
      <c r="J2468" t="str">
        <f>"9781118631768"</f>
        <v>9781118631768</v>
      </c>
      <c r="K2468" t="s">
        <v>4436</v>
      </c>
      <c r="L2468">
        <v>28</v>
      </c>
      <c r="O2468" t="s">
        <v>30</v>
      </c>
      <c r="P2468" t="s">
        <v>47</v>
      </c>
      <c r="Q2468" s="1">
        <v>42342.996655092589</v>
      </c>
      <c r="R2468">
        <v>1</v>
      </c>
      <c r="S2468" t="s">
        <v>214</v>
      </c>
      <c r="T2468" t="s">
        <v>4437</v>
      </c>
      <c r="U2468">
        <v>949.5</v>
      </c>
      <c r="V2468" s="3">
        <v>41870</v>
      </c>
    </row>
    <row r="2469" spans="1:22" x14ac:dyDescent="0.35">
      <c r="A2469" s="1">
        <v>42343.035069444442</v>
      </c>
      <c r="B2469" s="2">
        <v>2.3148148148148147E-5</v>
      </c>
      <c r="C2469" t="s">
        <v>3192</v>
      </c>
      <c r="D2469" t="s">
        <v>23</v>
      </c>
      <c r="E2469" t="s">
        <v>24</v>
      </c>
      <c r="F2469" t="s">
        <v>3193</v>
      </c>
      <c r="G2469">
        <v>1821088</v>
      </c>
      <c r="H2469" t="s">
        <v>91</v>
      </c>
      <c r="I2469" t="s">
        <v>247</v>
      </c>
      <c r="J2469" t="str">
        <f>"9781462519811"</f>
        <v>9781462519811</v>
      </c>
      <c r="K2469" t="s">
        <v>4438</v>
      </c>
      <c r="L2469">
        <v>5</v>
      </c>
      <c r="O2469" t="s">
        <v>30</v>
      </c>
      <c r="P2469" t="s">
        <v>47</v>
      </c>
      <c r="Q2469" s="1">
        <v>42343.035057870373</v>
      </c>
      <c r="R2469">
        <v>1</v>
      </c>
      <c r="S2469" t="s">
        <v>31</v>
      </c>
      <c r="T2469" t="s">
        <v>3195</v>
      </c>
      <c r="U2469">
        <v>618.9289</v>
      </c>
      <c r="V2469" s="3">
        <v>42143</v>
      </c>
    </row>
    <row r="2470" spans="1:22" x14ac:dyDescent="0.35">
      <c r="A2470" s="1">
        <v>42343.034641203703</v>
      </c>
      <c r="B2470" s="2">
        <v>4.1666666666666669E-4</v>
      </c>
      <c r="C2470" t="s">
        <v>3192</v>
      </c>
      <c r="D2470" t="s">
        <v>23</v>
      </c>
      <c r="E2470" t="s">
        <v>24</v>
      </c>
      <c r="F2470" t="s">
        <v>3193</v>
      </c>
      <c r="G2470">
        <v>1821088</v>
      </c>
      <c r="H2470" t="s">
        <v>91</v>
      </c>
      <c r="I2470" t="s">
        <v>247</v>
      </c>
      <c r="J2470" t="str">
        <f>"9781462519811"</f>
        <v>9781462519811</v>
      </c>
      <c r="K2470" t="s">
        <v>33</v>
      </c>
      <c r="L2470">
        <v>3</v>
      </c>
      <c r="O2470" t="s">
        <v>30</v>
      </c>
      <c r="P2470" t="s">
        <v>50</v>
      </c>
      <c r="S2470" t="s">
        <v>31</v>
      </c>
      <c r="T2470" t="s">
        <v>3195</v>
      </c>
      <c r="U2470">
        <v>618.9289</v>
      </c>
      <c r="V2470" s="3">
        <v>42143</v>
      </c>
    </row>
    <row r="2471" spans="1:22" x14ac:dyDescent="0.35">
      <c r="A2471" s="1">
        <v>42342.996655092589</v>
      </c>
      <c r="B2471" s="2">
        <v>2.4305555555555552E-4</v>
      </c>
      <c r="C2471" t="s">
        <v>4434</v>
      </c>
      <c r="D2471" t="s">
        <v>211</v>
      </c>
      <c r="E2471" t="s">
        <v>212</v>
      </c>
      <c r="F2471" t="s">
        <v>4435</v>
      </c>
      <c r="G2471">
        <v>1770683</v>
      </c>
      <c r="H2471" t="s">
        <v>26</v>
      </c>
      <c r="I2471" t="s">
        <v>172</v>
      </c>
      <c r="J2471" t="str">
        <f>"9781118631768"</f>
        <v>9781118631768</v>
      </c>
      <c r="K2471" t="s">
        <v>4439</v>
      </c>
      <c r="L2471">
        <v>5</v>
      </c>
      <c r="O2471" t="s">
        <v>30</v>
      </c>
      <c r="P2471" t="s">
        <v>47</v>
      </c>
      <c r="Q2471" s="1">
        <v>42342.996655092589</v>
      </c>
      <c r="R2471">
        <v>1</v>
      </c>
      <c r="S2471" t="s">
        <v>214</v>
      </c>
      <c r="T2471" t="s">
        <v>4437</v>
      </c>
      <c r="U2471">
        <v>949.5</v>
      </c>
      <c r="V2471" s="3">
        <v>41870</v>
      </c>
    </row>
    <row r="2472" spans="1:22" x14ac:dyDescent="0.35">
      <c r="A2472" s="1">
        <v>42342.994872685187</v>
      </c>
      <c r="B2472" s="2">
        <v>1.7824074074074072E-3</v>
      </c>
      <c r="C2472" t="s">
        <v>4434</v>
      </c>
      <c r="D2472" t="s">
        <v>211</v>
      </c>
      <c r="E2472" t="s">
        <v>212</v>
      </c>
      <c r="F2472" t="s">
        <v>4435</v>
      </c>
      <c r="G2472">
        <v>1770683</v>
      </c>
      <c r="H2472" t="s">
        <v>26</v>
      </c>
      <c r="I2472" t="s">
        <v>172</v>
      </c>
      <c r="J2472" t="str">
        <f>"9781118631768"</f>
        <v>9781118631768</v>
      </c>
      <c r="K2472" t="s">
        <v>4440</v>
      </c>
      <c r="L2472">
        <v>25</v>
      </c>
      <c r="O2472" t="s">
        <v>30</v>
      </c>
      <c r="P2472" t="s">
        <v>50</v>
      </c>
      <c r="S2472" t="s">
        <v>214</v>
      </c>
      <c r="T2472" t="s">
        <v>4437</v>
      </c>
      <c r="U2472">
        <v>949.5</v>
      </c>
      <c r="V2472" s="3">
        <v>41870</v>
      </c>
    </row>
    <row r="2473" spans="1:22" x14ac:dyDescent="0.35">
      <c r="A2473" s="1">
        <v>42342.993032407408</v>
      </c>
      <c r="B2473" s="2">
        <v>1.7013888888888892E-3</v>
      </c>
      <c r="C2473" t="s">
        <v>4434</v>
      </c>
      <c r="D2473" t="s">
        <v>211</v>
      </c>
      <c r="E2473" t="s">
        <v>212</v>
      </c>
      <c r="F2473" t="s">
        <v>4435</v>
      </c>
      <c r="G2473">
        <v>1770683</v>
      </c>
      <c r="H2473" t="s">
        <v>26</v>
      </c>
      <c r="I2473" t="s">
        <v>172</v>
      </c>
      <c r="J2473" t="str">
        <f>"9781118631768"</f>
        <v>9781118631768</v>
      </c>
      <c r="K2473" t="s">
        <v>4441</v>
      </c>
      <c r="L2473">
        <v>9</v>
      </c>
      <c r="O2473" t="s">
        <v>30</v>
      </c>
      <c r="P2473" t="s">
        <v>50</v>
      </c>
      <c r="S2473" t="s">
        <v>214</v>
      </c>
      <c r="T2473" t="s">
        <v>4437</v>
      </c>
      <c r="U2473">
        <v>949.5</v>
      </c>
      <c r="V2473" s="3">
        <v>41870</v>
      </c>
    </row>
    <row r="2474" spans="1:22" x14ac:dyDescent="0.35">
      <c r="A2474" s="1">
        <v>42342.992627314816</v>
      </c>
      <c r="B2474" s="2">
        <v>4.6296296296296294E-5</v>
      </c>
      <c r="C2474" t="s">
        <v>4410</v>
      </c>
      <c r="D2474" t="s">
        <v>23</v>
      </c>
      <c r="E2474" t="s">
        <v>24</v>
      </c>
      <c r="F2474" t="s">
        <v>4411</v>
      </c>
      <c r="G2474">
        <v>1808795</v>
      </c>
      <c r="H2474" t="s">
        <v>45</v>
      </c>
      <c r="I2474" t="s">
        <v>200</v>
      </c>
      <c r="J2474" t="str">
        <f>"9781472447951"</f>
        <v>9781472447951</v>
      </c>
      <c r="K2474" t="s">
        <v>33</v>
      </c>
      <c r="L2474">
        <v>3</v>
      </c>
      <c r="O2474" t="s">
        <v>30</v>
      </c>
      <c r="P2474" t="s">
        <v>29</v>
      </c>
      <c r="Q2474" s="1">
        <v>42340.394525462965</v>
      </c>
      <c r="R2474">
        <v>7</v>
      </c>
      <c r="S2474" t="s">
        <v>31</v>
      </c>
      <c r="T2474" t="s">
        <v>4413</v>
      </c>
      <c r="U2474" t="s">
        <v>4414</v>
      </c>
      <c r="V2474" s="3">
        <v>41971</v>
      </c>
    </row>
    <row r="2475" spans="1:22" x14ac:dyDescent="0.35">
      <c r="A2475" s="1">
        <v>42342.924618055556</v>
      </c>
      <c r="B2475" s="2">
        <v>1.4247685185185184E-2</v>
      </c>
      <c r="C2475" t="s">
        <v>4442</v>
      </c>
      <c r="D2475" t="s">
        <v>23</v>
      </c>
      <c r="E2475" t="s">
        <v>24</v>
      </c>
      <c r="F2475" t="s">
        <v>4443</v>
      </c>
      <c r="G2475">
        <v>1895687</v>
      </c>
      <c r="H2475" t="s">
        <v>26</v>
      </c>
      <c r="I2475" t="s">
        <v>276</v>
      </c>
      <c r="J2475" t="str">
        <f t="shared" ref="J2475:J2481" si="23">"9781118868676"</f>
        <v>9781118868676</v>
      </c>
      <c r="K2475" t="s">
        <v>4444</v>
      </c>
      <c r="L2475">
        <v>8</v>
      </c>
      <c r="M2475" t="s">
        <v>4445</v>
      </c>
      <c r="N2475" t="s">
        <v>4446</v>
      </c>
      <c r="O2475" t="s">
        <v>28</v>
      </c>
      <c r="P2475" t="s">
        <v>29</v>
      </c>
      <c r="Q2475" s="1">
        <v>42342.91946759259</v>
      </c>
      <c r="R2475">
        <v>7</v>
      </c>
      <c r="S2475" t="s">
        <v>31</v>
      </c>
      <c r="T2475" t="s">
        <v>4447</v>
      </c>
      <c r="U2475" t="s">
        <v>4448</v>
      </c>
      <c r="V2475" s="3">
        <v>42054</v>
      </c>
    </row>
    <row r="2476" spans="1:22" x14ac:dyDescent="0.35">
      <c r="A2476" s="1">
        <v>42342.923229166663</v>
      </c>
      <c r="B2476" s="2">
        <v>0</v>
      </c>
      <c r="C2476" t="s">
        <v>4442</v>
      </c>
      <c r="D2476" t="s">
        <v>23</v>
      </c>
      <c r="E2476" t="s">
        <v>24</v>
      </c>
      <c r="F2476" t="s">
        <v>4443</v>
      </c>
      <c r="G2476">
        <v>1895687</v>
      </c>
      <c r="H2476" t="s">
        <v>26</v>
      </c>
      <c r="I2476" t="s">
        <v>276</v>
      </c>
      <c r="J2476" t="str">
        <f t="shared" si="23"/>
        <v>9781118868676</v>
      </c>
      <c r="L2476">
        <v>0</v>
      </c>
      <c r="O2476" t="s">
        <v>28</v>
      </c>
      <c r="P2476" t="s">
        <v>29</v>
      </c>
      <c r="Q2476" s="1">
        <v>42342.91946759259</v>
      </c>
      <c r="R2476">
        <v>7</v>
      </c>
      <c r="S2476" t="s">
        <v>31</v>
      </c>
      <c r="T2476" t="s">
        <v>4447</v>
      </c>
      <c r="U2476" t="s">
        <v>4448</v>
      </c>
      <c r="V2476" s="3">
        <v>42054</v>
      </c>
    </row>
    <row r="2477" spans="1:22" x14ac:dyDescent="0.35">
      <c r="A2477" s="1">
        <v>42342.922789351855</v>
      </c>
      <c r="B2477" s="2">
        <v>3.4722222222222222E-5</v>
      </c>
      <c r="C2477" t="s">
        <v>4442</v>
      </c>
      <c r="D2477" t="s">
        <v>23</v>
      </c>
      <c r="E2477" t="s">
        <v>24</v>
      </c>
      <c r="F2477" t="s">
        <v>4443</v>
      </c>
      <c r="G2477">
        <v>1895687</v>
      </c>
      <c r="H2477" t="s">
        <v>26</v>
      </c>
      <c r="I2477" t="s">
        <v>276</v>
      </c>
      <c r="J2477" t="str">
        <f t="shared" si="23"/>
        <v>9781118868676</v>
      </c>
      <c r="K2477" t="s">
        <v>33</v>
      </c>
      <c r="L2477">
        <v>3</v>
      </c>
      <c r="O2477" t="s">
        <v>30</v>
      </c>
      <c r="P2477" t="s">
        <v>29</v>
      </c>
      <c r="Q2477" s="1">
        <v>42342.91946759259</v>
      </c>
      <c r="R2477">
        <v>7</v>
      </c>
      <c r="S2477" t="s">
        <v>31</v>
      </c>
      <c r="T2477" t="s">
        <v>4447</v>
      </c>
      <c r="U2477" t="s">
        <v>4448</v>
      </c>
      <c r="V2477" s="3">
        <v>42054</v>
      </c>
    </row>
    <row r="2478" spans="1:22" x14ac:dyDescent="0.35">
      <c r="A2478" s="1">
        <v>42342.920717592591</v>
      </c>
      <c r="B2478" s="2">
        <v>1.7754629629629631E-2</v>
      </c>
      <c r="C2478" t="s">
        <v>4442</v>
      </c>
      <c r="D2478" t="s">
        <v>23</v>
      </c>
      <c r="E2478" t="s">
        <v>24</v>
      </c>
      <c r="F2478" t="s">
        <v>4443</v>
      </c>
      <c r="G2478">
        <v>1895687</v>
      </c>
      <c r="H2478" t="s">
        <v>26</v>
      </c>
      <c r="I2478" t="s">
        <v>276</v>
      </c>
      <c r="J2478" t="str">
        <f t="shared" si="23"/>
        <v>9781118868676</v>
      </c>
      <c r="K2478" t="s">
        <v>4449</v>
      </c>
      <c r="L2478">
        <v>10</v>
      </c>
      <c r="M2478" t="s">
        <v>4450</v>
      </c>
      <c r="N2478" t="s">
        <v>4451</v>
      </c>
      <c r="O2478" t="s">
        <v>28</v>
      </c>
      <c r="P2478" t="s">
        <v>29</v>
      </c>
      <c r="Q2478" s="1">
        <v>42342.91946759259</v>
      </c>
      <c r="R2478">
        <v>7</v>
      </c>
      <c r="S2478" t="s">
        <v>31</v>
      </c>
      <c r="T2478" t="s">
        <v>4447</v>
      </c>
      <c r="U2478" t="s">
        <v>4448</v>
      </c>
      <c r="V2478" s="3">
        <v>42054</v>
      </c>
    </row>
    <row r="2479" spans="1:22" x14ac:dyDescent="0.35">
      <c r="A2479" s="1">
        <v>42342.91946759259</v>
      </c>
      <c r="B2479" s="2">
        <v>0</v>
      </c>
      <c r="C2479" t="s">
        <v>4442</v>
      </c>
      <c r="D2479" t="s">
        <v>23</v>
      </c>
      <c r="E2479" t="s">
        <v>24</v>
      </c>
      <c r="F2479" t="s">
        <v>4443</v>
      </c>
      <c r="G2479">
        <v>1895687</v>
      </c>
      <c r="H2479" t="s">
        <v>26</v>
      </c>
      <c r="I2479" t="s">
        <v>276</v>
      </c>
      <c r="J2479" t="str">
        <f t="shared" si="23"/>
        <v>9781118868676</v>
      </c>
      <c r="L2479">
        <v>0</v>
      </c>
      <c r="O2479" t="s">
        <v>28</v>
      </c>
      <c r="P2479" t="s">
        <v>29</v>
      </c>
      <c r="Q2479" s="1">
        <v>42342.91946759259</v>
      </c>
      <c r="R2479">
        <v>7</v>
      </c>
      <c r="S2479" t="s">
        <v>31</v>
      </c>
      <c r="T2479" t="s">
        <v>4447</v>
      </c>
      <c r="U2479" t="s">
        <v>4448</v>
      </c>
      <c r="V2479" s="3">
        <v>42054</v>
      </c>
    </row>
    <row r="2480" spans="1:22" x14ac:dyDescent="0.35">
      <c r="A2480" s="1">
        <v>42342.91946759259</v>
      </c>
      <c r="B2480" s="2">
        <v>0</v>
      </c>
      <c r="C2480" t="s">
        <v>4442</v>
      </c>
      <c r="D2480" t="s">
        <v>23</v>
      </c>
      <c r="E2480" t="s">
        <v>24</v>
      </c>
      <c r="F2480" t="s">
        <v>4443</v>
      </c>
      <c r="G2480">
        <v>1895687</v>
      </c>
      <c r="H2480" t="s">
        <v>26</v>
      </c>
      <c r="I2480" t="s">
        <v>276</v>
      </c>
      <c r="J2480" t="str">
        <f t="shared" si="23"/>
        <v>9781118868676</v>
      </c>
      <c r="L2480">
        <v>0</v>
      </c>
      <c r="O2480" t="s">
        <v>30</v>
      </c>
      <c r="P2480" t="s">
        <v>29</v>
      </c>
      <c r="Q2480" s="1">
        <v>42342.91946759259</v>
      </c>
      <c r="R2480">
        <v>7</v>
      </c>
      <c r="S2480" t="s">
        <v>31</v>
      </c>
      <c r="T2480" t="s">
        <v>4447</v>
      </c>
      <c r="U2480" t="s">
        <v>4448</v>
      </c>
      <c r="V2480" s="3">
        <v>42054</v>
      </c>
    </row>
    <row r="2481" spans="1:22" x14ac:dyDescent="0.35">
      <c r="A2481" s="1">
        <v>42342.917581018519</v>
      </c>
      <c r="B2481" s="2">
        <v>1.8750000000000001E-3</v>
      </c>
      <c r="C2481" t="s">
        <v>4442</v>
      </c>
      <c r="D2481" t="s">
        <v>23</v>
      </c>
      <c r="E2481" t="s">
        <v>24</v>
      </c>
      <c r="F2481" t="s">
        <v>4443</v>
      </c>
      <c r="G2481">
        <v>1895687</v>
      </c>
      <c r="H2481" t="s">
        <v>26</v>
      </c>
      <c r="I2481" t="s">
        <v>276</v>
      </c>
      <c r="J2481" t="str">
        <f t="shared" si="23"/>
        <v>9781118868676</v>
      </c>
      <c r="K2481" t="s">
        <v>4452</v>
      </c>
      <c r="L2481">
        <v>28</v>
      </c>
      <c r="O2481" t="s">
        <v>30</v>
      </c>
      <c r="P2481" t="s">
        <v>42</v>
      </c>
      <c r="S2481" t="s">
        <v>31</v>
      </c>
      <c r="T2481" t="s">
        <v>4447</v>
      </c>
      <c r="U2481" t="s">
        <v>4448</v>
      </c>
      <c r="V2481" s="3">
        <v>42054</v>
      </c>
    </row>
    <row r="2482" spans="1:22" x14ac:dyDescent="0.35">
      <c r="A2482" s="1">
        <v>42342.899745370371</v>
      </c>
      <c r="B2482" s="2">
        <v>4.6296296296296293E-4</v>
      </c>
      <c r="C2482" t="s">
        <v>106</v>
      </c>
      <c r="D2482" t="s">
        <v>23</v>
      </c>
      <c r="E2482" t="s">
        <v>24</v>
      </c>
      <c r="F2482" t="s">
        <v>2096</v>
      </c>
      <c r="G2482">
        <v>1775467</v>
      </c>
      <c r="H2482" t="s">
        <v>26</v>
      </c>
      <c r="I2482" t="s">
        <v>79</v>
      </c>
      <c r="J2482" t="str">
        <f>"9781118678121"</f>
        <v>9781118678121</v>
      </c>
      <c r="K2482" t="s">
        <v>4453</v>
      </c>
      <c r="L2482">
        <v>9</v>
      </c>
      <c r="O2482" t="s">
        <v>30</v>
      </c>
      <c r="P2482" t="s">
        <v>42</v>
      </c>
      <c r="S2482" t="s">
        <v>31</v>
      </c>
      <c r="T2482" t="s">
        <v>2097</v>
      </c>
      <c r="U2482">
        <v>342.07600000000002</v>
      </c>
      <c r="V2482" s="3">
        <v>41877</v>
      </c>
    </row>
    <row r="2483" spans="1:22" x14ac:dyDescent="0.35">
      <c r="A2483" s="1">
        <v>42342.8747337963</v>
      </c>
      <c r="B2483" s="2">
        <v>2.4652777777777777E-2</v>
      </c>
      <c r="C2483" t="s">
        <v>106</v>
      </c>
      <c r="D2483" t="s">
        <v>23</v>
      </c>
      <c r="E2483" t="s">
        <v>24</v>
      </c>
      <c r="F2483" t="s">
        <v>78</v>
      </c>
      <c r="G2483">
        <v>1635363</v>
      </c>
      <c r="H2483" t="s">
        <v>26</v>
      </c>
      <c r="I2483" t="s">
        <v>79</v>
      </c>
      <c r="J2483" t="str">
        <f>"9781118678206"</f>
        <v>9781118678206</v>
      </c>
      <c r="K2483" t="s">
        <v>4454</v>
      </c>
      <c r="L2483">
        <v>15</v>
      </c>
      <c r="O2483" t="s">
        <v>30</v>
      </c>
      <c r="P2483" t="s">
        <v>29</v>
      </c>
      <c r="Q2483" s="1">
        <v>42337.939270833333</v>
      </c>
      <c r="R2483">
        <v>7</v>
      </c>
      <c r="S2483" t="s">
        <v>31</v>
      </c>
      <c r="T2483" t="s">
        <v>81</v>
      </c>
      <c r="U2483">
        <v>340.07600000000002</v>
      </c>
      <c r="V2483" s="3">
        <v>41684</v>
      </c>
    </row>
    <row r="2484" spans="1:22" x14ac:dyDescent="0.35">
      <c r="A2484" s="1">
        <v>42342.864490740743</v>
      </c>
      <c r="B2484" s="2">
        <v>1.7094907407407409E-2</v>
      </c>
      <c r="C2484" t="s">
        <v>106</v>
      </c>
      <c r="D2484" t="s">
        <v>23</v>
      </c>
      <c r="E2484" t="s">
        <v>24</v>
      </c>
      <c r="F2484" t="s">
        <v>4455</v>
      </c>
      <c r="G2484">
        <v>1759293</v>
      </c>
      <c r="H2484" t="s">
        <v>91</v>
      </c>
      <c r="I2484" t="s">
        <v>247</v>
      </c>
      <c r="J2484" t="str">
        <f>"9781462517046"</f>
        <v>9781462517046</v>
      </c>
      <c r="K2484" t="s">
        <v>4456</v>
      </c>
      <c r="L2484">
        <v>24</v>
      </c>
      <c r="O2484" t="s">
        <v>28</v>
      </c>
      <c r="P2484" t="s">
        <v>47</v>
      </c>
      <c r="Q2484" s="1">
        <v>42342.864479166667</v>
      </c>
      <c r="R2484">
        <v>1</v>
      </c>
      <c r="S2484" t="s">
        <v>31</v>
      </c>
      <c r="T2484" t="s">
        <v>4457</v>
      </c>
      <c r="U2484">
        <v>616.85226999999998</v>
      </c>
      <c r="V2484" s="3">
        <v>41953</v>
      </c>
    </row>
    <row r="2485" spans="1:22" x14ac:dyDescent="0.35">
      <c r="A2485" s="1">
        <v>42342.864479166667</v>
      </c>
      <c r="B2485" s="2">
        <v>0</v>
      </c>
      <c r="C2485" t="s">
        <v>106</v>
      </c>
      <c r="D2485" t="s">
        <v>23</v>
      </c>
      <c r="E2485" t="s">
        <v>24</v>
      </c>
      <c r="F2485" t="s">
        <v>4455</v>
      </c>
      <c r="G2485">
        <v>1759293</v>
      </c>
      <c r="H2485" t="s">
        <v>91</v>
      </c>
      <c r="I2485" t="s">
        <v>247</v>
      </c>
      <c r="J2485" t="str">
        <f>"9781462517046"</f>
        <v>9781462517046</v>
      </c>
      <c r="L2485">
        <v>0</v>
      </c>
      <c r="O2485" t="s">
        <v>30</v>
      </c>
      <c r="P2485" t="s">
        <v>47</v>
      </c>
      <c r="Q2485" s="1">
        <v>42342.864479166667</v>
      </c>
      <c r="R2485">
        <v>1</v>
      </c>
      <c r="S2485" t="s">
        <v>31</v>
      </c>
      <c r="T2485" t="s">
        <v>4457</v>
      </c>
      <c r="U2485">
        <v>616.85226999999998</v>
      </c>
      <c r="V2485" s="3">
        <v>41953</v>
      </c>
    </row>
    <row r="2486" spans="1:22" x14ac:dyDescent="0.35">
      <c r="A2486" s="1">
        <v>42342.864108796297</v>
      </c>
      <c r="B2486" s="2">
        <v>3.7037037037037035E-4</v>
      </c>
      <c r="C2486" t="s">
        <v>106</v>
      </c>
      <c r="D2486" t="s">
        <v>23</v>
      </c>
      <c r="E2486" t="s">
        <v>24</v>
      </c>
      <c r="F2486" t="s">
        <v>4455</v>
      </c>
      <c r="G2486">
        <v>1759293</v>
      </c>
      <c r="H2486" t="s">
        <v>91</v>
      </c>
      <c r="I2486" t="s">
        <v>247</v>
      </c>
      <c r="J2486" t="str">
        <f>"9781462517046"</f>
        <v>9781462517046</v>
      </c>
      <c r="K2486" t="s">
        <v>33</v>
      </c>
      <c r="L2486">
        <v>3</v>
      </c>
      <c r="O2486" t="s">
        <v>30</v>
      </c>
      <c r="P2486" t="s">
        <v>50</v>
      </c>
      <c r="S2486" t="s">
        <v>31</v>
      </c>
      <c r="T2486" t="s">
        <v>4457</v>
      </c>
      <c r="U2486">
        <v>616.85226999999998</v>
      </c>
      <c r="V2486" s="3">
        <v>41953</v>
      </c>
    </row>
    <row r="2487" spans="1:22" x14ac:dyDescent="0.35">
      <c r="A2487" s="1">
        <v>42342.858229166668</v>
      </c>
      <c r="B2487" s="2">
        <v>0</v>
      </c>
      <c r="C2487" t="s">
        <v>1595</v>
      </c>
      <c r="D2487" t="s">
        <v>23</v>
      </c>
      <c r="E2487" t="s">
        <v>24</v>
      </c>
      <c r="F2487" t="s">
        <v>2023</v>
      </c>
      <c r="G2487">
        <v>1895286</v>
      </c>
      <c r="H2487" t="s">
        <v>26</v>
      </c>
      <c r="I2487" t="s">
        <v>841</v>
      </c>
      <c r="J2487" t="str">
        <f>"9781119038351"</f>
        <v>9781119038351</v>
      </c>
      <c r="K2487" t="s">
        <v>4458</v>
      </c>
      <c r="L2487">
        <v>1</v>
      </c>
      <c r="O2487" t="s">
        <v>30</v>
      </c>
      <c r="P2487" t="s">
        <v>29</v>
      </c>
      <c r="Q2487" s="1">
        <v>42342.858229166668</v>
      </c>
      <c r="R2487">
        <v>7</v>
      </c>
      <c r="S2487" t="s">
        <v>31</v>
      </c>
      <c r="T2487" t="s">
        <v>2025</v>
      </c>
      <c r="U2487">
        <v>355.61</v>
      </c>
      <c r="V2487" s="3">
        <v>42131</v>
      </c>
    </row>
    <row r="2488" spans="1:22" x14ac:dyDescent="0.35">
      <c r="A2488" s="1">
        <v>42342.855023148149</v>
      </c>
      <c r="B2488" s="2">
        <v>1.6655092592592593E-2</v>
      </c>
      <c r="C2488" t="s">
        <v>1595</v>
      </c>
      <c r="D2488" t="s">
        <v>23</v>
      </c>
      <c r="E2488" t="s">
        <v>24</v>
      </c>
      <c r="F2488" t="s">
        <v>840</v>
      </c>
      <c r="G2488">
        <v>1166311</v>
      </c>
      <c r="H2488" t="s">
        <v>26</v>
      </c>
      <c r="I2488" t="s">
        <v>841</v>
      </c>
      <c r="J2488" t="str">
        <f>"9781118525616"</f>
        <v>9781118525616</v>
      </c>
      <c r="K2488" t="s">
        <v>4459</v>
      </c>
      <c r="L2488">
        <v>21</v>
      </c>
      <c r="O2488" t="s">
        <v>30</v>
      </c>
      <c r="P2488" t="s">
        <v>29</v>
      </c>
      <c r="Q2488" s="1">
        <v>42342.855023148149</v>
      </c>
      <c r="R2488">
        <v>7</v>
      </c>
      <c r="S2488" t="s">
        <v>31</v>
      </c>
      <c r="T2488" t="s">
        <v>842</v>
      </c>
      <c r="U2488">
        <v>355.00700000000001</v>
      </c>
      <c r="V2488" s="3">
        <v>41366</v>
      </c>
    </row>
    <row r="2489" spans="1:22" x14ac:dyDescent="0.35">
      <c r="A2489" s="1">
        <v>42342.847233796296</v>
      </c>
      <c r="B2489" s="2">
        <v>7.789351851851852E-3</v>
      </c>
      <c r="C2489" t="s">
        <v>1595</v>
      </c>
      <c r="D2489" t="s">
        <v>23</v>
      </c>
      <c r="E2489" t="s">
        <v>24</v>
      </c>
      <c r="F2489" t="s">
        <v>840</v>
      </c>
      <c r="G2489">
        <v>1166311</v>
      </c>
      <c r="H2489" t="s">
        <v>26</v>
      </c>
      <c r="I2489" t="s">
        <v>841</v>
      </c>
      <c r="J2489" t="str">
        <f>"9781118525616"</f>
        <v>9781118525616</v>
      </c>
      <c r="K2489" t="s">
        <v>4460</v>
      </c>
      <c r="L2489">
        <v>21</v>
      </c>
      <c r="O2489" t="s">
        <v>30</v>
      </c>
      <c r="P2489" t="s">
        <v>42</v>
      </c>
      <c r="S2489" t="s">
        <v>31</v>
      </c>
      <c r="T2489" t="s">
        <v>842</v>
      </c>
      <c r="U2489">
        <v>355.00700000000001</v>
      </c>
      <c r="V2489" s="3">
        <v>41366</v>
      </c>
    </row>
    <row r="2490" spans="1:22" x14ac:dyDescent="0.35">
      <c r="A2490" s="1">
        <v>42342.844409722224</v>
      </c>
      <c r="B2490" s="2">
        <v>1.3819444444444445E-2</v>
      </c>
      <c r="C2490" t="s">
        <v>1595</v>
      </c>
      <c r="D2490" t="s">
        <v>23</v>
      </c>
      <c r="E2490" t="s">
        <v>24</v>
      </c>
      <c r="F2490" t="s">
        <v>2023</v>
      </c>
      <c r="G2490">
        <v>1895286</v>
      </c>
      <c r="H2490" t="s">
        <v>26</v>
      </c>
      <c r="I2490" t="s">
        <v>841</v>
      </c>
      <c r="J2490" t="str">
        <f>"9781119038351"</f>
        <v>9781119038351</v>
      </c>
      <c r="K2490" t="s">
        <v>4461</v>
      </c>
      <c r="L2490">
        <v>34</v>
      </c>
      <c r="O2490" t="s">
        <v>30</v>
      </c>
      <c r="P2490" t="s">
        <v>42</v>
      </c>
      <c r="S2490" t="s">
        <v>31</v>
      </c>
      <c r="T2490" t="s">
        <v>2025</v>
      </c>
      <c r="U2490">
        <v>355.61</v>
      </c>
      <c r="V2490" s="3">
        <v>42131</v>
      </c>
    </row>
    <row r="2491" spans="1:22" x14ac:dyDescent="0.35">
      <c r="A2491" s="1">
        <v>42342.832824074074</v>
      </c>
      <c r="B2491" s="2">
        <v>9.4907407407407408E-4</v>
      </c>
      <c r="C2491" t="s">
        <v>4462</v>
      </c>
      <c r="D2491" t="s">
        <v>23</v>
      </c>
      <c r="E2491" t="s">
        <v>24</v>
      </c>
      <c r="F2491" t="s">
        <v>4463</v>
      </c>
      <c r="G2491">
        <v>1778696</v>
      </c>
      <c r="H2491" t="s">
        <v>84</v>
      </c>
      <c r="I2491" t="s">
        <v>172</v>
      </c>
      <c r="J2491" t="str">
        <f>"9780520959576"</f>
        <v>9780520959576</v>
      </c>
      <c r="K2491" t="s">
        <v>4464</v>
      </c>
      <c r="L2491">
        <v>19</v>
      </c>
      <c r="O2491" t="s">
        <v>30</v>
      </c>
      <c r="P2491" t="s">
        <v>47</v>
      </c>
      <c r="Q2491" s="1">
        <v>42342.832824074074</v>
      </c>
      <c r="R2491">
        <v>1</v>
      </c>
      <c r="S2491" t="s">
        <v>31</v>
      </c>
      <c r="T2491" t="s">
        <v>4465</v>
      </c>
      <c r="U2491">
        <v>973.7</v>
      </c>
      <c r="V2491" s="3">
        <v>42070</v>
      </c>
    </row>
    <row r="2492" spans="1:22" x14ac:dyDescent="0.35">
      <c r="A2492" s="1">
        <v>42342.828206018516</v>
      </c>
      <c r="B2492" s="2">
        <v>4.6180555555555558E-3</v>
      </c>
      <c r="C2492" t="s">
        <v>4462</v>
      </c>
      <c r="D2492" t="s">
        <v>23</v>
      </c>
      <c r="E2492" t="s">
        <v>24</v>
      </c>
      <c r="F2492" t="s">
        <v>4463</v>
      </c>
      <c r="G2492">
        <v>1778696</v>
      </c>
      <c r="H2492" t="s">
        <v>84</v>
      </c>
      <c r="I2492" t="s">
        <v>172</v>
      </c>
      <c r="J2492" t="str">
        <f>"9780520959576"</f>
        <v>9780520959576</v>
      </c>
      <c r="K2492" t="s">
        <v>4466</v>
      </c>
      <c r="L2492">
        <v>18</v>
      </c>
      <c r="O2492" t="s">
        <v>30</v>
      </c>
      <c r="P2492" t="s">
        <v>50</v>
      </c>
      <c r="S2492" t="s">
        <v>31</v>
      </c>
      <c r="T2492" t="s">
        <v>4465</v>
      </c>
      <c r="U2492">
        <v>973.7</v>
      </c>
      <c r="V2492" s="3">
        <v>42070</v>
      </c>
    </row>
    <row r="2493" spans="1:22" x14ac:dyDescent="0.35">
      <c r="A2493" s="1">
        <v>42342.824803240743</v>
      </c>
      <c r="B2493" s="2">
        <v>3.2187500000000001E-2</v>
      </c>
      <c r="C2493" t="s">
        <v>471</v>
      </c>
      <c r="D2493" t="s">
        <v>211</v>
      </c>
      <c r="E2493" t="s">
        <v>212</v>
      </c>
      <c r="F2493" t="s">
        <v>497</v>
      </c>
      <c r="G2493">
        <v>1986951</v>
      </c>
      <c r="H2493" t="s">
        <v>26</v>
      </c>
      <c r="I2493" t="s">
        <v>97</v>
      </c>
      <c r="J2493" t="str">
        <f>"9781119130468"</f>
        <v>9781119130468</v>
      </c>
      <c r="K2493" t="s">
        <v>4467</v>
      </c>
      <c r="L2493">
        <v>15</v>
      </c>
      <c r="M2493" t="s">
        <v>4468</v>
      </c>
      <c r="O2493" t="s">
        <v>28</v>
      </c>
      <c r="P2493" t="s">
        <v>29</v>
      </c>
      <c r="Q2493" s="1">
        <v>42342.824803240743</v>
      </c>
      <c r="R2493">
        <v>7</v>
      </c>
      <c r="S2493" t="s">
        <v>214</v>
      </c>
      <c r="T2493" t="s">
        <v>500</v>
      </c>
      <c r="U2493">
        <v>657.07600000000002</v>
      </c>
      <c r="V2493" s="3">
        <v>42143</v>
      </c>
    </row>
    <row r="2494" spans="1:22" x14ac:dyDescent="0.35">
      <c r="A2494" s="1">
        <v>42342.824803240743</v>
      </c>
      <c r="B2494" s="2">
        <v>0</v>
      </c>
      <c r="C2494" t="s">
        <v>471</v>
      </c>
      <c r="D2494" t="s">
        <v>211</v>
      </c>
      <c r="E2494" t="s">
        <v>212</v>
      </c>
      <c r="F2494" t="s">
        <v>497</v>
      </c>
      <c r="G2494">
        <v>1986951</v>
      </c>
      <c r="H2494" t="s">
        <v>26</v>
      </c>
      <c r="I2494" t="s">
        <v>97</v>
      </c>
      <c r="J2494" t="str">
        <f>"9781119130468"</f>
        <v>9781119130468</v>
      </c>
      <c r="L2494">
        <v>0</v>
      </c>
      <c r="O2494" t="s">
        <v>30</v>
      </c>
      <c r="P2494" t="s">
        <v>29</v>
      </c>
      <c r="Q2494" s="1">
        <v>42342.824803240743</v>
      </c>
      <c r="R2494">
        <v>7</v>
      </c>
      <c r="S2494" t="s">
        <v>214</v>
      </c>
      <c r="T2494" t="s">
        <v>500</v>
      </c>
      <c r="U2494">
        <v>657.07600000000002</v>
      </c>
      <c r="V2494" s="3">
        <v>42143</v>
      </c>
    </row>
    <row r="2495" spans="1:22" x14ac:dyDescent="0.35">
      <c r="A2495" s="1">
        <v>42342.822523148148</v>
      </c>
      <c r="B2495" s="2">
        <v>2.2800925925925927E-3</v>
      </c>
      <c r="C2495" t="s">
        <v>471</v>
      </c>
      <c r="D2495" t="s">
        <v>211</v>
      </c>
      <c r="E2495" t="s">
        <v>212</v>
      </c>
      <c r="F2495" t="s">
        <v>497</v>
      </c>
      <c r="G2495">
        <v>1986951</v>
      </c>
      <c r="H2495" t="s">
        <v>26</v>
      </c>
      <c r="I2495" t="s">
        <v>97</v>
      </c>
      <c r="J2495" t="str">
        <f>"9781119130468"</f>
        <v>9781119130468</v>
      </c>
      <c r="K2495" t="s">
        <v>33</v>
      </c>
      <c r="L2495">
        <v>3</v>
      </c>
      <c r="O2495" t="s">
        <v>30</v>
      </c>
      <c r="P2495" t="s">
        <v>42</v>
      </c>
      <c r="S2495" t="s">
        <v>214</v>
      </c>
      <c r="T2495" t="s">
        <v>500</v>
      </c>
      <c r="U2495">
        <v>657.07600000000002</v>
      </c>
      <c r="V2495" s="3">
        <v>42143</v>
      </c>
    </row>
    <row r="2496" spans="1:22" x14ac:dyDescent="0.35">
      <c r="A2496" s="1">
        <v>42342.816666666666</v>
      </c>
      <c r="B2496" s="2">
        <v>3.4722222222222222E-5</v>
      </c>
      <c r="C2496" t="s">
        <v>210</v>
      </c>
      <c r="D2496" t="s">
        <v>211</v>
      </c>
      <c r="E2496" t="s">
        <v>212</v>
      </c>
      <c r="F2496" t="s">
        <v>4469</v>
      </c>
      <c r="G2496">
        <v>1575631</v>
      </c>
      <c r="H2496" t="s">
        <v>26</v>
      </c>
      <c r="I2496" t="s">
        <v>630</v>
      </c>
      <c r="J2496" t="str">
        <f>"9781118790731"</f>
        <v>9781118790731</v>
      </c>
      <c r="K2496" t="s">
        <v>33</v>
      </c>
      <c r="L2496">
        <v>3</v>
      </c>
      <c r="O2496" t="s">
        <v>30</v>
      </c>
      <c r="P2496" t="s">
        <v>50</v>
      </c>
      <c r="S2496" t="s">
        <v>214</v>
      </c>
      <c r="T2496" t="s">
        <v>4470</v>
      </c>
      <c r="U2496">
        <v>170</v>
      </c>
      <c r="V2496" s="3">
        <v>41610</v>
      </c>
    </row>
    <row r="2497" spans="1:22" x14ac:dyDescent="0.35">
      <c r="A2497" s="1">
        <v>42342.816655092596</v>
      </c>
      <c r="B2497" s="2">
        <v>3.2754629629629631E-3</v>
      </c>
      <c r="C2497" t="s">
        <v>471</v>
      </c>
      <c r="D2497" t="s">
        <v>211</v>
      </c>
      <c r="E2497" t="s">
        <v>212</v>
      </c>
      <c r="F2497" t="s">
        <v>497</v>
      </c>
      <c r="G2497">
        <v>1986951</v>
      </c>
      <c r="H2497" t="s">
        <v>26</v>
      </c>
      <c r="I2497" t="s">
        <v>97</v>
      </c>
      <c r="J2497" t="str">
        <f>"9781119130468"</f>
        <v>9781119130468</v>
      </c>
      <c r="K2497" t="s">
        <v>4471</v>
      </c>
      <c r="L2497">
        <v>38</v>
      </c>
      <c r="O2497" t="s">
        <v>30</v>
      </c>
      <c r="P2497" t="s">
        <v>42</v>
      </c>
      <c r="S2497" t="s">
        <v>214</v>
      </c>
      <c r="T2497" t="s">
        <v>500</v>
      </c>
      <c r="U2497">
        <v>657.07600000000002</v>
      </c>
      <c r="V2497" s="3">
        <v>42143</v>
      </c>
    </row>
    <row r="2498" spans="1:22" x14ac:dyDescent="0.35">
      <c r="A2498" s="1">
        <v>42342.815949074073</v>
      </c>
      <c r="B2498" s="2">
        <v>4.6296296296296294E-5</v>
      </c>
      <c r="C2498" t="s">
        <v>471</v>
      </c>
      <c r="D2498" t="s">
        <v>211</v>
      </c>
      <c r="E2498" t="s">
        <v>212</v>
      </c>
      <c r="F2498" t="s">
        <v>796</v>
      </c>
      <c r="G2498">
        <v>947579</v>
      </c>
      <c r="H2498" t="s">
        <v>26</v>
      </c>
      <c r="I2498" t="s">
        <v>97</v>
      </c>
      <c r="J2498" t="str">
        <f>"9781118419632"</f>
        <v>9781118419632</v>
      </c>
      <c r="K2498" t="s">
        <v>33</v>
      </c>
      <c r="L2498">
        <v>3</v>
      </c>
      <c r="O2498" t="s">
        <v>30</v>
      </c>
      <c r="P2498" t="s">
        <v>42</v>
      </c>
      <c r="S2498" t="s">
        <v>214</v>
      </c>
      <c r="T2498" t="s">
        <v>797</v>
      </c>
      <c r="U2498">
        <v>657.45</v>
      </c>
      <c r="V2498" s="3">
        <v>41241</v>
      </c>
    </row>
    <row r="2499" spans="1:22" x14ac:dyDescent="0.35">
      <c r="A2499" s="1">
        <v>42342.808437500003</v>
      </c>
      <c r="B2499" s="2">
        <v>1.2731481481481483E-3</v>
      </c>
      <c r="C2499" t="s">
        <v>950</v>
      </c>
      <c r="D2499" t="s">
        <v>623</v>
      </c>
      <c r="E2499" t="s">
        <v>624</v>
      </c>
      <c r="F2499" t="s">
        <v>4472</v>
      </c>
      <c r="G2499">
        <v>1873101</v>
      </c>
      <c r="H2499" t="s">
        <v>26</v>
      </c>
      <c r="I2499" t="s">
        <v>69</v>
      </c>
      <c r="J2499" t="str">
        <f>"9781118762233"</f>
        <v>9781118762233</v>
      </c>
      <c r="K2499" t="s">
        <v>4473</v>
      </c>
      <c r="L2499">
        <v>11</v>
      </c>
      <c r="O2499" t="s">
        <v>30</v>
      </c>
      <c r="P2499" t="s">
        <v>29</v>
      </c>
      <c r="Q2499" s="1">
        <v>42339.068310185183</v>
      </c>
      <c r="R2499">
        <v>7</v>
      </c>
      <c r="S2499" t="s">
        <v>627</v>
      </c>
      <c r="T2499" t="s">
        <v>4474</v>
      </c>
      <c r="U2499" t="s">
        <v>4475</v>
      </c>
      <c r="V2499" s="3">
        <v>41975</v>
      </c>
    </row>
    <row r="2500" spans="1:22" x14ac:dyDescent="0.35">
      <c r="A2500" s="1">
        <v>42342.802627314813</v>
      </c>
      <c r="B2500" s="2">
        <v>7.1643518518518514E-3</v>
      </c>
      <c r="C2500" t="s">
        <v>4116</v>
      </c>
      <c r="D2500" t="s">
        <v>23</v>
      </c>
      <c r="E2500" t="s">
        <v>24</v>
      </c>
      <c r="F2500" t="s">
        <v>4117</v>
      </c>
      <c r="G2500">
        <v>1724876</v>
      </c>
      <c r="H2500" t="s">
        <v>26</v>
      </c>
      <c r="I2500" t="s">
        <v>108</v>
      </c>
      <c r="J2500" t="str">
        <f>"9781118914113"</f>
        <v>9781118914113</v>
      </c>
      <c r="K2500" t="s">
        <v>4476</v>
      </c>
      <c r="L2500">
        <v>3</v>
      </c>
      <c r="N2500" t="s">
        <v>4477</v>
      </c>
      <c r="O2500" t="s">
        <v>28</v>
      </c>
      <c r="P2500" t="s">
        <v>29</v>
      </c>
      <c r="Q2500" s="1">
        <v>42342.802627314813</v>
      </c>
      <c r="R2500">
        <v>7</v>
      </c>
      <c r="S2500" t="s">
        <v>31</v>
      </c>
      <c r="T2500" t="s">
        <v>4120</v>
      </c>
      <c r="U2500">
        <v>332</v>
      </c>
      <c r="V2500" s="3">
        <v>41816</v>
      </c>
    </row>
    <row r="2501" spans="1:22" x14ac:dyDescent="0.35">
      <c r="A2501" s="1">
        <v>42342.802627314813</v>
      </c>
      <c r="B2501" s="2">
        <v>0</v>
      </c>
      <c r="C2501" t="s">
        <v>4116</v>
      </c>
      <c r="D2501" t="s">
        <v>23</v>
      </c>
      <c r="E2501" t="s">
        <v>24</v>
      </c>
      <c r="F2501" t="s">
        <v>4117</v>
      </c>
      <c r="G2501">
        <v>1724876</v>
      </c>
      <c r="H2501" t="s">
        <v>26</v>
      </c>
      <c r="I2501" t="s">
        <v>108</v>
      </c>
      <c r="J2501" t="str">
        <f>"9781118914113"</f>
        <v>9781118914113</v>
      </c>
      <c r="L2501">
        <v>0</v>
      </c>
      <c r="O2501" t="s">
        <v>30</v>
      </c>
      <c r="P2501" t="s">
        <v>29</v>
      </c>
      <c r="Q2501" s="1">
        <v>42342.802627314813</v>
      </c>
      <c r="R2501">
        <v>7</v>
      </c>
      <c r="S2501" t="s">
        <v>31</v>
      </c>
      <c r="T2501" t="s">
        <v>4120</v>
      </c>
      <c r="U2501">
        <v>332</v>
      </c>
      <c r="V2501" s="3">
        <v>41816</v>
      </c>
    </row>
    <row r="2502" spans="1:22" x14ac:dyDescent="0.35">
      <c r="A2502" s="1">
        <v>42342.80091435185</v>
      </c>
      <c r="B2502" s="2">
        <v>1.712962962962963E-3</v>
      </c>
      <c r="C2502" t="s">
        <v>4116</v>
      </c>
      <c r="D2502" t="s">
        <v>23</v>
      </c>
      <c r="E2502" t="s">
        <v>24</v>
      </c>
      <c r="F2502" t="s">
        <v>4117</v>
      </c>
      <c r="G2502">
        <v>1724876</v>
      </c>
      <c r="H2502" t="s">
        <v>26</v>
      </c>
      <c r="I2502" t="s">
        <v>108</v>
      </c>
      <c r="J2502" t="str">
        <f>"9781118914113"</f>
        <v>9781118914113</v>
      </c>
      <c r="K2502" t="s">
        <v>4478</v>
      </c>
      <c r="L2502">
        <v>4</v>
      </c>
      <c r="O2502" t="s">
        <v>30</v>
      </c>
      <c r="P2502" t="s">
        <v>42</v>
      </c>
      <c r="S2502" t="s">
        <v>31</v>
      </c>
      <c r="T2502" t="s">
        <v>4120</v>
      </c>
      <c r="U2502">
        <v>332</v>
      </c>
      <c r="V2502" s="3">
        <v>41816</v>
      </c>
    </row>
    <row r="2503" spans="1:22" x14ac:dyDescent="0.35">
      <c r="A2503" s="1">
        <v>42342.793807870374</v>
      </c>
      <c r="B2503" s="2">
        <v>2.4305555555555552E-4</v>
      </c>
      <c r="C2503" t="s">
        <v>4116</v>
      </c>
      <c r="D2503" t="s">
        <v>23</v>
      </c>
      <c r="E2503" t="s">
        <v>24</v>
      </c>
      <c r="F2503" t="s">
        <v>4117</v>
      </c>
      <c r="G2503">
        <v>1724876</v>
      </c>
      <c r="H2503" t="s">
        <v>26</v>
      </c>
      <c r="I2503" t="s">
        <v>108</v>
      </c>
      <c r="J2503" t="str">
        <f>"9781118914113"</f>
        <v>9781118914113</v>
      </c>
      <c r="K2503" t="s">
        <v>4479</v>
      </c>
      <c r="L2503">
        <v>6</v>
      </c>
      <c r="O2503" t="s">
        <v>30</v>
      </c>
      <c r="P2503" t="s">
        <v>42</v>
      </c>
      <c r="S2503" t="s">
        <v>31</v>
      </c>
      <c r="T2503" t="s">
        <v>4120</v>
      </c>
      <c r="U2503">
        <v>332</v>
      </c>
      <c r="V2503" s="3">
        <v>41816</v>
      </c>
    </row>
    <row r="2504" spans="1:22" x14ac:dyDescent="0.35">
      <c r="A2504" s="1">
        <v>42342.778645833336</v>
      </c>
      <c r="B2504" s="2">
        <v>1.7476851851851852E-3</v>
      </c>
      <c r="C2504" t="s">
        <v>950</v>
      </c>
      <c r="D2504" t="s">
        <v>623</v>
      </c>
      <c r="E2504" t="s">
        <v>624</v>
      </c>
      <c r="F2504" t="s">
        <v>4472</v>
      </c>
      <c r="G2504">
        <v>1873101</v>
      </c>
      <c r="H2504" t="s">
        <v>26</v>
      </c>
      <c r="I2504" t="s">
        <v>69</v>
      </c>
      <c r="J2504" t="str">
        <f>"9781118762233"</f>
        <v>9781118762233</v>
      </c>
      <c r="K2504" t="s">
        <v>4480</v>
      </c>
      <c r="L2504">
        <v>36</v>
      </c>
      <c r="O2504" t="s">
        <v>30</v>
      </c>
      <c r="P2504" t="s">
        <v>29</v>
      </c>
      <c r="Q2504" s="1">
        <v>42339.068310185183</v>
      </c>
      <c r="R2504">
        <v>7</v>
      </c>
      <c r="S2504" t="s">
        <v>627</v>
      </c>
      <c r="T2504" t="s">
        <v>4474</v>
      </c>
      <c r="U2504" t="s">
        <v>4475</v>
      </c>
      <c r="V2504" s="3">
        <v>41975</v>
      </c>
    </row>
    <row r="2505" spans="1:22" x14ac:dyDescent="0.35">
      <c r="A2505" s="1">
        <v>42342.734571759262</v>
      </c>
      <c r="B2505" s="2">
        <v>3.8194444444444446E-4</v>
      </c>
      <c r="C2505" t="s">
        <v>4481</v>
      </c>
      <c r="D2505" t="s">
        <v>23</v>
      </c>
      <c r="E2505" t="s">
        <v>24</v>
      </c>
      <c r="F2505" t="s">
        <v>698</v>
      </c>
      <c r="G2505">
        <v>865191</v>
      </c>
      <c r="H2505" t="s">
        <v>26</v>
      </c>
      <c r="I2505" t="s">
        <v>120</v>
      </c>
      <c r="J2505" t="str">
        <f>"9781118101681"</f>
        <v>9781118101681</v>
      </c>
      <c r="K2505" t="s">
        <v>217</v>
      </c>
      <c r="L2505">
        <v>12</v>
      </c>
      <c r="O2505" t="s">
        <v>30</v>
      </c>
      <c r="P2505" t="s">
        <v>42</v>
      </c>
      <c r="S2505" t="s">
        <v>31</v>
      </c>
      <c r="T2505" t="s">
        <v>699</v>
      </c>
      <c r="U2505" t="s">
        <v>700</v>
      </c>
      <c r="V2505" s="3">
        <v>40960</v>
      </c>
    </row>
    <row r="2506" spans="1:22" x14ac:dyDescent="0.35">
      <c r="A2506" s="1">
        <v>42342.731990740744</v>
      </c>
      <c r="B2506" s="2">
        <v>3.1828703703703702E-3</v>
      </c>
      <c r="C2506" t="s">
        <v>3192</v>
      </c>
      <c r="D2506" t="s">
        <v>23</v>
      </c>
      <c r="E2506" t="s">
        <v>24</v>
      </c>
      <c r="F2506" t="s">
        <v>3193</v>
      </c>
      <c r="G2506">
        <v>1821088</v>
      </c>
      <c r="H2506" t="s">
        <v>91</v>
      </c>
      <c r="I2506" t="s">
        <v>247</v>
      </c>
      <c r="J2506" t="str">
        <f>"9781462519811"</f>
        <v>9781462519811</v>
      </c>
      <c r="K2506" t="s">
        <v>867</v>
      </c>
      <c r="L2506">
        <v>10</v>
      </c>
      <c r="O2506" t="s">
        <v>30</v>
      </c>
      <c r="P2506" t="s">
        <v>50</v>
      </c>
      <c r="S2506" t="s">
        <v>31</v>
      </c>
      <c r="T2506" t="s">
        <v>3195</v>
      </c>
      <c r="U2506">
        <v>618.9289</v>
      </c>
      <c r="V2506" s="3">
        <v>42143</v>
      </c>
    </row>
    <row r="2507" spans="1:22" x14ac:dyDescent="0.35">
      <c r="A2507" s="1">
        <v>42342.731192129628</v>
      </c>
      <c r="B2507" s="2">
        <v>1.1574074074074073E-4</v>
      </c>
      <c r="C2507" t="s">
        <v>3192</v>
      </c>
      <c r="D2507" t="s">
        <v>23</v>
      </c>
      <c r="E2507" t="s">
        <v>24</v>
      </c>
      <c r="F2507" t="s">
        <v>3193</v>
      </c>
      <c r="G2507">
        <v>1821088</v>
      </c>
      <c r="H2507" t="s">
        <v>91</v>
      </c>
      <c r="I2507" t="s">
        <v>247</v>
      </c>
      <c r="J2507" t="str">
        <f>"9781462519811"</f>
        <v>9781462519811</v>
      </c>
      <c r="K2507" t="s">
        <v>4482</v>
      </c>
      <c r="L2507">
        <v>5</v>
      </c>
      <c r="O2507" t="s">
        <v>30</v>
      </c>
      <c r="P2507" t="s">
        <v>50</v>
      </c>
      <c r="S2507" t="s">
        <v>31</v>
      </c>
      <c r="T2507" t="s">
        <v>3195</v>
      </c>
      <c r="U2507">
        <v>618.9289</v>
      </c>
      <c r="V2507" s="3">
        <v>42143</v>
      </c>
    </row>
    <row r="2508" spans="1:22" x14ac:dyDescent="0.35">
      <c r="A2508" s="1">
        <v>42342.703553240739</v>
      </c>
      <c r="B2508" s="2">
        <v>1.0300925925925926E-3</v>
      </c>
      <c r="C2508" t="s">
        <v>4483</v>
      </c>
      <c r="D2508" t="s">
        <v>2519</v>
      </c>
      <c r="E2508" t="s">
        <v>2520</v>
      </c>
      <c r="F2508" t="s">
        <v>4484</v>
      </c>
      <c r="G2508">
        <v>1540781</v>
      </c>
      <c r="H2508" t="s">
        <v>68</v>
      </c>
      <c r="I2508" t="s">
        <v>97</v>
      </c>
      <c r="J2508" t="str">
        <f>"9781136181726"</f>
        <v>9781136181726</v>
      </c>
      <c r="K2508" t="s">
        <v>4485</v>
      </c>
      <c r="L2508">
        <v>18</v>
      </c>
      <c r="O2508" t="s">
        <v>30</v>
      </c>
      <c r="P2508" t="s">
        <v>50</v>
      </c>
      <c r="S2508" t="s">
        <v>3786</v>
      </c>
      <c r="T2508" t="s">
        <v>4486</v>
      </c>
      <c r="U2508">
        <v>659.10419999999999</v>
      </c>
      <c r="V2508" s="3">
        <v>41583</v>
      </c>
    </row>
    <row r="2509" spans="1:22" x14ac:dyDescent="0.35">
      <c r="A2509" s="1">
        <v>42342.701585648145</v>
      </c>
      <c r="B2509" s="2">
        <v>1.273148148148148E-4</v>
      </c>
      <c r="C2509" t="s">
        <v>4222</v>
      </c>
      <c r="D2509" t="s">
        <v>35</v>
      </c>
      <c r="E2509" t="s">
        <v>36</v>
      </c>
      <c r="F2509" t="s">
        <v>4487</v>
      </c>
      <c r="G2509">
        <v>1527428</v>
      </c>
      <c r="H2509" t="s">
        <v>26</v>
      </c>
      <c r="I2509" t="s">
        <v>120</v>
      </c>
      <c r="J2509" t="str">
        <f>"9780745672083"</f>
        <v>9780745672083</v>
      </c>
      <c r="K2509" t="s">
        <v>33</v>
      </c>
      <c r="L2509">
        <v>3</v>
      </c>
      <c r="O2509" t="s">
        <v>30</v>
      </c>
      <c r="P2509" t="s">
        <v>50</v>
      </c>
      <c r="S2509" t="s">
        <v>40</v>
      </c>
      <c r="T2509" t="s">
        <v>4488</v>
      </c>
      <c r="U2509">
        <v>362.820941</v>
      </c>
      <c r="V2509" s="3">
        <v>41577</v>
      </c>
    </row>
    <row r="2510" spans="1:22" x14ac:dyDescent="0.35">
      <c r="A2510" s="1">
        <v>42342.699641203704</v>
      </c>
      <c r="B2510" s="2">
        <v>2.4305555555555552E-4</v>
      </c>
      <c r="C2510" t="s">
        <v>4043</v>
      </c>
      <c r="D2510" t="s">
        <v>158</v>
      </c>
      <c r="E2510" t="s">
        <v>159</v>
      </c>
      <c r="F2510" t="s">
        <v>2191</v>
      </c>
      <c r="G2510">
        <v>1691133</v>
      </c>
      <c r="H2510" t="s">
        <v>91</v>
      </c>
      <c r="I2510" t="s">
        <v>247</v>
      </c>
      <c r="J2510" t="str">
        <f>"9781462516278"</f>
        <v>9781462516278</v>
      </c>
      <c r="K2510" t="s">
        <v>4489</v>
      </c>
      <c r="L2510">
        <v>8</v>
      </c>
      <c r="O2510" t="s">
        <v>30</v>
      </c>
      <c r="P2510" t="s">
        <v>29</v>
      </c>
      <c r="Q2510" s="1">
        <v>42342.675983796296</v>
      </c>
      <c r="R2510">
        <v>7</v>
      </c>
      <c r="S2510" t="s">
        <v>163</v>
      </c>
      <c r="T2510" t="s">
        <v>2194</v>
      </c>
      <c r="U2510" t="s">
        <v>2195</v>
      </c>
      <c r="V2510" s="3">
        <v>41774</v>
      </c>
    </row>
    <row r="2511" spans="1:22" x14ac:dyDescent="0.35">
      <c r="A2511" s="1">
        <v>42342.699363425927</v>
      </c>
      <c r="B2511" s="2">
        <v>3.1481481481481482E-3</v>
      </c>
      <c r="C2511" t="s">
        <v>4483</v>
      </c>
      <c r="D2511" t="s">
        <v>2519</v>
      </c>
      <c r="E2511" t="s">
        <v>2520</v>
      </c>
      <c r="F2511" t="s">
        <v>1862</v>
      </c>
      <c r="G2511">
        <v>1397211</v>
      </c>
      <c r="H2511" t="s">
        <v>68</v>
      </c>
      <c r="I2511" t="s">
        <v>97</v>
      </c>
      <c r="J2511" t="str">
        <f>"9781134718924"</f>
        <v>9781134718924</v>
      </c>
      <c r="K2511" t="s">
        <v>4490</v>
      </c>
      <c r="L2511">
        <v>65</v>
      </c>
      <c r="O2511" t="s">
        <v>30</v>
      </c>
      <c r="P2511" t="s">
        <v>50</v>
      </c>
      <c r="S2511" t="s">
        <v>3786</v>
      </c>
      <c r="T2511" t="s">
        <v>1864</v>
      </c>
      <c r="U2511">
        <v>659.1</v>
      </c>
      <c r="V2511" s="3">
        <v>41530</v>
      </c>
    </row>
    <row r="2512" spans="1:22" x14ac:dyDescent="0.35">
      <c r="A2512" s="1">
        <v>42342.675983796296</v>
      </c>
      <c r="B2512" s="2">
        <v>1.0416666666666667E-3</v>
      </c>
      <c r="C2512" t="s">
        <v>4043</v>
      </c>
      <c r="D2512" t="s">
        <v>158</v>
      </c>
      <c r="E2512" t="s">
        <v>159</v>
      </c>
      <c r="F2512" t="s">
        <v>2191</v>
      </c>
      <c r="G2512">
        <v>1691133</v>
      </c>
      <c r="H2512" t="s">
        <v>91</v>
      </c>
      <c r="I2512" t="s">
        <v>247</v>
      </c>
      <c r="J2512" t="str">
        <f>"9781462516278"</f>
        <v>9781462516278</v>
      </c>
      <c r="K2512" t="s">
        <v>4491</v>
      </c>
      <c r="L2512">
        <v>1</v>
      </c>
      <c r="N2512" t="s">
        <v>4492</v>
      </c>
      <c r="O2512" t="s">
        <v>30</v>
      </c>
      <c r="P2512" t="s">
        <v>29</v>
      </c>
      <c r="Q2512" s="1">
        <v>42342.675983796296</v>
      </c>
      <c r="R2512">
        <v>7</v>
      </c>
      <c r="S2512" t="s">
        <v>163</v>
      </c>
      <c r="T2512" t="s">
        <v>2194</v>
      </c>
      <c r="U2512" t="s">
        <v>2195</v>
      </c>
      <c r="V2512" s="3">
        <v>41774</v>
      </c>
    </row>
    <row r="2513" spans="1:22" x14ac:dyDescent="0.35">
      <c r="A2513" s="1">
        <v>42342.675046296295</v>
      </c>
      <c r="B2513" s="2">
        <v>9.3750000000000007E-4</v>
      </c>
      <c r="C2513" t="s">
        <v>4043</v>
      </c>
      <c r="D2513" t="s">
        <v>158</v>
      </c>
      <c r="E2513" t="s">
        <v>159</v>
      </c>
      <c r="F2513" t="s">
        <v>2191</v>
      </c>
      <c r="G2513">
        <v>1691133</v>
      </c>
      <c r="H2513" t="s">
        <v>91</v>
      </c>
      <c r="I2513" t="s">
        <v>247</v>
      </c>
      <c r="J2513" t="str">
        <f>"9781462516278"</f>
        <v>9781462516278</v>
      </c>
      <c r="K2513" t="s">
        <v>4493</v>
      </c>
      <c r="L2513">
        <v>9</v>
      </c>
      <c r="O2513" t="s">
        <v>30</v>
      </c>
      <c r="P2513" t="s">
        <v>42</v>
      </c>
      <c r="S2513" t="s">
        <v>163</v>
      </c>
      <c r="T2513" t="s">
        <v>2194</v>
      </c>
      <c r="U2513" t="s">
        <v>2195</v>
      </c>
      <c r="V2513" s="3">
        <v>41774</v>
      </c>
    </row>
    <row r="2514" spans="1:22" x14ac:dyDescent="0.35">
      <c r="A2514" s="1">
        <v>42342.674016203702</v>
      </c>
      <c r="B2514" s="2">
        <v>4.6296296296296294E-5</v>
      </c>
      <c r="C2514" t="s">
        <v>4043</v>
      </c>
      <c r="D2514" t="s">
        <v>158</v>
      </c>
      <c r="E2514" t="s">
        <v>159</v>
      </c>
      <c r="F2514" t="s">
        <v>2191</v>
      </c>
      <c r="G2514">
        <v>1691133</v>
      </c>
      <c r="H2514" t="s">
        <v>91</v>
      </c>
      <c r="I2514" t="s">
        <v>247</v>
      </c>
      <c r="J2514" t="str">
        <f>"9781462516278"</f>
        <v>9781462516278</v>
      </c>
      <c r="K2514" t="s">
        <v>33</v>
      </c>
      <c r="L2514">
        <v>3</v>
      </c>
      <c r="O2514" t="s">
        <v>30</v>
      </c>
      <c r="P2514" t="s">
        <v>42</v>
      </c>
      <c r="S2514" t="s">
        <v>163</v>
      </c>
      <c r="T2514" t="s">
        <v>2194</v>
      </c>
      <c r="U2514" t="s">
        <v>2195</v>
      </c>
      <c r="V2514" s="3">
        <v>41774</v>
      </c>
    </row>
    <row r="2515" spans="1:22" x14ac:dyDescent="0.35">
      <c r="A2515" s="1">
        <v>42342.653344907405</v>
      </c>
      <c r="B2515" s="2">
        <v>6.030092592592593E-3</v>
      </c>
      <c r="C2515" t="s">
        <v>210</v>
      </c>
      <c r="D2515" t="s">
        <v>211</v>
      </c>
      <c r="E2515" t="s">
        <v>212</v>
      </c>
      <c r="F2515" t="s">
        <v>4494</v>
      </c>
      <c r="G2515">
        <v>565082</v>
      </c>
      <c r="H2515" t="s">
        <v>26</v>
      </c>
      <c r="I2515" t="s">
        <v>69</v>
      </c>
      <c r="J2515" t="str">
        <f>"9781118041567"</f>
        <v>9781118041567</v>
      </c>
      <c r="K2515" t="s">
        <v>4495</v>
      </c>
      <c r="L2515">
        <v>15</v>
      </c>
      <c r="O2515" t="s">
        <v>30</v>
      </c>
      <c r="P2515" t="s">
        <v>42</v>
      </c>
      <c r="S2515" t="s">
        <v>214</v>
      </c>
      <c r="T2515" t="s">
        <v>4496</v>
      </c>
      <c r="U2515" t="s">
        <v>4497</v>
      </c>
      <c r="V2515" s="3">
        <v>40337</v>
      </c>
    </row>
    <row r="2516" spans="1:22" x14ac:dyDescent="0.35">
      <c r="A2516" s="1">
        <v>42342.650509259256</v>
      </c>
      <c r="B2516" s="2">
        <v>4.6296296296296294E-5</v>
      </c>
      <c r="C2516" t="s">
        <v>4498</v>
      </c>
      <c r="D2516" t="s">
        <v>335</v>
      </c>
      <c r="E2516" t="s">
        <v>336</v>
      </c>
      <c r="F2516" t="s">
        <v>3117</v>
      </c>
      <c r="G2516">
        <v>1022416</v>
      </c>
      <c r="H2516" t="s">
        <v>26</v>
      </c>
      <c r="I2516" t="s">
        <v>2751</v>
      </c>
      <c r="J2516" t="str">
        <f>"9781118373811"</f>
        <v>9781118373811</v>
      </c>
      <c r="K2516" t="s">
        <v>33</v>
      </c>
      <c r="L2516">
        <v>3</v>
      </c>
      <c r="O2516" t="s">
        <v>30</v>
      </c>
      <c r="P2516" t="s">
        <v>42</v>
      </c>
      <c r="S2516" t="s">
        <v>340</v>
      </c>
      <c r="T2516" t="s">
        <v>3119</v>
      </c>
      <c r="U2516">
        <v>664</v>
      </c>
      <c r="V2516" s="3">
        <v>41157</v>
      </c>
    </row>
    <row r="2517" spans="1:22" x14ac:dyDescent="0.35">
      <c r="A2517" s="1">
        <v>42342.620416666665</v>
      </c>
      <c r="B2517" s="2">
        <v>1.1099537037037038E-2</v>
      </c>
      <c r="C2517" t="s">
        <v>4499</v>
      </c>
      <c r="D2517" t="s">
        <v>146</v>
      </c>
      <c r="E2517" t="s">
        <v>147</v>
      </c>
      <c r="F2517" t="s">
        <v>4500</v>
      </c>
      <c r="G2517">
        <v>1652090</v>
      </c>
      <c r="H2517" t="s">
        <v>26</v>
      </c>
      <c r="I2517" t="s">
        <v>27</v>
      </c>
      <c r="J2517" t="str">
        <f>"9781118744819"</f>
        <v>9781118744819</v>
      </c>
      <c r="K2517" t="s">
        <v>4501</v>
      </c>
      <c r="L2517">
        <v>16</v>
      </c>
      <c r="O2517" t="s">
        <v>30</v>
      </c>
      <c r="P2517" t="s">
        <v>29</v>
      </c>
      <c r="Q2517" s="1">
        <v>42341.546655092592</v>
      </c>
      <c r="R2517">
        <v>7</v>
      </c>
      <c r="S2517" t="s">
        <v>4502</v>
      </c>
      <c r="T2517" t="s">
        <v>4503</v>
      </c>
      <c r="U2517">
        <v>407.1</v>
      </c>
      <c r="V2517" s="3">
        <v>41711</v>
      </c>
    </row>
    <row r="2518" spans="1:22" x14ac:dyDescent="0.35">
      <c r="A2518" s="1">
        <v>42342.609594907408</v>
      </c>
      <c r="B2518" s="2">
        <v>2.4305555555555552E-4</v>
      </c>
      <c r="C2518" t="s">
        <v>4504</v>
      </c>
      <c r="D2518" t="s">
        <v>35</v>
      </c>
      <c r="E2518" t="s">
        <v>36</v>
      </c>
      <c r="F2518" t="s">
        <v>4505</v>
      </c>
      <c r="G2518">
        <v>1832741</v>
      </c>
      <c r="H2518" t="s">
        <v>526</v>
      </c>
      <c r="I2518" t="s">
        <v>297</v>
      </c>
      <c r="J2518" t="str">
        <f>"9780226185019"</f>
        <v>9780226185019</v>
      </c>
      <c r="K2518" t="s">
        <v>209</v>
      </c>
      <c r="L2518">
        <v>4</v>
      </c>
      <c r="O2518" t="s">
        <v>30</v>
      </c>
      <c r="P2518" t="s">
        <v>50</v>
      </c>
      <c r="S2518" t="s">
        <v>40</v>
      </c>
      <c r="T2518" t="s">
        <v>4506</v>
      </c>
      <c r="U2518" t="s">
        <v>4507</v>
      </c>
      <c r="V2518" s="3">
        <v>41977</v>
      </c>
    </row>
    <row r="2519" spans="1:22" x14ac:dyDescent="0.35">
      <c r="A2519" s="1">
        <v>42342.596493055556</v>
      </c>
      <c r="B2519" s="2">
        <v>6.8287037037037025E-4</v>
      </c>
      <c r="C2519" t="s">
        <v>4508</v>
      </c>
      <c r="D2519" t="s">
        <v>335</v>
      </c>
      <c r="E2519" t="s">
        <v>336</v>
      </c>
      <c r="F2519" t="s">
        <v>4509</v>
      </c>
      <c r="G2519">
        <v>1986937</v>
      </c>
      <c r="H2519" t="s">
        <v>26</v>
      </c>
      <c r="I2519" t="s">
        <v>1724</v>
      </c>
      <c r="J2519" t="str">
        <f>"9781118760345"</f>
        <v>9781118760345</v>
      </c>
      <c r="K2519" t="s">
        <v>4510</v>
      </c>
      <c r="L2519">
        <v>20</v>
      </c>
      <c r="N2519" t="s">
        <v>4511</v>
      </c>
      <c r="O2519" t="s">
        <v>30</v>
      </c>
      <c r="P2519" t="s">
        <v>47</v>
      </c>
      <c r="Q2519" s="1">
        <v>42342.596493055556</v>
      </c>
      <c r="R2519">
        <v>1</v>
      </c>
      <c r="S2519" t="s">
        <v>340</v>
      </c>
      <c r="T2519" t="s">
        <v>4512</v>
      </c>
      <c r="U2519">
        <v>614.15</v>
      </c>
      <c r="V2519" s="3">
        <v>42058</v>
      </c>
    </row>
    <row r="2520" spans="1:22" x14ac:dyDescent="0.35">
      <c r="A2520" s="1">
        <v>42342.595821759256</v>
      </c>
      <c r="B2520" s="2">
        <v>6.7129629629629625E-4</v>
      </c>
      <c r="C2520" t="s">
        <v>4508</v>
      </c>
      <c r="D2520" t="s">
        <v>335</v>
      </c>
      <c r="E2520" t="s">
        <v>336</v>
      </c>
      <c r="F2520" t="s">
        <v>4509</v>
      </c>
      <c r="G2520">
        <v>1986937</v>
      </c>
      <c r="H2520" t="s">
        <v>26</v>
      </c>
      <c r="I2520" t="s">
        <v>1724</v>
      </c>
      <c r="J2520" t="str">
        <f>"9781118760345"</f>
        <v>9781118760345</v>
      </c>
      <c r="K2520" t="s">
        <v>4513</v>
      </c>
      <c r="L2520">
        <v>8</v>
      </c>
      <c r="O2520" t="s">
        <v>30</v>
      </c>
      <c r="P2520" t="s">
        <v>50</v>
      </c>
      <c r="S2520" t="s">
        <v>340</v>
      </c>
      <c r="T2520" t="s">
        <v>4512</v>
      </c>
      <c r="U2520">
        <v>614.15</v>
      </c>
      <c r="V2520" s="3">
        <v>42058</v>
      </c>
    </row>
    <row r="2521" spans="1:22" x14ac:dyDescent="0.35">
      <c r="A2521" s="1">
        <v>42342.575312499997</v>
      </c>
      <c r="B2521" s="2">
        <v>1.4351851851851854E-3</v>
      </c>
      <c r="C2521" t="s">
        <v>4514</v>
      </c>
      <c r="D2521" t="s">
        <v>35</v>
      </c>
      <c r="E2521" t="s">
        <v>36</v>
      </c>
      <c r="F2521" t="s">
        <v>4515</v>
      </c>
      <c r="G2521">
        <v>1501622</v>
      </c>
      <c r="H2521" t="s">
        <v>68</v>
      </c>
      <c r="I2521" t="s">
        <v>247</v>
      </c>
      <c r="J2521" t="str">
        <f>"9781134132188"</f>
        <v>9781134132188</v>
      </c>
      <c r="K2521" t="s">
        <v>4516</v>
      </c>
      <c r="L2521">
        <v>37</v>
      </c>
      <c r="O2521" t="s">
        <v>30</v>
      </c>
      <c r="P2521" t="s">
        <v>50</v>
      </c>
      <c r="S2521" t="s">
        <v>40</v>
      </c>
      <c r="T2521" t="s">
        <v>4517</v>
      </c>
      <c r="U2521" t="s">
        <v>4518</v>
      </c>
      <c r="V2521" s="3">
        <v>41570</v>
      </c>
    </row>
    <row r="2522" spans="1:22" x14ac:dyDescent="0.35">
      <c r="A2522" s="1">
        <v>42342.564733796295</v>
      </c>
      <c r="B2522" s="2">
        <v>3.6539351851851851E-2</v>
      </c>
      <c r="C2522" t="s">
        <v>106</v>
      </c>
      <c r="D2522" t="s">
        <v>23</v>
      </c>
      <c r="E2522" t="s">
        <v>24</v>
      </c>
      <c r="F2522" t="s">
        <v>52</v>
      </c>
      <c r="G2522">
        <v>822040</v>
      </c>
      <c r="H2522" t="s">
        <v>26</v>
      </c>
      <c r="I2522" t="s">
        <v>53</v>
      </c>
      <c r="J2522" t="str">
        <f>"9781118289099"</f>
        <v>9781118289099</v>
      </c>
      <c r="K2522" t="s">
        <v>4519</v>
      </c>
      <c r="L2522">
        <v>177</v>
      </c>
      <c r="M2522" t="s">
        <v>4520</v>
      </c>
      <c r="O2522" t="s">
        <v>30</v>
      </c>
      <c r="P2522" t="s">
        <v>29</v>
      </c>
      <c r="Q2522" s="1">
        <v>42342.564733796295</v>
      </c>
      <c r="R2522">
        <v>7</v>
      </c>
      <c r="S2522" t="s">
        <v>31</v>
      </c>
      <c r="T2522" t="s">
        <v>55</v>
      </c>
      <c r="U2522" t="s">
        <v>56</v>
      </c>
      <c r="V2522" s="3">
        <v>40990</v>
      </c>
    </row>
    <row r="2523" spans="1:22" x14ac:dyDescent="0.35">
      <c r="A2523" s="1">
        <v>42342.558715277781</v>
      </c>
      <c r="B2523" s="2">
        <v>6.0185185185185177E-3</v>
      </c>
      <c r="C2523" t="s">
        <v>106</v>
      </c>
      <c r="D2523" t="s">
        <v>23</v>
      </c>
      <c r="E2523" t="s">
        <v>24</v>
      </c>
      <c r="F2523" t="s">
        <v>52</v>
      </c>
      <c r="G2523">
        <v>822040</v>
      </c>
      <c r="H2523" t="s">
        <v>26</v>
      </c>
      <c r="I2523" t="s">
        <v>53</v>
      </c>
      <c r="J2523" t="str">
        <f>"9781118289099"</f>
        <v>9781118289099</v>
      </c>
      <c r="K2523" t="s">
        <v>4521</v>
      </c>
      <c r="L2523">
        <v>32</v>
      </c>
      <c r="O2523" t="s">
        <v>30</v>
      </c>
      <c r="P2523" t="s">
        <v>42</v>
      </c>
      <c r="S2523" t="s">
        <v>31</v>
      </c>
      <c r="T2523" t="s">
        <v>55</v>
      </c>
      <c r="U2523" t="s">
        <v>56</v>
      </c>
      <c r="V2523" s="3">
        <v>40990</v>
      </c>
    </row>
    <row r="2524" spans="1:22" x14ac:dyDescent="0.35">
      <c r="A2524" s="1">
        <v>42342.555590277778</v>
      </c>
      <c r="B2524" s="2">
        <v>5.5555555555555552E-2</v>
      </c>
      <c r="C2524" t="s">
        <v>4514</v>
      </c>
      <c r="D2524" t="s">
        <v>35</v>
      </c>
      <c r="E2524" t="s">
        <v>36</v>
      </c>
      <c r="F2524" t="s">
        <v>4522</v>
      </c>
      <c r="G2524">
        <v>668746</v>
      </c>
      <c r="H2524" t="s">
        <v>68</v>
      </c>
      <c r="I2524" t="s">
        <v>69</v>
      </c>
      <c r="J2524" t="str">
        <f>"9780203821411"</f>
        <v>9780203821411</v>
      </c>
      <c r="K2524" t="s">
        <v>4523</v>
      </c>
      <c r="L2524">
        <v>69</v>
      </c>
      <c r="O2524" t="s">
        <v>30</v>
      </c>
      <c r="P2524" t="s">
        <v>47</v>
      </c>
      <c r="Q2524" s="1">
        <v>42342.054652777777</v>
      </c>
      <c r="R2524">
        <v>1</v>
      </c>
      <c r="S2524" t="s">
        <v>40</v>
      </c>
      <c r="T2524" t="s">
        <v>4524</v>
      </c>
      <c r="U2524" t="s">
        <v>4525</v>
      </c>
      <c r="V2524" s="3">
        <v>41522</v>
      </c>
    </row>
    <row r="2525" spans="1:22" x14ac:dyDescent="0.35">
      <c r="A2525" s="1">
        <v>42342.342175925929</v>
      </c>
      <c r="B2525" s="2">
        <v>1.9675925925925926E-4</v>
      </c>
      <c r="C2525" t="s">
        <v>106</v>
      </c>
      <c r="D2525" t="s">
        <v>23</v>
      </c>
      <c r="E2525" t="s">
        <v>24</v>
      </c>
      <c r="F2525" t="s">
        <v>4526</v>
      </c>
      <c r="G2525">
        <v>771074</v>
      </c>
      <c r="H2525" t="s">
        <v>3465</v>
      </c>
      <c r="I2525" t="s">
        <v>4527</v>
      </c>
      <c r="J2525" t="str">
        <f>"9780761499732"</f>
        <v>9780761499732</v>
      </c>
      <c r="K2525" t="s">
        <v>355</v>
      </c>
      <c r="L2525">
        <v>8</v>
      </c>
      <c r="O2525" t="s">
        <v>30</v>
      </c>
      <c r="P2525" t="s">
        <v>42</v>
      </c>
      <c r="S2525" t="s">
        <v>31</v>
      </c>
      <c r="T2525" t="s">
        <v>4528</v>
      </c>
      <c r="U2525" t="s">
        <v>4529</v>
      </c>
      <c r="V2525" s="3">
        <v>40909</v>
      </c>
    </row>
    <row r="2526" spans="1:22" x14ac:dyDescent="0.35">
      <c r="A2526" s="1">
        <v>42342.304884259262</v>
      </c>
      <c r="B2526" s="2">
        <v>4.386574074074074E-3</v>
      </c>
      <c r="C2526" t="s">
        <v>106</v>
      </c>
      <c r="D2526" t="s">
        <v>23</v>
      </c>
      <c r="E2526" t="s">
        <v>24</v>
      </c>
      <c r="F2526" t="s">
        <v>4526</v>
      </c>
      <c r="G2526">
        <v>771074</v>
      </c>
      <c r="H2526" t="s">
        <v>3465</v>
      </c>
      <c r="I2526" t="s">
        <v>4527</v>
      </c>
      <c r="J2526" t="str">
        <f>"9780761499732"</f>
        <v>9780761499732</v>
      </c>
      <c r="K2526" t="s">
        <v>4530</v>
      </c>
      <c r="L2526">
        <v>40</v>
      </c>
      <c r="O2526" t="s">
        <v>30</v>
      </c>
      <c r="P2526" t="s">
        <v>42</v>
      </c>
      <c r="S2526" t="s">
        <v>31</v>
      </c>
      <c r="T2526" t="s">
        <v>4528</v>
      </c>
      <c r="U2526" t="s">
        <v>4529</v>
      </c>
      <c r="V2526" s="3">
        <v>40909</v>
      </c>
    </row>
    <row r="2527" spans="1:22" x14ac:dyDescent="0.35">
      <c r="A2527" s="1">
        <v>42342.254155092596</v>
      </c>
      <c r="B2527" s="2">
        <v>5.6712962962962958E-3</v>
      </c>
      <c r="C2527" t="s">
        <v>106</v>
      </c>
      <c r="D2527" t="s">
        <v>23</v>
      </c>
      <c r="E2527" t="s">
        <v>24</v>
      </c>
      <c r="F2527" t="s">
        <v>3228</v>
      </c>
      <c r="G2527">
        <v>1115640</v>
      </c>
      <c r="H2527" t="s">
        <v>26</v>
      </c>
      <c r="I2527" t="s">
        <v>3229</v>
      </c>
      <c r="J2527" t="str">
        <f>"9781118419090"</f>
        <v>9781118419090</v>
      </c>
      <c r="K2527" t="s">
        <v>4531</v>
      </c>
      <c r="L2527">
        <v>81</v>
      </c>
      <c r="O2527" t="s">
        <v>30</v>
      </c>
      <c r="P2527" t="s">
        <v>29</v>
      </c>
      <c r="Q2527" s="1">
        <v>42342.249166666668</v>
      </c>
      <c r="R2527">
        <v>7</v>
      </c>
      <c r="S2527" t="s">
        <v>31</v>
      </c>
      <c r="T2527" t="s">
        <v>3231</v>
      </c>
      <c r="U2527">
        <v>624</v>
      </c>
      <c r="V2527" s="3">
        <v>41296</v>
      </c>
    </row>
    <row r="2528" spans="1:22" x14ac:dyDescent="0.35">
      <c r="A2528" s="1">
        <v>42342.249166666668</v>
      </c>
      <c r="B2528" s="2">
        <v>3.1944444444444442E-3</v>
      </c>
      <c r="C2528" t="s">
        <v>106</v>
      </c>
      <c r="D2528" t="s">
        <v>23</v>
      </c>
      <c r="E2528" t="s">
        <v>24</v>
      </c>
      <c r="F2528" t="s">
        <v>3228</v>
      </c>
      <c r="G2528">
        <v>1115640</v>
      </c>
      <c r="H2528" t="s">
        <v>26</v>
      </c>
      <c r="I2528" t="s">
        <v>3229</v>
      </c>
      <c r="J2528" t="str">
        <f>"9781118419090"</f>
        <v>9781118419090</v>
      </c>
      <c r="K2528" t="s">
        <v>4532</v>
      </c>
      <c r="L2528">
        <v>37</v>
      </c>
      <c r="O2528" t="s">
        <v>30</v>
      </c>
      <c r="P2528" t="s">
        <v>29</v>
      </c>
      <c r="Q2528" s="1">
        <v>42342.249166666668</v>
      </c>
      <c r="R2528">
        <v>7</v>
      </c>
      <c r="S2528" t="s">
        <v>31</v>
      </c>
      <c r="T2528" t="s">
        <v>3231</v>
      </c>
      <c r="U2528">
        <v>624</v>
      </c>
      <c r="V2528" s="3">
        <v>41296</v>
      </c>
    </row>
    <row r="2529" spans="1:22" x14ac:dyDescent="0.35">
      <c r="A2529" s="1">
        <v>42342.241215277776</v>
      </c>
      <c r="B2529" s="2">
        <v>7.951388888888888E-3</v>
      </c>
      <c r="C2529" t="s">
        <v>106</v>
      </c>
      <c r="D2529" t="s">
        <v>23</v>
      </c>
      <c r="E2529" t="s">
        <v>24</v>
      </c>
      <c r="F2529" t="s">
        <v>3228</v>
      </c>
      <c r="G2529">
        <v>1115640</v>
      </c>
      <c r="H2529" t="s">
        <v>26</v>
      </c>
      <c r="I2529" t="s">
        <v>3229</v>
      </c>
      <c r="J2529" t="str">
        <f>"9781118419090"</f>
        <v>9781118419090</v>
      </c>
      <c r="K2529" t="s">
        <v>4533</v>
      </c>
      <c r="L2529">
        <v>29</v>
      </c>
      <c r="O2529" t="s">
        <v>30</v>
      </c>
      <c r="P2529" t="s">
        <v>42</v>
      </c>
      <c r="S2529" t="s">
        <v>31</v>
      </c>
      <c r="T2529" t="s">
        <v>3231</v>
      </c>
      <c r="U2529">
        <v>624</v>
      </c>
      <c r="V2529" s="3">
        <v>41296</v>
      </c>
    </row>
    <row r="2530" spans="1:22" x14ac:dyDescent="0.35">
      <c r="A2530" s="1">
        <v>42342.24113425926</v>
      </c>
      <c r="B2530" s="2">
        <v>2.3148148148148146E-4</v>
      </c>
      <c r="C2530" t="s">
        <v>4324</v>
      </c>
      <c r="D2530" t="s">
        <v>335</v>
      </c>
      <c r="E2530" t="s">
        <v>336</v>
      </c>
      <c r="F2530" t="s">
        <v>4325</v>
      </c>
      <c r="G2530">
        <v>1569869</v>
      </c>
      <c r="H2530" t="s">
        <v>68</v>
      </c>
      <c r="I2530" t="s">
        <v>219</v>
      </c>
      <c r="J2530" t="str">
        <f>"9781317799108"</f>
        <v>9781317799108</v>
      </c>
      <c r="K2530" t="s">
        <v>4534</v>
      </c>
      <c r="L2530">
        <v>13</v>
      </c>
      <c r="O2530" t="s">
        <v>30</v>
      </c>
      <c r="P2530" t="s">
        <v>50</v>
      </c>
      <c r="S2530" t="s">
        <v>340</v>
      </c>
      <c r="T2530" t="s">
        <v>4327</v>
      </c>
      <c r="U2530">
        <v>154.63</v>
      </c>
      <c r="V2530" s="3">
        <v>41604</v>
      </c>
    </row>
    <row r="2531" spans="1:22" x14ac:dyDescent="0.35">
      <c r="A2531" s="1">
        <v>42342.238611111112</v>
      </c>
      <c r="B2531" s="2">
        <v>2.3148148148148147E-5</v>
      </c>
      <c r="C2531" t="s">
        <v>4324</v>
      </c>
      <c r="D2531" t="s">
        <v>335</v>
      </c>
      <c r="E2531" t="s">
        <v>336</v>
      </c>
      <c r="F2531" t="s">
        <v>4329</v>
      </c>
      <c r="G2531">
        <v>3061306</v>
      </c>
      <c r="H2531" t="s">
        <v>68</v>
      </c>
      <c r="I2531" t="s">
        <v>219</v>
      </c>
      <c r="J2531" t="str">
        <f>"9780203713877"</f>
        <v>9780203713877</v>
      </c>
      <c r="K2531" t="s">
        <v>4535</v>
      </c>
      <c r="L2531">
        <v>5</v>
      </c>
      <c r="O2531" t="s">
        <v>30</v>
      </c>
      <c r="P2531" t="s">
        <v>47</v>
      </c>
      <c r="Q2531" s="1">
        <v>42342.238611111112</v>
      </c>
      <c r="R2531">
        <v>1</v>
      </c>
      <c r="S2531" t="s">
        <v>340</v>
      </c>
      <c r="T2531" t="s">
        <v>4331</v>
      </c>
      <c r="U2531" t="s">
        <v>4332</v>
      </c>
      <c r="V2531" s="3">
        <v>41548</v>
      </c>
    </row>
    <row r="2532" spans="1:22" x14ac:dyDescent="0.35">
      <c r="A2532" s="1">
        <v>42342.223402777781</v>
      </c>
      <c r="B2532" s="2">
        <v>1.5208333333333332E-2</v>
      </c>
      <c r="C2532" t="s">
        <v>4324</v>
      </c>
      <c r="D2532" t="s">
        <v>335</v>
      </c>
      <c r="E2532" t="s">
        <v>336</v>
      </c>
      <c r="F2532" t="s">
        <v>4329</v>
      </c>
      <c r="G2532">
        <v>3061306</v>
      </c>
      <c r="H2532" t="s">
        <v>68</v>
      </c>
      <c r="I2532" t="s">
        <v>219</v>
      </c>
      <c r="J2532" t="str">
        <f>"9780203713877"</f>
        <v>9780203713877</v>
      </c>
      <c r="K2532" t="s">
        <v>86</v>
      </c>
      <c r="L2532">
        <v>5</v>
      </c>
      <c r="O2532" t="s">
        <v>30</v>
      </c>
      <c r="P2532" t="s">
        <v>50</v>
      </c>
      <c r="S2532" t="s">
        <v>340</v>
      </c>
      <c r="T2532" t="s">
        <v>4331</v>
      </c>
      <c r="U2532" t="s">
        <v>4332</v>
      </c>
      <c r="V2532" s="3">
        <v>41548</v>
      </c>
    </row>
    <row r="2533" spans="1:22" x14ac:dyDescent="0.35">
      <c r="A2533" s="1">
        <v>42342.222905092596</v>
      </c>
      <c r="B2533" s="2">
        <v>3.5879629629629635E-4</v>
      </c>
      <c r="C2533" t="s">
        <v>4205</v>
      </c>
      <c r="D2533" t="s">
        <v>597</v>
      </c>
      <c r="E2533" t="s">
        <v>598</v>
      </c>
      <c r="F2533" t="s">
        <v>111</v>
      </c>
      <c r="G2533">
        <v>693176</v>
      </c>
      <c r="H2533" t="s">
        <v>26</v>
      </c>
      <c r="I2533" t="s">
        <v>112</v>
      </c>
      <c r="J2533" t="str">
        <f>"9781118017746"</f>
        <v>9781118017746</v>
      </c>
      <c r="K2533" t="s">
        <v>4536</v>
      </c>
      <c r="L2533">
        <v>25</v>
      </c>
      <c r="O2533" t="s">
        <v>30</v>
      </c>
      <c r="P2533" t="s">
        <v>29</v>
      </c>
      <c r="Q2533" s="1">
        <v>42338.046597222223</v>
      </c>
      <c r="R2533">
        <v>7</v>
      </c>
      <c r="S2533" t="s">
        <v>600</v>
      </c>
      <c r="T2533" t="s">
        <v>114</v>
      </c>
      <c r="U2533" t="s">
        <v>115</v>
      </c>
      <c r="V2533" s="3">
        <v>40835</v>
      </c>
    </row>
    <row r="2534" spans="1:22" x14ac:dyDescent="0.35">
      <c r="A2534" s="1">
        <v>42342.219027777777</v>
      </c>
      <c r="B2534" s="2">
        <v>6.9444444444444444E-5</v>
      </c>
      <c r="C2534" t="s">
        <v>4537</v>
      </c>
      <c r="D2534" t="s">
        <v>23</v>
      </c>
      <c r="E2534" t="s">
        <v>24</v>
      </c>
      <c r="F2534" t="s">
        <v>52</v>
      </c>
      <c r="G2534">
        <v>822040</v>
      </c>
      <c r="H2534" t="s">
        <v>26</v>
      </c>
      <c r="I2534" t="s">
        <v>53</v>
      </c>
      <c r="J2534" t="str">
        <f>"9781118289099"</f>
        <v>9781118289099</v>
      </c>
      <c r="K2534" t="s">
        <v>209</v>
      </c>
      <c r="L2534">
        <v>4</v>
      </c>
      <c r="O2534" t="s">
        <v>30</v>
      </c>
      <c r="P2534" t="s">
        <v>29</v>
      </c>
      <c r="Q2534" s="1">
        <v>42341.873414351852</v>
      </c>
      <c r="R2534">
        <v>7</v>
      </c>
      <c r="S2534" t="s">
        <v>31</v>
      </c>
      <c r="T2534" t="s">
        <v>55</v>
      </c>
      <c r="U2534" t="s">
        <v>56</v>
      </c>
      <c r="V2534" s="3">
        <v>40990</v>
      </c>
    </row>
    <row r="2535" spans="1:22" x14ac:dyDescent="0.35">
      <c r="A2535" s="1">
        <v>42342.191689814812</v>
      </c>
      <c r="B2535" s="2">
        <v>8.6805555555555551E-4</v>
      </c>
      <c r="C2535" t="s">
        <v>4538</v>
      </c>
      <c r="D2535" t="s">
        <v>35</v>
      </c>
      <c r="E2535" t="s">
        <v>36</v>
      </c>
      <c r="F2535" t="s">
        <v>4539</v>
      </c>
      <c r="G2535">
        <v>1498726</v>
      </c>
      <c r="H2535" t="s">
        <v>68</v>
      </c>
      <c r="I2535" t="s">
        <v>4540</v>
      </c>
      <c r="J2535" t="str">
        <f>"9781134080151"</f>
        <v>9781134080151</v>
      </c>
      <c r="K2535" t="s">
        <v>4541</v>
      </c>
      <c r="L2535">
        <v>7</v>
      </c>
      <c r="O2535" t="s">
        <v>30</v>
      </c>
      <c r="P2535" t="s">
        <v>47</v>
      </c>
      <c r="Q2535" s="1">
        <v>42342.191689814812</v>
      </c>
      <c r="R2535">
        <v>1</v>
      </c>
      <c r="S2535" t="s">
        <v>40</v>
      </c>
      <c r="T2535" t="s">
        <v>4542</v>
      </c>
      <c r="U2535">
        <v>338.5</v>
      </c>
      <c r="V2535" s="3">
        <v>39486</v>
      </c>
    </row>
    <row r="2536" spans="1:22" x14ac:dyDescent="0.35">
      <c r="A2536" s="1">
        <v>42342.184479166666</v>
      </c>
      <c r="B2536" s="2">
        <v>1.292824074074074E-2</v>
      </c>
      <c r="C2536" t="s">
        <v>106</v>
      </c>
      <c r="D2536" t="s">
        <v>23</v>
      </c>
      <c r="E2536" t="s">
        <v>24</v>
      </c>
      <c r="F2536" t="s">
        <v>78</v>
      </c>
      <c r="G2536">
        <v>1635363</v>
      </c>
      <c r="H2536" t="s">
        <v>26</v>
      </c>
      <c r="I2536" t="s">
        <v>79</v>
      </c>
      <c r="J2536" t="str">
        <f>"9781118678206"</f>
        <v>9781118678206</v>
      </c>
      <c r="K2536" t="s">
        <v>4543</v>
      </c>
      <c r="L2536">
        <v>41</v>
      </c>
      <c r="O2536" t="s">
        <v>30</v>
      </c>
      <c r="P2536" t="s">
        <v>29</v>
      </c>
      <c r="Q2536" s="1">
        <v>42337.939270833333</v>
      </c>
      <c r="R2536">
        <v>7</v>
      </c>
      <c r="S2536" t="s">
        <v>31</v>
      </c>
      <c r="T2536" t="s">
        <v>81</v>
      </c>
      <c r="U2536">
        <v>340.07600000000002</v>
      </c>
      <c r="V2536" s="3">
        <v>41684</v>
      </c>
    </row>
    <row r="2537" spans="1:22" x14ac:dyDescent="0.35">
      <c r="A2537" s="1">
        <v>42342.174930555557</v>
      </c>
      <c r="B2537" s="2">
        <v>1.6759259259259258E-2</v>
      </c>
      <c r="C2537" t="s">
        <v>4538</v>
      </c>
      <c r="D2537" t="s">
        <v>35</v>
      </c>
      <c r="E2537" t="s">
        <v>36</v>
      </c>
      <c r="F2537" t="s">
        <v>4539</v>
      </c>
      <c r="G2537">
        <v>1498726</v>
      </c>
      <c r="H2537" t="s">
        <v>68</v>
      </c>
      <c r="I2537" t="s">
        <v>4540</v>
      </c>
      <c r="J2537" t="str">
        <f>"9781134080151"</f>
        <v>9781134080151</v>
      </c>
      <c r="K2537" t="s">
        <v>4544</v>
      </c>
      <c r="L2537">
        <v>17</v>
      </c>
      <c r="O2537" t="s">
        <v>30</v>
      </c>
      <c r="P2537" t="s">
        <v>50</v>
      </c>
      <c r="S2537" t="s">
        <v>40</v>
      </c>
      <c r="T2537" t="s">
        <v>4542</v>
      </c>
      <c r="U2537">
        <v>338.5</v>
      </c>
      <c r="V2537" s="3">
        <v>39486</v>
      </c>
    </row>
    <row r="2538" spans="1:22" x14ac:dyDescent="0.35">
      <c r="A2538" s="1">
        <v>42342.159224537034</v>
      </c>
      <c r="B2538" s="2">
        <v>3.9467592592592592E-3</v>
      </c>
      <c r="C2538" t="s">
        <v>4545</v>
      </c>
      <c r="D2538" t="s">
        <v>23</v>
      </c>
      <c r="E2538" t="s">
        <v>24</v>
      </c>
      <c r="F2538" t="s">
        <v>2191</v>
      </c>
      <c r="G2538">
        <v>1691133</v>
      </c>
      <c r="H2538" t="s">
        <v>91</v>
      </c>
      <c r="I2538" t="s">
        <v>247</v>
      </c>
      <c r="J2538" t="str">
        <f>"9781462516278"</f>
        <v>9781462516278</v>
      </c>
      <c r="K2538" t="s">
        <v>4546</v>
      </c>
      <c r="L2538">
        <v>11</v>
      </c>
      <c r="O2538" t="s">
        <v>30</v>
      </c>
      <c r="P2538" t="s">
        <v>42</v>
      </c>
      <c r="S2538" t="s">
        <v>31</v>
      </c>
      <c r="T2538" t="s">
        <v>2194</v>
      </c>
      <c r="U2538" t="s">
        <v>2195</v>
      </c>
      <c r="V2538" s="3">
        <v>41774</v>
      </c>
    </row>
    <row r="2539" spans="1:22" x14ac:dyDescent="0.35">
      <c r="A2539" s="1">
        <v>42342.155335648145</v>
      </c>
      <c r="B2539" s="2">
        <v>0</v>
      </c>
      <c r="C2539" t="s">
        <v>4547</v>
      </c>
      <c r="D2539" t="s">
        <v>35</v>
      </c>
      <c r="E2539" t="s">
        <v>36</v>
      </c>
      <c r="F2539" t="s">
        <v>4548</v>
      </c>
      <c r="G2539">
        <v>465666</v>
      </c>
      <c r="H2539" t="s">
        <v>91</v>
      </c>
      <c r="I2539" t="s">
        <v>69</v>
      </c>
      <c r="J2539" t="str">
        <f>"9781606230831"</f>
        <v>9781606230831</v>
      </c>
      <c r="K2539" t="s">
        <v>4549</v>
      </c>
      <c r="L2539">
        <v>1</v>
      </c>
      <c r="O2539" t="s">
        <v>30</v>
      </c>
      <c r="P2539" t="s">
        <v>47</v>
      </c>
      <c r="Q2539" s="1">
        <v>42342.155335648145</v>
      </c>
      <c r="R2539">
        <v>1</v>
      </c>
      <c r="S2539" t="s">
        <v>40</v>
      </c>
      <c r="T2539" t="s">
        <v>4550</v>
      </c>
      <c r="U2539">
        <v>371.58</v>
      </c>
      <c r="V2539" s="3">
        <v>41773</v>
      </c>
    </row>
    <row r="2540" spans="1:22" x14ac:dyDescent="0.35">
      <c r="A2540" s="1">
        <v>42342.151689814818</v>
      </c>
      <c r="B2540" s="2">
        <v>1.7303240740740741E-2</v>
      </c>
      <c r="C2540" t="s">
        <v>4551</v>
      </c>
      <c r="D2540" t="s">
        <v>35</v>
      </c>
      <c r="E2540" t="s">
        <v>36</v>
      </c>
      <c r="F2540" t="s">
        <v>4552</v>
      </c>
      <c r="G2540">
        <v>2130115</v>
      </c>
      <c r="H2540" t="s">
        <v>526</v>
      </c>
      <c r="I2540" t="s">
        <v>267</v>
      </c>
      <c r="J2540" t="str">
        <f>"9780226222905"</f>
        <v>9780226222905</v>
      </c>
      <c r="K2540" t="s">
        <v>4553</v>
      </c>
      <c r="L2540">
        <v>10</v>
      </c>
      <c r="O2540" t="s">
        <v>30</v>
      </c>
      <c r="P2540" t="s">
        <v>29</v>
      </c>
      <c r="Q2540" s="1">
        <v>42342.151689814818</v>
      </c>
      <c r="R2540">
        <v>7</v>
      </c>
      <c r="S2540" t="s">
        <v>40</v>
      </c>
      <c r="T2540" t="s">
        <v>4554</v>
      </c>
      <c r="U2540" t="s">
        <v>4555</v>
      </c>
      <c r="V2540" s="3">
        <v>41376</v>
      </c>
    </row>
    <row r="2541" spans="1:22" x14ac:dyDescent="0.35">
      <c r="A2541" s="1">
        <v>42342.151643518519</v>
      </c>
      <c r="B2541" s="2">
        <v>3.6921296296296298E-3</v>
      </c>
      <c r="C2541" t="s">
        <v>4547</v>
      </c>
      <c r="D2541" t="s">
        <v>35</v>
      </c>
      <c r="E2541" t="s">
        <v>36</v>
      </c>
      <c r="F2541" t="s">
        <v>4548</v>
      </c>
      <c r="G2541">
        <v>465666</v>
      </c>
      <c r="H2541" t="s">
        <v>91</v>
      </c>
      <c r="I2541" t="s">
        <v>69</v>
      </c>
      <c r="J2541" t="str">
        <f>"9781606230831"</f>
        <v>9781606230831</v>
      </c>
      <c r="K2541" t="s">
        <v>4556</v>
      </c>
      <c r="L2541">
        <v>16</v>
      </c>
      <c r="O2541" t="s">
        <v>30</v>
      </c>
      <c r="P2541" t="s">
        <v>50</v>
      </c>
      <c r="S2541" t="s">
        <v>40</v>
      </c>
      <c r="T2541" t="s">
        <v>4550</v>
      </c>
      <c r="U2541">
        <v>371.58</v>
      </c>
      <c r="V2541" s="3">
        <v>41773</v>
      </c>
    </row>
    <row r="2542" spans="1:22" x14ac:dyDescent="0.35">
      <c r="A2542" s="1">
        <v>42342.151030092595</v>
      </c>
      <c r="B2542" s="2">
        <v>4.6296296296296294E-5</v>
      </c>
      <c r="C2542" t="s">
        <v>4557</v>
      </c>
      <c r="D2542" t="s">
        <v>623</v>
      </c>
      <c r="E2542" t="s">
        <v>624</v>
      </c>
      <c r="F2542" t="s">
        <v>4558</v>
      </c>
      <c r="G2542">
        <v>1895514</v>
      </c>
      <c r="H2542" t="s">
        <v>26</v>
      </c>
      <c r="I2542" t="s">
        <v>4559</v>
      </c>
      <c r="J2542" t="str">
        <f>"9781118631027"</f>
        <v>9781118631027</v>
      </c>
      <c r="K2542" t="s">
        <v>33</v>
      </c>
      <c r="L2542">
        <v>3</v>
      </c>
      <c r="O2542" t="s">
        <v>30</v>
      </c>
      <c r="P2542" t="s">
        <v>29</v>
      </c>
      <c r="Q2542" s="1">
        <v>42339.715810185182</v>
      </c>
      <c r="R2542">
        <v>7</v>
      </c>
      <c r="S2542" t="s">
        <v>627</v>
      </c>
      <c r="T2542" t="s">
        <v>4560</v>
      </c>
      <c r="U2542">
        <v>333.79399999999998</v>
      </c>
      <c r="V2542" s="3">
        <v>42110</v>
      </c>
    </row>
    <row r="2543" spans="1:22" x14ac:dyDescent="0.35">
      <c r="A2543" s="1">
        <v>42342.146527777775</v>
      </c>
      <c r="B2543" s="2">
        <v>5.162037037037037E-3</v>
      </c>
      <c r="C2543" t="s">
        <v>4551</v>
      </c>
      <c r="D2543" t="s">
        <v>35</v>
      </c>
      <c r="E2543" t="s">
        <v>36</v>
      </c>
      <c r="F2543" t="s">
        <v>4552</v>
      </c>
      <c r="G2543">
        <v>2130115</v>
      </c>
      <c r="H2543" t="s">
        <v>526</v>
      </c>
      <c r="I2543" t="s">
        <v>267</v>
      </c>
      <c r="J2543" t="str">
        <f>"9780226222905"</f>
        <v>9780226222905</v>
      </c>
      <c r="K2543" t="s">
        <v>4561</v>
      </c>
      <c r="L2543">
        <v>22</v>
      </c>
      <c r="O2543" t="s">
        <v>30</v>
      </c>
      <c r="P2543" t="s">
        <v>50</v>
      </c>
      <c r="S2543" t="s">
        <v>40</v>
      </c>
      <c r="T2543" t="s">
        <v>4554</v>
      </c>
      <c r="U2543" t="s">
        <v>4555</v>
      </c>
      <c r="V2543" s="3">
        <v>41376</v>
      </c>
    </row>
    <row r="2544" spans="1:22" x14ac:dyDescent="0.35">
      <c r="A2544" s="1">
        <v>42342.145578703705</v>
      </c>
      <c r="B2544" s="2">
        <v>1.3078703703703705E-3</v>
      </c>
      <c r="C2544" t="s">
        <v>4205</v>
      </c>
      <c r="D2544" t="s">
        <v>597</v>
      </c>
      <c r="E2544" t="s">
        <v>598</v>
      </c>
      <c r="F2544" t="s">
        <v>111</v>
      </c>
      <c r="G2544">
        <v>693176</v>
      </c>
      <c r="H2544" t="s">
        <v>26</v>
      </c>
      <c r="I2544" t="s">
        <v>112</v>
      </c>
      <c r="J2544" t="str">
        <f>"9781118017746"</f>
        <v>9781118017746</v>
      </c>
      <c r="K2544" t="s">
        <v>4562</v>
      </c>
      <c r="L2544">
        <v>21</v>
      </c>
      <c r="O2544" t="s">
        <v>30</v>
      </c>
      <c r="P2544" t="s">
        <v>29</v>
      </c>
      <c r="Q2544" s="1">
        <v>42338.046597222223</v>
      </c>
      <c r="R2544">
        <v>7</v>
      </c>
      <c r="S2544" t="s">
        <v>600</v>
      </c>
      <c r="T2544" t="s">
        <v>114</v>
      </c>
      <c r="U2544" t="s">
        <v>115</v>
      </c>
      <c r="V2544" s="3">
        <v>40835</v>
      </c>
    </row>
    <row r="2545" spans="1:22" x14ac:dyDescent="0.35">
      <c r="A2545" s="1">
        <v>42342.124768518515</v>
      </c>
      <c r="B2545" s="2">
        <v>6.134259259259259E-4</v>
      </c>
      <c r="C2545" t="s">
        <v>4563</v>
      </c>
      <c r="D2545" t="s">
        <v>35</v>
      </c>
      <c r="E2545" t="s">
        <v>36</v>
      </c>
      <c r="F2545" t="s">
        <v>4564</v>
      </c>
      <c r="G2545">
        <v>2058082</v>
      </c>
      <c r="H2545" t="s">
        <v>45</v>
      </c>
      <c r="I2545" t="s">
        <v>172</v>
      </c>
      <c r="J2545" t="str">
        <f>"9781472442574"</f>
        <v>9781472442574</v>
      </c>
      <c r="K2545" t="s">
        <v>4565</v>
      </c>
      <c r="L2545">
        <v>5</v>
      </c>
      <c r="N2545" t="s">
        <v>4566</v>
      </c>
      <c r="O2545" t="s">
        <v>28</v>
      </c>
      <c r="P2545" t="s">
        <v>47</v>
      </c>
      <c r="Q2545" s="1">
        <v>42342.124768518515</v>
      </c>
      <c r="R2545">
        <v>1</v>
      </c>
      <c r="S2545" t="s">
        <v>40</v>
      </c>
      <c r="T2545" t="s">
        <v>4567</v>
      </c>
      <c r="U2545">
        <v>941.5</v>
      </c>
      <c r="V2545" s="3">
        <v>42213</v>
      </c>
    </row>
    <row r="2546" spans="1:22" x14ac:dyDescent="0.35">
      <c r="A2546" s="1">
        <v>42342.124768518515</v>
      </c>
      <c r="B2546" s="2">
        <v>0</v>
      </c>
      <c r="C2546" t="s">
        <v>4563</v>
      </c>
      <c r="D2546" t="s">
        <v>35</v>
      </c>
      <c r="E2546" t="s">
        <v>36</v>
      </c>
      <c r="F2546" t="s">
        <v>4564</v>
      </c>
      <c r="G2546">
        <v>2058082</v>
      </c>
      <c r="H2546" t="s">
        <v>45</v>
      </c>
      <c r="I2546" t="s">
        <v>172</v>
      </c>
      <c r="J2546" t="str">
        <f>"9781472442574"</f>
        <v>9781472442574</v>
      </c>
      <c r="L2546">
        <v>0</v>
      </c>
      <c r="O2546" t="s">
        <v>30</v>
      </c>
      <c r="P2546" t="s">
        <v>47</v>
      </c>
      <c r="Q2546" s="1">
        <v>42342.124768518515</v>
      </c>
      <c r="R2546">
        <v>1</v>
      </c>
      <c r="S2546" t="s">
        <v>40</v>
      </c>
      <c r="T2546" t="s">
        <v>4567</v>
      </c>
      <c r="U2546">
        <v>941.5</v>
      </c>
      <c r="V2546" s="3">
        <v>42213</v>
      </c>
    </row>
    <row r="2547" spans="1:22" x14ac:dyDescent="0.35">
      <c r="A2547" s="1">
        <v>42342.123912037037</v>
      </c>
      <c r="B2547" s="2">
        <v>8.564814814814815E-4</v>
      </c>
      <c r="C2547" t="s">
        <v>4563</v>
      </c>
      <c r="D2547" t="s">
        <v>35</v>
      </c>
      <c r="E2547" t="s">
        <v>36</v>
      </c>
      <c r="F2547" t="s">
        <v>4564</v>
      </c>
      <c r="G2547">
        <v>2058082</v>
      </c>
      <c r="H2547" t="s">
        <v>45</v>
      </c>
      <c r="I2547" t="s">
        <v>172</v>
      </c>
      <c r="J2547" t="str">
        <f>"9781472442574"</f>
        <v>9781472442574</v>
      </c>
      <c r="K2547" t="s">
        <v>4568</v>
      </c>
      <c r="L2547">
        <v>29</v>
      </c>
      <c r="O2547" t="s">
        <v>30</v>
      </c>
      <c r="P2547" t="s">
        <v>50</v>
      </c>
      <c r="S2547" t="s">
        <v>40</v>
      </c>
      <c r="T2547" t="s">
        <v>4567</v>
      </c>
      <c r="U2547">
        <v>941.5</v>
      </c>
      <c r="V2547" s="3">
        <v>42213</v>
      </c>
    </row>
    <row r="2548" spans="1:22" x14ac:dyDescent="0.35">
      <c r="A2548" s="1">
        <v>42342.116284722222</v>
      </c>
      <c r="B2548" s="2">
        <v>1.5856481481481479E-3</v>
      </c>
      <c r="C2548" t="s">
        <v>3948</v>
      </c>
      <c r="D2548" t="s">
        <v>1482</v>
      </c>
      <c r="E2548" t="s">
        <v>1483</v>
      </c>
      <c r="F2548" t="s">
        <v>3949</v>
      </c>
      <c r="G2548">
        <v>877713</v>
      </c>
      <c r="H2548" t="s">
        <v>149</v>
      </c>
      <c r="I2548" t="s">
        <v>172</v>
      </c>
      <c r="J2548" t="str">
        <f>"9781438138596"</f>
        <v>9781438138596</v>
      </c>
      <c r="K2548" t="s">
        <v>3950</v>
      </c>
      <c r="L2548">
        <v>24</v>
      </c>
      <c r="O2548" t="s">
        <v>30</v>
      </c>
      <c r="P2548" t="s">
        <v>29</v>
      </c>
      <c r="Q2548" s="1">
        <v>42340.143240740741</v>
      </c>
      <c r="R2548">
        <v>7</v>
      </c>
      <c r="S2548" t="s">
        <v>1485</v>
      </c>
      <c r="T2548" t="s">
        <v>3951</v>
      </c>
      <c r="U2548">
        <v>932.00300000000004</v>
      </c>
      <c r="V2548" s="3">
        <v>40909</v>
      </c>
    </row>
    <row r="2549" spans="1:22" x14ac:dyDescent="0.35">
      <c r="A2549" s="1">
        <v>42342.083761574075</v>
      </c>
      <c r="B2549" s="2">
        <v>7.6388888888888893E-4</v>
      </c>
      <c r="C2549" t="s">
        <v>106</v>
      </c>
      <c r="D2549" t="s">
        <v>23</v>
      </c>
      <c r="E2549" t="s">
        <v>24</v>
      </c>
      <c r="F2549" t="s">
        <v>4180</v>
      </c>
      <c r="G2549">
        <v>817932</v>
      </c>
      <c r="H2549" t="s">
        <v>26</v>
      </c>
      <c r="I2549" t="s">
        <v>276</v>
      </c>
      <c r="J2549" t="str">
        <f>"9781118220146"</f>
        <v>9781118220146</v>
      </c>
      <c r="K2549" t="s">
        <v>4569</v>
      </c>
      <c r="L2549">
        <v>16</v>
      </c>
      <c r="O2549" t="s">
        <v>30</v>
      </c>
      <c r="P2549" t="s">
        <v>42</v>
      </c>
      <c r="S2549" t="s">
        <v>31</v>
      </c>
      <c r="T2549" t="s">
        <v>4182</v>
      </c>
      <c r="U2549">
        <v>5.133</v>
      </c>
      <c r="V2549" s="3">
        <v>40981</v>
      </c>
    </row>
    <row r="2550" spans="1:22" x14ac:dyDescent="0.35">
      <c r="A2550" s="1">
        <v>42342.075474537036</v>
      </c>
      <c r="B2550" s="2">
        <v>1.5046296296296297E-4</v>
      </c>
      <c r="C2550" t="s">
        <v>106</v>
      </c>
      <c r="D2550" t="s">
        <v>23</v>
      </c>
      <c r="E2550" t="s">
        <v>24</v>
      </c>
      <c r="F2550" t="s">
        <v>3228</v>
      </c>
      <c r="G2550">
        <v>1115640</v>
      </c>
      <c r="H2550" t="s">
        <v>26</v>
      </c>
      <c r="I2550" t="s">
        <v>3229</v>
      </c>
      <c r="J2550" t="str">
        <f>"9781118419090"</f>
        <v>9781118419090</v>
      </c>
      <c r="K2550" t="s">
        <v>86</v>
      </c>
      <c r="L2550">
        <v>5</v>
      </c>
      <c r="O2550" t="s">
        <v>30</v>
      </c>
      <c r="P2550" t="s">
        <v>42</v>
      </c>
      <c r="S2550" t="s">
        <v>31</v>
      </c>
      <c r="T2550" t="s">
        <v>3231</v>
      </c>
      <c r="U2550">
        <v>624</v>
      </c>
      <c r="V2550" s="3">
        <v>41296</v>
      </c>
    </row>
    <row r="2551" spans="1:22" x14ac:dyDescent="0.35">
      <c r="A2551" s="1">
        <v>42342.054652777777</v>
      </c>
      <c r="B2551" s="2">
        <v>1.8101851851851852E-2</v>
      </c>
      <c r="C2551" t="s">
        <v>4514</v>
      </c>
      <c r="D2551" t="s">
        <v>35</v>
      </c>
      <c r="E2551" t="s">
        <v>36</v>
      </c>
      <c r="F2551" t="s">
        <v>4522</v>
      </c>
      <c r="G2551">
        <v>668746</v>
      </c>
      <c r="H2551" t="s">
        <v>68</v>
      </c>
      <c r="I2551" t="s">
        <v>69</v>
      </c>
      <c r="J2551" t="str">
        <f>"9780203821411"</f>
        <v>9780203821411</v>
      </c>
      <c r="K2551" t="s">
        <v>4570</v>
      </c>
      <c r="L2551">
        <v>46</v>
      </c>
      <c r="O2551" t="s">
        <v>30</v>
      </c>
      <c r="P2551" t="s">
        <v>47</v>
      </c>
      <c r="Q2551" s="1">
        <v>42342.054652777777</v>
      </c>
      <c r="R2551">
        <v>1</v>
      </c>
      <c r="S2551" t="s">
        <v>40</v>
      </c>
      <c r="T2551" t="s">
        <v>4524</v>
      </c>
      <c r="U2551" t="s">
        <v>4525</v>
      </c>
      <c r="V2551" s="3">
        <v>41522</v>
      </c>
    </row>
    <row r="2552" spans="1:22" x14ac:dyDescent="0.35">
      <c r="A2552" s="1">
        <v>42342.048263888886</v>
      </c>
      <c r="B2552" s="2">
        <v>0.11008101851851852</v>
      </c>
      <c r="C2552" t="s">
        <v>4571</v>
      </c>
      <c r="D2552" t="s">
        <v>35</v>
      </c>
      <c r="E2552" t="s">
        <v>36</v>
      </c>
      <c r="F2552" t="s">
        <v>4572</v>
      </c>
      <c r="G2552">
        <v>1046302</v>
      </c>
      <c r="H2552" t="s">
        <v>84</v>
      </c>
      <c r="I2552" t="s">
        <v>1434</v>
      </c>
      <c r="J2552" t="str">
        <f>"9780520953543"</f>
        <v>9780520953543</v>
      </c>
      <c r="K2552" t="s">
        <v>4573</v>
      </c>
      <c r="L2552">
        <v>32</v>
      </c>
      <c r="O2552" t="s">
        <v>30</v>
      </c>
      <c r="P2552" t="s">
        <v>29</v>
      </c>
      <c r="Q2552" s="1">
        <v>42338.831782407404</v>
      </c>
      <c r="R2552">
        <v>7</v>
      </c>
      <c r="S2552" t="s">
        <v>40</v>
      </c>
      <c r="T2552" t="s">
        <v>4574</v>
      </c>
      <c r="U2552">
        <v>322.420973</v>
      </c>
      <c r="V2552" s="3">
        <v>41288</v>
      </c>
    </row>
    <row r="2553" spans="1:22" x14ac:dyDescent="0.35">
      <c r="A2553" s="1">
        <v>42342.045972222222</v>
      </c>
      <c r="B2553" s="2">
        <v>2.1180555555555553E-3</v>
      </c>
      <c r="C2553" t="s">
        <v>4571</v>
      </c>
      <c r="D2553" t="s">
        <v>35</v>
      </c>
      <c r="E2553" t="s">
        <v>36</v>
      </c>
      <c r="F2553" t="s">
        <v>4572</v>
      </c>
      <c r="G2553">
        <v>1046302</v>
      </c>
      <c r="H2553" t="s">
        <v>84</v>
      </c>
      <c r="I2553" t="s">
        <v>1434</v>
      </c>
      <c r="J2553" t="str">
        <f>"9780520953543"</f>
        <v>9780520953543</v>
      </c>
      <c r="K2553" t="s">
        <v>4575</v>
      </c>
      <c r="L2553">
        <v>32</v>
      </c>
      <c r="O2553" t="s">
        <v>30</v>
      </c>
      <c r="P2553" t="s">
        <v>29</v>
      </c>
      <c r="Q2553" s="1">
        <v>42338.831782407404</v>
      </c>
      <c r="R2553">
        <v>7</v>
      </c>
      <c r="S2553" t="s">
        <v>40</v>
      </c>
      <c r="T2553" t="s">
        <v>4574</v>
      </c>
      <c r="U2553">
        <v>322.420973</v>
      </c>
      <c r="V2553" s="3">
        <v>41288</v>
      </c>
    </row>
    <row r="2554" spans="1:22" x14ac:dyDescent="0.35">
      <c r="A2554" s="1">
        <v>42342.038680555554</v>
      </c>
      <c r="B2554" s="2">
        <v>1.1574074074074073E-5</v>
      </c>
      <c r="C2554" t="s">
        <v>4551</v>
      </c>
      <c r="D2554" t="s">
        <v>35</v>
      </c>
      <c r="E2554" t="s">
        <v>36</v>
      </c>
      <c r="F2554" t="s">
        <v>4576</v>
      </c>
      <c r="G2554">
        <v>1583404</v>
      </c>
      <c r="H2554" t="s">
        <v>68</v>
      </c>
      <c r="I2554" t="s">
        <v>267</v>
      </c>
      <c r="J2554" t="str">
        <f>"9781317840022"</f>
        <v>9781317840022</v>
      </c>
      <c r="K2554" t="s">
        <v>4577</v>
      </c>
      <c r="L2554">
        <v>3</v>
      </c>
      <c r="O2554" t="s">
        <v>30</v>
      </c>
      <c r="P2554" t="s">
        <v>47</v>
      </c>
      <c r="Q2554" s="1">
        <v>42342.038680555554</v>
      </c>
      <c r="R2554">
        <v>1</v>
      </c>
      <c r="S2554" t="s">
        <v>40</v>
      </c>
      <c r="T2554" t="s">
        <v>4578</v>
      </c>
      <c r="U2554">
        <v>363.125</v>
      </c>
      <c r="V2554" s="3">
        <v>41627</v>
      </c>
    </row>
    <row r="2555" spans="1:22" x14ac:dyDescent="0.35">
      <c r="A2555" s="1">
        <v>42342.033680555556</v>
      </c>
      <c r="B2555" s="2">
        <v>2.0972222222222222E-2</v>
      </c>
      <c r="C2555" t="s">
        <v>4514</v>
      </c>
      <c r="D2555" t="s">
        <v>35</v>
      </c>
      <c r="E2555" t="s">
        <v>36</v>
      </c>
      <c r="F2555" t="s">
        <v>4522</v>
      </c>
      <c r="G2555">
        <v>668746</v>
      </c>
      <c r="H2555" t="s">
        <v>68</v>
      </c>
      <c r="I2555" t="s">
        <v>69</v>
      </c>
      <c r="J2555" t="str">
        <f>"9780203821411"</f>
        <v>9780203821411</v>
      </c>
      <c r="K2555" t="s">
        <v>2169</v>
      </c>
      <c r="L2555">
        <v>32</v>
      </c>
      <c r="O2555" t="s">
        <v>30</v>
      </c>
      <c r="P2555" t="s">
        <v>50</v>
      </c>
      <c r="S2555" t="s">
        <v>40</v>
      </c>
      <c r="T2555" t="s">
        <v>4524</v>
      </c>
      <c r="U2555" t="s">
        <v>4525</v>
      </c>
      <c r="V2555" s="3">
        <v>41522</v>
      </c>
    </row>
    <row r="2556" spans="1:22" x14ac:dyDescent="0.35">
      <c r="A2556" s="1">
        <v>42342.016701388886</v>
      </c>
      <c r="B2556" s="2">
        <v>2.1979166666666664E-2</v>
      </c>
      <c r="C2556" t="s">
        <v>4551</v>
      </c>
      <c r="D2556" t="s">
        <v>35</v>
      </c>
      <c r="E2556" t="s">
        <v>36</v>
      </c>
      <c r="F2556" t="s">
        <v>4576</v>
      </c>
      <c r="G2556">
        <v>1583404</v>
      </c>
      <c r="H2556" t="s">
        <v>68</v>
      </c>
      <c r="I2556" t="s">
        <v>267</v>
      </c>
      <c r="J2556" t="str">
        <f>"9781317840022"</f>
        <v>9781317840022</v>
      </c>
      <c r="K2556" t="s">
        <v>2322</v>
      </c>
      <c r="L2556">
        <v>23</v>
      </c>
      <c r="O2556" t="s">
        <v>30</v>
      </c>
      <c r="P2556" t="s">
        <v>50</v>
      </c>
      <c r="S2556" t="s">
        <v>40</v>
      </c>
      <c r="T2556" t="s">
        <v>4578</v>
      </c>
      <c r="U2556">
        <v>363.125</v>
      </c>
      <c r="V2556" s="3">
        <v>41627</v>
      </c>
    </row>
    <row r="2557" spans="1:22" x14ac:dyDescent="0.35">
      <c r="A2557" s="1">
        <v>42342.012743055559</v>
      </c>
      <c r="B2557" s="2">
        <v>3.471064814814815E-2</v>
      </c>
      <c r="C2557" t="s">
        <v>4205</v>
      </c>
      <c r="D2557" t="s">
        <v>597</v>
      </c>
      <c r="E2557" t="s">
        <v>598</v>
      </c>
      <c r="F2557" t="s">
        <v>111</v>
      </c>
      <c r="G2557">
        <v>693176</v>
      </c>
      <c r="H2557" t="s">
        <v>26</v>
      </c>
      <c r="I2557" t="s">
        <v>112</v>
      </c>
      <c r="J2557" t="str">
        <f>"9781118017746"</f>
        <v>9781118017746</v>
      </c>
      <c r="K2557" t="s">
        <v>4579</v>
      </c>
      <c r="L2557">
        <v>79</v>
      </c>
      <c r="O2557" t="s">
        <v>30</v>
      </c>
      <c r="P2557" t="s">
        <v>29</v>
      </c>
      <c r="Q2557" s="1">
        <v>42338.046597222223</v>
      </c>
      <c r="R2557">
        <v>7</v>
      </c>
      <c r="S2557" t="s">
        <v>600</v>
      </c>
      <c r="T2557" t="s">
        <v>114</v>
      </c>
      <c r="U2557" t="s">
        <v>115</v>
      </c>
      <c r="V2557" s="3">
        <v>40835</v>
      </c>
    </row>
    <row r="2558" spans="1:22" x14ac:dyDescent="0.35">
      <c r="A2558" s="1">
        <v>42342.010636574072</v>
      </c>
      <c r="B2558" s="2">
        <v>3.1250000000000001E-4</v>
      </c>
      <c r="C2558" t="s">
        <v>4580</v>
      </c>
      <c r="D2558" t="s">
        <v>35</v>
      </c>
      <c r="E2558" t="s">
        <v>36</v>
      </c>
      <c r="F2558" t="s">
        <v>4581</v>
      </c>
      <c r="G2558">
        <v>1323268</v>
      </c>
      <c r="H2558" t="s">
        <v>68</v>
      </c>
      <c r="I2558" t="s">
        <v>97</v>
      </c>
      <c r="J2558" t="str">
        <f>"9781135076467"</f>
        <v>9781135076467</v>
      </c>
      <c r="K2558" t="s">
        <v>4582</v>
      </c>
      <c r="L2558">
        <v>15</v>
      </c>
      <c r="O2558" t="s">
        <v>30</v>
      </c>
      <c r="P2558" t="s">
        <v>50</v>
      </c>
      <c r="S2558" t="s">
        <v>40</v>
      </c>
      <c r="T2558" t="s">
        <v>4583</v>
      </c>
      <c r="U2558">
        <v>658.3</v>
      </c>
      <c r="V2558" s="3">
        <v>41479</v>
      </c>
    </row>
    <row r="2559" spans="1:22" x14ac:dyDescent="0.35">
      <c r="A2559" s="1">
        <v>42341.996365740742</v>
      </c>
      <c r="B2559" s="2">
        <v>6.9444444444444447E-4</v>
      </c>
      <c r="C2559" t="s">
        <v>3938</v>
      </c>
      <c r="D2559" t="s">
        <v>623</v>
      </c>
      <c r="E2559" t="s">
        <v>624</v>
      </c>
      <c r="F2559" t="s">
        <v>3179</v>
      </c>
      <c r="G2559">
        <v>1172554</v>
      </c>
      <c r="H2559" t="s">
        <v>1365</v>
      </c>
      <c r="I2559" t="s">
        <v>172</v>
      </c>
      <c r="J2559" t="str">
        <f>""</f>
        <v/>
      </c>
      <c r="K2559" t="s">
        <v>4584</v>
      </c>
      <c r="L2559">
        <v>16</v>
      </c>
      <c r="O2559" t="s">
        <v>30</v>
      </c>
      <c r="P2559" t="s">
        <v>42</v>
      </c>
      <c r="S2559" t="s">
        <v>627</v>
      </c>
      <c r="T2559" t="s">
        <v>3182</v>
      </c>
      <c r="U2559" t="s">
        <v>3183</v>
      </c>
      <c r="V2559" s="3">
        <v>41375</v>
      </c>
    </row>
    <row r="2560" spans="1:22" x14ac:dyDescent="0.35">
      <c r="A2560" s="1">
        <v>42341.99560185185</v>
      </c>
      <c r="B2560" s="2">
        <v>0</v>
      </c>
      <c r="C2560" t="s">
        <v>4585</v>
      </c>
      <c r="D2560" t="s">
        <v>1222</v>
      </c>
      <c r="E2560" t="s">
        <v>1223</v>
      </c>
      <c r="F2560" t="s">
        <v>986</v>
      </c>
      <c r="G2560">
        <v>968030</v>
      </c>
      <c r="H2560" t="s">
        <v>26</v>
      </c>
      <c r="I2560" t="s">
        <v>219</v>
      </c>
      <c r="J2560" t="str">
        <f>"9781118285138"</f>
        <v>9781118285138</v>
      </c>
      <c r="L2560">
        <v>0</v>
      </c>
      <c r="O2560" t="s">
        <v>28</v>
      </c>
      <c r="P2560" t="s">
        <v>29</v>
      </c>
      <c r="Q2560" s="1">
        <v>42341.993159722224</v>
      </c>
      <c r="R2560">
        <v>7</v>
      </c>
      <c r="S2560" t="s">
        <v>1226</v>
      </c>
      <c r="T2560" t="s">
        <v>987</v>
      </c>
      <c r="U2560">
        <v>158.30000000000001</v>
      </c>
      <c r="V2560" s="3">
        <v>41100</v>
      </c>
    </row>
    <row r="2561" spans="1:22" x14ac:dyDescent="0.35">
      <c r="A2561" s="1">
        <v>42341.995254629626</v>
      </c>
      <c r="B2561" s="2">
        <v>3.4722222222222222E-5</v>
      </c>
      <c r="C2561" t="s">
        <v>4585</v>
      </c>
      <c r="D2561" t="s">
        <v>1222</v>
      </c>
      <c r="E2561" t="s">
        <v>1223</v>
      </c>
      <c r="F2561" t="s">
        <v>986</v>
      </c>
      <c r="G2561">
        <v>968030</v>
      </c>
      <c r="H2561" t="s">
        <v>26</v>
      </c>
      <c r="I2561" t="s">
        <v>219</v>
      </c>
      <c r="J2561" t="str">
        <f>"9781118285138"</f>
        <v>9781118285138</v>
      </c>
      <c r="K2561" t="s">
        <v>33</v>
      </c>
      <c r="L2561">
        <v>3</v>
      </c>
      <c r="O2561" t="s">
        <v>30</v>
      </c>
      <c r="P2561" t="s">
        <v>29</v>
      </c>
      <c r="Q2561" s="1">
        <v>42341.993159722224</v>
      </c>
      <c r="R2561">
        <v>7</v>
      </c>
      <c r="S2561" t="s">
        <v>1226</v>
      </c>
      <c r="T2561" t="s">
        <v>987</v>
      </c>
      <c r="U2561">
        <v>158.30000000000001</v>
      </c>
      <c r="V2561" s="3">
        <v>41100</v>
      </c>
    </row>
    <row r="2562" spans="1:22" x14ac:dyDescent="0.35">
      <c r="A2562" s="1">
        <v>42341.993576388886</v>
      </c>
      <c r="B2562" s="2">
        <v>5.7870370370370378E-4</v>
      </c>
      <c r="C2562" t="s">
        <v>106</v>
      </c>
      <c r="D2562" t="s">
        <v>23</v>
      </c>
      <c r="E2562" t="s">
        <v>24</v>
      </c>
      <c r="F2562" t="s">
        <v>2191</v>
      </c>
      <c r="G2562">
        <v>1691133</v>
      </c>
      <c r="H2562" t="s">
        <v>91</v>
      </c>
      <c r="I2562" t="s">
        <v>247</v>
      </c>
      <c r="J2562" t="str">
        <f>"9781462516278"</f>
        <v>9781462516278</v>
      </c>
      <c r="K2562" t="s">
        <v>4586</v>
      </c>
      <c r="L2562">
        <v>10</v>
      </c>
      <c r="O2562" t="s">
        <v>30</v>
      </c>
      <c r="P2562" t="s">
        <v>29</v>
      </c>
      <c r="Q2562" s="1">
        <v>42341.993576388886</v>
      </c>
      <c r="R2562">
        <v>7</v>
      </c>
      <c r="S2562" t="s">
        <v>31</v>
      </c>
      <c r="T2562" t="s">
        <v>2194</v>
      </c>
      <c r="U2562" t="s">
        <v>2195</v>
      </c>
      <c r="V2562" s="3">
        <v>41774</v>
      </c>
    </row>
    <row r="2563" spans="1:22" x14ac:dyDescent="0.35">
      <c r="A2563" s="1">
        <v>42341.993159722224</v>
      </c>
      <c r="B2563" s="2">
        <v>4.5138888888888892E-4</v>
      </c>
      <c r="C2563" t="s">
        <v>4585</v>
      </c>
      <c r="D2563" t="s">
        <v>1222</v>
      </c>
      <c r="E2563" t="s">
        <v>1223</v>
      </c>
      <c r="F2563" t="s">
        <v>986</v>
      </c>
      <c r="G2563">
        <v>968030</v>
      </c>
      <c r="H2563" t="s">
        <v>26</v>
      </c>
      <c r="I2563" t="s">
        <v>219</v>
      </c>
      <c r="J2563" t="str">
        <f>"9781118285138"</f>
        <v>9781118285138</v>
      </c>
      <c r="K2563" t="s">
        <v>4587</v>
      </c>
      <c r="L2563">
        <v>8</v>
      </c>
      <c r="O2563" t="s">
        <v>28</v>
      </c>
      <c r="P2563" t="s">
        <v>29</v>
      </c>
      <c r="Q2563" s="1">
        <v>42341.993159722224</v>
      </c>
      <c r="R2563">
        <v>7</v>
      </c>
      <c r="S2563" t="s">
        <v>1226</v>
      </c>
      <c r="T2563" t="s">
        <v>987</v>
      </c>
      <c r="U2563">
        <v>158.30000000000001</v>
      </c>
      <c r="V2563" s="3">
        <v>41100</v>
      </c>
    </row>
    <row r="2564" spans="1:22" x14ac:dyDescent="0.35">
      <c r="A2564" s="1">
        <v>42341.993159722224</v>
      </c>
      <c r="B2564" s="2">
        <v>0</v>
      </c>
      <c r="C2564" t="s">
        <v>4585</v>
      </c>
      <c r="D2564" t="s">
        <v>1222</v>
      </c>
      <c r="E2564" t="s">
        <v>1223</v>
      </c>
      <c r="F2564" t="s">
        <v>986</v>
      </c>
      <c r="G2564">
        <v>968030</v>
      </c>
      <c r="H2564" t="s">
        <v>26</v>
      </c>
      <c r="I2564" t="s">
        <v>219</v>
      </c>
      <c r="J2564" t="str">
        <f>"9781118285138"</f>
        <v>9781118285138</v>
      </c>
      <c r="L2564">
        <v>0</v>
      </c>
      <c r="O2564" t="s">
        <v>30</v>
      </c>
      <c r="P2564" t="s">
        <v>29</v>
      </c>
      <c r="Q2564" s="1">
        <v>42341.993159722224</v>
      </c>
      <c r="R2564">
        <v>7</v>
      </c>
      <c r="S2564" t="s">
        <v>1226</v>
      </c>
      <c r="T2564" t="s">
        <v>987</v>
      </c>
      <c r="U2564">
        <v>158.30000000000001</v>
      </c>
      <c r="V2564" s="3">
        <v>41100</v>
      </c>
    </row>
    <row r="2565" spans="1:22" x14ac:dyDescent="0.35">
      <c r="A2565" s="1">
        <v>42341.992337962962</v>
      </c>
      <c r="B2565" s="2">
        <v>8.1018518518518516E-4</v>
      </c>
      <c r="C2565" t="s">
        <v>4585</v>
      </c>
      <c r="D2565" t="s">
        <v>1222</v>
      </c>
      <c r="E2565" t="s">
        <v>1223</v>
      </c>
      <c r="F2565" t="s">
        <v>986</v>
      </c>
      <c r="G2565">
        <v>968030</v>
      </c>
      <c r="H2565" t="s">
        <v>26</v>
      </c>
      <c r="I2565" t="s">
        <v>219</v>
      </c>
      <c r="J2565" t="str">
        <f>"9781118285138"</f>
        <v>9781118285138</v>
      </c>
      <c r="K2565" t="s">
        <v>4588</v>
      </c>
      <c r="L2565">
        <v>44</v>
      </c>
      <c r="O2565" t="s">
        <v>30</v>
      </c>
      <c r="P2565" t="s">
        <v>42</v>
      </c>
      <c r="S2565" t="s">
        <v>1226</v>
      </c>
      <c r="T2565" t="s">
        <v>987</v>
      </c>
      <c r="U2565">
        <v>158.30000000000001</v>
      </c>
      <c r="V2565" s="3">
        <v>41100</v>
      </c>
    </row>
    <row r="2566" spans="1:22" x14ac:dyDescent="0.35">
      <c r="A2566" s="1">
        <v>42341.977858796294</v>
      </c>
      <c r="B2566" s="2">
        <v>1.5717592592592592E-2</v>
      </c>
      <c r="C2566" t="s">
        <v>106</v>
      </c>
      <c r="D2566" t="s">
        <v>23</v>
      </c>
      <c r="E2566" t="s">
        <v>24</v>
      </c>
      <c r="F2566" t="s">
        <v>2191</v>
      </c>
      <c r="G2566">
        <v>1691133</v>
      </c>
      <c r="H2566" t="s">
        <v>91</v>
      </c>
      <c r="I2566" t="s">
        <v>247</v>
      </c>
      <c r="J2566" t="str">
        <f>"9781462516278"</f>
        <v>9781462516278</v>
      </c>
      <c r="K2566" t="s">
        <v>4589</v>
      </c>
      <c r="L2566">
        <v>13</v>
      </c>
      <c r="O2566" t="s">
        <v>30</v>
      </c>
      <c r="P2566" t="s">
        <v>42</v>
      </c>
      <c r="S2566" t="s">
        <v>31</v>
      </c>
      <c r="T2566" t="s">
        <v>2194</v>
      </c>
      <c r="U2566" t="s">
        <v>2195</v>
      </c>
      <c r="V2566" s="3">
        <v>41774</v>
      </c>
    </row>
    <row r="2567" spans="1:22" x14ac:dyDescent="0.35">
      <c r="A2567" s="1">
        <v>42341.966805555552</v>
      </c>
      <c r="B2567" s="2">
        <v>1.2268518518518518E-3</v>
      </c>
      <c r="C2567" t="s">
        <v>4590</v>
      </c>
      <c r="D2567" t="s">
        <v>23</v>
      </c>
      <c r="E2567" t="s">
        <v>24</v>
      </c>
      <c r="F2567" t="s">
        <v>3228</v>
      </c>
      <c r="G2567">
        <v>1115640</v>
      </c>
      <c r="H2567" t="s">
        <v>26</v>
      </c>
      <c r="I2567" t="s">
        <v>3229</v>
      </c>
      <c r="J2567" t="str">
        <f>"9781118419090"</f>
        <v>9781118419090</v>
      </c>
      <c r="K2567" t="s">
        <v>4591</v>
      </c>
      <c r="L2567">
        <v>16</v>
      </c>
      <c r="O2567" t="s">
        <v>30</v>
      </c>
      <c r="P2567" t="s">
        <v>29</v>
      </c>
      <c r="Q2567" s="1">
        <v>42341.966805555552</v>
      </c>
      <c r="R2567">
        <v>7</v>
      </c>
      <c r="S2567" t="s">
        <v>31</v>
      </c>
      <c r="T2567" t="s">
        <v>3231</v>
      </c>
      <c r="U2567">
        <v>624</v>
      </c>
      <c r="V2567" s="3">
        <v>41296</v>
      </c>
    </row>
    <row r="2568" spans="1:22" x14ac:dyDescent="0.35">
      <c r="A2568" s="1">
        <v>42341.92864583333</v>
      </c>
      <c r="B2568" s="2">
        <v>2.2789351851851852E-2</v>
      </c>
      <c r="C2568" t="s">
        <v>4571</v>
      </c>
      <c r="D2568" t="s">
        <v>35</v>
      </c>
      <c r="E2568" t="s">
        <v>36</v>
      </c>
      <c r="F2568" t="s">
        <v>4572</v>
      </c>
      <c r="G2568">
        <v>1046302</v>
      </c>
      <c r="H2568" t="s">
        <v>84</v>
      </c>
      <c r="I2568" t="s">
        <v>1434</v>
      </c>
      <c r="J2568" t="str">
        <f>"9780520953543"</f>
        <v>9780520953543</v>
      </c>
      <c r="K2568" t="s">
        <v>4592</v>
      </c>
      <c r="L2568">
        <v>30</v>
      </c>
      <c r="O2568" t="s">
        <v>30</v>
      </c>
      <c r="P2568" t="s">
        <v>29</v>
      </c>
      <c r="Q2568" s="1">
        <v>42338.831782407404</v>
      </c>
      <c r="R2568">
        <v>7</v>
      </c>
      <c r="S2568" t="s">
        <v>40</v>
      </c>
      <c r="T2568" t="s">
        <v>4574</v>
      </c>
      <c r="U2568">
        <v>322.420973</v>
      </c>
      <c r="V2568" s="3">
        <v>41288</v>
      </c>
    </row>
    <row r="2569" spans="1:22" x14ac:dyDescent="0.35">
      <c r="A2569" s="1">
        <v>42341.926932870374</v>
      </c>
      <c r="B2569" s="2">
        <v>0.1983449074074074</v>
      </c>
      <c r="C2569" t="s">
        <v>106</v>
      </c>
      <c r="D2569" t="s">
        <v>23</v>
      </c>
      <c r="E2569" t="s">
        <v>24</v>
      </c>
      <c r="F2569" t="s">
        <v>78</v>
      </c>
      <c r="G2569">
        <v>1635363</v>
      </c>
      <c r="H2569" t="s">
        <v>26</v>
      </c>
      <c r="I2569" t="s">
        <v>79</v>
      </c>
      <c r="J2569" t="str">
        <f>"9781118678206"</f>
        <v>9781118678206</v>
      </c>
      <c r="K2569" t="s">
        <v>4593</v>
      </c>
      <c r="L2569">
        <v>71</v>
      </c>
      <c r="O2569" t="s">
        <v>30</v>
      </c>
      <c r="P2569" t="s">
        <v>29</v>
      </c>
      <c r="Q2569" s="1">
        <v>42337.939270833333</v>
      </c>
      <c r="R2569">
        <v>7</v>
      </c>
      <c r="S2569" t="s">
        <v>31</v>
      </c>
      <c r="T2569" t="s">
        <v>81</v>
      </c>
      <c r="U2569">
        <v>340.07600000000002</v>
      </c>
      <c r="V2569" s="3">
        <v>41684</v>
      </c>
    </row>
    <row r="2570" spans="1:22" x14ac:dyDescent="0.35">
      <c r="A2570" s="1">
        <v>42341.923784722225</v>
      </c>
      <c r="B2570" s="2">
        <v>4.3020833333333335E-2</v>
      </c>
      <c r="C2570" t="s">
        <v>4590</v>
      </c>
      <c r="D2570" t="s">
        <v>23</v>
      </c>
      <c r="E2570" t="s">
        <v>24</v>
      </c>
      <c r="F2570" t="s">
        <v>3228</v>
      </c>
      <c r="G2570">
        <v>1115640</v>
      </c>
      <c r="H2570" t="s">
        <v>26</v>
      </c>
      <c r="I2570" t="s">
        <v>3229</v>
      </c>
      <c r="J2570" t="str">
        <f>"9781118419090"</f>
        <v>9781118419090</v>
      </c>
      <c r="K2570" t="s">
        <v>611</v>
      </c>
      <c r="L2570">
        <v>3</v>
      </c>
      <c r="O2570" t="s">
        <v>30</v>
      </c>
      <c r="P2570" t="s">
        <v>42</v>
      </c>
      <c r="S2570" t="s">
        <v>31</v>
      </c>
      <c r="T2570" t="s">
        <v>3231</v>
      </c>
      <c r="U2570">
        <v>624</v>
      </c>
      <c r="V2570" s="3">
        <v>41296</v>
      </c>
    </row>
    <row r="2571" spans="1:22" x14ac:dyDescent="0.35">
      <c r="A2571" s="1">
        <v>42341.881238425929</v>
      </c>
      <c r="B2571" s="2">
        <v>3.7037037037037034E-3</v>
      </c>
      <c r="C2571" t="s">
        <v>106</v>
      </c>
      <c r="D2571" t="s">
        <v>23</v>
      </c>
      <c r="E2571" t="s">
        <v>24</v>
      </c>
      <c r="F2571" t="s">
        <v>4594</v>
      </c>
      <c r="G2571">
        <v>1872281</v>
      </c>
      <c r="H2571" t="s">
        <v>91</v>
      </c>
      <c r="I2571" t="s">
        <v>2133</v>
      </c>
      <c r="J2571" t="str">
        <f>"9781462519606"</f>
        <v>9781462519606</v>
      </c>
      <c r="K2571" t="s">
        <v>4595</v>
      </c>
      <c r="L2571">
        <v>17</v>
      </c>
      <c r="O2571" t="s">
        <v>30</v>
      </c>
      <c r="P2571" t="s">
        <v>42</v>
      </c>
      <c r="S2571" t="s">
        <v>31</v>
      </c>
      <c r="T2571" t="s">
        <v>4596</v>
      </c>
      <c r="U2571">
        <v>378.101</v>
      </c>
      <c r="V2571" s="3">
        <v>42150</v>
      </c>
    </row>
    <row r="2572" spans="1:22" x14ac:dyDescent="0.35">
      <c r="A2572" s="1">
        <v>42341.87400462963</v>
      </c>
      <c r="B2572" s="2">
        <v>1.4282407407407409E-2</v>
      </c>
      <c r="C2572" t="s">
        <v>3725</v>
      </c>
      <c r="D2572" t="s">
        <v>35</v>
      </c>
      <c r="E2572" t="s">
        <v>36</v>
      </c>
      <c r="F2572" t="s">
        <v>3726</v>
      </c>
      <c r="G2572">
        <v>4034662</v>
      </c>
      <c r="H2572" t="s">
        <v>26</v>
      </c>
      <c r="I2572" t="s">
        <v>3727</v>
      </c>
      <c r="J2572" t="str">
        <f>"9781118376720"</f>
        <v>9781118376720</v>
      </c>
      <c r="K2572" t="s">
        <v>4597</v>
      </c>
      <c r="L2572">
        <v>16</v>
      </c>
      <c r="O2572" t="s">
        <v>30</v>
      </c>
      <c r="P2572" t="s">
        <v>29</v>
      </c>
      <c r="Q2572" s="1">
        <v>42341.87400462963</v>
      </c>
      <c r="R2572">
        <v>7</v>
      </c>
      <c r="S2572" t="s">
        <v>40</v>
      </c>
      <c r="T2572" t="s">
        <v>3729</v>
      </c>
      <c r="U2572" t="s">
        <v>3730</v>
      </c>
      <c r="V2572" s="3">
        <v>42241</v>
      </c>
    </row>
    <row r="2573" spans="1:22" x14ac:dyDescent="0.35">
      <c r="A2573" s="1">
        <v>42341.873414351852</v>
      </c>
      <c r="B2573" s="2">
        <v>1.2962962962962963E-3</v>
      </c>
      <c r="C2573" t="s">
        <v>4537</v>
      </c>
      <c r="D2573" t="s">
        <v>23</v>
      </c>
      <c r="E2573" t="s">
        <v>24</v>
      </c>
      <c r="F2573" t="s">
        <v>52</v>
      </c>
      <c r="G2573">
        <v>822040</v>
      </c>
      <c r="H2573" t="s">
        <v>26</v>
      </c>
      <c r="I2573" t="s">
        <v>53</v>
      </c>
      <c r="J2573" t="str">
        <f>"9781118289099"</f>
        <v>9781118289099</v>
      </c>
      <c r="K2573" t="s">
        <v>4598</v>
      </c>
      <c r="L2573">
        <v>34</v>
      </c>
      <c r="N2573" t="s">
        <v>4599</v>
      </c>
      <c r="O2573" t="s">
        <v>30</v>
      </c>
      <c r="P2573" t="s">
        <v>29</v>
      </c>
      <c r="Q2573" s="1">
        <v>42341.873414351852</v>
      </c>
      <c r="R2573">
        <v>7</v>
      </c>
      <c r="S2573" t="s">
        <v>31</v>
      </c>
      <c r="T2573" t="s">
        <v>55</v>
      </c>
      <c r="U2573" t="s">
        <v>56</v>
      </c>
      <c r="V2573" s="3">
        <v>40990</v>
      </c>
    </row>
    <row r="2574" spans="1:22" x14ac:dyDescent="0.35">
      <c r="A2574" s="1">
        <v>42341.866793981484</v>
      </c>
      <c r="B2574" s="2">
        <v>7.2106481481481475E-3</v>
      </c>
      <c r="C2574" t="s">
        <v>3725</v>
      </c>
      <c r="D2574" t="s">
        <v>35</v>
      </c>
      <c r="E2574" t="s">
        <v>36</v>
      </c>
      <c r="F2574" t="s">
        <v>3726</v>
      </c>
      <c r="G2574">
        <v>4034662</v>
      </c>
      <c r="H2574" t="s">
        <v>26</v>
      </c>
      <c r="I2574" t="s">
        <v>3727</v>
      </c>
      <c r="J2574" t="str">
        <f>"9781118376720"</f>
        <v>9781118376720</v>
      </c>
      <c r="K2574" t="s">
        <v>4600</v>
      </c>
      <c r="L2574">
        <v>12</v>
      </c>
      <c r="O2574" t="s">
        <v>30</v>
      </c>
      <c r="P2574" t="s">
        <v>42</v>
      </c>
      <c r="S2574" t="s">
        <v>40</v>
      </c>
      <c r="T2574" t="s">
        <v>3729</v>
      </c>
      <c r="U2574" t="s">
        <v>3730</v>
      </c>
      <c r="V2574" s="3">
        <v>42241</v>
      </c>
    </row>
    <row r="2575" spans="1:22" x14ac:dyDescent="0.35">
      <c r="A2575" s="1">
        <v>42341.854467592595</v>
      </c>
      <c r="B2575" s="2">
        <v>4.0509259259259258E-4</v>
      </c>
      <c r="C2575" t="s">
        <v>3768</v>
      </c>
      <c r="D2575" t="s">
        <v>35</v>
      </c>
      <c r="E2575" t="s">
        <v>36</v>
      </c>
      <c r="F2575" t="s">
        <v>3769</v>
      </c>
      <c r="G2575">
        <v>1120507</v>
      </c>
      <c r="H2575" t="s">
        <v>613</v>
      </c>
      <c r="I2575" t="s">
        <v>120</v>
      </c>
      <c r="J2575" t="str">
        <f>"9781469607191"</f>
        <v>9781469607191</v>
      </c>
      <c r="K2575" t="s">
        <v>105</v>
      </c>
      <c r="L2575">
        <v>1</v>
      </c>
      <c r="O2575" t="s">
        <v>30</v>
      </c>
      <c r="P2575" t="s">
        <v>47</v>
      </c>
      <c r="Q2575" s="1">
        <v>42341.741018518522</v>
      </c>
      <c r="R2575">
        <v>1</v>
      </c>
      <c r="S2575" t="s">
        <v>40</v>
      </c>
      <c r="T2575" t="s">
        <v>3771</v>
      </c>
      <c r="U2575" t="s">
        <v>3772</v>
      </c>
      <c r="V2575" s="3">
        <v>41520</v>
      </c>
    </row>
    <row r="2576" spans="1:22" x14ac:dyDescent="0.35">
      <c r="A2576" s="1">
        <v>42341.850914351853</v>
      </c>
      <c r="B2576" s="2">
        <v>1.0416666666666667E-4</v>
      </c>
      <c r="C2576" t="s">
        <v>3454</v>
      </c>
      <c r="D2576" t="s">
        <v>23</v>
      </c>
      <c r="E2576" t="s">
        <v>24</v>
      </c>
      <c r="F2576" t="s">
        <v>4601</v>
      </c>
      <c r="G2576">
        <v>1962466</v>
      </c>
      <c r="H2576" t="s">
        <v>91</v>
      </c>
      <c r="I2576" t="s">
        <v>247</v>
      </c>
      <c r="J2576" t="str">
        <f>"9781462520442"</f>
        <v>9781462520442</v>
      </c>
      <c r="K2576" t="s">
        <v>889</v>
      </c>
      <c r="L2576">
        <v>6</v>
      </c>
      <c r="O2576" t="s">
        <v>30</v>
      </c>
      <c r="P2576" t="s">
        <v>50</v>
      </c>
      <c r="S2576" t="s">
        <v>31</v>
      </c>
      <c r="T2576" t="s">
        <v>4602</v>
      </c>
      <c r="U2576">
        <v>616.89505999999994</v>
      </c>
      <c r="V2576" s="3">
        <v>42005</v>
      </c>
    </row>
    <row r="2577" spans="1:22" x14ac:dyDescent="0.35">
      <c r="A2577" s="1">
        <v>42341.840081018519</v>
      </c>
      <c r="B2577" s="2">
        <v>1.9328703703703704E-3</v>
      </c>
      <c r="C2577" t="s">
        <v>3906</v>
      </c>
      <c r="D2577" t="s">
        <v>35</v>
      </c>
      <c r="E2577" t="s">
        <v>36</v>
      </c>
      <c r="F2577" t="s">
        <v>37</v>
      </c>
      <c r="G2577">
        <v>1684620</v>
      </c>
      <c r="H2577" t="s">
        <v>26</v>
      </c>
      <c r="I2577" t="s">
        <v>38</v>
      </c>
      <c r="J2577" t="str">
        <f>"9781118418925"</f>
        <v>9781118418925</v>
      </c>
      <c r="K2577" t="s">
        <v>4603</v>
      </c>
      <c r="L2577">
        <v>28</v>
      </c>
      <c r="O2577" t="s">
        <v>30</v>
      </c>
      <c r="P2577" t="s">
        <v>42</v>
      </c>
      <c r="S2577" t="s">
        <v>40</v>
      </c>
      <c r="T2577" t="s">
        <v>41</v>
      </c>
      <c r="U2577">
        <v>362.10680000000002</v>
      </c>
      <c r="V2577" s="3">
        <v>41759</v>
      </c>
    </row>
    <row r="2578" spans="1:22" x14ac:dyDescent="0.35">
      <c r="A2578" s="1">
        <v>42341.818298611113</v>
      </c>
      <c r="B2578" s="2">
        <v>5.5115740740740743E-2</v>
      </c>
      <c r="C2578" t="s">
        <v>4537</v>
      </c>
      <c r="D2578" t="s">
        <v>23</v>
      </c>
      <c r="E2578" t="s">
        <v>24</v>
      </c>
      <c r="F2578" t="s">
        <v>52</v>
      </c>
      <c r="G2578">
        <v>822040</v>
      </c>
      <c r="H2578" t="s">
        <v>26</v>
      </c>
      <c r="I2578" t="s">
        <v>53</v>
      </c>
      <c r="J2578" t="str">
        <f>"9781118289099"</f>
        <v>9781118289099</v>
      </c>
      <c r="K2578" t="s">
        <v>4604</v>
      </c>
      <c r="L2578">
        <v>14</v>
      </c>
      <c r="O2578" t="s">
        <v>30</v>
      </c>
      <c r="P2578" t="s">
        <v>42</v>
      </c>
      <c r="S2578" t="s">
        <v>31</v>
      </c>
      <c r="T2578" t="s">
        <v>55</v>
      </c>
      <c r="U2578" t="s">
        <v>56</v>
      </c>
      <c r="V2578" s="3">
        <v>40990</v>
      </c>
    </row>
    <row r="2579" spans="1:22" x14ac:dyDescent="0.35">
      <c r="A2579" s="1">
        <v>42341.800833333335</v>
      </c>
      <c r="B2579" s="2">
        <v>9.6064814814814808E-4</v>
      </c>
      <c r="C2579" t="s">
        <v>106</v>
      </c>
      <c r="D2579" t="s">
        <v>23</v>
      </c>
      <c r="E2579" t="s">
        <v>24</v>
      </c>
      <c r="F2579" t="s">
        <v>2733</v>
      </c>
      <c r="G2579">
        <v>1295002</v>
      </c>
      <c r="H2579" t="s">
        <v>26</v>
      </c>
      <c r="I2579" t="s">
        <v>120</v>
      </c>
      <c r="J2579" t="str">
        <f>"9780745674674"</f>
        <v>9780745674674</v>
      </c>
      <c r="K2579" t="s">
        <v>4605</v>
      </c>
      <c r="L2579">
        <v>24</v>
      </c>
      <c r="O2579" t="s">
        <v>30</v>
      </c>
      <c r="P2579" t="s">
        <v>42</v>
      </c>
      <c r="S2579" t="s">
        <v>31</v>
      </c>
      <c r="T2579" t="s">
        <v>2735</v>
      </c>
      <c r="U2579">
        <v>391.00900000000001</v>
      </c>
      <c r="V2579" s="3">
        <v>41393</v>
      </c>
    </row>
    <row r="2580" spans="1:22" x14ac:dyDescent="0.35">
      <c r="A2580" s="1">
        <v>42341.799837962964</v>
      </c>
      <c r="B2580" s="2">
        <v>1.4826388888888889E-2</v>
      </c>
      <c r="C2580" t="s">
        <v>4571</v>
      </c>
      <c r="D2580" t="s">
        <v>35</v>
      </c>
      <c r="E2580" t="s">
        <v>36</v>
      </c>
      <c r="F2580" t="s">
        <v>4572</v>
      </c>
      <c r="G2580">
        <v>1046302</v>
      </c>
      <c r="H2580" t="s">
        <v>84</v>
      </c>
      <c r="I2580" t="s">
        <v>1434</v>
      </c>
      <c r="J2580" t="str">
        <f>"9780520953543"</f>
        <v>9780520953543</v>
      </c>
      <c r="K2580" t="s">
        <v>4606</v>
      </c>
      <c r="L2580">
        <v>35</v>
      </c>
      <c r="O2580" t="s">
        <v>30</v>
      </c>
      <c r="P2580" t="s">
        <v>29</v>
      </c>
      <c r="Q2580" s="1">
        <v>42338.831782407404</v>
      </c>
      <c r="R2580">
        <v>7</v>
      </c>
      <c r="S2580" t="s">
        <v>40</v>
      </c>
      <c r="T2580" t="s">
        <v>4574</v>
      </c>
      <c r="U2580">
        <v>322.420973</v>
      </c>
      <c r="V2580" s="3">
        <v>41288</v>
      </c>
    </row>
    <row r="2581" spans="1:22" x14ac:dyDescent="0.35">
      <c r="A2581" s="1">
        <v>42341.761331018519</v>
      </c>
      <c r="B2581" s="2">
        <v>5.4513888888888884E-3</v>
      </c>
      <c r="C2581" t="s">
        <v>4004</v>
      </c>
      <c r="D2581" t="s">
        <v>35</v>
      </c>
      <c r="E2581" t="s">
        <v>36</v>
      </c>
      <c r="F2581" t="s">
        <v>1886</v>
      </c>
      <c r="G2581">
        <v>1692797</v>
      </c>
      <c r="H2581" t="s">
        <v>45</v>
      </c>
      <c r="I2581" t="s">
        <v>310</v>
      </c>
      <c r="J2581" t="str">
        <f>"9781472431509"</f>
        <v>9781472431509</v>
      </c>
      <c r="K2581" t="s">
        <v>4607</v>
      </c>
      <c r="L2581">
        <v>2</v>
      </c>
      <c r="O2581" t="s">
        <v>30</v>
      </c>
      <c r="P2581" t="s">
        <v>29</v>
      </c>
      <c r="Q2581" s="1">
        <v>42341.761331018519</v>
      </c>
      <c r="R2581">
        <v>7</v>
      </c>
      <c r="S2581" t="s">
        <v>40</v>
      </c>
      <c r="T2581" t="s">
        <v>1890</v>
      </c>
      <c r="U2581" t="s">
        <v>1891</v>
      </c>
      <c r="V2581" s="3">
        <v>41848</v>
      </c>
    </row>
    <row r="2582" spans="1:22" x14ac:dyDescent="0.35">
      <c r="A2582" s="1">
        <v>42341.747291666667</v>
      </c>
      <c r="B2582" s="2">
        <v>1.4039351851851851E-2</v>
      </c>
      <c r="C2582" t="s">
        <v>4004</v>
      </c>
      <c r="D2582" t="s">
        <v>35</v>
      </c>
      <c r="E2582" t="s">
        <v>36</v>
      </c>
      <c r="F2582" t="s">
        <v>1886</v>
      </c>
      <c r="G2582">
        <v>1692797</v>
      </c>
      <c r="H2582" t="s">
        <v>45</v>
      </c>
      <c r="I2582" t="s">
        <v>310</v>
      </c>
      <c r="J2582" t="str">
        <f>"9781472431509"</f>
        <v>9781472431509</v>
      </c>
      <c r="K2582" t="s">
        <v>4608</v>
      </c>
      <c r="L2582">
        <v>12</v>
      </c>
      <c r="O2582" t="s">
        <v>30</v>
      </c>
      <c r="P2582" t="s">
        <v>42</v>
      </c>
      <c r="S2582" t="s">
        <v>40</v>
      </c>
      <c r="T2582" t="s">
        <v>1890</v>
      </c>
      <c r="U2582" t="s">
        <v>1891</v>
      </c>
      <c r="V2582" s="3">
        <v>41848</v>
      </c>
    </row>
    <row r="2583" spans="1:22" x14ac:dyDescent="0.35">
      <c r="A2583" s="1">
        <v>42341.741018518522</v>
      </c>
      <c r="B2583" s="2">
        <v>9.4212962962962957E-3</v>
      </c>
      <c r="C2583" t="s">
        <v>3768</v>
      </c>
      <c r="D2583" t="s">
        <v>35</v>
      </c>
      <c r="E2583" t="s">
        <v>36</v>
      </c>
      <c r="F2583" t="s">
        <v>3769</v>
      </c>
      <c r="G2583">
        <v>1120507</v>
      </c>
      <c r="H2583" t="s">
        <v>613</v>
      </c>
      <c r="I2583" t="s">
        <v>120</v>
      </c>
      <c r="J2583" t="str">
        <f>"9781469607191"</f>
        <v>9781469607191</v>
      </c>
      <c r="K2583" t="s">
        <v>4609</v>
      </c>
      <c r="L2583">
        <v>21</v>
      </c>
      <c r="O2583" t="s">
        <v>30</v>
      </c>
      <c r="P2583" t="s">
        <v>47</v>
      </c>
      <c r="Q2583" s="1">
        <v>42341.741018518522</v>
      </c>
      <c r="R2583">
        <v>1</v>
      </c>
      <c r="S2583" t="s">
        <v>40</v>
      </c>
      <c r="T2583" t="s">
        <v>3771</v>
      </c>
      <c r="U2583" t="s">
        <v>3772</v>
      </c>
      <c r="V2583" s="3">
        <v>41520</v>
      </c>
    </row>
    <row r="2584" spans="1:22" x14ac:dyDescent="0.35">
      <c r="A2584" s="1">
        <v>42341.731805555559</v>
      </c>
      <c r="B2584" s="2">
        <v>9.2129629629629627E-3</v>
      </c>
      <c r="C2584" t="s">
        <v>3768</v>
      </c>
      <c r="D2584" t="s">
        <v>35</v>
      </c>
      <c r="E2584" t="s">
        <v>36</v>
      </c>
      <c r="F2584" t="s">
        <v>3769</v>
      </c>
      <c r="G2584">
        <v>1120507</v>
      </c>
      <c r="H2584" t="s">
        <v>613</v>
      </c>
      <c r="I2584" t="s">
        <v>120</v>
      </c>
      <c r="J2584" t="str">
        <f>"9781469607191"</f>
        <v>9781469607191</v>
      </c>
      <c r="K2584" t="s">
        <v>33</v>
      </c>
      <c r="L2584">
        <v>3</v>
      </c>
      <c r="O2584" t="s">
        <v>30</v>
      </c>
      <c r="P2584" t="s">
        <v>50</v>
      </c>
      <c r="S2584" t="s">
        <v>40</v>
      </c>
      <c r="T2584" t="s">
        <v>3771</v>
      </c>
      <c r="U2584" t="s">
        <v>3772</v>
      </c>
      <c r="V2584" s="3">
        <v>41520</v>
      </c>
    </row>
    <row r="2585" spans="1:22" x14ac:dyDescent="0.35">
      <c r="A2585" s="1">
        <v>42341.728912037041</v>
      </c>
      <c r="B2585" s="2">
        <v>1.0023148148148147E-2</v>
      </c>
      <c r="C2585" t="s">
        <v>4311</v>
      </c>
      <c r="D2585" t="s">
        <v>23</v>
      </c>
      <c r="E2585" t="s">
        <v>24</v>
      </c>
      <c r="F2585" t="s">
        <v>745</v>
      </c>
      <c r="G2585">
        <v>1166322</v>
      </c>
      <c r="H2585" t="s">
        <v>26</v>
      </c>
      <c r="I2585" t="s">
        <v>200</v>
      </c>
      <c r="J2585" t="str">
        <f>"9781118418512"</f>
        <v>9781118418512</v>
      </c>
      <c r="K2585" t="s">
        <v>4610</v>
      </c>
      <c r="L2585">
        <v>24</v>
      </c>
      <c r="O2585" t="s">
        <v>30</v>
      </c>
      <c r="P2585" t="s">
        <v>29</v>
      </c>
      <c r="Q2585" s="1">
        <v>42340.996851851851</v>
      </c>
      <c r="R2585">
        <v>7</v>
      </c>
      <c r="S2585" t="s">
        <v>31</v>
      </c>
      <c r="T2585" t="s">
        <v>747</v>
      </c>
      <c r="U2585">
        <v>720.072</v>
      </c>
      <c r="V2585" s="3">
        <v>41367</v>
      </c>
    </row>
    <row r="2586" spans="1:22" x14ac:dyDescent="0.35">
      <c r="A2586" s="1">
        <v>42341.725046296298</v>
      </c>
      <c r="B2586" s="2">
        <v>3.4722222222222222E-5</v>
      </c>
      <c r="C2586" t="s">
        <v>4611</v>
      </c>
      <c r="D2586" t="s">
        <v>35</v>
      </c>
      <c r="E2586" t="s">
        <v>36</v>
      </c>
      <c r="F2586" t="s">
        <v>4612</v>
      </c>
      <c r="G2586">
        <v>1575992</v>
      </c>
      <c r="H2586" t="s">
        <v>68</v>
      </c>
      <c r="I2586" t="s">
        <v>79</v>
      </c>
      <c r="J2586" t="str">
        <f>"9781136756887"</f>
        <v>9781136756887</v>
      </c>
      <c r="K2586" t="s">
        <v>4613</v>
      </c>
      <c r="L2586">
        <v>3</v>
      </c>
      <c r="O2586" t="s">
        <v>30</v>
      </c>
      <c r="P2586" t="s">
        <v>50</v>
      </c>
      <c r="S2586" t="s">
        <v>40</v>
      </c>
      <c r="T2586" t="s">
        <v>4614</v>
      </c>
      <c r="U2586">
        <v>342.73029000000002</v>
      </c>
      <c r="V2586" s="3">
        <v>41612</v>
      </c>
    </row>
    <row r="2587" spans="1:22" x14ac:dyDescent="0.35">
      <c r="A2587" s="1">
        <v>42341.718414351853</v>
      </c>
      <c r="B2587" s="2">
        <v>0.20515046296296294</v>
      </c>
      <c r="C2587" t="s">
        <v>4615</v>
      </c>
      <c r="D2587" t="s">
        <v>23</v>
      </c>
      <c r="E2587" t="s">
        <v>24</v>
      </c>
      <c r="F2587" t="s">
        <v>4411</v>
      </c>
      <c r="G2587">
        <v>1808795</v>
      </c>
      <c r="H2587" t="s">
        <v>45</v>
      </c>
      <c r="I2587" t="s">
        <v>200</v>
      </c>
      <c r="J2587" t="str">
        <f>"9781472447951"</f>
        <v>9781472447951</v>
      </c>
      <c r="K2587" t="s">
        <v>4616</v>
      </c>
      <c r="L2587">
        <v>211</v>
      </c>
      <c r="O2587" t="s">
        <v>30</v>
      </c>
      <c r="P2587" t="s">
        <v>29</v>
      </c>
      <c r="Q2587" s="1">
        <v>42339.173460648148</v>
      </c>
      <c r="R2587">
        <v>7</v>
      </c>
      <c r="S2587" t="s">
        <v>31</v>
      </c>
      <c r="T2587" t="s">
        <v>4413</v>
      </c>
      <c r="U2587" t="s">
        <v>4414</v>
      </c>
      <c r="V2587" s="3">
        <v>41971</v>
      </c>
    </row>
    <row r="2588" spans="1:22" x14ac:dyDescent="0.35">
      <c r="A2588" s="1">
        <v>42341.710243055553</v>
      </c>
      <c r="B2588" s="2">
        <v>7.291666666666667E-4</v>
      </c>
      <c r="C2588" t="s">
        <v>4617</v>
      </c>
      <c r="D2588" t="s">
        <v>261</v>
      </c>
      <c r="E2588" t="s">
        <v>262</v>
      </c>
      <c r="F2588" t="s">
        <v>4618</v>
      </c>
      <c r="G2588">
        <v>1128491</v>
      </c>
      <c r="H2588" t="s">
        <v>526</v>
      </c>
      <c r="I2588" t="s">
        <v>3061</v>
      </c>
      <c r="J2588" t="str">
        <f>"9780226009841"</f>
        <v>9780226009841</v>
      </c>
      <c r="K2588" t="s">
        <v>4619</v>
      </c>
      <c r="L2588">
        <v>10</v>
      </c>
      <c r="O2588" t="s">
        <v>30</v>
      </c>
      <c r="P2588" t="s">
        <v>50</v>
      </c>
      <c r="S2588" t="s">
        <v>264</v>
      </c>
      <c r="T2588" t="s">
        <v>4620</v>
      </c>
      <c r="U2588" t="s">
        <v>4621</v>
      </c>
      <c r="V2588" s="3">
        <v>41355</v>
      </c>
    </row>
    <row r="2589" spans="1:22" x14ac:dyDescent="0.35">
      <c r="A2589" s="1">
        <v>42341.707546296297</v>
      </c>
      <c r="B2589" s="2">
        <v>9.6215277777777775E-2</v>
      </c>
      <c r="C2589" t="s">
        <v>106</v>
      </c>
      <c r="D2589" t="s">
        <v>23</v>
      </c>
      <c r="E2589" t="s">
        <v>24</v>
      </c>
      <c r="F2589" t="s">
        <v>78</v>
      </c>
      <c r="G2589">
        <v>1635363</v>
      </c>
      <c r="H2589" t="s">
        <v>26</v>
      </c>
      <c r="I2589" t="s">
        <v>79</v>
      </c>
      <c r="J2589" t="str">
        <f>"9781118678206"</f>
        <v>9781118678206</v>
      </c>
      <c r="K2589" t="s">
        <v>4622</v>
      </c>
      <c r="L2589">
        <v>36</v>
      </c>
      <c r="O2589" t="s">
        <v>30</v>
      </c>
      <c r="P2589" t="s">
        <v>29</v>
      </c>
      <c r="Q2589" s="1">
        <v>42337.939270833333</v>
      </c>
      <c r="R2589">
        <v>7</v>
      </c>
      <c r="S2589" t="s">
        <v>31</v>
      </c>
      <c r="T2589" t="s">
        <v>81</v>
      </c>
      <c r="U2589">
        <v>340.07600000000002</v>
      </c>
      <c r="V2589" s="3">
        <v>41684</v>
      </c>
    </row>
    <row r="2590" spans="1:22" x14ac:dyDescent="0.35">
      <c r="A2590" s="1">
        <v>42341.703356481485</v>
      </c>
      <c r="B2590" s="2">
        <v>2.1874999999999998E-3</v>
      </c>
      <c r="C2590" t="s">
        <v>4623</v>
      </c>
      <c r="D2590" t="s">
        <v>23</v>
      </c>
      <c r="E2590" t="s">
        <v>24</v>
      </c>
      <c r="F2590" t="s">
        <v>4624</v>
      </c>
      <c r="G2590">
        <v>1909817</v>
      </c>
      <c r="H2590" t="s">
        <v>91</v>
      </c>
      <c r="I2590" t="s">
        <v>247</v>
      </c>
      <c r="J2590" t="str">
        <f>"9781462520602"</f>
        <v>9781462520602</v>
      </c>
      <c r="K2590" t="s">
        <v>4625</v>
      </c>
      <c r="L2590">
        <v>28</v>
      </c>
      <c r="O2590" t="s">
        <v>30</v>
      </c>
      <c r="P2590" t="s">
        <v>50</v>
      </c>
      <c r="S2590" t="s">
        <v>31</v>
      </c>
      <c r="T2590" t="s">
        <v>4626</v>
      </c>
      <c r="U2590">
        <v>616</v>
      </c>
      <c r="V2590" s="3">
        <v>42165</v>
      </c>
    </row>
    <row r="2591" spans="1:22" x14ac:dyDescent="0.35">
      <c r="A2591" s="1">
        <v>42341.69872685185</v>
      </c>
      <c r="B2591" s="2">
        <v>5.6712962962962956E-4</v>
      </c>
      <c r="C2591" t="s">
        <v>4051</v>
      </c>
      <c r="D2591" t="s">
        <v>1222</v>
      </c>
      <c r="E2591" t="s">
        <v>1223</v>
      </c>
      <c r="F2591" t="s">
        <v>1698</v>
      </c>
      <c r="G2591">
        <v>1637652</v>
      </c>
      <c r="H2591" t="s">
        <v>84</v>
      </c>
      <c r="I2591" t="s">
        <v>69</v>
      </c>
      <c r="J2591" t="str">
        <f>"9780520958449"</f>
        <v>9780520958449</v>
      </c>
      <c r="K2591" t="s">
        <v>4627</v>
      </c>
      <c r="L2591">
        <v>7</v>
      </c>
      <c r="O2591" t="s">
        <v>30</v>
      </c>
      <c r="P2591" t="s">
        <v>29</v>
      </c>
      <c r="Q2591" s="1">
        <v>42341.69872685185</v>
      </c>
      <c r="R2591">
        <v>7</v>
      </c>
      <c r="S2591" t="s">
        <v>1226</v>
      </c>
      <c r="T2591" t="s">
        <v>1700</v>
      </c>
      <c r="U2591" t="s">
        <v>1701</v>
      </c>
      <c r="V2591" s="3">
        <v>41761</v>
      </c>
    </row>
    <row r="2592" spans="1:22" x14ac:dyDescent="0.35">
      <c r="A2592" s="1">
        <v>42341.694594907407</v>
      </c>
      <c r="B2592" s="2">
        <v>1.9351851851851853E-2</v>
      </c>
      <c r="C2592" t="s">
        <v>471</v>
      </c>
      <c r="D2592" t="s">
        <v>211</v>
      </c>
      <c r="E2592" t="s">
        <v>212</v>
      </c>
      <c r="F2592" t="s">
        <v>1182</v>
      </c>
      <c r="G2592">
        <v>1557279</v>
      </c>
      <c r="H2592" t="s">
        <v>26</v>
      </c>
      <c r="I2592" t="s">
        <v>97</v>
      </c>
      <c r="J2592" t="str">
        <f>"9781118863664"</f>
        <v>9781118863664</v>
      </c>
      <c r="K2592" t="s">
        <v>4628</v>
      </c>
      <c r="L2592">
        <v>18</v>
      </c>
      <c r="O2592" t="s">
        <v>30</v>
      </c>
      <c r="P2592" t="s">
        <v>29</v>
      </c>
      <c r="Q2592" s="1">
        <v>42338.797881944447</v>
      </c>
      <c r="R2592">
        <v>7</v>
      </c>
      <c r="S2592" t="s">
        <v>214</v>
      </c>
      <c r="T2592" t="s">
        <v>1183</v>
      </c>
      <c r="U2592">
        <v>657.37800000000004</v>
      </c>
      <c r="V2592" s="3">
        <v>41585</v>
      </c>
    </row>
    <row r="2593" spans="1:22" x14ac:dyDescent="0.35">
      <c r="A2593" s="1">
        <v>42341.673564814817</v>
      </c>
      <c r="B2593" s="2">
        <v>3.8194444444444446E-4</v>
      </c>
      <c r="C2593" t="s">
        <v>4629</v>
      </c>
      <c r="D2593" t="s">
        <v>360</v>
      </c>
      <c r="E2593" t="s">
        <v>361</v>
      </c>
      <c r="F2593" t="s">
        <v>3542</v>
      </c>
      <c r="G2593">
        <v>1460958</v>
      </c>
      <c r="H2593" t="s">
        <v>68</v>
      </c>
      <c r="I2593" t="s">
        <v>120</v>
      </c>
      <c r="J2593" t="str">
        <f>"9781136660153"</f>
        <v>9781136660153</v>
      </c>
      <c r="K2593" t="s">
        <v>4630</v>
      </c>
      <c r="L2593">
        <v>12</v>
      </c>
      <c r="O2593" t="s">
        <v>30</v>
      </c>
      <c r="P2593" t="s">
        <v>50</v>
      </c>
      <c r="S2593" t="s">
        <v>363</v>
      </c>
      <c r="T2593" t="s">
        <v>3544</v>
      </c>
      <c r="U2593" t="s">
        <v>3545</v>
      </c>
      <c r="V2593" s="3">
        <v>41555</v>
      </c>
    </row>
    <row r="2594" spans="1:22" x14ac:dyDescent="0.35">
      <c r="A2594" s="1">
        <v>42341.668946759259</v>
      </c>
      <c r="B2594" s="2">
        <v>2.9780092592592594E-2</v>
      </c>
      <c r="C2594" t="s">
        <v>4051</v>
      </c>
      <c r="D2594" t="s">
        <v>1222</v>
      </c>
      <c r="E2594" t="s">
        <v>1223</v>
      </c>
      <c r="F2594" t="s">
        <v>1698</v>
      </c>
      <c r="G2594">
        <v>1637652</v>
      </c>
      <c r="H2594" t="s">
        <v>84</v>
      </c>
      <c r="I2594" t="s">
        <v>69</v>
      </c>
      <c r="J2594" t="str">
        <f>"9780520958449"</f>
        <v>9780520958449</v>
      </c>
      <c r="K2594" t="s">
        <v>4631</v>
      </c>
      <c r="L2594">
        <v>28</v>
      </c>
      <c r="O2594" t="s">
        <v>30</v>
      </c>
      <c r="P2594" t="s">
        <v>42</v>
      </c>
      <c r="S2594" t="s">
        <v>1226</v>
      </c>
      <c r="T2594" t="s">
        <v>1700</v>
      </c>
      <c r="U2594" t="s">
        <v>1701</v>
      </c>
      <c r="V2594" s="3">
        <v>41761</v>
      </c>
    </row>
    <row r="2595" spans="1:22" x14ac:dyDescent="0.35">
      <c r="A2595" s="1">
        <v>42341.65792824074</v>
      </c>
      <c r="B2595" s="2">
        <v>3.9351851851851852E-4</v>
      </c>
      <c r="C2595" t="s">
        <v>4632</v>
      </c>
      <c r="D2595" t="s">
        <v>35</v>
      </c>
      <c r="E2595" t="s">
        <v>36</v>
      </c>
      <c r="F2595" t="s">
        <v>4633</v>
      </c>
      <c r="G2595">
        <v>3570598</v>
      </c>
      <c r="H2595" t="s">
        <v>526</v>
      </c>
      <c r="I2595" t="s">
        <v>108</v>
      </c>
      <c r="J2595" t="str">
        <f>"9780226291437"</f>
        <v>9780226291437</v>
      </c>
      <c r="K2595" t="s">
        <v>4634</v>
      </c>
      <c r="L2595">
        <v>8</v>
      </c>
      <c r="O2595" t="s">
        <v>30</v>
      </c>
      <c r="P2595" t="s">
        <v>50</v>
      </c>
      <c r="S2595" t="s">
        <v>40</v>
      </c>
      <c r="T2595" t="s">
        <v>4635</v>
      </c>
      <c r="U2595" t="s">
        <v>4636</v>
      </c>
      <c r="V2595" s="3">
        <v>42278</v>
      </c>
    </row>
    <row r="2596" spans="1:22" x14ac:dyDescent="0.35">
      <c r="A2596" s="1">
        <v>42341.653668981482</v>
      </c>
      <c r="B2596" s="2">
        <v>1.9907407407407408E-3</v>
      </c>
      <c r="C2596" t="s">
        <v>210</v>
      </c>
      <c r="D2596" t="s">
        <v>211</v>
      </c>
      <c r="E2596" t="s">
        <v>212</v>
      </c>
      <c r="F2596" t="s">
        <v>4637</v>
      </c>
      <c r="G2596">
        <v>1498550</v>
      </c>
      <c r="H2596" t="s">
        <v>26</v>
      </c>
      <c r="I2596" t="s">
        <v>120</v>
      </c>
      <c r="J2596" t="str">
        <f>"9780745683454"</f>
        <v>9780745683454</v>
      </c>
      <c r="K2596" t="s">
        <v>4638</v>
      </c>
      <c r="L2596">
        <v>6</v>
      </c>
      <c r="M2596" t="s">
        <v>4639</v>
      </c>
      <c r="O2596" t="s">
        <v>30</v>
      </c>
      <c r="P2596" t="s">
        <v>47</v>
      </c>
      <c r="Q2596" s="1">
        <v>42341.653668981482</v>
      </c>
      <c r="R2596">
        <v>1</v>
      </c>
      <c r="S2596" t="s">
        <v>214</v>
      </c>
      <c r="T2596" t="s">
        <v>4640</v>
      </c>
      <c r="U2596">
        <v>363.46</v>
      </c>
      <c r="V2596" s="3">
        <v>41568</v>
      </c>
    </row>
    <row r="2597" spans="1:22" x14ac:dyDescent="0.35">
      <c r="A2597" s="1">
        <v>42341.650046296294</v>
      </c>
      <c r="B2597" s="2">
        <v>3.6226851851851854E-3</v>
      </c>
      <c r="C2597" t="s">
        <v>210</v>
      </c>
      <c r="D2597" t="s">
        <v>211</v>
      </c>
      <c r="E2597" t="s">
        <v>212</v>
      </c>
      <c r="F2597" t="s">
        <v>4637</v>
      </c>
      <c r="G2597">
        <v>1498550</v>
      </c>
      <c r="H2597" t="s">
        <v>26</v>
      </c>
      <c r="I2597" t="s">
        <v>120</v>
      </c>
      <c r="J2597" t="str">
        <f>"9780745683454"</f>
        <v>9780745683454</v>
      </c>
      <c r="K2597" t="s">
        <v>4641</v>
      </c>
      <c r="L2597">
        <v>17</v>
      </c>
      <c r="O2597" t="s">
        <v>30</v>
      </c>
      <c r="P2597" t="s">
        <v>50</v>
      </c>
      <c r="S2597" t="s">
        <v>214</v>
      </c>
      <c r="T2597" t="s">
        <v>4640</v>
      </c>
      <c r="U2597">
        <v>363.46</v>
      </c>
      <c r="V2597" s="3">
        <v>41568</v>
      </c>
    </row>
    <row r="2598" spans="1:22" x14ac:dyDescent="0.35">
      <c r="A2598" s="1">
        <v>42341.640613425923</v>
      </c>
      <c r="B2598" s="2">
        <v>2.3217592592592592E-2</v>
      </c>
      <c r="C2598" t="s">
        <v>471</v>
      </c>
      <c r="D2598" t="s">
        <v>211</v>
      </c>
      <c r="E2598" t="s">
        <v>212</v>
      </c>
      <c r="F2598" t="s">
        <v>1182</v>
      </c>
      <c r="G2598">
        <v>1557279</v>
      </c>
      <c r="H2598" t="s">
        <v>26</v>
      </c>
      <c r="I2598" t="s">
        <v>97</v>
      </c>
      <c r="J2598" t="str">
        <f>"9781118863664"</f>
        <v>9781118863664</v>
      </c>
      <c r="K2598" t="s">
        <v>4642</v>
      </c>
      <c r="L2598">
        <v>30</v>
      </c>
      <c r="M2598" t="s">
        <v>4643</v>
      </c>
      <c r="O2598" t="s">
        <v>30</v>
      </c>
      <c r="P2598" t="s">
        <v>29</v>
      </c>
      <c r="Q2598" s="1">
        <v>42338.797881944447</v>
      </c>
      <c r="R2598">
        <v>7</v>
      </c>
      <c r="S2598" t="s">
        <v>214</v>
      </c>
      <c r="T2598" t="s">
        <v>1183</v>
      </c>
      <c r="U2598">
        <v>657.37800000000004</v>
      </c>
      <c r="V2598" s="3">
        <v>41585</v>
      </c>
    </row>
    <row r="2599" spans="1:22" x14ac:dyDescent="0.35">
      <c r="A2599" s="1">
        <v>42341.566423611112</v>
      </c>
      <c r="B2599" s="2">
        <v>4.2418981481481481E-2</v>
      </c>
      <c r="C2599" t="s">
        <v>4644</v>
      </c>
      <c r="D2599" t="s">
        <v>23</v>
      </c>
      <c r="E2599" t="s">
        <v>24</v>
      </c>
      <c r="F2599" t="s">
        <v>2084</v>
      </c>
      <c r="G2599">
        <v>1895570</v>
      </c>
      <c r="H2599" t="s">
        <v>26</v>
      </c>
      <c r="I2599" t="s">
        <v>297</v>
      </c>
      <c r="J2599" t="str">
        <f>"9781118745229"</f>
        <v>9781118745229</v>
      </c>
      <c r="K2599" t="s">
        <v>4645</v>
      </c>
      <c r="L2599">
        <v>16</v>
      </c>
      <c r="O2599" t="s">
        <v>30</v>
      </c>
      <c r="P2599" t="s">
        <v>29</v>
      </c>
      <c r="Q2599" s="1">
        <v>42341.566423611112</v>
      </c>
      <c r="R2599">
        <v>7</v>
      </c>
      <c r="S2599" t="s">
        <v>31</v>
      </c>
      <c r="T2599" t="s">
        <v>2085</v>
      </c>
      <c r="U2599">
        <v>519.54999999999995</v>
      </c>
      <c r="V2599" s="3">
        <v>42093</v>
      </c>
    </row>
    <row r="2600" spans="1:22" x14ac:dyDescent="0.35">
      <c r="A2600" s="1">
        <v>42341.565891203703</v>
      </c>
      <c r="B2600" s="2">
        <v>5.3240740740740744E-4</v>
      </c>
      <c r="C2600" t="s">
        <v>4644</v>
      </c>
      <c r="D2600" t="s">
        <v>23</v>
      </c>
      <c r="E2600" t="s">
        <v>24</v>
      </c>
      <c r="F2600" t="s">
        <v>2084</v>
      </c>
      <c r="G2600">
        <v>1895570</v>
      </c>
      <c r="H2600" t="s">
        <v>26</v>
      </c>
      <c r="I2600" t="s">
        <v>297</v>
      </c>
      <c r="J2600" t="str">
        <f>"9781118745229"</f>
        <v>9781118745229</v>
      </c>
      <c r="K2600" t="s">
        <v>4646</v>
      </c>
      <c r="L2600">
        <v>8</v>
      </c>
      <c r="O2600" t="s">
        <v>30</v>
      </c>
      <c r="P2600" t="s">
        <v>50</v>
      </c>
      <c r="S2600" t="s">
        <v>31</v>
      </c>
      <c r="T2600" t="s">
        <v>2085</v>
      </c>
      <c r="U2600">
        <v>519.54999999999995</v>
      </c>
      <c r="V2600" s="3">
        <v>42093</v>
      </c>
    </row>
    <row r="2601" spans="1:22" x14ac:dyDescent="0.35">
      <c r="A2601" s="1">
        <v>42341.561249999999</v>
      </c>
      <c r="B2601" s="2">
        <v>2.3217592592592592E-2</v>
      </c>
      <c r="C2601" t="s">
        <v>4647</v>
      </c>
      <c r="D2601" t="s">
        <v>35</v>
      </c>
      <c r="E2601" t="s">
        <v>36</v>
      </c>
      <c r="F2601" t="s">
        <v>1373</v>
      </c>
      <c r="G2601">
        <v>979949</v>
      </c>
      <c r="H2601" t="s">
        <v>1286</v>
      </c>
      <c r="I2601" t="s">
        <v>310</v>
      </c>
      <c r="J2601" t="str">
        <f>"9780786493234"</f>
        <v>9780786493234</v>
      </c>
      <c r="K2601" t="s">
        <v>4648</v>
      </c>
      <c r="L2601">
        <v>15</v>
      </c>
      <c r="O2601" t="s">
        <v>30</v>
      </c>
      <c r="P2601" t="s">
        <v>29</v>
      </c>
      <c r="Q2601" s="1">
        <v>42341.561238425929</v>
      </c>
      <c r="R2601">
        <v>7</v>
      </c>
      <c r="S2601" t="s">
        <v>40</v>
      </c>
      <c r="T2601" t="s">
        <v>1376</v>
      </c>
      <c r="U2601" t="s">
        <v>1289</v>
      </c>
      <c r="V2601" s="3">
        <v>41102</v>
      </c>
    </row>
    <row r="2602" spans="1:22" x14ac:dyDescent="0.35">
      <c r="A2602" s="1">
        <v>42341.554189814815</v>
      </c>
      <c r="B2602" s="2">
        <v>7.0486111111111105E-3</v>
      </c>
      <c r="C2602" t="s">
        <v>4647</v>
      </c>
      <c r="D2602" t="s">
        <v>35</v>
      </c>
      <c r="E2602" t="s">
        <v>36</v>
      </c>
      <c r="F2602" t="s">
        <v>1373</v>
      </c>
      <c r="G2602">
        <v>979949</v>
      </c>
      <c r="H2602" t="s">
        <v>1286</v>
      </c>
      <c r="I2602" t="s">
        <v>310</v>
      </c>
      <c r="J2602" t="str">
        <f>"9780786493234"</f>
        <v>9780786493234</v>
      </c>
      <c r="K2602" t="s">
        <v>4649</v>
      </c>
      <c r="L2602">
        <v>9</v>
      </c>
      <c r="O2602" t="s">
        <v>30</v>
      </c>
      <c r="P2602" t="s">
        <v>42</v>
      </c>
      <c r="S2602" t="s">
        <v>40</v>
      </c>
      <c r="T2602" t="s">
        <v>1376</v>
      </c>
      <c r="U2602" t="s">
        <v>1289</v>
      </c>
      <c r="V2602" s="3">
        <v>41102</v>
      </c>
    </row>
    <row r="2603" spans="1:22" x14ac:dyDescent="0.35">
      <c r="A2603" s="1">
        <v>42341.546655092592</v>
      </c>
      <c r="B2603" s="2">
        <v>7.0601851851851847E-4</v>
      </c>
      <c r="C2603" t="s">
        <v>4499</v>
      </c>
      <c r="D2603" t="s">
        <v>146</v>
      </c>
      <c r="E2603" t="s">
        <v>147</v>
      </c>
      <c r="F2603" t="s">
        <v>4500</v>
      </c>
      <c r="G2603">
        <v>1652090</v>
      </c>
      <c r="H2603" t="s">
        <v>26</v>
      </c>
      <c r="I2603" t="s">
        <v>27</v>
      </c>
      <c r="J2603" t="str">
        <f>"9781118744819"</f>
        <v>9781118744819</v>
      </c>
      <c r="K2603" t="s">
        <v>4650</v>
      </c>
      <c r="L2603">
        <v>3</v>
      </c>
      <c r="M2603" t="s">
        <v>182</v>
      </c>
      <c r="O2603" t="s">
        <v>30</v>
      </c>
      <c r="P2603" t="s">
        <v>29</v>
      </c>
      <c r="Q2603" s="1">
        <v>42341.546655092592</v>
      </c>
      <c r="R2603">
        <v>7</v>
      </c>
      <c r="S2603" t="s">
        <v>4502</v>
      </c>
      <c r="T2603" t="s">
        <v>4503</v>
      </c>
      <c r="U2603">
        <v>407.1</v>
      </c>
      <c r="V2603" s="3">
        <v>41711</v>
      </c>
    </row>
    <row r="2604" spans="1:22" x14ac:dyDescent="0.35">
      <c r="A2604" s="1">
        <v>42341.544525462959</v>
      </c>
      <c r="B2604" s="2">
        <v>2.1296296296296298E-3</v>
      </c>
      <c r="C2604" t="s">
        <v>4499</v>
      </c>
      <c r="D2604" t="s">
        <v>146</v>
      </c>
      <c r="E2604" t="s">
        <v>147</v>
      </c>
      <c r="F2604" t="s">
        <v>4500</v>
      </c>
      <c r="G2604">
        <v>1652090</v>
      </c>
      <c r="H2604" t="s">
        <v>26</v>
      </c>
      <c r="I2604" t="s">
        <v>27</v>
      </c>
      <c r="J2604" t="str">
        <f>"9781118744819"</f>
        <v>9781118744819</v>
      </c>
      <c r="K2604" t="s">
        <v>4651</v>
      </c>
      <c r="L2604">
        <v>10</v>
      </c>
      <c r="O2604" t="s">
        <v>30</v>
      </c>
      <c r="P2604" t="s">
        <v>42</v>
      </c>
      <c r="S2604" t="s">
        <v>4502</v>
      </c>
      <c r="T2604" t="s">
        <v>4503</v>
      </c>
      <c r="U2604">
        <v>407.1</v>
      </c>
      <c r="V2604" s="3">
        <v>41711</v>
      </c>
    </row>
    <row r="2605" spans="1:22" x14ac:dyDescent="0.35">
      <c r="A2605" s="1">
        <v>42341.310208333336</v>
      </c>
      <c r="B2605" s="2">
        <v>6.2500000000000001E-4</v>
      </c>
      <c r="C2605" t="s">
        <v>4557</v>
      </c>
      <c r="D2605" t="s">
        <v>623</v>
      </c>
      <c r="E2605" t="s">
        <v>624</v>
      </c>
      <c r="F2605" t="s">
        <v>4652</v>
      </c>
      <c r="G2605">
        <v>1395386</v>
      </c>
      <c r="H2605" t="s">
        <v>68</v>
      </c>
      <c r="I2605" t="s">
        <v>69</v>
      </c>
      <c r="J2605" t="str">
        <f>"9781135710484"</f>
        <v>9781135710484</v>
      </c>
      <c r="K2605" t="s">
        <v>4653</v>
      </c>
      <c r="L2605">
        <v>13</v>
      </c>
      <c r="O2605" t="s">
        <v>30</v>
      </c>
      <c r="P2605" t="s">
        <v>50</v>
      </c>
      <c r="S2605" t="s">
        <v>627</v>
      </c>
      <c r="T2605">
        <v>99166549</v>
      </c>
      <c r="U2605">
        <v>370.72</v>
      </c>
      <c r="V2605" s="3">
        <v>37561</v>
      </c>
    </row>
    <row r="2606" spans="1:22" x14ac:dyDescent="0.35">
      <c r="A2606" s="1">
        <v>42341.297615740739</v>
      </c>
      <c r="B2606" s="2">
        <v>1.1284722222222222E-2</v>
      </c>
      <c r="C2606" t="s">
        <v>4557</v>
      </c>
      <c r="D2606" t="s">
        <v>623</v>
      </c>
      <c r="E2606" t="s">
        <v>624</v>
      </c>
      <c r="F2606" t="s">
        <v>4558</v>
      </c>
      <c r="G2606">
        <v>1895514</v>
      </c>
      <c r="H2606" t="s">
        <v>26</v>
      </c>
      <c r="I2606" t="s">
        <v>4559</v>
      </c>
      <c r="J2606" t="str">
        <f>"9781118631027"</f>
        <v>9781118631027</v>
      </c>
      <c r="K2606" t="s">
        <v>4654</v>
      </c>
      <c r="L2606">
        <v>50</v>
      </c>
      <c r="O2606" t="s">
        <v>30</v>
      </c>
      <c r="P2606" t="s">
        <v>29</v>
      </c>
      <c r="Q2606" s="1">
        <v>42339.715810185182</v>
      </c>
      <c r="R2606">
        <v>7</v>
      </c>
      <c r="S2606" t="s">
        <v>627</v>
      </c>
      <c r="T2606" t="s">
        <v>4560</v>
      </c>
      <c r="U2606">
        <v>333.79399999999998</v>
      </c>
      <c r="V2606" s="3">
        <v>42110</v>
      </c>
    </row>
    <row r="2607" spans="1:22" x14ac:dyDescent="0.35">
      <c r="A2607" s="1">
        <v>42341.278564814813</v>
      </c>
      <c r="B2607" s="2">
        <v>5.7870370370370366E-5</v>
      </c>
      <c r="C2607" t="s">
        <v>4557</v>
      </c>
      <c r="D2607" t="s">
        <v>623</v>
      </c>
      <c r="E2607" t="s">
        <v>624</v>
      </c>
      <c r="F2607" t="s">
        <v>4558</v>
      </c>
      <c r="G2607">
        <v>1895514</v>
      </c>
      <c r="H2607" t="s">
        <v>26</v>
      </c>
      <c r="I2607" t="s">
        <v>4559</v>
      </c>
      <c r="J2607" t="str">
        <f>"9781118631027"</f>
        <v>9781118631027</v>
      </c>
      <c r="K2607" t="s">
        <v>33</v>
      </c>
      <c r="L2607">
        <v>3</v>
      </c>
      <c r="O2607" t="s">
        <v>30</v>
      </c>
      <c r="P2607" t="s">
        <v>29</v>
      </c>
      <c r="Q2607" s="1">
        <v>42339.715810185182</v>
      </c>
      <c r="R2607">
        <v>7</v>
      </c>
      <c r="S2607" t="s">
        <v>627</v>
      </c>
      <c r="T2607" t="s">
        <v>4560</v>
      </c>
      <c r="U2607">
        <v>333.79399999999998</v>
      </c>
      <c r="V2607" s="3">
        <v>42110</v>
      </c>
    </row>
    <row r="2608" spans="1:22" x14ac:dyDescent="0.35">
      <c r="A2608" s="1">
        <v>42341.258217592593</v>
      </c>
      <c r="B2608" s="2">
        <v>3.4722222222222222E-5</v>
      </c>
      <c r="C2608" t="s">
        <v>106</v>
      </c>
      <c r="D2608" t="s">
        <v>23</v>
      </c>
      <c r="E2608" t="s">
        <v>24</v>
      </c>
      <c r="F2608" t="s">
        <v>3268</v>
      </c>
      <c r="G2608">
        <v>1645679</v>
      </c>
      <c r="H2608" t="s">
        <v>45</v>
      </c>
      <c r="I2608" t="s">
        <v>2879</v>
      </c>
      <c r="J2608" t="str">
        <f>"9781472413079"</f>
        <v>9781472413079</v>
      </c>
      <c r="K2608" t="s">
        <v>33</v>
      </c>
      <c r="L2608">
        <v>3</v>
      </c>
      <c r="O2608" t="s">
        <v>30</v>
      </c>
      <c r="P2608" t="s">
        <v>42</v>
      </c>
      <c r="S2608" t="s">
        <v>31</v>
      </c>
      <c r="T2608" t="s">
        <v>3269</v>
      </c>
      <c r="U2608" t="s">
        <v>3270</v>
      </c>
      <c r="V2608" s="3">
        <v>41726</v>
      </c>
    </row>
    <row r="2609" spans="1:22" x14ac:dyDescent="0.35">
      <c r="A2609" s="1">
        <v>42341.208877314813</v>
      </c>
      <c r="B2609" s="2">
        <v>9.2592592592592588E-5</v>
      </c>
      <c r="C2609" t="s">
        <v>4655</v>
      </c>
      <c r="D2609" t="s">
        <v>35</v>
      </c>
      <c r="E2609" t="s">
        <v>36</v>
      </c>
      <c r="F2609" t="s">
        <v>1477</v>
      </c>
      <c r="G2609">
        <v>822111</v>
      </c>
      <c r="H2609" t="s">
        <v>26</v>
      </c>
      <c r="I2609" t="s">
        <v>120</v>
      </c>
      <c r="J2609" t="str">
        <f>"9781444356922"</f>
        <v>9781444356922</v>
      </c>
      <c r="K2609" t="s">
        <v>4656</v>
      </c>
      <c r="L2609">
        <v>6</v>
      </c>
      <c r="O2609" t="s">
        <v>30</v>
      </c>
      <c r="P2609" t="s">
        <v>29</v>
      </c>
      <c r="Q2609" s="1">
        <v>42341.208877314813</v>
      </c>
      <c r="R2609">
        <v>7</v>
      </c>
      <c r="S2609" t="s">
        <v>40</v>
      </c>
      <c r="T2609" t="s">
        <v>1479</v>
      </c>
      <c r="U2609" t="s">
        <v>1480</v>
      </c>
      <c r="V2609" s="3">
        <v>40955</v>
      </c>
    </row>
    <row r="2610" spans="1:22" x14ac:dyDescent="0.35">
      <c r="A2610" s="1">
        <v>42341.201261574075</v>
      </c>
      <c r="B2610" s="2">
        <v>3.3564814814814812E-4</v>
      </c>
      <c r="C2610" t="s">
        <v>4655</v>
      </c>
      <c r="D2610" t="s">
        <v>35</v>
      </c>
      <c r="E2610" t="s">
        <v>36</v>
      </c>
      <c r="F2610" t="s">
        <v>4657</v>
      </c>
      <c r="G2610">
        <v>1583324</v>
      </c>
      <c r="H2610" t="s">
        <v>68</v>
      </c>
      <c r="I2610" t="s">
        <v>120</v>
      </c>
      <c r="J2610" t="str">
        <f>"9781317836841"</f>
        <v>9781317836841</v>
      </c>
      <c r="K2610" t="s">
        <v>4658</v>
      </c>
      <c r="L2610">
        <v>14</v>
      </c>
      <c r="O2610" t="s">
        <v>30</v>
      </c>
      <c r="P2610" t="s">
        <v>50</v>
      </c>
      <c r="S2610" t="s">
        <v>40</v>
      </c>
      <c r="T2610" t="s">
        <v>4659</v>
      </c>
      <c r="V2610" s="3">
        <v>41627</v>
      </c>
    </row>
    <row r="2611" spans="1:22" x14ac:dyDescent="0.35">
      <c r="A2611" s="1">
        <v>42341.197604166664</v>
      </c>
      <c r="B2611" s="2">
        <v>1.1273148148148148E-2</v>
      </c>
      <c r="C2611" t="s">
        <v>4655</v>
      </c>
      <c r="D2611" t="s">
        <v>35</v>
      </c>
      <c r="E2611" t="s">
        <v>36</v>
      </c>
      <c r="F2611" t="s">
        <v>1477</v>
      </c>
      <c r="G2611">
        <v>822111</v>
      </c>
      <c r="H2611" t="s">
        <v>26</v>
      </c>
      <c r="I2611" t="s">
        <v>120</v>
      </c>
      <c r="J2611" t="str">
        <f>"9781444356922"</f>
        <v>9781444356922</v>
      </c>
      <c r="K2611" t="s">
        <v>4660</v>
      </c>
      <c r="L2611">
        <v>6</v>
      </c>
      <c r="O2611" t="s">
        <v>30</v>
      </c>
      <c r="P2611" t="s">
        <v>42</v>
      </c>
      <c r="S2611" t="s">
        <v>40</v>
      </c>
      <c r="T2611" t="s">
        <v>1479</v>
      </c>
      <c r="U2611" t="s">
        <v>1480</v>
      </c>
      <c r="V2611" s="3">
        <v>40955</v>
      </c>
    </row>
    <row r="2612" spans="1:22" x14ac:dyDescent="0.35">
      <c r="A2612" s="1">
        <v>42341.176631944443</v>
      </c>
      <c r="B2612" s="2">
        <v>5.0925925925925921E-4</v>
      </c>
      <c r="C2612" t="s">
        <v>4617</v>
      </c>
      <c r="D2612" t="s">
        <v>261</v>
      </c>
      <c r="E2612" t="s">
        <v>262</v>
      </c>
      <c r="F2612" t="s">
        <v>4661</v>
      </c>
      <c r="G2612">
        <v>1809667</v>
      </c>
      <c r="H2612" t="s">
        <v>526</v>
      </c>
      <c r="I2612" t="s">
        <v>4662</v>
      </c>
      <c r="J2612" t="str">
        <f>"9780226173641"</f>
        <v>9780226173641</v>
      </c>
      <c r="K2612" t="s">
        <v>1651</v>
      </c>
      <c r="L2612">
        <v>11</v>
      </c>
      <c r="O2612" t="s">
        <v>30</v>
      </c>
      <c r="P2612" t="s">
        <v>50</v>
      </c>
      <c r="S2612" t="s">
        <v>264</v>
      </c>
      <c r="T2612" t="s">
        <v>4663</v>
      </c>
      <c r="U2612" t="s">
        <v>4664</v>
      </c>
      <c r="V2612" s="3">
        <v>41948</v>
      </c>
    </row>
    <row r="2613" spans="1:22" x14ac:dyDescent="0.35">
      <c r="A2613" s="1">
        <v>42341.156481481485</v>
      </c>
      <c r="B2613" s="2">
        <v>4.6296296296296294E-5</v>
      </c>
      <c r="C2613" t="s">
        <v>106</v>
      </c>
      <c r="D2613" t="s">
        <v>23</v>
      </c>
      <c r="E2613" t="s">
        <v>24</v>
      </c>
      <c r="F2613" t="s">
        <v>3228</v>
      </c>
      <c r="G2613">
        <v>1115640</v>
      </c>
      <c r="H2613" t="s">
        <v>26</v>
      </c>
      <c r="I2613" t="s">
        <v>3229</v>
      </c>
      <c r="J2613" t="str">
        <f>"9781118419090"</f>
        <v>9781118419090</v>
      </c>
      <c r="K2613" t="s">
        <v>33</v>
      </c>
      <c r="L2613">
        <v>3</v>
      </c>
      <c r="O2613" t="s">
        <v>30</v>
      </c>
      <c r="P2613" t="s">
        <v>42</v>
      </c>
      <c r="S2613" t="s">
        <v>31</v>
      </c>
      <c r="T2613" t="s">
        <v>3231</v>
      </c>
      <c r="U2613">
        <v>624</v>
      </c>
      <c r="V2613" s="3">
        <v>41296</v>
      </c>
    </row>
    <row r="2614" spans="1:22" x14ac:dyDescent="0.35">
      <c r="A2614" s="1">
        <v>42341.108842592592</v>
      </c>
      <c r="B2614" s="2">
        <v>2.1504629629629627E-2</v>
      </c>
      <c r="C2614" t="s">
        <v>4632</v>
      </c>
      <c r="D2614" t="s">
        <v>35</v>
      </c>
      <c r="E2614" t="s">
        <v>36</v>
      </c>
      <c r="F2614" t="s">
        <v>4665</v>
      </c>
      <c r="G2614">
        <v>4037232</v>
      </c>
      <c r="H2614" t="s">
        <v>26</v>
      </c>
      <c r="I2614" t="s">
        <v>120</v>
      </c>
      <c r="J2614" t="str">
        <f>"9781118650011"</f>
        <v>9781118650011</v>
      </c>
      <c r="K2614" t="s">
        <v>4666</v>
      </c>
      <c r="L2614">
        <v>21</v>
      </c>
      <c r="O2614" t="s">
        <v>30</v>
      </c>
      <c r="P2614" t="s">
        <v>47</v>
      </c>
      <c r="Q2614" s="1">
        <v>42341.108842592592</v>
      </c>
      <c r="R2614">
        <v>1</v>
      </c>
      <c r="S2614" t="s">
        <v>40</v>
      </c>
      <c r="U2614">
        <v>363.19</v>
      </c>
      <c r="V2614" s="3">
        <v>41962</v>
      </c>
    </row>
    <row r="2615" spans="1:22" x14ac:dyDescent="0.35">
      <c r="A2615" s="1">
        <v>42341.098182870373</v>
      </c>
      <c r="B2615" s="2">
        <v>8.2175925925925917E-4</v>
      </c>
      <c r="C2615" t="s">
        <v>4667</v>
      </c>
      <c r="D2615" t="s">
        <v>35</v>
      </c>
      <c r="E2615" t="s">
        <v>36</v>
      </c>
      <c r="F2615" t="s">
        <v>4668</v>
      </c>
      <c r="G2615">
        <v>2110627</v>
      </c>
      <c r="H2615" t="s">
        <v>45</v>
      </c>
      <c r="I2615" t="s">
        <v>998</v>
      </c>
      <c r="J2615" t="str">
        <f>"9781472436481"</f>
        <v>9781472436481</v>
      </c>
      <c r="K2615" t="s">
        <v>4669</v>
      </c>
      <c r="L2615">
        <v>20</v>
      </c>
      <c r="O2615" t="s">
        <v>30</v>
      </c>
      <c r="P2615" t="s">
        <v>42</v>
      </c>
      <c r="S2615" t="s">
        <v>40</v>
      </c>
      <c r="T2615" t="s">
        <v>4670</v>
      </c>
      <c r="U2615" t="s">
        <v>4671</v>
      </c>
      <c r="V2615" s="3">
        <v>42275</v>
      </c>
    </row>
    <row r="2616" spans="1:22" x14ac:dyDescent="0.35">
      <c r="A2616" s="1">
        <v>42341.091597222221</v>
      </c>
      <c r="B2616" s="2">
        <v>5.0219907407407414E-2</v>
      </c>
      <c r="C2616" t="s">
        <v>106</v>
      </c>
      <c r="D2616" t="s">
        <v>23</v>
      </c>
      <c r="E2616" t="s">
        <v>24</v>
      </c>
      <c r="F2616" t="s">
        <v>78</v>
      </c>
      <c r="G2616">
        <v>1635363</v>
      </c>
      <c r="H2616" t="s">
        <v>26</v>
      </c>
      <c r="I2616" t="s">
        <v>79</v>
      </c>
      <c r="J2616" t="str">
        <f>"9781118678206"</f>
        <v>9781118678206</v>
      </c>
      <c r="K2616" t="s">
        <v>4672</v>
      </c>
      <c r="L2616">
        <v>39</v>
      </c>
      <c r="O2616" t="s">
        <v>30</v>
      </c>
      <c r="P2616" t="s">
        <v>29</v>
      </c>
      <c r="Q2616" s="1">
        <v>42337.939270833333</v>
      </c>
      <c r="R2616">
        <v>7</v>
      </c>
      <c r="S2616" t="s">
        <v>31</v>
      </c>
      <c r="T2616" t="s">
        <v>81</v>
      </c>
      <c r="U2616">
        <v>340.07600000000002</v>
      </c>
      <c r="V2616" s="3">
        <v>41684</v>
      </c>
    </row>
    <row r="2617" spans="1:22" x14ac:dyDescent="0.35">
      <c r="A2617" s="1">
        <v>42341.045069444444</v>
      </c>
      <c r="B2617" s="2">
        <v>4.7800925925925919E-3</v>
      </c>
      <c r="C2617" t="s">
        <v>4673</v>
      </c>
      <c r="D2617" t="s">
        <v>23</v>
      </c>
      <c r="E2617" t="s">
        <v>24</v>
      </c>
      <c r="F2617" t="s">
        <v>745</v>
      </c>
      <c r="G2617">
        <v>1166322</v>
      </c>
      <c r="H2617" t="s">
        <v>26</v>
      </c>
      <c r="I2617" t="s">
        <v>200</v>
      </c>
      <c r="J2617" t="str">
        <f>"9781118418512"</f>
        <v>9781118418512</v>
      </c>
      <c r="K2617" t="s">
        <v>4674</v>
      </c>
      <c r="L2617">
        <v>20</v>
      </c>
      <c r="O2617" t="s">
        <v>30</v>
      </c>
      <c r="P2617" t="s">
        <v>29</v>
      </c>
      <c r="Q2617" s="1">
        <v>42340.993668981479</v>
      </c>
      <c r="R2617">
        <v>7</v>
      </c>
      <c r="S2617" t="s">
        <v>31</v>
      </c>
      <c r="T2617" t="s">
        <v>747</v>
      </c>
      <c r="U2617">
        <v>720.072</v>
      </c>
      <c r="V2617" s="3">
        <v>41367</v>
      </c>
    </row>
    <row r="2618" spans="1:22" x14ac:dyDescent="0.35">
      <c r="A2618" s="1">
        <v>42341.038101851853</v>
      </c>
      <c r="B2618" s="2">
        <v>1.273148148148148E-4</v>
      </c>
      <c r="C2618" t="s">
        <v>3800</v>
      </c>
      <c r="D2618" t="s">
        <v>1222</v>
      </c>
      <c r="E2618" t="s">
        <v>1223</v>
      </c>
      <c r="F2618" t="s">
        <v>3801</v>
      </c>
      <c r="G2618">
        <v>867075</v>
      </c>
      <c r="H2618" t="s">
        <v>1286</v>
      </c>
      <c r="I2618" t="s">
        <v>3802</v>
      </c>
      <c r="J2618" t="str">
        <f>"9780786489473"</f>
        <v>9780786489473</v>
      </c>
      <c r="K2618" t="s">
        <v>4675</v>
      </c>
      <c r="L2618">
        <v>8</v>
      </c>
      <c r="O2618" t="s">
        <v>30</v>
      </c>
      <c r="P2618" t="s">
        <v>29</v>
      </c>
      <c r="Q2618" s="1">
        <v>42341.038101851853</v>
      </c>
      <c r="R2618">
        <v>7</v>
      </c>
      <c r="S2618" t="s">
        <v>1226</v>
      </c>
      <c r="T2618" t="s">
        <v>3805</v>
      </c>
      <c r="U2618" t="s">
        <v>3806</v>
      </c>
      <c r="V2618" s="3">
        <v>40947</v>
      </c>
    </row>
    <row r="2619" spans="1:22" x14ac:dyDescent="0.35">
      <c r="A2619" s="1">
        <v>42341.030775462961</v>
      </c>
      <c r="B2619" s="2">
        <v>1.636574074074074E-2</v>
      </c>
      <c r="C2619" t="s">
        <v>106</v>
      </c>
      <c r="D2619" t="s">
        <v>23</v>
      </c>
      <c r="E2619" t="s">
        <v>24</v>
      </c>
      <c r="F2619" t="s">
        <v>78</v>
      </c>
      <c r="G2619">
        <v>1635363</v>
      </c>
      <c r="H2619" t="s">
        <v>26</v>
      </c>
      <c r="I2619" t="s">
        <v>79</v>
      </c>
      <c r="J2619" t="str">
        <f>"9781118678206"</f>
        <v>9781118678206</v>
      </c>
      <c r="K2619" t="s">
        <v>4676</v>
      </c>
      <c r="L2619">
        <v>21</v>
      </c>
      <c r="O2619" t="s">
        <v>30</v>
      </c>
      <c r="P2619" t="s">
        <v>29</v>
      </c>
      <c r="Q2619" s="1">
        <v>42337.939270833333</v>
      </c>
      <c r="R2619">
        <v>7</v>
      </c>
      <c r="S2619" t="s">
        <v>31</v>
      </c>
      <c r="T2619" t="s">
        <v>81</v>
      </c>
      <c r="U2619">
        <v>340.07600000000002</v>
      </c>
      <c r="V2619" s="3">
        <v>41684</v>
      </c>
    </row>
    <row r="2620" spans="1:22" x14ac:dyDescent="0.35">
      <c r="A2620" s="1">
        <v>42341.028067129628</v>
      </c>
      <c r="B2620" s="2">
        <v>8.0775462962962966E-2</v>
      </c>
      <c r="C2620" t="s">
        <v>4632</v>
      </c>
      <c r="D2620" t="s">
        <v>35</v>
      </c>
      <c r="E2620" t="s">
        <v>36</v>
      </c>
      <c r="F2620" t="s">
        <v>4665</v>
      </c>
      <c r="G2620">
        <v>4037232</v>
      </c>
      <c r="H2620" t="s">
        <v>26</v>
      </c>
      <c r="I2620" t="s">
        <v>120</v>
      </c>
      <c r="J2620" t="str">
        <f>"9781118650011"</f>
        <v>9781118650011</v>
      </c>
      <c r="K2620" t="s">
        <v>4677</v>
      </c>
      <c r="L2620">
        <v>12</v>
      </c>
      <c r="O2620" t="s">
        <v>30</v>
      </c>
      <c r="P2620" t="s">
        <v>50</v>
      </c>
      <c r="S2620" t="s">
        <v>40</v>
      </c>
      <c r="U2620">
        <v>363.19</v>
      </c>
      <c r="V2620" s="3">
        <v>41962</v>
      </c>
    </row>
    <row r="2621" spans="1:22" x14ac:dyDescent="0.35">
      <c r="A2621" s="1">
        <v>42341.025034722225</v>
      </c>
      <c r="B2621" s="2">
        <v>8.6805555555555551E-4</v>
      </c>
      <c r="C2621" t="s">
        <v>4678</v>
      </c>
      <c r="D2621" t="s">
        <v>35</v>
      </c>
      <c r="E2621" t="s">
        <v>36</v>
      </c>
      <c r="F2621" t="s">
        <v>1254</v>
      </c>
      <c r="G2621">
        <v>915727</v>
      </c>
      <c r="H2621" t="s">
        <v>26</v>
      </c>
      <c r="I2621" t="s">
        <v>247</v>
      </c>
      <c r="J2621" t="str">
        <f>"9781118316764"</f>
        <v>9781118316764</v>
      </c>
      <c r="K2621" t="s">
        <v>4679</v>
      </c>
      <c r="L2621">
        <v>4</v>
      </c>
      <c r="O2621" t="s">
        <v>30</v>
      </c>
      <c r="P2621" t="s">
        <v>29</v>
      </c>
      <c r="Q2621" s="1">
        <v>42341.025034722225</v>
      </c>
      <c r="R2621">
        <v>7</v>
      </c>
      <c r="S2621" t="s">
        <v>40</v>
      </c>
      <c r="T2621" t="s">
        <v>1257</v>
      </c>
      <c r="U2621" t="s">
        <v>1258</v>
      </c>
      <c r="V2621" s="3">
        <v>41337</v>
      </c>
    </row>
    <row r="2622" spans="1:22" x14ac:dyDescent="0.35">
      <c r="A2622" s="1">
        <v>42341.020891203705</v>
      </c>
      <c r="B2622" s="2">
        <v>4.1319444444444442E-3</v>
      </c>
      <c r="C2622" t="s">
        <v>4678</v>
      </c>
      <c r="D2622" t="s">
        <v>35</v>
      </c>
      <c r="E2622" t="s">
        <v>36</v>
      </c>
      <c r="F2622" t="s">
        <v>1254</v>
      </c>
      <c r="G2622">
        <v>915727</v>
      </c>
      <c r="H2622" t="s">
        <v>26</v>
      </c>
      <c r="I2622" t="s">
        <v>247</v>
      </c>
      <c r="J2622" t="str">
        <f>"9781118316764"</f>
        <v>9781118316764</v>
      </c>
      <c r="K2622" t="s">
        <v>4680</v>
      </c>
      <c r="L2622">
        <v>9</v>
      </c>
      <c r="O2622" t="s">
        <v>30</v>
      </c>
      <c r="P2622" t="s">
        <v>50</v>
      </c>
      <c r="S2622" t="s">
        <v>40</v>
      </c>
      <c r="T2622" t="s">
        <v>1257</v>
      </c>
      <c r="U2622" t="s">
        <v>1258</v>
      </c>
      <c r="V2622" s="3">
        <v>41337</v>
      </c>
    </row>
    <row r="2623" spans="1:22" x14ac:dyDescent="0.35">
      <c r="A2623" s="1">
        <v>42341.005856481483</v>
      </c>
      <c r="B2623" s="2">
        <v>8.396990740740741E-2</v>
      </c>
      <c r="C2623" t="s">
        <v>4681</v>
      </c>
      <c r="D2623" t="s">
        <v>1222</v>
      </c>
      <c r="E2623" t="s">
        <v>1223</v>
      </c>
      <c r="F2623" t="s">
        <v>3263</v>
      </c>
      <c r="G2623">
        <v>1840835</v>
      </c>
      <c r="H2623" t="s">
        <v>26</v>
      </c>
      <c r="I2623" t="s">
        <v>108</v>
      </c>
      <c r="J2623" t="str">
        <f>"9781118950166"</f>
        <v>9781118950166</v>
      </c>
      <c r="K2623" t="s">
        <v>4682</v>
      </c>
      <c r="L2623">
        <v>34</v>
      </c>
      <c r="O2623" t="s">
        <v>30</v>
      </c>
      <c r="P2623" t="s">
        <v>29</v>
      </c>
      <c r="Q2623" s="1">
        <v>42341.005856481483</v>
      </c>
      <c r="R2623">
        <v>7</v>
      </c>
      <c r="S2623" t="s">
        <v>1226</v>
      </c>
      <c r="T2623" t="s">
        <v>3264</v>
      </c>
      <c r="U2623">
        <v>338.10923789999998</v>
      </c>
      <c r="V2623" s="3">
        <v>41953</v>
      </c>
    </row>
    <row r="2624" spans="1:22" x14ac:dyDescent="0.35">
      <c r="A2624" s="1">
        <v>42340.999351851853</v>
      </c>
      <c r="B2624" s="2">
        <v>6.5046296296296302E-3</v>
      </c>
      <c r="C2624" t="s">
        <v>4681</v>
      </c>
      <c r="D2624" t="s">
        <v>1222</v>
      </c>
      <c r="E2624" t="s">
        <v>1223</v>
      </c>
      <c r="F2624" t="s">
        <v>3263</v>
      </c>
      <c r="G2624">
        <v>1840835</v>
      </c>
      <c r="H2624" t="s">
        <v>26</v>
      </c>
      <c r="I2624" t="s">
        <v>108</v>
      </c>
      <c r="J2624" t="str">
        <f>"9781118950166"</f>
        <v>9781118950166</v>
      </c>
      <c r="K2624" t="s">
        <v>4683</v>
      </c>
      <c r="L2624">
        <v>8</v>
      </c>
      <c r="O2624" t="s">
        <v>30</v>
      </c>
      <c r="P2624" t="s">
        <v>42</v>
      </c>
      <c r="S2624" t="s">
        <v>1226</v>
      </c>
      <c r="T2624" t="s">
        <v>3264</v>
      </c>
      <c r="U2624">
        <v>338.10923789999998</v>
      </c>
      <c r="V2624" s="3">
        <v>41953</v>
      </c>
    </row>
    <row r="2625" spans="1:22" x14ac:dyDescent="0.35">
      <c r="A2625" s="1">
        <v>42340.997893518521</v>
      </c>
      <c r="B2625" s="2">
        <v>9.7222222222222209E-4</v>
      </c>
      <c r="C2625" t="s">
        <v>4684</v>
      </c>
      <c r="D2625" t="s">
        <v>35</v>
      </c>
      <c r="E2625" t="s">
        <v>36</v>
      </c>
      <c r="F2625" t="s">
        <v>4685</v>
      </c>
      <c r="G2625">
        <v>1356364</v>
      </c>
      <c r="H2625" t="s">
        <v>68</v>
      </c>
      <c r="I2625" t="s">
        <v>348</v>
      </c>
      <c r="J2625" t="str">
        <f>"9781135047757"</f>
        <v>9781135047757</v>
      </c>
      <c r="K2625" t="s">
        <v>4686</v>
      </c>
      <c r="L2625">
        <v>25</v>
      </c>
      <c r="O2625" t="s">
        <v>30</v>
      </c>
      <c r="P2625" t="s">
        <v>47</v>
      </c>
      <c r="Q2625" s="1">
        <v>42340.997175925928</v>
      </c>
      <c r="R2625">
        <v>1</v>
      </c>
      <c r="S2625" t="s">
        <v>40</v>
      </c>
      <c r="T2625" t="s">
        <v>4687</v>
      </c>
      <c r="U2625">
        <v>353.4609676</v>
      </c>
      <c r="V2625" s="3">
        <v>41507</v>
      </c>
    </row>
    <row r="2626" spans="1:22" x14ac:dyDescent="0.35">
      <c r="A2626" s="1">
        <v>42340.997175925928</v>
      </c>
      <c r="B2626" s="2">
        <v>0</v>
      </c>
      <c r="C2626" t="s">
        <v>4684</v>
      </c>
      <c r="D2626" t="s">
        <v>35</v>
      </c>
      <c r="E2626" t="s">
        <v>36</v>
      </c>
      <c r="F2626" t="s">
        <v>4685</v>
      </c>
      <c r="G2626">
        <v>1356364</v>
      </c>
      <c r="H2626" t="s">
        <v>68</v>
      </c>
      <c r="I2626" t="s">
        <v>348</v>
      </c>
      <c r="J2626" t="str">
        <f>"9781135047757"</f>
        <v>9781135047757</v>
      </c>
      <c r="L2626">
        <v>0</v>
      </c>
      <c r="O2626" t="s">
        <v>28</v>
      </c>
      <c r="P2626" t="s">
        <v>47</v>
      </c>
      <c r="Q2626" s="1">
        <v>42340.997175925928</v>
      </c>
      <c r="R2626">
        <v>1</v>
      </c>
      <c r="S2626" t="s">
        <v>40</v>
      </c>
      <c r="T2626" t="s">
        <v>4687</v>
      </c>
      <c r="U2626">
        <v>353.4609676</v>
      </c>
      <c r="V2626" s="3">
        <v>41507</v>
      </c>
    </row>
    <row r="2627" spans="1:22" x14ac:dyDescent="0.35">
      <c r="A2627" s="1">
        <v>42340.997175925928</v>
      </c>
      <c r="B2627" s="2">
        <v>0</v>
      </c>
      <c r="C2627" t="s">
        <v>4684</v>
      </c>
      <c r="D2627" t="s">
        <v>35</v>
      </c>
      <c r="E2627" t="s">
        <v>36</v>
      </c>
      <c r="F2627" t="s">
        <v>4685</v>
      </c>
      <c r="G2627">
        <v>1356364</v>
      </c>
      <c r="H2627" t="s">
        <v>68</v>
      </c>
      <c r="I2627" t="s">
        <v>348</v>
      </c>
      <c r="J2627" t="str">
        <f>"9781135047757"</f>
        <v>9781135047757</v>
      </c>
      <c r="L2627">
        <v>0</v>
      </c>
      <c r="O2627" t="s">
        <v>30</v>
      </c>
      <c r="P2627" t="s">
        <v>47</v>
      </c>
      <c r="Q2627" s="1">
        <v>42340.997175925928</v>
      </c>
      <c r="R2627">
        <v>1</v>
      </c>
      <c r="S2627" t="s">
        <v>40</v>
      </c>
      <c r="T2627" t="s">
        <v>4687</v>
      </c>
      <c r="U2627">
        <v>353.4609676</v>
      </c>
      <c r="V2627" s="3">
        <v>41507</v>
      </c>
    </row>
    <row r="2628" spans="1:22" x14ac:dyDescent="0.35">
      <c r="A2628" s="1">
        <v>42340.996851851851</v>
      </c>
      <c r="B2628" s="2">
        <v>3.965277777777778E-2</v>
      </c>
      <c r="C2628" t="s">
        <v>4311</v>
      </c>
      <c r="D2628" t="s">
        <v>23</v>
      </c>
      <c r="E2628" t="s">
        <v>24</v>
      </c>
      <c r="F2628" t="s">
        <v>745</v>
      </c>
      <c r="G2628">
        <v>1166322</v>
      </c>
      <c r="H2628" t="s">
        <v>26</v>
      </c>
      <c r="I2628" t="s">
        <v>200</v>
      </c>
      <c r="J2628" t="str">
        <f>"9781118418512"</f>
        <v>9781118418512</v>
      </c>
      <c r="K2628" t="s">
        <v>4688</v>
      </c>
      <c r="L2628">
        <v>43</v>
      </c>
      <c r="O2628" t="s">
        <v>30</v>
      </c>
      <c r="P2628" t="s">
        <v>29</v>
      </c>
      <c r="Q2628" s="1">
        <v>42340.996851851851</v>
      </c>
      <c r="R2628">
        <v>7</v>
      </c>
      <c r="S2628" t="s">
        <v>31</v>
      </c>
      <c r="T2628" t="s">
        <v>747</v>
      </c>
      <c r="U2628">
        <v>720.072</v>
      </c>
      <c r="V2628" s="3">
        <v>41367</v>
      </c>
    </row>
    <row r="2629" spans="1:22" x14ac:dyDescent="0.35">
      <c r="A2629" s="1">
        <v>42340.996747685182</v>
      </c>
      <c r="B2629" s="2">
        <v>3.4722222222222222E-5</v>
      </c>
      <c r="C2629" t="s">
        <v>3800</v>
      </c>
      <c r="D2629" t="s">
        <v>1222</v>
      </c>
      <c r="E2629" t="s">
        <v>1223</v>
      </c>
      <c r="F2629" t="s">
        <v>3801</v>
      </c>
      <c r="G2629">
        <v>867075</v>
      </c>
      <c r="H2629" t="s">
        <v>1286</v>
      </c>
      <c r="I2629" t="s">
        <v>3802</v>
      </c>
      <c r="J2629" t="str">
        <f>"9780786489473"</f>
        <v>9780786489473</v>
      </c>
      <c r="K2629" t="s">
        <v>33</v>
      </c>
      <c r="L2629">
        <v>3</v>
      </c>
      <c r="O2629" t="s">
        <v>30</v>
      </c>
      <c r="P2629" t="s">
        <v>42</v>
      </c>
      <c r="S2629" t="s">
        <v>1226</v>
      </c>
      <c r="T2629" t="s">
        <v>3805</v>
      </c>
      <c r="U2629" t="s">
        <v>3806</v>
      </c>
      <c r="V2629" s="3">
        <v>40947</v>
      </c>
    </row>
    <row r="2630" spans="1:22" x14ac:dyDescent="0.35">
      <c r="A2630" s="1">
        <v>42340.996620370373</v>
      </c>
      <c r="B2630" s="2">
        <v>1.7708333333333332E-3</v>
      </c>
      <c r="C2630" t="s">
        <v>3800</v>
      </c>
      <c r="D2630" t="s">
        <v>1222</v>
      </c>
      <c r="E2630" t="s">
        <v>1223</v>
      </c>
      <c r="F2630" t="s">
        <v>3815</v>
      </c>
      <c r="G2630">
        <v>1710985</v>
      </c>
      <c r="H2630" t="s">
        <v>84</v>
      </c>
      <c r="I2630" t="s">
        <v>1650</v>
      </c>
      <c r="J2630" t="str">
        <f>"9780520960022"</f>
        <v>9780520960022</v>
      </c>
      <c r="K2630" t="s">
        <v>1239</v>
      </c>
      <c r="L2630">
        <v>3</v>
      </c>
      <c r="O2630" t="s">
        <v>30</v>
      </c>
      <c r="P2630" t="s">
        <v>50</v>
      </c>
      <c r="S2630" t="s">
        <v>1226</v>
      </c>
      <c r="T2630" t="s">
        <v>3817</v>
      </c>
      <c r="U2630">
        <v>741.59</v>
      </c>
      <c r="V2630" s="3">
        <v>41970</v>
      </c>
    </row>
    <row r="2631" spans="1:22" x14ac:dyDescent="0.35">
      <c r="A2631" s="1">
        <v>42340.996249999997</v>
      </c>
      <c r="B2631" s="2">
        <v>4.1851851851851855E-2</v>
      </c>
      <c r="C2631" t="s">
        <v>3800</v>
      </c>
      <c r="D2631" t="s">
        <v>1222</v>
      </c>
      <c r="E2631" t="s">
        <v>1223</v>
      </c>
      <c r="F2631" t="s">
        <v>3801</v>
      </c>
      <c r="G2631">
        <v>867075</v>
      </c>
      <c r="H2631" t="s">
        <v>1286</v>
      </c>
      <c r="I2631" t="s">
        <v>3802</v>
      </c>
      <c r="J2631" t="str">
        <f>"9780786489473"</f>
        <v>9780786489473</v>
      </c>
      <c r="K2631" t="s">
        <v>1239</v>
      </c>
      <c r="L2631">
        <v>3</v>
      </c>
      <c r="O2631" t="s">
        <v>30</v>
      </c>
      <c r="P2631" t="s">
        <v>42</v>
      </c>
      <c r="S2631" t="s">
        <v>1226</v>
      </c>
      <c r="T2631" t="s">
        <v>3805</v>
      </c>
      <c r="U2631" t="s">
        <v>3806</v>
      </c>
      <c r="V2631" s="3">
        <v>40947</v>
      </c>
    </row>
    <row r="2632" spans="1:22" x14ac:dyDescent="0.35">
      <c r="A2632" s="1">
        <v>42340.996145833335</v>
      </c>
      <c r="B2632" s="2">
        <v>1.0300925925925926E-3</v>
      </c>
      <c r="C2632" t="s">
        <v>4684</v>
      </c>
      <c r="D2632" t="s">
        <v>35</v>
      </c>
      <c r="E2632" t="s">
        <v>36</v>
      </c>
      <c r="F2632" t="s">
        <v>4685</v>
      </c>
      <c r="G2632">
        <v>1356364</v>
      </c>
      <c r="H2632" t="s">
        <v>68</v>
      </c>
      <c r="I2632" t="s">
        <v>348</v>
      </c>
      <c r="J2632" t="str">
        <f>"9781135047757"</f>
        <v>9781135047757</v>
      </c>
      <c r="K2632" t="s">
        <v>4689</v>
      </c>
      <c r="L2632">
        <v>7</v>
      </c>
      <c r="O2632" t="s">
        <v>30</v>
      </c>
      <c r="P2632" t="s">
        <v>50</v>
      </c>
      <c r="S2632" t="s">
        <v>40</v>
      </c>
      <c r="T2632" t="s">
        <v>4687</v>
      </c>
      <c r="U2632">
        <v>353.4609676</v>
      </c>
      <c r="V2632" s="3">
        <v>41507</v>
      </c>
    </row>
    <row r="2633" spans="1:22" x14ac:dyDescent="0.35">
      <c r="A2633" s="1">
        <v>42340.996041666665</v>
      </c>
      <c r="B2633" s="2">
        <v>5.5555555555555556E-4</v>
      </c>
      <c r="C2633" t="s">
        <v>4681</v>
      </c>
      <c r="D2633" t="s">
        <v>1222</v>
      </c>
      <c r="E2633" t="s">
        <v>1223</v>
      </c>
      <c r="F2633" t="s">
        <v>3263</v>
      </c>
      <c r="G2633">
        <v>1840835</v>
      </c>
      <c r="H2633" t="s">
        <v>26</v>
      </c>
      <c r="I2633" t="s">
        <v>108</v>
      </c>
      <c r="J2633" t="str">
        <f>"9781118950166"</f>
        <v>9781118950166</v>
      </c>
      <c r="K2633" t="s">
        <v>4690</v>
      </c>
      <c r="L2633">
        <v>18</v>
      </c>
      <c r="O2633" t="s">
        <v>30</v>
      </c>
      <c r="P2633" t="s">
        <v>42</v>
      </c>
      <c r="S2633" t="s">
        <v>1226</v>
      </c>
      <c r="T2633" t="s">
        <v>3264</v>
      </c>
      <c r="U2633">
        <v>338.10923789999998</v>
      </c>
      <c r="V2633" s="3">
        <v>41953</v>
      </c>
    </row>
    <row r="2634" spans="1:22" x14ac:dyDescent="0.35">
      <c r="A2634" s="1">
        <v>42340.993668981479</v>
      </c>
      <c r="B2634" s="2">
        <v>3.0092592592592595E-4</v>
      </c>
      <c r="C2634" t="s">
        <v>4673</v>
      </c>
      <c r="D2634" t="s">
        <v>23</v>
      </c>
      <c r="E2634" t="s">
        <v>24</v>
      </c>
      <c r="F2634" t="s">
        <v>745</v>
      </c>
      <c r="G2634">
        <v>1166322</v>
      </c>
      <c r="H2634" t="s">
        <v>26</v>
      </c>
      <c r="I2634" t="s">
        <v>200</v>
      </c>
      <c r="J2634" t="str">
        <f>"9781118418512"</f>
        <v>9781118418512</v>
      </c>
      <c r="K2634" t="s">
        <v>4691</v>
      </c>
      <c r="L2634">
        <v>17</v>
      </c>
      <c r="O2634" t="s">
        <v>30</v>
      </c>
      <c r="P2634" t="s">
        <v>29</v>
      </c>
      <c r="Q2634" s="1">
        <v>42340.993668981479</v>
      </c>
      <c r="R2634">
        <v>7</v>
      </c>
      <c r="S2634" t="s">
        <v>31</v>
      </c>
      <c r="T2634" t="s">
        <v>747</v>
      </c>
      <c r="U2634">
        <v>720.072</v>
      </c>
      <c r="V2634" s="3">
        <v>41367</v>
      </c>
    </row>
    <row r="2635" spans="1:22" x14ac:dyDescent="0.35">
      <c r="A2635" s="1">
        <v>42340.989814814813</v>
      </c>
      <c r="B2635" s="2">
        <v>7.037037037037037E-3</v>
      </c>
      <c r="C2635" t="s">
        <v>4311</v>
      </c>
      <c r="D2635" t="s">
        <v>23</v>
      </c>
      <c r="E2635" t="s">
        <v>24</v>
      </c>
      <c r="F2635" t="s">
        <v>745</v>
      </c>
      <c r="G2635">
        <v>1166322</v>
      </c>
      <c r="H2635" t="s">
        <v>26</v>
      </c>
      <c r="I2635" t="s">
        <v>200</v>
      </c>
      <c r="J2635" t="str">
        <f>"9781118418512"</f>
        <v>9781118418512</v>
      </c>
      <c r="K2635" t="s">
        <v>4692</v>
      </c>
      <c r="L2635">
        <v>8</v>
      </c>
      <c r="O2635" t="s">
        <v>30</v>
      </c>
      <c r="P2635" t="s">
        <v>42</v>
      </c>
      <c r="S2635" t="s">
        <v>31</v>
      </c>
      <c r="T2635" t="s">
        <v>747</v>
      </c>
      <c r="U2635">
        <v>720.072</v>
      </c>
      <c r="V2635" s="3">
        <v>41367</v>
      </c>
    </row>
    <row r="2636" spans="1:22" x14ac:dyDescent="0.35">
      <c r="A2636" s="1">
        <v>42340.989548611113</v>
      </c>
      <c r="B2636" s="2">
        <v>1.0185185185185186E-3</v>
      </c>
      <c r="C2636" t="s">
        <v>4693</v>
      </c>
      <c r="D2636" t="s">
        <v>623</v>
      </c>
      <c r="E2636" t="s">
        <v>624</v>
      </c>
      <c r="F2636" t="s">
        <v>4694</v>
      </c>
      <c r="G2636">
        <v>1926644</v>
      </c>
      <c r="H2636" t="s">
        <v>26</v>
      </c>
      <c r="I2636" t="s">
        <v>120</v>
      </c>
      <c r="J2636" t="str">
        <f>"9781118611203"</f>
        <v>9781118611203</v>
      </c>
      <c r="K2636" t="s">
        <v>4695</v>
      </c>
      <c r="L2636">
        <v>22</v>
      </c>
      <c r="O2636" t="s">
        <v>30</v>
      </c>
      <c r="P2636" t="s">
        <v>42</v>
      </c>
      <c r="S2636" t="s">
        <v>627</v>
      </c>
      <c r="T2636" t="s">
        <v>4696</v>
      </c>
      <c r="U2636">
        <v>306.7</v>
      </c>
      <c r="V2636" s="3">
        <v>42024</v>
      </c>
    </row>
    <row r="2637" spans="1:22" x14ac:dyDescent="0.35">
      <c r="A2637" s="1">
        <v>42340.987812500003</v>
      </c>
      <c r="B2637" s="2">
        <v>6.2129629629629625E-2</v>
      </c>
      <c r="C2637" t="s">
        <v>4697</v>
      </c>
      <c r="D2637" t="s">
        <v>35</v>
      </c>
      <c r="E2637" t="s">
        <v>36</v>
      </c>
      <c r="F2637" t="s">
        <v>4698</v>
      </c>
      <c r="G2637">
        <v>1365057</v>
      </c>
      <c r="H2637" t="s">
        <v>26</v>
      </c>
      <c r="I2637" t="s">
        <v>426</v>
      </c>
      <c r="J2637" t="str">
        <f>"9781118724996"</f>
        <v>9781118724996</v>
      </c>
      <c r="K2637" t="s">
        <v>4699</v>
      </c>
      <c r="L2637">
        <v>41</v>
      </c>
      <c r="O2637" t="s">
        <v>30</v>
      </c>
      <c r="P2637" t="s">
        <v>29</v>
      </c>
      <c r="Q2637" s="1">
        <v>42340.987812500003</v>
      </c>
      <c r="R2637">
        <v>7</v>
      </c>
      <c r="S2637" t="s">
        <v>40</v>
      </c>
      <c r="T2637" t="s">
        <v>4700</v>
      </c>
      <c r="U2637">
        <v>292.08</v>
      </c>
      <c r="V2637" s="3">
        <v>41431</v>
      </c>
    </row>
    <row r="2638" spans="1:22" x14ac:dyDescent="0.35">
      <c r="A2638" s="1">
        <v>42340.985902777778</v>
      </c>
      <c r="B2638" s="2">
        <v>7.7662037037037031E-3</v>
      </c>
      <c r="C2638" t="s">
        <v>4673</v>
      </c>
      <c r="D2638" t="s">
        <v>23</v>
      </c>
      <c r="E2638" t="s">
        <v>24</v>
      </c>
      <c r="F2638" t="s">
        <v>745</v>
      </c>
      <c r="G2638">
        <v>1166322</v>
      </c>
      <c r="H2638" t="s">
        <v>26</v>
      </c>
      <c r="I2638" t="s">
        <v>200</v>
      </c>
      <c r="J2638" t="str">
        <f>"9781118418512"</f>
        <v>9781118418512</v>
      </c>
      <c r="K2638" t="s">
        <v>4701</v>
      </c>
      <c r="L2638">
        <v>22</v>
      </c>
      <c r="O2638" t="s">
        <v>30</v>
      </c>
      <c r="P2638" t="s">
        <v>42</v>
      </c>
      <c r="S2638" t="s">
        <v>31</v>
      </c>
      <c r="T2638" t="s">
        <v>747</v>
      </c>
      <c r="U2638">
        <v>720.072</v>
      </c>
      <c r="V2638" s="3">
        <v>41367</v>
      </c>
    </row>
    <row r="2639" spans="1:22" x14ac:dyDescent="0.35">
      <c r="A2639" s="1">
        <v>42340.9840625</v>
      </c>
      <c r="B2639" s="2">
        <v>6.069444444444444E-2</v>
      </c>
      <c r="C2639" t="s">
        <v>4697</v>
      </c>
      <c r="D2639" t="s">
        <v>35</v>
      </c>
      <c r="E2639" t="s">
        <v>36</v>
      </c>
      <c r="F2639" t="s">
        <v>4702</v>
      </c>
      <c r="G2639">
        <v>1144625</v>
      </c>
      <c r="H2639" t="s">
        <v>68</v>
      </c>
      <c r="I2639" t="s">
        <v>426</v>
      </c>
      <c r="J2639" t="str">
        <f>"9781135143657"</f>
        <v>9781135143657</v>
      </c>
      <c r="K2639" t="s">
        <v>4703</v>
      </c>
      <c r="L2639">
        <v>18</v>
      </c>
      <c r="O2639" t="s">
        <v>30</v>
      </c>
      <c r="P2639" t="s">
        <v>47</v>
      </c>
      <c r="Q2639" s="1">
        <v>42340.9840625</v>
      </c>
      <c r="R2639">
        <v>1</v>
      </c>
      <c r="S2639" t="s">
        <v>40</v>
      </c>
      <c r="T2639" t="s">
        <v>4704</v>
      </c>
      <c r="U2639">
        <v>292.38</v>
      </c>
      <c r="V2639" s="3">
        <v>41522</v>
      </c>
    </row>
    <row r="2640" spans="1:22" x14ac:dyDescent="0.35">
      <c r="A2640" s="1">
        <v>42340.980567129627</v>
      </c>
      <c r="B2640" s="2">
        <v>3.4953703703703705E-3</v>
      </c>
      <c r="C2640" t="s">
        <v>4697</v>
      </c>
      <c r="D2640" t="s">
        <v>35</v>
      </c>
      <c r="E2640" t="s">
        <v>36</v>
      </c>
      <c r="F2640" t="s">
        <v>4702</v>
      </c>
      <c r="G2640">
        <v>1144625</v>
      </c>
      <c r="H2640" t="s">
        <v>68</v>
      </c>
      <c r="I2640" t="s">
        <v>426</v>
      </c>
      <c r="J2640" t="str">
        <f>"9781135143657"</f>
        <v>9781135143657</v>
      </c>
      <c r="K2640" t="s">
        <v>4705</v>
      </c>
      <c r="L2640">
        <v>9</v>
      </c>
      <c r="O2640" t="s">
        <v>30</v>
      </c>
      <c r="P2640" t="s">
        <v>50</v>
      </c>
      <c r="S2640" t="s">
        <v>40</v>
      </c>
      <c r="T2640" t="s">
        <v>4704</v>
      </c>
      <c r="U2640">
        <v>292.38</v>
      </c>
      <c r="V2640" s="3">
        <v>41522</v>
      </c>
    </row>
    <row r="2641" spans="1:22" x14ac:dyDescent="0.35">
      <c r="A2641" s="1">
        <v>42340.957025462965</v>
      </c>
      <c r="B2641" s="2">
        <v>3.0775462962962966E-2</v>
      </c>
      <c r="C2641" t="s">
        <v>4697</v>
      </c>
      <c r="D2641" t="s">
        <v>35</v>
      </c>
      <c r="E2641" t="s">
        <v>36</v>
      </c>
      <c r="F2641" t="s">
        <v>4698</v>
      </c>
      <c r="G2641">
        <v>1365057</v>
      </c>
      <c r="H2641" t="s">
        <v>26</v>
      </c>
      <c r="I2641" t="s">
        <v>426</v>
      </c>
      <c r="J2641" t="str">
        <f>"9781118724996"</f>
        <v>9781118724996</v>
      </c>
      <c r="K2641" t="s">
        <v>4706</v>
      </c>
      <c r="L2641">
        <v>14</v>
      </c>
      <c r="O2641" t="s">
        <v>30</v>
      </c>
      <c r="P2641" t="s">
        <v>42</v>
      </c>
      <c r="S2641" t="s">
        <v>40</v>
      </c>
      <c r="T2641" t="s">
        <v>4700</v>
      </c>
      <c r="U2641">
        <v>292.08</v>
      </c>
      <c r="V2641" s="3">
        <v>41431</v>
      </c>
    </row>
    <row r="2642" spans="1:22" x14ac:dyDescent="0.35">
      <c r="A2642" s="1">
        <v>42340.943124999998</v>
      </c>
      <c r="B2642" s="2">
        <v>2.5462962962962961E-4</v>
      </c>
      <c r="C2642" t="s">
        <v>3942</v>
      </c>
      <c r="D2642" t="s">
        <v>35</v>
      </c>
      <c r="E2642" t="s">
        <v>36</v>
      </c>
      <c r="F2642" t="s">
        <v>3943</v>
      </c>
      <c r="G2642">
        <v>836167</v>
      </c>
      <c r="H2642" t="s">
        <v>149</v>
      </c>
      <c r="I2642" t="s">
        <v>3944</v>
      </c>
      <c r="J2642" t="str">
        <f>"9781438139487"</f>
        <v>9781438139487</v>
      </c>
      <c r="K2642" t="s">
        <v>2582</v>
      </c>
      <c r="L2642">
        <v>8</v>
      </c>
      <c r="O2642" t="s">
        <v>30</v>
      </c>
      <c r="P2642" t="s">
        <v>29</v>
      </c>
      <c r="Q2642" s="1">
        <v>42335.854641203703</v>
      </c>
      <c r="R2642">
        <v>7</v>
      </c>
      <c r="S2642" t="s">
        <v>40</v>
      </c>
      <c r="T2642" t="s">
        <v>3946</v>
      </c>
      <c r="U2642" t="s">
        <v>3947</v>
      </c>
      <c r="V2642" s="3">
        <v>40848</v>
      </c>
    </row>
    <row r="2643" spans="1:22" x14ac:dyDescent="0.35">
      <c r="A2643" s="1">
        <v>42340.922430555554</v>
      </c>
      <c r="B2643" s="2">
        <v>0.10493055555555557</v>
      </c>
      <c r="C2643" t="s">
        <v>4647</v>
      </c>
      <c r="D2643" t="s">
        <v>35</v>
      </c>
      <c r="E2643" t="s">
        <v>36</v>
      </c>
      <c r="F2643" t="s">
        <v>1285</v>
      </c>
      <c r="G2643">
        <v>979950</v>
      </c>
      <c r="H2643" t="s">
        <v>1286</v>
      </c>
      <c r="I2643" t="s">
        <v>310</v>
      </c>
      <c r="J2643" t="str">
        <f>"9781476600321"</f>
        <v>9781476600321</v>
      </c>
      <c r="K2643" t="s">
        <v>4707</v>
      </c>
      <c r="L2643">
        <v>72</v>
      </c>
      <c r="O2643" t="s">
        <v>30</v>
      </c>
      <c r="P2643" t="s">
        <v>29</v>
      </c>
      <c r="Q2643" s="1">
        <v>42340.922430555554</v>
      </c>
      <c r="R2643">
        <v>7</v>
      </c>
      <c r="S2643" t="s">
        <v>40</v>
      </c>
      <c r="T2643" t="s">
        <v>1288</v>
      </c>
      <c r="U2643" t="s">
        <v>1289</v>
      </c>
      <c r="V2643" s="3">
        <v>41100</v>
      </c>
    </row>
    <row r="2644" spans="1:22" x14ac:dyDescent="0.35">
      <c r="A2644" s="1">
        <v>42340.915000000001</v>
      </c>
      <c r="B2644" s="2">
        <v>7.4305555555555548E-3</v>
      </c>
      <c r="C2644" t="s">
        <v>4647</v>
      </c>
      <c r="D2644" t="s">
        <v>35</v>
      </c>
      <c r="E2644" t="s">
        <v>36</v>
      </c>
      <c r="F2644" t="s">
        <v>1285</v>
      </c>
      <c r="G2644">
        <v>979950</v>
      </c>
      <c r="H2644" t="s">
        <v>1286</v>
      </c>
      <c r="I2644" t="s">
        <v>310</v>
      </c>
      <c r="J2644" t="str">
        <f>"9781476600321"</f>
        <v>9781476600321</v>
      </c>
      <c r="K2644" t="s">
        <v>4708</v>
      </c>
      <c r="L2644">
        <v>19</v>
      </c>
      <c r="O2644" t="s">
        <v>30</v>
      </c>
      <c r="P2644" t="s">
        <v>42</v>
      </c>
      <c r="S2644" t="s">
        <v>40</v>
      </c>
      <c r="T2644" t="s">
        <v>1288</v>
      </c>
      <c r="U2644" t="s">
        <v>1289</v>
      </c>
      <c r="V2644" s="3">
        <v>41100</v>
      </c>
    </row>
    <row r="2645" spans="1:22" x14ac:dyDescent="0.35">
      <c r="A2645" s="1">
        <v>42340.882337962961</v>
      </c>
      <c r="B2645" s="2">
        <v>4.6296296296296294E-5</v>
      </c>
      <c r="C2645" t="s">
        <v>4697</v>
      </c>
      <c r="D2645" t="s">
        <v>35</v>
      </c>
      <c r="E2645" t="s">
        <v>36</v>
      </c>
      <c r="F2645" t="s">
        <v>4702</v>
      </c>
      <c r="G2645">
        <v>1144625</v>
      </c>
      <c r="H2645" t="s">
        <v>68</v>
      </c>
      <c r="I2645" t="s">
        <v>426</v>
      </c>
      <c r="J2645" t="str">
        <f>"9781135143657"</f>
        <v>9781135143657</v>
      </c>
      <c r="K2645" t="s">
        <v>33</v>
      </c>
      <c r="L2645">
        <v>3</v>
      </c>
      <c r="O2645" t="s">
        <v>30</v>
      </c>
      <c r="P2645" t="s">
        <v>50</v>
      </c>
      <c r="S2645" t="s">
        <v>40</v>
      </c>
      <c r="T2645" t="s">
        <v>4704</v>
      </c>
      <c r="U2645">
        <v>292.38</v>
      </c>
      <c r="V2645" s="3">
        <v>41522</v>
      </c>
    </row>
    <row r="2646" spans="1:22" x14ac:dyDescent="0.35">
      <c r="A2646" s="1">
        <v>42340.871145833335</v>
      </c>
      <c r="B2646" s="2">
        <v>0</v>
      </c>
      <c r="C2646" t="s">
        <v>2401</v>
      </c>
      <c r="D2646" t="s">
        <v>35</v>
      </c>
      <c r="E2646" t="s">
        <v>36</v>
      </c>
      <c r="F2646" t="s">
        <v>4709</v>
      </c>
      <c r="G2646">
        <v>1487145</v>
      </c>
      <c r="H2646" t="s">
        <v>68</v>
      </c>
      <c r="I2646" t="s">
        <v>150</v>
      </c>
      <c r="J2646" t="str">
        <f>"9781136485008"</f>
        <v>9781136485008</v>
      </c>
      <c r="K2646" t="s">
        <v>1309</v>
      </c>
      <c r="L2646">
        <v>1</v>
      </c>
      <c r="N2646" t="s">
        <v>4710</v>
      </c>
      <c r="O2646" t="s">
        <v>30</v>
      </c>
      <c r="P2646" t="s">
        <v>47</v>
      </c>
      <c r="Q2646" s="1">
        <v>42340.871145833335</v>
      </c>
      <c r="R2646">
        <v>1</v>
      </c>
      <c r="S2646" t="s">
        <v>40</v>
      </c>
      <c r="T2646">
        <v>2003013057</v>
      </c>
      <c r="U2646">
        <v>792.80899999999997</v>
      </c>
      <c r="V2646" s="3">
        <v>37980</v>
      </c>
    </row>
    <row r="2647" spans="1:22" x14ac:dyDescent="0.35">
      <c r="A2647" s="1">
        <v>42340.87090277778</v>
      </c>
      <c r="B2647" s="2">
        <v>2.4305555555555552E-4</v>
      </c>
      <c r="C2647" t="s">
        <v>2401</v>
      </c>
      <c r="D2647" t="s">
        <v>35</v>
      </c>
      <c r="E2647" t="s">
        <v>36</v>
      </c>
      <c r="F2647" t="s">
        <v>4709</v>
      </c>
      <c r="G2647">
        <v>1487145</v>
      </c>
      <c r="H2647" t="s">
        <v>68</v>
      </c>
      <c r="I2647" t="s">
        <v>150</v>
      </c>
      <c r="J2647" t="str">
        <f>"9781136485008"</f>
        <v>9781136485008</v>
      </c>
      <c r="K2647" t="s">
        <v>4711</v>
      </c>
      <c r="L2647">
        <v>7</v>
      </c>
      <c r="O2647" t="s">
        <v>30</v>
      </c>
      <c r="P2647" t="s">
        <v>50</v>
      </c>
      <c r="S2647" t="s">
        <v>40</v>
      </c>
      <c r="T2647">
        <v>2003013057</v>
      </c>
      <c r="U2647">
        <v>792.80899999999997</v>
      </c>
      <c r="V2647" s="3">
        <v>37980</v>
      </c>
    </row>
    <row r="2648" spans="1:22" x14ac:dyDescent="0.35">
      <c r="A2648" s="1">
        <v>42340.867569444446</v>
      </c>
      <c r="B2648" s="2">
        <v>1.0416666666666667E-3</v>
      </c>
      <c r="C2648" t="s">
        <v>2707</v>
      </c>
      <c r="D2648" t="s">
        <v>23</v>
      </c>
      <c r="E2648" t="s">
        <v>24</v>
      </c>
      <c r="F2648" t="s">
        <v>2708</v>
      </c>
      <c r="G2648">
        <v>817977</v>
      </c>
      <c r="H2648" t="s">
        <v>26</v>
      </c>
      <c r="I2648" t="s">
        <v>280</v>
      </c>
      <c r="J2648" t="str">
        <f>"9781118222188"</f>
        <v>9781118222188</v>
      </c>
      <c r="K2648" t="s">
        <v>4712</v>
      </c>
      <c r="L2648">
        <v>20</v>
      </c>
      <c r="O2648" t="s">
        <v>30</v>
      </c>
      <c r="P2648" t="s">
        <v>42</v>
      </c>
      <c r="S2648" t="s">
        <v>31</v>
      </c>
      <c r="T2648" t="s">
        <v>2711</v>
      </c>
      <c r="U2648" t="s">
        <v>2712</v>
      </c>
      <c r="V2648" s="3">
        <v>41239</v>
      </c>
    </row>
    <row r="2649" spans="1:22" x14ac:dyDescent="0.35">
      <c r="A2649" s="1">
        <v>42340.855023148149</v>
      </c>
      <c r="B2649" s="2">
        <v>4.5104166666666667E-2</v>
      </c>
      <c r="C2649" t="s">
        <v>4713</v>
      </c>
      <c r="D2649" t="s">
        <v>1222</v>
      </c>
      <c r="E2649" t="s">
        <v>1223</v>
      </c>
      <c r="F2649" t="s">
        <v>3263</v>
      </c>
      <c r="G2649">
        <v>1840835</v>
      </c>
      <c r="H2649" t="s">
        <v>26</v>
      </c>
      <c r="I2649" t="s">
        <v>108</v>
      </c>
      <c r="J2649" t="str">
        <f>"9781118950166"</f>
        <v>9781118950166</v>
      </c>
      <c r="K2649" t="s">
        <v>4714</v>
      </c>
      <c r="L2649">
        <v>47</v>
      </c>
      <c r="O2649" t="s">
        <v>30</v>
      </c>
      <c r="P2649" t="s">
        <v>29</v>
      </c>
      <c r="Q2649" s="1">
        <v>42340.855023148149</v>
      </c>
      <c r="R2649">
        <v>7</v>
      </c>
      <c r="S2649" t="s">
        <v>1226</v>
      </c>
      <c r="T2649" t="s">
        <v>3264</v>
      </c>
      <c r="U2649">
        <v>338.10923789999998</v>
      </c>
      <c r="V2649" s="3">
        <v>41953</v>
      </c>
    </row>
    <row r="2650" spans="1:22" x14ac:dyDescent="0.35">
      <c r="A2650" s="1">
        <v>42340.847453703704</v>
      </c>
      <c r="B2650" s="2">
        <v>1.7592592592592592E-3</v>
      </c>
      <c r="C2650" t="s">
        <v>4715</v>
      </c>
      <c r="D2650" t="s">
        <v>261</v>
      </c>
      <c r="E2650" t="s">
        <v>262</v>
      </c>
      <c r="F2650" t="s">
        <v>1752</v>
      </c>
      <c r="G2650">
        <v>1887116</v>
      </c>
      <c r="H2650" t="s">
        <v>26</v>
      </c>
      <c r="I2650" t="s">
        <v>150</v>
      </c>
      <c r="J2650" t="str">
        <f>"9781118885413"</f>
        <v>9781118885413</v>
      </c>
      <c r="K2650" t="s">
        <v>4716</v>
      </c>
      <c r="L2650">
        <v>9</v>
      </c>
      <c r="O2650" t="s">
        <v>30</v>
      </c>
      <c r="P2650" t="s">
        <v>50</v>
      </c>
      <c r="S2650" t="s">
        <v>264</v>
      </c>
      <c r="T2650" t="s">
        <v>1754</v>
      </c>
      <c r="U2650">
        <v>709.37</v>
      </c>
      <c r="V2650" s="3">
        <v>41977</v>
      </c>
    </row>
    <row r="2651" spans="1:22" x14ac:dyDescent="0.35">
      <c r="A2651" s="1">
        <v>42340.847187500003</v>
      </c>
      <c r="B2651" s="2">
        <v>9.2824074074074073E-2</v>
      </c>
      <c r="C2651" t="s">
        <v>4717</v>
      </c>
      <c r="D2651" t="s">
        <v>1222</v>
      </c>
      <c r="E2651" t="s">
        <v>1223</v>
      </c>
      <c r="F2651" t="s">
        <v>3263</v>
      </c>
      <c r="G2651">
        <v>1840835</v>
      </c>
      <c r="H2651" t="s">
        <v>26</v>
      </c>
      <c r="I2651" t="s">
        <v>108</v>
      </c>
      <c r="J2651" t="str">
        <f>"9781118950166"</f>
        <v>9781118950166</v>
      </c>
      <c r="K2651" t="s">
        <v>4718</v>
      </c>
      <c r="L2651">
        <v>74</v>
      </c>
      <c r="O2651" t="s">
        <v>30</v>
      </c>
      <c r="P2651" t="s">
        <v>29</v>
      </c>
      <c r="Q2651" s="1">
        <v>42339.845671296294</v>
      </c>
      <c r="R2651">
        <v>7</v>
      </c>
      <c r="S2651" t="s">
        <v>1226</v>
      </c>
      <c r="T2651" t="s">
        <v>3264</v>
      </c>
      <c r="U2651">
        <v>338.10923789999998</v>
      </c>
      <c r="V2651" s="3">
        <v>41953</v>
      </c>
    </row>
    <row r="2652" spans="1:22" x14ac:dyDescent="0.35">
      <c r="A2652" s="1">
        <v>42340.840879629628</v>
      </c>
      <c r="B2652" s="2">
        <v>3.8958333333333338E-2</v>
      </c>
      <c r="C2652" t="s">
        <v>3942</v>
      </c>
      <c r="D2652" t="s">
        <v>35</v>
      </c>
      <c r="E2652" t="s">
        <v>36</v>
      </c>
      <c r="F2652" t="s">
        <v>3943</v>
      </c>
      <c r="G2652">
        <v>836167</v>
      </c>
      <c r="H2652" t="s">
        <v>149</v>
      </c>
      <c r="I2652" t="s">
        <v>3944</v>
      </c>
      <c r="J2652" t="str">
        <f>"9781438139487"</f>
        <v>9781438139487</v>
      </c>
      <c r="K2652" t="s">
        <v>4719</v>
      </c>
      <c r="L2652">
        <v>13</v>
      </c>
      <c r="O2652" t="s">
        <v>30</v>
      </c>
      <c r="P2652" t="s">
        <v>29</v>
      </c>
      <c r="Q2652" s="1">
        <v>42335.854641203703</v>
      </c>
      <c r="R2652">
        <v>7</v>
      </c>
      <c r="S2652" t="s">
        <v>40</v>
      </c>
      <c r="T2652" t="s">
        <v>3946</v>
      </c>
      <c r="U2652" t="s">
        <v>3947</v>
      </c>
      <c r="V2652" s="3">
        <v>40848</v>
      </c>
    </row>
    <row r="2653" spans="1:22" x14ac:dyDescent="0.35">
      <c r="A2653" s="1">
        <v>42340.838865740741</v>
      </c>
      <c r="B2653" s="2">
        <v>4.6296296296296293E-4</v>
      </c>
      <c r="C2653" t="s">
        <v>2226</v>
      </c>
      <c r="D2653" t="s">
        <v>146</v>
      </c>
      <c r="E2653" t="s">
        <v>147</v>
      </c>
      <c r="F2653" t="s">
        <v>775</v>
      </c>
      <c r="G2653">
        <v>1809742</v>
      </c>
      <c r="H2653" t="s">
        <v>26</v>
      </c>
      <c r="I2653" t="s">
        <v>776</v>
      </c>
      <c r="J2653" t="str">
        <f>"9781118968291"</f>
        <v>9781118968291</v>
      </c>
      <c r="K2653" t="s">
        <v>1203</v>
      </c>
      <c r="L2653">
        <v>17</v>
      </c>
      <c r="O2653" t="s">
        <v>30</v>
      </c>
      <c r="P2653" t="s">
        <v>42</v>
      </c>
      <c r="S2653" t="s">
        <v>2228</v>
      </c>
      <c r="T2653" t="s">
        <v>779</v>
      </c>
      <c r="U2653">
        <v>794.8</v>
      </c>
      <c r="V2653" s="3">
        <v>41911</v>
      </c>
    </row>
    <row r="2654" spans="1:22" x14ac:dyDescent="0.35">
      <c r="A2654" s="1">
        <v>42340.837291666663</v>
      </c>
      <c r="B2654" s="2">
        <v>1.0416666666666667E-4</v>
      </c>
      <c r="C2654" t="s">
        <v>2226</v>
      </c>
      <c r="D2654" t="s">
        <v>146</v>
      </c>
      <c r="E2654" t="s">
        <v>147</v>
      </c>
      <c r="F2654" t="s">
        <v>775</v>
      </c>
      <c r="G2654">
        <v>1809742</v>
      </c>
      <c r="H2654" t="s">
        <v>26</v>
      </c>
      <c r="I2654" t="s">
        <v>776</v>
      </c>
      <c r="J2654" t="str">
        <f>"9781118968291"</f>
        <v>9781118968291</v>
      </c>
      <c r="K2654" t="s">
        <v>209</v>
      </c>
      <c r="L2654">
        <v>4</v>
      </c>
      <c r="O2654" t="s">
        <v>30</v>
      </c>
      <c r="P2654" t="s">
        <v>42</v>
      </c>
      <c r="S2654" t="s">
        <v>2228</v>
      </c>
      <c r="T2654" t="s">
        <v>779</v>
      </c>
      <c r="U2654">
        <v>794.8</v>
      </c>
      <c r="V2654" s="3">
        <v>41911</v>
      </c>
    </row>
    <row r="2655" spans="1:22" x14ac:dyDescent="0.35">
      <c r="A2655" s="1">
        <v>42340.831192129626</v>
      </c>
      <c r="B2655" s="2">
        <v>1.0995370370370371E-3</v>
      </c>
      <c r="C2655" t="s">
        <v>4720</v>
      </c>
      <c r="D2655" t="s">
        <v>35</v>
      </c>
      <c r="E2655" t="s">
        <v>36</v>
      </c>
      <c r="F2655" t="s">
        <v>4721</v>
      </c>
      <c r="G2655">
        <v>1129739</v>
      </c>
      <c r="H2655" t="s">
        <v>26</v>
      </c>
      <c r="I2655" t="s">
        <v>69</v>
      </c>
      <c r="J2655" t="str">
        <f>"9781118539323"</f>
        <v>9781118539323</v>
      </c>
      <c r="K2655" t="s">
        <v>4722</v>
      </c>
      <c r="L2655">
        <v>17</v>
      </c>
      <c r="O2655" t="s">
        <v>30</v>
      </c>
      <c r="P2655" t="s">
        <v>50</v>
      </c>
      <c r="S2655" t="s">
        <v>40</v>
      </c>
      <c r="T2655" t="s">
        <v>4723</v>
      </c>
      <c r="U2655">
        <v>371.10199999999998</v>
      </c>
      <c r="V2655" s="3">
        <v>41320</v>
      </c>
    </row>
    <row r="2656" spans="1:22" x14ac:dyDescent="0.35">
      <c r="A2656" s="1">
        <v>42340.826956018522</v>
      </c>
      <c r="B2656" s="2">
        <v>3.7685185185185183E-2</v>
      </c>
      <c r="C2656" t="s">
        <v>471</v>
      </c>
      <c r="D2656" t="s">
        <v>211</v>
      </c>
      <c r="E2656" t="s">
        <v>212</v>
      </c>
      <c r="F2656" t="s">
        <v>1182</v>
      </c>
      <c r="G2656">
        <v>1557279</v>
      </c>
      <c r="H2656" t="s">
        <v>26</v>
      </c>
      <c r="I2656" t="s">
        <v>97</v>
      </c>
      <c r="J2656" t="str">
        <f>"9781118863664"</f>
        <v>9781118863664</v>
      </c>
      <c r="K2656" t="s">
        <v>4724</v>
      </c>
      <c r="L2656">
        <v>20</v>
      </c>
      <c r="M2656" t="s">
        <v>4725</v>
      </c>
      <c r="O2656" t="s">
        <v>30</v>
      </c>
      <c r="P2656" t="s">
        <v>29</v>
      </c>
      <c r="Q2656" s="1">
        <v>42338.797881944447</v>
      </c>
      <c r="R2656">
        <v>7</v>
      </c>
      <c r="S2656" t="s">
        <v>214</v>
      </c>
      <c r="T2656" t="s">
        <v>1183</v>
      </c>
      <c r="U2656">
        <v>657.37800000000004</v>
      </c>
      <c r="V2656" s="3">
        <v>41585</v>
      </c>
    </row>
    <row r="2657" spans="1:22" x14ac:dyDescent="0.35">
      <c r="A2657" s="1">
        <v>42340.820671296293</v>
      </c>
      <c r="B2657" s="2">
        <v>3.4722222222222222E-5</v>
      </c>
      <c r="C2657" t="s">
        <v>4726</v>
      </c>
      <c r="D2657" t="s">
        <v>158</v>
      </c>
      <c r="E2657" t="s">
        <v>159</v>
      </c>
      <c r="F2657" t="s">
        <v>2807</v>
      </c>
      <c r="G2657">
        <v>1767915</v>
      </c>
      <c r="H2657" t="s">
        <v>26</v>
      </c>
      <c r="I2657" t="s">
        <v>120</v>
      </c>
      <c r="J2657" t="str">
        <f>"9780730315148"</f>
        <v>9780730315148</v>
      </c>
      <c r="K2657" t="s">
        <v>33</v>
      </c>
      <c r="L2657">
        <v>3</v>
      </c>
      <c r="O2657" t="s">
        <v>30</v>
      </c>
      <c r="P2657" t="s">
        <v>29</v>
      </c>
      <c r="Q2657" s="1">
        <v>42338.992222222223</v>
      </c>
      <c r="R2657">
        <v>7</v>
      </c>
      <c r="S2657" t="s">
        <v>163</v>
      </c>
      <c r="T2657" t="s">
        <v>2809</v>
      </c>
      <c r="U2657">
        <v>302.23099999999999</v>
      </c>
      <c r="V2657" s="3">
        <v>41866</v>
      </c>
    </row>
    <row r="2658" spans="1:22" x14ac:dyDescent="0.35">
      <c r="A2658" s="1">
        <v>42340.819444444445</v>
      </c>
      <c r="B2658" s="2">
        <v>3.5567129629629629E-2</v>
      </c>
      <c r="C2658" t="s">
        <v>4713</v>
      </c>
      <c r="D2658" t="s">
        <v>1222</v>
      </c>
      <c r="E2658" t="s">
        <v>1223</v>
      </c>
      <c r="F2658" t="s">
        <v>3263</v>
      </c>
      <c r="G2658">
        <v>1840835</v>
      </c>
      <c r="H2658" t="s">
        <v>26</v>
      </c>
      <c r="I2658" t="s">
        <v>108</v>
      </c>
      <c r="J2658" t="str">
        <f>"9781118950166"</f>
        <v>9781118950166</v>
      </c>
      <c r="K2658" t="s">
        <v>4727</v>
      </c>
      <c r="L2658">
        <v>15</v>
      </c>
      <c r="O2658" t="s">
        <v>30</v>
      </c>
      <c r="P2658" t="s">
        <v>42</v>
      </c>
      <c r="S2658" t="s">
        <v>1226</v>
      </c>
      <c r="T2658" t="s">
        <v>3264</v>
      </c>
      <c r="U2658">
        <v>338.10923789999998</v>
      </c>
      <c r="V2658" s="3">
        <v>41953</v>
      </c>
    </row>
    <row r="2659" spans="1:22" x14ac:dyDescent="0.35">
      <c r="A2659" s="1">
        <v>42340.813136574077</v>
      </c>
      <c r="B2659" s="2">
        <v>2.1724537037037039E-2</v>
      </c>
      <c r="C2659" t="s">
        <v>4728</v>
      </c>
      <c r="D2659" t="s">
        <v>623</v>
      </c>
      <c r="E2659" t="s">
        <v>624</v>
      </c>
      <c r="F2659" t="s">
        <v>4494</v>
      </c>
      <c r="G2659">
        <v>565082</v>
      </c>
      <c r="H2659" t="s">
        <v>26</v>
      </c>
      <c r="I2659" t="s">
        <v>69</v>
      </c>
      <c r="J2659" t="str">
        <f>"9781118041567"</f>
        <v>9781118041567</v>
      </c>
      <c r="K2659" t="s">
        <v>4729</v>
      </c>
      <c r="L2659">
        <v>17</v>
      </c>
      <c r="O2659" t="s">
        <v>30</v>
      </c>
      <c r="P2659" t="s">
        <v>29</v>
      </c>
      <c r="Q2659" s="1">
        <v>42340.813136574077</v>
      </c>
      <c r="R2659">
        <v>7</v>
      </c>
      <c r="S2659" t="s">
        <v>627</v>
      </c>
      <c r="T2659" t="s">
        <v>4496</v>
      </c>
      <c r="U2659" t="s">
        <v>4497</v>
      </c>
      <c r="V2659" s="3">
        <v>40337</v>
      </c>
    </row>
    <row r="2660" spans="1:22" x14ac:dyDescent="0.35">
      <c r="A2660" s="1">
        <v>42340.805462962962</v>
      </c>
      <c r="B2660" s="2">
        <v>7.6736111111111111E-3</v>
      </c>
      <c r="C2660" t="s">
        <v>4728</v>
      </c>
      <c r="D2660" t="s">
        <v>623</v>
      </c>
      <c r="E2660" t="s">
        <v>624</v>
      </c>
      <c r="F2660" t="s">
        <v>4494</v>
      </c>
      <c r="G2660">
        <v>565082</v>
      </c>
      <c r="H2660" t="s">
        <v>26</v>
      </c>
      <c r="I2660" t="s">
        <v>69</v>
      </c>
      <c r="J2660" t="str">
        <f>"9781118041567"</f>
        <v>9781118041567</v>
      </c>
      <c r="K2660" t="s">
        <v>4730</v>
      </c>
      <c r="L2660">
        <v>13</v>
      </c>
      <c r="O2660" t="s">
        <v>30</v>
      </c>
      <c r="P2660" t="s">
        <v>42</v>
      </c>
      <c r="S2660" t="s">
        <v>627</v>
      </c>
      <c r="T2660" t="s">
        <v>4496</v>
      </c>
      <c r="U2660" t="s">
        <v>4497</v>
      </c>
      <c r="V2660" s="3">
        <v>40337</v>
      </c>
    </row>
    <row r="2661" spans="1:22" x14ac:dyDescent="0.35">
      <c r="A2661" s="1">
        <v>42340.797581018516</v>
      </c>
      <c r="B2661" s="2">
        <v>1.1574074074074073E-5</v>
      </c>
      <c r="C2661" t="s">
        <v>4563</v>
      </c>
      <c r="D2661" t="s">
        <v>35</v>
      </c>
      <c r="E2661" t="s">
        <v>36</v>
      </c>
      <c r="F2661" t="s">
        <v>4564</v>
      </c>
      <c r="G2661">
        <v>2058082</v>
      </c>
      <c r="H2661" t="s">
        <v>45</v>
      </c>
      <c r="I2661" t="s">
        <v>172</v>
      </c>
      <c r="J2661" t="str">
        <f>"9781472442574"</f>
        <v>9781472442574</v>
      </c>
      <c r="K2661" t="s">
        <v>4731</v>
      </c>
      <c r="L2661">
        <v>3</v>
      </c>
      <c r="O2661" t="s">
        <v>30</v>
      </c>
      <c r="P2661" t="s">
        <v>47</v>
      </c>
      <c r="Q2661" s="1">
        <v>42340.797581018516</v>
      </c>
      <c r="R2661">
        <v>1</v>
      </c>
      <c r="S2661" t="s">
        <v>40</v>
      </c>
      <c r="T2661" t="s">
        <v>4567</v>
      </c>
      <c r="U2661">
        <v>941.5</v>
      </c>
      <c r="V2661" s="3">
        <v>42213</v>
      </c>
    </row>
    <row r="2662" spans="1:22" x14ac:dyDescent="0.35">
      <c r="A2662" s="1">
        <v>42340.797094907408</v>
      </c>
      <c r="B2662" s="2">
        <v>4.6296296296296294E-5</v>
      </c>
      <c r="C2662" t="s">
        <v>4732</v>
      </c>
      <c r="D2662" t="s">
        <v>623</v>
      </c>
      <c r="E2662" t="s">
        <v>624</v>
      </c>
      <c r="F2662" t="s">
        <v>4733</v>
      </c>
      <c r="G2662">
        <v>1712962</v>
      </c>
      <c r="H2662" t="s">
        <v>26</v>
      </c>
      <c r="I2662" t="s">
        <v>120</v>
      </c>
      <c r="J2662" t="str">
        <f>"9780745684079"</f>
        <v>9780745684079</v>
      </c>
      <c r="K2662" t="s">
        <v>209</v>
      </c>
      <c r="L2662">
        <v>4</v>
      </c>
      <c r="O2662" t="s">
        <v>30</v>
      </c>
      <c r="P2662" t="s">
        <v>50</v>
      </c>
      <c r="S2662" t="s">
        <v>627</v>
      </c>
      <c r="T2662" t="s">
        <v>4734</v>
      </c>
      <c r="U2662">
        <v>302.23</v>
      </c>
      <c r="V2662" s="3">
        <v>41803</v>
      </c>
    </row>
    <row r="2663" spans="1:22" x14ac:dyDescent="0.35">
      <c r="A2663" s="1">
        <v>42340.782916666663</v>
      </c>
      <c r="B2663" s="2">
        <v>1.5972222222222221E-3</v>
      </c>
      <c r="C2663" t="s">
        <v>4735</v>
      </c>
      <c r="D2663" t="s">
        <v>23</v>
      </c>
      <c r="E2663" t="s">
        <v>24</v>
      </c>
      <c r="F2663" t="s">
        <v>4736</v>
      </c>
      <c r="G2663">
        <v>1378902</v>
      </c>
      <c r="H2663" t="s">
        <v>526</v>
      </c>
      <c r="I2663" t="s">
        <v>69</v>
      </c>
      <c r="J2663" t="str">
        <f>"9780226066554"</f>
        <v>9780226066554</v>
      </c>
      <c r="K2663" t="s">
        <v>4737</v>
      </c>
      <c r="L2663">
        <v>13</v>
      </c>
      <c r="O2663" t="s">
        <v>30</v>
      </c>
      <c r="P2663" t="s">
        <v>42</v>
      </c>
      <c r="S2663" t="s">
        <v>31</v>
      </c>
      <c r="T2663" t="s">
        <v>4738</v>
      </c>
      <c r="U2663" t="s">
        <v>4739</v>
      </c>
      <c r="V2663" s="3">
        <v>41551</v>
      </c>
    </row>
    <row r="2664" spans="1:22" x14ac:dyDescent="0.35">
      <c r="A2664" s="1">
        <v>42340.779432870368</v>
      </c>
      <c r="B2664" s="2">
        <v>1.8148148148148146E-2</v>
      </c>
      <c r="C2664" t="s">
        <v>4563</v>
      </c>
      <c r="D2664" t="s">
        <v>35</v>
      </c>
      <c r="E2664" t="s">
        <v>36</v>
      </c>
      <c r="F2664" t="s">
        <v>4564</v>
      </c>
      <c r="G2664">
        <v>2058082</v>
      </c>
      <c r="H2664" t="s">
        <v>45</v>
      </c>
      <c r="I2664" t="s">
        <v>172</v>
      </c>
      <c r="J2664" t="str">
        <f>"9781472442574"</f>
        <v>9781472442574</v>
      </c>
      <c r="K2664" t="s">
        <v>4740</v>
      </c>
      <c r="L2664">
        <v>30</v>
      </c>
      <c r="O2664" t="s">
        <v>30</v>
      </c>
      <c r="P2664" t="s">
        <v>50</v>
      </c>
      <c r="S2664" t="s">
        <v>40</v>
      </c>
      <c r="T2664" t="s">
        <v>4567</v>
      </c>
      <c r="U2664">
        <v>941.5</v>
      </c>
      <c r="V2664" s="3">
        <v>42213</v>
      </c>
    </row>
    <row r="2665" spans="1:22" x14ac:dyDescent="0.35">
      <c r="A2665" s="1">
        <v>42340.744513888887</v>
      </c>
      <c r="B2665" s="2">
        <v>1.1458333333333333E-3</v>
      </c>
      <c r="C2665" t="s">
        <v>4741</v>
      </c>
      <c r="D2665" t="s">
        <v>1222</v>
      </c>
      <c r="E2665" t="s">
        <v>1223</v>
      </c>
      <c r="F2665" t="s">
        <v>3263</v>
      </c>
      <c r="G2665">
        <v>1840835</v>
      </c>
      <c r="H2665" t="s">
        <v>26</v>
      </c>
      <c r="I2665" t="s">
        <v>108</v>
      </c>
      <c r="J2665" t="str">
        <f>"9781118950166"</f>
        <v>9781118950166</v>
      </c>
      <c r="K2665" t="s">
        <v>4742</v>
      </c>
      <c r="L2665">
        <v>4</v>
      </c>
      <c r="O2665" t="s">
        <v>30</v>
      </c>
      <c r="P2665" t="s">
        <v>29</v>
      </c>
      <c r="Q2665" s="1">
        <v>42340.744513888887</v>
      </c>
      <c r="R2665">
        <v>7</v>
      </c>
      <c r="S2665" t="s">
        <v>1226</v>
      </c>
      <c r="T2665" t="s">
        <v>3264</v>
      </c>
      <c r="U2665">
        <v>338.10923789999998</v>
      </c>
      <c r="V2665" s="3">
        <v>41953</v>
      </c>
    </row>
    <row r="2666" spans="1:22" x14ac:dyDescent="0.35">
      <c r="A2666" s="1">
        <v>42340.741203703707</v>
      </c>
      <c r="B2666" s="2">
        <v>2.5462962962962961E-4</v>
      </c>
      <c r="C2666" t="s">
        <v>4743</v>
      </c>
      <c r="D2666" t="s">
        <v>261</v>
      </c>
      <c r="E2666" t="s">
        <v>262</v>
      </c>
      <c r="F2666" t="s">
        <v>4140</v>
      </c>
      <c r="G2666">
        <v>1757100</v>
      </c>
      <c r="H2666" t="s">
        <v>84</v>
      </c>
      <c r="I2666" t="s">
        <v>3609</v>
      </c>
      <c r="J2666" t="str">
        <f>"9780520961302"</f>
        <v>9780520961302</v>
      </c>
      <c r="K2666" t="s">
        <v>4744</v>
      </c>
      <c r="L2666">
        <v>7</v>
      </c>
      <c r="O2666" t="s">
        <v>30</v>
      </c>
      <c r="P2666" t="s">
        <v>50</v>
      </c>
      <c r="S2666" t="s">
        <v>264</v>
      </c>
      <c r="T2666" t="s">
        <v>4142</v>
      </c>
      <c r="U2666" t="s">
        <v>4143</v>
      </c>
      <c r="V2666" s="3">
        <v>41967</v>
      </c>
    </row>
    <row r="2667" spans="1:22" x14ac:dyDescent="0.35">
      <c r="A2667" s="1">
        <v>42340.739953703705</v>
      </c>
      <c r="B2667" s="2">
        <v>7.037037037037037E-3</v>
      </c>
      <c r="C2667" t="s">
        <v>4745</v>
      </c>
      <c r="D2667" t="s">
        <v>35</v>
      </c>
      <c r="E2667" t="s">
        <v>36</v>
      </c>
      <c r="F2667" t="s">
        <v>4746</v>
      </c>
      <c r="G2667">
        <v>2048675</v>
      </c>
      <c r="H2667" t="s">
        <v>26</v>
      </c>
      <c r="I2667" t="s">
        <v>97</v>
      </c>
      <c r="J2667" t="str">
        <f>"9781119024385"</f>
        <v>9781119024385</v>
      </c>
      <c r="K2667" t="s">
        <v>4747</v>
      </c>
      <c r="L2667">
        <v>16</v>
      </c>
      <c r="O2667" t="s">
        <v>30</v>
      </c>
      <c r="P2667" t="s">
        <v>47</v>
      </c>
      <c r="Q2667" s="1">
        <v>42340.739953703705</v>
      </c>
      <c r="R2667">
        <v>1</v>
      </c>
      <c r="S2667" t="s">
        <v>40</v>
      </c>
      <c r="T2667" t="s">
        <v>4748</v>
      </c>
      <c r="U2667">
        <v>650.1</v>
      </c>
      <c r="V2667" s="3">
        <v>42132</v>
      </c>
    </row>
    <row r="2668" spans="1:22" x14ac:dyDescent="0.35">
      <c r="A2668" s="1">
        <v>42340.736296296294</v>
      </c>
      <c r="B2668" s="2">
        <v>3.6574074074074074E-3</v>
      </c>
      <c r="C2668" t="s">
        <v>4745</v>
      </c>
      <c r="D2668" t="s">
        <v>35</v>
      </c>
      <c r="E2668" t="s">
        <v>36</v>
      </c>
      <c r="F2668" t="s">
        <v>4746</v>
      </c>
      <c r="G2668">
        <v>2048675</v>
      </c>
      <c r="H2668" t="s">
        <v>26</v>
      </c>
      <c r="I2668" t="s">
        <v>97</v>
      </c>
      <c r="J2668" t="str">
        <f>"9781119024385"</f>
        <v>9781119024385</v>
      </c>
      <c r="K2668" t="s">
        <v>4749</v>
      </c>
      <c r="L2668">
        <v>18</v>
      </c>
      <c r="O2668" t="s">
        <v>30</v>
      </c>
      <c r="P2668" t="s">
        <v>50</v>
      </c>
      <c r="S2668" t="s">
        <v>40</v>
      </c>
      <c r="T2668" t="s">
        <v>4748</v>
      </c>
      <c r="U2668">
        <v>650.1</v>
      </c>
      <c r="V2668" s="3">
        <v>42132</v>
      </c>
    </row>
    <row r="2669" spans="1:22" x14ac:dyDescent="0.35">
      <c r="A2669" s="1">
        <v>42340.733831018515</v>
      </c>
      <c r="B2669" s="2">
        <v>1.068287037037037E-2</v>
      </c>
      <c r="C2669" t="s">
        <v>4741</v>
      </c>
      <c r="D2669" t="s">
        <v>1222</v>
      </c>
      <c r="E2669" t="s">
        <v>1223</v>
      </c>
      <c r="F2669" t="s">
        <v>3263</v>
      </c>
      <c r="G2669">
        <v>1840835</v>
      </c>
      <c r="H2669" t="s">
        <v>26</v>
      </c>
      <c r="I2669" t="s">
        <v>108</v>
      </c>
      <c r="J2669" t="str">
        <f>"9781118950166"</f>
        <v>9781118950166</v>
      </c>
      <c r="K2669" t="s">
        <v>4750</v>
      </c>
      <c r="L2669">
        <v>12</v>
      </c>
      <c r="O2669" t="s">
        <v>30</v>
      </c>
      <c r="P2669" t="s">
        <v>42</v>
      </c>
      <c r="S2669" t="s">
        <v>1226</v>
      </c>
      <c r="T2669" t="s">
        <v>3264</v>
      </c>
      <c r="U2669">
        <v>338.10923789999998</v>
      </c>
      <c r="V2669" s="3">
        <v>41953</v>
      </c>
    </row>
    <row r="2670" spans="1:22" x14ac:dyDescent="0.35">
      <c r="A2670" s="1">
        <v>42340.732499999998</v>
      </c>
      <c r="B2670" s="2">
        <v>4.6296296296296302E-3</v>
      </c>
      <c r="C2670" t="s">
        <v>4751</v>
      </c>
      <c r="D2670" t="s">
        <v>35</v>
      </c>
      <c r="E2670" t="s">
        <v>36</v>
      </c>
      <c r="F2670" t="s">
        <v>4752</v>
      </c>
      <c r="G2670">
        <v>1323321</v>
      </c>
      <c r="H2670" t="s">
        <v>68</v>
      </c>
      <c r="I2670" t="s">
        <v>2836</v>
      </c>
      <c r="J2670" t="str">
        <f>"9781135007676"</f>
        <v>9781135007676</v>
      </c>
      <c r="K2670" t="s">
        <v>4753</v>
      </c>
      <c r="L2670">
        <v>28</v>
      </c>
      <c r="O2670" t="s">
        <v>30</v>
      </c>
      <c r="P2670" t="s">
        <v>47</v>
      </c>
      <c r="Q2670" s="1">
        <v>42340.732499999998</v>
      </c>
      <c r="R2670">
        <v>1</v>
      </c>
      <c r="S2670" t="s">
        <v>40</v>
      </c>
      <c r="T2670" t="s">
        <v>4754</v>
      </c>
      <c r="U2670">
        <v>158.69999999999999</v>
      </c>
      <c r="V2670" s="3">
        <v>41479</v>
      </c>
    </row>
    <row r="2671" spans="1:22" x14ac:dyDescent="0.35">
      <c r="A2671" s="1">
        <v>42340.728993055556</v>
      </c>
      <c r="B2671" s="2">
        <v>3.5069444444444445E-3</v>
      </c>
      <c r="C2671" t="s">
        <v>4751</v>
      </c>
      <c r="D2671" t="s">
        <v>35</v>
      </c>
      <c r="E2671" t="s">
        <v>36</v>
      </c>
      <c r="F2671" t="s">
        <v>4752</v>
      </c>
      <c r="G2671">
        <v>1323321</v>
      </c>
      <c r="H2671" t="s">
        <v>68</v>
      </c>
      <c r="I2671" t="s">
        <v>2836</v>
      </c>
      <c r="J2671" t="str">
        <f>"9781135007676"</f>
        <v>9781135007676</v>
      </c>
      <c r="K2671" t="s">
        <v>4755</v>
      </c>
      <c r="L2671">
        <v>11</v>
      </c>
      <c r="O2671" t="s">
        <v>30</v>
      </c>
      <c r="P2671" t="s">
        <v>50</v>
      </c>
      <c r="S2671" t="s">
        <v>40</v>
      </c>
      <c r="T2671" t="s">
        <v>4754</v>
      </c>
      <c r="U2671">
        <v>158.69999999999999</v>
      </c>
      <c r="V2671" s="3">
        <v>41479</v>
      </c>
    </row>
    <row r="2672" spans="1:22" x14ac:dyDescent="0.35">
      <c r="A2672" s="1">
        <v>42340.696458333332</v>
      </c>
      <c r="B2672" s="2">
        <v>6.9444444444444444E-5</v>
      </c>
      <c r="C2672" t="s">
        <v>4756</v>
      </c>
      <c r="D2672" t="s">
        <v>1222</v>
      </c>
      <c r="E2672" t="s">
        <v>1223</v>
      </c>
      <c r="F2672" t="s">
        <v>3961</v>
      </c>
      <c r="G2672">
        <v>1610008</v>
      </c>
      <c r="H2672" t="s">
        <v>45</v>
      </c>
      <c r="I2672" t="s">
        <v>3962</v>
      </c>
      <c r="J2672" t="str">
        <f>"9781409457206"</f>
        <v>9781409457206</v>
      </c>
      <c r="K2672" t="s">
        <v>4757</v>
      </c>
      <c r="L2672">
        <v>6</v>
      </c>
      <c r="O2672" t="s">
        <v>30</v>
      </c>
      <c r="P2672" t="s">
        <v>29</v>
      </c>
      <c r="Q2672" s="1">
        <v>42340.696458333332</v>
      </c>
      <c r="R2672">
        <v>7</v>
      </c>
      <c r="S2672" t="s">
        <v>1226</v>
      </c>
      <c r="T2672" t="s">
        <v>3964</v>
      </c>
      <c r="U2672">
        <v>364.66</v>
      </c>
      <c r="V2672" s="3">
        <v>41726</v>
      </c>
    </row>
    <row r="2673" spans="1:22" x14ac:dyDescent="0.35">
      <c r="A2673" s="1">
        <v>42340.688807870371</v>
      </c>
      <c r="B2673" s="2">
        <v>7.6504629629629631E-3</v>
      </c>
      <c r="C2673" t="s">
        <v>4756</v>
      </c>
      <c r="D2673" t="s">
        <v>1222</v>
      </c>
      <c r="E2673" t="s">
        <v>1223</v>
      </c>
      <c r="F2673" t="s">
        <v>3961</v>
      </c>
      <c r="G2673">
        <v>1610008</v>
      </c>
      <c r="H2673" t="s">
        <v>45</v>
      </c>
      <c r="I2673" t="s">
        <v>3962</v>
      </c>
      <c r="J2673" t="str">
        <f>"9781409457206"</f>
        <v>9781409457206</v>
      </c>
      <c r="K2673" t="s">
        <v>4758</v>
      </c>
      <c r="L2673">
        <v>55</v>
      </c>
      <c r="O2673" t="s">
        <v>30</v>
      </c>
      <c r="P2673" t="s">
        <v>42</v>
      </c>
      <c r="S2673" t="s">
        <v>1226</v>
      </c>
      <c r="T2673" t="s">
        <v>3964</v>
      </c>
      <c r="U2673">
        <v>364.66</v>
      </c>
      <c r="V2673" s="3">
        <v>41726</v>
      </c>
    </row>
    <row r="2674" spans="1:22" x14ac:dyDescent="0.35">
      <c r="A2674" s="1">
        <v>42340.662534722222</v>
      </c>
      <c r="B2674" s="2">
        <v>2.5462962962962961E-4</v>
      </c>
      <c r="C2674" t="s">
        <v>4759</v>
      </c>
      <c r="D2674" t="s">
        <v>35</v>
      </c>
      <c r="E2674" t="s">
        <v>36</v>
      </c>
      <c r="F2674" t="s">
        <v>4760</v>
      </c>
      <c r="G2674">
        <v>1222883</v>
      </c>
      <c r="H2674" t="s">
        <v>68</v>
      </c>
      <c r="I2674" t="s">
        <v>310</v>
      </c>
      <c r="J2674" t="str">
        <f>"9781136093722"</f>
        <v>9781136093722</v>
      </c>
      <c r="K2674" t="s">
        <v>4761</v>
      </c>
      <c r="L2674">
        <v>7</v>
      </c>
      <c r="O2674" t="s">
        <v>30</v>
      </c>
      <c r="P2674" t="s">
        <v>50</v>
      </c>
      <c r="S2674" t="s">
        <v>40</v>
      </c>
      <c r="T2674" t="s">
        <v>4762</v>
      </c>
      <c r="U2674">
        <v>810.93520431000002</v>
      </c>
      <c r="V2674" s="3">
        <v>41478</v>
      </c>
    </row>
    <row r="2675" spans="1:22" x14ac:dyDescent="0.35">
      <c r="A2675" s="1">
        <v>42340.660949074074</v>
      </c>
      <c r="B2675" s="2">
        <v>3.9236111111111112E-3</v>
      </c>
      <c r="C2675" t="s">
        <v>4745</v>
      </c>
      <c r="D2675" t="s">
        <v>35</v>
      </c>
      <c r="E2675" t="s">
        <v>36</v>
      </c>
      <c r="F2675" t="s">
        <v>4763</v>
      </c>
      <c r="G2675">
        <v>1169445</v>
      </c>
      <c r="H2675" t="s">
        <v>26</v>
      </c>
      <c r="I2675" t="s">
        <v>97</v>
      </c>
      <c r="J2675" t="str">
        <f>"9781118663417"</f>
        <v>9781118663417</v>
      </c>
      <c r="K2675" t="s">
        <v>4764</v>
      </c>
      <c r="L2675">
        <v>13</v>
      </c>
      <c r="O2675" t="s">
        <v>30</v>
      </c>
      <c r="P2675" t="s">
        <v>47</v>
      </c>
      <c r="Q2675" s="1">
        <v>42340.660949074074</v>
      </c>
      <c r="R2675">
        <v>1</v>
      </c>
      <c r="S2675" t="s">
        <v>40</v>
      </c>
      <c r="T2675" t="s">
        <v>4765</v>
      </c>
      <c r="U2675">
        <v>658.40920000000006</v>
      </c>
      <c r="V2675" s="3">
        <v>41373</v>
      </c>
    </row>
    <row r="2676" spans="1:22" x14ac:dyDescent="0.35">
      <c r="A2676" s="1">
        <v>42340.656400462962</v>
      </c>
      <c r="B2676" s="2">
        <v>0</v>
      </c>
      <c r="C2676" t="s">
        <v>4766</v>
      </c>
      <c r="D2676" t="s">
        <v>35</v>
      </c>
      <c r="E2676" t="s">
        <v>36</v>
      </c>
      <c r="F2676" t="s">
        <v>4767</v>
      </c>
      <c r="G2676">
        <v>320579</v>
      </c>
      <c r="H2676" t="s">
        <v>91</v>
      </c>
      <c r="I2676" t="s">
        <v>247</v>
      </c>
      <c r="J2676" t="str">
        <f>"9781593857332"</f>
        <v>9781593857332</v>
      </c>
      <c r="L2676">
        <v>0</v>
      </c>
      <c r="O2676" t="s">
        <v>30</v>
      </c>
      <c r="P2676" t="s">
        <v>47</v>
      </c>
      <c r="Q2676" s="1">
        <v>42340.656400462962</v>
      </c>
      <c r="R2676">
        <v>1</v>
      </c>
      <c r="S2676" t="s">
        <v>40</v>
      </c>
      <c r="T2676" t="s">
        <v>4768</v>
      </c>
      <c r="U2676">
        <v>616.85209999999995</v>
      </c>
      <c r="V2676" s="3">
        <v>41773</v>
      </c>
    </row>
    <row r="2677" spans="1:22" x14ac:dyDescent="0.35">
      <c r="A2677" s="1">
        <v>42340.655219907407</v>
      </c>
      <c r="B2677" s="2">
        <v>1.1805555555555556E-3</v>
      </c>
      <c r="C2677" t="s">
        <v>4766</v>
      </c>
      <c r="D2677" t="s">
        <v>35</v>
      </c>
      <c r="E2677" t="s">
        <v>36</v>
      </c>
      <c r="F2677" t="s">
        <v>4767</v>
      </c>
      <c r="G2677">
        <v>320579</v>
      </c>
      <c r="H2677" t="s">
        <v>91</v>
      </c>
      <c r="I2677" t="s">
        <v>247</v>
      </c>
      <c r="J2677" t="str">
        <f>"9781593857332"</f>
        <v>9781593857332</v>
      </c>
      <c r="K2677" t="s">
        <v>4769</v>
      </c>
      <c r="L2677">
        <v>40</v>
      </c>
      <c r="O2677" t="s">
        <v>30</v>
      </c>
      <c r="P2677" t="s">
        <v>50</v>
      </c>
      <c r="S2677" t="s">
        <v>40</v>
      </c>
      <c r="T2677" t="s">
        <v>4768</v>
      </c>
      <c r="U2677">
        <v>616.85209999999995</v>
      </c>
      <c r="V2677" s="3">
        <v>41773</v>
      </c>
    </row>
    <row r="2678" spans="1:22" x14ac:dyDescent="0.35">
      <c r="A2678" s="1">
        <v>42340.650185185186</v>
      </c>
      <c r="B2678" s="2">
        <v>2.3148148148148146E-4</v>
      </c>
      <c r="C2678" t="s">
        <v>4756</v>
      </c>
      <c r="D2678" t="s">
        <v>1222</v>
      </c>
      <c r="E2678" t="s">
        <v>1223</v>
      </c>
      <c r="F2678" t="s">
        <v>4770</v>
      </c>
      <c r="G2678">
        <v>2038643</v>
      </c>
      <c r="H2678" t="s">
        <v>45</v>
      </c>
      <c r="I2678" t="s">
        <v>120</v>
      </c>
      <c r="J2678" t="str">
        <f>"9781472427625"</f>
        <v>9781472427625</v>
      </c>
      <c r="K2678" t="s">
        <v>4771</v>
      </c>
      <c r="L2678">
        <v>13</v>
      </c>
      <c r="O2678" t="s">
        <v>30</v>
      </c>
      <c r="P2678" t="s">
        <v>42</v>
      </c>
      <c r="S2678" t="s">
        <v>1226</v>
      </c>
      <c r="T2678">
        <v>2013049432</v>
      </c>
      <c r="U2678">
        <v>306.46100000000001</v>
      </c>
      <c r="V2678" s="3">
        <v>42152</v>
      </c>
    </row>
    <row r="2679" spans="1:22" x14ac:dyDescent="0.35">
      <c r="A2679" s="1">
        <v>42340.648969907408</v>
      </c>
      <c r="B2679" s="2">
        <v>2.6620370370370374E-3</v>
      </c>
      <c r="C2679" t="s">
        <v>4772</v>
      </c>
      <c r="D2679" t="s">
        <v>158</v>
      </c>
      <c r="E2679" t="s">
        <v>159</v>
      </c>
      <c r="F2679" t="s">
        <v>4773</v>
      </c>
      <c r="G2679">
        <v>818332</v>
      </c>
      <c r="H2679" t="s">
        <v>26</v>
      </c>
      <c r="I2679" t="s">
        <v>120</v>
      </c>
      <c r="J2679" t="str">
        <f>"9781118252772"</f>
        <v>9781118252772</v>
      </c>
      <c r="K2679" t="s">
        <v>4774</v>
      </c>
      <c r="L2679">
        <v>31</v>
      </c>
      <c r="O2679" t="s">
        <v>30</v>
      </c>
      <c r="P2679" t="s">
        <v>42</v>
      </c>
      <c r="S2679" t="s">
        <v>163</v>
      </c>
      <c r="T2679" t="s">
        <v>4775</v>
      </c>
      <c r="U2679" t="s">
        <v>4776</v>
      </c>
      <c r="V2679" s="3">
        <v>40960</v>
      </c>
    </row>
    <row r="2680" spans="1:22" x14ac:dyDescent="0.35">
      <c r="A2680" s="1">
        <v>42340.645254629628</v>
      </c>
      <c r="B2680" s="2">
        <v>2.4421296296296296E-3</v>
      </c>
      <c r="C2680" t="s">
        <v>4766</v>
      </c>
      <c r="D2680" t="s">
        <v>35</v>
      </c>
      <c r="E2680" t="s">
        <v>36</v>
      </c>
      <c r="F2680" t="s">
        <v>515</v>
      </c>
      <c r="G2680">
        <v>1757960</v>
      </c>
      <c r="H2680" t="s">
        <v>26</v>
      </c>
      <c r="I2680" t="s">
        <v>247</v>
      </c>
      <c r="J2680" t="str">
        <f>"9781118780770"</f>
        <v>9781118780770</v>
      </c>
      <c r="K2680" t="s">
        <v>4777</v>
      </c>
      <c r="L2680">
        <v>17</v>
      </c>
      <c r="N2680" t="s">
        <v>4778</v>
      </c>
      <c r="O2680" t="s">
        <v>30</v>
      </c>
      <c r="P2680" t="s">
        <v>29</v>
      </c>
      <c r="Q2680" s="1">
        <v>42340.645254629628</v>
      </c>
      <c r="R2680">
        <v>7</v>
      </c>
      <c r="S2680" t="s">
        <v>40</v>
      </c>
      <c r="T2680" t="s">
        <v>517</v>
      </c>
      <c r="U2680" t="s">
        <v>518</v>
      </c>
      <c r="V2680" s="3">
        <v>41850</v>
      </c>
    </row>
    <row r="2681" spans="1:22" x14ac:dyDescent="0.35">
      <c r="A2681" s="1">
        <v>42340.644768518519</v>
      </c>
      <c r="B2681" s="2">
        <v>1.1574074074074073E-4</v>
      </c>
      <c r="C2681" t="s">
        <v>4756</v>
      </c>
      <c r="D2681" t="s">
        <v>1222</v>
      </c>
      <c r="E2681" t="s">
        <v>1223</v>
      </c>
      <c r="F2681" t="s">
        <v>4779</v>
      </c>
      <c r="G2681">
        <v>1839929</v>
      </c>
      <c r="H2681" t="s">
        <v>91</v>
      </c>
      <c r="I2681" t="s">
        <v>247</v>
      </c>
      <c r="J2681" t="str">
        <f>"9781462519873"</f>
        <v>9781462519873</v>
      </c>
      <c r="K2681" t="s">
        <v>4780</v>
      </c>
      <c r="L2681">
        <v>2</v>
      </c>
      <c r="O2681" t="s">
        <v>30</v>
      </c>
      <c r="P2681" t="s">
        <v>47</v>
      </c>
      <c r="Q2681" s="1">
        <v>42340.644768518519</v>
      </c>
      <c r="R2681">
        <v>1</v>
      </c>
      <c r="S2681" t="s">
        <v>1226</v>
      </c>
      <c r="T2681" t="s">
        <v>4781</v>
      </c>
      <c r="U2681" t="s">
        <v>4782</v>
      </c>
      <c r="V2681" s="3">
        <v>42060</v>
      </c>
    </row>
    <row r="2682" spans="1:22" x14ac:dyDescent="0.35">
      <c r="A2682" s="1">
        <v>42340.643541666665</v>
      </c>
      <c r="B2682" s="2">
        <v>1.712962962962963E-3</v>
      </c>
      <c r="C2682" t="s">
        <v>4766</v>
      </c>
      <c r="D2682" t="s">
        <v>35</v>
      </c>
      <c r="E2682" t="s">
        <v>36</v>
      </c>
      <c r="F2682" t="s">
        <v>515</v>
      </c>
      <c r="G2682">
        <v>1757960</v>
      </c>
      <c r="H2682" t="s">
        <v>26</v>
      </c>
      <c r="I2682" t="s">
        <v>247</v>
      </c>
      <c r="J2682" t="str">
        <f>"9781118780770"</f>
        <v>9781118780770</v>
      </c>
      <c r="K2682" t="s">
        <v>4783</v>
      </c>
      <c r="L2682">
        <v>11</v>
      </c>
      <c r="O2682" t="s">
        <v>30</v>
      </c>
      <c r="P2682" t="s">
        <v>42</v>
      </c>
      <c r="S2682" t="s">
        <v>40</v>
      </c>
      <c r="T2682" t="s">
        <v>517</v>
      </c>
      <c r="U2682" t="s">
        <v>518</v>
      </c>
      <c r="V2682" s="3">
        <v>41850</v>
      </c>
    </row>
    <row r="2683" spans="1:22" x14ac:dyDescent="0.35">
      <c r="A2683" s="1">
        <v>42340.642013888886</v>
      </c>
      <c r="B2683" s="2">
        <v>1.8935185185185183E-2</v>
      </c>
      <c r="C2683" t="s">
        <v>4745</v>
      </c>
      <c r="D2683" t="s">
        <v>35</v>
      </c>
      <c r="E2683" t="s">
        <v>36</v>
      </c>
      <c r="F2683" t="s">
        <v>4763</v>
      </c>
      <c r="G2683">
        <v>1169445</v>
      </c>
      <c r="H2683" t="s">
        <v>26</v>
      </c>
      <c r="I2683" t="s">
        <v>97</v>
      </c>
      <c r="J2683" t="str">
        <f>"9781118663417"</f>
        <v>9781118663417</v>
      </c>
      <c r="K2683" t="s">
        <v>4784</v>
      </c>
      <c r="L2683">
        <v>18</v>
      </c>
      <c r="O2683" t="s">
        <v>30</v>
      </c>
      <c r="P2683" t="s">
        <v>50</v>
      </c>
      <c r="S2683" t="s">
        <v>40</v>
      </c>
      <c r="T2683" t="s">
        <v>4765</v>
      </c>
      <c r="U2683">
        <v>658.40920000000006</v>
      </c>
      <c r="V2683" s="3">
        <v>41373</v>
      </c>
    </row>
    <row r="2684" spans="1:22" x14ac:dyDescent="0.35">
      <c r="A2684" s="1">
        <v>42340.640219907407</v>
      </c>
      <c r="B2684" s="2">
        <v>4.5486111111111109E-3</v>
      </c>
      <c r="C2684" t="s">
        <v>4756</v>
      </c>
      <c r="D2684" t="s">
        <v>1222</v>
      </c>
      <c r="E2684" t="s">
        <v>1223</v>
      </c>
      <c r="F2684" t="s">
        <v>4779</v>
      </c>
      <c r="G2684">
        <v>1839929</v>
      </c>
      <c r="H2684" t="s">
        <v>91</v>
      </c>
      <c r="I2684" t="s">
        <v>247</v>
      </c>
      <c r="J2684" t="str">
        <f>"9781462519873"</f>
        <v>9781462519873</v>
      </c>
      <c r="K2684" t="s">
        <v>4785</v>
      </c>
      <c r="L2684">
        <v>19</v>
      </c>
      <c r="O2684" t="s">
        <v>30</v>
      </c>
      <c r="P2684" t="s">
        <v>50</v>
      </c>
      <c r="S2684" t="s">
        <v>1226</v>
      </c>
      <c r="T2684" t="s">
        <v>4781</v>
      </c>
      <c r="U2684" t="s">
        <v>4782</v>
      </c>
      <c r="V2684" s="3">
        <v>42060</v>
      </c>
    </row>
    <row r="2685" spans="1:22" x14ac:dyDescent="0.35">
      <c r="A2685" s="1">
        <v>42340.61996527778</v>
      </c>
      <c r="B2685" s="2">
        <v>1.1574074074074073E-4</v>
      </c>
      <c r="C2685" t="s">
        <v>3454</v>
      </c>
      <c r="D2685" t="s">
        <v>23</v>
      </c>
      <c r="E2685" t="s">
        <v>24</v>
      </c>
      <c r="F2685" t="s">
        <v>3351</v>
      </c>
      <c r="G2685">
        <v>1760720</v>
      </c>
      <c r="H2685" t="s">
        <v>91</v>
      </c>
      <c r="I2685" t="s">
        <v>247</v>
      </c>
      <c r="J2685" t="str">
        <f>"9781462517459"</f>
        <v>9781462517459</v>
      </c>
      <c r="K2685" t="s">
        <v>4786</v>
      </c>
      <c r="L2685">
        <v>9</v>
      </c>
      <c r="O2685" t="s">
        <v>30</v>
      </c>
      <c r="P2685" t="s">
        <v>29</v>
      </c>
      <c r="Q2685" s="1">
        <v>42340.61996527778</v>
      </c>
      <c r="R2685">
        <v>7</v>
      </c>
      <c r="S2685" t="s">
        <v>31</v>
      </c>
      <c r="T2685" t="s">
        <v>3353</v>
      </c>
      <c r="U2685">
        <v>616.89142000000004</v>
      </c>
      <c r="V2685" s="3">
        <v>41996</v>
      </c>
    </row>
    <row r="2686" spans="1:22" x14ac:dyDescent="0.35">
      <c r="A2686" s="1">
        <v>42340.606006944443</v>
      </c>
      <c r="B2686" s="2">
        <v>2.7777777777777778E-4</v>
      </c>
      <c r="C2686" t="s">
        <v>4647</v>
      </c>
      <c r="D2686" t="s">
        <v>35</v>
      </c>
      <c r="E2686" t="s">
        <v>36</v>
      </c>
      <c r="F2686" t="s">
        <v>1373</v>
      </c>
      <c r="G2686">
        <v>979949</v>
      </c>
      <c r="H2686" t="s">
        <v>1286</v>
      </c>
      <c r="I2686" t="s">
        <v>310</v>
      </c>
      <c r="J2686" t="str">
        <f>"9780786493234"</f>
        <v>9780786493234</v>
      </c>
      <c r="K2686" t="s">
        <v>4787</v>
      </c>
      <c r="L2686">
        <v>9</v>
      </c>
      <c r="O2686" t="s">
        <v>30</v>
      </c>
      <c r="P2686" t="s">
        <v>42</v>
      </c>
      <c r="S2686" t="s">
        <v>40</v>
      </c>
      <c r="T2686" t="s">
        <v>1376</v>
      </c>
      <c r="U2686" t="s">
        <v>1289</v>
      </c>
      <c r="V2686" s="3">
        <v>41102</v>
      </c>
    </row>
    <row r="2687" spans="1:22" x14ac:dyDescent="0.35">
      <c r="A2687" s="1">
        <v>42340.601030092592</v>
      </c>
      <c r="B2687" s="2">
        <v>3.1134259259259257E-3</v>
      </c>
      <c r="C2687" t="s">
        <v>4788</v>
      </c>
      <c r="D2687" t="s">
        <v>146</v>
      </c>
      <c r="E2687" t="s">
        <v>147</v>
      </c>
      <c r="F2687" t="s">
        <v>4789</v>
      </c>
      <c r="G2687">
        <v>1337535</v>
      </c>
      <c r="H2687" t="s">
        <v>68</v>
      </c>
      <c r="I2687" t="s">
        <v>69</v>
      </c>
      <c r="J2687" t="str">
        <f>"9781317925910"</f>
        <v>9781317925910</v>
      </c>
      <c r="K2687" t="s">
        <v>4790</v>
      </c>
      <c r="L2687">
        <v>4</v>
      </c>
      <c r="O2687" t="s">
        <v>30</v>
      </c>
      <c r="P2687" t="s">
        <v>47</v>
      </c>
      <c r="Q2687" s="1">
        <v>42340.601030092592</v>
      </c>
      <c r="R2687">
        <v>1</v>
      </c>
      <c r="S2687" t="s">
        <v>4791</v>
      </c>
      <c r="T2687" t="s">
        <v>4792</v>
      </c>
      <c r="U2687">
        <v>371.10199999999998</v>
      </c>
      <c r="V2687" s="3">
        <v>41492</v>
      </c>
    </row>
    <row r="2688" spans="1:22" x14ac:dyDescent="0.35">
      <c r="A2688" s="1">
        <v>42340.596828703703</v>
      </c>
      <c r="B2688" s="2">
        <v>4.2013888888888891E-3</v>
      </c>
      <c r="C2688" t="s">
        <v>4788</v>
      </c>
      <c r="D2688" t="s">
        <v>146</v>
      </c>
      <c r="E2688" t="s">
        <v>147</v>
      </c>
      <c r="F2688" t="s">
        <v>4789</v>
      </c>
      <c r="G2688">
        <v>1337535</v>
      </c>
      <c r="H2688" t="s">
        <v>68</v>
      </c>
      <c r="I2688" t="s">
        <v>69</v>
      </c>
      <c r="J2688" t="str">
        <f>"9781317925910"</f>
        <v>9781317925910</v>
      </c>
      <c r="K2688" t="s">
        <v>4793</v>
      </c>
      <c r="L2688">
        <v>15</v>
      </c>
      <c r="O2688" t="s">
        <v>30</v>
      </c>
      <c r="P2688" t="s">
        <v>50</v>
      </c>
      <c r="S2688" t="s">
        <v>4791</v>
      </c>
      <c r="T2688" t="s">
        <v>4792</v>
      </c>
      <c r="U2688">
        <v>371.10199999999998</v>
      </c>
      <c r="V2688" s="3">
        <v>41492</v>
      </c>
    </row>
    <row r="2689" spans="1:22" x14ac:dyDescent="0.35">
      <c r="A2689" s="1">
        <v>42340.588807870372</v>
      </c>
      <c r="B2689" s="2">
        <v>2.7777777777777779E-3</v>
      </c>
      <c r="C2689" t="s">
        <v>4615</v>
      </c>
      <c r="D2689" t="s">
        <v>23</v>
      </c>
      <c r="E2689" t="s">
        <v>24</v>
      </c>
      <c r="F2689" t="s">
        <v>4411</v>
      </c>
      <c r="G2689">
        <v>1808795</v>
      </c>
      <c r="H2689" t="s">
        <v>45</v>
      </c>
      <c r="I2689" t="s">
        <v>200</v>
      </c>
      <c r="J2689" t="str">
        <f>"9781472447951"</f>
        <v>9781472447951</v>
      </c>
      <c r="K2689" t="s">
        <v>4794</v>
      </c>
      <c r="L2689">
        <v>13</v>
      </c>
      <c r="O2689" t="s">
        <v>30</v>
      </c>
      <c r="P2689" t="s">
        <v>29</v>
      </c>
      <c r="Q2689" s="1">
        <v>42339.173460648148</v>
      </c>
      <c r="R2689">
        <v>7</v>
      </c>
      <c r="S2689" t="s">
        <v>31</v>
      </c>
      <c r="T2689" t="s">
        <v>4413</v>
      </c>
      <c r="U2689" t="s">
        <v>4414</v>
      </c>
      <c r="V2689" s="3">
        <v>41971</v>
      </c>
    </row>
    <row r="2690" spans="1:22" x14ac:dyDescent="0.35">
      <c r="A2690" s="1">
        <v>42340.583912037036</v>
      </c>
      <c r="B2690" s="2">
        <v>4.7916666666666672E-3</v>
      </c>
      <c r="C2690" t="s">
        <v>4615</v>
      </c>
      <c r="D2690" t="s">
        <v>23</v>
      </c>
      <c r="E2690" t="s">
        <v>24</v>
      </c>
      <c r="F2690" t="s">
        <v>4411</v>
      </c>
      <c r="G2690">
        <v>1808795</v>
      </c>
      <c r="H2690" t="s">
        <v>45</v>
      </c>
      <c r="I2690" t="s">
        <v>200</v>
      </c>
      <c r="J2690" t="str">
        <f>"9781472447951"</f>
        <v>9781472447951</v>
      </c>
      <c r="K2690" t="s">
        <v>4795</v>
      </c>
      <c r="L2690">
        <v>18</v>
      </c>
      <c r="O2690" t="s">
        <v>30</v>
      </c>
      <c r="P2690" t="s">
        <v>29</v>
      </c>
      <c r="Q2690" s="1">
        <v>42339.173460648148</v>
      </c>
      <c r="R2690">
        <v>7</v>
      </c>
      <c r="S2690" t="s">
        <v>31</v>
      </c>
      <c r="T2690" t="s">
        <v>4413</v>
      </c>
      <c r="U2690" t="s">
        <v>4414</v>
      </c>
      <c r="V2690" s="3">
        <v>41971</v>
      </c>
    </row>
    <row r="2691" spans="1:22" x14ac:dyDescent="0.35">
      <c r="A2691" s="1">
        <v>42340.56753472222</v>
      </c>
      <c r="B2691" s="2">
        <v>5.2430555555555557E-2</v>
      </c>
      <c r="C2691" t="s">
        <v>3454</v>
      </c>
      <c r="D2691" t="s">
        <v>23</v>
      </c>
      <c r="E2691" t="s">
        <v>24</v>
      </c>
      <c r="F2691" t="s">
        <v>3351</v>
      </c>
      <c r="G2691">
        <v>1760720</v>
      </c>
      <c r="H2691" t="s">
        <v>91</v>
      </c>
      <c r="I2691" t="s">
        <v>247</v>
      </c>
      <c r="J2691" t="str">
        <f>"9781462517459"</f>
        <v>9781462517459</v>
      </c>
      <c r="K2691" t="s">
        <v>33</v>
      </c>
      <c r="L2691">
        <v>3</v>
      </c>
      <c r="O2691" t="s">
        <v>30</v>
      </c>
      <c r="P2691" t="s">
        <v>42</v>
      </c>
      <c r="S2691" t="s">
        <v>31</v>
      </c>
      <c r="T2691" t="s">
        <v>3353</v>
      </c>
      <c r="U2691">
        <v>616.89142000000004</v>
      </c>
      <c r="V2691" s="3">
        <v>41996</v>
      </c>
    </row>
    <row r="2692" spans="1:22" x14ac:dyDescent="0.35">
      <c r="A2692" s="1">
        <v>42340.549189814818</v>
      </c>
      <c r="B2692" s="2">
        <v>2.0590277777777777E-2</v>
      </c>
      <c r="C2692" t="s">
        <v>106</v>
      </c>
      <c r="D2692" t="s">
        <v>23</v>
      </c>
      <c r="E2692" t="s">
        <v>24</v>
      </c>
      <c r="F2692" t="s">
        <v>78</v>
      </c>
      <c r="G2692">
        <v>1635363</v>
      </c>
      <c r="H2692" t="s">
        <v>26</v>
      </c>
      <c r="I2692" t="s">
        <v>79</v>
      </c>
      <c r="J2692" t="str">
        <f>"9781118678206"</f>
        <v>9781118678206</v>
      </c>
      <c r="K2692" t="s">
        <v>4796</v>
      </c>
      <c r="L2692">
        <v>16</v>
      </c>
      <c r="O2692" t="s">
        <v>30</v>
      </c>
      <c r="P2692" t="s">
        <v>29</v>
      </c>
      <c r="Q2692" s="1">
        <v>42337.939270833333</v>
      </c>
      <c r="R2692">
        <v>7</v>
      </c>
      <c r="S2692" t="s">
        <v>31</v>
      </c>
      <c r="T2692" t="s">
        <v>81</v>
      </c>
      <c r="U2692">
        <v>340.07600000000002</v>
      </c>
      <c r="V2692" s="3">
        <v>41684</v>
      </c>
    </row>
    <row r="2693" spans="1:22" x14ac:dyDescent="0.35">
      <c r="A2693" s="1">
        <v>42340.429826388892</v>
      </c>
      <c r="B2693" s="2">
        <v>0</v>
      </c>
      <c r="C2693" t="s">
        <v>2240</v>
      </c>
      <c r="D2693" t="s">
        <v>23</v>
      </c>
      <c r="E2693" t="s">
        <v>24</v>
      </c>
      <c r="F2693" t="s">
        <v>4797</v>
      </c>
      <c r="G2693">
        <v>1180199</v>
      </c>
      <c r="H2693" t="s">
        <v>526</v>
      </c>
      <c r="I2693" t="s">
        <v>445</v>
      </c>
      <c r="J2693" t="str">
        <f>"9780226921969"</f>
        <v>9780226921969</v>
      </c>
      <c r="L2693">
        <v>0</v>
      </c>
      <c r="O2693" t="s">
        <v>28</v>
      </c>
      <c r="P2693" t="s">
        <v>47</v>
      </c>
      <c r="Q2693" s="1">
        <v>42340.429826388892</v>
      </c>
      <c r="R2693">
        <v>1</v>
      </c>
      <c r="S2693" t="s">
        <v>31</v>
      </c>
      <c r="T2693" t="s">
        <v>4798</v>
      </c>
      <c r="U2693">
        <v>338.5</v>
      </c>
      <c r="V2693" s="3">
        <v>41298</v>
      </c>
    </row>
    <row r="2694" spans="1:22" x14ac:dyDescent="0.35">
      <c r="A2694" s="1">
        <v>42340.429826388892</v>
      </c>
      <c r="B2694" s="2">
        <v>0</v>
      </c>
      <c r="C2694" t="s">
        <v>2240</v>
      </c>
      <c r="D2694" t="s">
        <v>23</v>
      </c>
      <c r="E2694" t="s">
        <v>24</v>
      </c>
      <c r="F2694" t="s">
        <v>4797</v>
      </c>
      <c r="G2694">
        <v>1180199</v>
      </c>
      <c r="H2694" t="s">
        <v>526</v>
      </c>
      <c r="I2694" t="s">
        <v>445</v>
      </c>
      <c r="J2694" t="str">
        <f>"9780226921969"</f>
        <v>9780226921969</v>
      </c>
      <c r="L2694">
        <v>0</v>
      </c>
      <c r="O2694" t="s">
        <v>30</v>
      </c>
      <c r="P2694" t="s">
        <v>47</v>
      </c>
      <c r="Q2694" s="1">
        <v>42340.429826388892</v>
      </c>
      <c r="R2694">
        <v>1</v>
      </c>
      <c r="S2694" t="s">
        <v>31</v>
      </c>
      <c r="T2694" t="s">
        <v>4798</v>
      </c>
      <c r="U2694">
        <v>338.5</v>
      </c>
      <c r="V2694" s="3">
        <v>41298</v>
      </c>
    </row>
    <row r="2695" spans="1:22" x14ac:dyDescent="0.35">
      <c r="A2695" s="1">
        <v>42340.42765046296</v>
      </c>
      <c r="B2695" s="2">
        <v>2.1759259259259258E-3</v>
      </c>
      <c r="C2695" t="s">
        <v>2240</v>
      </c>
      <c r="D2695" t="s">
        <v>23</v>
      </c>
      <c r="E2695" t="s">
        <v>24</v>
      </c>
      <c r="F2695" t="s">
        <v>4797</v>
      </c>
      <c r="G2695">
        <v>1180199</v>
      </c>
      <c r="H2695" t="s">
        <v>526</v>
      </c>
      <c r="I2695" t="s">
        <v>445</v>
      </c>
      <c r="J2695" t="str">
        <f>"9780226921969"</f>
        <v>9780226921969</v>
      </c>
      <c r="K2695" t="s">
        <v>33</v>
      </c>
      <c r="L2695">
        <v>3</v>
      </c>
      <c r="O2695" t="s">
        <v>30</v>
      </c>
      <c r="P2695" t="s">
        <v>50</v>
      </c>
      <c r="S2695" t="s">
        <v>31</v>
      </c>
      <c r="T2695" t="s">
        <v>4798</v>
      </c>
      <c r="U2695">
        <v>338.5</v>
      </c>
      <c r="V2695" s="3">
        <v>41298</v>
      </c>
    </row>
    <row r="2696" spans="1:22" x14ac:dyDescent="0.35">
      <c r="A2696" s="1">
        <v>42340.394525462965</v>
      </c>
      <c r="B2696" s="2">
        <v>2.1759259259259259E-2</v>
      </c>
      <c r="C2696" t="s">
        <v>4410</v>
      </c>
      <c r="D2696" t="s">
        <v>23</v>
      </c>
      <c r="E2696" t="s">
        <v>24</v>
      </c>
      <c r="F2696" t="s">
        <v>4411</v>
      </c>
      <c r="G2696">
        <v>1808795</v>
      </c>
      <c r="H2696" t="s">
        <v>45</v>
      </c>
      <c r="I2696" t="s">
        <v>200</v>
      </c>
      <c r="J2696" t="str">
        <f>"9781472447951"</f>
        <v>9781472447951</v>
      </c>
      <c r="K2696" t="s">
        <v>4799</v>
      </c>
      <c r="L2696">
        <v>29</v>
      </c>
      <c r="O2696" t="s">
        <v>30</v>
      </c>
      <c r="P2696" t="s">
        <v>29</v>
      </c>
      <c r="Q2696" s="1">
        <v>42340.394525462965</v>
      </c>
      <c r="R2696">
        <v>7</v>
      </c>
      <c r="S2696" t="s">
        <v>31</v>
      </c>
      <c r="T2696" t="s">
        <v>4413</v>
      </c>
      <c r="U2696" t="s">
        <v>4414</v>
      </c>
      <c r="V2696" s="3">
        <v>41971</v>
      </c>
    </row>
    <row r="2697" spans="1:22" x14ac:dyDescent="0.35">
      <c r="A2697" s="1">
        <v>42340.369166666664</v>
      </c>
      <c r="B2697" s="2">
        <v>2.5358796296296296E-2</v>
      </c>
      <c r="C2697" t="s">
        <v>4410</v>
      </c>
      <c r="D2697" t="s">
        <v>23</v>
      </c>
      <c r="E2697" t="s">
        <v>24</v>
      </c>
      <c r="F2697" t="s">
        <v>4411</v>
      </c>
      <c r="G2697">
        <v>1808795</v>
      </c>
      <c r="H2697" t="s">
        <v>45</v>
      </c>
      <c r="I2697" t="s">
        <v>200</v>
      </c>
      <c r="J2697" t="str">
        <f>"9781472447951"</f>
        <v>9781472447951</v>
      </c>
      <c r="K2697" t="s">
        <v>4800</v>
      </c>
      <c r="L2697">
        <v>9</v>
      </c>
      <c r="O2697" t="s">
        <v>30</v>
      </c>
      <c r="P2697" t="s">
        <v>42</v>
      </c>
      <c r="S2697" t="s">
        <v>31</v>
      </c>
      <c r="T2697" t="s">
        <v>4413</v>
      </c>
      <c r="U2697" t="s">
        <v>4414</v>
      </c>
      <c r="V2697" s="3">
        <v>41971</v>
      </c>
    </row>
    <row r="2698" spans="1:22" x14ac:dyDescent="0.35">
      <c r="A2698" s="1">
        <v>42340.237083333333</v>
      </c>
      <c r="B2698" s="2">
        <v>0.12136574074074075</v>
      </c>
      <c r="C2698" t="s">
        <v>106</v>
      </c>
      <c r="D2698" t="s">
        <v>23</v>
      </c>
      <c r="E2698" t="s">
        <v>24</v>
      </c>
      <c r="F2698" t="s">
        <v>4801</v>
      </c>
      <c r="G2698">
        <v>1388962</v>
      </c>
      <c r="H2698" t="s">
        <v>186</v>
      </c>
      <c r="I2698" t="s">
        <v>247</v>
      </c>
      <c r="J2698" t="str">
        <f>"9781780643403"</f>
        <v>9781780643403</v>
      </c>
      <c r="K2698" t="s">
        <v>4802</v>
      </c>
      <c r="L2698">
        <v>35</v>
      </c>
      <c r="O2698" t="s">
        <v>30</v>
      </c>
      <c r="P2698" t="s">
        <v>29</v>
      </c>
      <c r="Q2698" s="1">
        <v>42340.188784722224</v>
      </c>
      <c r="R2698">
        <v>7</v>
      </c>
      <c r="S2698" t="s">
        <v>31</v>
      </c>
      <c r="T2698" t="s">
        <v>4803</v>
      </c>
      <c r="U2698" t="s">
        <v>4804</v>
      </c>
      <c r="V2698" s="3">
        <v>41275</v>
      </c>
    </row>
    <row r="2699" spans="1:22" x14ac:dyDescent="0.35">
      <c r="A2699" s="1">
        <v>42340.226377314815</v>
      </c>
      <c r="B2699" s="2">
        <v>3.7175925925925925E-2</v>
      </c>
      <c r="C2699" t="s">
        <v>4615</v>
      </c>
      <c r="D2699" t="s">
        <v>23</v>
      </c>
      <c r="E2699" t="s">
        <v>24</v>
      </c>
      <c r="F2699" t="s">
        <v>4411</v>
      </c>
      <c r="G2699">
        <v>1808795</v>
      </c>
      <c r="H2699" t="s">
        <v>45</v>
      </c>
      <c r="I2699" t="s">
        <v>200</v>
      </c>
      <c r="J2699" t="str">
        <f>"9781472447951"</f>
        <v>9781472447951</v>
      </c>
      <c r="K2699" t="s">
        <v>4805</v>
      </c>
      <c r="L2699">
        <v>107</v>
      </c>
      <c r="O2699" t="s">
        <v>30</v>
      </c>
      <c r="P2699" t="s">
        <v>29</v>
      </c>
      <c r="Q2699" s="1">
        <v>42339.173460648148</v>
      </c>
      <c r="R2699">
        <v>7</v>
      </c>
      <c r="S2699" t="s">
        <v>31</v>
      </c>
      <c r="T2699" t="s">
        <v>4413</v>
      </c>
      <c r="U2699" t="s">
        <v>4414</v>
      </c>
      <c r="V2699" s="3">
        <v>41971</v>
      </c>
    </row>
    <row r="2700" spans="1:22" x14ac:dyDescent="0.35">
      <c r="A2700" s="1">
        <v>42340.214907407404</v>
      </c>
      <c r="B2700" s="2">
        <v>3.2638888888888891E-3</v>
      </c>
      <c r="C2700" t="s">
        <v>4410</v>
      </c>
      <c r="D2700" t="s">
        <v>23</v>
      </c>
      <c r="E2700" t="s">
        <v>24</v>
      </c>
      <c r="F2700" t="s">
        <v>4411</v>
      </c>
      <c r="G2700">
        <v>1808795</v>
      </c>
      <c r="H2700" t="s">
        <v>45</v>
      </c>
      <c r="I2700" t="s">
        <v>200</v>
      </c>
      <c r="J2700" t="str">
        <f>"9781472447951"</f>
        <v>9781472447951</v>
      </c>
      <c r="K2700" t="s">
        <v>4806</v>
      </c>
      <c r="L2700">
        <v>25</v>
      </c>
      <c r="O2700" t="s">
        <v>30</v>
      </c>
      <c r="P2700" t="s">
        <v>42</v>
      </c>
      <c r="S2700" t="s">
        <v>31</v>
      </c>
      <c r="T2700" t="s">
        <v>4413</v>
      </c>
      <c r="U2700" t="s">
        <v>4414</v>
      </c>
      <c r="V2700" s="3">
        <v>41971</v>
      </c>
    </row>
    <row r="2701" spans="1:22" x14ac:dyDescent="0.35">
      <c r="A2701" s="1">
        <v>42340.188796296294</v>
      </c>
      <c r="B2701" s="2">
        <v>3.3703703703703701E-2</v>
      </c>
      <c r="C2701" t="s">
        <v>106</v>
      </c>
      <c r="D2701" t="s">
        <v>23</v>
      </c>
      <c r="E2701" t="s">
        <v>24</v>
      </c>
      <c r="F2701" t="s">
        <v>4801</v>
      </c>
      <c r="G2701">
        <v>1388962</v>
      </c>
      <c r="H2701" t="s">
        <v>186</v>
      </c>
      <c r="I2701" t="s">
        <v>247</v>
      </c>
      <c r="J2701" t="str">
        <f>"9781780643403"</f>
        <v>9781780643403</v>
      </c>
      <c r="K2701" t="s">
        <v>4807</v>
      </c>
      <c r="L2701">
        <v>45</v>
      </c>
      <c r="O2701" t="s">
        <v>30</v>
      </c>
      <c r="P2701" t="s">
        <v>29</v>
      </c>
      <c r="Q2701" s="1">
        <v>42340.188784722224</v>
      </c>
      <c r="R2701">
        <v>7</v>
      </c>
      <c r="S2701" t="s">
        <v>31</v>
      </c>
      <c r="T2701" t="s">
        <v>4803</v>
      </c>
      <c r="U2701" t="s">
        <v>4804</v>
      </c>
      <c r="V2701" s="3">
        <v>41275</v>
      </c>
    </row>
    <row r="2702" spans="1:22" x14ac:dyDescent="0.35">
      <c r="A2702" s="1">
        <v>42340.149050925924</v>
      </c>
      <c r="B2702" s="2">
        <v>3.9733796296296302E-2</v>
      </c>
      <c r="C2702" t="s">
        <v>106</v>
      </c>
      <c r="D2702" t="s">
        <v>23</v>
      </c>
      <c r="E2702" t="s">
        <v>24</v>
      </c>
      <c r="F2702" t="s">
        <v>4801</v>
      </c>
      <c r="G2702">
        <v>1388962</v>
      </c>
      <c r="H2702" t="s">
        <v>186</v>
      </c>
      <c r="I2702" t="s">
        <v>247</v>
      </c>
      <c r="J2702" t="str">
        <f>"9781780643403"</f>
        <v>9781780643403</v>
      </c>
      <c r="K2702" t="s">
        <v>4808</v>
      </c>
      <c r="L2702">
        <v>23</v>
      </c>
      <c r="O2702" t="s">
        <v>30</v>
      </c>
      <c r="P2702" t="s">
        <v>42</v>
      </c>
      <c r="S2702" t="s">
        <v>31</v>
      </c>
      <c r="T2702" t="s">
        <v>4803</v>
      </c>
      <c r="U2702" t="s">
        <v>4804</v>
      </c>
      <c r="V2702" s="3">
        <v>41275</v>
      </c>
    </row>
    <row r="2703" spans="1:22" x14ac:dyDescent="0.35">
      <c r="A2703" s="1">
        <v>42340.143240740741</v>
      </c>
      <c r="B2703" s="2">
        <v>4.6296296296296294E-5</v>
      </c>
      <c r="C2703" t="s">
        <v>3948</v>
      </c>
      <c r="D2703" t="s">
        <v>1482</v>
      </c>
      <c r="E2703" t="s">
        <v>1483</v>
      </c>
      <c r="F2703" t="s">
        <v>3949</v>
      </c>
      <c r="G2703">
        <v>877713</v>
      </c>
      <c r="H2703" t="s">
        <v>149</v>
      </c>
      <c r="I2703" t="s">
        <v>172</v>
      </c>
      <c r="J2703" t="str">
        <f>"9781438138596"</f>
        <v>9781438138596</v>
      </c>
      <c r="K2703" t="s">
        <v>4809</v>
      </c>
      <c r="L2703">
        <v>4</v>
      </c>
      <c r="O2703" t="s">
        <v>30</v>
      </c>
      <c r="P2703" t="s">
        <v>29</v>
      </c>
      <c r="Q2703" s="1">
        <v>42340.143240740741</v>
      </c>
      <c r="R2703">
        <v>7</v>
      </c>
      <c r="S2703" t="s">
        <v>1485</v>
      </c>
      <c r="T2703" t="s">
        <v>3951</v>
      </c>
      <c r="U2703">
        <v>932.00300000000004</v>
      </c>
      <c r="V2703" s="3">
        <v>40909</v>
      </c>
    </row>
    <row r="2704" spans="1:22" x14ac:dyDescent="0.35">
      <c r="A2704" s="1">
        <v>42340.124814814815</v>
      </c>
      <c r="B2704" s="2">
        <v>1.8414351851851852E-2</v>
      </c>
      <c r="C2704" t="s">
        <v>3948</v>
      </c>
      <c r="D2704" t="s">
        <v>1482</v>
      </c>
      <c r="E2704" t="s">
        <v>1483</v>
      </c>
      <c r="F2704" t="s">
        <v>3949</v>
      </c>
      <c r="G2704">
        <v>877713</v>
      </c>
      <c r="H2704" t="s">
        <v>149</v>
      </c>
      <c r="I2704" t="s">
        <v>172</v>
      </c>
      <c r="J2704" t="str">
        <f>"9781438138596"</f>
        <v>9781438138596</v>
      </c>
      <c r="K2704" t="s">
        <v>3950</v>
      </c>
      <c r="L2704">
        <v>24</v>
      </c>
      <c r="O2704" t="s">
        <v>30</v>
      </c>
      <c r="P2704" t="s">
        <v>42</v>
      </c>
      <c r="S2704" t="s">
        <v>1485</v>
      </c>
      <c r="T2704" t="s">
        <v>3951</v>
      </c>
      <c r="U2704">
        <v>932.00300000000004</v>
      </c>
      <c r="V2704" s="3">
        <v>40909</v>
      </c>
    </row>
    <row r="2705" spans="1:22" x14ac:dyDescent="0.35">
      <c r="A2705" s="1">
        <v>42340.103472222225</v>
      </c>
      <c r="B2705" s="2">
        <v>5.2083333333333333E-4</v>
      </c>
      <c r="C2705" t="s">
        <v>4810</v>
      </c>
      <c r="D2705" t="s">
        <v>23</v>
      </c>
      <c r="E2705" t="s">
        <v>24</v>
      </c>
      <c r="F2705" t="s">
        <v>1082</v>
      </c>
      <c r="G2705">
        <v>1746990</v>
      </c>
      <c r="H2705" t="s">
        <v>45</v>
      </c>
      <c r="I2705" t="s">
        <v>97</v>
      </c>
      <c r="J2705" t="str">
        <f>"9781472432100"</f>
        <v>9781472432100</v>
      </c>
      <c r="K2705" t="s">
        <v>4811</v>
      </c>
      <c r="L2705">
        <v>17</v>
      </c>
      <c r="O2705" t="s">
        <v>30</v>
      </c>
      <c r="P2705" t="s">
        <v>50</v>
      </c>
      <c r="S2705" t="s">
        <v>31</v>
      </c>
      <c r="T2705" t="s">
        <v>1084</v>
      </c>
      <c r="U2705" t="s">
        <v>1085</v>
      </c>
      <c r="V2705" s="3">
        <v>41910</v>
      </c>
    </row>
    <row r="2706" spans="1:22" x14ac:dyDescent="0.35">
      <c r="A2706" s="1">
        <v>42340.098900462966</v>
      </c>
      <c r="B2706" s="2">
        <v>1.0879629629629629E-3</v>
      </c>
      <c r="C2706" t="s">
        <v>4772</v>
      </c>
      <c r="D2706" t="s">
        <v>158</v>
      </c>
      <c r="E2706" t="s">
        <v>159</v>
      </c>
      <c r="F2706" t="s">
        <v>4773</v>
      </c>
      <c r="G2706">
        <v>818332</v>
      </c>
      <c r="H2706" t="s">
        <v>26</v>
      </c>
      <c r="I2706" t="s">
        <v>120</v>
      </c>
      <c r="J2706" t="str">
        <f>"9781118252772"</f>
        <v>9781118252772</v>
      </c>
      <c r="K2706" t="s">
        <v>4812</v>
      </c>
      <c r="L2706">
        <v>15</v>
      </c>
      <c r="O2706" t="s">
        <v>30</v>
      </c>
      <c r="P2706" t="s">
        <v>42</v>
      </c>
      <c r="S2706" t="s">
        <v>163</v>
      </c>
      <c r="T2706" t="s">
        <v>4775</v>
      </c>
      <c r="U2706" t="s">
        <v>4776</v>
      </c>
      <c r="V2706" s="3">
        <v>40960</v>
      </c>
    </row>
    <row r="2707" spans="1:22" x14ac:dyDescent="0.35">
      <c r="A2707" s="1">
        <v>42340.090289351851</v>
      </c>
      <c r="B2707" s="2">
        <v>8.1018518518518516E-5</v>
      </c>
      <c r="C2707" t="s">
        <v>4751</v>
      </c>
      <c r="D2707" t="s">
        <v>35</v>
      </c>
      <c r="E2707" t="s">
        <v>36</v>
      </c>
      <c r="F2707" t="s">
        <v>4752</v>
      </c>
      <c r="G2707">
        <v>1323321</v>
      </c>
      <c r="H2707" t="s">
        <v>68</v>
      </c>
      <c r="I2707" t="s">
        <v>2836</v>
      </c>
      <c r="J2707" t="str">
        <f>"9781135007676"</f>
        <v>9781135007676</v>
      </c>
      <c r="K2707" t="s">
        <v>209</v>
      </c>
      <c r="L2707">
        <v>4</v>
      </c>
      <c r="O2707" t="s">
        <v>30</v>
      </c>
      <c r="P2707" t="s">
        <v>50</v>
      </c>
      <c r="S2707" t="s">
        <v>40</v>
      </c>
      <c r="T2707" t="s">
        <v>4754</v>
      </c>
      <c r="U2707">
        <v>158.69999999999999</v>
      </c>
      <c r="V2707" s="3">
        <v>41479</v>
      </c>
    </row>
    <row r="2708" spans="1:22" x14ac:dyDescent="0.35">
      <c r="A2708" s="1">
        <v>42340.067708333336</v>
      </c>
      <c r="B2708" s="2">
        <v>8.564814814814815E-4</v>
      </c>
      <c r="C2708" t="s">
        <v>4813</v>
      </c>
      <c r="D2708" t="s">
        <v>23</v>
      </c>
      <c r="E2708" t="s">
        <v>24</v>
      </c>
      <c r="F2708" t="s">
        <v>3559</v>
      </c>
      <c r="G2708">
        <v>1217954</v>
      </c>
      <c r="H2708" t="s">
        <v>45</v>
      </c>
      <c r="I2708" t="s">
        <v>3560</v>
      </c>
      <c r="J2708" t="str">
        <f>"9781409457558"</f>
        <v>9781409457558</v>
      </c>
      <c r="K2708" t="s">
        <v>4814</v>
      </c>
      <c r="L2708">
        <v>17</v>
      </c>
      <c r="O2708" t="s">
        <v>30</v>
      </c>
      <c r="P2708" t="s">
        <v>42</v>
      </c>
      <c r="S2708" t="s">
        <v>31</v>
      </c>
      <c r="T2708" t="s">
        <v>3562</v>
      </c>
      <c r="U2708" t="s">
        <v>3563</v>
      </c>
      <c r="V2708" s="3">
        <v>41575</v>
      </c>
    </row>
    <row r="2709" spans="1:22" x14ac:dyDescent="0.35">
      <c r="A2709" s="1">
        <v>42340.058981481481</v>
      </c>
      <c r="B2709" s="2">
        <v>8.3333333333333339E-4</v>
      </c>
      <c r="C2709" t="s">
        <v>4815</v>
      </c>
      <c r="D2709" t="s">
        <v>35</v>
      </c>
      <c r="E2709" t="s">
        <v>36</v>
      </c>
      <c r="F2709" t="s">
        <v>4816</v>
      </c>
      <c r="G2709">
        <v>1144407</v>
      </c>
      <c r="H2709" t="s">
        <v>68</v>
      </c>
      <c r="I2709" t="s">
        <v>4817</v>
      </c>
      <c r="J2709" t="str">
        <f>"9781136812156"</f>
        <v>9781136812156</v>
      </c>
      <c r="K2709" t="s">
        <v>4818</v>
      </c>
      <c r="L2709">
        <v>22</v>
      </c>
      <c r="O2709" t="s">
        <v>30</v>
      </c>
      <c r="P2709" t="s">
        <v>50</v>
      </c>
      <c r="S2709" t="s">
        <v>40</v>
      </c>
      <c r="T2709" t="s">
        <v>4819</v>
      </c>
      <c r="U2709">
        <v>364.3</v>
      </c>
      <c r="V2709" s="3">
        <v>41522</v>
      </c>
    </row>
    <row r="2710" spans="1:22" x14ac:dyDescent="0.35">
      <c r="A2710" s="1">
        <v>42340.058125000003</v>
      </c>
      <c r="B2710" s="2">
        <v>1.4814814814814814E-3</v>
      </c>
      <c r="C2710" t="s">
        <v>4820</v>
      </c>
      <c r="D2710" t="s">
        <v>261</v>
      </c>
      <c r="E2710" t="s">
        <v>262</v>
      </c>
      <c r="F2710" t="s">
        <v>4821</v>
      </c>
      <c r="G2710">
        <v>943645</v>
      </c>
      <c r="H2710" t="s">
        <v>1365</v>
      </c>
      <c r="I2710" t="s">
        <v>172</v>
      </c>
      <c r="J2710" t="str">
        <f>"9781441104755"</f>
        <v>9781441104755</v>
      </c>
      <c r="K2710" t="s">
        <v>4822</v>
      </c>
      <c r="L2710">
        <v>5</v>
      </c>
      <c r="O2710" t="s">
        <v>30</v>
      </c>
      <c r="P2710" t="s">
        <v>29</v>
      </c>
      <c r="Q2710" s="1">
        <v>42340.058125000003</v>
      </c>
      <c r="R2710">
        <v>7</v>
      </c>
      <c r="S2710" t="s">
        <v>264</v>
      </c>
      <c r="T2710" t="s">
        <v>4823</v>
      </c>
      <c r="U2710">
        <v>948.02200000000005</v>
      </c>
      <c r="V2710" s="3">
        <v>41060</v>
      </c>
    </row>
    <row r="2711" spans="1:22" x14ac:dyDescent="0.35">
      <c r="A2711" s="1">
        <v>42340.051932870374</v>
      </c>
      <c r="B2711" s="2">
        <v>3.4722222222222222E-5</v>
      </c>
      <c r="C2711" t="s">
        <v>950</v>
      </c>
      <c r="D2711" t="s">
        <v>623</v>
      </c>
      <c r="E2711" t="s">
        <v>624</v>
      </c>
      <c r="F2711" t="s">
        <v>4824</v>
      </c>
      <c r="G2711">
        <v>1895928</v>
      </c>
      <c r="H2711" t="s">
        <v>26</v>
      </c>
      <c r="I2711" t="s">
        <v>97</v>
      </c>
      <c r="J2711" t="str">
        <f>"9781119019848"</f>
        <v>9781119019848</v>
      </c>
      <c r="K2711" t="s">
        <v>33</v>
      </c>
      <c r="L2711">
        <v>3</v>
      </c>
      <c r="O2711" t="s">
        <v>30</v>
      </c>
      <c r="P2711" t="s">
        <v>50</v>
      </c>
      <c r="S2711" t="s">
        <v>627</v>
      </c>
      <c r="T2711" t="s">
        <v>4825</v>
      </c>
      <c r="U2711" t="s">
        <v>4826</v>
      </c>
      <c r="V2711" s="3">
        <v>42097</v>
      </c>
    </row>
    <row r="2712" spans="1:22" x14ac:dyDescent="0.35">
      <c r="A2712" s="1">
        <v>42340.04791666667</v>
      </c>
      <c r="B2712" s="2">
        <v>7.407407407407407E-4</v>
      </c>
      <c r="C2712" t="s">
        <v>950</v>
      </c>
      <c r="D2712" t="s">
        <v>623</v>
      </c>
      <c r="E2712" t="s">
        <v>624</v>
      </c>
      <c r="F2712" t="s">
        <v>4144</v>
      </c>
      <c r="G2712">
        <v>1767442</v>
      </c>
      <c r="H2712" t="s">
        <v>26</v>
      </c>
      <c r="I2712" t="s">
        <v>92</v>
      </c>
      <c r="J2712" t="str">
        <f>"9781118904503"</f>
        <v>9781118904503</v>
      </c>
      <c r="K2712" t="s">
        <v>4827</v>
      </c>
      <c r="L2712">
        <v>12</v>
      </c>
      <c r="O2712" t="s">
        <v>30</v>
      </c>
      <c r="P2712" t="s">
        <v>50</v>
      </c>
      <c r="S2712" t="s">
        <v>627</v>
      </c>
      <c r="T2712" t="s">
        <v>4146</v>
      </c>
      <c r="U2712" t="s">
        <v>4147</v>
      </c>
      <c r="V2712" s="3">
        <v>41864</v>
      </c>
    </row>
    <row r="2713" spans="1:22" x14ac:dyDescent="0.35">
      <c r="A2713" s="1">
        <v>42340.046307870369</v>
      </c>
      <c r="B2713" s="2">
        <v>2.0011574074074074E-2</v>
      </c>
      <c r="C2713" t="s">
        <v>106</v>
      </c>
      <c r="D2713" t="s">
        <v>23</v>
      </c>
      <c r="E2713" t="s">
        <v>24</v>
      </c>
      <c r="F2713" t="s">
        <v>78</v>
      </c>
      <c r="G2713">
        <v>1635363</v>
      </c>
      <c r="H2713" t="s">
        <v>26</v>
      </c>
      <c r="I2713" t="s">
        <v>79</v>
      </c>
      <c r="J2713" t="str">
        <f>"9781118678206"</f>
        <v>9781118678206</v>
      </c>
      <c r="K2713" t="s">
        <v>4828</v>
      </c>
      <c r="L2713">
        <v>18</v>
      </c>
      <c r="O2713" t="s">
        <v>30</v>
      </c>
      <c r="P2713" t="s">
        <v>29</v>
      </c>
      <c r="Q2713" s="1">
        <v>42337.939270833333</v>
      </c>
      <c r="R2713">
        <v>7</v>
      </c>
      <c r="S2713" t="s">
        <v>31</v>
      </c>
      <c r="T2713" t="s">
        <v>81</v>
      </c>
      <c r="U2713">
        <v>340.07600000000002</v>
      </c>
      <c r="V2713" s="3">
        <v>41684</v>
      </c>
    </row>
    <row r="2714" spans="1:22" x14ac:dyDescent="0.35">
      <c r="A2714" s="1">
        <v>42340.045520833337</v>
      </c>
      <c r="B2714" s="2">
        <v>5.5555555555555556E-4</v>
      </c>
      <c r="C2714" t="s">
        <v>950</v>
      </c>
      <c r="D2714" t="s">
        <v>623</v>
      </c>
      <c r="E2714" t="s">
        <v>624</v>
      </c>
      <c r="F2714" t="s">
        <v>4472</v>
      </c>
      <c r="G2714">
        <v>1873101</v>
      </c>
      <c r="H2714" t="s">
        <v>26</v>
      </c>
      <c r="I2714" t="s">
        <v>69</v>
      </c>
      <c r="J2714" t="str">
        <f>"9781118762233"</f>
        <v>9781118762233</v>
      </c>
      <c r="K2714" t="s">
        <v>3280</v>
      </c>
      <c r="L2714">
        <v>9</v>
      </c>
      <c r="O2714" t="s">
        <v>30</v>
      </c>
      <c r="P2714" t="s">
        <v>29</v>
      </c>
      <c r="Q2714" s="1">
        <v>42339.068310185183</v>
      </c>
      <c r="R2714">
        <v>7</v>
      </c>
      <c r="S2714" t="s">
        <v>627</v>
      </c>
      <c r="T2714" t="s">
        <v>4474</v>
      </c>
      <c r="U2714" t="s">
        <v>4475</v>
      </c>
      <c r="V2714" s="3">
        <v>41975</v>
      </c>
    </row>
    <row r="2715" spans="1:22" x14ac:dyDescent="0.35">
      <c r="A2715" s="1">
        <v>42340.028321759259</v>
      </c>
      <c r="B2715" s="2">
        <v>3.3564814814814812E-4</v>
      </c>
      <c r="C2715" t="s">
        <v>4815</v>
      </c>
      <c r="D2715" t="s">
        <v>35</v>
      </c>
      <c r="E2715" t="s">
        <v>36</v>
      </c>
      <c r="F2715" t="s">
        <v>4829</v>
      </c>
      <c r="G2715">
        <v>1517741</v>
      </c>
      <c r="H2715" t="s">
        <v>68</v>
      </c>
      <c r="I2715" t="s">
        <v>120</v>
      </c>
      <c r="J2715" t="str">
        <f>"9781135063092"</f>
        <v>9781135063092</v>
      </c>
      <c r="K2715" t="s">
        <v>443</v>
      </c>
      <c r="L2715">
        <v>19</v>
      </c>
      <c r="O2715" t="s">
        <v>30</v>
      </c>
      <c r="P2715" t="s">
        <v>50</v>
      </c>
      <c r="S2715" t="s">
        <v>40</v>
      </c>
      <c r="T2715" t="s">
        <v>4830</v>
      </c>
      <c r="U2715">
        <v>362.76</v>
      </c>
      <c r="V2715" s="3">
        <v>41575</v>
      </c>
    </row>
    <row r="2716" spans="1:22" x14ac:dyDescent="0.35">
      <c r="A2716" s="1">
        <v>42340.026064814818</v>
      </c>
      <c r="B2716" s="2">
        <v>7.291666666666667E-4</v>
      </c>
      <c r="C2716" t="s">
        <v>3208</v>
      </c>
      <c r="D2716" t="s">
        <v>117</v>
      </c>
      <c r="E2716" t="s">
        <v>118</v>
      </c>
      <c r="F2716" t="s">
        <v>3209</v>
      </c>
      <c r="G2716">
        <v>1725830</v>
      </c>
      <c r="H2716" t="s">
        <v>26</v>
      </c>
      <c r="I2716" t="s">
        <v>445</v>
      </c>
      <c r="J2716" t="str">
        <f>"9780745684116"</f>
        <v>9780745684116</v>
      </c>
      <c r="K2716" t="s">
        <v>4831</v>
      </c>
      <c r="L2716">
        <v>11</v>
      </c>
      <c r="O2716" t="s">
        <v>30</v>
      </c>
      <c r="P2716" t="s">
        <v>50</v>
      </c>
      <c r="S2716" t="s">
        <v>121</v>
      </c>
      <c r="T2716" t="s">
        <v>3211</v>
      </c>
      <c r="U2716">
        <v>331.13704100000001</v>
      </c>
      <c r="V2716" s="3">
        <v>41817</v>
      </c>
    </row>
    <row r="2717" spans="1:22" x14ac:dyDescent="0.35">
      <c r="A2717" s="1">
        <v>42340.023206018515</v>
      </c>
      <c r="B2717" s="2">
        <v>2.3495370370370371E-3</v>
      </c>
      <c r="C2717" t="s">
        <v>3527</v>
      </c>
      <c r="D2717" t="s">
        <v>35</v>
      </c>
      <c r="E2717" t="s">
        <v>36</v>
      </c>
      <c r="F2717" t="s">
        <v>1285</v>
      </c>
      <c r="G2717">
        <v>979950</v>
      </c>
      <c r="H2717" t="s">
        <v>1286</v>
      </c>
      <c r="I2717" t="s">
        <v>310</v>
      </c>
      <c r="J2717" t="str">
        <f>"9781476600321"</f>
        <v>9781476600321</v>
      </c>
      <c r="K2717" t="s">
        <v>4832</v>
      </c>
      <c r="L2717">
        <v>15</v>
      </c>
      <c r="O2717" t="s">
        <v>30</v>
      </c>
      <c r="P2717" t="s">
        <v>42</v>
      </c>
      <c r="S2717" t="s">
        <v>40</v>
      </c>
      <c r="T2717" t="s">
        <v>1288</v>
      </c>
      <c r="U2717" t="s">
        <v>1289</v>
      </c>
      <c r="V2717" s="3">
        <v>41100</v>
      </c>
    </row>
    <row r="2718" spans="1:22" x14ac:dyDescent="0.35">
      <c r="A2718" s="1">
        <v>42340.018171296295</v>
      </c>
      <c r="B2718" s="2">
        <v>1.3657407407407409E-3</v>
      </c>
      <c r="C2718" t="s">
        <v>3527</v>
      </c>
      <c r="D2718" t="s">
        <v>35</v>
      </c>
      <c r="E2718" t="s">
        <v>36</v>
      </c>
      <c r="F2718" t="s">
        <v>1373</v>
      </c>
      <c r="G2718">
        <v>979949</v>
      </c>
      <c r="H2718" t="s">
        <v>1286</v>
      </c>
      <c r="I2718" t="s">
        <v>310</v>
      </c>
      <c r="J2718" t="str">
        <f>"9780786493234"</f>
        <v>9780786493234</v>
      </c>
      <c r="K2718" t="s">
        <v>4833</v>
      </c>
      <c r="L2718">
        <v>38</v>
      </c>
      <c r="O2718" t="s">
        <v>30</v>
      </c>
      <c r="P2718" t="s">
        <v>42</v>
      </c>
      <c r="S2718" t="s">
        <v>40</v>
      </c>
      <c r="T2718" t="s">
        <v>1376</v>
      </c>
      <c r="U2718" t="s">
        <v>1289</v>
      </c>
      <c r="V2718" s="3">
        <v>41102</v>
      </c>
    </row>
    <row r="2719" spans="1:22" x14ac:dyDescent="0.35">
      <c r="A2719" s="1">
        <v>42340.010879629626</v>
      </c>
      <c r="B2719" s="2">
        <v>4.7245370370370375E-2</v>
      </c>
      <c r="C2719" t="s">
        <v>4820</v>
      </c>
      <c r="D2719" t="s">
        <v>261</v>
      </c>
      <c r="E2719" t="s">
        <v>262</v>
      </c>
      <c r="F2719" t="s">
        <v>4821</v>
      </c>
      <c r="G2719">
        <v>943645</v>
      </c>
      <c r="H2719" t="s">
        <v>1365</v>
      </c>
      <c r="I2719" t="s">
        <v>172</v>
      </c>
      <c r="J2719" t="str">
        <f>"9781441104755"</f>
        <v>9781441104755</v>
      </c>
      <c r="K2719" t="s">
        <v>4834</v>
      </c>
      <c r="L2719">
        <v>13</v>
      </c>
      <c r="O2719" t="s">
        <v>30</v>
      </c>
      <c r="P2719" t="s">
        <v>42</v>
      </c>
      <c r="S2719" t="s">
        <v>264</v>
      </c>
      <c r="T2719" t="s">
        <v>4823</v>
      </c>
      <c r="U2719">
        <v>948.02200000000005</v>
      </c>
      <c r="V2719" s="3">
        <v>41060</v>
      </c>
    </row>
    <row r="2720" spans="1:22" x14ac:dyDescent="0.35">
      <c r="A2720" s="1">
        <v>42340.005069444444</v>
      </c>
      <c r="B2720" s="2">
        <v>1.7592592592592592E-3</v>
      </c>
      <c r="C2720" t="s">
        <v>950</v>
      </c>
      <c r="D2720" t="s">
        <v>623</v>
      </c>
      <c r="E2720" t="s">
        <v>624</v>
      </c>
      <c r="F2720" t="s">
        <v>4472</v>
      </c>
      <c r="G2720">
        <v>1873101</v>
      </c>
      <c r="H2720" t="s">
        <v>26</v>
      </c>
      <c r="I2720" t="s">
        <v>69</v>
      </c>
      <c r="J2720" t="str">
        <f>"9781118762233"</f>
        <v>9781118762233</v>
      </c>
      <c r="K2720" t="s">
        <v>4835</v>
      </c>
      <c r="L2720">
        <v>43</v>
      </c>
      <c r="O2720" t="s">
        <v>30</v>
      </c>
      <c r="P2720" t="s">
        <v>29</v>
      </c>
      <c r="Q2720" s="1">
        <v>42339.068310185183</v>
      </c>
      <c r="R2720">
        <v>7</v>
      </c>
      <c r="S2720" t="s">
        <v>627</v>
      </c>
      <c r="T2720" t="s">
        <v>4474</v>
      </c>
      <c r="U2720" t="s">
        <v>4475</v>
      </c>
      <c r="V2720" s="3">
        <v>41975</v>
      </c>
    </row>
    <row r="2721" spans="1:22" x14ac:dyDescent="0.35">
      <c r="A2721" s="1">
        <v>42339.982060185182</v>
      </c>
      <c r="B2721" s="2">
        <v>4.9768518518518521E-4</v>
      </c>
      <c r="C2721" t="s">
        <v>4836</v>
      </c>
      <c r="D2721" t="s">
        <v>35</v>
      </c>
      <c r="E2721" t="s">
        <v>36</v>
      </c>
      <c r="F2721" t="s">
        <v>4837</v>
      </c>
      <c r="G2721">
        <v>2075580</v>
      </c>
      <c r="H2721" t="s">
        <v>26</v>
      </c>
      <c r="I2721" t="s">
        <v>247</v>
      </c>
      <c r="J2721" t="str">
        <f>"9781118961698"</f>
        <v>9781118961698</v>
      </c>
      <c r="K2721" t="s">
        <v>4838</v>
      </c>
      <c r="L2721">
        <v>6</v>
      </c>
      <c r="O2721" t="s">
        <v>30</v>
      </c>
      <c r="P2721" t="s">
        <v>29</v>
      </c>
      <c r="Q2721" s="1">
        <v>42339.982060185182</v>
      </c>
      <c r="R2721">
        <v>7</v>
      </c>
      <c r="S2721" t="s">
        <v>40</v>
      </c>
      <c r="T2721" t="s">
        <v>4839</v>
      </c>
      <c r="U2721">
        <v>616.89140835000001</v>
      </c>
      <c r="V2721" s="3">
        <v>42095</v>
      </c>
    </row>
    <row r="2722" spans="1:22" x14ac:dyDescent="0.35">
      <c r="A2722" s="1">
        <v>42339.98097222222</v>
      </c>
      <c r="B2722" s="2">
        <v>2.0833333333333335E-4</v>
      </c>
      <c r="C2722" t="s">
        <v>4840</v>
      </c>
      <c r="D2722" t="s">
        <v>35</v>
      </c>
      <c r="E2722" t="s">
        <v>36</v>
      </c>
      <c r="F2722" t="s">
        <v>4841</v>
      </c>
      <c r="G2722">
        <v>1895756</v>
      </c>
      <c r="H2722" t="s">
        <v>26</v>
      </c>
      <c r="I2722" t="s">
        <v>172</v>
      </c>
      <c r="J2722" t="str">
        <f>"9781118923900"</f>
        <v>9781118923900</v>
      </c>
      <c r="K2722" t="s">
        <v>98</v>
      </c>
      <c r="L2722">
        <v>7</v>
      </c>
      <c r="O2722" t="s">
        <v>30</v>
      </c>
      <c r="P2722" t="s">
        <v>50</v>
      </c>
      <c r="S2722" t="s">
        <v>40</v>
      </c>
      <c r="T2722" t="s">
        <v>4842</v>
      </c>
      <c r="U2722">
        <v>973.33</v>
      </c>
      <c r="V2722" s="3">
        <v>42102</v>
      </c>
    </row>
    <row r="2723" spans="1:22" x14ac:dyDescent="0.35">
      <c r="A2723" s="1">
        <v>42339.968865740739</v>
      </c>
      <c r="B2723" s="2">
        <v>1.3194444444444444E-2</v>
      </c>
      <c r="C2723" t="s">
        <v>4836</v>
      </c>
      <c r="D2723" t="s">
        <v>35</v>
      </c>
      <c r="E2723" t="s">
        <v>36</v>
      </c>
      <c r="F2723" t="s">
        <v>4837</v>
      </c>
      <c r="G2723">
        <v>2075580</v>
      </c>
      <c r="H2723" t="s">
        <v>26</v>
      </c>
      <c r="I2723" t="s">
        <v>247</v>
      </c>
      <c r="J2723" t="str">
        <f>"9781118961698"</f>
        <v>9781118961698</v>
      </c>
      <c r="K2723" t="s">
        <v>4843</v>
      </c>
      <c r="L2723">
        <v>22</v>
      </c>
      <c r="O2723" t="s">
        <v>30</v>
      </c>
      <c r="P2723" t="s">
        <v>50</v>
      </c>
      <c r="S2723" t="s">
        <v>40</v>
      </c>
      <c r="T2723" t="s">
        <v>4839</v>
      </c>
      <c r="U2723">
        <v>616.89140835000001</v>
      </c>
      <c r="V2723" s="3">
        <v>42095</v>
      </c>
    </row>
    <row r="2724" spans="1:22" x14ac:dyDescent="0.35">
      <c r="A2724" s="1">
        <v>42339.968842592592</v>
      </c>
      <c r="B2724" s="2">
        <v>2.3148148148148147E-5</v>
      </c>
      <c r="C2724" t="s">
        <v>4836</v>
      </c>
      <c r="D2724" t="s">
        <v>35</v>
      </c>
      <c r="E2724" t="s">
        <v>36</v>
      </c>
      <c r="F2724" t="s">
        <v>4837</v>
      </c>
      <c r="G2724">
        <v>2075580</v>
      </c>
      <c r="H2724" t="s">
        <v>26</v>
      </c>
      <c r="I2724" t="s">
        <v>247</v>
      </c>
      <c r="J2724" t="str">
        <f>"9781118961698"</f>
        <v>9781118961698</v>
      </c>
      <c r="L2724">
        <v>0</v>
      </c>
      <c r="O2724" t="s">
        <v>30</v>
      </c>
      <c r="P2724" t="s">
        <v>50</v>
      </c>
      <c r="S2724" t="s">
        <v>40</v>
      </c>
      <c r="T2724" t="s">
        <v>4839</v>
      </c>
      <c r="U2724">
        <v>616.89140835000001</v>
      </c>
      <c r="V2724" s="3">
        <v>42095</v>
      </c>
    </row>
    <row r="2725" spans="1:22" x14ac:dyDescent="0.35">
      <c r="A2725" s="1">
        <v>42339.956875000003</v>
      </c>
      <c r="B2725" s="2">
        <v>2.8935185185185189E-4</v>
      </c>
      <c r="C2725" t="s">
        <v>3884</v>
      </c>
      <c r="D2725" t="s">
        <v>261</v>
      </c>
      <c r="E2725" t="s">
        <v>262</v>
      </c>
      <c r="F2725" t="s">
        <v>3885</v>
      </c>
      <c r="G2725">
        <v>1935791</v>
      </c>
      <c r="H2725" t="s">
        <v>26</v>
      </c>
      <c r="I2725" t="s">
        <v>108</v>
      </c>
      <c r="J2725" t="str">
        <f>"9781118909935"</f>
        <v>9781118909935</v>
      </c>
      <c r="K2725" t="s">
        <v>4844</v>
      </c>
      <c r="L2725">
        <v>8</v>
      </c>
      <c r="O2725" t="s">
        <v>30</v>
      </c>
      <c r="P2725" t="s">
        <v>42</v>
      </c>
      <c r="S2725" t="s">
        <v>264</v>
      </c>
      <c r="T2725" t="s">
        <v>3887</v>
      </c>
      <c r="U2725">
        <v>338.95100000000002</v>
      </c>
      <c r="V2725" s="3">
        <v>41995</v>
      </c>
    </row>
    <row r="2726" spans="1:22" x14ac:dyDescent="0.35">
      <c r="A2726" s="1">
        <v>42339.946134259262</v>
      </c>
      <c r="B2726" s="2">
        <v>1.8657407407407407E-2</v>
      </c>
      <c r="C2726" t="s">
        <v>4845</v>
      </c>
      <c r="D2726" t="s">
        <v>35</v>
      </c>
      <c r="E2726" t="s">
        <v>36</v>
      </c>
      <c r="F2726" t="s">
        <v>4846</v>
      </c>
      <c r="G2726">
        <v>1895391</v>
      </c>
      <c r="H2726" t="s">
        <v>26</v>
      </c>
      <c r="I2726" t="s">
        <v>97</v>
      </c>
      <c r="J2726" t="str">
        <f>"9781119090380"</f>
        <v>9781119090380</v>
      </c>
      <c r="K2726" t="s">
        <v>4847</v>
      </c>
      <c r="L2726">
        <v>39</v>
      </c>
      <c r="O2726" t="s">
        <v>30</v>
      </c>
      <c r="P2726" t="s">
        <v>29</v>
      </c>
      <c r="Q2726" s="1">
        <v>42339.946134259262</v>
      </c>
      <c r="R2726">
        <v>7</v>
      </c>
      <c r="S2726" t="s">
        <v>40</v>
      </c>
      <c r="T2726" t="s">
        <v>4848</v>
      </c>
      <c r="U2726" t="s">
        <v>1463</v>
      </c>
      <c r="V2726" s="3">
        <v>42081</v>
      </c>
    </row>
    <row r="2727" spans="1:22" x14ac:dyDescent="0.35">
      <c r="A2727" s="1">
        <v>42339.937569444446</v>
      </c>
      <c r="B2727" s="2">
        <v>9.1435185185185185E-4</v>
      </c>
      <c r="C2727" t="s">
        <v>4849</v>
      </c>
      <c r="D2727" t="s">
        <v>623</v>
      </c>
      <c r="E2727" t="s">
        <v>624</v>
      </c>
      <c r="F2727" t="s">
        <v>4850</v>
      </c>
      <c r="G2727">
        <v>2079170</v>
      </c>
      <c r="H2727" t="s">
        <v>526</v>
      </c>
      <c r="I2727" t="s">
        <v>310</v>
      </c>
      <c r="J2727" t="str">
        <f>"9780226210438"</f>
        <v>9780226210438</v>
      </c>
      <c r="K2727" t="s">
        <v>4851</v>
      </c>
      <c r="L2727">
        <v>20</v>
      </c>
      <c r="O2727" t="s">
        <v>30</v>
      </c>
      <c r="P2727" t="s">
        <v>50</v>
      </c>
      <c r="S2727" t="s">
        <v>627</v>
      </c>
      <c r="T2727" t="s">
        <v>4852</v>
      </c>
      <c r="U2727">
        <v>832.91200000000003</v>
      </c>
      <c r="V2727" s="3">
        <v>42198</v>
      </c>
    </row>
    <row r="2728" spans="1:22" x14ac:dyDescent="0.35">
      <c r="A2728" s="1">
        <v>42339.937268518515</v>
      </c>
      <c r="B2728" s="2">
        <v>8.8657407407407417E-3</v>
      </c>
      <c r="C2728" t="s">
        <v>4845</v>
      </c>
      <c r="D2728" t="s">
        <v>35</v>
      </c>
      <c r="E2728" t="s">
        <v>36</v>
      </c>
      <c r="F2728" t="s">
        <v>4846</v>
      </c>
      <c r="G2728">
        <v>1895391</v>
      </c>
      <c r="H2728" t="s">
        <v>26</v>
      </c>
      <c r="I2728" t="s">
        <v>97</v>
      </c>
      <c r="J2728" t="str">
        <f>"9781119090380"</f>
        <v>9781119090380</v>
      </c>
      <c r="K2728" t="s">
        <v>4853</v>
      </c>
      <c r="L2728">
        <v>13</v>
      </c>
      <c r="O2728" t="s">
        <v>30</v>
      </c>
      <c r="P2728" t="s">
        <v>42</v>
      </c>
      <c r="S2728" t="s">
        <v>40</v>
      </c>
      <c r="T2728" t="s">
        <v>4848</v>
      </c>
      <c r="U2728" t="s">
        <v>1463</v>
      </c>
      <c r="V2728" s="3">
        <v>42081</v>
      </c>
    </row>
    <row r="2729" spans="1:22" x14ac:dyDescent="0.35">
      <c r="A2729" s="1">
        <v>42339.930659722224</v>
      </c>
      <c r="B2729" s="2">
        <v>8.3333333333333332E-3</v>
      </c>
      <c r="C2729" t="s">
        <v>4854</v>
      </c>
      <c r="D2729" t="s">
        <v>35</v>
      </c>
      <c r="E2729" t="s">
        <v>36</v>
      </c>
      <c r="F2729" t="s">
        <v>4855</v>
      </c>
      <c r="G2729">
        <v>1895285</v>
      </c>
      <c r="H2729" t="s">
        <v>26</v>
      </c>
      <c r="I2729" t="s">
        <v>276</v>
      </c>
      <c r="J2729" t="str">
        <f>"9781119035671"</f>
        <v>9781119035671</v>
      </c>
      <c r="K2729" t="s">
        <v>4856</v>
      </c>
      <c r="L2729">
        <v>21</v>
      </c>
      <c r="O2729" t="s">
        <v>30</v>
      </c>
      <c r="P2729" t="s">
        <v>29</v>
      </c>
      <c r="Q2729" s="1">
        <v>42339.930659722224</v>
      </c>
      <c r="R2729">
        <v>7</v>
      </c>
      <c r="S2729" t="s">
        <v>40</v>
      </c>
      <c r="T2729" t="s">
        <v>4857</v>
      </c>
      <c r="U2729" t="s">
        <v>4858</v>
      </c>
      <c r="V2729" s="3">
        <v>42227</v>
      </c>
    </row>
    <row r="2730" spans="1:22" x14ac:dyDescent="0.35">
      <c r="A2730" s="1">
        <v>42339.926863425928</v>
      </c>
      <c r="B2730" s="2">
        <v>3.7962962962962963E-3</v>
      </c>
      <c r="C2730" t="s">
        <v>4854</v>
      </c>
      <c r="D2730" t="s">
        <v>35</v>
      </c>
      <c r="E2730" t="s">
        <v>36</v>
      </c>
      <c r="F2730" t="s">
        <v>4855</v>
      </c>
      <c r="G2730">
        <v>1895285</v>
      </c>
      <c r="H2730" t="s">
        <v>26</v>
      </c>
      <c r="I2730" t="s">
        <v>276</v>
      </c>
      <c r="J2730" t="str">
        <f>"9781119035671"</f>
        <v>9781119035671</v>
      </c>
      <c r="K2730" t="s">
        <v>4859</v>
      </c>
      <c r="L2730">
        <v>17</v>
      </c>
      <c r="O2730" t="s">
        <v>30</v>
      </c>
      <c r="P2730" t="s">
        <v>50</v>
      </c>
      <c r="S2730" t="s">
        <v>40</v>
      </c>
      <c r="T2730" t="s">
        <v>4857</v>
      </c>
      <c r="U2730" t="s">
        <v>4858</v>
      </c>
      <c r="V2730" s="3">
        <v>42227</v>
      </c>
    </row>
    <row r="2731" spans="1:22" x14ac:dyDescent="0.35">
      <c r="A2731" s="1">
        <v>42339.921863425923</v>
      </c>
      <c r="B2731" s="2">
        <v>4.2569444444444444E-2</v>
      </c>
      <c r="C2731" t="s">
        <v>210</v>
      </c>
      <c r="D2731" t="s">
        <v>211</v>
      </c>
      <c r="E2731" t="s">
        <v>212</v>
      </c>
      <c r="F2731" t="s">
        <v>119</v>
      </c>
      <c r="G2731">
        <v>1154341</v>
      </c>
      <c r="H2731" t="s">
        <v>26</v>
      </c>
      <c r="I2731" t="s">
        <v>120</v>
      </c>
      <c r="J2731" t="str">
        <f>"9781118505014"</f>
        <v>9781118505014</v>
      </c>
      <c r="K2731" t="s">
        <v>4860</v>
      </c>
      <c r="L2731">
        <v>79</v>
      </c>
      <c r="O2731" t="s">
        <v>30</v>
      </c>
      <c r="P2731" t="s">
        <v>29</v>
      </c>
      <c r="Q2731" s="1">
        <v>42339.921863425923</v>
      </c>
      <c r="R2731">
        <v>7</v>
      </c>
      <c r="S2731" t="s">
        <v>214</v>
      </c>
      <c r="T2731" t="s">
        <v>122</v>
      </c>
      <c r="U2731" t="s">
        <v>123</v>
      </c>
      <c r="V2731" s="3">
        <v>41344</v>
      </c>
    </row>
    <row r="2732" spans="1:22" x14ac:dyDescent="0.35">
      <c r="A2732" s="1">
        <v>42339.914421296293</v>
      </c>
      <c r="B2732" s="2">
        <v>7.4421296296296293E-3</v>
      </c>
      <c r="C2732" t="s">
        <v>210</v>
      </c>
      <c r="D2732" t="s">
        <v>211</v>
      </c>
      <c r="E2732" t="s">
        <v>212</v>
      </c>
      <c r="F2732" t="s">
        <v>119</v>
      </c>
      <c r="G2732">
        <v>1154341</v>
      </c>
      <c r="H2732" t="s">
        <v>26</v>
      </c>
      <c r="I2732" t="s">
        <v>120</v>
      </c>
      <c r="J2732" t="str">
        <f>"9781118505014"</f>
        <v>9781118505014</v>
      </c>
      <c r="K2732" t="s">
        <v>4861</v>
      </c>
      <c r="L2732">
        <v>28</v>
      </c>
      <c r="O2732" t="s">
        <v>30</v>
      </c>
      <c r="P2732" t="s">
        <v>42</v>
      </c>
      <c r="S2732" t="s">
        <v>214</v>
      </c>
      <c r="T2732" t="s">
        <v>122</v>
      </c>
      <c r="U2732" t="s">
        <v>123</v>
      </c>
      <c r="V2732" s="3">
        <v>41344</v>
      </c>
    </row>
    <row r="2733" spans="1:22" x14ac:dyDescent="0.35">
      <c r="A2733" s="1">
        <v>42339.899375000001</v>
      </c>
      <c r="B2733" s="2">
        <v>2.5462962962962961E-4</v>
      </c>
      <c r="C2733" t="s">
        <v>4862</v>
      </c>
      <c r="D2733" t="s">
        <v>23</v>
      </c>
      <c r="E2733" t="s">
        <v>24</v>
      </c>
      <c r="F2733" t="s">
        <v>4863</v>
      </c>
      <c r="G2733">
        <v>829309</v>
      </c>
      <c r="H2733" t="s">
        <v>91</v>
      </c>
      <c r="I2733" t="s">
        <v>247</v>
      </c>
      <c r="J2733" t="str">
        <f>"9781462502387"</f>
        <v>9781462502387</v>
      </c>
      <c r="K2733" t="s">
        <v>4864</v>
      </c>
      <c r="L2733">
        <v>9</v>
      </c>
      <c r="O2733" t="s">
        <v>30</v>
      </c>
      <c r="P2733" t="s">
        <v>42</v>
      </c>
      <c r="S2733" t="s">
        <v>31</v>
      </c>
      <c r="T2733" t="s">
        <v>4865</v>
      </c>
      <c r="U2733">
        <v>616.89142000000004</v>
      </c>
      <c r="V2733" s="3">
        <v>40891</v>
      </c>
    </row>
    <row r="2734" spans="1:22" x14ac:dyDescent="0.35">
      <c r="A2734" s="1">
        <v>42339.891458333332</v>
      </c>
      <c r="B2734" s="2">
        <v>1.1921296296296296E-3</v>
      </c>
      <c r="C2734" t="s">
        <v>4866</v>
      </c>
      <c r="D2734" t="s">
        <v>35</v>
      </c>
      <c r="E2734" t="s">
        <v>36</v>
      </c>
      <c r="F2734" t="s">
        <v>4867</v>
      </c>
      <c r="G2734">
        <v>1161980</v>
      </c>
      <c r="H2734" t="s">
        <v>26</v>
      </c>
      <c r="I2734" t="s">
        <v>4868</v>
      </c>
      <c r="J2734" t="str">
        <f>"9781118675328"</f>
        <v>9781118675328</v>
      </c>
      <c r="K2734" t="s">
        <v>4869</v>
      </c>
      <c r="L2734">
        <v>17</v>
      </c>
      <c r="O2734" t="s">
        <v>30</v>
      </c>
      <c r="P2734" t="s">
        <v>50</v>
      </c>
      <c r="S2734" t="s">
        <v>40</v>
      </c>
      <c r="T2734" t="s">
        <v>4870</v>
      </c>
      <c r="U2734">
        <v>616.90409999999997</v>
      </c>
      <c r="V2734" s="3">
        <v>41360</v>
      </c>
    </row>
    <row r="2735" spans="1:22" x14ac:dyDescent="0.35">
      <c r="A2735" s="1">
        <v>42339.861215277779</v>
      </c>
      <c r="B2735" s="2">
        <v>2.6620370370370372E-4</v>
      </c>
      <c r="C2735" t="s">
        <v>4871</v>
      </c>
      <c r="D2735" t="s">
        <v>158</v>
      </c>
      <c r="E2735" t="s">
        <v>159</v>
      </c>
      <c r="F2735" t="s">
        <v>4872</v>
      </c>
      <c r="G2735">
        <v>995801</v>
      </c>
      <c r="H2735" t="s">
        <v>1286</v>
      </c>
      <c r="I2735" t="s">
        <v>150</v>
      </c>
      <c r="J2735" t="str">
        <f>"9781476600574"</f>
        <v>9781476600574</v>
      </c>
      <c r="K2735" t="s">
        <v>4873</v>
      </c>
      <c r="L2735">
        <v>14</v>
      </c>
      <c r="O2735" t="s">
        <v>30</v>
      </c>
      <c r="P2735" t="s">
        <v>42</v>
      </c>
      <c r="S2735" t="s">
        <v>163</v>
      </c>
      <c r="T2735" t="s">
        <v>4874</v>
      </c>
      <c r="U2735" t="s">
        <v>4875</v>
      </c>
      <c r="V2735" s="3">
        <v>41120</v>
      </c>
    </row>
    <row r="2736" spans="1:22" x14ac:dyDescent="0.35">
      <c r="A2736" s="1">
        <v>42339.856932870367</v>
      </c>
      <c r="B2736" s="2">
        <v>4.9768518518518521E-4</v>
      </c>
      <c r="C2736" t="s">
        <v>4876</v>
      </c>
      <c r="D2736" t="s">
        <v>1222</v>
      </c>
      <c r="E2736" t="s">
        <v>1223</v>
      </c>
      <c r="F2736" t="s">
        <v>4877</v>
      </c>
      <c r="G2736">
        <v>1663523</v>
      </c>
      <c r="H2736" t="s">
        <v>613</v>
      </c>
      <c r="I2736" t="s">
        <v>120</v>
      </c>
      <c r="J2736" t="str">
        <f>"9781469611808"</f>
        <v>9781469611808</v>
      </c>
      <c r="K2736" t="s">
        <v>4878</v>
      </c>
      <c r="L2736">
        <v>33</v>
      </c>
      <c r="O2736" t="s">
        <v>30</v>
      </c>
      <c r="P2736" t="s">
        <v>50</v>
      </c>
      <c r="S2736" t="s">
        <v>1226</v>
      </c>
      <c r="T2736" t="s">
        <v>4879</v>
      </c>
      <c r="U2736" t="s">
        <v>4880</v>
      </c>
      <c r="V2736" s="3">
        <v>41628</v>
      </c>
    </row>
    <row r="2737" spans="1:22" x14ac:dyDescent="0.35">
      <c r="A2737" s="1">
        <v>42339.848356481481</v>
      </c>
      <c r="B2737" s="2">
        <v>5.3240740740740744E-4</v>
      </c>
      <c r="C2737" t="s">
        <v>4311</v>
      </c>
      <c r="D2737" t="s">
        <v>23</v>
      </c>
      <c r="E2737" t="s">
        <v>24</v>
      </c>
      <c r="F2737" t="s">
        <v>4881</v>
      </c>
      <c r="G2737">
        <v>1969407</v>
      </c>
      <c r="H2737" t="s">
        <v>45</v>
      </c>
      <c r="I2737" t="s">
        <v>200</v>
      </c>
      <c r="J2737" t="str">
        <f>"9781472422880"</f>
        <v>9781472422880</v>
      </c>
      <c r="K2737" t="s">
        <v>4882</v>
      </c>
      <c r="L2737">
        <v>21</v>
      </c>
      <c r="O2737" t="s">
        <v>30</v>
      </c>
      <c r="P2737" t="s">
        <v>50</v>
      </c>
      <c r="S2737" t="s">
        <v>31</v>
      </c>
      <c r="T2737" t="s">
        <v>4883</v>
      </c>
      <c r="U2737">
        <v>720.71</v>
      </c>
      <c r="V2737" s="3">
        <v>42091</v>
      </c>
    </row>
    <row r="2738" spans="1:22" x14ac:dyDescent="0.35">
      <c r="A2738" s="1">
        <v>42339.845671296294</v>
      </c>
      <c r="B2738" s="2">
        <v>3.5081018518518518E-2</v>
      </c>
      <c r="C2738" t="s">
        <v>4717</v>
      </c>
      <c r="D2738" t="s">
        <v>1222</v>
      </c>
      <c r="E2738" t="s">
        <v>1223</v>
      </c>
      <c r="F2738" t="s">
        <v>3263</v>
      </c>
      <c r="G2738">
        <v>1840835</v>
      </c>
      <c r="H2738" t="s">
        <v>26</v>
      </c>
      <c r="I2738" t="s">
        <v>108</v>
      </c>
      <c r="J2738" t="str">
        <f>"9781118950166"</f>
        <v>9781118950166</v>
      </c>
      <c r="K2738" t="s">
        <v>4884</v>
      </c>
      <c r="L2738">
        <v>6</v>
      </c>
      <c r="O2738" t="s">
        <v>30</v>
      </c>
      <c r="P2738" t="s">
        <v>29</v>
      </c>
      <c r="Q2738" s="1">
        <v>42339.845671296294</v>
      </c>
      <c r="R2738">
        <v>7</v>
      </c>
      <c r="S2738" t="s">
        <v>1226</v>
      </c>
      <c r="T2738" t="s">
        <v>3264</v>
      </c>
      <c r="U2738">
        <v>338.10923789999998</v>
      </c>
      <c r="V2738" s="3">
        <v>41953</v>
      </c>
    </row>
    <row r="2739" spans="1:22" x14ac:dyDescent="0.35">
      <c r="A2739" s="1">
        <v>42339.840856481482</v>
      </c>
      <c r="B2739" s="2">
        <v>4.7453703703703704E-4</v>
      </c>
      <c r="C2739" t="s">
        <v>3843</v>
      </c>
      <c r="D2739" t="s">
        <v>35</v>
      </c>
      <c r="E2739" t="s">
        <v>36</v>
      </c>
      <c r="F2739" t="s">
        <v>4885</v>
      </c>
      <c r="G2739">
        <v>1124858</v>
      </c>
      <c r="H2739" t="s">
        <v>26</v>
      </c>
      <c r="I2739" t="s">
        <v>4886</v>
      </c>
      <c r="J2739" t="str">
        <f>"9781118491300"</f>
        <v>9781118491300</v>
      </c>
      <c r="K2739" t="s">
        <v>4887</v>
      </c>
      <c r="L2739">
        <v>17</v>
      </c>
      <c r="O2739" t="s">
        <v>30</v>
      </c>
      <c r="P2739" t="s">
        <v>50</v>
      </c>
      <c r="S2739" t="s">
        <v>40</v>
      </c>
      <c r="T2739" t="s">
        <v>4888</v>
      </c>
      <c r="U2739">
        <v>5.52</v>
      </c>
      <c r="V2739" s="3">
        <v>41313</v>
      </c>
    </row>
    <row r="2740" spans="1:22" x14ac:dyDescent="0.35">
      <c r="A2740" s="1">
        <v>42339.83935185185</v>
      </c>
      <c r="B2740" s="2">
        <v>5.7870370370370366E-5</v>
      </c>
      <c r="C2740" t="s">
        <v>4889</v>
      </c>
      <c r="D2740" t="s">
        <v>1222</v>
      </c>
      <c r="E2740" t="s">
        <v>1223</v>
      </c>
      <c r="F2740" t="s">
        <v>4890</v>
      </c>
      <c r="G2740">
        <v>1414117</v>
      </c>
      <c r="H2740" t="s">
        <v>26</v>
      </c>
      <c r="I2740" t="s">
        <v>348</v>
      </c>
      <c r="J2740" t="str">
        <f>"9780745678894"</f>
        <v>9780745678894</v>
      </c>
      <c r="K2740" t="s">
        <v>3050</v>
      </c>
      <c r="L2740">
        <v>3</v>
      </c>
      <c r="O2740" t="s">
        <v>30</v>
      </c>
      <c r="P2740" t="s">
        <v>50</v>
      </c>
      <c r="S2740" t="s">
        <v>1226</v>
      </c>
      <c r="T2740" t="s">
        <v>4891</v>
      </c>
      <c r="U2740">
        <v>325.10000000000002</v>
      </c>
      <c r="V2740" s="3">
        <v>41523</v>
      </c>
    </row>
    <row r="2741" spans="1:22" x14ac:dyDescent="0.35">
      <c r="A2741" s="1">
        <v>42339.832719907405</v>
      </c>
      <c r="B2741" s="2">
        <v>1.2951388888888887E-2</v>
      </c>
      <c r="C2741" t="s">
        <v>4717</v>
      </c>
      <c r="D2741" t="s">
        <v>1222</v>
      </c>
      <c r="E2741" t="s">
        <v>1223</v>
      </c>
      <c r="F2741" t="s">
        <v>3263</v>
      </c>
      <c r="G2741">
        <v>1840835</v>
      </c>
      <c r="H2741" t="s">
        <v>26</v>
      </c>
      <c r="I2741" t="s">
        <v>108</v>
      </c>
      <c r="J2741" t="str">
        <f>"9781118950166"</f>
        <v>9781118950166</v>
      </c>
      <c r="K2741" t="s">
        <v>4892</v>
      </c>
      <c r="L2741">
        <v>14</v>
      </c>
      <c r="O2741" t="s">
        <v>30</v>
      </c>
      <c r="P2741" t="s">
        <v>42</v>
      </c>
      <c r="S2741" t="s">
        <v>1226</v>
      </c>
      <c r="T2741" t="s">
        <v>3264</v>
      </c>
      <c r="U2741">
        <v>338.10923789999998</v>
      </c>
      <c r="V2741" s="3">
        <v>41953</v>
      </c>
    </row>
    <row r="2742" spans="1:22" x14ac:dyDescent="0.35">
      <c r="A2742" s="1">
        <v>42339.831203703703</v>
      </c>
      <c r="B2742" s="2">
        <v>6.9444444444444444E-5</v>
      </c>
      <c r="C2742" t="s">
        <v>4717</v>
      </c>
      <c r="D2742" t="s">
        <v>1222</v>
      </c>
      <c r="E2742" t="s">
        <v>1223</v>
      </c>
      <c r="F2742" t="s">
        <v>3263</v>
      </c>
      <c r="G2742">
        <v>1840835</v>
      </c>
      <c r="H2742" t="s">
        <v>26</v>
      </c>
      <c r="I2742" t="s">
        <v>108</v>
      </c>
      <c r="J2742" t="str">
        <f>"9781118950166"</f>
        <v>9781118950166</v>
      </c>
      <c r="K2742" t="s">
        <v>33</v>
      </c>
      <c r="L2742">
        <v>3</v>
      </c>
      <c r="O2742" t="s">
        <v>30</v>
      </c>
      <c r="P2742" t="s">
        <v>42</v>
      </c>
      <c r="S2742" t="s">
        <v>1226</v>
      </c>
      <c r="T2742" t="s">
        <v>3264</v>
      </c>
      <c r="U2742">
        <v>338.10923789999998</v>
      </c>
      <c r="V2742" s="3">
        <v>41953</v>
      </c>
    </row>
    <row r="2743" spans="1:22" x14ac:dyDescent="0.35">
      <c r="A2743" s="1">
        <v>42339.829594907409</v>
      </c>
      <c r="B2743" s="2">
        <v>4.6712962962962963E-2</v>
      </c>
      <c r="C2743" t="s">
        <v>471</v>
      </c>
      <c r="D2743" t="s">
        <v>211</v>
      </c>
      <c r="E2743" t="s">
        <v>212</v>
      </c>
      <c r="F2743" t="s">
        <v>1182</v>
      </c>
      <c r="G2743">
        <v>1557279</v>
      </c>
      <c r="H2743" t="s">
        <v>26</v>
      </c>
      <c r="I2743" t="s">
        <v>97</v>
      </c>
      <c r="J2743" t="str">
        <f>"9781118863664"</f>
        <v>9781118863664</v>
      </c>
      <c r="K2743" t="s">
        <v>4893</v>
      </c>
      <c r="L2743">
        <v>37</v>
      </c>
      <c r="M2743" t="s">
        <v>4894</v>
      </c>
      <c r="O2743" t="s">
        <v>30</v>
      </c>
      <c r="P2743" t="s">
        <v>29</v>
      </c>
      <c r="Q2743" s="1">
        <v>42338.797881944447</v>
      </c>
      <c r="R2743">
        <v>7</v>
      </c>
      <c r="S2743" t="s">
        <v>214</v>
      </c>
      <c r="T2743" t="s">
        <v>1183</v>
      </c>
      <c r="U2743">
        <v>657.37800000000004</v>
      </c>
      <c r="V2743" s="3">
        <v>41585</v>
      </c>
    </row>
    <row r="2744" spans="1:22" x14ac:dyDescent="0.35">
      <c r="A2744" s="1">
        <v>42339.820416666669</v>
      </c>
      <c r="B2744" s="2">
        <v>3.1365740740740743E-2</v>
      </c>
      <c r="C2744" t="s">
        <v>106</v>
      </c>
      <c r="D2744" t="s">
        <v>23</v>
      </c>
      <c r="E2744" t="s">
        <v>24</v>
      </c>
      <c r="F2744" t="s">
        <v>78</v>
      </c>
      <c r="G2744">
        <v>1635363</v>
      </c>
      <c r="H2744" t="s">
        <v>26</v>
      </c>
      <c r="I2744" t="s">
        <v>79</v>
      </c>
      <c r="J2744" t="str">
        <f>"9781118678206"</f>
        <v>9781118678206</v>
      </c>
      <c r="K2744" t="s">
        <v>4895</v>
      </c>
      <c r="L2744">
        <v>21</v>
      </c>
      <c r="O2744" t="s">
        <v>30</v>
      </c>
      <c r="P2744" t="s">
        <v>29</v>
      </c>
      <c r="Q2744" s="1">
        <v>42337.939270833333</v>
      </c>
      <c r="R2744">
        <v>7</v>
      </c>
      <c r="S2744" t="s">
        <v>31</v>
      </c>
      <c r="T2744" t="s">
        <v>81</v>
      </c>
      <c r="U2744">
        <v>340.07600000000002</v>
      </c>
      <c r="V2744" s="3">
        <v>41684</v>
      </c>
    </row>
    <row r="2745" spans="1:22" x14ac:dyDescent="0.35">
      <c r="A2745" s="1">
        <v>42339.796770833331</v>
      </c>
      <c r="B2745" s="2">
        <v>1.0300925925925926E-3</v>
      </c>
      <c r="C2745" t="s">
        <v>4896</v>
      </c>
      <c r="D2745" t="s">
        <v>360</v>
      </c>
      <c r="E2745" t="s">
        <v>361</v>
      </c>
      <c r="F2745" t="s">
        <v>4897</v>
      </c>
      <c r="G2745">
        <v>1520998</v>
      </c>
      <c r="H2745" t="s">
        <v>68</v>
      </c>
      <c r="I2745" t="s">
        <v>172</v>
      </c>
      <c r="J2745" t="str">
        <f>"9781317843740"</f>
        <v>9781317843740</v>
      </c>
      <c r="K2745" t="s">
        <v>4898</v>
      </c>
      <c r="L2745">
        <v>5</v>
      </c>
      <c r="O2745" t="s">
        <v>30</v>
      </c>
      <c r="P2745" t="s">
        <v>47</v>
      </c>
      <c r="Q2745" s="1">
        <v>42339.796770833331</v>
      </c>
      <c r="R2745">
        <v>1</v>
      </c>
      <c r="S2745" t="s">
        <v>363</v>
      </c>
      <c r="T2745" t="s">
        <v>4899</v>
      </c>
      <c r="U2745">
        <v>940.54049999999995</v>
      </c>
      <c r="V2745" s="3">
        <v>41578</v>
      </c>
    </row>
    <row r="2746" spans="1:22" x14ac:dyDescent="0.35">
      <c r="A2746" s="1">
        <v>42339.783020833333</v>
      </c>
      <c r="B2746" s="2">
        <v>5.5787037037037038E-3</v>
      </c>
      <c r="C2746" t="s">
        <v>950</v>
      </c>
      <c r="D2746" t="s">
        <v>623</v>
      </c>
      <c r="E2746" t="s">
        <v>624</v>
      </c>
      <c r="F2746" t="s">
        <v>4472</v>
      </c>
      <c r="G2746">
        <v>1873101</v>
      </c>
      <c r="H2746" t="s">
        <v>26</v>
      </c>
      <c r="I2746" t="s">
        <v>69</v>
      </c>
      <c r="J2746" t="str">
        <f>"9781118762233"</f>
        <v>9781118762233</v>
      </c>
      <c r="K2746" t="s">
        <v>4900</v>
      </c>
      <c r="L2746">
        <v>43</v>
      </c>
      <c r="N2746" t="s">
        <v>4901</v>
      </c>
      <c r="O2746" t="s">
        <v>30</v>
      </c>
      <c r="P2746" t="s">
        <v>29</v>
      </c>
      <c r="Q2746" s="1">
        <v>42339.068310185183</v>
      </c>
      <c r="R2746">
        <v>7</v>
      </c>
      <c r="S2746" t="s">
        <v>627</v>
      </c>
      <c r="T2746" t="s">
        <v>4474</v>
      </c>
      <c r="U2746" t="s">
        <v>4475</v>
      </c>
      <c r="V2746" s="3">
        <v>41975</v>
      </c>
    </row>
    <row r="2747" spans="1:22" x14ac:dyDescent="0.35">
      <c r="A2747" s="1">
        <v>42339.782731481479</v>
      </c>
      <c r="B2747" s="2">
        <v>1.4039351851851851E-2</v>
      </c>
      <c r="C2747" t="s">
        <v>4896</v>
      </c>
      <c r="D2747" t="s">
        <v>360</v>
      </c>
      <c r="E2747" t="s">
        <v>361</v>
      </c>
      <c r="F2747" t="s">
        <v>4897</v>
      </c>
      <c r="G2747">
        <v>1520998</v>
      </c>
      <c r="H2747" t="s">
        <v>68</v>
      </c>
      <c r="I2747" t="s">
        <v>172</v>
      </c>
      <c r="J2747" t="str">
        <f>"9781317843740"</f>
        <v>9781317843740</v>
      </c>
      <c r="K2747" t="s">
        <v>4902</v>
      </c>
      <c r="L2747">
        <v>13</v>
      </c>
      <c r="O2747" t="s">
        <v>30</v>
      </c>
      <c r="P2747" t="s">
        <v>50</v>
      </c>
      <c r="S2747" t="s">
        <v>363</v>
      </c>
      <c r="T2747" t="s">
        <v>4899</v>
      </c>
      <c r="U2747">
        <v>940.54049999999995</v>
      </c>
      <c r="V2747" s="3">
        <v>41578</v>
      </c>
    </row>
    <row r="2748" spans="1:22" x14ac:dyDescent="0.35">
      <c r="A2748" s="1">
        <v>42339.778923611113</v>
      </c>
      <c r="B2748" s="2">
        <v>3.1597222222222222E-3</v>
      </c>
      <c r="C2748" t="s">
        <v>4896</v>
      </c>
      <c r="D2748" t="s">
        <v>360</v>
      </c>
      <c r="E2748" t="s">
        <v>361</v>
      </c>
      <c r="F2748" t="s">
        <v>4903</v>
      </c>
      <c r="G2748">
        <v>1396970</v>
      </c>
      <c r="H2748" t="s">
        <v>68</v>
      </c>
      <c r="I2748" t="s">
        <v>85</v>
      </c>
      <c r="J2748" t="str">
        <f>"9781135281243"</f>
        <v>9781135281243</v>
      </c>
      <c r="K2748" t="s">
        <v>4904</v>
      </c>
      <c r="L2748">
        <v>15</v>
      </c>
      <c r="O2748" t="s">
        <v>30</v>
      </c>
      <c r="P2748" t="s">
        <v>47</v>
      </c>
      <c r="Q2748" s="1">
        <v>42339.778923611113</v>
      </c>
      <c r="R2748">
        <v>1</v>
      </c>
      <c r="S2748" t="s">
        <v>363</v>
      </c>
      <c r="T2748" t="s">
        <v>4905</v>
      </c>
      <c r="U2748">
        <v>302.23108350950002</v>
      </c>
      <c r="V2748" s="3">
        <v>40296</v>
      </c>
    </row>
    <row r="2749" spans="1:22" x14ac:dyDescent="0.35">
      <c r="A2749" s="1">
        <v>42339.775254629632</v>
      </c>
      <c r="B2749" s="2">
        <v>3.6574074074074074E-3</v>
      </c>
      <c r="C2749" t="s">
        <v>4896</v>
      </c>
      <c r="D2749" t="s">
        <v>360</v>
      </c>
      <c r="E2749" t="s">
        <v>361</v>
      </c>
      <c r="F2749" t="s">
        <v>4903</v>
      </c>
      <c r="G2749">
        <v>1396970</v>
      </c>
      <c r="H2749" t="s">
        <v>68</v>
      </c>
      <c r="I2749" t="s">
        <v>85</v>
      </c>
      <c r="J2749" t="str">
        <f>"9781135281243"</f>
        <v>9781135281243</v>
      </c>
      <c r="K2749" t="s">
        <v>4906</v>
      </c>
      <c r="L2749">
        <v>19</v>
      </c>
      <c r="O2749" t="s">
        <v>30</v>
      </c>
      <c r="P2749" t="s">
        <v>50</v>
      </c>
      <c r="S2749" t="s">
        <v>363</v>
      </c>
      <c r="T2749" t="s">
        <v>4905</v>
      </c>
      <c r="U2749">
        <v>302.23108350950002</v>
      </c>
      <c r="V2749" s="3">
        <v>40296</v>
      </c>
    </row>
    <row r="2750" spans="1:22" x14ac:dyDescent="0.35">
      <c r="A2750" s="1">
        <v>42339.76667824074</v>
      </c>
      <c r="B2750" s="2">
        <v>0</v>
      </c>
      <c r="C2750" t="s">
        <v>4571</v>
      </c>
      <c r="D2750" t="s">
        <v>35</v>
      </c>
      <c r="E2750" t="s">
        <v>36</v>
      </c>
      <c r="F2750" t="s">
        <v>4572</v>
      </c>
      <c r="G2750">
        <v>1046302</v>
      </c>
      <c r="H2750" t="s">
        <v>84</v>
      </c>
      <c r="I2750" t="s">
        <v>1434</v>
      </c>
      <c r="J2750" t="str">
        <f>"9780520953543"</f>
        <v>9780520953543</v>
      </c>
      <c r="L2750">
        <v>0</v>
      </c>
      <c r="O2750" t="s">
        <v>30</v>
      </c>
      <c r="P2750" t="s">
        <v>29</v>
      </c>
      <c r="Q2750" s="1">
        <v>42338.831782407404</v>
      </c>
      <c r="R2750">
        <v>7</v>
      </c>
      <c r="S2750" t="s">
        <v>40</v>
      </c>
      <c r="T2750" t="s">
        <v>4574</v>
      </c>
      <c r="U2750">
        <v>322.420973</v>
      </c>
      <c r="V2750" s="3">
        <v>41288</v>
      </c>
    </row>
    <row r="2751" spans="1:22" x14ac:dyDescent="0.35">
      <c r="A2751" s="1">
        <v>42339.753854166665</v>
      </c>
      <c r="B2751" s="2">
        <v>1.9560185185185184E-3</v>
      </c>
      <c r="C2751" t="s">
        <v>4907</v>
      </c>
      <c r="D2751" t="s">
        <v>23</v>
      </c>
      <c r="E2751" t="s">
        <v>24</v>
      </c>
      <c r="F2751" t="s">
        <v>4908</v>
      </c>
      <c r="G2751">
        <v>1659368</v>
      </c>
      <c r="H2751" t="s">
        <v>526</v>
      </c>
      <c r="I2751" t="s">
        <v>1407</v>
      </c>
      <c r="J2751" t="str">
        <f>"9780226127323"</f>
        <v>9780226127323</v>
      </c>
      <c r="K2751" t="s">
        <v>4909</v>
      </c>
      <c r="L2751">
        <v>39</v>
      </c>
      <c r="O2751" t="s">
        <v>30</v>
      </c>
      <c r="P2751" t="s">
        <v>50</v>
      </c>
      <c r="S2751" t="s">
        <v>31</v>
      </c>
      <c r="T2751" t="s">
        <v>4910</v>
      </c>
      <c r="U2751">
        <v>576.79999999999995</v>
      </c>
      <c r="V2751" s="3">
        <v>41684</v>
      </c>
    </row>
    <row r="2752" spans="1:22" x14ac:dyDescent="0.35">
      <c r="A2752" s="1">
        <v>42339.742789351854</v>
      </c>
      <c r="B2752" s="2">
        <v>5.9027777777777778E-4</v>
      </c>
      <c r="C2752" t="s">
        <v>4483</v>
      </c>
      <c r="D2752" t="s">
        <v>2519</v>
      </c>
      <c r="E2752" t="s">
        <v>2520</v>
      </c>
      <c r="F2752" t="s">
        <v>4484</v>
      </c>
      <c r="G2752">
        <v>1540781</v>
      </c>
      <c r="H2752" t="s">
        <v>68</v>
      </c>
      <c r="I2752" t="s">
        <v>97</v>
      </c>
      <c r="J2752" t="str">
        <f>"9781136181726"</f>
        <v>9781136181726</v>
      </c>
      <c r="K2752" t="s">
        <v>4911</v>
      </c>
      <c r="L2752">
        <v>16</v>
      </c>
      <c r="O2752" t="s">
        <v>30</v>
      </c>
      <c r="P2752" t="s">
        <v>50</v>
      </c>
      <c r="S2752" t="s">
        <v>2523</v>
      </c>
      <c r="T2752" t="s">
        <v>4486</v>
      </c>
      <c r="U2752">
        <v>659.10419999999999</v>
      </c>
      <c r="V2752" s="3">
        <v>41583</v>
      </c>
    </row>
    <row r="2753" spans="1:22" x14ac:dyDescent="0.35">
      <c r="A2753" s="1">
        <v>42339.732303240744</v>
      </c>
      <c r="B2753" s="2">
        <v>8.8773148148148153E-3</v>
      </c>
      <c r="C2753" t="s">
        <v>4483</v>
      </c>
      <c r="D2753" t="s">
        <v>2519</v>
      </c>
      <c r="E2753" t="s">
        <v>2520</v>
      </c>
      <c r="F2753" t="s">
        <v>1862</v>
      </c>
      <c r="G2753">
        <v>1397211</v>
      </c>
      <c r="H2753" t="s">
        <v>68</v>
      </c>
      <c r="I2753" t="s">
        <v>97</v>
      </c>
      <c r="J2753" t="str">
        <f>"9781134718924"</f>
        <v>9781134718924</v>
      </c>
      <c r="K2753" t="s">
        <v>4912</v>
      </c>
      <c r="L2753">
        <v>28</v>
      </c>
      <c r="O2753" t="s">
        <v>30</v>
      </c>
      <c r="P2753" t="s">
        <v>47</v>
      </c>
      <c r="Q2753" s="1">
        <v>42339.732303240744</v>
      </c>
      <c r="R2753">
        <v>1</v>
      </c>
      <c r="S2753" t="s">
        <v>2523</v>
      </c>
      <c r="T2753" t="s">
        <v>1864</v>
      </c>
      <c r="U2753">
        <v>659.1</v>
      </c>
      <c r="V2753" s="3">
        <v>41530</v>
      </c>
    </row>
    <row r="2754" spans="1:22" x14ac:dyDescent="0.35">
      <c r="A2754" s="1">
        <v>42339.731689814813</v>
      </c>
      <c r="B2754" s="2">
        <v>1.6030092592592592E-2</v>
      </c>
      <c r="C2754" t="s">
        <v>524</v>
      </c>
      <c r="D2754" t="s">
        <v>146</v>
      </c>
      <c r="E2754" t="s">
        <v>147</v>
      </c>
      <c r="F2754" t="s">
        <v>1364</v>
      </c>
      <c r="G2754">
        <v>1310741</v>
      </c>
      <c r="H2754" t="s">
        <v>1365</v>
      </c>
      <c r="I2754" t="s">
        <v>1366</v>
      </c>
      <c r="J2754" t="str">
        <f>"9781408107461"</f>
        <v>9781408107461</v>
      </c>
      <c r="K2754" t="s">
        <v>4913</v>
      </c>
      <c r="L2754">
        <v>11</v>
      </c>
      <c r="O2754" t="s">
        <v>30</v>
      </c>
      <c r="P2754" t="s">
        <v>29</v>
      </c>
      <c r="Q2754" s="1">
        <v>42339.731689814813</v>
      </c>
      <c r="R2754">
        <v>7</v>
      </c>
      <c r="S2754" t="s">
        <v>591</v>
      </c>
      <c r="T2754" t="s">
        <v>1369</v>
      </c>
      <c r="U2754">
        <v>613.71</v>
      </c>
      <c r="V2754" s="3">
        <v>39814</v>
      </c>
    </row>
    <row r="2755" spans="1:22" x14ac:dyDescent="0.35">
      <c r="A2755" s="1">
        <v>42339.728009259263</v>
      </c>
      <c r="B2755" s="2">
        <v>6.2268518518518515E-3</v>
      </c>
      <c r="C2755" t="s">
        <v>4013</v>
      </c>
      <c r="D2755" t="s">
        <v>335</v>
      </c>
      <c r="E2755" t="s">
        <v>336</v>
      </c>
      <c r="F2755" t="s">
        <v>4018</v>
      </c>
      <c r="G2755">
        <v>1486883</v>
      </c>
      <c r="H2755" t="s">
        <v>68</v>
      </c>
      <c r="I2755" t="s">
        <v>338</v>
      </c>
      <c r="J2755" t="str">
        <f>"9781135996666"</f>
        <v>9781135996666</v>
      </c>
      <c r="K2755" t="s">
        <v>4914</v>
      </c>
      <c r="L2755">
        <v>16</v>
      </c>
      <c r="O2755" t="s">
        <v>30</v>
      </c>
      <c r="P2755" t="s">
        <v>47</v>
      </c>
      <c r="Q2755" s="1">
        <v>42339.728009259263</v>
      </c>
      <c r="R2755">
        <v>1</v>
      </c>
      <c r="S2755" t="s">
        <v>340</v>
      </c>
      <c r="T2755" t="s">
        <v>4020</v>
      </c>
      <c r="U2755">
        <v>615.90200000000004</v>
      </c>
      <c r="V2755" s="3">
        <v>40562</v>
      </c>
    </row>
    <row r="2756" spans="1:22" x14ac:dyDescent="0.35">
      <c r="A2756" s="1">
        <v>42339.724178240744</v>
      </c>
      <c r="B2756" s="2">
        <v>7.5115740740740742E-3</v>
      </c>
      <c r="C2756" t="s">
        <v>524</v>
      </c>
      <c r="D2756" t="s">
        <v>146</v>
      </c>
      <c r="E2756" t="s">
        <v>147</v>
      </c>
      <c r="F2756" t="s">
        <v>1364</v>
      </c>
      <c r="G2756">
        <v>1310741</v>
      </c>
      <c r="H2756" t="s">
        <v>1365</v>
      </c>
      <c r="I2756" t="s">
        <v>1366</v>
      </c>
      <c r="J2756" t="str">
        <f>"9781408107461"</f>
        <v>9781408107461</v>
      </c>
      <c r="K2756" t="s">
        <v>634</v>
      </c>
      <c r="L2756">
        <v>24</v>
      </c>
      <c r="O2756" t="s">
        <v>30</v>
      </c>
      <c r="P2756" t="s">
        <v>42</v>
      </c>
      <c r="S2756" t="s">
        <v>591</v>
      </c>
      <c r="T2756" t="s">
        <v>1369</v>
      </c>
      <c r="U2756">
        <v>613.71</v>
      </c>
      <c r="V2756" s="3">
        <v>39814</v>
      </c>
    </row>
    <row r="2757" spans="1:22" x14ac:dyDescent="0.35">
      <c r="A2757" s="1">
        <v>42339.723587962966</v>
      </c>
      <c r="B2757" s="2">
        <v>4.4212962962962956E-3</v>
      </c>
      <c r="C2757" t="s">
        <v>4013</v>
      </c>
      <c r="D2757" t="s">
        <v>335</v>
      </c>
      <c r="E2757" t="s">
        <v>336</v>
      </c>
      <c r="F2757" t="s">
        <v>4018</v>
      </c>
      <c r="G2757">
        <v>1486883</v>
      </c>
      <c r="H2757" t="s">
        <v>68</v>
      </c>
      <c r="I2757" t="s">
        <v>338</v>
      </c>
      <c r="J2757" t="str">
        <f>"9781135996666"</f>
        <v>9781135996666</v>
      </c>
      <c r="K2757" t="s">
        <v>4915</v>
      </c>
      <c r="L2757">
        <v>36</v>
      </c>
      <c r="O2757" t="s">
        <v>30</v>
      </c>
      <c r="P2757" t="s">
        <v>50</v>
      </c>
      <c r="S2757" t="s">
        <v>340</v>
      </c>
      <c r="T2757" t="s">
        <v>4020</v>
      </c>
      <c r="U2757">
        <v>615.90200000000004</v>
      </c>
      <c r="V2757" s="3">
        <v>40562</v>
      </c>
    </row>
    <row r="2758" spans="1:22" x14ac:dyDescent="0.35">
      <c r="A2758" s="1">
        <v>42339.722337962965</v>
      </c>
      <c r="B2758" s="2">
        <v>9.9652777777777778E-3</v>
      </c>
      <c r="C2758" t="s">
        <v>4483</v>
      </c>
      <c r="D2758" t="s">
        <v>2519</v>
      </c>
      <c r="E2758" t="s">
        <v>2520</v>
      </c>
      <c r="F2758" t="s">
        <v>1862</v>
      </c>
      <c r="G2758">
        <v>1397211</v>
      </c>
      <c r="H2758" t="s">
        <v>68</v>
      </c>
      <c r="I2758" t="s">
        <v>97</v>
      </c>
      <c r="J2758" t="str">
        <f>"9781134718924"</f>
        <v>9781134718924</v>
      </c>
      <c r="K2758" t="s">
        <v>4916</v>
      </c>
      <c r="L2758">
        <v>3</v>
      </c>
      <c r="O2758" t="s">
        <v>30</v>
      </c>
      <c r="P2758" t="s">
        <v>50</v>
      </c>
      <c r="S2758" t="s">
        <v>2523</v>
      </c>
      <c r="T2758" t="s">
        <v>1864</v>
      </c>
      <c r="U2758">
        <v>659.1</v>
      </c>
      <c r="V2758" s="3">
        <v>41530</v>
      </c>
    </row>
    <row r="2759" spans="1:22" x14ac:dyDescent="0.35">
      <c r="A2759" s="1">
        <v>42339.715810185182</v>
      </c>
      <c r="B2759" s="2">
        <v>1.0289351851851852E-2</v>
      </c>
      <c r="C2759" t="s">
        <v>4557</v>
      </c>
      <c r="D2759" t="s">
        <v>623</v>
      </c>
      <c r="E2759" t="s">
        <v>624</v>
      </c>
      <c r="F2759" t="s">
        <v>4558</v>
      </c>
      <c r="G2759">
        <v>1895514</v>
      </c>
      <c r="H2759" t="s">
        <v>26</v>
      </c>
      <c r="I2759" t="s">
        <v>4559</v>
      </c>
      <c r="J2759" t="str">
        <f>"9781118631027"</f>
        <v>9781118631027</v>
      </c>
      <c r="K2759" t="s">
        <v>4917</v>
      </c>
      <c r="L2759">
        <v>12</v>
      </c>
      <c r="O2759" t="s">
        <v>30</v>
      </c>
      <c r="P2759" t="s">
        <v>29</v>
      </c>
      <c r="Q2759" s="1">
        <v>42339.715810185182</v>
      </c>
      <c r="R2759">
        <v>7</v>
      </c>
      <c r="S2759" t="s">
        <v>627</v>
      </c>
      <c r="T2759" t="s">
        <v>4560</v>
      </c>
      <c r="U2759">
        <v>333.79399999999998</v>
      </c>
      <c r="V2759" s="3">
        <v>42110</v>
      </c>
    </row>
    <row r="2760" spans="1:22" x14ac:dyDescent="0.35">
      <c r="A2760" s="1">
        <v>42339.711909722224</v>
      </c>
      <c r="B2760" s="2">
        <v>3.9004629629629632E-3</v>
      </c>
      <c r="C2760" t="s">
        <v>4557</v>
      </c>
      <c r="D2760" t="s">
        <v>623</v>
      </c>
      <c r="E2760" t="s">
        <v>624</v>
      </c>
      <c r="F2760" t="s">
        <v>4558</v>
      </c>
      <c r="G2760">
        <v>1895514</v>
      </c>
      <c r="H2760" t="s">
        <v>26</v>
      </c>
      <c r="I2760" t="s">
        <v>4559</v>
      </c>
      <c r="J2760" t="str">
        <f>"9781118631027"</f>
        <v>9781118631027</v>
      </c>
      <c r="K2760" t="s">
        <v>1964</v>
      </c>
      <c r="L2760">
        <v>22</v>
      </c>
      <c r="O2760" t="s">
        <v>30</v>
      </c>
      <c r="P2760" t="s">
        <v>50</v>
      </c>
      <c r="S2760" t="s">
        <v>627</v>
      </c>
      <c r="T2760" t="s">
        <v>4560</v>
      </c>
      <c r="U2760">
        <v>333.79399999999998</v>
      </c>
      <c r="V2760" s="3">
        <v>42110</v>
      </c>
    </row>
    <row r="2761" spans="1:22" x14ac:dyDescent="0.35">
      <c r="A2761" s="1">
        <v>42339.709155092591</v>
      </c>
      <c r="B2761" s="2">
        <v>4.7453703703703704E-4</v>
      </c>
      <c r="C2761" t="s">
        <v>4772</v>
      </c>
      <c r="D2761" t="s">
        <v>158</v>
      </c>
      <c r="E2761" t="s">
        <v>159</v>
      </c>
      <c r="F2761" t="s">
        <v>4773</v>
      </c>
      <c r="G2761">
        <v>818332</v>
      </c>
      <c r="H2761" t="s">
        <v>26</v>
      </c>
      <c r="I2761" t="s">
        <v>120</v>
      </c>
      <c r="J2761" t="str">
        <f>"9781118252772"</f>
        <v>9781118252772</v>
      </c>
      <c r="K2761" t="s">
        <v>339</v>
      </c>
      <c r="L2761">
        <v>18</v>
      </c>
      <c r="O2761" t="s">
        <v>30</v>
      </c>
      <c r="P2761" t="s">
        <v>42</v>
      </c>
      <c r="S2761" t="s">
        <v>163</v>
      </c>
      <c r="T2761" t="s">
        <v>4775</v>
      </c>
      <c r="U2761" t="s">
        <v>4776</v>
      </c>
      <c r="V2761" s="3">
        <v>40960</v>
      </c>
    </row>
    <row r="2762" spans="1:22" x14ac:dyDescent="0.35">
      <c r="A2762" s="1">
        <v>42339.675092592595</v>
      </c>
      <c r="B2762" s="2">
        <v>8.1018518518518516E-5</v>
      </c>
      <c r="C2762" t="s">
        <v>106</v>
      </c>
      <c r="D2762" t="s">
        <v>23</v>
      </c>
      <c r="E2762" t="s">
        <v>24</v>
      </c>
      <c r="F2762" t="s">
        <v>78</v>
      </c>
      <c r="G2762">
        <v>1635363</v>
      </c>
      <c r="H2762" t="s">
        <v>26</v>
      </c>
      <c r="I2762" t="s">
        <v>79</v>
      </c>
      <c r="J2762" t="str">
        <f>"9781118678206"</f>
        <v>9781118678206</v>
      </c>
      <c r="K2762" t="s">
        <v>4918</v>
      </c>
      <c r="L2762">
        <v>3</v>
      </c>
      <c r="O2762" t="s">
        <v>30</v>
      </c>
      <c r="P2762" t="s">
        <v>29</v>
      </c>
      <c r="Q2762" s="1">
        <v>42337.939270833333</v>
      </c>
      <c r="R2762">
        <v>7</v>
      </c>
      <c r="S2762" t="s">
        <v>31</v>
      </c>
      <c r="T2762" t="s">
        <v>81</v>
      </c>
      <c r="U2762">
        <v>340.07600000000002</v>
      </c>
      <c r="V2762" s="3">
        <v>41684</v>
      </c>
    </row>
    <row r="2763" spans="1:22" x14ac:dyDescent="0.35">
      <c r="A2763" s="1">
        <v>42339.640787037039</v>
      </c>
      <c r="B2763" s="2">
        <v>3.5127314814814813E-2</v>
      </c>
      <c r="C2763" t="s">
        <v>106</v>
      </c>
      <c r="D2763" t="s">
        <v>23</v>
      </c>
      <c r="E2763" t="s">
        <v>24</v>
      </c>
      <c r="F2763" t="s">
        <v>78</v>
      </c>
      <c r="G2763">
        <v>1635363</v>
      </c>
      <c r="H2763" t="s">
        <v>26</v>
      </c>
      <c r="I2763" t="s">
        <v>79</v>
      </c>
      <c r="J2763" t="str">
        <f>"9781118678206"</f>
        <v>9781118678206</v>
      </c>
      <c r="K2763" t="s">
        <v>4919</v>
      </c>
      <c r="L2763">
        <v>15</v>
      </c>
      <c r="O2763" t="s">
        <v>30</v>
      </c>
      <c r="P2763" t="s">
        <v>29</v>
      </c>
      <c r="Q2763" s="1">
        <v>42337.939270833333</v>
      </c>
      <c r="R2763">
        <v>7</v>
      </c>
      <c r="S2763" t="s">
        <v>31</v>
      </c>
      <c r="T2763" t="s">
        <v>81</v>
      </c>
      <c r="U2763">
        <v>340.07600000000002</v>
      </c>
      <c r="V2763" s="3">
        <v>41684</v>
      </c>
    </row>
    <row r="2764" spans="1:22" x14ac:dyDescent="0.35">
      <c r="A2764" s="1">
        <v>42339.613749999997</v>
      </c>
      <c r="B2764" s="2">
        <v>0</v>
      </c>
      <c r="C2764" t="s">
        <v>4920</v>
      </c>
      <c r="D2764" t="s">
        <v>23</v>
      </c>
      <c r="E2764" t="s">
        <v>24</v>
      </c>
      <c r="F2764" t="s">
        <v>1773</v>
      </c>
      <c r="G2764">
        <v>1768753</v>
      </c>
      <c r="H2764" t="s">
        <v>91</v>
      </c>
      <c r="I2764" t="s">
        <v>120</v>
      </c>
      <c r="J2764" t="str">
        <f>"9781462518371"</f>
        <v>9781462518371</v>
      </c>
      <c r="K2764" t="s">
        <v>925</v>
      </c>
      <c r="L2764">
        <v>1</v>
      </c>
      <c r="O2764" t="s">
        <v>30</v>
      </c>
      <c r="P2764" t="s">
        <v>29</v>
      </c>
      <c r="Q2764" s="1">
        <v>42339.613749999997</v>
      </c>
      <c r="R2764">
        <v>7</v>
      </c>
      <c r="S2764" t="s">
        <v>31</v>
      </c>
      <c r="T2764" t="s">
        <v>1775</v>
      </c>
      <c r="U2764" t="s">
        <v>1776</v>
      </c>
      <c r="V2764" s="3">
        <v>41953</v>
      </c>
    </row>
    <row r="2765" spans="1:22" x14ac:dyDescent="0.35">
      <c r="A2765" s="1">
        <v>42339.610231481478</v>
      </c>
      <c r="B2765" s="2">
        <v>3.5185185185185185E-3</v>
      </c>
      <c r="C2765" t="s">
        <v>4920</v>
      </c>
      <c r="D2765" t="s">
        <v>23</v>
      </c>
      <c r="E2765" t="s">
        <v>24</v>
      </c>
      <c r="F2765" t="s">
        <v>1773</v>
      </c>
      <c r="G2765">
        <v>1768753</v>
      </c>
      <c r="H2765" t="s">
        <v>91</v>
      </c>
      <c r="I2765" t="s">
        <v>120</v>
      </c>
      <c r="J2765" t="str">
        <f>"9781462518371"</f>
        <v>9781462518371</v>
      </c>
      <c r="K2765" t="s">
        <v>4921</v>
      </c>
      <c r="L2765">
        <v>17</v>
      </c>
      <c r="O2765" t="s">
        <v>30</v>
      </c>
      <c r="P2765" t="s">
        <v>50</v>
      </c>
      <c r="S2765" t="s">
        <v>31</v>
      </c>
      <c r="T2765" t="s">
        <v>1775</v>
      </c>
      <c r="U2765" t="s">
        <v>1776</v>
      </c>
      <c r="V2765" s="3">
        <v>41953</v>
      </c>
    </row>
    <row r="2766" spans="1:22" x14ac:dyDescent="0.35">
      <c r="A2766" s="1">
        <v>42339.606180555558</v>
      </c>
      <c r="B2766" s="2">
        <v>7.6388888888888893E-4</v>
      </c>
      <c r="C2766" t="s">
        <v>3712</v>
      </c>
      <c r="D2766" t="s">
        <v>23</v>
      </c>
      <c r="E2766" t="s">
        <v>24</v>
      </c>
      <c r="F2766" t="s">
        <v>4922</v>
      </c>
      <c r="G2766">
        <v>1964196</v>
      </c>
      <c r="H2766" t="s">
        <v>26</v>
      </c>
      <c r="I2766" t="s">
        <v>630</v>
      </c>
      <c r="J2766" t="str">
        <f>"9781509500864"</f>
        <v>9781509500864</v>
      </c>
      <c r="K2766" t="s">
        <v>4923</v>
      </c>
      <c r="L2766">
        <v>16</v>
      </c>
      <c r="O2766" t="s">
        <v>30</v>
      </c>
      <c r="P2766" t="s">
        <v>42</v>
      </c>
      <c r="S2766" t="s">
        <v>31</v>
      </c>
      <c r="T2766" t="s">
        <v>4924</v>
      </c>
      <c r="U2766">
        <v>191</v>
      </c>
      <c r="V2766" s="3">
        <v>42048</v>
      </c>
    </row>
    <row r="2767" spans="1:22" x14ac:dyDescent="0.35">
      <c r="A2767" s="1">
        <v>42339.603738425925</v>
      </c>
      <c r="B2767" s="2">
        <v>8.449074074074075E-4</v>
      </c>
      <c r="C2767" t="s">
        <v>4925</v>
      </c>
      <c r="D2767" t="s">
        <v>211</v>
      </c>
      <c r="E2767" t="s">
        <v>212</v>
      </c>
      <c r="F2767" t="s">
        <v>4926</v>
      </c>
      <c r="G2767">
        <v>1760721</v>
      </c>
      <c r="H2767" t="s">
        <v>91</v>
      </c>
      <c r="I2767" t="s">
        <v>247</v>
      </c>
      <c r="J2767" t="str">
        <f>"9781462517824"</f>
        <v>9781462517824</v>
      </c>
      <c r="K2767" t="s">
        <v>4927</v>
      </c>
      <c r="L2767">
        <v>23</v>
      </c>
      <c r="O2767" t="s">
        <v>30</v>
      </c>
      <c r="P2767" t="s">
        <v>29</v>
      </c>
      <c r="Q2767" s="1">
        <v>42339.597187500003</v>
      </c>
      <c r="R2767">
        <v>7</v>
      </c>
      <c r="S2767" t="s">
        <v>214</v>
      </c>
      <c r="T2767" t="s">
        <v>4928</v>
      </c>
      <c r="U2767">
        <v>616.89142000000004</v>
      </c>
      <c r="V2767" s="3">
        <v>41997</v>
      </c>
    </row>
    <row r="2768" spans="1:22" x14ac:dyDescent="0.35">
      <c r="A2768" s="1">
        <v>42339.600983796299</v>
      </c>
      <c r="B2768" s="2">
        <v>4.3981481481481481E-4</v>
      </c>
      <c r="C2768" t="s">
        <v>4925</v>
      </c>
      <c r="D2768" t="s">
        <v>211</v>
      </c>
      <c r="E2768" t="s">
        <v>212</v>
      </c>
      <c r="F2768" t="s">
        <v>3351</v>
      </c>
      <c r="G2768">
        <v>1760720</v>
      </c>
      <c r="H2768" t="s">
        <v>91</v>
      </c>
      <c r="I2768" t="s">
        <v>247</v>
      </c>
      <c r="J2768" t="str">
        <f>"9781462517459"</f>
        <v>9781462517459</v>
      </c>
      <c r="K2768" t="s">
        <v>4929</v>
      </c>
      <c r="L2768">
        <v>23</v>
      </c>
      <c r="O2768" t="s">
        <v>30</v>
      </c>
      <c r="P2768" t="s">
        <v>42</v>
      </c>
      <c r="S2768" t="s">
        <v>214</v>
      </c>
      <c r="T2768" t="s">
        <v>3353</v>
      </c>
      <c r="U2768">
        <v>616.89142000000004</v>
      </c>
      <c r="V2768" s="3">
        <v>41996</v>
      </c>
    </row>
    <row r="2769" spans="1:22" x14ac:dyDescent="0.35">
      <c r="A2769" s="1">
        <v>42339.597187500003</v>
      </c>
      <c r="B2769" s="2">
        <v>2.6620370370370374E-3</v>
      </c>
      <c r="C2769" t="s">
        <v>4925</v>
      </c>
      <c r="D2769" t="s">
        <v>211</v>
      </c>
      <c r="E2769" t="s">
        <v>212</v>
      </c>
      <c r="F2769" t="s">
        <v>4926</v>
      </c>
      <c r="G2769">
        <v>1760721</v>
      </c>
      <c r="H2769" t="s">
        <v>91</v>
      </c>
      <c r="I2769" t="s">
        <v>247</v>
      </c>
      <c r="J2769" t="str">
        <f>"9781462517824"</f>
        <v>9781462517824</v>
      </c>
      <c r="K2769" t="s">
        <v>4930</v>
      </c>
      <c r="L2769">
        <v>36</v>
      </c>
      <c r="O2769" t="s">
        <v>30</v>
      </c>
      <c r="P2769" t="s">
        <v>29</v>
      </c>
      <c r="Q2769" s="1">
        <v>42339.597187500003</v>
      </c>
      <c r="R2769">
        <v>7</v>
      </c>
      <c r="S2769" t="s">
        <v>214</v>
      </c>
      <c r="T2769" t="s">
        <v>4928</v>
      </c>
      <c r="U2769">
        <v>616.89142000000004</v>
      </c>
      <c r="V2769" s="3">
        <v>41997</v>
      </c>
    </row>
    <row r="2770" spans="1:22" x14ac:dyDescent="0.35">
      <c r="A2770" s="1">
        <v>42339.597060185188</v>
      </c>
      <c r="B2770" s="2">
        <v>1.273148148148148E-4</v>
      </c>
      <c r="C2770" t="s">
        <v>4925</v>
      </c>
      <c r="D2770" t="s">
        <v>211</v>
      </c>
      <c r="E2770" t="s">
        <v>212</v>
      </c>
      <c r="F2770" t="s">
        <v>4926</v>
      </c>
      <c r="G2770">
        <v>1760721</v>
      </c>
      <c r="H2770" t="s">
        <v>91</v>
      </c>
      <c r="I2770" t="s">
        <v>247</v>
      </c>
      <c r="J2770" t="str">
        <f>"9781462517824"</f>
        <v>9781462517824</v>
      </c>
      <c r="K2770" t="s">
        <v>33</v>
      </c>
      <c r="L2770">
        <v>3</v>
      </c>
      <c r="O2770" t="s">
        <v>30</v>
      </c>
      <c r="P2770" t="s">
        <v>42</v>
      </c>
      <c r="S2770" t="s">
        <v>214</v>
      </c>
      <c r="T2770" t="s">
        <v>4928</v>
      </c>
      <c r="U2770">
        <v>616.89142000000004</v>
      </c>
      <c r="V2770" s="3">
        <v>41997</v>
      </c>
    </row>
    <row r="2771" spans="1:22" x14ac:dyDescent="0.35">
      <c r="A2771" s="1">
        <v>42339.569236111114</v>
      </c>
      <c r="B2771" s="2">
        <v>9.2592592592592588E-5</v>
      </c>
      <c r="C2771" t="s">
        <v>3712</v>
      </c>
      <c r="D2771" t="s">
        <v>23</v>
      </c>
      <c r="E2771" t="s">
        <v>24</v>
      </c>
      <c r="F2771" t="s">
        <v>3939</v>
      </c>
      <c r="G2771">
        <v>1132027</v>
      </c>
      <c r="H2771" t="s">
        <v>84</v>
      </c>
      <c r="I2771" t="s">
        <v>172</v>
      </c>
      <c r="J2771" t="str">
        <f>"9780520954694"</f>
        <v>9780520954694</v>
      </c>
      <c r="K2771" t="s">
        <v>98</v>
      </c>
      <c r="L2771">
        <v>7</v>
      </c>
      <c r="O2771" t="s">
        <v>30</v>
      </c>
      <c r="P2771" t="s">
        <v>42</v>
      </c>
      <c r="S2771" t="s">
        <v>31</v>
      </c>
      <c r="T2771" t="s">
        <v>3940</v>
      </c>
      <c r="U2771">
        <v>938.07</v>
      </c>
      <c r="V2771" s="3">
        <v>41282</v>
      </c>
    </row>
    <row r="2772" spans="1:22" x14ac:dyDescent="0.35">
      <c r="A2772" s="1">
        <v>42339.463437500002</v>
      </c>
      <c r="B2772" s="2">
        <v>1.8750000000000001E-3</v>
      </c>
      <c r="C2772" t="s">
        <v>950</v>
      </c>
      <c r="D2772" t="s">
        <v>623</v>
      </c>
      <c r="E2772" t="s">
        <v>624</v>
      </c>
      <c r="F2772" t="s">
        <v>4472</v>
      </c>
      <c r="G2772">
        <v>1873101</v>
      </c>
      <c r="H2772" t="s">
        <v>26</v>
      </c>
      <c r="I2772" t="s">
        <v>69</v>
      </c>
      <c r="J2772" t="str">
        <f>"9781118762233"</f>
        <v>9781118762233</v>
      </c>
      <c r="K2772" t="s">
        <v>4931</v>
      </c>
      <c r="L2772">
        <v>18</v>
      </c>
      <c r="O2772" t="s">
        <v>30</v>
      </c>
      <c r="P2772" t="s">
        <v>29</v>
      </c>
      <c r="Q2772" s="1">
        <v>42339.068310185183</v>
      </c>
      <c r="R2772">
        <v>7</v>
      </c>
      <c r="S2772" t="s">
        <v>627</v>
      </c>
      <c r="T2772" t="s">
        <v>4474</v>
      </c>
      <c r="U2772" t="s">
        <v>4475</v>
      </c>
      <c r="V2772" s="3">
        <v>41975</v>
      </c>
    </row>
    <row r="2773" spans="1:22" x14ac:dyDescent="0.35">
      <c r="A2773" s="1">
        <v>42339.271608796298</v>
      </c>
      <c r="B2773" s="2">
        <v>2.224537037037037E-2</v>
      </c>
      <c r="C2773" t="s">
        <v>106</v>
      </c>
      <c r="D2773" t="s">
        <v>23</v>
      </c>
      <c r="E2773" t="s">
        <v>24</v>
      </c>
      <c r="F2773" t="s">
        <v>4932</v>
      </c>
      <c r="G2773">
        <v>1681156</v>
      </c>
      <c r="H2773" t="s">
        <v>186</v>
      </c>
      <c r="I2773" t="s">
        <v>328</v>
      </c>
      <c r="J2773" t="str">
        <f>"9781845939205"</f>
        <v>9781845939205</v>
      </c>
      <c r="K2773" t="s">
        <v>4933</v>
      </c>
      <c r="L2773">
        <v>27</v>
      </c>
      <c r="O2773" t="s">
        <v>30</v>
      </c>
      <c r="P2773" t="s">
        <v>47</v>
      </c>
      <c r="Q2773" s="1">
        <v>42339.271608796298</v>
      </c>
      <c r="R2773">
        <v>1</v>
      </c>
      <c r="S2773" t="s">
        <v>31</v>
      </c>
      <c r="T2773" t="s">
        <v>4934</v>
      </c>
      <c r="U2773" t="s">
        <v>4935</v>
      </c>
      <c r="V2773" s="3">
        <v>41751</v>
      </c>
    </row>
    <row r="2774" spans="1:22" x14ac:dyDescent="0.35">
      <c r="A2774" s="1">
        <v>42339.258263888885</v>
      </c>
      <c r="B2774" s="2">
        <v>1.3344907407407408E-2</v>
      </c>
      <c r="C2774" t="s">
        <v>106</v>
      </c>
      <c r="D2774" t="s">
        <v>23</v>
      </c>
      <c r="E2774" t="s">
        <v>24</v>
      </c>
      <c r="F2774" t="s">
        <v>4932</v>
      </c>
      <c r="G2774">
        <v>1681156</v>
      </c>
      <c r="H2774" t="s">
        <v>186</v>
      </c>
      <c r="I2774" t="s">
        <v>328</v>
      </c>
      <c r="J2774" t="str">
        <f>"9781845939205"</f>
        <v>9781845939205</v>
      </c>
      <c r="K2774" t="s">
        <v>33</v>
      </c>
      <c r="L2774">
        <v>3</v>
      </c>
      <c r="O2774" t="s">
        <v>30</v>
      </c>
      <c r="P2774" t="s">
        <v>50</v>
      </c>
      <c r="S2774" t="s">
        <v>31</v>
      </c>
      <c r="T2774" t="s">
        <v>4934</v>
      </c>
      <c r="U2774" t="s">
        <v>4935</v>
      </c>
      <c r="V2774" s="3">
        <v>41751</v>
      </c>
    </row>
    <row r="2775" spans="1:22" x14ac:dyDescent="0.35">
      <c r="A2775" s="1">
        <v>42339.238599537035</v>
      </c>
      <c r="B2775" s="2">
        <v>1.1805555555555556E-3</v>
      </c>
      <c r="C2775" t="s">
        <v>4936</v>
      </c>
      <c r="D2775" t="s">
        <v>23</v>
      </c>
      <c r="E2775" t="s">
        <v>24</v>
      </c>
      <c r="F2775" t="s">
        <v>4937</v>
      </c>
      <c r="G2775">
        <v>818101</v>
      </c>
      <c r="H2775" t="s">
        <v>26</v>
      </c>
      <c r="I2775" t="s">
        <v>4938</v>
      </c>
      <c r="J2775" t="str">
        <f>"9781118225844"</f>
        <v>9781118225844</v>
      </c>
      <c r="K2775" t="s">
        <v>4939</v>
      </c>
      <c r="L2775">
        <v>27</v>
      </c>
      <c r="O2775" t="s">
        <v>30</v>
      </c>
      <c r="P2775" t="s">
        <v>42</v>
      </c>
      <c r="S2775" t="s">
        <v>31</v>
      </c>
      <c r="T2775" t="s">
        <v>4940</v>
      </c>
      <c r="U2775" t="s">
        <v>4941</v>
      </c>
      <c r="V2775" s="3">
        <v>40947</v>
      </c>
    </row>
    <row r="2776" spans="1:22" x14ac:dyDescent="0.35">
      <c r="A2776" s="1">
        <v>42339.202986111108</v>
      </c>
      <c r="B2776" s="2">
        <v>3.1597222222222222E-3</v>
      </c>
      <c r="C2776" t="s">
        <v>4942</v>
      </c>
      <c r="D2776" t="s">
        <v>35</v>
      </c>
      <c r="E2776" t="s">
        <v>36</v>
      </c>
      <c r="F2776" t="s">
        <v>4943</v>
      </c>
      <c r="G2776">
        <v>515882</v>
      </c>
      <c r="H2776" t="s">
        <v>91</v>
      </c>
      <c r="I2776" t="s">
        <v>69</v>
      </c>
      <c r="J2776" t="str">
        <f>"9781606237069"</f>
        <v>9781606237069</v>
      </c>
      <c r="K2776" t="s">
        <v>4944</v>
      </c>
      <c r="L2776">
        <v>27</v>
      </c>
      <c r="O2776" t="s">
        <v>30</v>
      </c>
      <c r="P2776" t="s">
        <v>47</v>
      </c>
      <c r="Q2776" s="1">
        <v>42339.202974537038</v>
      </c>
      <c r="R2776">
        <v>1</v>
      </c>
      <c r="S2776" t="s">
        <v>40</v>
      </c>
      <c r="T2776" t="s">
        <v>4945</v>
      </c>
      <c r="U2776">
        <v>372.4162</v>
      </c>
      <c r="V2776" s="3">
        <v>41773</v>
      </c>
    </row>
    <row r="2777" spans="1:22" x14ac:dyDescent="0.35">
      <c r="A2777" s="1">
        <v>42339.19740740741</v>
      </c>
      <c r="B2777" s="2">
        <v>5.5555555555555558E-3</v>
      </c>
      <c r="C2777" t="s">
        <v>4942</v>
      </c>
      <c r="D2777" t="s">
        <v>35</v>
      </c>
      <c r="E2777" t="s">
        <v>36</v>
      </c>
      <c r="F2777" t="s">
        <v>4943</v>
      </c>
      <c r="G2777">
        <v>515882</v>
      </c>
      <c r="H2777" t="s">
        <v>91</v>
      </c>
      <c r="I2777" t="s">
        <v>69</v>
      </c>
      <c r="J2777" t="str">
        <f>"9781606237069"</f>
        <v>9781606237069</v>
      </c>
      <c r="K2777" t="s">
        <v>4946</v>
      </c>
      <c r="L2777">
        <v>20</v>
      </c>
      <c r="O2777" t="s">
        <v>30</v>
      </c>
      <c r="P2777" t="s">
        <v>50</v>
      </c>
      <c r="S2777" t="s">
        <v>40</v>
      </c>
      <c r="T2777" t="s">
        <v>4945</v>
      </c>
      <c r="U2777">
        <v>372.4162</v>
      </c>
      <c r="V2777" s="3">
        <v>41773</v>
      </c>
    </row>
    <row r="2778" spans="1:22" x14ac:dyDescent="0.35">
      <c r="A2778" s="1">
        <v>42339.191319444442</v>
      </c>
      <c r="B2778" s="2">
        <v>1.5277777777777777E-2</v>
      </c>
      <c r="C2778" t="s">
        <v>4947</v>
      </c>
      <c r="D2778" t="s">
        <v>1222</v>
      </c>
      <c r="E2778" t="s">
        <v>1223</v>
      </c>
      <c r="F2778" t="s">
        <v>3263</v>
      </c>
      <c r="G2778">
        <v>1840835</v>
      </c>
      <c r="H2778" t="s">
        <v>26</v>
      </c>
      <c r="I2778" t="s">
        <v>108</v>
      </c>
      <c r="J2778" t="str">
        <f>"9781118950166"</f>
        <v>9781118950166</v>
      </c>
      <c r="K2778" t="s">
        <v>4948</v>
      </c>
      <c r="L2778">
        <v>29</v>
      </c>
      <c r="O2778" t="s">
        <v>30</v>
      </c>
      <c r="P2778" t="s">
        <v>29</v>
      </c>
      <c r="Q2778" s="1">
        <v>42337.741990740738</v>
      </c>
      <c r="R2778">
        <v>7</v>
      </c>
      <c r="S2778" t="s">
        <v>1226</v>
      </c>
      <c r="T2778" t="s">
        <v>3264</v>
      </c>
      <c r="U2778">
        <v>338.10923789999998</v>
      </c>
      <c r="V2778" s="3">
        <v>41953</v>
      </c>
    </row>
    <row r="2779" spans="1:22" x14ac:dyDescent="0.35">
      <c r="A2779" s="1">
        <v>42339.173460648148</v>
      </c>
      <c r="B2779" s="2">
        <v>0</v>
      </c>
      <c r="C2779" t="s">
        <v>4615</v>
      </c>
      <c r="D2779" t="s">
        <v>23</v>
      </c>
      <c r="E2779" t="s">
        <v>24</v>
      </c>
      <c r="F2779" t="s">
        <v>4411</v>
      </c>
      <c r="G2779">
        <v>1808795</v>
      </c>
      <c r="H2779" t="s">
        <v>45</v>
      </c>
      <c r="I2779" t="s">
        <v>200</v>
      </c>
      <c r="J2779" t="str">
        <f>"9781472447951"</f>
        <v>9781472447951</v>
      </c>
      <c r="K2779" t="s">
        <v>224</v>
      </c>
      <c r="L2779">
        <v>1</v>
      </c>
      <c r="O2779" t="s">
        <v>30</v>
      </c>
      <c r="P2779" t="s">
        <v>29</v>
      </c>
      <c r="Q2779" s="1">
        <v>42339.173460648148</v>
      </c>
      <c r="R2779">
        <v>7</v>
      </c>
      <c r="S2779" t="s">
        <v>31</v>
      </c>
      <c r="T2779" t="s">
        <v>4413</v>
      </c>
      <c r="U2779" t="s">
        <v>4414</v>
      </c>
      <c r="V2779" s="3">
        <v>41971</v>
      </c>
    </row>
    <row r="2780" spans="1:22" x14ac:dyDescent="0.35">
      <c r="A2780" s="1">
        <v>42339.156747685185</v>
      </c>
      <c r="B2780" s="2">
        <v>1.6296296296296295E-2</v>
      </c>
      <c r="C2780" t="s">
        <v>4615</v>
      </c>
      <c r="D2780" t="s">
        <v>23</v>
      </c>
      <c r="E2780" t="s">
        <v>24</v>
      </c>
      <c r="F2780" t="s">
        <v>4411</v>
      </c>
      <c r="G2780">
        <v>1808795</v>
      </c>
      <c r="H2780" t="s">
        <v>45</v>
      </c>
      <c r="I2780" t="s">
        <v>200</v>
      </c>
      <c r="J2780" t="str">
        <f>"9781472447951"</f>
        <v>9781472447951</v>
      </c>
      <c r="K2780" t="s">
        <v>33</v>
      </c>
      <c r="L2780">
        <v>3</v>
      </c>
      <c r="O2780" t="s">
        <v>30</v>
      </c>
      <c r="P2780" t="s">
        <v>50</v>
      </c>
      <c r="S2780" t="s">
        <v>31</v>
      </c>
      <c r="T2780" t="s">
        <v>4413</v>
      </c>
      <c r="U2780" t="s">
        <v>4414</v>
      </c>
      <c r="V2780" s="3">
        <v>41971</v>
      </c>
    </row>
    <row r="2781" spans="1:22" x14ac:dyDescent="0.35">
      <c r="A2781" s="1">
        <v>42339.154097222221</v>
      </c>
      <c r="B2781" s="2">
        <v>5.1504629629629635E-3</v>
      </c>
      <c r="C2781" t="s">
        <v>4949</v>
      </c>
      <c r="D2781" t="s">
        <v>360</v>
      </c>
      <c r="E2781" t="s">
        <v>361</v>
      </c>
      <c r="F2781" t="s">
        <v>4950</v>
      </c>
      <c r="G2781">
        <v>1693780</v>
      </c>
      <c r="H2781" t="s">
        <v>26</v>
      </c>
      <c r="I2781" t="s">
        <v>328</v>
      </c>
      <c r="J2781" t="str">
        <f>"9781118869420"</f>
        <v>9781118869420</v>
      </c>
      <c r="K2781" t="s">
        <v>4951</v>
      </c>
      <c r="L2781">
        <v>52</v>
      </c>
      <c r="O2781" t="s">
        <v>30</v>
      </c>
      <c r="P2781" t="s">
        <v>42</v>
      </c>
      <c r="S2781" t="s">
        <v>363</v>
      </c>
      <c r="T2781" t="s">
        <v>4952</v>
      </c>
      <c r="U2781">
        <v>362.10973000000001</v>
      </c>
      <c r="V2781" s="3">
        <v>41779</v>
      </c>
    </row>
    <row r="2782" spans="1:22" x14ac:dyDescent="0.35">
      <c r="A2782" s="1">
        <v>42339.141087962962</v>
      </c>
      <c r="B2782" s="2">
        <v>0</v>
      </c>
      <c r="C2782" t="s">
        <v>4953</v>
      </c>
      <c r="D2782" t="s">
        <v>261</v>
      </c>
      <c r="E2782" t="s">
        <v>262</v>
      </c>
      <c r="F2782" t="s">
        <v>4954</v>
      </c>
      <c r="G2782">
        <v>1843655</v>
      </c>
      <c r="H2782" t="s">
        <v>45</v>
      </c>
      <c r="I2782" t="s">
        <v>120</v>
      </c>
      <c r="J2782" t="str">
        <f>"9781472411792"</f>
        <v>9781472411792</v>
      </c>
      <c r="L2782">
        <v>0</v>
      </c>
      <c r="N2782" t="s">
        <v>4955</v>
      </c>
      <c r="O2782" t="s">
        <v>30</v>
      </c>
      <c r="P2782" t="s">
        <v>47</v>
      </c>
      <c r="Q2782" s="1">
        <v>42339.141087962962</v>
      </c>
      <c r="R2782">
        <v>1</v>
      </c>
      <c r="S2782" t="s">
        <v>264</v>
      </c>
      <c r="T2782" t="s">
        <v>4956</v>
      </c>
      <c r="U2782" t="s">
        <v>4957</v>
      </c>
      <c r="V2782" s="3">
        <v>42032</v>
      </c>
    </row>
    <row r="2783" spans="1:22" x14ac:dyDescent="0.35">
      <c r="A2783" s="1">
        <v>42339.139652777776</v>
      </c>
      <c r="B2783" s="2">
        <v>1.4351851851851854E-3</v>
      </c>
      <c r="C2783" t="s">
        <v>4953</v>
      </c>
      <c r="D2783" t="s">
        <v>261</v>
      </c>
      <c r="E2783" t="s">
        <v>262</v>
      </c>
      <c r="F2783" t="s">
        <v>4954</v>
      </c>
      <c r="G2783">
        <v>1843655</v>
      </c>
      <c r="H2783" t="s">
        <v>45</v>
      </c>
      <c r="I2783" t="s">
        <v>120</v>
      </c>
      <c r="J2783" t="str">
        <f>"9781472411792"</f>
        <v>9781472411792</v>
      </c>
      <c r="K2783" t="s">
        <v>4958</v>
      </c>
      <c r="L2783">
        <v>20</v>
      </c>
      <c r="O2783" t="s">
        <v>30</v>
      </c>
      <c r="P2783" t="s">
        <v>50</v>
      </c>
      <c r="S2783" t="s">
        <v>264</v>
      </c>
      <c r="T2783" t="s">
        <v>4956</v>
      </c>
      <c r="U2783" t="s">
        <v>4957</v>
      </c>
      <c r="V2783" s="3">
        <v>42032</v>
      </c>
    </row>
    <row r="2784" spans="1:22" x14ac:dyDescent="0.35">
      <c r="A2784" s="1">
        <v>42339.136481481481</v>
      </c>
      <c r="B2784" s="2">
        <v>1.9675925925925928E-3</v>
      </c>
      <c r="C2784" t="s">
        <v>4953</v>
      </c>
      <c r="D2784" t="s">
        <v>261</v>
      </c>
      <c r="E2784" t="s">
        <v>262</v>
      </c>
      <c r="F2784" t="s">
        <v>4959</v>
      </c>
      <c r="G2784">
        <v>1570482</v>
      </c>
      <c r="H2784" t="s">
        <v>45</v>
      </c>
      <c r="I2784" t="s">
        <v>120</v>
      </c>
      <c r="J2784" t="str">
        <f>"9781409440529"</f>
        <v>9781409440529</v>
      </c>
      <c r="K2784" t="s">
        <v>4960</v>
      </c>
      <c r="L2784">
        <v>7</v>
      </c>
      <c r="N2784" t="s">
        <v>4961</v>
      </c>
      <c r="O2784" t="s">
        <v>30</v>
      </c>
      <c r="P2784" t="s">
        <v>29</v>
      </c>
      <c r="Q2784" s="1">
        <v>42339.136481481481</v>
      </c>
      <c r="R2784">
        <v>7</v>
      </c>
      <c r="S2784" t="s">
        <v>264</v>
      </c>
      <c r="T2784" t="s">
        <v>4962</v>
      </c>
      <c r="U2784" t="s">
        <v>4963</v>
      </c>
      <c r="V2784" s="3">
        <v>41698</v>
      </c>
    </row>
    <row r="2785" spans="1:22" x14ac:dyDescent="0.35">
      <c r="A2785" s="1">
        <v>42339.135601851849</v>
      </c>
      <c r="B2785" s="2">
        <v>8.7962962962962962E-4</v>
      </c>
      <c r="C2785" t="s">
        <v>4953</v>
      </c>
      <c r="D2785" t="s">
        <v>261</v>
      </c>
      <c r="E2785" t="s">
        <v>262</v>
      </c>
      <c r="F2785" t="s">
        <v>4959</v>
      </c>
      <c r="G2785">
        <v>1570482</v>
      </c>
      <c r="H2785" t="s">
        <v>45</v>
      </c>
      <c r="I2785" t="s">
        <v>120</v>
      </c>
      <c r="J2785" t="str">
        <f>"9781409440529"</f>
        <v>9781409440529</v>
      </c>
      <c r="K2785" t="s">
        <v>4964</v>
      </c>
      <c r="L2785">
        <v>15</v>
      </c>
      <c r="O2785" t="s">
        <v>30</v>
      </c>
      <c r="P2785" t="s">
        <v>42</v>
      </c>
      <c r="S2785" t="s">
        <v>264</v>
      </c>
      <c r="T2785" t="s">
        <v>4962</v>
      </c>
      <c r="U2785" t="s">
        <v>4963</v>
      </c>
      <c r="V2785" s="3">
        <v>41698</v>
      </c>
    </row>
    <row r="2786" spans="1:22" x14ac:dyDescent="0.35">
      <c r="A2786" s="1">
        <v>42339.135509259257</v>
      </c>
      <c r="B2786" s="2">
        <v>0</v>
      </c>
      <c r="C2786" t="s">
        <v>4953</v>
      </c>
      <c r="D2786" t="s">
        <v>261</v>
      </c>
      <c r="E2786" t="s">
        <v>262</v>
      </c>
      <c r="F2786" t="s">
        <v>4959</v>
      </c>
      <c r="G2786">
        <v>1570482</v>
      </c>
      <c r="H2786" t="s">
        <v>45</v>
      </c>
      <c r="I2786" t="s">
        <v>120</v>
      </c>
      <c r="J2786" t="str">
        <f>"9781409440529"</f>
        <v>9781409440529</v>
      </c>
      <c r="L2786">
        <v>0</v>
      </c>
      <c r="O2786" t="s">
        <v>30</v>
      </c>
      <c r="P2786" t="s">
        <v>42</v>
      </c>
      <c r="S2786" t="s">
        <v>264</v>
      </c>
      <c r="T2786" t="s">
        <v>4962</v>
      </c>
      <c r="U2786" t="s">
        <v>4963</v>
      </c>
      <c r="V2786" s="3">
        <v>41698</v>
      </c>
    </row>
    <row r="2787" spans="1:22" x14ac:dyDescent="0.35">
      <c r="A2787" s="1">
        <v>42339.130462962959</v>
      </c>
      <c r="B2787" s="2">
        <v>5.6018518518518518E-3</v>
      </c>
      <c r="C2787" t="s">
        <v>4965</v>
      </c>
      <c r="D2787" t="s">
        <v>125</v>
      </c>
      <c r="E2787" t="s">
        <v>126</v>
      </c>
      <c r="F2787" t="s">
        <v>2262</v>
      </c>
      <c r="G2787">
        <v>843674</v>
      </c>
      <c r="H2787" t="s">
        <v>26</v>
      </c>
      <c r="I2787" t="s">
        <v>322</v>
      </c>
      <c r="J2787" t="str">
        <f>"9781118348444"</f>
        <v>9781118348444</v>
      </c>
      <c r="K2787" t="s">
        <v>4966</v>
      </c>
      <c r="L2787">
        <v>23</v>
      </c>
      <c r="O2787" t="s">
        <v>30</v>
      </c>
      <c r="P2787" t="s">
        <v>29</v>
      </c>
      <c r="Q2787" s="1">
        <v>42339.130462962959</v>
      </c>
      <c r="R2787">
        <v>7</v>
      </c>
      <c r="S2787" t="s">
        <v>128</v>
      </c>
      <c r="T2787" t="s">
        <v>2263</v>
      </c>
      <c r="U2787">
        <v>692.50972999999999</v>
      </c>
      <c r="V2787" s="3">
        <v>40960</v>
      </c>
    </row>
    <row r="2788" spans="1:22" x14ac:dyDescent="0.35">
      <c r="A2788" s="1">
        <v>42339.130162037036</v>
      </c>
      <c r="B2788" s="2">
        <v>1.7245370370370372E-3</v>
      </c>
      <c r="C2788" t="s">
        <v>4953</v>
      </c>
      <c r="D2788" t="s">
        <v>261</v>
      </c>
      <c r="E2788" t="s">
        <v>262</v>
      </c>
      <c r="F2788" t="s">
        <v>4967</v>
      </c>
      <c r="G2788">
        <v>1524159</v>
      </c>
      <c r="H2788" t="s">
        <v>68</v>
      </c>
      <c r="I2788" t="s">
        <v>120</v>
      </c>
      <c r="J2788" t="str">
        <f>"9781135949747"</f>
        <v>9781135949747</v>
      </c>
      <c r="K2788" t="s">
        <v>4968</v>
      </c>
      <c r="L2788">
        <v>36</v>
      </c>
      <c r="N2788" t="s">
        <v>4969</v>
      </c>
      <c r="O2788" t="s">
        <v>30</v>
      </c>
      <c r="P2788" t="s">
        <v>47</v>
      </c>
      <c r="Q2788" s="1">
        <v>42339.130162037036</v>
      </c>
      <c r="R2788">
        <v>1</v>
      </c>
      <c r="S2788" t="s">
        <v>264</v>
      </c>
      <c r="T2788" t="s">
        <v>4970</v>
      </c>
      <c r="U2788" t="s">
        <v>4971</v>
      </c>
      <c r="V2788" s="3">
        <v>41577</v>
      </c>
    </row>
    <row r="2789" spans="1:22" x14ac:dyDescent="0.35">
      <c r="A2789" s="1">
        <v>42339.126550925925</v>
      </c>
      <c r="B2789" s="2">
        <v>3.6111111111111114E-3</v>
      </c>
      <c r="C2789" t="s">
        <v>4953</v>
      </c>
      <c r="D2789" t="s">
        <v>261</v>
      </c>
      <c r="E2789" t="s">
        <v>262</v>
      </c>
      <c r="F2789" t="s">
        <v>4967</v>
      </c>
      <c r="G2789">
        <v>1524159</v>
      </c>
      <c r="H2789" t="s">
        <v>68</v>
      </c>
      <c r="I2789" t="s">
        <v>120</v>
      </c>
      <c r="J2789" t="str">
        <f>"9781135949747"</f>
        <v>9781135949747</v>
      </c>
      <c r="K2789" t="s">
        <v>4972</v>
      </c>
      <c r="L2789">
        <v>19</v>
      </c>
      <c r="O2789" t="s">
        <v>30</v>
      </c>
      <c r="P2789" t="s">
        <v>50</v>
      </c>
      <c r="S2789" t="s">
        <v>264</v>
      </c>
      <c r="T2789" t="s">
        <v>4970</v>
      </c>
      <c r="U2789" t="s">
        <v>4971</v>
      </c>
      <c r="V2789" s="3">
        <v>41577</v>
      </c>
    </row>
    <row r="2790" spans="1:22" x14ac:dyDescent="0.35">
      <c r="A2790" s="1">
        <v>42339.120937500003</v>
      </c>
      <c r="B2790" s="2">
        <v>9.5138888888888894E-3</v>
      </c>
      <c r="C2790" t="s">
        <v>4965</v>
      </c>
      <c r="D2790" t="s">
        <v>125</v>
      </c>
      <c r="E2790" t="s">
        <v>126</v>
      </c>
      <c r="F2790" t="s">
        <v>2262</v>
      </c>
      <c r="G2790">
        <v>843674</v>
      </c>
      <c r="H2790" t="s">
        <v>26</v>
      </c>
      <c r="I2790" t="s">
        <v>322</v>
      </c>
      <c r="J2790" t="str">
        <f>"9781118348444"</f>
        <v>9781118348444</v>
      </c>
      <c r="K2790" t="s">
        <v>4973</v>
      </c>
      <c r="L2790">
        <v>65</v>
      </c>
      <c r="O2790" t="s">
        <v>30</v>
      </c>
      <c r="P2790" t="s">
        <v>42</v>
      </c>
      <c r="S2790" t="s">
        <v>128</v>
      </c>
      <c r="T2790" t="s">
        <v>2263</v>
      </c>
      <c r="U2790">
        <v>692.50972999999999</v>
      </c>
      <c r="V2790" s="3">
        <v>40960</v>
      </c>
    </row>
    <row r="2791" spans="1:22" x14ac:dyDescent="0.35">
      <c r="A2791" s="1">
        <v>42339.11109953704</v>
      </c>
      <c r="B2791" s="2">
        <v>2.2337962962962967E-3</v>
      </c>
      <c r="C2791" t="s">
        <v>4974</v>
      </c>
      <c r="D2791" t="s">
        <v>35</v>
      </c>
      <c r="E2791" t="s">
        <v>36</v>
      </c>
      <c r="F2791" t="s">
        <v>4975</v>
      </c>
      <c r="G2791">
        <v>1487146</v>
      </c>
      <c r="H2791" t="s">
        <v>68</v>
      </c>
      <c r="I2791" t="s">
        <v>120</v>
      </c>
      <c r="J2791" t="str">
        <f>"9781136295379"</f>
        <v>9781136295379</v>
      </c>
      <c r="K2791" t="s">
        <v>4976</v>
      </c>
      <c r="L2791">
        <v>10</v>
      </c>
      <c r="O2791" t="s">
        <v>30</v>
      </c>
      <c r="P2791" t="s">
        <v>50</v>
      </c>
      <c r="S2791" t="s">
        <v>40</v>
      </c>
      <c r="T2791" t="s">
        <v>4977</v>
      </c>
      <c r="U2791">
        <v>391</v>
      </c>
      <c r="V2791" s="3">
        <v>41565</v>
      </c>
    </row>
    <row r="2792" spans="1:22" x14ac:dyDescent="0.35">
      <c r="A2792" s="1">
        <v>42339.106932870367</v>
      </c>
      <c r="B2792" s="2">
        <v>2.8252314814814813E-2</v>
      </c>
      <c r="C2792" t="s">
        <v>4571</v>
      </c>
      <c r="D2792" t="s">
        <v>35</v>
      </c>
      <c r="E2792" t="s">
        <v>36</v>
      </c>
      <c r="F2792" t="s">
        <v>4572</v>
      </c>
      <c r="G2792">
        <v>1046302</v>
      </c>
      <c r="H2792" t="s">
        <v>84</v>
      </c>
      <c r="I2792" t="s">
        <v>1434</v>
      </c>
      <c r="J2792" t="str">
        <f>"9780520953543"</f>
        <v>9780520953543</v>
      </c>
      <c r="K2792" t="s">
        <v>4978</v>
      </c>
      <c r="L2792">
        <v>22</v>
      </c>
      <c r="O2792" t="s">
        <v>30</v>
      </c>
      <c r="P2792" t="s">
        <v>29</v>
      </c>
      <c r="Q2792" s="1">
        <v>42338.831782407404</v>
      </c>
      <c r="R2792">
        <v>7</v>
      </c>
      <c r="S2792" t="s">
        <v>40</v>
      </c>
      <c r="T2792" t="s">
        <v>4574</v>
      </c>
      <c r="U2792">
        <v>322.420973</v>
      </c>
      <c r="V2792" s="3">
        <v>41288</v>
      </c>
    </row>
    <row r="2793" spans="1:22" x14ac:dyDescent="0.35">
      <c r="A2793" s="1">
        <v>42339.106180555558</v>
      </c>
      <c r="B2793" s="2">
        <v>1.273148148148148E-4</v>
      </c>
      <c r="C2793" t="s">
        <v>4974</v>
      </c>
      <c r="D2793" t="s">
        <v>35</v>
      </c>
      <c r="E2793" t="s">
        <v>36</v>
      </c>
      <c r="F2793" t="s">
        <v>4979</v>
      </c>
      <c r="G2793">
        <v>1395499</v>
      </c>
      <c r="H2793" t="s">
        <v>68</v>
      </c>
      <c r="I2793" t="s">
        <v>120</v>
      </c>
      <c r="J2793" t="str">
        <f>"9781136180316"</f>
        <v>9781136180316</v>
      </c>
      <c r="K2793" t="s">
        <v>4980</v>
      </c>
      <c r="L2793">
        <v>8</v>
      </c>
      <c r="O2793" t="s">
        <v>30</v>
      </c>
      <c r="P2793" t="s">
        <v>50</v>
      </c>
      <c r="S2793" t="s">
        <v>40</v>
      </c>
      <c r="T2793" t="s">
        <v>4981</v>
      </c>
      <c r="U2793">
        <v>306.40940999999998</v>
      </c>
      <c r="V2793" s="3">
        <v>41530</v>
      </c>
    </row>
    <row r="2794" spans="1:22" x14ac:dyDescent="0.35">
      <c r="A2794" s="1">
        <v>42339.098101851851</v>
      </c>
      <c r="B2794" s="2">
        <v>6.9456018518518514E-2</v>
      </c>
      <c r="C2794" t="s">
        <v>106</v>
      </c>
      <c r="D2794" t="s">
        <v>23</v>
      </c>
      <c r="E2794" t="s">
        <v>24</v>
      </c>
      <c r="F2794" t="s">
        <v>78</v>
      </c>
      <c r="G2794">
        <v>1635363</v>
      </c>
      <c r="H2794" t="s">
        <v>26</v>
      </c>
      <c r="I2794" t="s">
        <v>79</v>
      </c>
      <c r="J2794" t="str">
        <f>"9781118678206"</f>
        <v>9781118678206</v>
      </c>
      <c r="K2794" t="s">
        <v>4982</v>
      </c>
      <c r="L2794">
        <v>23</v>
      </c>
      <c r="O2794" t="s">
        <v>30</v>
      </c>
      <c r="P2794" t="s">
        <v>29</v>
      </c>
      <c r="Q2794" s="1">
        <v>42337.939270833333</v>
      </c>
      <c r="R2794">
        <v>7</v>
      </c>
      <c r="S2794" t="s">
        <v>31</v>
      </c>
      <c r="T2794" t="s">
        <v>81</v>
      </c>
      <c r="U2794">
        <v>340.07600000000002</v>
      </c>
      <c r="V2794" s="3">
        <v>41684</v>
      </c>
    </row>
    <row r="2795" spans="1:22" x14ac:dyDescent="0.35">
      <c r="A2795" s="1">
        <v>42339.092106481483</v>
      </c>
      <c r="B2795" s="2">
        <v>5.9606481481481489E-3</v>
      </c>
      <c r="C2795" t="s">
        <v>4983</v>
      </c>
      <c r="D2795" t="s">
        <v>23</v>
      </c>
      <c r="E2795" t="s">
        <v>24</v>
      </c>
      <c r="F2795" t="s">
        <v>4984</v>
      </c>
      <c r="G2795">
        <v>1675657</v>
      </c>
      <c r="H2795" t="s">
        <v>91</v>
      </c>
      <c r="I2795" t="s">
        <v>69</v>
      </c>
      <c r="J2795" t="str">
        <f>"9781462515264"</f>
        <v>9781462515264</v>
      </c>
      <c r="K2795" t="s">
        <v>4985</v>
      </c>
      <c r="L2795">
        <v>20</v>
      </c>
      <c r="M2795" t="s">
        <v>4986</v>
      </c>
      <c r="O2795" t="s">
        <v>30</v>
      </c>
      <c r="P2795" t="s">
        <v>47</v>
      </c>
      <c r="Q2795" s="1">
        <v>42339.092106481483</v>
      </c>
      <c r="R2795">
        <v>1</v>
      </c>
      <c r="S2795" t="s">
        <v>31</v>
      </c>
      <c r="T2795" t="s">
        <v>4987</v>
      </c>
      <c r="U2795">
        <v>370.71100000000001</v>
      </c>
      <c r="V2795" s="3">
        <v>41830</v>
      </c>
    </row>
    <row r="2796" spans="1:22" x14ac:dyDescent="0.35">
      <c r="A2796" s="1">
        <v>42339.091747685183</v>
      </c>
      <c r="B2796" s="2">
        <v>1.3888888888888889E-4</v>
      </c>
      <c r="C2796" t="s">
        <v>4324</v>
      </c>
      <c r="D2796" t="s">
        <v>335</v>
      </c>
      <c r="E2796" t="s">
        <v>336</v>
      </c>
      <c r="F2796" t="s">
        <v>4329</v>
      </c>
      <c r="G2796">
        <v>3061306</v>
      </c>
      <c r="H2796" t="s">
        <v>68</v>
      </c>
      <c r="I2796" t="s">
        <v>219</v>
      </c>
      <c r="J2796" t="str">
        <f>"9780203713877"</f>
        <v>9780203713877</v>
      </c>
      <c r="K2796" t="s">
        <v>355</v>
      </c>
      <c r="L2796">
        <v>8</v>
      </c>
      <c r="O2796" t="s">
        <v>30</v>
      </c>
      <c r="P2796" t="s">
        <v>50</v>
      </c>
      <c r="S2796" t="s">
        <v>340</v>
      </c>
      <c r="T2796" t="s">
        <v>4331</v>
      </c>
      <c r="U2796" t="s">
        <v>4332</v>
      </c>
      <c r="V2796" s="3">
        <v>41548</v>
      </c>
    </row>
    <row r="2797" spans="1:22" x14ac:dyDescent="0.35">
      <c r="A2797" s="1">
        <v>42339.090231481481</v>
      </c>
      <c r="B2797" s="2">
        <v>1.8750000000000001E-3</v>
      </c>
      <c r="C2797" t="s">
        <v>4983</v>
      </c>
      <c r="D2797" t="s">
        <v>23</v>
      </c>
      <c r="E2797" t="s">
        <v>24</v>
      </c>
      <c r="F2797" t="s">
        <v>4984</v>
      </c>
      <c r="G2797">
        <v>1675657</v>
      </c>
      <c r="H2797" t="s">
        <v>91</v>
      </c>
      <c r="I2797" t="s">
        <v>69</v>
      </c>
      <c r="J2797" t="str">
        <f>"9781462515264"</f>
        <v>9781462515264</v>
      </c>
      <c r="K2797" t="s">
        <v>4988</v>
      </c>
      <c r="L2797">
        <v>10</v>
      </c>
      <c r="O2797" t="s">
        <v>30</v>
      </c>
      <c r="P2797" t="s">
        <v>50</v>
      </c>
      <c r="S2797" t="s">
        <v>31</v>
      </c>
      <c r="T2797" t="s">
        <v>4987</v>
      </c>
      <c r="U2797">
        <v>370.71100000000001</v>
      </c>
      <c r="V2797" s="3">
        <v>41830</v>
      </c>
    </row>
    <row r="2798" spans="1:22" x14ac:dyDescent="0.35">
      <c r="A2798" s="1">
        <v>42339.077974537038</v>
      </c>
      <c r="B2798" s="2">
        <v>2.7268518518518515E-2</v>
      </c>
      <c r="C2798" t="s">
        <v>4647</v>
      </c>
      <c r="D2798" t="s">
        <v>35</v>
      </c>
      <c r="E2798" t="s">
        <v>36</v>
      </c>
      <c r="F2798" t="s">
        <v>1285</v>
      </c>
      <c r="G2798">
        <v>979950</v>
      </c>
      <c r="H2798" t="s">
        <v>1286</v>
      </c>
      <c r="I2798" t="s">
        <v>310</v>
      </c>
      <c r="J2798" t="str">
        <f>"9781476600321"</f>
        <v>9781476600321</v>
      </c>
      <c r="K2798" t="s">
        <v>4989</v>
      </c>
      <c r="L2798">
        <v>11</v>
      </c>
      <c r="O2798" t="s">
        <v>30</v>
      </c>
      <c r="P2798" t="s">
        <v>29</v>
      </c>
      <c r="Q2798" s="1">
        <v>42332.560520833336</v>
      </c>
      <c r="R2798">
        <v>7</v>
      </c>
      <c r="S2798" t="s">
        <v>40</v>
      </c>
      <c r="T2798" t="s">
        <v>1288</v>
      </c>
      <c r="U2798" t="s">
        <v>1289</v>
      </c>
      <c r="V2798" s="3">
        <v>41100</v>
      </c>
    </row>
    <row r="2799" spans="1:22" x14ac:dyDescent="0.35">
      <c r="A2799" s="1">
        <v>42339.077303240738</v>
      </c>
      <c r="B2799" s="2">
        <v>2.9074074074074075E-2</v>
      </c>
      <c r="C2799" t="s">
        <v>4571</v>
      </c>
      <c r="D2799" t="s">
        <v>35</v>
      </c>
      <c r="E2799" t="s">
        <v>36</v>
      </c>
      <c r="F2799" t="s">
        <v>4572</v>
      </c>
      <c r="G2799">
        <v>1046302</v>
      </c>
      <c r="H2799" t="s">
        <v>84</v>
      </c>
      <c r="I2799" t="s">
        <v>1434</v>
      </c>
      <c r="J2799" t="str">
        <f>"9780520953543"</f>
        <v>9780520953543</v>
      </c>
      <c r="K2799" t="s">
        <v>4990</v>
      </c>
      <c r="L2799">
        <v>19</v>
      </c>
      <c r="O2799" t="s">
        <v>30</v>
      </c>
      <c r="P2799" t="s">
        <v>29</v>
      </c>
      <c r="Q2799" s="1">
        <v>42338.831782407404</v>
      </c>
      <c r="R2799">
        <v>7</v>
      </c>
      <c r="S2799" t="s">
        <v>40</v>
      </c>
      <c r="T2799" t="s">
        <v>4574</v>
      </c>
      <c r="U2799">
        <v>322.420973</v>
      </c>
      <c r="V2799" s="3">
        <v>41288</v>
      </c>
    </row>
    <row r="2800" spans="1:22" x14ac:dyDescent="0.35">
      <c r="A2800" s="1">
        <v>42339.071493055555</v>
      </c>
      <c r="B2800" s="2">
        <v>3.5879629629629635E-4</v>
      </c>
      <c r="C2800" t="s">
        <v>4991</v>
      </c>
      <c r="D2800" t="s">
        <v>35</v>
      </c>
      <c r="E2800" t="s">
        <v>36</v>
      </c>
      <c r="F2800" t="s">
        <v>4992</v>
      </c>
      <c r="G2800">
        <v>1415798</v>
      </c>
      <c r="H2800" t="s">
        <v>68</v>
      </c>
      <c r="I2800" t="s">
        <v>1691</v>
      </c>
      <c r="J2800" t="str">
        <f>"9781134108503"</f>
        <v>9781134108503</v>
      </c>
      <c r="K2800" t="s">
        <v>4993</v>
      </c>
      <c r="L2800">
        <v>12</v>
      </c>
      <c r="O2800" t="s">
        <v>30</v>
      </c>
      <c r="P2800" t="s">
        <v>47</v>
      </c>
      <c r="Q2800" s="1">
        <v>42339.071493055555</v>
      </c>
      <c r="R2800">
        <v>1</v>
      </c>
      <c r="S2800" t="s">
        <v>40</v>
      </c>
      <c r="T2800" t="s">
        <v>4994</v>
      </c>
      <c r="U2800">
        <v>70.400000000000006</v>
      </c>
      <c r="V2800" s="3">
        <v>41540</v>
      </c>
    </row>
    <row r="2801" spans="1:22" x14ac:dyDescent="0.35">
      <c r="A2801" s="1">
        <v>42339.071469907409</v>
      </c>
      <c r="B2801" s="2">
        <v>4.8495370370370368E-3</v>
      </c>
      <c r="C2801" t="s">
        <v>950</v>
      </c>
      <c r="D2801" t="s">
        <v>623</v>
      </c>
      <c r="E2801" t="s">
        <v>624</v>
      </c>
      <c r="F2801" t="s">
        <v>4472</v>
      </c>
      <c r="G2801">
        <v>1873101</v>
      </c>
      <c r="H2801" t="s">
        <v>26</v>
      </c>
      <c r="I2801" t="s">
        <v>69</v>
      </c>
      <c r="J2801" t="str">
        <f>"9781118762233"</f>
        <v>9781118762233</v>
      </c>
      <c r="K2801" t="s">
        <v>4995</v>
      </c>
      <c r="L2801">
        <v>29</v>
      </c>
      <c r="O2801" t="s">
        <v>30</v>
      </c>
      <c r="P2801" t="s">
        <v>29</v>
      </c>
      <c r="Q2801" s="1">
        <v>42339.068310185183</v>
      </c>
      <c r="R2801">
        <v>7</v>
      </c>
      <c r="S2801" t="s">
        <v>627</v>
      </c>
      <c r="T2801" t="s">
        <v>4474</v>
      </c>
      <c r="U2801" t="s">
        <v>4475</v>
      </c>
      <c r="V2801" s="3">
        <v>41975</v>
      </c>
    </row>
    <row r="2802" spans="1:22" x14ac:dyDescent="0.35">
      <c r="A2802" s="1">
        <v>42339.068310185183</v>
      </c>
      <c r="B2802" s="2">
        <v>1.3657407407407409E-3</v>
      </c>
      <c r="C2802" t="s">
        <v>950</v>
      </c>
      <c r="D2802" t="s">
        <v>623</v>
      </c>
      <c r="E2802" t="s">
        <v>624</v>
      </c>
      <c r="F2802" t="s">
        <v>4472</v>
      </c>
      <c r="G2802">
        <v>1873101</v>
      </c>
      <c r="H2802" t="s">
        <v>26</v>
      </c>
      <c r="I2802" t="s">
        <v>69</v>
      </c>
      <c r="J2802" t="str">
        <f>"9781118762233"</f>
        <v>9781118762233</v>
      </c>
      <c r="K2802" t="s">
        <v>4996</v>
      </c>
      <c r="L2802">
        <v>10</v>
      </c>
      <c r="M2802" t="s">
        <v>4997</v>
      </c>
      <c r="O2802" t="s">
        <v>30</v>
      </c>
      <c r="P2802" t="s">
        <v>29</v>
      </c>
      <c r="Q2802" s="1">
        <v>42339.068310185183</v>
      </c>
      <c r="R2802">
        <v>7</v>
      </c>
      <c r="S2802" t="s">
        <v>627</v>
      </c>
      <c r="T2802" t="s">
        <v>4474</v>
      </c>
      <c r="U2802" t="s">
        <v>4475</v>
      </c>
      <c r="V2802" s="3">
        <v>41975</v>
      </c>
    </row>
    <row r="2803" spans="1:22" x14ac:dyDescent="0.35">
      <c r="A2803" s="1">
        <v>42339.065370370372</v>
      </c>
      <c r="B2803" s="2">
        <v>6.122685185185185E-3</v>
      </c>
      <c r="C2803" t="s">
        <v>4991</v>
      </c>
      <c r="D2803" t="s">
        <v>35</v>
      </c>
      <c r="E2803" t="s">
        <v>36</v>
      </c>
      <c r="F2803" t="s">
        <v>4992</v>
      </c>
      <c r="G2803">
        <v>1415798</v>
      </c>
      <c r="H2803" t="s">
        <v>68</v>
      </c>
      <c r="I2803" t="s">
        <v>1691</v>
      </c>
      <c r="J2803" t="str">
        <f>"9781134108503"</f>
        <v>9781134108503</v>
      </c>
      <c r="K2803" t="s">
        <v>4998</v>
      </c>
      <c r="L2803">
        <v>9</v>
      </c>
      <c r="O2803" t="s">
        <v>30</v>
      </c>
      <c r="P2803" t="s">
        <v>50</v>
      </c>
      <c r="S2803" t="s">
        <v>40</v>
      </c>
      <c r="T2803" t="s">
        <v>4994</v>
      </c>
      <c r="U2803">
        <v>70.400000000000006</v>
      </c>
      <c r="V2803" s="3">
        <v>41540</v>
      </c>
    </row>
    <row r="2804" spans="1:22" x14ac:dyDescent="0.35">
      <c r="A2804" s="1">
        <v>42339.055636574078</v>
      </c>
      <c r="B2804" s="2">
        <v>1.2673611111111109E-2</v>
      </c>
      <c r="C2804" t="s">
        <v>950</v>
      </c>
      <c r="D2804" t="s">
        <v>623</v>
      </c>
      <c r="E2804" t="s">
        <v>624</v>
      </c>
      <c r="F2804" t="s">
        <v>4472</v>
      </c>
      <c r="G2804">
        <v>1873101</v>
      </c>
      <c r="H2804" t="s">
        <v>26</v>
      </c>
      <c r="I2804" t="s">
        <v>69</v>
      </c>
      <c r="J2804" t="str">
        <f>"9781118762233"</f>
        <v>9781118762233</v>
      </c>
      <c r="K2804" t="s">
        <v>4999</v>
      </c>
      <c r="L2804">
        <v>16</v>
      </c>
      <c r="O2804" t="s">
        <v>30</v>
      </c>
      <c r="P2804" t="s">
        <v>42</v>
      </c>
      <c r="S2804" t="s">
        <v>627</v>
      </c>
      <c r="T2804" t="s">
        <v>4474</v>
      </c>
      <c r="U2804" t="s">
        <v>4475</v>
      </c>
      <c r="V2804" s="3">
        <v>41975</v>
      </c>
    </row>
    <row r="2805" spans="1:22" x14ac:dyDescent="0.35">
      <c r="A2805" s="1">
        <v>42339.049074074072</v>
      </c>
      <c r="B2805" s="2">
        <v>6.7129629629629625E-4</v>
      </c>
      <c r="C2805" t="s">
        <v>5000</v>
      </c>
      <c r="D2805" t="s">
        <v>2519</v>
      </c>
      <c r="E2805" t="s">
        <v>2520</v>
      </c>
      <c r="F2805" t="s">
        <v>5001</v>
      </c>
      <c r="G2805">
        <v>694378</v>
      </c>
      <c r="H2805" t="s">
        <v>26</v>
      </c>
      <c r="I2805" t="s">
        <v>187</v>
      </c>
      <c r="J2805" t="str">
        <f>"9781118703113"</f>
        <v>9781118703113</v>
      </c>
      <c r="K2805" t="s">
        <v>5002</v>
      </c>
      <c r="L2805">
        <v>20</v>
      </c>
      <c r="O2805" t="s">
        <v>30</v>
      </c>
      <c r="P2805" t="s">
        <v>50</v>
      </c>
      <c r="S2805" t="s">
        <v>3786</v>
      </c>
      <c r="T2805" t="s">
        <v>5003</v>
      </c>
      <c r="U2805" t="s">
        <v>5004</v>
      </c>
      <c r="V2805" s="3">
        <v>41403</v>
      </c>
    </row>
    <row r="2806" spans="1:22" x14ac:dyDescent="0.35">
      <c r="A2806" s="1">
        <v>42339.02579861111</v>
      </c>
      <c r="B2806" s="2">
        <v>2.627314814814815E-3</v>
      </c>
      <c r="C2806" t="s">
        <v>210</v>
      </c>
      <c r="D2806" t="s">
        <v>211</v>
      </c>
      <c r="E2806" t="s">
        <v>212</v>
      </c>
      <c r="F2806" t="s">
        <v>1547</v>
      </c>
      <c r="G2806">
        <v>848510</v>
      </c>
      <c r="H2806" t="s">
        <v>26</v>
      </c>
      <c r="I2806" t="s">
        <v>247</v>
      </c>
      <c r="J2806" t="str">
        <f>"9781118220481"</f>
        <v>9781118220481</v>
      </c>
      <c r="K2806" t="s">
        <v>5005</v>
      </c>
      <c r="L2806">
        <v>15</v>
      </c>
      <c r="O2806" t="s">
        <v>30</v>
      </c>
      <c r="P2806" t="s">
        <v>42</v>
      </c>
      <c r="S2806" t="s">
        <v>214</v>
      </c>
      <c r="T2806" t="s">
        <v>1548</v>
      </c>
      <c r="U2806" t="s">
        <v>1549</v>
      </c>
      <c r="V2806" s="3">
        <v>41066</v>
      </c>
    </row>
    <row r="2807" spans="1:22" x14ac:dyDescent="0.35">
      <c r="A2807" s="1">
        <v>42339.002222222225</v>
      </c>
      <c r="B2807" s="2">
        <v>5.603009259259259E-2</v>
      </c>
      <c r="C2807" t="s">
        <v>5006</v>
      </c>
      <c r="D2807" t="s">
        <v>23</v>
      </c>
      <c r="E2807" t="s">
        <v>24</v>
      </c>
      <c r="F2807" t="s">
        <v>5007</v>
      </c>
      <c r="G2807">
        <v>1715303</v>
      </c>
      <c r="H2807" t="s">
        <v>91</v>
      </c>
      <c r="I2807" t="s">
        <v>2091</v>
      </c>
      <c r="J2807" t="str">
        <f>"9781462516131"</f>
        <v>9781462516131</v>
      </c>
      <c r="K2807" t="s">
        <v>5008</v>
      </c>
      <c r="L2807">
        <v>50</v>
      </c>
      <c r="M2807" t="s">
        <v>460</v>
      </c>
      <c r="N2807" t="s">
        <v>5009</v>
      </c>
      <c r="O2807" t="s">
        <v>30</v>
      </c>
      <c r="P2807" t="s">
        <v>47</v>
      </c>
      <c r="Q2807" s="1">
        <v>42339.002222222225</v>
      </c>
      <c r="R2807">
        <v>1</v>
      </c>
      <c r="S2807" t="s">
        <v>31</v>
      </c>
      <c r="T2807" t="s">
        <v>5010</v>
      </c>
      <c r="U2807">
        <v>616.89</v>
      </c>
      <c r="V2807" s="3">
        <v>41885</v>
      </c>
    </row>
    <row r="2808" spans="1:22" x14ac:dyDescent="0.35">
      <c r="A2808" s="1">
        <v>42339.001793981479</v>
      </c>
      <c r="B2808" s="2">
        <v>4.2824074074074075E-4</v>
      </c>
      <c r="C2808" t="s">
        <v>5006</v>
      </c>
      <c r="D2808" t="s">
        <v>23</v>
      </c>
      <c r="E2808" t="s">
        <v>24</v>
      </c>
      <c r="F2808" t="s">
        <v>5007</v>
      </c>
      <c r="G2808">
        <v>1715303</v>
      </c>
      <c r="H2808" t="s">
        <v>91</v>
      </c>
      <c r="I2808" t="s">
        <v>2091</v>
      </c>
      <c r="J2808" t="str">
        <f>"9781462516131"</f>
        <v>9781462516131</v>
      </c>
      <c r="K2808" t="s">
        <v>5011</v>
      </c>
      <c r="L2808">
        <v>9</v>
      </c>
      <c r="O2808" t="s">
        <v>30</v>
      </c>
      <c r="P2808" t="s">
        <v>50</v>
      </c>
      <c r="S2808" t="s">
        <v>31</v>
      </c>
      <c r="T2808" t="s">
        <v>5010</v>
      </c>
      <c r="U2808">
        <v>616.89</v>
      </c>
      <c r="V2808" s="3">
        <v>41885</v>
      </c>
    </row>
    <row r="2809" spans="1:22" x14ac:dyDescent="0.35">
      <c r="A2809" s="1">
        <v>42338.992222222223</v>
      </c>
      <c r="B2809" s="2">
        <v>1.6597222222222222E-2</v>
      </c>
      <c r="C2809" t="s">
        <v>4726</v>
      </c>
      <c r="D2809" t="s">
        <v>158</v>
      </c>
      <c r="E2809" t="s">
        <v>159</v>
      </c>
      <c r="F2809" t="s">
        <v>2807</v>
      </c>
      <c r="G2809">
        <v>1767915</v>
      </c>
      <c r="H2809" t="s">
        <v>26</v>
      </c>
      <c r="I2809" t="s">
        <v>120</v>
      </c>
      <c r="J2809" t="str">
        <f>"9780730315148"</f>
        <v>9780730315148</v>
      </c>
      <c r="K2809" t="s">
        <v>5012</v>
      </c>
      <c r="L2809">
        <v>36</v>
      </c>
      <c r="O2809" t="s">
        <v>30</v>
      </c>
      <c r="P2809" t="s">
        <v>29</v>
      </c>
      <c r="Q2809" s="1">
        <v>42338.992222222223</v>
      </c>
      <c r="R2809">
        <v>7</v>
      </c>
      <c r="S2809" t="s">
        <v>163</v>
      </c>
      <c r="T2809" t="s">
        <v>2809</v>
      </c>
      <c r="U2809">
        <v>302.23099999999999</v>
      </c>
      <c r="V2809" s="3">
        <v>41866</v>
      </c>
    </row>
    <row r="2810" spans="1:22" x14ac:dyDescent="0.35">
      <c r="A2810" s="1">
        <v>42338.980868055558</v>
      </c>
      <c r="B2810" s="2">
        <v>3.6863425925925931E-2</v>
      </c>
      <c r="C2810" t="s">
        <v>4947</v>
      </c>
      <c r="D2810" t="s">
        <v>1222</v>
      </c>
      <c r="E2810" t="s">
        <v>1223</v>
      </c>
      <c r="F2810" t="s">
        <v>3263</v>
      </c>
      <c r="G2810">
        <v>1840835</v>
      </c>
      <c r="H2810" t="s">
        <v>26</v>
      </c>
      <c r="I2810" t="s">
        <v>108</v>
      </c>
      <c r="J2810" t="str">
        <f>"9781118950166"</f>
        <v>9781118950166</v>
      </c>
      <c r="K2810" t="s">
        <v>5013</v>
      </c>
      <c r="L2810">
        <v>21</v>
      </c>
      <c r="O2810" t="s">
        <v>30</v>
      </c>
      <c r="P2810" t="s">
        <v>29</v>
      </c>
      <c r="Q2810" s="1">
        <v>42337.741990740738</v>
      </c>
      <c r="R2810">
        <v>7</v>
      </c>
      <c r="S2810" t="s">
        <v>1226</v>
      </c>
      <c r="T2810" t="s">
        <v>3264</v>
      </c>
      <c r="U2810">
        <v>338.10923789999998</v>
      </c>
      <c r="V2810" s="3">
        <v>41953</v>
      </c>
    </row>
    <row r="2811" spans="1:22" x14ac:dyDescent="0.35">
      <c r="A2811" s="1">
        <v>42338.979456018518</v>
      </c>
      <c r="B2811" s="2">
        <v>1.2766203703703703E-2</v>
      </c>
      <c r="C2811" t="s">
        <v>4726</v>
      </c>
      <c r="D2811" t="s">
        <v>158</v>
      </c>
      <c r="E2811" t="s">
        <v>159</v>
      </c>
      <c r="F2811" t="s">
        <v>2807</v>
      </c>
      <c r="G2811">
        <v>1767915</v>
      </c>
      <c r="H2811" t="s">
        <v>26</v>
      </c>
      <c r="I2811" t="s">
        <v>120</v>
      </c>
      <c r="J2811" t="str">
        <f>"9780730315148"</f>
        <v>9780730315148</v>
      </c>
      <c r="K2811" t="s">
        <v>33</v>
      </c>
      <c r="L2811">
        <v>3</v>
      </c>
      <c r="O2811" t="s">
        <v>30</v>
      </c>
      <c r="P2811" t="s">
        <v>42</v>
      </c>
      <c r="S2811" t="s">
        <v>163</v>
      </c>
      <c r="T2811" t="s">
        <v>2809</v>
      </c>
      <c r="U2811">
        <v>302.23099999999999</v>
      </c>
      <c r="V2811" s="3">
        <v>41866</v>
      </c>
    </row>
    <row r="2812" spans="1:22" x14ac:dyDescent="0.35">
      <c r="A2812" s="1">
        <v>42338.971192129633</v>
      </c>
      <c r="B2812" s="2">
        <v>2.3148148148148146E-4</v>
      </c>
      <c r="C2812" t="s">
        <v>5014</v>
      </c>
      <c r="D2812" t="s">
        <v>623</v>
      </c>
      <c r="E2812" t="s">
        <v>624</v>
      </c>
      <c r="F2812" t="s">
        <v>5015</v>
      </c>
      <c r="G2812">
        <v>2025589</v>
      </c>
      <c r="H2812" t="s">
        <v>84</v>
      </c>
      <c r="I2812" t="s">
        <v>1724</v>
      </c>
      <c r="J2812" t="str">
        <f>"9780520962224"</f>
        <v>9780520962224</v>
      </c>
      <c r="K2812" t="s">
        <v>5016</v>
      </c>
      <c r="L2812">
        <v>15</v>
      </c>
      <c r="O2812" t="s">
        <v>30</v>
      </c>
      <c r="P2812" t="s">
        <v>50</v>
      </c>
      <c r="S2812" t="s">
        <v>627</v>
      </c>
      <c r="T2812" t="s">
        <v>5017</v>
      </c>
      <c r="U2812">
        <v>362.19689008900002</v>
      </c>
      <c r="V2812" s="3">
        <v>42262</v>
      </c>
    </row>
    <row r="2813" spans="1:22" x14ac:dyDescent="0.35">
      <c r="A2813" s="1">
        <v>42338.947199074071</v>
      </c>
      <c r="B2813" s="2">
        <v>2.0949074074074073E-3</v>
      </c>
      <c r="C2813" t="s">
        <v>106</v>
      </c>
      <c r="D2813" t="s">
        <v>23</v>
      </c>
      <c r="E2813" t="s">
        <v>24</v>
      </c>
      <c r="F2813" t="s">
        <v>4937</v>
      </c>
      <c r="G2813">
        <v>818101</v>
      </c>
      <c r="H2813" t="s">
        <v>26</v>
      </c>
      <c r="I2813" t="s">
        <v>4938</v>
      </c>
      <c r="J2813" t="str">
        <f>"9781118225844"</f>
        <v>9781118225844</v>
      </c>
      <c r="K2813" t="s">
        <v>5018</v>
      </c>
      <c r="L2813">
        <v>5</v>
      </c>
      <c r="O2813" t="s">
        <v>30</v>
      </c>
      <c r="P2813" t="s">
        <v>29</v>
      </c>
      <c r="Q2813" s="1">
        <v>42338.947199074071</v>
      </c>
      <c r="R2813">
        <v>7</v>
      </c>
      <c r="S2813" t="s">
        <v>31</v>
      </c>
      <c r="T2813" t="s">
        <v>4940</v>
      </c>
      <c r="U2813" t="s">
        <v>4941</v>
      </c>
      <c r="V2813" s="3">
        <v>40947</v>
      </c>
    </row>
    <row r="2814" spans="1:22" x14ac:dyDescent="0.35">
      <c r="A2814" s="1">
        <v>42338.94630787037</v>
      </c>
      <c r="B2814" s="2">
        <v>3.3564814814814812E-4</v>
      </c>
      <c r="C2814" t="s">
        <v>5019</v>
      </c>
      <c r="D2814" t="s">
        <v>35</v>
      </c>
      <c r="E2814" t="s">
        <v>36</v>
      </c>
      <c r="F2814" t="s">
        <v>1006</v>
      </c>
      <c r="G2814">
        <v>1895740</v>
      </c>
      <c r="H2814" t="s">
        <v>26</v>
      </c>
      <c r="I2814" t="s">
        <v>69</v>
      </c>
      <c r="J2814" t="str">
        <f>"9781118911419"</f>
        <v>9781118911419</v>
      </c>
      <c r="K2814" t="s">
        <v>5020</v>
      </c>
      <c r="L2814">
        <v>2</v>
      </c>
      <c r="O2814" t="s">
        <v>28</v>
      </c>
      <c r="P2814" t="s">
        <v>29</v>
      </c>
      <c r="Q2814" s="1">
        <v>42338.939675925925</v>
      </c>
      <c r="R2814">
        <v>7</v>
      </c>
      <c r="S2814" t="s">
        <v>40</v>
      </c>
      <c r="T2814" t="s">
        <v>1008</v>
      </c>
      <c r="U2814">
        <v>378.1662</v>
      </c>
      <c r="V2814" s="3">
        <v>42082</v>
      </c>
    </row>
    <row r="2815" spans="1:22" x14ac:dyDescent="0.35">
      <c r="A2815" s="1">
        <v>42338.945925925924</v>
      </c>
      <c r="B2815" s="2">
        <v>0</v>
      </c>
      <c r="C2815" t="s">
        <v>5019</v>
      </c>
      <c r="D2815" t="s">
        <v>35</v>
      </c>
      <c r="E2815" t="s">
        <v>36</v>
      </c>
      <c r="F2815" t="s">
        <v>5021</v>
      </c>
      <c r="G2815">
        <v>4036626</v>
      </c>
      <c r="H2815" t="s">
        <v>26</v>
      </c>
      <c r="J2815" t="str">
        <f>"9781118596616"</f>
        <v>9781118596616</v>
      </c>
      <c r="L2815">
        <v>0</v>
      </c>
      <c r="O2815" t="s">
        <v>28</v>
      </c>
      <c r="P2815" t="s">
        <v>47</v>
      </c>
      <c r="Q2815" s="1">
        <v>42338.945925925924</v>
      </c>
      <c r="R2815">
        <v>1</v>
      </c>
      <c r="S2815" t="s">
        <v>40</v>
      </c>
      <c r="V2815" s="3">
        <v>41281</v>
      </c>
    </row>
    <row r="2816" spans="1:22" x14ac:dyDescent="0.35">
      <c r="A2816" s="1">
        <v>42338.945925925924</v>
      </c>
      <c r="B2816" s="2">
        <v>0</v>
      </c>
      <c r="C2816" t="s">
        <v>5019</v>
      </c>
      <c r="D2816" t="s">
        <v>35</v>
      </c>
      <c r="E2816" t="s">
        <v>36</v>
      </c>
      <c r="F2816" t="s">
        <v>5021</v>
      </c>
      <c r="G2816">
        <v>4036626</v>
      </c>
      <c r="H2816" t="s">
        <v>26</v>
      </c>
      <c r="J2816" t="str">
        <f>"9781118596616"</f>
        <v>9781118596616</v>
      </c>
      <c r="L2816">
        <v>0</v>
      </c>
      <c r="O2816" t="s">
        <v>30</v>
      </c>
      <c r="P2816" t="s">
        <v>47</v>
      </c>
      <c r="Q2816" s="1">
        <v>42338.945925925924</v>
      </c>
      <c r="R2816">
        <v>1</v>
      </c>
      <c r="S2816" t="s">
        <v>40</v>
      </c>
      <c r="V2816" s="3">
        <v>41281</v>
      </c>
    </row>
    <row r="2817" spans="1:22" x14ac:dyDescent="0.35">
      <c r="A2817" s="1">
        <v>42338.941342592596</v>
      </c>
      <c r="B2817" s="2">
        <v>4.5833333333333334E-3</v>
      </c>
      <c r="C2817" t="s">
        <v>5019</v>
      </c>
      <c r="D2817" t="s">
        <v>35</v>
      </c>
      <c r="E2817" t="s">
        <v>36</v>
      </c>
      <c r="F2817" t="s">
        <v>5021</v>
      </c>
      <c r="G2817">
        <v>4036626</v>
      </c>
      <c r="H2817" t="s">
        <v>26</v>
      </c>
      <c r="J2817" t="str">
        <f>"9781118596616"</f>
        <v>9781118596616</v>
      </c>
      <c r="K2817" t="s">
        <v>5022</v>
      </c>
      <c r="L2817">
        <v>26</v>
      </c>
      <c r="O2817" t="s">
        <v>30</v>
      </c>
      <c r="P2817" t="s">
        <v>50</v>
      </c>
      <c r="S2817" t="s">
        <v>40</v>
      </c>
      <c r="V2817" s="3">
        <v>41281</v>
      </c>
    </row>
    <row r="2818" spans="1:22" x14ac:dyDescent="0.35">
      <c r="A2818" s="1">
        <v>42338.939675925925</v>
      </c>
      <c r="B2818" s="2">
        <v>0</v>
      </c>
      <c r="C2818" t="s">
        <v>5019</v>
      </c>
      <c r="D2818" t="s">
        <v>35</v>
      </c>
      <c r="E2818" t="s">
        <v>36</v>
      </c>
      <c r="F2818" t="s">
        <v>1006</v>
      </c>
      <c r="G2818">
        <v>1895740</v>
      </c>
      <c r="H2818" t="s">
        <v>26</v>
      </c>
      <c r="I2818" t="s">
        <v>69</v>
      </c>
      <c r="J2818" t="str">
        <f>"9781118911419"</f>
        <v>9781118911419</v>
      </c>
      <c r="K2818" t="s">
        <v>2858</v>
      </c>
      <c r="L2818">
        <v>1</v>
      </c>
      <c r="O2818" t="s">
        <v>30</v>
      </c>
      <c r="P2818" t="s">
        <v>29</v>
      </c>
      <c r="Q2818" s="1">
        <v>42338.939675925925</v>
      </c>
      <c r="R2818">
        <v>7</v>
      </c>
      <c r="S2818" t="s">
        <v>40</v>
      </c>
      <c r="T2818" t="s">
        <v>1008</v>
      </c>
      <c r="U2818">
        <v>378.1662</v>
      </c>
      <c r="V2818" s="3">
        <v>42082</v>
      </c>
    </row>
    <row r="2819" spans="1:22" x14ac:dyDescent="0.35">
      <c r="A2819" s="1">
        <v>42338.939502314817</v>
      </c>
      <c r="B2819" s="2">
        <v>4.5949074074074078E-3</v>
      </c>
      <c r="C2819" t="s">
        <v>5023</v>
      </c>
      <c r="D2819" t="s">
        <v>1222</v>
      </c>
      <c r="E2819" t="s">
        <v>1223</v>
      </c>
      <c r="F2819" t="s">
        <v>3808</v>
      </c>
      <c r="G2819">
        <v>1675475</v>
      </c>
      <c r="H2819" t="s">
        <v>91</v>
      </c>
      <c r="I2819" t="s">
        <v>247</v>
      </c>
      <c r="J2819" t="str">
        <f>"9781462514342"</f>
        <v>9781462514342</v>
      </c>
      <c r="K2819" t="s">
        <v>5024</v>
      </c>
      <c r="L2819">
        <v>16</v>
      </c>
      <c r="O2819" t="s">
        <v>30</v>
      </c>
      <c r="P2819" t="s">
        <v>47</v>
      </c>
      <c r="Q2819" s="1">
        <v>42338.939502314817</v>
      </c>
      <c r="R2819">
        <v>1</v>
      </c>
      <c r="S2819" t="s">
        <v>1226</v>
      </c>
      <c r="T2819" t="s">
        <v>3810</v>
      </c>
      <c r="U2819">
        <v>616.85883200000001</v>
      </c>
      <c r="V2819" s="3">
        <v>41830</v>
      </c>
    </row>
    <row r="2820" spans="1:22" x14ac:dyDescent="0.35">
      <c r="A2820" s="1">
        <v>42338.935636574075</v>
      </c>
      <c r="B2820" s="2">
        <v>4.0393518518518521E-3</v>
      </c>
      <c r="C2820" t="s">
        <v>5019</v>
      </c>
      <c r="D2820" t="s">
        <v>35</v>
      </c>
      <c r="E2820" t="s">
        <v>36</v>
      </c>
      <c r="F2820" t="s">
        <v>1006</v>
      </c>
      <c r="G2820">
        <v>1895740</v>
      </c>
      <c r="H2820" t="s">
        <v>26</v>
      </c>
      <c r="I2820" t="s">
        <v>69</v>
      </c>
      <c r="J2820" t="str">
        <f>"9781118911419"</f>
        <v>9781118911419</v>
      </c>
      <c r="K2820" t="s">
        <v>5025</v>
      </c>
      <c r="L2820">
        <v>16</v>
      </c>
      <c r="O2820" t="s">
        <v>30</v>
      </c>
      <c r="P2820" t="s">
        <v>50</v>
      </c>
      <c r="S2820" t="s">
        <v>40</v>
      </c>
      <c r="T2820" t="s">
        <v>1008</v>
      </c>
      <c r="U2820">
        <v>378.1662</v>
      </c>
      <c r="V2820" s="3">
        <v>42082</v>
      </c>
    </row>
    <row r="2821" spans="1:22" x14ac:dyDescent="0.35">
      <c r="A2821" s="1">
        <v>42338.934120370373</v>
      </c>
      <c r="B2821" s="2">
        <v>5.3819444444444453E-3</v>
      </c>
      <c r="C2821" t="s">
        <v>5023</v>
      </c>
      <c r="D2821" t="s">
        <v>1222</v>
      </c>
      <c r="E2821" t="s">
        <v>1223</v>
      </c>
      <c r="F2821" t="s">
        <v>3808</v>
      </c>
      <c r="G2821">
        <v>1675475</v>
      </c>
      <c r="H2821" t="s">
        <v>91</v>
      </c>
      <c r="I2821" t="s">
        <v>247</v>
      </c>
      <c r="J2821" t="str">
        <f>"9781462514342"</f>
        <v>9781462514342</v>
      </c>
      <c r="K2821" t="s">
        <v>86</v>
      </c>
      <c r="L2821">
        <v>5</v>
      </c>
      <c r="O2821" t="s">
        <v>30</v>
      </c>
      <c r="P2821" t="s">
        <v>50</v>
      </c>
      <c r="S2821" t="s">
        <v>1226</v>
      </c>
      <c r="T2821" t="s">
        <v>3810</v>
      </c>
      <c r="U2821">
        <v>616.85883200000001</v>
      </c>
      <c r="V2821" s="3">
        <v>41830</v>
      </c>
    </row>
    <row r="2822" spans="1:22" x14ac:dyDescent="0.35">
      <c r="A2822" s="1">
        <v>42338.917442129627</v>
      </c>
      <c r="B2822" s="2">
        <v>2.9756944444444447E-2</v>
      </c>
      <c r="C2822" t="s">
        <v>106</v>
      </c>
      <c r="D2822" t="s">
        <v>23</v>
      </c>
      <c r="E2822" t="s">
        <v>24</v>
      </c>
      <c r="F2822" t="s">
        <v>4937</v>
      </c>
      <c r="G2822">
        <v>818101</v>
      </c>
      <c r="H2822" t="s">
        <v>26</v>
      </c>
      <c r="I2822" t="s">
        <v>4938</v>
      </c>
      <c r="J2822" t="str">
        <f>"9781118225844"</f>
        <v>9781118225844</v>
      </c>
      <c r="K2822" t="s">
        <v>5026</v>
      </c>
      <c r="L2822">
        <v>16</v>
      </c>
      <c r="O2822" t="s">
        <v>30</v>
      </c>
      <c r="P2822" t="s">
        <v>42</v>
      </c>
      <c r="S2822" t="s">
        <v>31</v>
      </c>
      <c r="T2822" t="s">
        <v>4940</v>
      </c>
      <c r="U2822" t="s">
        <v>4941</v>
      </c>
      <c r="V2822" s="3">
        <v>40947</v>
      </c>
    </row>
    <row r="2823" spans="1:22" x14ac:dyDescent="0.35">
      <c r="A2823" s="1">
        <v>42338.915069444447</v>
      </c>
      <c r="B2823" s="2">
        <v>2.3842592592592591E-3</v>
      </c>
      <c r="C2823" t="s">
        <v>5027</v>
      </c>
      <c r="D2823" t="s">
        <v>158</v>
      </c>
      <c r="E2823" t="s">
        <v>159</v>
      </c>
      <c r="F2823" t="s">
        <v>4405</v>
      </c>
      <c r="G2823">
        <v>1187185</v>
      </c>
      <c r="H2823" t="s">
        <v>26</v>
      </c>
      <c r="I2823" t="s">
        <v>4406</v>
      </c>
      <c r="J2823" t="str">
        <f>"9781118748183"</f>
        <v>9781118748183</v>
      </c>
      <c r="K2823" t="s">
        <v>5028</v>
      </c>
      <c r="L2823">
        <v>21</v>
      </c>
      <c r="O2823" t="s">
        <v>30</v>
      </c>
      <c r="P2823" t="s">
        <v>29</v>
      </c>
      <c r="Q2823" s="1">
        <v>42338.915069444447</v>
      </c>
      <c r="R2823">
        <v>7</v>
      </c>
      <c r="S2823" t="s">
        <v>163</v>
      </c>
      <c r="T2823" t="s">
        <v>4408</v>
      </c>
      <c r="U2823">
        <v>622.33799999999997</v>
      </c>
      <c r="V2823" s="3">
        <v>41400</v>
      </c>
    </row>
    <row r="2824" spans="1:22" x14ac:dyDescent="0.35">
      <c r="A2824" s="1">
        <v>42338.908275462964</v>
      </c>
      <c r="B2824" s="2">
        <v>1.8518518518518517E-3</v>
      </c>
      <c r="C2824" t="s">
        <v>5029</v>
      </c>
      <c r="D2824" t="s">
        <v>35</v>
      </c>
      <c r="E2824" t="s">
        <v>36</v>
      </c>
      <c r="F2824" t="s">
        <v>5030</v>
      </c>
      <c r="G2824">
        <v>1581908</v>
      </c>
      <c r="H2824" t="s">
        <v>68</v>
      </c>
      <c r="I2824" t="s">
        <v>38</v>
      </c>
      <c r="J2824" t="str">
        <f>"9781317788997"</f>
        <v>9781317788997</v>
      </c>
      <c r="K2824" t="s">
        <v>5031</v>
      </c>
      <c r="L2824">
        <v>18</v>
      </c>
      <c r="O2824" t="s">
        <v>30</v>
      </c>
      <c r="P2824" t="s">
        <v>50</v>
      </c>
      <c r="S2824" t="s">
        <v>40</v>
      </c>
      <c r="T2824" t="s">
        <v>5032</v>
      </c>
      <c r="U2824">
        <v>362.29088999999999</v>
      </c>
      <c r="V2824" s="3">
        <v>41624</v>
      </c>
    </row>
    <row r="2825" spans="1:22" x14ac:dyDescent="0.35">
      <c r="A2825" s="1">
        <v>42338.907881944448</v>
      </c>
      <c r="B2825" s="2">
        <v>7.1874999999999994E-3</v>
      </c>
      <c r="C2825" t="s">
        <v>5027</v>
      </c>
      <c r="D2825" t="s">
        <v>158</v>
      </c>
      <c r="E2825" t="s">
        <v>159</v>
      </c>
      <c r="F2825" t="s">
        <v>4405</v>
      </c>
      <c r="G2825">
        <v>1187185</v>
      </c>
      <c r="H2825" t="s">
        <v>26</v>
      </c>
      <c r="I2825" t="s">
        <v>4406</v>
      </c>
      <c r="J2825" t="str">
        <f>"9781118748183"</f>
        <v>9781118748183</v>
      </c>
      <c r="K2825" t="s">
        <v>151</v>
      </c>
      <c r="L2825">
        <v>9</v>
      </c>
      <c r="O2825" t="s">
        <v>30</v>
      </c>
      <c r="P2825" t="s">
        <v>42</v>
      </c>
      <c r="S2825" t="s">
        <v>163</v>
      </c>
      <c r="T2825" t="s">
        <v>4408</v>
      </c>
      <c r="U2825">
        <v>622.33799999999997</v>
      </c>
      <c r="V2825" s="3">
        <v>41400</v>
      </c>
    </row>
    <row r="2826" spans="1:22" x14ac:dyDescent="0.35">
      <c r="A2826" s="1">
        <v>42338.883599537039</v>
      </c>
      <c r="B2826" s="2">
        <v>6.7129629629629625E-4</v>
      </c>
      <c r="C2826" t="s">
        <v>5033</v>
      </c>
      <c r="D2826" t="s">
        <v>23</v>
      </c>
      <c r="E2826" t="s">
        <v>24</v>
      </c>
      <c r="F2826" t="s">
        <v>4594</v>
      </c>
      <c r="G2826">
        <v>1872281</v>
      </c>
      <c r="H2826" t="s">
        <v>91</v>
      </c>
      <c r="I2826" t="s">
        <v>2133</v>
      </c>
      <c r="J2826" t="str">
        <f>"9781462519606"</f>
        <v>9781462519606</v>
      </c>
      <c r="K2826" t="s">
        <v>5034</v>
      </c>
      <c r="L2826">
        <v>10</v>
      </c>
      <c r="O2826" t="s">
        <v>30</v>
      </c>
      <c r="P2826" t="s">
        <v>42</v>
      </c>
      <c r="S2826" t="s">
        <v>31</v>
      </c>
      <c r="T2826" t="s">
        <v>4596</v>
      </c>
      <c r="U2826">
        <v>378.101</v>
      </c>
      <c r="V2826" s="3">
        <v>42150</v>
      </c>
    </row>
    <row r="2827" spans="1:22" x14ac:dyDescent="0.35">
      <c r="A2827" s="1">
        <v>42338.870717592596</v>
      </c>
      <c r="B2827" s="2">
        <v>5.019675925925926E-2</v>
      </c>
      <c r="C2827" t="s">
        <v>4324</v>
      </c>
      <c r="D2827" t="s">
        <v>335</v>
      </c>
      <c r="E2827" t="s">
        <v>336</v>
      </c>
      <c r="F2827" t="s">
        <v>4325</v>
      </c>
      <c r="G2827">
        <v>1569869</v>
      </c>
      <c r="H2827" t="s">
        <v>68</v>
      </c>
      <c r="I2827" t="s">
        <v>219</v>
      </c>
      <c r="J2827" t="str">
        <f>"9781317799108"</f>
        <v>9781317799108</v>
      </c>
      <c r="K2827" t="s">
        <v>5035</v>
      </c>
      <c r="L2827">
        <v>15</v>
      </c>
      <c r="O2827" t="s">
        <v>30</v>
      </c>
      <c r="P2827" t="s">
        <v>47</v>
      </c>
      <c r="Q2827" s="1">
        <v>42338.870717592596</v>
      </c>
      <c r="R2827">
        <v>1</v>
      </c>
      <c r="S2827" t="s">
        <v>340</v>
      </c>
      <c r="T2827" t="s">
        <v>4327</v>
      </c>
      <c r="U2827">
        <v>154.63</v>
      </c>
      <c r="V2827" s="3">
        <v>41604</v>
      </c>
    </row>
    <row r="2828" spans="1:22" x14ac:dyDescent="0.35">
      <c r="A2828" s="1">
        <v>42338.864861111113</v>
      </c>
      <c r="B2828" s="2">
        <v>5.8564814814814825E-3</v>
      </c>
      <c r="C2828" t="s">
        <v>4324</v>
      </c>
      <c r="D2828" t="s">
        <v>335</v>
      </c>
      <c r="E2828" t="s">
        <v>336</v>
      </c>
      <c r="F2828" t="s">
        <v>4325</v>
      </c>
      <c r="G2828">
        <v>1569869</v>
      </c>
      <c r="H2828" t="s">
        <v>68</v>
      </c>
      <c r="I2828" t="s">
        <v>219</v>
      </c>
      <c r="J2828" t="str">
        <f>"9781317799108"</f>
        <v>9781317799108</v>
      </c>
      <c r="K2828" t="s">
        <v>217</v>
      </c>
      <c r="L2828">
        <v>12</v>
      </c>
      <c r="O2828" t="s">
        <v>30</v>
      </c>
      <c r="P2828" t="s">
        <v>50</v>
      </c>
      <c r="S2828" t="s">
        <v>340</v>
      </c>
      <c r="T2828" t="s">
        <v>4327</v>
      </c>
      <c r="U2828">
        <v>154.63</v>
      </c>
      <c r="V2828" s="3">
        <v>41604</v>
      </c>
    </row>
    <row r="2829" spans="1:22" x14ac:dyDescent="0.35">
      <c r="A2829" s="1">
        <v>42338.831782407404</v>
      </c>
      <c r="B2829" s="2">
        <v>0</v>
      </c>
      <c r="C2829" t="s">
        <v>4571</v>
      </c>
      <c r="D2829" t="s">
        <v>35</v>
      </c>
      <c r="E2829" t="s">
        <v>36</v>
      </c>
      <c r="F2829" t="s">
        <v>4572</v>
      </c>
      <c r="G2829">
        <v>1046302</v>
      </c>
      <c r="H2829" t="s">
        <v>84</v>
      </c>
      <c r="I2829" t="s">
        <v>1434</v>
      </c>
      <c r="J2829" t="str">
        <f>"9780520953543"</f>
        <v>9780520953543</v>
      </c>
      <c r="K2829" t="s">
        <v>1959</v>
      </c>
      <c r="L2829">
        <v>1</v>
      </c>
      <c r="O2829" t="s">
        <v>30</v>
      </c>
      <c r="P2829" t="s">
        <v>29</v>
      </c>
      <c r="Q2829" s="1">
        <v>42338.831782407404</v>
      </c>
      <c r="R2829">
        <v>7</v>
      </c>
      <c r="S2829" t="s">
        <v>40</v>
      </c>
      <c r="T2829" t="s">
        <v>4574</v>
      </c>
      <c r="U2829">
        <v>322.420973</v>
      </c>
      <c r="V2829" s="3">
        <v>41288</v>
      </c>
    </row>
    <row r="2830" spans="1:22" x14ac:dyDescent="0.35">
      <c r="A2830" s="1">
        <v>42338.828761574077</v>
      </c>
      <c r="B2830" s="2">
        <v>8.1018518518518516E-5</v>
      </c>
      <c r="C2830" t="s">
        <v>106</v>
      </c>
      <c r="D2830" t="s">
        <v>23</v>
      </c>
      <c r="E2830" t="s">
        <v>24</v>
      </c>
      <c r="F2830" t="s">
        <v>5036</v>
      </c>
      <c r="G2830">
        <v>1318206</v>
      </c>
      <c r="H2830" t="s">
        <v>26</v>
      </c>
      <c r="I2830" t="s">
        <v>5037</v>
      </c>
      <c r="J2830" t="str">
        <f>"9781118363560"</f>
        <v>9781118363560</v>
      </c>
      <c r="K2830" t="s">
        <v>63</v>
      </c>
      <c r="L2830">
        <v>1</v>
      </c>
      <c r="O2830" t="s">
        <v>28</v>
      </c>
      <c r="P2830" t="s">
        <v>29</v>
      </c>
      <c r="Q2830" s="1">
        <v>42338.828761574077</v>
      </c>
      <c r="R2830">
        <v>7</v>
      </c>
      <c r="S2830" t="s">
        <v>31</v>
      </c>
      <c r="T2830" t="s">
        <v>5038</v>
      </c>
      <c r="U2830" t="s">
        <v>5039</v>
      </c>
      <c r="V2830" s="3">
        <v>41470</v>
      </c>
    </row>
    <row r="2831" spans="1:22" x14ac:dyDescent="0.35">
      <c r="A2831" s="1">
        <v>42338.828761574077</v>
      </c>
      <c r="B2831" s="2">
        <v>0</v>
      </c>
      <c r="C2831" t="s">
        <v>106</v>
      </c>
      <c r="D2831" t="s">
        <v>23</v>
      </c>
      <c r="E2831" t="s">
        <v>24</v>
      </c>
      <c r="F2831" t="s">
        <v>5036</v>
      </c>
      <c r="G2831">
        <v>1318206</v>
      </c>
      <c r="H2831" t="s">
        <v>26</v>
      </c>
      <c r="I2831" t="s">
        <v>5037</v>
      </c>
      <c r="J2831" t="str">
        <f>"9781118363560"</f>
        <v>9781118363560</v>
      </c>
      <c r="L2831">
        <v>0</v>
      </c>
      <c r="O2831" t="s">
        <v>30</v>
      </c>
      <c r="P2831" t="s">
        <v>29</v>
      </c>
      <c r="Q2831" s="1">
        <v>42338.828761574077</v>
      </c>
      <c r="R2831">
        <v>7</v>
      </c>
      <c r="S2831" t="s">
        <v>31</v>
      </c>
      <c r="T2831" t="s">
        <v>5038</v>
      </c>
      <c r="U2831" t="s">
        <v>5039</v>
      </c>
      <c r="V2831" s="3">
        <v>41470</v>
      </c>
    </row>
    <row r="2832" spans="1:22" x14ac:dyDescent="0.35">
      <c r="A2832" s="1">
        <v>42338.828564814816</v>
      </c>
      <c r="B2832" s="2">
        <v>1.9675925925925926E-4</v>
      </c>
      <c r="C2832" t="s">
        <v>106</v>
      </c>
      <c r="D2832" t="s">
        <v>23</v>
      </c>
      <c r="E2832" t="s">
        <v>24</v>
      </c>
      <c r="F2832" t="s">
        <v>5036</v>
      </c>
      <c r="G2832">
        <v>1318206</v>
      </c>
      <c r="H2832" t="s">
        <v>26</v>
      </c>
      <c r="I2832" t="s">
        <v>5037</v>
      </c>
      <c r="J2832" t="str">
        <f>"9781118363560"</f>
        <v>9781118363560</v>
      </c>
      <c r="K2832" t="s">
        <v>5040</v>
      </c>
      <c r="L2832">
        <v>5</v>
      </c>
      <c r="O2832" t="s">
        <v>30</v>
      </c>
      <c r="P2832" t="s">
        <v>42</v>
      </c>
      <c r="S2832" t="s">
        <v>31</v>
      </c>
      <c r="T2832" t="s">
        <v>5038</v>
      </c>
      <c r="U2832" t="s">
        <v>5039</v>
      </c>
      <c r="V2832" s="3">
        <v>41470</v>
      </c>
    </row>
    <row r="2833" spans="1:22" x14ac:dyDescent="0.35">
      <c r="A2833" s="1">
        <v>42338.824386574073</v>
      </c>
      <c r="B2833" s="2">
        <v>8.9120370370370362E-4</v>
      </c>
      <c r="C2833" t="s">
        <v>5023</v>
      </c>
      <c r="D2833" t="s">
        <v>1222</v>
      </c>
      <c r="E2833" t="s">
        <v>1223</v>
      </c>
      <c r="F2833" t="s">
        <v>3808</v>
      </c>
      <c r="G2833">
        <v>1675475</v>
      </c>
      <c r="H2833" t="s">
        <v>91</v>
      </c>
      <c r="I2833" t="s">
        <v>247</v>
      </c>
      <c r="J2833" t="str">
        <f>"9781462514342"</f>
        <v>9781462514342</v>
      </c>
      <c r="K2833" t="s">
        <v>5041</v>
      </c>
      <c r="L2833">
        <v>20</v>
      </c>
      <c r="O2833" t="s">
        <v>30</v>
      </c>
      <c r="P2833" t="s">
        <v>50</v>
      </c>
      <c r="S2833" t="s">
        <v>1226</v>
      </c>
      <c r="T2833" t="s">
        <v>3810</v>
      </c>
      <c r="U2833">
        <v>616.85883200000001</v>
      </c>
      <c r="V2833" s="3">
        <v>41830</v>
      </c>
    </row>
    <row r="2834" spans="1:22" x14ac:dyDescent="0.35">
      <c r="A2834" s="1">
        <v>42338.820520833331</v>
      </c>
      <c r="B2834" s="2">
        <v>1.1261574074074071E-2</v>
      </c>
      <c r="C2834" t="s">
        <v>4571</v>
      </c>
      <c r="D2834" t="s">
        <v>35</v>
      </c>
      <c r="E2834" t="s">
        <v>36</v>
      </c>
      <c r="F2834" t="s">
        <v>4572</v>
      </c>
      <c r="G2834">
        <v>1046302</v>
      </c>
      <c r="H2834" t="s">
        <v>84</v>
      </c>
      <c r="I2834" t="s">
        <v>1434</v>
      </c>
      <c r="J2834" t="str">
        <f>"9780520953543"</f>
        <v>9780520953543</v>
      </c>
      <c r="K2834" t="s">
        <v>5042</v>
      </c>
      <c r="L2834">
        <v>10</v>
      </c>
      <c r="O2834" t="s">
        <v>30</v>
      </c>
      <c r="P2834" t="s">
        <v>42</v>
      </c>
      <c r="S2834" t="s">
        <v>40</v>
      </c>
      <c r="T2834" t="s">
        <v>4574</v>
      </c>
      <c r="U2834">
        <v>322.420973</v>
      </c>
      <c r="V2834" s="3">
        <v>41288</v>
      </c>
    </row>
    <row r="2835" spans="1:22" x14ac:dyDescent="0.35">
      <c r="A2835" s="1">
        <v>42338.797881944447</v>
      </c>
      <c r="B2835" s="2">
        <v>0</v>
      </c>
      <c r="C2835" t="s">
        <v>471</v>
      </c>
      <c r="D2835" t="s">
        <v>211</v>
      </c>
      <c r="E2835" t="s">
        <v>212</v>
      </c>
      <c r="F2835" t="s">
        <v>1182</v>
      </c>
      <c r="G2835">
        <v>1557279</v>
      </c>
      <c r="H2835" t="s">
        <v>26</v>
      </c>
      <c r="I2835" t="s">
        <v>97</v>
      </c>
      <c r="J2835" t="str">
        <f>"9781118863664"</f>
        <v>9781118863664</v>
      </c>
      <c r="L2835">
        <v>0</v>
      </c>
      <c r="M2835" t="s">
        <v>5043</v>
      </c>
      <c r="O2835" t="s">
        <v>30</v>
      </c>
      <c r="P2835" t="s">
        <v>29</v>
      </c>
      <c r="Q2835" s="1">
        <v>42338.797881944447</v>
      </c>
      <c r="R2835">
        <v>7</v>
      </c>
      <c r="S2835" t="s">
        <v>214</v>
      </c>
      <c r="T2835" t="s">
        <v>1183</v>
      </c>
      <c r="U2835">
        <v>657.37800000000004</v>
      </c>
      <c r="V2835" s="3">
        <v>41585</v>
      </c>
    </row>
    <row r="2836" spans="1:22" x14ac:dyDescent="0.35">
      <c r="A2836" s="1">
        <v>42338.796527777777</v>
      </c>
      <c r="B2836" s="2">
        <v>1.3541666666666667E-3</v>
      </c>
      <c r="C2836" t="s">
        <v>471</v>
      </c>
      <c r="D2836" t="s">
        <v>211</v>
      </c>
      <c r="E2836" t="s">
        <v>212</v>
      </c>
      <c r="F2836" t="s">
        <v>1182</v>
      </c>
      <c r="G2836">
        <v>1557279</v>
      </c>
      <c r="H2836" t="s">
        <v>26</v>
      </c>
      <c r="I2836" t="s">
        <v>97</v>
      </c>
      <c r="J2836" t="str">
        <f>"9781118863664"</f>
        <v>9781118863664</v>
      </c>
      <c r="K2836" t="s">
        <v>5044</v>
      </c>
      <c r="L2836">
        <v>8</v>
      </c>
      <c r="O2836" t="s">
        <v>30</v>
      </c>
      <c r="P2836" t="s">
        <v>42</v>
      </c>
      <c r="S2836" t="s">
        <v>214</v>
      </c>
      <c r="T2836" t="s">
        <v>1183</v>
      </c>
      <c r="U2836">
        <v>657.37800000000004</v>
      </c>
      <c r="V2836" s="3">
        <v>41585</v>
      </c>
    </row>
    <row r="2837" spans="1:22" x14ac:dyDescent="0.35">
      <c r="A2837" s="1">
        <v>42338.795694444445</v>
      </c>
      <c r="B2837" s="2">
        <v>1.7708333333333332E-3</v>
      </c>
      <c r="C2837" t="s">
        <v>5045</v>
      </c>
      <c r="D2837" t="s">
        <v>23</v>
      </c>
      <c r="E2837" t="s">
        <v>24</v>
      </c>
      <c r="F2837" t="s">
        <v>745</v>
      </c>
      <c r="G2837">
        <v>1166322</v>
      </c>
      <c r="H2837" t="s">
        <v>26</v>
      </c>
      <c r="I2837" t="s">
        <v>200</v>
      </c>
      <c r="J2837" t="str">
        <f>"9781118418512"</f>
        <v>9781118418512</v>
      </c>
      <c r="K2837" t="s">
        <v>5046</v>
      </c>
      <c r="L2837">
        <v>15</v>
      </c>
      <c r="O2837" t="s">
        <v>30</v>
      </c>
      <c r="P2837" t="s">
        <v>42</v>
      </c>
      <c r="S2837" t="s">
        <v>31</v>
      </c>
      <c r="T2837" t="s">
        <v>747</v>
      </c>
      <c r="U2837">
        <v>720.072</v>
      </c>
      <c r="V2837" s="3">
        <v>41367</v>
      </c>
    </row>
    <row r="2838" spans="1:22" x14ac:dyDescent="0.35">
      <c r="A2838" s="1">
        <v>42338.724641203706</v>
      </c>
      <c r="B2838" s="2">
        <v>3.4722222222222222E-5</v>
      </c>
      <c r="C2838" t="s">
        <v>5047</v>
      </c>
      <c r="D2838" t="s">
        <v>2519</v>
      </c>
      <c r="E2838" t="s">
        <v>2520</v>
      </c>
      <c r="F2838" t="s">
        <v>5048</v>
      </c>
      <c r="G2838">
        <v>2038622</v>
      </c>
      <c r="H2838" t="s">
        <v>45</v>
      </c>
      <c r="I2838" t="s">
        <v>200</v>
      </c>
      <c r="J2838" t="str">
        <f>"9781472437808"</f>
        <v>9781472437808</v>
      </c>
      <c r="K2838" t="s">
        <v>33</v>
      </c>
      <c r="L2838">
        <v>3</v>
      </c>
      <c r="O2838" t="s">
        <v>30</v>
      </c>
      <c r="P2838" t="s">
        <v>50</v>
      </c>
      <c r="S2838" t="s">
        <v>2523</v>
      </c>
      <c r="T2838">
        <v>2014042391</v>
      </c>
      <c r="U2838">
        <v>728.10940000000005</v>
      </c>
      <c r="V2838" s="3">
        <v>42153</v>
      </c>
    </row>
    <row r="2839" spans="1:22" x14ac:dyDescent="0.35">
      <c r="A2839" s="1">
        <v>42338.719004629631</v>
      </c>
      <c r="B2839" s="2">
        <v>1.4699074074074074E-3</v>
      </c>
      <c r="C2839" t="s">
        <v>5049</v>
      </c>
      <c r="D2839" t="s">
        <v>23</v>
      </c>
      <c r="E2839" t="s">
        <v>24</v>
      </c>
      <c r="F2839" t="s">
        <v>5050</v>
      </c>
      <c r="G2839">
        <v>1742624</v>
      </c>
      <c r="H2839" t="s">
        <v>526</v>
      </c>
      <c r="I2839" t="s">
        <v>79</v>
      </c>
      <c r="J2839" t="str">
        <f>"9780226145594"</f>
        <v>9780226145594</v>
      </c>
      <c r="K2839" t="s">
        <v>5051</v>
      </c>
      <c r="L2839">
        <v>9</v>
      </c>
      <c r="O2839" t="s">
        <v>30</v>
      </c>
      <c r="P2839" t="s">
        <v>47</v>
      </c>
      <c r="Q2839" s="1">
        <v>42338.718993055554</v>
      </c>
      <c r="R2839">
        <v>1</v>
      </c>
      <c r="S2839" t="s">
        <v>31</v>
      </c>
      <c r="T2839" t="s">
        <v>5052</v>
      </c>
      <c r="U2839" t="s">
        <v>5053</v>
      </c>
      <c r="V2839" s="3">
        <v>41871</v>
      </c>
    </row>
    <row r="2840" spans="1:22" x14ac:dyDescent="0.35">
      <c r="A2840" s="1">
        <v>42338.715486111112</v>
      </c>
      <c r="B2840" s="2">
        <v>3.5069444444444445E-3</v>
      </c>
      <c r="C2840" t="s">
        <v>5049</v>
      </c>
      <c r="D2840" t="s">
        <v>23</v>
      </c>
      <c r="E2840" t="s">
        <v>24</v>
      </c>
      <c r="F2840" t="s">
        <v>5050</v>
      </c>
      <c r="G2840">
        <v>1742624</v>
      </c>
      <c r="H2840" t="s">
        <v>526</v>
      </c>
      <c r="I2840" t="s">
        <v>79</v>
      </c>
      <c r="J2840" t="str">
        <f>"9780226145594"</f>
        <v>9780226145594</v>
      </c>
      <c r="K2840" t="s">
        <v>5054</v>
      </c>
      <c r="L2840">
        <v>14</v>
      </c>
      <c r="O2840" t="s">
        <v>30</v>
      </c>
      <c r="P2840" t="s">
        <v>50</v>
      </c>
      <c r="S2840" t="s">
        <v>31</v>
      </c>
      <c r="T2840" t="s">
        <v>5052</v>
      </c>
      <c r="U2840" t="s">
        <v>5053</v>
      </c>
      <c r="V2840" s="3">
        <v>41871</v>
      </c>
    </row>
    <row r="2841" spans="1:22" x14ac:dyDescent="0.35">
      <c r="A2841" s="1">
        <v>42338.70685185185</v>
      </c>
      <c r="B2841" s="2">
        <v>1.1574074074074073E-5</v>
      </c>
      <c r="C2841" t="s">
        <v>5055</v>
      </c>
      <c r="D2841" t="s">
        <v>35</v>
      </c>
      <c r="E2841" t="s">
        <v>36</v>
      </c>
      <c r="F2841" t="s">
        <v>5056</v>
      </c>
      <c r="G2841">
        <v>1815566</v>
      </c>
      <c r="H2841" t="s">
        <v>45</v>
      </c>
      <c r="I2841" t="s">
        <v>348</v>
      </c>
      <c r="J2841" t="str">
        <f>"9781472430083"</f>
        <v>9781472430083</v>
      </c>
      <c r="K2841" t="s">
        <v>5057</v>
      </c>
      <c r="L2841">
        <v>2</v>
      </c>
      <c r="O2841" t="s">
        <v>30</v>
      </c>
      <c r="P2841" t="s">
        <v>47</v>
      </c>
      <c r="Q2841" s="1">
        <v>42338.70685185185</v>
      </c>
      <c r="R2841">
        <v>1</v>
      </c>
      <c r="S2841" t="s">
        <v>40</v>
      </c>
      <c r="T2841" t="s">
        <v>5058</v>
      </c>
      <c r="U2841" t="s">
        <v>5059</v>
      </c>
      <c r="V2841" s="3">
        <v>42001</v>
      </c>
    </row>
    <row r="2842" spans="1:22" x14ac:dyDescent="0.35">
      <c r="A2842" s="1">
        <v>42338.7030787037</v>
      </c>
      <c r="B2842" s="2">
        <v>3.6342592592592594E-3</v>
      </c>
      <c r="C2842" t="s">
        <v>4907</v>
      </c>
      <c r="D2842" t="s">
        <v>23</v>
      </c>
      <c r="E2842" t="s">
        <v>24</v>
      </c>
      <c r="F2842" t="s">
        <v>4908</v>
      </c>
      <c r="G2842">
        <v>1659368</v>
      </c>
      <c r="H2842" t="s">
        <v>526</v>
      </c>
      <c r="I2842" t="s">
        <v>1407</v>
      </c>
      <c r="J2842" t="str">
        <f>"9780226127323"</f>
        <v>9780226127323</v>
      </c>
      <c r="K2842" t="s">
        <v>5060</v>
      </c>
      <c r="L2842">
        <v>12</v>
      </c>
      <c r="N2842" t="s">
        <v>5061</v>
      </c>
      <c r="O2842" t="s">
        <v>30</v>
      </c>
      <c r="P2842" t="s">
        <v>47</v>
      </c>
      <c r="Q2842" s="1">
        <v>42338.7030787037</v>
      </c>
      <c r="R2842">
        <v>1</v>
      </c>
      <c r="S2842" t="s">
        <v>31</v>
      </c>
      <c r="T2842" t="s">
        <v>4910</v>
      </c>
      <c r="U2842">
        <v>576.79999999999995</v>
      </c>
      <c r="V2842" s="3">
        <v>41684</v>
      </c>
    </row>
    <row r="2843" spans="1:22" x14ac:dyDescent="0.35">
      <c r="A2843" s="1">
        <v>42338.703055555554</v>
      </c>
      <c r="B2843" s="2">
        <v>2.3148148148148147E-5</v>
      </c>
      <c r="C2843" t="s">
        <v>4907</v>
      </c>
      <c r="D2843" t="s">
        <v>23</v>
      </c>
      <c r="E2843" t="s">
        <v>24</v>
      </c>
      <c r="F2843" t="s">
        <v>4908</v>
      </c>
      <c r="G2843">
        <v>1659368</v>
      </c>
      <c r="H2843" t="s">
        <v>526</v>
      </c>
      <c r="I2843" t="s">
        <v>1407</v>
      </c>
      <c r="J2843" t="str">
        <f>"9780226127323"</f>
        <v>9780226127323</v>
      </c>
      <c r="L2843">
        <v>0</v>
      </c>
      <c r="O2843" t="s">
        <v>30</v>
      </c>
      <c r="P2843" t="s">
        <v>50</v>
      </c>
      <c r="S2843" t="s">
        <v>31</v>
      </c>
      <c r="T2843" t="s">
        <v>4910</v>
      </c>
      <c r="U2843">
        <v>576.79999999999995</v>
      </c>
      <c r="V2843" s="3">
        <v>41684</v>
      </c>
    </row>
    <row r="2844" spans="1:22" x14ac:dyDescent="0.35">
      <c r="A2844" s="1">
        <v>42338.699918981481</v>
      </c>
      <c r="B2844" s="2">
        <v>6.9328703703703696E-3</v>
      </c>
      <c r="C2844" t="s">
        <v>5055</v>
      </c>
      <c r="D2844" t="s">
        <v>35</v>
      </c>
      <c r="E2844" t="s">
        <v>36</v>
      </c>
      <c r="F2844" t="s">
        <v>5056</v>
      </c>
      <c r="G2844">
        <v>1815566</v>
      </c>
      <c r="H2844" t="s">
        <v>45</v>
      </c>
      <c r="I2844" t="s">
        <v>348</v>
      </c>
      <c r="J2844" t="str">
        <f>"9781472430083"</f>
        <v>9781472430083</v>
      </c>
      <c r="K2844" t="s">
        <v>552</v>
      </c>
      <c r="L2844">
        <v>9</v>
      </c>
      <c r="O2844" t="s">
        <v>30</v>
      </c>
      <c r="P2844" t="s">
        <v>50</v>
      </c>
      <c r="S2844" t="s">
        <v>40</v>
      </c>
      <c r="T2844" t="s">
        <v>5058</v>
      </c>
      <c r="U2844" t="s">
        <v>5059</v>
      </c>
      <c r="V2844" s="3">
        <v>42001</v>
      </c>
    </row>
    <row r="2845" spans="1:22" x14ac:dyDescent="0.35">
      <c r="A2845" s="1">
        <v>42338.68644675926</v>
      </c>
      <c r="B2845" s="2">
        <v>4.2824074074074075E-3</v>
      </c>
      <c r="C2845" t="s">
        <v>5062</v>
      </c>
      <c r="D2845" t="s">
        <v>35</v>
      </c>
      <c r="E2845" t="s">
        <v>36</v>
      </c>
      <c r="F2845" t="s">
        <v>1547</v>
      </c>
      <c r="G2845">
        <v>848510</v>
      </c>
      <c r="H2845" t="s">
        <v>26</v>
      </c>
      <c r="I2845" t="s">
        <v>247</v>
      </c>
      <c r="J2845" t="str">
        <f>"9781118220481"</f>
        <v>9781118220481</v>
      </c>
      <c r="K2845" t="s">
        <v>5063</v>
      </c>
      <c r="L2845">
        <v>27</v>
      </c>
      <c r="O2845" t="s">
        <v>30</v>
      </c>
      <c r="P2845" t="s">
        <v>42</v>
      </c>
      <c r="S2845" t="s">
        <v>40</v>
      </c>
      <c r="T2845" t="s">
        <v>1548</v>
      </c>
      <c r="U2845" t="s">
        <v>1549</v>
      </c>
      <c r="V2845" s="3">
        <v>41066</v>
      </c>
    </row>
    <row r="2846" spans="1:22" x14ac:dyDescent="0.35">
      <c r="A2846" s="1">
        <v>42338.684317129628</v>
      </c>
      <c r="B2846" s="2">
        <v>1.8865740740740742E-3</v>
      </c>
      <c r="C2846" t="s">
        <v>5062</v>
      </c>
      <c r="D2846" t="s">
        <v>35</v>
      </c>
      <c r="E2846" t="s">
        <v>36</v>
      </c>
      <c r="F2846" t="s">
        <v>5064</v>
      </c>
      <c r="G2846">
        <v>306742</v>
      </c>
      <c r="H2846" t="s">
        <v>91</v>
      </c>
      <c r="I2846" t="s">
        <v>247</v>
      </c>
      <c r="J2846" t="str">
        <f>"9781593855093"</f>
        <v>9781593855093</v>
      </c>
      <c r="K2846" t="s">
        <v>5065</v>
      </c>
      <c r="L2846">
        <v>15</v>
      </c>
      <c r="O2846" t="s">
        <v>30</v>
      </c>
      <c r="P2846" t="s">
        <v>50</v>
      </c>
      <c r="S2846" t="s">
        <v>40</v>
      </c>
      <c r="T2846" t="s">
        <v>5066</v>
      </c>
      <c r="U2846">
        <v>616.89139999999998</v>
      </c>
      <c r="V2846" s="3">
        <v>41773</v>
      </c>
    </row>
    <row r="2847" spans="1:22" x14ac:dyDescent="0.35">
      <c r="A2847" s="1">
        <v>42338.663287037038</v>
      </c>
      <c r="B2847" s="2">
        <v>0.13217592592592592</v>
      </c>
      <c r="C2847" t="s">
        <v>4788</v>
      </c>
      <c r="D2847" t="s">
        <v>146</v>
      </c>
      <c r="E2847" t="s">
        <v>147</v>
      </c>
      <c r="F2847" t="s">
        <v>4789</v>
      </c>
      <c r="G2847">
        <v>1337535</v>
      </c>
      <c r="H2847" t="s">
        <v>68</v>
      </c>
      <c r="I2847" t="s">
        <v>69</v>
      </c>
      <c r="J2847" t="str">
        <f>"9781317925910"</f>
        <v>9781317925910</v>
      </c>
      <c r="K2847" t="s">
        <v>5067</v>
      </c>
      <c r="L2847">
        <v>31</v>
      </c>
      <c r="O2847" t="s">
        <v>30</v>
      </c>
      <c r="P2847" t="s">
        <v>47</v>
      </c>
      <c r="Q2847" s="1">
        <v>42338.663287037038</v>
      </c>
      <c r="R2847">
        <v>1</v>
      </c>
      <c r="S2847" t="s">
        <v>4791</v>
      </c>
      <c r="T2847" t="s">
        <v>4792</v>
      </c>
      <c r="U2847">
        <v>371.10199999999998</v>
      </c>
      <c r="V2847" s="3">
        <v>41492</v>
      </c>
    </row>
    <row r="2848" spans="1:22" x14ac:dyDescent="0.35">
      <c r="A2848" s="1">
        <v>42338.652662037035</v>
      </c>
      <c r="B2848" s="2">
        <v>7.3495370370370372E-3</v>
      </c>
      <c r="C2848" t="s">
        <v>210</v>
      </c>
      <c r="D2848" t="s">
        <v>211</v>
      </c>
      <c r="E2848" t="s">
        <v>212</v>
      </c>
      <c r="F2848" t="s">
        <v>2200</v>
      </c>
      <c r="G2848">
        <v>1119449</v>
      </c>
      <c r="H2848" t="s">
        <v>26</v>
      </c>
      <c r="I2848" t="s">
        <v>219</v>
      </c>
      <c r="J2848" t="str">
        <f>"9781118482230"</f>
        <v>9781118482230</v>
      </c>
      <c r="K2848" t="s">
        <v>5068</v>
      </c>
      <c r="L2848">
        <v>56</v>
      </c>
      <c r="O2848" t="s">
        <v>30</v>
      </c>
      <c r="P2848" t="s">
        <v>29</v>
      </c>
      <c r="Q2848" s="1">
        <v>42338.652662037035</v>
      </c>
      <c r="R2848">
        <v>7</v>
      </c>
      <c r="S2848" t="s">
        <v>214</v>
      </c>
      <c r="T2848" t="s">
        <v>2203</v>
      </c>
      <c r="U2848" t="s">
        <v>2204</v>
      </c>
      <c r="V2848" s="3">
        <v>41302</v>
      </c>
    </row>
    <row r="2849" spans="1:22" x14ac:dyDescent="0.35">
      <c r="A2849" s="1">
        <v>42338.645312499997</v>
      </c>
      <c r="B2849" s="2">
        <v>1.7974537037037035E-2</v>
      </c>
      <c r="C2849" t="s">
        <v>4788</v>
      </c>
      <c r="D2849" t="s">
        <v>146</v>
      </c>
      <c r="E2849" t="s">
        <v>147</v>
      </c>
      <c r="F2849" t="s">
        <v>4789</v>
      </c>
      <c r="G2849">
        <v>1337535</v>
      </c>
      <c r="H2849" t="s">
        <v>68</v>
      </c>
      <c r="I2849" t="s">
        <v>69</v>
      </c>
      <c r="J2849" t="str">
        <f>"9781317925910"</f>
        <v>9781317925910</v>
      </c>
      <c r="K2849" t="s">
        <v>5069</v>
      </c>
      <c r="L2849">
        <v>18</v>
      </c>
      <c r="O2849" t="s">
        <v>30</v>
      </c>
      <c r="P2849" t="s">
        <v>50</v>
      </c>
      <c r="S2849" t="s">
        <v>4791</v>
      </c>
      <c r="T2849" t="s">
        <v>4792</v>
      </c>
      <c r="U2849">
        <v>371.10199999999998</v>
      </c>
      <c r="V2849" s="3">
        <v>41492</v>
      </c>
    </row>
    <row r="2850" spans="1:22" x14ac:dyDescent="0.35">
      <c r="A2850" s="1">
        <v>42338.645173611112</v>
      </c>
      <c r="B2850" s="2">
        <v>7.4884259259259262E-3</v>
      </c>
      <c r="C2850" t="s">
        <v>210</v>
      </c>
      <c r="D2850" t="s">
        <v>211</v>
      </c>
      <c r="E2850" t="s">
        <v>212</v>
      </c>
      <c r="F2850" t="s">
        <v>2200</v>
      </c>
      <c r="G2850">
        <v>1119449</v>
      </c>
      <c r="H2850" t="s">
        <v>26</v>
      </c>
      <c r="I2850" t="s">
        <v>219</v>
      </c>
      <c r="J2850" t="str">
        <f>"9781118482230"</f>
        <v>9781118482230</v>
      </c>
      <c r="K2850" t="s">
        <v>5070</v>
      </c>
      <c r="L2850">
        <v>38</v>
      </c>
      <c r="O2850" t="s">
        <v>30</v>
      </c>
      <c r="P2850" t="s">
        <v>42</v>
      </c>
      <c r="S2850" t="s">
        <v>214</v>
      </c>
      <c r="T2850" t="s">
        <v>2203</v>
      </c>
      <c r="U2850" t="s">
        <v>2204</v>
      </c>
      <c r="V2850" s="3">
        <v>41302</v>
      </c>
    </row>
    <row r="2851" spans="1:22" x14ac:dyDescent="0.35">
      <c r="A2851" s="1">
        <v>42338.638287037036</v>
      </c>
      <c r="B2851" s="2">
        <v>3.1250000000000001E-4</v>
      </c>
      <c r="C2851" t="s">
        <v>3114</v>
      </c>
      <c r="D2851" t="s">
        <v>35</v>
      </c>
      <c r="E2851" t="s">
        <v>36</v>
      </c>
      <c r="F2851" t="s">
        <v>2649</v>
      </c>
      <c r="G2851">
        <v>1143522</v>
      </c>
      <c r="H2851" t="s">
        <v>26</v>
      </c>
      <c r="I2851" t="s">
        <v>172</v>
      </c>
      <c r="J2851" t="str">
        <f>"9781118257197"</f>
        <v>9781118257197</v>
      </c>
      <c r="K2851" t="s">
        <v>5071</v>
      </c>
      <c r="L2851">
        <v>10</v>
      </c>
      <c r="O2851" t="s">
        <v>30</v>
      </c>
      <c r="P2851" t="s">
        <v>42</v>
      </c>
      <c r="S2851" t="s">
        <v>40</v>
      </c>
      <c r="T2851" t="s">
        <v>2651</v>
      </c>
      <c r="U2851">
        <v>972</v>
      </c>
      <c r="V2851" s="3">
        <v>41334</v>
      </c>
    </row>
    <row r="2852" spans="1:22" x14ac:dyDescent="0.35">
      <c r="A2852" s="1">
        <v>42338.617604166669</v>
      </c>
      <c r="B2852" s="2">
        <v>3.4722222222222222E-5</v>
      </c>
      <c r="C2852" t="s">
        <v>5072</v>
      </c>
      <c r="D2852" t="s">
        <v>146</v>
      </c>
      <c r="E2852" t="s">
        <v>147</v>
      </c>
      <c r="F2852" t="s">
        <v>4789</v>
      </c>
      <c r="G2852">
        <v>1337535</v>
      </c>
      <c r="H2852" t="s">
        <v>68</v>
      </c>
      <c r="I2852" t="s">
        <v>69</v>
      </c>
      <c r="J2852" t="str">
        <f>"9781317925910"</f>
        <v>9781317925910</v>
      </c>
      <c r="K2852" t="s">
        <v>33</v>
      </c>
      <c r="L2852">
        <v>3</v>
      </c>
      <c r="O2852" t="s">
        <v>30</v>
      </c>
      <c r="P2852" t="s">
        <v>50</v>
      </c>
      <c r="S2852" t="s">
        <v>5073</v>
      </c>
      <c r="T2852" t="s">
        <v>4792</v>
      </c>
      <c r="U2852">
        <v>371.10199999999998</v>
      </c>
      <c r="V2852" s="3">
        <v>41492</v>
      </c>
    </row>
    <row r="2853" spans="1:22" x14ac:dyDescent="0.35">
      <c r="A2853" s="1">
        <v>42338.609791666669</v>
      </c>
      <c r="B2853" s="2">
        <v>0.12152777777777778</v>
      </c>
      <c r="C2853" t="s">
        <v>5074</v>
      </c>
      <c r="D2853" t="s">
        <v>261</v>
      </c>
      <c r="E2853" t="s">
        <v>262</v>
      </c>
      <c r="F2853" t="s">
        <v>1547</v>
      </c>
      <c r="G2853">
        <v>848510</v>
      </c>
      <c r="H2853" t="s">
        <v>26</v>
      </c>
      <c r="I2853" t="s">
        <v>247</v>
      </c>
      <c r="J2853" t="str">
        <f>"9781118220481"</f>
        <v>9781118220481</v>
      </c>
      <c r="K2853" t="s">
        <v>5075</v>
      </c>
      <c r="L2853">
        <v>22</v>
      </c>
      <c r="O2853" t="s">
        <v>30</v>
      </c>
      <c r="P2853" t="s">
        <v>29</v>
      </c>
      <c r="Q2853" s="1">
        <v>42338.609791666669</v>
      </c>
      <c r="R2853">
        <v>7</v>
      </c>
      <c r="S2853" t="s">
        <v>264</v>
      </c>
      <c r="T2853" t="s">
        <v>1548</v>
      </c>
      <c r="U2853" t="s">
        <v>1549</v>
      </c>
      <c r="V2853" s="3">
        <v>41066</v>
      </c>
    </row>
    <row r="2854" spans="1:22" x14ac:dyDescent="0.35">
      <c r="A2854" s="1">
        <v>42338.587256944447</v>
      </c>
      <c r="B2854" s="2">
        <v>2.2534722222222223E-2</v>
      </c>
      <c r="C2854" t="s">
        <v>5074</v>
      </c>
      <c r="D2854" t="s">
        <v>261</v>
      </c>
      <c r="E2854" t="s">
        <v>262</v>
      </c>
      <c r="F2854" t="s">
        <v>1547</v>
      </c>
      <c r="G2854">
        <v>848510</v>
      </c>
      <c r="H2854" t="s">
        <v>26</v>
      </c>
      <c r="I2854" t="s">
        <v>247</v>
      </c>
      <c r="J2854" t="str">
        <f>"9781118220481"</f>
        <v>9781118220481</v>
      </c>
      <c r="K2854" t="s">
        <v>5076</v>
      </c>
      <c r="L2854">
        <v>9</v>
      </c>
      <c r="O2854" t="s">
        <v>30</v>
      </c>
      <c r="P2854" t="s">
        <v>42</v>
      </c>
      <c r="S2854" t="s">
        <v>264</v>
      </c>
      <c r="T2854" t="s">
        <v>1548</v>
      </c>
      <c r="U2854" t="s">
        <v>1549</v>
      </c>
      <c r="V2854" s="3">
        <v>41066</v>
      </c>
    </row>
    <row r="2855" spans="1:22" x14ac:dyDescent="0.35">
      <c r="A2855" s="1">
        <v>42338.579837962963</v>
      </c>
      <c r="B2855" s="2">
        <v>1.0185185185185186E-3</v>
      </c>
      <c r="C2855" t="s">
        <v>5077</v>
      </c>
      <c r="D2855" t="s">
        <v>623</v>
      </c>
      <c r="E2855" t="s">
        <v>624</v>
      </c>
      <c r="F2855" t="s">
        <v>5078</v>
      </c>
      <c r="G2855">
        <v>2058062</v>
      </c>
      <c r="H2855" t="s">
        <v>45</v>
      </c>
      <c r="I2855" t="s">
        <v>108</v>
      </c>
      <c r="J2855" t="str">
        <f>"9781472446213"</f>
        <v>9781472446213</v>
      </c>
      <c r="K2855" t="s">
        <v>5079</v>
      </c>
      <c r="L2855">
        <v>26</v>
      </c>
      <c r="O2855" t="s">
        <v>30</v>
      </c>
      <c r="P2855" t="s">
        <v>50</v>
      </c>
      <c r="S2855" t="s">
        <v>627</v>
      </c>
      <c r="T2855" t="s">
        <v>5080</v>
      </c>
      <c r="U2855" t="s">
        <v>5081</v>
      </c>
      <c r="V2855" s="3">
        <v>42213</v>
      </c>
    </row>
    <row r="2856" spans="1:22" x14ac:dyDescent="0.35">
      <c r="A2856" s="1">
        <v>42338.575949074075</v>
      </c>
      <c r="B2856" s="2">
        <v>1.5393518518518519E-3</v>
      </c>
      <c r="C2856" t="s">
        <v>950</v>
      </c>
      <c r="D2856" t="s">
        <v>623</v>
      </c>
      <c r="E2856" t="s">
        <v>624</v>
      </c>
      <c r="F2856" t="s">
        <v>4472</v>
      </c>
      <c r="G2856">
        <v>1873101</v>
      </c>
      <c r="H2856" t="s">
        <v>26</v>
      </c>
      <c r="I2856" t="s">
        <v>69</v>
      </c>
      <c r="J2856" t="str">
        <f>"9781118762233"</f>
        <v>9781118762233</v>
      </c>
      <c r="K2856" t="s">
        <v>5082</v>
      </c>
      <c r="L2856">
        <v>19</v>
      </c>
      <c r="O2856" t="s">
        <v>30</v>
      </c>
      <c r="P2856" t="s">
        <v>42</v>
      </c>
      <c r="S2856" t="s">
        <v>627</v>
      </c>
      <c r="T2856" t="s">
        <v>4474</v>
      </c>
      <c r="U2856" t="s">
        <v>4475</v>
      </c>
      <c r="V2856" s="3">
        <v>41975</v>
      </c>
    </row>
    <row r="2857" spans="1:22" x14ac:dyDescent="0.35">
      <c r="A2857" s="1">
        <v>42338.573935185188</v>
      </c>
      <c r="B2857" s="2">
        <v>5.7870370370370366E-5</v>
      </c>
      <c r="C2857" t="s">
        <v>3731</v>
      </c>
      <c r="D2857" t="s">
        <v>360</v>
      </c>
      <c r="E2857" t="s">
        <v>361</v>
      </c>
      <c r="F2857" t="s">
        <v>5083</v>
      </c>
      <c r="G2857">
        <v>1895759</v>
      </c>
      <c r="H2857" t="s">
        <v>26</v>
      </c>
      <c r="I2857" t="s">
        <v>247</v>
      </c>
      <c r="J2857" t="str">
        <f>"9781118925287"</f>
        <v>9781118925287</v>
      </c>
      <c r="K2857" t="s">
        <v>5084</v>
      </c>
      <c r="L2857">
        <v>6</v>
      </c>
      <c r="O2857" t="s">
        <v>30</v>
      </c>
      <c r="P2857" t="s">
        <v>42</v>
      </c>
      <c r="S2857" t="s">
        <v>363</v>
      </c>
      <c r="T2857" t="s">
        <v>5085</v>
      </c>
      <c r="U2857">
        <v>617.60609999999997</v>
      </c>
      <c r="V2857" s="3">
        <v>42129</v>
      </c>
    </row>
    <row r="2858" spans="1:22" x14ac:dyDescent="0.35">
      <c r="A2858" s="1">
        <v>42338.538483796299</v>
      </c>
      <c r="B2858" s="2">
        <v>9.5729166666666657E-2</v>
      </c>
      <c r="C2858" t="s">
        <v>3672</v>
      </c>
      <c r="D2858" t="s">
        <v>35</v>
      </c>
      <c r="E2858" t="s">
        <v>36</v>
      </c>
      <c r="F2858" t="s">
        <v>3673</v>
      </c>
      <c r="G2858">
        <v>1816989</v>
      </c>
      <c r="H2858" t="s">
        <v>186</v>
      </c>
      <c r="I2858" t="s">
        <v>3674</v>
      </c>
      <c r="J2858" t="str">
        <f>"9781780644578"</f>
        <v>9781780644578</v>
      </c>
      <c r="K2858" t="s">
        <v>5086</v>
      </c>
      <c r="L2858">
        <v>27</v>
      </c>
      <c r="M2858" t="s">
        <v>5087</v>
      </c>
      <c r="O2858" t="s">
        <v>30</v>
      </c>
      <c r="P2858" t="s">
        <v>47</v>
      </c>
      <c r="Q2858" s="1">
        <v>42338.061261574076</v>
      </c>
      <c r="R2858">
        <v>1</v>
      </c>
      <c r="S2858" t="s">
        <v>40</v>
      </c>
      <c r="T2858" t="s">
        <v>3676</v>
      </c>
      <c r="U2858" t="s">
        <v>3677</v>
      </c>
      <c r="V2858" s="3">
        <v>41908</v>
      </c>
    </row>
    <row r="2859" spans="1:22" x14ac:dyDescent="0.35">
      <c r="A2859" s="1">
        <v>42338.272800925923</v>
      </c>
      <c r="B2859" s="2">
        <v>7.6388888888888893E-4</v>
      </c>
      <c r="C2859" t="s">
        <v>5088</v>
      </c>
      <c r="D2859" t="s">
        <v>623</v>
      </c>
      <c r="E2859" t="s">
        <v>624</v>
      </c>
      <c r="F2859" t="s">
        <v>5089</v>
      </c>
      <c r="G2859">
        <v>1835694</v>
      </c>
      <c r="H2859" t="s">
        <v>26</v>
      </c>
      <c r="I2859" t="s">
        <v>247</v>
      </c>
      <c r="J2859" t="str">
        <f>"9781118418970"</f>
        <v>9781118418970</v>
      </c>
      <c r="K2859" t="s">
        <v>5090</v>
      </c>
      <c r="L2859">
        <v>33</v>
      </c>
      <c r="O2859" t="s">
        <v>30</v>
      </c>
      <c r="P2859" t="s">
        <v>50</v>
      </c>
      <c r="S2859" t="s">
        <v>627</v>
      </c>
      <c r="T2859" t="s">
        <v>5091</v>
      </c>
      <c r="U2859" t="s">
        <v>5092</v>
      </c>
      <c r="V2859" s="3">
        <v>41950</v>
      </c>
    </row>
    <row r="2860" spans="1:22" x14ac:dyDescent="0.35">
      <c r="A2860" s="1">
        <v>42338.257465277777</v>
      </c>
      <c r="B2860" s="2">
        <v>1.6342592592592593E-2</v>
      </c>
      <c r="C2860" t="s">
        <v>4907</v>
      </c>
      <c r="D2860" t="s">
        <v>23</v>
      </c>
      <c r="E2860" t="s">
        <v>24</v>
      </c>
      <c r="F2860" t="s">
        <v>4908</v>
      </c>
      <c r="G2860">
        <v>1659368</v>
      </c>
      <c r="H2860" t="s">
        <v>526</v>
      </c>
      <c r="I2860" t="s">
        <v>1407</v>
      </c>
      <c r="J2860" t="str">
        <f>"9780226127323"</f>
        <v>9780226127323</v>
      </c>
      <c r="K2860" t="s">
        <v>5093</v>
      </c>
      <c r="L2860">
        <v>35</v>
      </c>
      <c r="O2860" t="s">
        <v>30</v>
      </c>
      <c r="P2860" t="s">
        <v>50</v>
      </c>
      <c r="S2860" t="s">
        <v>31</v>
      </c>
      <c r="T2860" t="s">
        <v>4910</v>
      </c>
      <c r="U2860">
        <v>576.79999999999995</v>
      </c>
      <c r="V2860" s="3">
        <v>41684</v>
      </c>
    </row>
    <row r="2861" spans="1:22" x14ac:dyDescent="0.35">
      <c r="A2861" s="1">
        <v>42338.257291666669</v>
      </c>
      <c r="B2861" s="2">
        <v>0</v>
      </c>
      <c r="C2861" t="s">
        <v>4907</v>
      </c>
      <c r="D2861" t="s">
        <v>23</v>
      </c>
      <c r="E2861" t="s">
        <v>24</v>
      </c>
      <c r="F2861" t="s">
        <v>1886</v>
      </c>
      <c r="G2861">
        <v>1692797</v>
      </c>
      <c r="H2861" t="s">
        <v>45</v>
      </c>
      <c r="I2861" t="s">
        <v>310</v>
      </c>
      <c r="J2861" t="str">
        <f>"9781472431509"</f>
        <v>9781472431509</v>
      </c>
      <c r="L2861">
        <v>0</v>
      </c>
      <c r="O2861" t="s">
        <v>30</v>
      </c>
      <c r="P2861" t="s">
        <v>42</v>
      </c>
      <c r="S2861" t="s">
        <v>31</v>
      </c>
      <c r="T2861" t="s">
        <v>1890</v>
      </c>
      <c r="U2861" t="s">
        <v>1891</v>
      </c>
      <c r="V2861" s="3">
        <v>41848</v>
      </c>
    </row>
    <row r="2862" spans="1:22" x14ac:dyDescent="0.35">
      <c r="A2862" s="1">
        <v>42338.240787037037</v>
      </c>
      <c r="B2862" s="2">
        <v>4.6412037037037038E-3</v>
      </c>
      <c r="C2862" t="s">
        <v>5094</v>
      </c>
      <c r="D2862" t="s">
        <v>23</v>
      </c>
      <c r="E2862" t="s">
        <v>24</v>
      </c>
      <c r="F2862" t="s">
        <v>4289</v>
      </c>
      <c r="G2862">
        <v>1120621</v>
      </c>
      <c r="H2862" t="s">
        <v>26</v>
      </c>
      <c r="I2862" t="s">
        <v>69</v>
      </c>
      <c r="J2862" t="str">
        <f>"9781118362679"</f>
        <v>9781118362679</v>
      </c>
      <c r="K2862" t="s">
        <v>5095</v>
      </c>
      <c r="L2862">
        <v>11</v>
      </c>
      <c r="O2862" t="s">
        <v>30</v>
      </c>
      <c r="P2862" t="s">
        <v>42</v>
      </c>
      <c r="S2862" t="s">
        <v>31</v>
      </c>
      <c r="T2862" t="s">
        <v>4290</v>
      </c>
      <c r="U2862" t="s">
        <v>4291</v>
      </c>
      <c r="V2862" s="3">
        <v>41136</v>
      </c>
    </row>
    <row r="2863" spans="1:22" x14ac:dyDescent="0.35">
      <c r="A2863" s="1">
        <v>42338.210972222223</v>
      </c>
      <c r="B2863" s="2">
        <v>3.1018518518518522E-3</v>
      </c>
      <c r="C2863" t="s">
        <v>4745</v>
      </c>
      <c r="D2863" t="s">
        <v>35</v>
      </c>
      <c r="E2863" t="s">
        <v>36</v>
      </c>
      <c r="F2863" t="s">
        <v>4763</v>
      </c>
      <c r="G2863">
        <v>1169445</v>
      </c>
      <c r="H2863" t="s">
        <v>26</v>
      </c>
      <c r="I2863" t="s">
        <v>97</v>
      </c>
      <c r="J2863" t="str">
        <f>"9781118663417"</f>
        <v>9781118663417</v>
      </c>
      <c r="K2863" t="s">
        <v>5096</v>
      </c>
      <c r="L2863">
        <v>25</v>
      </c>
      <c r="O2863" t="s">
        <v>30</v>
      </c>
      <c r="P2863" t="s">
        <v>50</v>
      </c>
      <c r="S2863" t="s">
        <v>40</v>
      </c>
      <c r="T2863" t="s">
        <v>4765</v>
      </c>
      <c r="U2863">
        <v>658.40920000000006</v>
      </c>
      <c r="V2863" s="3">
        <v>41373</v>
      </c>
    </row>
    <row r="2864" spans="1:22" x14ac:dyDescent="0.35">
      <c r="A2864" s="1">
        <v>42338.199537037035</v>
      </c>
      <c r="B2864" s="2">
        <v>1.689814814814815E-3</v>
      </c>
      <c r="C2864" t="s">
        <v>5097</v>
      </c>
      <c r="D2864" t="s">
        <v>23</v>
      </c>
      <c r="E2864" t="s">
        <v>24</v>
      </c>
      <c r="F2864" t="s">
        <v>5098</v>
      </c>
      <c r="G2864">
        <v>2054534</v>
      </c>
      <c r="H2864" t="s">
        <v>91</v>
      </c>
      <c r="I2864" t="s">
        <v>247</v>
      </c>
      <c r="J2864" t="str">
        <f>"9781462524150"</f>
        <v>9781462524150</v>
      </c>
      <c r="K2864" t="s">
        <v>5099</v>
      </c>
      <c r="L2864">
        <v>12</v>
      </c>
      <c r="O2864" t="s">
        <v>30</v>
      </c>
      <c r="P2864" t="s">
        <v>50</v>
      </c>
      <c r="S2864" t="s">
        <v>31</v>
      </c>
      <c r="T2864" t="s">
        <v>5100</v>
      </c>
      <c r="U2864">
        <v>616</v>
      </c>
      <c r="V2864" s="3">
        <v>42005</v>
      </c>
    </row>
    <row r="2865" spans="1:22" x14ac:dyDescent="0.35">
      <c r="A2865" s="1">
        <v>42338.190428240741</v>
      </c>
      <c r="B2865" s="2">
        <v>1.736111111111111E-3</v>
      </c>
      <c r="C2865" t="s">
        <v>5101</v>
      </c>
      <c r="D2865" t="s">
        <v>335</v>
      </c>
      <c r="E2865" t="s">
        <v>336</v>
      </c>
      <c r="F2865" t="s">
        <v>5102</v>
      </c>
      <c r="G2865">
        <v>4038442</v>
      </c>
      <c r="H2865" t="s">
        <v>26</v>
      </c>
      <c r="I2865" t="s">
        <v>97</v>
      </c>
      <c r="J2865" t="str">
        <f>"9781118761380"</f>
        <v>9781118761380</v>
      </c>
      <c r="K2865" t="s">
        <v>5103</v>
      </c>
      <c r="L2865">
        <v>10</v>
      </c>
      <c r="O2865" t="s">
        <v>30</v>
      </c>
      <c r="P2865" t="s">
        <v>50</v>
      </c>
      <c r="S2865" t="s">
        <v>340</v>
      </c>
      <c r="T2865" t="s">
        <v>5104</v>
      </c>
      <c r="U2865" t="s">
        <v>5105</v>
      </c>
      <c r="V2865" s="3">
        <v>41417</v>
      </c>
    </row>
    <row r="2866" spans="1:22" x14ac:dyDescent="0.35">
      <c r="A2866" s="1">
        <v>42338.188518518517</v>
      </c>
      <c r="B2866" s="2">
        <v>0</v>
      </c>
      <c r="C2866" t="s">
        <v>5106</v>
      </c>
      <c r="D2866" t="s">
        <v>158</v>
      </c>
      <c r="E2866" t="s">
        <v>159</v>
      </c>
      <c r="F2866" t="s">
        <v>1477</v>
      </c>
      <c r="G2866">
        <v>822111</v>
      </c>
      <c r="H2866" t="s">
        <v>26</v>
      </c>
      <c r="I2866" t="s">
        <v>120</v>
      </c>
      <c r="J2866" t="str">
        <f>"9781444356922"</f>
        <v>9781444356922</v>
      </c>
      <c r="L2866">
        <v>0</v>
      </c>
      <c r="M2866" t="s">
        <v>5107</v>
      </c>
      <c r="O2866" t="s">
        <v>30</v>
      </c>
      <c r="P2866" t="s">
        <v>29</v>
      </c>
      <c r="Q2866" s="1">
        <v>42338.188518518517</v>
      </c>
      <c r="R2866">
        <v>7</v>
      </c>
      <c r="S2866" t="s">
        <v>163</v>
      </c>
      <c r="T2866" t="s">
        <v>1479</v>
      </c>
      <c r="U2866" t="s">
        <v>1480</v>
      </c>
      <c r="V2866" s="3">
        <v>40955</v>
      </c>
    </row>
    <row r="2867" spans="1:22" x14ac:dyDescent="0.35">
      <c r="A2867" s="1">
        <v>42338.184988425928</v>
      </c>
      <c r="B2867" s="2">
        <v>3.530092592592592E-3</v>
      </c>
      <c r="C2867" t="s">
        <v>5106</v>
      </c>
      <c r="D2867" t="s">
        <v>158</v>
      </c>
      <c r="E2867" t="s">
        <v>159</v>
      </c>
      <c r="F2867" t="s">
        <v>1477</v>
      </c>
      <c r="G2867">
        <v>822111</v>
      </c>
      <c r="H2867" t="s">
        <v>26</v>
      </c>
      <c r="I2867" t="s">
        <v>120</v>
      </c>
      <c r="J2867" t="str">
        <f>"9781444356922"</f>
        <v>9781444356922</v>
      </c>
      <c r="K2867" t="s">
        <v>5108</v>
      </c>
      <c r="L2867">
        <v>13</v>
      </c>
      <c r="O2867" t="s">
        <v>30</v>
      </c>
      <c r="P2867" t="s">
        <v>42</v>
      </c>
      <c r="S2867" t="s">
        <v>163</v>
      </c>
      <c r="T2867" t="s">
        <v>1479</v>
      </c>
      <c r="U2867" t="s">
        <v>1480</v>
      </c>
      <c r="V2867" s="3">
        <v>40955</v>
      </c>
    </row>
    <row r="2868" spans="1:22" x14ac:dyDescent="0.35">
      <c r="A2868" s="1">
        <v>42338.184861111113</v>
      </c>
      <c r="B2868" s="2">
        <v>4.6296296296296294E-5</v>
      </c>
      <c r="C2868" t="s">
        <v>5106</v>
      </c>
      <c r="D2868" t="s">
        <v>158</v>
      </c>
      <c r="E2868" t="s">
        <v>159</v>
      </c>
      <c r="F2868" t="s">
        <v>1477</v>
      </c>
      <c r="G2868">
        <v>822111</v>
      </c>
      <c r="H2868" t="s">
        <v>26</v>
      </c>
      <c r="I2868" t="s">
        <v>120</v>
      </c>
      <c r="J2868" t="str">
        <f>"9781444356922"</f>
        <v>9781444356922</v>
      </c>
      <c r="K2868" t="s">
        <v>5109</v>
      </c>
      <c r="L2868">
        <v>2</v>
      </c>
      <c r="O2868" t="s">
        <v>30</v>
      </c>
      <c r="P2868" t="s">
        <v>42</v>
      </c>
      <c r="S2868" t="s">
        <v>163</v>
      </c>
      <c r="T2868" t="s">
        <v>1479</v>
      </c>
      <c r="U2868" t="s">
        <v>1480</v>
      </c>
      <c r="V2868" s="3">
        <v>40955</v>
      </c>
    </row>
    <row r="2869" spans="1:22" x14ac:dyDescent="0.35">
      <c r="A2869" s="1">
        <v>42338.183113425926</v>
      </c>
      <c r="B2869" s="2">
        <v>4.9189814814814816E-3</v>
      </c>
      <c r="C2869" t="s">
        <v>5110</v>
      </c>
      <c r="D2869" t="s">
        <v>158</v>
      </c>
      <c r="E2869" t="s">
        <v>159</v>
      </c>
      <c r="F2869" t="s">
        <v>5111</v>
      </c>
      <c r="G2869">
        <v>1501429</v>
      </c>
      <c r="H2869" t="s">
        <v>26</v>
      </c>
      <c r="I2869" t="s">
        <v>108</v>
      </c>
      <c r="J2869" t="str">
        <f>"9781118783733"</f>
        <v>9781118783733</v>
      </c>
      <c r="K2869" t="s">
        <v>5112</v>
      </c>
      <c r="L2869">
        <v>21</v>
      </c>
      <c r="O2869" t="s">
        <v>30</v>
      </c>
      <c r="P2869" t="s">
        <v>42</v>
      </c>
      <c r="S2869" t="s">
        <v>163</v>
      </c>
      <c r="T2869" t="s">
        <v>5113</v>
      </c>
      <c r="U2869">
        <v>332.024</v>
      </c>
      <c r="V2869" s="3">
        <v>41570</v>
      </c>
    </row>
    <row r="2870" spans="1:22" x14ac:dyDescent="0.35">
      <c r="A2870" s="1">
        <v>42338.16951388889</v>
      </c>
      <c r="B2870" s="2">
        <v>4.1666666666666669E-4</v>
      </c>
      <c r="C2870" t="s">
        <v>5114</v>
      </c>
      <c r="D2870" t="s">
        <v>261</v>
      </c>
      <c r="E2870" t="s">
        <v>262</v>
      </c>
      <c r="F2870" t="s">
        <v>5115</v>
      </c>
      <c r="G2870">
        <v>1209617</v>
      </c>
      <c r="H2870" t="s">
        <v>26</v>
      </c>
      <c r="I2870" t="s">
        <v>426</v>
      </c>
      <c r="J2870" t="str">
        <f>"9781118423981"</f>
        <v>9781118423981</v>
      </c>
      <c r="K2870" t="s">
        <v>5116</v>
      </c>
      <c r="L2870">
        <v>11</v>
      </c>
      <c r="O2870" t="s">
        <v>30</v>
      </c>
      <c r="P2870" t="s">
        <v>50</v>
      </c>
      <c r="S2870" t="s">
        <v>264</v>
      </c>
      <c r="T2870" t="s">
        <v>5117</v>
      </c>
      <c r="U2870" t="s">
        <v>5118</v>
      </c>
      <c r="V2870" s="3">
        <v>41424</v>
      </c>
    </row>
    <row r="2871" spans="1:22" x14ac:dyDescent="0.35">
      <c r="A2871" s="1">
        <v>42338.153935185182</v>
      </c>
      <c r="B2871" s="2">
        <v>4.7453703703703703E-3</v>
      </c>
      <c r="C2871" t="s">
        <v>106</v>
      </c>
      <c r="D2871" t="s">
        <v>23</v>
      </c>
      <c r="E2871" t="s">
        <v>24</v>
      </c>
      <c r="F2871" t="s">
        <v>3973</v>
      </c>
      <c r="G2871">
        <v>771049</v>
      </c>
      <c r="H2871" t="s">
        <v>3465</v>
      </c>
      <c r="I2871" t="s">
        <v>3974</v>
      </c>
      <c r="J2871" t="str">
        <f>"9781608706648"</f>
        <v>9781608706648</v>
      </c>
      <c r="K2871" t="s">
        <v>5119</v>
      </c>
      <c r="L2871">
        <v>12</v>
      </c>
      <c r="O2871" t="s">
        <v>30</v>
      </c>
      <c r="P2871" t="s">
        <v>29</v>
      </c>
      <c r="Q2871" s="1">
        <v>42338.153935185182</v>
      </c>
      <c r="R2871">
        <v>7</v>
      </c>
      <c r="S2871" t="s">
        <v>31</v>
      </c>
      <c r="T2871" t="s">
        <v>3976</v>
      </c>
      <c r="U2871">
        <v>363.73874000000001</v>
      </c>
      <c r="V2871" s="3">
        <v>40909</v>
      </c>
    </row>
    <row r="2872" spans="1:22" x14ac:dyDescent="0.35">
      <c r="A2872" s="1">
        <v>42338.144097222219</v>
      </c>
      <c r="B2872" s="2">
        <v>9.8379629629629633E-3</v>
      </c>
      <c r="C2872" t="s">
        <v>106</v>
      </c>
      <c r="D2872" t="s">
        <v>23</v>
      </c>
      <c r="E2872" t="s">
        <v>24</v>
      </c>
      <c r="F2872" t="s">
        <v>3973</v>
      </c>
      <c r="G2872">
        <v>771049</v>
      </c>
      <c r="H2872" t="s">
        <v>3465</v>
      </c>
      <c r="I2872" t="s">
        <v>3974</v>
      </c>
      <c r="J2872" t="str">
        <f>"9781608706648"</f>
        <v>9781608706648</v>
      </c>
      <c r="K2872" t="s">
        <v>2582</v>
      </c>
      <c r="L2872">
        <v>8</v>
      </c>
      <c r="O2872" t="s">
        <v>30</v>
      </c>
      <c r="P2872" t="s">
        <v>42</v>
      </c>
      <c r="S2872" t="s">
        <v>31</v>
      </c>
      <c r="T2872" t="s">
        <v>3976</v>
      </c>
      <c r="U2872">
        <v>363.73874000000001</v>
      </c>
      <c r="V2872" s="3">
        <v>40909</v>
      </c>
    </row>
    <row r="2873" spans="1:22" x14ac:dyDescent="0.35">
      <c r="A2873" s="1">
        <v>42338.127453703702</v>
      </c>
      <c r="B2873" s="2">
        <v>7.7604166666666669E-2</v>
      </c>
      <c r="C2873" t="s">
        <v>4745</v>
      </c>
      <c r="D2873" t="s">
        <v>35</v>
      </c>
      <c r="E2873" t="s">
        <v>36</v>
      </c>
      <c r="F2873" t="s">
        <v>5120</v>
      </c>
      <c r="G2873">
        <v>1337521</v>
      </c>
      <c r="H2873" t="s">
        <v>68</v>
      </c>
      <c r="I2873" t="s">
        <v>69</v>
      </c>
      <c r="J2873" t="str">
        <f>"9781317922049"</f>
        <v>9781317922049</v>
      </c>
      <c r="K2873" t="s">
        <v>5121</v>
      </c>
      <c r="L2873">
        <v>45</v>
      </c>
      <c r="O2873" t="s">
        <v>30</v>
      </c>
      <c r="P2873" t="s">
        <v>29</v>
      </c>
      <c r="Q2873" s="1">
        <v>42338.127453703702</v>
      </c>
      <c r="R2873">
        <v>7</v>
      </c>
      <c r="S2873" t="s">
        <v>40</v>
      </c>
      <c r="T2873" t="s">
        <v>5122</v>
      </c>
      <c r="U2873">
        <v>371.20097299999998</v>
      </c>
      <c r="V2873" s="3">
        <v>41492</v>
      </c>
    </row>
    <row r="2874" spans="1:22" x14ac:dyDescent="0.35">
      <c r="A2874" s="1">
        <v>42338.120462962965</v>
      </c>
      <c r="B2874" s="2">
        <v>3.2407407407407406E-4</v>
      </c>
      <c r="C2874" t="s">
        <v>4508</v>
      </c>
      <c r="D2874" t="s">
        <v>335</v>
      </c>
      <c r="E2874" t="s">
        <v>336</v>
      </c>
      <c r="F2874" t="s">
        <v>4509</v>
      </c>
      <c r="G2874">
        <v>1986937</v>
      </c>
      <c r="H2874" t="s">
        <v>26</v>
      </c>
      <c r="I2874" t="s">
        <v>1724</v>
      </c>
      <c r="J2874" t="str">
        <f>"9781118760345"</f>
        <v>9781118760345</v>
      </c>
      <c r="K2874" t="s">
        <v>5123</v>
      </c>
      <c r="L2874">
        <v>37</v>
      </c>
      <c r="O2874" t="s">
        <v>30</v>
      </c>
      <c r="P2874" t="s">
        <v>47</v>
      </c>
      <c r="Q2874" s="1">
        <v>42338.120462962965</v>
      </c>
      <c r="R2874">
        <v>1</v>
      </c>
      <c r="S2874" t="s">
        <v>340</v>
      </c>
      <c r="T2874" t="s">
        <v>4512</v>
      </c>
      <c r="U2874">
        <v>614.15</v>
      </c>
      <c r="V2874" s="3">
        <v>42058</v>
      </c>
    </row>
    <row r="2875" spans="1:22" x14ac:dyDescent="0.35">
      <c r="A2875" s="1">
        <v>42338.119687500002</v>
      </c>
      <c r="B2875" s="2">
        <v>7.7662037037037031E-3</v>
      </c>
      <c r="C2875" t="s">
        <v>4745</v>
      </c>
      <c r="D2875" t="s">
        <v>35</v>
      </c>
      <c r="E2875" t="s">
        <v>36</v>
      </c>
      <c r="F2875" t="s">
        <v>5120</v>
      </c>
      <c r="G2875">
        <v>1337521</v>
      </c>
      <c r="H2875" t="s">
        <v>68</v>
      </c>
      <c r="I2875" t="s">
        <v>69</v>
      </c>
      <c r="J2875" t="str">
        <f>"9781317922049"</f>
        <v>9781317922049</v>
      </c>
      <c r="K2875" t="s">
        <v>5124</v>
      </c>
      <c r="L2875">
        <v>16</v>
      </c>
      <c r="O2875" t="s">
        <v>30</v>
      </c>
      <c r="P2875" t="s">
        <v>50</v>
      </c>
      <c r="S2875" t="s">
        <v>40</v>
      </c>
      <c r="T2875" t="s">
        <v>5122</v>
      </c>
      <c r="U2875">
        <v>371.20097299999998</v>
      </c>
      <c r="V2875" s="3">
        <v>41492</v>
      </c>
    </row>
    <row r="2876" spans="1:22" x14ac:dyDescent="0.35">
      <c r="A2876" s="1">
        <v>42338.109398148146</v>
      </c>
      <c r="B2876" s="2">
        <v>1.4525462962962964E-2</v>
      </c>
      <c r="C2876" t="s">
        <v>4041</v>
      </c>
      <c r="D2876" t="s">
        <v>23</v>
      </c>
      <c r="E2876" t="s">
        <v>24</v>
      </c>
      <c r="F2876" t="s">
        <v>3060</v>
      </c>
      <c r="G2876">
        <v>1120279</v>
      </c>
      <c r="H2876" t="s">
        <v>26</v>
      </c>
      <c r="I2876" t="s">
        <v>3061</v>
      </c>
      <c r="J2876" t="str">
        <f>"9781118537671"</f>
        <v>9781118537671</v>
      </c>
      <c r="K2876" t="s">
        <v>5125</v>
      </c>
      <c r="L2876">
        <v>15</v>
      </c>
      <c r="M2876" t="s">
        <v>5126</v>
      </c>
      <c r="O2876" t="s">
        <v>30</v>
      </c>
      <c r="P2876" t="s">
        <v>29</v>
      </c>
      <c r="Q2876" s="1">
        <v>42338.109398148146</v>
      </c>
      <c r="R2876">
        <v>7</v>
      </c>
      <c r="S2876" t="s">
        <v>31</v>
      </c>
      <c r="T2876" t="s">
        <v>3063</v>
      </c>
      <c r="U2876">
        <v>599.93499999999995</v>
      </c>
      <c r="V2876" s="3">
        <v>41232</v>
      </c>
    </row>
    <row r="2877" spans="1:22" x14ac:dyDescent="0.35">
      <c r="A2877" s="1">
        <v>42338.091944444444</v>
      </c>
      <c r="B2877" s="2">
        <v>2.8518518518518523E-2</v>
      </c>
      <c r="C2877" t="s">
        <v>4508</v>
      </c>
      <c r="D2877" t="s">
        <v>335</v>
      </c>
      <c r="E2877" t="s">
        <v>336</v>
      </c>
      <c r="F2877" t="s">
        <v>4509</v>
      </c>
      <c r="G2877">
        <v>1986937</v>
      </c>
      <c r="H2877" t="s">
        <v>26</v>
      </c>
      <c r="I2877" t="s">
        <v>1724</v>
      </c>
      <c r="J2877" t="str">
        <f>"9781118760345"</f>
        <v>9781118760345</v>
      </c>
      <c r="K2877" t="s">
        <v>5127</v>
      </c>
      <c r="L2877">
        <v>19</v>
      </c>
      <c r="O2877" t="s">
        <v>30</v>
      </c>
      <c r="P2877" t="s">
        <v>50</v>
      </c>
      <c r="S2877" t="s">
        <v>340</v>
      </c>
      <c r="T2877" t="s">
        <v>4512</v>
      </c>
      <c r="U2877">
        <v>614.15</v>
      </c>
      <c r="V2877" s="3">
        <v>42058</v>
      </c>
    </row>
    <row r="2878" spans="1:22" x14ac:dyDescent="0.35">
      <c r="A2878" s="1">
        <v>42338.084502314814</v>
      </c>
      <c r="B2878" s="2">
        <v>2.4895833333333336E-2</v>
      </c>
      <c r="C2878" t="s">
        <v>4041</v>
      </c>
      <c r="D2878" t="s">
        <v>23</v>
      </c>
      <c r="E2878" t="s">
        <v>24</v>
      </c>
      <c r="F2878" t="s">
        <v>3060</v>
      </c>
      <c r="G2878">
        <v>1120279</v>
      </c>
      <c r="H2878" t="s">
        <v>26</v>
      </c>
      <c r="I2878" t="s">
        <v>3061</v>
      </c>
      <c r="J2878" t="str">
        <f>"9781118537671"</f>
        <v>9781118537671</v>
      </c>
      <c r="K2878" t="s">
        <v>5128</v>
      </c>
      <c r="L2878">
        <v>8</v>
      </c>
      <c r="O2878" t="s">
        <v>30</v>
      </c>
      <c r="P2878" t="s">
        <v>42</v>
      </c>
      <c r="S2878" t="s">
        <v>31</v>
      </c>
      <c r="T2878" t="s">
        <v>3063</v>
      </c>
      <c r="U2878">
        <v>599.93499999999995</v>
      </c>
      <c r="V2878" s="3">
        <v>41232</v>
      </c>
    </row>
    <row r="2879" spans="1:22" x14ac:dyDescent="0.35">
      <c r="A2879" s="1">
        <v>42338.080381944441</v>
      </c>
      <c r="B2879" s="2">
        <v>1.0416666666666667E-3</v>
      </c>
      <c r="C2879" t="s">
        <v>3906</v>
      </c>
      <c r="D2879" t="s">
        <v>35</v>
      </c>
      <c r="E2879" t="s">
        <v>36</v>
      </c>
      <c r="F2879" t="s">
        <v>37</v>
      </c>
      <c r="G2879">
        <v>1684620</v>
      </c>
      <c r="H2879" t="s">
        <v>26</v>
      </c>
      <c r="I2879" t="s">
        <v>38</v>
      </c>
      <c r="J2879" t="str">
        <f>"9781118418925"</f>
        <v>9781118418925</v>
      </c>
      <c r="K2879" t="s">
        <v>478</v>
      </c>
      <c r="L2879">
        <v>8</v>
      </c>
      <c r="O2879" t="s">
        <v>30</v>
      </c>
      <c r="P2879" t="s">
        <v>42</v>
      </c>
      <c r="S2879" t="s">
        <v>40</v>
      </c>
      <c r="T2879" t="s">
        <v>41</v>
      </c>
      <c r="U2879">
        <v>362.10680000000002</v>
      </c>
      <c r="V2879" s="3">
        <v>41759</v>
      </c>
    </row>
    <row r="2880" spans="1:22" x14ac:dyDescent="0.35">
      <c r="A2880" s="1">
        <v>42338.061261574076</v>
      </c>
      <c r="B2880" s="2">
        <v>0.11387731481481482</v>
      </c>
      <c r="C2880" t="s">
        <v>3672</v>
      </c>
      <c r="D2880" t="s">
        <v>35</v>
      </c>
      <c r="E2880" t="s">
        <v>36</v>
      </c>
      <c r="F2880" t="s">
        <v>3673</v>
      </c>
      <c r="G2880">
        <v>1816989</v>
      </c>
      <c r="H2880" t="s">
        <v>186</v>
      </c>
      <c r="I2880" t="s">
        <v>3674</v>
      </c>
      <c r="J2880" t="str">
        <f>"9781780644578"</f>
        <v>9781780644578</v>
      </c>
      <c r="K2880" t="s">
        <v>5129</v>
      </c>
      <c r="L2880">
        <v>58</v>
      </c>
      <c r="O2880" t="s">
        <v>30</v>
      </c>
      <c r="P2880" t="s">
        <v>47</v>
      </c>
      <c r="Q2880" s="1">
        <v>42338.061261574076</v>
      </c>
      <c r="R2880">
        <v>1</v>
      </c>
      <c r="S2880" t="s">
        <v>40</v>
      </c>
      <c r="T2880" t="s">
        <v>3676</v>
      </c>
      <c r="U2880" t="s">
        <v>3677</v>
      </c>
      <c r="V2880" s="3">
        <v>41908</v>
      </c>
    </row>
    <row r="2881" spans="1:22" x14ac:dyDescent="0.35">
      <c r="A2881" s="1">
        <v>42338.046597222223</v>
      </c>
      <c r="B2881" s="2">
        <v>4.8611111111111104E-4</v>
      </c>
      <c r="C2881" t="s">
        <v>4205</v>
      </c>
      <c r="D2881" t="s">
        <v>597</v>
      </c>
      <c r="E2881" t="s">
        <v>598</v>
      </c>
      <c r="F2881" t="s">
        <v>111</v>
      </c>
      <c r="G2881">
        <v>693176</v>
      </c>
      <c r="H2881" t="s">
        <v>26</v>
      </c>
      <c r="I2881" t="s">
        <v>112</v>
      </c>
      <c r="J2881" t="str">
        <f>"9781118017746"</f>
        <v>9781118017746</v>
      </c>
      <c r="K2881" t="s">
        <v>5130</v>
      </c>
      <c r="L2881">
        <v>11</v>
      </c>
      <c r="O2881" t="s">
        <v>30</v>
      </c>
      <c r="P2881" t="s">
        <v>29</v>
      </c>
      <c r="Q2881" s="1">
        <v>42338.046597222223</v>
      </c>
      <c r="R2881">
        <v>7</v>
      </c>
      <c r="S2881" t="s">
        <v>600</v>
      </c>
      <c r="T2881" t="s">
        <v>114</v>
      </c>
      <c r="U2881" t="s">
        <v>115</v>
      </c>
      <c r="V2881" s="3">
        <v>40835</v>
      </c>
    </row>
    <row r="2882" spans="1:22" x14ac:dyDescent="0.35">
      <c r="A2882" s="1">
        <v>42338.038437499999</v>
      </c>
      <c r="B2882" s="2">
        <v>8.1597222222222227E-3</v>
      </c>
      <c r="C2882" t="s">
        <v>4205</v>
      </c>
      <c r="D2882" t="s">
        <v>597</v>
      </c>
      <c r="E2882" t="s">
        <v>598</v>
      </c>
      <c r="F2882" t="s">
        <v>111</v>
      </c>
      <c r="G2882">
        <v>693176</v>
      </c>
      <c r="H2882" t="s">
        <v>26</v>
      </c>
      <c r="I2882" t="s">
        <v>112</v>
      </c>
      <c r="J2882" t="str">
        <f>"9781118017746"</f>
        <v>9781118017746</v>
      </c>
      <c r="K2882" t="s">
        <v>5131</v>
      </c>
      <c r="L2882">
        <v>133</v>
      </c>
      <c r="O2882" t="s">
        <v>30</v>
      </c>
      <c r="P2882" t="s">
        <v>42</v>
      </c>
      <c r="S2882" t="s">
        <v>600</v>
      </c>
      <c r="T2882" t="s">
        <v>114</v>
      </c>
      <c r="U2882" t="s">
        <v>115</v>
      </c>
      <c r="V2882" s="3">
        <v>40835</v>
      </c>
    </row>
    <row r="2883" spans="1:22" x14ac:dyDescent="0.35">
      <c r="A2883" s="1">
        <v>42338.030231481483</v>
      </c>
      <c r="B2883" s="2">
        <v>3.1030092592592592E-2</v>
      </c>
      <c r="C2883" t="s">
        <v>3672</v>
      </c>
      <c r="D2883" t="s">
        <v>35</v>
      </c>
      <c r="E2883" t="s">
        <v>36</v>
      </c>
      <c r="F2883" t="s">
        <v>3673</v>
      </c>
      <c r="G2883">
        <v>1816989</v>
      </c>
      <c r="H2883" t="s">
        <v>186</v>
      </c>
      <c r="I2883" t="s">
        <v>3674</v>
      </c>
      <c r="J2883" t="str">
        <f>"9781780644578"</f>
        <v>9781780644578</v>
      </c>
      <c r="K2883" t="s">
        <v>33</v>
      </c>
      <c r="L2883">
        <v>3</v>
      </c>
      <c r="O2883" t="s">
        <v>30</v>
      </c>
      <c r="P2883" t="s">
        <v>50</v>
      </c>
      <c r="S2883" t="s">
        <v>40</v>
      </c>
      <c r="T2883" t="s">
        <v>3676</v>
      </c>
      <c r="U2883" t="s">
        <v>3677</v>
      </c>
      <c r="V2883" s="3">
        <v>41908</v>
      </c>
    </row>
    <row r="2884" spans="1:22" x14ac:dyDescent="0.35">
      <c r="A2884" s="1">
        <v>42338.022615740738</v>
      </c>
      <c r="B2884" s="2">
        <v>5.7870370370370378E-4</v>
      </c>
      <c r="C2884" t="s">
        <v>5132</v>
      </c>
      <c r="D2884" t="s">
        <v>1222</v>
      </c>
      <c r="E2884" t="s">
        <v>1223</v>
      </c>
      <c r="F2884" t="s">
        <v>5133</v>
      </c>
      <c r="G2884">
        <v>1112139</v>
      </c>
      <c r="H2884" t="s">
        <v>84</v>
      </c>
      <c r="I2884" t="s">
        <v>5134</v>
      </c>
      <c r="J2884" t="str">
        <f>"9780520955028"</f>
        <v>9780520955028</v>
      </c>
      <c r="K2884" t="s">
        <v>5135</v>
      </c>
      <c r="L2884">
        <v>7</v>
      </c>
      <c r="O2884" t="s">
        <v>30</v>
      </c>
      <c r="P2884" t="s">
        <v>29</v>
      </c>
      <c r="Q2884" s="1">
        <v>42338.022615740738</v>
      </c>
      <c r="R2884">
        <v>7</v>
      </c>
      <c r="S2884" t="s">
        <v>1226</v>
      </c>
      <c r="T2884" t="s">
        <v>5136</v>
      </c>
      <c r="U2884">
        <v>979.46105308999995</v>
      </c>
      <c r="V2884" s="3">
        <v>41320</v>
      </c>
    </row>
    <row r="2885" spans="1:22" x14ac:dyDescent="0.35">
      <c r="A2885" s="1">
        <v>42338.008240740739</v>
      </c>
      <c r="B2885" s="2">
        <v>1.4374999999999999E-2</v>
      </c>
      <c r="C2885" t="s">
        <v>5132</v>
      </c>
      <c r="D2885" t="s">
        <v>1222</v>
      </c>
      <c r="E2885" t="s">
        <v>1223</v>
      </c>
      <c r="F2885" t="s">
        <v>5133</v>
      </c>
      <c r="G2885">
        <v>1112139</v>
      </c>
      <c r="H2885" t="s">
        <v>84</v>
      </c>
      <c r="I2885" t="s">
        <v>5134</v>
      </c>
      <c r="J2885" t="str">
        <f>"9780520955028"</f>
        <v>9780520955028</v>
      </c>
      <c r="K2885" t="s">
        <v>5137</v>
      </c>
      <c r="L2885">
        <v>41</v>
      </c>
      <c r="O2885" t="s">
        <v>30</v>
      </c>
      <c r="P2885" t="s">
        <v>42</v>
      </c>
      <c r="S2885" t="s">
        <v>1226</v>
      </c>
      <c r="T2885" t="s">
        <v>5136</v>
      </c>
      <c r="U2885">
        <v>979.46105308999995</v>
      </c>
      <c r="V2885" s="3">
        <v>41320</v>
      </c>
    </row>
    <row r="2886" spans="1:22" x14ac:dyDescent="0.35">
      <c r="A2886" s="1">
        <v>42337.987951388888</v>
      </c>
      <c r="B2886" s="2">
        <v>2.0833333333333335E-4</v>
      </c>
      <c r="C2886" t="s">
        <v>5138</v>
      </c>
      <c r="D2886" t="s">
        <v>35</v>
      </c>
      <c r="E2886" t="s">
        <v>36</v>
      </c>
      <c r="F2886" t="s">
        <v>3259</v>
      </c>
      <c r="G2886">
        <v>1887115</v>
      </c>
      <c r="H2886" t="s">
        <v>26</v>
      </c>
      <c r="I2886" t="s">
        <v>120</v>
      </c>
      <c r="J2886" t="str">
        <f>"9781118787083"</f>
        <v>9781118787083</v>
      </c>
      <c r="K2886" t="s">
        <v>5139</v>
      </c>
      <c r="L2886">
        <v>8</v>
      </c>
      <c r="O2886" t="s">
        <v>30</v>
      </c>
      <c r="P2886" t="s">
        <v>29</v>
      </c>
      <c r="Q2886" s="1">
        <v>42337.912372685183</v>
      </c>
      <c r="R2886">
        <v>7</v>
      </c>
      <c r="S2886" t="s">
        <v>40</v>
      </c>
      <c r="T2886" t="s">
        <v>3261</v>
      </c>
      <c r="U2886">
        <v>302.23083000000003</v>
      </c>
      <c r="V2886" s="3">
        <v>41977</v>
      </c>
    </row>
    <row r="2887" spans="1:22" x14ac:dyDescent="0.35">
      <c r="A2887" s="1">
        <v>42337.979074074072</v>
      </c>
      <c r="B2887" s="2">
        <v>7.6388888888888893E-4</v>
      </c>
      <c r="C2887" t="s">
        <v>5132</v>
      </c>
      <c r="D2887" t="s">
        <v>1222</v>
      </c>
      <c r="E2887" t="s">
        <v>1223</v>
      </c>
      <c r="F2887" t="s">
        <v>5133</v>
      </c>
      <c r="G2887">
        <v>1112139</v>
      </c>
      <c r="H2887" t="s">
        <v>84</v>
      </c>
      <c r="I2887" t="s">
        <v>5134</v>
      </c>
      <c r="J2887" t="str">
        <f>"9780520955028"</f>
        <v>9780520955028</v>
      </c>
      <c r="K2887" t="s">
        <v>5140</v>
      </c>
      <c r="L2887">
        <v>25</v>
      </c>
      <c r="O2887" t="s">
        <v>30</v>
      </c>
      <c r="P2887" t="s">
        <v>42</v>
      </c>
      <c r="S2887" t="s">
        <v>1226</v>
      </c>
      <c r="T2887" t="s">
        <v>5136</v>
      </c>
      <c r="U2887">
        <v>979.46105308999995</v>
      </c>
      <c r="V2887" s="3">
        <v>41320</v>
      </c>
    </row>
    <row r="2888" spans="1:22" x14ac:dyDescent="0.35">
      <c r="A2888" s="1">
        <v>42337.950289351851</v>
      </c>
      <c r="B2888" s="2">
        <v>4.0509259259259258E-4</v>
      </c>
      <c r="C2888" t="s">
        <v>5141</v>
      </c>
      <c r="D2888" t="s">
        <v>261</v>
      </c>
      <c r="E2888" t="s">
        <v>262</v>
      </c>
      <c r="F2888" t="s">
        <v>5142</v>
      </c>
      <c r="G2888">
        <v>3038627</v>
      </c>
      <c r="H2888" t="s">
        <v>526</v>
      </c>
      <c r="I2888" t="s">
        <v>5143</v>
      </c>
      <c r="J2888" t="str">
        <f>"9780226147383"</f>
        <v>9780226147383</v>
      </c>
      <c r="K2888" t="s">
        <v>5144</v>
      </c>
      <c r="L2888">
        <v>14</v>
      </c>
      <c r="O2888" t="s">
        <v>30</v>
      </c>
      <c r="P2888" t="s">
        <v>47</v>
      </c>
      <c r="Q2888" s="1">
        <v>42337.950289351851</v>
      </c>
      <c r="R2888">
        <v>1</v>
      </c>
      <c r="S2888" t="s">
        <v>264</v>
      </c>
      <c r="T2888" t="s">
        <v>5145</v>
      </c>
      <c r="U2888" t="s">
        <v>5146</v>
      </c>
      <c r="V2888" s="3">
        <v>41883</v>
      </c>
    </row>
    <row r="2889" spans="1:22" x14ac:dyDescent="0.35">
      <c r="A2889" s="1">
        <v>42337.946747685186</v>
      </c>
      <c r="B2889" s="2">
        <v>3.5416666666666665E-3</v>
      </c>
      <c r="C2889" t="s">
        <v>5141</v>
      </c>
      <c r="D2889" t="s">
        <v>261</v>
      </c>
      <c r="E2889" t="s">
        <v>262</v>
      </c>
      <c r="F2889" t="s">
        <v>5142</v>
      </c>
      <c r="G2889">
        <v>3038627</v>
      </c>
      <c r="H2889" t="s">
        <v>526</v>
      </c>
      <c r="I2889" t="s">
        <v>5143</v>
      </c>
      <c r="J2889" t="str">
        <f>"9780226147383"</f>
        <v>9780226147383</v>
      </c>
      <c r="K2889" t="s">
        <v>5147</v>
      </c>
      <c r="L2889">
        <v>49</v>
      </c>
      <c r="O2889" t="s">
        <v>30</v>
      </c>
      <c r="P2889" t="s">
        <v>50</v>
      </c>
      <c r="S2889" t="s">
        <v>264</v>
      </c>
      <c r="T2889" t="s">
        <v>5145</v>
      </c>
      <c r="U2889" t="s">
        <v>5146</v>
      </c>
      <c r="V2889" s="3">
        <v>41883</v>
      </c>
    </row>
    <row r="2890" spans="1:22" x14ac:dyDescent="0.35">
      <c r="A2890" s="1">
        <v>42337.939270833333</v>
      </c>
      <c r="B2890" s="2">
        <v>4.2592592592592595E-3</v>
      </c>
      <c r="C2890" t="s">
        <v>106</v>
      </c>
      <c r="D2890" t="s">
        <v>23</v>
      </c>
      <c r="E2890" t="s">
        <v>24</v>
      </c>
      <c r="F2890" t="s">
        <v>78</v>
      </c>
      <c r="G2890">
        <v>1635363</v>
      </c>
      <c r="H2890" t="s">
        <v>26</v>
      </c>
      <c r="I2890" t="s">
        <v>79</v>
      </c>
      <c r="J2890" t="str">
        <f>"9781118678206"</f>
        <v>9781118678206</v>
      </c>
      <c r="K2890" t="s">
        <v>5148</v>
      </c>
      <c r="L2890">
        <v>3</v>
      </c>
      <c r="O2890" t="s">
        <v>30</v>
      </c>
      <c r="P2890" t="s">
        <v>29</v>
      </c>
      <c r="Q2890" s="1">
        <v>42337.939270833333</v>
      </c>
      <c r="R2890">
        <v>7</v>
      </c>
      <c r="S2890" t="s">
        <v>31</v>
      </c>
      <c r="T2890" t="s">
        <v>81</v>
      </c>
      <c r="U2890">
        <v>340.07600000000002</v>
      </c>
      <c r="V2890" s="3">
        <v>41684</v>
      </c>
    </row>
    <row r="2891" spans="1:22" x14ac:dyDescent="0.35">
      <c r="A2891" s="1">
        <v>42337.933946759258</v>
      </c>
      <c r="B2891" s="2">
        <v>1.1655092592592594E-2</v>
      </c>
      <c r="C2891" t="s">
        <v>5138</v>
      </c>
      <c r="D2891" t="s">
        <v>35</v>
      </c>
      <c r="E2891" t="s">
        <v>36</v>
      </c>
      <c r="F2891" t="s">
        <v>5149</v>
      </c>
      <c r="G2891">
        <v>4025778</v>
      </c>
      <c r="H2891" t="s">
        <v>26</v>
      </c>
      <c r="I2891" t="s">
        <v>5150</v>
      </c>
      <c r="J2891" t="str">
        <f>"9780745657578"</f>
        <v>9780745657578</v>
      </c>
      <c r="K2891" t="s">
        <v>5151</v>
      </c>
      <c r="L2891">
        <v>49</v>
      </c>
      <c r="O2891" t="s">
        <v>30</v>
      </c>
      <c r="P2891" t="s">
        <v>47</v>
      </c>
      <c r="Q2891" s="1">
        <v>42337.933946759258</v>
      </c>
      <c r="R2891">
        <v>1</v>
      </c>
      <c r="S2891" t="s">
        <v>40</v>
      </c>
      <c r="T2891" t="s">
        <v>5152</v>
      </c>
      <c r="U2891">
        <v>25.04083</v>
      </c>
      <c r="V2891" s="3">
        <v>41400</v>
      </c>
    </row>
    <row r="2892" spans="1:22" x14ac:dyDescent="0.35">
      <c r="A2892" s="1">
        <v>42337.931932870371</v>
      </c>
      <c r="B2892" s="2">
        <v>7.3379629629629628E-3</v>
      </c>
      <c r="C2892" t="s">
        <v>106</v>
      </c>
      <c r="D2892" t="s">
        <v>23</v>
      </c>
      <c r="E2892" t="s">
        <v>24</v>
      </c>
      <c r="F2892" t="s">
        <v>78</v>
      </c>
      <c r="G2892">
        <v>1635363</v>
      </c>
      <c r="H2892" t="s">
        <v>26</v>
      </c>
      <c r="I2892" t="s">
        <v>79</v>
      </c>
      <c r="J2892" t="str">
        <f>"9781118678206"</f>
        <v>9781118678206</v>
      </c>
      <c r="K2892" t="s">
        <v>5153</v>
      </c>
      <c r="L2892">
        <v>12</v>
      </c>
      <c r="O2892" t="s">
        <v>30</v>
      </c>
      <c r="P2892" t="s">
        <v>42</v>
      </c>
      <c r="S2892" t="s">
        <v>31</v>
      </c>
      <c r="T2892" t="s">
        <v>81</v>
      </c>
      <c r="U2892">
        <v>340.07600000000002</v>
      </c>
      <c r="V2892" s="3">
        <v>41684</v>
      </c>
    </row>
    <row r="2893" spans="1:22" x14ac:dyDescent="0.35">
      <c r="A2893" s="1">
        <v>42337.912372685183</v>
      </c>
      <c r="B2893" s="2">
        <v>3.7569444444444447E-2</v>
      </c>
      <c r="C2893" t="s">
        <v>5138</v>
      </c>
      <c r="D2893" t="s">
        <v>35</v>
      </c>
      <c r="E2893" t="s">
        <v>36</v>
      </c>
      <c r="F2893" t="s">
        <v>3259</v>
      </c>
      <c r="G2893">
        <v>1887115</v>
      </c>
      <c r="H2893" t="s">
        <v>26</v>
      </c>
      <c r="I2893" t="s">
        <v>120</v>
      </c>
      <c r="J2893" t="str">
        <f>"9781118787083"</f>
        <v>9781118787083</v>
      </c>
      <c r="K2893" t="s">
        <v>5154</v>
      </c>
      <c r="L2893">
        <v>45</v>
      </c>
      <c r="O2893" t="s">
        <v>30</v>
      </c>
      <c r="P2893" t="s">
        <v>29</v>
      </c>
      <c r="Q2893" s="1">
        <v>42337.912372685183</v>
      </c>
      <c r="R2893">
        <v>7</v>
      </c>
      <c r="S2893" t="s">
        <v>40</v>
      </c>
      <c r="T2893" t="s">
        <v>3261</v>
      </c>
      <c r="U2893">
        <v>302.23083000000003</v>
      </c>
      <c r="V2893" s="3">
        <v>41977</v>
      </c>
    </row>
    <row r="2894" spans="1:22" x14ac:dyDescent="0.35">
      <c r="A2894" s="1">
        <v>42337.909710648149</v>
      </c>
      <c r="B2894" s="2">
        <v>7.6388888888888886E-3</v>
      </c>
      <c r="C2894" t="s">
        <v>5155</v>
      </c>
      <c r="D2894" t="s">
        <v>211</v>
      </c>
      <c r="E2894" t="s">
        <v>212</v>
      </c>
      <c r="F2894" t="s">
        <v>5156</v>
      </c>
      <c r="G2894">
        <v>918813</v>
      </c>
      <c r="H2894" t="s">
        <v>3465</v>
      </c>
      <c r="I2894" t="s">
        <v>172</v>
      </c>
      <c r="J2894" t="str">
        <f>"9781608708086"</f>
        <v>9781608708086</v>
      </c>
      <c r="K2894" t="s">
        <v>5157</v>
      </c>
      <c r="L2894">
        <v>15</v>
      </c>
      <c r="O2894" t="s">
        <v>30</v>
      </c>
      <c r="P2894" t="s">
        <v>29</v>
      </c>
      <c r="Q2894" s="1">
        <v>42337.1878125</v>
      </c>
      <c r="R2894">
        <v>7</v>
      </c>
      <c r="S2894" t="s">
        <v>214</v>
      </c>
      <c r="T2894" t="s">
        <v>5158</v>
      </c>
      <c r="U2894">
        <v>986.1</v>
      </c>
      <c r="V2894" s="3">
        <v>40969</v>
      </c>
    </row>
    <row r="2895" spans="1:22" x14ac:dyDescent="0.35">
      <c r="A2895" s="1">
        <v>42337.908009259256</v>
      </c>
      <c r="B2895" s="2">
        <v>2.5937500000000002E-2</v>
      </c>
      <c r="C2895" t="s">
        <v>5138</v>
      </c>
      <c r="D2895" t="s">
        <v>35</v>
      </c>
      <c r="E2895" t="s">
        <v>36</v>
      </c>
      <c r="F2895" t="s">
        <v>5149</v>
      </c>
      <c r="G2895">
        <v>4025778</v>
      </c>
      <c r="H2895" t="s">
        <v>26</v>
      </c>
      <c r="I2895" t="s">
        <v>5150</v>
      </c>
      <c r="J2895" t="str">
        <f>"9780745657578"</f>
        <v>9780745657578</v>
      </c>
      <c r="K2895" t="s">
        <v>5159</v>
      </c>
      <c r="L2895">
        <v>9</v>
      </c>
      <c r="O2895" t="s">
        <v>30</v>
      </c>
      <c r="P2895" t="s">
        <v>50</v>
      </c>
      <c r="S2895" t="s">
        <v>40</v>
      </c>
      <c r="T2895" t="s">
        <v>5152</v>
      </c>
      <c r="U2895">
        <v>25.04083</v>
      </c>
      <c r="V2895" s="3">
        <v>41400</v>
      </c>
    </row>
    <row r="2896" spans="1:22" x14ac:dyDescent="0.35">
      <c r="A2896" s="1">
        <v>42337.906481481485</v>
      </c>
      <c r="B2896" s="2">
        <v>2.5462962962962961E-4</v>
      </c>
      <c r="C2896" t="s">
        <v>4124</v>
      </c>
      <c r="D2896" t="s">
        <v>211</v>
      </c>
      <c r="E2896" t="s">
        <v>212</v>
      </c>
      <c r="F2896" t="s">
        <v>1460</v>
      </c>
      <c r="G2896">
        <v>2090105</v>
      </c>
      <c r="H2896" t="s">
        <v>26</v>
      </c>
      <c r="I2896" t="s">
        <v>97</v>
      </c>
      <c r="J2896" t="str">
        <f>"9781119082972"</f>
        <v>9781119082972</v>
      </c>
      <c r="K2896" t="s">
        <v>5160</v>
      </c>
      <c r="L2896">
        <v>7</v>
      </c>
      <c r="O2896" t="s">
        <v>30</v>
      </c>
      <c r="P2896" t="s">
        <v>29</v>
      </c>
      <c r="Q2896" s="1">
        <v>42337.900439814817</v>
      </c>
      <c r="R2896">
        <v>7</v>
      </c>
      <c r="S2896" t="s">
        <v>214</v>
      </c>
      <c r="T2896" t="s">
        <v>1462</v>
      </c>
      <c r="U2896" t="s">
        <v>1463</v>
      </c>
      <c r="V2896" s="3">
        <v>42194</v>
      </c>
    </row>
    <row r="2897" spans="1:22" x14ac:dyDescent="0.35">
      <c r="A2897" s="1">
        <v>42337.900439814817</v>
      </c>
      <c r="B2897" s="2">
        <v>9.2592592592592588E-5</v>
      </c>
      <c r="C2897" t="s">
        <v>4124</v>
      </c>
      <c r="D2897" t="s">
        <v>211</v>
      </c>
      <c r="E2897" t="s">
        <v>212</v>
      </c>
      <c r="F2897" t="s">
        <v>1460</v>
      </c>
      <c r="G2897">
        <v>2090105</v>
      </c>
      <c r="H2897" t="s">
        <v>26</v>
      </c>
      <c r="I2897" t="s">
        <v>97</v>
      </c>
      <c r="J2897" t="str">
        <f>"9781119082972"</f>
        <v>9781119082972</v>
      </c>
      <c r="K2897" t="s">
        <v>5161</v>
      </c>
      <c r="L2897">
        <v>5</v>
      </c>
      <c r="O2897" t="s">
        <v>30</v>
      </c>
      <c r="P2897" t="s">
        <v>29</v>
      </c>
      <c r="Q2897" s="1">
        <v>42337.900439814817</v>
      </c>
      <c r="R2897">
        <v>7</v>
      </c>
      <c r="S2897" t="s">
        <v>214</v>
      </c>
      <c r="T2897" t="s">
        <v>1462</v>
      </c>
      <c r="U2897" t="s">
        <v>1463</v>
      </c>
      <c r="V2897" s="3">
        <v>42194</v>
      </c>
    </row>
    <row r="2898" spans="1:22" x14ac:dyDescent="0.35">
      <c r="A2898" s="1">
        <v>42337.897222222222</v>
      </c>
      <c r="B2898" s="2">
        <v>3.9120370370370368E-3</v>
      </c>
      <c r="C2898" t="s">
        <v>5162</v>
      </c>
      <c r="D2898" t="s">
        <v>23</v>
      </c>
      <c r="E2898" t="s">
        <v>24</v>
      </c>
      <c r="F2898" t="s">
        <v>337</v>
      </c>
      <c r="G2898">
        <v>1602291</v>
      </c>
      <c r="H2898" t="s">
        <v>26</v>
      </c>
      <c r="I2898" t="s">
        <v>338</v>
      </c>
      <c r="J2898" t="str">
        <f>"9781118817001"</f>
        <v>9781118817001</v>
      </c>
      <c r="K2898" t="s">
        <v>5163</v>
      </c>
      <c r="L2898">
        <v>10</v>
      </c>
      <c r="O2898" t="s">
        <v>30</v>
      </c>
      <c r="P2898" t="s">
        <v>42</v>
      </c>
      <c r="S2898" t="s">
        <v>31</v>
      </c>
      <c r="T2898" t="s">
        <v>341</v>
      </c>
      <c r="U2898">
        <v>362.29</v>
      </c>
      <c r="V2898" s="3">
        <v>41649</v>
      </c>
    </row>
    <row r="2899" spans="1:22" x14ac:dyDescent="0.35">
      <c r="A2899" s="1">
        <v>42337.892129629632</v>
      </c>
      <c r="B2899" s="2">
        <v>8.3101851851851861E-3</v>
      </c>
      <c r="C2899" t="s">
        <v>4124</v>
      </c>
      <c r="D2899" t="s">
        <v>211</v>
      </c>
      <c r="E2899" t="s">
        <v>212</v>
      </c>
      <c r="F2899" t="s">
        <v>1460</v>
      </c>
      <c r="G2899">
        <v>2090105</v>
      </c>
      <c r="H2899" t="s">
        <v>26</v>
      </c>
      <c r="I2899" t="s">
        <v>97</v>
      </c>
      <c r="J2899" t="str">
        <f>"9781119082972"</f>
        <v>9781119082972</v>
      </c>
      <c r="K2899" t="s">
        <v>33</v>
      </c>
      <c r="L2899">
        <v>3</v>
      </c>
      <c r="O2899" t="s">
        <v>30</v>
      </c>
      <c r="P2899" t="s">
        <v>50</v>
      </c>
      <c r="S2899" t="s">
        <v>214</v>
      </c>
      <c r="T2899" t="s">
        <v>1462</v>
      </c>
      <c r="U2899" t="s">
        <v>1463</v>
      </c>
      <c r="V2899" s="3">
        <v>42194</v>
      </c>
    </row>
    <row r="2900" spans="1:22" x14ac:dyDescent="0.35">
      <c r="A2900" s="1">
        <v>42337.890092592592</v>
      </c>
      <c r="B2900" s="2">
        <v>2.2280092592592591E-2</v>
      </c>
      <c r="C2900" t="s">
        <v>5138</v>
      </c>
      <c r="D2900" t="s">
        <v>35</v>
      </c>
      <c r="E2900" t="s">
        <v>36</v>
      </c>
      <c r="F2900" t="s">
        <v>3259</v>
      </c>
      <c r="G2900">
        <v>1887115</v>
      </c>
      <c r="H2900" t="s">
        <v>26</v>
      </c>
      <c r="I2900" t="s">
        <v>120</v>
      </c>
      <c r="J2900" t="str">
        <f>"9781118787083"</f>
        <v>9781118787083</v>
      </c>
      <c r="K2900" t="s">
        <v>5164</v>
      </c>
      <c r="L2900">
        <v>7</v>
      </c>
      <c r="O2900" t="s">
        <v>30</v>
      </c>
      <c r="P2900" t="s">
        <v>50</v>
      </c>
      <c r="S2900" t="s">
        <v>40</v>
      </c>
      <c r="T2900" t="s">
        <v>3261</v>
      </c>
      <c r="U2900">
        <v>302.23083000000003</v>
      </c>
      <c r="V2900" s="3">
        <v>41977</v>
      </c>
    </row>
    <row r="2901" spans="1:22" x14ac:dyDescent="0.35">
      <c r="A2901" s="1">
        <v>42337.88113425926</v>
      </c>
      <c r="B2901" s="2">
        <v>4.6296296296296294E-5</v>
      </c>
      <c r="C2901" t="s">
        <v>5165</v>
      </c>
      <c r="D2901" t="s">
        <v>35</v>
      </c>
      <c r="E2901" t="s">
        <v>36</v>
      </c>
      <c r="F2901" t="s">
        <v>5166</v>
      </c>
      <c r="G2901">
        <v>1120681</v>
      </c>
      <c r="H2901" t="s">
        <v>26</v>
      </c>
      <c r="I2901" t="s">
        <v>69</v>
      </c>
      <c r="J2901" t="str">
        <f>"9781118483756"</f>
        <v>9781118483756</v>
      </c>
      <c r="K2901" t="s">
        <v>33</v>
      </c>
      <c r="L2901">
        <v>3</v>
      </c>
      <c r="O2901" t="s">
        <v>30</v>
      </c>
      <c r="P2901" t="s">
        <v>50</v>
      </c>
      <c r="S2901" t="s">
        <v>40</v>
      </c>
      <c r="T2901" t="s">
        <v>5167</v>
      </c>
      <c r="U2901" t="s">
        <v>5168</v>
      </c>
      <c r="V2901" s="3">
        <v>41281</v>
      </c>
    </row>
    <row r="2902" spans="1:22" x14ac:dyDescent="0.35">
      <c r="A2902" s="1">
        <v>42337.873738425929</v>
      </c>
      <c r="B2902" s="2">
        <v>5.7870370370370366E-5</v>
      </c>
      <c r="C2902" t="s">
        <v>5169</v>
      </c>
      <c r="D2902" t="s">
        <v>23</v>
      </c>
      <c r="E2902" t="s">
        <v>24</v>
      </c>
      <c r="F2902" t="s">
        <v>1082</v>
      </c>
      <c r="G2902">
        <v>1746990</v>
      </c>
      <c r="H2902" t="s">
        <v>45</v>
      </c>
      <c r="I2902" t="s">
        <v>97</v>
      </c>
      <c r="J2902" t="str">
        <f>"9781472432100"</f>
        <v>9781472432100</v>
      </c>
      <c r="K2902" t="s">
        <v>33</v>
      </c>
      <c r="L2902">
        <v>3</v>
      </c>
      <c r="O2902" t="s">
        <v>30</v>
      </c>
      <c r="P2902" t="s">
        <v>50</v>
      </c>
      <c r="S2902" t="s">
        <v>31</v>
      </c>
      <c r="T2902" t="s">
        <v>1084</v>
      </c>
      <c r="U2902" t="s">
        <v>1085</v>
      </c>
      <c r="V2902" s="3">
        <v>41910</v>
      </c>
    </row>
    <row r="2903" spans="1:22" x14ac:dyDescent="0.35">
      <c r="A2903" s="1">
        <v>42337.869097222225</v>
      </c>
      <c r="B2903" s="2">
        <v>3.7037037037037035E-4</v>
      </c>
      <c r="C2903" t="s">
        <v>5169</v>
      </c>
      <c r="D2903" t="s">
        <v>23</v>
      </c>
      <c r="E2903" t="s">
        <v>24</v>
      </c>
      <c r="F2903" t="s">
        <v>1082</v>
      </c>
      <c r="G2903">
        <v>1746990</v>
      </c>
      <c r="H2903" t="s">
        <v>45</v>
      </c>
      <c r="I2903" t="s">
        <v>97</v>
      </c>
      <c r="J2903" t="str">
        <f>"9781472432100"</f>
        <v>9781472432100</v>
      </c>
      <c r="K2903" t="s">
        <v>5170</v>
      </c>
      <c r="L2903">
        <v>13</v>
      </c>
      <c r="O2903" t="s">
        <v>30</v>
      </c>
      <c r="P2903" t="s">
        <v>50</v>
      </c>
      <c r="S2903" t="s">
        <v>31</v>
      </c>
      <c r="T2903" t="s">
        <v>1084</v>
      </c>
      <c r="U2903" t="s">
        <v>1085</v>
      </c>
      <c r="V2903" s="3">
        <v>41910</v>
      </c>
    </row>
    <row r="2904" spans="1:22" x14ac:dyDescent="0.35">
      <c r="A2904" s="1">
        <v>42337.858622685184</v>
      </c>
      <c r="B2904" s="2">
        <v>8.6805555555555551E-4</v>
      </c>
      <c r="C2904" t="s">
        <v>5088</v>
      </c>
      <c r="D2904" t="s">
        <v>623</v>
      </c>
      <c r="E2904" t="s">
        <v>624</v>
      </c>
      <c r="F2904" t="s">
        <v>5171</v>
      </c>
      <c r="G2904">
        <v>1657766</v>
      </c>
      <c r="H2904" t="s">
        <v>139</v>
      </c>
      <c r="I2904" t="s">
        <v>120</v>
      </c>
      <c r="J2904" t="str">
        <f>"9781479863402"</f>
        <v>9781479863402</v>
      </c>
      <c r="K2904" t="s">
        <v>5172</v>
      </c>
      <c r="L2904">
        <v>11</v>
      </c>
      <c r="O2904" t="s">
        <v>30</v>
      </c>
      <c r="P2904" t="s">
        <v>42</v>
      </c>
      <c r="S2904" t="s">
        <v>627</v>
      </c>
      <c r="T2904" t="s">
        <v>5173</v>
      </c>
      <c r="U2904">
        <v>364.360973</v>
      </c>
      <c r="V2904" s="3">
        <v>41761</v>
      </c>
    </row>
    <row r="2905" spans="1:22" x14ac:dyDescent="0.35">
      <c r="A2905" s="1">
        <v>42337.850601851853</v>
      </c>
      <c r="B2905" s="2">
        <v>5.6712962962962956E-4</v>
      </c>
      <c r="C2905" t="s">
        <v>5138</v>
      </c>
      <c r="D2905" t="s">
        <v>35</v>
      </c>
      <c r="E2905" t="s">
        <v>36</v>
      </c>
      <c r="F2905" t="s">
        <v>5149</v>
      </c>
      <c r="G2905">
        <v>4025778</v>
      </c>
      <c r="H2905" t="s">
        <v>26</v>
      </c>
      <c r="I2905" t="s">
        <v>5150</v>
      </c>
      <c r="J2905" t="str">
        <f>"9780745657578"</f>
        <v>9780745657578</v>
      </c>
      <c r="K2905" t="s">
        <v>5174</v>
      </c>
      <c r="L2905">
        <v>10</v>
      </c>
      <c r="O2905" t="s">
        <v>30</v>
      </c>
      <c r="P2905" t="s">
        <v>50</v>
      </c>
      <c r="S2905" t="s">
        <v>40</v>
      </c>
      <c r="T2905" t="s">
        <v>5152</v>
      </c>
      <c r="U2905">
        <v>25.04083</v>
      </c>
      <c r="V2905" s="3">
        <v>41400</v>
      </c>
    </row>
    <row r="2906" spans="1:22" x14ac:dyDescent="0.35">
      <c r="A2906" s="1">
        <v>42337.741990740738</v>
      </c>
      <c r="B2906" s="2">
        <v>4.5995370370370374E-2</v>
      </c>
      <c r="C2906" t="s">
        <v>4947</v>
      </c>
      <c r="D2906" t="s">
        <v>1222</v>
      </c>
      <c r="E2906" t="s">
        <v>1223</v>
      </c>
      <c r="F2906" t="s">
        <v>3263</v>
      </c>
      <c r="G2906">
        <v>1840835</v>
      </c>
      <c r="H2906" t="s">
        <v>26</v>
      </c>
      <c r="I2906" t="s">
        <v>108</v>
      </c>
      <c r="J2906" t="str">
        <f>"9781118950166"</f>
        <v>9781118950166</v>
      </c>
      <c r="K2906" t="s">
        <v>5175</v>
      </c>
      <c r="L2906">
        <v>17</v>
      </c>
      <c r="O2906" t="s">
        <v>30</v>
      </c>
      <c r="P2906" t="s">
        <v>29</v>
      </c>
      <c r="Q2906" s="1">
        <v>42337.741990740738</v>
      </c>
      <c r="R2906">
        <v>7</v>
      </c>
      <c r="S2906" t="s">
        <v>1226</v>
      </c>
      <c r="T2906" t="s">
        <v>3264</v>
      </c>
      <c r="U2906">
        <v>338.10923789999998</v>
      </c>
      <c r="V2906" s="3">
        <v>41953</v>
      </c>
    </row>
    <row r="2907" spans="1:22" x14ac:dyDescent="0.35">
      <c r="A2907" s="1">
        <v>42337.692847222221</v>
      </c>
      <c r="B2907" s="2">
        <v>1.8333333333333333E-2</v>
      </c>
      <c r="C2907" t="s">
        <v>5176</v>
      </c>
      <c r="D2907" t="s">
        <v>1222</v>
      </c>
      <c r="E2907" t="s">
        <v>1223</v>
      </c>
      <c r="F2907" t="s">
        <v>3179</v>
      </c>
      <c r="G2907">
        <v>1172554</v>
      </c>
      <c r="H2907" t="s">
        <v>1365</v>
      </c>
      <c r="I2907" t="s">
        <v>172</v>
      </c>
      <c r="J2907" t="str">
        <f>""</f>
        <v/>
      </c>
      <c r="K2907" t="s">
        <v>5177</v>
      </c>
      <c r="L2907">
        <v>25</v>
      </c>
      <c r="O2907" t="s">
        <v>30</v>
      </c>
      <c r="P2907" t="s">
        <v>29</v>
      </c>
      <c r="Q2907" s="1">
        <v>42336.016701388886</v>
      </c>
      <c r="R2907">
        <v>7</v>
      </c>
      <c r="S2907" t="s">
        <v>1226</v>
      </c>
      <c r="T2907" t="s">
        <v>3182</v>
      </c>
      <c r="U2907" t="s">
        <v>3183</v>
      </c>
      <c r="V2907" s="3">
        <v>41375</v>
      </c>
    </row>
    <row r="2908" spans="1:22" x14ac:dyDescent="0.35">
      <c r="A2908" s="1">
        <v>42337.684016203704</v>
      </c>
      <c r="B2908" s="2">
        <v>5.7974537037037033E-2</v>
      </c>
      <c r="C2908" t="s">
        <v>4947</v>
      </c>
      <c r="D2908" t="s">
        <v>1222</v>
      </c>
      <c r="E2908" t="s">
        <v>1223</v>
      </c>
      <c r="F2908" t="s">
        <v>3263</v>
      </c>
      <c r="G2908">
        <v>1840835</v>
      </c>
      <c r="H2908" t="s">
        <v>26</v>
      </c>
      <c r="I2908" t="s">
        <v>108</v>
      </c>
      <c r="J2908" t="str">
        <f>"9781118950166"</f>
        <v>9781118950166</v>
      </c>
      <c r="K2908" t="s">
        <v>5178</v>
      </c>
      <c r="L2908">
        <v>10</v>
      </c>
      <c r="O2908" t="s">
        <v>30</v>
      </c>
      <c r="P2908" t="s">
        <v>42</v>
      </c>
      <c r="S2908" t="s">
        <v>1226</v>
      </c>
      <c r="T2908" t="s">
        <v>3264</v>
      </c>
      <c r="U2908">
        <v>338.10923789999998</v>
      </c>
      <c r="V2908" s="3">
        <v>41953</v>
      </c>
    </row>
    <row r="2909" spans="1:22" x14ac:dyDescent="0.35">
      <c r="A2909" s="1">
        <v>42337.675173611111</v>
      </c>
      <c r="B2909" s="2">
        <v>4.4791666666666669E-3</v>
      </c>
      <c r="C2909" t="s">
        <v>4728</v>
      </c>
      <c r="D2909" t="s">
        <v>623</v>
      </c>
      <c r="E2909" t="s">
        <v>624</v>
      </c>
      <c r="F2909" t="s">
        <v>4494</v>
      </c>
      <c r="G2909">
        <v>565082</v>
      </c>
      <c r="H2909" t="s">
        <v>26</v>
      </c>
      <c r="I2909" t="s">
        <v>69</v>
      </c>
      <c r="J2909" t="str">
        <f>"9781118041567"</f>
        <v>9781118041567</v>
      </c>
      <c r="L2909">
        <v>0</v>
      </c>
      <c r="O2909" t="s">
        <v>30</v>
      </c>
      <c r="P2909" t="s">
        <v>42</v>
      </c>
      <c r="S2909" t="s">
        <v>627</v>
      </c>
      <c r="T2909" t="s">
        <v>4496</v>
      </c>
      <c r="U2909" t="s">
        <v>4497</v>
      </c>
      <c r="V2909" s="3">
        <v>40337</v>
      </c>
    </row>
    <row r="2910" spans="1:22" x14ac:dyDescent="0.35">
      <c r="A2910" s="1">
        <v>42337.635092592594</v>
      </c>
      <c r="B2910" s="2">
        <v>2.1527777777777778E-3</v>
      </c>
      <c r="C2910" t="s">
        <v>5179</v>
      </c>
      <c r="D2910" t="s">
        <v>35</v>
      </c>
      <c r="E2910" t="s">
        <v>36</v>
      </c>
      <c r="F2910" t="s">
        <v>5180</v>
      </c>
      <c r="G2910">
        <v>4036951</v>
      </c>
      <c r="H2910" t="s">
        <v>26</v>
      </c>
      <c r="J2910" t="str">
        <f>"9781118622537"</f>
        <v>9781118622537</v>
      </c>
      <c r="K2910" t="s">
        <v>5181</v>
      </c>
      <c r="L2910">
        <v>18</v>
      </c>
      <c r="O2910" t="s">
        <v>30</v>
      </c>
      <c r="P2910" t="s">
        <v>50</v>
      </c>
      <c r="S2910" t="s">
        <v>40</v>
      </c>
      <c r="V2910" s="3">
        <v>41337</v>
      </c>
    </row>
    <row r="2911" spans="1:22" x14ac:dyDescent="0.35">
      <c r="A2911" s="1">
        <v>42337.609849537039</v>
      </c>
      <c r="B2911" s="2">
        <v>4.6296296296296294E-5</v>
      </c>
      <c r="C2911" t="s">
        <v>2701</v>
      </c>
      <c r="D2911" t="s">
        <v>35</v>
      </c>
      <c r="E2911" t="s">
        <v>36</v>
      </c>
      <c r="F2911" t="s">
        <v>5182</v>
      </c>
      <c r="G2911">
        <v>1395170</v>
      </c>
      <c r="H2911" t="s">
        <v>68</v>
      </c>
      <c r="I2911" t="s">
        <v>172</v>
      </c>
      <c r="J2911" t="str">
        <f>"9781135084721"</f>
        <v>9781135084721</v>
      </c>
      <c r="K2911" t="s">
        <v>4613</v>
      </c>
      <c r="L2911">
        <v>3</v>
      </c>
      <c r="O2911" t="s">
        <v>30</v>
      </c>
      <c r="P2911" t="s">
        <v>50</v>
      </c>
      <c r="S2911" t="s">
        <v>40</v>
      </c>
      <c r="T2911" t="s">
        <v>5183</v>
      </c>
      <c r="U2911">
        <v>932</v>
      </c>
      <c r="V2911" s="3">
        <v>41530</v>
      </c>
    </row>
    <row r="2912" spans="1:22" x14ac:dyDescent="0.35">
      <c r="A2912" s="1">
        <v>42337.232951388891</v>
      </c>
      <c r="B2912" s="2">
        <v>3.5416666666666665E-3</v>
      </c>
      <c r="C2912" t="s">
        <v>210</v>
      </c>
      <c r="D2912" t="s">
        <v>211</v>
      </c>
      <c r="E2912" t="s">
        <v>212</v>
      </c>
      <c r="F2912" t="s">
        <v>1547</v>
      </c>
      <c r="G2912">
        <v>848510</v>
      </c>
      <c r="H2912" t="s">
        <v>26</v>
      </c>
      <c r="I2912" t="s">
        <v>247</v>
      </c>
      <c r="J2912" t="str">
        <f>"9781118220481"</f>
        <v>9781118220481</v>
      </c>
      <c r="K2912" t="s">
        <v>5184</v>
      </c>
      <c r="L2912">
        <v>21</v>
      </c>
      <c r="O2912" t="s">
        <v>30</v>
      </c>
      <c r="P2912" t="s">
        <v>42</v>
      </c>
      <c r="S2912" t="s">
        <v>214</v>
      </c>
      <c r="T2912" t="s">
        <v>1548</v>
      </c>
      <c r="U2912" t="s">
        <v>1549</v>
      </c>
      <c r="V2912" s="3">
        <v>41066</v>
      </c>
    </row>
    <row r="2913" spans="1:22" x14ac:dyDescent="0.35">
      <c r="A2913" s="1">
        <v>42337.187824074077</v>
      </c>
      <c r="B2913" s="2">
        <v>6.4571759259259259E-2</v>
      </c>
      <c r="C2913" t="s">
        <v>5155</v>
      </c>
      <c r="D2913" t="s">
        <v>211</v>
      </c>
      <c r="E2913" t="s">
        <v>212</v>
      </c>
      <c r="F2913" t="s">
        <v>5156</v>
      </c>
      <c r="G2913">
        <v>918813</v>
      </c>
      <c r="H2913" t="s">
        <v>3465</v>
      </c>
      <c r="I2913" t="s">
        <v>172</v>
      </c>
      <c r="J2913" t="str">
        <f>"9781608708086"</f>
        <v>9781608708086</v>
      </c>
      <c r="K2913" t="s">
        <v>5185</v>
      </c>
      <c r="L2913">
        <v>30</v>
      </c>
      <c r="O2913" t="s">
        <v>30</v>
      </c>
      <c r="P2913" t="s">
        <v>29</v>
      </c>
      <c r="Q2913" s="1">
        <v>42337.1878125</v>
      </c>
      <c r="R2913">
        <v>7</v>
      </c>
      <c r="S2913" t="s">
        <v>214</v>
      </c>
      <c r="T2913" t="s">
        <v>5158</v>
      </c>
      <c r="U2913">
        <v>986.1</v>
      </c>
      <c r="V2913" s="3">
        <v>40969</v>
      </c>
    </row>
    <row r="2914" spans="1:22" x14ac:dyDescent="0.35">
      <c r="A2914" s="1">
        <v>42337.174988425926</v>
      </c>
      <c r="B2914" s="2">
        <v>8.6805555555555551E-4</v>
      </c>
      <c r="C2914" t="s">
        <v>5027</v>
      </c>
      <c r="D2914" t="s">
        <v>158</v>
      </c>
      <c r="E2914" t="s">
        <v>159</v>
      </c>
      <c r="F2914" t="s">
        <v>4405</v>
      </c>
      <c r="G2914">
        <v>1187185</v>
      </c>
      <c r="H2914" t="s">
        <v>26</v>
      </c>
      <c r="I2914" t="s">
        <v>4406</v>
      </c>
      <c r="J2914" t="str">
        <f>"9781118748183"</f>
        <v>9781118748183</v>
      </c>
      <c r="K2914" t="s">
        <v>5186</v>
      </c>
      <c r="L2914">
        <v>10</v>
      </c>
      <c r="O2914" t="s">
        <v>30</v>
      </c>
      <c r="P2914" t="s">
        <v>42</v>
      </c>
      <c r="S2914" t="s">
        <v>163</v>
      </c>
      <c r="T2914" t="s">
        <v>4408</v>
      </c>
      <c r="U2914">
        <v>622.33799999999997</v>
      </c>
      <c r="V2914" s="3">
        <v>41400</v>
      </c>
    </row>
    <row r="2915" spans="1:22" x14ac:dyDescent="0.35">
      <c r="A2915" s="1">
        <v>42337.162152777775</v>
      </c>
      <c r="B2915" s="2">
        <v>2.5659722222222223E-2</v>
      </c>
      <c r="C2915" t="s">
        <v>5155</v>
      </c>
      <c r="D2915" t="s">
        <v>211</v>
      </c>
      <c r="E2915" t="s">
        <v>212</v>
      </c>
      <c r="F2915" t="s">
        <v>5156</v>
      </c>
      <c r="G2915">
        <v>918813</v>
      </c>
      <c r="H2915" t="s">
        <v>3465</v>
      </c>
      <c r="I2915" t="s">
        <v>172</v>
      </c>
      <c r="J2915" t="str">
        <f>"9781608708086"</f>
        <v>9781608708086</v>
      </c>
      <c r="K2915" t="s">
        <v>5187</v>
      </c>
      <c r="L2915">
        <v>8</v>
      </c>
      <c r="O2915" t="s">
        <v>30</v>
      </c>
      <c r="P2915" t="s">
        <v>42</v>
      </c>
      <c r="S2915" t="s">
        <v>214</v>
      </c>
      <c r="T2915" t="s">
        <v>5158</v>
      </c>
      <c r="U2915">
        <v>986.1</v>
      </c>
      <c r="V2915" s="3">
        <v>40969</v>
      </c>
    </row>
    <row r="2916" spans="1:22" x14ac:dyDescent="0.35">
      <c r="A2916" s="1">
        <v>42337.152685185189</v>
      </c>
      <c r="B2916" s="2">
        <v>9.4907407407407408E-4</v>
      </c>
      <c r="C2916" t="s">
        <v>210</v>
      </c>
      <c r="D2916" t="s">
        <v>211</v>
      </c>
      <c r="E2916" t="s">
        <v>212</v>
      </c>
      <c r="F2916" t="s">
        <v>1547</v>
      </c>
      <c r="G2916">
        <v>848510</v>
      </c>
      <c r="H2916" t="s">
        <v>26</v>
      </c>
      <c r="I2916" t="s">
        <v>247</v>
      </c>
      <c r="J2916" t="str">
        <f>"9781118220481"</f>
        <v>9781118220481</v>
      </c>
      <c r="K2916" t="s">
        <v>5188</v>
      </c>
      <c r="L2916">
        <v>24</v>
      </c>
      <c r="O2916" t="s">
        <v>30</v>
      </c>
      <c r="P2916" t="s">
        <v>42</v>
      </c>
      <c r="S2916" t="s">
        <v>214</v>
      </c>
      <c r="T2916" t="s">
        <v>1548</v>
      </c>
      <c r="U2916" t="s">
        <v>1549</v>
      </c>
      <c r="V2916" s="3">
        <v>41066</v>
      </c>
    </row>
    <row r="2917" spans="1:22" x14ac:dyDescent="0.35">
      <c r="A2917" s="1">
        <v>42337.112800925926</v>
      </c>
      <c r="B2917" s="2">
        <v>5.2835648148148145E-2</v>
      </c>
      <c r="C2917" t="s">
        <v>3556</v>
      </c>
      <c r="D2917" t="s">
        <v>23</v>
      </c>
      <c r="E2917" t="s">
        <v>24</v>
      </c>
      <c r="F2917" t="s">
        <v>3060</v>
      </c>
      <c r="G2917">
        <v>1120279</v>
      </c>
      <c r="H2917" t="s">
        <v>26</v>
      </c>
      <c r="I2917" t="s">
        <v>3061</v>
      </c>
      <c r="J2917" t="str">
        <f>"9781118537671"</f>
        <v>9781118537671</v>
      </c>
      <c r="K2917" t="s">
        <v>5189</v>
      </c>
      <c r="L2917">
        <v>29</v>
      </c>
      <c r="O2917" t="s">
        <v>30</v>
      </c>
      <c r="P2917" t="s">
        <v>29</v>
      </c>
      <c r="Q2917" s="1">
        <v>42333.073622685188</v>
      </c>
      <c r="R2917">
        <v>7</v>
      </c>
      <c r="S2917" t="s">
        <v>31</v>
      </c>
      <c r="T2917" t="s">
        <v>3063</v>
      </c>
      <c r="U2917">
        <v>599.93499999999995</v>
      </c>
      <c r="V2917" s="3">
        <v>41232</v>
      </c>
    </row>
    <row r="2918" spans="1:22" x14ac:dyDescent="0.35">
      <c r="A2918" s="1">
        <v>42337.04042824074</v>
      </c>
      <c r="B2918" s="2">
        <v>8.5532407407407415E-3</v>
      </c>
      <c r="C2918" t="s">
        <v>5190</v>
      </c>
      <c r="D2918" t="s">
        <v>23</v>
      </c>
      <c r="E2918" t="s">
        <v>24</v>
      </c>
      <c r="F2918" t="s">
        <v>5191</v>
      </c>
      <c r="G2918">
        <v>1589017</v>
      </c>
      <c r="H2918" t="s">
        <v>84</v>
      </c>
      <c r="I2918" t="s">
        <v>310</v>
      </c>
      <c r="J2918" t="str">
        <f>"9780520957879"</f>
        <v>9780520957879</v>
      </c>
      <c r="K2918" t="s">
        <v>5192</v>
      </c>
      <c r="L2918">
        <v>26</v>
      </c>
      <c r="O2918" t="s">
        <v>30</v>
      </c>
      <c r="P2918" t="s">
        <v>47</v>
      </c>
      <c r="Q2918" s="1">
        <v>42337.04042824074</v>
      </c>
      <c r="R2918">
        <v>1</v>
      </c>
      <c r="S2918" t="s">
        <v>31</v>
      </c>
      <c r="T2918" t="s">
        <v>5193</v>
      </c>
      <c r="U2918" t="s">
        <v>5194</v>
      </c>
      <c r="V2918" s="3">
        <v>41678</v>
      </c>
    </row>
    <row r="2919" spans="1:22" x14ac:dyDescent="0.35">
      <c r="A2919" s="1">
        <v>42337.036030092589</v>
      </c>
      <c r="B2919" s="2">
        <v>4.3981481481481484E-3</v>
      </c>
      <c r="C2919" t="s">
        <v>5190</v>
      </c>
      <c r="D2919" t="s">
        <v>23</v>
      </c>
      <c r="E2919" t="s">
        <v>24</v>
      </c>
      <c r="F2919" t="s">
        <v>5191</v>
      </c>
      <c r="G2919">
        <v>1589017</v>
      </c>
      <c r="H2919" t="s">
        <v>84</v>
      </c>
      <c r="I2919" t="s">
        <v>310</v>
      </c>
      <c r="J2919" t="str">
        <f>"9780520957879"</f>
        <v>9780520957879</v>
      </c>
      <c r="K2919" t="s">
        <v>2353</v>
      </c>
      <c r="L2919">
        <v>13</v>
      </c>
      <c r="O2919" t="s">
        <v>30</v>
      </c>
      <c r="P2919" t="s">
        <v>50</v>
      </c>
      <c r="S2919" t="s">
        <v>31</v>
      </c>
      <c r="T2919" t="s">
        <v>5193</v>
      </c>
      <c r="U2919" t="s">
        <v>5194</v>
      </c>
      <c r="V2919" s="3">
        <v>41678</v>
      </c>
    </row>
    <row r="2920" spans="1:22" x14ac:dyDescent="0.35">
      <c r="A2920" s="1">
        <v>42337.022245370368</v>
      </c>
      <c r="B2920" s="2">
        <v>3.6574074074074074E-3</v>
      </c>
      <c r="C2920" t="s">
        <v>5176</v>
      </c>
      <c r="D2920" t="s">
        <v>1222</v>
      </c>
      <c r="E2920" t="s">
        <v>1223</v>
      </c>
      <c r="F2920" t="s">
        <v>3179</v>
      </c>
      <c r="G2920">
        <v>1172554</v>
      </c>
      <c r="H2920" t="s">
        <v>1365</v>
      </c>
      <c r="I2920" t="s">
        <v>172</v>
      </c>
      <c r="J2920" t="str">
        <f>""</f>
        <v/>
      </c>
      <c r="K2920" t="s">
        <v>5195</v>
      </c>
      <c r="L2920">
        <v>14</v>
      </c>
      <c r="O2920" t="s">
        <v>30</v>
      </c>
      <c r="P2920" t="s">
        <v>29</v>
      </c>
      <c r="Q2920" s="1">
        <v>42336.016701388886</v>
      </c>
      <c r="R2920">
        <v>7</v>
      </c>
      <c r="S2920" t="s">
        <v>1226</v>
      </c>
      <c r="T2920" t="s">
        <v>3182</v>
      </c>
      <c r="U2920" t="s">
        <v>3183</v>
      </c>
      <c r="V2920" s="3">
        <v>41375</v>
      </c>
    </row>
    <row r="2921" spans="1:22" x14ac:dyDescent="0.35">
      <c r="A2921" s="1">
        <v>42336.987430555557</v>
      </c>
      <c r="B2921" s="2">
        <v>2.8310185185185185E-2</v>
      </c>
      <c r="C2921" t="s">
        <v>5196</v>
      </c>
      <c r="D2921" t="s">
        <v>360</v>
      </c>
      <c r="E2921" t="s">
        <v>361</v>
      </c>
      <c r="F2921" t="s">
        <v>5197</v>
      </c>
      <c r="G2921">
        <v>822032</v>
      </c>
      <c r="H2921" t="s">
        <v>26</v>
      </c>
      <c r="I2921" t="s">
        <v>267</v>
      </c>
      <c r="J2921" t="str">
        <f>"9781118287019"</f>
        <v>9781118287019</v>
      </c>
      <c r="K2921" t="s">
        <v>5198</v>
      </c>
      <c r="L2921">
        <v>38</v>
      </c>
      <c r="O2921" t="s">
        <v>30</v>
      </c>
      <c r="P2921" t="s">
        <v>29</v>
      </c>
      <c r="Q2921" s="1">
        <v>42336.987430555557</v>
      </c>
      <c r="R2921">
        <v>7</v>
      </c>
      <c r="S2921" t="s">
        <v>363</v>
      </c>
      <c r="T2921" t="s">
        <v>5199</v>
      </c>
      <c r="U2921" t="s">
        <v>5200</v>
      </c>
      <c r="V2921" s="3">
        <v>41225</v>
      </c>
    </row>
    <row r="2922" spans="1:22" x14ac:dyDescent="0.35">
      <c r="A2922" s="1">
        <v>42336.987407407411</v>
      </c>
      <c r="B2922" s="2">
        <v>2.3148148148148147E-5</v>
      </c>
      <c r="C2922" t="s">
        <v>5196</v>
      </c>
      <c r="D2922" t="s">
        <v>360</v>
      </c>
      <c r="E2922" t="s">
        <v>361</v>
      </c>
      <c r="F2922" t="s">
        <v>5197</v>
      </c>
      <c r="G2922">
        <v>822032</v>
      </c>
      <c r="H2922" t="s">
        <v>26</v>
      </c>
      <c r="I2922" t="s">
        <v>267</v>
      </c>
      <c r="J2922" t="str">
        <f>"9781118287019"</f>
        <v>9781118287019</v>
      </c>
      <c r="L2922">
        <v>0</v>
      </c>
      <c r="O2922" t="s">
        <v>30</v>
      </c>
      <c r="P2922" t="s">
        <v>42</v>
      </c>
      <c r="S2922" t="s">
        <v>363</v>
      </c>
      <c r="T2922" t="s">
        <v>5199</v>
      </c>
      <c r="U2922" t="s">
        <v>5200</v>
      </c>
      <c r="V2922" s="3">
        <v>41225</v>
      </c>
    </row>
    <row r="2923" spans="1:22" x14ac:dyDescent="0.35">
      <c r="A2923" s="1">
        <v>42336.96197916667</v>
      </c>
      <c r="B2923" s="2">
        <v>1.7361111111111112E-4</v>
      </c>
      <c r="C2923" t="s">
        <v>3223</v>
      </c>
      <c r="D2923" t="s">
        <v>23</v>
      </c>
      <c r="E2923" t="s">
        <v>24</v>
      </c>
      <c r="F2923" t="s">
        <v>3224</v>
      </c>
      <c r="G2923">
        <v>1882107</v>
      </c>
      <c r="H2923" t="s">
        <v>84</v>
      </c>
      <c r="I2923" t="s">
        <v>998</v>
      </c>
      <c r="J2923" t="str">
        <f>"9780520961593"</f>
        <v>9780520961593</v>
      </c>
      <c r="K2923" t="s">
        <v>5201</v>
      </c>
      <c r="L2923">
        <v>8</v>
      </c>
      <c r="O2923" t="s">
        <v>30</v>
      </c>
      <c r="P2923" t="s">
        <v>29</v>
      </c>
      <c r="Q2923" s="1">
        <v>42335.822280092594</v>
      </c>
      <c r="R2923">
        <v>7</v>
      </c>
      <c r="S2923" t="s">
        <v>31</v>
      </c>
      <c r="T2923" t="s">
        <v>3226</v>
      </c>
      <c r="U2923">
        <v>952.03099999999995</v>
      </c>
      <c r="V2923" s="3">
        <v>42164</v>
      </c>
    </row>
    <row r="2924" spans="1:22" x14ac:dyDescent="0.35">
      <c r="A2924" s="1">
        <v>42336.939259259256</v>
      </c>
      <c r="B2924" s="2">
        <v>4.6296296296296294E-5</v>
      </c>
      <c r="C2924" t="s">
        <v>5202</v>
      </c>
      <c r="D2924" t="s">
        <v>35</v>
      </c>
      <c r="E2924" t="s">
        <v>36</v>
      </c>
      <c r="F2924" t="s">
        <v>5203</v>
      </c>
      <c r="G2924">
        <v>1573297</v>
      </c>
      <c r="H2924" t="s">
        <v>68</v>
      </c>
      <c r="I2924" t="s">
        <v>5204</v>
      </c>
      <c r="J2924" t="str">
        <f>"9781134049356"</f>
        <v>9781134049356</v>
      </c>
      <c r="K2924" t="s">
        <v>33</v>
      </c>
      <c r="L2924">
        <v>3</v>
      </c>
      <c r="O2924" t="s">
        <v>30</v>
      </c>
      <c r="P2924" t="s">
        <v>50</v>
      </c>
      <c r="S2924" t="s">
        <v>40</v>
      </c>
      <c r="T2924" t="s">
        <v>5205</v>
      </c>
      <c r="U2924">
        <v>791.43616399999996</v>
      </c>
      <c r="V2924" s="3">
        <v>39853</v>
      </c>
    </row>
    <row r="2925" spans="1:22" x14ac:dyDescent="0.35">
      <c r="A2925" s="1">
        <v>42336.933368055557</v>
      </c>
      <c r="B2925" s="2">
        <v>1.2847222222222223E-3</v>
      </c>
      <c r="C2925" t="s">
        <v>4745</v>
      </c>
      <c r="D2925" t="s">
        <v>35</v>
      </c>
      <c r="E2925" t="s">
        <v>36</v>
      </c>
      <c r="F2925" t="s">
        <v>5120</v>
      </c>
      <c r="G2925">
        <v>1337521</v>
      </c>
      <c r="H2925" t="s">
        <v>68</v>
      </c>
      <c r="I2925" t="s">
        <v>69</v>
      </c>
      <c r="J2925" t="str">
        <f>"9781317922049"</f>
        <v>9781317922049</v>
      </c>
      <c r="K2925" t="s">
        <v>5206</v>
      </c>
      <c r="L2925">
        <v>12</v>
      </c>
      <c r="O2925" t="s">
        <v>30</v>
      </c>
      <c r="P2925" t="s">
        <v>47</v>
      </c>
      <c r="Q2925" s="1">
        <v>42336.933368055557</v>
      </c>
      <c r="R2925">
        <v>1</v>
      </c>
      <c r="S2925" t="s">
        <v>40</v>
      </c>
      <c r="T2925" t="s">
        <v>5122</v>
      </c>
      <c r="U2925">
        <v>371.20097299999998</v>
      </c>
      <c r="V2925" s="3">
        <v>41492</v>
      </c>
    </row>
    <row r="2926" spans="1:22" x14ac:dyDescent="0.35">
      <c r="A2926" s="1">
        <v>42336.929699074077</v>
      </c>
      <c r="B2926" s="2">
        <v>5.7326388888888892E-2</v>
      </c>
      <c r="C2926" t="s">
        <v>5196</v>
      </c>
      <c r="D2926" t="s">
        <v>360</v>
      </c>
      <c r="E2926" t="s">
        <v>361</v>
      </c>
      <c r="F2926" t="s">
        <v>5197</v>
      </c>
      <c r="G2926">
        <v>822032</v>
      </c>
      <c r="H2926" t="s">
        <v>26</v>
      </c>
      <c r="I2926" t="s">
        <v>267</v>
      </c>
      <c r="J2926" t="str">
        <f>"9781118287019"</f>
        <v>9781118287019</v>
      </c>
      <c r="L2926">
        <v>0</v>
      </c>
      <c r="O2926" t="s">
        <v>30</v>
      </c>
      <c r="P2926" t="s">
        <v>42</v>
      </c>
      <c r="S2926" t="s">
        <v>363</v>
      </c>
      <c r="T2926" t="s">
        <v>5199</v>
      </c>
      <c r="U2926" t="s">
        <v>5200</v>
      </c>
      <c r="V2926" s="3">
        <v>41225</v>
      </c>
    </row>
    <row r="2927" spans="1:22" x14ac:dyDescent="0.35">
      <c r="A2927" s="1">
        <v>42336.929363425923</v>
      </c>
      <c r="B2927" s="2">
        <v>4.0046296296296297E-3</v>
      </c>
      <c r="C2927" t="s">
        <v>4745</v>
      </c>
      <c r="D2927" t="s">
        <v>35</v>
      </c>
      <c r="E2927" t="s">
        <v>36</v>
      </c>
      <c r="F2927" t="s">
        <v>5120</v>
      </c>
      <c r="G2927">
        <v>1337521</v>
      </c>
      <c r="H2927" t="s">
        <v>68</v>
      </c>
      <c r="I2927" t="s">
        <v>69</v>
      </c>
      <c r="J2927" t="str">
        <f>"9781317922049"</f>
        <v>9781317922049</v>
      </c>
      <c r="K2927" t="s">
        <v>5207</v>
      </c>
      <c r="L2927">
        <v>14</v>
      </c>
      <c r="O2927" t="s">
        <v>30</v>
      </c>
      <c r="P2927" t="s">
        <v>50</v>
      </c>
      <c r="S2927" t="s">
        <v>40</v>
      </c>
      <c r="T2927" t="s">
        <v>5122</v>
      </c>
      <c r="U2927">
        <v>371.20097299999998</v>
      </c>
      <c r="V2927" s="3">
        <v>41492</v>
      </c>
    </row>
    <row r="2928" spans="1:22" x14ac:dyDescent="0.35">
      <c r="A2928" s="1">
        <v>42336.877199074072</v>
      </c>
      <c r="B2928" s="2">
        <v>8.3599537037037042E-2</v>
      </c>
      <c r="C2928" t="s">
        <v>4320</v>
      </c>
      <c r="D2928" t="s">
        <v>23</v>
      </c>
      <c r="E2928" t="s">
        <v>24</v>
      </c>
      <c r="F2928" t="s">
        <v>3351</v>
      </c>
      <c r="G2928">
        <v>1760720</v>
      </c>
      <c r="H2928" t="s">
        <v>91</v>
      </c>
      <c r="I2928" t="s">
        <v>247</v>
      </c>
      <c r="J2928" t="str">
        <f>"9781462517459"</f>
        <v>9781462517459</v>
      </c>
      <c r="K2928" t="s">
        <v>5208</v>
      </c>
      <c r="L2928">
        <v>52</v>
      </c>
      <c r="O2928" t="s">
        <v>30</v>
      </c>
      <c r="P2928" t="s">
        <v>29</v>
      </c>
      <c r="Q2928" s="1">
        <v>42336.877199074072</v>
      </c>
      <c r="R2928">
        <v>7</v>
      </c>
      <c r="S2928" t="s">
        <v>31</v>
      </c>
      <c r="T2928" t="s">
        <v>3353</v>
      </c>
      <c r="U2928">
        <v>616.89142000000004</v>
      </c>
      <c r="V2928" s="3">
        <v>41996</v>
      </c>
    </row>
    <row r="2929" spans="1:22" x14ac:dyDescent="0.35">
      <c r="A2929" s="1">
        <v>42336.862118055556</v>
      </c>
      <c r="B2929" s="2">
        <v>1.5081018518518516E-2</v>
      </c>
      <c r="C2929" t="s">
        <v>4320</v>
      </c>
      <c r="D2929" t="s">
        <v>23</v>
      </c>
      <c r="E2929" t="s">
        <v>24</v>
      </c>
      <c r="F2929" t="s">
        <v>3351</v>
      </c>
      <c r="G2929">
        <v>1760720</v>
      </c>
      <c r="H2929" t="s">
        <v>91</v>
      </c>
      <c r="I2929" t="s">
        <v>247</v>
      </c>
      <c r="J2929" t="str">
        <f>"9781462517459"</f>
        <v>9781462517459</v>
      </c>
      <c r="K2929" t="s">
        <v>5209</v>
      </c>
      <c r="L2929">
        <v>18</v>
      </c>
      <c r="O2929" t="s">
        <v>30</v>
      </c>
      <c r="P2929" t="s">
        <v>42</v>
      </c>
      <c r="S2929" t="s">
        <v>31</v>
      </c>
      <c r="T2929" t="s">
        <v>3353</v>
      </c>
      <c r="U2929">
        <v>616.89142000000004</v>
      </c>
      <c r="V2929" s="3">
        <v>41996</v>
      </c>
    </row>
    <row r="2930" spans="1:22" x14ac:dyDescent="0.35">
      <c r="A2930" s="1">
        <v>42336.848483796297</v>
      </c>
      <c r="B2930" s="2">
        <v>5.9837962962962961E-3</v>
      </c>
      <c r="C2930" t="s">
        <v>5210</v>
      </c>
      <c r="D2930" t="s">
        <v>35</v>
      </c>
      <c r="E2930" t="s">
        <v>36</v>
      </c>
      <c r="F2930" t="s">
        <v>986</v>
      </c>
      <c r="G2930">
        <v>968030</v>
      </c>
      <c r="H2930" t="s">
        <v>26</v>
      </c>
      <c r="I2930" t="s">
        <v>219</v>
      </c>
      <c r="J2930" t="str">
        <f>"9781118285138"</f>
        <v>9781118285138</v>
      </c>
      <c r="K2930" t="s">
        <v>5211</v>
      </c>
      <c r="L2930">
        <v>30</v>
      </c>
      <c r="O2930" t="s">
        <v>30</v>
      </c>
      <c r="P2930" t="s">
        <v>42</v>
      </c>
      <c r="S2930" t="s">
        <v>40</v>
      </c>
      <c r="T2930" t="s">
        <v>987</v>
      </c>
      <c r="U2930">
        <v>158.30000000000001</v>
      </c>
      <c r="V2930" s="3">
        <v>41100</v>
      </c>
    </row>
    <row r="2931" spans="1:22" x14ac:dyDescent="0.35">
      <c r="A2931" s="1">
        <v>42336.845671296294</v>
      </c>
      <c r="B2931" s="2">
        <v>7.1180555555555554E-3</v>
      </c>
      <c r="C2931" t="s">
        <v>3223</v>
      </c>
      <c r="D2931" t="s">
        <v>23</v>
      </c>
      <c r="E2931" t="s">
        <v>24</v>
      </c>
      <c r="F2931" t="s">
        <v>3224</v>
      </c>
      <c r="G2931">
        <v>1882107</v>
      </c>
      <c r="H2931" t="s">
        <v>84</v>
      </c>
      <c r="I2931" t="s">
        <v>998</v>
      </c>
      <c r="J2931" t="str">
        <f>"9780520961593"</f>
        <v>9780520961593</v>
      </c>
      <c r="K2931" t="s">
        <v>5212</v>
      </c>
      <c r="L2931">
        <v>15</v>
      </c>
      <c r="O2931" t="s">
        <v>30</v>
      </c>
      <c r="P2931" t="s">
        <v>29</v>
      </c>
      <c r="Q2931" s="1">
        <v>42335.822280092594</v>
      </c>
      <c r="R2931">
        <v>7</v>
      </c>
      <c r="S2931" t="s">
        <v>31</v>
      </c>
      <c r="T2931" t="s">
        <v>3226</v>
      </c>
      <c r="U2931">
        <v>952.03099999999995</v>
      </c>
      <c r="V2931" s="3">
        <v>42164</v>
      </c>
    </row>
    <row r="2932" spans="1:22" x14ac:dyDescent="0.35">
      <c r="A2932" s="1">
        <v>42336.842129629629</v>
      </c>
      <c r="B2932" s="2">
        <v>2.3032407407407407E-3</v>
      </c>
      <c r="C2932" t="s">
        <v>5196</v>
      </c>
      <c r="D2932" t="s">
        <v>360</v>
      </c>
      <c r="E2932" t="s">
        <v>361</v>
      </c>
      <c r="F2932" t="s">
        <v>5197</v>
      </c>
      <c r="G2932">
        <v>822032</v>
      </c>
      <c r="H2932" t="s">
        <v>26</v>
      </c>
      <c r="I2932" t="s">
        <v>267</v>
      </c>
      <c r="J2932" t="str">
        <f>"9781118287019"</f>
        <v>9781118287019</v>
      </c>
      <c r="K2932" t="s">
        <v>5213</v>
      </c>
      <c r="L2932">
        <v>10</v>
      </c>
      <c r="O2932" t="s">
        <v>30</v>
      </c>
      <c r="P2932" t="s">
        <v>42</v>
      </c>
      <c r="S2932" t="s">
        <v>363</v>
      </c>
      <c r="T2932" t="s">
        <v>5199</v>
      </c>
      <c r="U2932" t="s">
        <v>5200</v>
      </c>
      <c r="V2932" s="3">
        <v>41225</v>
      </c>
    </row>
    <row r="2933" spans="1:22" x14ac:dyDescent="0.35">
      <c r="A2933" s="1">
        <v>42336.809062499997</v>
      </c>
      <c r="B2933" s="2">
        <v>1.8483796296296297E-2</v>
      </c>
      <c r="C2933" t="s">
        <v>5214</v>
      </c>
      <c r="D2933" t="s">
        <v>35</v>
      </c>
      <c r="E2933" t="s">
        <v>36</v>
      </c>
      <c r="F2933" t="s">
        <v>5215</v>
      </c>
      <c r="G2933">
        <v>1569683</v>
      </c>
      <c r="H2933" t="s">
        <v>68</v>
      </c>
      <c r="I2933" t="s">
        <v>172</v>
      </c>
      <c r="J2933" t="str">
        <f>"9781317875789"</f>
        <v>9781317875789</v>
      </c>
      <c r="K2933" t="s">
        <v>5216</v>
      </c>
      <c r="L2933">
        <v>39</v>
      </c>
      <c r="O2933" t="s">
        <v>30</v>
      </c>
      <c r="P2933" t="s">
        <v>47</v>
      </c>
      <c r="Q2933" s="1">
        <v>42336.809050925927</v>
      </c>
      <c r="R2933">
        <v>1</v>
      </c>
      <c r="S2933" t="s">
        <v>40</v>
      </c>
      <c r="T2933" t="s">
        <v>5217</v>
      </c>
      <c r="U2933">
        <v>940.30820000000006</v>
      </c>
      <c r="V2933" s="3">
        <v>41582</v>
      </c>
    </row>
    <row r="2934" spans="1:22" x14ac:dyDescent="0.35">
      <c r="A2934" s="1">
        <v>42336.799490740741</v>
      </c>
      <c r="B2934" s="2">
        <v>9.5601851851851855E-3</v>
      </c>
      <c r="C2934" t="s">
        <v>5214</v>
      </c>
      <c r="D2934" t="s">
        <v>35</v>
      </c>
      <c r="E2934" t="s">
        <v>36</v>
      </c>
      <c r="F2934" t="s">
        <v>5215</v>
      </c>
      <c r="G2934">
        <v>1569683</v>
      </c>
      <c r="H2934" t="s">
        <v>68</v>
      </c>
      <c r="I2934" t="s">
        <v>172</v>
      </c>
      <c r="J2934" t="str">
        <f>"9781317875789"</f>
        <v>9781317875789</v>
      </c>
      <c r="K2934" t="s">
        <v>5218</v>
      </c>
      <c r="L2934">
        <v>25</v>
      </c>
      <c r="O2934" t="s">
        <v>30</v>
      </c>
      <c r="P2934" t="s">
        <v>50</v>
      </c>
      <c r="S2934" t="s">
        <v>40</v>
      </c>
      <c r="T2934" t="s">
        <v>5217</v>
      </c>
      <c r="U2934">
        <v>940.30820000000006</v>
      </c>
      <c r="V2934" s="3">
        <v>41582</v>
      </c>
    </row>
    <row r="2935" spans="1:22" x14ac:dyDescent="0.35">
      <c r="A2935" s="1">
        <v>42336.781585648147</v>
      </c>
      <c r="B2935" s="2">
        <v>5.7870370370370366E-5</v>
      </c>
      <c r="C2935" t="s">
        <v>5214</v>
      </c>
      <c r="D2935" t="s">
        <v>35</v>
      </c>
      <c r="E2935" t="s">
        <v>36</v>
      </c>
      <c r="F2935" t="s">
        <v>5215</v>
      </c>
      <c r="G2935">
        <v>1569683</v>
      </c>
      <c r="H2935" t="s">
        <v>68</v>
      </c>
      <c r="I2935" t="s">
        <v>172</v>
      </c>
      <c r="J2935" t="str">
        <f>"9781317875789"</f>
        <v>9781317875789</v>
      </c>
      <c r="K2935" t="s">
        <v>33</v>
      </c>
      <c r="L2935">
        <v>3</v>
      </c>
      <c r="O2935" t="s">
        <v>30</v>
      </c>
      <c r="P2935" t="s">
        <v>50</v>
      </c>
      <c r="S2935" t="s">
        <v>40</v>
      </c>
      <c r="T2935" t="s">
        <v>5217</v>
      </c>
      <c r="U2935">
        <v>940.30820000000006</v>
      </c>
      <c r="V2935" s="3">
        <v>41582</v>
      </c>
    </row>
    <row r="2936" spans="1:22" x14ac:dyDescent="0.35">
      <c r="A2936" s="1">
        <v>42336.745046296295</v>
      </c>
      <c r="B2936" s="2">
        <v>0.10646990740740742</v>
      </c>
      <c r="C2936" t="s">
        <v>5219</v>
      </c>
      <c r="D2936" t="s">
        <v>211</v>
      </c>
      <c r="E2936" t="s">
        <v>212</v>
      </c>
      <c r="F2936" t="s">
        <v>462</v>
      </c>
      <c r="G2936">
        <v>1822529</v>
      </c>
      <c r="H2936" t="s">
        <v>26</v>
      </c>
      <c r="I2936" t="s">
        <v>297</v>
      </c>
      <c r="J2936" t="str">
        <f>"9781118824344"</f>
        <v>9781118824344</v>
      </c>
      <c r="K2936" t="s">
        <v>5220</v>
      </c>
      <c r="L2936">
        <v>151</v>
      </c>
      <c r="O2936" t="s">
        <v>30</v>
      </c>
      <c r="P2936" t="s">
        <v>29</v>
      </c>
      <c r="Q2936" s="1">
        <v>42331.578645833331</v>
      </c>
      <c r="R2936">
        <v>7</v>
      </c>
      <c r="S2936" t="s">
        <v>214</v>
      </c>
      <c r="T2936" t="s">
        <v>464</v>
      </c>
      <c r="U2936">
        <v>519.4</v>
      </c>
      <c r="V2936" s="3">
        <v>41932</v>
      </c>
    </row>
    <row r="2937" spans="1:22" x14ac:dyDescent="0.35">
      <c r="A2937" s="1">
        <v>42336.727048611108</v>
      </c>
      <c r="B2937" s="2">
        <v>8.965277777777779E-2</v>
      </c>
      <c r="C2937" t="s">
        <v>5176</v>
      </c>
      <c r="D2937" t="s">
        <v>1222</v>
      </c>
      <c r="E2937" t="s">
        <v>1223</v>
      </c>
      <c r="F2937" t="s">
        <v>3179</v>
      </c>
      <c r="G2937">
        <v>1172554</v>
      </c>
      <c r="H2937" t="s">
        <v>1365</v>
      </c>
      <c r="I2937" t="s">
        <v>172</v>
      </c>
      <c r="J2937" t="str">
        <f>""</f>
        <v/>
      </c>
      <c r="K2937" t="s">
        <v>5221</v>
      </c>
      <c r="L2937">
        <v>56</v>
      </c>
      <c r="O2937" t="s">
        <v>30</v>
      </c>
      <c r="P2937" t="s">
        <v>29</v>
      </c>
      <c r="Q2937" s="1">
        <v>42336.016701388886</v>
      </c>
      <c r="R2937">
        <v>7</v>
      </c>
      <c r="S2937" t="s">
        <v>1226</v>
      </c>
      <c r="T2937" t="s">
        <v>3182</v>
      </c>
      <c r="U2937" t="s">
        <v>3183</v>
      </c>
      <c r="V2937" s="3">
        <v>41375</v>
      </c>
    </row>
    <row r="2938" spans="1:22" x14ac:dyDescent="0.35">
      <c r="A2938" s="1">
        <v>42336.710740740738</v>
      </c>
      <c r="B2938" s="2">
        <v>7.6388888888888893E-4</v>
      </c>
      <c r="C2938" t="s">
        <v>5222</v>
      </c>
      <c r="D2938" t="s">
        <v>35</v>
      </c>
      <c r="E2938" t="s">
        <v>36</v>
      </c>
      <c r="F2938" t="s">
        <v>5223</v>
      </c>
      <c r="G2938">
        <v>1574815</v>
      </c>
      <c r="H2938" t="s">
        <v>68</v>
      </c>
      <c r="I2938" t="s">
        <v>120</v>
      </c>
      <c r="J2938" t="str">
        <f>"9781135258566"</f>
        <v>9781135258566</v>
      </c>
      <c r="K2938" t="s">
        <v>5224</v>
      </c>
      <c r="L2938">
        <v>19</v>
      </c>
      <c r="O2938" t="s">
        <v>30</v>
      </c>
      <c r="P2938" t="s">
        <v>47</v>
      </c>
      <c r="Q2938" s="1">
        <v>42336.710740740738</v>
      </c>
      <c r="R2938">
        <v>1</v>
      </c>
      <c r="S2938" t="s">
        <v>40</v>
      </c>
      <c r="T2938" t="s">
        <v>5225</v>
      </c>
      <c r="U2938">
        <v>301</v>
      </c>
      <c r="V2938" s="3">
        <v>35935</v>
      </c>
    </row>
    <row r="2939" spans="1:22" x14ac:dyDescent="0.35">
      <c r="A2939" s="1">
        <v>42336.704942129632</v>
      </c>
      <c r="B2939" s="2">
        <v>5.7986111111111112E-3</v>
      </c>
      <c r="C2939" t="s">
        <v>5222</v>
      </c>
      <c r="D2939" t="s">
        <v>35</v>
      </c>
      <c r="E2939" t="s">
        <v>36</v>
      </c>
      <c r="F2939" t="s">
        <v>5223</v>
      </c>
      <c r="G2939">
        <v>1574815</v>
      </c>
      <c r="H2939" t="s">
        <v>68</v>
      </c>
      <c r="I2939" t="s">
        <v>120</v>
      </c>
      <c r="J2939" t="str">
        <f>"9781135258566"</f>
        <v>9781135258566</v>
      </c>
      <c r="K2939" t="s">
        <v>5226</v>
      </c>
      <c r="L2939">
        <v>10</v>
      </c>
      <c r="O2939" t="s">
        <v>30</v>
      </c>
      <c r="P2939" t="s">
        <v>50</v>
      </c>
      <c r="S2939" t="s">
        <v>40</v>
      </c>
      <c r="T2939" t="s">
        <v>5225</v>
      </c>
      <c r="U2939">
        <v>301</v>
      </c>
      <c r="V2939" s="3">
        <v>35935</v>
      </c>
    </row>
    <row r="2940" spans="1:22" x14ac:dyDescent="0.35">
      <c r="A2940" s="1">
        <v>42336.686701388891</v>
      </c>
      <c r="B2940" s="2">
        <v>1.5740740740740741E-3</v>
      </c>
      <c r="C2940" t="s">
        <v>5227</v>
      </c>
      <c r="D2940" t="s">
        <v>211</v>
      </c>
      <c r="E2940" t="s">
        <v>212</v>
      </c>
      <c r="F2940" t="s">
        <v>5228</v>
      </c>
      <c r="G2940">
        <v>1034770</v>
      </c>
      <c r="H2940" t="s">
        <v>91</v>
      </c>
      <c r="I2940" t="s">
        <v>247</v>
      </c>
      <c r="J2940" t="str">
        <f>"9781462507566"</f>
        <v>9781462507566</v>
      </c>
      <c r="K2940" t="s">
        <v>5229</v>
      </c>
      <c r="L2940">
        <v>25</v>
      </c>
      <c r="O2940" t="s">
        <v>30</v>
      </c>
      <c r="P2940" t="s">
        <v>29</v>
      </c>
      <c r="Q2940" s="1">
        <v>42329.981608796297</v>
      </c>
      <c r="R2940">
        <v>7</v>
      </c>
      <c r="S2940" t="s">
        <v>214</v>
      </c>
      <c r="T2940" t="s">
        <v>5230</v>
      </c>
      <c r="U2940">
        <v>616.85839999999996</v>
      </c>
      <c r="V2940" s="3">
        <v>41567</v>
      </c>
    </row>
    <row r="2941" spans="1:22" x14ac:dyDescent="0.35">
      <c r="A2941" s="1">
        <v>42336.403495370374</v>
      </c>
      <c r="B2941" s="2">
        <v>3.7615740740740741E-2</v>
      </c>
      <c r="C2941" t="s">
        <v>5219</v>
      </c>
      <c r="D2941" t="s">
        <v>211</v>
      </c>
      <c r="E2941" t="s">
        <v>212</v>
      </c>
      <c r="F2941" t="s">
        <v>462</v>
      </c>
      <c r="G2941">
        <v>1822529</v>
      </c>
      <c r="H2941" t="s">
        <v>26</v>
      </c>
      <c r="I2941" t="s">
        <v>297</v>
      </c>
      <c r="J2941" t="str">
        <f>"9781118824344"</f>
        <v>9781118824344</v>
      </c>
      <c r="K2941" t="s">
        <v>5231</v>
      </c>
      <c r="L2941">
        <v>62</v>
      </c>
      <c r="O2941" t="s">
        <v>30</v>
      </c>
      <c r="P2941" t="s">
        <v>29</v>
      </c>
      <c r="Q2941" s="1">
        <v>42331.578645833331</v>
      </c>
      <c r="R2941">
        <v>7</v>
      </c>
      <c r="S2941" t="s">
        <v>214</v>
      </c>
      <c r="T2941" t="s">
        <v>464</v>
      </c>
      <c r="U2941">
        <v>519.4</v>
      </c>
      <c r="V2941" s="3">
        <v>41932</v>
      </c>
    </row>
    <row r="2942" spans="1:22" x14ac:dyDescent="0.35">
      <c r="A2942" s="1">
        <v>42336.22079861111</v>
      </c>
      <c r="B2942" s="2">
        <v>1.8518518518518518E-4</v>
      </c>
      <c r="C2942" t="s">
        <v>3360</v>
      </c>
      <c r="D2942" t="s">
        <v>335</v>
      </c>
      <c r="E2942" t="s">
        <v>336</v>
      </c>
      <c r="F2942" t="s">
        <v>148</v>
      </c>
      <c r="G2942">
        <v>877717</v>
      </c>
      <c r="H2942" t="s">
        <v>149</v>
      </c>
      <c r="I2942" t="s">
        <v>150</v>
      </c>
      <c r="J2942" t="str">
        <f>"9781438139265"</f>
        <v>9781438139265</v>
      </c>
      <c r="K2942" t="s">
        <v>5232</v>
      </c>
      <c r="L2942">
        <v>14</v>
      </c>
      <c r="O2942" t="s">
        <v>30</v>
      </c>
      <c r="P2942" t="s">
        <v>42</v>
      </c>
      <c r="S2942" t="s">
        <v>340</v>
      </c>
      <c r="T2942" t="s">
        <v>153</v>
      </c>
      <c r="U2942" t="s">
        <v>154</v>
      </c>
      <c r="V2942" s="3">
        <v>40909</v>
      </c>
    </row>
    <row r="2943" spans="1:22" x14ac:dyDescent="0.35">
      <c r="A2943" s="1">
        <v>42336.207303240742</v>
      </c>
      <c r="B2943" s="2">
        <v>1.5474537037037038E-2</v>
      </c>
      <c r="C2943" t="s">
        <v>3223</v>
      </c>
      <c r="D2943" t="s">
        <v>23</v>
      </c>
      <c r="E2943" t="s">
        <v>24</v>
      </c>
      <c r="F2943" t="s">
        <v>3224</v>
      </c>
      <c r="G2943">
        <v>1882107</v>
      </c>
      <c r="H2943" t="s">
        <v>84</v>
      </c>
      <c r="I2943" t="s">
        <v>998</v>
      </c>
      <c r="J2943" t="str">
        <f>"9780520961593"</f>
        <v>9780520961593</v>
      </c>
      <c r="K2943" t="s">
        <v>5233</v>
      </c>
      <c r="L2943">
        <v>47</v>
      </c>
      <c r="M2943" t="s">
        <v>5234</v>
      </c>
      <c r="O2943" t="s">
        <v>30</v>
      </c>
      <c r="P2943" t="s">
        <v>29</v>
      </c>
      <c r="Q2943" s="1">
        <v>42335.822280092594</v>
      </c>
      <c r="R2943">
        <v>7</v>
      </c>
      <c r="S2943" t="s">
        <v>31</v>
      </c>
      <c r="T2943" t="s">
        <v>3226</v>
      </c>
      <c r="U2943">
        <v>952.03099999999995</v>
      </c>
      <c r="V2943" s="3">
        <v>42164</v>
      </c>
    </row>
    <row r="2944" spans="1:22" x14ac:dyDescent="0.35">
      <c r="A2944" s="1">
        <v>42336.18173611111</v>
      </c>
      <c r="B2944" s="2">
        <v>4.5138888888888892E-4</v>
      </c>
      <c r="C2944" t="s">
        <v>5235</v>
      </c>
      <c r="D2944" t="s">
        <v>23</v>
      </c>
      <c r="E2944" t="s">
        <v>24</v>
      </c>
      <c r="F2944" t="s">
        <v>1698</v>
      </c>
      <c r="G2944">
        <v>1637652</v>
      </c>
      <c r="H2944" t="s">
        <v>84</v>
      </c>
      <c r="I2944" t="s">
        <v>69</v>
      </c>
      <c r="J2944" t="str">
        <f>"9780520958449"</f>
        <v>9780520958449</v>
      </c>
      <c r="K2944" t="s">
        <v>5236</v>
      </c>
      <c r="L2944">
        <v>18</v>
      </c>
      <c r="O2944" t="s">
        <v>30</v>
      </c>
      <c r="P2944" t="s">
        <v>42</v>
      </c>
      <c r="S2944" t="s">
        <v>31</v>
      </c>
      <c r="T2944" t="s">
        <v>1700</v>
      </c>
      <c r="U2944" t="s">
        <v>1701</v>
      </c>
      <c r="V2944" s="3">
        <v>41761</v>
      </c>
    </row>
    <row r="2945" spans="1:22" x14ac:dyDescent="0.35">
      <c r="A2945" s="1">
        <v>42336.087731481479</v>
      </c>
      <c r="B2945" s="2">
        <v>4.0624999999999993E-3</v>
      </c>
      <c r="C2945" t="s">
        <v>5237</v>
      </c>
      <c r="D2945" t="s">
        <v>211</v>
      </c>
      <c r="E2945" t="s">
        <v>212</v>
      </c>
      <c r="F2945" t="s">
        <v>5238</v>
      </c>
      <c r="G2945">
        <v>1762787</v>
      </c>
      <c r="H2945" t="s">
        <v>26</v>
      </c>
      <c r="I2945" t="s">
        <v>247</v>
      </c>
      <c r="J2945" t="str">
        <f>"9781118821329"</f>
        <v>9781118821329</v>
      </c>
      <c r="K2945" t="s">
        <v>5239</v>
      </c>
      <c r="L2945">
        <v>13</v>
      </c>
      <c r="O2945" t="s">
        <v>30</v>
      </c>
      <c r="P2945" t="s">
        <v>47</v>
      </c>
      <c r="Q2945" s="1">
        <v>42336.087731481479</v>
      </c>
      <c r="R2945">
        <v>1</v>
      </c>
      <c r="S2945" t="s">
        <v>214</v>
      </c>
      <c r="T2945" t="s">
        <v>5240</v>
      </c>
      <c r="U2945" t="s">
        <v>5241</v>
      </c>
      <c r="V2945" s="3">
        <v>41857</v>
      </c>
    </row>
    <row r="2946" spans="1:22" x14ac:dyDescent="0.35">
      <c r="A2946" s="1">
        <v>42336.082951388889</v>
      </c>
      <c r="B2946" s="2">
        <v>4.7800925925925919E-3</v>
      </c>
      <c r="C2946" t="s">
        <v>5237</v>
      </c>
      <c r="D2946" t="s">
        <v>211</v>
      </c>
      <c r="E2946" t="s">
        <v>212</v>
      </c>
      <c r="F2946" t="s">
        <v>5238</v>
      </c>
      <c r="G2946">
        <v>1762787</v>
      </c>
      <c r="H2946" t="s">
        <v>26</v>
      </c>
      <c r="I2946" t="s">
        <v>247</v>
      </c>
      <c r="J2946" t="str">
        <f>"9781118821329"</f>
        <v>9781118821329</v>
      </c>
      <c r="K2946" t="s">
        <v>5242</v>
      </c>
      <c r="L2946">
        <v>34</v>
      </c>
      <c r="O2946" t="s">
        <v>30</v>
      </c>
      <c r="P2946" t="s">
        <v>50</v>
      </c>
      <c r="S2946" t="s">
        <v>214</v>
      </c>
      <c r="T2946" t="s">
        <v>5240</v>
      </c>
      <c r="U2946" t="s">
        <v>5241</v>
      </c>
      <c r="V2946" s="3">
        <v>41857</v>
      </c>
    </row>
    <row r="2947" spans="1:22" x14ac:dyDescent="0.35">
      <c r="A2947" s="1">
        <v>42336.078784722224</v>
      </c>
      <c r="B2947" s="2">
        <v>1.5972222222222224E-2</v>
      </c>
      <c r="C2947" t="s">
        <v>3223</v>
      </c>
      <c r="D2947" t="s">
        <v>23</v>
      </c>
      <c r="E2947" t="s">
        <v>24</v>
      </c>
      <c r="F2947" t="s">
        <v>3224</v>
      </c>
      <c r="G2947">
        <v>1882107</v>
      </c>
      <c r="H2947" t="s">
        <v>84</v>
      </c>
      <c r="I2947" t="s">
        <v>998</v>
      </c>
      <c r="J2947" t="str">
        <f>"9780520961593"</f>
        <v>9780520961593</v>
      </c>
      <c r="K2947" t="s">
        <v>5243</v>
      </c>
      <c r="L2947">
        <v>31</v>
      </c>
      <c r="M2947" t="s">
        <v>5244</v>
      </c>
      <c r="O2947" t="s">
        <v>28</v>
      </c>
      <c r="P2947" t="s">
        <v>29</v>
      </c>
      <c r="Q2947" s="1">
        <v>42335.822280092594</v>
      </c>
      <c r="R2947">
        <v>7</v>
      </c>
      <c r="S2947" t="s">
        <v>31</v>
      </c>
      <c r="T2947" t="s">
        <v>3226</v>
      </c>
      <c r="U2947">
        <v>952.03099999999995</v>
      </c>
      <c r="V2947" s="3">
        <v>42164</v>
      </c>
    </row>
    <row r="2948" spans="1:22" x14ac:dyDescent="0.35">
      <c r="A2948" s="1">
        <v>42336.078668981485</v>
      </c>
      <c r="B2948" s="2">
        <v>4.6296296296296294E-5</v>
      </c>
      <c r="C2948" t="s">
        <v>3223</v>
      </c>
      <c r="D2948" t="s">
        <v>23</v>
      </c>
      <c r="E2948" t="s">
        <v>24</v>
      </c>
      <c r="F2948" t="s">
        <v>3224</v>
      </c>
      <c r="G2948">
        <v>1882107</v>
      </c>
      <c r="H2948" t="s">
        <v>84</v>
      </c>
      <c r="I2948" t="s">
        <v>998</v>
      </c>
      <c r="J2948" t="str">
        <f>"9780520961593"</f>
        <v>9780520961593</v>
      </c>
      <c r="K2948" t="s">
        <v>33</v>
      </c>
      <c r="L2948">
        <v>3</v>
      </c>
      <c r="O2948" t="s">
        <v>30</v>
      </c>
      <c r="P2948" t="s">
        <v>29</v>
      </c>
      <c r="Q2948" s="1">
        <v>42335.822280092594</v>
      </c>
      <c r="R2948">
        <v>7</v>
      </c>
      <c r="S2948" t="s">
        <v>31</v>
      </c>
      <c r="T2948" t="s">
        <v>3226</v>
      </c>
      <c r="U2948">
        <v>952.03099999999995</v>
      </c>
      <c r="V2948" s="3">
        <v>42164</v>
      </c>
    </row>
    <row r="2949" spans="1:22" x14ac:dyDescent="0.35">
      <c r="A2949" s="1">
        <v>42336.021782407406</v>
      </c>
      <c r="B2949" s="2">
        <v>3.0335648148148143E-2</v>
      </c>
      <c r="C2949" t="s">
        <v>3223</v>
      </c>
      <c r="D2949" t="s">
        <v>23</v>
      </c>
      <c r="E2949" t="s">
        <v>24</v>
      </c>
      <c r="F2949" t="s">
        <v>3224</v>
      </c>
      <c r="G2949">
        <v>1882107</v>
      </c>
      <c r="H2949" t="s">
        <v>84</v>
      </c>
      <c r="I2949" t="s">
        <v>998</v>
      </c>
      <c r="J2949" t="str">
        <f>"9780520961593"</f>
        <v>9780520961593</v>
      </c>
      <c r="K2949" t="s">
        <v>5245</v>
      </c>
      <c r="L2949">
        <v>30</v>
      </c>
      <c r="M2949" t="s">
        <v>5246</v>
      </c>
      <c r="O2949" t="s">
        <v>30</v>
      </c>
      <c r="P2949" t="s">
        <v>29</v>
      </c>
      <c r="Q2949" s="1">
        <v>42335.822280092594</v>
      </c>
      <c r="R2949">
        <v>7</v>
      </c>
      <c r="S2949" t="s">
        <v>31</v>
      </c>
      <c r="T2949" t="s">
        <v>3226</v>
      </c>
      <c r="U2949">
        <v>952.03099999999995</v>
      </c>
      <c r="V2949" s="3">
        <v>42164</v>
      </c>
    </row>
    <row r="2950" spans="1:22" x14ac:dyDescent="0.35">
      <c r="A2950" s="1">
        <v>42336.016701388886</v>
      </c>
      <c r="B2950" s="2">
        <v>0</v>
      </c>
      <c r="C2950" t="s">
        <v>5176</v>
      </c>
      <c r="D2950" t="s">
        <v>1222</v>
      </c>
      <c r="E2950" t="s">
        <v>1223</v>
      </c>
      <c r="F2950" t="s">
        <v>3179</v>
      </c>
      <c r="G2950">
        <v>1172554</v>
      </c>
      <c r="H2950" t="s">
        <v>1365</v>
      </c>
      <c r="I2950" t="s">
        <v>172</v>
      </c>
      <c r="J2950" t="str">
        <f>""</f>
        <v/>
      </c>
      <c r="K2950" t="s">
        <v>972</v>
      </c>
      <c r="L2950">
        <v>1</v>
      </c>
      <c r="O2950" t="s">
        <v>30</v>
      </c>
      <c r="P2950" t="s">
        <v>29</v>
      </c>
      <c r="Q2950" s="1">
        <v>42336.016701388886</v>
      </c>
      <c r="R2950">
        <v>7</v>
      </c>
      <c r="S2950" t="s">
        <v>1226</v>
      </c>
      <c r="T2950" t="s">
        <v>3182</v>
      </c>
      <c r="U2950" t="s">
        <v>3183</v>
      </c>
      <c r="V2950" s="3">
        <v>41375</v>
      </c>
    </row>
    <row r="2951" spans="1:22" x14ac:dyDescent="0.35">
      <c r="A2951" s="1">
        <v>42336.014444444445</v>
      </c>
      <c r="B2951" s="2">
        <v>4.6296296296296294E-5</v>
      </c>
      <c r="C2951" t="s">
        <v>5247</v>
      </c>
      <c r="D2951" t="s">
        <v>1222</v>
      </c>
      <c r="E2951" t="s">
        <v>1223</v>
      </c>
      <c r="F2951" t="s">
        <v>5248</v>
      </c>
      <c r="G2951">
        <v>1120538</v>
      </c>
      <c r="H2951" t="s">
        <v>613</v>
      </c>
      <c r="I2951" t="s">
        <v>661</v>
      </c>
      <c r="J2951" t="str">
        <f>"9781469608082"</f>
        <v>9781469608082</v>
      </c>
      <c r="K2951" t="s">
        <v>33</v>
      </c>
      <c r="L2951">
        <v>3</v>
      </c>
      <c r="O2951" t="s">
        <v>30</v>
      </c>
      <c r="P2951" t="s">
        <v>50</v>
      </c>
      <c r="S2951" t="s">
        <v>1226</v>
      </c>
      <c r="T2951" t="s">
        <v>5249</v>
      </c>
      <c r="U2951">
        <v>599.77309700000001</v>
      </c>
      <c r="V2951" s="3">
        <v>41417</v>
      </c>
    </row>
    <row r="2952" spans="1:22" x14ac:dyDescent="0.35">
      <c r="A2952" s="1">
        <v>42336.007800925923</v>
      </c>
      <c r="B2952" s="2">
        <v>4.0509259259259257E-3</v>
      </c>
      <c r="C2952" t="s">
        <v>3223</v>
      </c>
      <c r="D2952" t="s">
        <v>23</v>
      </c>
      <c r="E2952" t="s">
        <v>24</v>
      </c>
      <c r="F2952" t="s">
        <v>3224</v>
      </c>
      <c r="G2952">
        <v>1882107</v>
      </c>
      <c r="H2952" t="s">
        <v>84</v>
      </c>
      <c r="I2952" t="s">
        <v>998</v>
      </c>
      <c r="J2952" t="str">
        <f>"9780520961593"</f>
        <v>9780520961593</v>
      </c>
      <c r="K2952" t="s">
        <v>5250</v>
      </c>
      <c r="L2952">
        <v>16</v>
      </c>
      <c r="M2952" t="s">
        <v>5251</v>
      </c>
      <c r="O2952" t="s">
        <v>30</v>
      </c>
      <c r="P2952" t="s">
        <v>29</v>
      </c>
      <c r="Q2952" s="1">
        <v>42335.822280092594</v>
      </c>
      <c r="R2952">
        <v>7</v>
      </c>
      <c r="S2952" t="s">
        <v>31</v>
      </c>
      <c r="T2952" t="s">
        <v>3226</v>
      </c>
      <c r="U2952">
        <v>952.03099999999995</v>
      </c>
      <c r="V2952" s="3">
        <v>42164</v>
      </c>
    </row>
    <row r="2953" spans="1:22" x14ac:dyDescent="0.35">
      <c r="A2953" s="1">
        <v>42335.999108796299</v>
      </c>
      <c r="B2953" s="2">
        <v>1.7592592592592594E-2</v>
      </c>
      <c r="C2953" t="s">
        <v>5176</v>
      </c>
      <c r="D2953" t="s">
        <v>1222</v>
      </c>
      <c r="E2953" t="s">
        <v>1223</v>
      </c>
      <c r="F2953" t="s">
        <v>3179</v>
      </c>
      <c r="G2953">
        <v>1172554</v>
      </c>
      <c r="H2953" t="s">
        <v>1365</v>
      </c>
      <c r="I2953" t="s">
        <v>172</v>
      </c>
      <c r="J2953" t="str">
        <f>""</f>
        <v/>
      </c>
      <c r="K2953" t="s">
        <v>5252</v>
      </c>
      <c r="L2953">
        <v>20</v>
      </c>
      <c r="O2953" t="s">
        <v>30</v>
      </c>
      <c r="P2953" t="s">
        <v>42</v>
      </c>
      <c r="S2953" t="s">
        <v>1226</v>
      </c>
      <c r="T2953" t="s">
        <v>3182</v>
      </c>
      <c r="U2953" t="s">
        <v>3183</v>
      </c>
      <c r="V2953" s="3">
        <v>41375</v>
      </c>
    </row>
    <row r="2954" spans="1:22" x14ac:dyDescent="0.35">
      <c r="A2954" s="1">
        <v>42335.896307870367</v>
      </c>
      <c r="B2954" s="2">
        <v>4.0138888888888884E-2</v>
      </c>
      <c r="C2954" t="s">
        <v>3223</v>
      </c>
      <c r="D2954" t="s">
        <v>23</v>
      </c>
      <c r="E2954" t="s">
        <v>24</v>
      </c>
      <c r="F2954" t="s">
        <v>3224</v>
      </c>
      <c r="G2954">
        <v>1882107</v>
      </c>
      <c r="H2954" t="s">
        <v>84</v>
      </c>
      <c r="I2954" t="s">
        <v>998</v>
      </c>
      <c r="J2954" t="str">
        <f>"9780520961593"</f>
        <v>9780520961593</v>
      </c>
      <c r="K2954" t="s">
        <v>5253</v>
      </c>
      <c r="L2954">
        <v>24</v>
      </c>
      <c r="M2954" t="s">
        <v>5254</v>
      </c>
      <c r="O2954" t="s">
        <v>30</v>
      </c>
      <c r="P2954" t="s">
        <v>29</v>
      </c>
      <c r="Q2954" s="1">
        <v>42335.822280092594</v>
      </c>
      <c r="R2954">
        <v>7</v>
      </c>
      <c r="S2954" t="s">
        <v>31</v>
      </c>
      <c r="T2954" t="s">
        <v>3226</v>
      </c>
      <c r="U2954">
        <v>952.03099999999995</v>
      </c>
      <c r="V2954" s="3">
        <v>42164</v>
      </c>
    </row>
    <row r="2955" spans="1:22" x14ac:dyDescent="0.35">
      <c r="A2955" s="1">
        <v>42335.872870370367</v>
      </c>
      <c r="B2955" s="2">
        <v>1.5277777777777779E-3</v>
      </c>
      <c r="C2955" t="s">
        <v>5176</v>
      </c>
      <c r="D2955" t="s">
        <v>1222</v>
      </c>
      <c r="E2955" t="s">
        <v>1223</v>
      </c>
      <c r="F2955" t="s">
        <v>3179</v>
      </c>
      <c r="G2955">
        <v>1172554</v>
      </c>
      <c r="H2955" t="s">
        <v>1365</v>
      </c>
      <c r="I2955" t="s">
        <v>172</v>
      </c>
      <c r="J2955" t="str">
        <f>""</f>
        <v/>
      </c>
      <c r="K2955" t="s">
        <v>5255</v>
      </c>
      <c r="L2955">
        <v>42</v>
      </c>
      <c r="O2955" t="s">
        <v>30</v>
      </c>
      <c r="P2955" t="s">
        <v>42</v>
      </c>
      <c r="S2955" t="s">
        <v>1226</v>
      </c>
      <c r="T2955" t="s">
        <v>3182</v>
      </c>
      <c r="U2955" t="s">
        <v>3183</v>
      </c>
      <c r="V2955" s="3">
        <v>41375</v>
      </c>
    </row>
    <row r="2956" spans="1:22" x14ac:dyDescent="0.35">
      <c r="A2956" s="1">
        <v>42335.854641203703</v>
      </c>
      <c r="B2956" s="2">
        <v>1.8298611111111113E-2</v>
      </c>
      <c r="C2956" t="s">
        <v>3942</v>
      </c>
      <c r="D2956" t="s">
        <v>35</v>
      </c>
      <c r="E2956" t="s">
        <v>36</v>
      </c>
      <c r="F2956" t="s">
        <v>3943</v>
      </c>
      <c r="G2956">
        <v>836167</v>
      </c>
      <c r="H2956" t="s">
        <v>149</v>
      </c>
      <c r="I2956" t="s">
        <v>3944</v>
      </c>
      <c r="J2956" t="str">
        <f>"9781438139487"</f>
        <v>9781438139487</v>
      </c>
      <c r="K2956" t="s">
        <v>5256</v>
      </c>
      <c r="L2956">
        <v>14</v>
      </c>
      <c r="O2956" t="s">
        <v>30</v>
      </c>
      <c r="P2956" t="s">
        <v>29</v>
      </c>
      <c r="Q2956" s="1">
        <v>42335.854641203703</v>
      </c>
      <c r="R2956">
        <v>7</v>
      </c>
      <c r="S2956" t="s">
        <v>40</v>
      </c>
      <c r="T2956" t="s">
        <v>3946</v>
      </c>
      <c r="U2956" t="s">
        <v>3947</v>
      </c>
      <c r="V2956" s="3">
        <v>40848</v>
      </c>
    </row>
    <row r="2957" spans="1:22" x14ac:dyDescent="0.35">
      <c r="A2957" s="1">
        <v>42335.835347222222</v>
      </c>
      <c r="B2957" s="2">
        <v>1.9293981481481485E-2</v>
      </c>
      <c r="C2957" t="s">
        <v>3942</v>
      </c>
      <c r="D2957" t="s">
        <v>35</v>
      </c>
      <c r="E2957" t="s">
        <v>36</v>
      </c>
      <c r="F2957" t="s">
        <v>3943</v>
      </c>
      <c r="G2957">
        <v>836167</v>
      </c>
      <c r="H2957" t="s">
        <v>149</v>
      </c>
      <c r="I2957" t="s">
        <v>3944</v>
      </c>
      <c r="J2957" t="str">
        <f>"9781438139487"</f>
        <v>9781438139487</v>
      </c>
      <c r="K2957" t="s">
        <v>1138</v>
      </c>
      <c r="L2957">
        <v>8</v>
      </c>
      <c r="O2957" t="s">
        <v>30</v>
      </c>
      <c r="P2957" t="s">
        <v>42</v>
      </c>
      <c r="S2957" t="s">
        <v>40</v>
      </c>
      <c r="T2957" t="s">
        <v>3946</v>
      </c>
      <c r="U2957" t="s">
        <v>3947</v>
      </c>
      <c r="V2957" s="3">
        <v>40848</v>
      </c>
    </row>
    <row r="2958" spans="1:22" x14ac:dyDescent="0.35">
      <c r="A2958" s="1">
        <v>42335.822280092594</v>
      </c>
      <c r="B2958" s="2">
        <v>1.5821759259259261E-2</v>
      </c>
      <c r="C2958" t="s">
        <v>3223</v>
      </c>
      <c r="D2958" t="s">
        <v>23</v>
      </c>
      <c r="E2958" t="s">
        <v>24</v>
      </c>
      <c r="F2958" t="s">
        <v>3224</v>
      </c>
      <c r="G2958">
        <v>1882107</v>
      </c>
      <c r="H2958" t="s">
        <v>84</v>
      </c>
      <c r="I2958" t="s">
        <v>998</v>
      </c>
      <c r="J2958" t="str">
        <f>"9780520961593"</f>
        <v>9780520961593</v>
      </c>
      <c r="K2958" t="s">
        <v>5257</v>
      </c>
      <c r="L2958">
        <v>6</v>
      </c>
      <c r="M2958" t="s">
        <v>5258</v>
      </c>
      <c r="O2958" t="s">
        <v>30</v>
      </c>
      <c r="P2958" t="s">
        <v>29</v>
      </c>
      <c r="Q2958" s="1">
        <v>42335.822280092594</v>
      </c>
      <c r="R2958">
        <v>7</v>
      </c>
      <c r="S2958" t="s">
        <v>31</v>
      </c>
      <c r="T2958" t="s">
        <v>3226</v>
      </c>
      <c r="U2958">
        <v>952.03099999999995</v>
      </c>
      <c r="V2958" s="3">
        <v>42164</v>
      </c>
    </row>
    <row r="2959" spans="1:22" x14ac:dyDescent="0.35">
      <c r="A2959" s="1">
        <v>42335.816921296297</v>
      </c>
      <c r="B2959" s="2">
        <v>5.3587962962962964E-3</v>
      </c>
      <c r="C2959" t="s">
        <v>3223</v>
      </c>
      <c r="D2959" t="s">
        <v>23</v>
      </c>
      <c r="E2959" t="s">
        <v>24</v>
      </c>
      <c r="F2959" t="s">
        <v>3224</v>
      </c>
      <c r="G2959">
        <v>1882107</v>
      </c>
      <c r="H2959" t="s">
        <v>84</v>
      </c>
      <c r="I2959" t="s">
        <v>998</v>
      </c>
      <c r="J2959" t="str">
        <f>"9780520961593"</f>
        <v>9780520961593</v>
      </c>
      <c r="K2959" t="s">
        <v>5259</v>
      </c>
      <c r="L2959">
        <v>24</v>
      </c>
      <c r="O2959" t="s">
        <v>30</v>
      </c>
      <c r="P2959" t="s">
        <v>42</v>
      </c>
      <c r="S2959" t="s">
        <v>31</v>
      </c>
      <c r="T2959" t="s">
        <v>3226</v>
      </c>
      <c r="U2959">
        <v>952.03099999999995</v>
      </c>
      <c r="V2959" s="3">
        <v>42164</v>
      </c>
    </row>
    <row r="2960" spans="1:22" x14ac:dyDescent="0.35">
      <c r="A2960" s="1">
        <v>42335.788807870369</v>
      </c>
      <c r="B2960" s="2">
        <v>0.13001157407407407</v>
      </c>
      <c r="C2960" t="s">
        <v>5260</v>
      </c>
      <c r="D2960" t="s">
        <v>23</v>
      </c>
      <c r="E2960" t="s">
        <v>24</v>
      </c>
      <c r="F2960" t="s">
        <v>78</v>
      </c>
      <c r="G2960">
        <v>1635363</v>
      </c>
      <c r="H2960" t="s">
        <v>26</v>
      </c>
      <c r="I2960" t="s">
        <v>79</v>
      </c>
      <c r="J2960" t="str">
        <f>"9781118678206"</f>
        <v>9781118678206</v>
      </c>
      <c r="K2960" t="s">
        <v>5261</v>
      </c>
      <c r="L2960">
        <v>38</v>
      </c>
      <c r="O2960" t="s">
        <v>30</v>
      </c>
      <c r="P2960" t="s">
        <v>29</v>
      </c>
      <c r="Q2960" s="1">
        <v>42333.838761574072</v>
      </c>
      <c r="R2960">
        <v>7</v>
      </c>
      <c r="S2960" t="s">
        <v>31</v>
      </c>
      <c r="T2960" t="s">
        <v>81</v>
      </c>
      <c r="U2960">
        <v>340.07600000000002</v>
      </c>
      <c r="V2960" s="3">
        <v>41684</v>
      </c>
    </row>
    <row r="2961" spans="1:22" x14ac:dyDescent="0.35">
      <c r="A2961" s="1">
        <v>42335.779340277775</v>
      </c>
      <c r="B2961" s="2">
        <v>3.8194444444444446E-4</v>
      </c>
      <c r="C2961" t="s">
        <v>210</v>
      </c>
      <c r="D2961" t="s">
        <v>211</v>
      </c>
      <c r="E2961" t="s">
        <v>212</v>
      </c>
      <c r="F2961" t="s">
        <v>3351</v>
      </c>
      <c r="G2961">
        <v>1760720</v>
      </c>
      <c r="H2961" t="s">
        <v>91</v>
      </c>
      <c r="I2961" t="s">
        <v>247</v>
      </c>
      <c r="J2961" t="str">
        <f>"9781462517459"</f>
        <v>9781462517459</v>
      </c>
      <c r="K2961" t="s">
        <v>5262</v>
      </c>
      <c r="L2961">
        <v>21</v>
      </c>
      <c r="O2961" t="s">
        <v>30</v>
      </c>
      <c r="P2961" t="s">
        <v>42</v>
      </c>
      <c r="S2961" t="s">
        <v>214</v>
      </c>
      <c r="T2961" t="s">
        <v>3353</v>
      </c>
      <c r="U2961">
        <v>616.89142000000004</v>
      </c>
      <c r="V2961" s="3">
        <v>41996</v>
      </c>
    </row>
    <row r="2962" spans="1:22" x14ac:dyDescent="0.35">
      <c r="A2962" s="1">
        <v>42335.757800925923</v>
      </c>
      <c r="B2962" s="2">
        <v>2.5046296296296299E-2</v>
      </c>
      <c r="C2962" t="s">
        <v>5263</v>
      </c>
      <c r="D2962" t="s">
        <v>35</v>
      </c>
      <c r="E2962" t="s">
        <v>36</v>
      </c>
      <c r="F2962" t="s">
        <v>1544</v>
      </c>
      <c r="G2962">
        <v>1574789</v>
      </c>
      <c r="H2962" t="s">
        <v>68</v>
      </c>
      <c r="I2962" t="s">
        <v>172</v>
      </c>
      <c r="J2962" t="str">
        <f>"9781317882237"</f>
        <v>9781317882237</v>
      </c>
      <c r="K2962" t="s">
        <v>5264</v>
      </c>
      <c r="L2962">
        <v>13</v>
      </c>
      <c r="O2962" t="s">
        <v>30</v>
      </c>
      <c r="P2962" t="s">
        <v>47</v>
      </c>
      <c r="Q2962" s="1">
        <v>42335.757800925923</v>
      </c>
      <c r="R2962">
        <v>1</v>
      </c>
      <c r="S2962" t="s">
        <v>40</v>
      </c>
      <c r="T2962" t="s">
        <v>1546</v>
      </c>
      <c r="U2962">
        <v>951.90419999999995</v>
      </c>
      <c r="V2962" s="3">
        <v>41610</v>
      </c>
    </row>
    <row r="2963" spans="1:22" x14ac:dyDescent="0.35">
      <c r="A2963" s="1">
        <v>42335.751099537039</v>
      </c>
      <c r="B2963" s="2">
        <v>6.7013888888888887E-3</v>
      </c>
      <c r="C2963" t="s">
        <v>5263</v>
      </c>
      <c r="D2963" t="s">
        <v>35</v>
      </c>
      <c r="E2963" t="s">
        <v>36</v>
      </c>
      <c r="F2963" t="s">
        <v>1544</v>
      </c>
      <c r="G2963">
        <v>1574789</v>
      </c>
      <c r="H2963" t="s">
        <v>68</v>
      </c>
      <c r="I2963" t="s">
        <v>172</v>
      </c>
      <c r="J2963" t="str">
        <f>"9781317882237"</f>
        <v>9781317882237</v>
      </c>
      <c r="K2963" t="s">
        <v>5265</v>
      </c>
      <c r="L2963">
        <v>24</v>
      </c>
      <c r="O2963" t="s">
        <v>30</v>
      </c>
      <c r="P2963" t="s">
        <v>50</v>
      </c>
      <c r="S2963" t="s">
        <v>40</v>
      </c>
      <c r="T2963" t="s">
        <v>1546</v>
      </c>
      <c r="U2963">
        <v>951.90419999999995</v>
      </c>
      <c r="V2963" s="3">
        <v>41610</v>
      </c>
    </row>
    <row r="2964" spans="1:22" x14ac:dyDescent="0.35">
      <c r="A2964" s="1">
        <v>42335.717349537037</v>
      </c>
      <c r="B2964" s="2">
        <v>3.5972222222222218E-2</v>
      </c>
      <c r="C2964" t="s">
        <v>5266</v>
      </c>
      <c r="D2964" t="s">
        <v>335</v>
      </c>
      <c r="E2964" t="s">
        <v>336</v>
      </c>
      <c r="F2964" t="s">
        <v>5267</v>
      </c>
      <c r="G2964">
        <v>1834779</v>
      </c>
      <c r="H2964" t="s">
        <v>26</v>
      </c>
      <c r="I2964" t="s">
        <v>776</v>
      </c>
      <c r="J2964" t="str">
        <f>"9781118613801"</f>
        <v>9781118613801</v>
      </c>
      <c r="K2964" t="s">
        <v>5268</v>
      </c>
      <c r="L2964">
        <v>23</v>
      </c>
      <c r="O2964" t="s">
        <v>30</v>
      </c>
      <c r="P2964" t="s">
        <v>47</v>
      </c>
      <c r="Q2964" s="1">
        <v>42335.717349537037</v>
      </c>
      <c r="R2964">
        <v>1</v>
      </c>
      <c r="S2964" t="s">
        <v>340</v>
      </c>
      <c r="T2964" t="s">
        <v>5269</v>
      </c>
      <c r="U2964">
        <v>796.09299999999996</v>
      </c>
      <c r="V2964" s="3">
        <v>41948</v>
      </c>
    </row>
    <row r="2965" spans="1:22" x14ac:dyDescent="0.35">
      <c r="A2965" s="1">
        <v>42335.705289351848</v>
      </c>
      <c r="B2965" s="2">
        <v>1.2060185185185186E-2</v>
      </c>
      <c r="C2965" t="s">
        <v>5266</v>
      </c>
      <c r="D2965" t="s">
        <v>335</v>
      </c>
      <c r="E2965" t="s">
        <v>336</v>
      </c>
      <c r="F2965" t="s">
        <v>5267</v>
      </c>
      <c r="G2965">
        <v>1834779</v>
      </c>
      <c r="H2965" t="s">
        <v>26</v>
      </c>
      <c r="I2965" t="s">
        <v>776</v>
      </c>
      <c r="J2965" t="str">
        <f>"9781118613801"</f>
        <v>9781118613801</v>
      </c>
      <c r="K2965" t="s">
        <v>5270</v>
      </c>
      <c r="L2965">
        <v>22</v>
      </c>
      <c r="O2965" t="s">
        <v>30</v>
      </c>
      <c r="P2965" t="s">
        <v>50</v>
      </c>
      <c r="S2965" t="s">
        <v>340</v>
      </c>
      <c r="T2965" t="s">
        <v>5269</v>
      </c>
      <c r="U2965">
        <v>796.09299999999996</v>
      </c>
      <c r="V2965" s="3">
        <v>41948</v>
      </c>
    </row>
    <row r="2966" spans="1:22" x14ac:dyDescent="0.35">
      <c r="A2966" s="1">
        <v>42335.682754629626</v>
      </c>
      <c r="B2966" s="2">
        <v>3.645833333333333E-3</v>
      </c>
      <c r="C2966" t="s">
        <v>5271</v>
      </c>
      <c r="D2966" t="s">
        <v>23</v>
      </c>
      <c r="E2966" t="s">
        <v>24</v>
      </c>
      <c r="F2966" t="s">
        <v>1051</v>
      </c>
      <c r="G2966">
        <v>821663</v>
      </c>
      <c r="H2966" t="s">
        <v>26</v>
      </c>
      <c r="I2966" t="s">
        <v>200</v>
      </c>
      <c r="J2966" t="str">
        <f>"9781118168479"</f>
        <v>9781118168479</v>
      </c>
      <c r="K2966" t="s">
        <v>5272</v>
      </c>
      <c r="L2966">
        <v>22</v>
      </c>
      <c r="O2966" t="s">
        <v>30</v>
      </c>
      <c r="P2966" t="s">
        <v>42</v>
      </c>
      <c r="S2966" t="s">
        <v>31</v>
      </c>
      <c r="T2966" t="s">
        <v>1053</v>
      </c>
      <c r="U2966">
        <v>729</v>
      </c>
      <c r="V2966" s="3">
        <v>40973</v>
      </c>
    </row>
    <row r="2967" spans="1:22" x14ac:dyDescent="0.35">
      <c r="A2967" s="1">
        <v>42335.667395833334</v>
      </c>
      <c r="B2967" s="2">
        <v>2.615740740740741E-3</v>
      </c>
      <c r="C2967" t="s">
        <v>5027</v>
      </c>
      <c r="D2967" t="s">
        <v>158</v>
      </c>
      <c r="E2967" t="s">
        <v>159</v>
      </c>
      <c r="F2967" t="s">
        <v>4405</v>
      </c>
      <c r="G2967">
        <v>1187185</v>
      </c>
      <c r="H2967" t="s">
        <v>26</v>
      </c>
      <c r="I2967" t="s">
        <v>4406</v>
      </c>
      <c r="J2967" t="str">
        <f>"9781118748183"</f>
        <v>9781118748183</v>
      </c>
      <c r="K2967" t="s">
        <v>5273</v>
      </c>
      <c r="L2967">
        <v>35</v>
      </c>
      <c r="O2967" t="s">
        <v>30</v>
      </c>
      <c r="P2967" t="s">
        <v>42</v>
      </c>
      <c r="S2967" t="s">
        <v>163</v>
      </c>
      <c r="T2967" t="s">
        <v>4408</v>
      </c>
      <c r="U2967">
        <v>622.33799999999997</v>
      </c>
      <c r="V2967" s="3">
        <v>41400</v>
      </c>
    </row>
    <row r="2968" spans="1:22" x14ac:dyDescent="0.35">
      <c r="A2968" s="1">
        <v>42335.622499999998</v>
      </c>
      <c r="B2968" s="2">
        <v>4.8611111111111104E-4</v>
      </c>
      <c r="C2968" t="s">
        <v>5274</v>
      </c>
      <c r="D2968" t="s">
        <v>211</v>
      </c>
      <c r="E2968" t="s">
        <v>212</v>
      </c>
      <c r="F2968" t="s">
        <v>5228</v>
      </c>
      <c r="G2968">
        <v>1034770</v>
      </c>
      <c r="H2968" t="s">
        <v>91</v>
      </c>
      <c r="I2968" t="s">
        <v>247</v>
      </c>
      <c r="J2968" t="str">
        <f>"9781462507566"</f>
        <v>9781462507566</v>
      </c>
      <c r="K2968" t="s">
        <v>5275</v>
      </c>
      <c r="L2968">
        <v>21</v>
      </c>
      <c r="O2968" t="s">
        <v>30</v>
      </c>
      <c r="P2968" t="s">
        <v>29</v>
      </c>
      <c r="Q2968" s="1">
        <v>42335.622499999998</v>
      </c>
      <c r="R2968">
        <v>7</v>
      </c>
      <c r="S2968" t="s">
        <v>214</v>
      </c>
      <c r="T2968" t="s">
        <v>5230</v>
      </c>
      <c r="U2968">
        <v>616.85839999999996</v>
      </c>
      <c r="V2968" s="3">
        <v>41567</v>
      </c>
    </row>
    <row r="2969" spans="1:22" x14ac:dyDescent="0.35">
      <c r="A2969" s="1">
        <v>42335.611666666664</v>
      </c>
      <c r="B2969" s="2">
        <v>1.0833333333333334E-2</v>
      </c>
      <c r="C2969" t="s">
        <v>5274</v>
      </c>
      <c r="D2969" t="s">
        <v>211</v>
      </c>
      <c r="E2969" t="s">
        <v>212</v>
      </c>
      <c r="F2969" t="s">
        <v>5228</v>
      </c>
      <c r="G2969">
        <v>1034770</v>
      </c>
      <c r="H2969" t="s">
        <v>91</v>
      </c>
      <c r="I2969" t="s">
        <v>247</v>
      </c>
      <c r="J2969" t="str">
        <f>"9781462507566"</f>
        <v>9781462507566</v>
      </c>
      <c r="K2969" t="s">
        <v>5276</v>
      </c>
      <c r="L2969">
        <v>17</v>
      </c>
      <c r="O2969" t="s">
        <v>30</v>
      </c>
      <c r="P2969" t="s">
        <v>42</v>
      </c>
      <c r="S2969" t="s">
        <v>214</v>
      </c>
      <c r="T2969" t="s">
        <v>5230</v>
      </c>
      <c r="U2969">
        <v>616.85839999999996</v>
      </c>
      <c r="V2969" s="3">
        <v>41567</v>
      </c>
    </row>
    <row r="2970" spans="1:22" x14ac:dyDescent="0.35">
      <c r="A2970" s="1">
        <v>42335.583379629628</v>
      </c>
      <c r="B2970" s="2">
        <v>3.3449074074074071E-3</v>
      </c>
      <c r="C2970" t="s">
        <v>3454</v>
      </c>
      <c r="D2970" t="s">
        <v>23</v>
      </c>
      <c r="E2970" t="s">
        <v>24</v>
      </c>
      <c r="F2970" t="s">
        <v>3351</v>
      </c>
      <c r="G2970">
        <v>1760720</v>
      </c>
      <c r="H2970" t="s">
        <v>91</v>
      </c>
      <c r="I2970" t="s">
        <v>247</v>
      </c>
      <c r="J2970" t="str">
        <f>"9781462517459"</f>
        <v>9781462517459</v>
      </c>
      <c r="K2970" t="s">
        <v>5277</v>
      </c>
      <c r="L2970">
        <v>12</v>
      </c>
      <c r="O2970" t="s">
        <v>30</v>
      </c>
      <c r="P2970" t="s">
        <v>42</v>
      </c>
      <c r="S2970" t="s">
        <v>31</v>
      </c>
      <c r="T2970" t="s">
        <v>3353</v>
      </c>
      <c r="U2970">
        <v>616.89142000000004</v>
      </c>
      <c r="V2970" s="3">
        <v>41996</v>
      </c>
    </row>
    <row r="2971" spans="1:22" x14ac:dyDescent="0.35">
      <c r="A2971" s="1">
        <v>42335.536249999997</v>
      </c>
      <c r="B2971" s="2">
        <v>7.4120370370370378E-2</v>
      </c>
      <c r="C2971" t="s">
        <v>5219</v>
      </c>
      <c r="D2971" t="s">
        <v>211</v>
      </c>
      <c r="E2971" t="s">
        <v>212</v>
      </c>
      <c r="F2971" t="s">
        <v>462</v>
      </c>
      <c r="G2971">
        <v>1822529</v>
      </c>
      <c r="H2971" t="s">
        <v>26</v>
      </c>
      <c r="I2971" t="s">
        <v>297</v>
      </c>
      <c r="J2971" t="str">
        <f>"9781118824344"</f>
        <v>9781118824344</v>
      </c>
      <c r="K2971" t="s">
        <v>5278</v>
      </c>
      <c r="L2971">
        <v>28</v>
      </c>
      <c r="O2971" t="s">
        <v>30</v>
      </c>
      <c r="P2971" t="s">
        <v>29</v>
      </c>
      <c r="Q2971" s="1">
        <v>42331.578645833331</v>
      </c>
      <c r="R2971">
        <v>7</v>
      </c>
      <c r="S2971" t="s">
        <v>214</v>
      </c>
      <c r="T2971" t="s">
        <v>464</v>
      </c>
      <c r="U2971">
        <v>519.4</v>
      </c>
      <c r="V2971" s="3">
        <v>41932</v>
      </c>
    </row>
    <row r="2972" spans="1:22" x14ac:dyDescent="0.35">
      <c r="A2972" s="1">
        <v>42335.240081018521</v>
      </c>
      <c r="B2972" s="2">
        <v>1.5393518518518519E-3</v>
      </c>
      <c r="C2972" t="s">
        <v>106</v>
      </c>
      <c r="D2972" t="s">
        <v>23</v>
      </c>
      <c r="E2972" t="s">
        <v>24</v>
      </c>
      <c r="F2972" t="s">
        <v>3224</v>
      </c>
      <c r="G2972">
        <v>1882107</v>
      </c>
      <c r="H2972" t="s">
        <v>84</v>
      </c>
      <c r="I2972" t="s">
        <v>998</v>
      </c>
      <c r="J2972" t="str">
        <f>"9780520961593"</f>
        <v>9780520961593</v>
      </c>
      <c r="K2972" t="s">
        <v>5279</v>
      </c>
      <c r="L2972">
        <v>1</v>
      </c>
      <c r="M2972" t="s">
        <v>5280</v>
      </c>
      <c r="O2972" t="s">
        <v>30</v>
      </c>
      <c r="P2972" t="s">
        <v>29</v>
      </c>
      <c r="Q2972" s="1">
        <v>42335.240081018521</v>
      </c>
      <c r="R2972">
        <v>7</v>
      </c>
      <c r="S2972" t="s">
        <v>31</v>
      </c>
      <c r="T2972" t="s">
        <v>3226</v>
      </c>
      <c r="U2972">
        <v>952.03099999999995</v>
      </c>
      <c r="V2972" s="3">
        <v>42164</v>
      </c>
    </row>
    <row r="2973" spans="1:22" x14ac:dyDescent="0.35">
      <c r="A2973" s="1">
        <v>42335.237326388888</v>
      </c>
      <c r="B2973" s="2">
        <v>2.7546296296296294E-3</v>
      </c>
      <c r="C2973" t="s">
        <v>106</v>
      </c>
      <c r="D2973" t="s">
        <v>23</v>
      </c>
      <c r="E2973" t="s">
        <v>24</v>
      </c>
      <c r="F2973" t="s">
        <v>3224</v>
      </c>
      <c r="G2973">
        <v>1882107</v>
      </c>
      <c r="H2973" t="s">
        <v>84</v>
      </c>
      <c r="I2973" t="s">
        <v>998</v>
      </c>
      <c r="J2973" t="str">
        <f>"9780520961593"</f>
        <v>9780520961593</v>
      </c>
      <c r="K2973" t="s">
        <v>5281</v>
      </c>
      <c r="L2973">
        <v>19</v>
      </c>
      <c r="O2973" t="s">
        <v>30</v>
      </c>
      <c r="P2973" t="s">
        <v>42</v>
      </c>
      <c r="S2973" t="s">
        <v>31</v>
      </c>
      <c r="T2973" t="s">
        <v>3226</v>
      </c>
      <c r="U2973">
        <v>952.03099999999995</v>
      </c>
      <c r="V2973" s="3">
        <v>42164</v>
      </c>
    </row>
    <row r="2974" spans="1:22" x14ac:dyDescent="0.35">
      <c r="A2974" s="1">
        <v>42334.990567129629</v>
      </c>
      <c r="B2974" s="2">
        <v>3.4722222222222222E-5</v>
      </c>
      <c r="C2974" t="s">
        <v>4324</v>
      </c>
      <c r="D2974" t="s">
        <v>335</v>
      </c>
      <c r="E2974" t="s">
        <v>336</v>
      </c>
      <c r="F2974" t="s">
        <v>4329</v>
      </c>
      <c r="G2974">
        <v>3061306</v>
      </c>
      <c r="H2974" t="s">
        <v>68</v>
      </c>
      <c r="I2974" t="s">
        <v>219</v>
      </c>
      <c r="J2974" t="str">
        <f>"9780203713877"</f>
        <v>9780203713877</v>
      </c>
      <c r="K2974" t="s">
        <v>33</v>
      </c>
      <c r="L2974">
        <v>3</v>
      </c>
      <c r="O2974" t="s">
        <v>30</v>
      </c>
      <c r="P2974" t="s">
        <v>47</v>
      </c>
      <c r="Q2974" s="1">
        <v>42334.282766203702</v>
      </c>
      <c r="R2974">
        <v>1</v>
      </c>
      <c r="S2974" t="s">
        <v>340</v>
      </c>
      <c r="T2974" t="s">
        <v>4331</v>
      </c>
      <c r="U2974" t="s">
        <v>4332</v>
      </c>
      <c r="V2974" s="3">
        <v>41548</v>
      </c>
    </row>
    <row r="2975" spans="1:22" x14ac:dyDescent="0.35">
      <c r="A2975" s="1">
        <v>42334.990347222221</v>
      </c>
      <c r="B2975" s="2">
        <v>5.185185185185185E-2</v>
      </c>
      <c r="C2975" t="s">
        <v>4324</v>
      </c>
      <c r="D2975" t="s">
        <v>335</v>
      </c>
      <c r="E2975" t="s">
        <v>336</v>
      </c>
      <c r="F2975" t="s">
        <v>4325</v>
      </c>
      <c r="G2975">
        <v>1569869</v>
      </c>
      <c r="H2975" t="s">
        <v>68</v>
      </c>
      <c r="I2975" t="s">
        <v>219</v>
      </c>
      <c r="J2975" t="str">
        <f>"9781317799108"</f>
        <v>9781317799108</v>
      </c>
      <c r="K2975" t="s">
        <v>5282</v>
      </c>
      <c r="L2975">
        <v>45</v>
      </c>
      <c r="O2975" t="s">
        <v>30</v>
      </c>
      <c r="P2975" t="s">
        <v>47</v>
      </c>
      <c r="Q2975" s="1">
        <v>42334.283437500002</v>
      </c>
      <c r="R2975">
        <v>1</v>
      </c>
      <c r="S2975" t="s">
        <v>340</v>
      </c>
      <c r="T2975" t="s">
        <v>4327</v>
      </c>
      <c r="U2975">
        <v>154.63</v>
      </c>
      <c r="V2975" s="3">
        <v>41604</v>
      </c>
    </row>
    <row r="2976" spans="1:22" x14ac:dyDescent="0.35">
      <c r="A2976" s="1">
        <v>42334.929675925923</v>
      </c>
      <c r="B2976" s="2">
        <v>5.7870370370370366E-5</v>
      </c>
      <c r="C2976" t="s">
        <v>4697</v>
      </c>
      <c r="D2976" t="s">
        <v>35</v>
      </c>
      <c r="E2976" t="s">
        <v>36</v>
      </c>
      <c r="F2976" t="s">
        <v>5283</v>
      </c>
      <c r="G2976">
        <v>1517582</v>
      </c>
      <c r="H2976" t="s">
        <v>68</v>
      </c>
      <c r="I2976" t="s">
        <v>5284</v>
      </c>
      <c r="J2976" t="str">
        <f>"9781136058509"</f>
        <v>9781136058509</v>
      </c>
      <c r="K2976" t="s">
        <v>33</v>
      </c>
      <c r="L2976">
        <v>3</v>
      </c>
      <c r="O2976" t="s">
        <v>30</v>
      </c>
      <c r="P2976" t="s">
        <v>50</v>
      </c>
      <c r="S2976" t="s">
        <v>40</v>
      </c>
      <c r="T2976" t="s">
        <v>5285</v>
      </c>
      <c r="U2976">
        <v>937</v>
      </c>
      <c r="V2976" s="3">
        <v>41575</v>
      </c>
    </row>
    <row r="2977" spans="1:22" x14ac:dyDescent="0.35">
      <c r="A2977" s="1">
        <v>42334.754305555558</v>
      </c>
      <c r="B2977" s="2">
        <v>2.1180555555555553E-3</v>
      </c>
      <c r="C2977" t="s">
        <v>5176</v>
      </c>
      <c r="D2977" t="s">
        <v>1222</v>
      </c>
      <c r="E2977" t="s">
        <v>1223</v>
      </c>
      <c r="F2977" t="s">
        <v>3179</v>
      </c>
      <c r="G2977">
        <v>1172554</v>
      </c>
      <c r="H2977" t="s">
        <v>1365</v>
      </c>
      <c r="I2977" t="s">
        <v>172</v>
      </c>
      <c r="J2977" t="str">
        <f>""</f>
        <v/>
      </c>
      <c r="K2977" t="s">
        <v>5286</v>
      </c>
      <c r="L2977">
        <v>43</v>
      </c>
      <c r="O2977" t="s">
        <v>30</v>
      </c>
      <c r="P2977" t="s">
        <v>29</v>
      </c>
      <c r="Q2977" s="1">
        <v>42328.762256944443</v>
      </c>
      <c r="R2977">
        <v>7</v>
      </c>
      <c r="S2977" t="s">
        <v>1226</v>
      </c>
      <c r="T2977" t="s">
        <v>3182</v>
      </c>
      <c r="U2977" t="s">
        <v>3183</v>
      </c>
      <c r="V2977" s="3">
        <v>41375</v>
      </c>
    </row>
    <row r="2978" spans="1:22" x14ac:dyDescent="0.35">
      <c r="A2978" s="1">
        <v>42334.650787037041</v>
      </c>
      <c r="B2978" s="2">
        <v>6.9444444444444447E-4</v>
      </c>
      <c r="C2978" t="s">
        <v>5287</v>
      </c>
      <c r="D2978" t="s">
        <v>23</v>
      </c>
      <c r="E2978" t="s">
        <v>24</v>
      </c>
      <c r="F2978" t="s">
        <v>3973</v>
      </c>
      <c r="G2978">
        <v>771049</v>
      </c>
      <c r="H2978" t="s">
        <v>3465</v>
      </c>
      <c r="I2978" t="s">
        <v>3974</v>
      </c>
      <c r="J2978" t="str">
        <f>"9781608706648"</f>
        <v>9781608706648</v>
      </c>
      <c r="K2978" t="s">
        <v>1651</v>
      </c>
      <c r="L2978">
        <v>11</v>
      </c>
      <c r="O2978" t="s">
        <v>30</v>
      </c>
      <c r="P2978" t="s">
        <v>42</v>
      </c>
      <c r="S2978" t="s">
        <v>31</v>
      </c>
      <c r="T2978" t="s">
        <v>3976</v>
      </c>
      <c r="U2978">
        <v>363.73874000000001</v>
      </c>
      <c r="V2978" s="3">
        <v>40909</v>
      </c>
    </row>
    <row r="2979" spans="1:22" x14ac:dyDescent="0.35">
      <c r="A2979" s="1">
        <v>42334.558796296296</v>
      </c>
      <c r="B2979" s="2">
        <v>6.0949074074074072E-2</v>
      </c>
      <c r="C2979" t="s">
        <v>5219</v>
      </c>
      <c r="D2979" t="s">
        <v>211</v>
      </c>
      <c r="E2979" t="s">
        <v>212</v>
      </c>
      <c r="F2979" t="s">
        <v>462</v>
      </c>
      <c r="G2979">
        <v>1822529</v>
      </c>
      <c r="H2979" t="s">
        <v>26</v>
      </c>
      <c r="I2979" t="s">
        <v>297</v>
      </c>
      <c r="J2979" t="str">
        <f>"9781118824344"</f>
        <v>9781118824344</v>
      </c>
      <c r="K2979" t="s">
        <v>5288</v>
      </c>
      <c r="L2979">
        <v>56</v>
      </c>
      <c r="O2979" t="s">
        <v>30</v>
      </c>
      <c r="P2979" t="s">
        <v>29</v>
      </c>
      <c r="Q2979" s="1">
        <v>42331.578645833331</v>
      </c>
      <c r="R2979">
        <v>7</v>
      </c>
      <c r="S2979" t="s">
        <v>214</v>
      </c>
      <c r="T2979" t="s">
        <v>464</v>
      </c>
      <c r="U2979">
        <v>519.4</v>
      </c>
      <c r="V2979" s="3">
        <v>41932</v>
      </c>
    </row>
    <row r="2980" spans="1:22" x14ac:dyDescent="0.35">
      <c r="A2980" s="1">
        <v>42334.395995370367</v>
      </c>
      <c r="B2980" s="2">
        <v>2.0833333333333335E-4</v>
      </c>
      <c r="C2980" t="s">
        <v>4324</v>
      </c>
      <c r="D2980" t="s">
        <v>335</v>
      </c>
      <c r="E2980" t="s">
        <v>336</v>
      </c>
      <c r="F2980" t="s">
        <v>4329</v>
      </c>
      <c r="G2980">
        <v>3061306</v>
      </c>
      <c r="H2980" t="s">
        <v>68</v>
      </c>
      <c r="I2980" t="s">
        <v>219</v>
      </c>
      <c r="J2980" t="str">
        <f>"9780203713877"</f>
        <v>9780203713877</v>
      </c>
      <c r="K2980" t="s">
        <v>86</v>
      </c>
      <c r="L2980">
        <v>5</v>
      </c>
      <c r="O2980" t="s">
        <v>30</v>
      </c>
      <c r="P2980" t="s">
        <v>47</v>
      </c>
      <c r="Q2980" s="1">
        <v>42334.282766203702</v>
      </c>
      <c r="R2980">
        <v>1</v>
      </c>
      <c r="S2980" t="s">
        <v>340</v>
      </c>
      <c r="T2980" t="s">
        <v>4331</v>
      </c>
      <c r="U2980" t="s">
        <v>4332</v>
      </c>
      <c r="V2980" s="3">
        <v>41548</v>
      </c>
    </row>
    <row r="2981" spans="1:22" x14ac:dyDescent="0.35">
      <c r="A2981" s="1">
        <v>42334.283437500002</v>
      </c>
      <c r="B2981" s="2">
        <v>2.344907407407407E-2</v>
      </c>
      <c r="C2981" t="s">
        <v>4324</v>
      </c>
      <c r="D2981" t="s">
        <v>335</v>
      </c>
      <c r="E2981" t="s">
        <v>336</v>
      </c>
      <c r="F2981" t="s">
        <v>4325</v>
      </c>
      <c r="G2981">
        <v>1569869</v>
      </c>
      <c r="H2981" t="s">
        <v>68</v>
      </c>
      <c r="I2981" t="s">
        <v>219</v>
      </c>
      <c r="J2981" t="str">
        <f>"9781317799108"</f>
        <v>9781317799108</v>
      </c>
      <c r="K2981" t="s">
        <v>2078</v>
      </c>
      <c r="L2981">
        <v>6</v>
      </c>
      <c r="O2981" t="s">
        <v>28</v>
      </c>
      <c r="P2981" t="s">
        <v>47</v>
      </c>
      <c r="Q2981" s="1">
        <v>42334.283437500002</v>
      </c>
      <c r="R2981">
        <v>1</v>
      </c>
      <c r="S2981" t="s">
        <v>340</v>
      </c>
      <c r="T2981" t="s">
        <v>4327</v>
      </c>
      <c r="U2981">
        <v>154.63</v>
      </c>
      <c r="V2981" s="3">
        <v>41604</v>
      </c>
    </row>
    <row r="2982" spans="1:22" x14ac:dyDescent="0.35">
      <c r="A2982" s="1">
        <v>42334.283437500002</v>
      </c>
      <c r="B2982" s="2">
        <v>0</v>
      </c>
      <c r="C2982" t="s">
        <v>4324</v>
      </c>
      <c r="D2982" t="s">
        <v>335</v>
      </c>
      <c r="E2982" t="s">
        <v>336</v>
      </c>
      <c r="F2982" t="s">
        <v>4325</v>
      </c>
      <c r="G2982">
        <v>1569869</v>
      </c>
      <c r="H2982" t="s">
        <v>68</v>
      </c>
      <c r="I2982" t="s">
        <v>219</v>
      </c>
      <c r="J2982" t="str">
        <f>"9781317799108"</f>
        <v>9781317799108</v>
      </c>
      <c r="L2982">
        <v>0</v>
      </c>
      <c r="O2982" t="s">
        <v>30</v>
      </c>
      <c r="P2982" t="s">
        <v>47</v>
      </c>
      <c r="Q2982" s="1">
        <v>42334.283437500002</v>
      </c>
      <c r="R2982">
        <v>1</v>
      </c>
      <c r="S2982" t="s">
        <v>340</v>
      </c>
      <c r="T2982" t="s">
        <v>4327</v>
      </c>
      <c r="U2982">
        <v>154.63</v>
      </c>
      <c r="V2982" s="3">
        <v>41604</v>
      </c>
    </row>
    <row r="2983" spans="1:22" x14ac:dyDescent="0.35">
      <c r="A2983" s="1">
        <v>42334.283182870371</v>
      </c>
      <c r="B2983" s="2">
        <v>2.5462962962962961E-4</v>
      </c>
      <c r="C2983" t="s">
        <v>4324</v>
      </c>
      <c r="D2983" t="s">
        <v>335</v>
      </c>
      <c r="E2983" t="s">
        <v>336</v>
      </c>
      <c r="F2983" t="s">
        <v>4325</v>
      </c>
      <c r="G2983">
        <v>1569869</v>
      </c>
      <c r="H2983" t="s">
        <v>68</v>
      </c>
      <c r="I2983" t="s">
        <v>219</v>
      </c>
      <c r="J2983" t="str">
        <f>"9781317799108"</f>
        <v>9781317799108</v>
      </c>
      <c r="K2983" t="s">
        <v>33</v>
      </c>
      <c r="L2983">
        <v>3</v>
      </c>
      <c r="O2983" t="s">
        <v>30</v>
      </c>
      <c r="P2983" t="s">
        <v>50</v>
      </c>
      <c r="S2983" t="s">
        <v>340</v>
      </c>
      <c r="T2983" t="s">
        <v>4327</v>
      </c>
      <c r="U2983">
        <v>154.63</v>
      </c>
      <c r="V2983" s="3">
        <v>41604</v>
      </c>
    </row>
    <row r="2984" spans="1:22" x14ac:dyDescent="0.35">
      <c r="A2984" s="1">
        <v>42334.282766203702</v>
      </c>
      <c r="B2984" s="2">
        <v>0.10482638888888889</v>
      </c>
      <c r="C2984" t="s">
        <v>4324</v>
      </c>
      <c r="D2984" t="s">
        <v>335</v>
      </c>
      <c r="E2984" t="s">
        <v>336</v>
      </c>
      <c r="F2984" t="s">
        <v>4329</v>
      </c>
      <c r="G2984">
        <v>3061306</v>
      </c>
      <c r="H2984" t="s">
        <v>68</v>
      </c>
      <c r="I2984" t="s">
        <v>219</v>
      </c>
      <c r="J2984" t="str">
        <f>"9780203713877"</f>
        <v>9780203713877</v>
      </c>
      <c r="K2984" t="s">
        <v>5289</v>
      </c>
      <c r="L2984">
        <v>58</v>
      </c>
      <c r="O2984" t="s">
        <v>28</v>
      </c>
      <c r="P2984" t="s">
        <v>47</v>
      </c>
      <c r="Q2984" s="1">
        <v>42334.282766203702</v>
      </c>
      <c r="R2984">
        <v>1</v>
      </c>
      <c r="S2984" t="s">
        <v>340</v>
      </c>
      <c r="T2984" t="s">
        <v>4331</v>
      </c>
      <c r="U2984" t="s">
        <v>4332</v>
      </c>
      <c r="V2984" s="3">
        <v>41548</v>
      </c>
    </row>
    <row r="2985" spans="1:22" x14ac:dyDescent="0.35">
      <c r="A2985" s="1">
        <v>42334.282766203702</v>
      </c>
      <c r="B2985" s="2">
        <v>0</v>
      </c>
      <c r="C2985" t="s">
        <v>4324</v>
      </c>
      <c r="D2985" t="s">
        <v>335</v>
      </c>
      <c r="E2985" t="s">
        <v>336</v>
      </c>
      <c r="F2985" t="s">
        <v>4329</v>
      </c>
      <c r="G2985">
        <v>3061306</v>
      </c>
      <c r="H2985" t="s">
        <v>68</v>
      </c>
      <c r="I2985" t="s">
        <v>219</v>
      </c>
      <c r="J2985" t="str">
        <f>"9780203713877"</f>
        <v>9780203713877</v>
      </c>
      <c r="L2985">
        <v>0</v>
      </c>
      <c r="O2985" t="s">
        <v>30</v>
      </c>
      <c r="P2985" t="s">
        <v>47</v>
      </c>
      <c r="Q2985" s="1">
        <v>42334.282766203702</v>
      </c>
      <c r="R2985">
        <v>1</v>
      </c>
      <c r="S2985" t="s">
        <v>340</v>
      </c>
      <c r="T2985" t="s">
        <v>4331</v>
      </c>
      <c r="U2985" t="s">
        <v>4332</v>
      </c>
      <c r="V2985" s="3">
        <v>41548</v>
      </c>
    </row>
    <row r="2986" spans="1:22" x14ac:dyDescent="0.35">
      <c r="A2986" s="1">
        <v>42334.28224537037</v>
      </c>
      <c r="B2986" s="2">
        <v>5.2083333333333333E-4</v>
      </c>
      <c r="C2986" t="s">
        <v>4324</v>
      </c>
      <c r="D2986" t="s">
        <v>335</v>
      </c>
      <c r="E2986" t="s">
        <v>336</v>
      </c>
      <c r="F2986" t="s">
        <v>4329</v>
      </c>
      <c r="G2986">
        <v>3061306</v>
      </c>
      <c r="H2986" t="s">
        <v>68</v>
      </c>
      <c r="I2986" t="s">
        <v>219</v>
      </c>
      <c r="J2986" t="str">
        <f>"9780203713877"</f>
        <v>9780203713877</v>
      </c>
      <c r="K2986" t="s">
        <v>33</v>
      </c>
      <c r="L2986">
        <v>3</v>
      </c>
      <c r="O2986" t="s">
        <v>30</v>
      </c>
      <c r="P2986" t="s">
        <v>50</v>
      </c>
      <c r="S2986" t="s">
        <v>340</v>
      </c>
      <c r="T2986" t="s">
        <v>4331</v>
      </c>
      <c r="U2986" t="s">
        <v>4332</v>
      </c>
      <c r="V2986" s="3">
        <v>41548</v>
      </c>
    </row>
    <row r="2987" spans="1:22" x14ac:dyDescent="0.35">
      <c r="A2987" s="1">
        <v>42334.252106481479</v>
      </c>
      <c r="B2987" s="2">
        <v>3.6203703703703703E-2</v>
      </c>
      <c r="C2987" t="s">
        <v>5290</v>
      </c>
      <c r="D2987" t="s">
        <v>23</v>
      </c>
      <c r="E2987" t="s">
        <v>24</v>
      </c>
      <c r="F2987" t="s">
        <v>5291</v>
      </c>
      <c r="G2987">
        <v>1969430</v>
      </c>
      <c r="H2987" t="s">
        <v>45</v>
      </c>
      <c r="I2987" t="s">
        <v>120</v>
      </c>
      <c r="J2987" t="str">
        <f>"9781472443038"</f>
        <v>9781472443038</v>
      </c>
      <c r="K2987" t="s">
        <v>5292</v>
      </c>
      <c r="L2987">
        <v>16</v>
      </c>
      <c r="O2987" t="s">
        <v>30</v>
      </c>
      <c r="P2987" t="s">
        <v>47</v>
      </c>
      <c r="Q2987" s="1">
        <v>42334.25209490741</v>
      </c>
      <c r="R2987">
        <v>1</v>
      </c>
      <c r="S2987" t="s">
        <v>31</v>
      </c>
      <c r="T2987" t="s">
        <v>5293</v>
      </c>
      <c r="U2987" t="s">
        <v>5294</v>
      </c>
      <c r="V2987" s="3">
        <v>42091</v>
      </c>
    </row>
    <row r="2988" spans="1:22" x14ac:dyDescent="0.35">
      <c r="A2988" s="1">
        <v>42334.244629629633</v>
      </c>
      <c r="B2988" s="2">
        <v>7.4652777777777781E-3</v>
      </c>
      <c r="C2988" t="s">
        <v>5290</v>
      </c>
      <c r="D2988" t="s">
        <v>23</v>
      </c>
      <c r="E2988" t="s">
        <v>24</v>
      </c>
      <c r="F2988" t="s">
        <v>5291</v>
      </c>
      <c r="G2988">
        <v>1969430</v>
      </c>
      <c r="H2988" t="s">
        <v>45</v>
      </c>
      <c r="I2988" t="s">
        <v>120</v>
      </c>
      <c r="J2988" t="str">
        <f>"9781472443038"</f>
        <v>9781472443038</v>
      </c>
      <c r="K2988" t="s">
        <v>5295</v>
      </c>
      <c r="L2988">
        <v>21</v>
      </c>
      <c r="O2988" t="s">
        <v>30</v>
      </c>
      <c r="P2988" t="s">
        <v>50</v>
      </c>
      <c r="S2988" t="s">
        <v>31</v>
      </c>
      <c r="T2988" t="s">
        <v>5293</v>
      </c>
      <c r="U2988" t="s">
        <v>5294</v>
      </c>
      <c r="V2988" s="3">
        <v>42091</v>
      </c>
    </row>
    <row r="2989" spans="1:22" x14ac:dyDescent="0.35">
      <c r="A2989" s="1">
        <v>42334.189930555556</v>
      </c>
      <c r="B2989" s="2">
        <v>1.2789351851851852E-2</v>
      </c>
      <c r="C2989" t="s">
        <v>5296</v>
      </c>
      <c r="D2989" t="s">
        <v>23</v>
      </c>
      <c r="E2989" t="s">
        <v>24</v>
      </c>
      <c r="F2989" t="s">
        <v>5297</v>
      </c>
      <c r="G2989">
        <v>821834</v>
      </c>
      <c r="H2989" t="s">
        <v>26</v>
      </c>
      <c r="I2989" t="s">
        <v>97</v>
      </c>
      <c r="J2989" t="str">
        <f>"9781118225868"</f>
        <v>9781118225868</v>
      </c>
      <c r="K2989" t="s">
        <v>5298</v>
      </c>
      <c r="L2989">
        <v>1</v>
      </c>
      <c r="M2989" t="s">
        <v>5043</v>
      </c>
      <c r="O2989" t="s">
        <v>30</v>
      </c>
      <c r="P2989" t="s">
        <v>29</v>
      </c>
      <c r="Q2989" s="1">
        <v>42334.189930555556</v>
      </c>
      <c r="R2989">
        <v>7</v>
      </c>
      <c r="S2989" t="s">
        <v>31</v>
      </c>
      <c r="T2989" t="s">
        <v>5299</v>
      </c>
      <c r="U2989" t="s">
        <v>5200</v>
      </c>
      <c r="V2989" s="3">
        <v>41009</v>
      </c>
    </row>
    <row r="2990" spans="1:22" x14ac:dyDescent="0.35">
      <c r="A2990" s="1">
        <v>42334.180868055555</v>
      </c>
      <c r="B2990" s="2">
        <v>9.0624999999999994E-3</v>
      </c>
      <c r="C2990" t="s">
        <v>5296</v>
      </c>
      <c r="D2990" t="s">
        <v>23</v>
      </c>
      <c r="E2990" t="s">
        <v>24</v>
      </c>
      <c r="F2990" t="s">
        <v>5297</v>
      </c>
      <c r="G2990">
        <v>821834</v>
      </c>
      <c r="H2990" t="s">
        <v>26</v>
      </c>
      <c r="I2990" t="s">
        <v>97</v>
      </c>
      <c r="J2990" t="str">
        <f>"9781118225868"</f>
        <v>9781118225868</v>
      </c>
      <c r="K2990" t="s">
        <v>5300</v>
      </c>
      <c r="L2990">
        <v>16</v>
      </c>
      <c r="O2990" t="s">
        <v>30</v>
      </c>
      <c r="P2990" t="s">
        <v>42</v>
      </c>
      <c r="S2990" t="s">
        <v>31</v>
      </c>
      <c r="T2990" t="s">
        <v>5299</v>
      </c>
      <c r="U2990" t="s">
        <v>5200</v>
      </c>
      <c r="V2990" s="3">
        <v>41009</v>
      </c>
    </row>
    <row r="2991" spans="1:22" x14ac:dyDescent="0.35">
      <c r="A2991" s="1">
        <v>42334.142546296294</v>
      </c>
      <c r="B2991" s="2">
        <v>4.7222222222222223E-3</v>
      </c>
      <c r="C2991" t="s">
        <v>5296</v>
      </c>
      <c r="D2991" t="s">
        <v>23</v>
      </c>
      <c r="E2991" t="s">
        <v>24</v>
      </c>
      <c r="F2991" t="s">
        <v>5301</v>
      </c>
      <c r="G2991">
        <v>818121</v>
      </c>
      <c r="H2991" t="s">
        <v>26</v>
      </c>
      <c r="I2991" t="s">
        <v>5302</v>
      </c>
      <c r="J2991" t="str">
        <f>"9781118226339"</f>
        <v>9781118226339</v>
      </c>
      <c r="K2991" t="s">
        <v>209</v>
      </c>
      <c r="L2991">
        <v>4</v>
      </c>
      <c r="O2991" t="s">
        <v>30</v>
      </c>
      <c r="P2991" t="s">
        <v>42</v>
      </c>
      <c r="S2991" t="s">
        <v>31</v>
      </c>
      <c r="T2991" t="s">
        <v>5303</v>
      </c>
      <c r="U2991" t="s">
        <v>5304</v>
      </c>
      <c r="V2991" s="3">
        <v>40934</v>
      </c>
    </row>
    <row r="2992" spans="1:22" x14ac:dyDescent="0.35">
      <c r="A2992" s="1">
        <v>42334.083078703705</v>
      </c>
      <c r="B2992" s="2">
        <v>7.2662037037037039E-2</v>
      </c>
      <c r="C2992" t="s">
        <v>3672</v>
      </c>
      <c r="D2992" t="s">
        <v>35</v>
      </c>
      <c r="E2992" t="s">
        <v>36</v>
      </c>
      <c r="F2992" t="s">
        <v>3673</v>
      </c>
      <c r="G2992">
        <v>1816989</v>
      </c>
      <c r="H2992" t="s">
        <v>186</v>
      </c>
      <c r="I2992" t="s">
        <v>3674</v>
      </c>
      <c r="J2992" t="str">
        <f>"9781780644578"</f>
        <v>9781780644578</v>
      </c>
      <c r="K2992" t="s">
        <v>5305</v>
      </c>
      <c r="L2992">
        <v>39</v>
      </c>
      <c r="O2992" t="s">
        <v>30</v>
      </c>
      <c r="P2992" t="s">
        <v>47</v>
      </c>
      <c r="Q2992" s="1">
        <v>42334.083078703705</v>
      </c>
      <c r="R2992">
        <v>1</v>
      </c>
      <c r="S2992" t="s">
        <v>40</v>
      </c>
      <c r="T2992" t="s">
        <v>3676</v>
      </c>
      <c r="U2992" t="s">
        <v>3677</v>
      </c>
      <c r="V2992" s="3">
        <v>41908</v>
      </c>
    </row>
    <row r="2993" spans="1:22" x14ac:dyDescent="0.35">
      <c r="A2993" s="1">
        <v>42334.078773148147</v>
      </c>
      <c r="B2993" s="2">
        <v>4.3055555555555555E-3</v>
      </c>
      <c r="C2993" t="s">
        <v>3672</v>
      </c>
      <c r="D2993" t="s">
        <v>35</v>
      </c>
      <c r="E2993" t="s">
        <v>36</v>
      </c>
      <c r="F2993" t="s">
        <v>3673</v>
      </c>
      <c r="G2993">
        <v>1816989</v>
      </c>
      <c r="H2993" t="s">
        <v>186</v>
      </c>
      <c r="I2993" t="s">
        <v>3674</v>
      </c>
      <c r="J2993" t="str">
        <f>"9781780644578"</f>
        <v>9781780644578</v>
      </c>
      <c r="K2993" t="s">
        <v>5306</v>
      </c>
      <c r="L2993">
        <v>13</v>
      </c>
      <c r="O2993" t="s">
        <v>30</v>
      </c>
      <c r="P2993" t="s">
        <v>50</v>
      </c>
      <c r="S2993" t="s">
        <v>40</v>
      </c>
      <c r="T2993" t="s">
        <v>3676</v>
      </c>
      <c r="U2993" t="s">
        <v>3677</v>
      </c>
      <c r="V2993" s="3">
        <v>41908</v>
      </c>
    </row>
    <row r="2994" spans="1:22" x14ac:dyDescent="0.35">
      <c r="A2994" s="1">
        <v>42334.022835648146</v>
      </c>
      <c r="B2994" s="2">
        <v>8.1018518518518516E-4</v>
      </c>
      <c r="C2994" t="s">
        <v>5307</v>
      </c>
      <c r="D2994" t="s">
        <v>35</v>
      </c>
      <c r="E2994" t="s">
        <v>36</v>
      </c>
      <c r="F2994" t="s">
        <v>5308</v>
      </c>
      <c r="G2994">
        <v>1874136</v>
      </c>
      <c r="H2994" t="s">
        <v>26</v>
      </c>
      <c r="I2994" t="s">
        <v>120</v>
      </c>
      <c r="J2994" t="str">
        <f>"9781118859711"</f>
        <v>9781118859711</v>
      </c>
      <c r="K2994" t="s">
        <v>5309</v>
      </c>
      <c r="L2994">
        <v>15</v>
      </c>
      <c r="O2994" t="s">
        <v>30</v>
      </c>
      <c r="P2994" t="s">
        <v>42</v>
      </c>
      <c r="S2994" t="s">
        <v>40</v>
      </c>
      <c r="T2994" t="s">
        <v>5310</v>
      </c>
      <c r="U2994" t="s">
        <v>5311</v>
      </c>
      <c r="V2994" s="3">
        <v>41968</v>
      </c>
    </row>
    <row r="2995" spans="1:22" x14ac:dyDescent="0.35">
      <c r="A2995" s="1">
        <v>42333.991296296299</v>
      </c>
      <c r="B2995" s="2">
        <v>0.19403935185185184</v>
      </c>
      <c r="C2995" t="s">
        <v>5260</v>
      </c>
      <c r="D2995" t="s">
        <v>23</v>
      </c>
      <c r="E2995" t="s">
        <v>24</v>
      </c>
      <c r="F2995" t="s">
        <v>78</v>
      </c>
      <c r="G2995">
        <v>1635363</v>
      </c>
      <c r="H2995" t="s">
        <v>26</v>
      </c>
      <c r="I2995" t="s">
        <v>79</v>
      </c>
      <c r="J2995" t="str">
        <f>"9781118678206"</f>
        <v>9781118678206</v>
      </c>
      <c r="K2995" t="s">
        <v>5312</v>
      </c>
      <c r="L2995">
        <v>39</v>
      </c>
      <c r="O2995" t="s">
        <v>30</v>
      </c>
      <c r="P2995" t="s">
        <v>29</v>
      </c>
      <c r="Q2995" s="1">
        <v>42333.838761574072</v>
      </c>
      <c r="R2995">
        <v>7</v>
      </c>
      <c r="S2995" t="s">
        <v>31</v>
      </c>
      <c r="T2995" t="s">
        <v>81</v>
      </c>
      <c r="U2995">
        <v>340.07600000000002</v>
      </c>
      <c r="V2995" s="3">
        <v>41684</v>
      </c>
    </row>
    <row r="2996" spans="1:22" x14ac:dyDescent="0.35">
      <c r="A2996" s="1">
        <v>42333.960289351853</v>
      </c>
      <c r="B2996" s="2">
        <v>1.2268518518518518E-3</v>
      </c>
      <c r="C2996" t="s">
        <v>5313</v>
      </c>
      <c r="D2996" t="s">
        <v>211</v>
      </c>
      <c r="E2996" t="s">
        <v>212</v>
      </c>
      <c r="F2996" t="s">
        <v>3993</v>
      </c>
      <c r="G2996">
        <v>1798778</v>
      </c>
      <c r="H2996" t="s">
        <v>26</v>
      </c>
      <c r="I2996" t="s">
        <v>247</v>
      </c>
      <c r="J2996" t="str">
        <f>"9781118760741"</f>
        <v>9781118760741</v>
      </c>
      <c r="K2996" t="s">
        <v>5314</v>
      </c>
      <c r="L2996">
        <v>39</v>
      </c>
      <c r="O2996" t="s">
        <v>30</v>
      </c>
      <c r="P2996" t="s">
        <v>42</v>
      </c>
      <c r="S2996" t="s">
        <v>214</v>
      </c>
      <c r="T2996" t="s">
        <v>3995</v>
      </c>
      <c r="U2996">
        <v>616.07500000000005</v>
      </c>
      <c r="V2996" s="3">
        <v>41906</v>
      </c>
    </row>
    <row r="2997" spans="1:22" x14ac:dyDescent="0.35">
      <c r="A2997" s="1">
        <v>42333.885625000003</v>
      </c>
      <c r="B2997" s="2">
        <v>0.12737268518518519</v>
      </c>
      <c r="C2997" t="s">
        <v>5315</v>
      </c>
      <c r="D2997" t="s">
        <v>23</v>
      </c>
      <c r="E2997" t="s">
        <v>24</v>
      </c>
      <c r="F2997" t="s">
        <v>4411</v>
      </c>
      <c r="G2997">
        <v>1808795</v>
      </c>
      <c r="H2997" t="s">
        <v>45</v>
      </c>
      <c r="I2997" t="s">
        <v>200</v>
      </c>
      <c r="J2997" t="str">
        <f>"9781472447951"</f>
        <v>9781472447951</v>
      </c>
      <c r="K2997" t="s">
        <v>5316</v>
      </c>
      <c r="L2997">
        <v>38</v>
      </c>
      <c r="O2997" t="s">
        <v>30</v>
      </c>
      <c r="P2997" t="s">
        <v>47</v>
      </c>
      <c r="Q2997" s="1">
        <v>42333.885625000003</v>
      </c>
      <c r="R2997">
        <v>1</v>
      </c>
      <c r="S2997" t="s">
        <v>31</v>
      </c>
      <c r="T2997" t="s">
        <v>4413</v>
      </c>
      <c r="U2997" t="s">
        <v>4414</v>
      </c>
      <c r="V2997" s="3">
        <v>41971</v>
      </c>
    </row>
    <row r="2998" spans="1:22" x14ac:dyDescent="0.35">
      <c r="A2998" s="1">
        <v>42333.880231481482</v>
      </c>
      <c r="B2998" s="2">
        <v>5.3935185185185188E-3</v>
      </c>
      <c r="C2998" t="s">
        <v>5315</v>
      </c>
      <c r="D2998" t="s">
        <v>23</v>
      </c>
      <c r="E2998" t="s">
        <v>24</v>
      </c>
      <c r="F2998" t="s">
        <v>4411</v>
      </c>
      <c r="G2998">
        <v>1808795</v>
      </c>
      <c r="H2998" t="s">
        <v>45</v>
      </c>
      <c r="I2998" t="s">
        <v>200</v>
      </c>
      <c r="J2998" t="str">
        <f>"9781472447951"</f>
        <v>9781472447951</v>
      </c>
      <c r="K2998" t="s">
        <v>5317</v>
      </c>
      <c r="L2998">
        <v>12</v>
      </c>
      <c r="O2998" t="s">
        <v>30</v>
      </c>
      <c r="P2998" t="s">
        <v>50</v>
      </c>
      <c r="S2998" t="s">
        <v>31</v>
      </c>
      <c r="T2998" t="s">
        <v>4413</v>
      </c>
      <c r="U2998" t="s">
        <v>4414</v>
      </c>
      <c r="V2998" s="3">
        <v>41971</v>
      </c>
    </row>
    <row r="2999" spans="1:22" x14ac:dyDescent="0.35">
      <c r="A2999" s="1">
        <v>42333.855844907404</v>
      </c>
      <c r="B2999" s="2">
        <v>2.5578703703703705E-3</v>
      </c>
      <c r="C2999" t="s">
        <v>5318</v>
      </c>
      <c r="D2999" t="s">
        <v>35</v>
      </c>
      <c r="E2999" t="s">
        <v>36</v>
      </c>
      <c r="F2999" t="s">
        <v>5319</v>
      </c>
      <c r="G2999">
        <v>1565887</v>
      </c>
      <c r="H2999" t="s">
        <v>68</v>
      </c>
      <c r="I2999" t="s">
        <v>247</v>
      </c>
      <c r="J2999" t="str">
        <f>"9781317916611"</f>
        <v>9781317916611</v>
      </c>
      <c r="K2999" t="s">
        <v>5320</v>
      </c>
      <c r="L2999">
        <v>42</v>
      </c>
      <c r="O2999" t="s">
        <v>30</v>
      </c>
      <c r="P2999" t="s">
        <v>50</v>
      </c>
      <c r="S2999" t="s">
        <v>40</v>
      </c>
      <c r="T2999" t="s">
        <v>5321</v>
      </c>
      <c r="U2999">
        <v>616.83000000000004</v>
      </c>
      <c r="V2999" s="3">
        <v>41598</v>
      </c>
    </row>
    <row r="3000" spans="1:22" x14ac:dyDescent="0.35">
      <c r="A3000" s="1">
        <v>42333.844236111108</v>
      </c>
      <c r="B3000" s="2">
        <v>4.6296296296296294E-5</v>
      </c>
      <c r="C3000" t="s">
        <v>1291</v>
      </c>
      <c r="D3000" t="s">
        <v>23</v>
      </c>
      <c r="E3000" t="s">
        <v>24</v>
      </c>
      <c r="F3000" t="s">
        <v>5322</v>
      </c>
      <c r="G3000">
        <v>1794561</v>
      </c>
      <c r="H3000" t="s">
        <v>26</v>
      </c>
      <c r="I3000" t="s">
        <v>450</v>
      </c>
      <c r="J3000" t="str">
        <f>"9783527667574"</f>
        <v>9783527667574</v>
      </c>
      <c r="K3000" t="s">
        <v>33</v>
      </c>
      <c r="L3000">
        <v>3</v>
      </c>
      <c r="O3000" t="s">
        <v>30</v>
      </c>
      <c r="P3000" t="s">
        <v>42</v>
      </c>
      <c r="S3000" t="s">
        <v>31</v>
      </c>
      <c r="T3000" t="s">
        <v>5323</v>
      </c>
      <c r="U3000">
        <v>541.28</v>
      </c>
      <c r="V3000" s="3">
        <v>41905</v>
      </c>
    </row>
    <row r="3001" spans="1:22" x14ac:dyDescent="0.35">
      <c r="A3001" s="1">
        <v>42333.838761574072</v>
      </c>
      <c r="B3001" s="2">
        <v>6.2025462962962963E-2</v>
      </c>
      <c r="C3001" t="s">
        <v>5260</v>
      </c>
      <c r="D3001" t="s">
        <v>23</v>
      </c>
      <c r="E3001" t="s">
        <v>24</v>
      </c>
      <c r="F3001" t="s">
        <v>78</v>
      </c>
      <c r="G3001">
        <v>1635363</v>
      </c>
      <c r="H3001" t="s">
        <v>26</v>
      </c>
      <c r="I3001" t="s">
        <v>79</v>
      </c>
      <c r="J3001" t="str">
        <f>"9781118678206"</f>
        <v>9781118678206</v>
      </c>
      <c r="K3001" t="s">
        <v>5324</v>
      </c>
      <c r="L3001">
        <v>18</v>
      </c>
      <c r="O3001" t="s">
        <v>30</v>
      </c>
      <c r="P3001" t="s">
        <v>29</v>
      </c>
      <c r="Q3001" s="1">
        <v>42333.838761574072</v>
      </c>
      <c r="R3001">
        <v>7</v>
      </c>
      <c r="S3001" t="s">
        <v>31</v>
      </c>
      <c r="T3001" t="s">
        <v>81</v>
      </c>
      <c r="U3001">
        <v>340.07600000000002</v>
      </c>
      <c r="V3001" s="3">
        <v>41684</v>
      </c>
    </row>
    <row r="3002" spans="1:22" x14ac:dyDescent="0.35">
      <c r="A3002" s="1">
        <v>42333.818078703705</v>
      </c>
      <c r="B3002" s="2">
        <v>2.0682870370370372E-2</v>
      </c>
      <c r="C3002" t="s">
        <v>5260</v>
      </c>
      <c r="D3002" t="s">
        <v>23</v>
      </c>
      <c r="E3002" t="s">
        <v>24</v>
      </c>
      <c r="F3002" t="s">
        <v>78</v>
      </c>
      <c r="G3002">
        <v>1635363</v>
      </c>
      <c r="H3002" t="s">
        <v>26</v>
      </c>
      <c r="I3002" t="s">
        <v>79</v>
      </c>
      <c r="J3002" t="str">
        <f>"9781118678206"</f>
        <v>9781118678206</v>
      </c>
      <c r="K3002" t="s">
        <v>5325</v>
      </c>
      <c r="L3002">
        <v>5</v>
      </c>
      <c r="O3002" t="s">
        <v>30</v>
      </c>
      <c r="P3002" t="s">
        <v>42</v>
      </c>
      <c r="S3002" t="s">
        <v>31</v>
      </c>
      <c r="T3002" t="s">
        <v>81</v>
      </c>
      <c r="U3002">
        <v>340.07600000000002</v>
      </c>
      <c r="V3002" s="3">
        <v>41684</v>
      </c>
    </row>
    <row r="3003" spans="1:22" x14ac:dyDescent="0.35">
      <c r="A3003" s="1">
        <v>42333.814826388887</v>
      </c>
      <c r="B3003" s="2">
        <v>2.8935185185185189E-4</v>
      </c>
      <c r="C3003" t="s">
        <v>5326</v>
      </c>
      <c r="D3003" t="s">
        <v>23</v>
      </c>
      <c r="E3003" t="s">
        <v>24</v>
      </c>
      <c r="F3003" t="s">
        <v>486</v>
      </c>
      <c r="G3003">
        <v>1119505</v>
      </c>
      <c r="H3003" t="s">
        <v>26</v>
      </c>
      <c r="I3003" t="s">
        <v>450</v>
      </c>
      <c r="J3003" t="str">
        <f>"9781118355015"</f>
        <v>9781118355015</v>
      </c>
      <c r="K3003" t="s">
        <v>5327</v>
      </c>
      <c r="L3003">
        <v>14</v>
      </c>
      <c r="O3003" t="s">
        <v>30</v>
      </c>
      <c r="P3003" t="s">
        <v>29</v>
      </c>
      <c r="Q3003" s="1">
        <v>42333.814826388887</v>
      </c>
      <c r="R3003">
        <v>7</v>
      </c>
      <c r="S3003" t="s">
        <v>31</v>
      </c>
      <c r="T3003" t="s">
        <v>487</v>
      </c>
      <c r="U3003" t="s">
        <v>488</v>
      </c>
      <c r="V3003" s="3">
        <v>41302</v>
      </c>
    </row>
    <row r="3004" spans="1:22" x14ac:dyDescent="0.35">
      <c r="A3004" s="1">
        <v>42333.812256944446</v>
      </c>
      <c r="B3004" s="2">
        <v>6.9444444444444444E-5</v>
      </c>
      <c r="C3004" t="s">
        <v>2985</v>
      </c>
      <c r="D3004" t="s">
        <v>23</v>
      </c>
      <c r="E3004" t="s">
        <v>24</v>
      </c>
      <c r="F3004" t="s">
        <v>5328</v>
      </c>
      <c r="G3004">
        <v>1273245</v>
      </c>
      <c r="H3004" t="s">
        <v>68</v>
      </c>
      <c r="I3004" t="s">
        <v>426</v>
      </c>
      <c r="J3004" t="str">
        <f>"9781136451010"</f>
        <v>9781136451010</v>
      </c>
      <c r="K3004" t="s">
        <v>5329</v>
      </c>
      <c r="L3004">
        <v>6</v>
      </c>
      <c r="O3004" t="s">
        <v>30</v>
      </c>
      <c r="P3004" t="s">
        <v>50</v>
      </c>
      <c r="S3004" t="s">
        <v>31</v>
      </c>
      <c r="T3004" t="s">
        <v>5330</v>
      </c>
      <c r="U3004">
        <v>294.68200000000002</v>
      </c>
      <c r="V3004" s="3">
        <v>38630</v>
      </c>
    </row>
    <row r="3005" spans="1:22" x14ac:dyDescent="0.35">
      <c r="A3005" s="1">
        <v>42333.806504629632</v>
      </c>
      <c r="B3005" s="2">
        <v>8.3217592592592596E-3</v>
      </c>
      <c r="C3005" t="s">
        <v>5326</v>
      </c>
      <c r="D3005" t="s">
        <v>23</v>
      </c>
      <c r="E3005" t="s">
        <v>24</v>
      </c>
      <c r="F3005" t="s">
        <v>486</v>
      </c>
      <c r="G3005">
        <v>1119505</v>
      </c>
      <c r="H3005" t="s">
        <v>26</v>
      </c>
      <c r="I3005" t="s">
        <v>450</v>
      </c>
      <c r="J3005" t="str">
        <f>"9781118355015"</f>
        <v>9781118355015</v>
      </c>
      <c r="K3005" t="s">
        <v>5331</v>
      </c>
      <c r="L3005">
        <v>8</v>
      </c>
      <c r="O3005" t="s">
        <v>30</v>
      </c>
      <c r="P3005" t="s">
        <v>42</v>
      </c>
      <c r="S3005" t="s">
        <v>31</v>
      </c>
      <c r="T3005" t="s">
        <v>487</v>
      </c>
      <c r="U3005" t="s">
        <v>488</v>
      </c>
      <c r="V3005" s="3">
        <v>41302</v>
      </c>
    </row>
    <row r="3006" spans="1:22" x14ac:dyDescent="0.35">
      <c r="A3006" s="1">
        <v>42333.748368055552</v>
      </c>
      <c r="B3006" s="2">
        <v>5.0347222222222217E-2</v>
      </c>
      <c r="C3006" t="s">
        <v>5332</v>
      </c>
      <c r="D3006" t="s">
        <v>360</v>
      </c>
      <c r="E3006" t="s">
        <v>361</v>
      </c>
      <c r="F3006" t="s">
        <v>5333</v>
      </c>
      <c r="G3006">
        <v>538048</v>
      </c>
      <c r="H3006" t="s">
        <v>526</v>
      </c>
      <c r="I3006" t="s">
        <v>79</v>
      </c>
      <c r="J3006" t="str">
        <f>"9780226493671"</f>
        <v>9780226493671</v>
      </c>
      <c r="K3006" t="s">
        <v>5334</v>
      </c>
      <c r="L3006">
        <v>53</v>
      </c>
      <c r="O3006" t="s">
        <v>30</v>
      </c>
      <c r="P3006" t="s">
        <v>29</v>
      </c>
      <c r="Q3006" s="1">
        <v>42332.754317129627</v>
      </c>
      <c r="R3006">
        <v>7</v>
      </c>
      <c r="S3006" t="s">
        <v>363</v>
      </c>
      <c r="T3006" t="s">
        <v>5335</v>
      </c>
      <c r="U3006" t="s">
        <v>5336</v>
      </c>
      <c r="V3006" s="3">
        <v>41303</v>
      </c>
    </row>
    <row r="3007" spans="1:22" x14ac:dyDescent="0.35">
      <c r="A3007" s="1">
        <v>42333.748252314814</v>
      </c>
      <c r="B3007" s="2">
        <v>4.1192129629629634E-2</v>
      </c>
      <c r="C3007" t="s">
        <v>5337</v>
      </c>
      <c r="D3007" t="s">
        <v>360</v>
      </c>
      <c r="E3007" t="s">
        <v>361</v>
      </c>
      <c r="F3007" t="s">
        <v>4223</v>
      </c>
      <c r="G3007">
        <v>980956</v>
      </c>
      <c r="H3007" t="s">
        <v>26</v>
      </c>
      <c r="I3007" t="s">
        <v>4224</v>
      </c>
      <c r="J3007" t="str">
        <f>"9781118227251"</f>
        <v>9781118227251</v>
      </c>
      <c r="K3007" t="s">
        <v>5338</v>
      </c>
      <c r="L3007">
        <v>41</v>
      </c>
      <c r="O3007" t="s">
        <v>30</v>
      </c>
      <c r="P3007" t="s">
        <v>29</v>
      </c>
      <c r="Q3007" s="1">
        <v>42331.734953703701</v>
      </c>
      <c r="R3007">
        <v>7</v>
      </c>
      <c r="S3007" t="s">
        <v>363</v>
      </c>
      <c r="T3007" t="s">
        <v>4226</v>
      </c>
      <c r="U3007" t="s">
        <v>4227</v>
      </c>
      <c r="V3007" s="3">
        <v>41113</v>
      </c>
    </row>
    <row r="3008" spans="1:22" x14ac:dyDescent="0.35">
      <c r="A3008" s="1">
        <v>42333.679166666669</v>
      </c>
      <c r="B3008" s="2">
        <v>5.4398148148148144E-4</v>
      </c>
      <c r="C3008" t="s">
        <v>5339</v>
      </c>
      <c r="D3008" t="s">
        <v>335</v>
      </c>
      <c r="E3008" t="s">
        <v>336</v>
      </c>
      <c r="F3008" t="s">
        <v>1200</v>
      </c>
      <c r="G3008">
        <v>995746</v>
      </c>
      <c r="H3008" t="s">
        <v>26</v>
      </c>
      <c r="I3008" t="s">
        <v>386</v>
      </c>
      <c r="J3008" t="str">
        <f>"9781118233931"</f>
        <v>9781118233931</v>
      </c>
      <c r="K3008" t="s">
        <v>278</v>
      </c>
      <c r="L3008">
        <v>21</v>
      </c>
      <c r="O3008" t="s">
        <v>30</v>
      </c>
      <c r="P3008" t="s">
        <v>42</v>
      </c>
      <c r="S3008" t="s">
        <v>340</v>
      </c>
      <c r="T3008" t="s">
        <v>1202</v>
      </c>
      <c r="U3008">
        <v>362.20922000000002</v>
      </c>
      <c r="V3008" s="3">
        <v>41127</v>
      </c>
    </row>
    <row r="3009" spans="1:22" x14ac:dyDescent="0.35">
      <c r="A3009" s="1">
        <v>42333.672638888886</v>
      </c>
      <c r="B3009" s="2">
        <v>1.8518518518518518E-4</v>
      </c>
      <c r="C3009" t="s">
        <v>5340</v>
      </c>
      <c r="D3009" t="s">
        <v>23</v>
      </c>
      <c r="E3009" t="s">
        <v>24</v>
      </c>
      <c r="F3009" t="s">
        <v>3351</v>
      </c>
      <c r="G3009">
        <v>1760720</v>
      </c>
      <c r="H3009" t="s">
        <v>91</v>
      </c>
      <c r="I3009" t="s">
        <v>247</v>
      </c>
      <c r="J3009" t="str">
        <f>"9781462517459"</f>
        <v>9781462517459</v>
      </c>
      <c r="K3009" t="s">
        <v>5341</v>
      </c>
      <c r="L3009">
        <v>20</v>
      </c>
      <c r="O3009" t="s">
        <v>30</v>
      </c>
      <c r="P3009" t="s">
        <v>29</v>
      </c>
      <c r="Q3009" s="1">
        <v>42332.020995370367</v>
      </c>
      <c r="R3009">
        <v>7</v>
      </c>
      <c r="S3009" t="s">
        <v>31</v>
      </c>
      <c r="T3009" t="s">
        <v>3353</v>
      </c>
      <c r="U3009">
        <v>616.89142000000004</v>
      </c>
      <c r="V3009" s="3">
        <v>41996</v>
      </c>
    </row>
    <row r="3010" spans="1:22" x14ac:dyDescent="0.35">
      <c r="A3010" s="1">
        <v>42333.62159722222</v>
      </c>
      <c r="B3010" s="2">
        <v>2.1643518518518518E-3</v>
      </c>
      <c r="C3010" t="s">
        <v>5342</v>
      </c>
      <c r="D3010" t="s">
        <v>146</v>
      </c>
      <c r="E3010" t="s">
        <v>147</v>
      </c>
      <c r="F3010" t="s">
        <v>3037</v>
      </c>
      <c r="G3010">
        <v>836624</v>
      </c>
      <c r="H3010" t="s">
        <v>26</v>
      </c>
      <c r="I3010" t="s">
        <v>1650</v>
      </c>
      <c r="J3010" t="str">
        <f>"9781118346686"</f>
        <v>9781118346686</v>
      </c>
      <c r="K3010" t="s">
        <v>5343</v>
      </c>
      <c r="L3010">
        <v>32</v>
      </c>
      <c r="O3010" t="s">
        <v>30</v>
      </c>
      <c r="P3010" t="s">
        <v>42</v>
      </c>
      <c r="S3010" t="s">
        <v>5344</v>
      </c>
      <c r="T3010" t="s">
        <v>3039</v>
      </c>
      <c r="U3010">
        <v>741.59730000000002</v>
      </c>
      <c r="V3010" s="3">
        <v>40969</v>
      </c>
    </row>
    <row r="3011" spans="1:22" x14ac:dyDescent="0.35">
      <c r="A3011" s="1">
        <v>42333.560057870367</v>
      </c>
      <c r="B3011" s="2">
        <v>8.369212962962963E-2</v>
      </c>
      <c r="C3011" t="s">
        <v>3454</v>
      </c>
      <c r="D3011" t="s">
        <v>23</v>
      </c>
      <c r="E3011" t="s">
        <v>24</v>
      </c>
      <c r="F3011" t="s">
        <v>3351</v>
      </c>
      <c r="G3011">
        <v>1760720</v>
      </c>
      <c r="H3011" t="s">
        <v>91</v>
      </c>
      <c r="I3011" t="s">
        <v>247</v>
      </c>
      <c r="J3011" t="str">
        <f>"9781462517459"</f>
        <v>9781462517459</v>
      </c>
      <c r="K3011" t="s">
        <v>5345</v>
      </c>
      <c r="L3011">
        <v>124</v>
      </c>
      <c r="N3011" t="s">
        <v>4639</v>
      </c>
      <c r="O3011" t="s">
        <v>30</v>
      </c>
      <c r="P3011" t="s">
        <v>29</v>
      </c>
      <c r="Q3011" s="1">
        <v>42327.645243055558</v>
      </c>
      <c r="R3011">
        <v>7</v>
      </c>
      <c r="S3011" t="s">
        <v>31</v>
      </c>
      <c r="T3011" t="s">
        <v>3353</v>
      </c>
      <c r="U3011">
        <v>616.89142000000004</v>
      </c>
      <c r="V3011" s="3">
        <v>41996</v>
      </c>
    </row>
    <row r="3012" spans="1:22" x14ac:dyDescent="0.35">
      <c r="A3012" s="1">
        <v>42333.547453703701</v>
      </c>
      <c r="B3012" s="2">
        <v>1.4004629629629629E-3</v>
      </c>
      <c r="C3012" t="s">
        <v>5346</v>
      </c>
      <c r="D3012" t="s">
        <v>158</v>
      </c>
      <c r="E3012" t="s">
        <v>159</v>
      </c>
      <c r="F3012" t="s">
        <v>3204</v>
      </c>
      <c r="G3012">
        <v>4044660</v>
      </c>
      <c r="H3012" t="s">
        <v>139</v>
      </c>
      <c r="I3012" t="s">
        <v>120</v>
      </c>
      <c r="J3012" t="str">
        <f>"9781479849680"</f>
        <v>9781479849680</v>
      </c>
      <c r="K3012" t="s">
        <v>5347</v>
      </c>
      <c r="L3012">
        <v>16</v>
      </c>
      <c r="O3012" t="s">
        <v>30</v>
      </c>
      <c r="P3012" t="s">
        <v>29</v>
      </c>
      <c r="Q3012" s="1">
        <v>42333.547453703701</v>
      </c>
      <c r="R3012">
        <v>7</v>
      </c>
      <c r="S3012" t="s">
        <v>163</v>
      </c>
      <c r="T3012" t="s">
        <v>3206</v>
      </c>
      <c r="U3012" t="s">
        <v>3207</v>
      </c>
      <c r="V3012" s="3">
        <v>42349</v>
      </c>
    </row>
    <row r="3013" spans="1:22" x14ac:dyDescent="0.35">
      <c r="A3013" s="1">
        <v>42333.543969907405</v>
      </c>
      <c r="B3013" s="2">
        <v>3.483796296296296E-3</v>
      </c>
      <c r="C3013" t="s">
        <v>5346</v>
      </c>
      <c r="D3013" t="s">
        <v>158</v>
      </c>
      <c r="E3013" t="s">
        <v>159</v>
      </c>
      <c r="F3013" t="s">
        <v>3204</v>
      </c>
      <c r="G3013">
        <v>4044660</v>
      </c>
      <c r="H3013" t="s">
        <v>139</v>
      </c>
      <c r="I3013" t="s">
        <v>120</v>
      </c>
      <c r="J3013" t="str">
        <f>"9781479849680"</f>
        <v>9781479849680</v>
      </c>
      <c r="K3013" t="s">
        <v>5348</v>
      </c>
      <c r="L3013">
        <v>36</v>
      </c>
      <c r="O3013" t="s">
        <v>30</v>
      </c>
      <c r="P3013" t="s">
        <v>50</v>
      </c>
      <c r="S3013" t="s">
        <v>163</v>
      </c>
      <c r="T3013" t="s">
        <v>3206</v>
      </c>
      <c r="U3013" t="s">
        <v>3207</v>
      </c>
      <c r="V3013" s="3">
        <v>42349</v>
      </c>
    </row>
    <row r="3014" spans="1:22" x14ac:dyDescent="0.35">
      <c r="A3014" s="1">
        <v>42333.099131944444</v>
      </c>
      <c r="B3014" s="2">
        <v>4.5717592592592589E-3</v>
      </c>
      <c r="C3014" t="s">
        <v>5349</v>
      </c>
      <c r="D3014" t="s">
        <v>23</v>
      </c>
      <c r="E3014" t="s">
        <v>24</v>
      </c>
      <c r="F3014" t="s">
        <v>5350</v>
      </c>
      <c r="G3014">
        <v>1823006</v>
      </c>
      <c r="H3014" t="s">
        <v>91</v>
      </c>
      <c r="I3014" t="s">
        <v>2875</v>
      </c>
      <c r="J3014" t="str">
        <f>"9781462519095"</f>
        <v>9781462519095</v>
      </c>
      <c r="K3014" t="s">
        <v>5351</v>
      </c>
      <c r="L3014">
        <v>38</v>
      </c>
      <c r="O3014" t="s">
        <v>30</v>
      </c>
      <c r="P3014" t="s">
        <v>29</v>
      </c>
      <c r="Q3014" s="1">
        <v>42333.015393518515</v>
      </c>
      <c r="R3014">
        <v>7</v>
      </c>
      <c r="S3014" t="s">
        <v>31</v>
      </c>
      <c r="T3014" t="s">
        <v>5352</v>
      </c>
      <c r="U3014">
        <v>1.4028499999999999</v>
      </c>
      <c r="V3014" s="3">
        <v>42011</v>
      </c>
    </row>
    <row r="3015" spans="1:22" x14ac:dyDescent="0.35">
      <c r="A3015" s="1">
        <v>42333.080277777779</v>
      </c>
      <c r="B3015" s="2">
        <v>1.8206018518518517E-2</v>
      </c>
      <c r="C3015" t="s">
        <v>5353</v>
      </c>
      <c r="D3015" t="s">
        <v>23</v>
      </c>
      <c r="E3015" t="s">
        <v>24</v>
      </c>
      <c r="F3015" t="s">
        <v>4405</v>
      </c>
      <c r="G3015">
        <v>1187185</v>
      </c>
      <c r="H3015" t="s">
        <v>26</v>
      </c>
      <c r="I3015" t="s">
        <v>4406</v>
      </c>
      <c r="J3015" t="str">
        <f>"9781118748183"</f>
        <v>9781118748183</v>
      </c>
      <c r="K3015" t="s">
        <v>5354</v>
      </c>
      <c r="L3015">
        <v>4</v>
      </c>
      <c r="O3015" t="s">
        <v>30</v>
      </c>
      <c r="P3015" t="s">
        <v>29</v>
      </c>
      <c r="Q3015" s="1">
        <v>42333.080277777779</v>
      </c>
      <c r="R3015">
        <v>7</v>
      </c>
      <c r="S3015" t="s">
        <v>31</v>
      </c>
      <c r="T3015" t="s">
        <v>4408</v>
      </c>
      <c r="U3015">
        <v>622.33799999999997</v>
      </c>
      <c r="V3015" s="3">
        <v>41400</v>
      </c>
    </row>
    <row r="3016" spans="1:22" x14ac:dyDescent="0.35">
      <c r="A3016" s="1">
        <v>42333.073622685188</v>
      </c>
      <c r="B3016" s="2">
        <v>4.5671296296296293E-2</v>
      </c>
      <c r="C3016" t="s">
        <v>3556</v>
      </c>
      <c r="D3016" t="s">
        <v>23</v>
      </c>
      <c r="E3016" t="s">
        <v>24</v>
      </c>
      <c r="F3016" t="s">
        <v>3060</v>
      </c>
      <c r="G3016">
        <v>1120279</v>
      </c>
      <c r="H3016" t="s">
        <v>26</v>
      </c>
      <c r="I3016" t="s">
        <v>3061</v>
      </c>
      <c r="J3016" t="str">
        <f>"9781118537671"</f>
        <v>9781118537671</v>
      </c>
      <c r="K3016" t="s">
        <v>5355</v>
      </c>
      <c r="L3016">
        <v>19</v>
      </c>
      <c r="O3016" t="s">
        <v>30</v>
      </c>
      <c r="P3016" t="s">
        <v>29</v>
      </c>
      <c r="Q3016" s="1">
        <v>42333.073622685188</v>
      </c>
      <c r="R3016">
        <v>7</v>
      </c>
      <c r="S3016" t="s">
        <v>31</v>
      </c>
      <c r="T3016" t="s">
        <v>3063</v>
      </c>
      <c r="U3016">
        <v>599.93499999999995</v>
      </c>
      <c r="V3016" s="3">
        <v>41232</v>
      </c>
    </row>
    <row r="3017" spans="1:22" x14ac:dyDescent="0.35">
      <c r="A3017" s="1">
        <v>42333.061099537037</v>
      </c>
      <c r="B3017" s="2">
        <v>3.4722222222222222E-5</v>
      </c>
      <c r="C3017" t="s">
        <v>5356</v>
      </c>
      <c r="D3017" t="s">
        <v>1222</v>
      </c>
      <c r="E3017" t="s">
        <v>1223</v>
      </c>
      <c r="F3017" t="s">
        <v>5357</v>
      </c>
      <c r="G3017">
        <v>1220626</v>
      </c>
      <c r="H3017" t="s">
        <v>613</v>
      </c>
      <c r="I3017" t="s">
        <v>1434</v>
      </c>
      <c r="J3017" t="str">
        <f>"9781469612676"</f>
        <v>9781469612676</v>
      </c>
      <c r="K3017" t="s">
        <v>33</v>
      </c>
      <c r="L3017">
        <v>3</v>
      </c>
      <c r="O3017" t="s">
        <v>30</v>
      </c>
      <c r="P3017" t="s">
        <v>47</v>
      </c>
      <c r="Q3017" s="1">
        <v>42332.770162037035</v>
      </c>
      <c r="R3017">
        <v>1</v>
      </c>
      <c r="S3017" t="s">
        <v>1226</v>
      </c>
      <c r="T3017" t="s">
        <v>5358</v>
      </c>
      <c r="U3017">
        <v>323.09199999999998</v>
      </c>
      <c r="V3017" s="3">
        <v>41519</v>
      </c>
    </row>
    <row r="3018" spans="1:22" x14ac:dyDescent="0.35">
      <c r="A3018" s="1">
        <v>42333.060057870367</v>
      </c>
      <c r="B3018" s="2">
        <v>2.0219907407407409E-2</v>
      </c>
      <c r="C3018" t="s">
        <v>5353</v>
      </c>
      <c r="D3018" t="s">
        <v>23</v>
      </c>
      <c r="E3018" t="s">
        <v>24</v>
      </c>
      <c r="F3018" t="s">
        <v>4405</v>
      </c>
      <c r="G3018">
        <v>1187185</v>
      </c>
      <c r="H3018" t="s">
        <v>26</v>
      </c>
      <c r="I3018" t="s">
        <v>4406</v>
      </c>
      <c r="J3018" t="str">
        <f>"9781118748183"</f>
        <v>9781118748183</v>
      </c>
      <c r="K3018" t="s">
        <v>5359</v>
      </c>
      <c r="L3018">
        <v>9</v>
      </c>
      <c r="O3018" t="s">
        <v>30</v>
      </c>
      <c r="P3018" t="s">
        <v>42</v>
      </c>
      <c r="S3018" t="s">
        <v>31</v>
      </c>
      <c r="T3018" t="s">
        <v>4408</v>
      </c>
      <c r="U3018">
        <v>622.33799999999997</v>
      </c>
      <c r="V3018" s="3">
        <v>41400</v>
      </c>
    </row>
    <row r="3019" spans="1:22" x14ac:dyDescent="0.35">
      <c r="A3019" s="1">
        <v>42333.058854166666</v>
      </c>
      <c r="B3019" s="2">
        <v>1.4768518518518519E-2</v>
      </c>
      <c r="C3019" t="s">
        <v>3556</v>
      </c>
      <c r="D3019" t="s">
        <v>23</v>
      </c>
      <c r="E3019" t="s">
        <v>24</v>
      </c>
      <c r="F3019" t="s">
        <v>3060</v>
      </c>
      <c r="G3019">
        <v>1120279</v>
      </c>
      <c r="H3019" t="s">
        <v>26</v>
      </c>
      <c r="I3019" t="s">
        <v>3061</v>
      </c>
      <c r="J3019" t="str">
        <f>"9781118537671"</f>
        <v>9781118537671</v>
      </c>
      <c r="K3019" t="s">
        <v>5360</v>
      </c>
      <c r="L3019">
        <v>11</v>
      </c>
      <c r="O3019" t="s">
        <v>30</v>
      </c>
      <c r="P3019" t="s">
        <v>42</v>
      </c>
      <c r="S3019" t="s">
        <v>31</v>
      </c>
      <c r="T3019" t="s">
        <v>3063</v>
      </c>
      <c r="U3019">
        <v>599.93499999999995</v>
      </c>
      <c r="V3019" s="3">
        <v>41232</v>
      </c>
    </row>
    <row r="3020" spans="1:22" x14ac:dyDescent="0.35">
      <c r="A3020" s="1">
        <v>42333.039629629631</v>
      </c>
      <c r="B3020" s="2">
        <v>2.8935185185185189E-4</v>
      </c>
      <c r="C3020" t="s">
        <v>3454</v>
      </c>
      <c r="D3020" t="s">
        <v>23</v>
      </c>
      <c r="E3020" t="s">
        <v>24</v>
      </c>
      <c r="F3020" t="s">
        <v>3351</v>
      </c>
      <c r="G3020">
        <v>1760720</v>
      </c>
      <c r="H3020" t="s">
        <v>91</v>
      </c>
      <c r="I3020" t="s">
        <v>247</v>
      </c>
      <c r="J3020" t="str">
        <f>"9781462517459"</f>
        <v>9781462517459</v>
      </c>
      <c r="K3020" t="s">
        <v>5361</v>
      </c>
      <c r="L3020">
        <v>11</v>
      </c>
      <c r="O3020" t="s">
        <v>30</v>
      </c>
      <c r="P3020" t="s">
        <v>29</v>
      </c>
      <c r="Q3020" s="1">
        <v>42327.645243055558</v>
      </c>
      <c r="R3020">
        <v>7</v>
      </c>
      <c r="S3020" t="s">
        <v>31</v>
      </c>
      <c r="T3020" t="s">
        <v>3353</v>
      </c>
      <c r="U3020">
        <v>616.89142000000004</v>
      </c>
      <c r="V3020" s="3">
        <v>41996</v>
      </c>
    </row>
    <row r="3021" spans="1:22" x14ac:dyDescent="0.35">
      <c r="A3021" s="1">
        <v>42333.025891203702</v>
      </c>
      <c r="B3021" s="2">
        <v>6.2268518518518515E-3</v>
      </c>
      <c r="C3021" t="s">
        <v>5349</v>
      </c>
      <c r="D3021" t="s">
        <v>23</v>
      </c>
      <c r="E3021" t="s">
        <v>24</v>
      </c>
      <c r="F3021" t="s">
        <v>5350</v>
      </c>
      <c r="G3021">
        <v>1823006</v>
      </c>
      <c r="H3021" t="s">
        <v>91</v>
      </c>
      <c r="I3021" t="s">
        <v>2875</v>
      </c>
      <c r="J3021" t="str">
        <f>"9781462519095"</f>
        <v>9781462519095</v>
      </c>
      <c r="K3021" t="s">
        <v>5362</v>
      </c>
      <c r="L3021">
        <v>64</v>
      </c>
      <c r="O3021" t="s">
        <v>30</v>
      </c>
      <c r="P3021" t="s">
        <v>29</v>
      </c>
      <c r="Q3021" s="1">
        <v>42333.015393518515</v>
      </c>
      <c r="R3021">
        <v>7</v>
      </c>
      <c r="S3021" t="s">
        <v>31</v>
      </c>
      <c r="T3021" t="s">
        <v>5352</v>
      </c>
      <c r="U3021">
        <v>1.4028499999999999</v>
      </c>
      <c r="V3021" s="3">
        <v>42011</v>
      </c>
    </row>
    <row r="3022" spans="1:22" x14ac:dyDescent="0.35">
      <c r="A3022" s="1">
        <v>42333.015393518515</v>
      </c>
      <c r="B3022" s="2">
        <v>9.4560185185185181E-3</v>
      </c>
      <c r="C3022" t="s">
        <v>5349</v>
      </c>
      <c r="D3022" t="s">
        <v>23</v>
      </c>
      <c r="E3022" t="s">
        <v>24</v>
      </c>
      <c r="F3022" t="s">
        <v>5350</v>
      </c>
      <c r="G3022">
        <v>1823006</v>
      </c>
      <c r="H3022" t="s">
        <v>91</v>
      </c>
      <c r="I3022" t="s">
        <v>2875</v>
      </c>
      <c r="J3022" t="str">
        <f>"9781462519095"</f>
        <v>9781462519095</v>
      </c>
      <c r="K3022" t="s">
        <v>5363</v>
      </c>
      <c r="L3022">
        <v>9</v>
      </c>
      <c r="O3022" t="s">
        <v>30</v>
      </c>
      <c r="P3022" t="s">
        <v>29</v>
      </c>
      <c r="Q3022" s="1">
        <v>42333.015393518515</v>
      </c>
      <c r="R3022">
        <v>7</v>
      </c>
      <c r="S3022" t="s">
        <v>31</v>
      </c>
      <c r="T3022" t="s">
        <v>5352</v>
      </c>
      <c r="U3022">
        <v>1.4028499999999999</v>
      </c>
      <c r="V3022" s="3">
        <v>42011</v>
      </c>
    </row>
    <row r="3023" spans="1:22" x14ac:dyDescent="0.35">
      <c r="A3023" s="1">
        <v>42333.004918981482</v>
      </c>
      <c r="B3023" s="2">
        <v>1.0474537037037037E-2</v>
      </c>
      <c r="C3023" t="s">
        <v>5349</v>
      </c>
      <c r="D3023" t="s">
        <v>23</v>
      </c>
      <c r="E3023" t="s">
        <v>24</v>
      </c>
      <c r="F3023" t="s">
        <v>5350</v>
      </c>
      <c r="G3023">
        <v>1823006</v>
      </c>
      <c r="H3023" t="s">
        <v>91</v>
      </c>
      <c r="I3023" t="s">
        <v>2875</v>
      </c>
      <c r="J3023" t="str">
        <f>"9781462519095"</f>
        <v>9781462519095</v>
      </c>
      <c r="K3023" t="s">
        <v>5364</v>
      </c>
      <c r="L3023">
        <v>16</v>
      </c>
      <c r="O3023" t="s">
        <v>30</v>
      </c>
      <c r="P3023" t="s">
        <v>42</v>
      </c>
      <c r="S3023" t="s">
        <v>31</v>
      </c>
      <c r="T3023" t="s">
        <v>5352</v>
      </c>
      <c r="U3023">
        <v>1.4028499999999999</v>
      </c>
      <c r="V3023" s="3">
        <v>42011</v>
      </c>
    </row>
    <row r="3024" spans="1:22" x14ac:dyDescent="0.35">
      <c r="A3024" s="1">
        <v>42333.004270833335</v>
      </c>
      <c r="B3024" s="2">
        <v>4.0312499999999994E-2</v>
      </c>
      <c r="C3024" t="s">
        <v>5000</v>
      </c>
      <c r="D3024" t="s">
        <v>2519</v>
      </c>
      <c r="E3024" t="s">
        <v>2520</v>
      </c>
      <c r="F3024" t="s">
        <v>5001</v>
      </c>
      <c r="G3024">
        <v>694378</v>
      </c>
      <c r="H3024" t="s">
        <v>26</v>
      </c>
      <c r="I3024" t="s">
        <v>187</v>
      </c>
      <c r="J3024" t="str">
        <f>"9781118703113"</f>
        <v>9781118703113</v>
      </c>
      <c r="K3024" t="s">
        <v>5365</v>
      </c>
      <c r="L3024">
        <v>25</v>
      </c>
      <c r="O3024" t="s">
        <v>30</v>
      </c>
      <c r="P3024" t="s">
        <v>47</v>
      </c>
      <c r="Q3024" s="1">
        <v>42333.004270833335</v>
      </c>
      <c r="R3024">
        <v>1</v>
      </c>
      <c r="S3024" t="s">
        <v>3786</v>
      </c>
      <c r="T3024" t="s">
        <v>5003</v>
      </c>
      <c r="U3024" t="s">
        <v>5004</v>
      </c>
      <c r="V3024" s="3">
        <v>41403</v>
      </c>
    </row>
    <row r="3025" spans="1:22" x14ac:dyDescent="0.35">
      <c r="A3025" s="1">
        <v>42332.99628472222</v>
      </c>
      <c r="B3025" s="2">
        <v>7.9861111111111122E-3</v>
      </c>
      <c r="C3025" t="s">
        <v>5000</v>
      </c>
      <c r="D3025" t="s">
        <v>2519</v>
      </c>
      <c r="E3025" t="s">
        <v>2520</v>
      </c>
      <c r="F3025" t="s">
        <v>5001</v>
      </c>
      <c r="G3025">
        <v>694378</v>
      </c>
      <c r="H3025" t="s">
        <v>26</v>
      </c>
      <c r="I3025" t="s">
        <v>187</v>
      </c>
      <c r="J3025" t="str">
        <f>"9781118703113"</f>
        <v>9781118703113</v>
      </c>
      <c r="K3025" t="s">
        <v>5366</v>
      </c>
      <c r="L3025">
        <v>11</v>
      </c>
      <c r="O3025" t="s">
        <v>30</v>
      </c>
      <c r="P3025" t="s">
        <v>50</v>
      </c>
      <c r="S3025" t="s">
        <v>3786</v>
      </c>
      <c r="T3025" t="s">
        <v>5003</v>
      </c>
      <c r="U3025" t="s">
        <v>5004</v>
      </c>
      <c r="V3025" s="3">
        <v>41403</v>
      </c>
    </row>
    <row r="3026" spans="1:22" x14ac:dyDescent="0.35">
      <c r="A3026" s="1">
        <v>42332.962835648148</v>
      </c>
      <c r="B3026" s="2">
        <v>3.4722222222222222E-5</v>
      </c>
      <c r="C3026" t="s">
        <v>3223</v>
      </c>
      <c r="D3026" t="s">
        <v>23</v>
      </c>
      <c r="E3026" t="s">
        <v>24</v>
      </c>
      <c r="F3026" t="s">
        <v>3224</v>
      </c>
      <c r="G3026">
        <v>1882107</v>
      </c>
      <c r="H3026" t="s">
        <v>84</v>
      </c>
      <c r="I3026" t="s">
        <v>998</v>
      </c>
      <c r="J3026" t="str">
        <f>"9780520961593"</f>
        <v>9780520961593</v>
      </c>
      <c r="K3026" t="s">
        <v>33</v>
      </c>
      <c r="L3026">
        <v>3</v>
      </c>
      <c r="N3026" t="s">
        <v>5367</v>
      </c>
      <c r="O3026" t="s">
        <v>30</v>
      </c>
      <c r="P3026" t="s">
        <v>29</v>
      </c>
      <c r="Q3026" s="1">
        <v>42327.108796296299</v>
      </c>
      <c r="R3026">
        <v>7</v>
      </c>
      <c r="S3026" t="s">
        <v>31</v>
      </c>
      <c r="T3026" t="s">
        <v>3226</v>
      </c>
      <c r="U3026">
        <v>952.03099999999995</v>
      </c>
      <c r="V3026" s="3">
        <v>42164</v>
      </c>
    </row>
    <row r="3027" spans="1:22" x14ac:dyDescent="0.35">
      <c r="A3027" s="1">
        <v>42332.958124999997</v>
      </c>
      <c r="B3027" s="2">
        <v>2.7314814814814819E-3</v>
      </c>
      <c r="C3027" t="s">
        <v>5368</v>
      </c>
      <c r="D3027" t="s">
        <v>23</v>
      </c>
      <c r="E3027" t="s">
        <v>24</v>
      </c>
      <c r="F3027" t="s">
        <v>5369</v>
      </c>
      <c r="G3027">
        <v>1784645</v>
      </c>
      <c r="H3027" t="s">
        <v>45</v>
      </c>
      <c r="I3027" t="s">
        <v>5370</v>
      </c>
      <c r="J3027" t="str">
        <f>"9781472423672"</f>
        <v>9781472423672</v>
      </c>
      <c r="K3027" t="s">
        <v>5371</v>
      </c>
      <c r="L3027">
        <v>53</v>
      </c>
      <c r="O3027" t="s">
        <v>30</v>
      </c>
      <c r="P3027" t="s">
        <v>50</v>
      </c>
      <c r="S3027" t="s">
        <v>31</v>
      </c>
      <c r="T3027" t="s">
        <v>5372</v>
      </c>
      <c r="U3027" t="s">
        <v>5373</v>
      </c>
      <c r="V3027" s="3">
        <v>41971</v>
      </c>
    </row>
    <row r="3028" spans="1:22" x14ac:dyDescent="0.35">
      <c r="A3028" s="1">
        <v>42332.892939814818</v>
      </c>
      <c r="B3028" s="2">
        <v>1.0300925925925927E-2</v>
      </c>
      <c r="C3028" t="s">
        <v>5356</v>
      </c>
      <c r="D3028" t="s">
        <v>1222</v>
      </c>
      <c r="E3028" t="s">
        <v>1223</v>
      </c>
      <c r="F3028" t="s">
        <v>5357</v>
      </c>
      <c r="G3028">
        <v>1220626</v>
      </c>
      <c r="H3028" t="s">
        <v>613</v>
      </c>
      <c r="I3028" t="s">
        <v>1434</v>
      </c>
      <c r="J3028" t="str">
        <f>"9781469612676"</f>
        <v>9781469612676</v>
      </c>
      <c r="K3028" t="s">
        <v>5374</v>
      </c>
      <c r="L3028">
        <v>38</v>
      </c>
      <c r="M3028" t="s">
        <v>5375</v>
      </c>
      <c r="O3028" t="s">
        <v>30</v>
      </c>
      <c r="P3028" t="s">
        <v>47</v>
      </c>
      <c r="Q3028" s="1">
        <v>42332.770162037035</v>
      </c>
      <c r="R3028">
        <v>1</v>
      </c>
      <c r="S3028" t="s">
        <v>1226</v>
      </c>
      <c r="T3028" t="s">
        <v>5358</v>
      </c>
      <c r="U3028">
        <v>323.09199999999998</v>
      </c>
      <c r="V3028" s="3">
        <v>41519</v>
      </c>
    </row>
    <row r="3029" spans="1:22" x14ac:dyDescent="0.35">
      <c r="A3029" s="1">
        <v>42332.802627314813</v>
      </c>
      <c r="B3029" s="2">
        <v>2.4305555555555552E-4</v>
      </c>
      <c r="C3029" t="s">
        <v>2302</v>
      </c>
      <c r="D3029" t="s">
        <v>117</v>
      </c>
      <c r="E3029" t="s">
        <v>118</v>
      </c>
      <c r="F3029" t="s">
        <v>1259</v>
      </c>
      <c r="G3029">
        <v>449628</v>
      </c>
      <c r="H3029" t="s">
        <v>68</v>
      </c>
      <c r="I3029" t="s">
        <v>38</v>
      </c>
      <c r="J3029" t="str">
        <f>"9781134028863"</f>
        <v>9781134028863</v>
      </c>
      <c r="K3029" t="s">
        <v>999</v>
      </c>
      <c r="L3029">
        <v>8</v>
      </c>
      <c r="O3029" t="s">
        <v>30</v>
      </c>
      <c r="P3029" t="s">
        <v>50</v>
      </c>
      <c r="S3029" t="s">
        <v>121</v>
      </c>
      <c r="T3029" t="s">
        <v>1261</v>
      </c>
      <c r="U3029">
        <v>364.3</v>
      </c>
      <c r="V3029" s="3">
        <v>41478</v>
      </c>
    </row>
    <row r="3030" spans="1:22" x14ac:dyDescent="0.35">
      <c r="A3030" s="1">
        <v>42332.791643518518</v>
      </c>
      <c r="B3030" s="2">
        <v>2.0937499999999998E-2</v>
      </c>
      <c r="C3030" t="s">
        <v>1971</v>
      </c>
      <c r="D3030" t="s">
        <v>1222</v>
      </c>
      <c r="E3030" t="s">
        <v>1223</v>
      </c>
      <c r="F3030" t="s">
        <v>5376</v>
      </c>
      <c r="G3030">
        <v>1645284</v>
      </c>
      <c r="H3030" t="s">
        <v>526</v>
      </c>
      <c r="I3030" t="s">
        <v>998</v>
      </c>
      <c r="J3030" t="str">
        <f>"9780226122595"</f>
        <v>9780226122595</v>
      </c>
      <c r="K3030" t="s">
        <v>5377</v>
      </c>
      <c r="L3030">
        <v>57</v>
      </c>
      <c r="O3030" t="s">
        <v>30</v>
      </c>
      <c r="P3030" t="s">
        <v>47</v>
      </c>
      <c r="Q3030" s="1">
        <v>42332.791643518518</v>
      </c>
      <c r="R3030">
        <v>1</v>
      </c>
      <c r="S3030" t="s">
        <v>1226</v>
      </c>
      <c r="T3030" t="s">
        <v>5378</v>
      </c>
      <c r="U3030">
        <v>304.80973</v>
      </c>
      <c r="V3030" s="3">
        <v>41726</v>
      </c>
    </row>
    <row r="3031" spans="1:22" x14ac:dyDescent="0.35">
      <c r="A3031" s="1">
        <v>42332.788159722222</v>
      </c>
      <c r="B3031" s="2">
        <v>2.8935185185185189E-4</v>
      </c>
      <c r="C3031" t="s">
        <v>5379</v>
      </c>
      <c r="D3031" t="s">
        <v>23</v>
      </c>
      <c r="E3031" t="s">
        <v>24</v>
      </c>
      <c r="F3031" t="s">
        <v>3179</v>
      </c>
      <c r="G3031">
        <v>1172554</v>
      </c>
      <c r="H3031" t="s">
        <v>1365</v>
      </c>
      <c r="I3031" t="s">
        <v>172</v>
      </c>
      <c r="J3031" t="str">
        <f>""</f>
        <v/>
      </c>
      <c r="K3031" t="s">
        <v>1326</v>
      </c>
      <c r="L3031">
        <v>3</v>
      </c>
      <c r="O3031" t="s">
        <v>30</v>
      </c>
      <c r="P3031" t="s">
        <v>42</v>
      </c>
      <c r="S3031" t="s">
        <v>31</v>
      </c>
      <c r="T3031" t="s">
        <v>3182</v>
      </c>
      <c r="U3031" t="s">
        <v>3183</v>
      </c>
      <c r="V3031" s="3">
        <v>41375</v>
      </c>
    </row>
    <row r="3032" spans="1:22" x14ac:dyDescent="0.35">
      <c r="A3032" s="1">
        <v>42332.786087962966</v>
      </c>
      <c r="B3032" s="2">
        <v>5.5555555555555558E-3</v>
      </c>
      <c r="C3032" t="s">
        <v>1971</v>
      </c>
      <c r="D3032" t="s">
        <v>1222</v>
      </c>
      <c r="E3032" t="s">
        <v>1223</v>
      </c>
      <c r="F3032" t="s">
        <v>5376</v>
      </c>
      <c r="G3032">
        <v>1645284</v>
      </c>
      <c r="H3032" t="s">
        <v>526</v>
      </c>
      <c r="I3032" t="s">
        <v>998</v>
      </c>
      <c r="J3032" t="str">
        <f>"9780226122595"</f>
        <v>9780226122595</v>
      </c>
      <c r="K3032" t="s">
        <v>2353</v>
      </c>
      <c r="L3032">
        <v>13</v>
      </c>
      <c r="O3032" t="s">
        <v>30</v>
      </c>
      <c r="P3032" t="s">
        <v>50</v>
      </c>
      <c r="S3032" t="s">
        <v>1226</v>
      </c>
      <c r="T3032" t="s">
        <v>5378</v>
      </c>
      <c r="U3032">
        <v>304.80973</v>
      </c>
      <c r="V3032" s="3">
        <v>41726</v>
      </c>
    </row>
    <row r="3033" spans="1:22" x14ac:dyDescent="0.35">
      <c r="A3033" s="1">
        <v>42332.780706018515</v>
      </c>
      <c r="B3033" s="2">
        <v>4.5949074074074078E-3</v>
      </c>
      <c r="C3033" t="s">
        <v>5380</v>
      </c>
      <c r="D3033" t="s">
        <v>261</v>
      </c>
      <c r="E3033" t="s">
        <v>262</v>
      </c>
      <c r="F3033" t="s">
        <v>1639</v>
      </c>
      <c r="G3033">
        <v>821827</v>
      </c>
      <c r="H3033" t="s">
        <v>26</v>
      </c>
      <c r="I3033" t="s">
        <v>120</v>
      </c>
      <c r="J3033" t="str">
        <f>"9781118225349"</f>
        <v>9781118225349</v>
      </c>
      <c r="K3033" t="s">
        <v>5381</v>
      </c>
      <c r="L3033">
        <v>12</v>
      </c>
      <c r="O3033" t="s">
        <v>30</v>
      </c>
      <c r="P3033" t="s">
        <v>29</v>
      </c>
      <c r="Q3033" s="1">
        <v>42332.780706018515</v>
      </c>
      <c r="R3033">
        <v>7</v>
      </c>
      <c r="S3033" t="s">
        <v>264</v>
      </c>
      <c r="T3033" t="s">
        <v>1641</v>
      </c>
      <c r="U3033">
        <v>302</v>
      </c>
      <c r="V3033" s="3">
        <v>41029</v>
      </c>
    </row>
    <row r="3034" spans="1:22" x14ac:dyDescent="0.35">
      <c r="A3034" s="1">
        <v>42332.770289351851</v>
      </c>
      <c r="B3034" s="2">
        <v>2.8935185185185189E-4</v>
      </c>
      <c r="C3034" t="s">
        <v>4667</v>
      </c>
      <c r="D3034" t="s">
        <v>35</v>
      </c>
      <c r="E3034" t="s">
        <v>36</v>
      </c>
      <c r="F3034" t="s">
        <v>4668</v>
      </c>
      <c r="G3034">
        <v>2110627</v>
      </c>
      <c r="H3034" t="s">
        <v>45</v>
      </c>
      <c r="I3034" t="s">
        <v>998</v>
      </c>
      <c r="J3034" t="str">
        <f>"9781472436481"</f>
        <v>9781472436481</v>
      </c>
      <c r="K3034" t="s">
        <v>5382</v>
      </c>
      <c r="L3034">
        <v>9</v>
      </c>
      <c r="O3034" t="s">
        <v>30</v>
      </c>
      <c r="P3034" t="s">
        <v>42</v>
      </c>
      <c r="S3034" t="s">
        <v>40</v>
      </c>
      <c r="T3034" t="s">
        <v>4670</v>
      </c>
      <c r="U3034" t="s">
        <v>4671</v>
      </c>
      <c r="V3034" s="3">
        <v>42275</v>
      </c>
    </row>
    <row r="3035" spans="1:22" x14ac:dyDescent="0.35">
      <c r="A3035" s="1">
        <v>42332.770162037035</v>
      </c>
      <c r="B3035" s="2">
        <v>6.3078703703703708E-3</v>
      </c>
      <c r="C3035" t="s">
        <v>5356</v>
      </c>
      <c r="D3035" t="s">
        <v>1222</v>
      </c>
      <c r="E3035" t="s">
        <v>1223</v>
      </c>
      <c r="F3035" t="s">
        <v>5357</v>
      </c>
      <c r="G3035">
        <v>1220626</v>
      </c>
      <c r="H3035" t="s">
        <v>613</v>
      </c>
      <c r="I3035" t="s">
        <v>1434</v>
      </c>
      <c r="J3035" t="str">
        <f>"9781469612676"</f>
        <v>9781469612676</v>
      </c>
      <c r="K3035" t="s">
        <v>5383</v>
      </c>
      <c r="L3035">
        <v>42</v>
      </c>
      <c r="O3035" t="s">
        <v>30</v>
      </c>
      <c r="P3035" t="s">
        <v>47</v>
      </c>
      <c r="Q3035" s="1">
        <v>42332.770162037035</v>
      </c>
      <c r="R3035">
        <v>1</v>
      </c>
      <c r="S3035" t="s">
        <v>1226</v>
      </c>
      <c r="T3035" t="s">
        <v>5358</v>
      </c>
      <c r="U3035">
        <v>323.09199999999998</v>
      </c>
      <c r="V3035" s="3">
        <v>41519</v>
      </c>
    </row>
    <row r="3036" spans="1:22" x14ac:dyDescent="0.35">
      <c r="A3036" s="1">
        <v>42332.768877314818</v>
      </c>
      <c r="B3036" s="2">
        <v>4.0509259259259258E-4</v>
      </c>
      <c r="C3036" t="s">
        <v>5274</v>
      </c>
      <c r="D3036" t="s">
        <v>211</v>
      </c>
      <c r="E3036" t="s">
        <v>212</v>
      </c>
      <c r="F3036" t="s">
        <v>5228</v>
      </c>
      <c r="G3036">
        <v>1034770</v>
      </c>
      <c r="H3036" t="s">
        <v>91</v>
      </c>
      <c r="I3036" t="s">
        <v>247</v>
      </c>
      <c r="J3036" t="str">
        <f>"9781462507566"</f>
        <v>9781462507566</v>
      </c>
      <c r="K3036" t="s">
        <v>5384</v>
      </c>
      <c r="L3036">
        <v>17</v>
      </c>
      <c r="O3036" t="s">
        <v>30</v>
      </c>
      <c r="P3036" t="s">
        <v>42</v>
      </c>
      <c r="S3036" t="s">
        <v>214</v>
      </c>
      <c r="T3036" t="s">
        <v>5230</v>
      </c>
      <c r="U3036">
        <v>616.85839999999996</v>
      </c>
      <c r="V3036" s="3">
        <v>41567</v>
      </c>
    </row>
    <row r="3037" spans="1:22" x14ac:dyDescent="0.35">
      <c r="A3037" s="1">
        <v>42332.765196759261</v>
      </c>
      <c r="B3037" s="2">
        <v>4.9652777777777777E-3</v>
      </c>
      <c r="C3037" t="s">
        <v>5356</v>
      </c>
      <c r="D3037" t="s">
        <v>1222</v>
      </c>
      <c r="E3037" t="s">
        <v>1223</v>
      </c>
      <c r="F3037" t="s">
        <v>5357</v>
      </c>
      <c r="G3037">
        <v>1220626</v>
      </c>
      <c r="H3037" t="s">
        <v>613</v>
      </c>
      <c r="I3037" t="s">
        <v>1434</v>
      </c>
      <c r="J3037" t="str">
        <f>"9781469612676"</f>
        <v>9781469612676</v>
      </c>
      <c r="K3037" t="s">
        <v>5385</v>
      </c>
      <c r="L3037">
        <v>48</v>
      </c>
      <c r="O3037" t="s">
        <v>30</v>
      </c>
      <c r="P3037" t="s">
        <v>50</v>
      </c>
      <c r="S3037" t="s">
        <v>1226</v>
      </c>
      <c r="T3037" t="s">
        <v>5358</v>
      </c>
      <c r="U3037">
        <v>323.09199999999998</v>
      </c>
      <c r="V3037" s="3">
        <v>41519</v>
      </c>
    </row>
    <row r="3038" spans="1:22" x14ac:dyDescent="0.35">
      <c r="A3038" s="1">
        <v>42332.764791666668</v>
      </c>
      <c r="B3038" s="2">
        <v>4.2824074074074075E-3</v>
      </c>
      <c r="C3038" t="s">
        <v>5386</v>
      </c>
      <c r="D3038" t="s">
        <v>261</v>
      </c>
      <c r="E3038" t="s">
        <v>262</v>
      </c>
      <c r="F3038" t="s">
        <v>4821</v>
      </c>
      <c r="G3038">
        <v>943645</v>
      </c>
      <c r="H3038" t="s">
        <v>1365</v>
      </c>
      <c r="I3038" t="s">
        <v>172</v>
      </c>
      <c r="J3038" t="str">
        <f>"9781441104755"</f>
        <v>9781441104755</v>
      </c>
      <c r="K3038" t="s">
        <v>5387</v>
      </c>
      <c r="L3038">
        <v>12</v>
      </c>
      <c r="M3038" t="s">
        <v>5388</v>
      </c>
      <c r="O3038" t="s">
        <v>30</v>
      </c>
      <c r="P3038" t="s">
        <v>29</v>
      </c>
      <c r="Q3038" s="1">
        <v>42331.102997685186</v>
      </c>
      <c r="R3038">
        <v>7</v>
      </c>
      <c r="S3038" t="s">
        <v>264</v>
      </c>
      <c r="T3038" t="s">
        <v>4823</v>
      </c>
      <c r="U3038">
        <v>948.02200000000005</v>
      </c>
      <c r="V3038" s="3">
        <v>41060</v>
      </c>
    </row>
    <row r="3039" spans="1:22" x14ac:dyDescent="0.35">
      <c r="A3039" s="1">
        <v>42332.755069444444</v>
      </c>
      <c r="B3039" s="2">
        <v>1.1712962962962965E-2</v>
      </c>
      <c r="C3039" t="s">
        <v>5389</v>
      </c>
      <c r="D3039" t="s">
        <v>1222</v>
      </c>
      <c r="E3039" t="s">
        <v>1223</v>
      </c>
      <c r="F3039" t="s">
        <v>5390</v>
      </c>
      <c r="G3039">
        <v>1732123</v>
      </c>
      <c r="H3039" t="s">
        <v>26</v>
      </c>
      <c r="I3039" t="s">
        <v>445</v>
      </c>
      <c r="J3039" t="str">
        <f>"9781118884942"</f>
        <v>9781118884942</v>
      </c>
      <c r="K3039" t="s">
        <v>5391</v>
      </c>
      <c r="L3039">
        <v>24</v>
      </c>
      <c r="O3039" t="s">
        <v>30</v>
      </c>
      <c r="P3039" t="s">
        <v>29</v>
      </c>
      <c r="Q3039" s="1">
        <v>42332.755069444444</v>
      </c>
      <c r="R3039">
        <v>7</v>
      </c>
      <c r="S3039" t="s">
        <v>1226</v>
      </c>
      <c r="T3039" t="s">
        <v>5392</v>
      </c>
      <c r="U3039">
        <v>332.024</v>
      </c>
      <c r="V3039" s="3">
        <v>41827</v>
      </c>
    </row>
    <row r="3040" spans="1:22" x14ac:dyDescent="0.35">
      <c r="A3040" s="1">
        <v>42332.754328703704</v>
      </c>
      <c r="B3040" s="2">
        <v>7.0266203703703692E-2</v>
      </c>
      <c r="C3040" t="s">
        <v>5332</v>
      </c>
      <c r="D3040" t="s">
        <v>360</v>
      </c>
      <c r="E3040" t="s">
        <v>361</v>
      </c>
      <c r="F3040" t="s">
        <v>5333</v>
      </c>
      <c r="G3040">
        <v>538048</v>
      </c>
      <c r="H3040" t="s">
        <v>526</v>
      </c>
      <c r="I3040" t="s">
        <v>79</v>
      </c>
      <c r="J3040" t="str">
        <f>"9780226493671"</f>
        <v>9780226493671</v>
      </c>
      <c r="K3040" t="s">
        <v>5393</v>
      </c>
      <c r="L3040">
        <v>59</v>
      </c>
      <c r="O3040" t="s">
        <v>30</v>
      </c>
      <c r="P3040" t="s">
        <v>29</v>
      </c>
      <c r="Q3040" s="1">
        <v>42332.754317129627</v>
      </c>
      <c r="R3040">
        <v>7</v>
      </c>
      <c r="S3040" t="s">
        <v>363</v>
      </c>
      <c r="T3040" t="s">
        <v>5335</v>
      </c>
      <c r="U3040" t="s">
        <v>5336</v>
      </c>
      <c r="V3040" s="3">
        <v>41303</v>
      </c>
    </row>
    <row r="3041" spans="1:22" x14ac:dyDescent="0.35">
      <c r="A3041" s="1">
        <v>42332.748182870368</v>
      </c>
      <c r="B3041" s="2">
        <v>6.8865740740740736E-3</v>
      </c>
      <c r="C3041" t="s">
        <v>5389</v>
      </c>
      <c r="D3041" t="s">
        <v>1222</v>
      </c>
      <c r="E3041" t="s">
        <v>1223</v>
      </c>
      <c r="F3041" t="s">
        <v>5390</v>
      </c>
      <c r="G3041">
        <v>1732123</v>
      </c>
      <c r="H3041" t="s">
        <v>26</v>
      </c>
      <c r="I3041" t="s">
        <v>445</v>
      </c>
      <c r="J3041" t="str">
        <f>"9781118884942"</f>
        <v>9781118884942</v>
      </c>
      <c r="K3041" t="s">
        <v>889</v>
      </c>
      <c r="L3041">
        <v>6</v>
      </c>
      <c r="O3041" t="s">
        <v>30</v>
      </c>
      <c r="P3041" t="s">
        <v>42</v>
      </c>
      <c r="S3041" t="s">
        <v>1226</v>
      </c>
      <c r="T3041" t="s">
        <v>5392</v>
      </c>
      <c r="U3041">
        <v>332.024</v>
      </c>
      <c r="V3041" s="3">
        <v>41827</v>
      </c>
    </row>
    <row r="3042" spans="1:22" x14ac:dyDescent="0.35">
      <c r="A3042" s="1">
        <v>42332.724340277775</v>
      </c>
      <c r="B3042" s="2">
        <v>2.9976851851851852E-2</v>
      </c>
      <c r="C3042" t="s">
        <v>5332</v>
      </c>
      <c r="D3042" t="s">
        <v>360</v>
      </c>
      <c r="E3042" t="s">
        <v>361</v>
      </c>
      <c r="F3042" t="s">
        <v>5333</v>
      </c>
      <c r="G3042">
        <v>538048</v>
      </c>
      <c r="H3042" t="s">
        <v>526</v>
      </c>
      <c r="I3042" t="s">
        <v>79</v>
      </c>
      <c r="J3042" t="str">
        <f>"9780226493671"</f>
        <v>9780226493671</v>
      </c>
      <c r="K3042" t="s">
        <v>33</v>
      </c>
      <c r="L3042">
        <v>3</v>
      </c>
      <c r="O3042" t="s">
        <v>30</v>
      </c>
      <c r="P3042" t="s">
        <v>50</v>
      </c>
      <c r="S3042" t="s">
        <v>363</v>
      </c>
      <c r="T3042" t="s">
        <v>5335</v>
      </c>
      <c r="U3042" t="s">
        <v>5336</v>
      </c>
      <c r="V3042" s="3">
        <v>41303</v>
      </c>
    </row>
    <row r="3043" spans="1:22" x14ac:dyDescent="0.35">
      <c r="A3043" s="1">
        <v>42332.712361111109</v>
      </c>
      <c r="B3043" s="2">
        <v>2.0949074074074073E-3</v>
      </c>
      <c r="C3043" t="s">
        <v>5394</v>
      </c>
      <c r="D3043" t="s">
        <v>1222</v>
      </c>
      <c r="E3043" t="s">
        <v>1223</v>
      </c>
      <c r="F3043" t="s">
        <v>4736</v>
      </c>
      <c r="G3043">
        <v>1378902</v>
      </c>
      <c r="H3043" t="s">
        <v>526</v>
      </c>
      <c r="I3043" t="s">
        <v>69</v>
      </c>
      <c r="J3043" t="str">
        <f>"9780226066554"</f>
        <v>9780226066554</v>
      </c>
      <c r="K3043" t="s">
        <v>5395</v>
      </c>
      <c r="L3043">
        <v>21</v>
      </c>
      <c r="O3043" t="s">
        <v>30</v>
      </c>
      <c r="P3043" t="s">
        <v>29</v>
      </c>
      <c r="Q3043" s="1">
        <v>42332.425532407404</v>
      </c>
      <c r="R3043">
        <v>7</v>
      </c>
      <c r="S3043" t="s">
        <v>1226</v>
      </c>
      <c r="T3043" t="s">
        <v>4738</v>
      </c>
      <c r="U3043" t="s">
        <v>4739</v>
      </c>
      <c r="V3043" s="3">
        <v>41551</v>
      </c>
    </row>
    <row r="3044" spans="1:22" x14ac:dyDescent="0.35">
      <c r="A3044" s="1">
        <v>42332.711689814816</v>
      </c>
      <c r="B3044" s="2">
        <v>6.9016203703703705E-2</v>
      </c>
      <c r="C3044" t="s">
        <v>5380</v>
      </c>
      <c r="D3044" t="s">
        <v>261</v>
      </c>
      <c r="E3044" t="s">
        <v>262</v>
      </c>
      <c r="F3044" t="s">
        <v>1639</v>
      </c>
      <c r="G3044">
        <v>821827</v>
      </c>
      <c r="H3044" t="s">
        <v>26</v>
      </c>
      <c r="I3044" t="s">
        <v>120</v>
      </c>
      <c r="J3044" t="str">
        <f>"9781118225349"</f>
        <v>9781118225349</v>
      </c>
      <c r="K3044" t="s">
        <v>5396</v>
      </c>
      <c r="L3044">
        <v>13</v>
      </c>
      <c r="O3044" t="s">
        <v>30</v>
      </c>
      <c r="P3044" t="s">
        <v>42</v>
      </c>
      <c r="S3044" t="s">
        <v>264</v>
      </c>
      <c r="T3044" t="s">
        <v>1641</v>
      </c>
      <c r="U3044">
        <v>302</v>
      </c>
      <c r="V3044" s="3">
        <v>41029</v>
      </c>
    </row>
    <row r="3045" spans="1:22" x14ac:dyDescent="0.35">
      <c r="A3045" s="1">
        <v>42332.708553240744</v>
      </c>
      <c r="B3045" s="2">
        <v>2.5462962962962961E-4</v>
      </c>
      <c r="C3045" t="s">
        <v>106</v>
      </c>
      <c r="D3045" t="s">
        <v>23</v>
      </c>
      <c r="E3045" t="s">
        <v>24</v>
      </c>
      <c r="F3045" t="s">
        <v>78</v>
      </c>
      <c r="G3045">
        <v>1635363</v>
      </c>
      <c r="H3045" t="s">
        <v>26</v>
      </c>
      <c r="I3045" t="s">
        <v>79</v>
      </c>
      <c r="J3045" t="str">
        <f>"9781118678206"</f>
        <v>9781118678206</v>
      </c>
      <c r="K3045" t="s">
        <v>3904</v>
      </c>
      <c r="L3045">
        <v>3</v>
      </c>
      <c r="O3045" t="s">
        <v>30</v>
      </c>
      <c r="P3045" t="s">
        <v>29</v>
      </c>
      <c r="Q3045" s="1">
        <v>42325.831620370373</v>
      </c>
      <c r="R3045">
        <v>7</v>
      </c>
      <c r="S3045" t="s">
        <v>31</v>
      </c>
      <c r="T3045" t="s">
        <v>81</v>
      </c>
      <c r="U3045">
        <v>340.07600000000002</v>
      </c>
      <c r="V3045" s="3">
        <v>41684</v>
      </c>
    </row>
    <row r="3046" spans="1:22" x14ac:dyDescent="0.35">
      <c r="A3046" s="1">
        <v>42332.69295138889</v>
      </c>
      <c r="B3046" s="2">
        <v>1.5046296296296297E-4</v>
      </c>
      <c r="C3046" t="s">
        <v>5389</v>
      </c>
      <c r="D3046" t="s">
        <v>1222</v>
      </c>
      <c r="E3046" t="s">
        <v>1223</v>
      </c>
      <c r="F3046" t="s">
        <v>5390</v>
      </c>
      <c r="G3046">
        <v>1732123</v>
      </c>
      <c r="H3046" t="s">
        <v>26</v>
      </c>
      <c r="I3046" t="s">
        <v>445</v>
      </c>
      <c r="J3046" t="str">
        <f>"9781118884942"</f>
        <v>9781118884942</v>
      </c>
      <c r="K3046" t="s">
        <v>86</v>
      </c>
      <c r="L3046">
        <v>5</v>
      </c>
      <c r="O3046" t="s">
        <v>30</v>
      </c>
      <c r="P3046" t="s">
        <v>42</v>
      </c>
      <c r="S3046" t="s">
        <v>1226</v>
      </c>
      <c r="T3046" t="s">
        <v>5392</v>
      </c>
      <c r="U3046">
        <v>332.024</v>
      </c>
      <c r="V3046" s="3">
        <v>41827</v>
      </c>
    </row>
    <row r="3047" spans="1:22" x14ac:dyDescent="0.35">
      <c r="A3047" s="1">
        <v>42332.691412037035</v>
      </c>
      <c r="B3047" s="2">
        <v>4.6296296296296294E-5</v>
      </c>
      <c r="C3047" t="s">
        <v>5000</v>
      </c>
      <c r="D3047" t="s">
        <v>2519</v>
      </c>
      <c r="E3047" t="s">
        <v>2520</v>
      </c>
      <c r="F3047" t="s">
        <v>5001</v>
      </c>
      <c r="G3047">
        <v>694378</v>
      </c>
      <c r="H3047" t="s">
        <v>26</v>
      </c>
      <c r="I3047" t="s">
        <v>187</v>
      </c>
      <c r="J3047" t="str">
        <f>"9781118703113"</f>
        <v>9781118703113</v>
      </c>
      <c r="K3047" t="s">
        <v>33</v>
      </c>
      <c r="L3047">
        <v>3</v>
      </c>
      <c r="O3047" t="s">
        <v>30</v>
      </c>
      <c r="P3047" t="s">
        <v>50</v>
      </c>
      <c r="S3047" t="s">
        <v>2523</v>
      </c>
      <c r="T3047" t="s">
        <v>5003</v>
      </c>
      <c r="U3047" t="s">
        <v>5004</v>
      </c>
      <c r="V3047" s="3">
        <v>41403</v>
      </c>
    </row>
    <row r="3048" spans="1:22" x14ac:dyDescent="0.35">
      <c r="A3048" s="1">
        <v>42332.682337962964</v>
      </c>
      <c r="B3048" s="2">
        <v>1.9328703703703704E-3</v>
      </c>
      <c r="C3048" t="s">
        <v>1702</v>
      </c>
      <c r="D3048" t="s">
        <v>623</v>
      </c>
      <c r="E3048" t="s">
        <v>624</v>
      </c>
      <c r="F3048" t="s">
        <v>5397</v>
      </c>
      <c r="G3048">
        <v>1894285</v>
      </c>
      <c r="H3048" t="s">
        <v>91</v>
      </c>
      <c r="I3048" t="s">
        <v>69</v>
      </c>
      <c r="J3048" t="str">
        <f>"9781462520169"</f>
        <v>9781462520169</v>
      </c>
      <c r="K3048" t="s">
        <v>5398</v>
      </c>
      <c r="L3048">
        <v>33</v>
      </c>
      <c r="O3048" t="s">
        <v>30</v>
      </c>
      <c r="P3048" t="s">
        <v>47</v>
      </c>
      <c r="Q3048" s="1">
        <v>42332.679537037038</v>
      </c>
      <c r="R3048">
        <v>1</v>
      </c>
      <c r="S3048" t="s">
        <v>627</v>
      </c>
      <c r="T3048" t="s">
        <v>5399</v>
      </c>
      <c r="U3048">
        <v>370.15300000000002</v>
      </c>
      <c r="V3048" s="3">
        <v>42109</v>
      </c>
    </row>
    <row r="3049" spans="1:22" x14ac:dyDescent="0.35">
      <c r="A3049" s="1">
        <v>42332.679537037038</v>
      </c>
      <c r="B3049" s="2">
        <v>1.6319444444444445E-3</v>
      </c>
      <c r="C3049" t="s">
        <v>1702</v>
      </c>
      <c r="D3049" t="s">
        <v>623</v>
      </c>
      <c r="E3049" t="s">
        <v>624</v>
      </c>
      <c r="F3049" t="s">
        <v>5397</v>
      </c>
      <c r="G3049">
        <v>1894285</v>
      </c>
      <c r="H3049" t="s">
        <v>91</v>
      </c>
      <c r="I3049" t="s">
        <v>69</v>
      </c>
      <c r="J3049" t="str">
        <f>"9781462520169"</f>
        <v>9781462520169</v>
      </c>
      <c r="K3049" t="s">
        <v>5400</v>
      </c>
      <c r="L3049">
        <v>44</v>
      </c>
      <c r="O3049" t="s">
        <v>30</v>
      </c>
      <c r="P3049" t="s">
        <v>47</v>
      </c>
      <c r="Q3049" s="1">
        <v>42332.679537037038</v>
      </c>
      <c r="R3049">
        <v>1</v>
      </c>
      <c r="S3049" t="s">
        <v>627</v>
      </c>
      <c r="T3049" t="s">
        <v>5399</v>
      </c>
      <c r="U3049">
        <v>370.15300000000002</v>
      </c>
      <c r="V3049" s="3">
        <v>42109</v>
      </c>
    </row>
    <row r="3050" spans="1:22" x14ac:dyDescent="0.35">
      <c r="A3050" s="1">
        <v>42332.676053240742</v>
      </c>
      <c r="B3050" s="2">
        <v>3.483796296296296E-3</v>
      </c>
      <c r="C3050" t="s">
        <v>1702</v>
      </c>
      <c r="D3050" t="s">
        <v>623</v>
      </c>
      <c r="E3050" t="s">
        <v>624</v>
      </c>
      <c r="F3050" t="s">
        <v>5397</v>
      </c>
      <c r="G3050">
        <v>1894285</v>
      </c>
      <c r="H3050" t="s">
        <v>91</v>
      </c>
      <c r="I3050" t="s">
        <v>69</v>
      </c>
      <c r="J3050" t="str">
        <f>"9781462520169"</f>
        <v>9781462520169</v>
      </c>
      <c r="K3050" t="s">
        <v>5401</v>
      </c>
      <c r="L3050">
        <v>34</v>
      </c>
      <c r="O3050" t="s">
        <v>30</v>
      </c>
      <c r="P3050" t="s">
        <v>50</v>
      </c>
      <c r="S3050" t="s">
        <v>627</v>
      </c>
      <c r="T3050" t="s">
        <v>5399</v>
      </c>
      <c r="U3050">
        <v>370.15300000000002</v>
      </c>
      <c r="V3050" s="3">
        <v>42109</v>
      </c>
    </row>
    <row r="3051" spans="1:22" x14ac:dyDescent="0.35">
      <c r="A3051" s="1">
        <v>42332.668333333335</v>
      </c>
      <c r="B3051" s="2">
        <v>1.3773148148148147E-3</v>
      </c>
      <c r="C3051" t="s">
        <v>4404</v>
      </c>
      <c r="D3051" t="s">
        <v>158</v>
      </c>
      <c r="E3051" t="s">
        <v>159</v>
      </c>
      <c r="F3051" t="s">
        <v>4405</v>
      </c>
      <c r="G3051">
        <v>1187185</v>
      </c>
      <c r="H3051" t="s">
        <v>26</v>
      </c>
      <c r="I3051" t="s">
        <v>4406</v>
      </c>
      <c r="J3051" t="str">
        <f>"9781118748183"</f>
        <v>9781118748183</v>
      </c>
      <c r="K3051" t="s">
        <v>5402</v>
      </c>
      <c r="L3051">
        <v>29</v>
      </c>
      <c r="O3051" t="s">
        <v>30</v>
      </c>
      <c r="P3051" t="s">
        <v>42</v>
      </c>
      <c r="S3051" t="s">
        <v>163</v>
      </c>
      <c r="T3051" t="s">
        <v>4408</v>
      </c>
      <c r="U3051">
        <v>622.33799999999997</v>
      </c>
      <c r="V3051" s="3">
        <v>41400</v>
      </c>
    </row>
    <row r="3052" spans="1:22" x14ac:dyDescent="0.35">
      <c r="A3052" s="1">
        <v>42332.657523148147</v>
      </c>
      <c r="B3052" s="2">
        <v>1.0069444444444444E-3</v>
      </c>
      <c r="C3052" t="s">
        <v>5403</v>
      </c>
      <c r="D3052" t="s">
        <v>261</v>
      </c>
      <c r="E3052" t="s">
        <v>262</v>
      </c>
      <c r="F3052" t="s">
        <v>4821</v>
      </c>
      <c r="G3052">
        <v>943645</v>
      </c>
      <c r="H3052" t="s">
        <v>1365</v>
      </c>
      <c r="I3052" t="s">
        <v>172</v>
      </c>
      <c r="J3052" t="str">
        <f>"9781441104755"</f>
        <v>9781441104755</v>
      </c>
      <c r="K3052" t="s">
        <v>5404</v>
      </c>
      <c r="L3052">
        <v>16</v>
      </c>
      <c r="O3052" t="s">
        <v>30</v>
      </c>
      <c r="P3052" t="s">
        <v>29</v>
      </c>
      <c r="Q3052" s="1">
        <v>42332.520312499997</v>
      </c>
      <c r="R3052">
        <v>7</v>
      </c>
      <c r="S3052" t="s">
        <v>264</v>
      </c>
      <c r="T3052" t="s">
        <v>4823</v>
      </c>
      <c r="U3052">
        <v>948.02200000000005</v>
      </c>
      <c r="V3052" s="3">
        <v>41060</v>
      </c>
    </row>
    <row r="3053" spans="1:22" x14ac:dyDescent="0.35">
      <c r="A3053" s="1">
        <v>42332.657511574071</v>
      </c>
      <c r="B3053" s="2">
        <v>2.2106481481481478E-3</v>
      </c>
      <c r="C3053" t="s">
        <v>2781</v>
      </c>
      <c r="D3053" t="s">
        <v>23</v>
      </c>
      <c r="E3053" t="s">
        <v>24</v>
      </c>
      <c r="F3053" t="s">
        <v>5405</v>
      </c>
      <c r="G3053">
        <v>1539074</v>
      </c>
      <c r="H3053" t="s">
        <v>526</v>
      </c>
      <c r="I3053" t="s">
        <v>5406</v>
      </c>
      <c r="J3053" t="str">
        <f>"9780226061719"</f>
        <v>9780226061719</v>
      </c>
      <c r="K3053" t="s">
        <v>5407</v>
      </c>
      <c r="L3053">
        <v>13</v>
      </c>
      <c r="O3053" t="s">
        <v>30</v>
      </c>
      <c r="P3053" t="s">
        <v>50</v>
      </c>
      <c r="S3053" t="s">
        <v>31</v>
      </c>
      <c r="T3053" t="s">
        <v>5408</v>
      </c>
      <c r="U3053" t="s">
        <v>5409</v>
      </c>
      <c r="V3053" s="3">
        <v>41624</v>
      </c>
    </row>
    <row r="3054" spans="1:22" x14ac:dyDescent="0.35">
      <c r="A3054" s="1">
        <v>42332.635428240741</v>
      </c>
      <c r="B3054" s="2">
        <v>1.9675925925925926E-4</v>
      </c>
      <c r="C3054" t="s">
        <v>659</v>
      </c>
      <c r="D3054" t="s">
        <v>146</v>
      </c>
      <c r="E3054" t="s">
        <v>147</v>
      </c>
      <c r="F3054" t="s">
        <v>3175</v>
      </c>
      <c r="G3054">
        <v>867850</v>
      </c>
      <c r="H3054" t="s">
        <v>492</v>
      </c>
      <c r="I3054" t="s">
        <v>172</v>
      </c>
      <c r="J3054" t="str">
        <f>"9781400834860"</f>
        <v>9781400834860</v>
      </c>
      <c r="K3054" t="s">
        <v>5410</v>
      </c>
      <c r="L3054">
        <v>10</v>
      </c>
      <c r="O3054" t="s">
        <v>30</v>
      </c>
      <c r="P3054" t="s">
        <v>42</v>
      </c>
      <c r="S3054" t="s">
        <v>528</v>
      </c>
      <c r="T3054" t="s">
        <v>3177</v>
      </c>
      <c r="U3054" t="s">
        <v>3178</v>
      </c>
      <c r="V3054" s="3">
        <v>40993</v>
      </c>
    </row>
    <row r="3055" spans="1:22" x14ac:dyDescent="0.35">
      <c r="A3055" s="1">
        <v>42332.635185185187</v>
      </c>
      <c r="B3055" s="2">
        <v>3.9351851851851852E-4</v>
      </c>
      <c r="C3055" t="s">
        <v>5411</v>
      </c>
      <c r="D3055" t="s">
        <v>23</v>
      </c>
      <c r="E3055" t="s">
        <v>24</v>
      </c>
      <c r="F3055" t="s">
        <v>1051</v>
      </c>
      <c r="G3055">
        <v>821663</v>
      </c>
      <c r="H3055" t="s">
        <v>26</v>
      </c>
      <c r="I3055" t="s">
        <v>200</v>
      </c>
      <c r="J3055" t="str">
        <f>"9781118168479"</f>
        <v>9781118168479</v>
      </c>
      <c r="K3055" t="s">
        <v>5412</v>
      </c>
      <c r="L3055">
        <v>13</v>
      </c>
      <c r="O3055" t="s">
        <v>30</v>
      </c>
      <c r="P3055" t="s">
        <v>42</v>
      </c>
      <c r="S3055" t="s">
        <v>31</v>
      </c>
      <c r="T3055" t="s">
        <v>1053</v>
      </c>
      <c r="U3055">
        <v>729</v>
      </c>
      <c r="V3055" s="3">
        <v>40973</v>
      </c>
    </row>
    <row r="3056" spans="1:22" x14ac:dyDescent="0.35">
      <c r="A3056" s="1">
        <v>42332.621805555558</v>
      </c>
      <c r="B3056" s="2">
        <v>4.1898148148148146E-3</v>
      </c>
      <c r="C3056" t="s">
        <v>106</v>
      </c>
      <c r="D3056" t="s">
        <v>23</v>
      </c>
      <c r="E3056" t="s">
        <v>24</v>
      </c>
      <c r="F3056" t="s">
        <v>1051</v>
      </c>
      <c r="G3056">
        <v>821663</v>
      </c>
      <c r="H3056" t="s">
        <v>26</v>
      </c>
      <c r="I3056" t="s">
        <v>200</v>
      </c>
      <c r="J3056" t="str">
        <f>"9781118168479"</f>
        <v>9781118168479</v>
      </c>
      <c r="K3056" t="s">
        <v>5413</v>
      </c>
      <c r="L3056">
        <v>18</v>
      </c>
      <c r="O3056" t="s">
        <v>30</v>
      </c>
      <c r="P3056" t="s">
        <v>29</v>
      </c>
      <c r="Q3056" s="1">
        <v>42332.621793981481</v>
      </c>
      <c r="R3056">
        <v>7</v>
      </c>
      <c r="S3056" t="s">
        <v>31</v>
      </c>
      <c r="T3056" t="s">
        <v>1053</v>
      </c>
      <c r="U3056">
        <v>729</v>
      </c>
      <c r="V3056" s="3">
        <v>40973</v>
      </c>
    </row>
    <row r="3057" spans="1:22" x14ac:dyDescent="0.35">
      <c r="A3057" s="1">
        <v>42332.610081018516</v>
      </c>
      <c r="B3057" s="2">
        <v>1.1712962962962965E-2</v>
      </c>
      <c r="C3057" t="s">
        <v>106</v>
      </c>
      <c r="D3057" t="s">
        <v>23</v>
      </c>
      <c r="E3057" t="s">
        <v>24</v>
      </c>
      <c r="F3057" t="s">
        <v>1051</v>
      </c>
      <c r="G3057">
        <v>821663</v>
      </c>
      <c r="H3057" t="s">
        <v>26</v>
      </c>
      <c r="I3057" t="s">
        <v>200</v>
      </c>
      <c r="J3057" t="str">
        <f>"9781118168479"</f>
        <v>9781118168479</v>
      </c>
      <c r="K3057" t="s">
        <v>5414</v>
      </c>
      <c r="L3057">
        <v>15</v>
      </c>
      <c r="O3057" t="s">
        <v>30</v>
      </c>
      <c r="P3057" t="s">
        <v>42</v>
      </c>
      <c r="S3057" t="s">
        <v>31</v>
      </c>
      <c r="T3057" t="s">
        <v>1053</v>
      </c>
      <c r="U3057">
        <v>729</v>
      </c>
      <c r="V3057" s="3">
        <v>40973</v>
      </c>
    </row>
    <row r="3058" spans="1:22" x14ac:dyDescent="0.35">
      <c r="A3058" s="1">
        <v>42332.59447916667</v>
      </c>
      <c r="B3058" s="2">
        <v>0</v>
      </c>
      <c r="C3058" t="s">
        <v>4499</v>
      </c>
      <c r="D3058" t="s">
        <v>146</v>
      </c>
      <c r="E3058" t="s">
        <v>147</v>
      </c>
      <c r="F3058" t="s">
        <v>4500</v>
      </c>
      <c r="G3058">
        <v>1652090</v>
      </c>
      <c r="H3058" t="s">
        <v>26</v>
      </c>
      <c r="I3058" t="s">
        <v>27</v>
      </c>
      <c r="J3058" t="str">
        <f>"9781118744819"</f>
        <v>9781118744819</v>
      </c>
      <c r="L3058">
        <v>0</v>
      </c>
      <c r="O3058" t="s">
        <v>30</v>
      </c>
      <c r="P3058" t="s">
        <v>29</v>
      </c>
      <c r="Q3058" s="1">
        <v>42332.59447916667</v>
      </c>
      <c r="R3058">
        <v>7</v>
      </c>
      <c r="S3058" t="s">
        <v>4502</v>
      </c>
      <c r="T3058" t="s">
        <v>4503</v>
      </c>
      <c r="U3058">
        <v>407.1</v>
      </c>
      <c r="V3058" s="3">
        <v>41711</v>
      </c>
    </row>
    <row r="3059" spans="1:22" x14ac:dyDescent="0.35">
      <c r="A3059" s="1">
        <v>42332.589814814812</v>
      </c>
      <c r="B3059" s="2">
        <v>2.3148148148148147E-5</v>
      </c>
      <c r="C3059" t="s">
        <v>5415</v>
      </c>
      <c r="D3059" t="s">
        <v>261</v>
      </c>
      <c r="E3059" t="s">
        <v>262</v>
      </c>
      <c r="F3059" t="s">
        <v>5416</v>
      </c>
      <c r="G3059">
        <v>1543336</v>
      </c>
      <c r="H3059" t="s">
        <v>186</v>
      </c>
      <c r="I3059" t="s">
        <v>120</v>
      </c>
      <c r="J3059" t="str">
        <f>"9781780641614"</f>
        <v>9781780641614</v>
      </c>
      <c r="K3059" t="s">
        <v>33</v>
      </c>
      <c r="L3059">
        <v>3</v>
      </c>
      <c r="O3059" t="s">
        <v>30</v>
      </c>
      <c r="P3059" t="s">
        <v>50</v>
      </c>
      <c r="S3059" t="s">
        <v>264</v>
      </c>
      <c r="T3059" t="s">
        <v>5417</v>
      </c>
      <c r="U3059" t="s">
        <v>5418</v>
      </c>
      <c r="V3059" s="3">
        <v>41530</v>
      </c>
    </row>
    <row r="3060" spans="1:22" x14ac:dyDescent="0.35">
      <c r="A3060" s="1">
        <v>42332.588449074072</v>
      </c>
      <c r="B3060" s="2">
        <v>6.030092592592593E-3</v>
      </c>
      <c r="C3060" t="s">
        <v>4499</v>
      </c>
      <c r="D3060" t="s">
        <v>146</v>
      </c>
      <c r="E3060" t="s">
        <v>147</v>
      </c>
      <c r="F3060" t="s">
        <v>4500</v>
      </c>
      <c r="G3060">
        <v>1652090</v>
      </c>
      <c r="H3060" t="s">
        <v>26</v>
      </c>
      <c r="I3060" t="s">
        <v>27</v>
      </c>
      <c r="J3060" t="str">
        <f>"9781118744819"</f>
        <v>9781118744819</v>
      </c>
      <c r="K3060" t="s">
        <v>5419</v>
      </c>
      <c r="L3060">
        <v>13</v>
      </c>
      <c r="O3060" t="s">
        <v>30</v>
      </c>
      <c r="P3060" t="s">
        <v>42</v>
      </c>
      <c r="S3060" t="s">
        <v>4502</v>
      </c>
      <c r="T3060" t="s">
        <v>4503</v>
      </c>
      <c r="U3060">
        <v>407.1</v>
      </c>
      <c r="V3060" s="3">
        <v>41711</v>
      </c>
    </row>
    <row r="3061" spans="1:22" x14ac:dyDescent="0.35">
      <c r="A3061" s="1">
        <v>42332.586342592593</v>
      </c>
      <c r="B3061" s="2">
        <v>3.4722222222222222E-5</v>
      </c>
      <c r="C3061" t="s">
        <v>5219</v>
      </c>
      <c r="D3061" t="s">
        <v>211</v>
      </c>
      <c r="E3061" t="s">
        <v>212</v>
      </c>
      <c r="F3061" t="s">
        <v>462</v>
      </c>
      <c r="G3061">
        <v>1822529</v>
      </c>
      <c r="H3061" t="s">
        <v>26</v>
      </c>
      <c r="I3061" t="s">
        <v>297</v>
      </c>
      <c r="J3061" t="str">
        <f>"9781118824344"</f>
        <v>9781118824344</v>
      </c>
      <c r="K3061" t="s">
        <v>33</v>
      </c>
      <c r="L3061">
        <v>3</v>
      </c>
      <c r="O3061" t="s">
        <v>30</v>
      </c>
      <c r="P3061" t="s">
        <v>29</v>
      </c>
      <c r="Q3061" s="1">
        <v>42331.578645833331</v>
      </c>
      <c r="R3061">
        <v>7</v>
      </c>
      <c r="S3061" t="s">
        <v>214</v>
      </c>
      <c r="T3061" t="s">
        <v>464</v>
      </c>
      <c r="U3061">
        <v>519.4</v>
      </c>
      <c r="V3061" s="3">
        <v>41932</v>
      </c>
    </row>
    <row r="3062" spans="1:22" x14ac:dyDescent="0.35">
      <c r="A3062" s="1">
        <v>42332.560520833336</v>
      </c>
      <c r="B3062" s="2">
        <v>2.9745370370370373E-3</v>
      </c>
      <c r="C3062" t="s">
        <v>4647</v>
      </c>
      <c r="D3062" t="s">
        <v>35</v>
      </c>
      <c r="E3062" t="s">
        <v>36</v>
      </c>
      <c r="F3062" t="s">
        <v>1285</v>
      </c>
      <c r="G3062">
        <v>979950</v>
      </c>
      <c r="H3062" t="s">
        <v>1286</v>
      </c>
      <c r="I3062" t="s">
        <v>310</v>
      </c>
      <c r="J3062" t="str">
        <f>"9781476600321"</f>
        <v>9781476600321</v>
      </c>
      <c r="K3062" t="s">
        <v>5420</v>
      </c>
      <c r="L3062">
        <v>2</v>
      </c>
      <c r="O3062" t="s">
        <v>30</v>
      </c>
      <c r="P3062" t="s">
        <v>29</v>
      </c>
      <c r="Q3062" s="1">
        <v>42332.560520833336</v>
      </c>
      <c r="R3062">
        <v>7</v>
      </c>
      <c r="S3062" t="s">
        <v>40</v>
      </c>
      <c r="T3062" t="s">
        <v>1288</v>
      </c>
      <c r="U3062" t="s">
        <v>1289</v>
      </c>
      <c r="V3062" s="3">
        <v>41100</v>
      </c>
    </row>
    <row r="3063" spans="1:22" x14ac:dyDescent="0.35">
      <c r="A3063" s="1">
        <v>42332.542013888888</v>
      </c>
      <c r="B3063" s="2">
        <v>1.8506944444444444E-2</v>
      </c>
      <c r="C3063" t="s">
        <v>4647</v>
      </c>
      <c r="D3063" t="s">
        <v>35</v>
      </c>
      <c r="E3063" t="s">
        <v>36</v>
      </c>
      <c r="F3063" t="s">
        <v>1285</v>
      </c>
      <c r="G3063">
        <v>979950</v>
      </c>
      <c r="H3063" t="s">
        <v>1286</v>
      </c>
      <c r="I3063" t="s">
        <v>310</v>
      </c>
      <c r="J3063" t="str">
        <f>"9781476600321"</f>
        <v>9781476600321</v>
      </c>
      <c r="K3063" t="s">
        <v>5421</v>
      </c>
      <c r="L3063">
        <v>9</v>
      </c>
      <c r="O3063" t="s">
        <v>30</v>
      </c>
      <c r="P3063" t="s">
        <v>42</v>
      </c>
      <c r="S3063" t="s">
        <v>40</v>
      </c>
      <c r="T3063" t="s">
        <v>1288</v>
      </c>
      <c r="U3063" t="s">
        <v>1289</v>
      </c>
      <c r="V3063" s="3">
        <v>41100</v>
      </c>
    </row>
    <row r="3064" spans="1:22" x14ac:dyDescent="0.35">
      <c r="A3064" s="1">
        <v>42332.537418981483</v>
      </c>
      <c r="B3064" s="2">
        <v>4.5405092592592594E-2</v>
      </c>
      <c r="C3064" t="s">
        <v>5219</v>
      </c>
      <c r="D3064" t="s">
        <v>211</v>
      </c>
      <c r="E3064" t="s">
        <v>212</v>
      </c>
      <c r="F3064" t="s">
        <v>462</v>
      </c>
      <c r="G3064">
        <v>1822529</v>
      </c>
      <c r="H3064" t="s">
        <v>26</v>
      </c>
      <c r="I3064" t="s">
        <v>297</v>
      </c>
      <c r="J3064" t="str">
        <f>"9781118824344"</f>
        <v>9781118824344</v>
      </c>
      <c r="K3064" t="s">
        <v>5422</v>
      </c>
      <c r="L3064">
        <v>60</v>
      </c>
      <c r="O3064" t="s">
        <v>30</v>
      </c>
      <c r="P3064" t="s">
        <v>29</v>
      </c>
      <c r="Q3064" s="1">
        <v>42331.578645833331</v>
      </c>
      <c r="R3064">
        <v>7</v>
      </c>
      <c r="S3064" t="s">
        <v>214</v>
      </c>
      <c r="T3064" t="s">
        <v>464</v>
      </c>
      <c r="U3064">
        <v>519.4</v>
      </c>
      <c r="V3064" s="3">
        <v>41932</v>
      </c>
    </row>
    <row r="3065" spans="1:22" x14ac:dyDescent="0.35">
      <c r="A3065" s="1">
        <v>42332.520324074074</v>
      </c>
      <c r="B3065" s="2">
        <v>3.4803240740740739E-2</v>
      </c>
      <c r="C3065" t="s">
        <v>5403</v>
      </c>
      <c r="D3065" t="s">
        <v>261</v>
      </c>
      <c r="E3065" t="s">
        <v>262</v>
      </c>
      <c r="F3065" t="s">
        <v>4821</v>
      </c>
      <c r="G3065">
        <v>943645</v>
      </c>
      <c r="H3065" t="s">
        <v>1365</v>
      </c>
      <c r="I3065" t="s">
        <v>172</v>
      </c>
      <c r="J3065" t="str">
        <f>"9781441104755"</f>
        <v>9781441104755</v>
      </c>
      <c r="K3065" t="s">
        <v>5423</v>
      </c>
      <c r="L3065">
        <v>60</v>
      </c>
      <c r="O3065" t="s">
        <v>30</v>
      </c>
      <c r="P3065" t="s">
        <v>29</v>
      </c>
      <c r="Q3065" s="1">
        <v>42332.520312499997</v>
      </c>
      <c r="R3065">
        <v>7</v>
      </c>
      <c r="S3065" t="s">
        <v>264</v>
      </c>
      <c r="T3065" t="s">
        <v>4823</v>
      </c>
      <c r="U3065">
        <v>948.02200000000005</v>
      </c>
      <c r="V3065" s="3">
        <v>41060</v>
      </c>
    </row>
    <row r="3066" spans="1:22" x14ac:dyDescent="0.35">
      <c r="A3066" s="1">
        <v>42332.472349537034</v>
      </c>
      <c r="B3066" s="2">
        <v>3.0092592592592595E-4</v>
      </c>
      <c r="C3066" t="s">
        <v>5424</v>
      </c>
      <c r="D3066" t="s">
        <v>35</v>
      </c>
      <c r="E3066" t="s">
        <v>36</v>
      </c>
      <c r="F3066" t="s">
        <v>5425</v>
      </c>
      <c r="G3066">
        <v>1397123</v>
      </c>
      <c r="H3066" t="s">
        <v>68</v>
      </c>
      <c r="I3066" t="s">
        <v>1211</v>
      </c>
      <c r="J3066" t="str">
        <f>"9781134729005"</f>
        <v>9781134729005</v>
      </c>
      <c r="K3066" t="s">
        <v>5426</v>
      </c>
      <c r="L3066">
        <v>18</v>
      </c>
      <c r="O3066" t="s">
        <v>30</v>
      </c>
      <c r="P3066" t="s">
        <v>50</v>
      </c>
      <c r="S3066" t="s">
        <v>40</v>
      </c>
      <c r="T3066" t="s">
        <v>5427</v>
      </c>
      <c r="U3066">
        <v>305.896073</v>
      </c>
      <c r="V3066" s="3">
        <v>38806</v>
      </c>
    </row>
    <row r="3067" spans="1:22" x14ac:dyDescent="0.35">
      <c r="A3067" s="1">
        <v>42332.441504629627</v>
      </c>
      <c r="B3067" s="2">
        <v>7.8807870370370361E-2</v>
      </c>
      <c r="C3067" t="s">
        <v>5403</v>
      </c>
      <c r="D3067" t="s">
        <v>261</v>
      </c>
      <c r="E3067" t="s">
        <v>262</v>
      </c>
      <c r="F3067" t="s">
        <v>4821</v>
      </c>
      <c r="G3067">
        <v>943645</v>
      </c>
      <c r="H3067" t="s">
        <v>1365</v>
      </c>
      <c r="I3067" t="s">
        <v>172</v>
      </c>
      <c r="J3067" t="str">
        <f>"9781441104755"</f>
        <v>9781441104755</v>
      </c>
      <c r="K3067" t="s">
        <v>5428</v>
      </c>
      <c r="L3067">
        <v>8</v>
      </c>
      <c r="O3067" t="s">
        <v>30</v>
      </c>
      <c r="P3067" t="s">
        <v>42</v>
      </c>
      <c r="S3067" t="s">
        <v>264</v>
      </c>
      <c r="T3067" t="s">
        <v>4823</v>
      </c>
      <c r="U3067">
        <v>948.02200000000005</v>
      </c>
      <c r="V3067" s="3">
        <v>41060</v>
      </c>
    </row>
    <row r="3068" spans="1:22" x14ac:dyDescent="0.35">
      <c r="A3068" s="1">
        <v>42332.425532407404</v>
      </c>
      <c r="B3068" s="2">
        <v>3.6111111111111114E-3</v>
      </c>
      <c r="C3068" t="s">
        <v>5394</v>
      </c>
      <c r="D3068" t="s">
        <v>1222</v>
      </c>
      <c r="E3068" t="s">
        <v>1223</v>
      </c>
      <c r="F3068" t="s">
        <v>4736</v>
      </c>
      <c r="G3068">
        <v>1378902</v>
      </c>
      <c r="H3068" t="s">
        <v>526</v>
      </c>
      <c r="I3068" t="s">
        <v>69</v>
      </c>
      <c r="J3068" t="str">
        <f>"9780226066554"</f>
        <v>9780226066554</v>
      </c>
      <c r="K3068" t="s">
        <v>5429</v>
      </c>
      <c r="L3068">
        <v>13</v>
      </c>
      <c r="O3068" t="s">
        <v>30</v>
      </c>
      <c r="P3068" t="s">
        <v>29</v>
      </c>
      <c r="Q3068" s="1">
        <v>42332.425532407404</v>
      </c>
      <c r="R3068">
        <v>7</v>
      </c>
      <c r="S3068" t="s">
        <v>1226</v>
      </c>
      <c r="T3068" t="s">
        <v>4738</v>
      </c>
      <c r="U3068" t="s">
        <v>4739</v>
      </c>
      <c r="V3068" s="3">
        <v>41551</v>
      </c>
    </row>
    <row r="3069" spans="1:22" x14ac:dyDescent="0.35">
      <c r="A3069" s="1">
        <v>42332.41851851852</v>
      </c>
      <c r="B3069" s="2">
        <v>7.013888888888889E-3</v>
      </c>
      <c r="C3069" t="s">
        <v>5394</v>
      </c>
      <c r="D3069" t="s">
        <v>1222</v>
      </c>
      <c r="E3069" t="s">
        <v>1223</v>
      </c>
      <c r="F3069" t="s">
        <v>4736</v>
      </c>
      <c r="G3069">
        <v>1378902</v>
      </c>
      <c r="H3069" t="s">
        <v>526</v>
      </c>
      <c r="I3069" t="s">
        <v>69</v>
      </c>
      <c r="J3069" t="str">
        <f>"9780226066554"</f>
        <v>9780226066554</v>
      </c>
      <c r="K3069" t="s">
        <v>5430</v>
      </c>
      <c r="L3069">
        <v>52</v>
      </c>
      <c r="O3069" t="s">
        <v>30</v>
      </c>
      <c r="P3069" t="s">
        <v>42</v>
      </c>
      <c r="S3069" t="s">
        <v>1226</v>
      </c>
      <c r="T3069" t="s">
        <v>4738</v>
      </c>
      <c r="U3069" t="s">
        <v>4739</v>
      </c>
      <c r="V3069" s="3">
        <v>41551</v>
      </c>
    </row>
    <row r="3070" spans="1:22" x14ac:dyDescent="0.35">
      <c r="A3070" s="1">
        <v>42332.28230324074</v>
      </c>
      <c r="B3070" s="2">
        <v>8.4085648148148159E-2</v>
      </c>
      <c r="C3070" t="s">
        <v>5431</v>
      </c>
      <c r="D3070" t="s">
        <v>23</v>
      </c>
      <c r="E3070" t="s">
        <v>24</v>
      </c>
      <c r="F3070" t="s">
        <v>5432</v>
      </c>
      <c r="G3070">
        <v>1833666</v>
      </c>
      <c r="H3070" t="s">
        <v>526</v>
      </c>
      <c r="I3070" t="s">
        <v>1407</v>
      </c>
      <c r="J3070" t="str">
        <f>"9780226166216"</f>
        <v>9780226166216</v>
      </c>
      <c r="K3070" t="s">
        <v>5433</v>
      </c>
      <c r="L3070">
        <v>41</v>
      </c>
      <c r="O3070" t="s">
        <v>30</v>
      </c>
      <c r="P3070" t="s">
        <v>47</v>
      </c>
      <c r="Q3070" s="1">
        <v>42331.987361111111</v>
      </c>
      <c r="R3070">
        <v>1</v>
      </c>
      <c r="S3070" t="s">
        <v>31</v>
      </c>
      <c r="T3070" t="s">
        <v>5434</v>
      </c>
      <c r="U3070" t="s">
        <v>5435</v>
      </c>
      <c r="V3070" s="3">
        <v>41967</v>
      </c>
    </row>
    <row r="3071" spans="1:22" x14ac:dyDescent="0.35">
      <c r="A3071" s="1">
        <v>42332.280046296299</v>
      </c>
      <c r="B3071" s="2">
        <v>3.4722222222222222E-5</v>
      </c>
      <c r="C3071" t="s">
        <v>5403</v>
      </c>
      <c r="D3071" t="s">
        <v>261</v>
      </c>
      <c r="E3071" t="s">
        <v>262</v>
      </c>
      <c r="F3071" t="s">
        <v>4821</v>
      </c>
      <c r="G3071">
        <v>943645</v>
      </c>
      <c r="H3071" t="s">
        <v>1365</v>
      </c>
      <c r="I3071" t="s">
        <v>172</v>
      </c>
      <c r="J3071" t="str">
        <f>"9781441104755"</f>
        <v>9781441104755</v>
      </c>
      <c r="K3071" t="s">
        <v>611</v>
      </c>
      <c r="L3071">
        <v>3</v>
      </c>
      <c r="O3071" t="s">
        <v>30</v>
      </c>
      <c r="P3071" t="s">
        <v>42</v>
      </c>
      <c r="S3071" t="s">
        <v>264</v>
      </c>
      <c r="T3071" t="s">
        <v>4823</v>
      </c>
      <c r="U3071">
        <v>948.02200000000005</v>
      </c>
      <c r="V3071" s="3">
        <v>41060</v>
      </c>
    </row>
    <row r="3072" spans="1:22" x14ac:dyDescent="0.35">
      <c r="A3072" s="1">
        <v>42332.243877314817</v>
      </c>
      <c r="B3072" s="2">
        <v>3.6759259259259255E-2</v>
      </c>
      <c r="C3072" t="s">
        <v>5386</v>
      </c>
      <c r="D3072" t="s">
        <v>261</v>
      </c>
      <c r="E3072" t="s">
        <v>262</v>
      </c>
      <c r="F3072" t="s">
        <v>4821</v>
      </c>
      <c r="G3072">
        <v>943645</v>
      </c>
      <c r="H3072" t="s">
        <v>1365</v>
      </c>
      <c r="I3072" t="s">
        <v>172</v>
      </c>
      <c r="J3072" t="str">
        <f>"9781441104755"</f>
        <v>9781441104755</v>
      </c>
      <c r="K3072" t="s">
        <v>5436</v>
      </c>
      <c r="L3072">
        <v>27</v>
      </c>
      <c r="M3072" t="s">
        <v>5437</v>
      </c>
      <c r="O3072" t="s">
        <v>30</v>
      </c>
      <c r="P3072" t="s">
        <v>29</v>
      </c>
      <c r="Q3072" s="1">
        <v>42331.102997685186</v>
      </c>
      <c r="R3072">
        <v>7</v>
      </c>
      <c r="S3072" t="s">
        <v>264</v>
      </c>
      <c r="T3072" t="s">
        <v>4823</v>
      </c>
      <c r="U3072">
        <v>948.02200000000005</v>
      </c>
      <c r="V3072" s="3">
        <v>41060</v>
      </c>
    </row>
    <row r="3073" spans="1:22" x14ac:dyDescent="0.35">
      <c r="A3073" s="1">
        <v>42332.172847222224</v>
      </c>
      <c r="B3073" s="2">
        <v>4.6296296296296294E-5</v>
      </c>
      <c r="C3073" t="s">
        <v>5438</v>
      </c>
      <c r="D3073" t="s">
        <v>360</v>
      </c>
      <c r="E3073" t="s">
        <v>361</v>
      </c>
      <c r="F3073" t="s">
        <v>515</v>
      </c>
      <c r="G3073">
        <v>1757960</v>
      </c>
      <c r="H3073" t="s">
        <v>26</v>
      </c>
      <c r="I3073" t="s">
        <v>247</v>
      </c>
      <c r="J3073" t="str">
        <f>"9781118780770"</f>
        <v>9781118780770</v>
      </c>
      <c r="K3073" t="s">
        <v>33</v>
      </c>
      <c r="L3073">
        <v>3</v>
      </c>
      <c r="O3073" t="s">
        <v>30</v>
      </c>
      <c r="P3073" t="s">
        <v>42</v>
      </c>
      <c r="S3073" t="s">
        <v>363</v>
      </c>
      <c r="T3073" t="s">
        <v>517</v>
      </c>
      <c r="U3073" t="s">
        <v>518</v>
      </c>
      <c r="V3073" s="3">
        <v>41850</v>
      </c>
    </row>
    <row r="3074" spans="1:22" x14ac:dyDescent="0.35">
      <c r="A3074" s="1">
        <v>42332.172407407408</v>
      </c>
      <c r="B3074" s="2">
        <v>0</v>
      </c>
      <c r="C3074" t="s">
        <v>5439</v>
      </c>
      <c r="D3074" t="s">
        <v>623</v>
      </c>
      <c r="E3074" t="s">
        <v>624</v>
      </c>
      <c r="F3074" t="s">
        <v>148</v>
      </c>
      <c r="G3074">
        <v>877717</v>
      </c>
      <c r="H3074" t="s">
        <v>149</v>
      </c>
      <c r="I3074" t="s">
        <v>150</v>
      </c>
      <c r="J3074" t="str">
        <f>"9781438139265"</f>
        <v>9781438139265</v>
      </c>
      <c r="L3074">
        <v>0</v>
      </c>
      <c r="M3074" t="s">
        <v>5440</v>
      </c>
      <c r="O3074" t="s">
        <v>30</v>
      </c>
      <c r="P3074" t="s">
        <v>29</v>
      </c>
      <c r="Q3074" s="1">
        <v>42332.172407407408</v>
      </c>
      <c r="R3074">
        <v>7</v>
      </c>
      <c r="S3074" t="s">
        <v>627</v>
      </c>
      <c r="T3074" t="s">
        <v>153</v>
      </c>
      <c r="U3074" t="s">
        <v>154</v>
      </c>
      <c r="V3074" s="3">
        <v>40909</v>
      </c>
    </row>
    <row r="3075" spans="1:22" x14ac:dyDescent="0.35">
      <c r="A3075" s="1">
        <v>42332.166284722225</v>
      </c>
      <c r="B3075" s="2">
        <v>6.122685185185185E-3</v>
      </c>
      <c r="C3075" t="s">
        <v>5439</v>
      </c>
      <c r="D3075" t="s">
        <v>623</v>
      </c>
      <c r="E3075" t="s">
        <v>624</v>
      </c>
      <c r="F3075" t="s">
        <v>148</v>
      </c>
      <c r="G3075">
        <v>877717</v>
      </c>
      <c r="H3075" t="s">
        <v>149</v>
      </c>
      <c r="I3075" t="s">
        <v>150</v>
      </c>
      <c r="J3075" t="str">
        <f>"9781438139265"</f>
        <v>9781438139265</v>
      </c>
      <c r="K3075" t="s">
        <v>5441</v>
      </c>
      <c r="L3075">
        <v>17</v>
      </c>
      <c r="O3075" t="s">
        <v>30</v>
      </c>
      <c r="P3075" t="s">
        <v>42</v>
      </c>
      <c r="S3075" t="s">
        <v>627</v>
      </c>
      <c r="T3075" t="s">
        <v>153</v>
      </c>
      <c r="U3075" t="s">
        <v>154</v>
      </c>
      <c r="V3075" s="3">
        <v>40909</v>
      </c>
    </row>
    <row r="3076" spans="1:22" x14ac:dyDescent="0.35">
      <c r="A3076" s="1">
        <v>42332.152789351851</v>
      </c>
      <c r="B3076" s="2">
        <v>3.8506944444444448E-2</v>
      </c>
      <c r="C3076" t="s">
        <v>5431</v>
      </c>
      <c r="D3076" t="s">
        <v>23</v>
      </c>
      <c r="E3076" t="s">
        <v>24</v>
      </c>
      <c r="F3076" t="s">
        <v>5432</v>
      </c>
      <c r="G3076">
        <v>1833666</v>
      </c>
      <c r="H3076" t="s">
        <v>526</v>
      </c>
      <c r="I3076" t="s">
        <v>1407</v>
      </c>
      <c r="J3076" t="str">
        <f>"9780226166216"</f>
        <v>9780226166216</v>
      </c>
      <c r="K3076" t="s">
        <v>5442</v>
      </c>
      <c r="L3076">
        <v>11</v>
      </c>
      <c r="O3076" t="s">
        <v>28</v>
      </c>
      <c r="P3076" t="s">
        <v>47</v>
      </c>
      <c r="Q3076" s="1">
        <v>42331.987361111111</v>
      </c>
      <c r="R3076">
        <v>1</v>
      </c>
      <c r="S3076" t="s">
        <v>31</v>
      </c>
      <c r="T3076" t="s">
        <v>5434</v>
      </c>
      <c r="U3076" t="s">
        <v>5435</v>
      </c>
      <c r="V3076" s="3">
        <v>41967</v>
      </c>
    </row>
    <row r="3077" spans="1:22" x14ac:dyDescent="0.35">
      <c r="A3077" s="1">
        <v>42332.152418981481</v>
      </c>
      <c r="B3077" s="2">
        <v>0</v>
      </c>
      <c r="C3077" t="s">
        <v>5431</v>
      </c>
      <c r="D3077" t="s">
        <v>23</v>
      </c>
      <c r="E3077" t="s">
        <v>24</v>
      </c>
      <c r="F3077" t="s">
        <v>5432</v>
      </c>
      <c r="G3077">
        <v>1833666</v>
      </c>
      <c r="H3077" t="s">
        <v>526</v>
      </c>
      <c r="I3077" t="s">
        <v>1407</v>
      </c>
      <c r="J3077" t="str">
        <f>"9780226166216"</f>
        <v>9780226166216</v>
      </c>
      <c r="L3077">
        <v>0</v>
      </c>
      <c r="O3077" t="s">
        <v>28</v>
      </c>
      <c r="P3077" t="s">
        <v>47</v>
      </c>
      <c r="Q3077" s="1">
        <v>42331.987361111111</v>
      </c>
      <c r="R3077">
        <v>1</v>
      </c>
      <c r="S3077" t="s">
        <v>31</v>
      </c>
      <c r="T3077" t="s">
        <v>5434</v>
      </c>
      <c r="U3077" t="s">
        <v>5435</v>
      </c>
      <c r="V3077" s="3">
        <v>41967</v>
      </c>
    </row>
    <row r="3078" spans="1:22" x14ac:dyDescent="0.35">
      <c r="A3078" s="1">
        <v>42332.150034722225</v>
      </c>
      <c r="B3078" s="2">
        <v>2.1643518518518518E-3</v>
      </c>
      <c r="C3078" t="s">
        <v>5431</v>
      </c>
      <c r="D3078" t="s">
        <v>23</v>
      </c>
      <c r="E3078" t="s">
        <v>24</v>
      </c>
      <c r="F3078" t="s">
        <v>5432</v>
      </c>
      <c r="G3078">
        <v>1833666</v>
      </c>
      <c r="H3078" t="s">
        <v>526</v>
      </c>
      <c r="I3078" t="s">
        <v>1407</v>
      </c>
      <c r="J3078" t="str">
        <f>"9780226166216"</f>
        <v>9780226166216</v>
      </c>
      <c r="K3078" t="s">
        <v>5443</v>
      </c>
      <c r="L3078">
        <v>30</v>
      </c>
      <c r="O3078" t="s">
        <v>30</v>
      </c>
      <c r="P3078" t="s">
        <v>47</v>
      </c>
      <c r="Q3078" s="1">
        <v>42331.987361111111</v>
      </c>
      <c r="R3078">
        <v>1</v>
      </c>
      <c r="S3078" t="s">
        <v>31</v>
      </c>
      <c r="T3078" t="s">
        <v>5434</v>
      </c>
      <c r="U3078" t="s">
        <v>5435</v>
      </c>
      <c r="V3078" s="3">
        <v>41967</v>
      </c>
    </row>
    <row r="3079" spans="1:22" x14ac:dyDescent="0.35">
      <c r="A3079" s="1">
        <v>42332.143692129626</v>
      </c>
      <c r="B3079" s="2">
        <v>7.4189814814814813E-3</v>
      </c>
      <c r="C3079" t="s">
        <v>5444</v>
      </c>
      <c r="D3079" t="s">
        <v>23</v>
      </c>
      <c r="E3079" t="s">
        <v>24</v>
      </c>
      <c r="F3079" t="s">
        <v>1172</v>
      </c>
      <c r="G3079">
        <v>817445</v>
      </c>
      <c r="H3079" t="s">
        <v>26</v>
      </c>
      <c r="I3079" t="s">
        <v>97</v>
      </c>
      <c r="J3079" t="str">
        <f>"9781118171264"</f>
        <v>9781118171264</v>
      </c>
      <c r="K3079" t="s">
        <v>5445</v>
      </c>
      <c r="L3079">
        <v>39</v>
      </c>
      <c r="N3079" t="s">
        <v>5446</v>
      </c>
      <c r="O3079" t="s">
        <v>30</v>
      </c>
      <c r="P3079" t="s">
        <v>29</v>
      </c>
      <c r="Q3079" s="1">
        <v>42332.143692129626</v>
      </c>
      <c r="R3079">
        <v>7</v>
      </c>
      <c r="S3079" t="s">
        <v>31</v>
      </c>
      <c r="T3079" t="s">
        <v>1173</v>
      </c>
      <c r="U3079" t="s">
        <v>1174</v>
      </c>
      <c r="V3079" s="3">
        <v>40907</v>
      </c>
    </row>
    <row r="3080" spans="1:22" x14ac:dyDescent="0.35">
      <c r="A3080" s="1">
        <v>42332.142546296294</v>
      </c>
      <c r="B3080" s="2">
        <v>1.1458333333333333E-3</v>
      </c>
      <c r="C3080" t="s">
        <v>5444</v>
      </c>
      <c r="D3080" t="s">
        <v>23</v>
      </c>
      <c r="E3080" t="s">
        <v>24</v>
      </c>
      <c r="F3080" t="s">
        <v>1172</v>
      </c>
      <c r="G3080">
        <v>817445</v>
      </c>
      <c r="H3080" t="s">
        <v>26</v>
      </c>
      <c r="I3080" t="s">
        <v>97</v>
      </c>
      <c r="J3080" t="str">
        <f>"9781118171264"</f>
        <v>9781118171264</v>
      </c>
      <c r="K3080" t="s">
        <v>5447</v>
      </c>
      <c r="L3080">
        <v>17</v>
      </c>
      <c r="O3080" t="s">
        <v>30</v>
      </c>
      <c r="P3080" t="s">
        <v>42</v>
      </c>
      <c r="S3080" t="s">
        <v>31</v>
      </c>
      <c r="T3080" t="s">
        <v>1173</v>
      </c>
      <c r="U3080" t="s">
        <v>1174</v>
      </c>
      <c r="V3080" s="3">
        <v>40907</v>
      </c>
    </row>
    <row r="3081" spans="1:22" x14ac:dyDescent="0.35">
      <c r="A3081" s="1">
        <v>42332.134004629632</v>
      </c>
      <c r="B3081" s="2">
        <v>3.9398148148148147E-2</v>
      </c>
      <c r="C3081" t="s">
        <v>5448</v>
      </c>
      <c r="D3081" t="s">
        <v>23</v>
      </c>
      <c r="E3081" t="s">
        <v>24</v>
      </c>
      <c r="F3081" t="s">
        <v>5449</v>
      </c>
      <c r="G3081">
        <v>1332527</v>
      </c>
      <c r="H3081" t="s">
        <v>26</v>
      </c>
      <c r="I3081" t="s">
        <v>97</v>
      </c>
      <c r="J3081" t="str">
        <f>"9781118720882"</f>
        <v>9781118720882</v>
      </c>
      <c r="K3081" t="s">
        <v>5450</v>
      </c>
      <c r="L3081">
        <v>37</v>
      </c>
      <c r="O3081" t="s">
        <v>30</v>
      </c>
      <c r="P3081" t="s">
        <v>29</v>
      </c>
      <c r="Q3081" s="1">
        <v>42331.673518518517</v>
      </c>
      <c r="R3081">
        <v>7</v>
      </c>
      <c r="S3081" t="s">
        <v>31</v>
      </c>
      <c r="T3081" t="s">
        <v>5451</v>
      </c>
      <c r="U3081">
        <v>658.11</v>
      </c>
      <c r="V3081" s="3">
        <v>41486</v>
      </c>
    </row>
    <row r="3082" spans="1:22" x14ac:dyDescent="0.35">
      <c r="A3082" s="1">
        <v>42332.131840277776</v>
      </c>
      <c r="B3082" s="2">
        <v>5.138888888888889E-3</v>
      </c>
      <c r="C3082" t="s">
        <v>5438</v>
      </c>
      <c r="D3082" t="s">
        <v>360</v>
      </c>
      <c r="E3082" t="s">
        <v>361</v>
      </c>
      <c r="F3082" t="s">
        <v>4197</v>
      </c>
      <c r="G3082">
        <v>1742841</v>
      </c>
      <c r="H3082" t="s">
        <v>91</v>
      </c>
      <c r="I3082" t="s">
        <v>247</v>
      </c>
      <c r="J3082" t="str">
        <f>"9781462516445"</f>
        <v>9781462516445</v>
      </c>
      <c r="K3082" t="s">
        <v>5452</v>
      </c>
      <c r="L3082">
        <v>8</v>
      </c>
      <c r="O3082" t="s">
        <v>30</v>
      </c>
      <c r="P3082" t="s">
        <v>29</v>
      </c>
      <c r="Q3082" s="1">
        <v>42325.95722222222</v>
      </c>
      <c r="R3082">
        <v>7</v>
      </c>
      <c r="S3082" t="s">
        <v>363</v>
      </c>
      <c r="T3082" t="s">
        <v>4199</v>
      </c>
      <c r="U3082">
        <v>616.85270000000003</v>
      </c>
      <c r="V3082" s="3">
        <v>41934</v>
      </c>
    </row>
    <row r="3083" spans="1:22" x14ac:dyDescent="0.35">
      <c r="A3083" s="1">
        <v>42332.117708333331</v>
      </c>
      <c r="B3083" s="2">
        <v>9.2592592592592588E-5</v>
      </c>
      <c r="C3083" t="s">
        <v>5453</v>
      </c>
      <c r="D3083" t="s">
        <v>23</v>
      </c>
      <c r="E3083" t="s">
        <v>24</v>
      </c>
      <c r="F3083" t="s">
        <v>5454</v>
      </c>
      <c r="G3083">
        <v>1120969</v>
      </c>
      <c r="H3083" t="s">
        <v>84</v>
      </c>
      <c r="I3083" t="s">
        <v>38</v>
      </c>
      <c r="J3083" t="str">
        <f>"9780520955189"</f>
        <v>9780520955189</v>
      </c>
      <c r="K3083" t="s">
        <v>209</v>
      </c>
      <c r="L3083">
        <v>4</v>
      </c>
      <c r="O3083" t="s">
        <v>30</v>
      </c>
      <c r="P3083" t="s">
        <v>50</v>
      </c>
      <c r="S3083" t="s">
        <v>31</v>
      </c>
      <c r="T3083" t="s">
        <v>5455</v>
      </c>
      <c r="U3083">
        <v>362.1</v>
      </c>
      <c r="V3083" s="3">
        <v>41330</v>
      </c>
    </row>
    <row r="3084" spans="1:22" x14ac:dyDescent="0.35">
      <c r="A3084" s="1">
        <v>42332.094340277778</v>
      </c>
      <c r="B3084" s="2">
        <v>3.2951388888888891E-2</v>
      </c>
      <c r="C3084" t="s">
        <v>106</v>
      </c>
      <c r="D3084" t="s">
        <v>23</v>
      </c>
      <c r="E3084" t="s">
        <v>24</v>
      </c>
      <c r="F3084" t="s">
        <v>78</v>
      </c>
      <c r="G3084">
        <v>1635363</v>
      </c>
      <c r="H3084" t="s">
        <v>26</v>
      </c>
      <c r="I3084" t="s">
        <v>79</v>
      </c>
      <c r="J3084" t="str">
        <f>"9781118678206"</f>
        <v>9781118678206</v>
      </c>
      <c r="K3084" t="s">
        <v>5456</v>
      </c>
      <c r="L3084">
        <v>20</v>
      </c>
      <c r="O3084" t="s">
        <v>30</v>
      </c>
      <c r="P3084" t="s">
        <v>29</v>
      </c>
      <c r="Q3084" s="1">
        <v>42325.831620370373</v>
      </c>
      <c r="R3084">
        <v>7</v>
      </c>
      <c r="S3084" t="s">
        <v>31</v>
      </c>
      <c r="T3084" t="s">
        <v>81</v>
      </c>
      <c r="U3084">
        <v>340.07600000000002</v>
      </c>
      <c r="V3084" s="3">
        <v>41684</v>
      </c>
    </row>
    <row r="3085" spans="1:22" x14ac:dyDescent="0.35">
      <c r="A3085" s="1">
        <v>42332.075173611112</v>
      </c>
      <c r="B3085" s="2">
        <v>3.7152777777777774E-3</v>
      </c>
      <c r="C3085" t="s">
        <v>5457</v>
      </c>
      <c r="D3085" t="s">
        <v>23</v>
      </c>
      <c r="E3085" t="s">
        <v>24</v>
      </c>
      <c r="F3085" t="s">
        <v>1656</v>
      </c>
      <c r="G3085">
        <v>902995</v>
      </c>
      <c r="H3085" t="s">
        <v>149</v>
      </c>
      <c r="I3085" t="s">
        <v>247</v>
      </c>
      <c r="J3085" t="str">
        <f>"9781438139234"</f>
        <v>9781438139234</v>
      </c>
      <c r="K3085" t="s">
        <v>86</v>
      </c>
      <c r="L3085">
        <v>5</v>
      </c>
      <c r="O3085" t="s">
        <v>30</v>
      </c>
      <c r="P3085" t="s">
        <v>42</v>
      </c>
      <c r="S3085" t="s">
        <v>31</v>
      </c>
      <c r="T3085" t="s">
        <v>1657</v>
      </c>
      <c r="U3085" t="s">
        <v>1658</v>
      </c>
      <c r="V3085" s="3">
        <v>40969</v>
      </c>
    </row>
    <row r="3086" spans="1:22" x14ac:dyDescent="0.35">
      <c r="A3086" s="1">
        <v>42332.066076388888</v>
      </c>
      <c r="B3086" s="2">
        <v>2.4305555555555552E-4</v>
      </c>
      <c r="C3086" t="s">
        <v>5458</v>
      </c>
      <c r="D3086" t="s">
        <v>35</v>
      </c>
      <c r="E3086" t="s">
        <v>36</v>
      </c>
      <c r="F3086" t="s">
        <v>1443</v>
      </c>
      <c r="G3086">
        <v>894589</v>
      </c>
      <c r="H3086" t="s">
        <v>1365</v>
      </c>
      <c r="I3086" t="s">
        <v>310</v>
      </c>
      <c r="J3086" t="str">
        <f>"9781441124906"</f>
        <v>9781441124906</v>
      </c>
      <c r="K3086" t="s">
        <v>5459</v>
      </c>
      <c r="L3086">
        <v>10</v>
      </c>
      <c r="O3086" t="s">
        <v>30</v>
      </c>
      <c r="P3086" t="s">
        <v>42</v>
      </c>
      <c r="S3086" t="s">
        <v>40</v>
      </c>
      <c r="T3086" t="s">
        <v>1446</v>
      </c>
      <c r="U3086">
        <v>882.01</v>
      </c>
      <c r="V3086" s="3">
        <v>40976</v>
      </c>
    </row>
    <row r="3087" spans="1:22" x14ac:dyDescent="0.35">
      <c r="A3087" s="1">
        <v>42332.035798611112</v>
      </c>
      <c r="B3087" s="2">
        <v>1.1574074074074073E-4</v>
      </c>
      <c r="C3087" t="s">
        <v>5431</v>
      </c>
      <c r="D3087" t="s">
        <v>23</v>
      </c>
      <c r="E3087" t="s">
        <v>24</v>
      </c>
      <c r="F3087" t="s">
        <v>5432</v>
      </c>
      <c r="G3087">
        <v>1833666</v>
      </c>
      <c r="H3087" t="s">
        <v>526</v>
      </c>
      <c r="I3087" t="s">
        <v>1407</v>
      </c>
      <c r="J3087" t="str">
        <f>"9780226166216"</f>
        <v>9780226166216</v>
      </c>
      <c r="K3087" t="s">
        <v>5460</v>
      </c>
      <c r="L3087">
        <v>4</v>
      </c>
      <c r="O3087" t="s">
        <v>30</v>
      </c>
      <c r="P3087" t="s">
        <v>47</v>
      </c>
      <c r="Q3087" s="1">
        <v>42331.987361111111</v>
      </c>
      <c r="R3087">
        <v>1</v>
      </c>
      <c r="S3087" t="s">
        <v>31</v>
      </c>
      <c r="T3087" t="s">
        <v>5434</v>
      </c>
      <c r="U3087" t="s">
        <v>5435</v>
      </c>
      <c r="V3087" s="3">
        <v>41967</v>
      </c>
    </row>
    <row r="3088" spans="1:22" x14ac:dyDescent="0.35">
      <c r="A3088" s="1">
        <v>42332.020995370367</v>
      </c>
      <c r="B3088" s="2">
        <v>0</v>
      </c>
      <c r="C3088" t="s">
        <v>5340</v>
      </c>
      <c r="D3088" t="s">
        <v>23</v>
      </c>
      <c r="E3088" t="s">
        <v>24</v>
      </c>
      <c r="F3088" t="s">
        <v>3351</v>
      </c>
      <c r="G3088">
        <v>1760720</v>
      </c>
      <c r="H3088" t="s">
        <v>91</v>
      </c>
      <c r="I3088" t="s">
        <v>247</v>
      </c>
      <c r="J3088" t="str">
        <f>"9781462517459"</f>
        <v>9781462517459</v>
      </c>
      <c r="L3088">
        <v>0</v>
      </c>
      <c r="N3088" t="s">
        <v>5461</v>
      </c>
      <c r="O3088" t="s">
        <v>30</v>
      </c>
      <c r="P3088" t="s">
        <v>29</v>
      </c>
      <c r="Q3088" s="1">
        <v>42332.020995370367</v>
      </c>
      <c r="R3088">
        <v>7</v>
      </c>
      <c r="S3088" t="s">
        <v>31</v>
      </c>
      <c r="T3088" t="s">
        <v>3353</v>
      </c>
      <c r="U3088">
        <v>616.89142000000004</v>
      </c>
      <c r="V3088" s="3">
        <v>41996</v>
      </c>
    </row>
    <row r="3089" spans="1:22" x14ac:dyDescent="0.35">
      <c r="A3089" s="1">
        <v>42332.020694444444</v>
      </c>
      <c r="B3089" s="2">
        <v>3.0092592592592595E-4</v>
      </c>
      <c r="C3089" t="s">
        <v>5340</v>
      </c>
      <c r="D3089" t="s">
        <v>23</v>
      </c>
      <c r="E3089" t="s">
        <v>24</v>
      </c>
      <c r="F3089" t="s">
        <v>3351</v>
      </c>
      <c r="G3089">
        <v>1760720</v>
      </c>
      <c r="H3089" t="s">
        <v>91</v>
      </c>
      <c r="I3089" t="s">
        <v>247</v>
      </c>
      <c r="J3089" t="str">
        <f>"9781462517459"</f>
        <v>9781462517459</v>
      </c>
      <c r="K3089" t="s">
        <v>5462</v>
      </c>
      <c r="L3089">
        <v>20</v>
      </c>
      <c r="O3089" t="s">
        <v>30</v>
      </c>
      <c r="P3089" t="s">
        <v>42</v>
      </c>
      <c r="S3089" t="s">
        <v>31</v>
      </c>
      <c r="T3089" t="s">
        <v>3353</v>
      </c>
      <c r="U3089">
        <v>616.89142000000004</v>
      </c>
      <c r="V3089" s="3">
        <v>41996</v>
      </c>
    </row>
    <row r="3090" spans="1:22" x14ac:dyDescent="0.35">
      <c r="A3090" s="1">
        <v>42332.020127314812</v>
      </c>
      <c r="B3090" s="2">
        <v>5.7870370370370366E-5</v>
      </c>
      <c r="C3090" t="s">
        <v>4647</v>
      </c>
      <c r="D3090" t="s">
        <v>35</v>
      </c>
      <c r="E3090" t="s">
        <v>36</v>
      </c>
      <c r="F3090" t="s">
        <v>1373</v>
      </c>
      <c r="G3090">
        <v>979949</v>
      </c>
      <c r="H3090" t="s">
        <v>1286</v>
      </c>
      <c r="I3090" t="s">
        <v>310</v>
      </c>
      <c r="J3090" t="str">
        <f>"9780786493234"</f>
        <v>9780786493234</v>
      </c>
      <c r="K3090" t="s">
        <v>611</v>
      </c>
      <c r="L3090">
        <v>3</v>
      </c>
      <c r="O3090" t="s">
        <v>30</v>
      </c>
      <c r="P3090" t="s">
        <v>42</v>
      </c>
      <c r="S3090" t="s">
        <v>40</v>
      </c>
      <c r="T3090" t="s">
        <v>1376</v>
      </c>
      <c r="U3090" t="s">
        <v>1289</v>
      </c>
      <c r="V3090" s="3">
        <v>41102</v>
      </c>
    </row>
    <row r="3091" spans="1:22" x14ac:dyDescent="0.35">
      <c r="A3091" s="1">
        <v>42332.018275462964</v>
      </c>
      <c r="B3091" s="2">
        <v>3.0787037037037037E-3</v>
      </c>
      <c r="C3091" t="s">
        <v>5438</v>
      </c>
      <c r="D3091" t="s">
        <v>360</v>
      </c>
      <c r="E3091" t="s">
        <v>361</v>
      </c>
      <c r="F3091" t="s">
        <v>4197</v>
      </c>
      <c r="G3091">
        <v>1742841</v>
      </c>
      <c r="H3091" t="s">
        <v>91</v>
      </c>
      <c r="I3091" t="s">
        <v>247</v>
      </c>
      <c r="J3091" t="str">
        <f>"9781462516445"</f>
        <v>9781462516445</v>
      </c>
      <c r="K3091" t="s">
        <v>5463</v>
      </c>
      <c r="L3091">
        <v>23</v>
      </c>
      <c r="O3091" t="s">
        <v>30</v>
      </c>
      <c r="P3091" t="s">
        <v>29</v>
      </c>
      <c r="Q3091" s="1">
        <v>42325.95722222222</v>
      </c>
      <c r="R3091">
        <v>7</v>
      </c>
      <c r="S3091" t="s">
        <v>363</v>
      </c>
      <c r="T3091" t="s">
        <v>4199</v>
      </c>
      <c r="U3091">
        <v>616.85270000000003</v>
      </c>
      <c r="V3091" s="3">
        <v>41934</v>
      </c>
    </row>
    <row r="3092" spans="1:22" x14ac:dyDescent="0.35">
      <c r="A3092" s="1">
        <v>42332.011087962965</v>
      </c>
      <c r="B3092" s="2">
        <v>6.0995370370370361E-3</v>
      </c>
      <c r="C3092" t="s">
        <v>5438</v>
      </c>
      <c r="D3092" t="s">
        <v>360</v>
      </c>
      <c r="E3092" t="s">
        <v>361</v>
      </c>
      <c r="F3092" t="s">
        <v>1547</v>
      </c>
      <c r="G3092">
        <v>848510</v>
      </c>
      <c r="H3092" t="s">
        <v>26</v>
      </c>
      <c r="I3092" t="s">
        <v>247</v>
      </c>
      <c r="J3092" t="str">
        <f>"9781118220481"</f>
        <v>9781118220481</v>
      </c>
      <c r="K3092" t="s">
        <v>5464</v>
      </c>
      <c r="L3092">
        <v>35</v>
      </c>
      <c r="O3092" t="s">
        <v>30</v>
      </c>
      <c r="P3092" t="s">
        <v>42</v>
      </c>
      <c r="S3092" t="s">
        <v>363</v>
      </c>
      <c r="T3092" t="s">
        <v>1548</v>
      </c>
      <c r="U3092" t="s">
        <v>1549</v>
      </c>
      <c r="V3092" s="3">
        <v>41066</v>
      </c>
    </row>
    <row r="3093" spans="1:22" x14ac:dyDescent="0.35">
      <c r="A3093" s="1">
        <v>42332.009733796294</v>
      </c>
      <c r="B3093" s="2">
        <v>2.199074074074074E-4</v>
      </c>
      <c r="C3093" t="s">
        <v>5465</v>
      </c>
      <c r="D3093" t="s">
        <v>35</v>
      </c>
      <c r="E3093" t="s">
        <v>36</v>
      </c>
      <c r="F3093" t="s">
        <v>5120</v>
      </c>
      <c r="G3093">
        <v>1337521</v>
      </c>
      <c r="H3093" t="s">
        <v>68</v>
      </c>
      <c r="I3093" t="s">
        <v>69</v>
      </c>
      <c r="J3093" t="str">
        <f>"9781317922049"</f>
        <v>9781317922049</v>
      </c>
      <c r="K3093" t="s">
        <v>5466</v>
      </c>
      <c r="L3093">
        <v>8</v>
      </c>
      <c r="O3093" t="s">
        <v>30</v>
      </c>
      <c r="P3093" t="s">
        <v>50</v>
      </c>
      <c r="S3093" t="s">
        <v>40</v>
      </c>
      <c r="T3093" t="s">
        <v>5122</v>
      </c>
      <c r="U3093">
        <v>371.20097299999998</v>
      </c>
      <c r="V3093" s="3">
        <v>41492</v>
      </c>
    </row>
    <row r="3094" spans="1:22" x14ac:dyDescent="0.35">
      <c r="A3094" s="1">
        <v>42332.008819444447</v>
      </c>
      <c r="B3094" s="2">
        <v>6.2500000000000001E-4</v>
      </c>
      <c r="C3094" t="s">
        <v>5467</v>
      </c>
      <c r="D3094" t="s">
        <v>335</v>
      </c>
      <c r="E3094" t="s">
        <v>336</v>
      </c>
      <c r="F3094" t="s">
        <v>5468</v>
      </c>
      <c r="G3094">
        <v>1935774</v>
      </c>
      <c r="H3094" t="s">
        <v>26</v>
      </c>
      <c r="I3094" t="s">
        <v>187</v>
      </c>
      <c r="J3094" t="str">
        <f>"9781118708149"</f>
        <v>9781118708149</v>
      </c>
      <c r="K3094" t="s">
        <v>5469</v>
      </c>
      <c r="L3094">
        <v>10</v>
      </c>
      <c r="O3094" t="s">
        <v>30</v>
      </c>
      <c r="P3094" t="s">
        <v>50</v>
      </c>
      <c r="S3094" t="s">
        <v>340</v>
      </c>
      <c r="T3094" t="s">
        <v>5470</v>
      </c>
      <c r="U3094">
        <v>636.10834999999997</v>
      </c>
      <c r="V3094" s="3">
        <v>41424</v>
      </c>
    </row>
    <row r="3095" spans="1:22" x14ac:dyDescent="0.35">
      <c r="A3095" s="1">
        <v>42332.006481481483</v>
      </c>
      <c r="B3095" s="2">
        <v>7.6388888888888893E-4</v>
      </c>
      <c r="C3095" t="s">
        <v>5467</v>
      </c>
      <c r="D3095" t="s">
        <v>335</v>
      </c>
      <c r="E3095" t="s">
        <v>336</v>
      </c>
      <c r="F3095" t="s">
        <v>5471</v>
      </c>
      <c r="G3095">
        <v>1323278</v>
      </c>
      <c r="H3095" t="s">
        <v>68</v>
      </c>
      <c r="I3095" t="s">
        <v>5472</v>
      </c>
      <c r="J3095" t="str">
        <f>"9781136193422"</f>
        <v>9781136193422</v>
      </c>
      <c r="K3095" t="s">
        <v>5473</v>
      </c>
      <c r="L3095">
        <v>18</v>
      </c>
      <c r="O3095" t="s">
        <v>30</v>
      </c>
      <c r="P3095" t="s">
        <v>47</v>
      </c>
      <c r="Q3095" s="1">
        <v>42332.006481481483</v>
      </c>
      <c r="R3095">
        <v>1</v>
      </c>
      <c r="S3095" t="s">
        <v>340</v>
      </c>
      <c r="T3095" t="s">
        <v>5474</v>
      </c>
      <c r="U3095">
        <v>798.2</v>
      </c>
      <c r="V3095" s="3">
        <v>41479</v>
      </c>
    </row>
    <row r="3096" spans="1:22" x14ac:dyDescent="0.35">
      <c r="A3096" s="1">
        <v>42332.003032407411</v>
      </c>
      <c r="B3096" s="2">
        <v>3.4490740740740745E-3</v>
      </c>
      <c r="C3096" t="s">
        <v>5467</v>
      </c>
      <c r="D3096" t="s">
        <v>335</v>
      </c>
      <c r="E3096" t="s">
        <v>336</v>
      </c>
      <c r="F3096" t="s">
        <v>5471</v>
      </c>
      <c r="G3096">
        <v>1323278</v>
      </c>
      <c r="H3096" t="s">
        <v>68</v>
      </c>
      <c r="I3096" t="s">
        <v>5472</v>
      </c>
      <c r="J3096" t="str">
        <f>"9781136193422"</f>
        <v>9781136193422</v>
      </c>
      <c r="K3096" t="s">
        <v>5475</v>
      </c>
      <c r="L3096">
        <v>16</v>
      </c>
      <c r="O3096" t="s">
        <v>30</v>
      </c>
      <c r="P3096" t="s">
        <v>50</v>
      </c>
      <c r="S3096" t="s">
        <v>340</v>
      </c>
      <c r="T3096" t="s">
        <v>5474</v>
      </c>
      <c r="U3096">
        <v>798.2</v>
      </c>
      <c r="V3096" s="3">
        <v>41479</v>
      </c>
    </row>
    <row r="3097" spans="1:22" x14ac:dyDescent="0.35">
      <c r="A3097" s="1">
        <v>42332.001180555555</v>
      </c>
      <c r="B3097" s="2">
        <v>2.8935185185185189E-4</v>
      </c>
      <c r="C3097" t="s">
        <v>5467</v>
      </c>
      <c r="D3097" t="s">
        <v>335</v>
      </c>
      <c r="E3097" t="s">
        <v>336</v>
      </c>
      <c r="F3097" t="s">
        <v>5471</v>
      </c>
      <c r="G3097">
        <v>1323278</v>
      </c>
      <c r="H3097" t="s">
        <v>68</v>
      </c>
      <c r="I3097" t="s">
        <v>5472</v>
      </c>
      <c r="J3097" t="str">
        <f>"9781136193422"</f>
        <v>9781136193422</v>
      </c>
      <c r="K3097" t="s">
        <v>378</v>
      </c>
      <c r="L3097">
        <v>9</v>
      </c>
      <c r="O3097" t="s">
        <v>30</v>
      </c>
      <c r="P3097" t="s">
        <v>50</v>
      </c>
      <c r="S3097" t="s">
        <v>340</v>
      </c>
      <c r="T3097" t="s">
        <v>5474</v>
      </c>
      <c r="U3097">
        <v>798.2</v>
      </c>
      <c r="V3097" s="3">
        <v>41479</v>
      </c>
    </row>
    <row r="3098" spans="1:22" x14ac:dyDescent="0.35">
      <c r="A3098" s="1">
        <v>42331.991076388891</v>
      </c>
      <c r="B3098" s="2">
        <v>5.8564814814814825E-3</v>
      </c>
      <c r="C3098" t="s">
        <v>5340</v>
      </c>
      <c r="D3098" t="s">
        <v>23</v>
      </c>
      <c r="E3098" t="s">
        <v>24</v>
      </c>
      <c r="F3098" t="s">
        <v>3351</v>
      </c>
      <c r="G3098">
        <v>1760720</v>
      </c>
      <c r="H3098" t="s">
        <v>91</v>
      </c>
      <c r="I3098" t="s">
        <v>247</v>
      </c>
      <c r="J3098" t="str">
        <f>"9781462517459"</f>
        <v>9781462517459</v>
      </c>
      <c r="K3098" t="s">
        <v>5476</v>
      </c>
      <c r="L3098">
        <v>54</v>
      </c>
      <c r="O3098" t="s">
        <v>30</v>
      </c>
      <c r="P3098" t="s">
        <v>42</v>
      </c>
      <c r="S3098" t="s">
        <v>31</v>
      </c>
      <c r="T3098" t="s">
        <v>3353</v>
      </c>
      <c r="U3098">
        <v>616.89142000000004</v>
      </c>
      <c r="V3098" s="3">
        <v>41996</v>
      </c>
    </row>
    <row r="3099" spans="1:22" x14ac:dyDescent="0.35">
      <c r="A3099" s="1">
        <v>42331.990057870367</v>
      </c>
      <c r="B3099" s="2">
        <v>6.9444444444444444E-5</v>
      </c>
      <c r="C3099" t="s">
        <v>5431</v>
      </c>
      <c r="D3099" t="s">
        <v>23</v>
      </c>
      <c r="E3099" t="s">
        <v>24</v>
      </c>
      <c r="F3099" t="s">
        <v>5477</v>
      </c>
      <c r="G3099">
        <v>1794187</v>
      </c>
      <c r="H3099" t="s">
        <v>186</v>
      </c>
      <c r="I3099" t="s">
        <v>187</v>
      </c>
      <c r="J3099" t="str">
        <f>"9781780642901"</f>
        <v>9781780642901</v>
      </c>
      <c r="K3099" t="s">
        <v>5478</v>
      </c>
      <c r="L3099">
        <v>6</v>
      </c>
      <c r="O3099" t="s">
        <v>30</v>
      </c>
      <c r="P3099" t="s">
        <v>47</v>
      </c>
      <c r="Q3099" s="1">
        <v>42331.990057870367</v>
      </c>
      <c r="R3099">
        <v>1</v>
      </c>
      <c r="S3099" t="s">
        <v>31</v>
      </c>
      <c r="T3099" t="s">
        <v>5479</v>
      </c>
      <c r="U3099" t="s">
        <v>5480</v>
      </c>
      <c r="V3099" s="3">
        <v>41808</v>
      </c>
    </row>
    <row r="3100" spans="1:22" x14ac:dyDescent="0.35">
      <c r="A3100" s="1">
        <v>42331.987361111111</v>
      </c>
      <c r="B3100" s="2">
        <v>3.5763888888888894E-3</v>
      </c>
      <c r="C3100" t="s">
        <v>5431</v>
      </c>
      <c r="D3100" t="s">
        <v>23</v>
      </c>
      <c r="E3100" t="s">
        <v>24</v>
      </c>
      <c r="F3100" t="s">
        <v>5432</v>
      </c>
      <c r="G3100">
        <v>1833666</v>
      </c>
      <c r="H3100" t="s">
        <v>526</v>
      </c>
      <c r="I3100" t="s">
        <v>1407</v>
      </c>
      <c r="J3100" t="str">
        <f>"9780226166216"</f>
        <v>9780226166216</v>
      </c>
      <c r="K3100" t="s">
        <v>5481</v>
      </c>
      <c r="L3100">
        <v>3</v>
      </c>
      <c r="O3100" t="s">
        <v>30</v>
      </c>
      <c r="P3100" t="s">
        <v>47</v>
      </c>
      <c r="Q3100" s="1">
        <v>42331.987361111111</v>
      </c>
      <c r="R3100">
        <v>1</v>
      </c>
      <c r="S3100" t="s">
        <v>31</v>
      </c>
      <c r="T3100" t="s">
        <v>5434</v>
      </c>
      <c r="U3100" t="s">
        <v>5435</v>
      </c>
      <c r="V3100" s="3">
        <v>41967</v>
      </c>
    </row>
    <row r="3101" spans="1:22" x14ac:dyDescent="0.35">
      <c r="A3101" s="1">
        <v>42331.981111111112</v>
      </c>
      <c r="B3101" s="2">
        <v>6.2499999999999995E-3</v>
      </c>
      <c r="C3101" t="s">
        <v>5431</v>
      </c>
      <c r="D3101" t="s">
        <v>23</v>
      </c>
      <c r="E3101" t="s">
        <v>24</v>
      </c>
      <c r="F3101" t="s">
        <v>5432</v>
      </c>
      <c r="G3101">
        <v>1833666</v>
      </c>
      <c r="H3101" t="s">
        <v>526</v>
      </c>
      <c r="I3101" t="s">
        <v>1407</v>
      </c>
      <c r="J3101" t="str">
        <f>"9780226166216"</f>
        <v>9780226166216</v>
      </c>
      <c r="K3101" t="s">
        <v>5482</v>
      </c>
      <c r="L3101">
        <v>13</v>
      </c>
      <c r="O3101" t="s">
        <v>30</v>
      </c>
      <c r="P3101" t="s">
        <v>50</v>
      </c>
      <c r="S3101" t="s">
        <v>31</v>
      </c>
      <c r="T3101" t="s">
        <v>5434</v>
      </c>
      <c r="U3101" t="s">
        <v>5435</v>
      </c>
      <c r="V3101" s="3">
        <v>41967</v>
      </c>
    </row>
    <row r="3102" spans="1:22" x14ac:dyDescent="0.35">
      <c r="A3102" s="1">
        <v>42331.981087962966</v>
      </c>
      <c r="B3102" s="2">
        <v>8.9699074074074073E-3</v>
      </c>
      <c r="C3102" t="s">
        <v>5431</v>
      </c>
      <c r="D3102" t="s">
        <v>23</v>
      </c>
      <c r="E3102" t="s">
        <v>24</v>
      </c>
      <c r="F3102" t="s">
        <v>5477</v>
      </c>
      <c r="G3102">
        <v>1794187</v>
      </c>
      <c r="H3102" t="s">
        <v>186</v>
      </c>
      <c r="I3102" t="s">
        <v>187</v>
      </c>
      <c r="J3102" t="str">
        <f>"9781780642901"</f>
        <v>9781780642901</v>
      </c>
      <c r="K3102" t="s">
        <v>86</v>
      </c>
      <c r="L3102">
        <v>5</v>
      </c>
      <c r="O3102" t="s">
        <v>30</v>
      </c>
      <c r="P3102" t="s">
        <v>50</v>
      </c>
      <c r="S3102" t="s">
        <v>31</v>
      </c>
      <c r="T3102" t="s">
        <v>5479</v>
      </c>
      <c r="U3102" t="s">
        <v>5480</v>
      </c>
      <c r="V3102" s="3">
        <v>41808</v>
      </c>
    </row>
    <row r="3103" spans="1:22" x14ac:dyDescent="0.35">
      <c r="A3103" s="1">
        <v>42331.949988425928</v>
      </c>
      <c r="B3103" s="2">
        <v>4.7453703703703704E-4</v>
      </c>
      <c r="C3103" t="s">
        <v>5386</v>
      </c>
      <c r="D3103" t="s">
        <v>261</v>
      </c>
      <c r="E3103" t="s">
        <v>262</v>
      </c>
      <c r="F3103" t="s">
        <v>4821</v>
      </c>
      <c r="G3103">
        <v>943645</v>
      </c>
      <c r="H3103" t="s">
        <v>1365</v>
      </c>
      <c r="I3103" t="s">
        <v>172</v>
      </c>
      <c r="J3103" t="str">
        <f>"9781441104755"</f>
        <v>9781441104755</v>
      </c>
      <c r="K3103" t="s">
        <v>5483</v>
      </c>
      <c r="L3103">
        <v>8</v>
      </c>
      <c r="O3103" t="s">
        <v>30</v>
      </c>
      <c r="P3103" t="s">
        <v>29</v>
      </c>
      <c r="Q3103" s="1">
        <v>42331.102997685186</v>
      </c>
      <c r="R3103">
        <v>7</v>
      </c>
      <c r="S3103" t="s">
        <v>264</v>
      </c>
      <c r="T3103" t="s">
        <v>4823</v>
      </c>
      <c r="U3103">
        <v>948.02200000000005</v>
      </c>
      <c r="V3103" s="3">
        <v>41060</v>
      </c>
    </row>
    <row r="3104" spans="1:22" x14ac:dyDescent="0.35">
      <c r="A3104" s="1">
        <v>42331.921458333331</v>
      </c>
      <c r="B3104" s="2">
        <v>1.7361111111111112E-4</v>
      </c>
      <c r="C3104" t="s">
        <v>5484</v>
      </c>
      <c r="D3104" t="s">
        <v>1222</v>
      </c>
      <c r="E3104" t="s">
        <v>1223</v>
      </c>
      <c r="F3104" t="s">
        <v>148</v>
      </c>
      <c r="G3104">
        <v>877717</v>
      </c>
      <c r="H3104" t="s">
        <v>149</v>
      </c>
      <c r="I3104" t="s">
        <v>150</v>
      </c>
      <c r="J3104" t="str">
        <f>"9781438139265"</f>
        <v>9781438139265</v>
      </c>
      <c r="K3104" t="s">
        <v>4372</v>
      </c>
      <c r="L3104">
        <v>8</v>
      </c>
      <c r="O3104" t="s">
        <v>30</v>
      </c>
      <c r="P3104" t="s">
        <v>42</v>
      </c>
      <c r="S3104" t="s">
        <v>1226</v>
      </c>
      <c r="T3104" t="s">
        <v>153</v>
      </c>
      <c r="U3104" t="s">
        <v>154</v>
      </c>
      <c r="V3104" s="3">
        <v>40909</v>
      </c>
    </row>
    <row r="3105" spans="1:22" x14ac:dyDescent="0.35">
      <c r="A3105" s="1">
        <v>42331.905023148145</v>
      </c>
      <c r="B3105" s="2">
        <v>1.7824074074074072E-3</v>
      </c>
      <c r="C3105" t="s">
        <v>5485</v>
      </c>
      <c r="D3105" t="s">
        <v>23</v>
      </c>
      <c r="E3105" t="s">
        <v>24</v>
      </c>
      <c r="F3105" t="s">
        <v>2191</v>
      </c>
      <c r="G3105">
        <v>1691133</v>
      </c>
      <c r="H3105" t="s">
        <v>91</v>
      </c>
      <c r="I3105" t="s">
        <v>247</v>
      </c>
      <c r="J3105" t="str">
        <f>"9781462516278"</f>
        <v>9781462516278</v>
      </c>
      <c r="K3105" t="s">
        <v>5486</v>
      </c>
      <c r="L3105">
        <v>24</v>
      </c>
      <c r="O3105" t="s">
        <v>30</v>
      </c>
      <c r="P3105" t="s">
        <v>42</v>
      </c>
      <c r="S3105" t="s">
        <v>31</v>
      </c>
      <c r="T3105" t="s">
        <v>2194</v>
      </c>
      <c r="U3105" t="s">
        <v>2195</v>
      </c>
      <c r="V3105" s="3">
        <v>41774</v>
      </c>
    </row>
    <row r="3106" spans="1:22" x14ac:dyDescent="0.35">
      <c r="A3106" s="1">
        <v>42331.901805555557</v>
      </c>
      <c r="B3106" s="2">
        <v>2.8935185185185189E-4</v>
      </c>
      <c r="C3106" t="s">
        <v>5487</v>
      </c>
      <c r="D3106" t="s">
        <v>23</v>
      </c>
      <c r="E3106" t="s">
        <v>24</v>
      </c>
      <c r="F3106" t="s">
        <v>4937</v>
      </c>
      <c r="G3106">
        <v>818101</v>
      </c>
      <c r="H3106" t="s">
        <v>26</v>
      </c>
      <c r="I3106" t="s">
        <v>4938</v>
      </c>
      <c r="J3106" t="str">
        <f>"9781118225844"</f>
        <v>9781118225844</v>
      </c>
      <c r="K3106" t="s">
        <v>5488</v>
      </c>
      <c r="L3106">
        <v>18</v>
      </c>
      <c r="O3106" t="s">
        <v>30</v>
      </c>
      <c r="P3106" t="s">
        <v>42</v>
      </c>
      <c r="S3106" t="s">
        <v>31</v>
      </c>
      <c r="T3106" t="s">
        <v>4940</v>
      </c>
      <c r="U3106" t="s">
        <v>4941</v>
      </c>
      <c r="V3106" s="3">
        <v>40947</v>
      </c>
    </row>
    <row r="3107" spans="1:22" x14ac:dyDescent="0.35">
      <c r="A3107" s="1">
        <v>42331.900937500002</v>
      </c>
      <c r="B3107" s="2">
        <v>6.8287037037037025E-4</v>
      </c>
      <c r="C3107" t="s">
        <v>5489</v>
      </c>
      <c r="D3107" t="s">
        <v>35</v>
      </c>
      <c r="E3107" t="s">
        <v>36</v>
      </c>
      <c r="F3107" t="s">
        <v>5490</v>
      </c>
      <c r="G3107">
        <v>1649089</v>
      </c>
      <c r="H3107" t="s">
        <v>68</v>
      </c>
      <c r="I3107" t="s">
        <v>661</v>
      </c>
      <c r="J3107" t="str">
        <f>"9781136185090"</f>
        <v>9781136185090</v>
      </c>
      <c r="K3107" t="s">
        <v>5491</v>
      </c>
      <c r="L3107">
        <v>13</v>
      </c>
      <c r="O3107" t="s">
        <v>30</v>
      </c>
      <c r="P3107" t="s">
        <v>50</v>
      </c>
      <c r="S3107" t="s">
        <v>40</v>
      </c>
      <c r="T3107" t="s">
        <v>5492</v>
      </c>
      <c r="U3107">
        <v>597.29999999999995</v>
      </c>
      <c r="V3107" s="3">
        <v>41575</v>
      </c>
    </row>
    <row r="3108" spans="1:22" x14ac:dyDescent="0.35">
      <c r="A3108" s="1">
        <v>42331.884189814817</v>
      </c>
      <c r="B3108" s="2">
        <v>2.9282407407407412E-3</v>
      </c>
      <c r="C3108" t="s">
        <v>5493</v>
      </c>
      <c r="D3108" t="s">
        <v>23</v>
      </c>
      <c r="E3108" t="s">
        <v>24</v>
      </c>
      <c r="F3108" t="s">
        <v>5494</v>
      </c>
      <c r="G3108">
        <v>1589615</v>
      </c>
      <c r="H3108" t="s">
        <v>45</v>
      </c>
      <c r="I3108" t="s">
        <v>172</v>
      </c>
      <c r="J3108" t="str">
        <f>"9781409469865"</f>
        <v>9781409469865</v>
      </c>
      <c r="K3108" t="s">
        <v>5495</v>
      </c>
      <c r="L3108">
        <v>15</v>
      </c>
      <c r="O3108" t="s">
        <v>30</v>
      </c>
      <c r="P3108" t="s">
        <v>42</v>
      </c>
      <c r="S3108" t="s">
        <v>31</v>
      </c>
      <c r="T3108" t="s">
        <v>5496</v>
      </c>
      <c r="U3108">
        <v>949.50199999999995</v>
      </c>
      <c r="V3108" s="3">
        <v>41940</v>
      </c>
    </row>
    <row r="3109" spans="1:22" x14ac:dyDescent="0.35">
      <c r="A3109" s="1">
        <v>42331.882407407407</v>
      </c>
      <c r="B3109" s="2">
        <v>2.5462962962962961E-4</v>
      </c>
      <c r="C3109" t="s">
        <v>5493</v>
      </c>
      <c r="D3109" t="s">
        <v>23</v>
      </c>
      <c r="E3109" t="s">
        <v>24</v>
      </c>
      <c r="F3109" t="s">
        <v>5494</v>
      </c>
      <c r="G3109">
        <v>1589615</v>
      </c>
      <c r="H3109" t="s">
        <v>45</v>
      </c>
      <c r="I3109" t="s">
        <v>172</v>
      </c>
      <c r="J3109" t="str">
        <f>"9781409469865"</f>
        <v>9781409469865</v>
      </c>
      <c r="K3109" t="s">
        <v>5497</v>
      </c>
      <c r="L3109">
        <v>3</v>
      </c>
      <c r="O3109" t="s">
        <v>30</v>
      </c>
      <c r="P3109" t="s">
        <v>42</v>
      </c>
      <c r="S3109" t="s">
        <v>31</v>
      </c>
      <c r="T3109" t="s">
        <v>5496</v>
      </c>
      <c r="U3109">
        <v>949.50199999999995</v>
      </c>
      <c r="V3109" s="3">
        <v>41940</v>
      </c>
    </row>
    <row r="3110" spans="1:22" x14ac:dyDescent="0.35">
      <c r="A3110" s="1">
        <v>42331.865243055552</v>
      </c>
      <c r="B3110" s="2">
        <v>2.5462962962962961E-4</v>
      </c>
      <c r="C3110" t="s">
        <v>5498</v>
      </c>
      <c r="D3110" t="s">
        <v>35</v>
      </c>
      <c r="E3110" t="s">
        <v>36</v>
      </c>
      <c r="F3110" t="s">
        <v>5499</v>
      </c>
      <c r="G3110">
        <v>1357594</v>
      </c>
      <c r="H3110" t="s">
        <v>68</v>
      </c>
      <c r="I3110" t="s">
        <v>2944</v>
      </c>
      <c r="J3110" t="str">
        <f>"9781136250583"</f>
        <v>9781136250583</v>
      </c>
      <c r="K3110" t="s">
        <v>5500</v>
      </c>
      <c r="L3110">
        <v>9</v>
      </c>
      <c r="O3110" t="s">
        <v>30</v>
      </c>
      <c r="P3110" t="s">
        <v>50</v>
      </c>
      <c r="S3110" t="s">
        <v>40</v>
      </c>
      <c r="T3110" t="s">
        <v>5501</v>
      </c>
      <c r="U3110">
        <v>302.22440719999997</v>
      </c>
      <c r="V3110" s="3">
        <v>41508</v>
      </c>
    </row>
    <row r="3111" spans="1:22" x14ac:dyDescent="0.35">
      <c r="A3111" s="1">
        <v>42331.826574074075</v>
      </c>
      <c r="B3111" s="2">
        <v>3.7268518518518514E-3</v>
      </c>
      <c r="C3111" t="s">
        <v>471</v>
      </c>
      <c r="D3111" t="s">
        <v>211</v>
      </c>
      <c r="E3111" t="s">
        <v>212</v>
      </c>
      <c r="F3111" t="s">
        <v>1182</v>
      </c>
      <c r="G3111">
        <v>1557279</v>
      </c>
      <c r="H3111" t="s">
        <v>26</v>
      </c>
      <c r="I3111" t="s">
        <v>97</v>
      </c>
      <c r="J3111" t="str">
        <f>"9781118863664"</f>
        <v>9781118863664</v>
      </c>
      <c r="K3111" t="s">
        <v>5502</v>
      </c>
      <c r="L3111">
        <v>63</v>
      </c>
      <c r="M3111" t="s">
        <v>5503</v>
      </c>
      <c r="O3111" t="s">
        <v>30</v>
      </c>
      <c r="P3111" t="s">
        <v>29</v>
      </c>
      <c r="Q3111" s="1">
        <v>42325.819016203706</v>
      </c>
      <c r="R3111">
        <v>7</v>
      </c>
      <c r="S3111" t="s">
        <v>214</v>
      </c>
      <c r="T3111" t="s">
        <v>1183</v>
      </c>
      <c r="U3111">
        <v>657.37800000000004</v>
      </c>
      <c r="V3111" s="3">
        <v>41585</v>
      </c>
    </row>
    <row r="3112" spans="1:22" x14ac:dyDescent="0.35">
      <c r="A3112" s="1">
        <v>42331.825277777774</v>
      </c>
      <c r="B3112" s="2">
        <v>1.0300925925925926E-3</v>
      </c>
      <c r="C3112" t="s">
        <v>471</v>
      </c>
      <c r="D3112" t="s">
        <v>211</v>
      </c>
      <c r="E3112" t="s">
        <v>212</v>
      </c>
      <c r="F3112" t="s">
        <v>472</v>
      </c>
      <c r="G3112">
        <v>1222131</v>
      </c>
      <c r="H3112" t="s">
        <v>26</v>
      </c>
      <c r="I3112" t="s">
        <v>97</v>
      </c>
      <c r="J3112" t="str">
        <f>"9781118760048"</f>
        <v>9781118760048</v>
      </c>
      <c r="K3112" t="s">
        <v>5504</v>
      </c>
      <c r="L3112">
        <v>30</v>
      </c>
      <c r="O3112" t="s">
        <v>30</v>
      </c>
      <c r="P3112" t="s">
        <v>42</v>
      </c>
      <c r="S3112" t="s">
        <v>214</v>
      </c>
      <c r="T3112" t="s">
        <v>473</v>
      </c>
      <c r="U3112">
        <v>657</v>
      </c>
      <c r="V3112" s="3">
        <v>41446</v>
      </c>
    </row>
    <row r="3113" spans="1:22" x14ac:dyDescent="0.35">
      <c r="A3113" s="1">
        <v>42331.822500000002</v>
      </c>
      <c r="B3113" s="2">
        <v>1.1574074074074073E-5</v>
      </c>
      <c r="C3113" t="s">
        <v>5505</v>
      </c>
      <c r="D3113" t="s">
        <v>261</v>
      </c>
      <c r="E3113" t="s">
        <v>262</v>
      </c>
      <c r="F3113" t="s">
        <v>749</v>
      </c>
      <c r="G3113">
        <v>694178</v>
      </c>
      <c r="H3113" t="s">
        <v>26</v>
      </c>
      <c r="I3113" t="s">
        <v>750</v>
      </c>
      <c r="J3113" t="str">
        <f>"9780632057528"</f>
        <v>9780632057528</v>
      </c>
      <c r="K3113" t="s">
        <v>5506</v>
      </c>
      <c r="L3113">
        <v>2</v>
      </c>
      <c r="O3113" t="s">
        <v>30</v>
      </c>
      <c r="P3113" t="s">
        <v>47</v>
      </c>
      <c r="Q3113" s="1">
        <v>42331.822488425925</v>
      </c>
      <c r="R3113">
        <v>1</v>
      </c>
      <c r="S3113" t="s">
        <v>264</v>
      </c>
      <c r="T3113" t="s">
        <v>752</v>
      </c>
      <c r="U3113">
        <v>391</v>
      </c>
      <c r="V3113" s="3">
        <v>41520</v>
      </c>
    </row>
    <row r="3114" spans="1:22" x14ac:dyDescent="0.35">
      <c r="A3114" s="1">
        <v>42331.817858796298</v>
      </c>
      <c r="B3114" s="2">
        <v>8.6365740740740729E-2</v>
      </c>
      <c r="C3114" t="s">
        <v>106</v>
      </c>
      <c r="D3114" t="s">
        <v>23</v>
      </c>
      <c r="E3114" t="s">
        <v>24</v>
      </c>
      <c r="F3114" t="s">
        <v>5449</v>
      </c>
      <c r="G3114">
        <v>1332527</v>
      </c>
      <c r="H3114" t="s">
        <v>26</v>
      </c>
      <c r="I3114" t="s">
        <v>97</v>
      </c>
      <c r="J3114" t="str">
        <f>"9781118720882"</f>
        <v>9781118720882</v>
      </c>
      <c r="K3114" t="s">
        <v>5507</v>
      </c>
      <c r="L3114">
        <v>46</v>
      </c>
      <c r="O3114" t="s">
        <v>30</v>
      </c>
      <c r="P3114" t="s">
        <v>29</v>
      </c>
      <c r="Q3114" s="1">
        <v>42331.817858796298</v>
      </c>
      <c r="R3114">
        <v>7</v>
      </c>
      <c r="S3114" t="s">
        <v>31</v>
      </c>
      <c r="T3114" t="s">
        <v>5451</v>
      </c>
      <c r="U3114">
        <v>658.11</v>
      </c>
      <c r="V3114" s="3">
        <v>41486</v>
      </c>
    </row>
    <row r="3115" spans="1:22" x14ac:dyDescent="0.35">
      <c r="A3115" s="1">
        <v>42331.817650462966</v>
      </c>
      <c r="B3115" s="2">
        <v>4.8379629629629632E-3</v>
      </c>
      <c r="C3115" t="s">
        <v>5505</v>
      </c>
      <c r="D3115" t="s">
        <v>261</v>
      </c>
      <c r="E3115" t="s">
        <v>262</v>
      </c>
      <c r="F3115" t="s">
        <v>749</v>
      </c>
      <c r="G3115">
        <v>694178</v>
      </c>
      <c r="H3115" t="s">
        <v>26</v>
      </c>
      <c r="I3115" t="s">
        <v>750</v>
      </c>
      <c r="J3115" t="str">
        <f>"9780632057528"</f>
        <v>9780632057528</v>
      </c>
      <c r="K3115" t="s">
        <v>5508</v>
      </c>
      <c r="L3115">
        <v>11</v>
      </c>
      <c r="O3115" t="s">
        <v>30</v>
      </c>
      <c r="P3115" t="s">
        <v>50</v>
      </c>
      <c r="S3115" t="s">
        <v>264</v>
      </c>
      <c r="T3115" t="s">
        <v>752</v>
      </c>
      <c r="U3115">
        <v>391</v>
      </c>
      <c r="V3115" s="3">
        <v>41520</v>
      </c>
    </row>
    <row r="3116" spans="1:22" x14ac:dyDescent="0.35">
      <c r="A3116" s="1">
        <v>42331.800324074073</v>
      </c>
      <c r="B3116" s="2">
        <v>1.7534722222222222E-2</v>
      </c>
      <c r="C3116" t="s">
        <v>106</v>
      </c>
      <c r="D3116" t="s">
        <v>23</v>
      </c>
      <c r="E3116" t="s">
        <v>24</v>
      </c>
      <c r="F3116" t="s">
        <v>5449</v>
      </c>
      <c r="G3116">
        <v>1332527</v>
      </c>
      <c r="H3116" t="s">
        <v>26</v>
      </c>
      <c r="I3116" t="s">
        <v>97</v>
      </c>
      <c r="J3116" t="str">
        <f>"9781118720882"</f>
        <v>9781118720882</v>
      </c>
      <c r="K3116" t="s">
        <v>5509</v>
      </c>
      <c r="L3116">
        <v>10</v>
      </c>
      <c r="O3116" t="s">
        <v>30</v>
      </c>
      <c r="P3116" t="s">
        <v>42</v>
      </c>
      <c r="S3116" t="s">
        <v>31</v>
      </c>
      <c r="T3116" t="s">
        <v>5451</v>
      </c>
      <c r="U3116">
        <v>658.11</v>
      </c>
      <c r="V3116" s="3">
        <v>41486</v>
      </c>
    </row>
    <row r="3117" spans="1:22" x14ac:dyDescent="0.35">
      <c r="A3117" s="1">
        <v>42331.743194444447</v>
      </c>
      <c r="B3117" s="2">
        <v>1.3888888888888889E-4</v>
      </c>
      <c r="C3117" t="s">
        <v>1854</v>
      </c>
      <c r="D3117" t="s">
        <v>23</v>
      </c>
      <c r="E3117" t="s">
        <v>24</v>
      </c>
      <c r="F3117" t="s">
        <v>4937</v>
      </c>
      <c r="G3117">
        <v>818101</v>
      </c>
      <c r="H3117" t="s">
        <v>26</v>
      </c>
      <c r="I3117" t="s">
        <v>4938</v>
      </c>
      <c r="J3117" t="str">
        <f>"9781118225844"</f>
        <v>9781118225844</v>
      </c>
      <c r="K3117" t="s">
        <v>86</v>
      </c>
      <c r="L3117">
        <v>5</v>
      </c>
      <c r="O3117" t="s">
        <v>30</v>
      </c>
      <c r="P3117" t="s">
        <v>42</v>
      </c>
      <c r="S3117" t="s">
        <v>31</v>
      </c>
      <c r="T3117" t="s">
        <v>4940</v>
      </c>
      <c r="U3117" t="s">
        <v>4941</v>
      </c>
      <c r="V3117" s="3">
        <v>40947</v>
      </c>
    </row>
    <row r="3118" spans="1:22" x14ac:dyDescent="0.35">
      <c r="A3118" s="1">
        <v>42331.734965277778</v>
      </c>
      <c r="B3118" s="2">
        <v>8.4837962962962966E-3</v>
      </c>
      <c r="C3118" t="s">
        <v>5337</v>
      </c>
      <c r="D3118" t="s">
        <v>360</v>
      </c>
      <c r="E3118" t="s">
        <v>361</v>
      </c>
      <c r="F3118" t="s">
        <v>4223</v>
      </c>
      <c r="G3118">
        <v>980956</v>
      </c>
      <c r="H3118" t="s">
        <v>26</v>
      </c>
      <c r="I3118" t="s">
        <v>4224</v>
      </c>
      <c r="J3118" t="str">
        <f>"9781118227251"</f>
        <v>9781118227251</v>
      </c>
      <c r="K3118" t="s">
        <v>5510</v>
      </c>
      <c r="L3118">
        <v>53</v>
      </c>
      <c r="O3118" t="s">
        <v>30</v>
      </c>
      <c r="P3118" t="s">
        <v>29</v>
      </c>
      <c r="Q3118" s="1">
        <v>42331.734953703701</v>
      </c>
      <c r="R3118">
        <v>7</v>
      </c>
      <c r="S3118" t="s">
        <v>363</v>
      </c>
      <c r="T3118" t="s">
        <v>4226</v>
      </c>
      <c r="U3118" t="s">
        <v>4227</v>
      </c>
      <c r="V3118" s="3">
        <v>41113</v>
      </c>
    </row>
    <row r="3119" spans="1:22" x14ac:dyDescent="0.35">
      <c r="A3119" s="1">
        <v>42331.732893518521</v>
      </c>
      <c r="B3119" s="2">
        <v>8.7152777777777787E-2</v>
      </c>
      <c r="C3119" t="s">
        <v>5511</v>
      </c>
      <c r="D3119" t="s">
        <v>1222</v>
      </c>
      <c r="E3119" t="s">
        <v>1223</v>
      </c>
      <c r="F3119" t="s">
        <v>1440</v>
      </c>
      <c r="G3119">
        <v>871501</v>
      </c>
      <c r="H3119" t="s">
        <v>26</v>
      </c>
      <c r="I3119" t="s">
        <v>310</v>
      </c>
      <c r="J3119" t="str">
        <f>"9781118231760"</f>
        <v>9781118231760</v>
      </c>
      <c r="K3119" t="s">
        <v>5512</v>
      </c>
      <c r="L3119">
        <v>86</v>
      </c>
      <c r="O3119" t="s">
        <v>30</v>
      </c>
      <c r="P3119" t="s">
        <v>29</v>
      </c>
      <c r="Q3119" s="1">
        <v>42331.732893518521</v>
      </c>
      <c r="R3119">
        <v>7</v>
      </c>
      <c r="S3119" t="s">
        <v>1226</v>
      </c>
      <c r="T3119" t="s">
        <v>1441</v>
      </c>
      <c r="U3119" t="s">
        <v>1442</v>
      </c>
      <c r="V3119" s="3">
        <v>40969</v>
      </c>
    </row>
    <row r="3120" spans="1:22" x14ac:dyDescent="0.35">
      <c r="A3120" s="1">
        <v>42331.727638888886</v>
      </c>
      <c r="B3120" s="2">
        <v>7.3148148148148148E-3</v>
      </c>
      <c r="C3120" t="s">
        <v>5337</v>
      </c>
      <c r="D3120" t="s">
        <v>360</v>
      </c>
      <c r="E3120" t="s">
        <v>361</v>
      </c>
      <c r="F3120" t="s">
        <v>4223</v>
      </c>
      <c r="G3120">
        <v>980956</v>
      </c>
      <c r="H3120" t="s">
        <v>26</v>
      </c>
      <c r="I3120" t="s">
        <v>4224</v>
      </c>
      <c r="J3120" t="str">
        <f>"9781118227251"</f>
        <v>9781118227251</v>
      </c>
      <c r="K3120" t="s">
        <v>5513</v>
      </c>
      <c r="L3120">
        <v>10</v>
      </c>
      <c r="O3120" t="s">
        <v>30</v>
      </c>
      <c r="P3120" t="s">
        <v>42</v>
      </c>
      <c r="S3120" t="s">
        <v>363</v>
      </c>
      <c r="T3120" t="s">
        <v>4226</v>
      </c>
      <c r="U3120" t="s">
        <v>4227</v>
      </c>
      <c r="V3120" s="3">
        <v>41113</v>
      </c>
    </row>
    <row r="3121" spans="1:22" x14ac:dyDescent="0.35">
      <c r="A3121" s="1">
        <v>42331.724606481483</v>
      </c>
      <c r="B3121" s="2">
        <v>8.2870370370370372E-3</v>
      </c>
      <c r="C3121" t="s">
        <v>5511</v>
      </c>
      <c r="D3121" t="s">
        <v>1222</v>
      </c>
      <c r="E3121" t="s">
        <v>1223</v>
      </c>
      <c r="F3121" t="s">
        <v>1440</v>
      </c>
      <c r="G3121">
        <v>871501</v>
      </c>
      <c r="H3121" t="s">
        <v>26</v>
      </c>
      <c r="I3121" t="s">
        <v>310</v>
      </c>
      <c r="J3121" t="str">
        <f>"9781118231760"</f>
        <v>9781118231760</v>
      </c>
      <c r="K3121" t="s">
        <v>5514</v>
      </c>
      <c r="L3121">
        <v>18</v>
      </c>
      <c r="O3121" t="s">
        <v>30</v>
      </c>
      <c r="P3121" t="s">
        <v>42</v>
      </c>
      <c r="S3121" t="s">
        <v>1226</v>
      </c>
      <c r="T3121" t="s">
        <v>1441</v>
      </c>
      <c r="U3121" t="s">
        <v>1442</v>
      </c>
      <c r="V3121" s="3">
        <v>40969</v>
      </c>
    </row>
    <row r="3122" spans="1:22" x14ac:dyDescent="0.35">
      <c r="A3122" s="1">
        <v>42331.715300925927</v>
      </c>
      <c r="B3122" s="2">
        <v>3.8194444444444446E-4</v>
      </c>
      <c r="C3122" t="s">
        <v>5515</v>
      </c>
      <c r="D3122" t="s">
        <v>1222</v>
      </c>
      <c r="E3122" t="s">
        <v>1223</v>
      </c>
      <c r="F3122" t="s">
        <v>4223</v>
      </c>
      <c r="G3122">
        <v>980956</v>
      </c>
      <c r="H3122" t="s">
        <v>26</v>
      </c>
      <c r="I3122" t="s">
        <v>4224</v>
      </c>
      <c r="J3122" t="str">
        <f>"9781118227251"</f>
        <v>9781118227251</v>
      </c>
      <c r="K3122" t="s">
        <v>5516</v>
      </c>
      <c r="L3122">
        <v>22</v>
      </c>
      <c r="O3122" t="s">
        <v>30</v>
      </c>
      <c r="P3122" t="s">
        <v>29</v>
      </c>
      <c r="Q3122" s="1">
        <v>42331.715300925927</v>
      </c>
      <c r="R3122">
        <v>7</v>
      </c>
      <c r="S3122" t="s">
        <v>1226</v>
      </c>
      <c r="T3122" t="s">
        <v>4226</v>
      </c>
      <c r="U3122" t="s">
        <v>4227</v>
      </c>
      <c r="V3122" s="3">
        <v>41113</v>
      </c>
    </row>
    <row r="3123" spans="1:22" x14ac:dyDescent="0.35">
      <c r="A3123" s="1">
        <v>42331.714861111112</v>
      </c>
      <c r="B3123" s="2">
        <v>3.2407407407407406E-4</v>
      </c>
      <c r="C3123" t="s">
        <v>5517</v>
      </c>
      <c r="D3123" t="s">
        <v>35</v>
      </c>
      <c r="E3123" t="s">
        <v>36</v>
      </c>
      <c r="F3123" t="s">
        <v>3275</v>
      </c>
      <c r="G3123">
        <v>822662</v>
      </c>
      <c r="H3123" t="s">
        <v>26</v>
      </c>
      <c r="I3123" t="s">
        <v>172</v>
      </c>
      <c r="J3123" t="str">
        <f>"9781444355130"</f>
        <v>9781444355130</v>
      </c>
      <c r="K3123" t="s">
        <v>5518</v>
      </c>
      <c r="L3123">
        <v>10</v>
      </c>
      <c r="O3123" t="s">
        <v>30</v>
      </c>
      <c r="P3123" t="s">
        <v>42</v>
      </c>
      <c r="S3123" t="s">
        <v>40</v>
      </c>
      <c r="T3123" t="s">
        <v>3277</v>
      </c>
      <c r="U3123">
        <v>960.3</v>
      </c>
      <c r="V3123" s="3">
        <v>40858</v>
      </c>
    </row>
    <row r="3124" spans="1:22" x14ac:dyDescent="0.35">
      <c r="A3124" s="1">
        <v>42331.71429398148</v>
      </c>
      <c r="B3124" s="2">
        <v>5.6145833333333339E-2</v>
      </c>
      <c r="C3124" t="s">
        <v>106</v>
      </c>
      <c r="D3124" t="s">
        <v>23</v>
      </c>
      <c r="E3124" t="s">
        <v>24</v>
      </c>
      <c r="F3124" t="s">
        <v>3559</v>
      </c>
      <c r="G3124">
        <v>1217954</v>
      </c>
      <c r="H3124" t="s">
        <v>45</v>
      </c>
      <c r="I3124" t="s">
        <v>3560</v>
      </c>
      <c r="J3124" t="str">
        <f>"9781409457558"</f>
        <v>9781409457558</v>
      </c>
      <c r="K3124" t="s">
        <v>5519</v>
      </c>
      <c r="L3124">
        <v>45</v>
      </c>
      <c r="O3124" t="s">
        <v>30</v>
      </c>
      <c r="P3124" t="s">
        <v>29</v>
      </c>
      <c r="Q3124" s="1">
        <v>42331.71429398148</v>
      </c>
      <c r="R3124">
        <v>7</v>
      </c>
      <c r="S3124" t="s">
        <v>31</v>
      </c>
      <c r="T3124" t="s">
        <v>3562</v>
      </c>
      <c r="U3124" t="s">
        <v>3563</v>
      </c>
      <c r="V3124" s="3">
        <v>41575</v>
      </c>
    </row>
    <row r="3125" spans="1:22" x14ac:dyDescent="0.35">
      <c r="A3125" s="1">
        <v>42331.70820601852</v>
      </c>
      <c r="B3125" s="2">
        <v>5.5694444444444442E-2</v>
      </c>
      <c r="C3125" t="s">
        <v>5520</v>
      </c>
      <c r="D3125" t="s">
        <v>23</v>
      </c>
      <c r="E3125" t="s">
        <v>24</v>
      </c>
      <c r="F3125" t="s">
        <v>3559</v>
      </c>
      <c r="G3125">
        <v>1217954</v>
      </c>
      <c r="H3125" t="s">
        <v>45</v>
      </c>
      <c r="I3125" t="s">
        <v>3560</v>
      </c>
      <c r="J3125" t="str">
        <f>"9781409457558"</f>
        <v>9781409457558</v>
      </c>
      <c r="K3125" t="s">
        <v>5521</v>
      </c>
      <c r="L3125">
        <v>25</v>
      </c>
      <c r="O3125" t="s">
        <v>30</v>
      </c>
      <c r="P3125" t="s">
        <v>29</v>
      </c>
      <c r="Q3125" s="1">
        <v>42331.673668981479</v>
      </c>
      <c r="R3125">
        <v>7</v>
      </c>
      <c r="S3125" t="s">
        <v>31</v>
      </c>
      <c r="T3125" t="s">
        <v>3562</v>
      </c>
      <c r="U3125" t="s">
        <v>3563</v>
      </c>
      <c r="V3125" s="3">
        <v>41575</v>
      </c>
    </row>
    <row r="3126" spans="1:22" x14ac:dyDescent="0.35">
      <c r="A3126" s="1">
        <v>42331.708043981482</v>
      </c>
      <c r="B3126" s="2">
        <v>7.2569444444444443E-3</v>
      </c>
      <c r="C3126" t="s">
        <v>5515</v>
      </c>
      <c r="D3126" t="s">
        <v>1222</v>
      </c>
      <c r="E3126" t="s">
        <v>1223</v>
      </c>
      <c r="F3126" t="s">
        <v>4223</v>
      </c>
      <c r="G3126">
        <v>980956</v>
      </c>
      <c r="H3126" t="s">
        <v>26</v>
      </c>
      <c r="I3126" t="s">
        <v>4224</v>
      </c>
      <c r="J3126" t="str">
        <f>"9781118227251"</f>
        <v>9781118227251</v>
      </c>
      <c r="K3126" t="s">
        <v>33</v>
      </c>
      <c r="L3126">
        <v>3</v>
      </c>
      <c r="O3126" t="s">
        <v>30</v>
      </c>
      <c r="P3126" t="s">
        <v>42</v>
      </c>
      <c r="S3126" t="s">
        <v>1226</v>
      </c>
      <c r="T3126" t="s">
        <v>4226</v>
      </c>
      <c r="U3126" t="s">
        <v>4227</v>
      </c>
      <c r="V3126" s="3">
        <v>41113</v>
      </c>
    </row>
    <row r="3127" spans="1:22" x14ac:dyDescent="0.35">
      <c r="A3127" s="1">
        <v>42331.701932870368</v>
      </c>
      <c r="B3127" s="2">
        <v>1.2361111111111113E-2</v>
      </c>
      <c r="C3127" t="s">
        <v>106</v>
      </c>
      <c r="D3127" t="s">
        <v>23</v>
      </c>
      <c r="E3127" t="s">
        <v>24</v>
      </c>
      <c r="F3127" t="s">
        <v>3559</v>
      </c>
      <c r="G3127">
        <v>1217954</v>
      </c>
      <c r="H3127" t="s">
        <v>45</v>
      </c>
      <c r="I3127" t="s">
        <v>3560</v>
      </c>
      <c r="J3127" t="str">
        <f>"9781409457558"</f>
        <v>9781409457558</v>
      </c>
      <c r="K3127" t="s">
        <v>5522</v>
      </c>
      <c r="L3127">
        <v>26</v>
      </c>
      <c r="O3127" t="s">
        <v>30</v>
      </c>
      <c r="P3127" t="s">
        <v>42</v>
      </c>
      <c r="S3127" t="s">
        <v>31</v>
      </c>
      <c r="T3127" t="s">
        <v>3562</v>
      </c>
      <c r="U3127" t="s">
        <v>3563</v>
      </c>
      <c r="V3127" s="3">
        <v>41575</v>
      </c>
    </row>
    <row r="3128" spans="1:22" x14ac:dyDescent="0.35">
      <c r="A3128" s="1">
        <v>42331.674456018518</v>
      </c>
      <c r="B3128" s="2">
        <v>1.2164351851851852E-2</v>
      </c>
      <c r="C3128" t="s">
        <v>5386</v>
      </c>
      <c r="D3128" t="s">
        <v>261</v>
      </c>
      <c r="E3128" t="s">
        <v>262</v>
      </c>
      <c r="F3128" t="s">
        <v>4821</v>
      </c>
      <c r="G3128">
        <v>943645</v>
      </c>
      <c r="H3128" t="s">
        <v>1365</v>
      </c>
      <c r="I3128" t="s">
        <v>172</v>
      </c>
      <c r="J3128" t="str">
        <f>"9781441104755"</f>
        <v>9781441104755</v>
      </c>
      <c r="K3128" t="s">
        <v>5523</v>
      </c>
      <c r="L3128">
        <v>9</v>
      </c>
      <c r="O3128" t="s">
        <v>30</v>
      </c>
      <c r="P3128" t="s">
        <v>29</v>
      </c>
      <c r="Q3128" s="1">
        <v>42331.102997685186</v>
      </c>
      <c r="R3128">
        <v>7</v>
      </c>
      <c r="S3128" t="s">
        <v>264</v>
      </c>
      <c r="T3128" t="s">
        <v>4823</v>
      </c>
      <c r="U3128">
        <v>948.02200000000005</v>
      </c>
      <c r="V3128" s="3">
        <v>41060</v>
      </c>
    </row>
    <row r="3129" spans="1:22" x14ac:dyDescent="0.35">
      <c r="A3129" s="1">
        <v>42331.673668981479</v>
      </c>
      <c r="B3129" s="2">
        <v>3.6689814814814814E-3</v>
      </c>
      <c r="C3129" t="s">
        <v>5520</v>
      </c>
      <c r="D3129" t="s">
        <v>23</v>
      </c>
      <c r="E3129" t="s">
        <v>24</v>
      </c>
      <c r="F3129" t="s">
        <v>3559</v>
      </c>
      <c r="G3129">
        <v>1217954</v>
      </c>
      <c r="H3129" t="s">
        <v>45</v>
      </c>
      <c r="I3129" t="s">
        <v>3560</v>
      </c>
      <c r="J3129" t="str">
        <f>"9781409457558"</f>
        <v>9781409457558</v>
      </c>
      <c r="K3129" t="s">
        <v>5524</v>
      </c>
      <c r="L3129">
        <v>8</v>
      </c>
      <c r="O3129" t="s">
        <v>30</v>
      </c>
      <c r="P3129" t="s">
        <v>29</v>
      </c>
      <c r="Q3129" s="1">
        <v>42331.673668981479</v>
      </c>
      <c r="R3129">
        <v>7</v>
      </c>
      <c r="S3129" t="s">
        <v>31</v>
      </c>
      <c r="T3129" t="s">
        <v>3562</v>
      </c>
      <c r="U3129" t="s">
        <v>3563</v>
      </c>
      <c r="V3129" s="3">
        <v>41575</v>
      </c>
    </row>
    <row r="3130" spans="1:22" x14ac:dyDescent="0.35">
      <c r="A3130" s="1">
        <v>42331.673518518517</v>
      </c>
      <c r="B3130" s="2">
        <v>5.2048611111111108E-2</v>
      </c>
      <c r="C3130" t="s">
        <v>5448</v>
      </c>
      <c r="D3130" t="s">
        <v>23</v>
      </c>
      <c r="E3130" t="s">
        <v>24</v>
      </c>
      <c r="F3130" t="s">
        <v>5449</v>
      </c>
      <c r="G3130">
        <v>1332527</v>
      </c>
      <c r="H3130" t="s">
        <v>26</v>
      </c>
      <c r="I3130" t="s">
        <v>97</v>
      </c>
      <c r="J3130" t="str">
        <f>"9781118720882"</f>
        <v>9781118720882</v>
      </c>
      <c r="K3130" t="s">
        <v>5525</v>
      </c>
      <c r="L3130">
        <v>3</v>
      </c>
      <c r="O3130" t="s">
        <v>30</v>
      </c>
      <c r="P3130" t="s">
        <v>29</v>
      </c>
      <c r="Q3130" s="1">
        <v>42331.673518518517</v>
      </c>
      <c r="R3130">
        <v>7</v>
      </c>
      <c r="S3130" t="s">
        <v>31</v>
      </c>
      <c r="T3130" t="s">
        <v>5451</v>
      </c>
      <c r="U3130">
        <v>658.11</v>
      </c>
      <c r="V3130" s="3">
        <v>41486</v>
      </c>
    </row>
    <row r="3131" spans="1:22" x14ac:dyDescent="0.35">
      <c r="A3131" s="1">
        <v>42331.666296296295</v>
      </c>
      <c r="B3131" s="2">
        <v>7.2222222222222228E-3</v>
      </c>
      <c r="C3131" t="s">
        <v>5448</v>
      </c>
      <c r="D3131" t="s">
        <v>23</v>
      </c>
      <c r="E3131" t="s">
        <v>24</v>
      </c>
      <c r="F3131" t="s">
        <v>5449</v>
      </c>
      <c r="G3131">
        <v>1332527</v>
      </c>
      <c r="H3131" t="s">
        <v>26</v>
      </c>
      <c r="I3131" t="s">
        <v>97</v>
      </c>
      <c r="J3131" t="str">
        <f>"9781118720882"</f>
        <v>9781118720882</v>
      </c>
      <c r="K3131" t="s">
        <v>5526</v>
      </c>
      <c r="L3131">
        <v>24</v>
      </c>
      <c r="O3131" t="s">
        <v>30</v>
      </c>
      <c r="P3131" t="s">
        <v>42</v>
      </c>
      <c r="S3131" t="s">
        <v>31</v>
      </c>
      <c r="T3131" t="s">
        <v>5451</v>
      </c>
      <c r="U3131">
        <v>658.11</v>
      </c>
      <c r="V3131" s="3">
        <v>41486</v>
      </c>
    </row>
    <row r="3132" spans="1:22" x14ac:dyDescent="0.35">
      <c r="A3132" s="1">
        <v>42331.664340277777</v>
      </c>
      <c r="B3132" s="2">
        <v>2.5462962962962961E-4</v>
      </c>
      <c r="C3132" t="s">
        <v>5527</v>
      </c>
      <c r="D3132" t="s">
        <v>23</v>
      </c>
      <c r="E3132" t="s">
        <v>24</v>
      </c>
      <c r="F3132" t="s">
        <v>4180</v>
      </c>
      <c r="G3132">
        <v>817932</v>
      </c>
      <c r="H3132" t="s">
        <v>26</v>
      </c>
      <c r="I3132" t="s">
        <v>276</v>
      </c>
      <c r="J3132" t="str">
        <f>"9781118220146"</f>
        <v>9781118220146</v>
      </c>
      <c r="K3132" t="s">
        <v>5528</v>
      </c>
      <c r="L3132">
        <v>5</v>
      </c>
      <c r="O3132" t="s">
        <v>30</v>
      </c>
      <c r="P3132" t="s">
        <v>42</v>
      </c>
      <c r="S3132" t="s">
        <v>31</v>
      </c>
      <c r="T3132" t="s">
        <v>4182</v>
      </c>
      <c r="U3132">
        <v>5.133</v>
      </c>
      <c r="V3132" s="3">
        <v>40981</v>
      </c>
    </row>
    <row r="3133" spans="1:22" x14ac:dyDescent="0.35">
      <c r="A3133" s="1">
        <v>42331.663206018522</v>
      </c>
      <c r="B3133" s="2">
        <v>1.0462962962962964E-2</v>
      </c>
      <c r="C3133" t="s">
        <v>5520</v>
      </c>
      <c r="D3133" t="s">
        <v>23</v>
      </c>
      <c r="E3133" t="s">
        <v>24</v>
      </c>
      <c r="F3133" t="s">
        <v>3559</v>
      </c>
      <c r="G3133">
        <v>1217954</v>
      </c>
      <c r="H3133" t="s">
        <v>45</v>
      </c>
      <c r="I3133" t="s">
        <v>3560</v>
      </c>
      <c r="J3133" t="str">
        <f>"9781409457558"</f>
        <v>9781409457558</v>
      </c>
      <c r="K3133" t="s">
        <v>33</v>
      </c>
      <c r="L3133">
        <v>3</v>
      </c>
      <c r="O3133" t="s">
        <v>30</v>
      </c>
      <c r="P3133" t="s">
        <v>42</v>
      </c>
      <c r="S3133" t="s">
        <v>31</v>
      </c>
      <c r="T3133" t="s">
        <v>3562</v>
      </c>
      <c r="U3133" t="s">
        <v>3563</v>
      </c>
      <c r="V3133" s="3">
        <v>41575</v>
      </c>
    </row>
    <row r="3134" spans="1:22" x14ac:dyDescent="0.35">
      <c r="A3134" s="1">
        <v>42331.656828703701</v>
      </c>
      <c r="B3134" s="2">
        <v>1.0416666666666667E-4</v>
      </c>
      <c r="C3134" t="s">
        <v>5529</v>
      </c>
      <c r="D3134" t="s">
        <v>158</v>
      </c>
      <c r="E3134" t="s">
        <v>159</v>
      </c>
      <c r="F3134" t="s">
        <v>5197</v>
      </c>
      <c r="G3134">
        <v>822032</v>
      </c>
      <c r="H3134" t="s">
        <v>26</v>
      </c>
      <c r="I3134" t="s">
        <v>267</v>
      </c>
      <c r="J3134" t="str">
        <f>"9781118287019"</f>
        <v>9781118287019</v>
      </c>
      <c r="K3134" t="s">
        <v>209</v>
      </c>
      <c r="L3134">
        <v>4</v>
      </c>
      <c r="O3134" t="s">
        <v>30</v>
      </c>
      <c r="P3134" t="s">
        <v>42</v>
      </c>
      <c r="S3134" t="s">
        <v>163</v>
      </c>
      <c r="T3134" t="s">
        <v>5199</v>
      </c>
      <c r="U3134" t="s">
        <v>5200</v>
      </c>
      <c r="V3134" s="3">
        <v>41225</v>
      </c>
    </row>
    <row r="3135" spans="1:22" x14ac:dyDescent="0.35">
      <c r="A3135" s="1">
        <v>42331.649317129632</v>
      </c>
      <c r="B3135" s="2">
        <v>1.3888888888888889E-4</v>
      </c>
      <c r="C3135" t="s">
        <v>106</v>
      </c>
      <c r="D3135" t="s">
        <v>23</v>
      </c>
      <c r="E3135" t="s">
        <v>24</v>
      </c>
      <c r="F3135" t="s">
        <v>5036</v>
      </c>
      <c r="G3135">
        <v>1318206</v>
      </c>
      <c r="H3135" t="s">
        <v>26</v>
      </c>
      <c r="I3135" t="s">
        <v>5037</v>
      </c>
      <c r="J3135" t="str">
        <f>"9781118363560"</f>
        <v>9781118363560</v>
      </c>
      <c r="K3135" t="s">
        <v>63</v>
      </c>
      <c r="L3135">
        <v>1</v>
      </c>
      <c r="O3135" t="s">
        <v>28</v>
      </c>
      <c r="P3135" t="s">
        <v>29</v>
      </c>
      <c r="Q3135" s="1">
        <v>42331.649317129632</v>
      </c>
      <c r="R3135">
        <v>7</v>
      </c>
      <c r="S3135" t="s">
        <v>31</v>
      </c>
      <c r="T3135" t="s">
        <v>5038</v>
      </c>
      <c r="U3135" t="s">
        <v>5039</v>
      </c>
      <c r="V3135" s="3">
        <v>41470</v>
      </c>
    </row>
    <row r="3136" spans="1:22" x14ac:dyDescent="0.35">
      <c r="A3136" s="1">
        <v>42331.649317129632</v>
      </c>
      <c r="B3136" s="2">
        <v>0</v>
      </c>
      <c r="C3136" t="s">
        <v>106</v>
      </c>
      <c r="D3136" t="s">
        <v>23</v>
      </c>
      <c r="E3136" t="s">
        <v>24</v>
      </c>
      <c r="F3136" t="s">
        <v>5036</v>
      </c>
      <c r="G3136">
        <v>1318206</v>
      </c>
      <c r="H3136" t="s">
        <v>26</v>
      </c>
      <c r="I3136" t="s">
        <v>5037</v>
      </c>
      <c r="J3136" t="str">
        <f>"9781118363560"</f>
        <v>9781118363560</v>
      </c>
      <c r="L3136">
        <v>0</v>
      </c>
      <c r="O3136" t="s">
        <v>30</v>
      </c>
      <c r="P3136" t="s">
        <v>29</v>
      </c>
      <c r="Q3136" s="1">
        <v>42331.649317129632</v>
      </c>
      <c r="R3136">
        <v>7</v>
      </c>
      <c r="S3136" t="s">
        <v>31</v>
      </c>
      <c r="T3136" t="s">
        <v>5038</v>
      </c>
      <c r="U3136" t="s">
        <v>5039</v>
      </c>
      <c r="V3136" s="3">
        <v>41470</v>
      </c>
    </row>
    <row r="3137" spans="1:22" x14ac:dyDescent="0.35">
      <c r="A3137" s="1">
        <v>42331.649178240739</v>
      </c>
      <c r="B3137" s="2">
        <v>1.3888888888888889E-4</v>
      </c>
      <c r="C3137" t="s">
        <v>106</v>
      </c>
      <c r="D3137" t="s">
        <v>23</v>
      </c>
      <c r="E3137" t="s">
        <v>24</v>
      </c>
      <c r="F3137" t="s">
        <v>5036</v>
      </c>
      <c r="G3137">
        <v>1318206</v>
      </c>
      <c r="H3137" t="s">
        <v>26</v>
      </c>
      <c r="I3137" t="s">
        <v>5037</v>
      </c>
      <c r="J3137" t="str">
        <f>"9781118363560"</f>
        <v>9781118363560</v>
      </c>
      <c r="K3137" t="s">
        <v>621</v>
      </c>
      <c r="L3137">
        <v>3</v>
      </c>
      <c r="O3137" t="s">
        <v>30</v>
      </c>
      <c r="P3137" t="s">
        <v>42</v>
      </c>
      <c r="S3137" t="s">
        <v>31</v>
      </c>
      <c r="T3137" t="s">
        <v>5038</v>
      </c>
      <c r="U3137" t="s">
        <v>5039</v>
      </c>
      <c r="V3137" s="3">
        <v>41470</v>
      </c>
    </row>
    <row r="3138" spans="1:22" x14ac:dyDescent="0.35">
      <c r="A3138" s="1">
        <v>42331.615729166668</v>
      </c>
      <c r="B3138" s="2">
        <v>6.2268518518518515E-3</v>
      </c>
      <c r="C3138" t="s">
        <v>5530</v>
      </c>
      <c r="D3138" t="s">
        <v>146</v>
      </c>
      <c r="E3138" t="s">
        <v>147</v>
      </c>
      <c r="F3138" t="s">
        <v>5531</v>
      </c>
      <c r="G3138">
        <v>1107458</v>
      </c>
      <c r="H3138" t="s">
        <v>1286</v>
      </c>
      <c r="I3138" t="s">
        <v>291</v>
      </c>
      <c r="J3138" t="str">
        <f>"9781476600161"</f>
        <v>9781476600161</v>
      </c>
      <c r="K3138" t="s">
        <v>5532</v>
      </c>
      <c r="L3138">
        <v>16</v>
      </c>
      <c r="O3138" t="s">
        <v>30</v>
      </c>
      <c r="P3138" t="s">
        <v>29</v>
      </c>
      <c r="Q3138" s="1">
        <v>42327.601122685184</v>
      </c>
      <c r="R3138">
        <v>7</v>
      </c>
      <c r="S3138" t="s">
        <v>812</v>
      </c>
      <c r="T3138" t="s">
        <v>5533</v>
      </c>
      <c r="U3138" t="s">
        <v>5534</v>
      </c>
      <c r="V3138" s="3">
        <v>41287</v>
      </c>
    </row>
    <row r="3139" spans="1:22" x14ac:dyDescent="0.35">
      <c r="A3139" s="1">
        <v>42331.593101851853</v>
      </c>
      <c r="B3139" s="2">
        <v>1.0173611111111111E-2</v>
      </c>
      <c r="C3139" t="s">
        <v>3725</v>
      </c>
      <c r="D3139" t="s">
        <v>35</v>
      </c>
      <c r="E3139" t="s">
        <v>36</v>
      </c>
      <c r="F3139" t="s">
        <v>3726</v>
      </c>
      <c r="G3139">
        <v>4034662</v>
      </c>
      <c r="H3139" t="s">
        <v>26</v>
      </c>
      <c r="I3139" t="s">
        <v>3727</v>
      </c>
      <c r="J3139" t="str">
        <f>"9781118376720"</f>
        <v>9781118376720</v>
      </c>
      <c r="K3139" t="s">
        <v>5535</v>
      </c>
      <c r="L3139">
        <v>34</v>
      </c>
      <c r="O3139" t="s">
        <v>30</v>
      </c>
      <c r="P3139" t="s">
        <v>29</v>
      </c>
      <c r="Q3139" s="1">
        <v>42331.593101851853</v>
      </c>
      <c r="R3139">
        <v>7</v>
      </c>
      <c r="S3139" t="s">
        <v>40</v>
      </c>
      <c r="T3139" t="s">
        <v>3729</v>
      </c>
      <c r="U3139" t="s">
        <v>3730</v>
      </c>
      <c r="V3139" s="3">
        <v>42241</v>
      </c>
    </row>
    <row r="3140" spans="1:22" x14ac:dyDescent="0.35">
      <c r="A3140" s="1">
        <v>42331.588472222225</v>
      </c>
      <c r="B3140" s="2">
        <v>4.6296296296296302E-3</v>
      </c>
      <c r="C3140" t="s">
        <v>3725</v>
      </c>
      <c r="D3140" t="s">
        <v>35</v>
      </c>
      <c r="E3140" t="s">
        <v>36</v>
      </c>
      <c r="F3140" t="s">
        <v>3726</v>
      </c>
      <c r="G3140">
        <v>4034662</v>
      </c>
      <c r="H3140" t="s">
        <v>26</v>
      </c>
      <c r="I3140" t="s">
        <v>3727</v>
      </c>
      <c r="J3140" t="str">
        <f>"9781118376720"</f>
        <v>9781118376720</v>
      </c>
      <c r="K3140" t="s">
        <v>5536</v>
      </c>
      <c r="L3140">
        <v>9</v>
      </c>
      <c r="O3140" t="s">
        <v>30</v>
      </c>
      <c r="P3140" t="s">
        <v>50</v>
      </c>
      <c r="S3140" t="s">
        <v>40</v>
      </c>
      <c r="T3140" t="s">
        <v>3729</v>
      </c>
      <c r="U3140" t="s">
        <v>3730</v>
      </c>
      <c r="V3140" s="3">
        <v>42241</v>
      </c>
    </row>
    <row r="3141" spans="1:22" x14ac:dyDescent="0.35">
      <c r="A3141" s="1">
        <v>42331.580254629633</v>
      </c>
      <c r="B3141" s="2">
        <v>1.1851851851851851E-2</v>
      </c>
      <c r="C3141" t="s">
        <v>5530</v>
      </c>
      <c r="D3141" t="s">
        <v>146</v>
      </c>
      <c r="E3141" t="s">
        <v>147</v>
      </c>
      <c r="F3141" t="s">
        <v>5531</v>
      </c>
      <c r="G3141">
        <v>1107458</v>
      </c>
      <c r="H3141" t="s">
        <v>1286</v>
      </c>
      <c r="I3141" t="s">
        <v>291</v>
      </c>
      <c r="J3141" t="str">
        <f>"9781476600161"</f>
        <v>9781476600161</v>
      </c>
      <c r="K3141" t="s">
        <v>5537</v>
      </c>
      <c r="L3141">
        <v>16</v>
      </c>
      <c r="M3141" t="s">
        <v>5538</v>
      </c>
      <c r="O3141" t="s">
        <v>30</v>
      </c>
      <c r="P3141" t="s">
        <v>29</v>
      </c>
      <c r="Q3141" s="1">
        <v>42327.601122685184</v>
      </c>
      <c r="R3141">
        <v>7</v>
      </c>
      <c r="S3141" t="s">
        <v>812</v>
      </c>
      <c r="T3141" t="s">
        <v>5533</v>
      </c>
      <c r="U3141" t="s">
        <v>5534</v>
      </c>
      <c r="V3141" s="3">
        <v>41287</v>
      </c>
    </row>
    <row r="3142" spans="1:22" x14ac:dyDescent="0.35">
      <c r="A3142" s="1">
        <v>42331.578645833331</v>
      </c>
      <c r="B3142" s="2">
        <v>1.7499999999999998E-2</v>
      </c>
      <c r="C3142" t="s">
        <v>5219</v>
      </c>
      <c r="D3142" t="s">
        <v>211</v>
      </c>
      <c r="E3142" t="s">
        <v>212</v>
      </c>
      <c r="F3142" t="s">
        <v>462</v>
      </c>
      <c r="G3142">
        <v>1822529</v>
      </c>
      <c r="H3142" t="s">
        <v>26</v>
      </c>
      <c r="I3142" t="s">
        <v>297</v>
      </c>
      <c r="J3142" t="str">
        <f>"9781118824344"</f>
        <v>9781118824344</v>
      </c>
      <c r="K3142" t="s">
        <v>5539</v>
      </c>
      <c r="L3142">
        <v>8</v>
      </c>
      <c r="O3142" t="s">
        <v>30</v>
      </c>
      <c r="P3142" t="s">
        <v>29</v>
      </c>
      <c r="Q3142" s="1">
        <v>42331.578645833331</v>
      </c>
      <c r="R3142">
        <v>7</v>
      </c>
      <c r="S3142" t="s">
        <v>214</v>
      </c>
      <c r="T3142" t="s">
        <v>464</v>
      </c>
      <c r="U3142">
        <v>519.4</v>
      </c>
      <c r="V3142" s="3">
        <v>41932</v>
      </c>
    </row>
    <row r="3143" spans="1:22" x14ac:dyDescent="0.35">
      <c r="A3143" s="1">
        <v>42331.567303240743</v>
      </c>
      <c r="B3143" s="2">
        <v>1.1342592592592592E-2</v>
      </c>
      <c r="C3143" t="s">
        <v>5219</v>
      </c>
      <c r="D3143" t="s">
        <v>211</v>
      </c>
      <c r="E3143" t="s">
        <v>212</v>
      </c>
      <c r="F3143" t="s">
        <v>462</v>
      </c>
      <c r="G3143">
        <v>1822529</v>
      </c>
      <c r="H3143" t="s">
        <v>26</v>
      </c>
      <c r="I3143" t="s">
        <v>297</v>
      </c>
      <c r="J3143" t="str">
        <f>"9781118824344"</f>
        <v>9781118824344</v>
      </c>
      <c r="K3143" t="s">
        <v>5540</v>
      </c>
      <c r="L3143">
        <v>12</v>
      </c>
      <c r="O3143" t="s">
        <v>30</v>
      </c>
      <c r="P3143" t="s">
        <v>42</v>
      </c>
      <c r="S3143" t="s">
        <v>214</v>
      </c>
      <c r="T3143" t="s">
        <v>464</v>
      </c>
      <c r="U3143">
        <v>519.4</v>
      </c>
      <c r="V3143" s="3">
        <v>41932</v>
      </c>
    </row>
    <row r="3144" spans="1:22" x14ac:dyDescent="0.35">
      <c r="A3144" s="1">
        <v>42331.434108796297</v>
      </c>
      <c r="B3144" s="2">
        <v>1.0335648148148148E-2</v>
      </c>
      <c r="C3144" t="s">
        <v>5541</v>
      </c>
      <c r="D3144" t="s">
        <v>35</v>
      </c>
      <c r="E3144" t="s">
        <v>36</v>
      </c>
      <c r="F3144" t="s">
        <v>5542</v>
      </c>
      <c r="G3144">
        <v>1486838</v>
      </c>
      <c r="H3144" t="s">
        <v>68</v>
      </c>
      <c r="I3144" t="s">
        <v>79</v>
      </c>
      <c r="J3144" t="str">
        <f>"9781135997786"</f>
        <v>9781135997786</v>
      </c>
      <c r="K3144" t="s">
        <v>2858</v>
      </c>
      <c r="L3144">
        <v>1</v>
      </c>
      <c r="O3144" t="s">
        <v>30</v>
      </c>
      <c r="P3144" t="s">
        <v>47</v>
      </c>
      <c r="Q3144" s="1">
        <v>42331.43409722222</v>
      </c>
      <c r="R3144">
        <v>1</v>
      </c>
      <c r="S3144" t="s">
        <v>40</v>
      </c>
      <c r="T3144" t="s">
        <v>5543</v>
      </c>
      <c r="U3144">
        <v>344.73045999999999</v>
      </c>
      <c r="V3144" s="3">
        <v>40562</v>
      </c>
    </row>
    <row r="3145" spans="1:22" x14ac:dyDescent="0.35">
      <c r="A3145" s="1">
        <v>42331.425127314818</v>
      </c>
      <c r="B3145" s="2">
        <v>8.9699074074074073E-3</v>
      </c>
      <c r="C3145" t="s">
        <v>5541</v>
      </c>
      <c r="D3145" t="s">
        <v>35</v>
      </c>
      <c r="E3145" t="s">
        <v>36</v>
      </c>
      <c r="F3145" t="s">
        <v>5542</v>
      </c>
      <c r="G3145">
        <v>1486838</v>
      </c>
      <c r="H3145" t="s">
        <v>68</v>
      </c>
      <c r="I3145" t="s">
        <v>79</v>
      </c>
      <c r="J3145" t="str">
        <f>"9781135997786"</f>
        <v>9781135997786</v>
      </c>
      <c r="K3145" t="s">
        <v>5544</v>
      </c>
      <c r="L3145">
        <v>8</v>
      </c>
      <c r="O3145" t="s">
        <v>30</v>
      </c>
      <c r="P3145" t="s">
        <v>50</v>
      </c>
      <c r="S3145" t="s">
        <v>40</v>
      </c>
      <c r="T3145" t="s">
        <v>5543</v>
      </c>
      <c r="U3145">
        <v>344.73045999999999</v>
      </c>
      <c r="V3145" s="3">
        <v>40562</v>
      </c>
    </row>
    <row r="3146" spans="1:22" x14ac:dyDescent="0.35">
      <c r="A3146" s="1">
        <v>42331.244363425925</v>
      </c>
      <c r="B3146" s="2">
        <v>1.1574074074074073E-3</v>
      </c>
      <c r="C3146" t="s">
        <v>5545</v>
      </c>
      <c r="D3146" t="s">
        <v>35</v>
      </c>
      <c r="E3146" t="s">
        <v>36</v>
      </c>
      <c r="F3146" t="s">
        <v>5546</v>
      </c>
      <c r="G3146">
        <v>4029463</v>
      </c>
      <c r="H3146" t="s">
        <v>26</v>
      </c>
      <c r="I3146" t="s">
        <v>120</v>
      </c>
      <c r="J3146" t="str">
        <f>"9780745655987"</f>
        <v>9780745655987</v>
      </c>
      <c r="K3146" t="s">
        <v>5547</v>
      </c>
      <c r="L3146">
        <v>29</v>
      </c>
      <c r="O3146" t="s">
        <v>30</v>
      </c>
      <c r="P3146" t="s">
        <v>50</v>
      </c>
      <c r="S3146" t="s">
        <v>40</v>
      </c>
      <c r="T3146">
        <v>2009282285</v>
      </c>
      <c r="U3146">
        <v>303.48329999999999</v>
      </c>
      <c r="V3146" s="3">
        <v>41397</v>
      </c>
    </row>
    <row r="3147" spans="1:22" x14ac:dyDescent="0.35">
      <c r="A3147" s="1">
        <v>42331.24423611111</v>
      </c>
      <c r="B3147" s="2">
        <v>5.7870370370370366E-5</v>
      </c>
      <c r="C3147" t="s">
        <v>5545</v>
      </c>
      <c r="D3147" t="s">
        <v>35</v>
      </c>
      <c r="E3147" t="s">
        <v>36</v>
      </c>
      <c r="F3147" t="s">
        <v>5548</v>
      </c>
      <c r="G3147">
        <v>1895293</v>
      </c>
      <c r="H3147" t="s">
        <v>26</v>
      </c>
      <c r="I3147" t="s">
        <v>5549</v>
      </c>
      <c r="J3147" t="str">
        <f>"9781119041115"</f>
        <v>9781119041115</v>
      </c>
      <c r="K3147" t="s">
        <v>33</v>
      </c>
      <c r="L3147">
        <v>3</v>
      </c>
      <c r="O3147" t="s">
        <v>30</v>
      </c>
      <c r="P3147" t="s">
        <v>50</v>
      </c>
      <c r="S3147" t="s">
        <v>40</v>
      </c>
      <c r="T3147" t="s">
        <v>5550</v>
      </c>
      <c r="U3147" t="s">
        <v>5551</v>
      </c>
      <c r="V3147" s="3">
        <v>42122</v>
      </c>
    </row>
    <row r="3148" spans="1:22" x14ac:dyDescent="0.35">
      <c r="A3148" s="1">
        <v>42331.219988425924</v>
      </c>
      <c r="B3148" s="2">
        <v>2.4305555555555552E-4</v>
      </c>
      <c r="C3148" t="s">
        <v>5552</v>
      </c>
      <c r="D3148" t="s">
        <v>23</v>
      </c>
      <c r="E3148" t="s">
        <v>24</v>
      </c>
      <c r="F3148" t="s">
        <v>3060</v>
      </c>
      <c r="G3148">
        <v>1120279</v>
      </c>
      <c r="H3148" t="s">
        <v>26</v>
      </c>
      <c r="I3148" t="s">
        <v>3061</v>
      </c>
      <c r="J3148" t="str">
        <f>"9781118537671"</f>
        <v>9781118537671</v>
      </c>
      <c r="K3148" t="s">
        <v>5553</v>
      </c>
      <c r="L3148">
        <v>9</v>
      </c>
      <c r="O3148" t="s">
        <v>30</v>
      </c>
      <c r="P3148" t="s">
        <v>42</v>
      </c>
      <c r="S3148" t="s">
        <v>31</v>
      </c>
      <c r="T3148" t="s">
        <v>3063</v>
      </c>
      <c r="U3148">
        <v>599.93499999999995</v>
      </c>
      <c r="V3148" s="3">
        <v>41232</v>
      </c>
    </row>
    <row r="3149" spans="1:22" x14ac:dyDescent="0.35">
      <c r="A3149" s="1">
        <v>42331.208680555559</v>
      </c>
      <c r="B3149" s="2">
        <v>2.1087962962962961E-2</v>
      </c>
      <c r="C3149" t="s">
        <v>5554</v>
      </c>
      <c r="D3149" t="s">
        <v>23</v>
      </c>
      <c r="E3149" t="s">
        <v>24</v>
      </c>
      <c r="F3149" t="s">
        <v>3559</v>
      </c>
      <c r="G3149">
        <v>1217954</v>
      </c>
      <c r="H3149" t="s">
        <v>45</v>
      </c>
      <c r="I3149" t="s">
        <v>3560</v>
      </c>
      <c r="J3149" t="str">
        <f>"9781409457558"</f>
        <v>9781409457558</v>
      </c>
      <c r="K3149" t="s">
        <v>5555</v>
      </c>
      <c r="L3149">
        <v>17</v>
      </c>
      <c r="O3149" t="s">
        <v>30</v>
      </c>
      <c r="P3149" t="s">
        <v>29</v>
      </c>
      <c r="Q3149" s="1">
        <v>42331.208680555559</v>
      </c>
      <c r="R3149">
        <v>7</v>
      </c>
      <c r="S3149" t="s">
        <v>31</v>
      </c>
      <c r="T3149" t="s">
        <v>3562</v>
      </c>
      <c r="U3149" t="s">
        <v>3563</v>
      </c>
      <c r="V3149" s="3">
        <v>41575</v>
      </c>
    </row>
    <row r="3150" spans="1:22" x14ac:dyDescent="0.35">
      <c r="A3150" s="1">
        <v>42331.200289351851</v>
      </c>
      <c r="B3150" s="2">
        <v>8.3912037037037045E-3</v>
      </c>
      <c r="C3150" t="s">
        <v>5554</v>
      </c>
      <c r="D3150" t="s">
        <v>23</v>
      </c>
      <c r="E3150" t="s">
        <v>24</v>
      </c>
      <c r="F3150" t="s">
        <v>3559</v>
      </c>
      <c r="G3150">
        <v>1217954</v>
      </c>
      <c r="H3150" t="s">
        <v>45</v>
      </c>
      <c r="I3150" t="s">
        <v>3560</v>
      </c>
      <c r="J3150" t="str">
        <f>"9781409457558"</f>
        <v>9781409457558</v>
      </c>
      <c r="K3150" t="s">
        <v>5556</v>
      </c>
      <c r="L3150">
        <v>9</v>
      </c>
      <c r="O3150" t="s">
        <v>30</v>
      </c>
      <c r="P3150" t="s">
        <v>42</v>
      </c>
      <c r="S3150" t="s">
        <v>31</v>
      </c>
      <c r="T3150" t="s">
        <v>3562</v>
      </c>
      <c r="U3150" t="s">
        <v>3563</v>
      </c>
      <c r="V3150" s="3">
        <v>41575</v>
      </c>
    </row>
    <row r="3151" spans="1:22" x14ac:dyDescent="0.35">
      <c r="A3151" s="1">
        <v>42331.19222222222</v>
      </c>
      <c r="B3151" s="2">
        <v>3.8194444444444446E-4</v>
      </c>
      <c r="C3151" t="s">
        <v>5557</v>
      </c>
      <c r="D3151" t="s">
        <v>35</v>
      </c>
      <c r="E3151" t="s">
        <v>36</v>
      </c>
      <c r="F3151" t="s">
        <v>2369</v>
      </c>
      <c r="G3151">
        <v>877782</v>
      </c>
      <c r="H3151" t="s">
        <v>26</v>
      </c>
      <c r="I3151" t="s">
        <v>2370</v>
      </c>
      <c r="J3151" t="str">
        <f>"9781118255407"</f>
        <v>9781118255407</v>
      </c>
      <c r="K3151" t="s">
        <v>5558</v>
      </c>
      <c r="L3151">
        <v>16</v>
      </c>
      <c r="O3151" t="s">
        <v>30</v>
      </c>
      <c r="P3151" t="s">
        <v>29</v>
      </c>
      <c r="Q3151" s="1">
        <v>42329.757453703707</v>
      </c>
      <c r="R3151">
        <v>7</v>
      </c>
      <c r="S3151" t="s">
        <v>40</v>
      </c>
      <c r="T3151" t="s">
        <v>2372</v>
      </c>
      <c r="U3151">
        <v>599.9</v>
      </c>
      <c r="V3151" s="3">
        <v>40994</v>
      </c>
    </row>
    <row r="3152" spans="1:22" x14ac:dyDescent="0.35">
      <c r="A3152" s="1">
        <v>42331.17082175926</v>
      </c>
      <c r="B3152" s="2">
        <v>8.1018518518518516E-4</v>
      </c>
      <c r="C3152" t="s">
        <v>3725</v>
      </c>
      <c r="D3152" t="s">
        <v>35</v>
      </c>
      <c r="E3152" t="s">
        <v>36</v>
      </c>
      <c r="F3152" t="s">
        <v>5559</v>
      </c>
      <c r="G3152">
        <v>1189103</v>
      </c>
      <c r="H3152" t="s">
        <v>26</v>
      </c>
      <c r="I3152" t="s">
        <v>5560</v>
      </c>
      <c r="J3152" t="str">
        <f>"9781118704530"</f>
        <v>9781118704530</v>
      </c>
      <c r="K3152" t="s">
        <v>5561</v>
      </c>
      <c r="L3152">
        <v>23</v>
      </c>
      <c r="O3152" t="s">
        <v>30</v>
      </c>
      <c r="P3152" t="s">
        <v>50</v>
      </c>
      <c r="S3152" t="s">
        <v>40</v>
      </c>
      <c r="T3152" t="s">
        <v>5562</v>
      </c>
      <c r="U3152" t="s">
        <v>5563</v>
      </c>
      <c r="V3152" s="3">
        <v>41407</v>
      </c>
    </row>
    <row r="3153" spans="1:22" x14ac:dyDescent="0.35">
      <c r="A3153" s="1">
        <v>42331.138402777775</v>
      </c>
      <c r="B3153" s="2">
        <v>3.3912037037037036E-3</v>
      </c>
      <c r="C3153" t="s">
        <v>5564</v>
      </c>
      <c r="D3153" t="s">
        <v>35</v>
      </c>
      <c r="E3153" t="s">
        <v>36</v>
      </c>
      <c r="F3153" t="s">
        <v>5565</v>
      </c>
      <c r="G3153">
        <v>1318934</v>
      </c>
      <c r="H3153" t="s">
        <v>68</v>
      </c>
      <c r="I3153" t="s">
        <v>5566</v>
      </c>
      <c r="J3153" t="str">
        <f>"9781136510601"</f>
        <v>9781136510601</v>
      </c>
      <c r="K3153" t="s">
        <v>5567</v>
      </c>
      <c r="L3153">
        <v>11</v>
      </c>
      <c r="O3153" t="s">
        <v>30</v>
      </c>
      <c r="P3153" t="s">
        <v>47</v>
      </c>
      <c r="Q3153" s="1">
        <v>42331.138391203705</v>
      </c>
      <c r="R3153">
        <v>1</v>
      </c>
      <c r="S3153" t="s">
        <v>40</v>
      </c>
      <c r="T3153" t="s">
        <v>5568</v>
      </c>
      <c r="U3153">
        <v>613.70420000000001</v>
      </c>
      <c r="V3153" s="3">
        <v>41473</v>
      </c>
    </row>
    <row r="3154" spans="1:22" x14ac:dyDescent="0.35">
      <c r="A3154" s="1">
        <v>42331.129212962966</v>
      </c>
      <c r="B3154" s="2">
        <v>2.3263888888888887E-3</v>
      </c>
      <c r="C3154" t="s">
        <v>659</v>
      </c>
      <c r="D3154" t="s">
        <v>146</v>
      </c>
      <c r="E3154" t="s">
        <v>147</v>
      </c>
      <c r="F3154" t="s">
        <v>1443</v>
      </c>
      <c r="G3154">
        <v>894589</v>
      </c>
      <c r="H3154" t="s">
        <v>1365</v>
      </c>
      <c r="I3154" t="s">
        <v>310</v>
      </c>
      <c r="J3154" t="str">
        <f>"9781441124906"</f>
        <v>9781441124906</v>
      </c>
      <c r="K3154" t="s">
        <v>5569</v>
      </c>
      <c r="L3154">
        <v>18</v>
      </c>
      <c r="O3154" t="s">
        <v>30</v>
      </c>
      <c r="P3154" t="s">
        <v>29</v>
      </c>
      <c r="Q3154" s="1">
        <v>42331.129201388889</v>
      </c>
      <c r="R3154">
        <v>7</v>
      </c>
      <c r="S3154" t="s">
        <v>5570</v>
      </c>
      <c r="T3154" t="s">
        <v>1446</v>
      </c>
      <c r="U3154">
        <v>882.01</v>
      </c>
      <c r="V3154" s="3">
        <v>40976</v>
      </c>
    </row>
    <row r="3155" spans="1:22" x14ac:dyDescent="0.35">
      <c r="A3155" s="1">
        <v>42331.126747685186</v>
      </c>
      <c r="B3155" s="2">
        <v>4.3981481481481481E-4</v>
      </c>
      <c r="C3155" t="s">
        <v>5448</v>
      </c>
      <c r="D3155" t="s">
        <v>23</v>
      </c>
      <c r="E3155" t="s">
        <v>24</v>
      </c>
      <c r="F3155" t="s">
        <v>5449</v>
      </c>
      <c r="G3155">
        <v>1332527</v>
      </c>
      <c r="H3155" t="s">
        <v>26</v>
      </c>
      <c r="I3155" t="s">
        <v>97</v>
      </c>
      <c r="J3155" t="str">
        <f>"9781118720882"</f>
        <v>9781118720882</v>
      </c>
      <c r="K3155" t="s">
        <v>5571</v>
      </c>
      <c r="L3155">
        <v>9</v>
      </c>
      <c r="O3155" t="s">
        <v>30</v>
      </c>
      <c r="P3155" t="s">
        <v>42</v>
      </c>
      <c r="S3155" t="s">
        <v>31</v>
      </c>
      <c r="T3155" t="s">
        <v>5451</v>
      </c>
      <c r="U3155">
        <v>658.11</v>
      </c>
      <c r="V3155" s="3">
        <v>41486</v>
      </c>
    </row>
    <row r="3156" spans="1:22" x14ac:dyDescent="0.35">
      <c r="A3156" s="1">
        <v>42331.121157407404</v>
      </c>
      <c r="B3156" s="2">
        <v>8.0439814814814818E-3</v>
      </c>
      <c r="C3156" t="s">
        <v>659</v>
      </c>
      <c r="D3156" t="s">
        <v>146</v>
      </c>
      <c r="E3156" t="s">
        <v>147</v>
      </c>
      <c r="F3156" t="s">
        <v>1443</v>
      </c>
      <c r="G3156">
        <v>894589</v>
      </c>
      <c r="H3156" t="s">
        <v>1365</v>
      </c>
      <c r="I3156" t="s">
        <v>310</v>
      </c>
      <c r="J3156" t="str">
        <f>"9781441124906"</f>
        <v>9781441124906</v>
      </c>
      <c r="K3156" t="s">
        <v>5572</v>
      </c>
      <c r="L3156">
        <v>24</v>
      </c>
      <c r="O3156" t="s">
        <v>30</v>
      </c>
      <c r="P3156" t="s">
        <v>42</v>
      </c>
      <c r="S3156" t="s">
        <v>5570</v>
      </c>
      <c r="T3156" t="s">
        <v>1446</v>
      </c>
      <c r="U3156">
        <v>882.01</v>
      </c>
      <c r="V3156" s="3">
        <v>40976</v>
      </c>
    </row>
    <row r="3157" spans="1:22" x14ac:dyDescent="0.35">
      <c r="A3157" s="1">
        <v>42331.117939814816</v>
      </c>
      <c r="B3157" s="2">
        <v>0.16436342592592593</v>
      </c>
      <c r="C3157" t="s">
        <v>5573</v>
      </c>
      <c r="D3157" t="s">
        <v>261</v>
      </c>
      <c r="E3157" t="s">
        <v>262</v>
      </c>
      <c r="F3157" t="s">
        <v>5574</v>
      </c>
      <c r="G3157">
        <v>1835691</v>
      </c>
      <c r="H3157" t="s">
        <v>26</v>
      </c>
      <c r="I3157" t="s">
        <v>172</v>
      </c>
      <c r="J3157" t="str">
        <f>"9780745692920"</f>
        <v>9780745692920</v>
      </c>
      <c r="K3157" t="s">
        <v>5575</v>
      </c>
      <c r="L3157">
        <v>41</v>
      </c>
      <c r="O3157" t="s">
        <v>30</v>
      </c>
      <c r="P3157" t="s">
        <v>47</v>
      </c>
      <c r="Q3157" s="1">
        <v>42331.117939814816</v>
      </c>
      <c r="R3157">
        <v>1</v>
      </c>
      <c r="S3157" t="s">
        <v>264</v>
      </c>
      <c r="T3157" t="s">
        <v>5576</v>
      </c>
      <c r="U3157">
        <v>940.53185361299995</v>
      </c>
      <c r="V3157" s="3">
        <v>41949</v>
      </c>
    </row>
    <row r="3158" spans="1:22" x14ac:dyDescent="0.35">
      <c r="A3158" s="1">
        <v>42331.116666666669</v>
      </c>
      <c r="B3158" s="2">
        <v>1.2731481481481483E-3</v>
      </c>
      <c r="C3158" t="s">
        <v>5573</v>
      </c>
      <c r="D3158" t="s">
        <v>261</v>
      </c>
      <c r="E3158" t="s">
        <v>262</v>
      </c>
      <c r="F3158" t="s">
        <v>5574</v>
      </c>
      <c r="G3158">
        <v>1835691</v>
      </c>
      <c r="H3158" t="s">
        <v>26</v>
      </c>
      <c r="I3158" t="s">
        <v>172</v>
      </c>
      <c r="J3158" t="str">
        <f>"9780745692920"</f>
        <v>9780745692920</v>
      </c>
      <c r="K3158" t="s">
        <v>5577</v>
      </c>
      <c r="L3158">
        <v>13</v>
      </c>
      <c r="O3158" t="s">
        <v>30</v>
      </c>
      <c r="P3158" t="s">
        <v>50</v>
      </c>
      <c r="S3158" t="s">
        <v>264</v>
      </c>
      <c r="T3158" t="s">
        <v>5576</v>
      </c>
      <c r="U3158">
        <v>940.53185361299995</v>
      </c>
      <c r="V3158" s="3">
        <v>41949</v>
      </c>
    </row>
    <row r="3159" spans="1:22" x14ac:dyDescent="0.35">
      <c r="A3159" s="1">
        <v>42331.115682870368</v>
      </c>
      <c r="B3159" s="2">
        <v>3.0092592592592595E-4</v>
      </c>
      <c r="C3159" t="s">
        <v>5578</v>
      </c>
      <c r="D3159" t="s">
        <v>1222</v>
      </c>
      <c r="E3159" t="s">
        <v>1223</v>
      </c>
      <c r="F3159" t="s">
        <v>5579</v>
      </c>
      <c r="G3159">
        <v>1774207</v>
      </c>
      <c r="H3159" t="s">
        <v>45</v>
      </c>
      <c r="I3159" t="s">
        <v>120</v>
      </c>
      <c r="J3159" t="str">
        <f>"9781409446422"</f>
        <v>9781409446422</v>
      </c>
      <c r="K3159" t="s">
        <v>5580</v>
      </c>
      <c r="L3159">
        <v>7</v>
      </c>
      <c r="O3159" t="s">
        <v>30</v>
      </c>
      <c r="P3159" t="s">
        <v>50</v>
      </c>
      <c r="S3159" t="s">
        <v>1226</v>
      </c>
      <c r="T3159" t="s">
        <v>5581</v>
      </c>
      <c r="U3159" t="s">
        <v>4971</v>
      </c>
      <c r="V3159" s="3">
        <v>41940</v>
      </c>
    </row>
    <row r="3160" spans="1:22" x14ac:dyDescent="0.35">
      <c r="A3160" s="1">
        <v>42331.113993055558</v>
      </c>
      <c r="B3160" s="2">
        <v>3.1828703703703702E-3</v>
      </c>
      <c r="C3160" t="s">
        <v>5582</v>
      </c>
      <c r="D3160" t="s">
        <v>35</v>
      </c>
      <c r="E3160" t="s">
        <v>36</v>
      </c>
      <c r="F3160" t="s">
        <v>5583</v>
      </c>
      <c r="G3160">
        <v>1209620</v>
      </c>
      <c r="H3160" t="s">
        <v>26</v>
      </c>
      <c r="I3160" t="s">
        <v>97</v>
      </c>
      <c r="J3160" t="str">
        <f>"9781118486115"</f>
        <v>9781118486115</v>
      </c>
      <c r="K3160" t="s">
        <v>5584</v>
      </c>
      <c r="L3160">
        <v>48</v>
      </c>
      <c r="O3160" t="s">
        <v>30</v>
      </c>
      <c r="P3160" t="s">
        <v>50</v>
      </c>
      <c r="S3160" t="s">
        <v>40</v>
      </c>
      <c r="T3160" t="s">
        <v>5585</v>
      </c>
      <c r="U3160">
        <v>658</v>
      </c>
      <c r="V3160" s="3">
        <v>41425</v>
      </c>
    </row>
    <row r="3161" spans="1:22" x14ac:dyDescent="0.35">
      <c r="A3161" s="1">
        <v>42331.112696759257</v>
      </c>
      <c r="B3161" s="2">
        <v>6.2500000000000001E-4</v>
      </c>
      <c r="C3161" t="s">
        <v>3672</v>
      </c>
      <c r="D3161" t="s">
        <v>35</v>
      </c>
      <c r="E3161" t="s">
        <v>36</v>
      </c>
      <c r="F3161" t="s">
        <v>3673</v>
      </c>
      <c r="G3161">
        <v>1816989</v>
      </c>
      <c r="H3161" t="s">
        <v>186</v>
      </c>
      <c r="I3161" t="s">
        <v>3674</v>
      </c>
      <c r="J3161" t="str">
        <f>"9781780644578"</f>
        <v>9781780644578</v>
      </c>
      <c r="K3161" t="s">
        <v>5586</v>
      </c>
      <c r="L3161">
        <v>10</v>
      </c>
      <c r="O3161" t="s">
        <v>30</v>
      </c>
      <c r="P3161" t="s">
        <v>50</v>
      </c>
      <c r="S3161" t="s">
        <v>40</v>
      </c>
      <c r="T3161" t="s">
        <v>3676</v>
      </c>
      <c r="U3161" t="s">
        <v>3677</v>
      </c>
      <c r="V3161" s="3">
        <v>41908</v>
      </c>
    </row>
    <row r="3162" spans="1:22" x14ac:dyDescent="0.35">
      <c r="A3162" s="1">
        <v>42331.102997685186</v>
      </c>
      <c r="B3162" s="2">
        <v>1.0659722222222221E-2</v>
      </c>
      <c r="C3162" t="s">
        <v>5386</v>
      </c>
      <c r="D3162" t="s">
        <v>261</v>
      </c>
      <c r="E3162" t="s">
        <v>262</v>
      </c>
      <c r="F3162" t="s">
        <v>4821</v>
      </c>
      <c r="G3162">
        <v>943645</v>
      </c>
      <c r="H3162" t="s">
        <v>1365</v>
      </c>
      <c r="I3162" t="s">
        <v>172</v>
      </c>
      <c r="J3162" t="str">
        <f>"9781441104755"</f>
        <v>9781441104755</v>
      </c>
      <c r="K3162" t="s">
        <v>5587</v>
      </c>
      <c r="L3162">
        <v>14</v>
      </c>
      <c r="O3162" t="s">
        <v>30</v>
      </c>
      <c r="P3162" t="s">
        <v>29</v>
      </c>
      <c r="Q3162" s="1">
        <v>42331.102997685186</v>
      </c>
      <c r="R3162">
        <v>7</v>
      </c>
      <c r="S3162" t="s">
        <v>264</v>
      </c>
      <c r="T3162" t="s">
        <v>4823</v>
      </c>
      <c r="U3162">
        <v>948.02200000000005</v>
      </c>
      <c r="V3162" s="3">
        <v>41060</v>
      </c>
    </row>
    <row r="3163" spans="1:22" x14ac:dyDescent="0.35">
      <c r="A3163" s="1">
        <v>42331.093414351853</v>
      </c>
      <c r="B3163" s="2">
        <v>9.5833333333333343E-3</v>
      </c>
      <c r="C3163" t="s">
        <v>5386</v>
      </c>
      <c r="D3163" t="s">
        <v>261</v>
      </c>
      <c r="E3163" t="s">
        <v>262</v>
      </c>
      <c r="F3163" t="s">
        <v>4821</v>
      </c>
      <c r="G3163">
        <v>943645</v>
      </c>
      <c r="H3163" t="s">
        <v>1365</v>
      </c>
      <c r="I3163" t="s">
        <v>172</v>
      </c>
      <c r="J3163" t="str">
        <f>"9781441104755"</f>
        <v>9781441104755</v>
      </c>
      <c r="K3163" t="s">
        <v>5588</v>
      </c>
      <c r="L3163">
        <v>13</v>
      </c>
      <c r="O3163" t="s">
        <v>30</v>
      </c>
      <c r="P3163" t="s">
        <v>42</v>
      </c>
      <c r="S3163" t="s">
        <v>264</v>
      </c>
      <c r="T3163" t="s">
        <v>4823</v>
      </c>
      <c r="U3163">
        <v>948.02200000000005</v>
      </c>
      <c r="V3163" s="3">
        <v>41060</v>
      </c>
    </row>
    <row r="3164" spans="1:22" x14ac:dyDescent="0.35">
      <c r="A3164" s="1">
        <v>42331.08997685185</v>
      </c>
      <c r="B3164" s="2">
        <v>1.0069444444444444E-3</v>
      </c>
      <c r="C3164" t="s">
        <v>3725</v>
      </c>
      <c r="D3164" t="s">
        <v>35</v>
      </c>
      <c r="E3164" t="s">
        <v>36</v>
      </c>
      <c r="F3164" t="s">
        <v>5559</v>
      </c>
      <c r="G3164">
        <v>1189103</v>
      </c>
      <c r="H3164" t="s">
        <v>26</v>
      </c>
      <c r="I3164" t="s">
        <v>5560</v>
      </c>
      <c r="J3164" t="str">
        <f>"9781118704530"</f>
        <v>9781118704530</v>
      </c>
      <c r="K3164" t="s">
        <v>5589</v>
      </c>
      <c r="L3164">
        <v>17</v>
      </c>
      <c r="O3164" t="s">
        <v>30</v>
      </c>
      <c r="P3164" t="s">
        <v>50</v>
      </c>
      <c r="S3164" t="s">
        <v>40</v>
      </c>
      <c r="T3164" t="s">
        <v>5562</v>
      </c>
      <c r="U3164" t="s">
        <v>5563</v>
      </c>
      <c r="V3164" s="3">
        <v>41407</v>
      </c>
    </row>
    <row r="3165" spans="1:22" x14ac:dyDescent="0.35">
      <c r="A3165" s="1">
        <v>42331.086481481485</v>
      </c>
      <c r="B3165" s="2">
        <v>5.1909722222222225E-2</v>
      </c>
      <c r="C3165" t="s">
        <v>5564</v>
      </c>
      <c r="D3165" t="s">
        <v>35</v>
      </c>
      <c r="E3165" t="s">
        <v>36</v>
      </c>
      <c r="F3165" t="s">
        <v>5565</v>
      </c>
      <c r="G3165">
        <v>1318934</v>
      </c>
      <c r="H3165" t="s">
        <v>68</v>
      </c>
      <c r="I3165" t="s">
        <v>5566</v>
      </c>
      <c r="J3165" t="str">
        <f>"9781136510601"</f>
        <v>9781136510601</v>
      </c>
      <c r="K3165" t="s">
        <v>5590</v>
      </c>
      <c r="L3165">
        <v>28</v>
      </c>
      <c r="O3165" t="s">
        <v>30</v>
      </c>
      <c r="P3165" t="s">
        <v>50</v>
      </c>
      <c r="S3165" t="s">
        <v>40</v>
      </c>
      <c r="T3165" t="s">
        <v>5568</v>
      </c>
      <c r="U3165">
        <v>613.70420000000001</v>
      </c>
      <c r="V3165" s="3">
        <v>41473</v>
      </c>
    </row>
    <row r="3166" spans="1:22" x14ac:dyDescent="0.35">
      <c r="A3166" s="1">
        <v>42331.086319444446</v>
      </c>
      <c r="B3166" s="2">
        <v>3.7152777777777774E-3</v>
      </c>
      <c r="C3166" t="s">
        <v>5557</v>
      </c>
      <c r="D3166" t="s">
        <v>35</v>
      </c>
      <c r="E3166" t="s">
        <v>36</v>
      </c>
      <c r="F3166" t="s">
        <v>2369</v>
      </c>
      <c r="G3166">
        <v>877782</v>
      </c>
      <c r="H3166" t="s">
        <v>26</v>
      </c>
      <c r="I3166" t="s">
        <v>2370</v>
      </c>
      <c r="J3166" t="str">
        <f>"9781118255407"</f>
        <v>9781118255407</v>
      </c>
      <c r="K3166" t="s">
        <v>5591</v>
      </c>
      <c r="L3166">
        <v>19</v>
      </c>
      <c r="O3166" t="s">
        <v>30</v>
      </c>
      <c r="P3166" t="s">
        <v>29</v>
      </c>
      <c r="Q3166" s="1">
        <v>42329.757453703707</v>
      </c>
      <c r="R3166">
        <v>7</v>
      </c>
      <c r="S3166" t="s">
        <v>40</v>
      </c>
      <c r="T3166" t="s">
        <v>2372</v>
      </c>
      <c r="U3166">
        <v>599.9</v>
      </c>
      <c r="V3166" s="3">
        <v>40994</v>
      </c>
    </row>
    <row r="3167" spans="1:22" x14ac:dyDescent="0.35">
      <c r="A3167" s="1">
        <v>42331.084236111114</v>
      </c>
      <c r="B3167" s="2">
        <v>3.8310185185185183E-3</v>
      </c>
      <c r="C3167" t="s">
        <v>5592</v>
      </c>
      <c r="D3167" t="s">
        <v>623</v>
      </c>
      <c r="E3167" t="s">
        <v>624</v>
      </c>
      <c r="F3167" t="s">
        <v>1698</v>
      </c>
      <c r="G3167">
        <v>1637652</v>
      </c>
      <c r="H3167" t="s">
        <v>84</v>
      </c>
      <c r="I3167" t="s">
        <v>69</v>
      </c>
      <c r="J3167" t="str">
        <f>"9780520958449"</f>
        <v>9780520958449</v>
      </c>
      <c r="K3167" t="s">
        <v>5593</v>
      </c>
      <c r="L3167">
        <v>22</v>
      </c>
      <c r="O3167" t="s">
        <v>30</v>
      </c>
      <c r="P3167" t="s">
        <v>42</v>
      </c>
      <c r="S3167" t="s">
        <v>627</v>
      </c>
      <c r="T3167" t="s">
        <v>1700</v>
      </c>
      <c r="U3167" t="s">
        <v>1701</v>
      </c>
      <c r="V3167" s="3">
        <v>41761</v>
      </c>
    </row>
    <row r="3168" spans="1:22" x14ac:dyDescent="0.35">
      <c r="A3168" s="1">
        <v>42331.08153935185</v>
      </c>
      <c r="B3168" s="2">
        <v>0</v>
      </c>
      <c r="C3168" t="s">
        <v>5594</v>
      </c>
      <c r="D3168" t="s">
        <v>211</v>
      </c>
      <c r="E3168" t="s">
        <v>212</v>
      </c>
      <c r="F3168" t="s">
        <v>5595</v>
      </c>
      <c r="G3168">
        <v>2038001</v>
      </c>
      <c r="H3168" t="s">
        <v>84</v>
      </c>
      <c r="I3168" t="s">
        <v>5596</v>
      </c>
      <c r="J3168" t="str">
        <f>"9780520961296"</f>
        <v>9780520961296</v>
      </c>
      <c r="L3168">
        <v>0</v>
      </c>
      <c r="O3168" t="s">
        <v>28</v>
      </c>
      <c r="P3168" t="s">
        <v>47</v>
      </c>
      <c r="Q3168" s="1">
        <v>42331.08153935185</v>
      </c>
      <c r="R3168">
        <v>1</v>
      </c>
      <c r="S3168" t="s">
        <v>214</v>
      </c>
      <c r="T3168" t="s">
        <v>5597</v>
      </c>
      <c r="U3168">
        <v>641.87199999999996</v>
      </c>
      <c r="V3168" s="3">
        <v>42255</v>
      </c>
    </row>
    <row r="3169" spans="1:22" x14ac:dyDescent="0.35">
      <c r="A3169" s="1">
        <v>42331.08153935185</v>
      </c>
      <c r="B3169" s="2">
        <v>0</v>
      </c>
      <c r="C3169" t="s">
        <v>5594</v>
      </c>
      <c r="D3169" t="s">
        <v>211</v>
      </c>
      <c r="E3169" t="s">
        <v>212</v>
      </c>
      <c r="F3169" t="s">
        <v>5595</v>
      </c>
      <c r="G3169">
        <v>2038001</v>
      </c>
      <c r="H3169" t="s">
        <v>84</v>
      </c>
      <c r="I3169" t="s">
        <v>5596</v>
      </c>
      <c r="J3169" t="str">
        <f>"9780520961296"</f>
        <v>9780520961296</v>
      </c>
      <c r="L3169">
        <v>0</v>
      </c>
      <c r="O3169" t="s">
        <v>30</v>
      </c>
      <c r="P3169" t="s">
        <v>47</v>
      </c>
      <c r="Q3169" s="1">
        <v>42331.08153935185</v>
      </c>
      <c r="R3169">
        <v>1</v>
      </c>
      <c r="S3169" t="s">
        <v>214</v>
      </c>
      <c r="T3169" t="s">
        <v>5597</v>
      </c>
      <c r="U3169">
        <v>641.87199999999996</v>
      </c>
      <c r="V3169" s="3">
        <v>42255</v>
      </c>
    </row>
    <row r="3170" spans="1:22" x14ac:dyDescent="0.35">
      <c r="A3170" s="1">
        <v>42331.08011574074</v>
      </c>
      <c r="B3170" s="2">
        <v>1.423611111111111E-3</v>
      </c>
      <c r="C3170" t="s">
        <v>5594</v>
      </c>
      <c r="D3170" t="s">
        <v>211</v>
      </c>
      <c r="E3170" t="s">
        <v>212</v>
      </c>
      <c r="F3170" t="s">
        <v>5595</v>
      </c>
      <c r="G3170">
        <v>2038001</v>
      </c>
      <c r="H3170" t="s">
        <v>84</v>
      </c>
      <c r="I3170" t="s">
        <v>5596</v>
      </c>
      <c r="J3170" t="str">
        <f>"9780520961296"</f>
        <v>9780520961296</v>
      </c>
      <c r="K3170" t="s">
        <v>5598</v>
      </c>
      <c r="L3170">
        <v>18</v>
      </c>
      <c r="O3170" t="s">
        <v>30</v>
      </c>
      <c r="P3170" t="s">
        <v>50</v>
      </c>
      <c r="S3170" t="s">
        <v>214</v>
      </c>
      <c r="T3170" t="s">
        <v>5597</v>
      </c>
      <c r="U3170">
        <v>641.87199999999996</v>
      </c>
      <c r="V3170" s="3">
        <v>42255</v>
      </c>
    </row>
    <row r="3171" spans="1:22" x14ac:dyDescent="0.35">
      <c r="A3171" s="1">
        <v>42331.078101851854</v>
      </c>
      <c r="B3171" s="2">
        <v>2.0833333333333335E-4</v>
      </c>
      <c r="C3171" t="s">
        <v>5592</v>
      </c>
      <c r="D3171" t="s">
        <v>623</v>
      </c>
      <c r="E3171" t="s">
        <v>624</v>
      </c>
      <c r="F3171" t="s">
        <v>1698</v>
      </c>
      <c r="G3171">
        <v>1637652</v>
      </c>
      <c r="H3171" t="s">
        <v>84</v>
      </c>
      <c r="I3171" t="s">
        <v>69</v>
      </c>
      <c r="J3171" t="str">
        <f>"9780520958449"</f>
        <v>9780520958449</v>
      </c>
      <c r="K3171" t="s">
        <v>105</v>
      </c>
      <c r="L3171">
        <v>1</v>
      </c>
      <c r="O3171" t="s">
        <v>30</v>
      </c>
      <c r="P3171" t="s">
        <v>42</v>
      </c>
      <c r="S3171" t="s">
        <v>627</v>
      </c>
      <c r="T3171" t="s">
        <v>1700</v>
      </c>
      <c r="U3171" t="s">
        <v>1701</v>
      </c>
      <c r="V3171" s="3">
        <v>41761</v>
      </c>
    </row>
    <row r="3172" spans="1:22" x14ac:dyDescent="0.35">
      <c r="A3172" s="1">
        <v>42331.077581018515</v>
      </c>
      <c r="B3172" s="2">
        <v>1.8518518518518518E-4</v>
      </c>
      <c r="C3172" t="s">
        <v>3372</v>
      </c>
      <c r="D3172" t="s">
        <v>623</v>
      </c>
      <c r="E3172" t="s">
        <v>624</v>
      </c>
      <c r="F3172" t="s">
        <v>5599</v>
      </c>
      <c r="G3172">
        <v>1895186</v>
      </c>
      <c r="H3172" t="s">
        <v>26</v>
      </c>
      <c r="I3172" t="s">
        <v>150</v>
      </c>
      <c r="J3172" t="str">
        <f>"9781118983508"</f>
        <v>9781118983508</v>
      </c>
      <c r="K3172" t="s">
        <v>209</v>
      </c>
      <c r="L3172">
        <v>4</v>
      </c>
      <c r="O3172" t="s">
        <v>30</v>
      </c>
      <c r="P3172" t="s">
        <v>50</v>
      </c>
      <c r="S3172" t="s">
        <v>627</v>
      </c>
      <c r="T3172" t="s">
        <v>5600</v>
      </c>
      <c r="U3172">
        <v>778.59</v>
      </c>
      <c r="V3172" s="3">
        <v>42076</v>
      </c>
    </row>
    <row r="3173" spans="1:22" x14ac:dyDescent="0.35">
      <c r="A3173" s="1">
        <v>42331.068807870368</v>
      </c>
      <c r="B3173" s="2">
        <v>4.2824074074074075E-4</v>
      </c>
      <c r="C3173" t="s">
        <v>5601</v>
      </c>
      <c r="D3173" t="s">
        <v>23</v>
      </c>
      <c r="E3173" t="s">
        <v>24</v>
      </c>
      <c r="F3173" t="s">
        <v>3559</v>
      </c>
      <c r="G3173">
        <v>1217954</v>
      </c>
      <c r="H3173" t="s">
        <v>45</v>
      </c>
      <c r="I3173" t="s">
        <v>3560</v>
      </c>
      <c r="J3173" t="str">
        <f>"9781409457558"</f>
        <v>9781409457558</v>
      </c>
      <c r="K3173" t="s">
        <v>5602</v>
      </c>
      <c r="L3173">
        <v>10</v>
      </c>
      <c r="O3173" t="s">
        <v>30</v>
      </c>
      <c r="P3173" t="s">
        <v>42</v>
      </c>
      <c r="S3173" t="s">
        <v>31</v>
      </c>
      <c r="T3173" t="s">
        <v>3562</v>
      </c>
      <c r="U3173" t="s">
        <v>3563</v>
      </c>
      <c r="V3173" s="3">
        <v>41575</v>
      </c>
    </row>
    <row r="3174" spans="1:22" x14ac:dyDescent="0.35">
      <c r="A3174" s="1">
        <v>42331.042210648149</v>
      </c>
      <c r="B3174" s="2">
        <v>1.423611111111111E-3</v>
      </c>
      <c r="C3174" t="s">
        <v>5603</v>
      </c>
      <c r="D3174" t="s">
        <v>35</v>
      </c>
      <c r="E3174" t="s">
        <v>36</v>
      </c>
      <c r="F3174" t="s">
        <v>5604</v>
      </c>
      <c r="G3174">
        <v>1344659</v>
      </c>
      <c r="H3174" t="s">
        <v>68</v>
      </c>
      <c r="I3174" t="s">
        <v>328</v>
      </c>
      <c r="J3174" t="str">
        <f>"9781135017064"</f>
        <v>9781135017064</v>
      </c>
      <c r="K3174" t="s">
        <v>5605</v>
      </c>
      <c r="L3174">
        <v>35</v>
      </c>
      <c r="O3174" t="s">
        <v>30</v>
      </c>
      <c r="P3174" t="s">
        <v>50</v>
      </c>
      <c r="S3174" t="s">
        <v>40</v>
      </c>
      <c r="T3174" t="s">
        <v>5606</v>
      </c>
      <c r="U3174">
        <v>362.29509730000001</v>
      </c>
      <c r="V3174" s="3">
        <v>41501</v>
      </c>
    </row>
    <row r="3175" spans="1:22" x14ac:dyDescent="0.35">
      <c r="A3175" s="1">
        <v>42331.035208333335</v>
      </c>
      <c r="B3175" s="2">
        <v>6.3657407407407404E-3</v>
      </c>
      <c r="C3175" t="s">
        <v>5607</v>
      </c>
      <c r="D3175" t="s">
        <v>211</v>
      </c>
      <c r="E3175" t="s">
        <v>212</v>
      </c>
      <c r="F3175" t="s">
        <v>2200</v>
      </c>
      <c r="G3175">
        <v>1119449</v>
      </c>
      <c r="H3175" t="s">
        <v>26</v>
      </c>
      <c r="I3175" t="s">
        <v>219</v>
      </c>
      <c r="J3175" t="str">
        <f>"9781118482230"</f>
        <v>9781118482230</v>
      </c>
      <c r="K3175" t="s">
        <v>5608</v>
      </c>
      <c r="L3175">
        <v>33</v>
      </c>
      <c r="O3175" t="s">
        <v>30</v>
      </c>
      <c r="P3175" t="s">
        <v>42</v>
      </c>
      <c r="S3175" t="s">
        <v>214</v>
      </c>
      <c r="T3175" t="s">
        <v>2203</v>
      </c>
      <c r="U3175" t="s">
        <v>2204</v>
      </c>
      <c r="V3175" s="3">
        <v>41302</v>
      </c>
    </row>
    <row r="3176" spans="1:22" x14ac:dyDescent="0.35">
      <c r="A3176" s="1">
        <v>42331.017789351848</v>
      </c>
      <c r="B3176" s="2">
        <v>1.0763888888888889E-3</v>
      </c>
      <c r="C3176" t="s">
        <v>5609</v>
      </c>
      <c r="D3176" t="s">
        <v>35</v>
      </c>
      <c r="E3176" t="s">
        <v>36</v>
      </c>
      <c r="F3176" t="s">
        <v>5610</v>
      </c>
      <c r="G3176">
        <v>1337527</v>
      </c>
      <c r="H3176" t="s">
        <v>68</v>
      </c>
      <c r="I3176" t="s">
        <v>69</v>
      </c>
      <c r="J3176" t="str">
        <f>"9781317923541"</f>
        <v>9781317923541</v>
      </c>
      <c r="K3176" t="s">
        <v>5611</v>
      </c>
      <c r="L3176">
        <v>6</v>
      </c>
      <c r="O3176" t="s">
        <v>30</v>
      </c>
      <c r="P3176" t="s">
        <v>47</v>
      </c>
      <c r="Q3176" s="1">
        <v>42331.017789351848</v>
      </c>
      <c r="R3176">
        <v>1</v>
      </c>
      <c r="S3176" t="s">
        <v>40</v>
      </c>
      <c r="T3176" t="s">
        <v>5612</v>
      </c>
      <c r="U3176">
        <v>370.97300000000001</v>
      </c>
      <c r="V3176" s="3">
        <v>41492</v>
      </c>
    </row>
    <row r="3177" spans="1:22" x14ac:dyDescent="0.35">
      <c r="A3177" s="1">
        <v>42331.014293981483</v>
      </c>
      <c r="B3177" s="2">
        <v>3.4953703703703705E-3</v>
      </c>
      <c r="C3177" t="s">
        <v>5609</v>
      </c>
      <c r="D3177" t="s">
        <v>35</v>
      </c>
      <c r="E3177" t="s">
        <v>36</v>
      </c>
      <c r="F3177" t="s">
        <v>5610</v>
      </c>
      <c r="G3177">
        <v>1337527</v>
      </c>
      <c r="H3177" t="s">
        <v>68</v>
      </c>
      <c r="I3177" t="s">
        <v>69</v>
      </c>
      <c r="J3177" t="str">
        <f>"9781317923541"</f>
        <v>9781317923541</v>
      </c>
      <c r="K3177" t="s">
        <v>5613</v>
      </c>
      <c r="L3177">
        <v>24</v>
      </c>
      <c r="O3177" t="s">
        <v>30</v>
      </c>
      <c r="P3177" t="s">
        <v>50</v>
      </c>
      <c r="S3177" t="s">
        <v>40</v>
      </c>
      <c r="T3177" t="s">
        <v>5612</v>
      </c>
      <c r="U3177">
        <v>370.97300000000001</v>
      </c>
      <c r="V3177" s="3">
        <v>41492</v>
      </c>
    </row>
    <row r="3178" spans="1:22" x14ac:dyDescent="0.35">
      <c r="A3178" s="1">
        <v>42331.005659722221</v>
      </c>
      <c r="B3178" s="2">
        <v>4.9189814814814816E-3</v>
      </c>
      <c r="C3178" t="s">
        <v>5609</v>
      </c>
      <c r="D3178" t="s">
        <v>35</v>
      </c>
      <c r="E3178" t="s">
        <v>36</v>
      </c>
      <c r="F3178" t="s">
        <v>3099</v>
      </c>
      <c r="G3178">
        <v>1422383</v>
      </c>
      <c r="H3178" t="s">
        <v>68</v>
      </c>
      <c r="I3178" t="s">
        <v>69</v>
      </c>
      <c r="J3178" t="str">
        <f>"9781317922254"</f>
        <v>9781317922254</v>
      </c>
      <c r="K3178" t="s">
        <v>5614</v>
      </c>
      <c r="L3178">
        <v>36</v>
      </c>
      <c r="O3178" t="s">
        <v>30</v>
      </c>
      <c r="P3178" t="s">
        <v>47</v>
      </c>
      <c r="Q3178" s="1">
        <v>42331.005659722221</v>
      </c>
      <c r="R3178">
        <v>1</v>
      </c>
      <c r="S3178" t="s">
        <v>40</v>
      </c>
      <c r="T3178" t="s">
        <v>3101</v>
      </c>
      <c r="U3178">
        <v>371.2</v>
      </c>
      <c r="V3178" s="3">
        <v>41544</v>
      </c>
    </row>
    <row r="3179" spans="1:22" x14ac:dyDescent="0.35">
      <c r="A3179" s="1">
        <v>42331.001886574071</v>
      </c>
      <c r="B3179" s="2">
        <v>3.7731481481481483E-3</v>
      </c>
      <c r="C3179" t="s">
        <v>5609</v>
      </c>
      <c r="D3179" t="s">
        <v>35</v>
      </c>
      <c r="E3179" t="s">
        <v>36</v>
      </c>
      <c r="F3179" t="s">
        <v>3099</v>
      </c>
      <c r="G3179">
        <v>1422383</v>
      </c>
      <c r="H3179" t="s">
        <v>68</v>
      </c>
      <c r="I3179" t="s">
        <v>69</v>
      </c>
      <c r="J3179" t="str">
        <f>"9781317922254"</f>
        <v>9781317922254</v>
      </c>
      <c r="K3179" t="s">
        <v>5615</v>
      </c>
      <c r="L3179">
        <v>11</v>
      </c>
      <c r="O3179" t="s">
        <v>30</v>
      </c>
      <c r="P3179" t="s">
        <v>50</v>
      </c>
      <c r="S3179" t="s">
        <v>40</v>
      </c>
      <c r="T3179" t="s">
        <v>3101</v>
      </c>
      <c r="U3179">
        <v>371.2</v>
      </c>
      <c r="V3179" s="3">
        <v>41544</v>
      </c>
    </row>
    <row r="3180" spans="1:22" x14ac:dyDescent="0.35">
      <c r="A3180" s="1">
        <v>42330.973275462966</v>
      </c>
      <c r="B3180" s="2">
        <v>4.9768518518518521E-4</v>
      </c>
      <c r="C3180" t="s">
        <v>5616</v>
      </c>
      <c r="D3180" t="s">
        <v>623</v>
      </c>
      <c r="E3180" t="s">
        <v>624</v>
      </c>
      <c r="F3180" t="s">
        <v>5617</v>
      </c>
      <c r="G3180">
        <v>2037989</v>
      </c>
      <c r="H3180" t="s">
        <v>26</v>
      </c>
      <c r="I3180" t="s">
        <v>69</v>
      </c>
      <c r="J3180" t="str">
        <f>"9781118977774"</f>
        <v>9781118977774</v>
      </c>
      <c r="K3180" t="s">
        <v>5618</v>
      </c>
      <c r="L3180">
        <v>8</v>
      </c>
      <c r="O3180" t="s">
        <v>30</v>
      </c>
      <c r="P3180" t="s">
        <v>29</v>
      </c>
      <c r="Q3180" s="1">
        <v>42330.866400462961</v>
      </c>
      <c r="R3180">
        <v>7</v>
      </c>
      <c r="S3180" t="s">
        <v>627</v>
      </c>
      <c r="T3180" t="s">
        <v>5619</v>
      </c>
      <c r="U3180">
        <v>371.10199999999998</v>
      </c>
      <c r="V3180" s="3">
        <v>42121</v>
      </c>
    </row>
    <row r="3181" spans="1:22" x14ac:dyDescent="0.35">
      <c r="A3181" s="1">
        <v>42330.972256944442</v>
      </c>
      <c r="B3181" s="2">
        <v>0</v>
      </c>
      <c r="C3181" t="s">
        <v>4282</v>
      </c>
      <c r="D3181" t="s">
        <v>623</v>
      </c>
      <c r="E3181" t="s">
        <v>624</v>
      </c>
      <c r="F3181" t="s">
        <v>5620</v>
      </c>
      <c r="G3181">
        <v>1895565</v>
      </c>
      <c r="H3181" t="s">
        <v>26</v>
      </c>
      <c r="I3181" t="s">
        <v>247</v>
      </c>
      <c r="J3181" t="str">
        <f>"9781118732779"</f>
        <v>9781118732779</v>
      </c>
      <c r="L3181">
        <v>0</v>
      </c>
      <c r="M3181" t="s">
        <v>5621</v>
      </c>
      <c r="O3181" t="s">
        <v>28</v>
      </c>
      <c r="P3181" t="s">
        <v>29</v>
      </c>
      <c r="Q3181" s="1">
        <v>42326.928541666668</v>
      </c>
      <c r="R3181">
        <v>7</v>
      </c>
      <c r="S3181" t="s">
        <v>627</v>
      </c>
      <c r="T3181" t="s">
        <v>5622</v>
      </c>
      <c r="U3181" t="s">
        <v>5623</v>
      </c>
      <c r="V3181" s="3">
        <v>42073</v>
      </c>
    </row>
    <row r="3182" spans="1:22" x14ac:dyDescent="0.35">
      <c r="A3182" s="1">
        <v>42330.972129629627</v>
      </c>
      <c r="B3182" s="2">
        <v>0</v>
      </c>
      <c r="C3182" t="s">
        <v>4282</v>
      </c>
      <c r="D3182" t="s">
        <v>623</v>
      </c>
      <c r="E3182" t="s">
        <v>624</v>
      </c>
      <c r="F3182" t="s">
        <v>5620</v>
      </c>
      <c r="G3182">
        <v>1895565</v>
      </c>
      <c r="H3182" t="s">
        <v>26</v>
      </c>
      <c r="I3182" t="s">
        <v>247</v>
      </c>
      <c r="J3182" t="str">
        <f>"9781118732779"</f>
        <v>9781118732779</v>
      </c>
      <c r="L3182">
        <v>0</v>
      </c>
      <c r="O3182" t="s">
        <v>28</v>
      </c>
      <c r="P3182" t="s">
        <v>29</v>
      </c>
      <c r="Q3182" s="1">
        <v>42326.928541666668</v>
      </c>
      <c r="R3182">
        <v>7</v>
      </c>
      <c r="S3182" t="s">
        <v>627</v>
      </c>
      <c r="T3182" t="s">
        <v>5622</v>
      </c>
      <c r="U3182" t="s">
        <v>5623</v>
      </c>
      <c r="V3182" s="3">
        <v>42073</v>
      </c>
    </row>
    <row r="3183" spans="1:22" x14ac:dyDescent="0.35">
      <c r="A3183" s="1">
        <v>42330.970532407409</v>
      </c>
      <c r="B3183" s="2">
        <v>0</v>
      </c>
      <c r="C3183" t="s">
        <v>4282</v>
      </c>
      <c r="D3183" t="s">
        <v>623</v>
      </c>
      <c r="E3183" t="s">
        <v>624</v>
      </c>
      <c r="F3183" t="s">
        <v>5620</v>
      </c>
      <c r="G3183">
        <v>1895565</v>
      </c>
      <c r="H3183" t="s">
        <v>26</v>
      </c>
      <c r="I3183" t="s">
        <v>247</v>
      </c>
      <c r="J3183" t="str">
        <f>"9781118732779"</f>
        <v>9781118732779</v>
      </c>
      <c r="L3183">
        <v>0</v>
      </c>
      <c r="O3183" t="s">
        <v>28</v>
      </c>
      <c r="P3183" t="s">
        <v>29</v>
      </c>
      <c r="Q3183" s="1">
        <v>42326.928541666668</v>
      </c>
      <c r="R3183">
        <v>7</v>
      </c>
      <c r="S3183" t="s">
        <v>627</v>
      </c>
      <c r="T3183" t="s">
        <v>5622</v>
      </c>
      <c r="U3183" t="s">
        <v>5623</v>
      </c>
      <c r="V3183" s="3">
        <v>42073</v>
      </c>
    </row>
    <row r="3184" spans="1:22" x14ac:dyDescent="0.35">
      <c r="A3184" s="1">
        <v>42330.967627314814</v>
      </c>
      <c r="B3184" s="2">
        <v>2.6967592592592594E-3</v>
      </c>
      <c r="C3184" t="s">
        <v>4282</v>
      </c>
      <c r="D3184" t="s">
        <v>623</v>
      </c>
      <c r="E3184" t="s">
        <v>624</v>
      </c>
      <c r="F3184" t="s">
        <v>5620</v>
      </c>
      <c r="G3184">
        <v>1895565</v>
      </c>
      <c r="H3184" t="s">
        <v>26</v>
      </c>
      <c r="I3184" t="s">
        <v>247</v>
      </c>
      <c r="J3184" t="str">
        <f>"9781118732779"</f>
        <v>9781118732779</v>
      </c>
      <c r="K3184" t="s">
        <v>5624</v>
      </c>
      <c r="L3184">
        <v>79</v>
      </c>
      <c r="O3184" t="s">
        <v>30</v>
      </c>
      <c r="P3184" t="s">
        <v>29</v>
      </c>
      <c r="Q3184" s="1">
        <v>42326.928541666668</v>
      </c>
      <c r="R3184">
        <v>7</v>
      </c>
      <c r="S3184" t="s">
        <v>627</v>
      </c>
      <c r="T3184" t="s">
        <v>5622</v>
      </c>
      <c r="U3184" t="s">
        <v>5623</v>
      </c>
      <c r="V3184" s="3">
        <v>42073</v>
      </c>
    </row>
    <row r="3185" spans="1:22" x14ac:dyDescent="0.35">
      <c r="A3185" s="1">
        <v>42330.96665509259</v>
      </c>
      <c r="B3185" s="2">
        <v>1.9675925925925926E-4</v>
      </c>
      <c r="C3185" t="s">
        <v>950</v>
      </c>
      <c r="D3185" t="s">
        <v>623</v>
      </c>
      <c r="E3185" t="s">
        <v>624</v>
      </c>
      <c r="F3185" t="s">
        <v>4472</v>
      </c>
      <c r="G3185">
        <v>1873101</v>
      </c>
      <c r="H3185" t="s">
        <v>26</v>
      </c>
      <c r="I3185" t="s">
        <v>69</v>
      </c>
      <c r="J3185" t="str">
        <f>"9781118762233"</f>
        <v>9781118762233</v>
      </c>
      <c r="K3185" t="s">
        <v>5625</v>
      </c>
      <c r="L3185">
        <v>10</v>
      </c>
      <c r="N3185" t="s">
        <v>5626</v>
      </c>
      <c r="O3185" t="s">
        <v>30</v>
      </c>
      <c r="P3185" t="s">
        <v>29</v>
      </c>
      <c r="Q3185" s="1">
        <v>42330.570196759261</v>
      </c>
      <c r="R3185">
        <v>7</v>
      </c>
      <c r="S3185" t="s">
        <v>627</v>
      </c>
      <c r="T3185" t="s">
        <v>4474</v>
      </c>
      <c r="U3185" t="s">
        <v>4475</v>
      </c>
      <c r="V3185" s="3">
        <v>41975</v>
      </c>
    </row>
    <row r="3186" spans="1:22" x14ac:dyDescent="0.35">
      <c r="A3186" s="1">
        <v>42330.965011574073</v>
      </c>
      <c r="B3186" s="2">
        <v>3.4722222222222222E-5</v>
      </c>
      <c r="C3186" t="s">
        <v>950</v>
      </c>
      <c r="D3186" t="s">
        <v>623</v>
      </c>
      <c r="E3186" t="s">
        <v>624</v>
      </c>
      <c r="F3186" t="s">
        <v>5627</v>
      </c>
      <c r="G3186">
        <v>1887751</v>
      </c>
      <c r="H3186" t="s">
        <v>26</v>
      </c>
      <c r="I3186" t="s">
        <v>435</v>
      </c>
      <c r="J3186" t="str">
        <f>"9781118779903"</f>
        <v>9781118779903</v>
      </c>
      <c r="K3186" t="s">
        <v>33</v>
      </c>
      <c r="L3186">
        <v>3</v>
      </c>
      <c r="O3186" t="s">
        <v>30</v>
      </c>
      <c r="P3186" t="s">
        <v>42</v>
      </c>
      <c r="S3186" t="s">
        <v>627</v>
      </c>
      <c r="T3186" t="s">
        <v>5628</v>
      </c>
      <c r="U3186" t="s">
        <v>5629</v>
      </c>
      <c r="V3186" s="3">
        <v>42041</v>
      </c>
    </row>
    <row r="3187" spans="1:22" x14ac:dyDescent="0.35">
      <c r="A3187" s="1">
        <v>42330.955659722225</v>
      </c>
      <c r="B3187" s="2">
        <v>5.2430555555555555E-3</v>
      </c>
      <c r="C3187" t="s">
        <v>5630</v>
      </c>
      <c r="D3187" t="s">
        <v>1222</v>
      </c>
      <c r="E3187" t="s">
        <v>1223</v>
      </c>
      <c r="F3187" t="s">
        <v>5631</v>
      </c>
      <c r="G3187">
        <v>1650364</v>
      </c>
      <c r="H3187" t="s">
        <v>84</v>
      </c>
      <c r="I3187" t="s">
        <v>5632</v>
      </c>
      <c r="J3187" t="str">
        <f>"9780520958272"</f>
        <v>9780520958272</v>
      </c>
      <c r="K3187" t="s">
        <v>5633</v>
      </c>
      <c r="L3187">
        <v>2</v>
      </c>
      <c r="O3187" t="s">
        <v>30</v>
      </c>
      <c r="P3187" t="s">
        <v>42</v>
      </c>
      <c r="S3187" t="s">
        <v>1226</v>
      </c>
      <c r="T3187" t="s">
        <v>5634</v>
      </c>
      <c r="U3187" t="s">
        <v>5635</v>
      </c>
      <c r="V3187" s="3">
        <v>41779</v>
      </c>
    </row>
    <row r="3188" spans="1:22" x14ac:dyDescent="0.35">
      <c r="A3188" s="1">
        <v>42330.951203703706</v>
      </c>
      <c r="B3188" s="2">
        <v>4.4444444444444444E-3</v>
      </c>
      <c r="C3188" t="s">
        <v>5630</v>
      </c>
      <c r="D3188" t="s">
        <v>1222</v>
      </c>
      <c r="E3188" t="s">
        <v>1223</v>
      </c>
      <c r="F3188" t="s">
        <v>5631</v>
      </c>
      <c r="G3188">
        <v>1650364</v>
      </c>
      <c r="H3188" t="s">
        <v>84</v>
      </c>
      <c r="I3188" t="s">
        <v>5632</v>
      </c>
      <c r="J3188" t="str">
        <f>"9780520958272"</f>
        <v>9780520958272</v>
      </c>
      <c r="K3188" t="s">
        <v>5636</v>
      </c>
      <c r="L3188">
        <v>14</v>
      </c>
      <c r="O3188" t="s">
        <v>30</v>
      </c>
      <c r="P3188" t="s">
        <v>50</v>
      </c>
      <c r="S3188" t="s">
        <v>1226</v>
      </c>
      <c r="T3188" t="s">
        <v>5634</v>
      </c>
      <c r="U3188" t="s">
        <v>5635</v>
      </c>
      <c r="V3188" s="3">
        <v>41779</v>
      </c>
    </row>
    <row r="3189" spans="1:22" x14ac:dyDescent="0.35">
      <c r="A3189" s="1">
        <v>42330.937754629631</v>
      </c>
      <c r="B3189" s="2">
        <v>1.689814814814815E-3</v>
      </c>
      <c r="C3189" t="s">
        <v>5368</v>
      </c>
      <c r="D3189" t="s">
        <v>23</v>
      </c>
      <c r="E3189" t="s">
        <v>24</v>
      </c>
      <c r="F3189" t="s">
        <v>5369</v>
      </c>
      <c r="G3189">
        <v>1784645</v>
      </c>
      <c r="H3189" t="s">
        <v>45</v>
      </c>
      <c r="I3189" t="s">
        <v>5370</v>
      </c>
      <c r="J3189" t="str">
        <f>"9781472423672"</f>
        <v>9781472423672</v>
      </c>
      <c r="K3189" t="s">
        <v>5637</v>
      </c>
      <c r="L3189">
        <v>3</v>
      </c>
      <c r="O3189" t="s">
        <v>30</v>
      </c>
      <c r="P3189" t="s">
        <v>47</v>
      </c>
      <c r="Q3189" s="1">
        <v>42330.937754629631</v>
      </c>
      <c r="R3189">
        <v>1</v>
      </c>
      <c r="S3189" t="s">
        <v>31</v>
      </c>
      <c r="T3189" t="s">
        <v>5372</v>
      </c>
      <c r="U3189" t="s">
        <v>5373</v>
      </c>
      <c r="V3189" s="3">
        <v>41971</v>
      </c>
    </row>
    <row r="3190" spans="1:22" x14ac:dyDescent="0.35">
      <c r="A3190" s="1">
        <v>42330.934189814812</v>
      </c>
      <c r="B3190" s="2">
        <v>3.5648148148148154E-3</v>
      </c>
      <c r="C3190" t="s">
        <v>5368</v>
      </c>
      <c r="D3190" t="s">
        <v>23</v>
      </c>
      <c r="E3190" t="s">
        <v>24</v>
      </c>
      <c r="F3190" t="s">
        <v>5369</v>
      </c>
      <c r="G3190">
        <v>1784645</v>
      </c>
      <c r="H3190" t="s">
        <v>45</v>
      </c>
      <c r="I3190" t="s">
        <v>5370</v>
      </c>
      <c r="J3190" t="str">
        <f>"9781472423672"</f>
        <v>9781472423672</v>
      </c>
      <c r="K3190" t="s">
        <v>5638</v>
      </c>
      <c r="L3190">
        <v>23</v>
      </c>
      <c r="O3190" t="s">
        <v>30</v>
      </c>
      <c r="P3190" t="s">
        <v>50</v>
      </c>
      <c r="S3190" t="s">
        <v>31</v>
      </c>
      <c r="T3190" t="s">
        <v>5372</v>
      </c>
      <c r="U3190" t="s">
        <v>5373</v>
      </c>
      <c r="V3190" s="3">
        <v>41971</v>
      </c>
    </row>
    <row r="3191" spans="1:22" x14ac:dyDescent="0.35">
      <c r="A3191" s="1">
        <v>42330.93074074074</v>
      </c>
      <c r="B3191" s="2">
        <v>5.7870370370370366E-5</v>
      </c>
      <c r="C3191" t="s">
        <v>5639</v>
      </c>
      <c r="D3191" t="s">
        <v>261</v>
      </c>
      <c r="E3191" t="s">
        <v>262</v>
      </c>
      <c r="F3191" t="s">
        <v>4821</v>
      </c>
      <c r="G3191">
        <v>943645</v>
      </c>
      <c r="H3191" t="s">
        <v>1365</v>
      </c>
      <c r="I3191" t="s">
        <v>172</v>
      </c>
      <c r="J3191" t="str">
        <f>"9781441104755"</f>
        <v>9781441104755</v>
      </c>
      <c r="K3191" t="s">
        <v>5640</v>
      </c>
      <c r="L3191">
        <v>2</v>
      </c>
      <c r="O3191" t="s">
        <v>30</v>
      </c>
      <c r="P3191" t="s">
        <v>29</v>
      </c>
      <c r="Q3191" s="1">
        <v>42330.93074074074</v>
      </c>
      <c r="R3191">
        <v>7</v>
      </c>
      <c r="S3191" t="s">
        <v>264</v>
      </c>
      <c r="T3191" t="s">
        <v>4823</v>
      </c>
      <c r="U3191">
        <v>948.02200000000005</v>
      </c>
      <c r="V3191" s="3">
        <v>41060</v>
      </c>
    </row>
    <row r="3192" spans="1:22" x14ac:dyDescent="0.35">
      <c r="A3192" s="1">
        <v>42330.923622685186</v>
      </c>
      <c r="B3192" s="2">
        <v>7.1180555555555554E-3</v>
      </c>
      <c r="C3192" t="s">
        <v>5639</v>
      </c>
      <c r="D3192" t="s">
        <v>261</v>
      </c>
      <c r="E3192" t="s">
        <v>262</v>
      </c>
      <c r="F3192" t="s">
        <v>4821</v>
      </c>
      <c r="G3192">
        <v>943645</v>
      </c>
      <c r="H3192" t="s">
        <v>1365</v>
      </c>
      <c r="I3192" t="s">
        <v>172</v>
      </c>
      <c r="J3192" t="str">
        <f>"9781441104755"</f>
        <v>9781441104755</v>
      </c>
      <c r="K3192" t="s">
        <v>5641</v>
      </c>
      <c r="L3192">
        <v>30</v>
      </c>
      <c r="O3192" t="s">
        <v>30</v>
      </c>
      <c r="P3192" t="s">
        <v>42</v>
      </c>
      <c r="S3192" t="s">
        <v>264</v>
      </c>
      <c r="T3192" t="s">
        <v>4823</v>
      </c>
      <c r="U3192">
        <v>948.02200000000005</v>
      </c>
      <c r="V3192" s="3">
        <v>41060</v>
      </c>
    </row>
    <row r="3193" spans="1:22" x14ac:dyDescent="0.35">
      <c r="A3193" s="1">
        <v>42330.921365740738</v>
      </c>
      <c r="B3193" s="2">
        <v>4.6643518518518522E-2</v>
      </c>
      <c r="C3193" t="s">
        <v>5465</v>
      </c>
      <c r="D3193" t="s">
        <v>35</v>
      </c>
      <c r="E3193" t="s">
        <v>36</v>
      </c>
      <c r="F3193" t="s">
        <v>5120</v>
      </c>
      <c r="G3193">
        <v>1337521</v>
      </c>
      <c r="H3193" t="s">
        <v>68</v>
      </c>
      <c r="I3193" t="s">
        <v>69</v>
      </c>
      <c r="J3193" t="str">
        <f>"9781317922049"</f>
        <v>9781317922049</v>
      </c>
      <c r="K3193" t="s">
        <v>5642</v>
      </c>
      <c r="L3193">
        <v>51</v>
      </c>
      <c r="O3193" t="s">
        <v>30</v>
      </c>
      <c r="P3193" t="s">
        <v>47</v>
      </c>
      <c r="Q3193" s="1">
        <v>42330.921365740738</v>
      </c>
      <c r="R3193">
        <v>1</v>
      </c>
      <c r="S3193" t="s">
        <v>40</v>
      </c>
      <c r="T3193" t="s">
        <v>5122</v>
      </c>
      <c r="U3193">
        <v>371.20097299999998</v>
      </c>
      <c r="V3193" s="3">
        <v>41492</v>
      </c>
    </row>
    <row r="3194" spans="1:22" x14ac:dyDescent="0.35">
      <c r="A3194" s="1">
        <v>42330.881689814814</v>
      </c>
      <c r="B3194" s="2">
        <v>6.3425925925925915E-3</v>
      </c>
      <c r="C3194" t="s">
        <v>5643</v>
      </c>
      <c r="D3194" t="s">
        <v>623</v>
      </c>
      <c r="E3194" t="s">
        <v>624</v>
      </c>
      <c r="F3194" t="s">
        <v>5644</v>
      </c>
      <c r="G3194">
        <v>1908953</v>
      </c>
      <c r="H3194" t="s">
        <v>26</v>
      </c>
      <c r="I3194" t="s">
        <v>69</v>
      </c>
      <c r="J3194" t="str">
        <f>"9781118897577"</f>
        <v>9781118897577</v>
      </c>
      <c r="K3194" t="s">
        <v>5645</v>
      </c>
      <c r="L3194">
        <v>15</v>
      </c>
      <c r="N3194" t="s">
        <v>5646</v>
      </c>
      <c r="O3194" t="s">
        <v>30</v>
      </c>
      <c r="P3194" t="s">
        <v>29</v>
      </c>
      <c r="Q3194" s="1">
        <v>42330.881689814814</v>
      </c>
      <c r="R3194">
        <v>7</v>
      </c>
      <c r="S3194" t="s">
        <v>627</v>
      </c>
      <c r="T3194" t="s">
        <v>5647</v>
      </c>
      <c r="U3194" t="s">
        <v>5648</v>
      </c>
      <c r="V3194" s="3">
        <v>41989</v>
      </c>
    </row>
    <row r="3195" spans="1:22" x14ac:dyDescent="0.35">
      <c r="A3195" s="1">
        <v>42330.872407407405</v>
      </c>
      <c r="B3195" s="2">
        <v>9.2824074074074076E-3</v>
      </c>
      <c r="C3195" t="s">
        <v>5643</v>
      </c>
      <c r="D3195" t="s">
        <v>623</v>
      </c>
      <c r="E3195" t="s">
        <v>624</v>
      </c>
      <c r="F3195" t="s">
        <v>5644</v>
      </c>
      <c r="G3195">
        <v>1908953</v>
      </c>
      <c r="H3195" t="s">
        <v>26</v>
      </c>
      <c r="I3195" t="s">
        <v>69</v>
      </c>
      <c r="J3195" t="str">
        <f>"9781118897577"</f>
        <v>9781118897577</v>
      </c>
      <c r="K3195" t="s">
        <v>5649</v>
      </c>
      <c r="L3195">
        <v>10</v>
      </c>
      <c r="O3195" t="s">
        <v>30</v>
      </c>
      <c r="P3195" t="s">
        <v>50</v>
      </c>
      <c r="S3195" t="s">
        <v>627</v>
      </c>
      <c r="T3195" t="s">
        <v>5647</v>
      </c>
      <c r="U3195" t="s">
        <v>5648</v>
      </c>
      <c r="V3195" s="3">
        <v>41989</v>
      </c>
    </row>
    <row r="3196" spans="1:22" x14ac:dyDescent="0.35">
      <c r="A3196" s="1">
        <v>42330.871504629627</v>
      </c>
      <c r="B3196" s="2">
        <v>4.6296296296296294E-5</v>
      </c>
      <c r="C3196" t="s">
        <v>5650</v>
      </c>
      <c r="D3196" t="s">
        <v>1222</v>
      </c>
      <c r="E3196" t="s">
        <v>1223</v>
      </c>
      <c r="F3196" t="s">
        <v>3584</v>
      </c>
      <c r="G3196">
        <v>1367839</v>
      </c>
      <c r="H3196" t="s">
        <v>526</v>
      </c>
      <c r="I3196" t="s">
        <v>426</v>
      </c>
      <c r="J3196" t="str">
        <f>"9780226410357"</f>
        <v>9780226410357</v>
      </c>
      <c r="K3196" t="s">
        <v>3050</v>
      </c>
      <c r="L3196">
        <v>3</v>
      </c>
      <c r="O3196" t="s">
        <v>30</v>
      </c>
      <c r="P3196" t="s">
        <v>50</v>
      </c>
      <c r="S3196" t="s">
        <v>1226</v>
      </c>
      <c r="T3196" t="s">
        <v>3585</v>
      </c>
      <c r="U3196" t="s">
        <v>3586</v>
      </c>
      <c r="V3196" s="3">
        <v>41520</v>
      </c>
    </row>
    <row r="3197" spans="1:22" x14ac:dyDescent="0.35">
      <c r="A3197" s="1">
        <v>42330.86859953704</v>
      </c>
      <c r="B3197" s="2">
        <v>1.8518518518518518E-4</v>
      </c>
      <c r="C3197" t="s">
        <v>4538</v>
      </c>
      <c r="D3197" t="s">
        <v>35</v>
      </c>
      <c r="E3197" t="s">
        <v>36</v>
      </c>
      <c r="F3197" t="s">
        <v>4539</v>
      </c>
      <c r="G3197">
        <v>1498726</v>
      </c>
      <c r="H3197" t="s">
        <v>68</v>
      </c>
      <c r="I3197" t="s">
        <v>4540</v>
      </c>
      <c r="J3197" t="str">
        <f>"9781134080151"</f>
        <v>9781134080151</v>
      </c>
      <c r="K3197" t="s">
        <v>5651</v>
      </c>
      <c r="L3197">
        <v>6</v>
      </c>
      <c r="O3197" t="s">
        <v>30</v>
      </c>
      <c r="P3197" t="s">
        <v>50</v>
      </c>
      <c r="S3197" t="s">
        <v>40</v>
      </c>
      <c r="T3197" t="s">
        <v>4542</v>
      </c>
      <c r="U3197">
        <v>338.5</v>
      </c>
      <c r="V3197" s="3">
        <v>39486</v>
      </c>
    </row>
    <row r="3198" spans="1:22" x14ac:dyDescent="0.35">
      <c r="A3198" s="1">
        <v>42330.866400462961</v>
      </c>
      <c r="B3198" s="2">
        <v>5.6712962962962956E-4</v>
      </c>
      <c r="C3198" t="s">
        <v>5616</v>
      </c>
      <c r="D3198" t="s">
        <v>623</v>
      </c>
      <c r="E3198" t="s">
        <v>624</v>
      </c>
      <c r="F3198" t="s">
        <v>5617</v>
      </c>
      <c r="G3198">
        <v>2037989</v>
      </c>
      <c r="H3198" t="s">
        <v>26</v>
      </c>
      <c r="I3198" t="s">
        <v>69</v>
      </c>
      <c r="J3198" t="str">
        <f>"9781118977774"</f>
        <v>9781118977774</v>
      </c>
      <c r="K3198" t="s">
        <v>5652</v>
      </c>
      <c r="L3198">
        <v>2</v>
      </c>
      <c r="M3198" t="s">
        <v>3917</v>
      </c>
      <c r="O3198" t="s">
        <v>30</v>
      </c>
      <c r="P3198" t="s">
        <v>29</v>
      </c>
      <c r="Q3198" s="1">
        <v>42330.866400462961</v>
      </c>
      <c r="R3198">
        <v>7</v>
      </c>
      <c r="S3198" t="s">
        <v>627</v>
      </c>
      <c r="T3198" t="s">
        <v>5619</v>
      </c>
      <c r="U3198">
        <v>371.10199999999998</v>
      </c>
      <c r="V3198" s="3">
        <v>42121</v>
      </c>
    </row>
    <row r="3199" spans="1:22" x14ac:dyDescent="0.35">
      <c r="A3199" s="1">
        <v>42330.865370370368</v>
      </c>
      <c r="B3199" s="2">
        <v>1.0300925925925926E-3</v>
      </c>
      <c r="C3199" t="s">
        <v>5616</v>
      </c>
      <c r="D3199" t="s">
        <v>623</v>
      </c>
      <c r="E3199" t="s">
        <v>624</v>
      </c>
      <c r="F3199" t="s">
        <v>5617</v>
      </c>
      <c r="G3199">
        <v>2037989</v>
      </c>
      <c r="H3199" t="s">
        <v>26</v>
      </c>
      <c r="I3199" t="s">
        <v>69</v>
      </c>
      <c r="J3199" t="str">
        <f>"9781118977774"</f>
        <v>9781118977774</v>
      </c>
      <c r="K3199" t="s">
        <v>5653</v>
      </c>
      <c r="L3199">
        <v>12</v>
      </c>
      <c r="O3199" t="s">
        <v>30</v>
      </c>
      <c r="P3199" t="s">
        <v>50</v>
      </c>
      <c r="S3199" t="s">
        <v>627</v>
      </c>
      <c r="T3199" t="s">
        <v>5619</v>
      </c>
      <c r="U3199">
        <v>371.10199999999998</v>
      </c>
      <c r="V3199" s="3">
        <v>42121</v>
      </c>
    </row>
    <row r="3200" spans="1:22" x14ac:dyDescent="0.35">
      <c r="A3200" s="1">
        <v>42330.864988425928</v>
      </c>
      <c r="B3200" s="2">
        <v>4.8611111111111104E-4</v>
      </c>
      <c r="C3200" t="s">
        <v>4538</v>
      </c>
      <c r="D3200" t="s">
        <v>35</v>
      </c>
      <c r="E3200" t="s">
        <v>36</v>
      </c>
      <c r="F3200" t="s">
        <v>4539</v>
      </c>
      <c r="G3200">
        <v>1498726</v>
      </c>
      <c r="H3200" t="s">
        <v>68</v>
      </c>
      <c r="I3200" t="s">
        <v>4540</v>
      </c>
      <c r="J3200" t="str">
        <f>"9781134080151"</f>
        <v>9781134080151</v>
      </c>
      <c r="K3200" t="s">
        <v>5654</v>
      </c>
      <c r="L3200">
        <v>9</v>
      </c>
      <c r="O3200" t="s">
        <v>30</v>
      </c>
      <c r="P3200" t="s">
        <v>50</v>
      </c>
      <c r="S3200" t="s">
        <v>40</v>
      </c>
      <c r="T3200" t="s">
        <v>4542</v>
      </c>
      <c r="U3200">
        <v>338.5</v>
      </c>
      <c r="V3200" s="3">
        <v>39486</v>
      </c>
    </row>
    <row r="3201" spans="1:22" x14ac:dyDescent="0.35">
      <c r="A3201" s="1">
        <v>42330.849594907406</v>
      </c>
      <c r="B3201" s="2">
        <v>7.1770833333333339E-2</v>
      </c>
      <c r="C3201" t="s">
        <v>5465</v>
      </c>
      <c r="D3201" t="s">
        <v>35</v>
      </c>
      <c r="E3201" t="s">
        <v>36</v>
      </c>
      <c r="F3201" t="s">
        <v>5120</v>
      </c>
      <c r="G3201">
        <v>1337521</v>
      </c>
      <c r="H3201" t="s">
        <v>68</v>
      </c>
      <c r="I3201" t="s">
        <v>69</v>
      </c>
      <c r="J3201" t="str">
        <f>"9781317922049"</f>
        <v>9781317922049</v>
      </c>
      <c r="K3201" t="s">
        <v>5655</v>
      </c>
      <c r="L3201">
        <v>5</v>
      </c>
      <c r="O3201" t="s">
        <v>30</v>
      </c>
      <c r="P3201" t="s">
        <v>50</v>
      </c>
      <c r="S3201" t="s">
        <v>40</v>
      </c>
      <c r="T3201" t="s">
        <v>5122</v>
      </c>
      <c r="U3201">
        <v>371.20097299999998</v>
      </c>
      <c r="V3201" s="3">
        <v>41492</v>
      </c>
    </row>
    <row r="3202" spans="1:22" x14ac:dyDescent="0.35">
      <c r="A3202" s="1">
        <v>42330.831180555557</v>
      </c>
      <c r="B3202" s="2">
        <v>1.6550925925925926E-3</v>
      </c>
      <c r="C3202" t="s">
        <v>5557</v>
      </c>
      <c r="D3202" t="s">
        <v>35</v>
      </c>
      <c r="E3202" t="s">
        <v>36</v>
      </c>
      <c r="F3202" t="s">
        <v>2369</v>
      </c>
      <c r="G3202">
        <v>877782</v>
      </c>
      <c r="H3202" t="s">
        <v>26</v>
      </c>
      <c r="I3202" t="s">
        <v>2370</v>
      </c>
      <c r="J3202" t="str">
        <f>"9781118255407"</f>
        <v>9781118255407</v>
      </c>
      <c r="K3202" t="s">
        <v>5656</v>
      </c>
      <c r="L3202">
        <v>18</v>
      </c>
      <c r="O3202" t="s">
        <v>30</v>
      </c>
      <c r="P3202" t="s">
        <v>29</v>
      </c>
      <c r="Q3202" s="1">
        <v>42329.757453703707</v>
      </c>
      <c r="R3202">
        <v>7</v>
      </c>
      <c r="S3202" t="s">
        <v>40</v>
      </c>
      <c r="T3202" t="s">
        <v>2372</v>
      </c>
      <c r="U3202">
        <v>599.9</v>
      </c>
      <c r="V3202" s="3">
        <v>40994</v>
      </c>
    </row>
    <row r="3203" spans="1:22" x14ac:dyDescent="0.35">
      <c r="A3203" s="1">
        <v>42330.827928240738</v>
      </c>
      <c r="B3203" s="2">
        <v>5.9027777777777778E-4</v>
      </c>
      <c r="C3203" t="s">
        <v>5657</v>
      </c>
      <c r="D3203" t="s">
        <v>35</v>
      </c>
      <c r="E3203" t="s">
        <v>36</v>
      </c>
      <c r="F3203" t="s">
        <v>2369</v>
      </c>
      <c r="G3203">
        <v>877782</v>
      </c>
      <c r="H3203" t="s">
        <v>26</v>
      </c>
      <c r="I3203" t="s">
        <v>2370</v>
      </c>
      <c r="J3203" t="str">
        <f>"9781118255407"</f>
        <v>9781118255407</v>
      </c>
      <c r="K3203" t="s">
        <v>867</v>
      </c>
      <c r="L3203">
        <v>10</v>
      </c>
      <c r="O3203" t="s">
        <v>30</v>
      </c>
      <c r="P3203" t="s">
        <v>42</v>
      </c>
      <c r="S3203" t="s">
        <v>40</v>
      </c>
      <c r="T3203" t="s">
        <v>2372</v>
      </c>
      <c r="U3203">
        <v>599.9</v>
      </c>
      <c r="V3203" s="3">
        <v>40994</v>
      </c>
    </row>
    <row r="3204" spans="1:22" x14ac:dyDescent="0.35">
      <c r="A3204" s="1">
        <v>42330.820243055554</v>
      </c>
      <c r="B3204" s="2">
        <v>4.9791666666666672E-2</v>
      </c>
      <c r="C3204" t="s">
        <v>5658</v>
      </c>
      <c r="D3204" t="s">
        <v>35</v>
      </c>
      <c r="E3204" t="s">
        <v>36</v>
      </c>
      <c r="F3204" t="s">
        <v>5659</v>
      </c>
      <c r="G3204">
        <v>1581575</v>
      </c>
      <c r="H3204" t="s">
        <v>68</v>
      </c>
      <c r="I3204" t="s">
        <v>426</v>
      </c>
      <c r="J3204" t="str">
        <f>"9781317862130"</f>
        <v>9781317862130</v>
      </c>
      <c r="K3204" t="s">
        <v>5660</v>
      </c>
      <c r="L3204">
        <v>7</v>
      </c>
      <c r="O3204" t="s">
        <v>30</v>
      </c>
      <c r="P3204" t="s">
        <v>47</v>
      </c>
      <c r="Q3204" s="1">
        <v>42330.820243055554</v>
      </c>
      <c r="R3204">
        <v>1</v>
      </c>
      <c r="S3204" t="s">
        <v>40</v>
      </c>
      <c r="T3204" t="s">
        <v>5661</v>
      </c>
      <c r="U3204">
        <v>220.52036000000001</v>
      </c>
      <c r="V3204" s="3">
        <v>41624</v>
      </c>
    </row>
    <row r="3205" spans="1:22" x14ac:dyDescent="0.35">
      <c r="A3205" s="1">
        <v>42330.816400462965</v>
      </c>
      <c r="B3205" s="2">
        <v>3.8425925925925923E-3</v>
      </c>
      <c r="C3205" t="s">
        <v>5658</v>
      </c>
      <c r="D3205" t="s">
        <v>35</v>
      </c>
      <c r="E3205" t="s">
        <v>36</v>
      </c>
      <c r="F3205" t="s">
        <v>5659</v>
      </c>
      <c r="G3205">
        <v>1581575</v>
      </c>
      <c r="H3205" t="s">
        <v>68</v>
      </c>
      <c r="I3205" t="s">
        <v>426</v>
      </c>
      <c r="J3205" t="str">
        <f>"9781317862130"</f>
        <v>9781317862130</v>
      </c>
      <c r="K3205" t="s">
        <v>5662</v>
      </c>
      <c r="L3205">
        <v>12</v>
      </c>
      <c r="O3205" t="s">
        <v>30</v>
      </c>
      <c r="P3205" t="s">
        <v>50</v>
      </c>
      <c r="S3205" t="s">
        <v>40</v>
      </c>
      <c r="T3205" t="s">
        <v>5661</v>
      </c>
      <c r="U3205">
        <v>220.52036000000001</v>
      </c>
      <c r="V3205" s="3">
        <v>41624</v>
      </c>
    </row>
    <row r="3206" spans="1:22" x14ac:dyDescent="0.35">
      <c r="A3206" s="1">
        <v>42330.809432870374</v>
      </c>
      <c r="B3206" s="2">
        <v>2.4305555555555556E-3</v>
      </c>
      <c r="C3206" t="s">
        <v>5573</v>
      </c>
      <c r="D3206" t="s">
        <v>261</v>
      </c>
      <c r="E3206" t="s">
        <v>262</v>
      </c>
      <c r="F3206" t="s">
        <v>5574</v>
      </c>
      <c r="G3206">
        <v>1835691</v>
      </c>
      <c r="H3206" t="s">
        <v>26</v>
      </c>
      <c r="I3206" t="s">
        <v>172</v>
      </c>
      <c r="J3206" t="str">
        <f>"9780745692920"</f>
        <v>9780745692920</v>
      </c>
      <c r="K3206" t="s">
        <v>5663</v>
      </c>
      <c r="L3206">
        <v>11</v>
      </c>
      <c r="O3206" t="s">
        <v>30</v>
      </c>
      <c r="P3206" t="s">
        <v>50</v>
      </c>
      <c r="S3206" t="s">
        <v>264</v>
      </c>
      <c r="T3206" t="s">
        <v>5576</v>
      </c>
      <c r="U3206">
        <v>940.53185361299995</v>
      </c>
      <c r="V3206" s="3">
        <v>41949</v>
      </c>
    </row>
    <row r="3207" spans="1:22" x14ac:dyDescent="0.35">
      <c r="A3207" s="1">
        <v>42330.807210648149</v>
      </c>
      <c r="B3207" s="2">
        <v>2.7060185185185187E-2</v>
      </c>
      <c r="C3207" t="s">
        <v>210</v>
      </c>
      <c r="D3207" t="s">
        <v>211</v>
      </c>
      <c r="E3207" t="s">
        <v>212</v>
      </c>
      <c r="F3207" t="s">
        <v>5664</v>
      </c>
      <c r="G3207">
        <v>1155274</v>
      </c>
      <c r="H3207" t="s">
        <v>26</v>
      </c>
      <c r="I3207" t="s">
        <v>276</v>
      </c>
      <c r="J3207" t="str">
        <f>"9781118674710"</f>
        <v>9781118674710</v>
      </c>
      <c r="K3207" t="s">
        <v>5665</v>
      </c>
      <c r="L3207">
        <v>35</v>
      </c>
      <c r="O3207" t="s">
        <v>30</v>
      </c>
      <c r="P3207" t="s">
        <v>29</v>
      </c>
      <c r="Q3207" s="1">
        <v>42330.807210648149</v>
      </c>
      <c r="R3207">
        <v>7</v>
      </c>
      <c r="S3207" t="s">
        <v>214</v>
      </c>
      <c r="T3207" t="s">
        <v>5666</v>
      </c>
      <c r="U3207">
        <v>5.74</v>
      </c>
      <c r="V3207" s="3">
        <v>41347</v>
      </c>
    </row>
    <row r="3208" spans="1:22" x14ac:dyDescent="0.35">
      <c r="A3208" s="1">
        <v>42330.803726851853</v>
      </c>
      <c r="B3208" s="2">
        <v>3.483796296296296E-3</v>
      </c>
      <c r="C3208" t="s">
        <v>210</v>
      </c>
      <c r="D3208" t="s">
        <v>211</v>
      </c>
      <c r="E3208" t="s">
        <v>212</v>
      </c>
      <c r="F3208" t="s">
        <v>5664</v>
      </c>
      <c r="G3208">
        <v>1155274</v>
      </c>
      <c r="H3208" t="s">
        <v>26</v>
      </c>
      <c r="I3208" t="s">
        <v>276</v>
      </c>
      <c r="J3208" t="str">
        <f>"9781118674710"</f>
        <v>9781118674710</v>
      </c>
      <c r="K3208" t="s">
        <v>5667</v>
      </c>
      <c r="L3208">
        <v>21</v>
      </c>
      <c r="O3208" t="s">
        <v>30</v>
      </c>
      <c r="P3208" t="s">
        <v>50</v>
      </c>
      <c r="S3208" t="s">
        <v>214</v>
      </c>
      <c r="T3208" t="s">
        <v>5666</v>
      </c>
      <c r="U3208">
        <v>5.74</v>
      </c>
      <c r="V3208" s="3">
        <v>41347</v>
      </c>
    </row>
    <row r="3209" spans="1:22" x14ac:dyDescent="0.35">
      <c r="A3209" s="1">
        <v>42330.80269675926</v>
      </c>
      <c r="B3209" s="2">
        <v>6.4814814814814813E-4</v>
      </c>
      <c r="C3209" t="s">
        <v>210</v>
      </c>
      <c r="D3209" t="s">
        <v>211</v>
      </c>
      <c r="E3209" t="s">
        <v>212</v>
      </c>
      <c r="F3209" t="s">
        <v>5668</v>
      </c>
      <c r="G3209">
        <v>1422500</v>
      </c>
      <c r="H3209" t="s">
        <v>26</v>
      </c>
      <c r="I3209" t="s">
        <v>276</v>
      </c>
      <c r="J3209" t="str">
        <f>"9783527679621"</f>
        <v>9783527679621</v>
      </c>
      <c r="K3209" t="s">
        <v>1239</v>
      </c>
      <c r="L3209">
        <v>3</v>
      </c>
      <c r="O3209" t="s">
        <v>30</v>
      </c>
      <c r="P3209" t="s">
        <v>50</v>
      </c>
      <c r="S3209" t="s">
        <v>214</v>
      </c>
      <c r="T3209" t="s">
        <v>5669</v>
      </c>
      <c r="U3209">
        <v>5.74</v>
      </c>
      <c r="V3209" s="3">
        <v>41541</v>
      </c>
    </row>
    <row r="3210" spans="1:22" x14ac:dyDescent="0.35">
      <c r="A3210" s="1">
        <v>42330.777372685188</v>
      </c>
      <c r="B3210" s="2">
        <v>2.5000000000000001E-3</v>
      </c>
      <c r="C3210" t="s">
        <v>5541</v>
      </c>
      <c r="D3210" t="s">
        <v>35</v>
      </c>
      <c r="E3210" t="s">
        <v>36</v>
      </c>
      <c r="F3210" t="s">
        <v>5542</v>
      </c>
      <c r="G3210">
        <v>1486838</v>
      </c>
      <c r="H3210" t="s">
        <v>68</v>
      </c>
      <c r="I3210" t="s">
        <v>79</v>
      </c>
      <c r="J3210" t="str">
        <f>"9781135997786"</f>
        <v>9781135997786</v>
      </c>
      <c r="K3210" t="s">
        <v>5670</v>
      </c>
      <c r="L3210">
        <v>12</v>
      </c>
      <c r="O3210" t="s">
        <v>30</v>
      </c>
      <c r="P3210" t="s">
        <v>50</v>
      </c>
      <c r="S3210" t="s">
        <v>40</v>
      </c>
      <c r="T3210" t="s">
        <v>5543</v>
      </c>
      <c r="U3210">
        <v>344.73045999999999</v>
      </c>
      <c r="V3210" s="3">
        <v>40562</v>
      </c>
    </row>
    <row r="3211" spans="1:22" x14ac:dyDescent="0.35">
      <c r="A3211" s="1">
        <v>42330.775219907409</v>
      </c>
      <c r="B3211" s="2">
        <v>1.0659722222222221E-2</v>
      </c>
      <c r="C3211" t="s">
        <v>5332</v>
      </c>
      <c r="D3211" t="s">
        <v>360</v>
      </c>
      <c r="E3211" t="s">
        <v>361</v>
      </c>
      <c r="F3211" t="s">
        <v>5333</v>
      </c>
      <c r="G3211">
        <v>538048</v>
      </c>
      <c r="H3211" t="s">
        <v>526</v>
      </c>
      <c r="I3211" t="s">
        <v>79</v>
      </c>
      <c r="J3211" t="str">
        <f>"9780226493671"</f>
        <v>9780226493671</v>
      </c>
      <c r="K3211" t="s">
        <v>5671</v>
      </c>
      <c r="L3211">
        <v>11</v>
      </c>
      <c r="O3211" t="s">
        <v>30</v>
      </c>
      <c r="P3211" t="s">
        <v>47</v>
      </c>
      <c r="Q3211" s="1">
        <v>42330.775219907409</v>
      </c>
      <c r="R3211">
        <v>1</v>
      </c>
      <c r="S3211" t="s">
        <v>363</v>
      </c>
      <c r="T3211" t="s">
        <v>5335</v>
      </c>
      <c r="U3211" t="s">
        <v>5336</v>
      </c>
      <c r="V3211" s="3">
        <v>41303</v>
      </c>
    </row>
    <row r="3212" spans="1:22" x14ac:dyDescent="0.35">
      <c r="A3212" s="1">
        <v>42330.771608796298</v>
      </c>
      <c r="B3212" s="2">
        <v>3.6111111111111114E-3</v>
      </c>
      <c r="C3212" t="s">
        <v>5332</v>
      </c>
      <c r="D3212" t="s">
        <v>360</v>
      </c>
      <c r="E3212" t="s">
        <v>361</v>
      </c>
      <c r="F3212" t="s">
        <v>5333</v>
      </c>
      <c r="G3212">
        <v>538048</v>
      </c>
      <c r="H3212" t="s">
        <v>526</v>
      </c>
      <c r="I3212" t="s">
        <v>79</v>
      </c>
      <c r="J3212" t="str">
        <f>"9780226493671"</f>
        <v>9780226493671</v>
      </c>
      <c r="K3212" t="s">
        <v>5672</v>
      </c>
      <c r="L3212">
        <v>18</v>
      </c>
      <c r="O3212" t="s">
        <v>30</v>
      </c>
      <c r="P3212" t="s">
        <v>50</v>
      </c>
      <c r="S3212" t="s">
        <v>363</v>
      </c>
      <c r="T3212" t="s">
        <v>5335</v>
      </c>
      <c r="U3212" t="s">
        <v>5336</v>
      </c>
      <c r="V3212" s="3">
        <v>41303</v>
      </c>
    </row>
    <row r="3213" spans="1:22" x14ac:dyDescent="0.35">
      <c r="A3213" s="1">
        <v>42330.734861111108</v>
      </c>
      <c r="B3213" s="2">
        <v>3.9351851851851857E-3</v>
      </c>
      <c r="C3213" t="s">
        <v>3556</v>
      </c>
      <c r="D3213" t="s">
        <v>23</v>
      </c>
      <c r="E3213" t="s">
        <v>24</v>
      </c>
      <c r="F3213" t="s">
        <v>3060</v>
      </c>
      <c r="G3213">
        <v>1120279</v>
      </c>
      <c r="H3213" t="s">
        <v>26</v>
      </c>
      <c r="I3213" t="s">
        <v>3061</v>
      </c>
      <c r="J3213" t="str">
        <f>"9781118537671"</f>
        <v>9781118537671</v>
      </c>
      <c r="K3213" t="s">
        <v>5673</v>
      </c>
      <c r="L3213">
        <v>18</v>
      </c>
      <c r="O3213" t="s">
        <v>30</v>
      </c>
      <c r="P3213" t="s">
        <v>42</v>
      </c>
      <c r="S3213" t="s">
        <v>31</v>
      </c>
      <c r="T3213" t="s">
        <v>3063</v>
      </c>
      <c r="U3213">
        <v>599.93499999999995</v>
      </c>
      <c r="V3213" s="3">
        <v>41232</v>
      </c>
    </row>
    <row r="3214" spans="1:22" x14ac:dyDescent="0.35">
      <c r="A3214" s="1">
        <v>42330.685543981483</v>
      </c>
      <c r="B3214" s="2">
        <v>1.5046296296296297E-4</v>
      </c>
      <c r="C3214" t="s">
        <v>5674</v>
      </c>
      <c r="D3214" t="s">
        <v>23</v>
      </c>
      <c r="E3214" t="s">
        <v>24</v>
      </c>
      <c r="F3214" t="s">
        <v>1121</v>
      </c>
      <c r="G3214">
        <v>875809</v>
      </c>
      <c r="H3214" t="s">
        <v>26</v>
      </c>
      <c r="I3214" t="s">
        <v>27</v>
      </c>
      <c r="J3214" t="str">
        <f>"9781118223598"</f>
        <v>9781118223598</v>
      </c>
      <c r="K3214" t="s">
        <v>673</v>
      </c>
      <c r="L3214">
        <v>8</v>
      </c>
      <c r="O3214" t="s">
        <v>30</v>
      </c>
      <c r="P3214" t="s">
        <v>42</v>
      </c>
      <c r="S3214" t="s">
        <v>31</v>
      </c>
      <c r="T3214" t="s">
        <v>1123</v>
      </c>
      <c r="U3214">
        <v>428.00709999999998</v>
      </c>
      <c r="V3214" s="3">
        <v>41128</v>
      </c>
    </row>
    <row r="3215" spans="1:22" x14ac:dyDescent="0.35">
      <c r="A3215" s="1">
        <v>42330.669930555552</v>
      </c>
      <c r="B3215" s="2">
        <v>4.6296296296296294E-5</v>
      </c>
      <c r="C3215" t="s">
        <v>5675</v>
      </c>
      <c r="D3215" t="s">
        <v>23</v>
      </c>
      <c r="E3215" t="s">
        <v>24</v>
      </c>
      <c r="F3215" t="s">
        <v>5676</v>
      </c>
      <c r="G3215">
        <v>1760725</v>
      </c>
      <c r="H3215" t="s">
        <v>91</v>
      </c>
      <c r="I3215" t="s">
        <v>247</v>
      </c>
      <c r="J3215" t="str">
        <f>"9781462517992"</f>
        <v>9781462517992</v>
      </c>
      <c r="K3215" t="s">
        <v>33</v>
      </c>
      <c r="L3215">
        <v>3</v>
      </c>
      <c r="O3215" t="s">
        <v>30</v>
      </c>
      <c r="P3215" t="s">
        <v>50</v>
      </c>
      <c r="S3215" t="s">
        <v>31</v>
      </c>
      <c r="T3215" t="s">
        <v>5677</v>
      </c>
      <c r="U3215" t="s">
        <v>1398</v>
      </c>
      <c r="V3215" s="3">
        <v>41953</v>
      </c>
    </row>
    <row r="3216" spans="1:22" x14ac:dyDescent="0.35">
      <c r="A3216" s="1">
        <v>42330.667233796295</v>
      </c>
      <c r="B3216" s="2">
        <v>1.2268518518518519E-2</v>
      </c>
      <c r="C3216" t="s">
        <v>5678</v>
      </c>
      <c r="D3216" t="s">
        <v>23</v>
      </c>
      <c r="E3216" t="s">
        <v>24</v>
      </c>
      <c r="F3216" t="s">
        <v>4289</v>
      </c>
      <c r="G3216">
        <v>1120621</v>
      </c>
      <c r="H3216" t="s">
        <v>26</v>
      </c>
      <c r="I3216" t="s">
        <v>69</v>
      </c>
      <c r="J3216" t="str">
        <f>"9781118362679"</f>
        <v>9781118362679</v>
      </c>
      <c r="K3216" t="s">
        <v>5679</v>
      </c>
      <c r="L3216">
        <v>13</v>
      </c>
      <c r="O3216" t="s">
        <v>30</v>
      </c>
      <c r="P3216" t="s">
        <v>29</v>
      </c>
      <c r="Q3216" s="1">
        <v>42329.922013888892</v>
      </c>
      <c r="R3216">
        <v>7</v>
      </c>
      <c r="S3216" t="s">
        <v>31</v>
      </c>
      <c r="T3216" t="s">
        <v>4290</v>
      </c>
      <c r="U3216" t="s">
        <v>4291</v>
      </c>
      <c r="V3216" s="3">
        <v>41136</v>
      </c>
    </row>
    <row r="3217" spans="1:22" x14ac:dyDescent="0.35">
      <c r="A3217" s="1">
        <v>42330.629965277774</v>
      </c>
      <c r="B3217" s="2">
        <v>5.2314814814814814E-2</v>
      </c>
      <c r="C3217" t="s">
        <v>5680</v>
      </c>
      <c r="D3217" t="s">
        <v>23</v>
      </c>
      <c r="E3217" t="s">
        <v>24</v>
      </c>
      <c r="F3217" t="s">
        <v>5681</v>
      </c>
      <c r="G3217">
        <v>918811</v>
      </c>
      <c r="H3217" t="s">
        <v>3465</v>
      </c>
      <c r="I3217" t="s">
        <v>172</v>
      </c>
      <c r="J3217" t="str">
        <f>"9781608708062"</f>
        <v>9781608708062</v>
      </c>
      <c r="K3217" t="s">
        <v>5682</v>
      </c>
      <c r="L3217">
        <v>8</v>
      </c>
      <c r="O3217" t="s">
        <v>30</v>
      </c>
      <c r="P3217" t="s">
        <v>29</v>
      </c>
      <c r="Q3217" s="1">
        <v>42330.488842592589</v>
      </c>
      <c r="R3217">
        <v>7</v>
      </c>
      <c r="S3217" t="s">
        <v>31</v>
      </c>
      <c r="T3217" t="s">
        <v>5683</v>
      </c>
      <c r="U3217">
        <v>981</v>
      </c>
      <c r="V3217" s="3">
        <v>40969</v>
      </c>
    </row>
    <row r="3218" spans="1:22" x14ac:dyDescent="0.35">
      <c r="A3218" s="1">
        <v>42330.575057870374</v>
      </c>
      <c r="B3218" s="2">
        <v>1.3773148148148147E-3</v>
      </c>
      <c r="C3218" t="s">
        <v>950</v>
      </c>
      <c r="D3218" t="s">
        <v>623</v>
      </c>
      <c r="E3218" t="s">
        <v>624</v>
      </c>
      <c r="F3218" t="s">
        <v>5627</v>
      </c>
      <c r="G3218">
        <v>1887751</v>
      </c>
      <c r="H3218" t="s">
        <v>26</v>
      </c>
      <c r="I3218" t="s">
        <v>435</v>
      </c>
      <c r="J3218" t="str">
        <f>"9781118779903"</f>
        <v>9781118779903</v>
      </c>
      <c r="K3218" t="s">
        <v>5684</v>
      </c>
      <c r="L3218">
        <v>14</v>
      </c>
      <c r="O3218" t="s">
        <v>30</v>
      </c>
      <c r="P3218" t="s">
        <v>42</v>
      </c>
      <c r="S3218" t="s">
        <v>627</v>
      </c>
      <c r="T3218" t="s">
        <v>5628</v>
      </c>
      <c r="U3218" t="s">
        <v>5629</v>
      </c>
      <c r="V3218" s="3">
        <v>42041</v>
      </c>
    </row>
    <row r="3219" spans="1:22" x14ac:dyDescent="0.35">
      <c r="A3219" s="1">
        <v>42330.572199074071</v>
      </c>
      <c r="B3219" s="2">
        <v>1.6319444444444445E-3</v>
      </c>
      <c r="C3219" t="s">
        <v>950</v>
      </c>
      <c r="D3219" t="s">
        <v>623</v>
      </c>
      <c r="E3219" t="s">
        <v>624</v>
      </c>
      <c r="F3219" t="s">
        <v>4472</v>
      </c>
      <c r="G3219">
        <v>1873101</v>
      </c>
      <c r="H3219" t="s">
        <v>26</v>
      </c>
      <c r="I3219" t="s">
        <v>69</v>
      </c>
      <c r="J3219" t="str">
        <f>"9781118762233"</f>
        <v>9781118762233</v>
      </c>
      <c r="K3219" t="s">
        <v>5685</v>
      </c>
      <c r="L3219">
        <v>18</v>
      </c>
      <c r="M3219" t="s">
        <v>5686</v>
      </c>
      <c r="O3219" t="s">
        <v>30</v>
      </c>
      <c r="P3219" t="s">
        <v>29</v>
      </c>
      <c r="Q3219" s="1">
        <v>42330.570196759261</v>
      </c>
      <c r="R3219">
        <v>7</v>
      </c>
      <c r="S3219" t="s">
        <v>627</v>
      </c>
      <c r="T3219" t="s">
        <v>4474</v>
      </c>
      <c r="U3219" t="s">
        <v>4475</v>
      </c>
      <c r="V3219" s="3">
        <v>41975</v>
      </c>
    </row>
    <row r="3220" spans="1:22" x14ac:dyDescent="0.35">
      <c r="A3220" s="1">
        <v>42330.570196759261</v>
      </c>
      <c r="B3220" s="2">
        <v>2.3148148148148147E-5</v>
      </c>
      <c r="C3220" t="s">
        <v>950</v>
      </c>
      <c r="D3220" t="s">
        <v>623</v>
      </c>
      <c r="E3220" t="s">
        <v>624</v>
      </c>
      <c r="F3220" t="s">
        <v>4472</v>
      </c>
      <c r="G3220">
        <v>1873101</v>
      </c>
      <c r="H3220" t="s">
        <v>26</v>
      </c>
      <c r="I3220" t="s">
        <v>69</v>
      </c>
      <c r="J3220" t="str">
        <f>"9781118762233"</f>
        <v>9781118762233</v>
      </c>
      <c r="K3220" t="s">
        <v>5687</v>
      </c>
      <c r="L3220">
        <v>3</v>
      </c>
      <c r="O3220" t="s">
        <v>30</v>
      </c>
      <c r="P3220" t="s">
        <v>29</v>
      </c>
      <c r="Q3220" s="1">
        <v>42330.570196759261</v>
      </c>
      <c r="R3220">
        <v>7</v>
      </c>
      <c r="S3220" t="s">
        <v>627</v>
      </c>
      <c r="T3220" t="s">
        <v>4474</v>
      </c>
      <c r="U3220" t="s">
        <v>4475</v>
      </c>
      <c r="V3220" s="3">
        <v>41975</v>
      </c>
    </row>
    <row r="3221" spans="1:22" x14ac:dyDescent="0.35">
      <c r="A3221" s="1">
        <v>42330.569039351853</v>
      </c>
      <c r="B3221" s="2">
        <v>3.4722222222222222E-5</v>
      </c>
      <c r="C3221" t="s">
        <v>5688</v>
      </c>
      <c r="D3221" t="s">
        <v>23</v>
      </c>
      <c r="E3221" t="s">
        <v>24</v>
      </c>
      <c r="F3221" t="s">
        <v>5689</v>
      </c>
      <c r="G3221">
        <v>1609138</v>
      </c>
      <c r="H3221" t="s">
        <v>1474</v>
      </c>
      <c r="I3221" t="s">
        <v>120</v>
      </c>
      <c r="J3221" t="str">
        <f>"9781137304612"</f>
        <v>9781137304612</v>
      </c>
      <c r="K3221" t="s">
        <v>33</v>
      </c>
      <c r="L3221">
        <v>3</v>
      </c>
      <c r="O3221" t="s">
        <v>30</v>
      </c>
      <c r="P3221" t="s">
        <v>29</v>
      </c>
      <c r="Q3221" s="1">
        <v>42330.187928240739</v>
      </c>
      <c r="R3221">
        <v>7</v>
      </c>
      <c r="S3221" t="s">
        <v>31</v>
      </c>
      <c r="T3221" t="s">
        <v>5690</v>
      </c>
      <c r="U3221">
        <v>306.87400000000002</v>
      </c>
      <c r="V3221" s="3">
        <v>41682</v>
      </c>
    </row>
    <row r="3222" spans="1:22" x14ac:dyDescent="0.35">
      <c r="A3222" s="1">
        <v>42330.52548611111</v>
      </c>
      <c r="B3222" s="2">
        <v>5.1076388888888886E-2</v>
      </c>
      <c r="C3222" t="s">
        <v>5219</v>
      </c>
      <c r="D3222" t="s">
        <v>211</v>
      </c>
      <c r="E3222" t="s">
        <v>212</v>
      </c>
      <c r="F3222" t="s">
        <v>462</v>
      </c>
      <c r="G3222">
        <v>1822529</v>
      </c>
      <c r="H3222" t="s">
        <v>26</v>
      </c>
      <c r="I3222" t="s">
        <v>297</v>
      </c>
      <c r="J3222" t="str">
        <f>"9781118824344"</f>
        <v>9781118824344</v>
      </c>
      <c r="K3222" t="s">
        <v>5691</v>
      </c>
      <c r="L3222">
        <v>33</v>
      </c>
      <c r="O3222" t="s">
        <v>30</v>
      </c>
      <c r="P3222" t="s">
        <v>29</v>
      </c>
      <c r="Q3222" s="1">
        <v>42323.836689814816</v>
      </c>
      <c r="R3222">
        <v>7</v>
      </c>
      <c r="S3222" t="s">
        <v>214</v>
      </c>
      <c r="T3222" t="s">
        <v>464</v>
      </c>
      <c r="U3222">
        <v>519.4</v>
      </c>
      <c r="V3222" s="3">
        <v>41932</v>
      </c>
    </row>
    <row r="3223" spans="1:22" x14ac:dyDescent="0.35">
      <c r="A3223" s="1">
        <v>42330.499259259261</v>
      </c>
      <c r="B3223" s="2">
        <v>7.0937500000000001E-2</v>
      </c>
      <c r="C3223" t="s">
        <v>950</v>
      </c>
      <c r="D3223" t="s">
        <v>623</v>
      </c>
      <c r="E3223" t="s">
        <v>624</v>
      </c>
      <c r="F3223" t="s">
        <v>4472</v>
      </c>
      <c r="G3223">
        <v>1873101</v>
      </c>
      <c r="H3223" t="s">
        <v>26</v>
      </c>
      <c r="I3223" t="s">
        <v>69</v>
      </c>
      <c r="J3223" t="str">
        <f>"9781118762233"</f>
        <v>9781118762233</v>
      </c>
      <c r="K3223" t="s">
        <v>5692</v>
      </c>
      <c r="L3223">
        <v>9</v>
      </c>
      <c r="O3223" t="s">
        <v>30</v>
      </c>
      <c r="P3223" t="s">
        <v>50</v>
      </c>
      <c r="S3223" t="s">
        <v>627</v>
      </c>
      <c r="T3223" t="s">
        <v>4474</v>
      </c>
      <c r="U3223" t="s">
        <v>4475</v>
      </c>
      <c r="V3223" s="3">
        <v>41975</v>
      </c>
    </row>
    <row r="3224" spans="1:22" x14ac:dyDescent="0.35">
      <c r="A3224" s="1">
        <v>42330.488842592589</v>
      </c>
      <c r="B3224" s="2">
        <v>1.3888888888888889E-4</v>
      </c>
      <c r="C3224" t="s">
        <v>5680</v>
      </c>
      <c r="D3224" t="s">
        <v>23</v>
      </c>
      <c r="E3224" t="s">
        <v>24</v>
      </c>
      <c r="F3224" t="s">
        <v>5681</v>
      </c>
      <c r="G3224">
        <v>918811</v>
      </c>
      <c r="H3224" t="s">
        <v>3465</v>
      </c>
      <c r="I3224" t="s">
        <v>172</v>
      </c>
      <c r="J3224" t="str">
        <f>"9781608708062"</f>
        <v>9781608708062</v>
      </c>
      <c r="K3224" t="s">
        <v>5693</v>
      </c>
      <c r="L3224">
        <v>6</v>
      </c>
      <c r="O3224" t="s">
        <v>30</v>
      </c>
      <c r="P3224" t="s">
        <v>29</v>
      </c>
      <c r="Q3224" s="1">
        <v>42330.488842592589</v>
      </c>
      <c r="R3224">
        <v>7</v>
      </c>
      <c r="S3224" t="s">
        <v>31</v>
      </c>
      <c r="T3224" t="s">
        <v>5683</v>
      </c>
      <c r="U3224">
        <v>981</v>
      </c>
      <c r="V3224" s="3">
        <v>40969</v>
      </c>
    </row>
    <row r="3225" spans="1:22" x14ac:dyDescent="0.35">
      <c r="A3225" s="1">
        <v>42330.456909722219</v>
      </c>
      <c r="B3225" s="2">
        <v>3.1932870370370368E-2</v>
      </c>
      <c r="C3225" t="s">
        <v>5680</v>
      </c>
      <c r="D3225" t="s">
        <v>23</v>
      </c>
      <c r="E3225" t="s">
        <v>24</v>
      </c>
      <c r="F3225" t="s">
        <v>5681</v>
      </c>
      <c r="G3225">
        <v>918811</v>
      </c>
      <c r="H3225" t="s">
        <v>3465</v>
      </c>
      <c r="I3225" t="s">
        <v>172</v>
      </c>
      <c r="J3225" t="str">
        <f>"9781608708062"</f>
        <v>9781608708062</v>
      </c>
      <c r="K3225" t="s">
        <v>33</v>
      </c>
      <c r="L3225">
        <v>3</v>
      </c>
      <c r="O3225" t="s">
        <v>30</v>
      </c>
      <c r="P3225" t="s">
        <v>42</v>
      </c>
      <c r="S3225" t="s">
        <v>31</v>
      </c>
      <c r="T3225" t="s">
        <v>5683</v>
      </c>
      <c r="U3225">
        <v>981</v>
      </c>
      <c r="V3225" s="3">
        <v>40969</v>
      </c>
    </row>
    <row r="3226" spans="1:22" x14ac:dyDescent="0.35">
      <c r="A3226" s="1">
        <v>42330.293703703705</v>
      </c>
      <c r="B3226" s="2">
        <v>3.9756944444444449E-2</v>
      </c>
      <c r="C3226" t="s">
        <v>5694</v>
      </c>
      <c r="D3226" t="s">
        <v>23</v>
      </c>
      <c r="E3226" t="s">
        <v>24</v>
      </c>
      <c r="F3226" t="s">
        <v>226</v>
      </c>
      <c r="G3226">
        <v>817313</v>
      </c>
      <c r="H3226" t="s">
        <v>26</v>
      </c>
      <c r="I3226" t="s">
        <v>69</v>
      </c>
      <c r="J3226" t="str">
        <f>"9781118136829"</f>
        <v>9781118136829</v>
      </c>
      <c r="K3226" t="s">
        <v>5695</v>
      </c>
      <c r="L3226">
        <v>35</v>
      </c>
      <c r="O3226" t="s">
        <v>30</v>
      </c>
      <c r="P3226" t="s">
        <v>29</v>
      </c>
      <c r="Q3226" s="1">
        <v>42327.326817129629</v>
      </c>
      <c r="R3226">
        <v>7</v>
      </c>
      <c r="S3226" t="s">
        <v>31</v>
      </c>
      <c r="T3226" t="s">
        <v>2311</v>
      </c>
      <c r="U3226">
        <v>378.16640000000001</v>
      </c>
      <c r="V3226" s="3">
        <v>40918</v>
      </c>
    </row>
    <row r="3227" spans="1:22" x14ac:dyDescent="0.35">
      <c r="A3227" s="1">
        <v>42330.187939814816</v>
      </c>
      <c r="B3227" s="2">
        <v>0</v>
      </c>
      <c r="C3227" t="s">
        <v>5688</v>
      </c>
      <c r="D3227" t="s">
        <v>23</v>
      </c>
      <c r="E3227" t="s">
        <v>24</v>
      </c>
      <c r="F3227" t="s">
        <v>5689</v>
      </c>
      <c r="G3227">
        <v>1609138</v>
      </c>
      <c r="H3227" t="s">
        <v>1474</v>
      </c>
      <c r="I3227" t="s">
        <v>120</v>
      </c>
      <c r="J3227" t="str">
        <f>"9781137304612"</f>
        <v>9781137304612</v>
      </c>
      <c r="K3227" t="s">
        <v>2251</v>
      </c>
      <c r="L3227">
        <v>1</v>
      </c>
      <c r="O3227" t="s">
        <v>30</v>
      </c>
      <c r="P3227" t="s">
        <v>29</v>
      </c>
      <c r="Q3227" s="1">
        <v>42330.187928240739</v>
      </c>
      <c r="R3227">
        <v>7</v>
      </c>
      <c r="S3227" t="s">
        <v>31</v>
      </c>
      <c r="T3227" t="s">
        <v>5690</v>
      </c>
      <c r="U3227">
        <v>306.87400000000002</v>
      </c>
      <c r="V3227" s="3">
        <v>41682</v>
      </c>
    </row>
    <row r="3228" spans="1:22" x14ac:dyDescent="0.35">
      <c r="A3228" s="1">
        <v>42330.177870370368</v>
      </c>
      <c r="B3228" s="2">
        <v>1.005787037037037E-2</v>
      </c>
      <c r="C3228" t="s">
        <v>5688</v>
      </c>
      <c r="D3228" t="s">
        <v>23</v>
      </c>
      <c r="E3228" t="s">
        <v>24</v>
      </c>
      <c r="F3228" t="s">
        <v>5689</v>
      </c>
      <c r="G3228">
        <v>1609138</v>
      </c>
      <c r="H3228" t="s">
        <v>1474</v>
      </c>
      <c r="I3228" t="s">
        <v>120</v>
      </c>
      <c r="J3228" t="str">
        <f>"9781137304612"</f>
        <v>9781137304612</v>
      </c>
      <c r="K3228" t="s">
        <v>5696</v>
      </c>
      <c r="L3228">
        <v>12</v>
      </c>
      <c r="O3228" t="s">
        <v>30</v>
      </c>
      <c r="P3228" t="s">
        <v>42</v>
      </c>
      <c r="S3228" t="s">
        <v>31</v>
      </c>
      <c r="T3228" t="s">
        <v>5690</v>
      </c>
      <c r="U3228">
        <v>306.87400000000002</v>
      </c>
      <c r="V3228" s="3">
        <v>41682</v>
      </c>
    </row>
    <row r="3229" spans="1:22" x14ac:dyDescent="0.35">
      <c r="A3229" s="1">
        <v>42330.065949074073</v>
      </c>
      <c r="B3229" s="2">
        <v>0.12520833333333334</v>
      </c>
      <c r="C3229" t="s">
        <v>5697</v>
      </c>
      <c r="D3229" t="s">
        <v>23</v>
      </c>
      <c r="E3229" t="s">
        <v>24</v>
      </c>
      <c r="F3229" t="s">
        <v>5698</v>
      </c>
      <c r="G3229">
        <v>1596093</v>
      </c>
      <c r="H3229" t="s">
        <v>91</v>
      </c>
      <c r="I3229" t="s">
        <v>219</v>
      </c>
      <c r="J3229" t="str">
        <f>"9781462513802"</f>
        <v>9781462513802</v>
      </c>
      <c r="K3229" t="s">
        <v>5699</v>
      </c>
      <c r="L3229">
        <v>32</v>
      </c>
      <c r="O3229" t="s">
        <v>30</v>
      </c>
      <c r="P3229" t="s">
        <v>29</v>
      </c>
      <c r="Q3229" s="1">
        <v>42330.009062500001</v>
      </c>
      <c r="R3229">
        <v>7</v>
      </c>
      <c r="S3229" t="s">
        <v>31</v>
      </c>
      <c r="T3229" t="s">
        <v>5700</v>
      </c>
      <c r="U3229">
        <v>155.24</v>
      </c>
      <c r="V3229" s="3">
        <v>41773</v>
      </c>
    </row>
    <row r="3230" spans="1:22" x14ac:dyDescent="0.35">
      <c r="A3230" s="1">
        <v>42330.037800925929</v>
      </c>
      <c r="B3230" s="2">
        <v>2.7858796296296298E-2</v>
      </c>
      <c r="C3230" t="s">
        <v>106</v>
      </c>
      <c r="D3230" t="s">
        <v>23</v>
      </c>
      <c r="E3230" t="s">
        <v>24</v>
      </c>
      <c r="F3230" t="s">
        <v>78</v>
      </c>
      <c r="G3230">
        <v>1635363</v>
      </c>
      <c r="H3230" t="s">
        <v>26</v>
      </c>
      <c r="I3230" t="s">
        <v>79</v>
      </c>
      <c r="J3230" t="str">
        <f>"9781118678206"</f>
        <v>9781118678206</v>
      </c>
      <c r="K3230" t="s">
        <v>5701</v>
      </c>
      <c r="L3230">
        <v>24</v>
      </c>
      <c r="O3230" t="s">
        <v>30</v>
      </c>
      <c r="P3230" t="s">
        <v>29</v>
      </c>
      <c r="Q3230" s="1">
        <v>42325.831620370373</v>
      </c>
      <c r="R3230">
        <v>7</v>
      </c>
      <c r="S3230" t="s">
        <v>31</v>
      </c>
      <c r="T3230" t="s">
        <v>81</v>
      </c>
      <c r="U3230">
        <v>340.07600000000002</v>
      </c>
      <c r="V3230" s="3">
        <v>41684</v>
      </c>
    </row>
    <row r="3231" spans="1:22" x14ac:dyDescent="0.35">
      <c r="A3231" s="1">
        <v>42330.009062500001</v>
      </c>
      <c r="B3231" s="2">
        <v>2.3148148148148147E-5</v>
      </c>
      <c r="C3231" t="s">
        <v>5697</v>
      </c>
      <c r="D3231" t="s">
        <v>23</v>
      </c>
      <c r="E3231" t="s">
        <v>24</v>
      </c>
      <c r="F3231" t="s">
        <v>5698</v>
      </c>
      <c r="G3231">
        <v>1596093</v>
      </c>
      <c r="H3231" t="s">
        <v>91</v>
      </c>
      <c r="I3231" t="s">
        <v>219</v>
      </c>
      <c r="J3231" t="str">
        <f>"9781462513802"</f>
        <v>9781462513802</v>
      </c>
      <c r="K3231" t="s">
        <v>5702</v>
      </c>
      <c r="L3231">
        <v>3</v>
      </c>
      <c r="O3231" t="s">
        <v>30</v>
      </c>
      <c r="P3231" t="s">
        <v>29</v>
      </c>
      <c r="Q3231" s="1">
        <v>42330.009062500001</v>
      </c>
      <c r="R3231">
        <v>7</v>
      </c>
      <c r="S3231" t="s">
        <v>31</v>
      </c>
      <c r="T3231" t="s">
        <v>5700</v>
      </c>
      <c r="U3231">
        <v>155.24</v>
      </c>
      <c r="V3231" s="3">
        <v>41773</v>
      </c>
    </row>
    <row r="3232" spans="1:22" x14ac:dyDescent="0.35">
      <c r="A3232" s="1">
        <v>42330.009016203701</v>
      </c>
      <c r="B3232" s="2">
        <v>2.3148148148148147E-5</v>
      </c>
      <c r="C3232" t="s">
        <v>5697</v>
      </c>
      <c r="D3232" t="s">
        <v>23</v>
      </c>
      <c r="E3232" t="s">
        <v>24</v>
      </c>
      <c r="F3232" t="s">
        <v>5698</v>
      </c>
      <c r="G3232">
        <v>1596093</v>
      </c>
      <c r="H3232" t="s">
        <v>91</v>
      </c>
      <c r="I3232" t="s">
        <v>219</v>
      </c>
      <c r="J3232" t="str">
        <f>"9781462513802"</f>
        <v>9781462513802</v>
      </c>
      <c r="L3232">
        <v>0</v>
      </c>
      <c r="O3232" t="s">
        <v>30</v>
      </c>
      <c r="P3232" t="s">
        <v>50</v>
      </c>
      <c r="S3232" t="s">
        <v>31</v>
      </c>
      <c r="T3232" t="s">
        <v>5700</v>
      </c>
      <c r="U3232">
        <v>155.24</v>
      </c>
      <c r="V3232" s="3">
        <v>41773</v>
      </c>
    </row>
    <row r="3233" spans="1:22" x14ac:dyDescent="0.35">
      <c r="A3233" s="1">
        <v>42329.999131944445</v>
      </c>
      <c r="B3233" s="2">
        <v>6.9444444444444444E-5</v>
      </c>
      <c r="C3233" t="s">
        <v>5465</v>
      </c>
      <c r="D3233" t="s">
        <v>35</v>
      </c>
      <c r="E3233" t="s">
        <v>36</v>
      </c>
      <c r="F3233" t="s">
        <v>5120</v>
      </c>
      <c r="G3233">
        <v>1337521</v>
      </c>
      <c r="H3233" t="s">
        <v>68</v>
      </c>
      <c r="I3233" t="s">
        <v>69</v>
      </c>
      <c r="J3233" t="str">
        <f>"9781317922049"</f>
        <v>9781317922049</v>
      </c>
      <c r="K3233" t="s">
        <v>33</v>
      </c>
      <c r="L3233">
        <v>3</v>
      </c>
      <c r="O3233" t="s">
        <v>30</v>
      </c>
      <c r="P3233" t="s">
        <v>50</v>
      </c>
      <c r="S3233" t="s">
        <v>40</v>
      </c>
      <c r="T3233" t="s">
        <v>5122</v>
      </c>
      <c r="U3233">
        <v>371.20097299999998</v>
      </c>
      <c r="V3233" s="3">
        <v>41492</v>
      </c>
    </row>
    <row r="3234" spans="1:22" x14ac:dyDescent="0.35">
      <c r="A3234" s="1">
        <v>42329.981608796297</v>
      </c>
      <c r="B3234" s="2">
        <v>3.9004629629629632E-3</v>
      </c>
      <c r="C3234" t="s">
        <v>5227</v>
      </c>
      <c r="D3234" t="s">
        <v>211</v>
      </c>
      <c r="E3234" t="s">
        <v>212</v>
      </c>
      <c r="F3234" t="s">
        <v>5228</v>
      </c>
      <c r="G3234">
        <v>1034770</v>
      </c>
      <c r="H3234" t="s">
        <v>91</v>
      </c>
      <c r="I3234" t="s">
        <v>247</v>
      </c>
      <c r="J3234" t="str">
        <f>"9781462507566"</f>
        <v>9781462507566</v>
      </c>
      <c r="K3234" t="s">
        <v>5703</v>
      </c>
      <c r="L3234">
        <v>66</v>
      </c>
      <c r="O3234" t="s">
        <v>30</v>
      </c>
      <c r="P3234" t="s">
        <v>29</v>
      </c>
      <c r="Q3234" s="1">
        <v>42329.981608796297</v>
      </c>
      <c r="R3234">
        <v>7</v>
      </c>
      <c r="S3234" t="s">
        <v>214</v>
      </c>
      <c r="T3234" t="s">
        <v>5230</v>
      </c>
      <c r="U3234">
        <v>616.85839999999996</v>
      </c>
      <c r="V3234" s="3">
        <v>41567</v>
      </c>
    </row>
    <row r="3235" spans="1:22" x14ac:dyDescent="0.35">
      <c r="A3235" s="1">
        <v>42329.976377314815</v>
      </c>
      <c r="B3235" s="2">
        <v>2.2129629629629628E-2</v>
      </c>
      <c r="C3235" t="s">
        <v>5176</v>
      </c>
      <c r="D3235" t="s">
        <v>1222</v>
      </c>
      <c r="E3235" t="s">
        <v>1223</v>
      </c>
      <c r="F3235" t="s">
        <v>3179</v>
      </c>
      <c r="G3235">
        <v>1172554</v>
      </c>
      <c r="H3235" t="s">
        <v>1365</v>
      </c>
      <c r="I3235" t="s">
        <v>172</v>
      </c>
      <c r="J3235" t="str">
        <f>""</f>
        <v/>
      </c>
      <c r="K3235" t="s">
        <v>5704</v>
      </c>
      <c r="L3235">
        <v>30</v>
      </c>
      <c r="O3235" t="s">
        <v>30</v>
      </c>
      <c r="P3235" t="s">
        <v>29</v>
      </c>
      <c r="Q3235" s="1">
        <v>42328.762256944443</v>
      </c>
      <c r="R3235">
        <v>7</v>
      </c>
      <c r="S3235" t="s">
        <v>1226</v>
      </c>
      <c r="T3235" t="s">
        <v>3182</v>
      </c>
      <c r="U3235" t="s">
        <v>3183</v>
      </c>
      <c r="V3235" s="3">
        <v>41375</v>
      </c>
    </row>
    <row r="3236" spans="1:22" x14ac:dyDescent="0.35">
      <c r="A3236" s="1">
        <v>42329.933206018519</v>
      </c>
      <c r="B3236" s="2">
        <v>4.8402777777777774E-2</v>
      </c>
      <c r="C3236" t="s">
        <v>5227</v>
      </c>
      <c r="D3236" t="s">
        <v>211</v>
      </c>
      <c r="E3236" t="s">
        <v>212</v>
      </c>
      <c r="F3236" t="s">
        <v>5228</v>
      </c>
      <c r="G3236">
        <v>1034770</v>
      </c>
      <c r="H3236" t="s">
        <v>91</v>
      </c>
      <c r="I3236" t="s">
        <v>247</v>
      </c>
      <c r="J3236" t="str">
        <f>"9781462507566"</f>
        <v>9781462507566</v>
      </c>
      <c r="K3236" t="s">
        <v>5201</v>
      </c>
      <c r="L3236">
        <v>8</v>
      </c>
      <c r="O3236" t="s">
        <v>30</v>
      </c>
      <c r="P3236" t="s">
        <v>42</v>
      </c>
      <c r="S3236" t="s">
        <v>214</v>
      </c>
      <c r="T3236" t="s">
        <v>5230</v>
      </c>
      <c r="U3236">
        <v>616.85839999999996</v>
      </c>
      <c r="V3236" s="3">
        <v>41567</v>
      </c>
    </row>
    <row r="3237" spans="1:22" x14ac:dyDescent="0.35">
      <c r="A3237" s="1">
        <v>42329.922013888892</v>
      </c>
      <c r="B3237" s="2">
        <v>4.5555555555555551E-2</v>
      </c>
      <c r="C3237" t="s">
        <v>5678</v>
      </c>
      <c r="D3237" t="s">
        <v>23</v>
      </c>
      <c r="E3237" t="s">
        <v>24</v>
      </c>
      <c r="F3237" t="s">
        <v>4289</v>
      </c>
      <c r="G3237">
        <v>1120621</v>
      </c>
      <c r="H3237" t="s">
        <v>26</v>
      </c>
      <c r="I3237" t="s">
        <v>69</v>
      </c>
      <c r="J3237" t="str">
        <f>"9781118362679"</f>
        <v>9781118362679</v>
      </c>
      <c r="K3237" t="s">
        <v>5705</v>
      </c>
      <c r="L3237">
        <v>48</v>
      </c>
      <c r="O3237" t="s">
        <v>30</v>
      </c>
      <c r="P3237" t="s">
        <v>29</v>
      </c>
      <c r="Q3237" s="1">
        <v>42329.922013888892</v>
      </c>
      <c r="R3237">
        <v>7</v>
      </c>
      <c r="S3237" t="s">
        <v>31</v>
      </c>
      <c r="T3237" t="s">
        <v>4290</v>
      </c>
      <c r="U3237" t="s">
        <v>4291</v>
      </c>
      <c r="V3237" s="3">
        <v>41136</v>
      </c>
    </row>
    <row r="3238" spans="1:22" x14ac:dyDescent="0.35">
      <c r="A3238" s="1">
        <v>42329.91479166667</v>
      </c>
      <c r="B3238" s="2">
        <v>7.2222222222222228E-3</v>
      </c>
      <c r="C3238" t="s">
        <v>5678</v>
      </c>
      <c r="D3238" t="s">
        <v>23</v>
      </c>
      <c r="E3238" t="s">
        <v>24</v>
      </c>
      <c r="F3238" t="s">
        <v>4289</v>
      </c>
      <c r="G3238">
        <v>1120621</v>
      </c>
      <c r="H3238" t="s">
        <v>26</v>
      </c>
      <c r="I3238" t="s">
        <v>69</v>
      </c>
      <c r="J3238" t="str">
        <f>"9781118362679"</f>
        <v>9781118362679</v>
      </c>
      <c r="K3238" t="s">
        <v>5706</v>
      </c>
      <c r="L3238">
        <v>29</v>
      </c>
      <c r="O3238" t="s">
        <v>30</v>
      </c>
      <c r="P3238" t="s">
        <v>42</v>
      </c>
      <c r="S3238" t="s">
        <v>31</v>
      </c>
      <c r="T3238" t="s">
        <v>4290</v>
      </c>
      <c r="U3238" t="s">
        <v>4291</v>
      </c>
      <c r="V3238" s="3">
        <v>41136</v>
      </c>
    </row>
    <row r="3239" spans="1:22" x14ac:dyDescent="0.35">
      <c r="A3239" s="1">
        <v>42329.890902777777</v>
      </c>
      <c r="B3239" s="2">
        <v>5.7870370370370366E-5</v>
      </c>
      <c r="C3239" t="s">
        <v>1632</v>
      </c>
      <c r="D3239" t="s">
        <v>261</v>
      </c>
      <c r="E3239" t="s">
        <v>262</v>
      </c>
      <c r="F3239" t="s">
        <v>4821</v>
      </c>
      <c r="G3239">
        <v>943645</v>
      </c>
      <c r="H3239" t="s">
        <v>1365</v>
      </c>
      <c r="I3239" t="s">
        <v>172</v>
      </c>
      <c r="J3239" t="str">
        <f>"9781441104755"</f>
        <v>9781441104755</v>
      </c>
      <c r="K3239" t="s">
        <v>105</v>
      </c>
      <c r="L3239">
        <v>1</v>
      </c>
      <c r="O3239" t="s">
        <v>30</v>
      </c>
      <c r="P3239" t="s">
        <v>42</v>
      </c>
      <c r="S3239" t="s">
        <v>264</v>
      </c>
      <c r="T3239" t="s">
        <v>4823</v>
      </c>
      <c r="U3239">
        <v>948.02200000000005</v>
      </c>
      <c r="V3239" s="3">
        <v>41060</v>
      </c>
    </row>
    <row r="3240" spans="1:22" x14ac:dyDescent="0.35">
      <c r="A3240" s="1">
        <v>42329.852453703701</v>
      </c>
      <c r="B3240" s="2">
        <v>1.1805555555555556E-3</v>
      </c>
      <c r="C3240" t="s">
        <v>3672</v>
      </c>
      <c r="D3240" t="s">
        <v>35</v>
      </c>
      <c r="E3240" t="s">
        <v>36</v>
      </c>
      <c r="F3240" t="s">
        <v>3673</v>
      </c>
      <c r="G3240">
        <v>1816989</v>
      </c>
      <c r="H3240" t="s">
        <v>186</v>
      </c>
      <c r="I3240" t="s">
        <v>3674</v>
      </c>
      <c r="J3240" t="str">
        <f>"9781780644578"</f>
        <v>9781780644578</v>
      </c>
      <c r="K3240" t="s">
        <v>5707</v>
      </c>
      <c r="L3240">
        <v>8</v>
      </c>
      <c r="O3240" t="s">
        <v>30</v>
      </c>
      <c r="P3240" t="s">
        <v>50</v>
      </c>
      <c r="S3240" t="s">
        <v>40</v>
      </c>
      <c r="T3240" t="s">
        <v>3676</v>
      </c>
      <c r="U3240" t="s">
        <v>3677</v>
      </c>
      <c r="V3240" s="3">
        <v>41908</v>
      </c>
    </row>
    <row r="3241" spans="1:22" x14ac:dyDescent="0.35">
      <c r="A3241" s="1">
        <v>42329.842048611114</v>
      </c>
      <c r="B3241" s="2">
        <v>3.8668981481481478E-2</v>
      </c>
      <c r="C3241" t="s">
        <v>106</v>
      </c>
      <c r="D3241" t="s">
        <v>23</v>
      </c>
      <c r="E3241" t="s">
        <v>24</v>
      </c>
      <c r="F3241" t="s">
        <v>78</v>
      </c>
      <c r="G3241">
        <v>1635363</v>
      </c>
      <c r="H3241" t="s">
        <v>26</v>
      </c>
      <c r="I3241" t="s">
        <v>79</v>
      </c>
      <c r="J3241" t="str">
        <f>"9781118678206"</f>
        <v>9781118678206</v>
      </c>
      <c r="K3241" t="s">
        <v>5708</v>
      </c>
      <c r="L3241">
        <v>29</v>
      </c>
      <c r="O3241" t="s">
        <v>30</v>
      </c>
      <c r="P3241" t="s">
        <v>29</v>
      </c>
      <c r="Q3241" s="1">
        <v>42325.831620370373</v>
      </c>
      <c r="R3241">
        <v>7</v>
      </c>
      <c r="S3241" t="s">
        <v>31</v>
      </c>
      <c r="T3241" t="s">
        <v>81</v>
      </c>
      <c r="U3241">
        <v>340.07600000000002</v>
      </c>
      <c r="V3241" s="3">
        <v>41684</v>
      </c>
    </row>
    <row r="3242" spans="1:22" x14ac:dyDescent="0.35">
      <c r="A3242" s="1">
        <v>42329.825023148151</v>
      </c>
      <c r="B3242" s="2">
        <v>3.9004629629629632E-3</v>
      </c>
      <c r="C3242" t="s">
        <v>5709</v>
      </c>
      <c r="D3242" t="s">
        <v>35</v>
      </c>
      <c r="E3242" t="s">
        <v>36</v>
      </c>
      <c r="F3242" t="s">
        <v>5223</v>
      </c>
      <c r="G3242">
        <v>1574815</v>
      </c>
      <c r="H3242" t="s">
        <v>68</v>
      </c>
      <c r="I3242" t="s">
        <v>120</v>
      </c>
      <c r="J3242" t="str">
        <f>"9781135258566"</f>
        <v>9781135258566</v>
      </c>
      <c r="K3242" t="s">
        <v>5710</v>
      </c>
      <c r="L3242">
        <v>14</v>
      </c>
      <c r="O3242" t="s">
        <v>30</v>
      </c>
      <c r="P3242" t="s">
        <v>47</v>
      </c>
      <c r="Q3242" s="1">
        <v>42329.718564814815</v>
      </c>
      <c r="R3242">
        <v>1</v>
      </c>
      <c r="S3242" t="s">
        <v>40</v>
      </c>
      <c r="T3242" t="s">
        <v>5225</v>
      </c>
      <c r="U3242">
        <v>301</v>
      </c>
      <c r="V3242" s="3">
        <v>35935</v>
      </c>
    </row>
    <row r="3243" spans="1:22" x14ac:dyDescent="0.35">
      <c r="A3243" s="1">
        <v>42329.804675925923</v>
      </c>
      <c r="B3243" s="2">
        <v>1.5393518518518519E-3</v>
      </c>
      <c r="C3243" t="s">
        <v>5505</v>
      </c>
      <c r="D3243" t="s">
        <v>261</v>
      </c>
      <c r="E3243" t="s">
        <v>262</v>
      </c>
      <c r="F3243" t="s">
        <v>749</v>
      </c>
      <c r="G3243">
        <v>694178</v>
      </c>
      <c r="H3243" t="s">
        <v>26</v>
      </c>
      <c r="I3243" t="s">
        <v>750</v>
      </c>
      <c r="J3243" t="str">
        <f>"9780632057528"</f>
        <v>9780632057528</v>
      </c>
      <c r="K3243" t="s">
        <v>5711</v>
      </c>
      <c r="L3243">
        <v>4</v>
      </c>
      <c r="O3243" t="s">
        <v>30</v>
      </c>
      <c r="P3243" t="s">
        <v>50</v>
      </c>
      <c r="S3243" t="s">
        <v>264</v>
      </c>
      <c r="T3243" t="s">
        <v>752</v>
      </c>
      <c r="U3243">
        <v>391</v>
      </c>
      <c r="V3243" s="3">
        <v>41520</v>
      </c>
    </row>
    <row r="3244" spans="1:22" x14ac:dyDescent="0.35">
      <c r="A3244" s="1">
        <v>42329.80127314815</v>
      </c>
      <c r="B3244" s="2">
        <v>2.7777777777777778E-4</v>
      </c>
      <c r="C3244" t="s">
        <v>5678</v>
      </c>
      <c r="D3244" t="s">
        <v>23</v>
      </c>
      <c r="E3244" t="s">
        <v>24</v>
      </c>
      <c r="F3244" t="s">
        <v>4289</v>
      </c>
      <c r="G3244">
        <v>1120621</v>
      </c>
      <c r="H3244" t="s">
        <v>26</v>
      </c>
      <c r="I3244" t="s">
        <v>69</v>
      </c>
      <c r="J3244" t="str">
        <f>"9781118362679"</f>
        <v>9781118362679</v>
      </c>
      <c r="K3244" t="s">
        <v>5712</v>
      </c>
      <c r="L3244">
        <v>8</v>
      </c>
      <c r="O3244" t="s">
        <v>30</v>
      </c>
      <c r="P3244" t="s">
        <v>42</v>
      </c>
      <c r="S3244" t="s">
        <v>31</v>
      </c>
      <c r="T3244" t="s">
        <v>4290</v>
      </c>
      <c r="U3244" t="s">
        <v>4291</v>
      </c>
      <c r="V3244" s="3">
        <v>41136</v>
      </c>
    </row>
    <row r="3245" spans="1:22" x14ac:dyDescent="0.35">
      <c r="A3245" s="1">
        <v>42329.763206018521</v>
      </c>
      <c r="B3245" s="2">
        <v>0.11663194444444445</v>
      </c>
      <c r="C3245" t="s">
        <v>5498</v>
      </c>
      <c r="D3245" t="s">
        <v>35</v>
      </c>
      <c r="E3245" t="s">
        <v>36</v>
      </c>
      <c r="F3245" t="s">
        <v>5499</v>
      </c>
      <c r="G3245">
        <v>1357594</v>
      </c>
      <c r="H3245" t="s">
        <v>68</v>
      </c>
      <c r="I3245" t="s">
        <v>2944</v>
      </c>
      <c r="J3245" t="str">
        <f>"9781136250583"</f>
        <v>9781136250583</v>
      </c>
      <c r="K3245" t="s">
        <v>5713</v>
      </c>
      <c r="L3245">
        <v>59</v>
      </c>
      <c r="O3245" t="s">
        <v>30</v>
      </c>
      <c r="P3245" t="s">
        <v>47</v>
      </c>
      <c r="Q3245" s="1">
        <v>42329.763206018521</v>
      </c>
      <c r="R3245">
        <v>1</v>
      </c>
      <c r="S3245" t="s">
        <v>40</v>
      </c>
      <c r="T3245" t="s">
        <v>5501</v>
      </c>
      <c r="U3245">
        <v>302.22440719999997</v>
      </c>
      <c r="V3245" s="3">
        <v>41508</v>
      </c>
    </row>
    <row r="3246" spans="1:22" x14ac:dyDescent="0.35">
      <c r="A3246" s="1">
        <v>42329.759710648148</v>
      </c>
      <c r="B3246" s="2">
        <v>3.4953703703703705E-3</v>
      </c>
      <c r="C3246" t="s">
        <v>5498</v>
      </c>
      <c r="D3246" t="s">
        <v>35</v>
      </c>
      <c r="E3246" t="s">
        <v>36</v>
      </c>
      <c r="F3246" t="s">
        <v>5499</v>
      </c>
      <c r="G3246">
        <v>1357594</v>
      </c>
      <c r="H3246" t="s">
        <v>68</v>
      </c>
      <c r="I3246" t="s">
        <v>2944</v>
      </c>
      <c r="J3246" t="str">
        <f>"9781136250583"</f>
        <v>9781136250583</v>
      </c>
      <c r="K3246" t="s">
        <v>5714</v>
      </c>
      <c r="L3246">
        <v>24</v>
      </c>
      <c r="O3246" t="s">
        <v>30</v>
      </c>
      <c r="P3246" t="s">
        <v>50</v>
      </c>
      <c r="S3246" t="s">
        <v>40</v>
      </c>
      <c r="T3246" t="s">
        <v>5501</v>
      </c>
      <c r="U3246">
        <v>302.22440719999997</v>
      </c>
      <c r="V3246" s="3">
        <v>41508</v>
      </c>
    </row>
    <row r="3247" spans="1:22" x14ac:dyDescent="0.35">
      <c r="A3247" s="1">
        <v>42329.757453703707</v>
      </c>
      <c r="B3247" s="2">
        <v>0.16649305555555557</v>
      </c>
      <c r="C3247" t="s">
        <v>5557</v>
      </c>
      <c r="D3247" t="s">
        <v>35</v>
      </c>
      <c r="E3247" t="s">
        <v>36</v>
      </c>
      <c r="F3247" t="s">
        <v>2369</v>
      </c>
      <c r="G3247">
        <v>877782</v>
      </c>
      <c r="H3247" t="s">
        <v>26</v>
      </c>
      <c r="I3247" t="s">
        <v>2370</v>
      </c>
      <c r="J3247" t="str">
        <f>"9781118255407"</f>
        <v>9781118255407</v>
      </c>
      <c r="K3247" t="s">
        <v>5715</v>
      </c>
      <c r="L3247">
        <v>43</v>
      </c>
      <c r="O3247" t="s">
        <v>30</v>
      </c>
      <c r="P3247" t="s">
        <v>29</v>
      </c>
      <c r="Q3247" s="1">
        <v>42329.757453703707</v>
      </c>
      <c r="R3247">
        <v>7</v>
      </c>
      <c r="S3247" t="s">
        <v>40</v>
      </c>
      <c r="T3247" t="s">
        <v>2372</v>
      </c>
      <c r="U3247">
        <v>599.9</v>
      </c>
      <c r="V3247" s="3">
        <v>40994</v>
      </c>
    </row>
    <row r="3248" spans="1:22" x14ac:dyDescent="0.35">
      <c r="A3248" s="1">
        <v>42329.752916666665</v>
      </c>
      <c r="B3248" s="2">
        <v>1.9675925925925926E-4</v>
      </c>
      <c r="C3248" t="s">
        <v>5498</v>
      </c>
      <c r="D3248" t="s">
        <v>35</v>
      </c>
      <c r="E3248" t="s">
        <v>36</v>
      </c>
      <c r="F3248" t="s">
        <v>5716</v>
      </c>
      <c r="G3248">
        <v>1542616</v>
      </c>
      <c r="H3248" t="s">
        <v>68</v>
      </c>
      <c r="I3248" t="s">
        <v>5717</v>
      </c>
      <c r="J3248" t="str">
        <f>"9781136687556"</f>
        <v>9781136687556</v>
      </c>
      <c r="K3248" t="s">
        <v>5718</v>
      </c>
      <c r="L3248">
        <v>3</v>
      </c>
      <c r="O3248" t="s">
        <v>30</v>
      </c>
      <c r="P3248" t="s">
        <v>47</v>
      </c>
      <c r="Q3248" s="1">
        <v>42329.752916666665</v>
      </c>
      <c r="R3248">
        <v>1</v>
      </c>
      <c r="S3248" t="s">
        <v>40</v>
      </c>
      <c r="T3248" t="s">
        <v>5719</v>
      </c>
      <c r="U3248">
        <v>808.06659999999999</v>
      </c>
      <c r="V3248" s="3">
        <v>41583</v>
      </c>
    </row>
    <row r="3249" spans="1:22" x14ac:dyDescent="0.35">
      <c r="A3249" s="1">
        <v>42329.752488425926</v>
      </c>
      <c r="B3249" s="2">
        <v>4.2824074074074075E-4</v>
      </c>
      <c r="C3249" t="s">
        <v>5498</v>
      </c>
      <c r="D3249" t="s">
        <v>35</v>
      </c>
      <c r="E3249" t="s">
        <v>36</v>
      </c>
      <c r="F3249" t="s">
        <v>5716</v>
      </c>
      <c r="G3249">
        <v>1542616</v>
      </c>
      <c r="H3249" t="s">
        <v>68</v>
      </c>
      <c r="I3249" t="s">
        <v>5717</v>
      </c>
      <c r="J3249" t="str">
        <f>"9781136687556"</f>
        <v>9781136687556</v>
      </c>
      <c r="K3249" t="s">
        <v>5720</v>
      </c>
      <c r="L3249">
        <v>11</v>
      </c>
      <c r="O3249" t="s">
        <v>30</v>
      </c>
      <c r="P3249" t="s">
        <v>50</v>
      </c>
      <c r="S3249" t="s">
        <v>40</v>
      </c>
      <c r="T3249" t="s">
        <v>5719</v>
      </c>
      <c r="U3249">
        <v>808.06659999999999</v>
      </c>
      <c r="V3249" s="3">
        <v>41583</v>
      </c>
    </row>
    <row r="3250" spans="1:22" x14ac:dyDescent="0.35">
      <c r="A3250" s="1">
        <v>42329.749155092592</v>
      </c>
      <c r="B3250" s="2">
        <v>3.1018518518518522E-3</v>
      </c>
      <c r="C3250" t="s">
        <v>5498</v>
      </c>
      <c r="D3250" t="s">
        <v>35</v>
      </c>
      <c r="E3250" t="s">
        <v>36</v>
      </c>
      <c r="F3250" t="s">
        <v>5716</v>
      </c>
      <c r="G3250">
        <v>1542616</v>
      </c>
      <c r="H3250" t="s">
        <v>68</v>
      </c>
      <c r="I3250" t="s">
        <v>5717</v>
      </c>
      <c r="J3250" t="str">
        <f>"9781136687556"</f>
        <v>9781136687556</v>
      </c>
      <c r="K3250" t="s">
        <v>5721</v>
      </c>
      <c r="L3250">
        <v>45</v>
      </c>
      <c r="O3250" t="s">
        <v>30</v>
      </c>
      <c r="P3250" t="s">
        <v>50</v>
      </c>
      <c r="S3250" t="s">
        <v>40</v>
      </c>
      <c r="T3250" t="s">
        <v>5719</v>
      </c>
      <c r="U3250">
        <v>808.06659999999999</v>
      </c>
      <c r="V3250" s="3">
        <v>41583</v>
      </c>
    </row>
    <row r="3251" spans="1:22" x14ac:dyDescent="0.35">
      <c r="A3251" s="1">
        <v>42329.748148148145</v>
      </c>
      <c r="B3251" s="2">
        <v>4.5138888888888892E-4</v>
      </c>
      <c r="C3251" t="s">
        <v>5722</v>
      </c>
      <c r="D3251" t="s">
        <v>35</v>
      </c>
      <c r="E3251" t="s">
        <v>36</v>
      </c>
      <c r="F3251" t="s">
        <v>5723</v>
      </c>
      <c r="G3251">
        <v>1813815</v>
      </c>
      <c r="H3251" t="s">
        <v>26</v>
      </c>
      <c r="I3251" t="s">
        <v>219</v>
      </c>
      <c r="J3251" t="str">
        <f>"9781118314739"</f>
        <v>9781118314739</v>
      </c>
      <c r="K3251" t="s">
        <v>5724</v>
      </c>
      <c r="L3251">
        <v>19</v>
      </c>
      <c r="O3251" t="s">
        <v>30</v>
      </c>
      <c r="P3251" t="s">
        <v>50</v>
      </c>
      <c r="S3251" t="s">
        <v>40</v>
      </c>
      <c r="T3251" t="s">
        <v>5725</v>
      </c>
      <c r="U3251" t="s">
        <v>5726</v>
      </c>
      <c r="V3251" s="3">
        <v>41920</v>
      </c>
    </row>
    <row r="3252" spans="1:22" x14ac:dyDescent="0.35">
      <c r="A3252" s="1">
        <v>42329.739421296297</v>
      </c>
      <c r="B3252" s="2">
        <v>1.8032407407407407E-2</v>
      </c>
      <c r="C3252" t="s">
        <v>5557</v>
      </c>
      <c r="D3252" t="s">
        <v>35</v>
      </c>
      <c r="E3252" t="s">
        <v>36</v>
      </c>
      <c r="F3252" t="s">
        <v>2369</v>
      </c>
      <c r="G3252">
        <v>877782</v>
      </c>
      <c r="H3252" t="s">
        <v>26</v>
      </c>
      <c r="I3252" t="s">
        <v>2370</v>
      </c>
      <c r="J3252" t="str">
        <f>"9781118255407"</f>
        <v>9781118255407</v>
      </c>
      <c r="K3252" t="s">
        <v>5727</v>
      </c>
      <c r="L3252">
        <v>84</v>
      </c>
      <c r="O3252" t="s">
        <v>30</v>
      </c>
      <c r="P3252" t="s">
        <v>42</v>
      </c>
      <c r="S3252" t="s">
        <v>40</v>
      </c>
      <c r="T3252" t="s">
        <v>2372</v>
      </c>
      <c r="U3252">
        <v>599.9</v>
      </c>
      <c r="V3252" s="3">
        <v>40994</v>
      </c>
    </row>
    <row r="3253" spans="1:22" x14ac:dyDescent="0.35">
      <c r="A3253" s="1">
        <v>42329.726747685185</v>
      </c>
      <c r="B3253" s="2">
        <v>4.2824074074074075E-4</v>
      </c>
      <c r="C3253" t="s">
        <v>5728</v>
      </c>
      <c r="D3253" t="s">
        <v>2519</v>
      </c>
      <c r="E3253" t="s">
        <v>2520</v>
      </c>
      <c r="F3253" t="s">
        <v>5729</v>
      </c>
      <c r="G3253">
        <v>1166792</v>
      </c>
      <c r="H3253" t="s">
        <v>26</v>
      </c>
      <c r="I3253" t="s">
        <v>120</v>
      </c>
      <c r="J3253" t="str">
        <f>"9780745663432"</f>
        <v>9780745663432</v>
      </c>
      <c r="K3253" t="s">
        <v>463</v>
      </c>
      <c r="L3253">
        <v>9</v>
      </c>
      <c r="O3253" t="s">
        <v>30</v>
      </c>
      <c r="P3253" t="s">
        <v>50</v>
      </c>
      <c r="S3253" t="s">
        <v>2523</v>
      </c>
      <c r="T3253" t="s">
        <v>5730</v>
      </c>
      <c r="U3253">
        <v>363.32501000000002</v>
      </c>
      <c r="V3253" s="3">
        <v>41367</v>
      </c>
    </row>
    <row r="3254" spans="1:22" x14ac:dyDescent="0.35">
      <c r="A3254" s="1">
        <v>42329.718564814815</v>
      </c>
      <c r="B3254" s="2">
        <v>9.2245370370370363E-3</v>
      </c>
      <c r="C3254" t="s">
        <v>5709</v>
      </c>
      <c r="D3254" t="s">
        <v>35</v>
      </c>
      <c r="E3254" t="s">
        <v>36</v>
      </c>
      <c r="F3254" t="s">
        <v>5223</v>
      </c>
      <c r="G3254">
        <v>1574815</v>
      </c>
      <c r="H3254" t="s">
        <v>68</v>
      </c>
      <c r="I3254" t="s">
        <v>120</v>
      </c>
      <c r="J3254" t="str">
        <f>"9781135258566"</f>
        <v>9781135258566</v>
      </c>
      <c r="K3254" t="s">
        <v>5731</v>
      </c>
      <c r="L3254">
        <v>14</v>
      </c>
      <c r="O3254" t="s">
        <v>30</v>
      </c>
      <c r="P3254" t="s">
        <v>47</v>
      </c>
      <c r="Q3254" s="1">
        <v>42329.718564814815</v>
      </c>
      <c r="R3254">
        <v>1</v>
      </c>
      <c r="S3254" t="s">
        <v>40</v>
      </c>
      <c r="T3254" t="s">
        <v>5225</v>
      </c>
      <c r="U3254">
        <v>301</v>
      </c>
      <c r="V3254" s="3">
        <v>35935</v>
      </c>
    </row>
    <row r="3255" spans="1:22" x14ac:dyDescent="0.35">
      <c r="A3255" s="1">
        <v>42329.713796296295</v>
      </c>
      <c r="B3255" s="2">
        <v>4.7685185185185183E-3</v>
      </c>
      <c r="C3255" t="s">
        <v>5709</v>
      </c>
      <c r="D3255" t="s">
        <v>35</v>
      </c>
      <c r="E3255" t="s">
        <v>36</v>
      </c>
      <c r="F3255" t="s">
        <v>5223</v>
      </c>
      <c r="G3255">
        <v>1574815</v>
      </c>
      <c r="H3255" t="s">
        <v>68</v>
      </c>
      <c r="I3255" t="s">
        <v>120</v>
      </c>
      <c r="J3255" t="str">
        <f>"9781135258566"</f>
        <v>9781135258566</v>
      </c>
      <c r="K3255" t="s">
        <v>5732</v>
      </c>
      <c r="L3255">
        <v>17</v>
      </c>
      <c r="O3255" t="s">
        <v>30</v>
      </c>
      <c r="P3255" t="s">
        <v>50</v>
      </c>
      <c r="S3255" t="s">
        <v>40</v>
      </c>
      <c r="T3255" t="s">
        <v>5225</v>
      </c>
      <c r="U3255">
        <v>301</v>
      </c>
      <c r="V3255" s="3">
        <v>35935</v>
      </c>
    </row>
    <row r="3256" spans="1:22" x14ac:dyDescent="0.35">
      <c r="A3256" s="1">
        <v>42329.697835648149</v>
      </c>
      <c r="B3256" s="2">
        <v>5.6597222222222222E-3</v>
      </c>
      <c r="C3256" t="s">
        <v>5219</v>
      </c>
      <c r="D3256" t="s">
        <v>211</v>
      </c>
      <c r="E3256" t="s">
        <v>212</v>
      </c>
      <c r="F3256" t="s">
        <v>462</v>
      </c>
      <c r="G3256">
        <v>1822529</v>
      </c>
      <c r="H3256" t="s">
        <v>26</v>
      </c>
      <c r="I3256" t="s">
        <v>297</v>
      </c>
      <c r="J3256" t="str">
        <f>"9781118824344"</f>
        <v>9781118824344</v>
      </c>
      <c r="K3256" t="s">
        <v>5733</v>
      </c>
      <c r="L3256">
        <v>11</v>
      </c>
      <c r="O3256" t="s">
        <v>30</v>
      </c>
      <c r="P3256" t="s">
        <v>29</v>
      </c>
      <c r="Q3256" s="1">
        <v>42323.836689814816</v>
      </c>
      <c r="R3256">
        <v>7</v>
      </c>
      <c r="S3256" t="s">
        <v>214</v>
      </c>
      <c r="T3256" t="s">
        <v>464</v>
      </c>
      <c r="U3256">
        <v>519.4</v>
      </c>
      <c r="V3256" s="3">
        <v>41932</v>
      </c>
    </row>
    <row r="3257" spans="1:22" x14ac:dyDescent="0.35">
      <c r="A3257" s="1">
        <v>42329.687025462961</v>
      </c>
      <c r="B3257" s="2">
        <v>5.208333333333333E-3</v>
      </c>
      <c r="C3257" t="s">
        <v>5697</v>
      </c>
      <c r="D3257" t="s">
        <v>23</v>
      </c>
      <c r="E3257" t="s">
        <v>24</v>
      </c>
      <c r="F3257" t="s">
        <v>5698</v>
      </c>
      <c r="G3257">
        <v>1596093</v>
      </c>
      <c r="H3257" t="s">
        <v>91</v>
      </c>
      <c r="I3257" t="s">
        <v>219</v>
      </c>
      <c r="J3257" t="str">
        <f>"9781462513802"</f>
        <v>9781462513802</v>
      </c>
      <c r="K3257" t="s">
        <v>5734</v>
      </c>
      <c r="L3257">
        <v>13</v>
      </c>
      <c r="O3257" t="s">
        <v>30</v>
      </c>
      <c r="P3257" t="s">
        <v>47</v>
      </c>
      <c r="Q3257" s="1">
        <v>42328.948379629626</v>
      </c>
      <c r="R3257">
        <v>1</v>
      </c>
      <c r="S3257" t="s">
        <v>31</v>
      </c>
      <c r="T3257" t="s">
        <v>5700</v>
      </c>
      <c r="U3257">
        <v>155.24</v>
      </c>
      <c r="V3257" s="3">
        <v>41773</v>
      </c>
    </row>
    <row r="3258" spans="1:22" x14ac:dyDescent="0.35">
      <c r="A3258" s="1">
        <v>42329.685104166667</v>
      </c>
      <c r="B3258" s="2">
        <v>1.0231481481481482E-2</v>
      </c>
      <c r="C3258" t="s">
        <v>5735</v>
      </c>
      <c r="D3258" t="s">
        <v>35</v>
      </c>
      <c r="E3258" t="s">
        <v>36</v>
      </c>
      <c r="F3258" t="s">
        <v>1285</v>
      </c>
      <c r="G3258">
        <v>979950</v>
      </c>
      <c r="H3258" t="s">
        <v>1286</v>
      </c>
      <c r="I3258" t="s">
        <v>310</v>
      </c>
      <c r="J3258" t="str">
        <f>"9781476600321"</f>
        <v>9781476600321</v>
      </c>
      <c r="K3258" t="s">
        <v>5736</v>
      </c>
      <c r="L3258">
        <v>9</v>
      </c>
      <c r="O3258" t="s">
        <v>30</v>
      </c>
      <c r="P3258" t="s">
        <v>29</v>
      </c>
      <c r="Q3258" s="1">
        <v>42329.685104166667</v>
      </c>
      <c r="R3258">
        <v>7</v>
      </c>
      <c r="S3258" t="s">
        <v>40</v>
      </c>
      <c r="T3258" t="s">
        <v>1288</v>
      </c>
      <c r="U3258" t="s">
        <v>1289</v>
      </c>
      <c r="V3258" s="3">
        <v>41100</v>
      </c>
    </row>
    <row r="3259" spans="1:22" x14ac:dyDescent="0.35">
      <c r="A3259" s="1">
        <v>42329.671273148146</v>
      </c>
      <c r="B3259" s="2">
        <v>1.383101851851852E-2</v>
      </c>
      <c r="C3259" t="s">
        <v>5735</v>
      </c>
      <c r="D3259" t="s">
        <v>35</v>
      </c>
      <c r="E3259" t="s">
        <v>36</v>
      </c>
      <c r="F3259" t="s">
        <v>1285</v>
      </c>
      <c r="G3259">
        <v>979950</v>
      </c>
      <c r="H3259" t="s">
        <v>1286</v>
      </c>
      <c r="I3259" t="s">
        <v>310</v>
      </c>
      <c r="J3259" t="str">
        <f>"9781476600321"</f>
        <v>9781476600321</v>
      </c>
      <c r="K3259" t="s">
        <v>5737</v>
      </c>
      <c r="L3259">
        <v>13</v>
      </c>
      <c r="O3259" t="s">
        <v>30</v>
      </c>
      <c r="P3259" t="s">
        <v>42</v>
      </c>
      <c r="S3259" t="s">
        <v>40</v>
      </c>
      <c r="T3259" t="s">
        <v>1288</v>
      </c>
      <c r="U3259" t="s">
        <v>1289</v>
      </c>
      <c r="V3259" s="3">
        <v>41100</v>
      </c>
    </row>
    <row r="3260" spans="1:22" x14ac:dyDescent="0.35">
      <c r="A3260" s="1">
        <v>42329.603460648148</v>
      </c>
      <c r="B3260" s="2">
        <v>1.9444444444444445E-2</v>
      </c>
      <c r="C3260" t="s">
        <v>5219</v>
      </c>
      <c r="D3260" t="s">
        <v>211</v>
      </c>
      <c r="E3260" t="s">
        <v>212</v>
      </c>
      <c r="F3260" t="s">
        <v>462</v>
      </c>
      <c r="G3260">
        <v>1822529</v>
      </c>
      <c r="H3260" t="s">
        <v>26</v>
      </c>
      <c r="I3260" t="s">
        <v>297</v>
      </c>
      <c r="J3260" t="str">
        <f>"9781118824344"</f>
        <v>9781118824344</v>
      </c>
      <c r="K3260" t="s">
        <v>5738</v>
      </c>
      <c r="L3260">
        <v>14</v>
      </c>
      <c r="O3260" t="s">
        <v>30</v>
      </c>
      <c r="P3260" t="s">
        <v>29</v>
      </c>
      <c r="Q3260" s="1">
        <v>42323.836689814816</v>
      </c>
      <c r="R3260">
        <v>7</v>
      </c>
      <c r="S3260" t="s">
        <v>214</v>
      </c>
      <c r="T3260" t="s">
        <v>464</v>
      </c>
      <c r="U3260">
        <v>519.4</v>
      </c>
      <c r="V3260" s="3">
        <v>41932</v>
      </c>
    </row>
    <row r="3261" spans="1:22" x14ac:dyDescent="0.35">
      <c r="A3261" s="1">
        <v>42329.25854166667</v>
      </c>
      <c r="B3261" s="2">
        <v>6.1111111111111114E-3</v>
      </c>
      <c r="C3261" t="s">
        <v>5739</v>
      </c>
      <c r="D3261" t="s">
        <v>623</v>
      </c>
      <c r="E3261" t="s">
        <v>624</v>
      </c>
      <c r="F3261" t="s">
        <v>3268</v>
      </c>
      <c r="G3261">
        <v>1645679</v>
      </c>
      <c r="H3261" t="s">
        <v>45</v>
      </c>
      <c r="I3261" t="s">
        <v>2879</v>
      </c>
      <c r="J3261" t="str">
        <f>"9781472413079"</f>
        <v>9781472413079</v>
      </c>
      <c r="K3261" t="s">
        <v>5740</v>
      </c>
      <c r="L3261">
        <v>42</v>
      </c>
      <c r="O3261" t="s">
        <v>30</v>
      </c>
      <c r="P3261" t="s">
        <v>42</v>
      </c>
      <c r="S3261" t="s">
        <v>627</v>
      </c>
      <c r="T3261" t="s">
        <v>3269</v>
      </c>
      <c r="U3261" t="s">
        <v>3270</v>
      </c>
      <c r="V3261" s="3">
        <v>41726</v>
      </c>
    </row>
    <row r="3262" spans="1:22" x14ac:dyDescent="0.35">
      <c r="A3262" s="1">
        <v>42329.237719907411</v>
      </c>
      <c r="B3262" s="2">
        <v>4.2013888888888891E-3</v>
      </c>
      <c r="C3262" t="s">
        <v>5573</v>
      </c>
      <c r="D3262" t="s">
        <v>261</v>
      </c>
      <c r="E3262" t="s">
        <v>262</v>
      </c>
      <c r="F3262" t="s">
        <v>5574</v>
      </c>
      <c r="G3262">
        <v>1835691</v>
      </c>
      <c r="H3262" t="s">
        <v>26</v>
      </c>
      <c r="I3262" t="s">
        <v>172</v>
      </c>
      <c r="J3262" t="str">
        <f>"9780745692920"</f>
        <v>9780745692920</v>
      </c>
      <c r="K3262" t="s">
        <v>5741</v>
      </c>
      <c r="L3262">
        <v>16</v>
      </c>
      <c r="O3262" t="s">
        <v>30</v>
      </c>
      <c r="P3262" t="s">
        <v>47</v>
      </c>
      <c r="Q3262" s="1">
        <v>42329.00472222222</v>
      </c>
      <c r="R3262">
        <v>1</v>
      </c>
      <c r="S3262" t="s">
        <v>264</v>
      </c>
      <c r="T3262" t="s">
        <v>5576</v>
      </c>
      <c r="U3262">
        <v>940.53185361299995</v>
      </c>
      <c r="V3262" s="3">
        <v>41949</v>
      </c>
    </row>
    <row r="3263" spans="1:22" x14ac:dyDescent="0.35">
      <c r="A3263" s="1">
        <v>42329.218171296299</v>
      </c>
      <c r="B3263" s="2">
        <v>2.8333333333333332E-2</v>
      </c>
      <c r="C3263" t="s">
        <v>5694</v>
      </c>
      <c r="D3263" t="s">
        <v>23</v>
      </c>
      <c r="E3263" t="s">
        <v>24</v>
      </c>
      <c r="F3263" t="s">
        <v>226</v>
      </c>
      <c r="G3263">
        <v>817313</v>
      </c>
      <c r="H3263" t="s">
        <v>26</v>
      </c>
      <c r="I3263" t="s">
        <v>69</v>
      </c>
      <c r="J3263" t="str">
        <f>"9781118136829"</f>
        <v>9781118136829</v>
      </c>
      <c r="K3263" t="s">
        <v>5742</v>
      </c>
      <c r="L3263">
        <v>40</v>
      </c>
      <c r="O3263" t="s">
        <v>30</v>
      </c>
      <c r="P3263" t="s">
        <v>29</v>
      </c>
      <c r="Q3263" s="1">
        <v>42327.326817129629</v>
      </c>
      <c r="R3263">
        <v>7</v>
      </c>
      <c r="S3263" t="s">
        <v>31</v>
      </c>
      <c r="T3263" t="s">
        <v>2311</v>
      </c>
      <c r="U3263">
        <v>378.16640000000001</v>
      </c>
      <c r="V3263" s="3">
        <v>40918</v>
      </c>
    </row>
    <row r="3264" spans="1:22" x14ac:dyDescent="0.35">
      <c r="A3264" s="1">
        <v>42329.189942129633</v>
      </c>
      <c r="B3264" s="2">
        <v>3.4722222222222222E-5</v>
      </c>
      <c r="C3264" t="s">
        <v>4059</v>
      </c>
      <c r="D3264" t="s">
        <v>23</v>
      </c>
      <c r="E3264" t="s">
        <v>24</v>
      </c>
      <c r="F3264" t="s">
        <v>3186</v>
      </c>
      <c r="G3264">
        <v>699744</v>
      </c>
      <c r="H3264" t="s">
        <v>26</v>
      </c>
      <c r="I3264" t="s">
        <v>3187</v>
      </c>
      <c r="J3264" t="str">
        <f>"9781118585818"</f>
        <v>9781118585818</v>
      </c>
      <c r="K3264" t="s">
        <v>33</v>
      </c>
      <c r="L3264">
        <v>3</v>
      </c>
      <c r="O3264" t="s">
        <v>30</v>
      </c>
      <c r="P3264" t="s">
        <v>42</v>
      </c>
      <c r="S3264" t="s">
        <v>31</v>
      </c>
      <c r="T3264" t="s">
        <v>3188</v>
      </c>
      <c r="U3264">
        <v>621.36</v>
      </c>
      <c r="V3264" s="3">
        <v>41310</v>
      </c>
    </row>
    <row r="3265" spans="1:22" x14ac:dyDescent="0.35">
      <c r="A3265" s="1">
        <v>42329.142013888886</v>
      </c>
      <c r="B3265" s="2">
        <v>3.4722222222222224E-4</v>
      </c>
      <c r="C3265" t="s">
        <v>5743</v>
      </c>
      <c r="D3265" t="s">
        <v>1222</v>
      </c>
      <c r="E3265" t="s">
        <v>1223</v>
      </c>
      <c r="F3265" t="s">
        <v>3449</v>
      </c>
      <c r="G3265">
        <v>1809344</v>
      </c>
      <c r="H3265" t="s">
        <v>1474</v>
      </c>
      <c r="I3265" t="s">
        <v>120</v>
      </c>
      <c r="J3265" t="str">
        <f>"9781137356192"</f>
        <v>9781137356192</v>
      </c>
      <c r="K3265" t="s">
        <v>5744</v>
      </c>
      <c r="L3265">
        <v>16</v>
      </c>
      <c r="O3265" t="s">
        <v>30</v>
      </c>
      <c r="P3265" t="s">
        <v>42</v>
      </c>
      <c r="S3265" t="s">
        <v>1226</v>
      </c>
      <c r="T3265" t="s">
        <v>3451</v>
      </c>
      <c r="U3265">
        <v>364.4</v>
      </c>
      <c r="V3265" s="3">
        <v>41915</v>
      </c>
    </row>
    <row r="3266" spans="1:22" x14ac:dyDescent="0.35">
      <c r="A3266" s="1">
        <v>42329.124027777776</v>
      </c>
      <c r="B3266" s="2">
        <v>2.4421296296296296E-3</v>
      </c>
      <c r="C3266" t="s">
        <v>3998</v>
      </c>
      <c r="D3266" t="s">
        <v>35</v>
      </c>
      <c r="E3266" t="s">
        <v>36</v>
      </c>
      <c r="F3266" t="s">
        <v>3999</v>
      </c>
      <c r="G3266">
        <v>1895039</v>
      </c>
      <c r="H3266" t="s">
        <v>26</v>
      </c>
      <c r="I3266" t="s">
        <v>3061</v>
      </c>
      <c r="J3266" t="str">
        <f>"9781118335741"</f>
        <v>9781118335741</v>
      </c>
      <c r="K3266" t="s">
        <v>5745</v>
      </c>
      <c r="L3266">
        <v>12</v>
      </c>
      <c r="O3266" t="s">
        <v>30</v>
      </c>
      <c r="P3266" t="s">
        <v>29</v>
      </c>
      <c r="Q3266" s="1">
        <v>42328.849189814813</v>
      </c>
      <c r="R3266">
        <v>7</v>
      </c>
      <c r="S3266" t="s">
        <v>40</v>
      </c>
      <c r="T3266" t="s">
        <v>4001</v>
      </c>
      <c r="U3266" t="s">
        <v>4002</v>
      </c>
      <c r="V3266" s="3">
        <v>42058</v>
      </c>
    </row>
    <row r="3267" spans="1:22" x14ac:dyDescent="0.35">
      <c r="A3267" s="1">
        <v>42329.077337962961</v>
      </c>
      <c r="B3267" s="2">
        <v>9.9884259259259266E-3</v>
      </c>
      <c r="C3267" t="s">
        <v>5746</v>
      </c>
      <c r="D3267" t="s">
        <v>23</v>
      </c>
      <c r="E3267" t="s">
        <v>24</v>
      </c>
      <c r="F3267" t="s">
        <v>5747</v>
      </c>
      <c r="G3267">
        <v>1779508</v>
      </c>
      <c r="H3267" t="s">
        <v>526</v>
      </c>
      <c r="I3267" t="s">
        <v>1407</v>
      </c>
      <c r="J3267" t="str">
        <f>"9780226174310"</f>
        <v>9780226174310</v>
      </c>
      <c r="K3267" t="s">
        <v>5748</v>
      </c>
      <c r="L3267">
        <v>55</v>
      </c>
      <c r="O3267" t="s">
        <v>30</v>
      </c>
      <c r="P3267" t="s">
        <v>47</v>
      </c>
      <c r="Q3267" s="1">
        <v>42329.077337962961</v>
      </c>
      <c r="R3267">
        <v>1</v>
      </c>
      <c r="S3267" t="s">
        <v>31</v>
      </c>
      <c r="T3267" t="s">
        <v>5749</v>
      </c>
      <c r="U3267">
        <v>571.6</v>
      </c>
      <c r="V3267" s="3">
        <v>41941</v>
      </c>
    </row>
    <row r="3268" spans="1:22" x14ac:dyDescent="0.35">
      <c r="A3268" s="1">
        <v>42329.075370370374</v>
      </c>
      <c r="B3268" s="2">
        <v>8.1018518518518516E-5</v>
      </c>
      <c r="C3268" t="s">
        <v>5315</v>
      </c>
      <c r="D3268" t="s">
        <v>23</v>
      </c>
      <c r="E3268" t="s">
        <v>24</v>
      </c>
      <c r="F3268" t="s">
        <v>4411</v>
      </c>
      <c r="G3268">
        <v>1808795</v>
      </c>
      <c r="H3268" t="s">
        <v>45</v>
      </c>
      <c r="I3268" t="s">
        <v>200</v>
      </c>
      <c r="J3268" t="str">
        <f>"9781472447951"</f>
        <v>9781472447951</v>
      </c>
      <c r="K3268" t="s">
        <v>33</v>
      </c>
      <c r="L3268">
        <v>3</v>
      </c>
      <c r="O3268" t="s">
        <v>30</v>
      </c>
      <c r="P3268" t="s">
        <v>50</v>
      </c>
      <c r="S3268" t="s">
        <v>31</v>
      </c>
      <c r="T3268" t="s">
        <v>4413</v>
      </c>
      <c r="U3268" t="s">
        <v>4414</v>
      </c>
      <c r="V3268" s="3">
        <v>41971</v>
      </c>
    </row>
    <row r="3269" spans="1:22" x14ac:dyDescent="0.35">
      <c r="A3269" s="1">
        <v>42329.072870370372</v>
      </c>
      <c r="B3269" s="2">
        <v>4.4675925925925933E-3</v>
      </c>
      <c r="C3269" t="s">
        <v>5746</v>
      </c>
      <c r="D3269" t="s">
        <v>23</v>
      </c>
      <c r="E3269" t="s">
        <v>24</v>
      </c>
      <c r="F3269" t="s">
        <v>5747</v>
      </c>
      <c r="G3269">
        <v>1779508</v>
      </c>
      <c r="H3269" t="s">
        <v>526</v>
      </c>
      <c r="I3269" t="s">
        <v>1407</v>
      </c>
      <c r="J3269" t="str">
        <f>"9780226174310"</f>
        <v>9780226174310</v>
      </c>
      <c r="K3269" t="s">
        <v>443</v>
      </c>
      <c r="L3269">
        <v>19</v>
      </c>
      <c r="O3269" t="s">
        <v>30</v>
      </c>
      <c r="P3269" t="s">
        <v>50</v>
      </c>
      <c r="S3269" t="s">
        <v>31</v>
      </c>
      <c r="T3269" t="s">
        <v>5749</v>
      </c>
      <c r="U3269">
        <v>571.6</v>
      </c>
      <c r="V3269" s="3">
        <v>41941</v>
      </c>
    </row>
    <row r="3270" spans="1:22" x14ac:dyDescent="0.35">
      <c r="A3270" s="1">
        <v>42329.070462962962</v>
      </c>
      <c r="B3270" s="2">
        <v>5.7870370370370366E-5</v>
      </c>
      <c r="C3270" t="s">
        <v>5743</v>
      </c>
      <c r="D3270" t="s">
        <v>1222</v>
      </c>
      <c r="E3270" t="s">
        <v>1223</v>
      </c>
      <c r="F3270" t="s">
        <v>3449</v>
      </c>
      <c r="G3270">
        <v>1809344</v>
      </c>
      <c r="H3270" t="s">
        <v>1474</v>
      </c>
      <c r="I3270" t="s">
        <v>120</v>
      </c>
      <c r="J3270" t="str">
        <f>"9781137356192"</f>
        <v>9781137356192</v>
      </c>
      <c r="K3270" t="s">
        <v>33</v>
      </c>
      <c r="L3270">
        <v>3</v>
      </c>
      <c r="O3270" t="s">
        <v>30</v>
      </c>
      <c r="P3270" t="s">
        <v>42</v>
      </c>
      <c r="S3270" t="s">
        <v>1226</v>
      </c>
      <c r="T3270" t="s">
        <v>3451</v>
      </c>
      <c r="U3270">
        <v>364.4</v>
      </c>
      <c r="V3270" s="3">
        <v>41915</v>
      </c>
    </row>
    <row r="3271" spans="1:22" x14ac:dyDescent="0.35">
      <c r="A3271" s="1">
        <v>42329.008715277778</v>
      </c>
      <c r="B3271" s="2">
        <v>1.6666666666666668E-3</v>
      </c>
      <c r="C3271" t="s">
        <v>5750</v>
      </c>
      <c r="D3271" t="s">
        <v>623</v>
      </c>
      <c r="E3271" t="s">
        <v>624</v>
      </c>
      <c r="F3271" t="s">
        <v>5751</v>
      </c>
      <c r="G3271">
        <v>1895929</v>
      </c>
      <c r="H3271" t="s">
        <v>26</v>
      </c>
      <c r="I3271" t="s">
        <v>69</v>
      </c>
      <c r="J3271" t="str">
        <f>"9781119019879"</f>
        <v>9781119019879</v>
      </c>
      <c r="K3271" t="s">
        <v>5752</v>
      </c>
      <c r="L3271">
        <v>16</v>
      </c>
      <c r="O3271" t="s">
        <v>30</v>
      </c>
      <c r="P3271" t="s">
        <v>50</v>
      </c>
      <c r="S3271" t="s">
        <v>627</v>
      </c>
      <c r="T3271" t="s">
        <v>5753</v>
      </c>
      <c r="U3271" t="s">
        <v>5754</v>
      </c>
      <c r="V3271" s="3">
        <v>42040</v>
      </c>
    </row>
    <row r="3272" spans="1:22" x14ac:dyDescent="0.35">
      <c r="A3272" s="1">
        <v>42329.00472222222</v>
      </c>
      <c r="B3272" s="2">
        <v>2.2106481481481478E-3</v>
      </c>
      <c r="C3272" t="s">
        <v>5573</v>
      </c>
      <c r="D3272" t="s">
        <v>261</v>
      </c>
      <c r="E3272" t="s">
        <v>262</v>
      </c>
      <c r="F3272" t="s">
        <v>5574</v>
      </c>
      <c r="G3272">
        <v>1835691</v>
      </c>
      <c r="H3272" t="s">
        <v>26</v>
      </c>
      <c r="I3272" t="s">
        <v>172</v>
      </c>
      <c r="J3272" t="str">
        <f>"9780745692920"</f>
        <v>9780745692920</v>
      </c>
      <c r="K3272" t="s">
        <v>5755</v>
      </c>
      <c r="L3272">
        <v>27</v>
      </c>
      <c r="O3272" t="s">
        <v>30</v>
      </c>
      <c r="P3272" t="s">
        <v>47</v>
      </c>
      <c r="Q3272" s="1">
        <v>42329.00472222222</v>
      </c>
      <c r="R3272">
        <v>1</v>
      </c>
      <c r="S3272" t="s">
        <v>264</v>
      </c>
      <c r="T3272" t="s">
        <v>5576</v>
      </c>
      <c r="U3272">
        <v>940.53185361299995</v>
      </c>
      <c r="V3272" s="3">
        <v>41949</v>
      </c>
    </row>
    <row r="3273" spans="1:22" x14ac:dyDescent="0.35">
      <c r="A3273" s="1">
        <v>42329.000810185185</v>
      </c>
      <c r="B3273" s="2">
        <v>3.9120370370370368E-3</v>
      </c>
      <c r="C3273" t="s">
        <v>5573</v>
      </c>
      <c r="D3273" t="s">
        <v>261</v>
      </c>
      <c r="E3273" t="s">
        <v>262</v>
      </c>
      <c r="F3273" t="s">
        <v>5574</v>
      </c>
      <c r="G3273">
        <v>1835691</v>
      </c>
      <c r="H3273" t="s">
        <v>26</v>
      </c>
      <c r="I3273" t="s">
        <v>172</v>
      </c>
      <c r="J3273" t="str">
        <f>"9780745692920"</f>
        <v>9780745692920</v>
      </c>
      <c r="K3273" t="s">
        <v>33</v>
      </c>
      <c r="L3273">
        <v>3</v>
      </c>
      <c r="O3273" t="s">
        <v>30</v>
      </c>
      <c r="P3273" t="s">
        <v>50</v>
      </c>
      <c r="S3273" t="s">
        <v>264</v>
      </c>
      <c r="T3273" t="s">
        <v>5576</v>
      </c>
      <c r="U3273">
        <v>940.53185361299995</v>
      </c>
      <c r="V3273" s="3">
        <v>41949</v>
      </c>
    </row>
    <row r="3274" spans="1:22" x14ac:dyDescent="0.35">
      <c r="A3274" s="1">
        <v>42328.995740740742</v>
      </c>
      <c r="B3274" s="2">
        <v>1.273148148148148E-4</v>
      </c>
      <c r="C3274" t="s">
        <v>106</v>
      </c>
      <c r="D3274" t="s">
        <v>23</v>
      </c>
      <c r="E3274" t="s">
        <v>24</v>
      </c>
      <c r="F3274" t="s">
        <v>3973</v>
      </c>
      <c r="G3274">
        <v>771049</v>
      </c>
      <c r="H3274" t="s">
        <v>3465</v>
      </c>
      <c r="I3274" t="s">
        <v>3974</v>
      </c>
      <c r="J3274" t="str">
        <f>"9781608706648"</f>
        <v>9781608706648</v>
      </c>
      <c r="K3274" t="s">
        <v>2582</v>
      </c>
      <c r="L3274">
        <v>8</v>
      </c>
      <c r="O3274" t="s">
        <v>30</v>
      </c>
      <c r="P3274" t="s">
        <v>29</v>
      </c>
      <c r="Q3274" s="1">
        <v>42327.661134259259</v>
      </c>
      <c r="R3274">
        <v>7</v>
      </c>
      <c r="S3274" t="s">
        <v>31</v>
      </c>
      <c r="T3274" t="s">
        <v>3976</v>
      </c>
      <c r="U3274">
        <v>363.73874000000001</v>
      </c>
      <c r="V3274" s="3">
        <v>40909</v>
      </c>
    </row>
    <row r="3275" spans="1:22" x14ac:dyDescent="0.35">
      <c r="A3275" s="1">
        <v>42328.948379629626</v>
      </c>
      <c r="B3275" s="2">
        <v>6.9444444444444444E-5</v>
      </c>
      <c r="C3275" t="s">
        <v>5697</v>
      </c>
      <c r="D3275" t="s">
        <v>23</v>
      </c>
      <c r="E3275" t="s">
        <v>24</v>
      </c>
      <c r="F3275" t="s">
        <v>5698</v>
      </c>
      <c r="G3275">
        <v>1596093</v>
      </c>
      <c r="H3275" t="s">
        <v>91</v>
      </c>
      <c r="I3275" t="s">
        <v>219</v>
      </c>
      <c r="J3275" t="str">
        <f>"9781462513802"</f>
        <v>9781462513802</v>
      </c>
      <c r="K3275" t="s">
        <v>5756</v>
      </c>
      <c r="L3275">
        <v>5</v>
      </c>
      <c r="O3275" t="s">
        <v>30</v>
      </c>
      <c r="P3275" t="s">
        <v>47</v>
      </c>
      <c r="Q3275" s="1">
        <v>42328.948379629626</v>
      </c>
      <c r="R3275">
        <v>1</v>
      </c>
      <c r="S3275" t="s">
        <v>31</v>
      </c>
      <c r="T3275" t="s">
        <v>5700</v>
      </c>
      <c r="U3275">
        <v>155.24</v>
      </c>
      <c r="V3275" s="3">
        <v>41773</v>
      </c>
    </row>
    <row r="3276" spans="1:22" x14ac:dyDescent="0.35">
      <c r="A3276" s="1">
        <v>42328.92150462963</v>
      </c>
      <c r="B3276" s="2">
        <v>1.0231481481481482E-2</v>
      </c>
      <c r="C3276" t="s">
        <v>106</v>
      </c>
      <c r="D3276" t="s">
        <v>23</v>
      </c>
      <c r="E3276" t="s">
        <v>24</v>
      </c>
      <c r="F3276" t="s">
        <v>3973</v>
      </c>
      <c r="G3276">
        <v>771049</v>
      </c>
      <c r="H3276" t="s">
        <v>3465</v>
      </c>
      <c r="I3276" t="s">
        <v>3974</v>
      </c>
      <c r="J3276" t="str">
        <f>"9781608706648"</f>
        <v>9781608706648</v>
      </c>
      <c r="K3276" t="s">
        <v>5757</v>
      </c>
      <c r="L3276">
        <v>15</v>
      </c>
      <c r="O3276" t="s">
        <v>30</v>
      </c>
      <c r="P3276" t="s">
        <v>29</v>
      </c>
      <c r="Q3276" s="1">
        <v>42327.661134259259</v>
      </c>
      <c r="R3276">
        <v>7</v>
      </c>
      <c r="S3276" t="s">
        <v>31</v>
      </c>
      <c r="T3276" t="s">
        <v>3976</v>
      </c>
      <c r="U3276">
        <v>363.73874000000001</v>
      </c>
      <c r="V3276" s="3">
        <v>40909</v>
      </c>
    </row>
    <row r="3277" spans="1:22" x14ac:dyDescent="0.35">
      <c r="A3277" s="1">
        <v>42328.917893518519</v>
      </c>
      <c r="B3277" s="2">
        <v>3.0486111111111113E-2</v>
      </c>
      <c r="C3277" t="s">
        <v>5697</v>
      </c>
      <c r="D3277" t="s">
        <v>23</v>
      </c>
      <c r="E3277" t="s">
        <v>24</v>
      </c>
      <c r="F3277" t="s">
        <v>5698</v>
      </c>
      <c r="G3277">
        <v>1596093</v>
      </c>
      <c r="H3277" t="s">
        <v>91</v>
      </c>
      <c r="I3277" t="s">
        <v>219</v>
      </c>
      <c r="J3277" t="str">
        <f>"9781462513802"</f>
        <v>9781462513802</v>
      </c>
      <c r="K3277" t="s">
        <v>33</v>
      </c>
      <c r="L3277">
        <v>3</v>
      </c>
      <c r="O3277" t="s">
        <v>30</v>
      </c>
      <c r="P3277" t="s">
        <v>50</v>
      </c>
      <c r="S3277" t="s">
        <v>31</v>
      </c>
      <c r="T3277" t="s">
        <v>5700</v>
      </c>
      <c r="U3277">
        <v>155.24</v>
      </c>
      <c r="V3277" s="3">
        <v>41773</v>
      </c>
    </row>
    <row r="3278" spans="1:22" x14ac:dyDescent="0.35">
      <c r="A3278" s="1">
        <v>42328.905659722222</v>
      </c>
      <c r="B3278" s="2">
        <v>1.5995370370370372E-2</v>
      </c>
      <c r="C3278" t="s">
        <v>5675</v>
      </c>
      <c r="D3278" t="s">
        <v>23</v>
      </c>
      <c r="E3278" t="s">
        <v>24</v>
      </c>
      <c r="F3278" t="s">
        <v>5676</v>
      </c>
      <c r="G3278">
        <v>1760725</v>
      </c>
      <c r="H3278" t="s">
        <v>91</v>
      </c>
      <c r="I3278" t="s">
        <v>247</v>
      </c>
      <c r="J3278" t="str">
        <f>"9781462517992"</f>
        <v>9781462517992</v>
      </c>
      <c r="K3278" t="s">
        <v>5758</v>
      </c>
      <c r="L3278">
        <v>7</v>
      </c>
      <c r="O3278" t="s">
        <v>30</v>
      </c>
      <c r="P3278" t="s">
        <v>47</v>
      </c>
      <c r="Q3278" s="1">
        <v>42328.905648148146</v>
      </c>
      <c r="R3278">
        <v>1</v>
      </c>
      <c r="S3278" t="s">
        <v>31</v>
      </c>
      <c r="T3278" t="s">
        <v>5677</v>
      </c>
      <c r="U3278" t="s">
        <v>1398</v>
      </c>
      <c r="V3278" s="3">
        <v>41953</v>
      </c>
    </row>
    <row r="3279" spans="1:22" x14ac:dyDescent="0.35">
      <c r="A3279" s="1">
        <v>42328.899398148147</v>
      </c>
      <c r="B3279" s="2">
        <v>6.2499999999999995E-3</v>
      </c>
      <c r="C3279" t="s">
        <v>5675</v>
      </c>
      <c r="D3279" t="s">
        <v>23</v>
      </c>
      <c r="E3279" t="s">
        <v>24</v>
      </c>
      <c r="F3279" t="s">
        <v>5676</v>
      </c>
      <c r="G3279">
        <v>1760725</v>
      </c>
      <c r="H3279" t="s">
        <v>91</v>
      </c>
      <c r="I3279" t="s">
        <v>247</v>
      </c>
      <c r="J3279" t="str">
        <f>"9781462517992"</f>
        <v>9781462517992</v>
      </c>
      <c r="K3279" t="s">
        <v>5759</v>
      </c>
      <c r="L3279">
        <v>13</v>
      </c>
      <c r="O3279" t="s">
        <v>30</v>
      </c>
      <c r="P3279" t="s">
        <v>50</v>
      </c>
      <c r="S3279" t="s">
        <v>31</v>
      </c>
      <c r="T3279" t="s">
        <v>5677</v>
      </c>
      <c r="U3279" t="s">
        <v>1398</v>
      </c>
      <c r="V3279" s="3">
        <v>41953</v>
      </c>
    </row>
    <row r="3280" spans="1:22" x14ac:dyDescent="0.35">
      <c r="A3280" s="1">
        <v>42328.899236111109</v>
      </c>
      <c r="B3280" s="2">
        <v>2.3148148148148147E-5</v>
      </c>
      <c r="C3280" t="s">
        <v>5675</v>
      </c>
      <c r="D3280" t="s">
        <v>23</v>
      </c>
      <c r="E3280" t="s">
        <v>24</v>
      </c>
      <c r="F3280" t="s">
        <v>5676</v>
      </c>
      <c r="G3280">
        <v>1760725</v>
      </c>
      <c r="H3280" t="s">
        <v>91</v>
      </c>
      <c r="I3280" t="s">
        <v>247</v>
      </c>
      <c r="J3280" t="str">
        <f>"9781462517992"</f>
        <v>9781462517992</v>
      </c>
      <c r="K3280" t="s">
        <v>105</v>
      </c>
      <c r="L3280">
        <v>1</v>
      </c>
      <c r="O3280" t="s">
        <v>30</v>
      </c>
      <c r="P3280" t="s">
        <v>50</v>
      </c>
      <c r="S3280" t="s">
        <v>31</v>
      </c>
      <c r="T3280" t="s">
        <v>5677</v>
      </c>
      <c r="U3280" t="s">
        <v>1398</v>
      </c>
      <c r="V3280" s="3">
        <v>41953</v>
      </c>
    </row>
    <row r="3281" spans="1:22" x14ac:dyDescent="0.35">
      <c r="A3281" s="1">
        <v>42328.881655092591</v>
      </c>
      <c r="B3281" s="2">
        <v>1.3715277777777778E-2</v>
      </c>
      <c r="C3281" t="s">
        <v>3998</v>
      </c>
      <c r="D3281" t="s">
        <v>35</v>
      </c>
      <c r="E3281" t="s">
        <v>36</v>
      </c>
      <c r="F3281" t="s">
        <v>3999</v>
      </c>
      <c r="G3281">
        <v>1895039</v>
      </c>
      <c r="H3281" t="s">
        <v>26</v>
      </c>
      <c r="I3281" t="s">
        <v>3061</v>
      </c>
      <c r="J3281" t="str">
        <f>"9781118335741"</f>
        <v>9781118335741</v>
      </c>
      <c r="K3281" t="s">
        <v>5760</v>
      </c>
      <c r="L3281">
        <v>21</v>
      </c>
      <c r="O3281" t="s">
        <v>30</v>
      </c>
      <c r="P3281" t="s">
        <v>29</v>
      </c>
      <c r="Q3281" s="1">
        <v>42328.849189814813</v>
      </c>
      <c r="R3281">
        <v>7</v>
      </c>
      <c r="S3281" t="s">
        <v>40</v>
      </c>
      <c r="T3281" t="s">
        <v>4001</v>
      </c>
      <c r="U3281" t="s">
        <v>4002</v>
      </c>
      <c r="V3281" s="3">
        <v>42058</v>
      </c>
    </row>
    <row r="3282" spans="1:22" x14ac:dyDescent="0.35">
      <c r="A3282" s="1">
        <v>42328.849189814813</v>
      </c>
      <c r="B3282" s="2">
        <v>9.3750000000000007E-4</v>
      </c>
      <c r="C3282" t="s">
        <v>3998</v>
      </c>
      <c r="D3282" t="s">
        <v>35</v>
      </c>
      <c r="E3282" t="s">
        <v>36</v>
      </c>
      <c r="F3282" t="s">
        <v>3999</v>
      </c>
      <c r="G3282">
        <v>1895039</v>
      </c>
      <c r="H3282" t="s">
        <v>26</v>
      </c>
      <c r="I3282" t="s">
        <v>3061</v>
      </c>
      <c r="J3282" t="str">
        <f>"9781118335741"</f>
        <v>9781118335741</v>
      </c>
      <c r="K3282" t="s">
        <v>2606</v>
      </c>
      <c r="L3282">
        <v>1</v>
      </c>
      <c r="N3282" t="s">
        <v>2606</v>
      </c>
      <c r="O3282" t="s">
        <v>30</v>
      </c>
      <c r="P3282" t="s">
        <v>29</v>
      </c>
      <c r="Q3282" s="1">
        <v>42328.849189814813</v>
      </c>
      <c r="R3282">
        <v>7</v>
      </c>
      <c r="S3282" t="s">
        <v>40</v>
      </c>
      <c r="T3282" t="s">
        <v>4001</v>
      </c>
      <c r="U3282" t="s">
        <v>4002</v>
      </c>
      <c r="V3282" s="3">
        <v>42058</v>
      </c>
    </row>
    <row r="3283" spans="1:22" x14ac:dyDescent="0.35">
      <c r="A3283" s="1">
        <v>42328.848738425928</v>
      </c>
      <c r="B3283" s="2">
        <v>4.5138888888888892E-4</v>
      </c>
      <c r="C3283" t="s">
        <v>3998</v>
      </c>
      <c r="D3283" t="s">
        <v>35</v>
      </c>
      <c r="E3283" t="s">
        <v>36</v>
      </c>
      <c r="F3283" t="s">
        <v>3999</v>
      </c>
      <c r="G3283">
        <v>1895039</v>
      </c>
      <c r="H3283" t="s">
        <v>26</v>
      </c>
      <c r="I3283" t="s">
        <v>3061</v>
      </c>
      <c r="J3283" t="str">
        <f>"9781118335741"</f>
        <v>9781118335741</v>
      </c>
      <c r="K3283" t="s">
        <v>5761</v>
      </c>
      <c r="L3283">
        <v>6</v>
      </c>
      <c r="O3283" t="s">
        <v>30</v>
      </c>
      <c r="P3283" t="s">
        <v>50</v>
      </c>
      <c r="S3283" t="s">
        <v>40</v>
      </c>
      <c r="T3283" t="s">
        <v>4001</v>
      </c>
      <c r="U3283" t="s">
        <v>4002</v>
      </c>
      <c r="V3283" s="3">
        <v>42058</v>
      </c>
    </row>
    <row r="3284" spans="1:22" x14ac:dyDescent="0.35">
      <c r="A3284" s="1">
        <v>42328.842789351853</v>
      </c>
      <c r="B3284" s="2">
        <v>2.4074074074074076E-3</v>
      </c>
      <c r="C3284" t="s">
        <v>5616</v>
      </c>
      <c r="D3284" t="s">
        <v>623</v>
      </c>
      <c r="E3284" t="s">
        <v>624</v>
      </c>
      <c r="F3284" t="s">
        <v>5617</v>
      </c>
      <c r="G3284">
        <v>2037989</v>
      </c>
      <c r="H3284" t="s">
        <v>26</v>
      </c>
      <c r="I3284" t="s">
        <v>69</v>
      </c>
      <c r="J3284" t="str">
        <f>"9781118977774"</f>
        <v>9781118977774</v>
      </c>
      <c r="K3284" t="s">
        <v>5762</v>
      </c>
      <c r="L3284">
        <v>13</v>
      </c>
      <c r="O3284" t="s">
        <v>30</v>
      </c>
      <c r="P3284" t="s">
        <v>50</v>
      </c>
      <c r="S3284" t="s">
        <v>627</v>
      </c>
      <c r="T3284" t="s">
        <v>5619</v>
      </c>
      <c r="U3284">
        <v>371.10199999999998</v>
      </c>
      <c r="V3284" s="3">
        <v>42121</v>
      </c>
    </row>
    <row r="3285" spans="1:22" x14ac:dyDescent="0.35">
      <c r="A3285" s="1">
        <v>42328.795312499999</v>
      </c>
      <c r="B3285" s="2">
        <v>1.40625E-2</v>
      </c>
      <c r="C3285" t="s">
        <v>5332</v>
      </c>
      <c r="D3285" t="s">
        <v>360</v>
      </c>
      <c r="E3285" t="s">
        <v>361</v>
      </c>
      <c r="F3285" t="s">
        <v>5333</v>
      </c>
      <c r="G3285">
        <v>538048</v>
      </c>
      <c r="H3285" t="s">
        <v>526</v>
      </c>
      <c r="I3285" t="s">
        <v>79</v>
      </c>
      <c r="J3285" t="str">
        <f>"9780226493671"</f>
        <v>9780226493671</v>
      </c>
      <c r="K3285" t="s">
        <v>5763</v>
      </c>
      <c r="L3285">
        <v>23</v>
      </c>
      <c r="O3285" t="s">
        <v>30</v>
      </c>
      <c r="P3285" t="s">
        <v>47</v>
      </c>
      <c r="Q3285" s="1">
        <v>42328.795312499999</v>
      </c>
      <c r="R3285">
        <v>1</v>
      </c>
      <c r="S3285" t="s">
        <v>363</v>
      </c>
      <c r="T3285" t="s">
        <v>5335</v>
      </c>
      <c r="U3285" t="s">
        <v>5336</v>
      </c>
      <c r="V3285" s="3">
        <v>41303</v>
      </c>
    </row>
    <row r="3286" spans="1:22" x14ac:dyDescent="0.35">
      <c r="A3286" s="1">
        <v>42328.787951388891</v>
      </c>
      <c r="B3286" s="2">
        <v>7.3611111111111108E-3</v>
      </c>
      <c r="C3286" t="s">
        <v>5332</v>
      </c>
      <c r="D3286" t="s">
        <v>360</v>
      </c>
      <c r="E3286" t="s">
        <v>361</v>
      </c>
      <c r="F3286" t="s">
        <v>5333</v>
      </c>
      <c r="G3286">
        <v>538048</v>
      </c>
      <c r="H3286" t="s">
        <v>526</v>
      </c>
      <c r="I3286" t="s">
        <v>79</v>
      </c>
      <c r="J3286" t="str">
        <f>"9780226493671"</f>
        <v>9780226493671</v>
      </c>
      <c r="K3286" t="s">
        <v>5764</v>
      </c>
      <c r="L3286">
        <v>12</v>
      </c>
      <c r="O3286" t="s">
        <v>30</v>
      </c>
      <c r="P3286" t="s">
        <v>50</v>
      </c>
      <c r="S3286" t="s">
        <v>363</v>
      </c>
      <c r="T3286" t="s">
        <v>5335</v>
      </c>
      <c r="U3286" t="s">
        <v>5336</v>
      </c>
      <c r="V3286" s="3">
        <v>41303</v>
      </c>
    </row>
    <row r="3287" spans="1:22" x14ac:dyDescent="0.35">
      <c r="A3287" s="1">
        <v>42328.783888888887</v>
      </c>
      <c r="B3287" s="2">
        <v>4.8715277777777781E-2</v>
      </c>
      <c r="C3287" t="s">
        <v>106</v>
      </c>
      <c r="D3287" t="s">
        <v>23</v>
      </c>
      <c r="E3287" t="s">
        <v>24</v>
      </c>
      <c r="F3287" t="s">
        <v>1051</v>
      </c>
      <c r="G3287">
        <v>821663</v>
      </c>
      <c r="H3287" t="s">
        <v>26</v>
      </c>
      <c r="I3287" t="s">
        <v>200</v>
      </c>
      <c r="J3287" t="str">
        <f>"9781118168479"</f>
        <v>9781118168479</v>
      </c>
      <c r="K3287" t="s">
        <v>5765</v>
      </c>
      <c r="L3287">
        <v>19</v>
      </c>
      <c r="O3287" t="s">
        <v>30</v>
      </c>
      <c r="P3287" t="s">
        <v>29</v>
      </c>
      <c r="Q3287" s="1">
        <v>42325.113796296297</v>
      </c>
      <c r="R3287">
        <v>7</v>
      </c>
      <c r="S3287" t="s">
        <v>31</v>
      </c>
      <c r="T3287" t="s">
        <v>1053</v>
      </c>
      <c r="U3287">
        <v>729</v>
      </c>
      <c r="V3287" s="3">
        <v>40973</v>
      </c>
    </row>
    <row r="3288" spans="1:22" x14ac:dyDescent="0.35">
      <c r="A3288" s="1">
        <v>42328.762256944443</v>
      </c>
      <c r="B3288" s="2">
        <v>2.809027777777778E-2</v>
      </c>
      <c r="C3288" t="s">
        <v>5176</v>
      </c>
      <c r="D3288" t="s">
        <v>1222</v>
      </c>
      <c r="E3288" t="s">
        <v>1223</v>
      </c>
      <c r="F3288" t="s">
        <v>3179</v>
      </c>
      <c r="G3288">
        <v>1172554</v>
      </c>
      <c r="H3288" t="s">
        <v>1365</v>
      </c>
      <c r="I3288" t="s">
        <v>172</v>
      </c>
      <c r="J3288" t="str">
        <f>""</f>
        <v/>
      </c>
      <c r="K3288" t="s">
        <v>5766</v>
      </c>
      <c r="L3288">
        <v>22</v>
      </c>
      <c r="O3288" t="s">
        <v>30</v>
      </c>
      <c r="P3288" t="s">
        <v>29</v>
      </c>
      <c r="Q3288" s="1">
        <v>42328.762256944443</v>
      </c>
      <c r="R3288">
        <v>7</v>
      </c>
      <c r="S3288" t="s">
        <v>1226</v>
      </c>
      <c r="T3288" t="s">
        <v>3182</v>
      </c>
      <c r="U3288" t="s">
        <v>3183</v>
      </c>
      <c r="V3288" s="3">
        <v>41375</v>
      </c>
    </row>
    <row r="3289" spans="1:22" x14ac:dyDescent="0.35">
      <c r="A3289" s="1">
        <v>42328.751435185186</v>
      </c>
      <c r="B3289" s="2">
        <v>1.082175925925926E-2</v>
      </c>
      <c r="C3289" t="s">
        <v>5176</v>
      </c>
      <c r="D3289" t="s">
        <v>1222</v>
      </c>
      <c r="E3289" t="s">
        <v>1223</v>
      </c>
      <c r="F3289" t="s">
        <v>3179</v>
      </c>
      <c r="G3289">
        <v>1172554</v>
      </c>
      <c r="H3289" t="s">
        <v>1365</v>
      </c>
      <c r="I3289" t="s">
        <v>172</v>
      </c>
      <c r="J3289" t="str">
        <f>""</f>
        <v/>
      </c>
      <c r="K3289" t="s">
        <v>5767</v>
      </c>
      <c r="L3289">
        <v>22</v>
      </c>
      <c r="O3289" t="s">
        <v>30</v>
      </c>
      <c r="P3289" t="s">
        <v>42</v>
      </c>
      <c r="S3289" t="s">
        <v>1226</v>
      </c>
      <c r="T3289" t="s">
        <v>3182</v>
      </c>
      <c r="U3289" t="s">
        <v>3183</v>
      </c>
      <c r="V3289" s="3">
        <v>41375</v>
      </c>
    </row>
    <row r="3290" spans="1:22" x14ac:dyDescent="0.35">
      <c r="A3290" s="1">
        <v>42328.746944444443</v>
      </c>
      <c r="B3290" s="2">
        <v>7.8703703703703705E-4</v>
      </c>
      <c r="C3290" t="s">
        <v>106</v>
      </c>
      <c r="D3290" t="s">
        <v>23</v>
      </c>
      <c r="E3290" t="s">
        <v>24</v>
      </c>
      <c r="F3290" t="s">
        <v>5768</v>
      </c>
      <c r="G3290">
        <v>2039123</v>
      </c>
      <c r="H3290" t="s">
        <v>45</v>
      </c>
      <c r="I3290" t="s">
        <v>247</v>
      </c>
      <c r="J3290" t="str">
        <f>"9781409442530"</f>
        <v>9781409442530</v>
      </c>
      <c r="K3290" t="s">
        <v>5769</v>
      </c>
      <c r="L3290">
        <v>10</v>
      </c>
      <c r="O3290" t="s">
        <v>30</v>
      </c>
      <c r="P3290" t="s">
        <v>50</v>
      </c>
      <c r="S3290" t="s">
        <v>31</v>
      </c>
      <c r="T3290" t="s">
        <v>5770</v>
      </c>
      <c r="U3290" t="s">
        <v>5771</v>
      </c>
      <c r="V3290" s="3">
        <v>42183</v>
      </c>
    </row>
    <row r="3291" spans="1:22" x14ac:dyDescent="0.35">
      <c r="A3291" s="1">
        <v>42328.73951388889</v>
      </c>
      <c r="B3291" s="2">
        <v>7.2916666666666659E-3</v>
      </c>
      <c r="C3291" t="s">
        <v>471</v>
      </c>
      <c r="D3291" t="s">
        <v>211</v>
      </c>
      <c r="E3291" t="s">
        <v>212</v>
      </c>
      <c r="F3291" t="s">
        <v>1182</v>
      </c>
      <c r="G3291">
        <v>1557279</v>
      </c>
      <c r="H3291" t="s">
        <v>26</v>
      </c>
      <c r="I3291" t="s">
        <v>97</v>
      </c>
      <c r="J3291" t="str">
        <f>"9781118863664"</f>
        <v>9781118863664</v>
      </c>
      <c r="K3291" t="s">
        <v>5772</v>
      </c>
      <c r="L3291">
        <v>37</v>
      </c>
      <c r="M3291" t="s">
        <v>5773</v>
      </c>
      <c r="O3291" t="s">
        <v>30</v>
      </c>
      <c r="P3291" t="s">
        <v>29</v>
      </c>
      <c r="Q3291" s="1">
        <v>42325.819016203706</v>
      </c>
      <c r="R3291">
        <v>7</v>
      </c>
      <c r="S3291" t="s">
        <v>214</v>
      </c>
      <c r="T3291" t="s">
        <v>1183</v>
      </c>
      <c r="U3291">
        <v>657.37800000000004</v>
      </c>
      <c r="V3291" s="3">
        <v>41585</v>
      </c>
    </row>
    <row r="3292" spans="1:22" x14ac:dyDescent="0.35">
      <c r="A3292" s="1">
        <v>42328.719525462962</v>
      </c>
      <c r="B3292" s="2">
        <v>5.6712962962962956E-4</v>
      </c>
      <c r="C3292" t="s">
        <v>5774</v>
      </c>
      <c r="D3292" t="s">
        <v>35</v>
      </c>
      <c r="E3292" t="s">
        <v>36</v>
      </c>
      <c r="F3292" t="s">
        <v>3363</v>
      </c>
      <c r="G3292">
        <v>1386405</v>
      </c>
      <c r="H3292" t="s">
        <v>68</v>
      </c>
      <c r="I3292" t="s">
        <v>150</v>
      </c>
      <c r="J3292" t="str">
        <f>"9781136222900"</f>
        <v>9781136222900</v>
      </c>
      <c r="K3292" t="s">
        <v>5775</v>
      </c>
      <c r="L3292">
        <v>10</v>
      </c>
      <c r="M3292" t="s">
        <v>5776</v>
      </c>
      <c r="N3292" t="s">
        <v>5777</v>
      </c>
      <c r="O3292" t="s">
        <v>30</v>
      </c>
      <c r="P3292" t="s">
        <v>47</v>
      </c>
      <c r="Q3292" s="1">
        <v>42328.719525462962</v>
      </c>
      <c r="R3292">
        <v>1</v>
      </c>
      <c r="S3292" t="s">
        <v>40</v>
      </c>
      <c r="T3292" t="s">
        <v>3365</v>
      </c>
      <c r="U3292">
        <v>791.43616999999995</v>
      </c>
      <c r="V3292" s="3">
        <v>41528</v>
      </c>
    </row>
    <row r="3293" spans="1:22" x14ac:dyDescent="0.35">
      <c r="A3293" s="1">
        <v>42328.716423611113</v>
      </c>
      <c r="B3293" s="2">
        <v>3.0902777777777782E-3</v>
      </c>
      <c r="C3293" t="s">
        <v>5774</v>
      </c>
      <c r="D3293" t="s">
        <v>35</v>
      </c>
      <c r="E3293" t="s">
        <v>36</v>
      </c>
      <c r="F3293" t="s">
        <v>3363</v>
      </c>
      <c r="G3293">
        <v>1386405</v>
      </c>
      <c r="H3293" t="s">
        <v>68</v>
      </c>
      <c r="I3293" t="s">
        <v>150</v>
      </c>
      <c r="J3293" t="str">
        <f>"9781136222900"</f>
        <v>9781136222900</v>
      </c>
      <c r="K3293" t="s">
        <v>5778</v>
      </c>
      <c r="L3293">
        <v>17</v>
      </c>
      <c r="O3293" t="s">
        <v>30</v>
      </c>
      <c r="P3293" t="s">
        <v>50</v>
      </c>
      <c r="S3293" t="s">
        <v>40</v>
      </c>
      <c r="T3293" t="s">
        <v>3365</v>
      </c>
      <c r="U3293">
        <v>791.43616999999995</v>
      </c>
      <c r="V3293" s="3">
        <v>41528</v>
      </c>
    </row>
    <row r="3294" spans="1:22" x14ac:dyDescent="0.35">
      <c r="A3294" s="1">
        <v>42328.710358796299</v>
      </c>
      <c r="B3294" s="2">
        <v>4.0509259259259258E-4</v>
      </c>
      <c r="C3294" t="s">
        <v>5505</v>
      </c>
      <c r="D3294" t="s">
        <v>261</v>
      </c>
      <c r="E3294" t="s">
        <v>262</v>
      </c>
      <c r="F3294" t="s">
        <v>749</v>
      </c>
      <c r="G3294">
        <v>694178</v>
      </c>
      <c r="H3294" t="s">
        <v>26</v>
      </c>
      <c r="I3294" t="s">
        <v>750</v>
      </c>
      <c r="J3294" t="str">
        <f>"9780632057528"</f>
        <v>9780632057528</v>
      </c>
      <c r="K3294" t="s">
        <v>5779</v>
      </c>
      <c r="L3294">
        <v>8</v>
      </c>
      <c r="O3294" t="s">
        <v>30</v>
      </c>
      <c r="P3294" t="s">
        <v>50</v>
      </c>
      <c r="S3294" t="s">
        <v>264</v>
      </c>
      <c r="T3294" t="s">
        <v>752</v>
      </c>
      <c r="U3294">
        <v>391</v>
      </c>
      <c r="V3294" s="3">
        <v>41520</v>
      </c>
    </row>
    <row r="3295" spans="1:22" x14ac:dyDescent="0.35">
      <c r="A3295" s="1">
        <v>42328.708182870374</v>
      </c>
      <c r="B3295" s="2">
        <v>1.7106481481481483E-2</v>
      </c>
      <c r="C3295" t="s">
        <v>106</v>
      </c>
      <c r="D3295" t="s">
        <v>23</v>
      </c>
      <c r="E3295" t="s">
        <v>24</v>
      </c>
      <c r="F3295" t="s">
        <v>3973</v>
      </c>
      <c r="G3295">
        <v>771049</v>
      </c>
      <c r="H3295" t="s">
        <v>3465</v>
      </c>
      <c r="I3295" t="s">
        <v>3974</v>
      </c>
      <c r="J3295" t="str">
        <f>"9781608706648"</f>
        <v>9781608706648</v>
      </c>
      <c r="K3295" t="s">
        <v>5780</v>
      </c>
      <c r="L3295">
        <v>28</v>
      </c>
      <c r="O3295" t="s">
        <v>30</v>
      </c>
      <c r="P3295" t="s">
        <v>29</v>
      </c>
      <c r="Q3295" s="1">
        <v>42327.661134259259</v>
      </c>
      <c r="R3295">
        <v>7</v>
      </c>
      <c r="S3295" t="s">
        <v>31</v>
      </c>
      <c r="T3295" t="s">
        <v>3976</v>
      </c>
      <c r="U3295">
        <v>363.73874000000001</v>
      </c>
      <c r="V3295" s="3">
        <v>40909</v>
      </c>
    </row>
    <row r="3296" spans="1:22" x14ac:dyDescent="0.35">
      <c r="A3296" s="1">
        <v>42328.704398148147</v>
      </c>
      <c r="B3296" s="2">
        <v>6.8287037037037025E-4</v>
      </c>
      <c r="C3296" t="s">
        <v>471</v>
      </c>
      <c r="D3296" t="s">
        <v>211</v>
      </c>
      <c r="E3296" t="s">
        <v>212</v>
      </c>
      <c r="F3296" t="s">
        <v>1182</v>
      </c>
      <c r="G3296">
        <v>1557279</v>
      </c>
      <c r="H3296" t="s">
        <v>26</v>
      </c>
      <c r="I3296" t="s">
        <v>97</v>
      </c>
      <c r="J3296" t="str">
        <f>"9781118863664"</f>
        <v>9781118863664</v>
      </c>
      <c r="K3296" t="s">
        <v>5781</v>
      </c>
      <c r="L3296">
        <v>24</v>
      </c>
      <c r="M3296" t="s">
        <v>5782</v>
      </c>
      <c r="O3296" t="s">
        <v>30</v>
      </c>
      <c r="P3296" t="s">
        <v>29</v>
      </c>
      <c r="Q3296" s="1">
        <v>42325.819016203706</v>
      </c>
      <c r="R3296">
        <v>7</v>
      </c>
      <c r="S3296" t="s">
        <v>214</v>
      </c>
      <c r="T3296" t="s">
        <v>1183</v>
      </c>
      <c r="U3296">
        <v>657.37800000000004</v>
      </c>
      <c r="V3296" s="3">
        <v>41585</v>
      </c>
    </row>
    <row r="3297" spans="1:22" x14ac:dyDescent="0.35">
      <c r="A3297" s="1">
        <v>42328.703483796293</v>
      </c>
      <c r="B3297" s="2">
        <v>3.3564814814814812E-4</v>
      </c>
      <c r="C3297" t="s">
        <v>106</v>
      </c>
      <c r="D3297" t="s">
        <v>23</v>
      </c>
      <c r="E3297" t="s">
        <v>24</v>
      </c>
      <c r="F3297" t="s">
        <v>4180</v>
      </c>
      <c r="G3297">
        <v>817932</v>
      </c>
      <c r="H3297" t="s">
        <v>26</v>
      </c>
      <c r="I3297" t="s">
        <v>276</v>
      </c>
      <c r="J3297" t="str">
        <f>"9781118220146"</f>
        <v>9781118220146</v>
      </c>
      <c r="K3297" t="s">
        <v>1315</v>
      </c>
      <c r="L3297">
        <v>3</v>
      </c>
      <c r="O3297" t="s">
        <v>30</v>
      </c>
      <c r="P3297" t="s">
        <v>42</v>
      </c>
      <c r="S3297" t="s">
        <v>31</v>
      </c>
      <c r="T3297" t="s">
        <v>4182</v>
      </c>
      <c r="U3297">
        <v>5.133</v>
      </c>
      <c r="V3297" s="3">
        <v>40981</v>
      </c>
    </row>
    <row r="3298" spans="1:22" x14ac:dyDescent="0.35">
      <c r="A3298" s="1">
        <v>42328.694745370369</v>
      </c>
      <c r="B3298" s="2">
        <v>4.7685185185185183E-3</v>
      </c>
      <c r="C3298" t="s">
        <v>3783</v>
      </c>
      <c r="D3298" t="s">
        <v>2519</v>
      </c>
      <c r="E3298" t="s">
        <v>2520</v>
      </c>
      <c r="F3298" t="s">
        <v>3784</v>
      </c>
      <c r="G3298">
        <v>1895271</v>
      </c>
      <c r="H3298" t="s">
        <v>26</v>
      </c>
      <c r="I3298" t="s">
        <v>247</v>
      </c>
      <c r="J3298" t="str">
        <f>"9781119026655"</f>
        <v>9781119026655</v>
      </c>
      <c r="K3298" t="s">
        <v>5783</v>
      </c>
      <c r="L3298">
        <v>14</v>
      </c>
      <c r="O3298" t="s">
        <v>30</v>
      </c>
      <c r="P3298" t="s">
        <v>29</v>
      </c>
      <c r="Q3298" s="1">
        <v>42328.676504629628</v>
      </c>
      <c r="R3298">
        <v>7</v>
      </c>
      <c r="S3298" t="s">
        <v>2523</v>
      </c>
      <c r="T3298" t="s">
        <v>3787</v>
      </c>
      <c r="U3298" t="s">
        <v>3788</v>
      </c>
      <c r="V3298" s="3">
        <v>42011</v>
      </c>
    </row>
    <row r="3299" spans="1:22" x14ac:dyDescent="0.35">
      <c r="A3299" s="1">
        <v>42328.676516203705</v>
      </c>
      <c r="B3299" s="2">
        <v>1.7592592592592594E-2</v>
      </c>
      <c r="C3299" t="s">
        <v>3783</v>
      </c>
      <c r="D3299" t="s">
        <v>2519</v>
      </c>
      <c r="E3299" t="s">
        <v>2520</v>
      </c>
      <c r="F3299" t="s">
        <v>3784</v>
      </c>
      <c r="G3299">
        <v>1895271</v>
      </c>
      <c r="H3299" t="s">
        <v>26</v>
      </c>
      <c r="I3299" t="s">
        <v>247</v>
      </c>
      <c r="J3299" t="str">
        <f>"9781119026655"</f>
        <v>9781119026655</v>
      </c>
      <c r="K3299" t="s">
        <v>5784</v>
      </c>
      <c r="L3299">
        <v>36</v>
      </c>
      <c r="O3299" t="s">
        <v>30</v>
      </c>
      <c r="P3299" t="s">
        <v>29</v>
      </c>
      <c r="Q3299" s="1">
        <v>42328.676504629628</v>
      </c>
      <c r="R3299">
        <v>7</v>
      </c>
      <c r="S3299" t="s">
        <v>2523</v>
      </c>
      <c r="T3299" t="s">
        <v>3787</v>
      </c>
      <c r="U3299" t="s">
        <v>3788</v>
      </c>
      <c r="V3299" s="3">
        <v>42011</v>
      </c>
    </row>
    <row r="3300" spans="1:22" x14ac:dyDescent="0.35">
      <c r="A3300" s="1">
        <v>42328.661423611113</v>
      </c>
      <c r="B3300" s="2">
        <v>2.0833333333333335E-4</v>
      </c>
      <c r="C3300" t="s">
        <v>5785</v>
      </c>
      <c r="D3300" t="s">
        <v>35</v>
      </c>
      <c r="E3300" t="s">
        <v>36</v>
      </c>
      <c r="F3300" t="s">
        <v>1497</v>
      </c>
      <c r="G3300">
        <v>1576121</v>
      </c>
      <c r="H3300" t="s">
        <v>68</v>
      </c>
      <c r="I3300" t="s">
        <v>97</v>
      </c>
      <c r="J3300" t="str">
        <f>"9781134602933"</f>
        <v>9781134602933</v>
      </c>
      <c r="K3300" t="s">
        <v>5786</v>
      </c>
      <c r="L3300">
        <v>14</v>
      </c>
      <c r="O3300" t="s">
        <v>30</v>
      </c>
      <c r="P3300" t="s">
        <v>50</v>
      </c>
      <c r="S3300" t="s">
        <v>40</v>
      </c>
      <c r="T3300" t="s">
        <v>1499</v>
      </c>
      <c r="U3300">
        <v>657</v>
      </c>
      <c r="V3300" s="3">
        <v>41569</v>
      </c>
    </row>
    <row r="3301" spans="1:22" x14ac:dyDescent="0.35">
      <c r="A3301" s="1">
        <v>42328.655844907407</v>
      </c>
      <c r="B3301" s="2">
        <v>4.8611111111111104E-4</v>
      </c>
      <c r="C3301" t="s">
        <v>5787</v>
      </c>
      <c r="D3301" t="s">
        <v>2519</v>
      </c>
      <c r="E3301" t="s">
        <v>2520</v>
      </c>
      <c r="F3301" t="s">
        <v>5788</v>
      </c>
      <c r="G3301">
        <v>2075610</v>
      </c>
      <c r="H3301" t="s">
        <v>26</v>
      </c>
      <c r="I3301" t="s">
        <v>5789</v>
      </c>
      <c r="J3301" t="str">
        <f>"9781118699485"</f>
        <v>9781118699485</v>
      </c>
      <c r="K3301" t="s">
        <v>5790</v>
      </c>
      <c r="L3301">
        <v>17</v>
      </c>
      <c r="O3301" t="s">
        <v>30</v>
      </c>
      <c r="P3301" t="s">
        <v>50</v>
      </c>
      <c r="S3301" t="s">
        <v>2523</v>
      </c>
      <c r="T3301" t="s">
        <v>5791</v>
      </c>
      <c r="U3301">
        <v>395.22</v>
      </c>
      <c r="V3301" s="3">
        <v>41758</v>
      </c>
    </row>
    <row r="3302" spans="1:22" x14ac:dyDescent="0.35">
      <c r="A3302" s="1">
        <v>42328.648819444446</v>
      </c>
      <c r="B3302" s="2">
        <v>6.018518518518519E-4</v>
      </c>
      <c r="C3302" t="s">
        <v>5792</v>
      </c>
      <c r="D3302" t="s">
        <v>35</v>
      </c>
      <c r="E3302" t="s">
        <v>36</v>
      </c>
      <c r="F3302" t="s">
        <v>5793</v>
      </c>
      <c r="G3302">
        <v>1895353</v>
      </c>
      <c r="H3302" t="s">
        <v>26</v>
      </c>
      <c r="I3302" t="s">
        <v>219</v>
      </c>
      <c r="J3302" t="str">
        <f>"9781119071709"</f>
        <v>9781119071709</v>
      </c>
      <c r="K3302" t="s">
        <v>5794</v>
      </c>
      <c r="L3302">
        <v>17</v>
      </c>
      <c r="O3302" t="s">
        <v>30</v>
      </c>
      <c r="P3302" t="s">
        <v>50</v>
      </c>
      <c r="S3302" t="s">
        <v>40</v>
      </c>
      <c r="T3302" t="s">
        <v>5795</v>
      </c>
      <c r="U3302" t="s">
        <v>5796</v>
      </c>
      <c r="V3302" s="3">
        <v>42172</v>
      </c>
    </row>
    <row r="3303" spans="1:22" x14ac:dyDescent="0.35">
      <c r="A3303" s="1">
        <v>42328.621261574073</v>
      </c>
      <c r="B3303" s="2">
        <v>5.5243055555555559E-2</v>
      </c>
      <c r="C3303" t="s">
        <v>3783</v>
      </c>
      <c r="D3303" t="s">
        <v>2519</v>
      </c>
      <c r="E3303" t="s">
        <v>2520</v>
      </c>
      <c r="F3303" t="s">
        <v>3784</v>
      </c>
      <c r="G3303">
        <v>1895271</v>
      </c>
      <c r="H3303" t="s">
        <v>26</v>
      </c>
      <c r="I3303" t="s">
        <v>247</v>
      </c>
      <c r="J3303" t="str">
        <f>"9781119026655"</f>
        <v>9781119026655</v>
      </c>
      <c r="K3303" t="s">
        <v>5797</v>
      </c>
      <c r="L3303">
        <v>13</v>
      </c>
      <c r="O3303" t="s">
        <v>30</v>
      </c>
      <c r="P3303" t="s">
        <v>50</v>
      </c>
      <c r="S3303" t="s">
        <v>2523</v>
      </c>
      <c r="T3303" t="s">
        <v>3787</v>
      </c>
      <c r="U3303" t="s">
        <v>3788</v>
      </c>
      <c r="V3303" s="3">
        <v>42011</v>
      </c>
    </row>
    <row r="3304" spans="1:22" x14ac:dyDescent="0.35">
      <c r="A3304" s="1">
        <v>42328.621215277781</v>
      </c>
      <c r="B3304" s="2">
        <v>3.4722222222222222E-5</v>
      </c>
      <c r="C3304" t="s">
        <v>3783</v>
      </c>
      <c r="D3304" t="s">
        <v>2519</v>
      </c>
      <c r="E3304" t="s">
        <v>2520</v>
      </c>
      <c r="F3304" t="s">
        <v>3784</v>
      </c>
      <c r="G3304">
        <v>1895271</v>
      </c>
      <c r="H3304" t="s">
        <v>26</v>
      </c>
      <c r="I3304" t="s">
        <v>247</v>
      </c>
      <c r="J3304" t="str">
        <f>"9781119026655"</f>
        <v>9781119026655</v>
      </c>
      <c r="K3304" t="s">
        <v>105</v>
      </c>
      <c r="L3304">
        <v>1</v>
      </c>
      <c r="O3304" t="s">
        <v>30</v>
      </c>
      <c r="P3304" t="s">
        <v>50</v>
      </c>
      <c r="S3304" t="s">
        <v>2523</v>
      </c>
      <c r="T3304" t="s">
        <v>3787</v>
      </c>
      <c r="U3304" t="s">
        <v>3788</v>
      </c>
      <c r="V3304" s="3">
        <v>42011</v>
      </c>
    </row>
    <row r="3305" spans="1:22" x14ac:dyDescent="0.35">
      <c r="A3305" s="1">
        <v>42328.618449074071</v>
      </c>
      <c r="B3305" s="2">
        <v>3.1250000000000001E-4</v>
      </c>
      <c r="C3305" t="s">
        <v>5798</v>
      </c>
      <c r="D3305" t="s">
        <v>23</v>
      </c>
      <c r="E3305" t="s">
        <v>24</v>
      </c>
      <c r="F3305" t="s">
        <v>5494</v>
      </c>
      <c r="G3305">
        <v>1589615</v>
      </c>
      <c r="H3305" t="s">
        <v>45</v>
      </c>
      <c r="I3305" t="s">
        <v>172</v>
      </c>
      <c r="J3305" t="str">
        <f>"9781409469865"</f>
        <v>9781409469865</v>
      </c>
      <c r="K3305" t="s">
        <v>5799</v>
      </c>
      <c r="L3305">
        <v>19</v>
      </c>
      <c r="O3305" t="s">
        <v>30</v>
      </c>
      <c r="P3305" t="s">
        <v>29</v>
      </c>
      <c r="Q3305" s="1">
        <v>42328.228368055556</v>
      </c>
      <c r="R3305">
        <v>7</v>
      </c>
      <c r="S3305" t="s">
        <v>31</v>
      </c>
      <c r="T3305" t="s">
        <v>5496</v>
      </c>
      <c r="U3305">
        <v>949.50199999999995</v>
      </c>
      <c r="V3305" s="3">
        <v>41940</v>
      </c>
    </row>
    <row r="3306" spans="1:22" x14ac:dyDescent="0.35">
      <c r="A3306" s="1">
        <v>42328.611817129633</v>
      </c>
      <c r="B3306" s="2">
        <v>2.3263888888888887E-3</v>
      </c>
      <c r="C3306" t="s">
        <v>5800</v>
      </c>
      <c r="D3306" t="s">
        <v>1222</v>
      </c>
      <c r="E3306" t="s">
        <v>1223</v>
      </c>
      <c r="F3306" t="s">
        <v>1698</v>
      </c>
      <c r="G3306">
        <v>1637652</v>
      </c>
      <c r="H3306" t="s">
        <v>84</v>
      </c>
      <c r="I3306" t="s">
        <v>69</v>
      </c>
      <c r="J3306" t="str">
        <f>"9780520958449"</f>
        <v>9780520958449</v>
      </c>
      <c r="K3306" t="s">
        <v>5801</v>
      </c>
      <c r="L3306">
        <v>23</v>
      </c>
      <c r="O3306" t="s">
        <v>30</v>
      </c>
      <c r="P3306" t="s">
        <v>42</v>
      </c>
      <c r="S3306" t="s">
        <v>1226</v>
      </c>
      <c r="T3306" t="s">
        <v>1700</v>
      </c>
      <c r="U3306" t="s">
        <v>1701</v>
      </c>
      <c r="V3306" s="3">
        <v>41761</v>
      </c>
    </row>
    <row r="3307" spans="1:22" x14ac:dyDescent="0.35">
      <c r="A3307" s="1">
        <v>42328.608356481483</v>
      </c>
      <c r="B3307" s="2">
        <v>1.2384259259259258E-3</v>
      </c>
      <c r="C3307" t="s">
        <v>5802</v>
      </c>
      <c r="D3307" t="s">
        <v>35</v>
      </c>
      <c r="E3307" t="s">
        <v>36</v>
      </c>
      <c r="F3307" t="s">
        <v>5803</v>
      </c>
      <c r="G3307">
        <v>1873193</v>
      </c>
      <c r="H3307" t="s">
        <v>26</v>
      </c>
      <c r="I3307" t="s">
        <v>97</v>
      </c>
      <c r="J3307" t="str">
        <f>"9781118956953"</f>
        <v>9781118956953</v>
      </c>
      <c r="K3307" t="s">
        <v>5804</v>
      </c>
      <c r="L3307">
        <v>28</v>
      </c>
      <c r="O3307" t="s">
        <v>30</v>
      </c>
      <c r="P3307" t="s">
        <v>50</v>
      </c>
      <c r="S3307" t="s">
        <v>40</v>
      </c>
      <c r="T3307" t="s">
        <v>5805</v>
      </c>
      <c r="U3307" t="s">
        <v>5806</v>
      </c>
      <c r="V3307" s="3">
        <v>41967</v>
      </c>
    </row>
    <row r="3308" spans="1:22" x14ac:dyDescent="0.35">
      <c r="A3308" s="1">
        <v>42328.608275462961</v>
      </c>
      <c r="B3308" s="2">
        <v>7.1874999999999994E-3</v>
      </c>
      <c r="C3308" t="s">
        <v>5807</v>
      </c>
      <c r="D3308" t="s">
        <v>35</v>
      </c>
      <c r="E3308" t="s">
        <v>36</v>
      </c>
      <c r="F3308" t="s">
        <v>2807</v>
      </c>
      <c r="G3308">
        <v>1767915</v>
      </c>
      <c r="H3308" t="s">
        <v>26</v>
      </c>
      <c r="I3308" t="s">
        <v>120</v>
      </c>
      <c r="J3308" t="str">
        <f>"9780730315148"</f>
        <v>9780730315148</v>
      </c>
      <c r="K3308" t="s">
        <v>5808</v>
      </c>
      <c r="L3308">
        <v>5</v>
      </c>
      <c r="O3308" t="s">
        <v>30</v>
      </c>
      <c r="P3308" t="s">
        <v>29</v>
      </c>
      <c r="Q3308" s="1">
        <v>42328.608275462961</v>
      </c>
      <c r="R3308">
        <v>7</v>
      </c>
      <c r="S3308" t="s">
        <v>40</v>
      </c>
      <c r="T3308" t="s">
        <v>2809</v>
      </c>
      <c r="U3308">
        <v>302.23099999999999</v>
      </c>
      <c r="V3308" s="3">
        <v>41866</v>
      </c>
    </row>
    <row r="3309" spans="1:22" x14ac:dyDescent="0.35">
      <c r="A3309" s="1">
        <v>42328.601319444446</v>
      </c>
      <c r="B3309" s="2">
        <v>6.9560185185185185E-3</v>
      </c>
      <c r="C3309" t="s">
        <v>5807</v>
      </c>
      <c r="D3309" t="s">
        <v>35</v>
      </c>
      <c r="E3309" t="s">
        <v>36</v>
      </c>
      <c r="F3309" t="s">
        <v>2807</v>
      </c>
      <c r="G3309">
        <v>1767915</v>
      </c>
      <c r="H3309" t="s">
        <v>26</v>
      </c>
      <c r="I3309" t="s">
        <v>120</v>
      </c>
      <c r="J3309" t="str">
        <f>"9780730315148"</f>
        <v>9780730315148</v>
      </c>
      <c r="K3309" t="s">
        <v>5809</v>
      </c>
      <c r="L3309">
        <v>15</v>
      </c>
      <c r="O3309" t="s">
        <v>30</v>
      </c>
      <c r="P3309" t="s">
        <v>42</v>
      </c>
      <c r="S3309" t="s">
        <v>40</v>
      </c>
      <c r="T3309" t="s">
        <v>2809</v>
      </c>
      <c r="U3309">
        <v>302.23099999999999</v>
      </c>
      <c r="V3309" s="3">
        <v>41866</v>
      </c>
    </row>
    <row r="3310" spans="1:22" x14ac:dyDescent="0.35">
      <c r="A3310" s="1">
        <v>42328.600347222222</v>
      </c>
      <c r="B3310" s="2">
        <v>2.8935185185185188E-3</v>
      </c>
      <c r="C3310" t="s">
        <v>4751</v>
      </c>
      <c r="D3310" t="s">
        <v>35</v>
      </c>
      <c r="E3310" t="s">
        <v>36</v>
      </c>
      <c r="F3310" t="s">
        <v>4752</v>
      </c>
      <c r="G3310">
        <v>1323321</v>
      </c>
      <c r="H3310" t="s">
        <v>68</v>
      </c>
      <c r="I3310" t="s">
        <v>2836</v>
      </c>
      <c r="J3310" t="str">
        <f>"9781135007676"</f>
        <v>9781135007676</v>
      </c>
      <c r="K3310" t="s">
        <v>5810</v>
      </c>
      <c r="L3310">
        <v>30</v>
      </c>
      <c r="O3310" t="s">
        <v>30</v>
      </c>
      <c r="P3310" t="s">
        <v>47</v>
      </c>
      <c r="Q3310" s="1">
        <v>42328.600347222222</v>
      </c>
      <c r="R3310">
        <v>1</v>
      </c>
      <c r="S3310" t="s">
        <v>40</v>
      </c>
      <c r="T3310" t="s">
        <v>4754</v>
      </c>
      <c r="U3310">
        <v>158.69999999999999</v>
      </c>
      <c r="V3310" s="3">
        <v>41479</v>
      </c>
    </row>
    <row r="3311" spans="1:22" x14ac:dyDescent="0.35">
      <c r="A3311" s="1">
        <v>42328.598969907405</v>
      </c>
      <c r="B3311" s="2">
        <v>2.5462962962962961E-4</v>
      </c>
      <c r="C3311" t="s">
        <v>5811</v>
      </c>
      <c r="D3311" t="s">
        <v>35</v>
      </c>
      <c r="E3311" t="s">
        <v>36</v>
      </c>
      <c r="F3311" t="s">
        <v>5812</v>
      </c>
      <c r="G3311">
        <v>1706873</v>
      </c>
      <c r="H3311" t="s">
        <v>26</v>
      </c>
      <c r="I3311" t="s">
        <v>97</v>
      </c>
      <c r="J3311" t="str">
        <f>"9781118866429"</f>
        <v>9781118866429</v>
      </c>
      <c r="K3311" t="s">
        <v>5813</v>
      </c>
      <c r="L3311">
        <v>9</v>
      </c>
      <c r="O3311" t="s">
        <v>30</v>
      </c>
      <c r="P3311" t="s">
        <v>50</v>
      </c>
      <c r="S3311" t="s">
        <v>40</v>
      </c>
      <c r="T3311" t="s">
        <v>5814</v>
      </c>
      <c r="U3311">
        <v>658.16</v>
      </c>
      <c r="V3311" s="3">
        <v>41792</v>
      </c>
    </row>
    <row r="3312" spans="1:22" x14ac:dyDescent="0.35">
      <c r="A3312" s="1">
        <v>42328.598078703704</v>
      </c>
      <c r="B3312" s="2">
        <v>2.3495370370370371E-3</v>
      </c>
      <c r="C3312" t="s">
        <v>5815</v>
      </c>
      <c r="D3312" t="s">
        <v>35</v>
      </c>
      <c r="E3312" t="s">
        <v>36</v>
      </c>
      <c r="F3312" t="s">
        <v>5203</v>
      </c>
      <c r="G3312">
        <v>1573297</v>
      </c>
      <c r="H3312" t="s">
        <v>68</v>
      </c>
      <c r="I3312" t="s">
        <v>5204</v>
      </c>
      <c r="J3312" t="str">
        <f>"9781134049356"</f>
        <v>9781134049356</v>
      </c>
      <c r="K3312" t="s">
        <v>5816</v>
      </c>
      <c r="L3312">
        <v>49</v>
      </c>
      <c r="O3312" t="s">
        <v>30</v>
      </c>
      <c r="P3312" t="s">
        <v>50</v>
      </c>
      <c r="S3312" t="s">
        <v>40</v>
      </c>
      <c r="T3312" t="s">
        <v>5205</v>
      </c>
      <c r="U3312">
        <v>791.43616399999996</v>
      </c>
      <c r="V3312" s="3">
        <v>39853</v>
      </c>
    </row>
    <row r="3313" spans="1:22" x14ac:dyDescent="0.35">
      <c r="A3313" s="1">
        <v>42328.596574074072</v>
      </c>
      <c r="B3313" s="2">
        <v>3.7731481481481483E-3</v>
      </c>
      <c r="C3313" t="s">
        <v>4751</v>
      </c>
      <c r="D3313" t="s">
        <v>35</v>
      </c>
      <c r="E3313" t="s">
        <v>36</v>
      </c>
      <c r="F3313" t="s">
        <v>4752</v>
      </c>
      <c r="G3313">
        <v>1323321</v>
      </c>
      <c r="H3313" t="s">
        <v>68</v>
      </c>
      <c r="I3313" t="s">
        <v>2836</v>
      </c>
      <c r="J3313" t="str">
        <f>"9781135007676"</f>
        <v>9781135007676</v>
      </c>
      <c r="K3313" t="s">
        <v>5817</v>
      </c>
      <c r="L3313">
        <v>36</v>
      </c>
      <c r="O3313" t="s">
        <v>30</v>
      </c>
      <c r="P3313" t="s">
        <v>50</v>
      </c>
      <c r="S3313" t="s">
        <v>40</v>
      </c>
      <c r="T3313" t="s">
        <v>4754</v>
      </c>
      <c r="U3313">
        <v>158.69999999999999</v>
      </c>
      <c r="V3313" s="3">
        <v>41479</v>
      </c>
    </row>
    <row r="3314" spans="1:22" x14ac:dyDescent="0.35">
      <c r="A3314" s="1">
        <v>42328.595335648148</v>
      </c>
      <c r="B3314" s="2">
        <v>1.556712962962963E-2</v>
      </c>
      <c r="C3314" t="s">
        <v>5592</v>
      </c>
      <c r="D3314" t="s">
        <v>623</v>
      </c>
      <c r="E3314" t="s">
        <v>624</v>
      </c>
      <c r="F3314" t="s">
        <v>1698</v>
      </c>
      <c r="G3314">
        <v>1637652</v>
      </c>
      <c r="H3314" t="s">
        <v>84</v>
      </c>
      <c r="I3314" t="s">
        <v>69</v>
      </c>
      <c r="J3314" t="str">
        <f>"9780520958449"</f>
        <v>9780520958449</v>
      </c>
      <c r="K3314" t="s">
        <v>5818</v>
      </c>
      <c r="L3314">
        <v>10</v>
      </c>
      <c r="O3314" t="s">
        <v>30</v>
      </c>
      <c r="P3314" t="s">
        <v>29</v>
      </c>
      <c r="Q3314" s="1">
        <v>42321.620787037034</v>
      </c>
      <c r="R3314">
        <v>7</v>
      </c>
      <c r="S3314" t="s">
        <v>627</v>
      </c>
      <c r="T3314" t="s">
        <v>1700</v>
      </c>
      <c r="U3314" t="s">
        <v>1701</v>
      </c>
      <c r="V3314" s="3">
        <v>41761</v>
      </c>
    </row>
    <row r="3315" spans="1:22" x14ac:dyDescent="0.35">
      <c r="A3315" s="1">
        <v>42328.57708333333</v>
      </c>
      <c r="B3315" s="2">
        <v>8.8402777777777775E-2</v>
      </c>
      <c r="C3315" t="s">
        <v>3454</v>
      </c>
      <c r="D3315" t="s">
        <v>23</v>
      </c>
      <c r="E3315" t="s">
        <v>24</v>
      </c>
      <c r="F3315" t="s">
        <v>3351</v>
      </c>
      <c r="G3315">
        <v>1760720</v>
      </c>
      <c r="H3315" t="s">
        <v>91</v>
      </c>
      <c r="I3315" t="s">
        <v>247</v>
      </c>
      <c r="J3315" t="str">
        <f>"9781462517459"</f>
        <v>9781462517459</v>
      </c>
      <c r="K3315" t="s">
        <v>5819</v>
      </c>
      <c r="L3315">
        <v>31</v>
      </c>
      <c r="O3315" t="s">
        <v>30</v>
      </c>
      <c r="P3315" t="s">
        <v>29</v>
      </c>
      <c r="Q3315" s="1">
        <v>42327.645243055558</v>
      </c>
      <c r="R3315">
        <v>7</v>
      </c>
      <c r="S3315" t="s">
        <v>31</v>
      </c>
      <c r="T3315" t="s">
        <v>3353</v>
      </c>
      <c r="U3315">
        <v>616.89142000000004</v>
      </c>
      <c r="V3315" s="3">
        <v>41996</v>
      </c>
    </row>
    <row r="3316" spans="1:22" x14ac:dyDescent="0.35">
      <c r="A3316" s="1">
        <v>42328.574062500003</v>
      </c>
      <c r="B3316" s="2">
        <v>2.3148148148148146E-4</v>
      </c>
      <c r="C3316" t="s">
        <v>5820</v>
      </c>
      <c r="D3316" t="s">
        <v>35</v>
      </c>
      <c r="E3316" t="s">
        <v>36</v>
      </c>
      <c r="F3316" t="s">
        <v>5821</v>
      </c>
      <c r="G3316">
        <v>1883959</v>
      </c>
      <c r="H3316" t="s">
        <v>26</v>
      </c>
      <c r="I3316" t="s">
        <v>97</v>
      </c>
      <c r="J3316" t="str">
        <f>"9781119005018"</f>
        <v>9781119005018</v>
      </c>
      <c r="K3316" t="s">
        <v>5822</v>
      </c>
      <c r="L3316">
        <v>5</v>
      </c>
      <c r="O3316" t="s">
        <v>30</v>
      </c>
      <c r="P3316" t="s">
        <v>50</v>
      </c>
      <c r="S3316" t="s">
        <v>40</v>
      </c>
      <c r="T3316" t="s">
        <v>5823</v>
      </c>
      <c r="U3316">
        <v>658</v>
      </c>
      <c r="V3316" s="3">
        <v>41976</v>
      </c>
    </row>
    <row r="3317" spans="1:22" x14ac:dyDescent="0.35">
      <c r="A3317" s="1">
        <v>42328.573622685188</v>
      </c>
      <c r="B3317" s="2">
        <v>4.6296296296296294E-5</v>
      </c>
      <c r="C3317" t="s">
        <v>5820</v>
      </c>
      <c r="D3317" t="s">
        <v>35</v>
      </c>
      <c r="E3317" t="s">
        <v>36</v>
      </c>
      <c r="F3317" t="s">
        <v>5821</v>
      </c>
      <c r="G3317">
        <v>1883959</v>
      </c>
      <c r="H3317" t="s">
        <v>26</v>
      </c>
      <c r="I3317" t="s">
        <v>97</v>
      </c>
      <c r="J3317" t="str">
        <f>"9781119005018"</f>
        <v>9781119005018</v>
      </c>
      <c r="K3317" t="s">
        <v>5824</v>
      </c>
      <c r="L3317">
        <v>4</v>
      </c>
      <c r="O3317" t="s">
        <v>30</v>
      </c>
      <c r="P3317" t="s">
        <v>50</v>
      </c>
      <c r="S3317" t="s">
        <v>40</v>
      </c>
      <c r="T3317" t="s">
        <v>5823</v>
      </c>
      <c r="U3317">
        <v>658</v>
      </c>
      <c r="V3317" s="3">
        <v>41976</v>
      </c>
    </row>
    <row r="3318" spans="1:22" x14ac:dyDescent="0.35">
      <c r="A3318" s="1">
        <v>42328.568969907406</v>
      </c>
      <c r="B3318" s="2">
        <v>3.3854166666666664E-2</v>
      </c>
      <c r="C3318" t="s">
        <v>5219</v>
      </c>
      <c r="D3318" t="s">
        <v>211</v>
      </c>
      <c r="E3318" t="s">
        <v>212</v>
      </c>
      <c r="F3318" t="s">
        <v>462</v>
      </c>
      <c r="G3318">
        <v>1822529</v>
      </c>
      <c r="H3318" t="s">
        <v>26</v>
      </c>
      <c r="I3318" t="s">
        <v>297</v>
      </c>
      <c r="J3318" t="str">
        <f>"9781118824344"</f>
        <v>9781118824344</v>
      </c>
      <c r="K3318" t="s">
        <v>5825</v>
      </c>
      <c r="L3318">
        <v>21</v>
      </c>
      <c r="O3318" t="s">
        <v>30</v>
      </c>
      <c r="P3318" t="s">
        <v>29</v>
      </c>
      <c r="Q3318" s="1">
        <v>42323.836689814816</v>
      </c>
      <c r="R3318">
        <v>7</v>
      </c>
      <c r="S3318" t="s">
        <v>214</v>
      </c>
      <c r="T3318" t="s">
        <v>464</v>
      </c>
      <c r="U3318">
        <v>519.4</v>
      </c>
      <c r="V3318" s="3">
        <v>41932</v>
      </c>
    </row>
    <row r="3319" spans="1:22" x14ac:dyDescent="0.35">
      <c r="A3319" s="1">
        <v>42328.566724537035</v>
      </c>
      <c r="B3319" s="2">
        <v>1.9675925925925926E-4</v>
      </c>
      <c r="C3319" t="s">
        <v>5826</v>
      </c>
      <c r="D3319" t="s">
        <v>23</v>
      </c>
      <c r="E3319" t="s">
        <v>24</v>
      </c>
      <c r="F3319" t="s">
        <v>3973</v>
      </c>
      <c r="G3319">
        <v>771049</v>
      </c>
      <c r="H3319" t="s">
        <v>3465</v>
      </c>
      <c r="I3319" t="s">
        <v>3974</v>
      </c>
      <c r="J3319" t="str">
        <f>"9781608706648"</f>
        <v>9781608706648</v>
      </c>
      <c r="K3319" t="s">
        <v>1435</v>
      </c>
      <c r="L3319">
        <v>2</v>
      </c>
      <c r="O3319" t="s">
        <v>30</v>
      </c>
      <c r="P3319" t="s">
        <v>29</v>
      </c>
      <c r="Q3319" s="1">
        <v>42328.566724537035</v>
      </c>
      <c r="R3319">
        <v>7</v>
      </c>
      <c r="S3319" t="s">
        <v>31</v>
      </c>
      <c r="T3319" t="s">
        <v>3976</v>
      </c>
      <c r="U3319">
        <v>363.73874000000001</v>
      </c>
      <c r="V3319" s="3">
        <v>40909</v>
      </c>
    </row>
    <row r="3320" spans="1:22" x14ac:dyDescent="0.35">
      <c r="A3320" s="1">
        <v>42328.565775462965</v>
      </c>
      <c r="B3320" s="2">
        <v>3.1828703703703702E-3</v>
      </c>
      <c r="C3320" t="s">
        <v>5827</v>
      </c>
      <c r="D3320" t="s">
        <v>35</v>
      </c>
      <c r="E3320" t="s">
        <v>36</v>
      </c>
      <c r="F3320" t="s">
        <v>5828</v>
      </c>
      <c r="G3320">
        <v>1582931</v>
      </c>
      <c r="H3320" t="s">
        <v>139</v>
      </c>
      <c r="I3320" t="s">
        <v>247</v>
      </c>
      <c r="J3320" t="str">
        <f>"9780814764824"</f>
        <v>9780814764824</v>
      </c>
      <c r="K3320" t="s">
        <v>5829</v>
      </c>
      <c r="L3320">
        <v>36</v>
      </c>
      <c r="O3320" t="s">
        <v>30</v>
      </c>
      <c r="P3320" t="s">
        <v>47</v>
      </c>
      <c r="Q3320" s="1">
        <v>42328.565775462965</v>
      </c>
      <c r="R3320">
        <v>1</v>
      </c>
      <c r="S3320" t="s">
        <v>40</v>
      </c>
      <c r="T3320" t="s">
        <v>5830</v>
      </c>
      <c r="U3320">
        <v>617.9</v>
      </c>
      <c r="V3320" s="3">
        <v>41659</v>
      </c>
    </row>
    <row r="3321" spans="1:22" x14ac:dyDescent="0.35">
      <c r="A3321" s="1">
        <v>42328.562395833331</v>
      </c>
      <c r="B3321" s="2">
        <v>3.37962962962963E-3</v>
      </c>
      <c r="C3321" t="s">
        <v>5827</v>
      </c>
      <c r="D3321" t="s">
        <v>35</v>
      </c>
      <c r="E3321" t="s">
        <v>36</v>
      </c>
      <c r="F3321" t="s">
        <v>5828</v>
      </c>
      <c r="G3321">
        <v>1582931</v>
      </c>
      <c r="H3321" t="s">
        <v>139</v>
      </c>
      <c r="I3321" t="s">
        <v>247</v>
      </c>
      <c r="J3321" t="str">
        <f>"9780814764824"</f>
        <v>9780814764824</v>
      </c>
      <c r="K3321" t="s">
        <v>5831</v>
      </c>
      <c r="L3321">
        <v>9</v>
      </c>
      <c r="O3321" t="s">
        <v>30</v>
      </c>
      <c r="P3321" t="s">
        <v>50</v>
      </c>
      <c r="S3321" t="s">
        <v>40</v>
      </c>
      <c r="T3321" t="s">
        <v>5830</v>
      </c>
      <c r="U3321">
        <v>617.9</v>
      </c>
      <c r="V3321" s="3">
        <v>41659</v>
      </c>
    </row>
    <row r="3322" spans="1:22" x14ac:dyDescent="0.35">
      <c r="A3322" s="1">
        <v>42328.562314814815</v>
      </c>
      <c r="B3322" s="2">
        <v>1.2384259259259258E-3</v>
      </c>
      <c r="C3322" t="s">
        <v>3243</v>
      </c>
      <c r="D3322" t="s">
        <v>35</v>
      </c>
      <c r="E3322" t="s">
        <v>36</v>
      </c>
      <c r="F3322" t="s">
        <v>3244</v>
      </c>
      <c r="G3322">
        <v>1539141</v>
      </c>
      <c r="H3322" t="s">
        <v>68</v>
      </c>
      <c r="I3322" t="s">
        <v>3245</v>
      </c>
      <c r="J3322" t="str">
        <f>"9781134064427"</f>
        <v>9781134064427</v>
      </c>
      <c r="K3322" t="s">
        <v>5832</v>
      </c>
      <c r="L3322">
        <v>10</v>
      </c>
      <c r="O3322" t="s">
        <v>30</v>
      </c>
      <c r="P3322" t="s">
        <v>50</v>
      </c>
      <c r="S3322" t="s">
        <v>40</v>
      </c>
      <c r="T3322" t="s">
        <v>3247</v>
      </c>
      <c r="U3322">
        <v>333.75091300000003</v>
      </c>
      <c r="V3322" s="3">
        <v>40087</v>
      </c>
    </row>
    <row r="3323" spans="1:22" x14ac:dyDescent="0.35">
      <c r="A3323" s="1">
        <v>42328.558240740742</v>
      </c>
      <c r="B3323" s="2">
        <v>1.0995370370370371E-3</v>
      </c>
      <c r="C3323" t="s">
        <v>5827</v>
      </c>
      <c r="D3323" t="s">
        <v>35</v>
      </c>
      <c r="E3323" t="s">
        <v>36</v>
      </c>
      <c r="F3323" t="s">
        <v>5828</v>
      </c>
      <c r="G3323">
        <v>1582931</v>
      </c>
      <c r="H3323" t="s">
        <v>139</v>
      </c>
      <c r="I3323" t="s">
        <v>247</v>
      </c>
      <c r="J3323" t="str">
        <f>"9780814764824"</f>
        <v>9780814764824</v>
      </c>
      <c r="K3323" t="s">
        <v>2663</v>
      </c>
      <c r="L3323">
        <v>15</v>
      </c>
      <c r="O3323" t="s">
        <v>30</v>
      </c>
      <c r="P3323" t="s">
        <v>50</v>
      </c>
      <c r="S3323" t="s">
        <v>40</v>
      </c>
      <c r="T3323" t="s">
        <v>5830</v>
      </c>
      <c r="U3323">
        <v>617.9</v>
      </c>
      <c r="V3323" s="3">
        <v>41659</v>
      </c>
    </row>
    <row r="3324" spans="1:22" x14ac:dyDescent="0.35">
      <c r="A3324" s="1">
        <v>42328.555613425924</v>
      </c>
      <c r="B3324" s="2">
        <v>1.1111111111111112E-2</v>
      </c>
      <c r="C3324" t="s">
        <v>5826</v>
      </c>
      <c r="D3324" t="s">
        <v>23</v>
      </c>
      <c r="E3324" t="s">
        <v>24</v>
      </c>
      <c r="F3324" t="s">
        <v>3973</v>
      </c>
      <c r="G3324">
        <v>771049</v>
      </c>
      <c r="H3324" t="s">
        <v>3465</v>
      </c>
      <c r="I3324" t="s">
        <v>3974</v>
      </c>
      <c r="J3324" t="str">
        <f>"9781608706648"</f>
        <v>9781608706648</v>
      </c>
      <c r="K3324" t="s">
        <v>5833</v>
      </c>
      <c r="L3324">
        <v>12</v>
      </c>
      <c r="O3324" t="s">
        <v>30</v>
      </c>
      <c r="P3324" t="s">
        <v>42</v>
      </c>
      <c r="S3324" t="s">
        <v>31</v>
      </c>
      <c r="T3324" t="s">
        <v>3976</v>
      </c>
      <c r="U3324">
        <v>363.73874000000001</v>
      </c>
      <c r="V3324" s="3">
        <v>40909</v>
      </c>
    </row>
    <row r="3325" spans="1:22" x14ac:dyDescent="0.35">
      <c r="A3325" s="1">
        <v>42328.546006944445</v>
      </c>
      <c r="B3325" s="2">
        <v>0</v>
      </c>
      <c r="C3325" t="s">
        <v>5465</v>
      </c>
      <c r="D3325" t="s">
        <v>35</v>
      </c>
      <c r="E3325" t="s">
        <v>36</v>
      </c>
      <c r="F3325" t="s">
        <v>5120</v>
      </c>
      <c r="G3325">
        <v>1337521</v>
      </c>
      <c r="H3325" t="s">
        <v>68</v>
      </c>
      <c r="I3325" t="s">
        <v>69</v>
      </c>
      <c r="J3325" t="str">
        <f>"9781317922049"</f>
        <v>9781317922049</v>
      </c>
      <c r="L3325">
        <v>0</v>
      </c>
      <c r="O3325" t="s">
        <v>28</v>
      </c>
      <c r="P3325" t="s">
        <v>47</v>
      </c>
      <c r="Q3325" s="1">
        <v>42327.964722222219</v>
      </c>
      <c r="R3325">
        <v>1</v>
      </c>
      <c r="S3325" t="s">
        <v>40</v>
      </c>
      <c r="T3325" t="s">
        <v>5122</v>
      </c>
      <c r="U3325">
        <v>371.20097299999998</v>
      </c>
      <c r="V3325" s="3">
        <v>41492</v>
      </c>
    </row>
    <row r="3326" spans="1:22" x14ac:dyDescent="0.35">
      <c r="A3326" s="1">
        <v>42328.545219907406</v>
      </c>
      <c r="B3326" s="2">
        <v>3.4722222222222222E-5</v>
      </c>
      <c r="C3326" t="s">
        <v>5465</v>
      </c>
      <c r="D3326" t="s">
        <v>35</v>
      </c>
      <c r="E3326" t="s">
        <v>36</v>
      </c>
      <c r="F3326" t="s">
        <v>5120</v>
      </c>
      <c r="G3326">
        <v>1337521</v>
      </c>
      <c r="H3326" t="s">
        <v>68</v>
      </c>
      <c r="I3326" t="s">
        <v>69</v>
      </c>
      <c r="J3326" t="str">
        <f>"9781317922049"</f>
        <v>9781317922049</v>
      </c>
      <c r="K3326" t="s">
        <v>33</v>
      </c>
      <c r="L3326">
        <v>3</v>
      </c>
      <c r="O3326" t="s">
        <v>30</v>
      </c>
      <c r="P3326" t="s">
        <v>47</v>
      </c>
      <c r="Q3326" s="1">
        <v>42327.964722222219</v>
      </c>
      <c r="R3326">
        <v>1</v>
      </c>
      <c r="S3326" t="s">
        <v>40</v>
      </c>
      <c r="T3326" t="s">
        <v>5122</v>
      </c>
      <c r="U3326">
        <v>371.20097299999998</v>
      </c>
      <c r="V3326" s="3">
        <v>41492</v>
      </c>
    </row>
    <row r="3327" spans="1:22" x14ac:dyDescent="0.35">
      <c r="A3327" s="1">
        <v>42328.415208333332</v>
      </c>
      <c r="B3327" s="2">
        <v>4.6296296296296294E-5</v>
      </c>
      <c r="C3327" t="s">
        <v>5834</v>
      </c>
      <c r="D3327" t="s">
        <v>23</v>
      </c>
      <c r="E3327" t="s">
        <v>24</v>
      </c>
      <c r="F3327" t="s">
        <v>5835</v>
      </c>
      <c r="G3327">
        <v>1760729</v>
      </c>
      <c r="H3327" t="s">
        <v>91</v>
      </c>
      <c r="I3327" t="s">
        <v>247</v>
      </c>
      <c r="J3327" t="str">
        <f>"9781462518449"</f>
        <v>9781462518449</v>
      </c>
      <c r="K3327" t="s">
        <v>33</v>
      </c>
      <c r="L3327">
        <v>3</v>
      </c>
      <c r="O3327" t="s">
        <v>30</v>
      </c>
      <c r="P3327" t="s">
        <v>50</v>
      </c>
      <c r="S3327" t="s">
        <v>31</v>
      </c>
      <c r="T3327" t="s">
        <v>5836</v>
      </c>
      <c r="U3327">
        <v>618.92852100000005</v>
      </c>
      <c r="V3327" s="3">
        <v>41953</v>
      </c>
    </row>
    <row r="3328" spans="1:22" x14ac:dyDescent="0.35">
      <c r="A3328" s="1">
        <v>42328.270277777781</v>
      </c>
      <c r="B3328" s="2">
        <v>2.627314814814815E-3</v>
      </c>
      <c r="C3328" t="s">
        <v>5837</v>
      </c>
      <c r="D3328" t="s">
        <v>23</v>
      </c>
      <c r="E3328" t="s">
        <v>24</v>
      </c>
      <c r="F3328" t="s">
        <v>5838</v>
      </c>
      <c r="G3328">
        <v>827080</v>
      </c>
      <c r="H3328" t="s">
        <v>26</v>
      </c>
      <c r="I3328" t="s">
        <v>297</v>
      </c>
      <c r="J3328" t="str">
        <f>"9780470022993"</f>
        <v>9780470022993</v>
      </c>
      <c r="K3328" t="s">
        <v>5839</v>
      </c>
      <c r="L3328">
        <v>30</v>
      </c>
      <c r="O3328" t="s">
        <v>30</v>
      </c>
      <c r="P3328" t="s">
        <v>42</v>
      </c>
      <c r="S3328" t="s">
        <v>31</v>
      </c>
      <c r="T3328" t="s">
        <v>5840</v>
      </c>
      <c r="U3328">
        <v>519.5</v>
      </c>
      <c r="V3328" s="3">
        <v>40886</v>
      </c>
    </row>
    <row r="3329" spans="1:22" x14ac:dyDescent="0.35">
      <c r="A3329" s="1">
        <v>42328.228368055556</v>
      </c>
      <c r="B3329" s="2">
        <v>3.4722222222222222E-5</v>
      </c>
      <c r="C3329" t="s">
        <v>5798</v>
      </c>
      <c r="D3329" t="s">
        <v>23</v>
      </c>
      <c r="E3329" t="s">
        <v>24</v>
      </c>
      <c r="F3329" t="s">
        <v>5494</v>
      </c>
      <c r="G3329">
        <v>1589615</v>
      </c>
      <c r="H3329" t="s">
        <v>45</v>
      </c>
      <c r="I3329" t="s">
        <v>172</v>
      </c>
      <c r="J3329" t="str">
        <f>"9781409469865"</f>
        <v>9781409469865</v>
      </c>
      <c r="K3329" t="s">
        <v>5841</v>
      </c>
      <c r="L3329">
        <v>3</v>
      </c>
      <c r="O3329" t="s">
        <v>30</v>
      </c>
      <c r="P3329" t="s">
        <v>29</v>
      </c>
      <c r="Q3329" s="1">
        <v>42328.228368055556</v>
      </c>
      <c r="R3329">
        <v>7</v>
      </c>
      <c r="S3329" t="s">
        <v>31</v>
      </c>
      <c r="T3329" t="s">
        <v>5496</v>
      </c>
      <c r="U3329">
        <v>949.50199999999995</v>
      </c>
      <c r="V3329" s="3">
        <v>41940</v>
      </c>
    </row>
    <row r="3330" spans="1:22" x14ac:dyDescent="0.35">
      <c r="A3330" s="1">
        <v>42328.214247685188</v>
      </c>
      <c r="B3330" s="2">
        <v>1.4120370370370368E-2</v>
      </c>
      <c r="C3330" t="s">
        <v>5798</v>
      </c>
      <c r="D3330" t="s">
        <v>23</v>
      </c>
      <c r="E3330" t="s">
        <v>24</v>
      </c>
      <c r="F3330" t="s">
        <v>5494</v>
      </c>
      <c r="G3330">
        <v>1589615</v>
      </c>
      <c r="H3330" t="s">
        <v>45</v>
      </c>
      <c r="I3330" t="s">
        <v>172</v>
      </c>
      <c r="J3330" t="str">
        <f>"9781409469865"</f>
        <v>9781409469865</v>
      </c>
      <c r="K3330" t="s">
        <v>5842</v>
      </c>
      <c r="L3330">
        <v>39</v>
      </c>
      <c r="O3330" t="s">
        <v>30</v>
      </c>
      <c r="P3330" t="s">
        <v>42</v>
      </c>
      <c r="S3330" t="s">
        <v>31</v>
      </c>
      <c r="T3330" t="s">
        <v>5496</v>
      </c>
      <c r="U3330">
        <v>949.50199999999995</v>
      </c>
      <c r="V3330" s="3">
        <v>41940</v>
      </c>
    </row>
    <row r="3331" spans="1:22" x14ac:dyDescent="0.35">
      <c r="A3331" s="1">
        <v>42328.212997685187</v>
      </c>
      <c r="B3331" s="2">
        <v>6.9201388888888882E-2</v>
      </c>
      <c r="C3331" t="s">
        <v>5694</v>
      </c>
      <c r="D3331" t="s">
        <v>23</v>
      </c>
      <c r="E3331" t="s">
        <v>24</v>
      </c>
      <c r="F3331" t="s">
        <v>226</v>
      </c>
      <c r="G3331">
        <v>817313</v>
      </c>
      <c r="H3331" t="s">
        <v>26</v>
      </c>
      <c r="I3331" t="s">
        <v>69</v>
      </c>
      <c r="J3331" t="str">
        <f>"9781118136829"</f>
        <v>9781118136829</v>
      </c>
      <c r="K3331" t="s">
        <v>5843</v>
      </c>
      <c r="L3331">
        <v>53</v>
      </c>
      <c r="O3331" t="s">
        <v>30</v>
      </c>
      <c r="P3331" t="s">
        <v>29</v>
      </c>
      <c r="Q3331" s="1">
        <v>42327.326817129629</v>
      </c>
      <c r="R3331">
        <v>7</v>
      </c>
      <c r="S3331" t="s">
        <v>31</v>
      </c>
      <c r="T3331" t="s">
        <v>2311</v>
      </c>
      <c r="U3331">
        <v>378.16640000000001</v>
      </c>
      <c r="V3331" s="3">
        <v>40918</v>
      </c>
    </row>
    <row r="3332" spans="1:22" x14ac:dyDescent="0.35">
      <c r="A3332" s="1">
        <v>42328.19840277778</v>
      </c>
      <c r="B3332" s="2">
        <v>7.8703703703703705E-4</v>
      </c>
      <c r="C3332" t="s">
        <v>106</v>
      </c>
      <c r="D3332" t="s">
        <v>23</v>
      </c>
      <c r="E3332" t="s">
        <v>24</v>
      </c>
      <c r="F3332" t="s">
        <v>5494</v>
      </c>
      <c r="G3332">
        <v>1589615</v>
      </c>
      <c r="H3332" t="s">
        <v>45</v>
      </c>
      <c r="I3332" t="s">
        <v>172</v>
      </c>
      <c r="J3332" t="str">
        <f>"9781409469865"</f>
        <v>9781409469865</v>
      </c>
      <c r="K3332" t="s">
        <v>5844</v>
      </c>
      <c r="L3332">
        <v>14</v>
      </c>
      <c r="O3332" t="s">
        <v>30</v>
      </c>
      <c r="P3332" t="s">
        <v>29</v>
      </c>
      <c r="Q3332" s="1">
        <v>42327.734317129631</v>
      </c>
      <c r="R3332">
        <v>7</v>
      </c>
      <c r="S3332" t="s">
        <v>31</v>
      </c>
      <c r="T3332" t="s">
        <v>5496</v>
      </c>
      <c r="U3332">
        <v>949.50199999999995</v>
      </c>
      <c r="V3332" s="3">
        <v>41940</v>
      </c>
    </row>
    <row r="3333" spans="1:22" x14ac:dyDescent="0.35">
      <c r="A3333" s="1">
        <v>42328.179525462961</v>
      </c>
      <c r="B3333" s="2">
        <v>1.9270833333333334E-2</v>
      </c>
      <c r="C3333" t="s">
        <v>106</v>
      </c>
      <c r="D3333" t="s">
        <v>23</v>
      </c>
      <c r="E3333" t="s">
        <v>24</v>
      </c>
      <c r="F3333" t="s">
        <v>5494</v>
      </c>
      <c r="G3333">
        <v>1589615</v>
      </c>
      <c r="H3333" t="s">
        <v>45</v>
      </c>
      <c r="I3333" t="s">
        <v>172</v>
      </c>
      <c r="J3333" t="str">
        <f>"9781409469865"</f>
        <v>9781409469865</v>
      </c>
      <c r="K3333" t="s">
        <v>5845</v>
      </c>
      <c r="L3333">
        <v>36</v>
      </c>
      <c r="O3333" t="s">
        <v>30</v>
      </c>
      <c r="P3333" t="s">
        <v>29</v>
      </c>
      <c r="Q3333" s="1">
        <v>42327.734317129631</v>
      </c>
      <c r="R3333">
        <v>7</v>
      </c>
      <c r="S3333" t="s">
        <v>31</v>
      </c>
      <c r="T3333" t="s">
        <v>5496</v>
      </c>
      <c r="U3333">
        <v>949.50199999999995</v>
      </c>
      <c r="V3333" s="3">
        <v>41940</v>
      </c>
    </row>
    <row r="3334" spans="1:22" x14ac:dyDescent="0.35">
      <c r="A3334" s="1">
        <v>42328.159571759257</v>
      </c>
      <c r="B3334" s="2">
        <v>0</v>
      </c>
      <c r="C3334" t="s">
        <v>5846</v>
      </c>
      <c r="D3334" t="s">
        <v>35</v>
      </c>
      <c r="E3334" t="s">
        <v>36</v>
      </c>
      <c r="F3334" t="s">
        <v>5847</v>
      </c>
      <c r="G3334">
        <v>1597377</v>
      </c>
      <c r="H3334" t="s">
        <v>26</v>
      </c>
      <c r="I3334" t="s">
        <v>310</v>
      </c>
      <c r="J3334" t="str">
        <f>"9781118559512"</f>
        <v>9781118559512</v>
      </c>
      <c r="K3334" t="s">
        <v>5848</v>
      </c>
      <c r="L3334">
        <v>1</v>
      </c>
      <c r="O3334" t="s">
        <v>30</v>
      </c>
      <c r="P3334" t="s">
        <v>47</v>
      </c>
      <c r="Q3334" s="1">
        <v>42328.159571759257</v>
      </c>
      <c r="R3334">
        <v>1</v>
      </c>
      <c r="S3334" t="s">
        <v>40</v>
      </c>
      <c r="T3334" t="s">
        <v>5849</v>
      </c>
      <c r="U3334">
        <v>810.80896072999997</v>
      </c>
      <c r="V3334" s="3">
        <v>41652</v>
      </c>
    </row>
    <row r="3335" spans="1:22" x14ac:dyDescent="0.35">
      <c r="A3335" s="1">
        <v>42328.155370370368</v>
      </c>
      <c r="B3335" s="2">
        <v>4.2013888888888891E-3</v>
      </c>
      <c r="C3335" t="s">
        <v>5846</v>
      </c>
      <c r="D3335" t="s">
        <v>35</v>
      </c>
      <c r="E3335" t="s">
        <v>36</v>
      </c>
      <c r="F3335" t="s">
        <v>5847</v>
      </c>
      <c r="G3335">
        <v>1597377</v>
      </c>
      <c r="H3335" t="s">
        <v>26</v>
      </c>
      <c r="I3335" t="s">
        <v>310</v>
      </c>
      <c r="J3335" t="str">
        <f>"9781118559512"</f>
        <v>9781118559512</v>
      </c>
      <c r="K3335" t="s">
        <v>5850</v>
      </c>
      <c r="L3335">
        <v>20</v>
      </c>
      <c r="O3335" t="s">
        <v>30</v>
      </c>
      <c r="P3335" t="s">
        <v>50</v>
      </c>
      <c r="S3335" t="s">
        <v>40</v>
      </c>
      <c r="T3335" t="s">
        <v>5849</v>
      </c>
      <c r="U3335">
        <v>810.80896072999997</v>
      </c>
      <c r="V3335" s="3">
        <v>41652</v>
      </c>
    </row>
    <row r="3336" spans="1:22" x14ac:dyDescent="0.35">
      <c r="A3336" s="1">
        <v>42328.121539351851</v>
      </c>
      <c r="B3336" s="2">
        <v>1.1689814814814814E-2</v>
      </c>
      <c r="C3336" t="s">
        <v>5851</v>
      </c>
      <c r="D3336" t="s">
        <v>23</v>
      </c>
      <c r="E3336" t="s">
        <v>24</v>
      </c>
      <c r="F3336" t="s">
        <v>4443</v>
      </c>
      <c r="G3336">
        <v>1895687</v>
      </c>
      <c r="H3336" t="s">
        <v>26</v>
      </c>
      <c r="I3336" t="s">
        <v>276</v>
      </c>
      <c r="J3336" t="str">
        <f>"9781118868676"</f>
        <v>9781118868676</v>
      </c>
      <c r="K3336" t="s">
        <v>5852</v>
      </c>
      <c r="L3336">
        <v>71</v>
      </c>
      <c r="O3336" t="s">
        <v>30</v>
      </c>
      <c r="P3336" t="s">
        <v>29</v>
      </c>
      <c r="Q3336" s="1">
        <v>42328.121539351851</v>
      </c>
      <c r="R3336">
        <v>7</v>
      </c>
      <c r="S3336" t="s">
        <v>31</v>
      </c>
      <c r="T3336" t="s">
        <v>4447</v>
      </c>
      <c r="U3336" t="s">
        <v>4448</v>
      </c>
      <c r="V3336" s="3">
        <v>42054</v>
      </c>
    </row>
    <row r="3337" spans="1:22" x14ac:dyDescent="0.35">
      <c r="A3337" s="1">
        <v>42328.112280092595</v>
      </c>
      <c r="B3337" s="2">
        <v>9.2592592592592605E-3</v>
      </c>
      <c r="C3337" t="s">
        <v>5851</v>
      </c>
      <c r="D3337" t="s">
        <v>23</v>
      </c>
      <c r="E3337" t="s">
        <v>24</v>
      </c>
      <c r="F3337" t="s">
        <v>4443</v>
      </c>
      <c r="G3337">
        <v>1895687</v>
      </c>
      <c r="H3337" t="s">
        <v>26</v>
      </c>
      <c r="I3337" t="s">
        <v>276</v>
      </c>
      <c r="J3337" t="str">
        <f>"9781118868676"</f>
        <v>9781118868676</v>
      </c>
      <c r="K3337" t="s">
        <v>5853</v>
      </c>
      <c r="L3337">
        <v>19</v>
      </c>
      <c r="O3337" t="s">
        <v>30</v>
      </c>
      <c r="P3337" t="s">
        <v>42</v>
      </c>
      <c r="S3337" t="s">
        <v>31</v>
      </c>
      <c r="T3337" t="s">
        <v>4447</v>
      </c>
      <c r="U3337" t="s">
        <v>4448</v>
      </c>
      <c r="V3337" s="3">
        <v>42054</v>
      </c>
    </row>
    <row r="3338" spans="1:22" x14ac:dyDescent="0.35">
      <c r="A3338" s="1">
        <v>42328.04546296296</v>
      </c>
      <c r="B3338" s="2">
        <v>1.0995370370370371E-3</v>
      </c>
      <c r="C3338" t="s">
        <v>4949</v>
      </c>
      <c r="D3338" t="s">
        <v>360</v>
      </c>
      <c r="E3338" t="s">
        <v>361</v>
      </c>
      <c r="F3338" t="s">
        <v>4950</v>
      </c>
      <c r="G3338">
        <v>1693780</v>
      </c>
      <c r="H3338" t="s">
        <v>26</v>
      </c>
      <c r="I3338" t="s">
        <v>328</v>
      </c>
      <c r="J3338" t="str">
        <f>"9781118869420"</f>
        <v>9781118869420</v>
      </c>
      <c r="K3338" t="s">
        <v>5854</v>
      </c>
      <c r="L3338">
        <v>24</v>
      </c>
      <c r="O3338" t="s">
        <v>30</v>
      </c>
      <c r="P3338" t="s">
        <v>29</v>
      </c>
      <c r="Q3338" s="1">
        <v>42324.676516203705</v>
      </c>
      <c r="R3338">
        <v>7</v>
      </c>
      <c r="S3338" t="s">
        <v>363</v>
      </c>
      <c r="T3338" t="s">
        <v>4952</v>
      </c>
      <c r="U3338">
        <v>362.10973000000001</v>
      </c>
      <c r="V3338" s="3">
        <v>41779</v>
      </c>
    </row>
    <row r="3339" spans="1:22" x14ac:dyDescent="0.35">
      <c r="A3339" s="1">
        <v>42328.024212962962</v>
      </c>
      <c r="B3339" s="2">
        <v>1.7361111111111112E-4</v>
      </c>
      <c r="C3339" t="s">
        <v>106</v>
      </c>
      <c r="D3339" t="s">
        <v>23</v>
      </c>
      <c r="E3339" t="s">
        <v>24</v>
      </c>
      <c r="F3339" t="s">
        <v>5494</v>
      </c>
      <c r="G3339">
        <v>1589615</v>
      </c>
      <c r="H3339" t="s">
        <v>45</v>
      </c>
      <c r="I3339" t="s">
        <v>172</v>
      </c>
      <c r="J3339" t="str">
        <f>"9781409469865"</f>
        <v>9781409469865</v>
      </c>
      <c r="K3339" t="s">
        <v>5855</v>
      </c>
      <c r="L3339">
        <v>4</v>
      </c>
      <c r="O3339" t="s">
        <v>30</v>
      </c>
      <c r="P3339" t="s">
        <v>29</v>
      </c>
      <c r="Q3339" s="1">
        <v>42327.734317129631</v>
      </c>
      <c r="R3339">
        <v>7</v>
      </c>
      <c r="S3339" t="s">
        <v>31</v>
      </c>
      <c r="T3339" t="s">
        <v>5496</v>
      </c>
      <c r="U3339">
        <v>949.50199999999995</v>
      </c>
      <c r="V3339" s="3">
        <v>41940</v>
      </c>
    </row>
    <row r="3340" spans="1:22" x14ac:dyDescent="0.35">
      <c r="A3340" s="1">
        <v>42328.012245370373</v>
      </c>
      <c r="B3340" s="2">
        <v>2.5370370370370366E-2</v>
      </c>
      <c r="C3340" t="s">
        <v>3454</v>
      </c>
      <c r="D3340" t="s">
        <v>23</v>
      </c>
      <c r="E3340" t="s">
        <v>24</v>
      </c>
      <c r="F3340" t="s">
        <v>3351</v>
      </c>
      <c r="G3340">
        <v>1760720</v>
      </c>
      <c r="H3340" t="s">
        <v>91</v>
      </c>
      <c r="I3340" t="s">
        <v>247</v>
      </c>
      <c r="J3340" t="str">
        <f>"9781462517459"</f>
        <v>9781462517459</v>
      </c>
      <c r="K3340" t="s">
        <v>5856</v>
      </c>
      <c r="L3340">
        <v>52</v>
      </c>
      <c r="O3340" t="s">
        <v>30</v>
      </c>
      <c r="P3340" t="s">
        <v>29</v>
      </c>
      <c r="Q3340" s="1">
        <v>42327.645243055558</v>
      </c>
      <c r="R3340">
        <v>7</v>
      </c>
      <c r="S3340" t="s">
        <v>31</v>
      </c>
      <c r="T3340" t="s">
        <v>3353</v>
      </c>
      <c r="U3340">
        <v>616.89142000000004</v>
      </c>
      <c r="V3340" s="3">
        <v>41996</v>
      </c>
    </row>
    <row r="3341" spans="1:22" x14ac:dyDescent="0.35">
      <c r="A3341" s="1">
        <v>42327.999837962961</v>
      </c>
      <c r="B3341" s="2">
        <v>2.2685185185185182E-3</v>
      </c>
      <c r="C3341" t="s">
        <v>571</v>
      </c>
      <c r="D3341" t="s">
        <v>125</v>
      </c>
      <c r="E3341" t="s">
        <v>126</v>
      </c>
      <c r="F3341" t="s">
        <v>572</v>
      </c>
      <c r="G3341">
        <v>1597004</v>
      </c>
      <c r="H3341" t="s">
        <v>84</v>
      </c>
      <c r="I3341" t="s">
        <v>120</v>
      </c>
      <c r="J3341" t="str">
        <f>"9780520958173"</f>
        <v>9780520958173</v>
      </c>
      <c r="K3341" t="s">
        <v>5857</v>
      </c>
      <c r="L3341">
        <v>30</v>
      </c>
      <c r="O3341" t="s">
        <v>30</v>
      </c>
      <c r="P3341" t="s">
        <v>42</v>
      </c>
      <c r="S3341" t="s">
        <v>128</v>
      </c>
      <c r="T3341" t="s">
        <v>574</v>
      </c>
      <c r="U3341" t="s">
        <v>575</v>
      </c>
      <c r="V3341" s="3">
        <v>41760</v>
      </c>
    </row>
    <row r="3342" spans="1:22" x14ac:dyDescent="0.35">
      <c r="A3342" s="1">
        <v>42327.997372685182</v>
      </c>
      <c r="B3342" s="2">
        <v>2.3148148148148146E-4</v>
      </c>
      <c r="C3342" t="s">
        <v>5858</v>
      </c>
      <c r="D3342" t="s">
        <v>35</v>
      </c>
      <c r="E3342" t="s">
        <v>36</v>
      </c>
      <c r="F3342" t="s">
        <v>2870</v>
      </c>
      <c r="G3342">
        <v>1562126</v>
      </c>
      <c r="H3342" t="s">
        <v>68</v>
      </c>
      <c r="I3342" t="s">
        <v>120</v>
      </c>
      <c r="J3342" t="str">
        <f>"9781317773542"</f>
        <v>9781317773542</v>
      </c>
      <c r="K3342" t="s">
        <v>5859</v>
      </c>
      <c r="L3342">
        <v>7</v>
      </c>
      <c r="O3342" t="s">
        <v>30</v>
      </c>
      <c r="P3342" t="s">
        <v>47</v>
      </c>
      <c r="Q3342" s="1">
        <v>42327.997372685182</v>
      </c>
      <c r="R3342">
        <v>1</v>
      </c>
      <c r="S3342" t="s">
        <v>40</v>
      </c>
      <c r="T3342" t="s">
        <v>2872</v>
      </c>
      <c r="U3342">
        <v>306.76608805500001</v>
      </c>
      <c r="V3342" s="3">
        <v>41590</v>
      </c>
    </row>
    <row r="3343" spans="1:22" x14ac:dyDescent="0.35">
      <c r="A3343" s="1">
        <v>42327.990983796299</v>
      </c>
      <c r="B3343" s="2">
        <v>6.3888888888888884E-3</v>
      </c>
      <c r="C3343" t="s">
        <v>5858</v>
      </c>
      <c r="D3343" t="s">
        <v>35</v>
      </c>
      <c r="E3343" t="s">
        <v>36</v>
      </c>
      <c r="F3343" t="s">
        <v>2870</v>
      </c>
      <c r="G3343">
        <v>1562126</v>
      </c>
      <c r="H3343" t="s">
        <v>68</v>
      </c>
      <c r="I3343" t="s">
        <v>120</v>
      </c>
      <c r="J3343" t="str">
        <f>"9781317773542"</f>
        <v>9781317773542</v>
      </c>
      <c r="K3343" t="s">
        <v>5860</v>
      </c>
      <c r="L3343">
        <v>15</v>
      </c>
      <c r="O3343" t="s">
        <v>30</v>
      </c>
      <c r="P3343" t="s">
        <v>50</v>
      </c>
      <c r="S3343" t="s">
        <v>40</v>
      </c>
      <c r="T3343" t="s">
        <v>2872</v>
      </c>
      <c r="U3343">
        <v>306.76608805500001</v>
      </c>
      <c r="V3343" s="3">
        <v>41590</v>
      </c>
    </row>
    <row r="3344" spans="1:22" x14ac:dyDescent="0.35">
      <c r="A3344" s="1">
        <v>42327.99</v>
      </c>
      <c r="B3344" s="2">
        <v>0</v>
      </c>
      <c r="C3344" t="s">
        <v>4845</v>
      </c>
      <c r="D3344" t="s">
        <v>35</v>
      </c>
      <c r="E3344" t="s">
        <v>36</v>
      </c>
      <c r="F3344" t="s">
        <v>4846</v>
      </c>
      <c r="G3344">
        <v>1895391</v>
      </c>
      <c r="H3344" t="s">
        <v>26</v>
      </c>
      <c r="I3344" t="s">
        <v>97</v>
      </c>
      <c r="J3344" t="str">
        <f>"9781119090380"</f>
        <v>9781119090380</v>
      </c>
      <c r="L3344">
        <v>0</v>
      </c>
      <c r="O3344" t="s">
        <v>28</v>
      </c>
      <c r="P3344" t="s">
        <v>29</v>
      </c>
      <c r="Q3344" s="1">
        <v>42324.875243055554</v>
      </c>
      <c r="R3344">
        <v>7</v>
      </c>
      <c r="S3344" t="s">
        <v>40</v>
      </c>
      <c r="T3344" t="s">
        <v>4848</v>
      </c>
      <c r="U3344" t="s">
        <v>1463</v>
      </c>
      <c r="V3344" s="3">
        <v>42081</v>
      </c>
    </row>
    <row r="3345" spans="1:22" x14ac:dyDescent="0.35">
      <c r="A3345" s="1">
        <v>42327.989675925928</v>
      </c>
      <c r="B3345" s="2">
        <v>0</v>
      </c>
      <c r="C3345" t="s">
        <v>4845</v>
      </c>
      <c r="D3345" t="s">
        <v>35</v>
      </c>
      <c r="E3345" t="s">
        <v>36</v>
      </c>
      <c r="F3345" t="s">
        <v>4846</v>
      </c>
      <c r="G3345">
        <v>1895391</v>
      </c>
      <c r="H3345" t="s">
        <v>26</v>
      </c>
      <c r="I3345" t="s">
        <v>97</v>
      </c>
      <c r="J3345" t="str">
        <f>"9781119090380"</f>
        <v>9781119090380</v>
      </c>
      <c r="L3345">
        <v>0</v>
      </c>
      <c r="O3345" t="s">
        <v>28</v>
      </c>
      <c r="P3345" t="s">
        <v>29</v>
      </c>
      <c r="Q3345" s="1">
        <v>42324.875243055554</v>
      </c>
      <c r="R3345">
        <v>7</v>
      </c>
      <c r="S3345" t="s">
        <v>40</v>
      </c>
      <c r="T3345" t="s">
        <v>4848</v>
      </c>
      <c r="U3345" t="s">
        <v>1463</v>
      </c>
      <c r="V3345" s="3">
        <v>42081</v>
      </c>
    </row>
    <row r="3346" spans="1:22" x14ac:dyDescent="0.35">
      <c r="A3346" s="1">
        <v>42327.985625000001</v>
      </c>
      <c r="B3346" s="2">
        <v>3.2638888888888891E-3</v>
      </c>
      <c r="C3346" t="s">
        <v>4845</v>
      </c>
      <c r="D3346" t="s">
        <v>35</v>
      </c>
      <c r="E3346" t="s">
        <v>36</v>
      </c>
      <c r="F3346" t="s">
        <v>4846</v>
      </c>
      <c r="G3346">
        <v>1895391</v>
      </c>
      <c r="H3346" t="s">
        <v>26</v>
      </c>
      <c r="I3346" t="s">
        <v>97</v>
      </c>
      <c r="J3346" t="str">
        <f>"9781119090380"</f>
        <v>9781119090380</v>
      </c>
      <c r="K3346" t="s">
        <v>2663</v>
      </c>
      <c r="L3346">
        <v>15</v>
      </c>
      <c r="O3346" t="s">
        <v>30</v>
      </c>
      <c r="P3346" t="s">
        <v>29</v>
      </c>
      <c r="Q3346" s="1">
        <v>42324.875243055554</v>
      </c>
      <c r="R3346">
        <v>7</v>
      </c>
      <c r="S3346" t="s">
        <v>40</v>
      </c>
      <c r="T3346" t="s">
        <v>4848</v>
      </c>
      <c r="U3346" t="s">
        <v>1463</v>
      </c>
      <c r="V3346" s="3">
        <v>42081</v>
      </c>
    </row>
    <row r="3347" spans="1:22" x14ac:dyDescent="0.35">
      <c r="A3347" s="1">
        <v>42327.964722222219</v>
      </c>
      <c r="B3347" s="2">
        <v>3.6226851851851854E-3</v>
      </c>
      <c r="C3347" t="s">
        <v>5465</v>
      </c>
      <c r="D3347" t="s">
        <v>35</v>
      </c>
      <c r="E3347" t="s">
        <v>36</v>
      </c>
      <c r="F3347" t="s">
        <v>5120</v>
      </c>
      <c r="G3347">
        <v>1337521</v>
      </c>
      <c r="H3347" t="s">
        <v>68</v>
      </c>
      <c r="I3347" t="s">
        <v>69</v>
      </c>
      <c r="J3347" t="str">
        <f>"9781317922049"</f>
        <v>9781317922049</v>
      </c>
      <c r="K3347" t="s">
        <v>5861</v>
      </c>
      <c r="L3347">
        <v>10</v>
      </c>
      <c r="O3347" t="s">
        <v>30</v>
      </c>
      <c r="P3347" t="s">
        <v>47</v>
      </c>
      <c r="Q3347" s="1">
        <v>42327.964722222219</v>
      </c>
      <c r="R3347">
        <v>1</v>
      </c>
      <c r="S3347" t="s">
        <v>40</v>
      </c>
      <c r="T3347" t="s">
        <v>5122</v>
      </c>
      <c r="U3347">
        <v>371.20097299999998</v>
      </c>
      <c r="V3347" s="3">
        <v>41492</v>
      </c>
    </row>
    <row r="3348" spans="1:22" x14ac:dyDescent="0.35">
      <c r="A3348" s="1">
        <v>42327.960138888891</v>
      </c>
      <c r="B3348" s="2">
        <v>4.5833333333333334E-3</v>
      </c>
      <c r="C3348" t="s">
        <v>5465</v>
      </c>
      <c r="D3348" t="s">
        <v>35</v>
      </c>
      <c r="E3348" t="s">
        <v>36</v>
      </c>
      <c r="F3348" t="s">
        <v>5120</v>
      </c>
      <c r="G3348">
        <v>1337521</v>
      </c>
      <c r="H3348" t="s">
        <v>68</v>
      </c>
      <c r="I3348" t="s">
        <v>69</v>
      </c>
      <c r="J3348" t="str">
        <f>"9781317922049"</f>
        <v>9781317922049</v>
      </c>
      <c r="K3348" t="s">
        <v>5862</v>
      </c>
      <c r="L3348">
        <v>13</v>
      </c>
      <c r="O3348" t="s">
        <v>30</v>
      </c>
      <c r="P3348" t="s">
        <v>50</v>
      </c>
      <c r="S3348" t="s">
        <v>40</v>
      </c>
      <c r="T3348" t="s">
        <v>5122</v>
      </c>
      <c r="U3348">
        <v>371.20097299999998</v>
      </c>
      <c r="V3348" s="3">
        <v>41492</v>
      </c>
    </row>
    <row r="3349" spans="1:22" x14ac:dyDescent="0.35">
      <c r="A3349" s="1">
        <v>42327.949317129627</v>
      </c>
      <c r="B3349" s="2">
        <v>1.7453703703703704E-2</v>
      </c>
      <c r="C3349" t="s">
        <v>3521</v>
      </c>
      <c r="D3349" t="s">
        <v>335</v>
      </c>
      <c r="E3349" t="s">
        <v>336</v>
      </c>
      <c r="F3349" t="s">
        <v>148</v>
      </c>
      <c r="G3349">
        <v>877717</v>
      </c>
      <c r="H3349" t="s">
        <v>149</v>
      </c>
      <c r="I3349" t="s">
        <v>150</v>
      </c>
      <c r="J3349" t="str">
        <f>"9781438139265"</f>
        <v>9781438139265</v>
      </c>
      <c r="K3349" t="s">
        <v>5863</v>
      </c>
      <c r="L3349">
        <v>106</v>
      </c>
      <c r="O3349" t="s">
        <v>30</v>
      </c>
      <c r="P3349" t="s">
        <v>29</v>
      </c>
      <c r="Q3349" s="1">
        <v>42327.949317129627</v>
      </c>
      <c r="R3349">
        <v>7</v>
      </c>
      <c r="S3349" t="s">
        <v>340</v>
      </c>
      <c r="T3349" t="s">
        <v>153</v>
      </c>
      <c r="U3349" t="s">
        <v>154</v>
      </c>
      <c r="V3349" s="3">
        <v>40909</v>
      </c>
    </row>
    <row r="3350" spans="1:22" x14ac:dyDescent="0.35">
      <c r="A3350" s="1">
        <v>42327.941157407404</v>
      </c>
      <c r="B3350" s="2">
        <v>8.1597222222222227E-3</v>
      </c>
      <c r="C3350" t="s">
        <v>3521</v>
      </c>
      <c r="D3350" t="s">
        <v>335</v>
      </c>
      <c r="E3350" t="s">
        <v>336</v>
      </c>
      <c r="F3350" t="s">
        <v>148</v>
      </c>
      <c r="G3350">
        <v>877717</v>
      </c>
      <c r="H3350" t="s">
        <v>149</v>
      </c>
      <c r="I3350" t="s">
        <v>150</v>
      </c>
      <c r="J3350" t="str">
        <f>"9781438139265"</f>
        <v>9781438139265</v>
      </c>
      <c r="K3350" t="s">
        <v>5864</v>
      </c>
      <c r="L3350">
        <v>15</v>
      </c>
      <c r="O3350" t="s">
        <v>30</v>
      </c>
      <c r="P3350" t="s">
        <v>42</v>
      </c>
      <c r="S3350" t="s">
        <v>340</v>
      </c>
      <c r="T3350" t="s">
        <v>153</v>
      </c>
      <c r="U3350" t="s">
        <v>154</v>
      </c>
      <c r="V3350" s="3">
        <v>40909</v>
      </c>
    </row>
    <row r="3351" spans="1:22" x14ac:dyDescent="0.35">
      <c r="A3351" s="1">
        <v>42327.928148148145</v>
      </c>
      <c r="B3351" s="2">
        <v>1.5046296296296297E-4</v>
      </c>
      <c r="C3351" t="s">
        <v>5865</v>
      </c>
      <c r="D3351" t="s">
        <v>35</v>
      </c>
      <c r="E3351" t="s">
        <v>36</v>
      </c>
      <c r="F3351" t="s">
        <v>986</v>
      </c>
      <c r="G3351">
        <v>968030</v>
      </c>
      <c r="H3351" t="s">
        <v>26</v>
      </c>
      <c r="I3351" t="s">
        <v>219</v>
      </c>
      <c r="J3351" t="str">
        <f>"9781118285138"</f>
        <v>9781118285138</v>
      </c>
      <c r="K3351" t="s">
        <v>5866</v>
      </c>
      <c r="L3351">
        <v>2</v>
      </c>
      <c r="O3351" t="s">
        <v>30</v>
      </c>
      <c r="P3351" t="s">
        <v>29</v>
      </c>
      <c r="Q3351" s="1">
        <v>42327.928148148145</v>
      </c>
      <c r="R3351">
        <v>7</v>
      </c>
      <c r="S3351" t="s">
        <v>40</v>
      </c>
      <c r="T3351" t="s">
        <v>987</v>
      </c>
      <c r="U3351">
        <v>158.30000000000001</v>
      </c>
      <c r="V3351" s="3">
        <v>41100</v>
      </c>
    </row>
    <row r="3352" spans="1:22" x14ac:dyDescent="0.35">
      <c r="A3352" s="1">
        <v>42327.925011574072</v>
      </c>
      <c r="B3352" s="2">
        <v>0</v>
      </c>
      <c r="C3352" t="s">
        <v>4551</v>
      </c>
      <c r="D3352" t="s">
        <v>35</v>
      </c>
      <c r="E3352" t="s">
        <v>36</v>
      </c>
      <c r="F3352" t="s">
        <v>4552</v>
      </c>
      <c r="G3352">
        <v>2130115</v>
      </c>
      <c r="H3352" t="s">
        <v>526</v>
      </c>
      <c r="I3352" t="s">
        <v>267</v>
      </c>
      <c r="J3352" t="str">
        <f>"9780226222905"</f>
        <v>9780226222905</v>
      </c>
      <c r="L3352">
        <v>0</v>
      </c>
      <c r="O3352" t="s">
        <v>30</v>
      </c>
      <c r="P3352" t="s">
        <v>47</v>
      </c>
      <c r="Q3352" s="1">
        <v>42327.925011574072</v>
      </c>
      <c r="R3352">
        <v>1</v>
      </c>
      <c r="S3352" t="s">
        <v>40</v>
      </c>
      <c r="T3352" t="s">
        <v>4554</v>
      </c>
      <c r="U3352" t="s">
        <v>4555</v>
      </c>
      <c r="V3352" s="3">
        <v>41376</v>
      </c>
    </row>
    <row r="3353" spans="1:22" x14ac:dyDescent="0.35">
      <c r="A3353" s="1">
        <v>42327.920717592591</v>
      </c>
      <c r="B3353" s="2">
        <v>4.2939814814814811E-3</v>
      </c>
      <c r="C3353" t="s">
        <v>4551</v>
      </c>
      <c r="D3353" t="s">
        <v>35</v>
      </c>
      <c r="E3353" t="s">
        <v>36</v>
      </c>
      <c r="F3353" t="s">
        <v>4552</v>
      </c>
      <c r="G3353">
        <v>2130115</v>
      </c>
      <c r="H3353" t="s">
        <v>526</v>
      </c>
      <c r="I3353" t="s">
        <v>267</v>
      </c>
      <c r="J3353" t="str">
        <f>"9780226222905"</f>
        <v>9780226222905</v>
      </c>
      <c r="K3353" t="s">
        <v>209</v>
      </c>
      <c r="L3353">
        <v>4</v>
      </c>
      <c r="O3353" t="s">
        <v>30</v>
      </c>
      <c r="P3353" t="s">
        <v>50</v>
      </c>
      <c r="S3353" t="s">
        <v>40</v>
      </c>
      <c r="T3353" t="s">
        <v>4554</v>
      </c>
      <c r="U3353" t="s">
        <v>4555</v>
      </c>
      <c r="V3353" s="3">
        <v>41376</v>
      </c>
    </row>
    <row r="3354" spans="1:22" x14ac:dyDescent="0.35">
      <c r="A3354" s="1">
        <v>42327.919560185182</v>
      </c>
      <c r="B3354" s="2">
        <v>7.0601851851851841E-3</v>
      </c>
      <c r="C3354" t="s">
        <v>5867</v>
      </c>
      <c r="D3354" t="s">
        <v>623</v>
      </c>
      <c r="E3354" t="s">
        <v>624</v>
      </c>
      <c r="F3354" t="s">
        <v>5868</v>
      </c>
      <c r="G3354">
        <v>1652087</v>
      </c>
      <c r="H3354" t="s">
        <v>26</v>
      </c>
      <c r="I3354" t="s">
        <v>97</v>
      </c>
      <c r="J3354" t="str">
        <f>"9781118617014"</f>
        <v>9781118617014</v>
      </c>
      <c r="K3354" t="s">
        <v>5869</v>
      </c>
      <c r="L3354">
        <v>16</v>
      </c>
      <c r="O3354" t="s">
        <v>30</v>
      </c>
      <c r="P3354" t="s">
        <v>47</v>
      </c>
      <c r="Q3354" s="1">
        <v>42327.919548611113</v>
      </c>
      <c r="R3354">
        <v>1</v>
      </c>
      <c r="S3354" t="s">
        <v>627</v>
      </c>
      <c r="T3354" t="s">
        <v>5870</v>
      </c>
      <c r="U3354" t="s">
        <v>1463</v>
      </c>
      <c r="V3354" s="3">
        <v>41711</v>
      </c>
    </row>
    <row r="3355" spans="1:22" x14ac:dyDescent="0.35">
      <c r="A3355" s="1">
        <v>42327.916215277779</v>
      </c>
      <c r="B3355" s="2">
        <v>3.0150462962962962E-2</v>
      </c>
      <c r="C3355" t="s">
        <v>5871</v>
      </c>
      <c r="D3355" t="s">
        <v>211</v>
      </c>
      <c r="E3355" t="s">
        <v>212</v>
      </c>
      <c r="F3355" t="s">
        <v>5872</v>
      </c>
      <c r="G3355">
        <v>1543337</v>
      </c>
      <c r="H3355" t="s">
        <v>186</v>
      </c>
      <c r="I3355" t="s">
        <v>5873</v>
      </c>
      <c r="J3355" t="str">
        <f>"9781780642277"</f>
        <v>9781780642277</v>
      </c>
      <c r="K3355" t="s">
        <v>5874</v>
      </c>
      <c r="L3355">
        <v>18</v>
      </c>
      <c r="O3355" t="s">
        <v>30</v>
      </c>
      <c r="P3355" t="s">
        <v>47</v>
      </c>
      <c r="Q3355" s="1">
        <v>42327.650902777779</v>
      </c>
      <c r="R3355">
        <v>1</v>
      </c>
      <c r="S3355" t="s">
        <v>214</v>
      </c>
      <c r="T3355" t="s">
        <v>5875</v>
      </c>
      <c r="U3355" t="s">
        <v>5876</v>
      </c>
      <c r="V3355" s="3">
        <v>41541</v>
      </c>
    </row>
    <row r="3356" spans="1:22" x14ac:dyDescent="0.35">
      <c r="A3356" s="1">
        <v>42327.915277777778</v>
      </c>
      <c r="B3356" s="2">
        <v>3.5416666666666665E-3</v>
      </c>
      <c r="C3356" t="s">
        <v>5867</v>
      </c>
      <c r="D3356" t="s">
        <v>623</v>
      </c>
      <c r="E3356" t="s">
        <v>624</v>
      </c>
      <c r="F3356" t="s">
        <v>5868</v>
      </c>
      <c r="G3356">
        <v>1652087</v>
      </c>
      <c r="H3356" t="s">
        <v>26</v>
      </c>
      <c r="I3356" t="s">
        <v>97</v>
      </c>
      <c r="J3356" t="str">
        <f>"9781118617014"</f>
        <v>9781118617014</v>
      </c>
      <c r="K3356" t="s">
        <v>5877</v>
      </c>
      <c r="L3356">
        <v>10</v>
      </c>
      <c r="O3356" t="s">
        <v>30</v>
      </c>
      <c r="P3356" t="s">
        <v>50</v>
      </c>
      <c r="S3356" t="s">
        <v>627</v>
      </c>
      <c r="T3356" t="s">
        <v>5870</v>
      </c>
      <c r="U3356" t="s">
        <v>1463</v>
      </c>
      <c r="V3356" s="3">
        <v>41711</v>
      </c>
    </row>
    <row r="3357" spans="1:22" x14ac:dyDescent="0.35">
      <c r="A3357" s="1">
        <v>42327.904409722221</v>
      </c>
      <c r="B3357" s="2">
        <v>2.3738425925925923E-2</v>
      </c>
      <c r="C3357" t="s">
        <v>5865</v>
      </c>
      <c r="D3357" t="s">
        <v>35</v>
      </c>
      <c r="E3357" t="s">
        <v>36</v>
      </c>
      <c r="F3357" t="s">
        <v>986</v>
      </c>
      <c r="G3357">
        <v>968030</v>
      </c>
      <c r="H3357" t="s">
        <v>26</v>
      </c>
      <c r="I3357" t="s">
        <v>219</v>
      </c>
      <c r="J3357" t="str">
        <f>"9781118285138"</f>
        <v>9781118285138</v>
      </c>
      <c r="K3357" t="s">
        <v>5878</v>
      </c>
      <c r="L3357">
        <v>14</v>
      </c>
      <c r="O3357" t="s">
        <v>30</v>
      </c>
      <c r="P3357" t="s">
        <v>42</v>
      </c>
      <c r="S3357" t="s">
        <v>40</v>
      </c>
      <c r="T3357" t="s">
        <v>987</v>
      </c>
      <c r="U3357">
        <v>158.30000000000001</v>
      </c>
      <c r="V3357" s="3">
        <v>41100</v>
      </c>
    </row>
    <row r="3358" spans="1:22" x14ac:dyDescent="0.35">
      <c r="A3358" s="1">
        <v>42327.903379629628</v>
      </c>
      <c r="B3358" s="2">
        <v>0</v>
      </c>
      <c r="C3358" t="s">
        <v>5879</v>
      </c>
      <c r="D3358" t="s">
        <v>23</v>
      </c>
      <c r="E3358" t="s">
        <v>24</v>
      </c>
      <c r="F3358" t="s">
        <v>5880</v>
      </c>
      <c r="G3358">
        <v>817911</v>
      </c>
      <c r="H3358" t="s">
        <v>26</v>
      </c>
      <c r="I3358" t="s">
        <v>69</v>
      </c>
      <c r="J3358" t="str">
        <f>"9781118218587"</f>
        <v>9781118218587</v>
      </c>
      <c r="L3358">
        <v>0</v>
      </c>
      <c r="O3358" t="s">
        <v>28</v>
      </c>
      <c r="P3358" t="s">
        <v>29</v>
      </c>
      <c r="Q3358" s="1">
        <v>42327.903379629628</v>
      </c>
      <c r="R3358">
        <v>7</v>
      </c>
      <c r="S3358" t="s">
        <v>31</v>
      </c>
      <c r="T3358" t="s">
        <v>5881</v>
      </c>
      <c r="U3358">
        <v>371.10199999999998</v>
      </c>
      <c r="V3358" s="3">
        <v>40899</v>
      </c>
    </row>
    <row r="3359" spans="1:22" x14ac:dyDescent="0.35">
      <c r="A3359" s="1">
        <v>42327.903379629628</v>
      </c>
      <c r="B3359" s="2">
        <v>0</v>
      </c>
      <c r="C3359" t="s">
        <v>5879</v>
      </c>
      <c r="D3359" t="s">
        <v>23</v>
      </c>
      <c r="E3359" t="s">
        <v>24</v>
      </c>
      <c r="F3359" t="s">
        <v>5880</v>
      </c>
      <c r="G3359">
        <v>817911</v>
      </c>
      <c r="H3359" t="s">
        <v>26</v>
      </c>
      <c r="I3359" t="s">
        <v>69</v>
      </c>
      <c r="J3359" t="str">
        <f>"9781118218587"</f>
        <v>9781118218587</v>
      </c>
      <c r="L3359">
        <v>0</v>
      </c>
      <c r="O3359" t="s">
        <v>30</v>
      </c>
      <c r="P3359" t="s">
        <v>29</v>
      </c>
      <c r="Q3359" s="1">
        <v>42327.903379629628</v>
      </c>
      <c r="R3359">
        <v>7</v>
      </c>
      <c r="S3359" t="s">
        <v>31</v>
      </c>
      <c r="T3359" t="s">
        <v>5881</v>
      </c>
      <c r="U3359">
        <v>371.10199999999998</v>
      </c>
      <c r="V3359" s="3">
        <v>40899</v>
      </c>
    </row>
    <row r="3360" spans="1:22" x14ac:dyDescent="0.35">
      <c r="A3360" s="1">
        <v>42327.903055555558</v>
      </c>
      <c r="B3360" s="2">
        <v>3.2407407407407406E-4</v>
      </c>
      <c r="C3360" t="s">
        <v>5879</v>
      </c>
      <c r="D3360" t="s">
        <v>23</v>
      </c>
      <c r="E3360" t="s">
        <v>24</v>
      </c>
      <c r="F3360" t="s">
        <v>5880</v>
      </c>
      <c r="G3360">
        <v>817911</v>
      </c>
      <c r="H3360" t="s">
        <v>26</v>
      </c>
      <c r="I3360" t="s">
        <v>69</v>
      </c>
      <c r="J3360" t="str">
        <f>"9781118218587"</f>
        <v>9781118218587</v>
      </c>
      <c r="K3360" t="s">
        <v>33</v>
      </c>
      <c r="L3360">
        <v>3</v>
      </c>
      <c r="O3360" t="s">
        <v>30</v>
      </c>
      <c r="P3360" t="s">
        <v>42</v>
      </c>
      <c r="S3360" t="s">
        <v>31</v>
      </c>
      <c r="T3360" t="s">
        <v>5881</v>
      </c>
      <c r="U3360">
        <v>371.10199999999998</v>
      </c>
      <c r="V3360" s="3">
        <v>40899</v>
      </c>
    </row>
    <row r="3361" spans="1:22" x14ac:dyDescent="0.35">
      <c r="A3361" s="1">
        <v>42327.881990740738</v>
      </c>
      <c r="B3361" s="2">
        <v>1.3888888888888889E-4</v>
      </c>
      <c r="C3361" t="s">
        <v>106</v>
      </c>
      <c r="D3361" t="s">
        <v>23</v>
      </c>
      <c r="E3361" t="s">
        <v>24</v>
      </c>
      <c r="F3361" t="s">
        <v>5494</v>
      </c>
      <c r="G3361">
        <v>1589615</v>
      </c>
      <c r="H3361" t="s">
        <v>45</v>
      </c>
      <c r="I3361" t="s">
        <v>172</v>
      </c>
      <c r="J3361" t="str">
        <f>"9781409469865"</f>
        <v>9781409469865</v>
      </c>
      <c r="K3361" t="s">
        <v>5882</v>
      </c>
      <c r="L3361">
        <v>10</v>
      </c>
      <c r="O3361" t="s">
        <v>30</v>
      </c>
      <c r="P3361" t="s">
        <v>29</v>
      </c>
      <c r="Q3361" s="1">
        <v>42327.734317129631</v>
      </c>
      <c r="R3361">
        <v>7</v>
      </c>
      <c r="S3361" t="s">
        <v>31</v>
      </c>
      <c r="T3361" t="s">
        <v>5496</v>
      </c>
      <c r="U3361">
        <v>949.50199999999995</v>
      </c>
      <c r="V3361" s="3">
        <v>41940</v>
      </c>
    </row>
    <row r="3362" spans="1:22" x14ac:dyDescent="0.35">
      <c r="A3362" s="1">
        <v>42327.875775462962</v>
      </c>
      <c r="B3362" s="2">
        <v>4.6296296296296293E-4</v>
      </c>
      <c r="C3362" t="s">
        <v>471</v>
      </c>
      <c r="D3362" t="s">
        <v>211</v>
      </c>
      <c r="E3362" t="s">
        <v>212</v>
      </c>
      <c r="F3362" t="s">
        <v>5883</v>
      </c>
      <c r="G3362">
        <v>817510</v>
      </c>
      <c r="H3362" t="s">
        <v>5884</v>
      </c>
      <c r="I3362" t="s">
        <v>97</v>
      </c>
      <c r="J3362" t="str">
        <f>"9781118182895"</f>
        <v>9781118182895</v>
      </c>
      <c r="K3362" t="s">
        <v>5885</v>
      </c>
      <c r="L3362">
        <v>16</v>
      </c>
      <c r="O3362" t="s">
        <v>30</v>
      </c>
      <c r="P3362" t="s">
        <v>42</v>
      </c>
      <c r="S3362" t="s">
        <v>214</v>
      </c>
      <c r="T3362" t="s">
        <v>5886</v>
      </c>
      <c r="U3362">
        <v>657.45</v>
      </c>
      <c r="V3362" s="3">
        <v>40847</v>
      </c>
    </row>
    <row r="3363" spans="1:22" x14ac:dyDescent="0.35">
      <c r="A3363" s="1">
        <v>42327.843217592592</v>
      </c>
      <c r="B3363" s="2">
        <v>9.7222222222222209E-4</v>
      </c>
      <c r="C3363" t="s">
        <v>5887</v>
      </c>
      <c r="D3363" t="s">
        <v>23</v>
      </c>
      <c r="E3363" t="s">
        <v>24</v>
      </c>
      <c r="F3363" t="s">
        <v>1051</v>
      </c>
      <c r="G3363">
        <v>821663</v>
      </c>
      <c r="H3363" t="s">
        <v>26</v>
      </c>
      <c r="I3363" t="s">
        <v>200</v>
      </c>
      <c r="J3363" t="str">
        <f>"9781118168479"</f>
        <v>9781118168479</v>
      </c>
      <c r="K3363" t="s">
        <v>5888</v>
      </c>
      <c r="L3363">
        <v>16</v>
      </c>
      <c r="O3363" t="s">
        <v>30</v>
      </c>
      <c r="P3363" t="s">
        <v>29</v>
      </c>
      <c r="Q3363" s="1">
        <v>42325.568749999999</v>
      </c>
      <c r="R3363">
        <v>7</v>
      </c>
      <c r="S3363" t="s">
        <v>31</v>
      </c>
      <c r="T3363" t="s">
        <v>1053</v>
      </c>
      <c r="U3363">
        <v>729</v>
      </c>
      <c r="V3363" s="3">
        <v>40973</v>
      </c>
    </row>
    <row r="3364" spans="1:22" x14ac:dyDescent="0.35">
      <c r="A3364" s="1">
        <v>42327.835324074076</v>
      </c>
      <c r="B3364" s="2">
        <v>3.8194444444444441E-2</v>
      </c>
      <c r="C3364" t="s">
        <v>3454</v>
      </c>
      <c r="D3364" t="s">
        <v>23</v>
      </c>
      <c r="E3364" t="s">
        <v>24</v>
      </c>
      <c r="F3364" t="s">
        <v>3351</v>
      </c>
      <c r="G3364">
        <v>1760720</v>
      </c>
      <c r="H3364" t="s">
        <v>91</v>
      </c>
      <c r="I3364" t="s">
        <v>247</v>
      </c>
      <c r="J3364" t="str">
        <f>"9781462517459"</f>
        <v>9781462517459</v>
      </c>
      <c r="K3364" t="s">
        <v>5889</v>
      </c>
      <c r="L3364">
        <v>30</v>
      </c>
      <c r="O3364" t="s">
        <v>30</v>
      </c>
      <c r="P3364" t="s">
        <v>29</v>
      </c>
      <c r="Q3364" s="1">
        <v>42327.645243055558</v>
      </c>
      <c r="R3364">
        <v>7</v>
      </c>
      <c r="S3364" t="s">
        <v>31</v>
      </c>
      <c r="T3364" t="s">
        <v>3353</v>
      </c>
      <c r="U3364">
        <v>616.89142000000004</v>
      </c>
      <c r="V3364" s="3">
        <v>41996</v>
      </c>
    </row>
    <row r="3365" spans="1:22" x14ac:dyDescent="0.35">
      <c r="A3365" s="1">
        <v>42327.83085648148</v>
      </c>
      <c r="B3365" s="2">
        <v>1.7824074074074072E-3</v>
      </c>
      <c r="C3365" t="s">
        <v>106</v>
      </c>
      <c r="D3365" t="s">
        <v>23</v>
      </c>
      <c r="E3365" t="s">
        <v>24</v>
      </c>
      <c r="F3365" t="s">
        <v>78</v>
      </c>
      <c r="G3365">
        <v>1635363</v>
      </c>
      <c r="H3365" t="s">
        <v>26</v>
      </c>
      <c r="I3365" t="s">
        <v>79</v>
      </c>
      <c r="J3365" t="str">
        <f>"9781118678206"</f>
        <v>9781118678206</v>
      </c>
      <c r="K3365" t="s">
        <v>5890</v>
      </c>
      <c r="L3365">
        <v>14</v>
      </c>
      <c r="O3365" t="s">
        <v>30</v>
      </c>
      <c r="P3365" t="s">
        <v>29</v>
      </c>
      <c r="Q3365" s="1">
        <v>42325.831620370373</v>
      </c>
      <c r="R3365">
        <v>7</v>
      </c>
      <c r="S3365" t="s">
        <v>31</v>
      </c>
      <c r="T3365" t="s">
        <v>81</v>
      </c>
      <c r="U3365">
        <v>340.07600000000002</v>
      </c>
      <c r="V3365" s="3">
        <v>41684</v>
      </c>
    </row>
    <row r="3366" spans="1:22" x14ac:dyDescent="0.35">
      <c r="A3366" s="1">
        <v>42327.824999999997</v>
      </c>
      <c r="B3366" s="2">
        <v>6.8634259259259256E-3</v>
      </c>
      <c r="C3366" t="s">
        <v>106</v>
      </c>
      <c r="D3366" t="s">
        <v>23</v>
      </c>
      <c r="E3366" t="s">
        <v>24</v>
      </c>
      <c r="F3366" t="s">
        <v>3268</v>
      </c>
      <c r="G3366">
        <v>1645679</v>
      </c>
      <c r="H3366" t="s">
        <v>45</v>
      </c>
      <c r="I3366" t="s">
        <v>2879</v>
      </c>
      <c r="J3366" t="str">
        <f>"9781472413079"</f>
        <v>9781472413079</v>
      </c>
      <c r="K3366" t="s">
        <v>5891</v>
      </c>
      <c r="L3366">
        <v>17</v>
      </c>
      <c r="O3366" t="s">
        <v>30</v>
      </c>
      <c r="P3366" t="s">
        <v>29</v>
      </c>
      <c r="Q3366" s="1">
        <v>42327.824988425928</v>
      </c>
      <c r="R3366">
        <v>7</v>
      </c>
      <c r="S3366" t="s">
        <v>31</v>
      </c>
      <c r="T3366" t="s">
        <v>3269</v>
      </c>
      <c r="U3366" t="s">
        <v>3270</v>
      </c>
      <c r="V3366" s="3">
        <v>41726</v>
      </c>
    </row>
    <row r="3367" spans="1:22" x14ac:dyDescent="0.35">
      <c r="A3367" s="1">
        <v>42327.821909722225</v>
      </c>
      <c r="B3367" s="2">
        <v>8.1203703703703708E-2</v>
      </c>
      <c r="C3367" t="s">
        <v>210</v>
      </c>
      <c r="D3367" t="s">
        <v>211</v>
      </c>
      <c r="E3367" t="s">
        <v>212</v>
      </c>
      <c r="F3367" t="s">
        <v>1547</v>
      </c>
      <c r="G3367">
        <v>848510</v>
      </c>
      <c r="H3367" t="s">
        <v>26</v>
      </c>
      <c r="I3367" t="s">
        <v>247</v>
      </c>
      <c r="J3367" t="str">
        <f>"9781118220481"</f>
        <v>9781118220481</v>
      </c>
      <c r="K3367" t="s">
        <v>5892</v>
      </c>
      <c r="L3367">
        <v>29</v>
      </c>
      <c r="O3367" t="s">
        <v>30</v>
      </c>
      <c r="P3367" t="s">
        <v>29</v>
      </c>
      <c r="Q3367" s="1">
        <v>42327.821909722225</v>
      </c>
      <c r="R3367">
        <v>7</v>
      </c>
      <c r="S3367" t="s">
        <v>214</v>
      </c>
      <c r="T3367" t="s">
        <v>1548</v>
      </c>
      <c r="U3367" t="s">
        <v>1549</v>
      </c>
      <c r="V3367" s="3">
        <v>41066</v>
      </c>
    </row>
    <row r="3368" spans="1:22" x14ac:dyDescent="0.35">
      <c r="A3368" s="1">
        <v>42327.797002314815</v>
      </c>
      <c r="B3368" s="2">
        <v>7.6388888888888893E-4</v>
      </c>
      <c r="C3368" t="s">
        <v>5893</v>
      </c>
      <c r="D3368" t="s">
        <v>23</v>
      </c>
      <c r="E3368" t="s">
        <v>24</v>
      </c>
      <c r="F3368" t="s">
        <v>5494</v>
      </c>
      <c r="G3368">
        <v>1589615</v>
      </c>
      <c r="H3368" t="s">
        <v>45</v>
      </c>
      <c r="I3368" t="s">
        <v>172</v>
      </c>
      <c r="J3368" t="str">
        <f>"9781409469865"</f>
        <v>9781409469865</v>
      </c>
      <c r="K3368" t="s">
        <v>5894</v>
      </c>
      <c r="L3368">
        <v>9</v>
      </c>
      <c r="O3368" t="s">
        <v>30</v>
      </c>
      <c r="P3368" t="s">
        <v>42</v>
      </c>
      <c r="S3368" t="s">
        <v>31</v>
      </c>
      <c r="T3368" t="s">
        <v>5496</v>
      </c>
      <c r="U3368">
        <v>949.50199999999995</v>
      </c>
      <c r="V3368" s="3">
        <v>41940</v>
      </c>
    </row>
    <row r="3369" spans="1:22" x14ac:dyDescent="0.35">
      <c r="A3369" s="1">
        <v>42327.79519675926</v>
      </c>
      <c r="B3369" s="2">
        <v>1.5277777777777779E-3</v>
      </c>
      <c r="C3369" t="s">
        <v>5871</v>
      </c>
      <c r="D3369" t="s">
        <v>211</v>
      </c>
      <c r="E3369" t="s">
        <v>212</v>
      </c>
      <c r="F3369" t="s">
        <v>5872</v>
      </c>
      <c r="G3369">
        <v>1543337</v>
      </c>
      <c r="H3369" t="s">
        <v>186</v>
      </c>
      <c r="I3369" t="s">
        <v>5873</v>
      </c>
      <c r="J3369" t="str">
        <f>"9781780642277"</f>
        <v>9781780642277</v>
      </c>
      <c r="K3369" t="s">
        <v>5895</v>
      </c>
      <c r="L3369">
        <v>41</v>
      </c>
      <c r="O3369" t="s">
        <v>30</v>
      </c>
      <c r="P3369" t="s">
        <v>47</v>
      </c>
      <c r="Q3369" s="1">
        <v>42327.650902777779</v>
      </c>
      <c r="R3369">
        <v>1</v>
      </c>
      <c r="S3369" t="s">
        <v>214</v>
      </c>
      <c r="T3369" t="s">
        <v>5875</v>
      </c>
      <c r="U3369" t="s">
        <v>5876</v>
      </c>
      <c r="V3369" s="3">
        <v>41541</v>
      </c>
    </row>
    <row r="3370" spans="1:22" x14ac:dyDescent="0.35">
      <c r="A3370" s="1">
        <v>42327.787592592591</v>
      </c>
      <c r="B3370" s="2">
        <v>8.5590277777777779E-2</v>
      </c>
      <c r="C3370" t="s">
        <v>471</v>
      </c>
      <c r="D3370" t="s">
        <v>211</v>
      </c>
      <c r="E3370" t="s">
        <v>212</v>
      </c>
      <c r="F3370" t="s">
        <v>1182</v>
      </c>
      <c r="G3370">
        <v>1557279</v>
      </c>
      <c r="H3370" t="s">
        <v>26</v>
      </c>
      <c r="I3370" t="s">
        <v>97</v>
      </c>
      <c r="J3370" t="str">
        <f>"9781118863664"</f>
        <v>9781118863664</v>
      </c>
      <c r="K3370" t="s">
        <v>5896</v>
      </c>
      <c r="L3370">
        <v>66</v>
      </c>
      <c r="M3370" t="s">
        <v>5897</v>
      </c>
      <c r="O3370" t="s">
        <v>30</v>
      </c>
      <c r="P3370" t="s">
        <v>29</v>
      </c>
      <c r="Q3370" s="1">
        <v>42325.819016203706</v>
      </c>
      <c r="R3370">
        <v>7</v>
      </c>
      <c r="S3370" t="s">
        <v>214</v>
      </c>
      <c r="T3370" t="s">
        <v>1183</v>
      </c>
      <c r="U3370">
        <v>657.37800000000004</v>
      </c>
      <c r="V3370" s="3">
        <v>41585</v>
      </c>
    </row>
    <row r="3371" spans="1:22" x14ac:dyDescent="0.35">
      <c r="A3371" s="1">
        <v>42327.779675925929</v>
      </c>
      <c r="B3371" s="2">
        <v>4.2824074074074075E-4</v>
      </c>
      <c r="C3371" t="s">
        <v>106</v>
      </c>
      <c r="D3371" t="s">
        <v>23</v>
      </c>
      <c r="E3371" t="s">
        <v>24</v>
      </c>
      <c r="F3371" t="s">
        <v>5494</v>
      </c>
      <c r="G3371">
        <v>1589615</v>
      </c>
      <c r="H3371" t="s">
        <v>45</v>
      </c>
      <c r="I3371" t="s">
        <v>172</v>
      </c>
      <c r="J3371" t="str">
        <f>"9781409469865"</f>
        <v>9781409469865</v>
      </c>
      <c r="K3371" t="s">
        <v>5898</v>
      </c>
      <c r="L3371">
        <v>10</v>
      </c>
      <c r="O3371" t="s">
        <v>30</v>
      </c>
      <c r="P3371" t="s">
        <v>29</v>
      </c>
      <c r="Q3371" s="1">
        <v>42327.734317129631</v>
      </c>
      <c r="R3371">
        <v>7</v>
      </c>
      <c r="S3371" t="s">
        <v>31</v>
      </c>
      <c r="T3371" t="s">
        <v>5496</v>
      </c>
      <c r="U3371">
        <v>949.50199999999995</v>
      </c>
      <c r="V3371" s="3">
        <v>41940</v>
      </c>
    </row>
    <row r="3372" spans="1:22" x14ac:dyDescent="0.35">
      <c r="A3372" s="1">
        <v>42327.777395833335</v>
      </c>
      <c r="B3372" s="2">
        <v>4.7592592592592596E-2</v>
      </c>
      <c r="C3372" t="s">
        <v>106</v>
      </c>
      <c r="D3372" t="s">
        <v>23</v>
      </c>
      <c r="E3372" t="s">
        <v>24</v>
      </c>
      <c r="F3372" t="s">
        <v>3268</v>
      </c>
      <c r="G3372">
        <v>1645679</v>
      </c>
      <c r="H3372" t="s">
        <v>45</v>
      </c>
      <c r="I3372" t="s">
        <v>2879</v>
      </c>
      <c r="J3372" t="str">
        <f>"9781472413079"</f>
        <v>9781472413079</v>
      </c>
      <c r="K3372" t="s">
        <v>5899</v>
      </c>
      <c r="L3372">
        <v>25</v>
      </c>
      <c r="O3372" t="s">
        <v>30</v>
      </c>
      <c r="P3372" t="s">
        <v>42</v>
      </c>
      <c r="S3372" t="s">
        <v>31</v>
      </c>
      <c r="T3372" t="s">
        <v>3269</v>
      </c>
      <c r="U3372" t="s">
        <v>3270</v>
      </c>
      <c r="V3372" s="3">
        <v>41726</v>
      </c>
    </row>
    <row r="3373" spans="1:22" x14ac:dyDescent="0.35">
      <c r="A3373" s="1">
        <v>42327.772048611114</v>
      </c>
      <c r="B3373" s="2">
        <v>4.1666666666666669E-4</v>
      </c>
      <c r="C3373" t="s">
        <v>5900</v>
      </c>
      <c r="D3373" t="s">
        <v>623</v>
      </c>
      <c r="E3373" t="s">
        <v>624</v>
      </c>
      <c r="F3373" t="s">
        <v>3736</v>
      </c>
      <c r="G3373">
        <v>1938274</v>
      </c>
      <c r="H3373" t="s">
        <v>26</v>
      </c>
      <c r="I3373" t="s">
        <v>338</v>
      </c>
      <c r="J3373" t="str">
        <f>"9781119098201"</f>
        <v>9781119098201</v>
      </c>
      <c r="K3373" t="s">
        <v>5901</v>
      </c>
      <c r="L3373">
        <v>8</v>
      </c>
      <c r="O3373" t="s">
        <v>30</v>
      </c>
      <c r="P3373" t="s">
        <v>42</v>
      </c>
      <c r="S3373" t="s">
        <v>627</v>
      </c>
      <c r="T3373" t="s">
        <v>3738</v>
      </c>
      <c r="U3373" t="s">
        <v>3739</v>
      </c>
      <c r="V3373" s="3">
        <v>42033</v>
      </c>
    </row>
    <row r="3374" spans="1:22" x14ac:dyDescent="0.35">
      <c r="A3374" s="1">
        <v>42327.771620370368</v>
      </c>
      <c r="B3374" s="2">
        <v>3.0995370370370371E-2</v>
      </c>
      <c r="C3374" t="s">
        <v>5902</v>
      </c>
      <c r="D3374" t="s">
        <v>35</v>
      </c>
      <c r="E3374" t="s">
        <v>36</v>
      </c>
      <c r="F3374" t="s">
        <v>986</v>
      </c>
      <c r="G3374">
        <v>968030</v>
      </c>
      <c r="H3374" t="s">
        <v>26</v>
      </c>
      <c r="I3374" t="s">
        <v>219</v>
      </c>
      <c r="J3374" t="str">
        <f>"9781118285138"</f>
        <v>9781118285138</v>
      </c>
      <c r="K3374" t="s">
        <v>5903</v>
      </c>
      <c r="L3374">
        <v>14</v>
      </c>
      <c r="O3374" t="s">
        <v>30</v>
      </c>
      <c r="P3374" t="s">
        <v>29</v>
      </c>
      <c r="Q3374" s="1">
        <v>42327.771620370368</v>
      </c>
      <c r="R3374">
        <v>7</v>
      </c>
      <c r="S3374" t="s">
        <v>40</v>
      </c>
      <c r="T3374" t="s">
        <v>987</v>
      </c>
      <c r="U3374">
        <v>158.30000000000001</v>
      </c>
      <c r="V3374" s="3">
        <v>41100</v>
      </c>
    </row>
    <row r="3375" spans="1:22" x14ac:dyDescent="0.35">
      <c r="A3375" s="1">
        <v>42327.771365740744</v>
      </c>
      <c r="B3375" s="2">
        <v>5.0543981481481481E-2</v>
      </c>
      <c r="C3375" t="s">
        <v>210</v>
      </c>
      <c r="D3375" t="s">
        <v>211</v>
      </c>
      <c r="E3375" t="s">
        <v>212</v>
      </c>
      <c r="F3375" t="s">
        <v>1547</v>
      </c>
      <c r="G3375">
        <v>848510</v>
      </c>
      <c r="H3375" t="s">
        <v>26</v>
      </c>
      <c r="I3375" t="s">
        <v>247</v>
      </c>
      <c r="J3375" t="str">
        <f>"9781118220481"</f>
        <v>9781118220481</v>
      </c>
      <c r="K3375" t="s">
        <v>33</v>
      </c>
      <c r="L3375">
        <v>3</v>
      </c>
      <c r="O3375" t="s">
        <v>30</v>
      </c>
      <c r="P3375" t="s">
        <v>42</v>
      </c>
      <c r="S3375" t="s">
        <v>214</v>
      </c>
      <c r="T3375" t="s">
        <v>1548</v>
      </c>
      <c r="U3375" t="s">
        <v>1549</v>
      </c>
      <c r="V3375" s="3">
        <v>41066</v>
      </c>
    </row>
    <row r="3376" spans="1:22" x14ac:dyDescent="0.35">
      <c r="A3376" s="1">
        <v>42327.763842592591</v>
      </c>
      <c r="B3376" s="2">
        <v>7.7777777777777767E-3</v>
      </c>
      <c r="C3376" t="s">
        <v>5902</v>
      </c>
      <c r="D3376" t="s">
        <v>35</v>
      </c>
      <c r="E3376" t="s">
        <v>36</v>
      </c>
      <c r="F3376" t="s">
        <v>986</v>
      </c>
      <c r="G3376">
        <v>968030</v>
      </c>
      <c r="H3376" t="s">
        <v>26</v>
      </c>
      <c r="I3376" t="s">
        <v>219</v>
      </c>
      <c r="J3376" t="str">
        <f>"9781118285138"</f>
        <v>9781118285138</v>
      </c>
      <c r="K3376" t="s">
        <v>5904</v>
      </c>
      <c r="L3376">
        <v>24</v>
      </c>
      <c r="O3376" t="s">
        <v>30</v>
      </c>
      <c r="P3376" t="s">
        <v>42</v>
      </c>
      <c r="S3376" t="s">
        <v>40</v>
      </c>
      <c r="T3376" t="s">
        <v>987</v>
      </c>
      <c r="U3376">
        <v>158.30000000000001</v>
      </c>
      <c r="V3376" s="3">
        <v>41100</v>
      </c>
    </row>
    <row r="3377" spans="1:22" x14ac:dyDescent="0.35">
      <c r="A3377" s="1">
        <v>42327.762013888889</v>
      </c>
      <c r="B3377" s="2">
        <v>2.615740740740741E-3</v>
      </c>
      <c r="C3377" t="s">
        <v>3753</v>
      </c>
      <c r="D3377" t="s">
        <v>35</v>
      </c>
      <c r="E3377" t="s">
        <v>36</v>
      </c>
      <c r="F3377" t="s">
        <v>986</v>
      </c>
      <c r="G3377">
        <v>968030</v>
      </c>
      <c r="H3377" t="s">
        <v>26</v>
      </c>
      <c r="I3377" t="s">
        <v>219</v>
      </c>
      <c r="J3377" t="str">
        <f>"9781118285138"</f>
        <v>9781118285138</v>
      </c>
      <c r="K3377" t="s">
        <v>5905</v>
      </c>
      <c r="L3377">
        <v>18</v>
      </c>
      <c r="O3377" t="s">
        <v>30</v>
      </c>
      <c r="P3377" t="s">
        <v>29</v>
      </c>
      <c r="Q3377" s="1">
        <v>42327.762013888889</v>
      </c>
      <c r="R3377">
        <v>7</v>
      </c>
      <c r="S3377" t="s">
        <v>40</v>
      </c>
      <c r="T3377" t="s">
        <v>987</v>
      </c>
      <c r="U3377">
        <v>158.30000000000001</v>
      </c>
      <c r="V3377" s="3">
        <v>41100</v>
      </c>
    </row>
    <row r="3378" spans="1:22" x14ac:dyDescent="0.35">
      <c r="A3378" s="1">
        <v>42327.753483796296</v>
      </c>
      <c r="B3378" s="2">
        <v>8.5300925925925926E-3</v>
      </c>
      <c r="C3378" t="s">
        <v>3753</v>
      </c>
      <c r="D3378" t="s">
        <v>35</v>
      </c>
      <c r="E3378" t="s">
        <v>36</v>
      </c>
      <c r="F3378" t="s">
        <v>986</v>
      </c>
      <c r="G3378">
        <v>968030</v>
      </c>
      <c r="H3378" t="s">
        <v>26</v>
      </c>
      <c r="I3378" t="s">
        <v>219</v>
      </c>
      <c r="J3378" t="str">
        <f>"9781118285138"</f>
        <v>9781118285138</v>
      </c>
      <c r="K3378" t="s">
        <v>5906</v>
      </c>
      <c r="L3378">
        <v>11</v>
      </c>
      <c r="O3378" t="s">
        <v>30</v>
      </c>
      <c r="P3378" t="s">
        <v>42</v>
      </c>
      <c r="S3378" t="s">
        <v>40</v>
      </c>
      <c r="T3378" t="s">
        <v>987</v>
      </c>
      <c r="U3378">
        <v>158.30000000000001</v>
      </c>
      <c r="V3378" s="3">
        <v>41100</v>
      </c>
    </row>
    <row r="3379" spans="1:22" x14ac:dyDescent="0.35">
      <c r="A3379" s="1">
        <v>42327.734317129631</v>
      </c>
      <c r="B3379" s="2">
        <v>1.1932870370370371E-2</v>
      </c>
      <c r="C3379" t="s">
        <v>106</v>
      </c>
      <c r="D3379" t="s">
        <v>23</v>
      </c>
      <c r="E3379" t="s">
        <v>24</v>
      </c>
      <c r="F3379" t="s">
        <v>5494</v>
      </c>
      <c r="G3379">
        <v>1589615</v>
      </c>
      <c r="H3379" t="s">
        <v>45</v>
      </c>
      <c r="I3379" t="s">
        <v>172</v>
      </c>
      <c r="J3379" t="str">
        <f>"9781409469865"</f>
        <v>9781409469865</v>
      </c>
      <c r="K3379" t="s">
        <v>5907</v>
      </c>
      <c r="L3379">
        <v>4</v>
      </c>
      <c r="O3379" t="s">
        <v>30</v>
      </c>
      <c r="P3379" t="s">
        <v>29</v>
      </c>
      <c r="Q3379" s="1">
        <v>42327.734317129631</v>
      </c>
      <c r="R3379">
        <v>7</v>
      </c>
      <c r="S3379" t="s">
        <v>31</v>
      </c>
      <c r="T3379" t="s">
        <v>5496</v>
      </c>
      <c r="U3379">
        <v>949.50199999999995</v>
      </c>
      <c r="V3379" s="3">
        <v>41940</v>
      </c>
    </row>
    <row r="3380" spans="1:22" x14ac:dyDescent="0.35">
      <c r="A3380" s="1">
        <v>42327.734074074076</v>
      </c>
      <c r="B3380" s="2">
        <v>1.8518518518518518E-4</v>
      </c>
      <c r="C3380" t="s">
        <v>5908</v>
      </c>
      <c r="D3380" t="s">
        <v>623</v>
      </c>
      <c r="E3380" t="s">
        <v>624</v>
      </c>
      <c r="F3380" t="s">
        <v>3961</v>
      </c>
      <c r="G3380">
        <v>1610008</v>
      </c>
      <c r="H3380" t="s">
        <v>45</v>
      </c>
      <c r="I3380" t="s">
        <v>3962</v>
      </c>
      <c r="J3380" t="str">
        <f>"9781409457206"</f>
        <v>9781409457206</v>
      </c>
      <c r="K3380" t="s">
        <v>98</v>
      </c>
      <c r="L3380">
        <v>7</v>
      </c>
      <c r="O3380" t="s">
        <v>30</v>
      </c>
      <c r="P3380" t="s">
        <v>29</v>
      </c>
      <c r="Q3380" s="1">
        <v>42325.756261574075</v>
      </c>
      <c r="R3380">
        <v>7</v>
      </c>
      <c r="S3380" t="s">
        <v>627</v>
      </c>
      <c r="T3380" t="s">
        <v>3964</v>
      </c>
      <c r="U3380">
        <v>364.66</v>
      </c>
      <c r="V3380" s="3">
        <v>41726</v>
      </c>
    </row>
    <row r="3381" spans="1:22" x14ac:dyDescent="0.35">
      <c r="A3381" s="1">
        <v>42327.729317129626</v>
      </c>
      <c r="B3381" s="2">
        <v>5.0000000000000001E-3</v>
      </c>
      <c r="C3381" t="s">
        <v>106</v>
      </c>
      <c r="D3381" t="s">
        <v>23</v>
      </c>
      <c r="E3381" t="s">
        <v>24</v>
      </c>
      <c r="F3381" t="s">
        <v>5494</v>
      </c>
      <c r="G3381">
        <v>1589615</v>
      </c>
      <c r="H3381" t="s">
        <v>45</v>
      </c>
      <c r="I3381" t="s">
        <v>172</v>
      </c>
      <c r="J3381" t="str">
        <f>"9781409469865"</f>
        <v>9781409469865</v>
      </c>
      <c r="K3381" t="s">
        <v>5909</v>
      </c>
      <c r="L3381">
        <v>11</v>
      </c>
      <c r="O3381" t="s">
        <v>30</v>
      </c>
      <c r="P3381" t="s">
        <v>50</v>
      </c>
      <c r="S3381" t="s">
        <v>31</v>
      </c>
      <c r="T3381" t="s">
        <v>5496</v>
      </c>
      <c r="U3381">
        <v>949.50199999999995</v>
      </c>
      <c r="V3381" s="3">
        <v>41940</v>
      </c>
    </row>
    <row r="3382" spans="1:22" x14ac:dyDescent="0.35">
      <c r="A3382" s="1">
        <v>42327.715324074074</v>
      </c>
      <c r="B3382" s="2">
        <v>3.4722222222222224E-4</v>
      </c>
      <c r="C3382" t="s">
        <v>106</v>
      </c>
      <c r="D3382" t="s">
        <v>23</v>
      </c>
      <c r="E3382" t="s">
        <v>24</v>
      </c>
      <c r="F3382" t="s">
        <v>5494</v>
      </c>
      <c r="G3382">
        <v>1589615</v>
      </c>
      <c r="H3382" t="s">
        <v>45</v>
      </c>
      <c r="I3382" t="s">
        <v>172</v>
      </c>
      <c r="J3382" t="str">
        <f>"9781409469865"</f>
        <v>9781409469865</v>
      </c>
      <c r="K3382" t="s">
        <v>5910</v>
      </c>
      <c r="L3382">
        <v>10</v>
      </c>
      <c r="O3382" t="s">
        <v>30</v>
      </c>
      <c r="P3382" t="s">
        <v>50</v>
      </c>
      <c r="S3382" t="s">
        <v>31</v>
      </c>
      <c r="T3382" t="s">
        <v>5496</v>
      </c>
      <c r="U3382">
        <v>949.50199999999995</v>
      </c>
      <c r="V3382" s="3">
        <v>41940</v>
      </c>
    </row>
    <row r="3383" spans="1:22" x14ac:dyDescent="0.35">
      <c r="A3383" s="1">
        <v>42327.689664351848</v>
      </c>
      <c r="B3383" s="2">
        <v>2.1643518518518518E-3</v>
      </c>
      <c r="C3383" t="s">
        <v>1971</v>
      </c>
      <c r="D3383" t="s">
        <v>1222</v>
      </c>
      <c r="E3383" t="s">
        <v>1223</v>
      </c>
      <c r="F3383" t="s">
        <v>5911</v>
      </c>
      <c r="G3383">
        <v>1808763</v>
      </c>
      <c r="H3383" t="s">
        <v>45</v>
      </c>
      <c r="I3383" t="s">
        <v>998</v>
      </c>
      <c r="J3383" t="str">
        <f>"9780754695318"</f>
        <v>9780754695318</v>
      </c>
      <c r="K3383" t="s">
        <v>5912</v>
      </c>
      <c r="L3383">
        <v>4</v>
      </c>
      <c r="M3383" t="s">
        <v>5913</v>
      </c>
      <c r="O3383" t="s">
        <v>30</v>
      </c>
      <c r="P3383" t="s">
        <v>47</v>
      </c>
      <c r="Q3383" s="1">
        <v>42327.689664351848</v>
      </c>
      <c r="R3383">
        <v>1</v>
      </c>
      <c r="S3383" t="s">
        <v>1226</v>
      </c>
      <c r="T3383" t="s">
        <v>5914</v>
      </c>
      <c r="U3383" t="s">
        <v>5915</v>
      </c>
      <c r="V3383" s="3">
        <v>41971</v>
      </c>
    </row>
    <row r="3384" spans="1:22" x14ac:dyDescent="0.35">
      <c r="A3384" s="1">
        <v>42327.689201388886</v>
      </c>
      <c r="B3384" s="2">
        <v>4.6296296296296293E-4</v>
      </c>
      <c r="C3384" t="s">
        <v>1971</v>
      </c>
      <c r="D3384" t="s">
        <v>1222</v>
      </c>
      <c r="E3384" t="s">
        <v>1223</v>
      </c>
      <c r="F3384" t="s">
        <v>5911</v>
      </c>
      <c r="G3384">
        <v>1808763</v>
      </c>
      <c r="H3384" t="s">
        <v>45</v>
      </c>
      <c r="I3384" t="s">
        <v>998</v>
      </c>
      <c r="J3384" t="str">
        <f>"9780754695318"</f>
        <v>9780754695318</v>
      </c>
      <c r="K3384" t="s">
        <v>5916</v>
      </c>
      <c r="L3384">
        <v>13</v>
      </c>
      <c r="O3384" t="s">
        <v>30</v>
      </c>
      <c r="P3384" t="s">
        <v>50</v>
      </c>
      <c r="S3384" t="s">
        <v>1226</v>
      </c>
      <c r="T3384" t="s">
        <v>5914</v>
      </c>
      <c r="U3384" t="s">
        <v>5915</v>
      </c>
      <c r="V3384" s="3">
        <v>41971</v>
      </c>
    </row>
    <row r="3385" spans="1:22" x14ac:dyDescent="0.35">
      <c r="A3385" s="1">
        <v>42327.682835648149</v>
      </c>
      <c r="B3385" s="2">
        <v>0</v>
      </c>
      <c r="C3385" t="s">
        <v>5917</v>
      </c>
      <c r="D3385" t="s">
        <v>23</v>
      </c>
      <c r="E3385" t="s">
        <v>24</v>
      </c>
      <c r="F3385" t="s">
        <v>4937</v>
      </c>
      <c r="G3385">
        <v>818101</v>
      </c>
      <c r="H3385" t="s">
        <v>26</v>
      </c>
      <c r="I3385" t="s">
        <v>4938</v>
      </c>
      <c r="J3385" t="str">
        <f>"9781118225844"</f>
        <v>9781118225844</v>
      </c>
      <c r="L3385">
        <v>0</v>
      </c>
      <c r="O3385" t="s">
        <v>28</v>
      </c>
      <c r="P3385" t="s">
        <v>29</v>
      </c>
      <c r="Q3385" s="1">
        <v>42327.68109953704</v>
      </c>
      <c r="R3385">
        <v>7</v>
      </c>
      <c r="S3385" t="s">
        <v>31</v>
      </c>
      <c r="T3385" t="s">
        <v>4940</v>
      </c>
      <c r="U3385" t="s">
        <v>4941</v>
      </c>
      <c r="V3385" s="3">
        <v>40947</v>
      </c>
    </row>
    <row r="3386" spans="1:22" x14ac:dyDescent="0.35">
      <c r="A3386" s="1">
        <v>42327.681828703702</v>
      </c>
      <c r="B3386" s="2">
        <v>4.6296296296296294E-5</v>
      </c>
      <c r="C3386" t="s">
        <v>5917</v>
      </c>
      <c r="D3386" t="s">
        <v>23</v>
      </c>
      <c r="E3386" t="s">
        <v>24</v>
      </c>
      <c r="F3386" t="s">
        <v>4937</v>
      </c>
      <c r="G3386">
        <v>818101</v>
      </c>
      <c r="H3386" t="s">
        <v>26</v>
      </c>
      <c r="I3386" t="s">
        <v>4938</v>
      </c>
      <c r="J3386" t="str">
        <f>"9781118225844"</f>
        <v>9781118225844</v>
      </c>
      <c r="K3386" t="s">
        <v>611</v>
      </c>
      <c r="L3386">
        <v>3</v>
      </c>
      <c r="O3386" t="s">
        <v>30</v>
      </c>
      <c r="P3386" t="s">
        <v>29</v>
      </c>
      <c r="Q3386" s="1">
        <v>42327.68109953704</v>
      </c>
      <c r="R3386">
        <v>7</v>
      </c>
      <c r="S3386" t="s">
        <v>31</v>
      </c>
      <c r="T3386" t="s">
        <v>4940</v>
      </c>
      <c r="U3386" t="s">
        <v>4941</v>
      </c>
      <c r="V3386" s="3">
        <v>40947</v>
      </c>
    </row>
    <row r="3387" spans="1:22" x14ac:dyDescent="0.35">
      <c r="A3387" s="1">
        <v>42327.681111111109</v>
      </c>
      <c r="B3387" s="2">
        <v>4.6296296296296294E-5</v>
      </c>
      <c r="C3387" t="s">
        <v>5917</v>
      </c>
      <c r="D3387" t="s">
        <v>23</v>
      </c>
      <c r="E3387" t="s">
        <v>24</v>
      </c>
      <c r="F3387" t="s">
        <v>4937</v>
      </c>
      <c r="G3387">
        <v>818101</v>
      </c>
      <c r="H3387" t="s">
        <v>26</v>
      </c>
      <c r="I3387" t="s">
        <v>4938</v>
      </c>
      <c r="J3387" t="str">
        <f>"9781118225844"</f>
        <v>9781118225844</v>
      </c>
      <c r="K3387" t="s">
        <v>5918</v>
      </c>
      <c r="L3387">
        <v>1</v>
      </c>
      <c r="M3387" t="s">
        <v>5918</v>
      </c>
      <c r="O3387" t="s">
        <v>30</v>
      </c>
      <c r="P3387" t="s">
        <v>29</v>
      </c>
      <c r="Q3387" s="1">
        <v>42327.68109953704</v>
      </c>
      <c r="R3387">
        <v>7</v>
      </c>
      <c r="S3387" t="s">
        <v>31</v>
      </c>
      <c r="T3387" t="s">
        <v>4940</v>
      </c>
      <c r="U3387" t="s">
        <v>4941</v>
      </c>
      <c r="V3387" s="3">
        <v>40947</v>
      </c>
    </row>
    <row r="3388" spans="1:22" x14ac:dyDescent="0.35">
      <c r="A3388" s="1">
        <v>42327.681064814817</v>
      </c>
      <c r="B3388" s="2">
        <v>9.8101851851851843E-2</v>
      </c>
      <c r="C3388" t="s">
        <v>5062</v>
      </c>
      <c r="D3388" t="s">
        <v>35</v>
      </c>
      <c r="E3388" t="s">
        <v>36</v>
      </c>
      <c r="F3388" t="s">
        <v>5919</v>
      </c>
      <c r="G3388">
        <v>1562118</v>
      </c>
      <c r="H3388" t="s">
        <v>68</v>
      </c>
      <c r="I3388" t="s">
        <v>4224</v>
      </c>
      <c r="J3388" t="str">
        <f>"9781317763550"</f>
        <v>9781317763550</v>
      </c>
      <c r="K3388" t="s">
        <v>5920</v>
      </c>
      <c r="L3388">
        <v>93</v>
      </c>
      <c r="O3388" t="s">
        <v>30</v>
      </c>
      <c r="P3388" t="s">
        <v>47</v>
      </c>
      <c r="Q3388" s="1">
        <v>42327.681064814817</v>
      </c>
      <c r="R3388">
        <v>1</v>
      </c>
      <c r="S3388" t="s">
        <v>40</v>
      </c>
      <c r="T3388" t="s">
        <v>5921</v>
      </c>
      <c r="U3388">
        <v>362.8</v>
      </c>
      <c r="V3388" s="3">
        <v>41590</v>
      </c>
    </row>
    <row r="3389" spans="1:22" x14ac:dyDescent="0.35">
      <c r="A3389" s="1">
        <v>42327.680497685185</v>
      </c>
      <c r="B3389" s="2">
        <v>6.018518518518519E-4</v>
      </c>
      <c r="C3389" t="s">
        <v>5917</v>
      </c>
      <c r="D3389" t="s">
        <v>23</v>
      </c>
      <c r="E3389" t="s">
        <v>24</v>
      </c>
      <c r="F3389" t="s">
        <v>4937</v>
      </c>
      <c r="G3389">
        <v>818101</v>
      </c>
      <c r="H3389" t="s">
        <v>26</v>
      </c>
      <c r="I3389" t="s">
        <v>4938</v>
      </c>
      <c r="J3389" t="str">
        <f>"9781118225844"</f>
        <v>9781118225844</v>
      </c>
      <c r="K3389" t="s">
        <v>5922</v>
      </c>
      <c r="L3389">
        <v>4</v>
      </c>
      <c r="O3389" t="s">
        <v>30</v>
      </c>
      <c r="P3389" t="s">
        <v>42</v>
      </c>
      <c r="S3389" t="s">
        <v>31</v>
      </c>
      <c r="T3389" t="s">
        <v>4940</v>
      </c>
      <c r="U3389" t="s">
        <v>4941</v>
      </c>
      <c r="V3389" s="3">
        <v>40947</v>
      </c>
    </row>
    <row r="3390" spans="1:22" x14ac:dyDescent="0.35">
      <c r="A3390" s="1">
        <v>42327.677256944444</v>
      </c>
      <c r="B3390" s="2">
        <v>3.7962962962962963E-3</v>
      </c>
      <c r="C3390" t="s">
        <v>5062</v>
      </c>
      <c r="D3390" t="s">
        <v>35</v>
      </c>
      <c r="E3390" t="s">
        <v>36</v>
      </c>
      <c r="F3390" t="s">
        <v>5919</v>
      </c>
      <c r="G3390">
        <v>1562118</v>
      </c>
      <c r="H3390" t="s">
        <v>68</v>
      </c>
      <c r="I3390" t="s">
        <v>4224</v>
      </c>
      <c r="J3390" t="str">
        <f>"9781317763550"</f>
        <v>9781317763550</v>
      </c>
      <c r="K3390" t="s">
        <v>5923</v>
      </c>
      <c r="L3390">
        <v>16</v>
      </c>
      <c r="O3390" t="s">
        <v>30</v>
      </c>
      <c r="P3390" t="s">
        <v>50</v>
      </c>
      <c r="S3390" t="s">
        <v>40</v>
      </c>
      <c r="T3390" t="s">
        <v>5921</v>
      </c>
      <c r="U3390">
        <v>362.8</v>
      </c>
      <c r="V3390" s="3">
        <v>41590</v>
      </c>
    </row>
    <row r="3391" spans="1:22" x14ac:dyDescent="0.35">
      <c r="A3391" s="1">
        <v>42327.673009259262</v>
      </c>
      <c r="B3391" s="2">
        <v>4.6296296296296294E-5</v>
      </c>
      <c r="C3391" t="s">
        <v>5924</v>
      </c>
      <c r="D3391" t="s">
        <v>35</v>
      </c>
      <c r="E3391" t="s">
        <v>36</v>
      </c>
      <c r="F3391" t="s">
        <v>5925</v>
      </c>
      <c r="G3391">
        <v>1355955</v>
      </c>
      <c r="H3391" t="s">
        <v>68</v>
      </c>
      <c r="I3391" t="s">
        <v>79</v>
      </c>
      <c r="J3391" t="str">
        <f>"9781134615728"</f>
        <v>9781134615728</v>
      </c>
      <c r="K3391" t="s">
        <v>33</v>
      </c>
      <c r="L3391">
        <v>3</v>
      </c>
      <c r="O3391" t="s">
        <v>30</v>
      </c>
      <c r="P3391" t="s">
        <v>50</v>
      </c>
      <c r="S3391" t="s">
        <v>40</v>
      </c>
      <c r="T3391" t="s">
        <v>5926</v>
      </c>
      <c r="U3391">
        <v>344.41011329999998</v>
      </c>
      <c r="V3391" s="3">
        <v>38979</v>
      </c>
    </row>
    <row r="3392" spans="1:22" x14ac:dyDescent="0.35">
      <c r="A3392" s="1">
        <v>42327.661134259259</v>
      </c>
      <c r="B3392" s="2">
        <v>2.3148148148148146E-4</v>
      </c>
      <c r="C3392" t="s">
        <v>106</v>
      </c>
      <c r="D3392" t="s">
        <v>23</v>
      </c>
      <c r="E3392" t="s">
        <v>24</v>
      </c>
      <c r="F3392" t="s">
        <v>3973</v>
      </c>
      <c r="G3392">
        <v>771049</v>
      </c>
      <c r="H3392" t="s">
        <v>3465</v>
      </c>
      <c r="I3392" t="s">
        <v>3974</v>
      </c>
      <c r="J3392" t="str">
        <f>"9781608706648"</f>
        <v>9781608706648</v>
      </c>
      <c r="K3392" t="s">
        <v>5927</v>
      </c>
      <c r="L3392">
        <v>13</v>
      </c>
      <c r="O3392" t="s">
        <v>30</v>
      </c>
      <c r="P3392" t="s">
        <v>29</v>
      </c>
      <c r="Q3392" s="1">
        <v>42327.661134259259</v>
      </c>
      <c r="R3392">
        <v>7</v>
      </c>
      <c r="S3392" t="s">
        <v>31</v>
      </c>
      <c r="T3392" t="s">
        <v>3976</v>
      </c>
      <c r="U3392">
        <v>363.73874000000001</v>
      </c>
      <c r="V3392" s="3">
        <v>40909</v>
      </c>
    </row>
    <row r="3393" spans="1:22" x14ac:dyDescent="0.35">
      <c r="A3393" s="1">
        <v>42327.650902777779</v>
      </c>
      <c r="B3393" s="2">
        <v>2.1527777777777781E-2</v>
      </c>
      <c r="C3393" t="s">
        <v>5871</v>
      </c>
      <c r="D3393" t="s">
        <v>211</v>
      </c>
      <c r="E3393" t="s">
        <v>212</v>
      </c>
      <c r="F3393" t="s">
        <v>5872</v>
      </c>
      <c r="G3393">
        <v>1543337</v>
      </c>
      <c r="H3393" t="s">
        <v>186</v>
      </c>
      <c r="I3393" t="s">
        <v>5873</v>
      </c>
      <c r="J3393" t="str">
        <f>"9781780642277"</f>
        <v>9781780642277</v>
      </c>
      <c r="K3393" t="s">
        <v>5928</v>
      </c>
      <c r="L3393">
        <v>52</v>
      </c>
      <c r="O3393" t="s">
        <v>30</v>
      </c>
      <c r="P3393" t="s">
        <v>47</v>
      </c>
      <c r="Q3393" s="1">
        <v>42327.650902777779</v>
      </c>
      <c r="R3393">
        <v>1</v>
      </c>
      <c r="S3393" t="s">
        <v>214</v>
      </c>
      <c r="T3393" t="s">
        <v>5875</v>
      </c>
      <c r="U3393" t="s">
        <v>5876</v>
      </c>
      <c r="V3393" s="3">
        <v>41541</v>
      </c>
    </row>
    <row r="3394" spans="1:22" x14ac:dyDescent="0.35">
      <c r="A3394" s="1">
        <v>42327.648344907408</v>
      </c>
      <c r="B3394" s="2">
        <v>1.2789351851851852E-2</v>
      </c>
      <c r="C3394" t="s">
        <v>106</v>
      </c>
      <c r="D3394" t="s">
        <v>23</v>
      </c>
      <c r="E3394" t="s">
        <v>24</v>
      </c>
      <c r="F3394" t="s">
        <v>3973</v>
      </c>
      <c r="G3394">
        <v>771049</v>
      </c>
      <c r="H3394" t="s">
        <v>3465</v>
      </c>
      <c r="I3394" t="s">
        <v>3974</v>
      </c>
      <c r="J3394" t="str">
        <f>"9781608706648"</f>
        <v>9781608706648</v>
      </c>
      <c r="K3394" t="s">
        <v>5929</v>
      </c>
      <c r="L3394">
        <v>10</v>
      </c>
      <c r="O3394" t="s">
        <v>30</v>
      </c>
      <c r="P3394" t="s">
        <v>42</v>
      </c>
      <c r="S3394" t="s">
        <v>31</v>
      </c>
      <c r="T3394" t="s">
        <v>3976</v>
      </c>
      <c r="U3394">
        <v>363.73874000000001</v>
      </c>
      <c r="V3394" s="3">
        <v>40909</v>
      </c>
    </row>
    <row r="3395" spans="1:22" x14ac:dyDescent="0.35">
      <c r="A3395" s="1">
        <v>42327.647858796299</v>
      </c>
      <c r="B3395" s="2">
        <v>1.6435185185185183E-3</v>
      </c>
      <c r="C3395" t="s">
        <v>485</v>
      </c>
      <c r="D3395" t="s">
        <v>158</v>
      </c>
      <c r="E3395" t="s">
        <v>159</v>
      </c>
      <c r="F3395" t="s">
        <v>246</v>
      </c>
      <c r="G3395">
        <v>1682559</v>
      </c>
      <c r="H3395" t="s">
        <v>91</v>
      </c>
      <c r="I3395" t="s">
        <v>247</v>
      </c>
      <c r="J3395" t="str">
        <f>"9781462515431"</f>
        <v>9781462515431</v>
      </c>
      <c r="K3395" t="s">
        <v>5930</v>
      </c>
      <c r="L3395">
        <v>32</v>
      </c>
      <c r="O3395" t="s">
        <v>30</v>
      </c>
      <c r="P3395" t="s">
        <v>42</v>
      </c>
      <c r="S3395" t="s">
        <v>163</v>
      </c>
      <c r="T3395" t="s">
        <v>249</v>
      </c>
      <c r="U3395">
        <v>616.89</v>
      </c>
      <c r="V3395" s="3">
        <v>41769</v>
      </c>
    </row>
    <row r="3396" spans="1:22" x14ac:dyDescent="0.35">
      <c r="A3396" s="1">
        <v>42327.64775462963</v>
      </c>
      <c r="B3396" s="2">
        <v>0</v>
      </c>
      <c r="C3396" t="s">
        <v>106</v>
      </c>
      <c r="D3396" t="s">
        <v>23</v>
      </c>
      <c r="E3396" t="s">
        <v>24</v>
      </c>
      <c r="F3396" t="s">
        <v>5931</v>
      </c>
      <c r="G3396">
        <v>928861</v>
      </c>
      <c r="H3396" t="s">
        <v>1286</v>
      </c>
      <c r="I3396" t="s">
        <v>310</v>
      </c>
      <c r="J3396" t="str">
        <f>"9780786492336"</f>
        <v>9780786492336</v>
      </c>
      <c r="K3396" t="s">
        <v>224</v>
      </c>
      <c r="L3396">
        <v>1</v>
      </c>
      <c r="O3396" t="s">
        <v>30</v>
      </c>
      <c r="P3396" t="s">
        <v>29</v>
      </c>
      <c r="Q3396" s="1">
        <v>42327.647743055553</v>
      </c>
      <c r="R3396">
        <v>7</v>
      </c>
      <c r="S3396" t="s">
        <v>31</v>
      </c>
      <c r="T3396" t="s">
        <v>5932</v>
      </c>
      <c r="U3396" t="s">
        <v>5933</v>
      </c>
      <c r="V3396" s="3">
        <v>41047</v>
      </c>
    </row>
    <row r="3397" spans="1:22" x14ac:dyDescent="0.35">
      <c r="A3397" s="1">
        <v>42327.645243055558</v>
      </c>
      <c r="B3397" s="2">
        <v>3.7083333333333336E-2</v>
      </c>
      <c r="C3397" t="s">
        <v>3454</v>
      </c>
      <c r="D3397" t="s">
        <v>23</v>
      </c>
      <c r="E3397" t="s">
        <v>24</v>
      </c>
      <c r="F3397" t="s">
        <v>3351</v>
      </c>
      <c r="G3397">
        <v>1760720</v>
      </c>
      <c r="H3397" t="s">
        <v>91</v>
      </c>
      <c r="I3397" t="s">
        <v>247</v>
      </c>
      <c r="J3397" t="str">
        <f>"9781462517459"</f>
        <v>9781462517459</v>
      </c>
      <c r="K3397" t="s">
        <v>5934</v>
      </c>
      <c r="L3397">
        <v>29</v>
      </c>
      <c r="O3397" t="s">
        <v>30</v>
      </c>
      <c r="P3397" t="s">
        <v>29</v>
      </c>
      <c r="Q3397" s="1">
        <v>42327.645243055558</v>
      </c>
      <c r="R3397">
        <v>7</v>
      </c>
      <c r="S3397" t="s">
        <v>31</v>
      </c>
      <c r="T3397" t="s">
        <v>3353</v>
      </c>
      <c r="U3397">
        <v>616.89142000000004</v>
      </c>
      <c r="V3397" s="3">
        <v>41996</v>
      </c>
    </row>
    <row r="3398" spans="1:22" x14ac:dyDescent="0.35">
      <c r="A3398" s="1">
        <v>42327.642534722225</v>
      </c>
      <c r="B3398" s="2">
        <v>8.3680555555555557E-3</v>
      </c>
      <c r="C3398" t="s">
        <v>5871</v>
      </c>
      <c r="D3398" t="s">
        <v>211</v>
      </c>
      <c r="E3398" t="s">
        <v>212</v>
      </c>
      <c r="F3398" t="s">
        <v>5872</v>
      </c>
      <c r="G3398">
        <v>1543337</v>
      </c>
      <c r="H3398" t="s">
        <v>186</v>
      </c>
      <c r="I3398" t="s">
        <v>5873</v>
      </c>
      <c r="J3398" t="str">
        <f>"9781780642277"</f>
        <v>9781780642277</v>
      </c>
      <c r="K3398" t="s">
        <v>5935</v>
      </c>
      <c r="L3398">
        <v>13</v>
      </c>
      <c r="O3398" t="s">
        <v>30</v>
      </c>
      <c r="P3398" t="s">
        <v>50</v>
      </c>
      <c r="S3398" t="s">
        <v>214</v>
      </c>
      <c r="T3398" t="s">
        <v>5875</v>
      </c>
      <c r="U3398" t="s">
        <v>5876</v>
      </c>
      <c r="V3398" s="3">
        <v>41541</v>
      </c>
    </row>
    <row r="3399" spans="1:22" x14ac:dyDescent="0.35">
      <c r="A3399" s="1">
        <v>42327.640127314815</v>
      </c>
      <c r="B3399" s="2">
        <v>5.115740740740741E-3</v>
      </c>
      <c r="C3399" t="s">
        <v>3454</v>
      </c>
      <c r="D3399" t="s">
        <v>23</v>
      </c>
      <c r="E3399" t="s">
        <v>24</v>
      </c>
      <c r="F3399" t="s">
        <v>3351</v>
      </c>
      <c r="G3399">
        <v>1760720</v>
      </c>
      <c r="H3399" t="s">
        <v>91</v>
      </c>
      <c r="I3399" t="s">
        <v>247</v>
      </c>
      <c r="J3399" t="str">
        <f>"9781462517459"</f>
        <v>9781462517459</v>
      </c>
      <c r="K3399" t="s">
        <v>33</v>
      </c>
      <c r="L3399">
        <v>3</v>
      </c>
      <c r="O3399" t="s">
        <v>30</v>
      </c>
      <c r="P3399" t="s">
        <v>42</v>
      </c>
      <c r="S3399" t="s">
        <v>31</v>
      </c>
      <c r="T3399" t="s">
        <v>3353</v>
      </c>
      <c r="U3399">
        <v>616.89142000000004</v>
      </c>
      <c r="V3399" s="3">
        <v>41996</v>
      </c>
    </row>
    <row r="3400" spans="1:22" x14ac:dyDescent="0.35">
      <c r="A3400" s="1">
        <v>42327.6328125</v>
      </c>
      <c r="B3400" s="2">
        <v>1.8518518518518518E-4</v>
      </c>
      <c r="C3400" t="s">
        <v>106</v>
      </c>
      <c r="D3400" t="s">
        <v>23</v>
      </c>
      <c r="E3400" t="s">
        <v>24</v>
      </c>
      <c r="F3400" t="s">
        <v>78</v>
      </c>
      <c r="G3400">
        <v>1635363</v>
      </c>
      <c r="H3400" t="s">
        <v>26</v>
      </c>
      <c r="I3400" t="s">
        <v>79</v>
      </c>
      <c r="J3400" t="str">
        <f>"9781118678206"</f>
        <v>9781118678206</v>
      </c>
      <c r="K3400" t="s">
        <v>586</v>
      </c>
      <c r="L3400">
        <v>10</v>
      </c>
      <c r="O3400" t="s">
        <v>30</v>
      </c>
      <c r="P3400" t="s">
        <v>29</v>
      </c>
      <c r="Q3400" s="1">
        <v>42325.831620370373</v>
      </c>
      <c r="R3400">
        <v>7</v>
      </c>
      <c r="S3400" t="s">
        <v>31</v>
      </c>
      <c r="T3400" t="s">
        <v>81</v>
      </c>
      <c r="U3400">
        <v>340.07600000000002</v>
      </c>
      <c r="V3400" s="3">
        <v>41684</v>
      </c>
    </row>
    <row r="3401" spans="1:22" x14ac:dyDescent="0.35">
      <c r="A3401" s="1">
        <v>42327.616944444446</v>
      </c>
      <c r="B3401" s="2">
        <v>3.1134259259259257E-3</v>
      </c>
      <c r="C3401" t="s">
        <v>106</v>
      </c>
      <c r="D3401" t="s">
        <v>23</v>
      </c>
      <c r="E3401" t="s">
        <v>24</v>
      </c>
      <c r="F3401" t="s">
        <v>3268</v>
      </c>
      <c r="G3401">
        <v>1645679</v>
      </c>
      <c r="H3401" t="s">
        <v>45</v>
      </c>
      <c r="I3401" t="s">
        <v>2879</v>
      </c>
      <c r="J3401" t="str">
        <f>"9781472413079"</f>
        <v>9781472413079</v>
      </c>
      <c r="K3401" t="s">
        <v>5936</v>
      </c>
      <c r="L3401">
        <v>31</v>
      </c>
      <c r="O3401" t="s">
        <v>30</v>
      </c>
      <c r="P3401" t="s">
        <v>42</v>
      </c>
      <c r="S3401" t="s">
        <v>31</v>
      </c>
      <c r="T3401" t="s">
        <v>3269</v>
      </c>
      <c r="U3401" t="s">
        <v>3270</v>
      </c>
      <c r="V3401" s="3">
        <v>41726</v>
      </c>
    </row>
    <row r="3402" spans="1:22" x14ac:dyDescent="0.35">
      <c r="A3402" s="1">
        <v>42327.608090277776</v>
      </c>
      <c r="B3402" s="2">
        <v>4.5127314814814821E-2</v>
      </c>
      <c r="C3402" t="s">
        <v>4205</v>
      </c>
      <c r="D3402" t="s">
        <v>597</v>
      </c>
      <c r="E3402" t="s">
        <v>598</v>
      </c>
      <c r="F3402" t="s">
        <v>111</v>
      </c>
      <c r="G3402">
        <v>693176</v>
      </c>
      <c r="H3402" t="s">
        <v>26</v>
      </c>
      <c r="I3402" t="s">
        <v>112</v>
      </c>
      <c r="J3402" t="str">
        <f>"9781118017746"</f>
        <v>9781118017746</v>
      </c>
      <c r="K3402" t="s">
        <v>5937</v>
      </c>
      <c r="L3402">
        <v>32</v>
      </c>
      <c r="O3402" t="s">
        <v>30</v>
      </c>
      <c r="P3402" t="s">
        <v>29</v>
      </c>
      <c r="Q3402" s="1">
        <v>42325.689884259256</v>
      </c>
      <c r="R3402">
        <v>7</v>
      </c>
      <c r="S3402" t="s">
        <v>600</v>
      </c>
      <c r="T3402" t="s">
        <v>114</v>
      </c>
      <c r="U3402" t="s">
        <v>115</v>
      </c>
      <c r="V3402" s="3">
        <v>40835</v>
      </c>
    </row>
    <row r="3403" spans="1:22" x14ac:dyDescent="0.35">
      <c r="A3403" s="1">
        <v>42327.607870370368</v>
      </c>
      <c r="B3403" s="2">
        <v>2.0833333333333335E-4</v>
      </c>
      <c r="C3403" t="s">
        <v>5938</v>
      </c>
      <c r="D3403" t="s">
        <v>211</v>
      </c>
      <c r="E3403" t="s">
        <v>212</v>
      </c>
      <c r="F3403" t="s">
        <v>5872</v>
      </c>
      <c r="G3403">
        <v>1543337</v>
      </c>
      <c r="H3403" t="s">
        <v>186</v>
      </c>
      <c r="I3403" t="s">
        <v>5873</v>
      </c>
      <c r="J3403" t="str">
        <f>"9781780642277"</f>
        <v>9781780642277</v>
      </c>
      <c r="K3403" t="s">
        <v>33</v>
      </c>
      <c r="L3403">
        <v>3</v>
      </c>
      <c r="O3403" t="s">
        <v>30</v>
      </c>
      <c r="P3403" t="s">
        <v>50</v>
      </c>
      <c r="S3403" t="s">
        <v>214</v>
      </c>
      <c r="T3403" t="s">
        <v>5875</v>
      </c>
      <c r="U3403" t="s">
        <v>5876</v>
      </c>
      <c r="V3403" s="3">
        <v>41541</v>
      </c>
    </row>
    <row r="3404" spans="1:22" x14ac:dyDescent="0.35">
      <c r="A3404" s="1">
        <v>42327.607465277775</v>
      </c>
      <c r="B3404" s="2">
        <v>3.1828703703703702E-3</v>
      </c>
      <c r="C3404" t="s">
        <v>3454</v>
      </c>
      <c r="D3404" t="s">
        <v>23</v>
      </c>
      <c r="E3404" t="s">
        <v>24</v>
      </c>
      <c r="F3404" t="s">
        <v>3351</v>
      </c>
      <c r="G3404">
        <v>1760720</v>
      </c>
      <c r="H3404" t="s">
        <v>91</v>
      </c>
      <c r="I3404" t="s">
        <v>247</v>
      </c>
      <c r="J3404" t="str">
        <f>"9781462517459"</f>
        <v>9781462517459</v>
      </c>
      <c r="K3404" t="s">
        <v>5939</v>
      </c>
      <c r="L3404">
        <v>24</v>
      </c>
      <c r="O3404" t="s">
        <v>30</v>
      </c>
      <c r="P3404" t="s">
        <v>42</v>
      </c>
      <c r="S3404" t="s">
        <v>31</v>
      </c>
      <c r="T3404" t="s">
        <v>3353</v>
      </c>
      <c r="U3404">
        <v>616.89142000000004</v>
      </c>
      <c r="V3404" s="3">
        <v>41996</v>
      </c>
    </row>
    <row r="3405" spans="1:22" x14ac:dyDescent="0.35">
      <c r="A3405" s="1">
        <v>42327.602824074071</v>
      </c>
      <c r="B3405" s="2">
        <v>2.9328703703703704E-2</v>
      </c>
      <c r="C3405" t="s">
        <v>106</v>
      </c>
      <c r="D3405" t="s">
        <v>23</v>
      </c>
      <c r="E3405" t="s">
        <v>24</v>
      </c>
      <c r="F3405" t="s">
        <v>486</v>
      </c>
      <c r="G3405">
        <v>1119505</v>
      </c>
      <c r="H3405" t="s">
        <v>26</v>
      </c>
      <c r="I3405" t="s">
        <v>450</v>
      </c>
      <c r="J3405" t="str">
        <f>"9781118355015"</f>
        <v>9781118355015</v>
      </c>
      <c r="K3405" t="s">
        <v>5940</v>
      </c>
      <c r="L3405">
        <v>29</v>
      </c>
      <c r="O3405" t="s">
        <v>30</v>
      </c>
      <c r="P3405" t="s">
        <v>29</v>
      </c>
      <c r="Q3405" s="1">
        <v>42322.677546296298</v>
      </c>
      <c r="R3405">
        <v>7</v>
      </c>
      <c r="S3405" t="s">
        <v>31</v>
      </c>
      <c r="T3405" t="s">
        <v>487</v>
      </c>
      <c r="U3405" t="s">
        <v>488</v>
      </c>
      <c r="V3405" s="3">
        <v>41302</v>
      </c>
    </row>
    <row r="3406" spans="1:22" x14ac:dyDescent="0.35">
      <c r="A3406" s="1">
        <v>42327.601122685184</v>
      </c>
      <c r="B3406" s="2">
        <v>2.8206018518518519E-2</v>
      </c>
      <c r="C3406" t="s">
        <v>5530</v>
      </c>
      <c r="D3406" t="s">
        <v>146</v>
      </c>
      <c r="E3406" t="s">
        <v>147</v>
      </c>
      <c r="F3406" t="s">
        <v>5531</v>
      </c>
      <c r="G3406">
        <v>1107458</v>
      </c>
      <c r="H3406" t="s">
        <v>1286</v>
      </c>
      <c r="I3406" t="s">
        <v>291</v>
      </c>
      <c r="J3406" t="str">
        <f>"9781476600161"</f>
        <v>9781476600161</v>
      </c>
      <c r="K3406" t="s">
        <v>5941</v>
      </c>
      <c r="L3406">
        <v>14</v>
      </c>
      <c r="M3406" t="s">
        <v>5942</v>
      </c>
      <c r="O3406" t="s">
        <v>30</v>
      </c>
      <c r="P3406" t="s">
        <v>29</v>
      </c>
      <c r="Q3406" s="1">
        <v>42327.601122685184</v>
      </c>
      <c r="R3406">
        <v>7</v>
      </c>
      <c r="S3406" t="s">
        <v>812</v>
      </c>
      <c r="T3406" t="s">
        <v>5533</v>
      </c>
      <c r="U3406" t="s">
        <v>5534</v>
      </c>
      <c r="V3406" s="3">
        <v>41287</v>
      </c>
    </row>
    <row r="3407" spans="1:22" x14ac:dyDescent="0.35">
      <c r="A3407" s="1">
        <v>42327.600231481483</v>
      </c>
      <c r="B3407" s="2">
        <v>4.4143518518518519E-2</v>
      </c>
      <c r="C3407" t="s">
        <v>106</v>
      </c>
      <c r="D3407" t="s">
        <v>23</v>
      </c>
      <c r="E3407" t="s">
        <v>24</v>
      </c>
      <c r="F3407" t="s">
        <v>486</v>
      </c>
      <c r="G3407">
        <v>1119505</v>
      </c>
      <c r="H3407" t="s">
        <v>26</v>
      </c>
      <c r="I3407" t="s">
        <v>450</v>
      </c>
      <c r="J3407" t="str">
        <f>"9781118355015"</f>
        <v>9781118355015</v>
      </c>
      <c r="K3407" t="s">
        <v>5943</v>
      </c>
      <c r="L3407">
        <v>63</v>
      </c>
      <c r="O3407" t="s">
        <v>30</v>
      </c>
      <c r="P3407" t="s">
        <v>29</v>
      </c>
      <c r="Q3407" s="1">
        <v>42322.677546296298</v>
      </c>
      <c r="R3407">
        <v>7</v>
      </c>
      <c r="S3407" t="s">
        <v>31</v>
      </c>
      <c r="T3407" t="s">
        <v>487</v>
      </c>
      <c r="U3407" t="s">
        <v>488</v>
      </c>
      <c r="V3407" s="3">
        <v>41302</v>
      </c>
    </row>
    <row r="3408" spans="1:22" x14ac:dyDescent="0.35">
      <c r="A3408" s="1">
        <v>42327.600115740737</v>
      </c>
      <c r="B3408" s="2">
        <v>5.2083333333333333E-4</v>
      </c>
      <c r="C3408" t="s">
        <v>106</v>
      </c>
      <c r="D3408" t="s">
        <v>23</v>
      </c>
      <c r="E3408" t="s">
        <v>24</v>
      </c>
      <c r="F3408" t="s">
        <v>486</v>
      </c>
      <c r="G3408">
        <v>1119505</v>
      </c>
      <c r="H3408" t="s">
        <v>26</v>
      </c>
      <c r="I3408" t="s">
        <v>450</v>
      </c>
      <c r="J3408" t="str">
        <f>"9781118355015"</f>
        <v>9781118355015</v>
      </c>
      <c r="K3408" t="s">
        <v>5944</v>
      </c>
      <c r="L3408">
        <v>10</v>
      </c>
      <c r="O3408" t="s">
        <v>30</v>
      </c>
      <c r="P3408" t="s">
        <v>29</v>
      </c>
      <c r="Q3408" s="1">
        <v>42322.677546296298</v>
      </c>
      <c r="R3408">
        <v>7</v>
      </c>
      <c r="S3408" t="s">
        <v>31</v>
      </c>
      <c r="T3408" t="s">
        <v>487</v>
      </c>
      <c r="U3408" t="s">
        <v>488</v>
      </c>
      <c r="V3408" s="3">
        <v>41302</v>
      </c>
    </row>
    <row r="3409" spans="1:22" x14ac:dyDescent="0.35">
      <c r="A3409" s="1">
        <v>42327.599780092591</v>
      </c>
      <c r="B3409" s="2">
        <v>1.3773148148148147E-3</v>
      </c>
      <c r="C3409" t="s">
        <v>5467</v>
      </c>
      <c r="D3409" t="s">
        <v>335</v>
      </c>
      <c r="E3409" t="s">
        <v>336</v>
      </c>
      <c r="F3409" t="s">
        <v>5945</v>
      </c>
      <c r="G3409">
        <v>1582693</v>
      </c>
      <c r="H3409" t="s">
        <v>68</v>
      </c>
      <c r="I3409" t="s">
        <v>5946</v>
      </c>
      <c r="J3409" t="str">
        <f>"9781135019150"</f>
        <v>9781135019150</v>
      </c>
      <c r="K3409" t="s">
        <v>5947</v>
      </c>
      <c r="L3409">
        <v>24</v>
      </c>
      <c r="O3409" t="s">
        <v>30</v>
      </c>
      <c r="P3409" t="s">
        <v>50</v>
      </c>
      <c r="S3409" t="s">
        <v>340</v>
      </c>
      <c r="T3409" t="s">
        <v>5948</v>
      </c>
      <c r="U3409">
        <v>306.483</v>
      </c>
      <c r="V3409" s="3">
        <v>41625</v>
      </c>
    </row>
    <row r="3410" spans="1:22" x14ac:dyDescent="0.35">
      <c r="A3410" s="1">
        <v>42327.594618055555</v>
      </c>
      <c r="B3410" s="2">
        <v>5.3078703703703704E-2</v>
      </c>
      <c r="C3410" t="s">
        <v>106</v>
      </c>
      <c r="D3410" t="s">
        <v>23</v>
      </c>
      <c r="E3410" t="s">
        <v>24</v>
      </c>
      <c r="F3410" t="s">
        <v>5931</v>
      </c>
      <c r="G3410">
        <v>928861</v>
      </c>
      <c r="H3410" t="s">
        <v>1286</v>
      </c>
      <c r="I3410" t="s">
        <v>310</v>
      </c>
      <c r="J3410" t="str">
        <f>"9780786492336"</f>
        <v>9780786492336</v>
      </c>
      <c r="K3410" t="s">
        <v>5949</v>
      </c>
      <c r="L3410">
        <v>23</v>
      </c>
      <c r="O3410" t="s">
        <v>30</v>
      </c>
      <c r="P3410" t="s">
        <v>42</v>
      </c>
      <c r="S3410" t="s">
        <v>31</v>
      </c>
      <c r="T3410" t="s">
        <v>5932</v>
      </c>
      <c r="U3410" t="s">
        <v>5933</v>
      </c>
      <c r="V3410" s="3">
        <v>41047</v>
      </c>
    </row>
    <row r="3411" spans="1:22" x14ac:dyDescent="0.35">
      <c r="A3411" s="1">
        <v>42327.593773148146</v>
      </c>
      <c r="B3411" s="2">
        <v>7.3495370370370372E-3</v>
      </c>
      <c r="C3411" t="s">
        <v>5530</v>
      </c>
      <c r="D3411" t="s">
        <v>146</v>
      </c>
      <c r="E3411" t="s">
        <v>147</v>
      </c>
      <c r="F3411" t="s">
        <v>5531</v>
      </c>
      <c r="G3411">
        <v>1107458</v>
      </c>
      <c r="H3411" t="s">
        <v>1286</v>
      </c>
      <c r="I3411" t="s">
        <v>291</v>
      </c>
      <c r="J3411" t="str">
        <f>"9781476600161"</f>
        <v>9781476600161</v>
      </c>
      <c r="K3411" t="s">
        <v>5950</v>
      </c>
      <c r="L3411">
        <v>19</v>
      </c>
      <c r="O3411" t="s">
        <v>30</v>
      </c>
      <c r="P3411" t="s">
        <v>42</v>
      </c>
      <c r="S3411" t="s">
        <v>812</v>
      </c>
      <c r="T3411" t="s">
        <v>5533</v>
      </c>
      <c r="U3411" t="s">
        <v>5534</v>
      </c>
      <c r="V3411" s="3">
        <v>41287</v>
      </c>
    </row>
    <row r="3412" spans="1:22" x14ac:dyDescent="0.35">
      <c r="A3412" s="1">
        <v>42327.586157407408</v>
      </c>
      <c r="B3412" s="2">
        <v>6.134259259259259E-4</v>
      </c>
      <c r="C3412" t="s">
        <v>5530</v>
      </c>
      <c r="D3412" t="s">
        <v>146</v>
      </c>
      <c r="E3412" t="s">
        <v>147</v>
      </c>
      <c r="F3412" t="s">
        <v>5531</v>
      </c>
      <c r="G3412">
        <v>1107458</v>
      </c>
      <c r="H3412" t="s">
        <v>1286</v>
      </c>
      <c r="I3412" t="s">
        <v>291</v>
      </c>
      <c r="J3412" t="str">
        <f>"9781476600161"</f>
        <v>9781476600161</v>
      </c>
      <c r="K3412" t="s">
        <v>5951</v>
      </c>
      <c r="L3412">
        <v>8</v>
      </c>
      <c r="O3412" t="s">
        <v>30</v>
      </c>
      <c r="P3412" t="s">
        <v>42</v>
      </c>
      <c r="S3412" t="s">
        <v>812</v>
      </c>
      <c r="T3412" t="s">
        <v>5533</v>
      </c>
      <c r="U3412" t="s">
        <v>5534</v>
      </c>
      <c r="V3412" s="3">
        <v>41287</v>
      </c>
    </row>
    <row r="3413" spans="1:22" x14ac:dyDescent="0.35">
      <c r="A3413" s="1">
        <v>42327.564629629633</v>
      </c>
      <c r="B3413" s="2">
        <v>2.929398148148148E-2</v>
      </c>
      <c r="C3413" t="s">
        <v>5219</v>
      </c>
      <c r="D3413" t="s">
        <v>211</v>
      </c>
      <c r="E3413" t="s">
        <v>212</v>
      </c>
      <c r="F3413" t="s">
        <v>462</v>
      </c>
      <c r="G3413">
        <v>1822529</v>
      </c>
      <c r="H3413" t="s">
        <v>26</v>
      </c>
      <c r="I3413" t="s">
        <v>297</v>
      </c>
      <c r="J3413" t="str">
        <f>"9781118824344"</f>
        <v>9781118824344</v>
      </c>
      <c r="K3413" t="s">
        <v>5952</v>
      </c>
      <c r="L3413">
        <v>21</v>
      </c>
      <c r="O3413" t="s">
        <v>30</v>
      </c>
      <c r="P3413" t="s">
        <v>29</v>
      </c>
      <c r="Q3413" s="1">
        <v>42323.836689814816</v>
      </c>
      <c r="R3413">
        <v>7</v>
      </c>
      <c r="S3413" t="s">
        <v>214</v>
      </c>
      <c r="T3413" t="s">
        <v>464</v>
      </c>
      <c r="U3413">
        <v>519.4</v>
      </c>
      <c r="V3413" s="3">
        <v>41932</v>
      </c>
    </row>
    <row r="3414" spans="1:22" x14ac:dyDescent="0.35">
      <c r="A3414" s="1">
        <v>42327.326817129629</v>
      </c>
      <c r="B3414" s="2">
        <v>1.8287037037037037E-3</v>
      </c>
      <c r="C3414" t="s">
        <v>5694</v>
      </c>
      <c r="D3414" t="s">
        <v>23</v>
      </c>
      <c r="E3414" t="s">
        <v>24</v>
      </c>
      <c r="F3414" t="s">
        <v>226</v>
      </c>
      <c r="G3414">
        <v>817313</v>
      </c>
      <c r="H3414" t="s">
        <v>26</v>
      </c>
      <c r="I3414" t="s">
        <v>69</v>
      </c>
      <c r="J3414" t="str">
        <f>"9781118136829"</f>
        <v>9781118136829</v>
      </c>
      <c r="K3414" t="s">
        <v>5953</v>
      </c>
      <c r="L3414">
        <v>38</v>
      </c>
      <c r="O3414" t="s">
        <v>30</v>
      </c>
      <c r="P3414" t="s">
        <v>29</v>
      </c>
      <c r="Q3414" s="1">
        <v>42327.326817129629</v>
      </c>
      <c r="R3414">
        <v>7</v>
      </c>
      <c r="S3414" t="s">
        <v>31</v>
      </c>
      <c r="T3414" t="s">
        <v>2311</v>
      </c>
      <c r="U3414">
        <v>378.16640000000001</v>
      </c>
      <c r="V3414" s="3">
        <v>40918</v>
      </c>
    </row>
    <row r="3415" spans="1:22" x14ac:dyDescent="0.35">
      <c r="A3415" s="1">
        <v>42327.316446759258</v>
      </c>
      <c r="B3415" s="2">
        <v>6.5972222222222213E-4</v>
      </c>
      <c r="C3415" t="s">
        <v>106</v>
      </c>
      <c r="D3415" t="s">
        <v>23</v>
      </c>
      <c r="E3415" t="s">
        <v>24</v>
      </c>
      <c r="F3415" t="s">
        <v>5954</v>
      </c>
      <c r="G3415">
        <v>864784</v>
      </c>
      <c r="H3415" t="s">
        <v>492</v>
      </c>
      <c r="I3415" t="s">
        <v>69</v>
      </c>
      <c r="J3415" t="str">
        <f>"9781400841578"</f>
        <v>9781400841578</v>
      </c>
      <c r="K3415" t="s">
        <v>5955</v>
      </c>
      <c r="L3415">
        <v>28</v>
      </c>
      <c r="O3415" t="s">
        <v>30</v>
      </c>
      <c r="P3415" t="s">
        <v>42</v>
      </c>
      <c r="S3415" t="s">
        <v>31</v>
      </c>
      <c r="T3415" t="s">
        <v>5956</v>
      </c>
      <c r="U3415">
        <v>378.73</v>
      </c>
      <c r="V3415" s="3">
        <v>41786</v>
      </c>
    </row>
    <row r="3416" spans="1:22" x14ac:dyDescent="0.35">
      <c r="A3416" s="1">
        <v>42327.247002314813</v>
      </c>
      <c r="B3416" s="2">
        <v>7.9814814814814811E-2</v>
      </c>
      <c r="C3416" t="s">
        <v>5694</v>
      </c>
      <c r="D3416" t="s">
        <v>23</v>
      </c>
      <c r="E3416" t="s">
        <v>24</v>
      </c>
      <c r="F3416" t="s">
        <v>226</v>
      </c>
      <c r="G3416">
        <v>817313</v>
      </c>
      <c r="H3416" t="s">
        <v>26</v>
      </c>
      <c r="I3416" t="s">
        <v>69</v>
      </c>
      <c r="J3416" t="str">
        <f>"9781118136829"</f>
        <v>9781118136829</v>
      </c>
      <c r="K3416" t="s">
        <v>5957</v>
      </c>
      <c r="L3416">
        <v>48</v>
      </c>
      <c r="O3416" t="s">
        <v>30</v>
      </c>
      <c r="P3416" t="s">
        <v>42</v>
      </c>
      <c r="S3416" t="s">
        <v>31</v>
      </c>
      <c r="T3416" t="s">
        <v>2311</v>
      </c>
      <c r="U3416">
        <v>378.16640000000001</v>
      </c>
      <c r="V3416" s="3">
        <v>40918</v>
      </c>
    </row>
    <row r="3417" spans="1:22" x14ac:dyDescent="0.35">
      <c r="A3417" s="1">
        <v>42327.235254629632</v>
      </c>
      <c r="B3417" s="2">
        <v>6.7129629629629622E-3</v>
      </c>
      <c r="C3417" t="s">
        <v>5958</v>
      </c>
      <c r="D3417" t="s">
        <v>1222</v>
      </c>
      <c r="E3417" t="s">
        <v>1223</v>
      </c>
      <c r="F3417" t="s">
        <v>5959</v>
      </c>
      <c r="G3417">
        <v>1572865</v>
      </c>
      <c r="H3417" t="s">
        <v>139</v>
      </c>
      <c r="I3417" t="s">
        <v>998</v>
      </c>
      <c r="J3417" t="str">
        <f>"9780814769331"</f>
        <v>9780814769331</v>
      </c>
      <c r="K3417" t="s">
        <v>1651</v>
      </c>
      <c r="L3417">
        <v>11</v>
      </c>
      <c r="O3417" t="s">
        <v>30</v>
      </c>
      <c r="P3417" t="s">
        <v>42</v>
      </c>
      <c r="S3417" t="s">
        <v>1226</v>
      </c>
      <c r="T3417" t="s">
        <v>5960</v>
      </c>
      <c r="U3417">
        <v>305.800973</v>
      </c>
      <c r="V3417" s="3">
        <v>41659</v>
      </c>
    </row>
    <row r="3418" spans="1:22" x14ac:dyDescent="0.35">
      <c r="A3418" s="1">
        <v>42327.217187499999</v>
      </c>
      <c r="B3418" s="2">
        <v>2.3622685185185188E-2</v>
      </c>
      <c r="C3418" t="s">
        <v>5961</v>
      </c>
      <c r="D3418" t="s">
        <v>1222</v>
      </c>
      <c r="E3418" t="s">
        <v>1223</v>
      </c>
      <c r="F3418" t="s">
        <v>3973</v>
      </c>
      <c r="G3418">
        <v>771049</v>
      </c>
      <c r="H3418" t="s">
        <v>3465</v>
      </c>
      <c r="I3418" t="s">
        <v>3974</v>
      </c>
      <c r="J3418" t="str">
        <f>"9781608706648"</f>
        <v>9781608706648</v>
      </c>
      <c r="K3418" t="s">
        <v>5962</v>
      </c>
      <c r="L3418">
        <v>30</v>
      </c>
      <c r="O3418" t="s">
        <v>30</v>
      </c>
      <c r="P3418" t="s">
        <v>29</v>
      </c>
      <c r="Q3418" s="1">
        <v>42327.217187499999</v>
      </c>
      <c r="R3418">
        <v>7</v>
      </c>
      <c r="S3418" t="s">
        <v>1226</v>
      </c>
      <c r="T3418" t="s">
        <v>3976</v>
      </c>
      <c r="U3418">
        <v>363.73874000000001</v>
      </c>
      <c r="V3418" s="3">
        <v>40909</v>
      </c>
    </row>
    <row r="3419" spans="1:22" x14ac:dyDescent="0.35">
      <c r="A3419" s="1">
        <v>42327.209849537037</v>
      </c>
      <c r="B3419" s="2">
        <v>7.3379629629629628E-3</v>
      </c>
      <c r="C3419" t="s">
        <v>5961</v>
      </c>
      <c r="D3419" t="s">
        <v>1222</v>
      </c>
      <c r="E3419" t="s">
        <v>1223</v>
      </c>
      <c r="F3419" t="s">
        <v>3973</v>
      </c>
      <c r="G3419">
        <v>771049</v>
      </c>
      <c r="H3419" t="s">
        <v>3465</v>
      </c>
      <c r="I3419" t="s">
        <v>3974</v>
      </c>
      <c r="J3419" t="str">
        <f>"9781608706648"</f>
        <v>9781608706648</v>
      </c>
      <c r="K3419" t="s">
        <v>2582</v>
      </c>
      <c r="L3419">
        <v>8</v>
      </c>
      <c r="O3419" t="s">
        <v>30</v>
      </c>
      <c r="P3419" t="s">
        <v>42</v>
      </c>
      <c r="S3419" t="s">
        <v>1226</v>
      </c>
      <c r="T3419" t="s">
        <v>3976</v>
      </c>
      <c r="U3419">
        <v>363.73874000000001</v>
      </c>
      <c r="V3419" s="3">
        <v>40909</v>
      </c>
    </row>
    <row r="3420" spans="1:22" x14ac:dyDescent="0.35">
      <c r="A3420" s="1">
        <v>42327.207615740743</v>
      </c>
      <c r="B3420" s="2">
        <v>1.9212962962962962E-3</v>
      </c>
      <c r="C3420" t="s">
        <v>3223</v>
      </c>
      <c r="D3420" t="s">
        <v>23</v>
      </c>
      <c r="E3420" t="s">
        <v>24</v>
      </c>
      <c r="F3420" t="s">
        <v>3224</v>
      </c>
      <c r="G3420">
        <v>1882107</v>
      </c>
      <c r="H3420" t="s">
        <v>84</v>
      </c>
      <c r="I3420" t="s">
        <v>998</v>
      </c>
      <c r="J3420" t="str">
        <f>"9780520961593"</f>
        <v>9780520961593</v>
      </c>
      <c r="K3420" t="s">
        <v>5963</v>
      </c>
      <c r="L3420">
        <v>17</v>
      </c>
      <c r="M3420" t="s">
        <v>5964</v>
      </c>
      <c r="O3420" t="s">
        <v>30</v>
      </c>
      <c r="P3420" t="s">
        <v>29</v>
      </c>
      <c r="Q3420" s="1">
        <v>42327.108796296299</v>
      </c>
      <c r="R3420">
        <v>7</v>
      </c>
      <c r="S3420" t="s">
        <v>31</v>
      </c>
      <c r="T3420" t="s">
        <v>3226</v>
      </c>
      <c r="U3420">
        <v>952.03099999999995</v>
      </c>
      <c r="V3420" s="3">
        <v>42164</v>
      </c>
    </row>
    <row r="3421" spans="1:22" x14ac:dyDescent="0.35">
      <c r="A3421" s="1">
        <v>42327.169710648152</v>
      </c>
      <c r="B3421" s="2">
        <v>5.1805555555555556E-2</v>
      </c>
      <c r="C3421" t="s">
        <v>5908</v>
      </c>
      <c r="D3421" t="s">
        <v>623</v>
      </c>
      <c r="E3421" t="s">
        <v>624</v>
      </c>
      <c r="F3421" t="s">
        <v>3961</v>
      </c>
      <c r="G3421">
        <v>1610008</v>
      </c>
      <c r="H3421" t="s">
        <v>45</v>
      </c>
      <c r="I3421" t="s">
        <v>3962</v>
      </c>
      <c r="J3421" t="str">
        <f>"9781409457206"</f>
        <v>9781409457206</v>
      </c>
      <c r="K3421" t="s">
        <v>5965</v>
      </c>
      <c r="L3421">
        <v>40</v>
      </c>
      <c r="O3421" t="s">
        <v>30</v>
      </c>
      <c r="P3421" t="s">
        <v>29</v>
      </c>
      <c r="Q3421" s="1">
        <v>42325.756261574075</v>
      </c>
      <c r="R3421">
        <v>7</v>
      </c>
      <c r="S3421" t="s">
        <v>627</v>
      </c>
      <c r="T3421" t="s">
        <v>3964</v>
      </c>
      <c r="U3421">
        <v>364.66</v>
      </c>
      <c r="V3421" s="3">
        <v>41726</v>
      </c>
    </row>
    <row r="3422" spans="1:22" x14ac:dyDescent="0.35">
      <c r="A3422" s="1">
        <v>42327.161504629628</v>
      </c>
      <c r="B3422" s="2">
        <v>3.8194444444444446E-4</v>
      </c>
      <c r="C3422" t="s">
        <v>5900</v>
      </c>
      <c r="D3422" t="s">
        <v>623</v>
      </c>
      <c r="E3422" t="s">
        <v>624</v>
      </c>
      <c r="F3422" t="s">
        <v>4526</v>
      </c>
      <c r="G3422">
        <v>771074</v>
      </c>
      <c r="H3422" t="s">
        <v>3465</v>
      </c>
      <c r="I3422" t="s">
        <v>4527</v>
      </c>
      <c r="J3422" t="str">
        <f>"9780761499732"</f>
        <v>9780761499732</v>
      </c>
      <c r="K3422" t="s">
        <v>5966</v>
      </c>
      <c r="L3422">
        <v>8</v>
      </c>
      <c r="O3422" t="s">
        <v>30</v>
      </c>
      <c r="P3422" t="s">
        <v>42</v>
      </c>
      <c r="S3422" t="s">
        <v>627</v>
      </c>
      <c r="T3422" t="s">
        <v>4528</v>
      </c>
      <c r="U3422" t="s">
        <v>4529</v>
      </c>
      <c r="V3422" s="3">
        <v>40909</v>
      </c>
    </row>
    <row r="3423" spans="1:22" x14ac:dyDescent="0.35">
      <c r="A3423" s="1">
        <v>42327.145648148151</v>
      </c>
      <c r="B3423" s="2">
        <v>4.0509259259259258E-4</v>
      </c>
      <c r="C3423" t="s">
        <v>5900</v>
      </c>
      <c r="D3423" t="s">
        <v>623</v>
      </c>
      <c r="E3423" t="s">
        <v>624</v>
      </c>
      <c r="F3423" t="s">
        <v>3736</v>
      </c>
      <c r="G3423">
        <v>1938274</v>
      </c>
      <c r="H3423" t="s">
        <v>26</v>
      </c>
      <c r="I3423" t="s">
        <v>338</v>
      </c>
      <c r="J3423" t="str">
        <f>"9781119098201"</f>
        <v>9781119098201</v>
      </c>
      <c r="K3423" t="s">
        <v>5967</v>
      </c>
      <c r="L3423">
        <v>11</v>
      </c>
      <c r="O3423" t="s">
        <v>30</v>
      </c>
      <c r="P3423" t="s">
        <v>42</v>
      </c>
      <c r="S3423" t="s">
        <v>627</v>
      </c>
      <c r="T3423" t="s">
        <v>3738</v>
      </c>
      <c r="U3423" t="s">
        <v>3739</v>
      </c>
      <c r="V3423" s="3">
        <v>42033</v>
      </c>
    </row>
    <row r="3424" spans="1:22" x14ac:dyDescent="0.35">
      <c r="A3424" s="1">
        <v>42327.126585648148</v>
      </c>
      <c r="B3424" s="2">
        <v>2.9976851851851848E-3</v>
      </c>
      <c r="C3424" t="s">
        <v>5326</v>
      </c>
      <c r="D3424" t="s">
        <v>23</v>
      </c>
      <c r="E3424" t="s">
        <v>24</v>
      </c>
      <c r="F3424" t="s">
        <v>486</v>
      </c>
      <c r="G3424">
        <v>1119505</v>
      </c>
      <c r="H3424" t="s">
        <v>26</v>
      </c>
      <c r="I3424" t="s">
        <v>450</v>
      </c>
      <c r="J3424" t="str">
        <f>"9781118355015"</f>
        <v>9781118355015</v>
      </c>
      <c r="K3424" t="s">
        <v>5968</v>
      </c>
      <c r="L3424">
        <v>16</v>
      </c>
      <c r="O3424" t="s">
        <v>30</v>
      </c>
      <c r="P3424" t="s">
        <v>29</v>
      </c>
      <c r="Q3424" s="1">
        <v>42324.995763888888</v>
      </c>
      <c r="R3424">
        <v>7</v>
      </c>
      <c r="S3424" t="s">
        <v>31</v>
      </c>
      <c r="T3424" t="s">
        <v>487</v>
      </c>
      <c r="U3424" t="s">
        <v>488</v>
      </c>
      <c r="V3424" s="3">
        <v>41302</v>
      </c>
    </row>
    <row r="3425" spans="1:22" x14ac:dyDescent="0.35">
      <c r="A3425" s="1">
        <v>42327.126446759263</v>
      </c>
      <c r="B3425" s="2">
        <v>4.7453703703703704E-4</v>
      </c>
      <c r="C3425" t="s">
        <v>5969</v>
      </c>
      <c r="D3425" t="s">
        <v>23</v>
      </c>
      <c r="E3425" t="s">
        <v>24</v>
      </c>
      <c r="F3425" t="s">
        <v>745</v>
      </c>
      <c r="G3425">
        <v>1166322</v>
      </c>
      <c r="H3425" t="s">
        <v>26</v>
      </c>
      <c r="I3425" t="s">
        <v>200</v>
      </c>
      <c r="J3425" t="str">
        <f>"9781118418512"</f>
        <v>9781118418512</v>
      </c>
      <c r="K3425" t="s">
        <v>5970</v>
      </c>
      <c r="L3425">
        <v>8</v>
      </c>
      <c r="O3425" t="s">
        <v>30</v>
      </c>
      <c r="P3425" t="s">
        <v>42</v>
      </c>
      <c r="S3425" t="s">
        <v>31</v>
      </c>
      <c r="T3425" t="s">
        <v>747</v>
      </c>
      <c r="U3425">
        <v>720.072</v>
      </c>
      <c r="V3425" s="3">
        <v>41367</v>
      </c>
    </row>
    <row r="3426" spans="1:22" x14ac:dyDescent="0.35">
      <c r="A3426" s="1">
        <v>42327.126423611109</v>
      </c>
      <c r="B3426" s="2">
        <v>4.6296296296296294E-5</v>
      </c>
      <c r="C3426" t="s">
        <v>3223</v>
      </c>
      <c r="D3426" t="s">
        <v>23</v>
      </c>
      <c r="E3426" t="s">
        <v>24</v>
      </c>
      <c r="F3426" t="s">
        <v>3224</v>
      </c>
      <c r="G3426">
        <v>1882107</v>
      </c>
      <c r="H3426" t="s">
        <v>84</v>
      </c>
      <c r="I3426" t="s">
        <v>998</v>
      </c>
      <c r="J3426" t="str">
        <f>"9780520961593"</f>
        <v>9780520961593</v>
      </c>
      <c r="K3426" t="s">
        <v>33</v>
      </c>
      <c r="L3426">
        <v>3</v>
      </c>
      <c r="O3426" t="s">
        <v>30</v>
      </c>
      <c r="P3426" t="s">
        <v>29</v>
      </c>
      <c r="Q3426" s="1">
        <v>42327.108796296299</v>
      </c>
      <c r="R3426">
        <v>7</v>
      </c>
      <c r="S3426" t="s">
        <v>31</v>
      </c>
      <c r="T3426" t="s">
        <v>3226</v>
      </c>
      <c r="U3426">
        <v>952.03099999999995</v>
      </c>
      <c r="V3426" s="3">
        <v>42164</v>
      </c>
    </row>
    <row r="3427" spans="1:22" x14ac:dyDescent="0.35">
      <c r="A3427" s="1">
        <v>42327.124374999999</v>
      </c>
      <c r="B3427" s="2">
        <v>4.7453703703703704E-4</v>
      </c>
      <c r="C3427" t="s">
        <v>3223</v>
      </c>
      <c r="D3427" t="s">
        <v>23</v>
      </c>
      <c r="E3427" t="s">
        <v>24</v>
      </c>
      <c r="F3427" t="s">
        <v>3224</v>
      </c>
      <c r="G3427">
        <v>1882107</v>
      </c>
      <c r="H3427" t="s">
        <v>84</v>
      </c>
      <c r="I3427" t="s">
        <v>998</v>
      </c>
      <c r="J3427" t="str">
        <f>"9780520961593"</f>
        <v>9780520961593</v>
      </c>
      <c r="K3427" t="s">
        <v>5971</v>
      </c>
      <c r="L3427">
        <v>2</v>
      </c>
      <c r="O3427" t="s">
        <v>28</v>
      </c>
      <c r="P3427" t="s">
        <v>29</v>
      </c>
      <c r="Q3427" s="1">
        <v>42327.108796296299</v>
      </c>
      <c r="R3427">
        <v>7</v>
      </c>
      <c r="S3427" t="s">
        <v>31</v>
      </c>
      <c r="T3427" t="s">
        <v>3226</v>
      </c>
      <c r="U3427">
        <v>952.03099999999995</v>
      </c>
      <c r="V3427" s="3">
        <v>42164</v>
      </c>
    </row>
    <row r="3428" spans="1:22" x14ac:dyDescent="0.35">
      <c r="A3428" s="1">
        <v>42327.123078703706</v>
      </c>
      <c r="B3428" s="2">
        <v>2.8935185185185189E-4</v>
      </c>
      <c r="C3428" t="s">
        <v>3223</v>
      </c>
      <c r="D3428" t="s">
        <v>23</v>
      </c>
      <c r="E3428" t="s">
        <v>24</v>
      </c>
      <c r="F3428" t="s">
        <v>3224</v>
      </c>
      <c r="G3428">
        <v>1882107</v>
      </c>
      <c r="H3428" t="s">
        <v>84</v>
      </c>
      <c r="I3428" t="s">
        <v>998</v>
      </c>
      <c r="J3428" t="str">
        <f>"9780520961593"</f>
        <v>9780520961593</v>
      </c>
      <c r="K3428" t="s">
        <v>5972</v>
      </c>
      <c r="L3428">
        <v>6</v>
      </c>
      <c r="M3428" t="s">
        <v>5973</v>
      </c>
      <c r="O3428" t="s">
        <v>30</v>
      </c>
      <c r="P3428" t="s">
        <v>29</v>
      </c>
      <c r="Q3428" s="1">
        <v>42327.108796296299</v>
      </c>
      <c r="R3428">
        <v>7</v>
      </c>
      <c r="S3428" t="s">
        <v>31</v>
      </c>
      <c r="T3428" t="s">
        <v>3226</v>
      </c>
      <c r="U3428">
        <v>952.03099999999995</v>
      </c>
      <c r="V3428" s="3">
        <v>42164</v>
      </c>
    </row>
    <row r="3429" spans="1:22" x14ac:dyDescent="0.35">
      <c r="A3429" s="1">
        <v>42327.120578703703</v>
      </c>
      <c r="B3429" s="2">
        <v>3.7384259259259263E-3</v>
      </c>
      <c r="C3429" t="s">
        <v>3223</v>
      </c>
      <c r="D3429" t="s">
        <v>23</v>
      </c>
      <c r="E3429" t="s">
        <v>24</v>
      </c>
      <c r="F3429" t="s">
        <v>3224</v>
      </c>
      <c r="G3429">
        <v>1882107</v>
      </c>
      <c r="H3429" t="s">
        <v>84</v>
      </c>
      <c r="I3429" t="s">
        <v>998</v>
      </c>
      <c r="J3429" t="str">
        <f>"9780520961593"</f>
        <v>9780520961593</v>
      </c>
      <c r="K3429" t="s">
        <v>5974</v>
      </c>
      <c r="L3429">
        <v>14</v>
      </c>
      <c r="O3429" t="s">
        <v>30</v>
      </c>
      <c r="P3429" t="s">
        <v>29</v>
      </c>
      <c r="Q3429" s="1">
        <v>42327.108796296299</v>
      </c>
      <c r="R3429">
        <v>7</v>
      </c>
      <c r="S3429" t="s">
        <v>31</v>
      </c>
      <c r="T3429" t="s">
        <v>3226</v>
      </c>
      <c r="U3429">
        <v>952.03099999999995</v>
      </c>
      <c r="V3429" s="3">
        <v>42164</v>
      </c>
    </row>
    <row r="3430" spans="1:22" x14ac:dyDescent="0.35">
      <c r="A3430" s="1">
        <v>42327.117407407408</v>
      </c>
      <c r="B3430" s="2">
        <v>0</v>
      </c>
      <c r="C3430" t="s">
        <v>5975</v>
      </c>
      <c r="D3430" t="s">
        <v>35</v>
      </c>
      <c r="E3430" t="s">
        <v>36</v>
      </c>
      <c r="F3430" t="s">
        <v>2369</v>
      </c>
      <c r="G3430">
        <v>877782</v>
      </c>
      <c r="H3430" t="s">
        <v>26</v>
      </c>
      <c r="I3430" t="s">
        <v>2370</v>
      </c>
      <c r="J3430" t="str">
        <f>"9781118255407"</f>
        <v>9781118255407</v>
      </c>
      <c r="L3430">
        <v>0</v>
      </c>
      <c r="O3430" t="s">
        <v>30</v>
      </c>
      <c r="P3430" t="s">
        <v>42</v>
      </c>
      <c r="S3430" t="s">
        <v>40</v>
      </c>
      <c r="T3430" t="s">
        <v>2372</v>
      </c>
      <c r="U3430">
        <v>599.9</v>
      </c>
      <c r="V3430" s="3">
        <v>40994</v>
      </c>
    </row>
    <row r="3431" spans="1:22" x14ac:dyDescent="0.35">
      <c r="A3431" s="1">
        <v>42327.108796296299</v>
      </c>
      <c r="B3431" s="2">
        <v>1.5624999999999999E-3</v>
      </c>
      <c r="C3431" t="s">
        <v>3223</v>
      </c>
      <c r="D3431" t="s">
        <v>23</v>
      </c>
      <c r="E3431" t="s">
        <v>24</v>
      </c>
      <c r="F3431" t="s">
        <v>3224</v>
      </c>
      <c r="G3431">
        <v>1882107</v>
      </c>
      <c r="H3431" t="s">
        <v>84</v>
      </c>
      <c r="I3431" t="s">
        <v>998</v>
      </c>
      <c r="J3431" t="str">
        <f>"9780520961593"</f>
        <v>9780520961593</v>
      </c>
      <c r="K3431" t="s">
        <v>5976</v>
      </c>
      <c r="L3431">
        <v>12</v>
      </c>
      <c r="N3431" t="s">
        <v>5977</v>
      </c>
      <c r="O3431" t="s">
        <v>30</v>
      </c>
      <c r="P3431" t="s">
        <v>29</v>
      </c>
      <c r="Q3431" s="1">
        <v>42327.108796296299</v>
      </c>
      <c r="R3431">
        <v>7</v>
      </c>
      <c r="S3431" t="s">
        <v>31</v>
      </c>
      <c r="T3431" t="s">
        <v>3226</v>
      </c>
      <c r="U3431">
        <v>952.03099999999995</v>
      </c>
      <c r="V3431" s="3">
        <v>42164</v>
      </c>
    </row>
    <row r="3432" spans="1:22" x14ac:dyDescent="0.35">
      <c r="A3432" s="1">
        <v>42327.108703703707</v>
      </c>
      <c r="B3432" s="2">
        <v>9.2592592592592588E-5</v>
      </c>
      <c r="C3432" t="s">
        <v>3223</v>
      </c>
      <c r="D3432" t="s">
        <v>23</v>
      </c>
      <c r="E3432" t="s">
        <v>24</v>
      </c>
      <c r="F3432" t="s">
        <v>3224</v>
      </c>
      <c r="G3432">
        <v>1882107</v>
      </c>
      <c r="H3432" t="s">
        <v>84</v>
      </c>
      <c r="I3432" t="s">
        <v>998</v>
      </c>
      <c r="J3432" t="str">
        <f>"9780520961593"</f>
        <v>9780520961593</v>
      </c>
      <c r="K3432" t="s">
        <v>33</v>
      </c>
      <c r="L3432">
        <v>3</v>
      </c>
      <c r="O3432" t="s">
        <v>30</v>
      </c>
      <c r="P3432" t="s">
        <v>50</v>
      </c>
      <c r="S3432" t="s">
        <v>31</v>
      </c>
      <c r="T3432" t="s">
        <v>3226</v>
      </c>
      <c r="U3432">
        <v>952.03099999999995</v>
      </c>
      <c r="V3432" s="3">
        <v>42164</v>
      </c>
    </row>
    <row r="3433" spans="1:22" x14ac:dyDescent="0.35">
      <c r="A3433" s="1">
        <v>42327.10359953704</v>
      </c>
      <c r="B3433" s="2">
        <v>6.0995370370370361E-3</v>
      </c>
      <c r="C3433" t="s">
        <v>5326</v>
      </c>
      <c r="D3433" t="s">
        <v>23</v>
      </c>
      <c r="E3433" t="s">
        <v>24</v>
      </c>
      <c r="F3433" t="s">
        <v>486</v>
      </c>
      <c r="G3433">
        <v>1119505</v>
      </c>
      <c r="H3433" t="s">
        <v>26</v>
      </c>
      <c r="I3433" t="s">
        <v>450</v>
      </c>
      <c r="J3433" t="str">
        <f>"9781118355015"</f>
        <v>9781118355015</v>
      </c>
      <c r="K3433" t="s">
        <v>5978</v>
      </c>
      <c r="L3433">
        <v>22</v>
      </c>
      <c r="O3433" t="s">
        <v>30</v>
      </c>
      <c r="P3433" t="s">
        <v>29</v>
      </c>
      <c r="Q3433" s="1">
        <v>42324.995763888888</v>
      </c>
      <c r="R3433">
        <v>7</v>
      </c>
      <c r="S3433" t="s">
        <v>31</v>
      </c>
      <c r="T3433" t="s">
        <v>487</v>
      </c>
      <c r="U3433" t="s">
        <v>488</v>
      </c>
      <c r="V3433" s="3">
        <v>41302</v>
      </c>
    </row>
    <row r="3434" spans="1:22" x14ac:dyDescent="0.35">
      <c r="A3434" s="1">
        <v>42327.095995370371</v>
      </c>
      <c r="B3434" s="2">
        <v>0</v>
      </c>
      <c r="C3434" t="s">
        <v>5979</v>
      </c>
      <c r="D3434" t="s">
        <v>23</v>
      </c>
      <c r="E3434" t="s">
        <v>24</v>
      </c>
      <c r="F3434" t="s">
        <v>4937</v>
      </c>
      <c r="G3434">
        <v>818101</v>
      </c>
      <c r="H3434" t="s">
        <v>26</v>
      </c>
      <c r="I3434" t="s">
        <v>4938</v>
      </c>
      <c r="J3434" t="str">
        <f>"9781118225844"</f>
        <v>9781118225844</v>
      </c>
      <c r="L3434">
        <v>0</v>
      </c>
      <c r="O3434" t="s">
        <v>28</v>
      </c>
      <c r="P3434" t="s">
        <v>29</v>
      </c>
      <c r="Q3434" s="1">
        <v>42327.093368055554</v>
      </c>
      <c r="R3434">
        <v>7</v>
      </c>
      <c r="S3434" t="s">
        <v>31</v>
      </c>
      <c r="T3434" t="s">
        <v>4940</v>
      </c>
      <c r="U3434" t="s">
        <v>4941</v>
      </c>
      <c r="V3434" s="3">
        <v>40947</v>
      </c>
    </row>
    <row r="3435" spans="1:22" x14ac:dyDescent="0.35">
      <c r="A3435" s="1">
        <v>42327.093923611108</v>
      </c>
      <c r="B3435" s="2">
        <v>6.2731481481481484E-3</v>
      </c>
      <c r="C3435" t="s">
        <v>5980</v>
      </c>
      <c r="D3435" t="s">
        <v>261</v>
      </c>
      <c r="E3435" t="s">
        <v>262</v>
      </c>
      <c r="F3435" t="s">
        <v>4821</v>
      </c>
      <c r="G3435">
        <v>943645</v>
      </c>
      <c r="H3435" t="s">
        <v>1365</v>
      </c>
      <c r="I3435" t="s">
        <v>172</v>
      </c>
      <c r="J3435" t="str">
        <f>"9781441104755"</f>
        <v>9781441104755</v>
      </c>
      <c r="K3435" t="s">
        <v>5981</v>
      </c>
      <c r="L3435">
        <v>61</v>
      </c>
      <c r="O3435" t="s">
        <v>30</v>
      </c>
      <c r="P3435" t="s">
        <v>42</v>
      </c>
      <c r="S3435" t="s">
        <v>264</v>
      </c>
      <c r="T3435" t="s">
        <v>4823</v>
      </c>
      <c r="U3435">
        <v>948.02200000000005</v>
      </c>
      <c r="V3435" s="3">
        <v>41060</v>
      </c>
    </row>
    <row r="3436" spans="1:22" x14ac:dyDescent="0.35">
      <c r="A3436" s="1">
        <v>42327.093368055554</v>
      </c>
      <c r="B3436" s="2">
        <v>5.7870370370370378E-4</v>
      </c>
      <c r="C3436" t="s">
        <v>5979</v>
      </c>
      <c r="D3436" t="s">
        <v>23</v>
      </c>
      <c r="E3436" t="s">
        <v>24</v>
      </c>
      <c r="F3436" t="s">
        <v>4937</v>
      </c>
      <c r="G3436">
        <v>818101</v>
      </c>
      <c r="H3436" t="s">
        <v>26</v>
      </c>
      <c r="I3436" t="s">
        <v>4938</v>
      </c>
      <c r="J3436" t="str">
        <f>"9781118225844"</f>
        <v>9781118225844</v>
      </c>
      <c r="K3436" t="s">
        <v>5982</v>
      </c>
      <c r="L3436">
        <v>1</v>
      </c>
      <c r="O3436" t="s">
        <v>30</v>
      </c>
      <c r="P3436" t="s">
        <v>29</v>
      </c>
      <c r="Q3436" s="1">
        <v>42327.093368055554</v>
      </c>
      <c r="R3436">
        <v>7</v>
      </c>
      <c r="S3436" t="s">
        <v>31</v>
      </c>
      <c r="T3436" t="s">
        <v>4940</v>
      </c>
      <c r="U3436" t="s">
        <v>4941</v>
      </c>
      <c r="V3436" s="3">
        <v>40947</v>
      </c>
    </row>
    <row r="3437" spans="1:22" x14ac:dyDescent="0.35">
      <c r="A3437" s="1">
        <v>42327.092314814814</v>
      </c>
      <c r="B3437" s="2">
        <v>1.0416666666666667E-3</v>
      </c>
      <c r="C3437" t="s">
        <v>5979</v>
      </c>
      <c r="D3437" t="s">
        <v>23</v>
      </c>
      <c r="E3437" t="s">
        <v>24</v>
      </c>
      <c r="F3437" t="s">
        <v>4937</v>
      </c>
      <c r="G3437">
        <v>818101</v>
      </c>
      <c r="H3437" t="s">
        <v>26</v>
      </c>
      <c r="I3437" t="s">
        <v>4938</v>
      </c>
      <c r="J3437" t="str">
        <f>"9781118225844"</f>
        <v>9781118225844</v>
      </c>
      <c r="K3437" t="s">
        <v>722</v>
      </c>
      <c r="L3437">
        <v>3</v>
      </c>
      <c r="O3437" t="s">
        <v>30</v>
      </c>
      <c r="P3437" t="s">
        <v>42</v>
      </c>
      <c r="S3437" t="s">
        <v>31</v>
      </c>
      <c r="T3437" t="s">
        <v>4940</v>
      </c>
      <c r="U3437" t="s">
        <v>4941</v>
      </c>
      <c r="V3437" s="3">
        <v>40947</v>
      </c>
    </row>
    <row r="3438" spans="1:22" x14ac:dyDescent="0.35">
      <c r="A3438" s="1">
        <v>42327.09171296296</v>
      </c>
      <c r="B3438" s="2">
        <v>3.2523148148148151E-3</v>
      </c>
      <c r="C3438" t="s">
        <v>2664</v>
      </c>
      <c r="D3438" t="s">
        <v>1222</v>
      </c>
      <c r="E3438" t="s">
        <v>1223</v>
      </c>
      <c r="F3438" t="s">
        <v>5983</v>
      </c>
      <c r="G3438">
        <v>2038670</v>
      </c>
      <c r="H3438" t="s">
        <v>45</v>
      </c>
      <c r="I3438" t="s">
        <v>382</v>
      </c>
      <c r="J3438" t="str">
        <f>"9781472460646"</f>
        <v>9781472460646</v>
      </c>
      <c r="K3438" t="s">
        <v>5984</v>
      </c>
      <c r="L3438">
        <v>15</v>
      </c>
      <c r="O3438" t="s">
        <v>30</v>
      </c>
      <c r="P3438" t="s">
        <v>50</v>
      </c>
      <c r="S3438" t="s">
        <v>1226</v>
      </c>
      <c r="T3438">
        <v>2001347571</v>
      </c>
      <c r="U3438">
        <v>919.89</v>
      </c>
      <c r="V3438" s="3">
        <v>42152</v>
      </c>
    </row>
    <row r="3439" spans="1:22" x14ac:dyDescent="0.35">
      <c r="A3439" s="1">
        <v>42327.089467592596</v>
      </c>
      <c r="B3439" s="2">
        <v>9.2592592592592588E-5</v>
      </c>
      <c r="C3439" t="s">
        <v>210</v>
      </c>
      <c r="D3439" t="s">
        <v>211</v>
      </c>
      <c r="E3439" t="s">
        <v>212</v>
      </c>
      <c r="F3439" t="s">
        <v>5985</v>
      </c>
      <c r="G3439">
        <v>1895592</v>
      </c>
      <c r="H3439" t="s">
        <v>26</v>
      </c>
      <c r="I3439" t="s">
        <v>5986</v>
      </c>
      <c r="J3439" t="str">
        <f>"9781118768594"</f>
        <v>9781118768594</v>
      </c>
      <c r="K3439" t="s">
        <v>33</v>
      </c>
      <c r="L3439">
        <v>3</v>
      </c>
      <c r="O3439" t="s">
        <v>30</v>
      </c>
      <c r="P3439" t="s">
        <v>50</v>
      </c>
      <c r="S3439" t="s">
        <v>214</v>
      </c>
      <c r="T3439" t="s">
        <v>5987</v>
      </c>
      <c r="U3439">
        <v>615.19000000000005</v>
      </c>
      <c r="V3439" s="3">
        <v>42125</v>
      </c>
    </row>
    <row r="3440" spans="1:22" x14ac:dyDescent="0.35">
      <c r="A3440" s="1">
        <v>42327.089386574073</v>
      </c>
      <c r="B3440" s="2">
        <v>3.4722222222222222E-5</v>
      </c>
      <c r="C3440" t="s">
        <v>210</v>
      </c>
      <c r="D3440" t="s">
        <v>211</v>
      </c>
      <c r="E3440" t="s">
        <v>212</v>
      </c>
      <c r="F3440" t="s">
        <v>5988</v>
      </c>
      <c r="G3440">
        <v>1765117</v>
      </c>
      <c r="H3440" t="s">
        <v>26</v>
      </c>
      <c r="I3440" t="s">
        <v>5989</v>
      </c>
      <c r="J3440" t="str">
        <f>"9781118698303"</f>
        <v>9781118698303</v>
      </c>
      <c r="K3440" t="s">
        <v>33</v>
      </c>
      <c r="L3440">
        <v>3</v>
      </c>
      <c r="O3440" t="s">
        <v>30</v>
      </c>
      <c r="P3440" t="s">
        <v>50</v>
      </c>
      <c r="S3440" t="s">
        <v>214</v>
      </c>
      <c r="T3440" t="s">
        <v>5990</v>
      </c>
      <c r="U3440">
        <v>537.62</v>
      </c>
      <c r="V3440" s="3">
        <v>41859</v>
      </c>
    </row>
    <row r="3441" spans="1:22" x14ac:dyDescent="0.35">
      <c r="A3441" s="1">
        <v>42327.085115740738</v>
      </c>
      <c r="B3441" s="2">
        <v>1.712962962962963E-3</v>
      </c>
      <c r="C3441" t="s">
        <v>5467</v>
      </c>
      <c r="D3441" t="s">
        <v>335</v>
      </c>
      <c r="E3441" t="s">
        <v>336</v>
      </c>
      <c r="F3441" t="s">
        <v>5991</v>
      </c>
      <c r="G3441">
        <v>1129663</v>
      </c>
      <c r="H3441" t="s">
        <v>26</v>
      </c>
      <c r="I3441" t="s">
        <v>776</v>
      </c>
      <c r="J3441" t="str">
        <f>"9781118357217"</f>
        <v>9781118357217</v>
      </c>
      <c r="K3441" t="s">
        <v>98</v>
      </c>
      <c r="L3441">
        <v>7</v>
      </c>
      <c r="O3441" t="s">
        <v>30</v>
      </c>
      <c r="P3441" t="s">
        <v>50</v>
      </c>
      <c r="S3441" t="s">
        <v>340</v>
      </c>
      <c r="T3441" t="s">
        <v>5992</v>
      </c>
      <c r="U3441">
        <v>797.14</v>
      </c>
      <c r="V3441" s="3">
        <v>41291</v>
      </c>
    </row>
    <row r="3442" spans="1:22" x14ac:dyDescent="0.35">
      <c r="A3442" s="1">
        <v>42327.081053240741</v>
      </c>
      <c r="B3442" s="2">
        <v>6.5972222222222213E-4</v>
      </c>
      <c r="C3442" t="s">
        <v>210</v>
      </c>
      <c r="D3442" t="s">
        <v>211</v>
      </c>
      <c r="E3442" t="s">
        <v>212</v>
      </c>
      <c r="F3442" t="s">
        <v>969</v>
      </c>
      <c r="G3442">
        <v>818462</v>
      </c>
      <c r="H3442" t="s">
        <v>26</v>
      </c>
      <c r="I3442" t="s">
        <v>970</v>
      </c>
      <c r="J3442" t="str">
        <f>"9781118140383"</f>
        <v>9781118140383</v>
      </c>
      <c r="K3442" t="s">
        <v>5993</v>
      </c>
      <c r="L3442">
        <v>12</v>
      </c>
      <c r="O3442" t="s">
        <v>30</v>
      </c>
      <c r="P3442" t="s">
        <v>42</v>
      </c>
      <c r="S3442" t="s">
        <v>214</v>
      </c>
      <c r="T3442" t="s">
        <v>973</v>
      </c>
      <c r="U3442" t="s">
        <v>974</v>
      </c>
      <c r="V3442" s="3">
        <v>40968</v>
      </c>
    </row>
    <row r="3443" spans="1:22" x14ac:dyDescent="0.35">
      <c r="A3443" s="1">
        <v>42327.06925925926</v>
      </c>
      <c r="B3443" s="2">
        <v>2.7372685185185184E-2</v>
      </c>
      <c r="C3443" t="s">
        <v>4949</v>
      </c>
      <c r="D3443" t="s">
        <v>360</v>
      </c>
      <c r="E3443" t="s">
        <v>361</v>
      </c>
      <c r="F3443" t="s">
        <v>4950</v>
      </c>
      <c r="G3443">
        <v>1693780</v>
      </c>
      <c r="H3443" t="s">
        <v>26</v>
      </c>
      <c r="I3443" t="s">
        <v>328</v>
      </c>
      <c r="J3443" t="str">
        <f>"9781118869420"</f>
        <v>9781118869420</v>
      </c>
      <c r="K3443" t="s">
        <v>5994</v>
      </c>
      <c r="L3443">
        <v>27</v>
      </c>
      <c r="O3443" t="s">
        <v>30</v>
      </c>
      <c r="P3443" t="s">
        <v>29</v>
      </c>
      <c r="Q3443" s="1">
        <v>42324.676516203705</v>
      </c>
      <c r="R3443">
        <v>7</v>
      </c>
      <c r="S3443" t="s">
        <v>363</v>
      </c>
      <c r="T3443" t="s">
        <v>4952</v>
      </c>
      <c r="U3443">
        <v>362.10973000000001</v>
      </c>
      <c r="V3443" s="3">
        <v>41779</v>
      </c>
    </row>
    <row r="3444" spans="1:22" x14ac:dyDescent="0.35">
      <c r="A3444" s="1">
        <v>42327.067615740743</v>
      </c>
      <c r="B3444" s="2">
        <v>3.3912037037037036E-3</v>
      </c>
      <c r="C3444" t="s">
        <v>5995</v>
      </c>
      <c r="D3444" t="s">
        <v>335</v>
      </c>
      <c r="E3444" t="s">
        <v>336</v>
      </c>
      <c r="F3444" t="s">
        <v>3732</v>
      </c>
      <c r="G3444">
        <v>284109</v>
      </c>
      <c r="H3444" t="s">
        <v>26</v>
      </c>
      <c r="I3444" t="s">
        <v>338</v>
      </c>
      <c r="J3444" t="str">
        <f>"9781405173469"</f>
        <v>9781405173469</v>
      </c>
      <c r="K3444" t="s">
        <v>5996</v>
      </c>
      <c r="L3444">
        <v>108</v>
      </c>
      <c r="O3444" t="s">
        <v>30</v>
      </c>
      <c r="P3444" t="s">
        <v>47</v>
      </c>
      <c r="Q3444" s="1">
        <v>42327.067604166667</v>
      </c>
      <c r="R3444">
        <v>1</v>
      </c>
      <c r="S3444" t="s">
        <v>340</v>
      </c>
      <c r="T3444" t="s">
        <v>3734</v>
      </c>
      <c r="U3444" t="s">
        <v>3735</v>
      </c>
      <c r="V3444" s="3">
        <v>41409</v>
      </c>
    </row>
    <row r="3445" spans="1:22" x14ac:dyDescent="0.35">
      <c r="A3445" s="1">
        <v>42327.064166666663</v>
      </c>
      <c r="B3445" s="2">
        <v>3.4375E-3</v>
      </c>
      <c r="C3445" t="s">
        <v>5995</v>
      </c>
      <c r="D3445" t="s">
        <v>335</v>
      </c>
      <c r="E3445" t="s">
        <v>336</v>
      </c>
      <c r="F3445" t="s">
        <v>3732</v>
      </c>
      <c r="G3445">
        <v>284109</v>
      </c>
      <c r="H3445" t="s">
        <v>26</v>
      </c>
      <c r="I3445" t="s">
        <v>338</v>
      </c>
      <c r="J3445" t="str">
        <f>"9781405173469"</f>
        <v>9781405173469</v>
      </c>
      <c r="K3445" t="s">
        <v>5997</v>
      </c>
      <c r="L3445">
        <v>37</v>
      </c>
      <c r="O3445" t="s">
        <v>30</v>
      </c>
      <c r="P3445" t="s">
        <v>50</v>
      </c>
      <c r="S3445" t="s">
        <v>340</v>
      </c>
      <c r="T3445" t="s">
        <v>3734</v>
      </c>
      <c r="U3445" t="s">
        <v>3735</v>
      </c>
      <c r="V3445" s="3">
        <v>41409</v>
      </c>
    </row>
    <row r="3446" spans="1:22" x14ac:dyDescent="0.35">
      <c r="A3446" s="1">
        <v>42327.058877314812</v>
      </c>
      <c r="B3446" s="2">
        <v>1.4479166666666668E-2</v>
      </c>
      <c r="C3446" t="s">
        <v>3942</v>
      </c>
      <c r="D3446" t="s">
        <v>35</v>
      </c>
      <c r="E3446" t="s">
        <v>36</v>
      </c>
      <c r="F3446" t="s">
        <v>3973</v>
      </c>
      <c r="G3446">
        <v>771049</v>
      </c>
      <c r="H3446" t="s">
        <v>3465</v>
      </c>
      <c r="I3446" t="s">
        <v>3974</v>
      </c>
      <c r="J3446" t="str">
        <f>"9781608706648"</f>
        <v>9781608706648</v>
      </c>
      <c r="K3446" t="s">
        <v>5998</v>
      </c>
      <c r="L3446">
        <v>33</v>
      </c>
      <c r="O3446" t="s">
        <v>30</v>
      </c>
      <c r="P3446" t="s">
        <v>29</v>
      </c>
      <c r="Q3446" s="1">
        <v>42327.058877314812</v>
      </c>
      <c r="R3446">
        <v>7</v>
      </c>
      <c r="S3446" t="s">
        <v>40</v>
      </c>
      <c r="T3446" t="s">
        <v>3976</v>
      </c>
      <c r="U3446">
        <v>363.73874000000001</v>
      </c>
      <c r="V3446" s="3">
        <v>40909</v>
      </c>
    </row>
    <row r="3447" spans="1:22" x14ac:dyDescent="0.35">
      <c r="A3447" s="1">
        <v>42327.051666666666</v>
      </c>
      <c r="B3447" s="2">
        <v>7.2106481481481475E-3</v>
      </c>
      <c r="C3447" t="s">
        <v>3942</v>
      </c>
      <c r="D3447" t="s">
        <v>35</v>
      </c>
      <c r="E3447" t="s">
        <v>36</v>
      </c>
      <c r="F3447" t="s">
        <v>3973</v>
      </c>
      <c r="G3447">
        <v>771049</v>
      </c>
      <c r="H3447" t="s">
        <v>3465</v>
      </c>
      <c r="I3447" t="s">
        <v>3974</v>
      </c>
      <c r="J3447" t="str">
        <f>"9781608706648"</f>
        <v>9781608706648</v>
      </c>
      <c r="K3447" t="s">
        <v>1520</v>
      </c>
      <c r="L3447">
        <v>20</v>
      </c>
      <c r="O3447" t="s">
        <v>30</v>
      </c>
      <c r="P3447" t="s">
        <v>42</v>
      </c>
      <c r="S3447" t="s">
        <v>40</v>
      </c>
      <c r="T3447" t="s">
        <v>3976</v>
      </c>
      <c r="U3447">
        <v>363.73874000000001</v>
      </c>
      <c r="V3447" s="3">
        <v>40909</v>
      </c>
    </row>
    <row r="3448" spans="1:22" x14ac:dyDescent="0.35">
      <c r="A3448" s="1">
        <v>42327.046111111114</v>
      </c>
      <c r="B3448" s="2">
        <v>3.1018518518518515E-2</v>
      </c>
      <c r="C3448" t="s">
        <v>3201</v>
      </c>
      <c r="D3448" t="s">
        <v>35</v>
      </c>
      <c r="E3448" t="s">
        <v>36</v>
      </c>
      <c r="F3448" t="s">
        <v>986</v>
      </c>
      <c r="G3448">
        <v>968030</v>
      </c>
      <c r="H3448" t="s">
        <v>26</v>
      </c>
      <c r="I3448" t="s">
        <v>219</v>
      </c>
      <c r="J3448" t="str">
        <f>"9781118285138"</f>
        <v>9781118285138</v>
      </c>
      <c r="K3448" t="s">
        <v>5999</v>
      </c>
      <c r="L3448">
        <v>62</v>
      </c>
      <c r="O3448" t="s">
        <v>30</v>
      </c>
      <c r="P3448" t="s">
        <v>29</v>
      </c>
      <c r="Q3448" s="1">
        <v>42327.046099537038</v>
      </c>
      <c r="R3448">
        <v>7</v>
      </c>
      <c r="S3448" t="s">
        <v>40</v>
      </c>
      <c r="T3448" t="s">
        <v>987</v>
      </c>
      <c r="U3448">
        <v>158.30000000000001</v>
      </c>
      <c r="V3448" s="3">
        <v>41100</v>
      </c>
    </row>
    <row r="3449" spans="1:22" x14ac:dyDescent="0.35">
      <c r="A3449" s="1">
        <v>42327.044236111113</v>
      </c>
      <c r="B3449" s="2">
        <v>5.7870370370370366E-5</v>
      </c>
      <c r="C3449" t="s">
        <v>5995</v>
      </c>
      <c r="D3449" t="s">
        <v>335</v>
      </c>
      <c r="E3449" t="s">
        <v>336</v>
      </c>
      <c r="F3449" t="s">
        <v>3732</v>
      </c>
      <c r="G3449">
        <v>284109</v>
      </c>
      <c r="H3449" t="s">
        <v>26</v>
      </c>
      <c r="I3449" t="s">
        <v>338</v>
      </c>
      <c r="J3449" t="str">
        <f>"9781405173469"</f>
        <v>9781405173469</v>
      </c>
      <c r="K3449" t="s">
        <v>33</v>
      </c>
      <c r="L3449">
        <v>3</v>
      </c>
      <c r="O3449" t="s">
        <v>30</v>
      </c>
      <c r="P3449" t="s">
        <v>50</v>
      </c>
      <c r="S3449" t="s">
        <v>340</v>
      </c>
      <c r="T3449" t="s">
        <v>3734</v>
      </c>
      <c r="U3449" t="s">
        <v>3735</v>
      </c>
      <c r="V3449" s="3">
        <v>41409</v>
      </c>
    </row>
    <row r="3450" spans="1:22" x14ac:dyDescent="0.35">
      <c r="A3450" s="1">
        <v>42327.028113425928</v>
      </c>
      <c r="B3450" s="2">
        <v>1.7986111111111109E-2</v>
      </c>
      <c r="C3450" t="s">
        <v>3201</v>
      </c>
      <c r="D3450" t="s">
        <v>35</v>
      </c>
      <c r="E3450" t="s">
        <v>36</v>
      </c>
      <c r="F3450" t="s">
        <v>986</v>
      </c>
      <c r="G3450">
        <v>968030</v>
      </c>
      <c r="H3450" t="s">
        <v>26</v>
      </c>
      <c r="I3450" t="s">
        <v>219</v>
      </c>
      <c r="J3450" t="str">
        <f>"9781118285138"</f>
        <v>9781118285138</v>
      </c>
      <c r="K3450" t="s">
        <v>86</v>
      </c>
      <c r="L3450">
        <v>5</v>
      </c>
      <c r="O3450" t="s">
        <v>30</v>
      </c>
      <c r="P3450" t="s">
        <v>42</v>
      </c>
      <c r="S3450" t="s">
        <v>40</v>
      </c>
      <c r="T3450" t="s">
        <v>987</v>
      </c>
      <c r="U3450">
        <v>158.30000000000001</v>
      </c>
      <c r="V3450" s="3">
        <v>41100</v>
      </c>
    </row>
    <row r="3451" spans="1:22" x14ac:dyDescent="0.35">
      <c r="A3451" s="1">
        <v>42327.023217592592</v>
      </c>
      <c r="B3451" s="2">
        <v>1.3657407407407409E-3</v>
      </c>
      <c r="C3451" t="s">
        <v>6000</v>
      </c>
      <c r="D3451" t="s">
        <v>35</v>
      </c>
      <c r="E3451" t="s">
        <v>36</v>
      </c>
      <c r="F3451" t="s">
        <v>986</v>
      </c>
      <c r="G3451">
        <v>968030</v>
      </c>
      <c r="H3451" t="s">
        <v>26</v>
      </c>
      <c r="I3451" t="s">
        <v>219</v>
      </c>
      <c r="J3451" t="str">
        <f>"9781118285138"</f>
        <v>9781118285138</v>
      </c>
      <c r="K3451" t="s">
        <v>6001</v>
      </c>
      <c r="L3451">
        <v>15</v>
      </c>
      <c r="O3451" t="s">
        <v>30</v>
      </c>
      <c r="P3451" t="s">
        <v>42</v>
      </c>
      <c r="S3451" t="s">
        <v>40</v>
      </c>
      <c r="T3451" t="s">
        <v>987</v>
      </c>
      <c r="U3451">
        <v>158.30000000000001</v>
      </c>
      <c r="V3451" s="3">
        <v>41100</v>
      </c>
    </row>
    <row r="3452" spans="1:22" x14ac:dyDescent="0.35">
      <c r="A3452" s="1">
        <v>42327.005185185182</v>
      </c>
      <c r="B3452" s="2">
        <v>8.564814814814815E-4</v>
      </c>
      <c r="C3452" t="s">
        <v>4726</v>
      </c>
      <c r="D3452" t="s">
        <v>158</v>
      </c>
      <c r="E3452" t="s">
        <v>159</v>
      </c>
      <c r="F3452" t="s">
        <v>2807</v>
      </c>
      <c r="G3452">
        <v>1767915</v>
      </c>
      <c r="H3452" t="s">
        <v>26</v>
      </c>
      <c r="I3452" t="s">
        <v>120</v>
      </c>
      <c r="J3452" t="str">
        <f>"9780730315148"</f>
        <v>9780730315148</v>
      </c>
      <c r="K3452" t="s">
        <v>6002</v>
      </c>
      <c r="L3452">
        <v>11</v>
      </c>
      <c r="O3452" t="s">
        <v>30</v>
      </c>
      <c r="P3452" t="s">
        <v>29</v>
      </c>
      <c r="Q3452" s="1">
        <v>42320.670775462961</v>
      </c>
      <c r="R3452">
        <v>7</v>
      </c>
      <c r="S3452" t="s">
        <v>163</v>
      </c>
      <c r="T3452" t="s">
        <v>2809</v>
      </c>
      <c r="U3452">
        <v>302.23099999999999</v>
      </c>
      <c r="V3452" s="3">
        <v>41866</v>
      </c>
    </row>
    <row r="3453" spans="1:22" x14ac:dyDescent="0.35">
      <c r="A3453" s="1">
        <v>42327.001261574071</v>
      </c>
      <c r="B3453" s="2">
        <v>2.101851851851852E-2</v>
      </c>
      <c r="C3453" t="s">
        <v>3208</v>
      </c>
      <c r="D3453" t="s">
        <v>117</v>
      </c>
      <c r="E3453" t="s">
        <v>118</v>
      </c>
      <c r="F3453" t="s">
        <v>3209</v>
      </c>
      <c r="G3453">
        <v>1725830</v>
      </c>
      <c r="H3453" t="s">
        <v>26</v>
      </c>
      <c r="I3453" t="s">
        <v>445</v>
      </c>
      <c r="J3453" t="str">
        <f>"9780745684116"</f>
        <v>9780745684116</v>
      </c>
      <c r="K3453" t="s">
        <v>6003</v>
      </c>
      <c r="L3453">
        <v>20</v>
      </c>
      <c r="O3453" t="s">
        <v>30</v>
      </c>
      <c r="P3453" t="s">
        <v>47</v>
      </c>
      <c r="Q3453" s="1">
        <v>42326.174814814818</v>
      </c>
      <c r="R3453">
        <v>1</v>
      </c>
      <c r="S3453" t="s">
        <v>121</v>
      </c>
      <c r="T3453" t="s">
        <v>3211</v>
      </c>
      <c r="U3453">
        <v>331.13704100000001</v>
      </c>
      <c r="V3453" s="3">
        <v>41817</v>
      </c>
    </row>
    <row r="3454" spans="1:22" x14ac:dyDescent="0.35">
      <c r="A3454" s="1">
        <v>42326.99722222222</v>
      </c>
      <c r="B3454" s="2">
        <v>1.1689814814814816E-3</v>
      </c>
      <c r="C3454" t="s">
        <v>6004</v>
      </c>
      <c r="D3454" t="s">
        <v>117</v>
      </c>
      <c r="E3454" t="s">
        <v>118</v>
      </c>
      <c r="F3454" t="s">
        <v>2048</v>
      </c>
      <c r="G3454">
        <v>1728048</v>
      </c>
      <c r="H3454" t="s">
        <v>526</v>
      </c>
      <c r="I3454" t="s">
        <v>445</v>
      </c>
      <c r="J3454" t="str">
        <f>"9780226093284"</f>
        <v>9780226093284</v>
      </c>
      <c r="K3454" t="s">
        <v>6005</v>
      </c>
      <c r="L3454">
        <v>37</v>
      </c>
      <c r="O3454" t="s">
        <v>30</v>
      </c>
      <c r="P3454" t="s">
        <v>47</v>
      </c>
      <c r="Q3454" s="1">
        <v>42326.095023148147</v>
      </c>
      <c r="R3454">
        <v>7</v>
      </c>
      <c r="S3454" t="s">
        <v>121</v>
      </c>
      <c r="T3454" t="s">
        <v>2049</v>
      </c>
      <c r="U3454" t="s">
        <v>2050</v>
      </c>
      <c r="V3454" s="3">
        <v>41929</v>
      </c>
    </row>
    <row r="3455" spans="1:22" x14ac:dyDescent="0.35">
      <c r="A3455" s="1">
        <v>42326.993680555555</v>
      </c>
      <c r="B3455" s="2">
        <v>0</v>
      </c>
      <c r="C3455" t="s">
        <v>106</v>
      </c>
      <c r="D3455" t="s">
        <v>23</v>
      </c>
      <c r="E3455" t="s">
        <v>24</v>
      </c>
      <c r="F3455" t="s">
        <v>3224</v>
      </c>
      <c r="G3455">
        <v>1882107</v>
      </c>
      <c r="H3455" t="s">
        <v>84</v>
      </c>
      <c r="I3455" t="s">
        <v>998</v>
      </c>
      <c r="J3455" t="str">
        <f>"9780520961593"</f>
        <v>9780520961593</v>
      </c>
      <c r="L3455">
        <v>0</v>
      </c>
      <c r="O3455" t="s">
        <v>30</v>
      </c>
      <c r="P3455" t="s">
        <v>47</v>
      </c>
      <c r="Q3455" s="1">
        <v>42326.993668981479</v>
      </c>
      <c r="R3455">
        <v>1</v>
      </c>
      <c r="S3455" t="s">
        <v>31</v>
      </c>
      <c r="T3455" t="s">
        <v>3226</v>
      </c>
      <c r="U3455">
        <v>952.03099999999995</v>
      </c>
      <c r="V3455" s="3">
        <v>42164</v>
      </c>
    </row>
    <row r="3456" spans="1:22" x14ac:dyDescent="0.35">
      <c r="A3456" s="1">
        <v>42326.992743055554</v>
      </c>
      <c r="B3456" s="2">
        <v>9.2592592592592585E-4</v>
      </c>
      <c r="C3456" t="s">
        <v>106</v>
      </c>
      <c r="D3456" t="s">
        <v>23</v>
      </c>
      <c r="E3456" t="s">
        <v>24</v>
      </c>
      <c r="F3456" t="s">
        <v>3224</v>
      </c>
      <c r="G3456">
        <v>1882107</v>
      </c>
      <c r="H3456" t="s">
        <v>84</v>
      </c>
      <c r="I3456" t="s">
        <v>998</v>
      </c>
      <c r="J3456" t="str">
        <f>"9780520961593"</f>
        <v>9780520961593</v>
      </c>
      <c r="K3456" t="s">
        <v>6006</v>
      </c>
      <c r="L3456">
        <v>28</v>
      </c>
      <c r="O3456" t="s">
        <v>30</v>
      </c>
      <c r="P3456" t="s">
        <v>50</v>
      </c>
      <c r="S3456" t="s">
        <v>31</v>
      </c>
      <c r="T3456" t="s">
        <v>3226</v>
      </c>
      <c r="U3456">
        <v>952.03099999999995</v>
      </c>
      <c r="V3456" s="3">
        <v>42164</v>
      </c>
    </row>
    <row r="3457" spans="1:22" x14ac:dyDescent="0.35">
      <c r="A3457" s="1">
        <v>42326.987743055557</v>
      </c>
      <c r="B3457" s="2">
        <v>7.7546296296296304E-4</v>
      </c>
      <c r="C3457" t="s">
        <v>106</v>
      </c>
      <c r="D3457" t="s">
        <v>23</v>
      </c>
      <c r="E3457" t="s">
        <v>24</v>
      </c>
      <c r="F3457" t="s">
        <v>486</v>
      </c>
      <c r="G3457">
        <v>1119505</v>
      </c>
      <c r="H3457" t="s">
        <v>26</v>
      </c>
      <c r="I3457" t="s">
        <v>450</v>
      </c>
      <c r="J3457" t="str">
        <f>"9781118355015"</f>
        <v>9781118355015</v>
      </c>
      <c r="K3457" t="s">
        <v>6007</v>
      </c>
      <c r="L3457">
        <v>16</v>
      </c>
      <c r="N3457" t="s">
        <v>6008</v>
      </c>
      <c r="O3457" t="s">
        <v>30</v>
      </c>
      <c r="P3457" t="s">
        <v>29</v>
      </c>
      <c r="Q3457" s="1">
        <v>42322.677546296298</v>
      </c>
      <c r="R3457">
        <v>7</v>
      </c>
      <c r="S3457" t="s">
        <v>31</v>
      </c>
      <c r="T3457" t="s">
        <v>487</v>
      </c>
      <c r="U3457" t="s">
        <v>488</v>
      </c>
      <c r="V3457" s="3">
        <v>41302</v>
      </c>
    </row>
    <row r="3458" spans="1:22" x14ac:dyDescent="0.35">
      <c r="A3458" s="1">
        <v>42326.987511574072</v>
      </c>
      <c r="B3458" s="2">
        <v>3.4722222222222222E-5</v>
      </c>
      <c r="C3458" t="s">
        <v>5274</v>
      </c>
      <c r="D3458" t="s">
        <v>211</v>
      </c>
      <c r="E3458" t="s">
        <v>212</v>
      </c>
      <c r="F3458" t="s">
        <v>5228</v>
      </c>
      <c r="G3458">
        <v>1034770</v>
      </c>
      <c r="H3458" t="s">
        <v>91</v>
      </c>
      <c r="I3458" t="s">
        <v>247</v>
      </c>
      <c r="J3458" t="str">
        <f>"9781462507566"</f>
        <v>9781462507566</v>
      </c>
      <c r="K3458" t="s">
        <v>33</v>
      </c>
      <c r="L3458">
        <v>3</v>
      </c>
      <c r="O3458" t="s">
        <v>30</v>
      </c>
      <c r="P3458" t="s">
        <v>42</v>
      </c>
      <c r="S3458" t="s">
        <v>214</v>
      </c>
      <c r="T3458" t="s">
        <v>5230</v>
      </c>
      <c r="U3458">
        <v>616.85839999999996</v>
      </c>
      <c r="V3458" s="3">
        <v>41567</v>
      </c>
    </row>
    <row r="3459" spans="1:22" x14ac:dyDescent="0.35">
      <c r="A3459" s="1">
        <v>42326.984791666669</v>
      </c>
      <c r="B3459" s="2">
        <v>0.11815972222222222</v>
      </c>
      <c r="C3459" t="s">
        <v>6009</v>
      </c>
      <c r="D3459" t="s">
        <v>35</v>
      </c>
      <c r="E3459" t="s">
        <v>36</v>
      </c>
      <c r="F3459" t="s">
        <v>6010</v>
      </c>
      <c r="G3459">
        <v>877207</v>
      </c>
      <c r="H3459" t="s">
        <v>26</v>
      </c>
      <c r="I3459" t="s">
        <v>3674</v>
      </c>
      <c r="J3459" t="str">
        <f>"9781119945437"</f>
        <v>9781119945437</v>
      </c>
      <c r="K3459" t="s">
        <v>6011</v>
      </c>
      <c r="L3459">
        <v>165</v>
      </c>
      <c r="O3459" t="s">
        <v>30</v>
      </c>
      <c r="P3459" t="s">
        <v>29</v>
      </c>
      <c r="Q3459" s="1">
        <v>42326.984780092593</v>
      </c>
      <c r="R3459">
        <v>7</v>
      </c>
      <c r="S3459" t="s">
        <v>40</v>
      </c>
      <c r="T3459" t="s">
        <v>6012</v>
      </c>
      <c r="U3459" t="s">
        <v>6013</v>
      </c>
      <c r="V3459" s="3">
        <v>40984</v>
      </c>
    </row>
    <row r="3460" spans="1:22" x14ac:dyDescent="0.35">
      <c r="A3460" s="1">
        <v>42326.982662037037</v>
      </c>
      <c r="B3460" s="2">
        <v>3.4722222222222222E-5</v>
      </c>
      <c r="C3460" t="s">
        <v>6014</v>
      </c>
      <c r="D3460" t="s">
        <v>623</v>
      </c>
      <c r="E3460" t="s">
        <v>624</v>
      </c>
      <c r="F3460" t="s">
        <v>6015</v>
      </c>
      <c r="G3460">
        <v>2078738</v>
      </c>
      <c r="H3460" t="s">
        <v>26</v>
      </c>
      <c r="I3460" t="s">
        <v>150</v>
      </c>
      <c r="J3460" t="str">
        <f>"9781119049722"</f>
        <v>9781119049722</v>
      </c>
      <c r="K3460" t="s">
        <v>33</v>
      </c>
      <c r="L3460">
        <v>3</v>
      </c>
      <c r="O3460" t="s">
        <v>30</v>
      </c>
      <c r="P3460" t="s">
        <v>50</v>
      </c>
      <c r="S3460" t="s">
        <v>627</v>
      </c>
      <c r="T3460" t="s">
        <v>6016</v>
      </c>
      <c r="U3460" t="s">
        <v>6017</v>
      </c>
      <c r="V3460" s="3">
        <v>42179</v>
      </c>
    </row>
    <row r="3461" spans="1:22" x14ac:dyDescent="0.35">
      <c r="A3461" s="1">
        <v>42326.979166666664</v>
      </c>
      <c r="B3461" s="2">
        <v>1.3321759259259261E-2</v>
      </c>
      <c r="C3461" t="s">
        <v>4726</v>
      </c>
      <c r="D3461" t="s">
        <v>158</v>
      </c>
      <c r="E3461" t="s">
        <v>159</v>
      </c>
      <c r="F3461" t="s">
        <v>2807</v>
      </c>
      <c r="G3461">
        <v>1767915</v>
      </c>
      <c r="H3461" t="s">
        <v>26</v>
      </c>
      <c r="I3461" t="s">
        <v>120</v>
      </c>
      <c r="J3461" t="str">
        <f>"9780730315148"</f>
        <v>9780730315148</v>
      </c>
      <c r="K3461" t="s">
        <v>6018</v>
      </c>
      <c r="L3461">
        <v>32</v>
      </c>
      <c r="O3461" t="s">
        <v>30</v>
      </c>
      <c r="P3461" t="s">
        <v>29</v>
      </c>
      <c r="Q3461" s="1">
        <v>42320.670775462961</v>
      </c>
      <c r="R3461">
        <v>7</v>
      </c>
      <c r="S3461" t="s">
        <v>163</v>
      </c>
      <c r="T3461" t="s">
        <v>2809</v>
      </c>
      <c r="U3461">
        <v>302.23099999999999</v>
      </c>
      <c r="V3461" s="3">
        <v>41866</v>
      </c>
    </row>
    <row r="3462" spans="1:22" x14ac:dyDescent="0.35">
      <c r="A3462" s="1">
        <v>42326.977013888885</v>
      </c>
      <c r="B3462" s="2">
        <v>7.7662037037037031E-3</v>
      </c>
      <c r="C3462" t="s">
        <v>6009</v>
      </c>
      <c r="D3462" t="s">
        <v>35</v>
      </c>
      <c r="E3462" t="s">
        <v>36</v>
      </c>
      <c r="F3462" t="s">
        <v>6010</v>
      </c>
      <c r="G3462">
        <v>877207</v>
      </c>
      <c r="H3462" t="s">
        <v>26</v>
      </c>
      <c r="I3462" t="s">
        <v>3674</v>
      </c>
      <c r="J3462" t="str">
        <f>"9781119945437"</f>
        <v>9781119945437</v>
      </c>
      <c r="K3462" t="s">
        <v>463</v>
      </c>
      <c r="L3462">
        <v>9</v>
      </c>
      <c r="O3462" t="s">
        <v>30</v>
      </c>
      <c r="P3462" t="s">
        <v>42</v>
      </c>
      <c r="S3462" t="s">
        <v>40</v>
      </c>
      <c r="T3462" t="s">
        <v>6012</v>
      </c>
      <c r="U3462" t="s">
        <v>6013</v>
      </c>
      <c r="V3462" s="3">
        <v>40984</v>
      </c>
    </row>
    <row r="3463" spans="1:22" x14ac:dyDescent="0.35">
      <c r="A3463" s="1">
        <v>42326.964780092596</v>
      </c>
      <c r="B3463" s="2">
        <v>8.413194444444444E-2</v>
      </c>
      <c r="C3463" t="s">
        <v>3942</v>
      </c>
      <c r="D3463" t="s">
        <v>35</v>
      </c>
      <c r="E3463" t="s">
        <v>36</v>
      </c>
      <c r="F3463" t="s">
        <v>3943</v>
      </c>
      <c r="G3463">
        <v>836167</v>
      </c>
      <c r="H3463" t="s">
        <v>149</v>
      </c>
      <c r="I3463" t="s">
        <v>3944</v>
      </c>
      <c r="J3463" t="str">
        <f>"9781438139487"</f>
        <v>9781438139487</v>
      </c>
      <c r="K3463" t="s">
        <v>6019</v>
      </c>
      <c r="L3463">
        <v>81</v>
      </c>
      <c r="O3463" t="s">
        <v>30</v>
      </c>
      <c r="P3463" t="s">
        <v>29</v>
      </c>
      <c r="Q3463" s="1">
        <v>42326.964768518519</v>
      </c>
      <c r="R3463">
        <v>7</v>
      </c>
      <c r="S3463" t="s">
        <v>40</v>
      </c>
      <c r="T3463" t="s">
        <v>3946</v>
      </c>
      <c r="U3463" t="s">
        <v>3947</v>
      </c>
      <c r="V3463" s="3">
        <v>40848</v>
      </c>
    </row>
    <row r="3464" spans="1:22" x14ac:dyDescent="0.35">
      <c r="A3464" s="1">
        <v>42326.959687499999</v>
      </c>
      <c r="B3464" s="2">
        <v>5.0810185185185186E-3</v>
      </c>
      <c r="C3464" t="s">
        <v>3942</v>
      </c>
      <c r="D3464" t="s">
        <v>35</v>
      </c>
      <c r="E3464" t="s">
        <v>36</v>
      </c>
      <c r="F3464" t="s">
        <v>3943</v>
      </c>
      <c r="G3464">
        <v>836167</v>
      </c>
      <c r="H3464" t="s">
        <v>149</v>
      </c>
      <c r="I3464" t="s">
        <v>3944</v>
      </c>
      <c r="J3464" t="str">
        <f>"9781438139487"</f>
        <v>9781438139487</v>
      </c>
      <c r="K3464" t="s">
        <v>1651</v>
      </c>
      <c r="L3464">
        <v>11</v>
      </c>
      <c r="O3464" t="s">
        <v>30</v>
      </c>
      <c r="P3464" t="s">
        <v>42</v>
      </c>
      <c r="S3464" t="s">
        <v>40</v>
      </c>
      <c r="T3464" t="s">
        <v>3946</v>
      </c>
      <c r="U3464" t="s">
        <v>3947</v>
      </c>
      <c r="V3464" s="3">
        <v>40848</v>
      </c>
    </row>
    <row r="3465" spans="1:22" x14ac:dyDescent="0.35">
      <c r="A3465" s="1">
        <v>42326.932372685187</v>
      </c>
      <c r="B3465" s="2">
        <v>3.5416666666666665E-3</v>
      </c>
      <c r="C3465" t="s">
        <v>6020</v>
      </c>
      <c r="D3465" t="s">
        <v>35</v>
      </c>
      <c r="E3465" t="s">
        <v>36</v>
      </c>
      <c r="F3465" t="s">
        <v>6021</v>
      </c>
      <c r="G3465">
        <v>1318972</v>
      </c>
      <c r="H3465" t="s">
        <v>68</v>
      </c>
      <c r="I3465" t="s">
        <v>69</v>
      </c>
      <c r="J3465" t="str">
        <f>"9781135106706"</f>
        <v>9781135106706</v>
      </c>
      <c r="K3465" t="s">
        <v>6022</v>
      </c>
      <c r="L3465">
        <v>28</v>
      </c>
      <c r="N3465" t="s">
        <v>6023</v>
      </c>
      <c r="O3465" t="s">
        <v>30</v>
      </c>
      <c r="P3465" t="s">
        <v>47</v>
      </c>
      <c r="Q3465" s="1">
        <v>42326.932372685187</v>
      </c>
      <c r="R3465">
        <v>1</v>
      </c>
      <c r="S3465" t="s">
        <v>40</v>
      </c>
      <c r="T3465" t="s">
        <v>6024</v>
      </c>
      <c r="U3465">
        <v>378.16912000000002</v>
      </c>
      <c r="V3465" s="3">
        <v>41473</v>
      </c>
    </row>
    <row r="3466" spans="1:22" x14ac:dyDescent="0.35">
      <c r="A3466" s="1">
        <v>42326.931851851848</v>
      </c>
      <c r="B3466" s="2">
        <v>5.2083333333333333E-4</v>
      </c>
      <c r="C3466" t="s">
        <v>6020</v>
      </c>
      <c r="D3466" t="s">
        <v>35</v>
      </c>
      <c r="E3466" t="s">
        <v>36</v>
      </c>
      <c r="F3466" t="s">
        <v>6021</v>
      </c>
      <c r="G3466">
        <v>1318972</v>
      </c>
      <c r="H3466" t="s">
        <v>68</v>
      </c>
      <c r="I3466" t="s">
        <v>69</v>
      </c>
      <c r="J3466" t="str">
        <f>"9781135106706"</f>
        <v>9781135106706</v>
      </c>
      <c r="K3466" t="s">
        <v>6025</v>
      </c>
      <c r="L3466">
        <v>11</v>
      </c>
      <c r="O3466" t="s">
        <v>30</v>
      </c>
      <c r="P3466" t="s">
        <v>50</v>
      </c>
      <c r="S3466" t="s">
        <v>40</v>
      </c>
      <c r="T3466" t="s">
        <v>6024</v>
      </c>
      <c r="U3466">
        <v>378.16912000000002</v>
      </c>
      <c r="V3466" s="3">
        <v>41473</v>
      </c>
    </row>
    <row r="3467" spans="1:22" x14ac:dyDescent="0.35">
      <c r="A3467" s="1">
        <v>42326.931250000001</v>
      </c>
      <c r="B3467" s="2">
        <v>1.8518518518518518E-4</v>
      </c>
      <c r="C3467" t="s">
        <v>6020</v>
      </c>
      <c r="D3467" t="s">
        <v>35</v>
      </c>
      <c r="E3467" t="s">
        <v>36</v>
      </c>
      <c r="F3467" t="s">
        <v>6021</v>
      </c>
      <c r="G3467">
        <v>1318972</v>
      </c>
      <c r="H3467" t="s">
        <v>68</v>
      </c>
      <c r="I3467" t="s">
        <v>69</v>
      </c>
      <c r="J3467" t="str">
        <f>"9781135106706"</f>
        <v>9781135106706</v>
      </c>
      <c r="K3467" t="s">
        <v>86</v>
      </c>
      <c r="L3467">
        <v>5</v>
      </c>
      <c r="O3467" t="s">
        <v>30</v>
      </c>
      <c r="P3467" t="s">
        <v>50</v>
      </c>
      <c r="S3467" t="s">
        <v>40</v>
      </c>
      <c r="T3467" t="s">
        <v>6024</v>
      </c>
      <c r="U3467">
        <v>378.16912000000002</v>
      </c>
      <c r="V3467" s="3">
        <v>41473</v>
      </c>
    </row>
    <row r="3468" spans="1:22" x14ac:dyDescent="0.35">
      <c r="A3468" s="1">
        <v>42326.928541666668</v>
      </c>
      <c r="B3468" s="2">
        <v>4.9768518518518521E-4</v>
      </c>
      <c r="C3468" t="s">
        <v>4282</v>
      </c>
      <c r="D3468" t="s">
        <v>623</v>
      </c>
      <c r="E3468" t="s">
        <v>624</v>
      </c>
      <c r="F3468" t="s">
        <v>5620</v>
      </c>
      <c r="G3468">
        <v>1895565</v>
      </c>
      <c r="H3468" t="s">
        <v>26</v>
      </c>
      <c r="I3468" t="s">
        <v>247</v>
      </c>
      <c r="J3468" t="str">
        <f>"9781118732779"</f>
        <v>9781118732779</v>
      </c>
      <c r="K3468" t="s">
        <v>6026</v>
      </c>
      <c r="L3468">
        <v>3</v>
      </c>
      <c r="N3468" t="s">
        <v>6027</v>
      </c>
      <c r="O3468" t="s">
        <v>30</v>
      </c>
      <c r="P3468" t="s">
        <v>29</v>
      </c>
      <c r="Q3468" s="1">
        <v>42326.928541666668</v>
      </c>
      <c r="R3468">
        <v>7</v>
      </c>
      <c r="S3468" t="s">
        <v>627</v>
      </c>
      <c r="T3468" t="s">
        <v>5622</v>
      </c>
      <c r="U3468" t="s">
        <v>5623</v>
      </c>
      <c r="V3468" s="3">
        <v>42073</v>
      </c>
    </row>
    <row r="3469" spans="1:22" x14ac:dyDescent="0.35">
      <c r="A3469" s="1">
        <v>42326.927488425928</v>
      </c>
      <c r="B3469" s="2">
        <v>1.0416666666666667E-3</v>
      </c>
      <c r="C3469" t="s">
        <v>4282</v>
      </c>
      <c r="D3469" t="s">
        <v>623</v>
      </c>
      <c r="E3469" t="s">
        <v>624</v>
      </c>
      <c r="F3469" t="s">
        <v>5620</v>
      </c>
      <c r="G3469">
        <v>1895565</v>
      </c>
      <c r="H3469" t="s">
        <v>26</v>
      </c>
      <c r="I3469" t="s">
        <v>247</v>
      </c>
      <c r="J3469" t="str">
        <f>"9781118732779"</f>
        <v>9781118732779</v>
      </c>
      <c r="K3469" t="s">
        <v>6028</v>
      </c>
      <c r="L3469">
        <v>28</v>
      </c>
      <c r="O3469" t="s">
        <v>30</v>
      </c>
      <c r="P3469" t="s">
        <v>50</v>
      </c>
      <c r="S3469" t="s">
        <v>627</v>
      </c>
      <c r="T3469" t="s">
        <v>5622</v>
      </c>
      <c r="U3469" t="s">
        <v>5623</v>
      </c>
      <c r="V3469" s="3">
        <v>42073</v>
      </c>
    </row>
    <row r="3470" spans="1:22" x14ac:dyDescent="0.35">
      <c r="A3470" s="1">
        <v>42326.92560185185</v>
      </c>
      <c r="B3470" s="2">
        <v>2.3148148148148146E-4</v>
      </c>
      <c r="C3470" t="s">
        <v>5865</v>
      </c>
      <c r="D3470" t="s">
        <v>35</v>
      </c>
      <c r="E3470" t="s">
        <v>36</v>
      </c>
      <c r="F3470" t="s">
        <v>986</v>
      </c>
      <c r="G3470">
        <v>968030</v>
      </c>
      <c r="H3470" t="s">
        <v>26</v>
      </c>
      <c r="I3470" t="s">
        <v>219</v>
      </c>
      <c r="J3470" t="str">
        <f>"9781118285138"</f>
        <v>9781118285138</v>
      </c>
      <c r="K3470" t="s">
        <v>6029</v>
      </c>
      <c r="L3470">
        <v>8</v>
      </c>
      <c r="O3470" t="s">
        <v>30</v>
      </c>
      <c r="P3470" t="s">
        <v>42</v>
      </c>
      <c r="S3470" t="s">
        <v>40</v>
      </c>
      <c r="T3470" t="s">
        <v>987</v>
      </c>
      <c r="U3470">
        <v>158.30000000000001</v>
      </c>
      <c r="V3470" s="3">
        <v>41100</v>
      </c>
    </row>
    <row r="3471" spans="1:22" x14ac:dyDescent="0.35">
      <c r="A3471" s="1">
        <v>42326.917326388888</v>
      </c>
      <c r="B3471" s="2">
        <v>3.4722222222222222E-5</v>
      </c>
      <c r="C3471" t="s">
        <v>3454</v>
      </c>
      <c r="D3471" t="s">
        <v>23</v>
      </c>
      <c r="E3471" t="s">
        <v>24</v>
      </c>
      <c r="F3471" t="s">
        <v>3351</v>
      </c>
      <c r="G3471">
        <v>1760720</v>
      </c>
      <c r="H3471" t="s">
        <v>91</v>
      </c>
      <c r="I3471" t="s">
        <v>247</v>
      </c>
      <c r="J3471" t="str">
        <f>"9781462517459"</f>
        <v>9781462517459</v>
      </c>
      <c r="K3471" t="s">
        <v>33</v>
      </c>
      <c r="L3471">
        <v>3</v>
      </c>
      <c r="O3471" t="s">
        <v>30</v>
      </c>
      <c r="P3471" t="s">
        <v>42</v>
      </c>
      <c r="S3471" t="s">
        <v>31</v>
      </c>
      <c r="T3471" t="s">
        <v>3353</v>
      </c>
      <c r="U3471">
        <v>616.89142000000004</v>
      </c>
      <c r="V3471" s="3">
        <v>41996</v>
      </c>
    </row>
    <row r="3472" spans="1:22" x14ac:dyDescent="0.35">
      <c r="A3472" s="1">
        <v>42326.911319444444</v>
      </c>
      <c r="B3472" s="2">
        <v>0</v>
      </c>
      <c r="C3472" t="s">
        <v>6030</v>
      </c>
      <c r="D3472" t="s">
        <v>35</v>
      </c>
      <c r="E3472" t="s">
        <v>36</v>
      </c>
      <c r="F3472" t="s">
        <v>2369</v>
      </c>
      <c r="G3472">
        <v>877782</v>
      </c>
      <c r="H3472" t="s">
        <v>26</v>
      </c>
      <c r="I3472" t="s">
        <v>2370</v>
      </c>
      <c r="J3472" t="str">
        <f>"9781118255407"</f>
        <v>9781118255407</v>
      </c>
      <c r="L3472">
        <v>0</v>
      </c>
      <c r="O3472" t="s">
        <v>28</v>
      </c>
      <c r="P3472" t="s">
        <v>29</v>
      </c>
      <c r="Q3472" s="1">
        <v>42326.91064814815</v>
      </c>
      <c r="R3472">
        <v>7</v>
      </c>
      <c r="S3472" t="s">
        <v>40</v>
      </c>
      <c r="T3472" t="s">
        <v>2372</v>
      </c>
      <c r="U3472">
        <v>599.9</v>
      </c>
      <c r="V3472" s="3">
        <v>40994</v>
      </c>
    </row>
    <row r="3473" spans="1:22" x14ac:dyDescent="0.35">
      <c r="A3473" s="1">
        <v>42326.911087962966</v>
      </c>
      <c r="B3473" s="2">
        <v>2.199074074074074E-4</v>
      </c>
      <c r="C3473" t="s">
        <v>6030</v>
      </c>
      <c r="D3473" t="s">
        <v>35</v>
      </c>
      <c r="E3473" t="s">
        <v>36</v>
      </c>
      <c r="F3473" t="s">
        <v>2369</v>
      </c>
      <c r="G3473">
        <v>877782</v>
      </c>
      <c r="H3473" t="s">
        <v>26</v>
      </c>
      <c r="I3473" t="s">
        <v>2370</v>
      </c>
      <c r="J3473" t="str">
        <f>"9781118255407"</f>
        <v>9781118255407</v>
      </c>
      <c r="K3473" t="s">
        <v>6031</v>
      </c>
      <c r="L3473">
        <v>13</v>
      </c>
      <c r="O3473" t="s">
        <v>30</v>
      </c>
      <c r="P3473" t="s">
        <v>29</v>
      </c>
      <c r="Q3473" s="1">
        <v>42326.91064814815</v>
      </c>
      <c r="R3473">
        <v>7</v>
      </c>
      <c r="S3473" t="s">
        <v>40</v>
      </c>
      <c r="T3473" t="s">
        <v>2372</v>
      </c>
      <c r="U3473">
        <v>599.9</v>
      </c>
      <c r="V3473" s="3">
        <v>40994</v>
      </c>
    </row>
    <row r="3474" spans="1:22" x14ac:dyDescent="0.35">
      <c r="A3474" s="1">
        <v>42326.91065972222</v>
      </c>
      <c r="B3474" s="2">
        <v>0</v>
      </c>
      <c r="C3474" t="s">
        <v>6030</v>
      </c>
      <c r="D3474" t="s">
        <v>35</v>
      </c>
      <c r="E3474" t="s">
        <v>36</v>
      </c>
      <c r="F3474" t="s">
        <v>2369</v>
      </c>
      <c r="G3474">
        <v>877782</v>
      </c>
      <c r="H3474" t="s">
        <v>26</v>
      </c>
      <c r="I3474" t="s">
        <v>2370</v>
      </c>
      <c r="J3474" t="str">
        <f>"9781118255407"</f>
        <v>9781118255407</v>
      </c>
      <c r="L3474">
        <v>0</v>
      </c>
      <c r="M3474" t="s">
        <v>105</v>
      </c>
      <c r="O3474" t="s">
        <v>30</v>
      </c>
      <c r="P3474" t="s">
        <v>29</v>
      </c>
      <c r="Q3474" s="1">
        <v>42326.91064814815</v>
      </c>
      <c r="R3474">
        <v>7</v>
      </c>
      <c r="S3474" t="s">
        <v>40</v>
      </c>
      <c r="T3474" t="s">
        <v>2372</v>
      </c>
      <c r="U3474">
        <v>599.9</v>
      </c>
      <c r="V3474" s="3">
        <v>40994</v>
      </c>
    </row>
    <row r="3475" spans="1:22" x14ac:dyDescent="0.35">
      <c r="A3475" s="1">
        <v>42326.910555555558</v>
      </c>
      <c r="B3475" s="2">
        <v>9.2592592592592588E-5</v>
      </c>
      <c r="C3475" t="s">
        <v>6030</v>
      </c>
      <c r="D3475" t="s">
        <v>35</v>
      </c>
      <c r="E3475" t="s">
        <v>36</v>
      </c>
      <c r="F3475" t="s">
        <v>2369</v>
      </c>
      <c r="G3475">
        <v>877782</v>
      </c>
      <c r="H3475" t="s">
        <v>26</v>
      </c>
      <c r="I3475" t="s">
        <v>2370</v>
      </c>
      <c r="J3475" t="str">
        <f>"9781118255407"</f>
        <v>9781118255407</v>
      </c>
      <c r="K3475" t="s">
        <v>33</v>
      </c>
      <c r="L3475">
        <v>3</v>
      </c>
      <c r="O3475" t="s">
        <v>30</v>
      </c>
      <c r="P3475" t="s">
        <v>42</v>
      </c>
      <c r="S3475" t="s">
        <v>40</v>
      </c>
      <c r="T3475" t="s">
        <v>2372</v>
      </c>
      <c r="U3475">
        <v>599.9</v>
      </c>
      <c r="V3475" s="3">
        <v>40994</v>
      </c>
    </row>
    <row r="3476" spans="1:22" x14ac:dyDescent="0.35">
      <c r="A3476" s="1">
        <v>42326.904999999999</v>
      </c>
      <c r="B3476" s="2">
        <v>2.3148148148148147E-5</v>
      </c>
      <c r="C3476" t="s">
        <v>210</v>
      </c>
      <c r="D3476" t="s">
        <v>211</v>
      </c>
      <c r="E3476" t="s">
        <v>212</v>
      </c>
      <c r="F3476" t="s">
        <v>119</v>
      </c>
      <c r="G3476">
        <v>1154341</v>
      </c>
      <c r="H3476" t="s">
        <v>26</v>
      </c>
      <c r="I3476" t="s">
        <v>120</v>
      </c>
      <c r="J3476" t="str">
        <f>"9781118505014"</f>
        <v>9781118505014</v>
      </c>
      <c r="K3476" t="s">
        <v>631</v>
      </c>
      <c r="L3476">
        <v>2</v>
      </c>
      <c r="O3476" t="s">
        <v>30</v>
      </c>
      <c r="P3476" t="s">
        <v>29</v>
      </c>
      <c r="Q3476" s="1">
        <v>42326.904988425929</v>
      </c>
      <c r="R3476">
        <v>7</v>
      </c>
      <c r="S3476" t="s">
        <v>214</v>
      </c>
      <c r="T3476" t="s">
        <v>122</v>
      </c>
      <c r="U3476" t="s">
        <v>123</v>
      </c>
      <c r="V3476" s="3">
        <v>41344</v>
      </c>
    </row>
    <row r="3477" spans="1:22" x14ac:dyDescent="0.35">
      <c r="A3477" s="1">
        <v>42326.904282407406</v>
      </c>
      <c r="B3477" s="2">
        <v>7.0601851851851847E-4</v>
      </c>
      <c r="C3477" t="s">
        <v>210</v>
      </c>
      <c r="D3477" t="s">
        <v>211</v>
      </c>
      <c r="E3477" t="s">
        <v>212</v>
      </c>
      <c r="F3477" t="s">
        <v>119</v>
      </c>
      <c r="G3477">
        <v>1154341</v>
      </c>
      <c r="H3477" t="s">
        <v>26</v>
      </c>
      <c r="I3477" t="s">
        <v>120</v>
      </c>
      <c r="J3477" t="str">
        <f>"9781118505014"</f>
        <v>9781118505014</v>
      </c>
      <c r="K3477" t="s">
        <v>634</v>
      </c>
      <c r="L3477">
        <v>24</v>
      </c>
      <c r="O3477" t="s">
        <v>30</v>
      </c>
      <c r="P3477" t="s">
        <v>50</v>
      </c>
      <c r="S3477" t="s">
        <v>214</v>
      </c>
      <c r="T3477" t="s">
        <v>122</v>
      </c>
      <c r="U3477" t="s">
        <v>123</v>
      </c>
      <c r="V3477" s="3">
        <v>41344</v>
      </c>
    </row>
    <row r="3478" spans="1:22" x14ac:dyDescent="0.35">
      <c r="A3478" s="1">
        <v>42326.903761574074</v>
      </c>
      <c r="B3478" s="2">
        <v>1.0879629629629629E-3</v>
      </c>
      <c r="C3478" t="s">
        <v>210</v>
      </c>
      <c r="D3478" t="s">
        <v>211</v>
      </c>
      <c r="E3478" t="s">
        <v>212</v>
      </c>
      <c r="F3478" t="s">
        <v>119</v>
      </c>
      <c r="G3478">
        <v>1154341</v>
      </c>
      <c r="H3478" t="s">
        <v>26</v>
      </c>
      <c r="I3478" t="s">
        <v>120</v>
      </c>
      <c r="J3478" t="str">
        <f>"9781118505014"</f>
        <v>9781118505014</v>
      </c>
      <c r="K3478" t="s">
        <v>6032</v>
      </c>
      <c r="L3478">
        <v>26</v>
      </c>
      <c r="O3478" t="s">
        <v>30</v>
      </c>
      <c r="P3478" t="s">
        <v>50</v>
      </c>
      <c r="S3478" t="s">
        <v>214</v>
      </c>
      <c r="T3478" t="s">
        <v>122</v>
      </c>
      <c r="U3478" t="s">
        <v>123</v>
      </c>
      <c r="V3478" s="3">
        <v>41344</v>
      </c>
    </row>
    <row r="3479" spans="1:22" x14ac:dyDescent="0.35">
      <c r="A3479" s="1">
        <v>42326.899398148147</v>
      </c>
      <c r="B3479" s="2">
        <v>1.689814814814815E-3</v>
      </c>
      <c r="C3479" t="s">
        <v>210</v>
      </c>
      <c r="D3479" t="s">
        <v>211</v>
      </c>
      <c r="E3479" t="s">
        <v>212</v>
      </c>
      <c r="F3479" t="s">
        <v>119</v>
      </c>
      <c r="G3479">
        <v>1154341</v>
      </c>
      <c r="H3479" t="s">
        <v>26</v>
      </c>
      <c r="I3479" t="s">
        <v>120</v>
      </c>
      <c r="J3479" t="str">
        <f>"9781118505014"</f>
        <v>9781118505014</v>
      </c>
      <c r="K3479" t="s">
        <v>6033</v>
      </c>
      <c r="L3479">
        <v>28</v>
      </c>
      <c r="O3479" t="s">
        <v>30</v>
      </c>
      <c r="P3479" t="s">
        <v>50</v>
      </c>
      <c r="S3479" t="s">
        <v>214</v>
      </c>
      <c r="T3479" t="s">
        <v>122</v>
      </c>
      <c r="U3479" t="s">
        <v>123</v>
      </c>
      <c r="V3479" s="3">
        <v>41344</v>
      </c>
    </row>
    <row r="3480" spans="1:22" x14ac:dyDescent="0.35">
      <c r="A3480" s="1">
        <v>42326.899062500001</v>
      </c>
      <c r="B3480" s="2">
        <v>3.9583333333333337E-3</v>
      </c>
      <c r="C3480" t="s">
        <v>6034</v>
      </c>
      <c r="D3480" t="s">
        <v>211</v>
      </c>
      <c r="E3480" t="s">
        <v>212</v>
      </c>
      <c r="F3480" t="s">
        <v>1547</v>
      </c>
      <c r="G3480">
        <v>848510</v>
      </c>
      <c r="H3480" t="s">
        <v>26</v>
      </c>
      <c r="I3480" t="s">
        <v>247</v>
      </c>
      <c r="J3480" t="str">
        <f>"9781118220481"</f>
        <v>9781118220481</v>
      </c>
      <c r="K3480" t="s">
        <v>6035</v>
      </c>
      <c r="L3480">
        <v>27</v>
      </c>
      <c r="O3480" t="s">
        <v>30</v>
      </c>
      <c r="P3480" t="s">
        <v>42</v>
      </c>
      <c r="S3480" t="s">
        <v>214</v>
      </c>
      <c r="T3480" t="s">
        <v>1548</v>
      </c>
      <c r="U3480" t="s">
        <v>1549</v>
      </c>
      <c r="V3480" s="3">
        <v>41066</v>
      </c>
    </row>
    <row r="3481" spans="1:22" x14ac:dyDescent="0.35">
      <c r="A3481" s="1">
        <v>42326.895289351851</v>
      </c>
      <c r="B3481" s="2">
        <v>4.6296296296296293E-4</v>
      </c>
      <c r="C3481" t="s">
        <v>6004</v>
      </c>
      <c r="D3481" t="s">
        <v>117</v>
      </c>
      <c r="E3481" t="s">
        <v>118</v>
      </c>
      <c r="F3481" t="s">
        <v>2048</v>
      </c>
      <c r="G3481">
        <v>1728048</v>
      </c>
      <c r="H3481" t="s">
        <v>526</v>
      </c>
      <c r="I3481" t="s">
        <v>445</v>
      </c>
      <c r="J3481" t="str">
        <f>"9780226093284"</f>
        <v>9780226093284</v>
      </c>
      <c r="K3481" t="s">
        <v>6036</v>
      </c>
      <c r="L3481">
        <v>19</v>
      </c>
      <c r="O3481" t="s">
        <v>30</v>
      </c>
      <c r="P3481" t="s">
        <v>47</v>
      </c>
      <c r="Q3481" s="1">
        <v>42326.095023148147</v>
      </c>
      <c r="R3481">
        <v>7</v>
      </c>
      <c r="S3481" t="s">
        <v>121</v>
      </c>
      <c r="T3481" t="s">
        <v>2049</v>
      </c>
      <c r="U3481" t="s">
        <v>2050</v>
      </c>
      <c r="V3481" s="3">
        <v>41929</v>
      </c>
    </row>
    <row r="3482" spans="1:22" x14ac:dyDescent="0.35">
      <c r="A3482" s="1">
        <v>42326.891238425924</v>
      </c>
      <c r="B3482" s="2">
        <v>1.5393518518518519E-3</v>
      </c>
      <c r="C3482" t="s">
        <v>6004</v>
      </c>
      <c r="D3482" t="s">
        <v>117</v>
      </c>
      <c r="E3482" t="s">
        <v>118</v>
      </c>
      <c r="F3482" t="s">
        <v>6037</v>
      </c>
      <c r="G3482">
        <v>844066</v>
      </c>
      <c r="H3482" t="s">
        <v>26</v>
      </c>
      <c r="I3482" t="s">
        <v>108</v>
      </c>
      <c r="J3482" t="str">
        <f>"9781444347425"</f>
        <v>9781444347425</v>
      </c>
      <c r="K3482" t="s">
        <v>6038</v>
      </c>
      <c r="L3482">
        <v>30</v>
      </c>
      <c r="N3482" t="s">
        <v>6039</v>
      </c>
      <c r="O3482" t="s">
        <v>30</v>
      </c>
      <c r="P3482" t="s">
        <v>29</v>
      </c>
      <c r="Q3482" s="1">
        <v>42326.098171296297</v>
      </c>
      <c r="R3482">
        <v>7</v>
      </c>
      <c r="S3482" t="s">
        <v>121</v>
      </c>
      <c r="T3482" t="s">
        <v>6040</v>
      </c>
      <c r="U3482" t="s">
        <v>6041</v>
      </c>
      <c r="V3482" s="3">
        <v>40925</v>
      </c>
    </row>
    <row r="3483" spans="1:22" x14ac:dyDescent="0.35">
      <c r="A3483" s="1">
        <v>42326.890497685185</v>
      </c>
      <c r="B3483" s="2">
        <v>2.0486111111111113E-3</v>
      </c>
      <c r="C3483" t="s">
        <v>6042</v>
      </c>
      <c r="D3483" t="s">
        <v>35</v>
      </c>
      <c r="E3483" t="s">
        <v>36</v>
      </c>
      <c r="F3483" t="s">
        <v>3949</v>
      </c>
      <c r="G3483">
        <v>877713</v>
      </c>
      <c r="H3483" t="s">
        <v>149</v>
      </c>
      <c r="I3483" t="s">
        <v>172</v>
      </c>
      <c r="J3483" t="str">
        <f>"9781438138596"</f>
        <v>9781438138596</v>
      </c>
      <c r="K3483" t="s">
        <v>6043</v>
      </c>
      <c r="L3483">
        <v>36</v>
      </c>
      <c r="O3483" t="s">
        <v>30</v>
      </c>
      <c r="P3483" t="s">
        <v>42</v>
      </c>
      <c r="S3483" t="s">
        <v>40</v>
      </c>
      <c r="T3483" t="s">
        <v>3951</v>
      </c>
      <c r="U3483">
        <v>932.00300000000004</v>
      </c>
      <c r="V3483" s="3">
        <v>40909</v>
      </c>
    </row>
    <row r="3484" spans="1:22" x14ac:dyDescent="0.35">
      <c r="A3484" s="1">
        <v>42326.885983796295</v>
      </c>
      <c r="B3484" s="2">
        <v>1.7013888888888892E-3</v>
      </c>
      <c r="C3484" t="s">
        <v>6044</v>
      </c>
      <c r="D3484" t="s">
        <v>261</v>
      </c>
      <c r="E3484" t="s">
        <v>262</v>
      </c>
      <c r="F3484" t="s">
        <v>4140</v>
      </c>
      <c r="G3484">
        <v>1757100</v>
      </c>
      <c r="H3484" t="s">
        <v>84</v>
      </c>
      <c r="I3484" t="s">
        <v>3609</v>
      </c>
      <c r="J3484" t="str">
        <f>"9780520961302"</f>
        <v>9780520961302</v>
      </c>
      <c r="K3484" t="s">
        <v>6045</v>
      </c>
      <c r="L3484">
        <v>15</v>
      </c>
      <c r="O3484" t="s">
        <v>30</v>
      </c>
      <c r="P3484" t="s">
        <v>50</v>
      </c>
      <c r="S3484" t="s">
        <v>264</v>
      </c>
      <c r="T3484" t="s">
        <v>4142</v>
      </c>
      <c r="U3484" t="s">
        <v>4143</v>
      </c>
      <c r="V3484" s="3">
        <v>41967</v>
      </c>
    </row>
    <row r="3485" spans="1:22" x14ac:dyDescent="0.35">
      <c r="A3485" s="1">
        <v>42326.88422453704</v>
      </c>
      <c r="B3485" s="2">
        <v>1.6087962962962963E-3</v>
      </c>
      <c r="C3485" t="s">
        <v>5592</v>
      </c>
      <c r="D3485" t="s">
        <v>623</v>
      </c>
      <c r="E3485" t="s">
        <v>624</v>
      </c>
      <c r="F3485" t="s">
        <v>1698</v>
      </c>
      <c r="G3485">
        <v>1637652</v>
      </c>
      <c r="H3485" t="s">
        <v>84</v>
      </c>
      <c r="I3485" t="s">
        <v>69</v>
      </c>
      <c r="J3485" t="str">
        <f>"9780520958449"</f>
        <v>9780520958449</v>
      </c>
      <c r="K3485" t="s">
        <v>6046</v>
      </c>
      <c r="L3485">
        <v>9</v>
      </c>
      <c r="O3485" t="s">
        <v>30</v>
      </c>
      <c r="P3485" t="s">
        <v>29</v>
      </c>
      <c r="Q3485" s="1">
        <v>42321.620787037034</v>
      </c>
      <c r="R3485">
        <v>7</v>
      </c>
      <c r="S3485" t="s">
        <v>627</v>
      </c>
      <c r="T3485" t="s">
        <v>1700</v>
      </c>
      <c r="U3485" t="s">
        <v>1701</v>
      </c>
      <c r="V3485" s="3">
        <v>41761</v>
      </c>
    </row>
    <row r="3486" spans="1:22" x14ac:dyDescent="0.35">
      <c r="A3486" s="1">
        <v>42326.877210648148</v>
      </c>
      <c r="B3486" s="2">
        <v>1.1574074074074073E-4</v>
      </c>
      <c r="C3486" t="s">
        <v>106</v>
      </c>
      <c r="D3486" t="s">
        <v>23</v>
      </c>
      <c r="E3486" t="s">
        <v>24</v>
      </c>
      <c r="F3486" t="s">
        <v>4908</v>
      </c>
      <c r="G3486">
        <v>1659368</v>
      </c>
      <c r="H3486" t="s">
        <v>526</v>
      </c>
      <c r="I3486" t="s">
        <v>1407</v>
      </c>
      <c r="J3486" t="str">
        <f>"9780226127323"</f>
        <v>9780226127323</v>
      </c>
      <c r="K3486" t="s">
        <v>33</v>
      </c>
      <c r="L3486">
        <v>3</v>
      </c>
      <c r="O3486" t="s">
        <v>30</v>
      </c>
      <c r="P3486" t="s">
        <v>50</v>
      </c>
      <c r="S3486" t="s">
        <v>31</v>
      </c>
      <c r="T3486" t="s">
        <v>4910</v>
      </c>
      <c r="U3486">
        <v>576.79999999999995</v>
      </c>
      <c r="V3486" s="3">
        <v>41684</v>
      </c>
    </row>
    <row r="3487" spans="1:22" x14ac:dyDescent="0.35">
      <c r="A3487" s="1">
        <v>42326.876574074071</v>
      </c>
      <c r="B3487" s="2">
        <v>5.7870370370370366E-5</v>
      </c>
      <c r="C3487" t="s">
        <v>6047</v>
      </c>
      <c r="D3487" t="s">
        <v>35</v>
      </c>
      <c r="E3487" t="s">
        <v>36</v>
      </c>
      <c r="F3487" t="s">
        <v>6048</v>
      </c>
      <c r="G3487">
        <v>1318949</v>
      </c>
      <c r="H3487" t="s">
        <v>68</v>
      </c>
      <c r="I3487" t="s">
        <v>247</v>
      </c>
      <c r="J3487" t="str">
        <f>"9781135021146"</f>
        <v>9781135021146</v>
      </c>
      <c r="K3487" t="s">
        <v>1300</v>
      </c>
      <c r="L3487">
        <v>2</v>
      </c>
      <c r="O3487" t="s">
        <v>30</v>
      </c>
      <c r="P3487" t="s">
        <v>50</v>
      </c>
      <c r="S3487" t="s">
        <v>40</v>
      </c>
      <c r="T3487" t="s">
        <v>6049</v>
      </c>
      <c r="U3487">
        <v>618.76</v>
      </c>
      <c r="V3487" s="3">
        <v>41473</v>
      </c>
    </row>
    <row r="3488" spans="1:22" x14ac:dyDescent="0.35">
      <c r="A3488" s="1">
        <v>42326.873240740744</v>
      </c>
      <c r="B3488" s="2">
        <v>1.0416666666666667E-4</v>
      </c>
      <c r="C3488" t="s">
        <v>6030</v>
      </c>
      <c r="D3488" t="s">
        <v>35</v>
      </c>
      <c r="E3488" t="s">
        <v>36</v>
      </c>
      <c r="F3488" t="s">
        <v>2369</v>
      </c>
      <c r="G3488">
        <v>877782</v>
      </c>
      <c r="H3488" t="s">
        <v>26</v>
      </c>
      <c r="I3488" t="s">
        <v>2370</v>
      </c>
      <c r="J3488" t="str">
        <f>"9781118255407"</f>
        <v>9781118255407</v>
      </c>
      <c r="K3488" t="s">
        <v>86</v>
      </c>
      <c r="L3488">
        <v>5</v>
      </c>
      <c r="O3488" t="s">
        <v>30</v>
      </c>
      <c r="P3488" t="s">
        <v>42</v>
      </c>
      <c r="S3488" t="s">
        <v>40</v>
      </c>
      <c r="T3488" t="s">
        <v>2372</v>
      </c>
      <c r="U3488">
        <v>599.9</v>
      </c>
      <c r="V3488" s="3">
        <v>40994</v>
      </c>
    </row>
    <row r="3489" spans="1:22" x14ac:dyDescent="0.35">
      <c r="A3489" s="1">
        <v>42326.862962962965</v>
      </c>
      <c r="B3489" s="2">
        <v>0</v>
      </c>
      <c r="C3489" t="s">
        <v>3434</v>
      </c>
      <c r="D3489" t="s">
        <v>35</v>
      </c>
      <c r="E3489" t="s">
        <v>36</v>
      </c>
      <c r="F3489" t="s">
        <v>2369</v>
      </c>
      <c r="G3489">
        <v>877782</v>
      </c>
      <c r="H3489" t="s">
        <v>26</v>
      </c>
      <c r="I3489" t="s">
        <v>2370</v>
      </c>
      <c r="J3489" t="str">
        <f>"9781118255407"</f>
        <v>9781118255407</v>
      </c>
      <c r="L3489">
        <v>0</v>
      </c>
      <c r="O3489" t="s">
        <v>28</v>
      </c>
      <c r="P3489" t="s">
        <v>29</v>
      </c>
      <c r="Q3489" s="1">
        <v>42326.862962962965</v>
      </c>
      <c r="R3489">
        <v>7</v>
      </c>
      <c r="S3489" t="s">
        <v>40</v>
      </c>
      <c r="T3489" t="s">
        <v>2372</v>
      </c>
      <c r="U3489">
        <v>599.9</v>
      </c>
      <c r="V3489" s="3">
        <v>40994</v>
      </c>
    </row>
    <row r="3490" spans="1:22" x14ac:dyDescent="0.35">
      <c r="A3490" s="1">
        <v>42326.862962962965</v>
      </c>
      <c r="B3490" s="2">
        <v>0</v>
      </c>
      <c r="C3490" t="s">
        <v>3434</v>
      </c>
      <c r="D3490" t="s">
        <v>35</v>
      </c>
      <c r="E3490" t="s">
        <v>36</v>
      </c>
      <c r="F3490" t="s">
        <v>2369</v>
      </c>
      <c r="G3490">
        <v>877782</v>
      </c>
      <c r="H3490" t="s">
        <v>26</v>
      </c>
      <c r="I3490" t="s">
        <v>2370</v>
      </c>
      <c r="J3490" t="str">
        <f>"9781118255407"</f>
        <v>9781118255407</v>
      </c>
      <c r="L3490">
        <v>0</v>
      </c>
      <c r="O3490" t="s">
        <v>30</v>
      </c>
      <c r="P3490" t="s">
        <v>29</v>
      </c>
      <c r="Q3490" s="1">
        <v>42326.862962962965</v>
      </c>
      <c r="R3490">
        <v>7</v>
      </c>
      <c r="S3490" t="s">
        <v>40</v>
      </c>
      <c r="T3490" t="s">
        <v>2372</v>
      </c>
      <c r="U3490">
        <v>599.9</v>
      </c>
      <c r="V3490" s="3">
        <v>40994</v>
      </c>
    </row>
    <row r="3491" spans="1:22" x14ac:dyDescent="0.35">
      <c r="A3491" s="1">
        <v>42326.862303240741</v>
      </c>
      <c r="B3491" s="2">
        <v>6.5972222222222213E-4</v>
      </c>
      <c r="C3491" t="s">
        <v>3434</v>
      </c>
      <c r="D3491" t="s">
        <v>35</v>
      </c>
      <c r="E3491" t="s">
        <v>36</v>
      </c>
      <c r="F3491" t="s">
        <v>2369</v>
      </c>
      <c r="G3491">
        <v>877782</v>
      </c>
      <c r="H3491" t="s">
        <v>26</v>
      </c>
      <c r="I3491" t="s">
        <v>2370</v>
      </c>
      <c r="J3491" t="str">
        <f>"9781118255407"</f>
        <v>9781118255407</v>
      </c>
      <c r="K3491" t="s">
        <v>33</v>
      </c>
      <c r="L3491">
        <v>3</v>
      </c>
      <c r="O3491" t="s">
        <v>30</v>
      </c>
      <c r="P3491" t="s">
        <v>42</v>
      </c>
      <c r="S3491" t="s">
        <v>40</v>
      </c>
      <c r="T3491" t="s">
        <v>2372</v>
      </c>
      <c r="U3491">
        <v>599.9</v>
      </c>
      <c r="V3491" s="3">
        <v>40994</v>
      </c>
    </row>
    <row r="3492" spans="1:22" x14ac:dyDescent="0.35">
      <c r="A3492" s="1">
        <v>42326.862083333333</v>
      </c>
      <c r="B3492" s="2">
        <v>6.9444444444444444E-5</v>
      </c>
      <c r="C3492" t="s">
        <v>3434</v>
      </c>
      <c r="D3492" t="s">
        <v>35</v>
      </c>
      <c r="E3492" t="s">
        <v>36</v>
      </c>
      <c r="F3492" t="s">
        <v>2369</v>
      </c>
      <c r="G3492">
        <v>877782</v>
      </c>
      <c r="H3492" t="s">
        <v>26</v>
      </c>
      <c r="I3492" t="s">
        <v>2370</v>
      </c>
      <c r="J3492" t="str">
        <f>"9781118255407"</f>
        <v>9781118255407</v>
      </c>
      <c r="K3492" t="s">
        <v>611</v>
      </c>
      <c r="L3492">
        <v>3</v>
      </c>
      <c r="O3492" t="s">
        <v>30</v>
      </c>
      <c r="P3492" t="s">
        <v>42</v>
      </c>
      <c r="S3492" t="s">
        <v>40</v>
      </c>
      <c r="T3492" t="s">
        <v>2372</v>
      </c>
      <c r="U3492">
        <v>599.9</v>
      </c>
      <c r="V3492" s="3">
        <v>40994</v>
      </c>
    </row>
    <row r="3493" spans="1:22" x14ac:dyDescent="0.35">
      <c r="A3493" s="1">
        <v>42326.860312500001</v>
      </c>
      <c r="B3493" s="2">
        <v>5.0347222222222225E-3</v>
      </c>
      <c r="C3493" t="s">
        <v>3942</v>
      </c>
      <c r="D3493" t="s">
        <v>35</v>
      </c>
      <c r="E3493" t="s">
        <v>36</v>
      </c>
      <c r="F3493" t="s">
        <v>3943</v>
      </c>
      <c r="G3493">
        <v>836167</v>
      </c>
      <c r="H3493" t="s">
        <v>149</v>
      </c>
      <c r="I3493" t="s">
        <v>3944</v>
      </c>
      <c r="J3493" t="str">
        <f>"9781438139487"</f>
        <v>9781438139487</v>
      </c>
      <c r="K3493" t="s">
        <v>6050</v>
      </c>
      <c r="L3493">
        <v>21</v>
      </c>
      <c r="O3493" t="s">
        <v>30</v>
      </c>
      <c r="P3493" t="s">
        <v>42</v>
      </c>
      <c r="S3493" t="s">
        <v>40</v>
      </c>
      <c r="T3493" t="s">
        <v>3946</v>
      </c>
      <c r="U3493" t="s">
        <v>3947</v>
      </c>
      <c r="V3493" s="3">
        <v>40848</v>
      </c>
    </row>
    <row r="3494" spans="1:22" x14ac:dyDescent="0.35">
      <c r="A3494" s="1">
        <v>42326.851041666669</v>
      </c>
      <c r="B3494" s="2">
        <v>5.1087962962962967E-2</v>
      </c>
      <c r="C3494" t="s">
        <v>4311</v>
      </c>
      <c r="D3494" t="s">
        <v>23</v>
      </c>
      <c r="E3494" t="s">
        <v>24</v>
      </c>
      <c r="F3494" t="s">
        <v>745</v>
      </c>
      <c r="G3494">
        <v>1166322</v>
      </c>
      <c r="H3494" t="s">
        <v>26</v>
      </c>
      <c r="I3494" t="s">
        <v>200</v>
      </c>
      <c r="J3494" t="str">
        <f>"9781118418512"</f>
        <v>9781118418512</v>
      </c>
      <c r="K3494" t="s">
        <v>6051</v>
      </c>
      <c r="L3494">
        <v>54</v>
      </c>
      <c r="O3494" t="s">
        <v>30</v>
      </c>
      <c r="P3494" t="s">
        <v>29</v>
      </c>
      <c r="Q3494" s="1">
        <v>42320.434444444443</v>
      </c>
      <c r="R3494">
        <v>7</v>
      </c>
      <c r="S3494" t="s">
        <v>31</v>
      </c>
      <c r="T3494" t="s">
        <v>747</v>
      </c>
      <c r="U3494">
        <v>720.072</v>
      </c>
      <c r="V3494" s="3">
        <v>41367</v>
      </c>
    </row>
    <row r="3495" spans="1:22" x14ac:dyDescent="0.35">
      <c r="A3495" s="1">
        <v>42326.841597222221</v>
      </c>
      <c r="B3495" s="2">
        <v>3.4722222222222222E-5</v>
      </c>
      <c r="C3495" t="s">
        <v>106</v>
      </c>
      <c r="D3495" t="s">
        <v>23</v>
      </c>
      <c r="E3495" t="s">
        <v>24</v>
      </c>
      <c r="F3495" t="s">
        <v>4937</v>
      </c>
      <c r="G3495">
        <v>818101</v>
      </c>
      <c r="H3495" t="s">
        <v>26</v>
      </c>
      <c r="I3495" t="s">
        <v>4938</v>
      </c>
      <c r="J3495" t="str">
        <f>"9781118225844"</f>
        <v>9781118225844</v>
      </c>
      <c r="K3495" t="s">
        <v>33</v>
      </c>
      <c r="L3495">
        <v>3</v>
      </c>
      <c r="O3495" t="s">
        <v>30</v>
      </c>
      <c r="P3495" t="s">
        <v>29</v>
      </c>
      <c r="Q3495" s="1">
        <v>42326.836724537039</v>
      </c>
      <c r="R3495">
        <v>7</v>
      </c>
      <c r="S3495" t="s">
        <v>31</v>
      </c>
      <c r="T3495" t="s">
        <v>4940</v>
      </c>
      <c r="U3495" t="s">
        <v>4941</v>
      </c>
      <c r="V3495" s="3">
        <v>40947</v>
      </c>
    </row>
    <row r="3496" spans="1:22" x14ac:dyDescent="0.35">
      <c r="A3496" s="1">
        <v>42326.838993055557</v>
      </c>
      <c r="B3496" s="2">
        <v>1.1307870370370371E-2</v>
      </c>
      <c r="C3496" t="s">
        <v>5858</v>
      </c>
      <c r="D3496" t="s">
        <v>35</v>
      </c>
      <c r="E3496" t="s">
        <v>36</v>
      </c>
      <c r="F3496" t="s">
        <v>6052</v>
      </c>
      <c r="G3496">
        <v>1479927</v>
      </c>
      <c r="H3496" t="s">
        <v>68</v>
      </c>
      <c r="I3496" t="s">
        <v>120</v>
      </c>
      <c r="J3496" t="str">
        <f>"9781134566952"</f>
        <v>9781134566952</v>
      </c>
      <c r="K3496" t="s">
        <v>6053</v>
      </c>
      <c r="L3496">
        <v>4</v>
      </c>
      <c r="O3496" t="s">
        <v>30</v>
      </c>
      <c r="P3496" t="s">
        <v>47</v>
      </c>
      <c r="Q3496" s="1">
        <v>42326.838969907411</v>
      </c>
      <c r="R3496">
        <v>1</v>
      </c>
      <c r="S3496" t="s">
        <v>40</v>
      </c>
      <c r="T3496" t="s">
        <v>6054</v>
      </c>
      <c r="U3496">
        <v>305.42009999999999</v>
      </c>
      <c r="V3496" s="3">
        <v>32933</v>
      </c>
    </row>
    <row r="3497" spans="1:22" x14ac:dyDescent="0.35">
      <c r="A3497" s="1">
        <v>42326.838958333334</v>
      </c>
      <c r="B3497" s="2">
        <v>0</v>
      </c>
      <c r="C3497" t="s">
        <v>106</v>
      </c>
      <c r="D3497" t="s">
        <v>23</v>
      </c>
      <c r="E3497" t="s">
        <v>24</v>
      </c>
      <c r="F3497" t="s">
        <v>4937</v>
      </c>
      <c r="G3497">
        <v>818101</v>
      </c>
      <c r="H3497" t="s">
        <v>26</v>
      </c>
      <c r="I3497" t="s">
        <v>4938</v>
      </c>
      <c r="J3497" t="str">
        <f t="shared" ref="J3497:J3505" si="24">"9781118225844"</f>
        <v>9781118225844</v>
      </c>
      <c r="L3497">
        <v>0</v>
      </c>
      <c r="O3497" t="s">
        <v>28</v>
      </c>
      <c r="P3497" t="s">
        <v>29</v>
      </c>
      <c r="Q3497" s="1">
        <v>42326.836724537039</v>
      </c>
      <c r="R3497">
        <v>7</v>
      </c>
      <c r="S3497" t="s">
        <v>31</v>
      </c>
      <c r="T3497" t="s">
        <v>4940</v>
      </c>
      <c r="U3497" t="s">
        <v>4941</v>
      </c>
      <c r="V3497" s="3">
        <v>40947</v>
      </c>
    </row>
    <row r="3498" spans="1:22" x14ac:dyDescent="0.35">
      <c r="A3498" s="1">
        <v>42326.838819444441</v>
      </c>
      <c r="B3498" s="2">
        <v>4.6296296296296294E-5</v>
      </c>
      <c r="C3498" t="s">
        <v>106</v>
      </c>
      <c r="D3498" t="s">
        <v>23</v>
      </c>
      <c r="E3498" t="s">
        <v>24</v>
      </c>
      <c r="F3498" t="s">
        <v>4937</v>
      </c>
      <c r="G3498">
        <v>818101</v>
      </c>
      <c r="H3498" t="s">
        <v>26</v>
      </c>
      <c r="I3498" t="s">
        <v>4938</v>
      </c>
      <c r="J3498" t="str">
        <f t="shared" si="24"/>
        <v>9781118225844</v>
      </c>
      <c r="K3498" t="s">
        <v>33</v>
      </c>
      <c r="L3498">
        <v>3</v>
      </c>
      <c r="O3498" t="s">
        <v>30</v>
      </c>
      <c r="P3498" t="s">
        <v>29</v>
      </c>
      <c r="Q3498" s="1">
        <v>42326.836724537039</v>
      </c>
      <c r="R3498">
        <v>7</v>
      </c>
      <c r="S3498" t="s">
        <v>31</v>
      </c>
      <c r="T3498" t="s">
        <v>4940</v>
      </c>
      <c r="U3498" t="s">
        <v>4941</v>
      </c>
      <c r="V3498" s="3">
        <v>40947</v>
      </c>
    </row>
    <row r="3499" spans="1:22" x14ac:dyDescent="0.35">
      <c r="A3499" s="1">
        <v>42326.837592592594</v>
      </c>
      <c r="B3499" s="2">
        <v>1.0300925925925926E-3</v>
      </c>
      <c r="C3499" t="s">
        <v>106</v>
      </c>
      <c r="D3499" t="s">
        <v>23</v>
      </c>
      <c r="E3499" t="s">
        <v>24</v>
      </c>
      <c r="F3499" t="s">
        <v>4937</v>
      </c>
      <c r="G3499">
        <v>818101</v>
      </c>
      <c r="H3499" t="s">
        <v>26</v>
      </c>
      <c r="I3499" t="s">
        <v>4938</v>
      </c>
      <c r="J3499" t="str">
        <f t="shared" si="24"/>
        <v>9781118225844</v>
      </c>
      <c r="K3499" t="s">
        <v>6055</v>
      </c>
      <c r="L3499">
        <v>3</v>
      </c>
      <c r="O3499" t="s">
        <v>28</v>
      </c>
      <c r="P3499" t="s">
        <v>29</v>
      </c>
      <c r="Q3499" s="1">
        <v>42326.836724537039</v>
      </c>
      <c r="R3499">
        <v>7</v>
      </c>
      <c r="S3499" t="s">
        <v>31</v>
      </c>
      <c r="T3499" t="s">
        <v>4940</v>
      </c>
      <c r="U3499" t="s">
        <v>4941</v>
      </c>
      <c r="V3499" s="3">
        <v>40947</v>
      </c>
    </row>
    <row r="3500" spans="1:22" x14ac:dyDescent="0.35">
      <c r="A3500" s="1">
        <v>42326.837476851855</v>
      </c>
      <c r="B3500" s="2">
        <v>3.4722222222222222E-5</v>
      </c>
      <c r="C3500" t="s">
        <v>106</v>
      </c>
      <c r="D3500" t="s">
        <v>23</v>
      </c>
      <c r="E3500" t="s">
        <v>24</v>
      </c>
      <c r="F3500" t="s">
        <v>4937</v>
      </c>
      <c r="G3500">
        <v>818101</v>
      </c>
      <c r="H3500" t="s">
        <v>26</v>
      </c>
      <c r="I3500" t="s">
        <v>4938</v>
      </c>
      <c r="J3500" t="str">
        <f t="shared" si="24"/>
        <v>9781118225844</v>
      </c>
      <c r="K3500" t="s">
        <v>33</v>
      </c>
      <c r="L3500">
        <v>3</v>
      </c>
      <c r="O3500" t="s">
        <v>30</v>
      </c>
      <c r="P3500" t="s">
        <v>29</v>
      </c>
      <c r="Q3500" s="1">
        <v>42326.836724537039</v>
      </c>
      <c r="R3500">
        <v>7</v>
      </c>
      <c r="S3500" t="s">
        <v>31</v>
      </c>
      <c r="T3500" t="s">
        <v>4940</v>
      </c>
      <c r="U3500" t="s">
        <v>4941</v>
      </c>
      <c r="V3500" s="3">
        <v>40947</v>
      </c>
    </row>
    <row r="3501" spans="1:22" x14ac:dyDescent="0.35">
      <c r="A3501" s="1">
        <v>42326.837314814817</v>
      </c>
      <c r="B3501" s="2">
        <v>0</v>
      </c>
      <c r="C3501" t="s">
        <v>106</v>
      </c>
      <c r="D3501" t="s">
        <v>23</v>
      </c>
      <c r="E3501" t="s">
        <v>24</v>
      </c>
      <c r="F3501" t="s">
        <v>4937</v>
      </c>
      <c r="G3501">
        <v>818101</v>
      </c>
      <c r="H3501" t="s">
        <v>26</v>
      </c>
      <c r="I3501" t="s">
        <v>4938</v>
      </c>
      <c r="J3501" t="str">
        <f t="shared" si="24"/>
        <v>9781118225844</v>
      </c>
      <c r="L3501">
        <v>0</v>
      </c>
      <c r="O3501" t="s">
        <v>28</v>
      </c>
      <c r="P3501" t="s">
        <v>29</v>
      </c>
      <c r="Q3501" s="1">
        <v>42326.836724537039</v>
      </c>
      <c r="R3501">
        <v>7</v>
      </c>
      <c r="S3501" t="s">
        <v>31</v>
      </c>
      <c r="T3501" t="s">
        <v>4940</v>
      </c>
      <c r="U3501" t="s">
        <v>4941</v>
      </c>
      <c r="V3501" s="3">
        <v>40947</v>
      </c>
    </row>
    <row r="3502" spans="1:22" x14ac:dyDescent="0.35">
      <c r="A3502" s="1">
        <v>42326.837268518517</v>
      </c>
      <c r="B3502" s="2">
        <v>0</v>
      </c>
      <c r="C3502" t="s">
        <v>106</v>
      </c>
      <c r="D3502" t="s">
        <v>23</v>
      </c>
      <c r="E3502" t="s">
        <v>24</v>
      </c>
      <c r="F3502" t="s">
        <v>4937</v>
      </c>
      <c r="G3502">
        <v>818101</v>
      </c>
      <c r="H3502" t="s">
        <v>26</v>
      </c>
      <c r="I3502" t="s">
        <v>4938</v>
      </c>
      <c r="J3502" t="str">
        <f t="shared" si="24"/>
        <v>9781118225844</v>
      </c>
      <c r="L3502">
        <v>0</v>
      </c>
      <c r="O3502" t="s">
        <v>28</v>
      </c>
      <c r="P3502" t="s">
        <v>29</v>
      </c>
      <c r="Q3502" s="1">
        <v>42326.836724537039</v>
      </c>
      <c r="R3502">
        <v>7</v>
      </c>
      <c r="S3502" t="s">
        <v>31</v>
      </c>
      <c r="T3502" t="s">
        <v>4940</v>
      </c>
      <c r="U3502" t="s">
        <v>4941</v>
      </c>
      <c r="V3502" s="3">
        <v>40947</v>
      </c>
    </row>
    <row r="3503" spans="1:22" x14ac:dyDescent="0.35">
      <c r="A3503" s="1">
        <v>42326.837152777778</v>
      </c>
      <c r="B3503" s="2">
        <v>0</v>
      </c>
      <c r="C3503" t="s">
        <v>106</v>
      </c>
      <c r="D3503" t="s">
        <v>23</v>
      </c>
      <c r="E3503" t="s">
        <v>24</v>
      </c>
      <c r="F3503" t="s">
        <v>4937</v>
      </c>
      <c r="G3503">
        <v>818101</v>
      </c>
      <c r="H3503" t="s">
        <v>26</v>
      </c>
      <c r="I3503" t="s">
        <v>4938</v>
      </c>
      <c r="J3503" t="str">
        <f t="shared" si="24"/>
        <v>9781118225844</v>
      </c>
      <c r="L3503">
        <v>0</v>
      </c>
      <c r="O3503" t="s">
        <v>28</v>
      </c>
      <c r="P3503" t="s">
        <v>29</v>
      </c>
      <c r="Q3503" s="1">
        <v>42326.836724537039</v>
      </c>
      <c r="R3503">
        <v>7</v>
      </c>
      <c r="S3503" t="s">
        <v>31</v>
      </c>
      <c r="T3503" t="s">
        <v>4940</v>
      </c>
      <c r="U3503" t="s">
        <v>4941</v>
      </c>
      <c r="V3503" s="3">
        <v>40947</v>
      </c>
    </row>
    <row r="3504" spans="1:22" x14ac:dyDescent="0.35">
      <c r="A3504" s="1">
        <v>42326.836724537039</v>
      </c>
      <c r="B3504" s="2">
        <v>0</v>
      </c>
      <c r="C3504" t="s">
        <v>106</v>
      </c>
      <c r="D3504" t="s">
        <v>23</v>
      </c>
      <c r="E3504" t="s">
        <v>24</v>
      </c>
      <c r="F3504" t="s">
        <v>4937</v>
      </c>
      <c r="G3504">
        <v>818101</v>
      </c>
      <c r="H3504" t="s">
        <v>26</v>
      </c>
      <c r="I3504" t="s">
        <v>4938</v>
      </c>
      <c r="J3504" t="str">
        <f t="shared" si="24"/>
        <v>9781118225844</v>
      </c>
      <c r="L3504">
        <v>0</v>
      </c>
      <c r="O3504" t="s">
        <v>28</v>
      </c>
      <c r="P3504" t="s">
        <v>29</v>
      </c>
      <c r="Q3504" s="1">
        <v>42326.836724537039</v>
      </c>
      <c r="R3504">
        <v>7</v>
      </c>
      <c r="S3504" t="s">
        <v>31</v>
      </c>
      <c r="T3504" t="s">
        <v>4940</v>
      </c>
      <c r="U3504" t="s">
        <v>4941</v>
      </c>
      <c r="V3504" s="3">
        <v>40947</v>
      </c>
    </row>
    <row r="3505" spans="1:22" x14ac:dyDescent="0.35">
      <c r="A3505" s="1">
        <v>42326.836724537039</v>
      </c>
      <c r="B3505" s="2">
        <v>0</v>
      </c>
      <c r="C3505" t="s">
        <v>106</v>
      </c>
      <c r="D3505" t="s">
        <v>23</v>
      </c>
      <c r="E3505" t="s">
        <v>24</v>
      </c>
      <c r="F3505" t="s">
        <v>4937</v>
      </c>
      <c r="G3505">
        <v>818101</v>
      </c>
      <c r="H3505" t="s">
        <v>26</v>
      </c>
      <c r="I3505" t="s">
        <v>4938</v>
      </c>
      <c r="J3505" t="str">
        <f t="shared" si="24"/>
        <v>9781118225844</v>
      </c>
      <c r="L3505">
        <v>0</v>
      </c>
      <c r="O3505" t="s">
        <v>30</v>
      </c>
      <c r="P3505" t="s">
        <v>29</v>
      </c>
      <c r="Q3505" s="1">
        <v>42326.836724537039</v>
      </c>
      <c r="R3505">
        <v>7</v>
      </c>
      <c r="S3505" t="s">
        <v>31</v>
      </c>
      <c r="T3505" t="s">
        <v>4940</v>
      </c>
      <c r="U3505" t="s">
        <v>4941</v>
      </c>
      <c r="V3505" s="3">
        <v>40947</v>
      </c>
    </row>
    <row r="3506" spans="1:22" x14ac:dyDescent="0.35">
      <c r="A3506" s="1">
        <v>42326.835486111115</v>
      </c>
      <c r="B3506" s="2">
        <v>3.483796296296296E-3</v>
      </c>
      <c r="C3506" t="s">
        <v>5858</v>
      </c>
      <c r="D3506" t="s">
        <v>35</v>
      </c>
      <c r="E3506" t="s">
        <v>36</v>
      </c>
      <c r="F3506" t="s">
        <v>6052</v>
      </c>
      <c r="G3506">
        <v>1479927</v>
      </c>
      <c r="H3506" t="s">
        <v>68</v>
      </c>
      <c r="I3506" t="s">
        <v>120</v>
      </c>
      <c r="J3506" t="str">
        <f>"9781134566952"</f>
        <v>9781134566952</v>
      </c>
      <c r="K3506" t="s">
        <v>6056</v>
      </c>
      <c r="L3506">
        <v>9</v>
      </c>
      <c r="O3506" t="s">
        <v>30</v>
      </c>
      <c r="P3506" t="s">
        <v>50</v>
      </c>
      <c r="S3506" t="s">
        <v>40</v>
      </c>
      <c r="T3506" t="s">
        <v>6054</v>
      </c>
      <c r="U3506">
        <v>305.42009999999999</v>
      </c>
      <c r="V3506" s="3">
        <v>32933</v>
      </c>
    </row>
    <row r="3507" spans="1:22" x14ac:dyDescent="0.35">
      <c r="A3507" s="1">
        <v>42326.832314814812</v>
      </c>
      <c r="B3507" s="2">
        <v>4.409722222222222E-3</v>
      </c>
      <c r="C3507" t="s">
        <v>106</v>
      </c>
      <c r="D3507" t="s">
        <v>23</v>
      </c>
      <c r="E3507" t="s">
        <v>24</v>
      </c>
      <c r="F3507" t="s">
        <v>4937</v>
      </c>
      <c r="G3507">
        <v>818101</v>
      </c>
      <c r="H3507" t="s">
        <v>26</v>
      </c>
      <c r="I3507" t="s">
        <v>4938</v>
      </c>
      <c r="J3507" t="str">
        <f>"9781118225844"</f>
        <v>9781118225844</v>
      </c>
      <c r="K3507" t="s">
        <v>6057</v>
      </c>
      <c r="L3507">
        <v>3</v>
      </c>
      <c r="O3507" t="s">
        <v>30</v>
      </c>
      <c r="P3507" t="s">
        <v>42</v>
      </c>
      <c r="S3507" t="s">
        <v>31</v>
      </c>
      <c r="T3507" t="s">
        <v>4940</v>
      </c>
      <c r="U3507" t="s">
        <v>4941</v>
      </c>
      <c r="V3507" s="3">
        <v>40947</v>
      </c>
    </row>
    <row r="3508" spans="1:22" x14ac:dyDescent="0.35">
      <c r="A3508" s="1">
        <v>42326.810300925928</v>
      </c>
      <c r="B3508" s="2">
        <v>0</v>
      </c>
      <c r="C3508" t="s">
        <v>6058</v>
      </c>
      <c r="D3508" t="s">
        <v>2519</v>
      </c>
      <c r="E3508" t="s">
        <v>2520</v>
      </c>
      <c r="F3508" t="s">
        <v>6059</v>
      </c>
      <c r="G3508">
        <v>4037949</v>
      </c>
      <c r="H3508" t="s">
        <v>26</v>
      </c>
      <c r="I3508" t="s">
        <v>187</v>
      </c>
      <c r="J3508" t="str">
        <f>"9781118708361"</f>
        <v>9781118708361</v>
      </c>
      <c r="L3508">
        <v>0</v>
      </c>
      <c r="O3508" t="s">
        <v>30</v>
      </c>
      <c r="P3508" t="s">
        <v>47</v>
      </c>
      <c r="Q3508" s="1">
        <v>42326.810300925928</v>
      </c>
      <c r="R3508">
        <v>1</v>
      </c>
      <c r="S3508" t="s">
        <v>3786</v>
      </c>
      <c r="U3508">
        <v>636.108971</v>
      </c>
      <c r="V3508" s="3">
        <v>41360</v>
      </c>
    </row>
    <row r="3509" spans="1:22" x14ac:dyDescent="0.35">
      <c r="A3509" s="1">
        <v>42326.809756944444</v>
      </c>
      <c r="B3509" s="2">
        <v>6.6550925925925935E-3</v>
      </c>
      <c r="C3509" t="s">
        <v>6004</v>
      </c>
      <c r="D3509" t="s">
        <v>117</v>
      </c>
      <c r="E3509" t="s">
        <v>118</v>
      </c>
      <c r="F3509" t="s">
        <v>6037</v>
      </c>
      <c r="G3509">
        <v>844066</v>
      </c>
      <c r="H3509" t="s">
        <v>26</v>
      </c>
      <c r="I3509" t="s">
        <v>108</v>
      </c>
      <c r="J3509" t="str">
        <f>"9781444347425"</f>
        <v>9781444347425</v>
      </c>
      <c r="K3509" t="s">
        <v>6060</v>
      </c>
      <c r="L3509">
        <v>59</v>
      </c>
      <c r="O3509" t="s">
        <v>30</v>
      </c>
      <c r="P3509" t="s">
        <v>29</v>
      </c>
      <c r="Q3509" s="1">
        <v>42326.098171296297</v>
      </c>
      <c r="R3509">
        <v>7</v>
      </c>
      <c r="S3509" t="s">
        <v>121</v>
      </c>
      <c r="T3509" t="s">
        <v>6040</v>
      </c>
      <c r="U3509" t="s">
        <v>6041</v>
      </c>
      <c r="V3509" s="3">
        <v>40925</v>
      </c>
    </row>
    <row r="3510" spans="1:22" x14ac:dyDescent="0.35">
      <c r="A3510" s="1">
        <v>42326.809618055559</v>
      </c>
      <c r="B3510" s="2">
        <v>6.8287037037037025E-4</v>
      </c>
      <c r="C3510" t="s">
        <v>6058</v>
      </c>
      <c r="D3510" t="s">
        <v>2519</v>
      </c>
      <c r="E3510" t="s">
        <v>2520</v>
      </c>
      <c r="F3510" t="s">
        <v>6059</v>
      </c>
      <c r="G3510">
        <v>4037949</v>
      </c>
      <c r="H3510" t="s">
        <v>26</v>
      </c>
      <c r="I3510" t="s">
        <v>187</v>
      </c>
      <c r="J3510" t="str">
        <f>"9781118708361"</f>
        <v>9781118708361</v>
      </c>
      <c r="K3510" t="s">
        <v>6061</v>
      </c>
      <c r="L3510">
        <v>10</v>
      </c>
      <c r="O3510" t="s">
        <v>30</v>
      </c>
      <c r="P3510" t="s">
        <v>50</v>
      </c>
      <c r="S3510" t="s">
        <v>3786</v>
      </c>
      <c r="U3510">
        <v>636.108971</v>
      </c>
      <c r="V3510" s="3">
        <v>41360</v>
      </c>
    </row>
    <row r="3511" spans="1:22" x14ac:dyDescent="0.35">
      <c r="A3511" s="1">
        <v>42326.808842592596</v>
      </c>
      <c r="B3511" s="2">
        <v>7.407407407407407E-4</v>
      </c>
      <c r="C3511" t="s">
        <v>6004</v>
      </c>
      <c r="D3511" t="s">
        <v>117</v>
      </c>
      <c r="E3511" t="s">
        <v>118</v>
      </c>
      <c r="F3511" t="s">
        <v>6062</v>
      </c>
      <c r="G3511">
        <v>1330317</v>
      </c>
      <c r="H3511" t="s">
        <v>526</v>
      </c>
      <c r="I3511" t="s">
        <v>108</v>
      </c>
      <c r="J3511" t="str">
        <f>"9780226030616"</f>
        <v>9780226030616</v>
      </c>
      <c r="K3511" t="s">
        <v>6063</v>
      </c>
      <c r="L3511">
        <v>28</v>
      </c>
      <c r="O3511" t="s">
        <v>30</v>
      </c>
      <c r="P3511" t="s">
        <v>50</v>
      </c>
      <c r="S3511" t="s">
        <v>121</v>
      </c>
      <c r="T3511" t="s">
        <v>2049</v>
      </c>
      <c r="U3511">
        <v>332.10973000000001</v>
      </c>
      <c r="V3511" s="3">
        <v>41505</v>
      </c>
    </row>
    <row r="3512" spans="1:22" x14ac:dyDescent="0.35">
      <c r="A3512" s="1">
        <v>42326.80777777778</v>
      </c>
      <c r="B3512" s="2">
        <v>7.8703703703703705E-4</v>
      </c>
      <c r="C3512" t="s">
        <v>6004</v>
      </c>
      <c r="D3512" t="s">
        <v>117</v>
      </c>
      <c r="E3512" t="s">
        <v>118</v>
      </c>
      <c r="F3512" t="s">
        <v>2048</v>
      </c>
      <c r="G3512">
        <v>1728048</v>
      </c>
      <c r="H3512" t="s">
        <v>526</v>
      </c>
      <c r="I3512" t="s">
        <v>445</v>
      </c>
      <c r="J3512" t="str">
        <f>"9780226093284"</f>
        <v>9780226093284</v>
      </c>
      <c r="K3512" t="s">
        <v>6064</v>
      </c>
      <c r="L3512">
        <v>19</v>
      </c>
      <c r="O3512" t="s">
        <v>30</v>
      </c>
      <c r="P3512" t="s">
        <v>47</v>
      </c>
      <c r="Q3512" s="1">
        <v>42326.095023148147</v>
      </c>
      <c r="R3512">
        <v>7</v>
      </c>
      <c r="S3512" t="s">
        <v>121</v>
      </c>
      <c r="T3512" t="s">
        <v>2049</v>
      </c>
      <c r="U3512" t="s">
        <v>2050</v>
      </c>
      <c r="V3512" s="3">
        <v>41929</v>
      </c>
    </row>
    <row r="3513" spans="1:22" x14ac:dyDescent="0.35">
      <c r="A3513" s="1">
        <v>42326.792847222219</v>
      </c>
      <c r="B3513" s="2">
        <v>6.0486111111111109E-2</v>
      </c>
      <c r="C3513" t="s">
        <v>471</v>
      </c>
      <c r="D3513" t="s">
        <v>211</v>
      </c>
      <c r="E3513" t="s">
        <v>212</v>
      </c>
      <c r="F3513" t="s">
        <v>1182</v>
      </c>
      <c r="G3513">
        <v>1557279</v>
      </c>
      <c r="H3513" t="s">
        <v>26</v>
      </c>
      <c r="I3513" t="s">
        <v>97</v>
      </c>
      <c r="J3513" t="str">
        <f>"9781118863664"</f>
        <v>9781118863664</v>
      </c>
      <c r="K3513" t="s">
        <v>6065</v>
      </c>
      <c r="L3513">
        <v>64</v>
      </c>
      <c r="O3513" t="s">
        <v>30</v>
      </c>
      <c r="P3513" t="s">
        <v>29</v>
      </c>
      <c r="Q3513" s="1">
        <v>42325.819016203706</v>
      </c>
      <c r="R3513">
        <v>7</v>
      </c>
      <c r="S3513" t="s">
        <v>214</v>
      </c>
      <c r="T3513" t="s">
        <v>1183</v>
      </c>
      <c r="U3513">
        <v>657.37800000000004</v>
      </c>
      <c r="V3513" s="3">
        <v>41585</v>
      </c>
    </row>
    <row r="3514" spans="1:22" x14ac:dyDescent="0.35">
      <c r="A3514" s="1">
        <v>42326.790196759262</v>
      </c>
      <c r="B3514" s="2">
        <v>3.6562499999999998E-2</v>
      </c>
      <c r="C3514" t="s">
        <v>6066</v>
      </c>
      <c r="D3514" t="s">
        <v>23</v>
      </c>
      <c r="E3514" t="s">
        <v>24</v>
      </c>
      <c r="F3514" t="s">
        <v>5248</v>
      </c>
      <c r="G3514">
        <v>1120538</v>
      </c>
      <c r="H3514" t="s">
        <v>613</v>
      </c>
      <c r="I3514" t="s">
        <v>661</v>
      </c>
      <c r="J3514" t="str">
        <f>"9781469608082"</f>
        <v>9781469608082</v>
      </c>
      <c r="K3514" t="s">
        <v>6067</v>
      </c>
      <c r="L3514">
        <v>23</v>
      </c>
      <c r="O3514" t="s">
        <v>30</v>
      </c>
      <c r="P3514" t="s">
        <v>47</v>
      </c>
      <c r="Q3514" s="1">
        <v>42326.163518518515</v>
      </c>
      <c r="R3514">
        <v>1</v>
      </c>
      <c r="S3514" t="s">
        <v>31</v>
      </c>
      <c r="T3514" t="s">
        <v>5249</v>
      </c>
      <c r="U3514">
        <v>599.77309700000001</v>
      </c>
      <c r="V3514" s="3">
        <v>41417</v>
      </c>
    </row>
    <row r="3515" spans="1:22" x14ac:dyDescent="0.35">
      <c r="A3515" s="1">
        <v>42326.761817129627</v>
      </c>
      <c r="B3515" s="2">
        <v>3.1249999999999997E-3</v>
      </c>
      <c r="C3515" t="s">
        <v>6068</v>
      </c>
      <c r="D3515" t="s">
        <v>261</v>
      </c>
      <c r="E3515" t="s">
        <v>262</v>
      </c>
      <c r="F3515" t="s">
        <v>6069</v>
      </c>
      <c r="G3515">
        <v>836174</v>
      </c>
      <c r="H3515" t="s">
        <v>149</v>
      </c>
      <c r="I3515" t="s">
        <v>172</v>
      </c>
      <c r="J3515" t="str">
        <f>"9781438139685"</f>
        <v>9781438139685</v>
      </c>
      <c r="K3515" t="s">
        <v>6070</v>
      </c>
      <c r="L3515">
        <v>17</v>
      </c>
      <c r="O3515" t="s">
        <v>30</v>
      </c>
      <c r="P3515" t="s">
        <v>42</v>
      </c>
      <c r="S3515" t="s">
        <v>264</v>
      </c>
      <c r="T3515" t="s">
        <v>6071</v>
      </c>
      <c r="U3515">
        <v>941.50810000000001</v>
      </c>
      <c r="V3515" s="3">
        <v>40848</v>
      </c>
    </row>
    <row r="3516" spans="1:22" x14ac:dyDescent="0.35">
      <c r="A3516" s="1">
        <v>42326.758090277777</v>
      </c>
      <c r="B3516" s="2">
        <v>1.9212962962962962E-3</v>
      </c>
      <c r="C3516" t="s">
        <v>5865</v>
      </c>
      <c r="D3516" t="s">
        <v>35</v>
      </c>
      <c r="E3516" t="s">
        <v>36</v>
      </c>
      <c r="F3516" t="s">
        <v>986</v>
      </c>
      <c r="G3516">
        <v>968030</v>
      </c>
      <c r="H3516" t="s">
        <v>26</v>
      </c>
      <c r="I3516" t="s">
        <v>219</v>
      </c>
      <c r="J3516" t="str">
        <f>"9781118285138"</f>
        <v>9781118285138</v>
      </c>
      <c r="K3516" t="s">
        <v>6072</v>
      </c>
      <c r="L3516">
        <v>9</v>
      </c>
      <c r="O3516" t="s">
        <v>30</v>
      </c>
      <c r="P3516" t="s">
        <v>42</v>
      </c>
      <c r="S3516" t="s">
        <v>40</v>
      </c>
      <c r="T3516" t="s">
        <v>987</v>
      </c>
      <c r="U3516">
        <v>158.30000000000001</v>
      </c>
      <c r="V3516" s="3">
        <v>41100</v>
      </c>
    </row>
    <row r="3517" spans="1:22" x14ac:dyDescent="0.35">
      <c r="A3517" s="1">
        <v>42326.722650462965</v>
      </c>
      <c r="B3517" s="2">
        <v>4.6296296296296294E-5</v>
      </c>
      <c r="C3517" t="s">
        <v>5315</v>
      </c>
      <c r="D3517" t="s">
        <v>23</v>
      </c>
      <c r="E3517" t="s">
        <v>24</v>
      </c>
      <c r="F3517" t="s">
        <v>4411</v>
      </c>
      <c r="G3517">
        <v>1808795</v>
      </c>
      <c r="H3517" t="s">
        <v>45</v>
      </c>
      <c r="I3517" t="s">
        <v>200</v>
      </c>
      <c r="J3517" t="str">
        <f>"9781472447951"</f>
        <v>9781472447951</v>
      </c>
      <c r="K3517" t="s">
        <v>33</v>
      </c>
      <c r="L3517">
        <v>3</v>
      </c>
      <c r="O3517" t="s">
        <v>30</v>
      </c>
      <c r="P3517" t="s">
        <v>47</v>
      </c>
      <c r="Q3517" s="1">
        <v>42325.901226851849</v>
      </c>
      <c r="R3517">
        <v>1</v>
      </c>
      <c r="S3517" t="s">
        <v>31</v>
      </c>
      <c r="T3517" t="s">
        <v>4413</v>
      </c>
      <c r="U3517" t="s">
        <v>4414</v>
      </c>
      <c r="V3517" s="3">
        <v>41971</v>
      </c>
    </row>
    <row r="3518" spans="1:22" x14ac:dyDescent="0.35">
      <c r="A3518" s="1">
        <v>42326.70653935185</v>
      </c>
      <c r="B3518" s="2">
        <v>5.4513888888888884E-3</v>
      </c>
      <c r="C3518" t="s">
        <v>106</v>
      </c>
      <c r="D3518" t="s">
        <v>23</v>
      </c>
      <c r="E3518" t="s">
        <v>24</v>
      </c>
      <c r="F3518" t="s">
        <v>78</v>
      </c>
      <c r="G3518">
        <v>1635363</v>
      </c>
      <c r="H3518" t="s">
        <v>26</v>
      </c>
      <c r="I3518" t="s">
        <v>79</v>
      </c>
      <c r="J3518" t="str">
        <f>"9781118678206"</f>
        <v>9781118678206</v>
      </c>
      <c r="K3518" t="s">
        <v>6073</v>
      </c>
      <c r="L3518">
        <v>13</v>
      </c>
      <c r="O3518" t="s">
        <v>30</v>
      </c>
      <c r="P3518" t="s">
        <v>29</v>
      </c>
      <c r="Q3518" s="1">
        <v>42325.831620370373</v>
      </c>
      <c r="R3518">
        <v>7</v>
      </c>
      <c r="S3518" t="s">
        <v>31</v>
      </c>
      <c r="T3518" t="s">
        <v>81</v>
      </c>
      <c r="U3518">
        <v>340.07600000000002</v>
      </c>
      <c r="V3518" s="3">
        <v>41684</v>
      </c>
    </row>
    <row r="3519" spans="1:22" x14ac:dyDescent="0.35">
      <c r="A3519" s="1">
        <v>42326.705474537041</v>
      </c>
      <c r="B3519" s="2">
        <v>0</v>
      </c>
      <c r="C3519" t="s">
        <v>6074</v>
      </c>
      <c r="D3519" t="s">
        <v>117</v>
      </c>
      <c r="E3519" t="s">
        <v>118</v>
      </c>
      <c r="F3519" t="s">
        <v>4767</v>
      </c>
      <c r="G3519">
        <v>320579</v>
      </c>
      <c r="H3519" t="s">
        <v>91</v>
      </c>
      <c r="I3519" t="s">
        <v>247</v>
      </c>
      <c r="J3519" t="str">
        <f>"9781593857332"</f>
        <v>9781593857332</v>
      </c>
      <c r="L3519">
        <v>0</v>
      </c>
      <c r="O3519" t="s">
        <v>28</v>
      </c>
      <c r="P3519" t="s">
        <v>47</v>
      </c>
      <c r="Q3519" s="1">
        <v>42326.705474537041</v>
      </c>
      <c r="R3519">
        <v>1</v>
      </c>
      <c r="S3519" t="s">
        <v>121</v>
      </c>
      <c r="T3519" t="s">
        <v>4768</v>
      </c>
      <c r="U3519">
        <v>616.85209999999995</v>
      </c>
      <c r="V3519" s="3">
        <v>41773</v>
      </c>
    </row>
    <row r="3520" spans="1:22" x14ac:dyDescent="0.35">
      <c r="A3520" s="1">
        <v>42326.705474537041</v>
      </c>
      <c r="B3520" s="2">
        <v>0</v>
      </c>
      <c r="C3520" t="s">
        <v>6074</v>
      </c>
      <c r="D3520" t="s">
        <v>117</v>
      </c>
      <c r="E3520" t="s">
        <v>118</v>
      </c>
      <c r="F3520" t="s">
        <v>4767</v>
      </c>
      <c r="G3520">
        <v>320579</v>
      </c>
      <c r="H3520" t="s">
        <v>91</v>
      </c>
      <c r="I3520" t="s">
        <v>247</v>
      </c>
      <c r="J3520" t="str">
        <f>"9781593857332"</f>
        <v>9781593857332</v>
      </c>
      <c r="L3520">
        <v>0</v>
      </c>
      <c r="O3520" t="s">
        <v>30</v>
      </c>
      <c r="P3520" t="s">
        <v>47</v>
      </c>
      <c r="Q3520" s="1">
        <v>42326.705474537041</v>
      </c>
      <c r="R3520">
        <v>1</v>
      </c>
      <c r="S3520" t="s">
        <v>121</v>
      </c>
      <c r="T3520" t="s">
        <v>4768</v>
      </c>
      <c r="U3520">
        <v>616.85209999999995</v>
      </c>
      <c r="V3520" s="3">
        <v>41773</v>
      </c>
    </row>
    <row r="3521" spans="1:22" x14ac:dyDescent="0.35">
      <c r="A3521" s="1">
        <v>42326.70449074074</v>
      </c>
      <c r="B3521" s="2">
        <v>9.8379629629629642E-4</v>
      </c>
      <c r="C3521" t="s">
        <v>6074</v>
      </c>
      <c r="D3521" t="s">
        <v>117</v>
      </c>
      <c r="E3521" t="s">
        <v>118</v>
      </c>
      <c r="F3521" t="s">
        <v>4767</v>
      </c>
      <c r="G3521">
        <v>320579</v>
      </c>
      <c r="H3521" t="s">
        <v>91</v>
      </c>
      <c r="I3521" t="s">
        <v>247</v>
      </c>
      <c r="J3521" t="str">
        <f>"9781593857332"</f>
        <v>9781593857332</v>
      </c>
      <c r="K3521" t="s">
        <v>6075</v>
      </c>
      <c r="L3521">
        <v>31</v>
      </c>
      <c r="O3521" t="s">
        <v>30</v>
      </c>
      <c r="P3521" t="s">
        <v>50</v>
      </c>
      <c r="S3521" t="s">
        <v>121</v>
      </c>
      <c r="T3521" t="s">
        <v>4768</v>
      </c>
      <c r="U3521">
        <v>616.85209999999995</v>
      </c>
      <c r="V3521" s="3">
        <v>41773</v>
      </c>
    </row>
    <row r="3522" spans="1:22" x14ac:dyDescent="0.35">
      <c r="A3522" s="1">
        <v>42326.702615740738</v>
      </c>
      <c r="B3522" s="2">
        <v>3.4722222222222222E-5</v>
      </c>
      <c r="C3522" t="s">
        <v>210</v>
      </c>
      <c r="D3522" t="s">
        <v>211</v>
      </c>
      <c r="E3522" t="s">
        <v>212</v>
      </c>
      <c r="F3522" t="s">
        <v>5872</v>
      </c>
      <c r="G3522">
        <v>1543337</v>
      </c>
      <c r="H3522" t="s">
        <v>186</v>
      </c>
      <c r="I3522" t="s">
        <v>5873</v>
      </c>
      <c r="J3522" t="str">
        <f>"9781780642277"</f>
        <v>9781780642277</v>
      </c>
      <c r="K3522" t="s">
        <v>33</v>
      </c>
      <c r="L3522">
        <v>3</v>
      </c>
      <c r="O3522" t="s">
        <v>30</v>
      </c>
      <c r="P3522" t="s">
        <v>50</v>
      </c>
      <c r="S3522" t="s">
        <v>214</v>
      </c>
      <c r="T3522" t="s">
        <v>5875</v>
      </c>
      <c r="U3522" t="s">
        <v>5876</v>
      </c>
      <c r="V3522" s="3">
        <v>41541</v>
      </c>
    </row>
    <row r="3523" spans="1:22" x14ac:dyDescent="0.35">
      <c r="A3523" s="1">
        <v>42326.696875000001</v>
      </c>
      <c r="B3523" s="2">
        <v>2.3148148148148147E-5</v>
      </c>
      <c r="C3523" t="s">
        <v>6076</v>
      </c>
      <c r="D3523" t="s">
        <v>211</v>
      </c>
      <c r="E3523" t="s">
        <v>212</v>
      </c>
      <c r="F3523" t="s">
        <v>5872</v>
      </c>
      <c r="G3523">
        <v>1543337</v>
      </c>
      <c r="H3523" t="s">
        <v>186</v>
      </c>
      <c r="I3523" t="s">
        <v>5873</v>
      </c>
      <c r="J3523" t="str">
        <f>"9781780642277"</f>
        <v>9781780642277</v>
      </c>
      <c r="K3523" t="s">
        <v>33</v>
      </c>
      <c r="L3523">
        <v>3</v>
      </c>
      <c r="O3523" t="s">
        <v>30</v>
      </c>
      <c r="P3523" t="s">
        <v>50</v>
      </c>
      <c r="S3523" t="s">
        <v>214</v>
      </c>
      <c r="T3523" t="s">
        <v>5875</v>
      </c>
      <c r="U3523" t="s">
        <v>5876</v>
      </c>
      <c r="V3523" s="3">
        <v>41541</v>
      </c>
    </row>
    <row r="3524" spans="1:22" x14ac:dyDescent="0.35">
      <c r="A3524" s="1">
        <v>42326.696006944447</v>
      </c>
      <c r="B3524" s="2">
        <v>1.273148148148148E-4</v>
      </c>
      <c r="C3524" t="s">
        <v>6077</v>
      </c>
      <c r="D3524" t="s">
        <v>23</v>
      </c>
      <c r="E3524" t="s">
        <v>24</v>
      </c>
      <c r="F3524" t="s">
        <v>1394</v>
      </c>
      <c r="G3524">
        <v>1777859</v>
      </c>
      <c r="H3524" t="s">
        <v>91</v>
      </c>
      <c r="I3524" t="s">
        <v>247</v>
      </c>
      <c r="J3524" t="str">
        <f>"9781462515479"</f>
        <v>9781462515479</v>
      </c>
      <c r="K3524" t="s">
        <v>6078</v>
      </c>
      <c r="L3524">
        <v>6</v>
      </c>
      <c r="N3524" t="s">
        <v>6079</v>
      </c>
      <c r="O3524" t="s">
        <v>30</v>
      </c>
      <c r="P3524" t="s">
        <v>29</v>
      </c>
      <c r="Q3524" s="1">
        <v>42326.69599537037</v>
      </c>
      <c r="R3524">
        <v>7</v>
      </c>
      <c r="S3524" t="s">
        <v>31</v>
      </c>
      <c r="T3524" t="s">
        <v>1397</v>
      </c>
      <c r="U3524" t="s">
        <v>1398</v>
      </c>
      <c r="V3524" s="3">
        <v>41953</v>
      </c>
    </row>
    <row r="3525" spans="1:22" x14ac:dyDescent="0.35">
      <c r="A3525" s="1">
        <v>42326.69494212963</v>
      </c>
      <c r="B3525" s="2">
        <v>3.4722222222222222E-5</v>
      </c>
      <c r="C3525" t="s">
        <v>6076</v>
      </c>
      <c r="D3525" t="s">
        <v>211</v>
      </c>
      <c r="E3525" t="s">
        <v>212</v>
      </c>
      <c r="F3525" t="s">
        <v>5872</v>
      </c>
      <c r="G3525">
        <v>1543337</v>
      </c>
      <c r="H3525" t="s">
        <v>186</v>
      </c>
      <c r="I3525" t="s">
        <v>5873</v>
      </c>
      <c r="J3525" t="str">
        <f>"9781780642277"</f>
        <v>9781780642277</v>
      </c>
      <c r="K3525" t="s">
        <v>33</v>
      </c>
      <c r="L3525">
        <v>3</v>
      </c>
      <c r="O3525" t="s">
        <v>30</v>
      </c>
      <c r="P3525" t="s">
        <v>50</v>
      </c>
      <c r="S3525" t="s">
        <v>214</v>
      </c>
      <c r="T3525" t="s">
        <v>5875</v>
      </c>
      <c r="U3525" t="s">
        <v>5876</v>
      </c>
      <c r="V3525" s="3">
        <v>41541</v>
      </c>
    </row>
    <row r="3526" spans="1:22" x14ac:dyDescent="0.35">
      <c r="A3526" s="1">
        <v>42326.692152777781</v>
      </c>
      <c r="B3526" s="2">
        <v>3.8425925925925923E-3</v>
      </c>
      <c r="C3526" t="s">
        <v>6077</v>
      </c>
      <c r="D3526" t="s">
        <v>23</v>
      </c>
      <c r="E3526" t="s">
        <v>24</v>
      </c>
      <c r="F3526" t="s">
        <v>1394</v>
      </c>
      <c r="G3526">
        <v>1777859</v>
      </c>
      <c r="H3526" t="s">
        <v>91</v>
      </c>
      <c r="I3526" t="s">
        <v>247</v>
      </c>
      <c r="J3526" t="str">
        <f>"9781462515479"</f>
        <v>9781462515479</v>
      </c>
      <c r="K3526" t="s">
        <v>6080</v>
      </c>
      <c r="L3526">
        <v>12</v>
      </c>
      <c r="O3526" t="s">
        <v>30</v>
      </c>
      <c r="P3526" t="s">
        <v>42</v>
      </c>
      <c r="S3526" t="s">
        <v>31</v>
      </c>
      <c r="T3526" t="s">
        <v>1397</v>
      </c>
      <c r="U3526" t="s">
        <v>1398</v>
      </c>
      <c r="V3526" s="3">
        <v>41953</v>
      </c>
    </row>
    <row r="3527" spans="1:22" x14ac:dyDescent="0.35">
      <c r="A3527" s="1">
        <v>42326.68608796296</v>
      </c>
      <c r="B3527" s="2">
        <v>1.0995370370370371E-3</v>
      </c>
      <c r="C3527" t="s">
        <v>6081</v>
      </c>
      <c r="D3527" t="s">
        <v>1222</v>
      </c>
      <c r="E3527" t="s">
        <v>1223</v>
      </c>
      <c r="F3527" t="s">
        <v>6082</v>
      </c>
      <c r="G3527">
        <v>1925073</v>
      </c>
      <c r="H3527" t="s">
        <v>91</v>
      </c>
      <c r="I3527" t="s">
        <v>69</v>
      </c>
      <c r="J3527" t="str">
        <f>"9781462521128"</f>
        <v>9781462521128</v>
      </c>
      <c r="K3527" t="s">
        <v>6083</v>
      </c>
      <c r="L3527">
        <v>11</v>
      </c>
      <c r="N3527" t="s">
        <v>6084</v>
      </c>
      <c r="O3527" t="s">
        <v>30</v>
      </c>
      <c r="P3527" t="s">
        <v>29</v>
      </c>
      <c r="Q3527" s="1">
        <v>42326.664398148147</v>
      </c>
      <c r="R3527">
        <v>7</v>
      </c>
      <c r="S3527" t="s">
        <v>1226</v>
      </c>
      <c r="T3527" t="s">
        <v>6085</v>
      </c>
      <c r="U3527">
        <v>372.48</v>
      </c>
      <c r="V3527" s="3">
        <v>42178</v>
      </c>
    </row>
    <row r="3528" spans="1:22" x14ac:dyDescent="0.35">
      <c r="A3528" s="1">
        <v>42326.683703703704</v>
      </c>
      <c r="B3528" s="2">
        <v>6.4120370370370364E-3</v>
      </c>
      <c r="C3528" t="s">
        <v>5074</v>
      </c>
      <c r="D3528" t="s">
        <v>261</v>
      </c>
      <c r="E3528" t="s">
        <v>262</v>
      </c>
      <c r="F3528" t="s">
        <v>1547</v>
      </c>
      <c r="G3528">
        <v>848510</v>
      </c>
      <c r="H3528" t="s">
        <v>26</v>
      </c>
      <c r="I3528" t="s">
        <v>247</v>
      </c>
      <c r="J3528" t="str">
        <f>"9781118220481"</f>
        <v>9781118220481</v>
      </c>
      <c r="K3528" t="s">
        <v>6086</v>
      </c>
      <c r="L3528">
        <v>26</v>
      </c>
      <c r="O3528" t="s">
        <v>30</v>
      </c>
      <c r="P3528" t="s">
        <v>29</v>
      </c>
      <c r="Q3528" s="1">
        <v>42326.681550925925</v>
      </c>
      <c r="R3528">
        <v>7</v>
      </c>
      <c r="S3528" t="s">
        <v>264</v>
      </c>
      <c r="T3528" t="s">
        <v>1548</v>
      </c>
      <c r="U3528" t="s">
        <v>1549</v>
      </c>
      <c r="V3528" s="3">
        <v>41066</v>
      </c>
    </row>
    <row r="3529" spans="1:22" x14ac:dyDescent="0.35">
      <c r="A3529" s="1">
        <v>42326.681562500002</v>
      </c>
      <c r="B3529" s="2">
        <v>2.6620370370370372E-4</v>
      </c>
      <c r="C3529" t="s">
        <v>5074</v>
      </c>
      <c r="D3529" t="s">
        <v>261</v>
      </c>
      <c r="E3529" t="s">
        <v>262</v>
      </c>
      <c r="F3529" t="s">
        <v>1547</v>
      </c>
      <c r="G3529">
        <v>848510</v>
      </c>
      <c r="H3529" t="s">
        <v>26</v>
      </c>
      <c r="I3529" t="s">
        <v>247</v>
      </c>
      <c r="J3529" t="str">
        <f>"9781118220481"</f>
        <v>9781118220481</v>
      </c>
      <c r="K3529" t="s">
        <v>224</v>
      </c>
      <c r="L3529">
        <v>1</v>
      </c>
      <c r="M3529" t="s">
        <v>105</v>
      </c>
      <c r="O3529" t="s">
        <v>30</v>
      </c>
      <c r="P3529" t="s">
        <v>29</v>
      </c>
      <c r="Q3529" s="1">
        <v>42326.681550925925</v>
      </c>
      <c r="R3529">
        <v>7</v>
      </c>
      <c r="S3529" t="s">
        <v>264</v>
      </c>
      <c r="T3529" t="s">
        <v>1548</v>
      </c>
      <c r="U3529" t="s">
        <v>1549</v>
      </c>
      <c r="V3529" s="3">
        <v>41066</v>
      </c>
    </row>
    <row r="3530" spans="1:22" x14ac:dyDescent="0.35">
      <c r="A3530" s="1">
        <v>42326.678611111114</v>
      </c>
      <c r="B3530" s="2">
        <v>2.9398148148148148E-3</v>
      </c>
      <c r="C3530" t="s">
        <v>5074</v>
      </c>
      <c r="D3530" t="s">
        <v>261</v>
      </c>
      <c r="E3530" t="s">
        <v>262</v>
      </c>
      <c r="F3530" t="s">
        <v>1547</v>
      </c>
      <c r="G3530">
        <v>848510</v>
      </c>
      <c r="H3530" t="s">
        <v>26</v>
      </c>
      <c r="I3530" t="s">
        <v>247</v>
      </c>
      <c r="J3530" t="str">
        <f>"9781118220481"</f>
        <v>9781118220481</v>
      </c>
      <c r="K3530" t="s">
        <v>6087</v>
      </c>
      <c r="L3530">
        <v>65</v>
      </c>
      <c r="O3530" t="s">
        <v>30</v>
      </c>
      <c r="P3530" t="s">
        <v>42</v>
      </c>
      <c r="S3530" t="s">
        <v>264</v>
      </c>
      <c r="T3530" t="s">
        <v>1548</v>
      </c>
      <c r="U3530" t="s">
        <v>1549</v>
      </c>
      <c r="V3530" s="3">
        <v>41066</v>
      </c>
    </row>
    <row r="3531" spans="1:22" x14ac:dyDescent="0.35">
      <c r="A3531" s="1">
        <v>42326.670254629629</v>
      </c>
      <c r="B3531" s="2">
        <v>9.2592592592592588E-5</v>
      </c>
      <c r="C3531" t="s">
        <v>5431</v>
      </c>
      <c r="D3531" t="s">
        <v>23</v>
      </c>
      <c r="E3531" t="s">
        <v>24</v>
      </c>
      <c r="F3531" t="s">
        <v>5477</v>
      </c>
      <c r="G3531">
        <v>1794187</v>
      </c>
      <c r="H3531" t="s">
        <v>186</v>
      </c>
      <c r="I3531" t="s">
        <v>187</v>
      </c>
      <c r="J3531" t="str">
        <f>"9781780642901"</f>
        <v>9781780642901</v>
      </c>
      <c r="K3531" t="s">
        <v>86</v>
      </c>
      <c r="L3531">
        <v>5</v>
      </c>
      <c r="O3531" t="s">
        <v>30</v>
      </c>
      <c r="P3531" t="s">
        <v>50</v>
      </c>
      <c r="S3531" t="s">
        <v>31</v>
      </c>
      <c r="T3531" t="s">
        <v>5479</v>
      </c>
      <c r="U3531" t="s">
        <v>5480</v>
      </c>
      <c r="V3531" s="3">
        <v>41808</v>
      </c>
    </row>
    <row r="3532" spans="1:22" x14ac:dyDescent="0.35">
      <c r="A3532" s="1">
        <v>42326.668124999997</v>
      </c>
      <c r="B3532" s="2">
        <v>4.3981481481481481E-4</v>
      </c>
      <c r="C3532" t="s">
        <v>6088</v>
      </c>
      <c r="D3532" t="s">
        <v>35</v>
      </c>
      <c r="E3532" t="s">
        <v>36</v>
      </c>
      <c r="F3532" t="s">
        <v>3023</v>
      </c>
      <c r="G3532">
        <v>1895748</v>
      </c>
      <c r="H3532" t="s">
        <v>26</v>
      </c>
      <c r="I3532" t="s">
        <v>3024</v>
      </c>
      <c r="J3532" t="str">
        <f>"9781118917138"</f>
        <v>9781118917138</v>
      </c>
      <c r="K3532" t="s">
        <v>6089</v>
      </c>
      <c r="L3532">
        <v>18</v>
      </c>
      <c r="O3532" t="s">
        <v>30</v>
      </c>
      <c r="P3532" t="s">
        <v>50</v>
      </c>
      <c r="S3532" t="s">
        <v>40</v>
      </c>
      <c r="T3532" t="s">
        <v>3025</v>
      </c>
      <c r="U3532" t="s">
        <v>3026</v>
      </c>
      <c r="V3532" s="3">
        <v>42016</v>
      </c>
    </row>
    <row r="3533" spans="1:22" x14ac:dyDescent="0.35">
      <c r="A3533" s="1">
        <v>42326.664398148147</v>
      </c>
      <c r="B3533" s="2">
        <v>3.3877314814814811E-2</v>
      </c>
      <c r="C3533" t="s">
        <v>6081</v>
      </c>
      <c r="D3533" t="s">
        <v>1222</v>
      </c>
      <c r="E3533" t="s">
        <v>1223</v>
      </c>
      <c r="F3533" t="s">
        <v>6082</v>
      </c>
      <c r="G3533">
        <v>1925073</v>
      </c>
      <c r="H3533" t="s">
        <v>91</v>
      </c>
      <c r="I3533" t="s">
        <v>69</v>
      </c>
      <c r="J3533" t="str">
        <f>"9781462521128"</f>
        <v>9781462521128</v>
      </c>
      <c r="K3533" t="s">
        <v>6090</v>
      </c>
      <c r="L3533">
        <v>93</v>
      </c>
      <c r="N3533" t="s">
        <v>6091</v>
      </c>
      <c r="O3533" t="s">
        <v>30</v>
      </c>
      <c r="P3533" t="s">
        <v>29</v>
      </c>
      <c r="Q3533" s="1">
        <v>42326.664398148147</v>
      </c>
      <c r="R3533">
        <v>7</v>
      </c>
      <c r="S3533" t="s">
        <v>1226</v>
      </c>
      <c r="T3533" t="s">
        <v>6085</v>
      </c>
      <c r="U3533">
        <v>372.48</v>
      </c>
      <c r="V3533" s="3">
        <v>42178</v>
      </c>
    </row>
    <row r="3534" spans="1:22" x14ac:dyDescent="0.35">
      <c r="A3534" s="1">
        <v>42326.661435185182</v>
      </c>
      <c r="B3534" s="2">
        <v>2.9629629629629628E-3</v>
      </c>
      <c r="C3534" t="s">
        <v>6081</v>
      </c>
      <c r="D3534" t="s">
        <v>1222</v>
      </c>
      <c r="E3534" t="s">
        <v>1223</v>
      </c>
      <c r="F3534" t="s">
        <v>6082</v>
      </c>
      <c r="G3534">
        <v>1925073</v>
      </c>
      <c r="H3534" t="s">
        <v>91</v>
      </c>
      <c r="I3534" t="s">
        <v>69</v>
      </c>
      <c r="J3534" t="str">
        <f>"9781462521128"</f>
        <v>9781462521128</v>
      </c>
      <c r="K3534" t="s">
        <v>6092</v>
      </c>
      <c r="L3534">
        <v>46</v>
      </c>
      <c r="O3534" t="s">
        <v>30</v>
      </c>
      <c r="P3534" t="s">
        <v>42</v>
      </c>
      <c r="S3534" t="s">
        <v>1226</v>
      </c>
      <c r="T3534" t="s">
        <v>6085</v>
      </c>
      <c r="U3534">
        <v>372.48</v>
      </c>
      <c r="V3534" s="3">
        <v>42178</v>
      </c>
    </row>
    <row r="3535" spans="1:22" x14ac:dyDescent="0.35">
      <c r="A3535" s="1">
        <v>42326.656527777777</v>
      </c>
      <c r="B3535" s="2">
        <v>1.3888888888888889E-4</v>
      </c>
      <c r="C3535" t="s">
        <v>4551</v>
      </c>
      <c r="D3535" t="s">
        <v>35</v>
      </c>
      <c r="E3535" t="s">
        <v>36</v>
      </c>
      <c r="F3535" t="s">
        <v>4552</v>
      </c>
      <c r="G3535">
        <v>2130115</v>
      </c>
      <c r="H3535" t="s">
        <v>526</v>
      </c>
      <c r="I3535" t="s">
        <v>267</v>
      </c>
      <c r="J3535" t="str">
        <f>"9780226222905"</f>
        <v>9780226222905</v>
      </c>
      <c r="K3535" t="s">
        <v>1438</v>
      </c>
      <c r="L3535">
        <v>16</v>
      </c>
      <c r="O3535" t="s">
        <v>30</v>
      </c>
      <c r="P3535" t="s">
        <v>47</v>
      </c>
      <c r="Q3535" s="1">
        <v>42326.656504629631</v>
      </c>
      <c r="R3535">
        <v>1</v>
      </c>
      <c r="S3535" t="s">
        <v>40</v>
      </c>
      <c r="T3535" t="s">
        <v>4554</v>
      </c>
      <c r="U3535" t="s">
        <v>4555</v>
      </c>
      <c r="V3535" s="3">
        <v>41376</v>
      </c>
    </row>
    <row r="3536" spans="1:22" x14ac:dyDescent="0.35">
      <c r="A3536" s="1">
        <v>42326.6565162037</v>
      </c>
      <c r="B3536" s="2">
        <v>6.9444444444444444E-5</v>
      </c>
      <c r="C3536" t="s">
        <v>4551</v>
      </c>
      <c r="D3536" t="s">
        <v>35</v>
      </c>
      <c r="E3536" t="s">
        <v>36</v>
      </c>
      <c r="F3536" t="s">
        <v>4552</v>
      </c>
      <c r="G3536">
        <v>2130115</v>
      </c>
      <c r="H3536" t="s">
        <v>526</v>
      </c>
      <c r="I3536" t="s">
        <v>267</v>
      </c>
      <c r="J3536" t="str">
        <f>"9780226222905"</f>
        <v>9780226222905</v>
      </c>
      <c r="K3536" t="s">
        <v>6093</v>
      </c>
      <c r="L3536">
        <v>5</v>
      </c>
      <c r="O3536" t="s">
        <v>30</v>
      </c>
      <c r="P3536" t="s">
        <v>47</v>
      </c>
      <c r="Q3536" s="1">
        <v>42326.656504629631</v>
      </c>
      <c r="R3536">
        <v>1</v>
      </c>
      <c r="S3536" t="s">
        <v>40</v>
      </c>
      <c r="T3536" t="s">
        <v>4554</v>
      </c>
      <c r="U3536" t="s">
        <v>4555</v>
      </c>
      <c r="V3536" s="3">
        <v>41376</v>
      </c>
    </row>
    <row r="3537" spans="1:22" x14ac:dyDescent="0.35">
      <c r="A3537" s="1">
        <v>42326.638275462959</v>
      </c>
      <c r="B3537" s="2">
        <v>1.8229166666666668E-2</v>
      </c>
      <c r="C3537" t="s">
        <v>4551</v>
      </c>
      <c r="D3537" t="s">
        <v>35</v>
      </c>
      <c r="E3537" t="s">
        <v>36</v>
      </c>
      <c r="F3537" t="s">
        <v>4552</v>
      </c>
      <c r="G3537">
        <v>2130115</v>
      </c>
      <c r="H3537" t="s">
        <v>526</v>
      </c>
      <c r="I3537" t="s">
        <v>267</v>
      </c>
      <c r="J3537" t="str">
        <f>"9780226222905"</f>
        <v>9780226222905</v>
      </c>
      <c r="K3537" t="s">
        <v>6094</v>
      </c>
      <c r="L3537">
        <v>21</v>
      </c>
      <c r="O3537" t="s">
        <v>30</v>
      </c>
      <c r="P3537" t="s">
        <v>50</v>
      </c>
      <c r="S3537" t="s">
        <v>40</v>
      </c>
      <c r="T3537" t="s">
        <v>4554</v>
      </c>
      <c r="U3537" t="s">
        <v>4555</v>
      </c>
      <c r="V3537" s="3">
        <v>41376</v>
      </c>
    </row>
    <row r="3538" spans="1:22" x14ac:dyDescent="0.35">
      <c r="A3538" s="1">
        <v>42326.63652777778</v>
      </c>
      <c r="B3538" s="2">
        <v>1.6087962962962963E-3</v>
      </c>
      <c r="C3538" t="s">
        <v>6095</v>
      </c>
      <c r="D3538" t="s">
        <v>23</v>
      </c>
      <c r="E3538" t="s">
        <v>24</v>
      </c>
      <c r="F3538" t="s">
        <v>3268</v>
      </c>
      <c r="G3538">
        <v>1645679</v>
      </c>
      <c r="H3538" t="s">
        <v>45</v>
      </c>
      <c r="I3538" t="s">
        <v>2879</v>
      </c>
      <c r="J3538" t="str">
        <f>"9781472413079"</f>
        <v>9781472413079</v>
      </c>
      <c r="K3538" t="s">
        <v>6096</v>
      </c>
      <c r="L3538">
        <v>9</v>
      </c>
      <c r="O3538" t="s">
        <v>30</v>
      </c>
      <c r="P3538" t="s">
        <v>29</v>
      </c>
      <c r="Q3538" s="1">
        <v>42326.63652777778</v>
      </c>
      <c r="R3538">
        <v>7</v>
      </c>
      <c r="S3538" t="s">
        <v>31</v>
      </c>
      <c r="T3538" t="s">
        <v>3269</v>
      </c>
      <c r="U3538" t="s">
        <v>3270</v>
      </c>
      <c r="V3538" s="3">
        <v>41726</v>
      </c>
    </row>
    <row r="3539" spans="1:22" x14ac:dyDescent="0.35">
      <c r="A3539" s="1">
        <v>42326.634351851855</v>
      </c>
      <c r="B3539" s="2">
        <v>3.4722222222222222E-5</v>
      </c>
      <c r="C3539" t="s">
        <v>6095</v>
      </c>
      <c r="D3539" t="s">
        <v>23</v>
      </c>
      <c r="E3539" t="s">
        <v>24</v>
      </c>
      <c r="F3539" t="s">
        <v>3268</v>
      </c>
      <c r="G3539">
        <v>1645679</v>
      </c>
      <c r="H3539" t="s">
        <v>45</v>
      </c>
      <c r="I3539" t="s">
        <v>2879</v>
      </c>
      <c r="J3539" t="str">
        <f>"9781472413079"</f>
        <v>9781472413079</v>
      </c>
      <c r="K3539" t="s">
        <v>33</v>
      </c>
      <c r="L3539">
        <v>3</v>
      </c>
      <c r="O3539" t="s">
        <v>30</v>
      </c>
      <c r="P3539" t="s">
        <v>42</v>
      </c>
      <c r="S3539" t="s">
        <v>31</v>
      </c>
      <c r="T3539" t="s">
        <v>3269</v>
      </c>
      <c r="U3539" t="s">
        <v>3270</v>
      </c>
      <c r="V3539" s="3">
        <v>41726</v>
      </c>
    </row>
    <row r="3540" spans="1:22" x14ac:dyDescent="0.35">
      <c r="A3540" s="1">
        <v>42326.629594907405</v>
      </c>
      <c r="B3540" s="2">
        <v>6.9328703703703696E-3</v>
      </c>
      <c r="C3540" t="s">
        <v>6095</v>
      </c>
      <c r="D3540" t="s">
        <v>23</v>
      </c>
      <c r="E3540" t="s">
        <v>24</v>
      </c>
      <c r="F3540" t="s">
        <v>3268</v>
      </c>
      <c r="G3540">
        <v>1645679</v>
      </c>
      <c r="H3540" t="s">
        <v>45</v>
      </c>
      <c r="I3540" t="s">
        <v>2879</v>
      </c>
      <c r="J3540" t="str">
        <f>"9781472413079"</f>
        <v>9781472413079</v>
      </c>
      <c r="K3540" t="s">
        <v>2169</v>
      </c>
      <c r="L3540">
        <v>32</v>
      </c>
      <c r="O3540" t="s">
        <v>30</v>
      </c>
      <c r="P3540" t="s">
        <v>42</v>
      </c>
      <c r="S3540" t="s">
        <v>31</v>
      </c>
      <c r="T3540" t="s">
        <v>3269</v>
      </c>
      <c r="U3540" t="s">
        <v>3270</v>
      </c>
      <c r="V3540" s="3">
        <v>41726</v>
      </c>
    </row>
    <row r="3541" spans="1:22" x14ac:dyDescent="0.35">
      <c r="A3541" s="1">
        <v>42326.624652777777</v>
      </c>
      <c r="B3541" s="2">
        <v>3.4722222222222224E-4</v>
      </c>
      <c r="C3541" t="s">
        <v>106</v>
      </c>
      <c r="D3541" t="s">
        <v>23</v>
      </c>
      <c r="E3541" t="s">
        <v>24</v>
      </c>
      <c r="F3541" t="s">
        <v>78</v>
      </c>
      <c r="G3541">
        <v>1635363</v>
      </c>
      <c r="H3541" t="s">
        <v>26</v>
      </c>
      <c r="I3541" t="s">
        <v>79</v>
      </c>
      <c r="J3541" t="str">
        <f>"9781118678206"</f>
        <v>9781118678206</v>
      </c>
      <c r="K3541" t="s">
        <v>6097</v>
      </c>
      <c r="L3541">
        <v>3</v>
      </c>
      <c r="O3541" t="s">
        <v>30</v>
      </c>
      <c r="P3541" t="s">
        <v>29</v>
      </c>
      <c r="Q3541" s="1">
        <v>42325.831620370373</v>
      </c>
      <c r="R3541">
        <v>7</v>
      </c>
      <c r="S3541" t="s">
        <v>31</v>
      </c>
      <c r="T3541" t="s">
        <v>81</v>
      </c>
      <c r="U3541">
        <v>340.07600000000002</v>
      </c>
      <c r="V3541" s="3">
        <v>41684</v>
      </c>
    </row>
    <row r="3542" spans="1:22" x14ac:dyDescent="0.35">
      <c r="A3542" s="1">
        <v>42326.611585648148</v>
      </c>
      <c r="B3542" s="2">
        <v>2.3009259259259257E-2</v>
      </c>
      <c r="C3542" t="s">
        <v>6098</v>
      </c>
      <c r="D3542" t="s">
        <v>117</v>
      </c>
      <c r="E3542" t="s">
        <v>118</v>
      </c>
      <c r="F3542" t="s">
        <v>4405</v>
      </c>
      <c r="G3542">
        <v>1187185</v>
      </c>
      <c r="H3542" t="s">
        <v>26</v>
      </c>
      <c r="I3542" t="s">
        <v>4406</v>
      </c>
      <c r="J3542" t="str">
        <f>"9781118748183"</f>
        <v>9781118748183</v>
      </c>
      <c r="K3542" t="s">
        <v>6099</v>
      </c>
      <c r="L3542">
        <v>7</v>
      </c>
      <c r="N3542" t="s">
        <v>6100</v>
      </c>
      <c r="O3542" t="s">
        <v>30</v>
      </c>
      <c r="P3542" t="s">
        <v>29</v>
      </c>
      <c r="Q3542" s="1">
        <v>42326.611574074072</v>
      </c>
      <c r="R3542">
        <v>7</v>
      </c>
      <c r="S3542" t="s">
        <v>121</v>
      </c>
      <c r="T3542" t="s">
        <v>4408</v>
      </c>
      <c r="U3542">
        <v>622.33799999999997</v>
      </c>
      <c r="V3542" s="3">
        <v>41400</v>
      </c>
    </row>
    <row r="3543" spans="1:22" x14ac:dyDescent="0.35">
      <c r="A3543" s="1">
        <v>42326.607094907406</v>
      </c>
      <c r="B3543" s="2">
        <v>4.4791666666666669E-3</v>
      </c>
      <c r="C3543" t="s">
        <v>6098</v>
      </c>
      <c r="D3543" t="s">
        <v>117</v>
      </c>
      <c r="E3543" t="s">
        <v>118</v>
      </c>
      <c r="F3543" t="s">
        <v>4405</v>
      </c>
      <c r="G3543">
        <v>1187185</v>
      </c>
      <c r="H3543" t="s">
        <v>26</v>
      </c>
      <c r="I3543" t="s">
        <v>4406</v>
      </c>
      <c r="J3543" t="str">
        <f>"9781118748183"</f>
        <v>9781118748183</v>
      </c>
      <c r="K3543" t="s">
        <v>6101</v>
      </c>
      <c r="L3543">
        <v>11</v>
      </c>
      <c r="O3543" t="s">
        <v>30</v>
      </c>
      <c r="P3543" t="s">
        <v>42</v>
      </c>
      <c r="S3543" t="s">
        <v>121</v>
      </c>
      <c r="T3543" t="s">
        <v>4408</v>
      </c>
      <c r="U3543">
        <v>622.33799999999997</v>
      </c>
      <c r="V3543" s="3">
        <v>41400</v>
      </c>
    </row>
    <row r="3544" spans="1:22" x14ac:dyDescent="0.35">
      <c r="A3544" s="1">
        <v>42326.606226851851</v>
      </c>
      <c r="B3544" s="2">
        <v>1.7708333333333332E-3</v>
      </c>
      <c r="C3544" t="s">
        <v>5592</v>
      </c>
      <c r="D3544" t="s">
        <v>623</v>
      </c>
      <c r="E3544" t="s">
        <v>624</v>
      </c>
      <c r="F3544" t="s">
        <v>1698</v>
      </c>
      <c r="G3544">
        <v>1637652</v>
      </c>
      <c r="H3544" t="s">
        <v>84</v>
      </c>
      <c r="I3544" t="s">
        <v>69</v>
      </c>
      <c r="J3544" t="str">
        <f>"9780520958449"</f>
        <v>9780520958449</v>
      </c>
      <c r="K3544" t="s">
        <v>6102</v>
      </c>
      <c r="L3544">
        <v>12</v>
      </c>
      <c r="O3544" t="s">
        <v>30</v>
      </c>
      <c r="P3544" t="s">
        <v>29</v>
      </c>
      <c r="Q3544" s="1">
        <v>42321.620787037034</v>
      </c>
      <c r="R3544">
        <v>7</v>
      </c>
      <c r="S3544" t="s">
        <v>627</v>
      </c>
      <c r="T3544" t="s">
        <v>1700</v>
      </c>
      <c r="U3544" t="s">
        <v>1701</v>
      </c>
      <c r="V3544" s="3">
        <v>41761</v>
      </c>
    </row>
    <row r="3545" spans="1:22" x14ac:dyDescent="0.35">
      <c r="A3545" s="1">
        <v>42326.595752314817</v>
      </c>
      <c r="B3545" s="2">
        <v>2.5462962962962961E-4</v>
      </c>
      <c r="C3545" t="s">
        <v>5062</v>
      </c>
      <c r="D3545" t="s">
        <v>35</v>
      </c>
      <c r="E3545" t="s">
        <v>36</v>
      </c>
      <c r="F3545" t="s">
        <v>6103</v>
      </c>
      <c r="G3545">
        <v>1486866</v>
      </c>
      <c r="H3545" t="s">
        <v>68</v>
      </c>
      <c r="I3545" t="s">
        <v>120</v>
      </c>
      <c r="J3545" t="str">
        <f>"9781135431341"</f>
        <v>9781135431341</v>
      </c>
      <c r="K3545" t="s">
        <v>6104</v>
      </c>
      <c r="L3545">
        <v>7</v>
      </c>
      <c r="O3545" t="s">
        <v>30</v>
      </c>
      <c r="P3545" t="s">
        <v>47</v>
      </c>
      <c r="Q3545" s="1">
        <v>42326.595729166664</v>
      </c>
      <c r="R3545">
        <v>1</v>
      </c>
      <c r="S3545" t="s">
        <v>40</v>
      </c>
      <c r="T3545" t="s">
        <v>6105</v>
      </c>
      <c r="U3545">
        <v>361.4</v>
      </c>
      <c r="V3545" s="3">
        <v>41565</v>
      </c>
    </row>
    <row r="3546" spans="1:22" x14ac:dyDescent="0.35">
      <c r="A3546" s="1">
        <v>42326.591793981483</v>
      </c>
      <c r="B3546" s="2">
        <v>2.9791666666666664E-2</v>
      </c>
      <c r="C3546" t="s">
        <v>5219</v>
      </c>
      <c r="D3546" t="s">
        <v>211</v>
      </c>
      <c r="E3546" t="s">
        <v>212</v>
      </c>
      <c r="F3546" t="s">
        <v>462</v>
      </c>
      <c r="G3546">
        <v>1822529</v>
      </c>
      <c r="H3546" t="s">
        <v>26</v>
      </c>
      <c r="I3546" t="s">
        <v>297</v>
      </c>
      <c r="J3546" t="str">
        <f>"9781118824344"</f>
        <v>9781118824344</v>
      </c>
      <c r="K3546" t="s">
        <v>6106</v>
      </c>
      <c r="L3546">
        <v>24</v>
      </c>
      <c r="O3546" t="s">
        <v>30</v>
      </c>
      <c r="P3546" t="s">
        <v>29</v>
      </c>
      <c r="Q3546" s="1">
        <v>42323.836689814816</v>
      </c>
      <c r="R3546">
        <v>7</v>
      </c>
      <c r="S3546" t="s">
        <v>214</v>
      </c>
      <c r="T3546" t="s">
        <v>464</v>
      </c>
      <c r="U3546">
        <v>519.4</v>
      </c>
      <c r="V3546" s="3">
        <v>41932</v>
      </c>
    </row>
    <row r="3547" spans="1:22" x14ac:dyDescent="0.35">
      <c r="A3547" s="1">
        <v>42326.589618055557</v>
      </c>
      <c r="B3547" s="2">
        <v>6.1111111111111114E-3</v>
      </c>
      <c r="C3547" t="s">
        <v>5062</v>
      </c>
      <c r="D3547" t="s">
        <v>35</v>
      </c>
      <c r="E3547" t="s">
        <v>36</v>
      </c>
      <c r="F3547" t="s">
        <v>6103</v>
      </c>
      <c r="G3547">
        <v>1486866</v>
      </c>
      <c r="H3547" t="s">
        <v>68</v>
      </c>
      <c r="I3547" t="s">
        <v>120</v>
      </c>
      <c r="J3547" t="str">
        <f>"9781135431341"</f>
        <v>9781135431341</v>
      </c>
      <c r="K3547" t="s">
        <v>33</v>
      </c>
      <c r="L3547">
        <v>3</v>
      </c>
      <c r="O3547" t="s">
        <v>30</v>
      </c>
      <c r="P3547" t="s">
        <v>50</v>
      </c>
      <c r="S3547" t="s">
        <v>40</v>
      </c>
      <c r="T3547" t="s">
        <v>6105</v>
      </c>
      <c r="U3547">
        <v>361.4</v>
      </c>
      <c r="V3547" s="3">
        <v>41565</v>
      </c>
    </row>
    <row r="3548" spans="1:22" x14ac:dyDescent="0.35">
      <c r="A3548" s="1">
        <v>42326.569456018522</v>
      </c>
      <c r="B3548" s="2">
        <v>1.6701388888888887E-2</v>
      </c>
      <c r="C3548" t="s">
        <v>210</v>
      </c>
      <c r="D3548" t="s">
        <v>211</v>
      </c>
      <c r="E3548" t="s">
        <v>212</v>
      </c>
      <c r="F3548" t="s">
        <v>3993</v>
      </c>
      <c r="G3548">
        <v>1798778</v>
      </c>
      <c r="H3548" t="s">
        <v>26</v>
      </c>
      <c r="I3548" t="s">
        <v>247</v>
      </c>
      <c r="J3548" t="str">
        <f>"9781118760741"</f>
        <v>9781118760741</v>
      </c>
      <c r="K3548" t="s">
        <v>6107</v>
      </c>
      <c r="L3548">
        <v>20</v>
      </c>
      <c r="N3548" t="s">
        <v>6108</v>
      </c>
      <c r="O3548" t="s">
        <v>30</v>
      </c>
      <c r="P3548" t="s">
        <v>29</v>
      </c>
      <c r="Q3548" s="1">
        <v>42326.569456018522</v>
      </c>
      <c r="R3548">
        <v>7</v>
      </c>
      <c r="S3548" t="s">
        <v>214</v>
      </c>
      <c r="T3548" t="s">
        <v>3995</v>
      </c>
      <c r="U3548">
        <v>616.07500000000005</v>
      </c>
      <c r="V3548" s="3">
        <v>41906</v>
      </c>
    </row>
    <row r="3549" spans="1:22" x14ac:dyDescent="0.35">
      <c r="A3549" s="1">
        <v>42326.56795138889</v>
      </c>
      <c r="B3549" s="2">
        <v>1.5046296296296294E-3</v>
      </c>
      <c r="C3549" t="s">
        <v>210</v>
      </c>
      <c r="D3549" t="s">
        <v>211</v>
      </c>
      <c r="E3549" t="s">
        <v>212</v>
      </c>
      <c r="F3549" t="s">
        <v>3993</v>
      </c>
      <c r="G3549">
        <v>1798778</v>
      </c>
      <c r="H3549" t="s">
        <v>26</v>
      </c>
      <c r="I3549" t="s">
        <v>247</v>
      </c>
      <c r="J3549" t="str">
        <f>"9781118760741"</f>
        <v>9781118760741</v>
      </c>
      <c r="K3549" t="s">
        <v>6109</v>
      </c>
      <c r="L3549">
        <v>43</v>
      </c>
      <c r="O3549" t="s">
        <v>30</v>
      </c>
      <c r="P3549" t="s">
        <v>42</v>
      </c>
      <c r="S3549" t="s">
        <v>214</v>
      </c>
      <c r="T3549" t="s">
        <v>3995</v>
      </c>
      <c r="U3549">
        <v>616.07500000000005</v>
      </c>
      <c r="V3549" s="3">
        <v>41906</v>
      </c>
    </row>
    <row r="3550" spans="1:22" x14ac:dyDescent="0.35">
      <c r="A3550" s="1">
        <v>42326.527916666666</v>
      </c>
      <c r="B3550" s="2">
        <v>1.1574074074074073E-5</v>
      </c>
      <c r="C3550" t="s">
        <v>6110</v>
      </c>
      <c r="D3550" t="s">
        <v>23</v>
      </c>
      <c r="E3550" t="s">
        <v>24</v>
      </c>
      <c r="F3550" t="s">
        <v>1477</v>
      </c>
      <c r="G3550">
        <v>822111</v>
      </c>
      <c r="H3550" t="s">
        <v>26</v>
      </c>
      <c r="I3550" t="s">
        <v>120</v>
      </c>
      <c r="J3550" t="str">
        <f>"9781444356922"</f>
        <v>9781444356922</v>
      </c>
      <c r="L3550">
        <v>0</v>
      </c>
      <c r="O3550" t="s">
        <v>30</v>
      </c>
      <c r="P3550" t="s">
        <v>42</v>
      </c>
      <c r="S3550" t="s">
        <v>31</v>
      </c>
      <c r="T3550" t="s">
        <v>1479</v>
      </c>
      <c r="U3550" t="s">
        <v>1480</v>
      </c>
      <c r="V3550" s="3">
        <v>40955</v>
      </c>
    </row>
    <row r="3551" spans="1:22" x14ac:dyDescent="0.35">
      <c r="A3551" s="1">
        <v>42326.376423611109</v>
      </c>
      <c r="B3551" s="2">
        <v>4.4212962962962956E-3</v>
      </c>
      <c r="C3551" t="s">
        <v>6111</v>
      </c>
      <c r="D3551" t="s">
        <v>623</v>
      </c>
      <c r="E3551" t="s">
        <v>624</v>
      </c>
      <c r="F3551" t="s">
        <v>6112</v>
      </c>
      <c r="G3551">
        <v>2038634</v>
      </c>
      <c r="H3551" t="s">
        <v>45</v>
      </c>
      <c r="I3551" t="s">
        <v>172</v>
      </c>
      <c r="J3551" t="str">
        <f>"9781409448099"</f>
        <v>9781409448099</v>
      </c>
      <c r="K3551" t="s">
        <v>6113</v>
      </c>
      <c r="L3551">
        <v>27</v>
      </c>
      <c r="O3551" t="s">
        <v>30</v>
      </c>
      <c r="P3551" t="s">
        <v>47</v>
      </c>
      <c r="Q3551" s="1">
        <v>42326.376423611109</v>
      </c>
      <c r="R3551">
        <v>1</v>
      </c>
      <c r="S3551" t="s">
        <v>627</v>
      </c>
      <c r="T3551">
        <v>2014039122</v>
      </c>
      <c r="U3551">
        <v>941.08560922000004</v>
      </c>
      <c r="V3551" s="3">
        <v>42152</v>
      </c>
    </row>
    <row r="3552" spans="1:22" x14ac:dyDescent="0.35">
      <c r="A3552" s="1">
        <v>42326.372777777775</v>
      </c>
      <c r="B3552" s="2">
        <v>3.645833333333333E-3</v>
      </c>
      <c r="C3552" t="s">
        <v>6111</v>
      </c>
      <c r="D3552" t="s">
        <v>623</v>
      </c>
      <c r="E3552" t="s">
        <v>624</v>
      </c>
      <c r="F3552" t="s">
        <v>6112</v>
      </c>
      <c r="G3552">
        <v>2038634</v>
      </c>
      <c r="H3552" t="s">
        <v>45</v>
      </c>
      <c r="I3552" t="s">
        <v>172</v>
      </c>
      <c r="J3552" t="str">
        <f>"9781409448099"</f>
        <v>9781409448099</v>
      </c>
      <c r="K3552" t="s">
        <v>6114</v>
      </c>
      <c r="L3552">
        <v>19</v>
      </c>
      <c r="O3552" t="s">
        <v>30</v>
      </c>
      <c r="P3552" t="s">
        <v>50</v>
      </c>
      <c r="S3552" t="s">
        <v>627</v>
      </c>
      <c r="T3552">
        <v>2014039122</v>
      </c>
      <c r="U3552">
        <v>941.08560922000004</v>
      </c>
      <c r="V3552" s="3">
        <v>42152</v>
      </c>
    </row>
    <row r="3553" spans="1:22" x14ac:dyDescent="0.35">
      <c r="A3553" s="1">
        <v>42326.341041666667</v>
      </c>
      <c r="B3553" s="2">
        <v>1.5706018518518518E-2</v>
      </c>
      <c r="C3553" t="s">
        <v>6111</v>
      </c>
      <c r="D3553" t="s">
        <v>623</v>
      </c>
      <c r="E3553" t="s">
        <v>624</v>
      </c>
      <c r="F3553" t="s">
        <v>6115</v>
      </c>
      <c r="G3553">
        <v>2008060</v>
      </c>
      <c r="H3553" t="s">
        <v>26</v>
      </c>
      <c r="I3553" t="s">
        <v>172</v>
      </c>
      <c r="J3553" t="str">
        <f>"9781118949016"</f>
        <v>9781118949016</v>
      </c>
      <c r="K3553" t="s">
        <v>6116</v>
      </c>
      <c r="L3553">
        <v>33</v>
      </c>
      <c r="O3553" t="s">
        <v>30</v>
      </c>
      <c r="P3553" t="s">
        <v>29</v>
      </c>
      <c r="Q3553" s="1">
        <v>42326.278900462959</v>
      </c>
      <c r="R3553">
        <v>7</v>
      </c>
      <c r="S3553" t="s">
        <v>627</v>
      </c>
      <c r="T3553" t="s">
        <v>6117</v>
      </c>
      <c r="U3553" t="s">
        <v>6118</v>
      </c>
      <c r="V3553" s="3">
        <v>42088</v>
      </c>
    </row>
    <row r="3554" spans="1:22" x14ac:dyDescent="0.35">
      <c r="A3554" s="1">
        <v>42326.278900462959</v>
      </c>
      <c r="B3554" s="2">
        <v>7.1180555555555554E-3</v>
      </c>
      <c r="C3554" t="s">
        <v>6111</v>
      </c>
      <c r="D3554" t="s">
        <v>623</v>
      </c>
      <c r="E3554" t="s">
        <v>624</v>
      </c>
      <c r="F3554" t="s">
        <v>6115</v>
      </c>
      <c r="G3554">
        <v>2008060</v>
      </c>
      <c r="H3554" t="s">
        <v>26</v>
      </c>
      <c r="I3554" t="s">
        <v>172</v>
      </c>
      <c r="J3554" t="str">
        <f>"9781118949016"</f>
        <v>9781118949016</v>
      </c>
      <c r="K3554" t="s">
        <v>6119</v>
      </c>
      <c r="L3554">
        <v>27</v>
      </c>
      <c r="O3554" t="s">
        <v>30</v>
      </c>
      <c r="P3554" t="s">
        <v>29</v>
      </c>
      <c r="Q3554" s="1">
        <v>42326.278900462959</v>
      </c>
      <c r="R3554">
        <v>7</v>
      </c>
      <c r="S3554" t="s">
        <v>627</v>
      </c>
      <c r="T3554" t="s">
        <v>6117</v>
      </c>
      <c r="U3554" t="s">
        <v>6118</v>
      </c>
      <c r="V3554" s="3">
        <v>42088</v>
      </c>
    </row>
    <row r="3555" spans="1:22" x14ac:dyDescent="0.35">
      <c r="A3555" s="1">
        <v>42326.27511574074</v>
      </c>
      <c r="B3555" s="2">
        <v>3.7847222222222223E-3</v>
      </c>
      <c r="C3555" t="s">
        <v>6111</v>
      </c>
      <c r="D3555" t="s">
        <v>623</v>
      </c>
      <c r="E3555" t="s">
        <v>624</v>
      </c>
      <c r="F3555" t="s">
        <v>6115</v>
      </c>
      <c r="G3555">
        <v>2008060</v>
      </c>
      <c r="H3555" t="s">
        <v>26</v>
      </c>
      <c r="I3555" t="s">
        <v>172</v>
      </c>
      <c r="J3555" t="str">
        <f>"9781118949016"</f>
        <v>9781118949016</v>
      </c>
      <c r="K3555" t="s">
        <v>6120</v>
      </c>
      <c r="L3555">
        <v>30</v>
      </c>
      <c r="O3555" t="s">
        <v>30</v>
      </c>
      <c r="P3555" t="s">
        <v>50</v>
      </c>
      <c r="S3555" t="s">
        <v>627</v>
      </c>
      <c r="T3555" t="s">
        <v>6117</v>
      </c>
      <c r="U3555" t="s">
        <v>6118</v>
      </c>
      <c r="V3555" s="3">
        <v>42088</v>
      </c>
    </row>
    <row r="3556" spans="1:22" x14ac:dyDescent="0.35">
      <c r="A3556" s="1">
        <v>42326.272893518515</v>
      </c>
      <c r="B3556" s="2">
        <v>2.0081018518518519E-2</v>
      </c>
      <c r="C3556" t="s">
        <v>106</v>
      </c>
      <c r="D3556" t="s">
        <v>23</v>
      </c>
      <c r="E3556" t="s">
        <v>24</v>
      </c>
      <c r="F3556" t="s">
        <v>3037</v>
      </c>
      <c r="G3556">
        <v>836624</v>
      </c>
      <c r="H3556" t="s">
        <v>26</v>
      </c>
      <c r="I3556" t="s">
        <v>1650</v>
      </c>
      <c r="J3556" t="str">
        <f>"9781118346686"</f>
        <v>9781118346686</v>
      </c>
      <c r="K3556" t="s">
        <v>6121</v>
      </c>
      <c r="L3556">
        <v>23</v>
      </c>
      <c r="O3556" t="s">
        <v>30</v>
      </c>
      <c r="P3556" t="s">
        <v>29</v>
      </c>
      <c r="Q3556" s="1">
        <v>42325.193067129629</v>
      </c>
      <c r="R3556">
        <v>7</v>
      </c>
      <c r="S3556" t="s">
        <v>31</v>
      </c>
      <c r="T3556" t="s">
        <v>3039</v>
      </c>
      <c r="U3556">
        <v>741.59730000000002</v>
      </c>
      <c r="V3556" s="3">
        <v>40969</v>
      </c>
    </row>
    <row r="3557" spans="1:22" x14ac:dyDescent="0.35">
      <c r="A3557" s="1">
        <v>42326.223935185182</v>
      </c>
      <c r="B3557" s="2">
        <v>3.2175925925925926E-3</v>
      </c>
      <c r="C3557" t="s">
        <v>6122</v>
      </c>
      <c r="D3557" t="s">
        <v>623</v>
      </c>
      <c r="E3557" t="s">
        <v>624</v>
      </c>
      <c r="F3557" t="s">
        <v>6123</v>
      </c>
      <c r="G3557">
        <v>1318801</v>
      </c>
      <c r="H3557" t="s">
        <v>26</v>
      </c>
      <c r="I3557" t="s">
        <v>3061</v>
      </c>
      <c r="J3557" t="str">
        <f>"9781118734414"</f>
        <v>9781118734414</v>
      </c>
      <c r="K3557" t="s">
        <v>6124</v>
      </c>
      <c r="L3557">
        <v>32</v>
      </c>
      <c r="O3557" t="s">
        <v>30</v>
      </c>
      <c r="P3557" t="s">
        <v>50</v>
      </c>
      <c r="S3557" t="s">
        <v>627</v>
      </c>
      <c r="T3557" t="s">
        <v>6125</v>
      </c>
      <c r="U3557">
        <v>571.65700000000004</v>
      </c>
      <c r="V3557" s="3">
        <v>41467</v>
      </c>
    </row>
    <row r="3558" spans="1:22" x14ac:dyDescent="0.35">
      <c r="A3558" s="1">
        <v>42326.180972222224</v>
      </c>
      <c r="B3558" s="2">
        <v>5.7870370370370366E-5</v>
      </c>
      <c r="C3558" t="s">
        <v>6111</v>
      </c>
      <c r="D3558" t="s">
        <v>623</v>
      </c>
      <c r="E3558" t="s">
        <v>624</v>
      </c>
      <c r="F3558" t="s">
        <v>6115</v>
      </c>
      <c r="G3558">
        <v>2008060</v>
      </c>
      <c r="H3558" t="s">
        <v>26</v>
      </c>
      <c r="I3558" t="s">
        <v>172</v>
      </c>
      <c r="J3558" t="str">
        <f>"9781118949016"</f>
        <v>9781118949016</v>
      </c>
      <c r="K3558" t="s">
        <v>33</v>
      </c>
      <c r="L3558">
        <v>3</v>
      </c>
      <c r="O3558" t="s">
        <v>30</v>
      </c>
      <c r="P3558" t="s">
        <v>50</v>
      </c>
      <c r="S3558" t="s">
        <v>627</v>
      </c>
      <c r="T3558" t="s">
        <v>6117</v>
      </c>
      <c r="U3558" t="s">
        <v>6118</v>
      </c>
      <c r="V3558" s="3">
        <v>42088</v>
      </c>
    </row>
    <row r="3559" spans="1:22" x14ac:dyDescent="0.35">
      <c r="A3559" s="1">
        <v>42326.175034722219</v>
      </c>
      <c r="B3559" s="2">
        <v>2.3217592592592592E-2</v>
      </c>
      <c r="C3559" t="s">
        <v>6126</v>
      </c>
      <c r="D3559" t="s">
        <v>23</v>
      </c>
      <c r="E3559" t="s">
        <v>24</v>
      </c>
      <c r="F3559" t="s">
        <v>2924</v>
      </c>
      <c r="G3559">
        <v>2008480</v>
      </c>
      <c r="H3559" t="s">
        <v>91</v>
      </c>
      <c r="I3559" t="s">
        <v>247</v>
      </c>
      <c r="J3559" t="str">
        <f>"9781462523221"</f>
        <v>9781462523221</v>
      </c>
      <c r="K3559" t="s">
        <v>6127</v>
      </c>
      <c r="L3559">
        <v>4</v>
      </c>
      <c r="O3559" t="s">
        <v>30</v>
      </c>
      <c r="P3559" t="s">
        <v>47</v>
      </c>
      <c r="Q3559" s="1">
        <v>42326.175034722219</v>
      </c>
      <c r="R3559">
        <v>1</v>
      </c>
      <c r="S3559" t="s">
        <v>31</v>
      </c>
      <c r="T3559" t="s">
        <v>2926</v>
      </c>
      <c r="U3559">
        <v>616.85220000000004</v>
      </c>
      <c r="V3559" s="3">
        <v>42005</v>
      </c>
    </row>
    <row r="3560" spans="1:22" x14ac:dyDescent="0.35">
      <c r="A3560" s="1">
        <v>42326.174826388888</v>
      </c>
      <c r="B3560" s="2">
        <v>2.0949074074074073E-3</v>
      </c>
      <c r="C3560" t="s">
        <v>3208</v>
      </c>
      <c r="D3560" t="s">
        <v>117</v>
      </c>
      <c r="E3560" t="s">
        <v>118</v>
      </c>
      <c r="F3560" t="s">
        <v>3209</v>
      </c>
      <c r="G3560">
        <v>1725830</v>
      </c>
      <c r="H3560" t="s">
        <v>26</v>
      </c>
      <c r="I3560" t="s">
        <v>445</v>
      </c>
      <c r="J3560" t="str">
        <f>"9780745684116"</f>
        <v>9780745684116</v>
      </c>
      <c r="K3560" t="s">
        <v>6128</v>
      </c>
      <c r="L3560">
        <v>7</v>
      </c>
      <c r="O3560" t="s">
        <v>30</v>
      </c>
      <c r="P3560" t="s">
        <v>47</v>
      </c>
      <c r="Q3560" s="1">
        <v>42326.174814814818</v>
      </c>
      <c r="R3560">
        <v>1</v>
      </c>
      <c r="S3560" t="s">
        <v>121</v>
      </c>
      <c r="T3560" t="s">
        <v>3211</v>
      </c>
      <c r="U3560">
        <v>331.13704100000001</v>
      </c>
      <c r="V3560" s="3">
        <v>41817</v>
      </c>
    </row>
    <row r="3561" spans="1:22" x14ac:dyDescent="0.35">
      <c r="A3561" s="1">
        <v>42326.171423611115</v>
      </c>
      <c r="B3561" s="2">
        <v>3.5995370370370369E-3</v>
      </c>
      <c r="C3561" t="s">
        <v>6126</v>
      </c>
      <c r="D3561" t="s">
        <v>23</v>
      </c>
      <c r="E3561" t="s">
        <v>24</v>
      </c>
      <c r="F3561" t="s">
        <v>2924</v>
      </c>
      <c r="G3561">
        <v>2008480</v>
      </c>
      <c r="H3561" t="s">
        <v>91</v>
      </c>
      <c r="I3561" t="s">
        <v>247</v>
      </c>
      <c r="J3561" t="str">
        <f>"9781462523221"</f>
        <v>9781462523221</v>
      </c>
      <c r="K3561" t="s">
        <v>6129</v>
      </c>
      <c r="L3561">
        <v>10</v>
      </c>
      <c r="O3561" t="s">
        <v>30</v>
      </c>
      <c r="P3561" t="s">
        <v>50</v>
      </c>
      <c r="S3561" t="s">
        <v>31</v>
      </c>
      <c r="T3561" t="s">
        <v>2926</v>
      </c>
      <c r="U3561">
        <v>616.85220000000004</v>
      </c>
      <c r="V3561" s="3">
        <v>42005</v>
      </c>
    </row>
    <row r="3562" spans="1:22" x14ac:dyDescent="0.35">
      <c r="A3562" s="1">
        <v>42326.170567129629</v>
      </c>
      <c r="B3562" s="2">
        <v>1.0069444444444444E-3</v>
      </c>
      <c r="C3562" t="s">
        <v>4673</v>
      </c>
      <c r="D3562" t="s">
        <v>23</v>
      </c>
      <c r="E3562" t="s">
        <v>24</v>
      </c>
      <c r="F3562" t="s">
        <v>745</v>
      </c>
      <c r="G3562">
        <v>1166322</v>
      </c>
      <c r="H3562" t="s">
        <v>26</v>
      </c>
      <c r="I3562" t="s">
        <v>200</v>
      </c>
      <c r="J3562" t="str">
        <f>"9781118418512"</f>
        <v>9781118418512</v>
      </c>
      <c r="K3562" t="s">
        <v>6130</v>
      </c>
      <c r="L3562">
        <v>22</v>
      </c>
      <c r="N3562" t="s">
        <v>6131</v>
      </c>
      <c r="O3562" t="s">
        <v>30</v>
      </c>
      <c r="P3562" t="s">
        <v>29</v>
      </c>
      <c r="Q3562" s="1">
        <v>42326.170555555553</v>
      </c>
      <c r="R3562">
        <v>7</v>
      </c>
      <c r="S3562" t="s">
        <v>31</v>
      </c>
      <c r="T3562" t="s">
        <v>747</v>
      </c>
      <c r="U3562">
        <v>720.072</v>
      </c>
      <c r="V3562" s="3">
        <v>41367</v>
      </c>
    </row>
    <row r="3563" spans="1:22" x14ac:dyDescent="0.35">
      <c r="A3563" s="1">
        <v>42326.169675925928</v>
      </c>
      <c r="B3563" s="2">
        <v>4.5138888888888892E-4</v>
      </c>
      <c r="C3563" t="s">
        <v>6132</v>
      </c>
      <c r="D3563" t="s">
        <v>1222</v>
      </c>
      <c r="E3563" t="s">
        <v>1223</v>
      </c>
      <c r="F3563" t="s">
        <v>6133</v>
      </c>
      <c r="G3563">
        <v>1821089</v>
      </c>
      <c r="H3563" t="s">
        <v>91</v>
      </c>
      <c r="I3563" t="s">
        <v>219</v>
      </c>
      <c r="J3563" t="str">
        <f>"9781462519965"</f>
        <v>9781462519965</v>
      </c>
      <c r="K3563" t="s">
        <v>6134</v>
      </c>
      <c r="L3563">
        <v>19</v>
      </c>
      <c r="O3563" t="s">
        <v>30</v>
      </c>
      <c r="P3563" t="s">
        <v>50</v>
      </c>
      <c r="S3563" t="s">
        <v>1226</v>
      </c>
      <c r="T3563" t="s">
        <v>6135</v>
      </c>
      <c r="U3563" t="s">
        <v>6136</v>
      </c>
      <c r="V3563" s="3">
        <v>42055</v>
      </c>
    </row>
    <row r="3564" spans="1:22" x14ac:dyDescent="0.35">
      <c r="A3564" s="1">
        <v>42326.163530092592</v>
      </c>
      <c r="B3564" s="2">
        <v>6.039351851851852E-2</v>
      </c>
      <c r="C3564" t="s">
        <v>6066</v>
      </c>
      <c r="D3564" t="s">
        <v>23</v>
      </c>
      <c r="E3564" t="s">
        <v>24</v>
      </c>
      <c r="F3564" t="s">
        <v>5248</v>
      </c>
      <c r="G3564">
        <v>1120538</v>
      </c>
      <c r="H3564" t="s">
        <v>613</v>
      </c>
      <c r="I3564" t="s">
        <v>661</v>
      </c>
      <c r="J3564" t="str">
        <f>"9781469608082"</f>
        <v>9781469608082</v>
      </c>
      <c r="K3564" t="s">
        <v>6137</v>
      </c>
      <c r="L3564">
        <v>21</v>
      </c>
      <c r="O3564" t="s">
        <v>30</v>
      </c>
      <c r="P3564" t="s">
        <v>47</v>
      </c>
      <c r="Q3564" s="1">
        <v>42326.163518518515</v>
      </c>
      <c r="R3564">
        <v>1</v>
      </c>
      <c r="S3564" t="s">
        <v>31</v>
      </c>
      <c r="T3564" t="s">
        <v>5249</v>
      </c>
      <c r="U3564">
        <v>599.77309700000001</v>
      </c>
      <c r="V3564" s="3">
        <v>41417</v>
      </c>
    </row>
    <row r="3565" spans="1:22" x14ac:dyDescent="0.35">
      <c r="A3565" s="1">
        <v>42326.163495370369</v>
      </c>
      <c r="B3565" s="2">
        <v>2.3148148148148147E-5</v>
      </c>
      <c r="C3565" t="s">
        <v>6066</v>
      </c>
      <c r="D3565" t="s">
        <v>23</v>
      </c>
      <c r="E3565" t="s">
        <v>24</v>
      </c>
      <c r="F3565" t="s">
        <v>5248</v>
      </c>
      <c r="G3565">
        <v>1120538</v>
      </c>
      <c r="H3565" t="s">
        <v>613</v>
      </c>
      <c r="I3565" t="s">
        <v>661</v>
      </c>
      <c r="J3565" t="str">
        <f>"9781469608082"</f>
        <v>9781469608082</v>
      </c>
      <c r="L3565">
        <v>0</v>
      </c>
      <c r="O3565" t="s">
        <v>30</v>
      </c>
      <c r="P3565" t="s">
        <v>50</v>
      </c>
      <c r="S3565" t="s">
        <v>31</v>
      </c>
      <c r="T3565" t="s">
        <v>5249</v>
      </c>
      <c r="U3565">
        <v>599.77309700000001</v>
      </c>
      <c r="V3565" s="3">
        <v>41417</v>
      </c>
    </row>
    <row r="3566" spans="1:22" x14ac:dyDescent="0.35">
      <c r="A3566" s="1">
        <v>42326.161597222221</v>
      </c>
      <c r="B3566" s="2">
        <v>8.9583333333333338E-3</v>
      </c>
      <c r="C3566" t="s">
        <v>4673</v>
      </c>
      <c r="D3566" t="s">
        <v>23</v>
      </c>
      <c r="E3566" t="s">
        <v>24</v>
      </c>
      <c r="F3566" t="s">
        <v>745</v>
      </c>
      <c r="G3566">
        <v>1166322</v>
      </c>
      <c r="H3566" t="s">
        <v>26</v>
      </c>
      <c r="I3566" t="s">
        <v>200</v>
      </c>
      <c r="J3566" t="str">
        <f>"9781118418512"</f>
        <v>9781118418512</v>
      </c>
      <c r="K3566" t="s">
        <v>33</v>
      </c>
      <c r="L3566">
        <v>3</v>
      </c>
      <c r="O3566" t="s">
        <v>30</v>
      </c>
      <c r="P3566" t="s">
        <v>42</v>
      </c>
      <c r="S3566" t="s">
        <v>31</v>
      </c>
      <c r="T3566" t="s">
        <v>747</v>
      </c>
      <c r="U3566">
        <v>720.072</v>
      </c>
      <c r="V3566" s="3">
        <v>41367</v>
      </c>
    </row>
    <row r="3567" spans="1:22" x14ac:dyDescent="0.35">
      <c r="A3567" s="1">
        <v>42326.151932870373</v>
      </c>
      <c r="B3567" s="2">
        <v>2.2881944444444444E-2</v>
      </c>
      <c r="C3567" t="s">
        <v>3208</v>
      </c>
      <c r="D3567" t="s">
        <v>117</v>
      </c>
      <c r="E3567" t="s">
        <v>118</v>
      </c>
      <c r="F3567" t="s">
        <v>3209</v>
      </c>
      <c r="G3567">
        <v>1725830</v>
      </c>
      <c r="H3567" t="s">
        <v>26</v>
      </c>
      <c r="I3567" t="s">
        <v>445</v>
      </c>
      <c r="J3567" t="str">
        <f>"9780745684116"</f>
        <v>9780745684116</v>
      </c>
      <c r="K3567" t="s">
        <v>889</v>
      </c>
      <c r="L3567">
        <v>6</v>
      </c>
      <c r="O3567" t="s">
        <v>30</v>
      </c>
      <c r="P3567" t="s">
        <v>50</v>
      </c>
      <c r="S3567" t="s">
        <v>121</v>
      </c>
      <c r="T3567" t="s">
        <v>3211</v>
      </c>
      <c r="U3567">
        <v>331.13704100000001</v>
      </c>
      <c r="V3567" s="3">
        <v>41817</v>
      </c>
    </row>
    <row r="3568" spans="1:22" x14ac:dyDescent="0.35">
      <c r="A3568" s="1">
        <v>42326.151712962965</v>
      </c>
      <c r="B3568" s="2">
        <v>1.1458333333333333E-3</v>
      </c>
      <c r="C3568" t="s">
        <v>6138</v>
      </c>
      <c r="D3568" t="s">
        <v>623</v>
      </c>
      <c r="E3568" t="s">
        <v>624</v>
      </c>
      <c r="F3568" t="s">
        <v>6139</v>
      </c>
      <c r="G3568">
        <v>2004809</v>
      </c>
      <c r="H3568" t="s">
        <v>45</v>
      </c>
      <c r="I3568" t="s">
        <v>79</v>
      </c>
      <c r="J3568" t="str">
        <f>"9781472443465"</f>
        <v>9781472443465</v>
      </c>
      <c r="K3568" t="s">
        <v>6140</v>
      </c>
      <c r="L3568">
        <v>22</v>
      </c>
      <c r="O3568" t="s">
        <v>30</v>
      </c>
      <c r="P3568" t="s">
        <v>50</v>
      </c>
      <c r="S3568" t="s">
        <v>627</v>
      </c>
      <c r="T3568" t="s">
        <v>6141</v>
      </c>
      <c r="U3568" t="s">
        <v>6142</v>
      </c>
      <c r="V3568" s="3">
        <v>42122</v>
      </c>
    </row>
    <row r="3569" spans="1:22" x14ac:dyDescent="0.35">
      <c r="A3569" s="1">
        <v>42326.140196759261</v>
      </c>
      <c r="B3569" s="2">
        <v>0</v>
      </c>
      <c r="C3569" t="s">
        <v>1554</v>
      </c>
      <c r="D3569" t="s">
        <v>23</v>
      </c>
      <c r="E3569" t="s">
        <v>24</v>
      </c>
      <c r="F3569" t="s">
        <v>698</v>
      </c>
      <c r="G3569">
        <v>865191</v>
      </c>
      <c r="H3569" t="s">
        <v>26</v>
      </c>
      <c r="I3569" t="s">
        <v>120</v>
      </c>
      <c r="J3569" t="str">
        <f>"9781118101681"</f>
        <v>9781118101681</v>
      </c>
      <c r="L3569">
        <v>0</v>
      </c>
      <c r="O3569" t="s">
        <v>28</v>
      </c>
      <c r="P3569" t="s">
        <v>29</v>
      </c>
      <c r="Q3569" s="1">
        <v>42326.098506944443</v>
      </c>
      <c r="R3569">
        <v>7</v>
      </c>
      <c r="S3569" t="s">
        <v>31</v>
      </c>
      <c r="T3569" t="s">
        <v>699</v>
      </c>
      <c r="U3569" t="s">
        <v>700</v>
      </c>
      <c r="V3569" s="3">
        <v>40960</v>
      </c>
    </row>
    <row r="3570" spans="1:22" x14ac:dyDescent="0.35">
      <c r="A3570" s="1">
        <v>42326.140092592592</v>
      </c>
      <c r="B3570" s="2">
        <v>0</v>
      </c>
      <c r="C3570" t="s">
        <v>1554</v>
      </c>
      <c r="D3570" t="s">
        <v>23</v>
      </c>
      <c r="E3570" t="s">
        <v>24</v>
      </c>
      <c r="F3570" t="s">
        <v>698</v>
      </c>
      <c r="G3570">
        <v>865191</v>
      </c>
      <c r="H3570" t="s">
        <v>26</v>
      </c>
      <c r="I3570" t="s">
        <v>120</v>
      </c>
      <c r="J3570" t="str">
        <f>"9781118101681"</f>
        <v>9781118101681</v>
      </c>
      <c r="L3570">
        <v>0</v>
      </c>
      <c r="O3570" t="s">
        <v>28</v>
      </c>
      <c r="P3570" t="s">
        <v>29</v>
      </c>
      <c r="Q3570" s="1">
        <v>42326.098506944443</v>
      </c>
      <c r="R3570">
        <v>7</v>
      </c>
      <c r="S3570" t="s">
        <v>31</v>
      </c>
      <c r="T3570" t="s">
        <v>699</v>
      </c>
      <c r="U3570" t="s">
        <v>700</v>
      </c>
      <c r="V3570" s="3">
        <v>40960</v>
      </c>
    </row>
    <row r="3571" spans="1:22" x14ac:dyDescent="0.35">
      <c r="A3571" s="1">
        <v>42326.136817129627</v>
      </c>
      <c r="B3571" s="2">
        <v>1.423611111111111E-3</v>
      </c>
      <c r="C3571" t="s">
        <v>6143</v>
      </c>
      <c r="D3571" t="s">
        <v>158</v>
      </c>
      <c r="E3571" t="s">
        <v>159</v>
      </c>
      <c r="F3571" t="s">
        <v>6144</v>
      </c>
      <c r="G3571">
        <v>1108303</v>
      </c>
      <c r="H3571" t="s">
        <v>45</v>
      </c>
      <c r="I3571" t="s">
        <v>426</v>
      </c>
      <c r="J3571" t="str">
        <f>"9781409446156"</f>
        <v>9781409446156</v>
      </c>
      <c r="K3571" t="s">
        <v>2322</v>
      </c>
      <c r="L3571">
        <v>23</v>
      </c>
      <c r="O3571" t="s">
        <v>30</v>
      </c>
      <c r="P3571" t="s">
        <v>42</v>
      </c>
      <c r="S3571" t="s">
        <v>163</v>
      </c>
      <c r="T3571" t="s">
        <v>6145</v>
      </c>
      <c r="U3571">
        <v>200.96690000000001</v>
      </c>
      <c r="V3571" s="3">
        <v>41361</v>
      </c>
    </row>
    <row r="3572" spans="1:22" x14ac:dyDescent="0.35">
      <c r="A3572" s="1">
        <v>42326.133310185185</v>
      </c>
      <c r="B3572" s="2">
        <v>4.2824074074074075E-4</v>
      </c>
      <c r="C3572" t="s">
        <v>6146</v>
      </c>
      <c r="D3572" t="s">
        <v>35</v>
      </c>
      <c r="E3572" t="s">
        <v>36</v>
      </c>
      <c r="F3572" t="s">
        <v>5397</v>
      </c>
      <c r="G3572">
        <v>1894285</v>
      </c>
      <c r="H3572" t="s">
        <v>91</v>
      </c>
      <c r="I3572" t="s">
        <v>69</v>
      </c>
      <c r="J3572" t="str">
        <f>"9781462520169"</f>
        <v>9781462520169</v>
      </c>
      <c r="K3572" t="s">
        <v>6147</v>
      </c>
      <c r="L3572">
        <v>21</v>
      </c>
      <c r="O3572" t="s">
        <v>30</v>
      </c>
      <c r="P3572" t="s">
        <v>50</v>
      </c>
      <c r="S3572" t="s">
        <v>40</v>
      </c>
      <c r="T3572" t="s">
        <v>5399</v>
      </c>
      <c r="U3572">
        <v>370.15300000000002</v>
      </c>
      <c r="V3572" s="3">
        <v>42109</v>
      </c>
    </row>
    <row r="3573" spans="1:22" x14ac:dyDescent="0.35">
      <c r="A3573" s="1">
        <v>42326.131932870368</v>
      </c>
      <c r="B3573" s="2">
        <v>0</v>
      </c>
      <c r="C3573" t="s">
        <v>1554</v>
      </c>
      <c r="D3573" t="s">
        <v>23</v>
      </c>
      <c r="E3573" t="s">
        <v>24</v>
      </c>
      <c r="F3573" t="s">
        <v>698</v>
      </c>
      <c r="G3573">
        <v>865191</v>
      </c>
      <c r="H3573" t="s">
        <v>26</v>
      </c>
      <c r="I3573" t="s">
        <v>120</v>
      </c>
      <c r="J3573" t="str">
        <f>"9781118101681"</f>
        <v>9781118101681</v>
      </c>
      <c r="L3573">
        <v>0</v>
      </c>
      <c r="O3573" t="s">
        <v>28</v>
      </c>
      <c r="P3573" t="s">
        <v>29</v>
      </c>
      <c r="Q3573" s="1">
        <v>42326.098506944443</v>
      </c>
      <c r="R3573">
        <v>7</v>
      </c>
      <c r="S3573" t="s">
        <v>31</v>
      </c>
      <c r="T3573" t="s">
        <v>699</v>
      </c>
      <c r="U3573" t="s">
        <v>700</v>
      </c>
      <c r="V3573" s="3">
        <v>40960</v>
      </c>
    </row>
    <row r="3574" spans="1:22" x14ac:dyDescent="0.35">
      <c r="A3574" s="1">
        <v>42326.129988425928</v>
      </c>
      <c r="B3574" s="2">
        <v>1.8402777777777777E-3</v>
      </c>
      <c r="C3574" t="s">
        <v>1554</v>
      </c>
      <c r="D3574" t="s">
        <v>23</v>
      </c>
      <c r="E3574" t="s">
        <v>24</v>
      </c>
      <c r="F3574" t="s">
        <v>698</v>
      </c>
      <c r="G3574">
        <v>865191</v>
      </c>
      <c r="H3574" t="s">
        <v>26</v>
      </c>
      <c r="I3574" t="s">
        <v>120</v>
      </c>
      <c r="J3574" t="str">
        <f>"9781118101681"</f>
        <v>9781118101681</v>
      </c>
      <c r="K3574" t="s">
        <v>6148</v>
      </c>
      <c r="L3574">
        <v>10</v>
      </c>
      <c r="O3574" t="s">
        <v>30</v>
      </c>
      <c r="P3574" t="s">
        <v>29</v>
      </c>
      <c r="Q3574" s="1">
        <v>42326.098506944443</v>
      </c>
      <c r="R3574">
        <v>7</v>
      </c>
      <c r="S3574" t="s">
        <v>31</v>
      </c>
      <c r="T3574" t="s">
        <v>699</v>
      </c>
      <c r="U3574" t="s">
        <v>700</v>
      </c>
      <c r="V3574" s="3">
        <v>40960</v>
      </c>
    </row>
    <row r="3575" spans="1:22" x14ac:dyDescent="0.35">
      <c r="A3575" s="1">
        <v>42326.129733796297</v>
      </c>
      <c r="B3575" s="2">
        <v>6.8287037037037025E-4</v>
      </c>
      <c r="C3575" t="s">
        <v>6004</v>
      </c>
      <c r="D3575" t="s">
        <v>117</v>
      </c>
      <c r="E3575" t="s">
        <v>118</v>
      </c>
      <c r="F3575" t="s">
        <v>6149</v>
      </c>
      <c r="G3575">
        <v>3061383</v>
      </c>
      <c r="H3575" t="s">
        <v>68</v>
      </c>
      <c r="I3575" t="s">
        <v>1211</v>
      </c>
      <c r="J3575" t="str">
        <f>"9780203055625"</f>
        <v>9780203055625</v>
      </c>
      <c r="K3575" t="s">
        <v>6150</v>
      </c>
      <c r="L3575">
        <v>15</v>
      </c>
      <c r="O3575" t="s">
        <v>30</v>
      </c>
      <c r="P3575" t="s">
        <v>47</v>
      </c>
      <c r="Q3575" s="1">
        <v>42326.12972222222</v>
      </c>
      <c r="R3575">
        <v>1</v>
      </c>
      <c r="S3575" t="s">
        <v>121</v>
      </c>
      <c r="T3575" t="s">
        <v>6151</v>
      </c>
      <c r="U3575">
        <v>305.896073</v>
      </c>
      <c r="V3575" s="3">
        <v>41548</v>
      </c>
    </row>
    <row r="3576" spans="1:22" x14ac:dyDescent="0.35">
      <c r="A3576" s="1">
        <v>42326.124641203707</v>
      </c>
      <c r="B3576" s="2">
        <v>9.2592592592592588E-5</v>
      </c>
      <c r="C3576" t="s">
        <v>106</v>
      </c>
      <c r="D3576" t="s">
        <v>23</v>
      </c>
      <c r="E3576" t="s">
        <v>24</v>
      </c>
      <c r="F3576" t="s">
        <v>3037</v>
      </c>
      <c r="G3576">
        <v>836624</v>
      </c>
      <c r="H3576" t="s">
        <v>26</v>
      </c>
      <c r="I3576" t="s">
        <v>1650</v>
      </c>
      <c r="J3576" t="str">
        <f>"9781118346686"</f>
        <v>9781118346686</v>
      </c>
      <c r="K3576" t="s">
        <v>33</v>
      </c>
      <c r="L3576">
        <v>3</v>
      </c>
      <c r="O3576" t="s">
        <v>30</v>
      </c>
      <c r="P3576" t="s">
        <v>29</v>
      </c>
      <c r="Q3576" s="1">
        <v>42325.193067129629</v>
      </c>
      <c r="R3576">
        <v>7</v>
      </c>
      <c r="S3576" t="s">
        <v>31</v>
      </c>
      <c r="T3576" t="s">
        <v>3039</v>
      </c>
      <c r="U3576">
        <v>741.59730000000002</v>
      </c>
      <c r="V3576" s="3">
        <v>40969</v>
      </c>
    </row>
    <row r="3577" spans="1:22" x14ac:dyDescent="0.35">
      <c r="A3577" s="1">
        <v>42326.123657407406</v>
      </c>
      <c r="B3577" s="2">
        <v>6.0648148148148145E-3</v>
      </c>
      <c r="C3577" t="s">
        <v>6004</v>
      </c>
      <c r="D3577" t="s">
        <v>117</v>
      </c>
      <c r="E3577" t="s">
        <v>118</v>
      </c>
      <c r="F3577" t="s">
        <v>6149</v>
      </c>
      <c r="G3577">
        <v>3061383</v>
      </c>
      <c r="H3577" t="s">
        <v>68</v>
      </c>
      <c r="I3577" t="s">
        <v>1211</v>
      </c>
      <c r="J3577" t="str">
        <f>"9780203055625"</f>
        <v>9780203055625</v>
      </c>
      <c r="K3577" t="s">
        <v>33</v>
      </c>
      <c r="L3577">
        <v>3</v>
      </c>
      <c r="O3577" t="s">
        <v>30</v>
      </c>
      <c r="P3577" t="s">
        <v>50</v>
      </c>
      <c r="S3577" t="s">
        <v>121</v>
      </c>
      <c r="T3577" t="s">
        <v>6151</v>
      </c>
      <c r="U3577">
        <v>305.896073</v>
      </c>
      <c r="V3577" s="3">
        <v>41548</v>
      </c>
    </row>
    <row r="3578" spans="1:22" x14ac:dyDescent="0.35">
      <c r="A3578" s="1">
        <v>42326.120613425926</v>
      </c>
      <c r="B3578" s="2">
        <v>8.1018518518518516E-5</v>
      </c>
      <c r="C3578" t="s">
        <v>6004</v>
      </c>
      <c r="D3578" t="s">
        <v>117</v>
      </c>
      <c r="E3578" t="s">
        <v>118</v>
      </c>
      <c r="F3578" t="s">
        <v>6062</v>
      </c>
      <c r="G3578">
        <v>1330317</v>
      </c>
      <c r="H3578" t="s">
        <v>526</v>
      </c>
      <c r="I3578" t="s">
        <v>108</v>
      </c>
      <c r="J3578" t="str">
        <f>"9780226030616"</f>
        <v>9780226030616</v>
      </c>
      <c r="K3578" t="s">
        <v>33</v>
      </c>
      <c r="L3578">
        <v>3</v>
      </c>
      <c r="O3578" t="s">
        <v>30</v>
      </c>
      <c r="P3578" t="s">
        <v>50</v>
      </c>
      <c r="S3578" t="s">
        <v>121</v>
      </c>
      <c r="T3578" t="s">
        <v>2049</v>
      </c>
      <c r="U3578">
        <v>332.10973000000001</v>
      </c>
      <c r="V3578" s="3">
        <v>41505</v>
      </c>
    </row>
    <row r="3579" spans="1:22" x14ac:dyDescent="0.35">
      <c r="A3579" s="1">
        <v>42326.11619212963</v>
      </c>
      <c r="B3579" s="2">
        <v>1.2152777777777778E-3</v>
      </c>
      <c r="C3579" t="s">
        <v>6004</v>
      </c>
      <c r="D3579" t="s">
        <v>117</v>
      </c>
      <c r="E3579" t="s">
        <v>118</v>
      </c>
      <c r="F3579" t="s">
        <v>5425</v>
      </c>
      <c r="G3579">
        <v>1397123</v>
      </c>
      <c r="H3579" t="s">
        <v>68</v>
      </c>
      <c r="I3579" t="s">
        <v>1211</v>
      </c>
      <c r="J3579" t="str">
        <f>"9781134729005"</f>
        <v>9781134729005</v>
      </c>
      <c r="K3579" t="s">
        <v>6152</v>
      </c>
      <c r="L3579">
        <v>35</v>
      </c>
      <c r="O3579" t="s">
        <v>30</v>
      </c>
      <c r="P3579" t="s">
        <v>50</v>
      </c>
      <c r="S3579" t="s">
        <v>121</v>
      </c>
      <c r="T3579" t="s">
        <v>5427</v>
      </c>
      <c r="U3579">
        <v>305.896073</v>
      </c>
      <c r="V3579" s="3">
        <v>38806</v>
      </c>
    </row>
    <row r="3580" spans="1:22" x14ac:dyDescent="0.35">
      <c r="A3580" s="1">
        <v>42326.11310185185</v>
      </c>
      <c r="B3580" s="2">
        <v>4.6296296296296294E-5</v>
      </c>
      <c r="C3580" t="s">
        <v>6004</v>
      </c>
      <c r="D3580" t="s">
        <v>117</v>
      </c>
      <c r="E3580" t="s">
        <v>118</v>
      </c>
      <c r="F3580" t="s">
        <v>6153</v>
      </c>
      <c r="G3580">
        <v>1461190</v>
      </c>
      <c r="H3580" t="s">
        <v>68</v>
      </c>
      <c r="I3580" t="s">
        <v>172</v>
      </c>
      <c r="J3580" t="str">
        <f>"9781135005191"</f>
        <v>9781135005191</v>
      </c>
      <c r="K3580" t="s">
        <v>33</v>
      </c>
      <c r="L3580">
        <v>3</v>
      </c>
      <c r="O3580" t="s">
        <v>30</v>
      </c>
      <c r="P3580" t="s">
        <v>50</v>
      </c>
      <c r="S3580" t="s">
        <v>121</v>
      </c>
      <c r="T3580" t="s">
        <v>6154</v>
      </c>
      <c r="U3580">
        <v>960</v>
      </c>
      <c r="V3580" s="3">
        <v>41555</v>
      </c>
    </row>
    <row r="3581" spans="1:22" x14ac:dyDescent="0.35">
      <c r="A3581" s="1">
        <v>42326.105347222219</v>
      </c>
      <c r="B3581" s="2">
        <v>2.4305555555555552E-4</v>
      </c>
      <c r="C3581" t="s">
        <v>6155</v>
      </c>
      <c r="D3581" t="s">
        <v>23</v>
      </c>
      <c r="E3581" t="s">
        <v>24</v>
      </c>
      <c r="F3581" t="s">
        <v>5494</v>
      </c>
      <c r="G3581">
        <v>1589615</v>
      </c>
      <c r="H3581" t="s">
        <v>45</v>
      </c>
      <c r="I3581" t="s">
        <v>172</v>
      </c>
      <c r="J3581" t="str">
        <f>"9781409469865"</f>
        <v>9781409469865</v>
      </c>
      <c r="K3581" t="s">
        <v>5910</v>
      </c>
      <c r="L3581">
        <v>10</v>
      </c>
      <c r="O3581" t="s">
        <v>30</v>
      </c>
      <c r="P3581" t="s">
        <v>47</v>
      </c>
      <c r="Q3581" s="1">
        <v>42325.850983796299</v>
      </c>
      <c r="R3581">
        <v>1</v>
      </c>
      <c r="S3581" t="s">
        <v>31</v>
      </c>
      <c r="T3581" t="s">
        <v>5496</v>
      </c>
      <c r="U3581">
        <v>949.50199999999995</v>
      </c>
      <c r="V3581" s="3">
        <v>41940</v>
      </c>
    </row>
    <row r="3582" spans="1:22" x14ac:dyDescent="0.35">
      <c r="A3582" s="1">
        <v>42326.101388888892</v>
      </c>
      <c r="B3582" s="2">
        <v>1.9907407407407408E-3</v>
      </c>
      <c r="C3582" t="s">
        <v>6155</v>
      </c>
      <c r="D3582" t="s">
        <v>23</v>
      </c>
      <c r="E3582" t="s">
        <v>24</v>
      </c>
      <c r="F3582" t="s">
        <v>5494</v>
      </c>
      <c r="G3582">
        <v>1589615</v>
      </c>
      <c r="H3582" t="s">
        <v>45</v>
      </c>
      <c r="I3582" t="s">
        <v>172</v>
      </c>
      <c r="J3582" t="str">
        <f>"9781409469865"</f>
        <v>9781409469865</v>
      </c>
      <c r="K3582" t="s">
        <v>6156</v>
      </c>
      <c r="L3582">
        <v>31</v>
      </c>
      <c r="O3582" t="s">
        <v>30</v>
      </c>
      <c r="P3582" t="s">
        <v>47</v>
      </c>
      <c r="Q3582" s="1">
        <v>42325.850983796299</v>
      </c>
      <c r="R3582">
        <v>1</v>
      </c>
      <c r="S3582" t="s">
        <v>31</v>
      </c>
      <c r="T3582" t="s">
        <v>5496</v>
      </c>
      <c r="U3582">
        <v>949.50199999999995</v>
      </c>
      <c r="V3582" s="3">
        <v>41940</v>
      </c>
    </row>
    <row r="3583" spans="1:22" x14ac:dyDescent="0.35">
      <c r="A3583" s="1">
        <v>42326.098506944443</v>
      </c>
      <c r="B3583" s="2">
        <v>0</v>
      </c>
      <c r="C3583" t="s">
        <v>1554</v>
      </c>
      <c r="D3583" t="s">
        <v>23</v>
      </c>
      <c r="E3583" t="s">
        <v>24</v>
      </c>
      <c r="F3583" t="s">
        <v>698</v>
      </c>
      <c r="G3583">
        <v>865191</v>
      </c>
      <c r="H3583" t="s">
        <v>26</v>
      </c>
      <c r="I3583" t="s">
        <v>120</v>
      </c>
      <c r="J3583" t="str">
        <f>"9781118101681"</f>
        <v>9781118101681</v>
      </c>
      <c r="L3583">
        <v>0</v>
      </c>
      <c r="O3583" t="s">
        <v>28</v>
      </c>
      <c r="P3583" t="s">
        <v>29</v>
      </c>
      <c r="Q3583" s="1">
        <v>42326.098506944443</v>
      </c>
      <c r="R3583">
        <v>7</v>
      </c>
      <c r="S3583" t="s">
        <v>31</v>
      </c>
      <c r="T3583" t="s">
        <v>699</v>
      </c>
      <c r="U3583" t="s">
        <v>700</v>
      </c>
      <c r="V3583" s="3">
        <v>40960</v>
      </c>
    </row>
    <row r="3584" spans="1:22" x14ac:dyDescent="0.35">
      <c r="A3584" s="1">
        <v>42326.098506944443</v>
      </c>
      <c r="B3584" s="2">
        <v>0</v>
      </c>
      <c r="C3584" t="s">
        <v>1554</v>
      </c>
      <c r="D3584" t="s">
        <v>23</v>
      </c>
      <c r="E3584" t="s">
        <v>24</v>
      </c>
      <c r="F3584" t="s">
        <v>698</v>
      </c>
      <c r="G3584">
        <v>865191</v>
      </c>
      <c r="H3584" t="s">
        <v>26</v>
      </c>
      <c r="I3584" t="s">
        <v>120</v>
      </c>
      <c r="J3584" t="str">
        <f>"9781118101681"</f>
        <v>9781118101681</v>
      </c>
      <c r="L3584">
        <v>0</v>
      </c>
      <c r="O3584" t="s">
        <v>30</v>
      </c>
      <c r="P3584" t="s">
        <v>29</v>
      </c>
      <c r="Q3584" s="1">
        <v>42326.098506944443</v>
      </c>
      <c r="R3584">
        <v>7</v>
      </c>
      <c r="S3584" t="s">
        <v>31</v>
      </c>
      <c r="T3584" t="s">
        <v>699</v>
      </c>
      <c r="U3584" t="s">
        <v>700</v>
      </c>
      <c r="V3584" s="3">
        <v>40960</v>
      </c>
    </row>
    <row r="3585" spans="1:22" x14ac:dyDescent="0.35">
      <c r="A3585" s="1">
        <v>42326.098217592589</v>
      </c>
      <c r="B3585" s="2">
        <v>2.8935185185185189E-4</v>
      </c>
      <c r="C3585" t="s">
        <v>1554</v>
      </c>
      <c r="D3585" t="s">
        <v>23</v>
      </c>
      <c r="E3585" t="s">
        <v>24</v>
      </c>
      <c r="F3585" t="s">
        <v>698</v>
      </c>
      <c r="G3585">
        <v>865191</v>
      </c>
      <c r="H3585" t="s">
        <v>26</v>
      </c>
      <c r="I3585" t="s">
        <v>120</v>
      </c>
      <c r="J3585" t="str">
        <f>"9781118101681"</f>
        <v>9781118101681</v>
      </c>
      <c r="K3585" t="s">
        <v>202</v>
      </c>
      <c r="L3585">
        <v>3</v>
      </c>
      <c r="O3585" t="s">
        <v>30</v>
      </c>
      <c r="P3585" t="s">
        <v>42</v>
      </c>
      <c r="S3585" t="s">
        <v>31</v>
      </c>
      <c r="T3585" t="s">
        <v>699</v>
      </c>
      <c r="U3585" t="s">
        <v>700</v>
      </c>
      <c r="V3585" s="3">
        <v>40960</v>
      </c>
    </row>
    <row r="3586" spans="1:22" x14ac:dyDescent="0.35">
      <c r="A3586" s="1">
        <v>42326.098171296297</v>
      </c>
      <c r="B3586" s="2">
        <v>1.3090277777777779E-2</v>
      </c>
      <c r="C3586" t="s">
        <v>6004</v>
      </c>
      <c r="D3586" t="s">
        <v>117</v>
      </c>
      <c r="E3586" t="s">
        <v>118</v>
      </c>
      <c r="F3586" t="s">
        <v>6037</v>
      </c>
      <c r="G3586">
        <v>844066</v>
      </c>
      <c r="H3586" t="s">
        <v>26</v>
      </c>
      <c r="I3586" t="s">
        <v>108</v>
      </c>
      <c r="J3586" t="str">
        <f>"9781444347425"</f>
        <v>9781444347425</v>
      </c>
      <c r="K3586" t="s">
        <v>6157</v>
      </c>
      <c r="L3586">
        <v>38</v>
      </c>
      <c r="O3586" t="s">
        <v>28</v>
      </c>
      <c r="P3586" t="s">
        <v>29</v>
      </c>
      <c r="Q3586" s="1">
        <v>42326.098171296297</v>
      </c>
      <c r="R3586">
        <v>7</v>
      </c>
      <c r="S3586" t="s">
        <v>121</v>
      </c>
      <c r="T3586" t="s">
        <v>6040</v>
      </c>
      <c r="U3586" t="s">
        <v>6041</v>
      </c>
      <c r="V3586" s="3">
        <v>40925</v>
      </c>
    </row>
    <row r="3587" spans="1:22" x14ac:dyDescent="0.35">
      <c r="A3587" s="1">
        <v>42326.098171296297</v>
      </c>
      <c r="B3587" s="2">
        <v>0</v>
      </c>
      <c r="C3587" t="s">
        <v>6004</v>
      </c>
      <c r="D3587" t="s">
        <v>117</v>
      </c>
      <c r="E3587" t="s">
        <v>118</v>
      </c>
      <c r="F3587" t="s">
        <v>6037</v>
      </c>
      <c r="G3587">
        <v>844066</v>
      </c>
      <c r="H3587" t="s">
        <v>26</v>
      </c>
      <c r="I3587" t="s">
        <v>108</v>
      </c>
      <c r="J3587" t="str">
        <f>"9781444347425"</f>
        <v>9781444347425</v>
      </c>
      <c r="L3587">
        <v>0</v>
      </c>
      <c r="O3587" t="s">
        <v>30</v>
      </c>
      <c r="P3587" t="s">
        <v>29</v>
      </c>
      <c r="Q3587" s="1">
        <v>42326.098171296297</v>
      </c>
      <c r="R3587">
        <v>7</v>
      </c>
      <c r="S3587" t="s">
        <v>121</v>
      </c>
      <c r="T3587" t="s">
        <v>6040</v>
      </c>
      <c r="U3587" t="s">
        <v>6041</v>
      </c>
      <c r="V3587" s="3">
        <v>40925</v>
      </c>
    </row>
    <row r="3588" spans="1:22" x14ac:dyDescent="0.35">
      <c r="A3588" s="1">
        <v>42326.097094907411</v>
      </c>
      <c r="B3588" s="2">
        <v>1.0763888888888889E-3</v>
      </c>
      <c r="C3588" t="s">
        <v>6004</v>
      </c>
      <c r="D3588" t="s">
        <v>117</v>
      </c>
      <c r="E3588" t="s">
        <v>118</v>
      </c>
      <c r="F3588" t="s">
        <v>6037</v>
      </c>
      <c r="G3588">
        <v>844066</v>
      </c>
      <c r="H3588" t="s">
        <v>26</v>
      </c>
      <c r="I3588" t="s">
        <v>108</v>
      </c>
      <c r="J3588" t="str">
        <f>"9781444347425"</f>
        <v>9781444347425</v>
      </c>
      <c r="K3588" t="s">
        <v>6158</v>
      </c>
      <c r="L3588">
        <v>21</v>
      </c>
      <c r="O3588" t="s">
        <v>30</v>
      </c>
      <c r="P3588" t="s">
        <v>42</v>
      </c>
      <c r="S3588" t="s">
        <v>121</v>
      </c>
      <c r="T3588" t="s">
        <v>6040</v>
      </c>
      <c r="U3588" t="s">
        <v>6041</v>
      </c>
      <c r="V3588" s="3">
        <v>40925</v>
      </c>
    </row>
    <row r="3589" spans="1:22" x14ac:dyDescent="0.35">
      <c r="A3589" s="1">
        <v>42326.095023148147</v>
      </c>
      <c r="B3589" s="2">
        <v>0</v>
      </c>
      <c r="C3589" t="s">
        <v>6004</v>
      </c>
      <c r="D3589" t="s">
        <v>117</v>
      </c>
      <c r="E3589" t="s">
        <v>118</v>
      </c>
      <c r="F3589" t="s">
        <v>2048</v>
      </c>
      <c r="G3589">
        <v>1728048</v>
      </c>
      <c r="H3589" t="s">
        <v>526</v>
      </c>
      <c r="I3589" t="s">
        <v>445</v>
      </c>
      <c r="J3589" t="str">
        <f>"9780226093284"</f>
        <v>9780226093284</v>
      </c>
      <c r="L3589">
        <v>0</v>
      </c>
      <c r="O3589" t="s">
        <v>28</v>
      </c>
      <c r="P3589" t="s">
        <v>47</v>
      </c>
      <c r="Q3589" s="1">
        <v>42326.095023148147</v>
      </c>
      <c r="R3589">
        <v>7</v>
      </c>
      <c r="S3589" t="s">
        <v>121</v>
      </c>
      <c r="T3589" t="s">
        <v>2049</v>
      </c>
      <c r="U3589" t="s">
        <v>2050</v>
      </c>
      <c r="V3589" s="3">
        <v>41929</v>
      </c>
    </row>
    <row r="3590" spans="1:22" x14ac:dyDescent="0.35">
      <c r="A3590" s="1">
        <v>42326.095023148147</v>
      </c>
      <c r="B3590" s="2">
        <v>0</v>
      </c>
      <c r="C3590" t="s">
        <v>6004</v>
      </c>
      <c r="D3590" t="s">
        <v>117</v>
      </c>
      <c r="E3590" t="s">
        <v>118</v>
      </c>
      <c r="F3590" t="s">
        <v>2048</v>
      </c>
      <c r="G3590">
        <v>1728048</v>
      </c>
      <c r="H3590" t="s">
        <v>526</v>
      </c>
      <c r="I3590" t="s">
        <v>445</v>
      </c>
      <c r="J3590" t="str">
        <f>"9780226093284"</f>
        <v>9780226093284</v>
      </c>
      <c r="L3590">
        <v>0</v>
      </c>
      <c r="O3590" t="s">
        <v>30</v>
      </c>
      <c r="P3590" t="s">
        <v>47</v>
      </c>
      <c r="Q3590" s="1">
        <v>42326.095023148147</v>
      </c>
      <c r="R3590">
        <v>7</v>
      </c>
      <c r="S3590" t="s">
        <v>121</v>
      </c>
      <c r="T3590" t="s">
        <v>2049</v>
      </c>
      <c r="U3590" t="s">
        <v>2050</v>
      </c>
      <c r="V3590" s="3">
        <v>41929</v>
      </c>
    </row>
    <row r="3591" spans="1:22" x14ac:dyDescent="0.35">
      <c r="A3591" s="1">
        <v>42326.091817129629</v>
      </c>
      <c r="B3591" s="2">
        <v>3.8773148148148143E-3</v>
      </c>
      <c r="C3591" t="s">
        <v>6159</v>
      </c>
      <c r="D3591" t="s">
        <v>35</v>
      </c>
      <c r="E3591" t="s">
        <v>36</v>
      </c>
      <c r="F3591" t="s">
        <v>6160</v>
      </c>
      <c r="G3591">
        <v>1584076</v>
      </c>
      <c r="H3591" t="s">
        <v>26</v>
      </c>
      <c r="I3591" t="s">
        <v>172</v>
      </c>
      <c r="J3591" t="str">
        <f>"9780745679679"</f>
        <v>9780745679679</v>
      </c>
      <c r="K3591" t="s">
        <v>6161</v>
      </c>
      <c r="L3591">
        <v>50</v>
      </c>
      <c r="O3591" t="s">
        <v>30</v>
      </c>
      <c r="P3591" t="s">
        <v>29</v>
      </c>
      <c r="Q3591" s="1">
        <v>42326.091817129629</v>
      </c>
      <c r="R3591">
        <v>7</v>
      </c>
      <c r="S3591" t="s">
        <v>40</v>
      </c>
      <c r="T3591" t="s">
        <v>6162</v>
      </c>
      <c r="U3591">
        <v>945.05</v>
      </c>
      <c r="V3591" s="3">
        <v>41626</v>
      </c>
    </row>
    <row r="3592" spans="1:22" x14ac:dyDescent="0.35">
      <c r="A3592" s="1">
        <v>42326.09171296296</v>
      </c>
      <c r="B3592" s="2">
        <v>3.3101851851851851E-3</v>
      </c>
      <c r="C3592" t="s">
        <v>6004</v>
      </c>
      <c r="D3592" t="s">
        <v>117</v>
      </c>
      <c r="E3592" t="s">
        <v>118</v>
      </c>
      <c r="F3592" t="s">
        <v>2048</v>
      </c>
      <c r="G3592">
        <v>1728048</v>
      </c>
      <c r="H3592" t="s">
        <v>526</v>
      </c>
      <c r="I3592" t="s">
        <v>445</v>
      </c>
      <c r="J3592" t="str">
        <f>"9780226093284"</f>
        <v>9780226093284</v>
      </c>
      <c r="K3592" t="s">
        <v>6163</v>
      </c>
      <c r="L3592">
        <v>35</v>
      </c>
      <c r="O3592" t="s">
        <v>30</v>
      </c>
      <c r="P3592" t="s">
        <v>50</v>
      </c>
      <c r="S3592" t="s">
        <v>121</v>
      </c>
      <c r="T3592" t="s">
        <v>2049</v>
      </c>
      <c r="U3592" t="s">
        <v>2050</v>
      </c>
      <c r="V3592" s="3">
        <v>41929</v>
      </c>
    </row>
    <row r="3593" spans="1:22" x14ac:dyDescent="0.35">
      <c r="A3593" s="1">
        <v>42326.091562499998</v>
      </c>
      <c r="B3593" s="2">
        <v>2.4305555555555552E-4</v>
      </c>
      <c r="C3593" t="s">
        <v>6004</v>
      </c>
      <c r="D3593" t="s">
        <v>117</v>
      </c>
      <c r="E3593" t="s">
        <v>118</v>
      </c>
      <c r="F3593" t="s">
        <v>6164</v>
      </c>
      <c r="G3593">
        <v>1487063</v>
      </c>
      <c r="H3593" t="s">
        <v>68</v>
      </c>
      <c r="I3593" t="s">
        <v>998</v>
      </c>
      <c r="J3593" t="str">
        <f>"9781135346485"</f>
        <v>9781135346485</v>
      </c>
      <c r="K3593" t="s">
        <v>6165</v>
      </c>
      <c r="L3593">
        <v>9</v>
      </c>
      <c r="O3593" t="s">
        <v>30</v>
      </c>
      <c r="P3593" t="s">
        <v>50</v>
      </c>
      <c r="S3593" t="s">
        <v>121</v>
      </c>
      <c r="T3593" t="s">
        <v>6166</v>
      </c>
      <c r="U3593">
        <v>305.56799999999998</v>
      </c>
      <c r="V3593" s="3">
        <v>36980</v>
      </c>
    </row>
    <row r="3594" spans="1:22" x14ac:dyDescent="0.35">
      <c r="A3594" s="1">
        <v>42326.076284722221</v>
      </c>
      <c r="B3594" s="2">
        <v>0</v>
      </c>
      <c r="C3594" t="s">
        <v>2525</v>
      </c>
      <c r="D3594" t="s">
        <v>117</v>
      </c>
      <c r="E3594" t="s">
        <v>118</v>
      </c>
      <c r="F3594" t="s">
        <v>6167</v>
      </c>
      <c r="G3594">
        <v>1375626</v>
      </c>
      <c r="H3594" t="s">
        <v>26</v>
      </c>
      <c r="I3594" t="s">
        <v>27</v>
      </c>
      <c r="J3594" t="str">
        <f>"9781118510629"</f>
        <v>9781118510629</v>
      </c>
      <c r="L3594">
        <v>0</v>
      </c>
      <c r="O3594" t="s">
        <v>28</v>
      </c>
      <c r="P3594" t="s">
        <v>47</v>
      </c>
      <c r="Q3594" s="1">
        <v>42326.076284722221</v>
      </c>
      <c r="R3594">
        <v>1</v>
      </c>
      <c r="S3594" t="s">
        <v>121</v>
      </c>
      <c r="T3594" t="s">
        <v>6168</v>
      </c>
      <c r="U3594">
        <v>458.34210000000002</v>
      </c>
      <c r="V3594" s="3">
        <v>41488</v>
      </c>
    </row>
    <row r="3595" spans="1:22" x14ac:dyDescent="0.35">
      <c r="A3595" s="1">
        <v>42326.076284722221</v>
      </c>
      <c r="B3595" s="2">
        <v>0</v>
      </c>
      <c r="C3595" t="s">
        <v>2525</v>
      </c>
      <c r="D3595" t="s">
        <v>117</v>
      </c>
      <c r="E3595" t="s">
        <v>118</v>
      </c>
      <c r="F3595" t="s">
        <v>6167</v>
      </c>
      <c r="G3595">
        <v>1375626</v>
      </c>
      <c r="H3595" t="s">
        <v>26</v>
      </c>
      <c r="I3595" t="s">
        <v>27</v>
      </c>
      <c r="J3595" t="str">
        <f>"9781118510629"</f>
        <v>9781118510629</v>
      </c>
      <c r="L3595">
        <v>0</v>
      </c>
      <c r="O3595" t="s">
        <v>30</v>
      </c>
      <c r="P3595" t="s">
        <v>47</v>
      </c>
      <c r="Q3595" s="1">
        <v>42326.076284722221</v>
      </c>
      <c r="R3595">
        <v>1</v>
      </c>
      <c r="S3595" t="s">
        <v>121</v>
      </c>
      <c r="T3595" t="s">
        <v>6168</v>
      </c>
      <c r="U3595">
        <v>458.34210000000002</v>
      </c>
      <c r="V3595" s="3">
        <v>41488</v>
      </c>
    </row>
    <row r="3596" spans="1:22" x14ac:dyDescent="0.35">
      <c r="A3596" s="1">
        <v>42326.075011574074</v>
      </c>
      <c r="B3596" s="2">
        <v>1.2731481481481483E-3</v>
      </c>
      <c r="C3596" t="s">
        <v>2525</v>
      </c>
      <c r="D3596" t="s">
        <v>117</v>
      </c>
      <c r="E3596" t="s">
        <v>118</v>
      </c>
      <c r="F3596" t="s">
        <v>6167</v>
      </c>
      <c r="G3596">
        <v>1375626</v>
      </c>
      <c r="H3596" t="s">
        <v>26</v>
      </c>
      <c r="I3596" t="s">
        <v>27</v>
      </c>
      <c r="J3596" t="str">
        <f>"9781118510629"</f>
        <v>9781118510629</v>
      </c>
      <c r="K3596" t="s">
        <v>6169</v>
      </c>
      <c r="L3596">
        <v>9</v>
      </c>
      <c r="O3596" t="s">
        <v>30</v>
      </c>
      <c r="P3596" t="s">
        <v>50</v>
      </c>
      <c r="S3596" t="s">
        <v>121</v>
      </c>
      <c r="T3596" t="s">
        <v>6168</v>
      </c>
      <c r="U3596">
        <v>458.34210000000002</v>
      </c>
      <c r="V3596" s="3">
        <v>41488</v>
      </c>
    </row>
    <row r="3597" spans="1:22" x14ac:dyDescent="0.35">
      <c r="A3597" s="1">
        <v>42326.07403935185</v>
      </c>
      <c r="B3597" s="2">
        <v>1.7777777777777778E-2</v>
      </c>
      <c r="C3597" t="s">
        <v>6159</v>
      </c>
      <c r="D3597" t="s">
        <v>35</v>
      </c>
      <c r="E3597" t="s">
        <v>36</v>
      </c>
      <c r="F3597" t="s">
        <v>6160</v>
      </c>
      <c r="G3597">
        <v>1584076</v>
      </c>
      <c r="H3597" t="s">
        <v>26</v>
      </c>
      <c r="I3597" t="s">
        <v>172</v>
      </c>
      <c r="J3597" t="str">
        <f>"9780745679679"</f>
        <v>9780745679679</v>
      </c>
      <c r="K3597" t="s">
        <v>6170</v>
      </c>
      <c r="L3597">
        <v>26</v>
      </c>
      <c r="O3597" t="s">
        <v>30</v>
      </c>
      <c r="P3597" t="s">
        <v>42</v>
      </c>
      <c r="S3597" t="s">
        <v>40</v>
      </c>
      <c r="T3597" t="s">
        <v>6162</v>
      </c>
      <c r="U3597">
        <v>945.05</v>
      </c>
      <c r="V3597" s="3">
        <v>41626</v>
      </c>
    </row>
    <row r="3598" spans="1:22" x14ac:dyDescent="0.35">
      <c r="A3598" s="1">
        <v>42326.057835648149</v>
      </c>
      <c r="B3598" s="2">
        <v>1.0416666666666667E-4</v>
      </c>
      <c r="C3598" t="s">
        <v>6171</v>
      </c>
      <c r="D3598" t="s">
        <v>35</v>
      </c>
      <c r="E3598" t="s">
        <v>36</v>
      </c>
      <c r="F3598" t="s">
        <v>986</v>
      </c>
      <c r="G3598">
        <v>968030</v>
      </c>
      <c r="H3598" t="s">
        <v>26</v>
      </c>
      <c r="I3598" t="s">
        <v>219</v>
      </c>
      <c r="J3598" t="str">
        <f>"9781118285138"</f>
        <v>9781118285138</v>
      </c>
      <c r="K3598" t="s">
        <v>33</v>
      </c>
      <c r="L3598">
        <v>3</v>
      </c>
      <c r="O3598" t="s">
        <v>30</v>
      </c>
      <c r="P3598" t="s">
        <v>42</v>
      </c>
      <c r="S3598" t="s">
        <v>40</v>
      </c>
      <c r="T3598" t="s">
        <v>987</v>
      </c>
      <c r="U3598">
        <v>158.30000000000001</v>
      </c>
      <c r="V3598" s="3">
        <v>41100</v>
      </c>
    </row>
    <row r="3599" spans="1:22" x14ac:dyDescent="0.35">
      <c r="A3599" s="1">
        <v>42326.039097222223</v>
      </c>
      <c r="B3599" s="2">
        <v>6.4629629629629634E-2</v>
      </c>
      <c r="C3599" t="s">
        <v>3213</v>
      </c>
      <c r="D3599" t="s">
        <v>35</v>
      </c>
      <c r="E3599" t="s">
        <v>36</v>
      </c>
      <c r="F3599" t="s">
        <v>6172</v>
      </c>
      <c r="G3599">
        <v>1110770</v>
      </c>
      <c r="H3599" t="s">
        <v>84</v>
      </c>
      <c r="I3599" t="s">
        <v>27</v>
      </c>
      <c r="J3599" t="str">
        <f>"9780520955233"</f>
        <v>9780520955233</v>
      </c>
      <c r="K3599" t="s">
        <v>6173</v>
      </c>
      <c r="L3599">
        <v>6</v>
      </c>
      <c r="O3599" t="s">
        <v>30</v>
      </c>
      <c r="P3599" t="s">
        <v>47</v>
      </c>
      <c r="Q3599" s="1">
        <v>42326.039085648146</v>
      </c>
      <c r="R3599">
        <v>1</v>
      </c>
      <c r="S3599" t="s">
        <v>40</v>
      </c>
      <c r="T3599" t="s">
        <v>6174</v>
      </c>
      <c r="U3599">
        <v>493.186421</v>
      </c>
      <c r="V3599" s="3">
        <v>41773</v>
      </c>
    </row>
    <row r="3600" spans="1:22" x14ac:dyDescent="0.35">
      <c r="A3600" s="1">
        <v>42326.035520833335</v>
      </c>
      <c r="B3600" s="2">
        <v>3.5648148148148154E-3</v>
      </c>
      <c r="C3600" t="s">
        <v>3213</v>
      </c>
      <c r="D3600" t="s">
        <v>35</v>
      </c>
      <c r="E3600" t="s">
        <v>36</v>
      </c>
      <c r="F3600" t="s">
        <v>6172</v>
      </c>
      <c r="G3600">
        <v>1110770</v>
      </c>
      <c r="H3600" t="s">
        <v>84</v>
      </c>
      <c r="I3600" t="s">
        <v>27</v>
      </c>
      <c r="J3600" t="str">
        <f>"9780520955233"</f>
        <v>9780520955233</v>
      </c>
      <c r="K3600" t="s">
        <v>6175</v>
      </c>
      <c r="L3600">
        <v>7</v>
      </c>
      <c r="O3600" t="s">
        <v>30</v>
      </c>
      <c r="P3600" t="s">
        <v>50</v>
      </c>
      <c r="S3600" t="s">
        <v>40</v>
      </c>
      <c r="T3600" t="s">
        <v>6174</v>
      </c>
      <c r="U3600">
        <v>493.186421</v>
      </c>
      <c r="V3600" s="3">
        <v>41773</v>
      </c>
    </row>
    <row r="3601" spans="1:22" x14ac:dyDescent="0.35">
      <c r="A3601" s="1">
        <v>42326.032523148147</v>
      </c>
      <c r="B3601" s="2">
        <v>6.2500000000000001E-4</v>
      </c>
      <c r="C3601" t="s">
        <v>6176</v>
      </c>
      <c r="D3601" t="s">
        <v>623</v>
      </c>
      <c r="E3601" t="s">
        <v>624</v>
      </c>
      <c r="F3601" t="s">
        <v>6177</v>
      </c>
      <c r="G3601">
        <v>1584002</v>
      </c>
      <c r="H3601" t="s">
        <v>26</v>
      </c>
      <c r="I3601" t="s">
        <v>27</v>
      </c>
      <c r="J3601" t="str">
        <f>"9781118348338"</f>
        <v>9781118348338</v>
      </c>
      <c r="K3601" t="s">
        <v>6178</v>
      </c>
      <c r="L3601">
        <v>8</v>
      </c>
      <c r="O3601" t="s">
        <v>30</v>
      </c>
      <c r="P3601" t="s">
        <v>50</v>
      </c>
      <c r="S3601" t="s">
        <v>627</v>
      </c>
      <c r="T3601" t="s">
        <v>6179</v>
      </c>
      <c r="U3601">
        <v>420.7</v>
      </c>
      <c r="V3601" s="3">
        <v>41542</v>
      </c>
    </row>
    <row r="3602" spans="1:22" x14ac:dyDescent="0.35">
      <c r="A3602" s="1">
        <v>42326.032118055555</v>
      </c>
      <c r="B3602" s="2">
        <v>0</v>
      </c>
      <c r="C3602" t="s">
        <v>2525</v>
      </c>
      <c r="D3602" t="s">
        <v>117</v>
      </c>
      <c r="E3602" t="s">
        <v>118</v>
      </c>
      <c r="F3602" t="s">
        <v>6180</v>
      </c>
      <c r="G3602">
        <v>3058948</v>
      </c>
      <c r="H3602" t="s">
        <v>440</v>
      </c>
      <c r="I3602" t="s">
        <v>247</v>
      </c>
      <c r="J3602" t="str">
        <f>"9781444314595"</f>
        <v>9781444314595</v>
      </c>
      <c r="L3602">
        <v>0</v>
      </c>
      <c r="O3602" t="s">
        <v>28</v>
      </c>
      <c r="P3602" t="s">
        <v>47</v>
      </c>
      <c r="Q3602" s="1">
        <v>42326.000057870369</v>
      </c>
      <c r="R3602">
        <v>1</v>
      </c>
      <c r="S3602" t="s">
        <v>121</v>
      </c>
      <c r="T3602" t="s">
        <v>6181</v>
      </c>
      <c r="U3602" t="s">
        <v>6182</v>
      </c>
      <c r="V3602" s="3">
        <v>41401</v>
      </c>
    </row>
    <row r="3603" spans="1:22" x14ac:dyDescent="0.35">
      <c r="A3603" s="1">
        <v>42326.031956018516</v>
      </c>
      <c r="B3603" s="2">
        <v>8.1018518518518516E-5</v>
      </c>
      <c r="C3603" t="s">
        <v>6176</v>
      </c>
      <c r="D3603" t="s">
        <v>623</v>
      </c>
      <c r="E3603" t="s">
        <v>624</v>
      </c>
      <c r="F3603" t="s">
        <v>6177</v>
      </c>
      <c r="G3603">
        <v>1584002</v>
      </c>
      <c r="H3603" t="s">
        <v>26</v>
      </c>
      <c r="I3603" t="s">
        <v>27</v>
      </c>
      <c r="J3603" t="str">
        <f>"9781118348338"</f>
        <v>9781118348338</v>
      </c>
      <c r="K3603" t="s">
        <v>202</v>
      </c>
      <c r="L3603">
        <v>3</v>
      </c>
      <c r="O3603" t="s">
        <v>30</v>
      </c>
      <c r="P3603" t="s">
        <v>50</v>
      </c>
      <c r="S3603" t="s">
        <v>627</v>
      </c>
      <c r="T3603" t="s">
        <v>6179</v>
      </c>
      <c r="U3603">
        <v>420.7</v>
      </c>
      <c r="V3603" s="3">
        <v>41542</v>
      </c>
    </row>
    <row r="3604" spans="1:22" x14ac:dyDescent="0.35">
      <c r="A3604" s="1">
        <v>42326.03162037037</v>
      </c>
      <c r="B3604" s="2">
        <v>3.8194444444444446E-4</v>
      </c>
      <c r="C3604" t="s">
        <v>2525</v>
      </c>
      <c r="D3604" t="s">
        <v>117</v>
      </c>
      <c r="E3604" t="s">
        <v>118</v>
      </c>
      <c r="F3604" t="s">
        <v>6180</v>
      </c>
      <c r="G3604">
        <v>3058948</v>
      </c>
      <c r="H3604" t="s">
        <v>440</v>
      </c>
      <c r="I3604" t="s">
        <v>247</v>
      </c>
      <c r="J3604" t="str">
        <f>"9781444314595"</f>
        <v>9781444314595</v>
      </c>
      <c r="K3604" t="s">
        <v>1438</v>
      </c>
      <c r="L3604">
        <v>16</v>
      </c>
      <c r="O3604" t="s">
        <v>30</v>
      </c>
      <c r="P3604" t="s">
        <v>47</v>
      </c>
      <c r="Q3604" s="1">
        <v>42326.000057870369</v>
      </c>
      <c r="R3604">
        <v>1</v>
      </c>
      <c r="S3604" t="s">
        <v>121</v>
      </c>
      <c r="T3604" t="s">
        <v>6181</v>
      </c>
      <c r="U3604" t="s">
        <v>6182</v>
      </c>
      <c r="V3604" s="3">
        <v>41401</v>
      </c>
    </row>
    <row r="3605" spans="1:22" x14ac:dyDescent="0.35">
      <c r="A3605" s="1">
        <v>42326.029039351852</v>
      </c>
      <c r="B3605" s="2">
        <v>4.3587962962962967E-2</v>
      </c>
      <c r="C3605" t="s">
        <v>6183</v>
      </c>
      <c r="D3605" t="s">
        <v>35</v>
      </c>
      <c r="E3605" t="s">
        <v>36</v>
      </c>
      <c r="F3605" t="s">
        <v>3366</v>
      </c>
      <c r="G3605">
        <v>836166</v>
      </c>
      <c r="H3605" t="s">
        <v>149</v>
      </c>
      <c r="I3605" t="s">
        <v>3367</v>
      </c>
      <c r="J3605" t="str">
        <f>"9781438139470"</f>
        <v>9781438139470</v>
      </c>
      <c r="K3605" t="s">
        <v>6184</v>
      </c>
      <c r="L3605">
        <v>84</v>
      </c>
      <c r="O3605" t="s">
        <v>30</v>
      </c>
      <c r="P3605" t="s">
        <v>29</v>
      </c>
      <c r="Q3605" s="1">
        <v>42326.029027777775</v>
      </c>
      <c r="R3605">
        <v>7</v>
      </c>
      <c r="S3605" t="s">
        <v>40</v>
      </c>
      <c r="T3605" t="s">
        <v>3369</v>
      </c>
      <c r="U3605">
        <v>6.3</v>
      </c>
      <c r="V3605" s="3">
        <v>40848</v>
      </c>
    </row>
    <row r="3606" spans="1:22" x14ac:dyDescent="0.35">
      <c r="A3606" s="1">
        <v>42326.021805555552</v>
      </c>
      <c r="B3606" s="2">
        <v>7.2222222222222228E-3</v>
      </c>
      <c r="C3606" t="s">
        <v>6183</v>
      </c>
      <c r="D3606" t="s">
        <v>35</v>
      </c>
      <c r="E3606" t="s">
        <v>36</v>
      </c>
      <c r="F3606" t="s">
        <v>3366</v>
      </c>
      <c r="G3606">
        <v>836166</v>
      </c>
      <c r="H3606" t="s">
        <v>149</v>
      </c>
      <c r="I3606" t="s">
        <v>3367</v>
      </c>
      <c r="J3606" t="str">
        <f>"9781438139470"</f>
        <v>9781438139470</v>
      </c>
      <c r="K3606" t="s">
        <v>6185</v>
      </c>
      <c r="L3606">
        <v>19</v>
      </c>
      <c r="O3606" t="s">
        <v>30</v>
      </c>
      <c r="P3606" t="s">
        <v>42</v>
      </c>
      <c r="S3606" t="s">
        <v>40</v>
      </c>
      <c r="T3606" t="s">
        <v>3369</v>
      </c>
      <c r="U3606">
        <v>6.3</v>
      </c>
      <c r="V3606" s="3">
        <v>40848</v>
      </c>
    </row>
    <row r="3607" spans="1:22" x14ac:dyDescent="0.35">
      <c r="A3607" s="1">
        <v>42326.019363425927</v>
      </c>
      <c r="B3607" s="2">
        <v>2.2337962962962967E-3</v>
      </c>
      <c r="C3607" t="s">
        <v>6186</v>
      </c>
      <c r="D3607" t="s">
        <v>261</v>
      </c>
      <c r="E3607" t="s">
        <v>262</v>
      </c>
      <c r="F3607" t="s">
        <v>6187</v>
      </c>
      <c r="G3607">
        <v>1663554</v>
      </c>
      <c r="H3607" t="s">
        <v>613</v>
      </c>
      <c r="I3607" t="s">
        <v>172</v>
      </c>
      <c r="J3607" t="str">
        <f>"9781469615585"</f>
        <v>9781469615585</v>
      </c>
      <c r="K3607" t="s">
        <v>6188</v>
      </c>
      <c r="L3607">
        <v>20</v>
      </c>
      <c r="O3607" t="s">
        <v>30</v>
      </c>
      <c r="P3607" t="s">
        <v>50</v>
      </c>
      <c r="S3607" t="s">
        <v>264</v>
      </c>
      <c r="U3607">
        <v>974.71</v>
      </c>
      <c r="V3607" s="3">
        <v>41900</v>
      </c>
    </row>
    <row r="3608" spans="1:22" x14ac:dyDescent="0.35">
      <c r="A3608" s="1">
        <v>42326.014016203706</v>
      </c>
      <c r="B3608" s="2">
        <v>3.9467592592592592E-3</v>
      </c>
      <c r="C3608" t="s">
        <v>106</v>
      </c>
      <c r="D3608" t="s">
        <v>23</v>
      </c>
      <c r="E3608" t="s">
        <v>24</v>
      </c>
      <c r="F3608" t="s">
        <v>486</v>
      </c>
      <c r="G3608">
        <v>1119505</v>
      </c>
      <c r="H3608" t="s">
        <v>26</v>
      </c>
      <c r="I3608" t="s">
        <v>450</v>
      </c>
      <c r="J3608" t="str">
        <f>"9781118355015"</f>
        <v>9781118355015</v>
      </c>
      <c r="K3608" t="s">
        <v>6189</v>
      </c>
      <c r="L3608">
        <v>12</v>
      </c>
      <c r="O3608" t="s">
        <v>30</v>
      </c>
      <c r="P3608" t="s">
        <v>29</v>
      </c>
      <c r="Q3608" s="1">
        <v>42322.677546296298</v>
      </c>
      <c r="R3608">
        <v>7</v>
      </c>
      <c r="S3608" t="s">
        <v>31</v>
      </c>
      <c r="T3608" t="s">
        <v>487</v>
      </c>
      <c r="U3608" t="s">
        <v>488</v>
      </c>
      <c r="V3608" s="3">
        <v>41302</v>
      </c>
    </row>
    <row r="3609" spans="1:22" x14ac:dyDescent="0.35">
      <c r="A3609" s="1">
        <v>42326.000057870369</v>
      </c>
      <c r="B3609" s="2">
        <v>8.2175925925925917E-4</v>
      </c>
      <c r="C3609" t="s">
        <v>2525</v>
      </c>
      <c r="D3609" t="s">
        <v>117</v>
      </c>
      <c r="E3609" t="s">
        <v>118</v>
      </c>
      <c r="F3609" t="s">
        <v>6180</v>
      </c>
      <c r="G3609">
        <v>3058948</v>
      </c>
      <c r="H3609" t="s">
        <v>440</v>
      </c>
      <c r="I3609" t="s">
        <v>247</v>
      </c>
      <c r="J3609" t="str">
        <f>"9781444314595"</f>
        <v>9781444314595</v>
      </c>
      <c r="K3609" t="s">
        <v>6190</v>
      </c>
      <c r="L3609">
        <v>8</v>
      </c>
      <c r="O3609" t="s">
        <v>28</v>
      </c>
      <c r="P3609" t="s">
        <v>47</v>
      </c>
      <c r="Q3609" s="1">
        <v>42326.000057870369</v>
      </c>
      <c r="R3609">
        <v>1</v>
      </c>
      <c r="S3609" t="s">
        <v>121</v>
      </c>
      <c r="T3609" t="s">
        <v>6181</v>
      </c>
      <c r="U3609" t="s">
        <v>6182</v>
      </c>
      <c r="V3609" s="3">
        <v>41401</v>
      </c>
    </row>
    <row r="3610" spans="1:22" x14ac:dyDescent="0.35">
      <c r="A3610" s="1">
        <v>42326.000057870369</v>
      </c>
      <c r="B3610" s="2">
        <v>0</v>
      </c>
      <c r="C3610" t="s">
        <v>2525</v>
      </c>
      <c r="D3610" t="s">
        <v>117</v>
      </c>
      <c r="E3610" t="s">
        <v>118</v>
      </c>
      <c r="F3610" t="s">
        <v>6180</v>
      </c>
      <c r="G3610">
        <v>3058948</v>
      </c>
      <c r="H3610" t="s">
        <v>440</v>
      </c>
      <c r="I3610" t="s">
        <v>247</v>
      </c>
      <c r="J3610" t="str">
        <f>"9781444314595"</f>
        <v>9781444314595</v>
      </c>
      <c r="L3610">
        <v>0</v>
      </c>
      <c r="O3610" t="s">
        <v>30</v>
      </c>
      <c r="P3610" t="s">
        <v>47</v>
      </c>
      <c r="Q3610" s="1">
        <v>42326.000057870369</v>
      </c>
      <c r="R3610">
        <v>1</v>
      </c>
      <c r="S3610" t="s">
        <v>121</v>
      </c>
      <c r="T3610" t="s">
        <v>6181</v>
      </c>
      <c r="U3610" t="s">
        <v>6182</v>
      </c>
      <c r="V3610" s="3">
        <v>41401</v>
      </c>
    </row>
    <row r="3611" spans="1:22" x14ac:dyDescent="0.35">
      <c r="A3611" s="1">
        <v>42325.999374999999</v>
      </c>
      <c r="B3611" s="2">
        <v>6.8287037037037025E-4</v>
      </c>
      <c r="C3611" t="s">
        <v>2525</v>
      </c>
      <c r="D3611" t="s">
        <v>117</v>
      </c>
      <c r="E3611" t="s">
        <v>118</v>
      </c>
      <c r="F3611" t="s">
        <v>6180</v>
      </c>
      <c r="G3611">
        <v>3058948</v>
      </c>
      <c r="H3611" t="s">
        <v>440</v>
      </c>
      <c r="I3611" t="s">
        <v>247</v>
      </c>
      <c r="J3611" t="str">
        <f>"9781444314595"</f>
        <v>9781444314595</v>
      </c>
      <c r="K3611" t="s">
        <v>6191</v>
      </c>
      <c r="L3611">
        <v>16</v>
      </c>
      <c r="O3611" t="s">
        <v>30</v>
      </c>
      <c r="P3611" t="s">
        <v>50</v>
      </c>
      <c r="S3611" t="s">
        <v>121</v>
      </c>
      <c r="T3611" t="s">
        <v>6181</v>
      </c>
      <c r="U3611" t="s">
        <v>6182</v>
      </c>
      <c r="V3611" s="3">
        <v>41401</v>
      </c>
    </row>
    <row r="3612" spans="1:22" x14ac:dyDescent="0.35">
      <c r="A3612" s="1">
        <v>42325.980405092596</v>
      </c>
      <c r="B3612" s="2">
        <v>5.7337962962962959E-2</v>
      </c>
      <c r="C3612" t="s">
        <v>106</v>
      </c>
      <c r="D3612" t="s">
        <v>23</v>
      </c>
      <c r="E3612" t="s">
        <v>24</v>
      </c>
      <c r="F3612" t="s">
        <v>486</v>
      </c>
      <c r="G3612">
        <v>1119505</v>
      </c>
      <c r="H3612" t="s">
        <v>26</v>
      </c>
      <c r="I3612" t="s">
        <v>450</v>
      </c>
      <c r="J3612" t="str">
        <f>"9781118355015"</f>
        <v>9781118355015</v>
      </c>
      <c r="K3612" t="s">
        <v>6192</v>
      </c>
      <c r="L3612">
        <v>38</v>
      </c>
      <c r="O3612" t="s">
        <v>30</v>
      </c>
      <c r="P3612" t="s">
        <v>29</v>
      </c>
      <c r="Q3612" s="1">
        <v>42322.677546296298</v>
      </c>
      <c r="R3612">
        <v>7</v>
      </c>
      <c r="S3612" t="s">
        <v>31</v>
      </c>
      <c r="T3612" t="s">
        <v>487</v>
      </c>
      <c r="U3612" t="s">
        <v>488</v>
      </c>
      <c r="V3612" s="3">
        <v>41302</v>
      </c>
    </row>
    <row r="3613" spans="1:22" x14ac:dyDescent="0.35">
      <c r="A3613" s="1">
        <v>42325.962129629632</v>
      </c>
      <c r="B3613" s="2">
        <v>3.0092592592592595E-4</v>
      </c>
      <c r="C3613" t="s">
        <v>5438</v>
      </c>
      <c r="D3613" t="s">
        <v>360</v>
      </c>
      <c r="E3613" t="s">
        <v>361</v>
      </c>
      <c r="F3613" t="s">
        <v>4197</v>
      </c>
      <c r="G3613">
        <v>1742841</v>
      </c>
      <c r="H3613" t="s">
        <v>91</v>
      </c>
      <c r="I3613" t="s">
        <v>247</v>
      </c>
      <c r="J3613" t="str">
        <f>"9781462516445"</f>
        <v>9781462516445</v>
      </c>
      <c r="K3613" t="s">
        <v>5201</v>
      </c>
      <c r="L3613">
        <v>8</v>
      </c>
      <c r="O3613" t="s">
        <v>30</v>
      </c>
      <c r="P3613" t="s">
        <v>29</v>
      </c>
      <c r="Q3613" s="1">
        <v>42325.95722222222</v>
      </c>
      <c r="R3613">
        <v>7</v>
      </c>
      <c r="S3613" t="s">
        <v>363</v>
      </c>
      <c r="T3613" t="s">
        <v>4199</v>
      </c>
      <c r="U3613">
        <v>616.85270000000003</v>
      </c>
      <c r="V3613" s="3">
        <v>41934</v>
      </c>
    </row>
    <row r="3614" spans="1:22" x14ac:dyDescent="0.35">
      <c r="A3614" s="1">
        <v>42325.957233796296</v>
      </c>
      <c r="B3614" s="2">
        <v>3.9351851851851852E-4</v>
      </c>
      <c r="C3614" t="s">
        <v>5438</v>
      </c>
      <c r="D3614" t="s">
        <v>360</v>
      </c>
      <c r="E3614" t="s">
        <v>361</v>
      </c>
      <c r="F3614" t="s">
        <v>4197</v>
      </c>
      <c r="G3614">
        <v>1742841</v>
      </c>
      <c r="H3614" t="s">
        <v>91</v>
      </c>
      <c r="I3614" t="s">
        <v>247</v>
      </c>
      <c r="J3614" t="str">
        <f>"9781462516445"</f>
        <v>9781462516445</v>
      </c>
      <c r="K3614" t="s">
        <v>6193</v>
      </c>
      <c r="L3614">
        <v>9</v>
      </c>
      <c r="O3614" t="s">
        <v>30</v>
      </c>
      <c r="P3614" t="s">
        <v>29</v>
      </c>
      <c r="Q3614" s="1">
        <v>42325.95722222222</v>
      </c>
      <c r="R3614">
        <v>7</v>
      </c>
      <c r="S3614" t="s">
        <v>363</v>
      </c>
      <c r="T3614" t="s">
        <v>4199</v>
      </c>
      <c r="U3614">
        <v>616.85270000000003</v>
      </c>
      <c r="V3614" s="3">
        <v>41934</v>
      </c>
    </row>
    <row r="3615" spans="1:22" x14ac:dyDescent="0.35">
      <c r="A3615" s="1">
        <v>42325.955324074072</v>
      </c>
      <c r="B3615" s="2">
        <v>4.6296296296296293E-4</v>
      </c>
      <c r="C3615" t="s">
        <v>260</v>
      </c>
      <c r="D3615" t="s">
        <v>261</v>
      </c>
      <c r="E3615" t="s">
        <v>262</v>
      </c>
      <c r="F3615" t="s">
        <v>3179</v>
      </c>
      <c r="G3615">
        <v>1172554</v>
      </c>
      <c r="H3615" t="s">
        <v>1365</v>
      </c>
      <c r="I3615" t="s">
        <v>172</v>
      </c>
      <c r="J3615" t="str">
        <f>""</f>
        <v/>
      </c>
      <c r="K3615" t="s">
        <v>6194</v>
      </c>
      <c r="L3615">
        <v>8</v>
      </c>
      <c r="O3615" t="s">
        <v>30</v>
      </c>
      <c r="P3615" t="s">
        <v>42</v>
      </c>
      <c r="S3615" t="s">
        <v>264</v>
      </c>
      <c r="T3615" t="s">
        <v>3182</v>
      </c>
      <c r="U3615" t="s">
        <v>3183</v>
      </c>
      <c r="V3615" s="3">
        <v>41375</v>
      </c>
    </row>
    <row r="3616" spans="1:22" x14ac:dyDescent="0.35">
      <c r="A3616" s="1">
        <v>42325.955034722225</v>
      </c>
      <c r="B3616" s="2">
        <v>4.6296296296296294E-5</v>
      </c>
      <c r="C3616" t="s">
        <v>260</v>
      </c>
      <c r="D3616" t="s">
        <v>261</v>
      </c>
      <c r="E3616" t="s">
        <v>262</v>
      </c>
      <c r="F3616" t="s">
        <v>3179</v>
      </c>
      <c r="G3616">
        <v>1172554</v>
      </c>
      <c r="H3616" t="s">
        <v>1365</v>
      </c>
      <c r="I3616" t="s">
        <v>172</v>
      </c>
      <c r="J3616" t="str">
        <f>""</f>
        <v/>
      </c>
      <c r="K3616" t="s">
        <v>33</v>
      </c>
      <c r="L3616">
        <v>3</v>
      </c>
      <c r="O3616" t="s">
        <v>30</v>
      </c>
      <c r="P3616" t="s">
        <v>42</v>
      </c>
      <c r="S3616" t="s">
        <v>264</v>
      </c>
      <c r="T3616" t="s">
        <v>3182</v>
      </c>
      <c r="U3616" t="s">
        <v>3183</v>
      </c>
      <c r="V3616" s="3">
        <v>41375</v>
      </c>
    </row>
    <row r="3617" spans="1:22" x14ac:dyDescent="0.35">
      <c r="A3617" s="1">
        <v>42325.943171296298</v>
      </c>
      <c r="B3617" s="2">
        <v>1.4050925925925927E-2</v>
      </c>
      <c r="C3617" t="s">
        <v>5438</v>
      </c>
      <c r="D3617" t="s">
        <v>360</v>
      </c>
      <c r="E3617" t="s">
        <v>361</v>
      </c>
      <c r="F3617" t="s">
        <v>4197</v>
      </c>
      <c r="G3617">
        <v>1742841</v>
      </c>
      <c r="H3617" t="s">
        <v>91</v>
      </c>
      <c r="I3617" t="s">
        <v>247</v>
      </c>
      <c r="J3617" t="str">
        <f>"9781462516445"</f>
        <v>9781462516445</v>
      </c>
      <c r="K3617" t="s">
        <v>6195</v>
      </c>
      <c r="L3617">
        <v>75</v>
      </c>
      <c r="O3617" t="s">
        <v>30</v>
      </c>
      <c r="P3617" t="s">
        <v>42</v>
      </c>
      <c r="S3617" t="s">
        <v>363</v>
      </c>
      <c r="T3617" t="s">
        <v>4199</v>
      </c>
      <c r="U3617">
        <v>616.85270000000003</v>
      </c>
      <c r="V3617" s="3">
        <v>41934</v>
      </c>
    </row>
    <row r="3618" spans="1:22" x14ac:dyDescent="0.35">
      <c r="A3618" s="1">
        <v>42325.930092592593</v>
      </c>
      <c r="B3618" s="2">
        <v>1.3310185185185185E-3</v>
      </c>
      <c r="C3618" t="s">
        <v>5438</v>
      </c>
      <c r="D3618" t="s">
        <v>360</v>
      </c>
      <c r="E3618" t="s">
        <v>361</v>
      </c>
      <c r="F3618" t="s">
        <v>515</v>
      </c>
      <c r="G3618">
        <v>1757960</v>
      </c>
      <c r="H3618" t="s">
        <v>26</v>
      </c>
      <c r="I3618" t="s">
        <v>247</v>
      </c>
      <c r="J3618" t="str">
        <f>"9781118780770"</f>
        <v>9781118780770</v>
      </c>
      <c r="K3618" t="s">
        <v>6196</v>
      </c>
      <c r="L3618">
        <v>9</v>
      </c>
      <c r="O3618" t="s">
        <v>30</v>
      </c>
      <c r="P3618" t="s">
        <v>42</v>
      </c>
      <c r="S3618" t="s">
        <v>363</v>
      </c>
      <c r="T3618" t="s">
        <v>517</v>
      </c>
      <c r="U3618" t="s">
        <v>518</v>
      </c>
      <c r="V3618" s="3">
        <v>41850</v>
      </c>
    </row>
    <row r="3619" spans="1:22" x14ac:dyDescent="0.35">
      <c r="A3619" s="1">
        <v>42325.928078703706</v>
      </c>
      <c r="B3619" s="2">
        <v>6.3657407407407402E-4</v>
      </c>
      <c r="C3619" t="s">
        <v>5438</v>
      </c>
      <c r="D3619" t="s">
        <v>360</v>
      </c>
      <c r="E3619" t="s">
        <v>361</v>
      </c>
      <c r="F3619" t="s">
        <v>515</v>
      </c>
      <c r="G3619">
        <v>1757960</v>
      </c>
      <c r="H3619" t="s">
        <v>26</v>
      </c>
      <c r="I3619" t="s">
        <v>247</v>
      </c>
      <c r="J3619" t="str">
        <f>"9781118780770"</f>
        <v>9781118780770</v>
      </c>
      <c r="K3619" t="s">
        <v>6197</v>
      </c>
      <c r="L3619">
        <v>10</v>
      </c>
      <c r="O3619" t="s">
        <v>30</v>
      </c>
      <c r="P3619" t="s">
        <v>42</v>
      </c>
      <c r="S3619" t="s">
        <v>363</v>
      </c>
      <c r="T3619" t="s">
        <v>517</v>
      </c>
      <c r="U3619" t="s">
        <v>518</v>
      </c>
      <c r="V3619" s="3">
        <v>41850</v>
      </c>
    </row>
    <row r="3620" spans="1:22" x14ac:dyDescent="0.35">
      <c r="A3620" s="1">
        <v>42325.901238425926</v>
      </c>
      <c r="B3620" s="2">
        <v>0.12072916666666667</v>
      </c>
      <c r="C3620" t="s">
        <v>5315</v>
      </c>
      <c r="D3620" t="s">
        <v>23</v>
      </c>
      <c r="E3620" t="s">
        <v>24</v>
      </c>
      <c r="F3620" t="s">
        <v>4411</v>
      </c>
      <c r="G3620">
        <v>1808795</v>
      </c>
      <c r="H3620" t="s">
        <v>45</v>
      </c>
      <c r="I3620" t="s">
        <v>200</v>
      </c>
      <c r="J3620" t="str">
        <f>"9781472447951"</f>
        <v>9781472447951</v>
      </c>
      <c r="K3620" t="s">
        <v>6198</v>
      </c>
      <c r="L3620">
        <v>39</v>
      </c>
      <c r="O3620" t="s">
        <v>30</v>
      </c>
      <c r="P3620" t="s">
        <v>47</v>
      </c>
      <c r="Q3620" s="1">
        <v>42325.901226851849</v>
      </c>
      <c r="R3620">
        <v>1</v>
      </c>
      <c r="S3620" t="s">
        <v>31</v>
      </c>
      <c r="T3620" t="s">
        <v>4413</v>
      </c>
      <c r="U3620" t="s">
        <v>4414</v>
      </c>
      <c r="V3620" s="3">
        <v>41971</v>
      </c>
    </row>
    <row r="3621" spans="1:22" x14ac:dyDescent="0.35">
      <c r="A3621" s="1">
        <v>42325.887916666667</v>
      </c>
      <c r="B3621" s="2">
        <v>5.6712962962962956E-4</v>
      </c>
      <c r="C3621" t="s">
        <v>106</v>
      </c>
      <c r="D3621" t="s">
        <v>23</v>
      </c>
      <c r="E3621" t="s">
        <v>24</v>
      </c>
      <c r="F3621" t="s">
        <v>2262</v>
      </c>
      <c r="G3621">
        <v>843674</v>
      </c>
      <c r="H3621" t="s">
        <v>26</v>
      </c>
      <c r="I3621" t="s">
        <v>322</v>
      </c>
      <c r="J3621" t="str">
        <f>"9781118348444"</f>
        <v>9781118348444</v>
      </c>
      <c r="K3621" t="s">
        <v>6199</v>
      </c>
      <c r="L3621">
        <v>3</v>
      </c>
      <c r="O3621" t="s">
        <v>30</v>
      </c>
      <c r="P3621" t="s">
        <v>29</v>
      </c>
      <c r="Q3621" s="1">
        <v>42325.887916666667</v>
      </c>
      <c r="R3621">
        <v>7</v>
      </c>
      <c r="S3621" t="s">
        <v>31</v>
      </c>
      <c r="T3621" t="s">
        <v>2263</v>
      </c>
      <c r="U3621">
        <v>692.50972999999999</v>
      </c>
      <c r="V3621" s="3">
        <v>40960</v>
      </c>
    </row>
    <row r="3622" spans="1:22" x14ac:dyDescent="0.35">
      <c r="A3622" s="1">
        <v>42325.887650462966</v>
      </c>
      <c r="B3622" s="2">
        <v>2.6620370370370372E-4</v>
      </c>
      <c r="C3622" t="s">
        <v>106</v>
      </c>
      <c r="D3622" t="s">
        <v>23</v>
      </c>
      <c r="E3622" t="s">
        <v>24</v>
      </c>
      <c r="F3622" t="s">
        <v>2262</v>
      </c>
      <c r="G3622">
        <v>843674</v>
      </c>
      <c r="H3622" t="s">
        <v>26</v>
      </c>
      <c r="I3622" t="s">
        <v>322</v>
      </c>
      <c r="J3622" t="str">
        <f>"9781118348444"</f>
        <v>9781118348444</v>
      </c>
      <c r="K3622" t="s">
        <v>6200</v>
      </c>
      <c r="L3622">
        <v>9</v>
      </c>
      <c r="O3622" t="s">
        <v>30</v>
      </c>
      <c r="P3622" t="s">
        <v>42</v>
      </c>
      <c r="S3622" t="s">
        <v>31</v>
      </c>
      <c r="T3622" t="s">
        <v>2263</v>
      </c>
      <c r="U3622">
        <v>692.50972999999999</v>
      </c>
      <c r="V3622" s="3">
        <v>40960</v>
      </c>
    </row>
    <row r="3623" spans="1:22" x14ac:dyDescent="0.35">
      <c r="A3623" s="1">
        <v>42325.881388888891</v>
      </c>
      <c r="B3623" s="2">
        <v>1.9837962962962963E-2</v>
      </c>
      <c r="C3623" t="s">
        <v>5315</v>
      </c>
      <c r="D3623" t="s">
        <v>23</v>
      </c>
      <c r="E3623" t="s">
        <v>24</v>
      </c>
      <c r="F3623" t="s">
        <v>4411</v>
      </c>
      <c r="G3623">
        <v>1808795</v>
      </c>
      <c r="H3623" t="s">
        <v>45</v>
      </c>
      <c r="I3623" t="s">
        <v>200</v>
      </c>
      <c r="J3623" t="str">
        <f>"9781472447951"</f>
        <v>9781472447951</v>
      </c>
      <c r="K3623" t="s">
        <v>6201</v>
      </c>
      <c r="L3623">
        <v>21</v>
      </c>
      <c r="O3623" t="s">
        <v>30</v>
      </c>
      <c r="P3623" t="s">
        <v>50</v>
      </c>
      <c r="S3623" t="s">
        <v>31</v>
      </c>
      <c r="T3623" t="s">
        <v>4413</v>
      </c>
      <c r="U3623" t="s">
        <v>4414</v>
      </c>
      <c r="V3623" s="3">
        <v>41971</v>
      </c>
    </row>
    <row r="3624" spans="1:22" x14ac:dyDescent="0.35">
      <c r="A3624" s="1">
        <v>42325.879664351851</v>
      </c>
      <c r="B3624" s="2">
        <v>0</v>
      </c>
      <c r="C3624" t="s">
        <v>6155</v>
      </c>
      <c r="D3624" t="s">
        <v>23</v>
      </c>
      <c r="E3624" t="s">
        <v>24</v>
      </c>
      <c r="F3624" t="s">
        <v>5494</v>
      </c>
      <c r="G3624">
        <v>1589615</v>
      </c>
      <c r="H3624" t="s">
        <v>45</v>
      </c>
      <c r="I3624" t="s">
        <v>172</v>
      </c>
      <c r="J3624" t="str">
        <f>"9781409469865"</f>
        <v>9781409469865</v>
      </c>
      <c r="L3624">
        <v>0</v>
      </c>
      <c r="O3624" t="s">
        <v>28</v>
      </c>
      <c r="P3624" t="s">
        <v>47</v>
      </c>
      <c r="Q3624" s="1">
        <v>42325.850983796299</v>
      </c>
      <c r="R3624">
        <v>1</v>
      </c>
      <c r="S3624" t="s">
        <v>31</v>
      </c>
      <c r="T3624" t="s">
        <v>5496</v>
      </c>
      <c r="U3624">
        <v>949.50199999999995</v>
      </c>
      <c r="V3624" s="3">
        <v>41940</v>
      </c>
    </row>
    <row r="3625" spans="1:22" x14ac:dyDescent="0.35">
      <c r="A3625" s="1">
        <v>42325.876180555555</v>
      </c>
      <c r="B3625" s="2">
        <v>0</v>
      </c>
      <c r="C3625" t="s">
        <v>6155</v>
      </c>
      <c r="D3625" t="s">
        <v>23</v>
      </c>
      <c r="E3625" t="s">
        <v>24</v>
      </c>
      <c r="F3625" t="s">
        <v>5494</v>
      </c>
      <c r="G3625">
        <v>1589615</v>
      </c>
      <c r="H3625" t="s">
        <v>45</v>
      </c>
      <c r="I3625" t="s">
        <v>172</v>
      </c>
      <c r="J3625" t="str">
        <f>"9781409469865"</f>
        <v>9781409469865</v>
      </c>
      <c r="L3625">
        <v>0</v>
      </c>
      <c r="O3625" t="s">
        <v>28</v>
      </c>
      <c r="P3625" t="s">
        <v>47</v>
      </c>
      <c r="Q3625" s="1">
        <v>42325.850983796299</v>
      </c>
      <c r="R3625">
        <v>1</v>
      </c>
      <c r="S3625" t="s">
        <v>31</v>
      </c>
      <c r="T3625" t="s">
        <v>5496</v>
      </c>
      <c r="U3625">
        <v>949.50199999999995</v>
      </c>
      <c r="V3625" s="3">
        <v>41940</v>
      </c>
    </row>
    <row r="3626" spans="1:22" x14ac:dyDescent="0.35">
      <c r="A3626" s="1">
        <v>42325.875879629632</v>
      </c>
      <c r="B3626" s="2">
        <v>0</v>
      </c>
      <c r="C3626" t="s">
        <v>6155</v>
      </c>
      <c r="D3626" t="s">
        <v>23</v>
      </c>
      <c r="E3626" t="s">
        <v>24</v>
      </c>
      <c r="F3626" t="s">
        <v>5494</v>
      </c>
      <c r="G3626">
        <v>1589615</v>
      </c>
      <c r="H3626" t="s">
        <v>45</v>
      </c>
      <c r="I3626" t="s">
        <v>172</v>
      </c>
      <c r="J3626" t="str">
        <f>"9781409469865"</f>
        <v>9781409469865</v>
      </c>
      <c r="L3626">
        <v>0</v>
      </c>
      <c r="O3626" t="s">
        <v>28</v>
      </c>
      <c r="P3626" t="s">
        <v>47</v>
      </c>
      <c r="Q3626" s="1">
        <v>42325.850983796299</v>
      </c>
      <c r="R3626">
        <v>1</v>
      </c>
      <c r="S3626" t="s">
        <v>31</v>
      </c>
      <c r="T3626" t="s">
        <v>5496</v>
      </c>
      <c r="U3626">
        <v>949.50199999999995</v>
      </c>
      <c r="V3626" s="3">
        <v>41940</v>
      </c>
    </row>
    <row r="3627" spans="1:22" x14ac:dyDescent="0.35">
      <c r="A3627" s="1">
        <v>42325.873576388891</v>
      </c>
      <c r="B3627" s="2">
        <v>0</v>
      </c>
      <c r="C3627" t="s">
        <v>6155</v>
      </c>
      <c r="D3627" t="s">
        <v>23</v>
      </c>
      <c r="E3627" t="s">
        <v>24</v>
      </c>
      <c r="F3627" t="s">
        <v>5494</v>
      </c>
      <c r="G3627">
        <v>1589615</v>
      </c>
      <c r="H3627" t="s">
        <v>45</v>
      </c>
      <c r="I3627" t="s">
        <v>172</v>
      </c>
      <c r="J3627" t="str">
        <f>"9781409469865"</f>
        <v>9781409469865</v>
      </c>
      <c r="L3627">
        <v>0</v>
      </c>
      <c r="O3627" t="s">
        <v>28</v>
      </c>
      <c r="P3627" t="s">
        <v>47</v>
      </c>
      <c r="Q3627" s="1">
        <v>42325.850983796299</v>
      </c>
      <c r="R3627">
        <v>1</v>
      </c>
      <c r="S3627" t="s">
        <v>31</v>
      </c>
      <c r="T3627" t="s">
        <v>5496</v>
      </c>
      <c r="U3627">
        <v>949.50199999999995</v>
      </c>
      <c r="V3627" s="3">
        <v>41940</v>
      </c>
    </row>
    <row r="3628" spans="1:22" x14ac:dyDescent="0.35">
      <c r="A3628" s="1">
        <v>42325.862268518518</v>
      </c>
      <c r="B3628" s="2">
        <v>1.5509259259259261E-3</v>
      </c>
      <c r="C3628" t="s">
        <v>6202</v>
      </c>
      <c r="D3628" t="s">
        <v>23</v>
      </c>
      <c r="E3628" t="s">
        <v>24</v>
      </c>
      <c r="F3628" t="s">
        <v>2708</v>
      </c>
      <c r="G3628">
        <v>817977</v>
      </c>
      <c r="H3628" t="s">
        <v>26</v>
      </c>
      <c r="I3628" t="s">
        <v>280</v>
      </c>
      <c r="J3628" t="str">
        <f>"9781118222188"</f>
        <v>9781118222188</v>
      </c>
      <c r="K3628" t="s">
        <v>6203</v>
      </c>
      <c r="L3628">
        <v>25</v>
      </c>
      <c r="O3628" t="s">
        <v>30</v>
      </c>
      <c r="P3628" t="s">
        <v>42</v>
      </c>
      <c r="S3628" t="s">
        <v>31</v>
      </c>
      <c r="T3628" t="s">
        <v>2711</v>
      </c>
      <c r="U3628" t="s">
        <v>2712</v>
      </c>
      <c r="V3628" s="3">
        <v>41239</v>
      </c>
    </row>
    <row r="3629" spans="1:22" x14ac:dyDescent="0.35">
      <c r="A3629" s="1">
        <v>42325.859050925923</v>
      </c>
      <c r="B3629" s="2">
        <v>4.0509259259259258E-4</v>
      </c>
      <c r="C3629" t="s">
        <v>2707</v>
      </c>
      <c r="D3629" t="s">
        <v>23</v>
      </c>
      <c r="E3629" t="s">
        <v>24</v>
      </c>
      <c r="F3629" t="s">
        <v>1579</v>
      </c>
      <c r="G3629">
        <v>1161538</v>
      </c>
      <c r="H3629" t="s">
        <v>26</v>
      </c>
      <c r="I3629" t="s">
        <v>108</v>
      </c>
      <c r="J3629" t="str">
        <f>"9781118521755"</f>
        <v>9781118521755</v>
      </c>
      <c r="K3629" t="s">
        <v>217</v>
      </c>
      <c r="L3629">
        <v>12</v>
      </c>
      <c r="O3629" t="s">
        <v>30</v>
      </c>
      <c r="P3629" t="s">
        <v>42</v>
      </c>
      <c r="S3629" t="s">
        <v>31</v>
      </c>
      <c r="T3629" t="s">
        <v>1581</v>
      </c>
      <c r="U3629">
        <v>332.63220000000001</v>
      </c>
      <c r="V3629" s="3">
        <v>41359</v>
      </c>
    </row>
    <row r="3630" spans="1:22" x14ac:dyDescent="0.35">
      <c r="A3630" s="1">
        <v>42325.85670138889</v>
      </c>
      <c r="B3630" s="2">
        <v>3.4722222222222224E-4</v>
      </c>
      <c r="C3630" t="s">
        <v>6204</v>
      </c>
      <c r="D3630" t="s">
        <v>23</v>
      </c>
      <c r="E3630" t="s">
        <v>24</v>
      </c>
      <c r="F3630" t="s">
        <v>6205</v>
      </c>
      <c r="G3630">
        <v>835144</v>
      </c>
      <c r="H3630" t="s">
        <v>26</v>
      </c>
      <c r="I3630" t="s">
        <v>247</v>
      </c>
      <c r="J3630" t="str">
        <f>"9781119953814"</f>
        <v>9781119953814</v>
      </c>
      <c r="K3630" t="s">
        <v>867</v>
      </c>
      <c r="L3630">
        <v>10</v>
      </c>
      <c r="O3630" t="s">
        <v>30</v>
      </c>
      <c r="P3630" t="s">
        <v>42</v>
      </c>
      <c r="S3630" t="s">
        <v>31</v>
      </c>
      <c r="T3630" t="s">
        <v>6206</v>
      </c>
      <c r="U3630" t="s">
        <v>6207</v>
      </c>
      <c r="V3630" s="3">
        <v>40925</v>
      </c>
    </row>
    <row r="3631" spans="1:22" x14ac:dyDescent="0.35">
      <c r="A3631" s="1">
        <v>42325.850983796299</v>
      </c>
      <c r="B3631" s="2">
        <v>2.2488425925925926E-2</v>
      </c>
      <c r="C3631" t="s">
        <v>6155</v>
      </c>
      <c r="D3631" t="s">
        <v>23</v>
      </c>
      <c r="E3631" t="s">
        <v>24</v>
      </c>
      <c r="F3631" t="s">
        <v>5494</v>
      </c>
      <c r="G3631">
        <v>1589615</v>
      </c>
      <c r="H3631" t="s">
        <v>45</v>
      </c>
      <c r="I3631" t="s">
        <v>172</v>
      </c>
      <c r="J3631" t="str">
        <f>"9781409469865"</f>
        <v>9781409469865</v>
      </c>
      <c r="K3631" t="s">
        <v>6208</v>
      </c>
      <c r="L3631">
        <v>8</v>
      </c>
      <c r="O3631" t="s">
        <v>30</v>
      </c>
      <c r="P3631" t="s">
        <v>47</v>
      </c>
      <c r="Q3631" s="1">
        <v>42325.850983796299</v>
      </c>
      <c r="R3631">
        <v>1</v>
      </c>
      <c r="S3631" t="s">
        <v>31</v>
      </c>
      <c r="T3631" t="s">
        <v>5496</v>
      </c>
      <c r="U3631">
        <v>949.50199999999995</v>
      </c>
      <c r="V3631" s="3">
        <v>41940</v>
      </c>
    </row>
    <row r="3632" spans="1:22" x14ac:dyDescent="0.35">
      <c r="A3632" s="1">
        <v>42325.850057870368</v>
      </c>
      <c r="B3632" s="2">
        <v>7.407407407407407E-4</v>
      </c>
      <c r="C3632" t="s">
        <v>6209</v>
      </c>
      <c r="D3632" t="s">
        <v>623</v>
      </c>
      <c r="E3632" t="s">
        <v>624</v>
      </c>
      <c r="F3632" t="s">
        <v>6210</v>
      </c>
      <c r="G3632">
        <v>1775389</v>
      </c>
      <c r="H3632" t="s">
        <v>613</v>
      </c>
      <c r="I3632" t="s">
        <v>172</v>
      </c>
      <c r="J3632" t="str">
        <f>"9781469618012"</f>
        <v>9781469618012</v>
      </c>
      <c r="K3632" t="s">
        <v>6211</v>
      </c>
      <c r="L3632">
        <v>15</v>
      </c>
      <c r="O3632" t="s">
        <v>30</v>
      </c>
      <c r="P3632" t="s">
        <v>50</v>
      </c>
      <c r="S3632" t="s">
        <v>627</v>
      </c>
      <c r="T3632" t="s">
        <v>6212</v>
      </c>
      <c r="U3632">
        <v>929.10720000000003</v>
      </c>
      <c r="V3632" s="3">
        <v>41897</v>
      </c>
    </row>
    <row r="3633" spans="1:22" x14ac:dyDescent="0.35">
      <c r="A3633" s="1">
        <v>42325.843784722223</v>
      </c>
      <c r="B3633" s="2">
        <v>7.1990740740740739E-3</v>
      </c>
      <c r="C3633" t="s">
        <v>6155</v>
      </c>
      <c r="D3633" t="s">
        <v>23</v>
      </c>
      <c r="E3633" t="s">
        <v>24</v>
      </c>
      <c r="F3633" t="s">
        <v>5494</v>
      </c>
      <c r="G3633">
        <v>1589615</v>
      </c>
      <c r="H3633" t="s">
        <v>45</v>
      </c>
      <c r="I3633" t="s">
        <v>172</v>
      </c>
      <c r="J3633" t="str">
        <f>"9781409469865"</f>
        <v>9781409469865</v>
      </c>
      <c r="K3633" t="s">
        <v>3140</v>
      </c>
      <c r="L3633">
        <v>6</v>
      </c>
      <c r="O3633" t="s">
        <v>30</v>
      </c>
      <c r="P3633" t="s">
        <v>50</v>
      </c>
      <c r="S3633" t="s">
        <v>31</v>
      </c>
      <c r="T3633" t="s">
        <v>5496</v>
      </c>
      <c r="U3633">
        <v>949.50199999999995</v>
      </c>
      <c r="V3633" s="3">
        <v>41940</v>
      </c>
    </row>
    <row r="3634" spans="1:22" x14ac:dyDescent="0.35">
      <c r="A3634" s="1">
        <v>42325.831620370373</v>
      </c>
      <c r="B3634" s="2">
        <v>4.5300925925925932E-2</v>
      </c>
      <c r="C3634" t="s">
        <v>106</v>
      </c>
      <c r="D3634" t="s">
        <v>23</v>
      </c>
      <c r="E3634" t="s">
        <v>24</v>
      </c>
      <c r="F3634" t="s">
        <v>78</v>
      </c>
      <c r="G3634">
        <v>1635363</v>
      </c>
      <c r="H3634" t="s">
        <v>26</v>
      </c>
      <c r="I3634" t="s">
        <v>79</v>
      </c>
      <c r="J3634" t="str">
        <f>"9781118678206"</f>
        <v>9781118678206</v>
      </c>
      <c r="K3634" t="s">
        <v>6213</v>
      </c>
      <c r="L3634">
        <v>3</v>
      </c>
      <c r="O3634" t="s">
        <v>30</v>
      </c>
      <c r="P3634" t="s">
        <v>29</v>
      </c>
      <c r="Q3634" s="1">
        <v>42325.831620370373</v>
      </c>
      <c r="R3634">
        <v>7</v>
      </c>
      <c r="S3634" t="s">
        <v>31</v>
      </c>
      <c r="T3634" t="s">
        <v>81</v>
      </c>
      <c r="U3634">
        <v>340.07600000000002</v>
      </c>
      <c r="V3634" s="3">
        <v>41684</v>
      </c>
    </row>
    <row r="3635" spans="1:22" x14ac:dyDescent="0.35">
      <c r="A3635" s="1">
        <v>42325.827245370368</v>
      </c>
      <c r="B3635" s="2">
        <v>1.3391203703703704E-2</v>
      </c>
      <c r="C3635" t="s">
        <v>6214</v>
      </c>
      <c r="D3635" t="s">
        <v>23</v>
      </c>
      <c r="E3635" t="s">
        <v>24</v>
      </c>
      <c r="F3635" t="s">
        <v>6215</v>
      </c>
      <c r="G3635">
        <v>1718748</v>
      </c>
      <c r="H3635" t="s">
        <v>26</v>
      </c>
      <c r="I3635" t="s">
        <v>297</v>
      </c>
      <c r="J3635" t="str">
        <f>"9781118791080"</f>
        <v>9781118791080</v>
      </c>
      <c r="K3635" t="s">
        <v>6216</v>
      </c>
      <c r="L3635">
        <v>31</v>
      </c>
      <c r="O3635" t="s">
        <v>30</v>
      </c>
      <c r="P3635" t="s">
        <v>29</v>
      </c>
      <c r="Q3635" s="1">
        <v>42325.80133101852</v>
      </c>
      <c r="R3635">
        <v>7</v>
      </c>
      <c r="S3635" t="s">
        <v>31</v>
      </c>
      <c r="T3635" t="s">
        <v>6217</v>
      </c>
      <c r="U3635">
        <v>515</v>
      </c>
      <c r="V3635" s="3">
        <v>41813</v>
      </c>
    </row>
    <row r="3636" spans="1:22" x14ac:dyDescent="0.35">
      <c r="A3636" s="1">
        <v>42325.827060185184</v>
      </c>
      <c r="B3636" s="2">
        <v>0</v>
      </c>
      <c r="C3636" t="s">
        <v>6214</v>
      </c>
      <c r="D3636" t="s">
        <v>23</v>
      </c>
      <c r="E3636" t="s">
        <v>24</v>
      </c>
      <c r="F3636" t="s">
        <v>6215</v>
      </c>
      <c r="G3636">
        <v>1718748</v>
      </c>
      <c r="H3636" t="s">
        <v>26</v>
      </c>
      <c r="I3636" t="s">
        <v>297</v>
      </c>
      <c r="J3636" t="str">
        <f>"9781118791080"</f>
        <v>9781118791080</v>
      </c>
      <c r="L3636">
        <v>0</v>
      </c>
      <c r="O3636" t="s">
        <v>28</v>
      </c>
      <c r="P3636" t="s">
        <v>29</v>
      </c>
      <c r="Q3636" s="1">
        <v>42325.80133101852</v>
      </c>
      <c r="R3636">
        <v>7</v>
      </c>
      <c r="S3636" t="s">
        <v>31</v>
      </c>
      <c r="T3636" t="s">
        <v>6217</v>
      </c>
      <c r="U3636">
        <v>515</v>
      </c>
      <c r="V3636" s="3">
        <v>41813</v>
      </c>
    </row>
    <row r="3637" spans="1:22" x14ac:dyDescent="0.35">
      <c r="A3637" s="1">
        <v>42325.826550925929</v>
      </c>
      <c r="B3637" s="2">
        <v>6.018518518518519E-4</v>
      </c>
      <c r="C3637" t="s">
        <v>6218</v>
      </c>
      <c r="D3637" t="s">
        <v>335</v>
      </c>
      <c r="E3637" t="s">
        <v>336</v>
      </c>
      <c r="F3637" t="s">
        <v>6219</v>
      </c>
      <c r="G3637">
        <v>1581669</v>
      </c>
      <c r="H3637" t="s">
        <v>68</v>
      </c>
      <c r="I3637" t="s">
        <v>998</v>
      </c>
      <c r="J3637" t="str">
        <f>"9781136523458"</f>
        <v>9781136523458</v>
      </c>
      <c r="K3637" t="s">
        <v>6220</v>
      </c>
      <c r="L3637">
        <v>21</v>
      </c>
      <c r="O3637" t="s">
        <v>30</v>
      </c>
      <c r="P3637" t="s">
        <v>50</v>
      </c>
      <c r="S3637" t="s">
        <v>340</v>
      </c>
      <c r="T3637" t="s">
        <v>6221</v>
      </c>
      <c r="U3637">
        <v>394.12089963979997</v>
      </c>
      <c r="V3637" s="3">
        <v>37938</v>
      </c>
    </row>
    <row r="3638" spans="1:22" x14ac:dyDescent="0.35">
      <c r="A3638" s="1">
        <v>42325.824074074073</v>
      </c>
      <c r="B3638" s="2">
        <v>7.5462962962962966E-3</v>
      </c>
      <c r="C3638" t="s">
        <v>106</v>
      </c>
      <c r="D3638" t="s">
        <v>23</v>
      </c>
      <c r="E3638" t="s">
        <v>24</v>
      </c>
      <c r="F3638" t="s">
        <v>78</v>
      </c>
      <c r="G3638">
        <v>1635363</v>
      </c>
      <c r="H3638" t="s">
        <v>26</v>
      </c>
      <c r="I3638" t="s">
        <v>79</v>
      </c>
      <c r="J3638" t="str">
        <f>"9781118678206"</f>
        <v>9781118678206</v>
      </c>
      <c r="K3638" t="s">
        <v>6222</v>
      </c>
      <c r="L3638">
        <v>11</v>
      </c>
      <c r="O3638" t="s">
        <v>30</v>
      </c>
      <c r="P3638" t="s">
        <v>42</v>
      </c>
      <c r="S3638" t="s">
        <v>31</v>
      </c>
      <c r="T3638" t="s">
        <v>81</v>
      </c>
      <c r="U3638">
        <v>340.07600000000002</v>
      </c>
      <c r="V3638" s="3">
        <v>41684</v>
      </c>
    </row>
    <row r="3639" spans="1:22" x14ac:dyDescent="0.35">
      <c r="A3639" s="1">
        <v>42325.823923611111</v>
      </c>
      <c r="B3639" s="2">
        <v>5.3240740740740744E-4</v>
      </c>
      <c r="C3639" t="s">
        <v>6223</v>
      </c>
      <c r="D3639" t="s">
        <v>623</v>
      </c>
      <c r="E3639" t="s">
        <v>624</v>
      </c>
      <c r="F3639" t="s">
        <v>6224</v>
      </c>
      <c r="G3639">
        <v>1663559</v>
      </c>
      <c r="H3639" t="s">
        <v>613</v>
      </c>
      <c r="I3639" t="s">
        <v>69</v>
      </c>
      <c r="J3639" t="str">
        <f>"9781469615479"</f>
        <v>9781469615479</v>
      </c>
      <c r="K3639" t="s">
        <v>6225</v>
      </c>
      <c r="L3639">
        <v>11</v>
      </c>
      <c r="O3639" t="s">
        <v>30</v>
      </c>
      <c r="P3639" t="s">
        <v>50</v>
      </c>
      <c r="S3639" t="s">
        <v>627</v>
      </c>
      <c r="T3639" t="s">
        <v>6226</v>
      </c>
      <c r="U3639" t="s">
        <v>6227</v>
      </c>
      <c r="V3639" s="3">
        <v>41744</v>
      </c>
    </row>
    <row r="3640" spans="1:22" x14ac:dyDescent="0.35">
      <c r="A3640" s="1">
        <v>42325.822893518518</v>
      </c>
      <c r="B3640" s="2">
        <v>2.5069444444444446E-2</v>
      </c>
      <c r="C3640" t="s">
        <v>6228</v>
      </c>
      <c r="D3640" t="s">
        <v>35</v>
      </c>
      <c r="E3640" t="s">
        <v>36</v>
      </c>
      <c r="F3640" t="s">
        <v>6229</v>
      </c>
      <c r="G3640">
        <v>1688585</v>
      </c>
      <c r="H3640" t="s">
        <v>139</v>
      </c>
      <c r="I3640" t="s">
        <v>998</v>
      </c>
      <c r="J3640" t="str">
        <f>"9781479815807"</f>
        <v>9781479815807</v>
      </c>
      <c r="K3640" t="s">
        <v>6230</v>
      </c>
      <c r="L3640">
        <v>18</v>
      </c>
      <c r="O3640" t="s">
        <v>30</v>
      </c>
      <c r="P3640" t="s">
        <v>29</v>
      </c>
      <c r="Q3640" s="1">
        <v>42325.822893518518</v>
      </c>
      <c r="R3640">
        <v>7</v>
      </c>
      <c r="S3640" t="s">
        <v>40</v>
      </c>
      <c r="T3640" t="s">
        <v>6231</v>
      </c>
      <c r="U3640" t="s">
        <v>6232</v>
      </c>
      <c r="V3640" s="3">
        <v>41817</v>
      </c>
    </row>
    <row r="3641" spans="1:22" x14ac:dyDescent="0.35">
      <c r="A3641" s="1">
        <v>42325.821608796294</v>
      </c>
      <c r="B3641" s="2">
        <v>4.6527777777777774E-3</v>
      </c>
      <c r="C3641" t="s">
        <v>6218</v>
      </c>
      <c r="D3641" t="s">
        <v>335</v>
      </c>
      <c r="E3641" t="s">
        <v>336</v>
      </c>
      <c r="F3641" t="s">
        <v>3275</v>
      </c>
      <c r="G3641">
        <v>822662</v>
      </c>
      <c r="H3641" t="s">
        <v>26</v>
      </c>
      <c r="I3641" t="s">
        <v>172</v>
      </c>
      <c r="J3641" t="str">
        <f>"9781444355130"</f>
        <v>9781444355130</v>
      </c>
      <c r="K3641" t="s">
        <v>6233</v>
      </c>
      <c r="L3641">
        <v>18</v>
      </c>
      <c r="O3641" t="s">
        <v>30</v>
      </c>
      <c r="P3641" t="s">
        <v>42</v>
      </c>
      <c r="S3641" t="s">
        <v>340</v>
      </c>
      <c r="T3641" t="s">
        <v>3277</v>
      </c>
      <c r="U3641">
        <v>960.3</v>
      </c>
      <c r="V3641" s="3">
        <v>40858</v>
      </c>
    </row>
    <row r="3642" spans="1:22" x14ac:dyDescent="0.35">
      <c r="A3642" s="1">
        <v>42325.819016203706</v>
      </c>
      <c r="B3642" s="2">
        <v>5.3379629629629631E-2</v>
      </c>
      <c r="C3642" t="s">
        <v>471</v>
      </c>
      <c r="D3642" t="s">
        <v>211</v>
      </c>
      <c r="E3642" t="s">
        <v>212</v>
      </c>
      <c r="F3642" t="s">
        <v>1182</v>
      </c>
      <c r="G3642">
        <v>1557279</v>
      </c>
      <c r="H3642" t="s">
        <v>26</v>
      </c>
      <c r="I3642" t="s">
        <v>97</v>
      </c>
      <c r="J3642" t="str">
        <f>"9781118863664"</f>
        <v>9781118863664</v>
      </c>
      <c r="K3642" t="s">
        <v>6234</v>
      </c>
      <c r="L3642">
        <v>109</v>
      </c>
      <c r="O3642" t="s">
        <v>30</v>
      </c>
      <c r="P3642" t="s">
        <v>29</v>
      </c>
      <c r="Q3642" s="1">
        <v>42325.819016203706</v>
      </c>
      <c r="R3642">
        <v>7</v>
      </c>
      <c r="S3642" t="s">
        <v>214</v>
      </c>
      <c r="T3642" t="s">
        <v>1183</v>
      </c>
      <c r="U3642">
        <v>657.37800000000004</v>
      </c>
      <c r="V3642" s="3">
        <v>41585</v>
      </c>
    </row>
    <row r="3643" spans="1:22" x14ac:dyDescent="0.35">
      <c r="A3643" s="1">
        <v>42325.815254629626</v>
      </c>
      <c r="B3643" s="2">
        <v>7.6388888888888886E-3</v>
      </c>
      <c r="C3643" t="s">
        <v>6228</v>
      </c>
      <c r="D3643" t="s">
        <v>35</v>
      </c>
      <c r="E3643" t="s">
        <v>36</v>
      </c>
      <c r="F3643" t="s">
        <v>6229</v>
      </c>
      <c r="G3643">
        <v>1688585</v>
      </c>
      <c r="H3643" t="s">
        <v>139</v>
      </c>
      <c r="I3643" t="s">
        <v>998</v>
      </c>
      <c r="J3643" t="str">
        <f>"9781479815807"</f>
        <v>9781479815807</v>
      </c>
      <c r="K3643" t="s">
        <v>611</v>
      </c>
      <c r="L3643">
        <v>3</v>
      </c>
      <c r="O3643" t="s">
        <v>30</v>
      </c>
      <c r="P3643" t="s">
        <v>50</v>
      </c>
      <c r="S3643" t="s">
        <v>40</v>
      </c>
      <c r="T3643" t="s">
        <v>6231</v>
      </c>
      <c r="U3643" t="s">
        <v>6232</v>
      </c>
      <c r="V3643" s="3">
        <v>41817</v>
      </c>
    </row>
    <row r="3644" spans="1:22" x14ac:dyDescent="0.35">
      <c r="A3644" s="1">
        <v>42325.811990740738</v>
      </c>
      <c r="B3644" s="2">
        <v>1.4351851851851854E-3</v>
      </c>
      <c r="C3644" t="s">
        <v>6235</v>
      </c>
      <c r="D3644" t="s">
        <v>158</v>
      </c>
      <c r="E3644" t="s">
        <v>159</v>
      </c>
      <c r="F3644" t="s">
        <v>3602</v>
      </c>
      <c r="G3644">
        <v>877786</v>
      </c>
      <c r="H3644" t="s">
        <v>26</v>
      </c>
      <c r="I3644" t="s">
        <v>247</v>
      </c>
      <c r="J3644" t="str">
        <f>"9781118318393"</f>
        <v>9781118318393</v>
      </c>
      <c r="K3644" t="s">
        <v>6236</v>
      </c>
      <c r="L3644">
        <v>16</v>
      </c>
      <c r="O3644" t="s">
        <v>30</v>
      </c>
      <c r="P3644" t="s">
        <v>42</v>
      </c>
      <c r="S3644" t="s">
        <v>163</v>
      </c>
      <c r="T3644" t="s">
        <v>3604</v>
      </c>
      <c r="U3644" t="s">
        <v>3605</v>
      </c>
      <c r="V3644" s="3">
        <v>40988</v>
      </c>
    </row>
    <row r="3645" spans="1:22" x14ac:dyDescent="0.35">
      <c r="A3645" s="1">
        <v>42325.810694444444</v>
      </c>
      <c r="B3645" s="2">
        <v>8.3217592592592596E-3</v>
      </c>
      <c r="C3645" t="s">
        <v>471</v>
      </c>
      <c r="D3645" t="s">
        <v>211</v>
      </c>
      <c r="E3645" t="s">
        <v>212</v>
      </c>
      <c r="F3645" t="s">
        <v>1182</v>
      </c>
      <c r="G3645">
        <v>1557279</v>
      </c>
      <c r="H3645" t="s">
        <v>26</v>
      </c>
      <c r="I3645" t="s">
        <v>97</v>
      </c>
      <c r="J3645" t="str">
        <f>"9781118863664"</f>
        <v>9781118863664</v>
      </c>
      <c r="K3645" t="s">
        <v>6237</v>
      </c>
      <c r="L3645">
        <v>11</v>
      </c>
      <c r="O3645" t="s">
        <v>30</v>
      </c>
      <c r="P3645" t="s">
        <v>42</v>
      </c>
      <c r="S3645" t="s">
        <v>214</v>
      </c>
      <c r="T3645" t="s">
        <v>1183</v>
      </c>
      <c r="U3645">
        <v>657.37800000000004</v>
      </c>
      <c r="V3645" s="3">
        <v>41585</v>
      </c>
    </row>
    <row r="3646" spans="1:22" x14ac:dyDescent="0.35">
      <c r="A3646" s="1">
        <v>42325.808495370373</v>
      </c>
      <c r="B3646" s="2">
        <v>0.21784722222222222</v>
      </c>
      <c r="C3646" t="s">
        <v>5592</v>
      </c>
      <c r="D3646" t="s">
        <v>623</v>
      </c>
      <c r="E3646" t="s">
        <v>624</v>
      </c>
      <c r="F3646" t="s">
        <v>1698</v>
      </c>
      <c r="G3646">
        <v>1637652</v>
      </c>
      <c r="H3646" t="s">
        <v>84</v>
      </c>
      <c r="I3646" t="s">
        <v>69</v>
      </c>
      <c r="J3646" t="str">
        <f>"9780520958449"</f>
        <v>9780520958449</v>
      </c>
      <c r="K3646" t="s">
        <v>6238</v>
      </c>
      <c r="L3646">
        <v>133</v>
      </c>
      <c r="O3646" t="s">
        <v>30</v>
      </c>
      <c r="P3646" t="s">
        <v>29</v>
      </c>
      <c r="Q3646" s="1">
        <v>42321.620787037034</v>
      </c>
      <c r="R3646">
        <v>7</v>
      </c>
      <c r="S3646" t="s">
        <v>627</v>
      </c>
      <c r="T3646" t="s">
        <v>1700</v>
      </c>
      <c r="U3646" t="s">
        <v>1701</v>
      </c>
      <c r="V3646" s="3">
        <v>41761</v>
      </c>
    </row>
    <row r="3647" spans="1:22" x14ac:dyDescent="0.35">
      <c r="A3647" s="1">
        <v>42325.806168981479</v>
      </c>
      <c r="B3647" s="2">
        <v>2.4305555555555552E-4</v>
      </c>
      <c r="C3647" t="s">
        <v>210</v>
      </c>
      <c r="D3647" t="s">
        <v>211</v>
      </c>
      <c r="E3647" t="s">
        <v>212</v>
      </c>
      <c r="F3647" t="s">
        <v>6239</v>
      </c>
      <c r="G3647">
        <v>3038466</v>
      </c>
      <c r="H3647" t="s">
        <v>526</v>
      </c>
      <c r="I3647" t="s">
        <v>69</v>
      </c>
      <c r="J3647" t="str">
        <f>"9780226089072"</f>
        <v>9780226089072</v>
      </c>
      <c r="K3647" t="s">
        <v>6240</v>
      </c>
      <c r="L3647">
        <v>7</v>
      </c>
      <c r="O3647" t="s">
        <v>30</v>
      </c>
      <c r="P3647" t="s">
        <v>50</v>
      </c>
      <c r="S3647" t="s">
        <v>214</v>
      </c>
      <c r="T3647" t="s">
        <v>6241</v>
      </c>
      <c r="U3647">
        <v>371.01097299999998</v>
      </c>
      <c r="V3647" s="3">
        <v>41579</v>
      </c>
    </row>
    <row r="3648" spans="1:22" x14ac:dyDescent="0.35">
      <c r="A3648" s="1">
        <v>42325.80133101852</v>
      </c>
      <c r="B3648" s="2">
        <v>3.9004629629629632E-3</v>
      </c>
      <c r="C3648" t="s">
        <v>6214</v>
      </c>
      <c r="D3648" t="s">
        <v>23</v>
      </c>
      <c r="E3648" t="s">
        <v>24</v>
      </c>
      <c r="F3648" t="s">
        <v>6215</v>
      </c>
      <c r="G3648">
        <v>1718748</v>
      </c>
      <c r="H3648" t="s">
        <v>26</v>
      </c>
      <c r="I3648" t="s">
        <v>297</v>
      </c>
      <c r="J3648" t="str">
        <f>"9781118791080"</f>
        <v>9781118791080</v>
      </c>
      <c r="K3648" t="s">
        <v>6242</v>
      </c>
      <c r="L3648">
        <v>5</v>
      </c>
      <c r="O3648" t="s">
        <v>28</v>
      </c>
      <c r="P3648" t="s">
        <v>29</v>
      </c>
      <c r="Q3648" s="1">
        <v>42325.80133101852</v>
      </c>
      <c r="R3648">
        <v>7</v>
      </c>
      <c r="S3648" t="s">
        <v>31</v>
      </c>
      <c r="T3648" t="s">
        <v>6217</v>
      </c>
      <c r="U3648">
        <v>515</v>
      </c>
      <c r="V3648" s="3">
        <v>41813</v>
      </c>
    </row>
    <row r="3649" spans="1:22" x14ac:dyDescent="0.35">
      <c r="A3649" s="1">
        <v>42325.80133101852</v>
      </c>
      <c r="B3649" s="2">
        <v>0</v>
      </c>
      <c r="C3649" t="s">
        <v>6214</v>
      </c>
      <c r="D3649" t="s">
        <v>23</v>
      </c>
      <c r="E3649" t="s">
        <v>24</v>
      </c>
      <c r="F3649" t="s">
        <v>6215</v>
      </c>
      <c r="G3649">
        <v>1718748</v>
      </c>
      <c r="H3649" t="s">
        <v>26</v>
      </c>
      <c r="I3649" t="s">
        <v>297</v>
      </c>
      <c r="J3649" t="str">
        <f>"9781118791080"</f>
        <v>9781118791080</v>
      </c>
      <c r="L3649">
        <v>0</v>
      </c>
      <c r="O3649" t="s">
        <v>30</v>
      </c>
      <c r="P3649" t="s">
        <v>29</v>
      </c>
      <c r="Q3649" s="1">
        <v>42325.80133101852</v>
      </c>
      <c r="R3649">
        <v>7</v>
      </c>
      <c r="S3649" t="s">
        <v>31</v>
      </c>
      <c r="T3649" t="s">
        <v>6217</v>
      </c>
      <c r="U3649">
        <v>515</v>
      </c>
      <c r="V3649" s="3">
        <v>41813</v>
      </c>
    </row>
    <row r="3650" spans="1:22" x14ac:dyDescent="0.35">
      <c r="A3650" s="1">
        <v>42325.79959490741</v>
      </c>
      <c r="B3650" s="2">
        <v>1.736111111111111E-3</v>
      </c>
      <c r="C3650" t="s">
        <v>6214</v>
      </c>
      <c r="D3650" t="s">
        <v>23</v>
      </c>
      <c r="E3650" t="s">
        <v>24</v>
      </c>
      <c r="F3650" t="s">
        <v>6215</v>
      </c>
      <c r="G3650">
        <v>1718748</v>
      </c>
      <c r="H3650" t="s">
        <v>26</v>
      </c>
      <c r="I3650" t="s">
        <v>297</v>
      </c>
      <c r="J3650" t="str">
        <f>"9781118791080"</f>
        <v>9781118791080</v>
      </c>
      <c r="K3650" t="s">
        <v>6243</v>
      </c>
      <c r="L3650">
        <v>28</v>
      </c>
      <c r="O3650" t="s">
        <v>30</v>
      </c>
      <c r="P3650" t="s">
        <v>42</v>
      </c>
      <c r="S3650" t="s">
        <v>31</v>
      </c>
      <c r="T3650" t="s">
        <v>6217</v>
      </c>
      <c r="U3650">
        <v>515</v>
      </c>
      <c r="V3650" s="3">
        <v>41813</v>
      </c>
    </row>
    <row r="3651" spans="1:22" x14ac:dyDescent="0.35">
      <c r="A3651" s="1">
        <v>42325.766018518516</v>
      </c>
      <c r="B3651" s="2">
        <v>2.1990740740740742E-3</v>
      </c>
      <c r="C3651" t="s">
        <v>6244</v>
      </c>
      <c r="D3651" t="s">
        <v>117</v>
      </c>
      <c r="E3651" t="s">
        <v>118</v>
      </c>
      <c r="F3651" t="s">
        <v>6245</v>
      </c>
      <c r="G3651">
        <v>3061394</v>
      </c>
      <c r="H3651" t="s">
        <v>68</v>
      </c>
      <c r="I3651" t="s">
        <v>69</v>
      </c>
      <c r="J3651" t="str">
        <f>"9780203814420"</f>
        <v>9780203814420</v>
      </c>
      <c r="K3651" t="s">
        <v>6246</v>
      </c>
      <c r="L3651">
        <v>22</v>
      </c>
      <c r="O3651" t="s">
        <v>30</v>
      </c>
      <c r="P3651" t="s">
        <v>50</v>
      </c>
      <c r="S3651" t="s">
        <v>121</v>
      </c>
      <c r="T3651" t="s">
        <v>6247</v>
      </c>
      <c r="U3651">
        <v>372.21097300000002</v>
      </c>
      <c r="V3651" s="3">
        <v>41518</v>
      </c>
    </row>
    <row r="3652" spans="1:22" x14ac:dyDescent="0.35">
      <c r="A3652" s="1">
        <v>42325.765543981484</v>
      </c>
      <c r="B3652" s="2">
        <v>2.8935185185185189E-4</v>
      </c>
      <c r="C3652" t="s">
        <v>6248</v>
      </c>
      <c r="D3652" t="s">
        <v>623</v>
      </c>
      <c r="E3652" t="s">
        <v>624</v>
      </c>
      <c r="F3652" t="s">
        <v>1752</v>
      </c>
      <c r="G3652">
        <v>1887116</v>
      </c>
      <c r="H3652" t="s">
        <v>26</v>
      </c>
      <c r="I3652" t="s">
        <v>150</v>
      </c>
      <c r="J3652" t="str">
        <f>"9781118885413"</f>
        <v>9781118885413</v>
      </c>
      <c r="K3652" t="s">
        <v>6249</v>
      </c>
      <c r="L3652">
        <v>6</v>
      </c>
      <c r="O3652" t="s">
        <v>30</v>
      </c>
      <c r="P3652" t="s">
        <v>50</v>
      </c>
      <c r="S3652" t="s">
        <v>627</v>
      </c>
      <c r="T3652" t="s">
        <v>1754</v>
      </c>
      <c r="U3652">
        <v>709.37</v>
      </c>
      <c r="V3652" s="3">
        <v>41977</v>
      </c>
    </row>
    <row r="3653" spans="1:22" x14ac:dyDescent="0.35">
      <c r="A3653" s="1">
        <v>42325.759756944448</v>
      </c>
      <c r="B3653" s="2">
        <v>9.3750000000000007E-4</v>
      </c>
      <c r="C3653" t="s">
        <v>2302</v>
      </c>
      <c r="D3653" t="s">
        <v>117</v>
      </c>
      <c r="E3653" t="s">
        <v>118</v>
      </c>
      <c r="F3653" t="s">
        <v>1259</v>
      </c>
      <c r="G3653">
        <v>449628</v>
      </c>
      <c r="H3653" t="s">
        <v>68</v>
      </c>
      <c r="I3653" t="s">
        <v>38</v>
      </c>
      <c r="J3653" t="str">
        <f>"9781134028863"</f>
        <v>9781134028863</v>
      </c>
      <c r="K3653" t="s">
        <v>1606</v>
      </c>
      <c r="L3653">
        <v>34</v>
      </c>
      <c r="O3653" t="s">
        <v>30</v>
      </c>
      <c r="P3653" t="s">
        <v>50</v>
      </c>
      <c r="S3653" t="s">
        <v>121</v>
      </c>
      <c r="T3653" t="s">
        <v>1261</v>
      </c>
      <c r="U3653">
        <v>364.3</v>
      </c>
      <c r="V3653" s="3">
        <v>41478</v>
      </c>
    </row>
    <row r="3654" spans="1:22" x14ac:dyDescent="0.35">
      <c r="A3654" s="1">
        <v>42325.756261574075</v>
      </c>
      <c r="B3654" s="2">
        <v>4.8611111111111104E-4</v>
      </c>
      <c r="C3654" t="s">
        <v>5908</v>
      </c>
      <c r="D3654" t="s">
        <v>623</v>
      </c>
      <c r="E3654" t="s">
        <v>624</v>
      </c>
      <c r="F3654" t="s">
        <v>3961</v>
      </c>
      <c r="G3654">
        <v>1610008</v>
      </c>
      <c r="H3654" t="s">
        <v>45</v>
      </c>
      <c r="I3654" t="s">
        <v>3962</v>
      </c>
      <c r="J3654" t="str">
        <f>"9781409457206"</f>
        <v>9781409457206</v>
      </c>
      <c r="K3654" t="s">
        <v>6250</v>
      </c>
      <c r="L3654">
        <v>16</v>
      </c>
      <c r="O3654" t="s">
        <v>30</v>
      </c>
      <c r="P3654" t="s">
        <v>29</v>
      </c>
      <c r="Q3654" s="1">
        <v>42325.756261574075</v>
      </c>
      <c r="R3654">
        <v>7</v>
      </c>
      <c r="S3654" t="s">
        <v>627</v>
      </c>
      <c r="T3654" t="s">
        <v>3964</v>
      </c>
      <c r="U3654">
        <v>364.66</v>
      </c>
      <c r="V3654" s="3">
        <v>41726</v>
      </c>
    </row>
    <row r="3655" spans="1:22" x14ac:dyDescent="0.35">
      <c r="A3655" s="1">
        <v>42325.75440972222</v>
      </c>
      <c r="B3655" s="2">
        <v>1.6319444444444445E-3</v>
      </c>
      <c r="C3655" t="s">
        <v>6251</v>
      </c>
      <c r="D3655" t="s">
        <v>23</v>
      </c>
      <c r="E3655" t="s">
        <v>24</v>
      </c>
      <c r="F3655" t="s">
        <v>6252</v>
      </c>
      <c r="G3655">
        <v>995966</v>
      </c>
      <c r="H3655" t="s">
        <v>26</v>
      </c>
      <c r="I3655" t="s">
        <v>6253</v>
      </c>
      <c r="J3655" t="str">
        <f>"9781118359730"</f>
        <v>9781118359730</v>
      </c>
      <c r="K3655" t="s">
        <v>6254</v>
      </c>
      <c r="L3655">
        <v>18</v>
      </c>
      <c r="O3655" t="s">
        <v>30</v>
      </c>
      <c r="P3655" t="s">
        <v>42</v>
      </c>
      <c r="S3655" t="s">
        <v>31</v>
      </c>
      <c r="T3655" t="s">
        <v>6255</v>
      </c>
      <c r="U3655">
        <v>613.70000000000005</v>
      </c>
      <c r="V3655" s="3">
        <v>41129</v>
      </c>
    </row>
    <row r="3656" spans="1:22" x14ac:dyDescent="0.35">
      <c r="A3656" s="1">
        <v>42325.74591435185</v>
      </c>
      <c r="B3656" s="2">
        <v>1.0347222222222223E-2</v>
      </c>
      <c r="C3656" t="s">
        <v>5908</v>
      </c>
      <c r="D3656" t="s">
        <v>623</v>
      </c>
      <c r="E3656" t="s">
        <v>624</v>
      </c>
      <c r="F3656" t="s">
        <v>3961</v>
      </c>
      <c r="G3656">
        <v>1610008</v>
      </c>
      <c r="H3656" t="s">
        <v>45</v>
      </c>
      <c r="I3656" t="s">
        <v>3962</v>
      </c>
      <c r="J3656" t="str">
        <f>"9781409457206"</f>
        <v>9781409457206</v>
      </c>
      <c r="K3656" t="s">
        <v>6256</v>
      </c>
      <c r="L3656">
        <v>30</v>
      </c>
      <c r="O3656" t="s">
        <v>30</v>
      </c>
      <c r="P3656" t="s">
        <v>42</v>
      </c>
      <c r="S3656" t="s">
        <v>627</v>
      </c>
      <c r="T3656" t="s">
        <v>3964</v>
      </c>
      <c r="U3656">
        <v>364.66</v>
      </c>
      <c r="V3656" s="3">
        <v>41726</v>
      </c>
    </row>
    <row r="3657" spans="1:22" x14ac:dyDescent="0.35">
      <c r="A3657" s="1">
        <v>42325.742858796293</v>
      </c>
      <c r="B3657" s="2">
        <v>4.6296296296296294E-5</v>
      </c>
      <c r="C3657" t="s">
        <v>6257</v>
      </c>
      <c r="D3657" t="s">
        <v>23</v>
      </c>
      <c r="E3657" t="s">
        <v>24</v>
      </c>
      <c r="F3657" t="s">
        <v>3973</v>
      </c>
      <c r="G3657">
        <v>771049</v>
      </c>
      <c r="H3657" t="s">
        <v>3465</v>
      </c>
      <c r="I3657" t="s">
        <v>3974</v>
      </c>
      <c r="J3657" t="str">
        <f>"9781608706648"</f>
        <v>9781608706648</v>
      </c>
      <c r="K3657" t="s">
        <v>33</v>
      </c>
      <c r="L3657">
        <v>3</v>
      </c>
      <c r="O3657" t="s">
        <v>30</v>
      </c>
      <c r="P3657" t="s">
        <v>42</v>
      </c>
      <c r="S3657" t="s">
        <v>31</v>
      </c>
      <c r="T3657" t="s">
        <v>3976</v>
      </c>
      <c r="U3657">
        <v>363.73874000000001</v>
      </c>
      <c r="V3657" s="3">
        <v>40909</v>
      </c>
    </row>
    <row r="3658" spans="1:22" x14ac:dyDescent="0.35">
      <c r="A3658" s="1">
        <v>42325.712743055556</v>
      </c>
      <c r="B3658" s="2">
        <v>2.5462962962962961E-4</v>
      </c>
      <c r="C3658" t="s">
        <v>6258</v>
      </c>
      <c r="D3658" t="s">
        <v>623</v>
      </c>
      <c r="E3658" t="s">
        <v>624</v>
      </c>
      <c r="F3658" t="s">
        <v>219</v>
      </c>
      <c r="G3658">
        <v>3059089</v>
      </c>
      <c r="H3658" t="s">
        <v>26</v>
      </c>
      <c r="I3658" t="s">
        <v>219</v>
      </c>
      <c r="J3658" t="str">
        <f>"9780730323969"</f>
        <v>9780730323969</v>
      </c>
      <c r="K3658" t="s">
        <v>536</v>
      </c>
      <c r="L3658">
        <v>3</v>
      </c>
      <c r="O3658" t="s">
        <v>30</v>
      </c>
      <c r="P3658" t="s">
        <v>50</v>
      </c>
      <c r="S3658" t="s">
        <v>627</v>
      </c>
      <c r="T3658" t="s">
        <v>6259</v>
      </c>
      <c r="U3658">
        <v>150.994</v>
      </c>
      <c r="V3658" s="3">
        <v>41852</v>
      </c>
    </row>
    <row r="3659" spans="1:22" x14ac:dyDescent="0.35">
      <c r="A3659" s="1">
        <v>42325.699826388889</v>
      </c>
      <c r="B3659" s="2">
        <v>5.0925925925925921E-4</v>
      </c>
      <c r="C3659" t="s">
        <v>106</v>
      </c>
      <c r="D3659" t="s">
        <v>23</v>
      </c>
      <c r="E3659" t="s">
        <v>24</v>
      </c>
      <c r="F3659" t="s">
        <v>2207</v>
      </c>
      <c r="G3659">
        <v>827065</v>
      </c>
      <c r="H3659" t="s">
        <v>26</v>
      </c>
      <c r="I3659" t="s">
        <v>310</v>
      </c>
      <c r="J3659" t="str">
        <f>"9781118306291"</f>
        <v>9781118306291</v>
      </c>
      <c r="K3659" t="s">
        <v>6260</v>
      </c>
      <c r="L3659">
        <v>24</v>
      </c>
      <c r="O3659" t="s">
        <v>30</v>
      </c>
      <c r="P3659" t="s">
        <v>42</v>
      </c>
      <c r="S3659" t="s">
        <v>31</v>
      </c>
      <c r="T3659" t="s">
        <v>2209</v>
      </c>
      <c r="U3659" t="s">
        <v>2210</v>
      </c>
      <c r="V3659" s="3">
        <v>40877</v>
      </c>
    </row>
    <row r="3660" spans="1:22" x14ac:dyDescent="0.35">
      <c r="A3660" s="1">
        <v>42325.694571759261</v>
      </c>
      <c r="B3660" s="2">
        <v>3.483796296296296E-3</v>
      </c>
      <c r="C3660" t="s">
        <v>6261</v>
      </c>
      <c r="D3660" t="s">
        <v>211</v>
      </c>
      <c r="E3660" t="s">
        <v>212</v>
      </c>
      <c r="F3660" t="s">
        <v>6262</v>
      </c>
      <c r="G3660">
        <v>1134691</v>
      </c>
      <c r="H3660" t="s">
        <v>26</v>
      </c>
      <c r="I3660" t="s">
        <v>6263</v>
      </c>
      <c r="J3660" t="str">
        <f>"9783527665488"</f>
        <v>9783527665488</v>
      </c>
      <c r="K3660" t="s">
        <v>6264</v>
      </c>
      <c r="L3660">
        <v>16</v>
      </c>
      <c r="O3660" t="s">
        <v>30</v>
      </c>
      <c r="P3660" t="s">
        <v>47</v>
      </c>
      <c r="Q3660" s="1">
        <v>42325.694571759261</v>
      </c>
      <c r="R3660">
        <v>1</v>
      </c>
      <c r="S3660" t="s">
        <v>214</v>
      </c>
      <c r="T3660" t="s">
        <v>6265</v>
      </c>
      <c r="U3660" t="s">
        <v>6266</v>
      </c>
      <c r="V3660" s="3">
        <v>41327</v>
      </c>
    </row>
    <row r="3661" spans="1:22" x14ac:dyDescent="0.35">
      <c r="A3661" s="1">
        <v>42325.690972222219</v>
      </c>
      <c r="B3661" s="2">
        <v>3.5995370370370369E-3</v>
      </c>
      <c r="C3661" t="s">
        <v>6261</v>
      </c>
      <c r="D3661" t="s">
        <v>211</v>
      </c>
      <c r="E3661" t="s">
        <v>212</v>
      </c>
      <c r="F3661" t="s">
        <v>6262</v>
      </c>
      <c r="G3661">
        <v>1134691</v>
      </c>
      <c r="H3661" t="s">
        <v>26</v>
      </c>
      <c r="I3661" t="s">
        <v>6263</v>
      </c>
      <c r="J3661" t="str">
        <f>"9783527665488"</f>
        <v>9783527665488</v>
      </c>
      <c r="K3661" t="s">
        <v>217</v>
      </c>
      <c r="L3661">
        <v>12</v>
      </c>
      <c r="O3661" t="s">
        <v>30</v>
      </c>
      <c r="P3661" t="s">
        <v>50</v>
      </c>
      <c r="S3661" t="s">
        <v>214</v>
      </c>
      <c r="T3661" t="s">
        <v>6265</v>
      </c>
      <c r="U3661" t="s">
        <v>6266</v>
      </c>
      <c r="V3661" s="3">
        <v>41327</v>
      </c>
    </row>
    <row r="3662" spans="1:22" x14ac:dyDescent="0.35">
      <c r="A3662" s="1">
        <v>42325.689884259256</v>
      </c>
      <c r="B3662" s="2">
        <v>3.4189814814814819E-2</v>
      </c>
      <c r="C3662" t="s">
        <v>4205</v>
      </c>
      <c r="D3662" t="s">
        <v>597</v>
      </c>
      <c r="E3662" t="s">
        <v>598</v>
      </c>
      <c r="F3662" t="s">
        <v>111</v>
      </c>
      <c r="G3662">
        <v>693176</v>
      </c>
      <c r="H3662" t="s">
        <v>26</v>
      </c>
      <c r="I3662" t="s">
        <v>112</v>
      </c>
      <c r="J3662" t="str">
        <f>"9781118017746"</f>
        <v>9781118017746</v>
      </c>
      <c r="K3662" t="s">
        <v>6267</v>
      </c>
      <c r="L3662">
        <v>38</v>
      </c>
      <c r="O3662" t="s">
        <v>30</v>
      </c>
      <c r="P3662" t="s">
        <v>29</v>
      </c>
      <c r="Q3662" s="1">
        <v>42325.689884259256</v>
      </c>
      <c r="R3662">
        <v>7</v>
      </c>
      <c r="S3662" t="s">
        <v>600</v>
      </c>
      <c r="T3662" t="s">
        <v>114</v>
      </c>
      <c r="U3662" t="s">
        <v>115</v>
      </c>
      <c r="V3662" s="3">
        <v>40835</v>
      </c>
    </row>
    <row r="3663" spans="1:22" x14ac:dyDescent="0.35">
      <c r="A3663" s="1">
        <v>42325.680891203701</v>
      </c>
      <c r="B3663" s="2">
        <v>1.2847222222222223E-3</v>
      </c>
      <c r="C3663" t="s">
        <v>106</v>
      </c>
      <c r="D3663" t="s">
        <v>23</v>
      </c>
      <c r="E3663" t="s">
        <v>24</v>
      </c>
      <c r="F3663" t="s">
        <v>6268</v>
      </c>
      <c r="G3663">
        <v>2009965</v>
      </c>
      <c r="H3663" t="s">
        <v>84</v>
      </c>
      <c r="J3663" t="str">
        <f>"9780520961869"</f>
        <v>9780520961869</v>
      </c>
      <c r="K3663" t="s">
        <v>6269</v>
      </c>
      <c r="L3663">
        <v>30</v>
      </c>
      <c r="O3663" t="s">
        <v>30</v>
      </c>
      <c r="P3663" t="s">
        <v>47</v>
      </c>
      <c r="Q3663" s="1">
        <v>42325.680879629632</v>
      </c>
      <c r="R3663">
        <v>1</v>
      </c>
      <c r="S3663" t="s">
        <v>31</v>
      </c>
      <c r="V3663" s="3">
        <v>42292</v>
      </c>
    </row>
    <row r="3664" spans="1:22" x14ac:dyDescent="0.35">
      <c r="A3664" s="1">
        <v>42325.672094907408</v>
      </c>
      <c r="B3664" s="2">
        <v>8.7847222222222233E-3</v>
      </c>
      <c r="C3664" t="s">
        <v>106</v>
      </c>
      <c r="D3664" t="s">
        <v>23</v>
      </c>
      <c r="E3664" t="s">
        <v>24</v>
      </c>
      <c r="F3664" t="s">
        <v>6268</v>
      </c>
      <c r="G3664">
        <v>2009965</v>
      </c>
      <c r="H3664" t="s">
        <v>84</v>
      </c>
      <c r="J3664" t="str">
        <f>"9780520961869"</f>
        <v>9780520961869</v>
      </c>
      <c r="K3664" t="s">
        <v>1651</v>
      </c>
      <c r="L3664">
        <v>11</v>
      </c>
      <c r="O3664" t="s">
        <v>30</v>
      </c>
      <c r="P3664" t="s">
        <v>50</v>
      </c>
      <c r="S3664" t="s">
        <v>31</v>
      </c>
      <c r="V3664" s="3">
        <v>42292</v>
      </c>
    </row>
    <row r="3665" spans="1:22" x14ac:dyDescent="0.35">
      <c r="A3665" s="1">
        <v>42325.662824074076</v>
      </c>
      <c r="B3665" s="2">
        <v>2.7060185185185187E-2</v>
      </c>
      <c r="C3665" t="s">
        <v>4205</v>
      </c>
      <c r="D3665" t="s">
        <v>597</v>
      </c>
      <c r="E3665" t="s">
        <v>598</v>
      </c>
      <c r="F3665" t="s">
        <v>111</v>
      </c>
      <c r="G3665">
        <v>693176</v>
      </c>
      <c r="H3665" t="s">
        <v>26</v>
      </c>
      <c r="I3665" t="s">
        <v>112</v>
      </c>
      <c r="J3665" t="str">
        <f>"9781118017746"</f>
        <v>9781118017746</v>
      </c>
      <c r="K3665" t="s">
        <v>6270</v>
      </c>
      <c r="L3665">
        <v>11</v>
      </c>
      <c r="O3665" t="s">
        <v>30</v>
      </c>
      <c r="P3665" t="s">
        <v>42</v>
      </c>
      <c r="S3665" t="s">
        <v>600</v>
      </c>
      <c r="T3665" t="s">
        <v>114</v>
      </c>
      <c r="U3665" t="s">
        <v>115</v>
      </c>
      <c r="V3665" s="3">
        <v>40835</v>
      </c>
    </row>
    <row r="3666" spans="1:22" x14ac:dyDescent="0.35">
      <c r="A3666" s="1">
        <v>42325.645729166667</v>
      </c>
      <c r="B3666" s="2">
        <v>2.4305555555555552E-4</v>
      </c>
      <c r="C3666" t="s">
        <v>6271</v>
      </c>
      <c r="D3666" t="s">
        <v>23</v>
      </c>
      <c r="E3666" t="s">
        <v>24</v>
      </c>
      <c r="F3666" t="s">
        <v>1051</v>
      </c>
      <c r="G3666">
        <v>821663</v>
      </c>
      <c r="H3666" t="s">
        <v>26</v>
      </c>
      <c r="I3666" t="s">
        <v>200</v>
      </c>
      <c r="J3666" t="str">
        <f>"9781118168479"</f>
        <v>9781118168479</v>
      </c>
      <c r="K3666" t="s">
        <v>2956</v>
      </c>
      <c r="L3666">
        <v>3</v>
      </c>
      <c r="O3666" t="s">
        <v>30</v>
      </c>
      <c r="P3666" t="s">
        <v>42</v>
      </c>
      <c r="S3666" t="s">
        <v>31</v>
      </c>
      <c r="T3666" t="s">
        <v>1053</v>
      </c>
      <c r="U3666">
        <v>729</v>
      </c>
      <c r="V3666" s="3">
        <v>40973</v>
      </c>
    </row>
    <row r="3667" spans="1:22" x14ac:dyDescent="0.35">
      <c r="A3667" s="1">
        <v>42325.640729166669</v>
      </c>
      <c r="B3667" s="2">
        <v>4.0659722222222222E-2</v>
      </c>
      <c r="C3667" t="s">
        <v>106</v>
      </c>
      <c r="D3667" t="s">
        <v>23</v>
      </c>
      <c r="E3667" t="s">
        <v>24</v>
      </c>
      <c r="F3667" t="s">
        <v>1051</v>
      </c>
      <c r="G3667">
        <v>821663</v>
      </c>
      <c r="H3667" t="s">
        <v>26</v>
      </c>
      <c r="I3667" t="s">
        <v>200</v>
      </c>
      <c r="J3667" t="str">
        <f>"9781118168479"</f>
        <v>9781118168479</v>
      </c>
      <c r="K3667" t="s">
        <v>6272</v>
      </c>
      <c r="L3667">
        <v>33</v>
      </c>
      <c r="O3667" t="s">
        <v>30</v>
      </c>
      <c r="P3667" t="s">
        <v>29</v>
      </c>
      <c r="Q3667" s="1">
        <v>42325.113796296297</v>
      </c>
      <c r="R3667">
        <v>7</v>
      </c>
      <c r="S3667" t="s">
        <v>31</v>
      </c>
      <c r="T3667" t="s">
        <v>1053</v>
      </c>
      <c r="U3667">
        <v>729</v>
      </c>
      <c r="V3667" s="3">
        <v>40973</v>
      </c>
    </row>
    <row r="3668" spans="1:22" x14ac:dyDescent="0.35">
      <c r="A3668" s="1">
        <v>42325.627569444441</v>
      </c>
      <c r="B3668" s="2">
        <v>2.1377314814814818E-2</v>
      </c>
      <c r="C3668" t="s">
        <v>6066</v>
      </c>
      <c r="D3668" t="s">
        <v>23</v>
      </c>
      <c r="E3668" t="s">
        <v>24</v>
      </c>
      <c r="F3668" t="s">
        <v>5248</v>
      </c>
      <c r="G3668">
        <v>1120538</v>
      </c>
      <c r="H3668" t="s">
        <v>613</v>
      </c>
      <c r="I3668" t="s">
        <v>661</v>
      </c>
      <c r="J3668" t="str">
        <f>"9781469608082"</f>
        <v>9781469608082</v>
      </c>
      <c r="K3668" t="s">
        <v>6273</v>
      </c>
      <c r="L3668">
        <v>13</v>
      </c>
      <c r="O3668" t="s">
        <v>30</v>
      </c>
      <c r="P3668" t="s">
        <v>47</v>
      </c>
      <c r="Q3668" s="1">
        <v>42324.908634259256</v>
      </c>
      <c r="R3668">
        <v>1</v>
      </c>
      <c r="S3668" t="s">
        <v>31</v>
      </c>
      <c r="T3668" t="s">
        <v>5249</v>
      </c>
      <c r="U3668">
        <v>599.77309700000001</v>
      </c>
      <c r="V3668" s="3">
        <v>41417</v>
      </c>
    </row>
    <row r="3669" spans="1:22" x14ac:dyDescent="0.35">
      <c r="A3669" s="1">
        <v>42325.620127314818</v>
      </c>
      <c r="B3669" s="2">
        <v>2.6122685185185183E-2</v>
      </c>
      <c r="C3669" t="s">
        <v>4681</v>
      </c>
      <c r="D3669" t="s">
        <v>1222</v>
      </c>
      <c r="E3669" t="s">
        <v>1223</v>
      </c>
      <c r="F3669" t="s">
        <v>3263</v>
      </c>
      <c r="G3669">
        <v>1840835</v>
      </c>
      <c r="H3669" t="s">
        <v>26</v>
      </c>
      <c r="I3669" t="s">
        <v>108</v>
      </c>
      <c r="J3669" t="str">
        <f>"9781118950166"</f>
        <v>9781118950166</v>
      </c>
      <c r="K3669" t="s">
        <v>6274</v>
      </c>
      <c r="L3669">
        <v>75</v>
      </c>
      <c r="O3669" t="s">
        <v>30</v>
      </c>
      <c r="P3669" t="s">
        <v>29</v>
      </c>
      <c r="Q3669" s="1">
        <v>42325.145636574074</v>
      </c>
      <c r="R3669">
        <v>7</v>
      </c>
      <c r="S3669" t="s">
        <v>1226</v>
      </c>
      <c r="T3669" t="s">
        <v>3264</v>
      </c>
      <c r="U3669">
        <v>338.10923789999998</v>
      </c>
      <c r="V3669" s="3">
        <v>41953</v>
      </c>
    </row>
    <row r="3670" spans="1:22" x14ac:dyDescent="0.35">
      <c r="A3670" s="1">
        <v>42325.615300925929</v>
      </c>
      <c r="B3670" s="2">
        <v>1.1574074074074073E-5</v>
      </c>
      <c r="C3670" t="s">
        <v>6275</v>
      </c>
      <c r="D3670" t="s">
        <v>23</v>
      </c>
      <c r="E3670" t="s">
        <v>24</v>
      </c>
      <c r="F3670" t="s">
        <v>1051</v>
      </c>
      <c r="G3670">
        <v>821663</v>
      </c>
      <c r="H3670" t="s">
        <v>26</v>
      </c>
      <c r="I3670" t="s">
        <v>200</v>
      </c>
      <c r="J3670" t="str">
        <f>"9781118168479"</f>
        <v>9781118168479</v>
      </c>
      <c r="K3670" t="s">
        <v>6276</v>
      </c>
      <c r="L3670">
        <v>3</v>
      </c>
      <c r="O3670" t="s">
        <v>30</v>
      </c>
      <c r="P3670" t="s">
        <v>29</v>
      </c>
      <c r="Q3670" s="1">
        <v>42325.615300925929</v>
      </c>
      <c r="R3670">
        <v>7</v>
      </c>
      <c r="S3670" t="s">
        <v>31</v>
      </c>
      <c r="T3670" t="s">
        <v>1053</v>
      </c>
      <c r="U3670">
        <v>729</v>
      </c>
      <c r="V3670" s="3">
        <v>40973</v>
      </c>
    </row>
    <row r="3671" spans="1:22" x14ac:dyDescent="0.35">
      <c r="A3671" s="1">
        <v>42325.607974537037</v>
      </c>
      <c r="B3671" s="2">
        <v>7.3263888888888892E-3</v>
      </c>
      <c r="C3671" t="s">
        <v>6275</v>
      </c>
      <c r="D3671" t="s">
        <v>23</v>
      </c>
      <c r="E3671" t="s">
        <v>24</v>
      </c>
      <c r="F3671" t="s">
        <v>1051</v>
      </c>
      <c r="G3671">
        <v>821663</v>
      </c>
      <c r="H3671" t="s">
        <v>26</v>
      </c>
      <c r="I3671" t="s">
        <v>200</v>
      </c>
      <c r="J3671" t="str">
        <f>"9781118168479"</f>
        <v>9781118168479</v>
      </c>
      <c r="K3671" t="s">
        <v>6277</v>
      </c>
      <c r="L3671">
        <v>36</v>
      </c>
      <c r="O3671" t="s">
        <v>30</v>
      </c>
      <c r="P3671" t="s">
        <v>42</v>
      </c>
      <c r="S3671" t="s">
        <v>31</v>
      </c>
      <c r="T3671" t="s">
        <v>1053</v>
      </c>
      <c r="U3671">
        <v>729</v>
      </c>
      <c r="V3671" s="3">
        <v>40973</v>
      </c>
    </row>
    <row r="3672" spans="1:22" x14ac:dyDescent="0.35">
      <c r="A3672" s="1">
        <v>42325.606747685182</v>
      </c>
      <c r="B3672" s="2">
        <v>1.3043981481481483E-2</v>
      </c>
      <c r="C3672" t="s">
        <v>6066</v>
      </c>
      <c r="D3672" t="s">
        <v>23</v>
      </c>
      <c r="E3672" t="s">
        <v>24</v>
      </c>
      <c r="F3672" t="s">
        <v>5248</v>
      </c>
      <c r="G3672">
        <v>1120538</v>
      </c>
      <c r="H3672" t="s">
        <v>613</v>
      </c>
      <c r="I3672" t="s">
        <v>661</v>
      </c>
      <c r="J3672" t="str">
        <f>"9781469608082"</f>
        <v>9781469608082</v>
      </c>
      <c r="K3672" t="s">
        <v>6278</v>
      </c>
      <c r="L3672">
        <v>20</v>
      </c>
      <c r="O3672" t="s">
        <v>30</v>
      </c>
      <c r="P3672" t="s">
        <v>47</v>
      </c>
      <c r="Q3672" s="1">
        <v>42324.908634259256</v>
      </c>
      <c r="R3672">
        <v>1</v>
      </c>
      <c r="S3672" t="s">
        <v>31</v>
      </c>
      <c r="T3672" t="s">
        <v>5249</v>
      </c>
      <c r="U3672">
        <v>599.77309700000001</v>
      </c>
      <c r="V3672" s="3">
        <v>41417</v>
      </c>
    </row>
    <row r="3673" spans="1:22" x14ac:dyDescent="0.35">
      <c r="A3673" s="1">
        <v>42325.603182870371</v>
      </c>
      <c r="B3673" s="2">
        <v>3.3680555555555551E-3</v>
      </c>
      <c r="C3673" t="s">
        <v>2701</v>
      </c>
      <c r="D3673" t="s">
        <v>35</v>
      </c>
      <c r="E3673" t="s">
        <v>36</v>
      </c>
      <c r="F3673" t="s">
        <v>6279</v>
      </c>
      <c r="G3673">
        <v>3038555</v>
      </c>
      <c r="H3673" t="s">
        <v>526</v>
      </c>
      <c r="I3673" t="s">
        <v>120</v>
      </c>
      <c r="J3673" t="str">
        <f>"9780226136851"</f>
        <v>9780226136851</v>
      </c>
      <c r="K3673" t="s">
        <v>6280</v>
      </c>
      <c r="L3673">
        <v>43</v>
      </c>
      <c r="O3673" t="s">
        <v>30</v>
      </c>
      <c r="P3673" t="s">
        <v>47</v>
      </c>
      <c r="Q3673" s="1">
        <v>42325.603182870371</v>
      </c>
      <c r="R3673">
        <v>1</v>
      </c>
      <c r="S3673" t="s">
        <v>40</v>
      </c>
      <c r="T3673" t="s">
        <v>6281</v>
      </c>
      <c r="U3673" t="s">
        <v>6282</v>
      </c>
      <c r="V3673" s="3">
        <v>41760</v>
      </c>
    </row>
    <row r="3674" spans="1:22" x14ac:dyDescent="0.35">
      <c r="A3674" s="1">
        <v>42325.569791666669</v>
      </c>
      <c r="B3674" s="2">
        <v>3.3391203703703708E-2</v>
      </c>
      <c r="C3674" t="s">
        <v>2701</v>
      </c>
      <c r="D3674" t="s">
        <v>35</v>
      </c>
      <c r="E3674" t="s">
        <v>36</v>
      </c>
      <c r="F3674" t="s">
        <v>6279</v>
      </c>
      <c r="G3674">
        <v>3038555</v>
      </c>
      <c r="H3674" t="s">
        <v>526</v>
      </c>
      <c r="I3674" t="s">
        <v>120</v>
      </c>
      <c r="J3674" t="str">
        <f>"9780226136851"</f>
        <v>9780226136851</v>
      </c>
      <c r="K3674" t="s">
        <v>6283</v>
      </c>
      <c r="L3674">
        <v>26</v>
      </c>
      <c r="O3674" t="s">
        <v>30</v>
      </c>
      <c r="P3674" t="s">
        <v>50</v>
      </c>
      <c r="S3674" t="s">
        <v>40</v>
      </c>
      <c r="T3674" t="s">
        <v>6281</v>
      </c>
      <c r="U3674" t="s">
        <v>6282</v>
      </c>
      <c r="V3674" s="3">
        <v>41760</v>
      </c>
    </row>
    <row r="3675" spans="1:22" x14ac:dyDescent="0.35">
      <c r="A3675" s="1">
        <v>42325.568749999999</v>
      </c>
      <c r="B3675" s="2">
        <v>1.3344907407407408E-2</v>
      </c>
      <c r="C3675" t="s">
        <v>5887</v>
      </c>
      <c r="D3675" t="s">
        <v>23</v>
      </c>
      <c r="E3675" t="s">
        <v>24</v>
      </c>
      <c r="F3675" t="s">
        <v>1051</v>
      </c>
      <c r="G3675">
        <v>821663</v>
      </c>
      <c r="H3675" t="s">
        <v>26</v>
      </c>
      <c r="I3675" t="s">
        <v>200</v>
      </c>
      <c r="J3675" t="str">
        <f>"9781118168479"</f>
        <v>9781118168479</v>
      </c>
      <c r="K3675" t="s">
        <v>6284</v>
      </c>
      <c r="L3675">
        <v>24</v>
      </c>
      <c r="O3675" t="s">
        <v>30</v>
      </c>
      <c r="P3675" t="s">
        <v>29</v>
      </c>
      <c r="Q3675" s="1">
        <v>42325.568749999999</v>
      </c>
      <c r="R3675">
        <v>7</v>
      </c>
      <c r="S3675" t="s">
        <v>31</v>
      </c>
      <c r="T3675" t="s">
        <v>1053</v>
      </c>
      <c r="U3675">
        <v>729</v>
      </c>
      <c r="V3675" s="3">
        <v>40973</v>
      </c>
    </row>
    <row r="3676" spans="1:22" x14ac:dyDescent="0.35">
      <c r="A3676" s="1">
        <v>42325.560520833336</v>
      </c>
      <c r="B3676" s="2">
        <v>8.2291666666666659E-3</v>
      </c>
      <c r="C3676" t="s">
        <v>5887</v>
      </c>
      <c r="D3676" t="s">
        <v>23</v>
      </c>
      <c r="E3676" t="s">
        <v>24</v>
      </c>
      <c r="F3676" t="s">
        <v>1051</v>
      </c>
      <c r="G3676">
        <v>821663</v>
      </c>
      <c r="H3676" t="s">
        <v>26</v>
      </c>
      <c r="I3676" t="s">
        <v>200</v>
      </c>
      <c r="J3676" t="str">
        <f>"9781118168479"</f>
        <v>9781118168479</v>
      </c>
      <c r="K3676" t="s">
        <v>6285</v>
      </c>
      <c r="L3676">
        <v>19</v>
      </c>
      <c r="O3676" t="s">
        <v>30</v>
      </c>
      <c r="P3676" t="s">
        <v>42</v>
      </c>
      <c r="S3676" t="s">
        <v>31</v>
      </c>
      <c r="T3676" t="s">
        <v>1053</v>
      </c>
      <c r="U3676">
        <v>729</v>
      </c>
      <c r="V3676" s="3">
        <v>40973</v>
      </c>
    </row>
    <row r="3677" spans="1:22" x14ac:dyDescent="0.35">
      <c r="A3677" s="1">
        <v>42325.552812499998</v>
      </c>
      <c r="B3677" s="2">
        <v>6.8217592592592594E-2</v>
      </c>
      <c r="C3677" t="s">
        <v>4717</v>
      </c>
      <c r="D3677" t="s">
        <v>1222</v>
      </c>
      <c r="E3677" t="s">
        <v>1223</v>
      </c>
      <c r="F3677" t="s">
        <v>3263</v>
      </c>
      <c r="G3677">
        <v>1840835</v>
      </c>
      <c r="H3677" t="s">
        <v>26</v>
      </c>
      <c r="I3677" t="s">
        <v>108</v>
      </c>
      <c r="J3677" t="str">
        <f>"9781118950166"</f>
        <v>9781118950166</v>
      </c>
      <c r="K3677" t="s">
        <v>6286</v>
      </c>
      <c r="L3677">
        <v>92</v>
      </c>
      <c r="O3677" t="s">
        <v>30</v>
      </c>
      <c r="P3677" t="s">
        <v>29</v>
      </c>
      <c r="Q3677" s="1">
        <v>42325.552812499998</v>
      </c>
      <c r="R3677">
        <v>7</v>
      </c>
      <c r="S3677" t="s">
        <v>1226</v>
      </c>
      <c r="T3677" t="s">
        <v>3264</v>
      </c>
      <c r="U3677">
        <v>338.10923789999998</v>
      </c>
      <c r="V3677" s="3">
        <v>41953</v>
      </c>
    </row>
    <row r="3678" spans="1:22" x14ac:dyDescent="0.35">
      <c r="A3678" s="1">
        <v>42325.543043981481</v>
      </c>
      <c r="B3678" s="2">
        <v>9.7685185185185184E-3</v>
      </c>
      <c r="C3678" t="s">
        <v>4717</v>
      </c>
      <c r="D3678" t="s">
        <v>1222</v>
      </c>
      <c r="E3678" t="s">
        <v>1223</v>
      </c>
      <c r="F3678" t="s">
        <v>3263</v>
      </c>
      <c r="G3678">
        <v>1840835</v>
      </c>
      <c r="H3678" t="s">
        <v>26</v>
      </c>
      <c r="I3678" t="s">
        <v>108</v>
      </c>
      <c r="J3678" t="str">
        <f>"9781118950166"</f>
        <v>9781118950166</v>
      </c>
      <c r="K3678" t="s">
        <v>6287</v>
      </c>
      <c r="L3678">
        <v>12</v>
      </c>
      <c r="O3678" t="s">
        <v>30</v>
      </c>
      <c r="P3678" t="s">
        <v>42</v>
      </c>
      <c r="S3678" t="s">
        <v>1226</v>
      </c>
      <c r="T3678" t="s">
        <v>3264</v>
      </c>
      <c r="U3678">
        <v>338.10923789999998</v>
      </c>
      <c r="V3678" s="3">
        <v>41953</v>
      </c>
    </row>
    <row r="3679" spans="1:22" x14ac:dyDescent="0.35">
      <c r="A3679" s="1">
        <v>42325.530335648145</v>
      </c>
      <c r="B3679" s="2">
        <v>3.9479166666666669E-2</v>
      </c>
      <c r="C3679" t="s">
        <v>6288</v>
      </c>
      <c r="D3679" t="s">
        <v>23</v>
      </c>
      <c r="E3679" t="s">
        <v>24</v>
      </c>
      <c r="F3679" t="s">
        <v>486</v>
      </c>
      <c r="G3679">
        <v>1119505</v>
      </c>
      <c r="H3679" t="s">
        <v>26</v>
      </c>
      <c r="I3679" t="s">
        <v>450</v>
      </c>
      <c r="J3679" t="str">
        <f>"9781118355015"</f>
        <v>9781118355015</v>
      </c>
      <c r="K3679" t="s">
        <v>6289</v>
      </c>
      <c r="L3679">
        <v>11</v>
      </c>
      <c r="O3679" t="s">
        <v>30</v>
      </c>
      <c r="P3679" t="s">
        <v>29</v>
      </c>
      <c r="Q3679" s="1">
        <v>42325.014525462961</v>
      </c>
      <c r="R3679">
        <v>7</v>
      </c>
      <c r="S3679" t="s">
        <v>31</v>
      </c>
      <c r="T3679" t="s">
        <v>487</v>
      </c>
      <c r="U3679" t="s">
        <v>488</v>
      </c>
      <c r="V3679" s="3">
        <v>41302</v>
      </c>
    </row>
    <row r="3680" spans="1:22" x14ac:dyDescent="0.35">
      <c r="A3680" s="1">
        <v>42325.508171296293</v>
      </c>
      <c r="B3680" s="2">
        <v>5.1493055555555556E-2</v>
      </c>
      <c r="C3680" t="s">
        <v>2701</v>
      </c>
      <c r="D3680" t="s">
        <v>35</v>
      </c>
      <c r="E3680" t="s">
        <v>36</v>
      </c>
      <c r="F3680" t="s">
        <v>3271</v>
      </c>
      <c r="G3680">
        <v>1895714</v>
      </c>
      <c r="H3680" t="s">
        <v>26</v>
      </c>
      <c r="I3680" t="s">
        <v>172</v>
      </c>
      <c r="J3680" t="str">
        <f>"9781118896112"</f>
        <v>9781118896112</v>
      </c>
      <c r="K3680" t="s">
        <v>6290</v>
      </c>
      <c r="L3680">
        <v>81</v>
      </c>
      <c r="O3680" t="s">
        <v>30</v>
      </c>
      <c r="P3680" t="s">
        <v>29</v>
      </c>
      <c r="Q3680" s="1">
        <v>42325.113194444442</v>
      </c>
      <c r="R3680">
        <v>7</v>
      </c>
      <c r="S3680" t="s">
        <v>40</v>
      </c>
      <c r="T3680" t="s">
        <v>3273</v>
      </c>
      <c r="U3680">
        <v>932</v>
      </c>
      <c r="V3680" s="3">
        <v>42011</v>
      </c>
    </row>
    <row r="3681" spans="1:22" x14ac:dyDescent="0.35">
      <c r="A3681" s="1">
        <v>42325.380393518521</v>
      </c>
      <c r="B3681" s="2">
        <v>2.0254629629629629E-3</v>
      </c>
      <c r="C3681" t="s">
        <v>106</v>
      </c>
      <c r="D3681" t="s">
        <v>23</v>
      </c>
      <c r="E3681" t="s">
        <v>24</v>
      </c>
      <c r="F3681" t="s">
        <v>1051</v>
      </c>
      <c r="G3681">
        <v>821663</v>
      </c>
      <c r="H3681" t="s">
        <v>26</v>
      </c>
      <c r="I3681" t="s">
        <v>200</v>
      </c>
      <c r="J3681" t="str">
        <f>"9781118168479"</f>
        <v>9781118168479</v>
      </c>
      <c r="K3681" t="s">
        <v>6291</v>
      </c>
      <c r="L3681">
        <v>16</v>
      </c>
      <c r="O3681" t="s">
        <v>30</v>
      </c>
      <c r="P3681" t="s">
        <v>29</v>
      </c>
      <c r="Q3681" s="1">
        <v>42325.113796296297</v>
      </c>
      <c r="R3681">
        <v>7</v>
      </c>
      <c r="S3681" t="s">
        <v>31</v>
      </c>
      <c r="T3681" t="s">
        <v>1053</v>
      </c>
      <c r="U3681">
        <v>729</v>
      </c>
      <c r="V3681" s="3">
        <v>40973</v>
      </c>
    </row>
    <row r="3682" spans="1:22" x14ac:dyDescent="0.35">
      <c r="A3682" s="1">
        <v>42325.378125000003</v>
      </c>
      <c r="B3682" s="2">
        <v>0</v>
      </c>
      <c r="C3682" t="s">
        <v>349</v>
      </c>
      <c r="D3682" t="s">
        <v>23</v>
      </c>
      <c r="E3682" t="s">
        <v>24</v>
      </c>
      <c r="F3682" t="s">
        <v>6292</v>
      </c>
      <c r="G3682">
        <v>4038033</v>
      </c>
      <c r="H3682" t="s">
        <v>26</v>
      </c>
      <c r="I3682" t="s">
        <v>3936</v>
      </c>
      <c r="J3682" t="str">
        <f>"9781118715567"</f>
        <v>9781118715567</v>
      </c>
      <c r="L3682">
        <v>0</v>
      </c>
      <c r="O3682" t="s">
        <v>28</v>
      </c>
      <c r="P3682" t="s">
        <v>47</v>
      </c>
      <c r="Q3682" s="1">
        <v>42325.378125000003</v>
      </c>
      <c r="R3682">
        <v>1</v>
      </c>
      <c r="S3682" t="s">
        <v>31</v>
      </c>
      <c r="T3682" t="s">
        <v>6293</v>
      </c>
      <c r="U3682">
        <v>5.55</v>
      </c>
      <c r="V3682" s="3">
        <v>41639</v>
      </c>
    </row>
    <row r="3683" spans="1:22" x14ac:dyDescent="0.35">
      <c r="A3683" s="1">
        <v>42325.378125000003</v>
      </c>
      <c r="B3683" s="2">
        <v>0</v>
      </c>
      <c r="C3683" t="s">
        <v>349</v>
      </c>
      <c r="D3683" t="s">
        <v>23</v>
      </c>
      <c r="E3683" t="s">
        <v>24</v>
      </c>
      <c r="F3683" t="s">
        <v>6292</v>
      </c>
      <c r="G3683">
        <v>4038033</v>
      </c>
      <c r="H3683" t="s">
        <v>26</v>
      </c>
      <c r="I3683" t="s">
        <v>3936</v>
      </c>
      <c r="J3683" t="str">
        <f>"9781118715567"</f>
        <v>9781118715567</v>
      </c>
      <c r="L3683">
        <v>0</v>
      </c>
      <c r="O3683" t="s">
        <v>30</v>
      </c>
      <c r="P3683" t="s">
        <v>47</v>
      </c>
      <c r="Q3683" s="1">
        <v>42325.378125000003</v>
      </c>
      <c r="R3683">
        <v>1</v>
      </c>
      <c r="S3683" t="s">
        <v>31</v>
      </c>
      <c r="T3683" t="s">
        <v>6293</v>
      </c>
      <c r="U3683">
        <v>5.55</v>
      </c>
      <c r="V3683" s="3">
        <v>41639</v>
      </c>
    </row>
    <row r="3684" spans="1:22" x14ac:dyDescent="0.35">
      <c r="A3684" s="1">
        <v>42325.37771990741</v>
      </c>
      <c r="B3684" s="2">
        <v>4.0509259259259258E-4</v>
      </c>
      <c r="C3684" t="s">
        <v>349</v>
      </c>
      <c r="D3684" t="s">
        <v>23</v>
      </c>
      <c r="E3684" t="s">
        <v>24</v>
      </c>
      <c r="F3684" t="s">
        <v>6292</v>
      </c>
      <c r="G3684">
        <v>4038033</v>
      </c>
      <c r="H3684" t="s">
        <v>26</v>
      </c>
      <c r="I3684" t="s">
        <v>3936</v>
      </c>
      <c r="J3684" t="str">
        <f>"9781118715567"</f>
        <v>9781118715567</v>
      </c>
      <c r="K3684" t="s">
        <v>33</v>
      </c>
      <c r="L3684">
        <v>3</v>
      </c>
      <c r="O3684" t="s">
        <v>30</v>
      </c>
      <c r="P3684" t="s">
        <v>50</v>
      </c>
      <c r="S3684" t="s">
        <v>31</v>
      </c>
      <c r="T3684" t="s">
        <v>6293</v>
      </c>
      <c r="U3684">
        <v>5.55</v>
      </c>
      <c r="V3684" s="3">
        <v>41639</v>
      </c>
    </row>
    <row r="3685" spans="1:22" x14ac:dyDescent="0.35">
      <c r="A3685" s="1">
        <v>42325.376296296294</v>
      </c>
      <c r="B3685" s="2">
        <v>0</v>
      </c>
      <c r="C3685" t="s">
        <v>349</v>
      </c>
      <c r="D3685" t="s">
        <v>23</v>
      </c>
      <c r="E3685" t="s">
        <v>24</v>
      </c>
      <c r="F3685" t="s">
        <v>6294</v>
      </c>
      <c r="G3685">
        <v>1487208</v>
      </c>
      <c r="H3685" t="s">
        <v>68</v>
      </c>
      <c r="I3685" t="s">
        <v>69</v>
      </c>
      <c r="J3685" t="str">
        <f>"9781317966531"</f>
        <v>9781317966531</v>
      </c>
      <c r="L3685">
        <v>0</v>
      </c>
      <c r="O3685" t="s">
        <v>28</v>
      </c>
      <c r="P3685" t="s">
        <v>47</v>
      </c>
      <c r="Q3685" s="1">
        <v>42325.376296296294</v>
      </c>
      <c r="R3685">
        <v>1</v>
      </c>
      <c r="S3685" t="s">
        <v>31</v>
      </c>
      <c r="U3685">
        <v>370.1</v>
      </c>
      <c r="V3685" s="3">
        <v>41565</v>
      </c>
    </row>
    <row r="3686" spans="1:22" x14ac:dyDescent="0.35">
      <c r="A3686" s="1">
        <v>42325.376296296294</v>
      </c>
      <c r="B3686" s="2">
        <v>0</v>
      </c>
      <c r="C3686" t="s">
        <v>349</v>
      </c>
      <c r="D3686" t="s">
        <v>23</v>
      </c>
      <c r="E3686" t="s">
        <v>24</v>
      </c>
      <c r="F3686" t="s">
        <v>6294</v>
      </c>
      <c r="G3686">
        <v>1487208</v>
      </c>
      <c r="H3686" t="s">
        <v>68</v>
      </c>
      <c r="I3686" t="s">
        <v>69</v>
      </c>
      <c r="J3686" t="str">
        <f>"9781317966531"</f>
        <v>9781317966531</v>
      </c>
      <c r="L3686">
        <v>0</v>
      </c>
      <c r="O3686" t="s">
        <v>30</v>
      </c>
      <c r="P3686" t="s">
        <v>47</v>
      </c>
      <c r="Q3686" s="1">
        <v>42325.376296296294</v>
      </c>
      <c r="R3686">
        <v>1</v>
      </c>
      <c r="S3686" t="s">
        <v>31</v>
      </c>
      <c r="U3686">
        <v>370.1</v>
      </c>
      <c r="V3686" s="3">
        <v>41565</v>
      </c>
    </row>
    <row r="3687" spans="1:22" x14ac:dyDescent="0.35">
      <c r="A3687" s="1">
        <v>42325.375960648147</v>
      </c>
      <c r="B3687" s="2">
        <v>3.3564814814814812E-4</v>
      </c>
      <c r="C3687" t="s">
        <v>349</v>
      </c>
      <c r="D3687" t="s">
        <v>23</v>
      </c>
      <c r="E3687" t="s">
        <v>24</v>
      </c>
      <c r="F3687" t="s">
        <v>6294</v>
      </c>
      <c r="G3687">
        <v>1487208</v>
      </c>
      <c r="H3687" t="s">
        <v>68</v>
      </c>
      <c r="I3687" t="s">
        <v>69</v>
      </c>
      <c r="J3687" t="str">
        <f>"9781317966531"</f>
        <v>9781317966531</v>
      </c>
      <c r="K3687" t="s">
        <v>209</v>
      </c>
      <c r="L3687">
        <v>4</v>
      </c>
      <c r="O3687" t="s">
        <v>30</v>
      </c>
      <c r="P3687" t="s">
        <v>50</v>
      </c>
      <c r="S3687" t="s">
        <v>31</v>
      </c>
      <c r="U3687">
        <v>370.1</v>
      </c>
      <c r="V3687" s="3">
        <v>41565</v>
      </c>
    </row>
    <row r="3688" spans="1:22" x14ac:dyDescent="0.35">
      <c r="A3688" s="1">
        <v>42325.258587962962</v>
      </c>
      <c r="B3688" s="2">
        <v>1.7592592592592592E-3</v>
      </c>
      <c r="C3688" t="s">
        <v>3223</v>
      </c>
      <c r="D3688" t="s">
        <v>23</v>
      </c>
      <c r="E3688" t="s">
        <v>24</v>
      </c>
      <c r="F3688" t="s">
        <v>3224</v>
      </c>
      <c r="G3688">
        <v>1882107</v>
      </c>
      <c r="H3688" t="s">
        <v>84</v>
      </c>
      <c r="I3688" t="s">
        <v>998</v>
      </c>
      <c r="J3688" t="str">
        <f>"9780520961593"</f>
        <v>9780520961593</v>
      </c>
      <c r="K3688" t="s">
        <v>6295</v>
      </c>
      <c r="L3688">
        <v>23</v>
      </c>
      <c r="O3688" t="s">
        <v>30</v>
      </c>
      <c r="P3688" t="s">
        <v>50</v>
      </c>
      <c r="S3688" t="s">
        <v>31</v>
      </c>
      <c r="T3688" t="s">
        <v>3226</v>
      </c>
      <c r="U3688">
        <v>952.03099999999995</v>
      </c>
      <c r="V3688" s="3">
        <v>42164</v>
      </c>
    </row>
    <row r="3689" spans="1:22" x14ac:dyDescent="0.35">
      <c r="A3689" s="1">
        <v>42325.248819444445</v>
      </c>
      <c r="B3689" s="2">
        <v>0</v>
      </c>
      <c r="C3689" t="s">
        <v>5826</v>
      </c>
      <c r="D3689" t="s">
        <v>23</v>
      </c>
      <c r="E3689" t="s">
        <v>24</v>
      </c>
      <c r="F3689" t="s">
        <v>3973</v>
      </c>
      <c r="G3689">
        <v>771049</v>
      </c>
      <c r="H3689" t="s">
        <v>3465</v>
      </c>
      <c r="I3689" t="s">
        <v>3974</v>
      </c>
      <c r="J3689" t="str">
        <f>"9781608706648"</f>
        <v>9781608706648</v>
      </c>
      <c r="L3689">
        <v>0</v>
      </c>
      <c r="O3689" t="s">
        <v>30</v>
      </c>
      <c r="P3689" t="s">
        <v>42</v>
      </c>
      <c r="S3689" t="s">
        <v>31</v>
      </c>
      <c r="T3689" t="s">
        <v>3976</v>
      </c>
      <c r="U3689">
        <v>363.73874000000001</v>
      </c>
      <c r="V3689" s="3">
        <v>40909</v>
      </c>
    </row>
    <row r="3690" spans="1:22" x14ac:dyDescent="0.35">
      <c r="A3690" s="1">
        <v>42325.237569444442</v>
      </c>
      <c r="B3690" s="2">
        <v>0.13159722222222223</v>
      </c>
      <c r="C3690" t="s">
        <v>106</v>
      </c>
      <c r="D3690" t="s">
        <v>23</v>
      </c>
      <c r="E3690" t="s">
        <v>24</v>
      </c>
      <c r="F3690" t="s">
        <v>1051</v>
      </c>
      <c r="G3690">
        <v>821663</v>
      </c>
      <c r="H3690" t="s">
        <v>26</v>
      </c>
      <c r="I3690" t="s">
        <v>200</v>
      </c>
      <c r="J3690" t="str">
        <f>"9781118168479"</f>
        <v>9781118168479</v>
      </c>
      <c r="K3690" t="s">
        <v>6296</v>
      </c>
      <c r="L3690">
        <v>33</v>
      </c>
      <c r="O3690" t="s">
        <v>30</v>
      </c>
      <c r="P3690" t="s">
        <v>29</v>
      </c>
      <c r="Q3690" s="1">
        <v>42325.113796296297</v>
      </c>
      <c r="R3690">
        <v>7</v>
      </c>
      <c r="S3690" t="s">
        <v>31</v>
      </c>
      <c r="T3690" t="s">
        <v>1053</v>
      </c>
      <c r="U3690">
        <v>729</v>
      </c>
      <c r="V3690" s="3">
        <v>40973</v>
      </c>
    </row>
    <row r="3691" spans="1:22" x14ac:dyDescent="0.35">
      <c r="A3691" s="1">
        <v>42325.234618055554</v>
      </c>
      <c r="B3691" s="2">
        <v>1.1574074074074073E-5</v>
      </c>
      <c r="C3691" t="s">
        <v>6297</v>
      </c>
      <c r="D3691" t="s">
        <v>23</v>
      </c>
      <c r="E3691" t="s">
        <v>24</v>
      </c>
      <c r="F3691" t="s">
        <v>3037</v>
      </c>
      <c r="G3691">
        <v>836624</v>
      </c>
      <c r="H3691" t="s">
        <v>26</v>
      </c>
      <c r="I3691" t="s">
        <v>1650</v>
      </c>
      <c r="J3691" t="str">
        <f>"9781118346686"</f>
        <v>9781118346686</v>
      </c>
      <c r="K3691" t="s">
        <v>6298</v>
      </c>
      <c r="L3691">
        <v>1</v>
      </c>
      <c r="O3691" t="s">
        <v>30</v>
      </c>
      <c r="P3691" t="s">
        <v>29</v>
      </c>
      <c r="Q3691" s="1">
        <v>42325.234618055554</v>
      </c>
      <c r="R3691">
        <v>7</v>
      </c>
      <c r="S3691" t="s">
        <v>31</v>
      </c>
      <c r="T3691" t="s">
        <v>3039</v>
      </c>
      <c r="U3691">
        <v>741.59730000000002</v>
      </c>
      <c r="V3691" s="3">
        <v>40969</v>
      </c>
    </row>
    <row r="3692" spans="1:22" x14ac:dyDescent="0.35">
      <c r="A3692" s="1">
        <v>42325.227430555555</v>
      </c>
      <c r="B3692" s="2">
        <v>7.1874999999999994E-3</v>
      </c>
      <c r="C3692" t="s">
        <v>6297</v>
      </c>
      <c r="D3692" t="s">
        <v>23</v>
      </c>
      <c r="E3692" t="s">
        <v>24</v>
      </c>
      <c r="F3692" t="s">
        <v>3037</v>
      </c>
      <c r="G3692">
        <v>836624</v>
      </c>
      <c r="H3692" t="s">
        <v>26</v>
      </c>
      <c r="I3692" t="s">
        <v>1650</v>
      </c>
      <c r="J3692" t="str">
        <f>"9781118346686"</f>
        <v>9781118346686</v>
      </c>
      <c r="K3692" t="s">
        <v>6299</v>
      </c>
      <c r="L3692">
        <v>12</v>
      </c>
      <c r="O3692" t="s">
        <v>30</v>
      </c>
      <c r="P3692" t="s">
        <v>42</v>
      </c>
      <c r="S3692" t="s">
        <v>31</v>
      </c>
      <c r="T3692" t="s">
        <v>3039</v>
      </c>
      <c r="U3692">
        <v>741.59730000000002</v>
      </c>
      <c r="V3692" s="3">
        <v>40969</v>
      </c>
    </row>
    <row r="3693" spans="1:22" x14ac:dyDescent="0.35">
      <c r="A3693" s="1">
        <v>42325.221863425926</v>
      </c>
      <c r="B3693" s="2">
        <v>3.4606481481481485E-3</v>
      </c>
      <c r="C3693" t="s">
        <v>106</v>
      </c>
      <c r="D3693" t="s">
        <v>23</v>
      </c>
      <c r="E3693" t="s">
        <v>24</v>
      </c>
      <c r="F3693" t="s">
        <v>3037</v>
      </c>
      <c r="G3693">
        <v>836624</v>
      </c>
      <c r="H3693" t="s">
        <v>26</v>
      </c>
      <c r="I3693" t="s">
        <v>1650</v>
      </c>
      <c r="J3693" t="str">
        <f>"9781118346686"</f>
        <v>9781118346686</v>
      </c>
      <c r="K3693" t="s">
        <v>6300</v>
      </c>
      <c r="L3693">
        <v>13</v>
      </c>
      <c r="O3693" t="s">
        <v>30</v>
      </c>
      <c r="P3693" t="s">
        <v>29</v>
      </c>
      <c r="Q3693" s="1">
        <v>42325.193067129629</v>
      </c>
      <c r="R3693">
        <v>7</v>
      </c>
      <c r="S3693" t="s">
        <v>31</v>
      </c>
      <c r="T3693" t="s">
        <v>3039</v>
      </c>
      <c r="U3693">
        <v>741.59730000000002</v>
      </c>
      <c r="V3693" s="3">
        <v>40969</v>
      </c>
    </row>
    <row r="3694" spans="1:22" x14ac:dyDescent="0.35">
      <c r="A3694" s="1">
        <v>42325.204479166663</v>
      </c>
      <c r="B3694" s="2">
        <v>1.7071759259259259E-2</v>
      </c>
      <c r="C3694" t="s">
        <v>106</v>
      </c>
      <c r="D3694" t="s">
        <v>23</v>
      </c>
      <c r="E3694" t="s">
        <v>24</v>
      </c>
      <c r="F3694" t="s">
        <v>3037</v>
      </c>
      <c r="G3694">
        <v>836624</v>
      </c>
      <c r="H3694" t="s">
        <v>26</v>
      </c>
      <c r="I3694" t="s">
        <v>1650</v>
      </c>
      <c r="J3694" t="str">
        <f>"9781118346686"</f>
        <v>9781118346686</v>
      </c>
      <c r="K3694" t="s">
        <v>6301</v>
      </c>
      <c r="L3694">
        <v>12</v>
      </c>
      <c r="O3694" t="s">
        <v>30</v>
      </c>
      <c r="P3694" t="s">
        <v>29</v>
      </c>
      <c r="Q3694" s="1">
        <v>42325.193067129629</v>
      </c>
      <c r="R3694">
        <v>7</v>
      </c>
      <c r="S3694" t="s">
        <v>31</v>
      </c>
      <c r="T3694" t="s">
        <v>3039</v>
      </c>
      <c r="U3694">
        <v>741.59730000000002</v>
      </c>
      <c r="V3694" s="3">
        <v>40969</v>
      </c>
    </row>
    <row r="3695" spans="1:22" x14ac:dyDescent="0.35">
      <c r="A3695" s="1">
        <v>42325.202199074076</v>
      </c>
      <c r="B3695" s="2">
        <v>4.6296296296296294E-5</v>
      </c>
      <c r="C3695" t="s">
        <v>4059</v>
      </c>
      <c r="D3695" t="s">
        <v>23</v>
      </c>
      <c r="E3695" t="s">
        <v>24</v>
      </c>
      <c r="F3695" t="s">
        <v>3186</v>
      </c>
      <c r="G3695">
        <v>699744</v>
      </c>
      <c r="H3695" t="s">
        <v>26</v>
      </c>
      <c r="I3695" t="s">
        <v>3187</v>
      </c>
      <c r="J3695" t="str">
        <f>"9781118585818"</f>
        <v>9781118585818</v>
      </c>
      <c r="K3695" t="s">
        <v>33</v>
      </c>
      <c r="L3695">
        <v>3</v>
      </c>
      <c r="O3695" t="s">
        <v>30</v>
      </c>
      <c r="P3695" t="s">
        <v>42</v>
      </c>
      <c r="S3695" t="s">
        <v>31</v>
      </c>
      <c r="T3695" t="s">
        <v>3188</v>
      </c>
      <c r="U3695">
        <v>621.36</v>
      </c>
      <c r="V3695" s="3">
        <v>41310</v>
      </c>
    </row>
    <row r="3696" spans="1:22" x14ac:dyDescent="0.35">
      <c r="A3696" s="1">
        <v>42325.193078703705</v>
      </c>
      <c r="B3696" s="2">
        <v>5.9375000000000009E-3</v>
      </c>
      <c r="C3696" t="s">
        <v>106</v>
      </c>
      <c r="D3696" t="s">
        <v>23</v>
      </c>
      <c r="E3696" t="s">
        <v>24</v>
      </c>
      <c r="F3696" t="s">
        <v>3037</v>
      </c>
      <c r="G3696">
        <v>836624</v>
      </c>
      <c r="H3696" t="s">
        <v>26</v>
      </c>
      <c r="I3696" t="s">
        <v>1650</v>
      </c>
      <c r="J3696" t="str">
        <f>"9781118346686"</f>
        <v>9781118346686</v>
      </c>
      <c r="K3696" t="s">
        <v>6302</v>
      </c>
      <c r="L3696">
        <v>20</v>
      </c>
      <c r="O3696" t="s">
        <v>30</v>
      </c>
      <c r="P3696" t="s">
        <v>29</v>
      </c>
      <c r="Q3696" s="1">
        <v>42325.193067129629</v>
      </c>
      <c r="R3696">
        <v>7</v>
      </c>
      <c r="S3696" t="s">
        <v>31</v>
      </c>
      <c r="T3696" t="s">
        <v>3039</v>
      </c>
      <c r="U3696">
        <v>741.59730000000002</v>
      </c>
      <c r="V3696" s="3">
        <v>40969</v>
      </c>
    </row>
    <row r="3697" spans="1:22" x14ac:dyDescent="0.35">
      <c r="A3697" s="1">
        <v>42325.192129629628</v>
      </c>
      <c r="B3697" s="2">
        <v>8.1018518518518516E-5</v>
      </c>
      <c r="C3697" t="s">
        <v>6303</v>
      </c>
      <c r="D3697" t="s">
        <v>35</v>
      </c>
      <c r="E3697" t="s">
        <v>36</v>
      </c>
      <c r="F3697" t="s">
        <v>6304</v>
      </c>
      <c r="G3697">
        <v>1220627</v>
      </c>
      <c r="H3697" t="s">
        <v>613</v>
      </c>
      <c r="I3697" t="s">
        <v>79</v>
      </c>
      <c r="J3697" t="str">
        <f>"9781469608099"</f>
        <v>9781469608099</v>
      </c>
      <c r="K3697" t="s">
        <v>6305</v>
      </c>
      <c r="L3697">
        <v>6</v>
      </c>
      <c r="O3697" t="s">
        <v>30</v>
      </c>
      <c r="P3697" t="s">
        <v>50</v>
      </c>
      <c r="S3697" t="s">
        <v>40</v>
      </c>
      <c r="T3697" t="s">
        <v>6306</v>
      </c>
      <c r="U3697" t="s">
        <v>6307</v>
      </c>
      <c r="V3697" s="3">
        <v>41428</v>
      </c>
    </row>
    <row r="3698" spans="1:22" x14ac:dyDescent="0.35">
      <c r="A3698" s="1">
        <v>42325.191851851851</v>
      </c>
      <c r="B3698" s="2">
        <v>4.8611111111111104E-4</v>
      </c>
      <c r="C3698" t="s">
        <v>6308</v>
      </c>
      <c r="D3698" t="s">
        <v>1222</v>
      </c>
      <c r="E3698" t="s">
        <v>1223</v>
      </c>
      <c r="F3698" t="s">
        <v>4065</v>
      </c>
      <c r="G3698">
        <v>918746</v>
      </c>
      <c r="H3698" t="s">
        <v>1365</v>
      </c>
      <c r="I3698" t="s">
        <v>150</v>
      </c>
      <c r="J3698" t="str">
        <f>"9780826441850"</f>
        <v>9780826441850</v>
      </c>
      <c r="K3698" t="s">
        <v>6309</v>
      </c>
      <c r="L3698">
        <v>16</v>
      </c>
      <c r="O3698" t="s">
        <v>30</v>
      </c>
      <c r="P3698" t="s">
        <v>42</v>
      </c>
      <c r="S3698" t="s">
        <v>1226</v>
      </c>
      <c r="T3698" t="s">
        <v>4066</v>
      </c>
      <c r="U3698">
        <v>791.45749999999998</v>
      </c>
      <c r="V3698" s="3">
        <v>41091</v>
      </c>
    </row>
    <row r="3699" spans="1:22" x14ac:dyDescent="0.35">
      <c r="A3699" s="1">
        <v>42325.160567129627</v>
      </c>
      <c r="B3699" s="2">
        <v>6.9444444444444444E-5</v>
      </c>
      <c r="C3699" t="s">
        <v>106</v>
      </c>
      <c r="D3699" t="s">
        <v>23</v>
      </c>
      <c r="E3699" t="s">
        <v>24</v>
      </c>
      <c r="F3699" t="s">
        <v>3943</v>
      </c>
      <c r="G3699">
        <v>836167</v>
      </c>
      <c r="H3699" t="s">
        <v>149</v>
      </c>
      <c r="I3699" t="s">
        <v>3944</v>
      </c>
      <c r="J3699" t="str">
        <f>"9781438139487"</f>
        <v>9781438139487</v>
      </c>
      <c r="K3699" t="s">
        <v>33</v>
      </c>
      <c r="L3699">
        <v>3</v>
      </c>
      <c r="O3699" t="s">
        <v>30</v>
      </c>
      <c r="P3699" t="s">
        <v>42</v>
      </c>
      <c r="S3699" t="s">
        <v>31</v>
      </c>
      <c r="T3699" t="s">
        <v>3946</v>
      </c>
      <c r="U3699" t="s">
        <v>3947</v>
      </c>
      <c r="V3699" s="3">
        <v>40848</v>
      </c>
    </row>
    <row r="3700" spans="1:22" x14ac:dyDescent="0.35">
      <c r="A3700" s="1">
        <v>42325.15929398148</v>
      </c>
      <c r="B3700" s="2">
        <v>3.3773148148148149E-2</v>
      </c>
      <c r="C3700" t="s">
        <v>106</v>
      </c>
      <c r="D3700" t="s">
        <v>23</v>
      </c>
      <c r="E3700" t="s">
        <v>24</v>
      </c>
      <c r="F3700" t="s">
        <v>3037</v>
      </c>
      <c r="G3700">
        <v>836624</v>
      </c>
      <c r="H3700" t="s">
        <v>26</v>
      </c>
      <c r="I3700" t="s">
        <v>1650</v>
      </c>
      <c r="J3700" t="str">
        <f>"9781118346686"</f>
        <v>9781118346686</v>
      </c>
      <c r="K3700" t="s">
        <v>6310</v>
      </c>
      <c r="L3700">
        <v>14</v>
      </c>
      <c r="O3700" t="s">
        <v>30</v>
      </c>
      <c r="P3700" t="s">
        <v>42</v>
      </c>
      <c r="S3700" t="s">
        <v>31</v>
      </c>
      <c r="T3700" t="s">
        <v>3039</v>
      </c>
      <c r="U3700">
        <v>741.59730000000002</v>
      </c>
      <c r="V3700" s="3">
        <v>40969</v>
      </c>
    </row>
    <row r="3701" spans="1:22" x14ac:dyDescent="0.35">
      <c r="A3701" s="1">
        <v>42325.152581018519</v>
      </c>
      <c r="B3701" s="2">
        <v>3.0428240740740742E-2</v>
      </c>
      <c r="C3701" t="s">
        <v>6066</v>
      </c>
      <c r="D3701" t="s">
        <v>23</v>
      </c>
      <c r="E3701" t="s">
        <v>24</v>
      </c>
      <c r="F3701" t="s">
        <v>5248</v>
      </c>
      <c r="G3701">
        <v>1120538</v>
      </c>
      <c r="H3701" t="s">
        <v>613</v>
      </c>
      <c r="I3701" t="s">
        <v>661</v>
      </c>
      <c r="J3701" t="str">
        <f>"9781469608082"</f>
        <v>9781469608082</v>
      </c>
      <c r="K3701" t="s">
        <v>6311</v>
      </c>
      <c r="L3701">
        <v>62</v>
      </c>
      <c r="O3701" t="s">
        <v>30</v>
      </c>
      <c r="P3701" t="s">
        <v>47</v>
      </c>
      <c r="Q3701" s="1">
        <v>42324.908634259256</v>
      </c>
      <c r="R3701">
        <v>1</v>
      </c>
      <c r="S3701" t="s">
        <v>31</v>
      </c>
      <c r="T3701" t="s">
        <v>5249</v>
      </c>
      <c r="U3701">
        <v>599.77309700000001</v>
      </c>
      <c r="V3701" s="3">
        <v>41417</v>
      </c>
    </row>
    <row r="3702" spans="1:22" x14ac:dyDescent="0.35">
      <c r="A3702" s="1">
        <v>42325.151909722219</v>
      </c>
      <c r="B3702" s="2">
        <v>0.1638425925925926</v>
      </c>
      <c r="C3702" t="s">
        <v>106</v>
      </c>
      <c r="D3702" t="s">
        <v>23</v>
      </c>
      <c r="E3702" t="s">
        <v>24</v>
      </c>
      <c r="F3702" t="s">
        <v>486</v>
      </c>
      <c r="G3702">
        <v>1119505</v>
      </c>
      <c r="H3702" t="s">
        <v>26</v>
      </c>
      <c r="I3702" t="s">
        <v>450</v>
      </c>
      <c r="J3702" t="str">
        <f>"9781118355015"</f>
        <v>9781118355015</v>
      </c>
      <c r="K3702" t="s">
        <v>6312</v>
      </c>
      <c r="L3702">
        <v>85</v>
      </c>
      <c r="O3702" t="s">
        <v>30</v>
      </c>
      <c r="P3702" t="s">
        <v>29</v>
      </c>
      <c r="Q3702" s="1">
        <v>42322.677546296298</v>
      </c>
      <c r="R3702">
        <v>7</v>
      </c>
      <c r="S3702" t="s">
        <v>31</v>
      </c>
      <c r="T3702" t="s">
        <v>487</v>
      </c>
      <c r="U3702" t="s">
        <v>488</v>
      </c>
      <c r="V3702" s="3">
        <v>41302</v>
      </c>
    </row>
    <row r="3703" spans="1:22" x14ac:dyDescent="0.35">
      <c r="A3703" s="1">
        <v>42325.145868055559</v>
      </c>
      <c r="B3703" s="2">
        <v>8.2754629629629619E-3</v>
      </c>
      <c r="C3703" t="s">
        <v>4947</v>
      </c>
      <c r="D3703" t="s">
        <v>1222</v>
      </c>
      <c r="E3703" t="s">
        <v>1223</v>
      </c>
      <c r="F3703" t="s">
        <v>3263</v>
      </c>
      <c r="G3703">
        <v>1840835</v>
      </c>
      <c r="H3703" t="s">
        <v>26</v>
      </c>
      <c r="I3703" t="s">
        <v>108</v>
      </c>
      <c r="J3703" t="str">
        <f>"9781118950166"</f>
        <v>9781118950166</v>
      </c>
      <c r="K3703" t="s">
        <v>6313</v>
      </c>
      <c r="L3703">
        <v>24</v>
      </c>
      <c r="O3703" t="s">
        <v>30</v>
      </c>
      <c r="P3703" t="s">
        <v>29</v>
      </c>
      <c r="Q3703" s="1">
        <v>42324.960104166668</v>
      </c>
      <c r="R3703">
        <v>7</v>
      </c>
      <c r="S3703" t="s">
        <v>1226</v>
      </c>
      <c r="T3703" t="s">
        <v>3264</v>
      </c>
      <c r="U3703">
        <v>338.10923789999998</v>
      </c>
      <c r="V3703" s="3">
        <v>41953</v>
      </c>
    </row>
    <row r="3704" spans="1:22" x14ac:dyDescent="0.35">
      <c r="A3704" s="1">
        <v>42325.145636574074</v>
      </c>
      <c r="B3704" s="2">
        <v>2.0636574074074075E-2</v>
      </c>
      <c r="C3704" t="s">
        <v>4681</v>
      </c>
      <c r="D3704" t="s">
        <v>1222</v>
      </c>
      <c r="E3704" t="s">
        <v>1223</v>
      </c>
      <c r="F3704" t="s">
        <v>3263</v>
      </c>
      <c r="G3704">
        <v>1840835</v>
      </c>
      <c r="H3704" t="s">
        <v>26</v>
      </c>
      <c r="I3704" t="s">
        <v>108</v>
      </c>
      <c r="J3704" t="str">
        <f>"9781118950166"</f>
        <v>9781118950166</v>
      </c>
      <c r="K3704" t="s">
        <v>6314</v>
      </c>
      <c r="L3704">
        <v>30</v>
      </c>
      <c r="O3704" t="s">
        <v>30</v>
      </c>
      <c r="P3704" t="s">
        <v>29</v>
      </c>
      <c r="Q3704" s="1">
        <v>42325.145636574074</v>
      </c>
      <c r="R3704">
        <v>7</v>
      </c>
      <c r="S3704" t="s">
        <v>1226</v>
      </c>
      <c r="T3704" t="s">
        <v>3264</v>
      </c>
      <c r="U3704">
        <v>338.10923789999998</v>
      </c>
      <c r="V3704" s="3">
        <v>41953</v>
      </c>
    </row>
    <row r="3705" spans="1:22" x14ac:dyDescent="0.35">
      <c r="A3705" s="1">
        <v>42325.141157407408</v>
      </c>
      <c r="B3705" s="2">
        <v>4.4791666666666669E-3</v>
      </c>
      <c r="C3705" t="s">
        <v>4681</v>
      </c>
      <c r="D3705" t="s">
        <v>1222</v>
      </c>
      <c r="E3705" t="s">
        <v>1223</v>
      </c>
      <c r="F3705" t="s">
        <v>3263</v>
      </c>
      <c r="G3705">
        <v>1840835</v>
      </c>
      <c r="H3705" t="s">
        <v>26</v>
      </c>
      <c r="I3705" t="s">
        <v>108</v>
      </c>
      <c r="J3705" t="str">
        <f>"9781118950166"</f>
        <v>9781118950166</v>
      </c>
      <c r="K3705" t="s">
        <v>6315</v>
      </c>
      <c r="L3705">
        <v>23</v>
      </c>
      <c r="O3705" t="s">
        <v>30</v>
      </c>
      <c r="P3705" t="s">
        <v>42</v>
      </c>
      <c r="S3705" t="s">
        <v>1226</v>
      </c>
      <c r="T3705" t="s">
        <v>3264</v>
      </c>
      <c r="U3705">
        <v>338.10923789999998</v>
      </c>
      <c r="V3705" s="3">
        <v>41953</v>
      </c>
    </row>
    <row r="3706" spans="1:22" x14ac:dyDescent="0.35">
      <c r="A3706" s="1">
        <v>42325.13175925926</v>
      </c>
      <c r="B3706" s="2">
        <v>8.2291666666666659E-3</v>
      </c>
      <c r="C3706" t="s">
        <v>5019</v>
      </c>
      <c r="D3706" t="s">
        <v>35</v>
      </c>
      <c r="E3706" t="s">
        <v>36</v>
      </c>
      <c r="F3706" t="s">
        <v>986</v>
      </c>
      <c r="G3706">
        <v>968030</v>
      </c>
      <c r="H3706" t="s">
        <v>26</v>
      </c>
      <c r="I3706" t="s">
        <v>219</v>
      </c>
      <c r="J3706" t="str">
        <f>"9781118285138"</f>
        <v>9781118285138</v>
      </c>
      <c r="K3706" t="s">
        <v>6316</v>
      </c>
      <c r="L3706">
        <v>35</v>
      </c>
      <c r="O3706" t="s">
        <v>30</v>
      </c>
      <c r="P3706" t="s">
        <v>29</v>
      </c>
      <c r="Q3706" s="1">
        <v>42324.826979166668</v>
      </c>
      <c r="R3706">
        <v>7</v>
      </c>
      <c r="S3706" t="s">
        <v>40</v>
      </c>
      <c r="T3706" t="s">
        <v>987</v>
      </c>
      <c r="U3706">
        <v>158.30000000000001</v>
      </c>
      <c r="V3706" s="3">
        <v>41100</v>
      </c>
    </row>
    <row r="3707" spans="1:22" x14ac:dyDescent="0.35">
      <c r="A3707" s="1">
        <v>42325.113807870373</v>
      </c>
      <c r="B3707" s="2">
        <v>2.5740740740740745E-2</v>
      </c>
      <c r="C3707" t="s">
        <v>106</v>
      </c>
      <c r="D3707" t="s">
        <v>23</v>
      </c>
      <c r="E3707" t="s">
        <v>24</v>
      </c>
      <c r="F3707" t="s">
        <v>1051</v>
      </c>
      <c r="G3707">
        <v>821663</v>
      </c>
      <c r="H3707" t="s">
        <v>26</v>
      </c>
      <c r="I3707" t="s">
        <v>200</v>
      </c>
      <c r="J3707" t="str">
        <f>"9781118168479"</f>
        <v>9781118168479</v>
      </c>
      <c r="K3707" t="s">
        <v>6317</v>
      </c>
      <c r="L3707">
        <v>5</v>
      </c>
      <c r="O3707" t="s">
        <v>30</v>
      </c>
      <c r="P3707" t="s">
        <v>29</v>
      </c>
      <c r="Q3707" s="1">
        <v>42325.113796296297</v>
      </c>
      <c r="R3707">
        <v>7</v>
      </c>
      <c r="S3707" t="s">
        <v>31</v>
      </c>
      <c r="T3707" t="s">
        <v>1053</v>
      </c>
      <c r="U3707">
        <v>729</v>
      </c>
      <c r="V3707" s="3">
        <v>40973</v>
      </c>
    </row>
    <row r="3708" spans="1:22" x14ac:dyDescent="0.35">
      <c r="A3708" s="1">
        <v>42325.113194444442</v>
      </c>
      <c r="B3708" s="2">
        <v>4.6886574074074074E-2</v>
      </c>
      <c r="C3708" t="s">
        <v>2701</v>
      </c>
      <c r="D3708" t="s">
        <v>35</v>
      </c>
      <c r="E3708" t="s">
        <v>36</v>
      </c>
      <c r="F3708" t="s">
        <v>3271</v>
      </c>
      <c r="G3708">
        <v>1895714</v>
      </c>
      <c r="H3708" t="s">
        <v>26</v>
      </c>
      <c r="I3708" t="s">
        <v>172</v>
      </c>
      <c r="J3708" t="str">
        <f>"9781118896112"</f>
        <v>9781118896112</v>
      </c>
      <c r="K3708" t="s">
        <v>6318</v>
      </c>
      <c r="L3708">
        <v>57</v>
      </c>
      <c r="O3708" t="s">
        <v>30</v>
      </c>
      <c r="P3708" t="s">
        <v>29</v>
      </c>
      <c r="Q3708" s="1">
        <v>42325.113194444442</v>
      </c>
      <c r="R3708">
        <v>7</v>
      </c>
      <c r="S3708" t="s">
        <v>40</v>
      </c>
      <c r="T3708" t="s">
        <v>3273</v>
      </c>
      <c r="U3708">
        <v>932</v>
      </c>
      <c r="V3708" s="3">
        <v>42011</v>
      </c>
    </row>
    <row r="3709" spans="1:22" x14ac:dyDescent="0.35">
      <c r="A3709" s="1">
        <v>42325.101550925923</v>
      </c>
      <c r="B3709" s="2">
        <v>2.199074074074074E-4</v>
      </c>
      <c r="C3709" t="s">
        <v>6319</v>
      </c>
      <c r="D3709" t="s">
        <v>23</v>
      </c>
      <c r="E3709" t="s">
        <v>24</v>
      </c>
      <c r="F3709" t="s">
        <v>3973</v>
      </c>
      <c r="G3709">
        <v>771049</v>
      </c>
      <c r="H3709" t="s">
        <v>3465</v>
      </c>
      <c r="I3709" t="s">
        <v>3974</v>
      </c>
      <c r="J3709" t="str">
        <f>"9781608706648"</f>
        <v>9781608706648</v>
      </c>
      <c r="K3709" t="s">
        <v>6320</v>
      </c>
      <c r="L3709">
        <v>13</v>
      </c>
      <c r="O3709" t="s">
        <v>30</v>
      </c>
      <c r="P3709" t="s">
        <v>42</v>
      </c>
      <c r="S3709" t="s">
        <v>31</v>
      </c>
      <c r="T3709" t="s">
        <v>3976</v>
      </c>
      <c r="U3709">
        <v>363.73874000000001</v>
      </c>
      <c r="V3709" s="3">
        <v>40909</v>
      </c>
    </row>
    <row r="3710" spans="1:22" x14ac:dyDescent="0.35">
      <c r="A3710" s="1">
        <v>42325.097569444442</v>
      </c>
      <c r="B3710" s="2">
        <v>1.622685185185185E-2</v>
      </c>
      <c r="C3710" t="s">
        <v>106</v>
      </c>
      <c r="D3710" t="s">
        <v>23</v>
      </c>
      <c r="E3710" t="s">
        <v>24</v>
      </c>
      <c r="F3710" t="s">
        <v>1051</v>
      </c>
      <c r="G3710">
        <v>821663</v>
      </c>
      <c r="H3710" t="s">
        <v>26</v>
      </c>
      <c r="I3710" t="s">
        <v>200</v>
      </c>
      <c r="J3710" t="str">
        <f>"9781118168479"</f>
        <v>9781118168479</v>
      </c>
      <c r="K3710" t="s">
        <v>862</v>
      </c>
      <c r="L3710">
        <v>9</v>
      </c>
      <c r="O3710" t="s">
        <v>30</v>
      </c>
      <c r="P3710" t="s">
        <v>42</v>
      </c>
      <c r="S3710" t="s">
        <v>31</v>
      </c>
      <c r="T3710" t="s">
        <v>1053</v>
      </c>
      <c r="U3710">
        <v>729</v>
      </c>
      <c r="V3710" s="3">
        <v>40973</v>
      </c>
    </row>
    <row r="3711" spans="1:22" x14ac:dyDescent="0.35">
      <c r="A3711" s="1">
        <v>42325.095405092594</v>
      </c>
      <c r="B3711" s="2">
        <v>1.6203703703703703E-4</v>
      </c>
      <c r="C3711" t="s">
        <v>106</v>
      </c>
      <c r="D3711" t="s">
        <v>23</v>
      </c>
      <c r="E3711" t="s">
        <v>24</v>
      </c>
      <c r="F3711" t="s">
        <v>1051</v>
      </c>
      <c r="G3711">
        <v>821663</v>
      </c>
      <c r="H3711" t="s">
        <v>26</v>
      </c>
      <c r="I3711" t="s">
        <v>200</v>
      </c>
      <c r="J3711" t="str">
        <f>"9781118168479"</f>
        <v>9781118168479</v>
      </c>
      <c r="K3711" t="s">
        <v>33</v>
      </c>
      <c r="L3711">
        <v>3</v>
      </c>
      <c r="O3711" t="s">
        <v>30</v>
      </c>
      <c r="P3711" t="s">
        <v>42</v>
      </c>
      <c r="S3711" t="s">
        <v>31</v>
      </c>
      <c r="T3711" t="s">
        <v>1053</v>
      </c>
      <c r="U3711">
        <v>729</v>
      </c>
      <c r="V3711" s="3">
        <v>40973</v>
      </c>
    </row>
    <row r="3712" spans="1:22" x14ac:dyDescent="0.35">
      <c r="A3712" s="1">
        <v>42325.084733796299</v>
      </c>
      <c r="B3712" s="2">
        <v>2.2337962962962967E-3</v>
      </c>
      <c r="C3712" t="s">
        <v>4681</v>
      </c>
      <c r="D3712" t="s">
        <v>1222</v>
      </c>
      <c r="E3712" t="s">
        <v>1223</v>
      </c>
      <c r="F3712" t="s">
        <v>3263</v>
      </c>
      <c r="G3712">
        <v>1840835</v>
      </c>
      <c r="H3712" t="s">
        <v>26</v>
      </c>
      <c r="I3712" t="s">
        <v>108</v>
      </c>
      <c r="J3712" t="str">
        <f>"9781118950166"</f>
        <v>9781118950166</v>
      </c>
      <c r="K3712" t="s">
        <v>6321</v>
      </c>
      <c r="L3712">
        <v>8</v>
      </c>
      <c r="O3712" t="s">
        <v>30</v>
      </c>
      <c r="P3712" t="s">
        <v>42</v>
      </c>
      <c r="S3712" t="s">
        <v>1226</v>
      </c>
      <c r="T3712" t="s">
        <v>3264</v>
      </c>
      <c r="U3712">
        <v>338.10923789999998</v>
      </c>
      <c r="V3712" s="3">
        <v>41953</v>
      </c>
    </row>
    <row r="3713" spans="1:22" x14ac:dyDescent="0.35">
      <c r="A3713" s="1">
        <v>42325.080393518518</v>
      </c>
      <c r="B3713" s="2">
        <v>6.018518518518519E-4</v>
      </c>
      <c r="C3713" t="s">
        <v>106</v>
      </c>
      <c r="D3713" t="s">
        <v>23</v>
      </c>
      <c r="E3713" t="s">
        <v>24</v>
      </c>
      <c r="F3713" t="s">
        <v>5248</v>
      </c>
      <c r="G3713">
        <v>1120538</v>
      </c>
      <c r="H3713" t="s">
        <v>613</v>
      </c>
      <c r="I3713" t="s">
        <v>661</v>
      </c>
      <c r="J3713" t="str">
        <f>"9781469608082"</f>
        <v>9781469608082</v>
      </c>
      <c r="K3713" t="s">
        <v>6322</v>
      </c>
      <c r="L3713">
        <v>10</v>
      </c>
      <c r="O3713" t="s">
        <v>28</v>
      </c>
      <c r="P3713" t="s">
        <v>47</v>
      </c>
      <c r="Q3713" s="1">
        <v>42325.080393518518</v>
      </c>
      <c r="R3713">
        <v>1</v>
      </c>
      <c r="S3713" t="s">
        <v>31</v>
      </c>
      <c r="T3713" t="s">
        <v>5249</v>
      </c>
      <c r="U3713">
        <v>599.77309700000001</v>
      </c>
      <c r="V3713" s="3">
        <v>41417</v>
      </c>
    </row>
    <row r="3714" spans="1:22" x14ac:dyDescent="0.35">
      <c r="A3714" s="1">
        <v>42325.080393518518</v>
      </c>
      <c r="B3714" s="2">
        <v>0</v>
      </c>
      <c r="C3714" t="s">
        <v>106</v>
      </c>
      <c r="D3714" t="s">
        <v>23</v>
      </c>
      <c r="E3714" t="s">
        <v>24</v>
      </c>
      <c r="F3714" t="s">
        <v>5248</v>
      </c>
      <c r="G3714">
        <v>1120538</v>
      </c>
      <c r="H3714" t="s">
        <v>613</v>
      </c>
      <c r="I3714" t="s">
        <v>661</v>
      </c>
      <c r="J3714" t="str">
        <f>"9781469608082"</f>
        <v>9781469608082</v>
      </c>
      <c r="L3714">
        <v>0</v>
      </c>
      <c r="O3714" t="s">
        <v>30</v>
      </c>
      <c r="P3714" t="s">
        <v>47</v>
      </c>
      <c r="Q3714" s="1">
        <v>42325.080393518518</v>
      </c>
      <c r="R3714">
        <v>1</v>
      </c>
      <c r="S3714" t="s">
        <v>31</v>
      </c>
      <c r="T3714" t="s">
        <v>5249</v>
      </c>
      <c r="U3714">
        <v>599.77309700000001</v>
      </c>
      <c r="V3714" s="3">
        <v>41417</v>
      </c>
    </row>
    <row r="3715" spans="1:22" x14ac:dyDescent="0.35">
      <c r="A3715" s="1">
        <v>42325.080138888887</v>
      </c>
      <c r="B3715" s="2">
        <v>2.5462962962962961E-4</v>
      </c>
      <c r="C3715" t="s">
        <v>106</v>
      </c>
      <c r="D3715" t="s">
        <v>23</v>
      </c>
      <c r="E3715" t="s">
        <v>24</v>
      </c>
      <c r="F3715" t="s">
        <v>5248</v>
      </c>
      <c r="G3715">
        <v>1120538</v>
      </c>
      <c r="H3715" t="s">
        <v>613</v>
      </c>
      <c r="I3715" t="s">
        <v>661</v>
      </c>
      <c r="J3715" t="str">
        <f>"9781469608082"</f>
        <v>9781469608082</v>
      </c>
      <c r="K3715" t="s">
        <v>33</v>
      </c>
      <c r="L3715">
        <v>3</v>
      </c>
      <c r="O3715" t="s">
        <v>30</v>
      </c>
      <c r="P3715" t="s">
        <v>50</v>
      </c>
      <c r="S3715" t="s">
        <v>31</v>
      </c>
      <c r="T3715" t="s">
        <v>5249</v>
      </c>
      <c r="U3715">
        <v>599.77309700000001</v>
      </c>
      <c r="V3715" s="3">
        <v>41417</v>
      </c>
    </row>
    <row r="3716" spans="1:22" x14ac:dyDescent="0.35">
      <c r="A3716" s="1">
        <v>42325.079826388886</v>
      </c>
      <c r="B3716" s="2">
        <v>3.3368055555555554E-2</v>
      </c>
      <c r="C3716" t="s">
        <v>2701</v>
      </c>
      <c r="D3716" t="s">
        <v>35</v>
      </c>
      <c r="E3716" t="s">
        <v>36</v>
      </c>
      <c r="F3716" t="s">
        <v>3271</v>
      </c>
      <c r="G3716">
        <v>1895714</v>
      </c>
      <c r="H3716" t="s">
        <v>26</v>
      </c>
      <c r="I3716" t="s">
        <v>172</v>
      </c>
      <c r="J3716" t="str">
        <f>"9781118896112"</f>
        <v>9781118896112</v>
      </c>
      <c r="K3716" t="s">
        <v>33</v>
      </c>
      <c r="L3716">
        <v>3</v>
      </c>
      <c r="O3716" t="s">
        <v>30</v>
      </c>
      <c r="P3716" t="s">
        <v>42</v>
      </c>
      <c r="S3716" t="s">
        <v>40</v>
      </c>
      <c r="T3716" t="s">
        <v>3273</v>
      </c>
      <c r="U3716">
        <v>932</v>
      </c>
      <c r="V3716" s="3">
        <v>42011</v>
      </c>
    </row>
    <row r="3717" spans="1:22" x14ac:dyDescent="0.35">
      <c r="A3717" s="1">
        <v>42325.060358796298</v>
      </c>
      <c r="B3717" s="2">
        <v>3.5659722222222225E-2</v>
      </c>
      <c r="C3717" t="s">
        <v>5592</v>
      </c>
      <c r="D3717" t="s">
        <v>623</v>
      </c>
      <c r="E3717" t="s">
        <v>624</v>
      </c>
      <c r="F3717" t="s">
        <v>1698</v>
      </c>
      <c r="G3717">
        <v>1637652</v>
      </c>
      <c r="H3717" t="s">
        <v>84</v>
      </c>
      <c r="I3717" t="s">
        <v>69</v>
      </c>
      <c r="J3717" t="str">
        <f>"9780520958449"</f>
        <v>9780520958449</v>
      </c>
      <c r="K3717" t="s">
        <v>6323</v>
      </c>
      <c r="L3717">
        <v>61</v>
      </c>
      <c r="O3717" t="s">
        <v>30</v>
      </c>
      <c r="P3717" t="s">
        <v>29</v>
      </c>
      <c r="Q3717" s="1">
        <v>42321.620787037034</v>
      </c>
      <c r="R3717">
        <v>7</v>
      </c>
      <c r="S3717" t="s">
        <v>627</v>
      </c>
      <c r="T3717" t="s">
        <v>1700</v>
      </c>
      <c r="U3717" t="s">
        <v>1701</v>
      </c>
      <c r="V3717" s="3">
        <v>41761</v>
      </c>
    </row>
    <row r="3718" spans="1:22" x14ac:dyDescent="0.35">
      <c r="A3718" s="1">
        <v>42325.047719907408</v>
      </c>
      <c r="B3718" s="2">
        <v>4.5254629629629629E-3</v>
      </c>
      <c r="C3718" t="s">
        <v>6324</v>
      </c>
      <c r="D3718" t="s">
        <v>1222</v>
      </c>
      <c r="E3718" t="s">
        <v>1223</v>
      </c>
      <c r="F3718" t="s">
        <v>6325</v>
      </c>
      <c r="G3718">
        <v>871519</v>
      </c>
      <c r="H3718" t="s">
        <v>26</v>
      </c>
      <c r="I3718" t="s">
        <v>1532</v>
      </c>
      <c r="J3718" t="str">
        <f>"9781444398359"</f>
        <v>9781444398359</v>
      </c>
      <c r="K3718" t="s">
        <v>6326</v>
      </c>
      <c r="L3718">
        <v>25</v>
      </c>
      <c r="O3718" t="s">
        <v>30</v>
      </c>
      <c r="P3718" t="s">
        <v>29</v>
      </c>
      <c r="Q3718" s="1">
        <v>42325.032222222224</v>
      </c>
      <c r="R3718">
        <v>7</v>
      </c>
      <c r="S3718" t="s">
        <v>1226</v>
      </c>
      <c r="T3718" t="s">
        <v>6327</v>
      </c>
      <c r="U3718">
        <v>523.20000000000005</v>
      </c>
      <c r="V3718" s="3">
        <v>40968</v>
      </c>
    </row>
    <row r="3719" spans="1:22" x14ac:dyDescent="0.35">
      <c r="A3719" s="1">
        <v>42325.032604166663</v>
      </c>
      <c r="B3719" s="2">
        <v>1.4606481481481482E-2</v>
      </c>
      <c r="C3719" t="s">
        <v>6324</v>
      </c>
      <c r="D3719" t="s">
        <v>1222</v>
      </c>
      <c r="E3719" t="s">
        <v>1223</v>
      </c>
      <c r="F3719" t="s">
        <v>6325</v>
      </c>
      <c r="G3719">
        <v>871519</v>
      </c>
      <c r="H3719" t="s">
        <v>26</v>
      </c>
      <c r="I3719" t="s">
        <v>1532</v>
      </c>
      <c r="J3719" t="str">
        <f>"9781444398359"</f>
        <v>9781444398359</v>
      </c>
      <c r="K3719" t="s">
        <v>6328</v>
      </c>
      <c r="L3719">
        <v>36</v>
      </c>
      <c r="O3719" t="s">
        <v>30</v>
      </c>
      <c r="P3719" t="s">
        <v>29</v>
      </c>
      <c r="Q3719" s="1">
        <v>42325.032222222224</v>
      </c>
      <c r="R3719">
        <v>7</v>
      </c>
      <c r="S3719" t="s">
        <v>1226</v>
      </c>
      <c r="T3719" t="s">
        <v>6327</v>
      </c>
      <c r="U3719">
        <v>523.20000000000005</v>
      </c>
      <c r="V3719" s="3">
        <v>40968</v>
      </c>
    </row>
    <row r="3720" spans="1:22" x14ac:dyDescent="0.35">
      <c r="A3720" s="1">
        <v>42325.032222222224</v>
      </c>
      <c r="B3720" s="2">
        <v>0</v>
      </c>
      <c r="C3720" t="s">
        <v>6324</v>
      </c>
      <c r="D3720" t="s">
        <v>1222</v>
      </c>
      <c r="E3720" t="s">
        <v>1223</v>
      </c>
      <c r="F3720" t="s">
        <v>6325</v>
      </c>
      <c r="G3720">
        <v>871519</v>
      </c>
      <c r="H3720" t="s">
        <v>26</v>
      </c>
      <c r="I3720" t="s">
        <v>1532</v>
      </c>
      <c r="J3720" t="str">
        <f>"9781444398359"</f>
        <v>9781444398359</v>
      </c>
      <c r="L3720">
        <v>0</v>
      </c>
      <c r="O3720" t="s">
        <v>28</v>
      </c>
      <c r="P3720" t="s">
        <v>29</v>
      </c>
      <c r="Q3720" s="1">
        <v>42325.032222222224</v>
      </c>
      <c r="R3720">
        <v>7</v>
      </c>
      <c r="S3720" t="s">
        <v>1226</v>
      </c>
      <c r="T3720" t="s">
        <v>6327</v>
      </c>
      <c r="U3720">
        <v>523.20000000000005</v>
      </c>
      <c r="V3720" s="3">
        <v>40968</v>
      </c>
    </row>
    <row r="3721" spans="1:22" x14ac:dyDescent="0.35">
      <c r="A3721" s="1">
        <v>42325.032222222224</v>
      </c>
      <c r="B3721" s="2">
        <v>0</v>
      </c>
      <c r="C3721" t="s">
        <v>6324</v>
      </c>
      <c r="D3721" t="s">
        <v>1222</v>
      </c>
      <c r="E3721" t="s">
        <v>1223</v>
      </c>
      <c r="F3721" t="s">
        <v>6325</v>
      </c>
      <c r="G3721">
        <v>871519</v>
      </c>
      <c r="H3721" t="s">
        <v>26</v>
      </c>
      <c r="I3721" t="s">
        <v>1532</v>
      </c>
      <c r="J3721" t="str">
        <f>"9781444398359"</f>
        <v>9781444398359</v>
      </c>
      <c r="L3721">
        <v>0</v>
      </c>
      <c r="O3721" t="s">
        <v>30</v>
      </c>
      <c r="P3721" t="s">
        <v>29</v>
      </c>
      <c r="Q3721" s="1">
        <v>42325.032222222224</v>
      </c>
      <c r="R3721">
        <v>7</v>
      </c>
      <c r="S3721" t="s">
        <v>1226</v>
      </c>
      <c r="T3721" t="s">
        <v>6327</v>
      </c>
      <c r="U3721">
        <v>523.20000000000005</v>
      </c>
      <c r="V3721" s="3">
        <v>40968</v>
      </c>
    </row>
    <row r="3722" spans="1:22" x14ac:dyDescent="0.35">
      <c r="A3722" s="1">
        <v>42325.029629629629</v>
      </c>
      <c r="B3722" s="2">
        <v>2.5925925925925925E-3</v>
      </c>
      <c r="C3722" t="s">
        <v>6324</v>
      </c>
      <c r="D3722" t="s">
        <v>1222</v>
      </c>
      <c r="E3722" t="s">
        <v>1223</v>
      </c>
      <c r="F3722" t="s">
        <v>6325</v>
      </c>
      <c r="G3722">
        <v>871519</v>
      </c>
      <c r="H3722" t="s">
        <v>26</v>
      </c>
      <c r="I3722" t="s">
        <v>1532</v>
      </c>
      <c r="J3722" t="str">
        <f>"9781444398359"</f>
        <v>9781444398359</v>
      </c>
      <c r="K3722" t="s">
        <v>6329</v>
      </c>
      <c r="L3722">
        <v>16</v>
      </c>
      <c r="O3722" t="s">
        <v>30</v>
      </c>
      <c r="P3722" t="s">
        <v>42</v>
      </c>
      <c r="S3722" t="s">
        <v>1226</v>
      </c>
      <c r="T3722" t="s">
        <v>6327</v>
      </c>
      <c r="U3722">
        <v>523.20000000000005</v>
      </c>
      <c r="V3722" s="3">
        <v>40968</v>
      </c>
    </row>
    <row r="3723" spans="1:22" x14ac:dyDescent="0.35">
      <c r="A3723" s="1">
        <v>42325.015497685185</v>
      </c>
      <c r="B3723" s="2">
        <v>1.9791666666666666E-2</v>
      </c>
      <c r="C3723" t="s">
        <v>6330</v>
      </c>
      <c r="D3723" t="s">
        <v>261</v>
      </c>
      <c r="E3723" t="s">
        <v>262</v>
      </c>
      <c r="F3723" t="s">
        <v>6069</v>
      </c>
      <c r="G3723">
        <v>836174</v>
      </c>
      <c r="H3723" t="s">
        <v>149</v>
      </c>
      <c r="I3723" t="s">
        <v>172</v>
      </c>
      <c r="J3723" t="str">
        <f>"9781438139685"</f>
        <v>9781438139685</v>
      </c>
      <c r="K3723" t="s">
        <v>6331</v>
      </c>
      <c r="L3723">
        <v>56</v>
      </c>
      <c r="O3723" t="s">
        <v>30</v>
      </c>
      <c r="P3723" t="s">
        <v>29</v>
      </c>
      <c r="Q3723" s="1">
        <v>42324.75980324074</v>
      </c>
      <c r="R3723">
        <v>7</v>
      </c>
      <c r="S3723" t="s">
        <v>264</v>
      </c>
      <c r="T3723" t="s">
        <v>6071</v>
      </c>
      <c r="U3723">
        <v>941.50810000000001</v>
      </c>
      <c r="V3723" s="3">
        <v>40848</v>
      </c>
    </row>
    <row r="3724" spans="1:22" x14ac:dyDescent="0.35">
      <c r="A3724" s="1">
        <v>42325.014537037037</v>
      </c>
      <c r="B3724" s="2">
        <v>6.5046296296296297E-2</v>
      </c>
      <c r="C3724" t="s">
        <v>6288</v>
      </c>
      <c r="D3724" t="s">
        <v>23</v>
      </c>
      <c r="E3724" t="s">
        <v>24</v>
      </c>
      <c r="F3724" t="s">
        <v>486</v>
      </c>
      <c r="G3724">
        <v>1119505</v>
      </c>
      <c r="H3724" t="s">
        <v>26</v>
      </c>
      <c r="I3724" t="s">
        <v>450</v>
      </c>
      <c r="J3724" t="str">
        <f>"9781118355015"</f>
        <v>9781118355015</v>
      </c>
      <c r="K3724" t="s">
        <v>6332</v>
      </c>
      <c r="L3724">
        <v>93</v>
      </c>
      <c r="O3724" t="s">
        <v>30</v>
      </c>
      <c r="P3724" t="s">
        <v>29</v>
      </c>
      <c r="Q3724" s="1">
        <v>42325.014525462961</v>
      </c>
      <c r="R3724">
        <v>7</v>
      </c>
      <c r="S3724" t="s">
        <v>31</v>
      </c>
      <c r="T3724" t="s">
        <v>487</v>
      </c>
      <c r="U3724" t="s">
        <v>488</v>
      </c>
      <c r="V3724" s="3">
        <v>41302</v>
      </c>
    </row>
    <row r="3725" spans="1:22" x14ac:dyDescent="0.35">
      <c r="A3725" s="1">
        <v>42325.009895833333</v>
      </c>
      <c r="B3725" s="2">
        <v>2.0601851851851853E-3</v>
      </c>
      <c r="C3725" t="s">
        <v>3811</v>
      </c>
      <c r="D3725" t="s">
        <v>35</v>
      </c>
      <c r="E3725" t="s">
        <v>36</v>
      </c>
      <c r="F3725" t="s">
        <v>3812</v>
      </c>
      <c r="G3725">
        <v>3038360</v>
      </c>
      <c r="H3725" t="s">
        <v>526</v>
      </c>
      <c r="I3725" t="s">
        <v>3813</v>
      </c>
      <c r="J3725" t="str">
        <f>"9780226043692"</f>
        <v>9780226043692</v>
      </c>
      <c r="K3725" t="s">
        <v>6333</v>
      </c>
      <c r="L3725">
        <v>24</v>
      </c>
      <c r="O3725" t="s">
        <v>30</v>
      </c>
      <c r="P3725" t="s">
        <v>47</v>
      </c>
      <c r="Q3725" s="1">
        <v>42324.916250000002</v>
      </c>
      <c r="R3725">
        <v>1</v>
      </c>
      <c r="S3725" t="s">
        <v>40</v>
      </c>
      <c r="T3725" t="s">
        <v>3814</v>
      </c>
      <c r="U3725">
        <v>364.601</v>
      </c>
      <c r="V3725" s="3">
        <v>41365</v>
      </c>
    </row>
    <row r="3726" spans="1:22" x14ac:dyDescent="0.35">
      <c r="A3726" s="1">
        <v>42325.004305555558</v>
      </c>
      <c r="B3726" s="2">
        <v>5.1342592592592586E-2</v>
      </c>
      <c r="C3726" t="s">
        <v>106</v>
      </c>
      <c r="D3726" t="s">
        <v>23</v>
      </c>
      <c r="E3726" t="s">
        <v>24</v>
      </c>
      <c r="F3726" t="s">
        <v>4130</v>
      </c>
      <c r="G3726">
        <v>1433263</v>
      </c>
      <c r="H3726" t="s">
        <v>84</v>
      </c>
      <c r="I3726" t="s">
        <v>172</v>
      </c>
      <c r="J3726" t="str">
        <f>"9780520957145"</f>
        <v>9780520957145</v>
      </c>
      <c r="K3726" t="s">
        <v>6334</v>
      </c>
      <c r="L3726">
        <v>109</v>
      </c>
      <c r="O3726" t="s">
        <v>30</v>
      </c>
      <c r="P3726" t="s">
        <v>29</v>
      </c>
      <c r="Q3726" s="1">
        <v>42324.929780092592</v>
      </c>
      <c r="R3726">
        <v>7</v>
      </c>
      <c r="S3726" t="s">
        <v>31</v>
      </c>
      <c r="T3726" t="s">
        <v>4132</v>
      </c>
      <c r="U3726">
        <v>961.10400000000004</v>
      </c>
      <c r="V3726" s="3">
        <v>41544</v>
      </c>
    </row>
    <row r="3727" spans="1:22" x14ac:dyDescent="0.35">
      <c r="A3727" s="1">
        <v>42324.995763888888</v>
      </c>
      <c r="B3727" s="2">
        <v>8.0902777777777778E-3</v>
      </c>
      <c r="C3727" t="s">
        <v>5326</v>
      </c>
      <c r="D3727" t="s">
        <v>23</v>
      </c>
      <c r="E3727" t="s">
        <v>24</v>
      </c>
      <c r="F3727" t="s">
        <v>486</v>
      </c>
      <c r="G3727">
        <v>1119505</v>
      </c>
      <c r="H3727" t="s">
        <v>26</v>
      </c>
      <c r="I3727" t="s">
        <v>450</v>
      </c>
      <c r="J3727" t="str">
        <f>"9781118355015"</f>
        <v>9781118355015</v>
      </c>
      <c r="K3727" t="s">
        <v>6335</v>
      </c>
      <c r="L3727">
        <v>14</v>
      </c>
      <c r="O3727" t="s">
        <v>30</v>
      </c>
      <c r="P3727" t="s">
        <v>29</v>
      </c>
      <c r="Q3727" s="1">
        <v>42324.995763888888</v>
      </c>
      <c r="R3727">
        <v>7</v>
      </c>
      <c r="S3727" t="s">
        <v>31</v>
      </c>
      <c r="T3727" t="s">
        <v>487</v>
      </c>
      <c r="U3727" t="s">
        <v>488</v>
      </c>
      <c r="V3727" s="3">
        <v>41302</v>
      </c>
    </row>
    <row r="3728" spans="1:22" x14ac:dyDescent="0.35">
      <c r="A3728" s="1">
        <v>42324.995162037034</v>
      </c>
      <c r="B3728" s="2">
        <v>1.9363425925925926E-2</v>
      </c>
      <c r="C3728" t="s">
        <v>6288</v>
      </c>
      <c r="D3728" t="s">
        <v>23</v>
      </c>
      <c r="E3728" t="s">
        <v>24</v>
      </c>
      <c r="F3728" t="s">
        <v>486</v>
      </c>
      <c r="G3728">
        <v>1119505</v>
      </c>
      <c r="H3728" t="s">
        <v>26</v>
      </c>
      <c r="I3728" t="s">
        <v>450</v>
      </c>
      <c r="J3728" t="str">
        <f>"9781118355015"</f>
        <v>9781118355015</v>
      </c>
      <c r="K3728" t="s">
        <v>6336</v>
      </c>
      <c r="L3728">
        <v>10</v>
      </c>
      <c r="O3728" t="s">
        <v>30</v>
      </c>
      <c r="P3728" t="s">
        <v>42</v>
      </c>
      <c r="S3728" t="s">
        <v>31</v>
      </c>
      <c r="T3728" t="s">
        <v>487</v>
      </c>
      <c r="U3728" t="s">
        <v>488</v>
      </c>
      <c r="V3728" s="3">
        <v>41302</v>
      </c>
    </row>
    <row r="3729" spans="1:22" x14ac:dyDescent="0.35">
      <c r="A3729" s="1">
        <v>42324.988530092596</v>
      </c>
      <c r="B3729" s="2">
        <v>7.2337962962962963E-3</v>
      </c>
      <c r="C3729" t="s">
        <v>5326</v>
      </c>
      <c r="D3729" t="s">
        <v>23</v>
      </c>
      <c r="E3729" t="s">
        <v>24</v>
      </c>
      <c r="F3729" t="s">
        <v>486</v>
      </c>
      <c r="G3729">
        <v>1119505</v>
      </c>
      <c r="H3729" t="s">
        <v>26</v>
      </c>
      <c r="I3729" t="s">
        <v>450</v>
      </c>
      <c r="J3729" t="str">
        <f>"9781118355015"</f>
        <v>9781118355015</v>
      </c>
      <c r="K3729" t="s">
        <v>6337</v>
      </c>
      <c r="L3729">
        <v>51</v>
      </c>
      <c r="O3729" t="s">
        <v>30</v>
      </c>
      <c r="P3729" t="s">
        <v>42</v>
      </c>
      <c r="S3729" t="s">
        <v>31</v>
      </c>
      <c r="T3729" t="s">
        <v>487</v>
      </c>
      <c r="U3729" t="s">
        <v>488</v>
      </c>
      <c r="V3729" s="3">
        <v>41302</v>
      </c>
    </row>
    <row r="3730" spans="1:22" x14ac:dyDescent="0.35">
      <c r="A3730" s="1">
        <v>42324.974988425929</v>
      </c>
      <c r="B3730" s="2">
        <v>1.1574074074074073E-4</v>
      </c>
      <c r="C3730" t="s">
        <v>106</v>
      </c>
      <c r="D3730" t="s">
        <v>23</v>
      </c>
      <c r="E3730" t="s">
        <v>24</v>
      </c>
      <c r="F3730" t="s">
        <v>3224</v>
      </c>
      <c r="G3730">
        <v>1882107</v>
      </c>
      <c r="H3730" t="s">
        <v>84</v>
      </c>
      <c r="I3730" t="s">
        <v>998</v>
      </c>
      <c r="J3730" t="str">
        <f>"9780520961593"</f>
        <v>9780520961593</v>
      </c>
      <c r="K3730" t="s">
        <v>6338</v>
      </c>
      <c r="L3730">
        <v>10</v>
      </c>
      <c r="O3730" t="s">
        <v>30</v>
      </c>
      <c r="P3730" t="s">
        <v>47</v>
      </c>
      <c r="Q3730" s="1">
        <v>42324.974976851852</v>
      </c>
      <c r="R3730">
        <v>1</v>
      </c>
      <c r="S3730" t="s">
        <v>31</v>
      </c>
      <c r="T3730" t="s">
        <v>3226</v>
      </c>
      <c r="U3730">
        <v>952.03099999999995</v>
      </c>
      <c r="V3730" s="3">
        <v>42164</v>
      </c>
    </row>
    <row r="3731" spans="1:22" x14ac:dyDescent="0.35">
      <c r="A3731" s="1">
        <v>42324.973587962966</v>
      </c>
      <c r="B3731" s="2">
        <v>1.3888888888888889E-3</v>
      </c>
      <c r="C3731" t="s">
        <v>106</v>
      </c>
      <c r="D3731" t="s">
        <v>23</v>
      </c>
      <c r="E3731" t="s">
        <v>24</v>
      </c>
      <c r="F3731" t="s">
        <v>3224</v>
      </c>
      <c r="G3731">
        <v>1882107</v>
      </c>
      <c r="H3731" t="s">
        <v>84</v>
      </c>
      <c r="I3731" t="s">
        <v>998</v>
      </c>
      <c r="J3731" t="str">
        <f>"9780520961593"</f>
        <v>9780520961593</v>
      </c>
      <c r="K3731" t="s">
        <v>6339</v>
      </c>
      <c r="L3731">
        <v>23</v>
      </c>
      <c r="O3731" t="s">
        <v>30</v>
      </c>
      <c r="P3731" t="s">
        <v>50</v>
      </c>
      <c r="S3731" t="s">
        <v>31</v>
      </c>
      <c r="T3731" t="s">
        <v>3226</v>
      </c>
      <c r="U3731">
        <v>952.03099999999995</v>
      </c>
      <c r="V3731" s="3">
        <v>42164</v>
      </c>
    </row>
    <row r="3732" spans="1:22" x14ac:dyDescent="0.35">
      <c r="A3732" s="1">
        <v>42324.960127314815</v>
      </c>
      <c r="B3732" s="2">
        <v>0.18390046296296295</v>
      </c>
      <c r="C3732" t="s">
        <v>4947</v>
      </c>
      <c r="D3732" t="s">
        <v>1222</v>
      </c>
      <c r="E3732" t="s">
        <v>1223</v>
      </c>
      <c r="F3732" t="s">
        <v>3263</v>
      </c>
      <c r="G3732">
        <v>1840835</v>
      </c>
      <c r="H3732" t="s">
        <v>26</v>
      </c>
      <c r="I3732" t="s">
        <v>108</v>
      </c>
      <c r="J3732" t="str">
        <f>"9781118950166"</f>
        <v>9781118950166</v>
      </c>
      <c r="K3732" t="s">
        <v>6340</v>
      </c>
      <c r="L3732">
        <v>53</v>
      </c>
      <c r="O3732" t="s">
        <v>30</v>
      </c>
      <c r="P3732" t="s">
        <v>29</v>
      </c>
      <c r="Q3732" s="1">
        <v>42324.960104166668</v>
      </c>
      <c r="R3732">
        <v>7</v>
      </c>
      <c r="S3732" t="s">
        <v>1226</v>
      </c>
      <c r="T3732" t="s">
        <v>3264</v>
      </c>
      <c r="U3732">
        <v>338.10923789999998</v>
      </c>
      <c r="V3732" s="3">
        <v>41953</v>
      </c>
    </row>
    <row r="3733" spans="1:22" x14ac:dyDescent="0.35">
      <c r="A3733" s="1">
        <v>42324.954317129632</v>
      </c>
      <c r="B3733" s="2">
        <v>1.4699074074074074E-3</v>
      </c>
      <c r="C3733" t="s">
        <v>210</v>
      </c>
      <c r="D3733" t="s">
        <v>211</v>
      </c>
      <c r="E3733" t="s">
        <v>212</v>
      </c>
      <c r="F3733" t="s">
        <v>6341</v>
      </c>
      <c r="G3733">
        <v>4039126</v>
      </c>
      <c r="H3733" t="s">
        <v>26</v>
      </c>
      <c r="I3733" t="s">
        <v>69</v>
      </c>
      <c r="J3733" t="str">
        <f>"9781118837184"</f>
        <v>9781118837184</v>
      </c>
      <c r="K3733" t="s">
        <v>6342</v>
      </c>
      <c r="L3733">
        <v>9</v>
      </c>
      <c r="O3733" t="s">
        <v>30</v>
      </c>
      <c r="P3733" t="s">
        <v>50</v>
      </c>
      <c r="S3733" t="s">
        <v>214</v>
      </c>
      <c r="U3733">
        <v>371.14400000000001</v>
      </c>
      <c r="V3733" s="3">
        <v>41793</v>
      </c>
    </row>
    <row r="3734" spans="1:22" x14ac:dyDescent="0.35">
      <c r="A3734" s="1">
        <v>42324.951562499999</v>
      </c>
      <c r="B3734" s="2">
        <v>8.5300925925925926E-3</v>
      </c>
      <c r="C3734" t="s">
        <v>4947</v>
      </c>
      <c r="D3734" t="s">
        <v>1222</v>
      </c>
      <c r="E3734" t="s">
        <v>1223</v>
      </c>
      <c r="F3734" t="s">
        <v>3263</v>
      </c>
      <c r="G3734">
        <v>1840835</v>
      </c>
      <c r="H3734" t="s">
        <v>26</v>
      </c>
      <c r="I3734" t="s">
        <v>108</v>
      </c>
      <c r="J3734" t="str">
        <f>"9781118950166"</f>
        <v>9781118950166</v>
      </c>
      <c r="K3734" t="s">
        <v>6343</v>
      </c>
      <c r="L3734">
        <v>37</v>
      </c>
      <c r="O3734" t="s">
        <v>30</v>
      </c>
      <c r="P3734" t="s">
        <v>42</v>
      </c>
      <c r="S3734" t="s">
        <v>1226</v>
      </c>
      <c r="T3734" t="s">
        <v>3264</v>
      </c>
      <c r="U3734">
        <v>338.10923789999998</v>
      </c>
      <c r="V3734" s="3">
        <v>41953</v>
      </c>
    </row>
    <row r="3735" spans="1:22" x14ac:dyDescent="0.35">
      <c r="A3735" s="1">
        <v>42324.929780092592</v>
      </c>
      <c r="B3735" s="2">
        <v>0.14137731481481483</v>
      </c>
      <c r="C3735" t="s">
        <v>106</v>
      </c>
      <c r="D3735" t="s">
        <v>23</v>
      </c>
      <c r="E3735" t="s">
        <v>24</v>
      </c>
      <c r="F3735" t="s">
        <v>4130</v>
      </c>
      <c r="G3735">
        <v>1433263</v>
      </c>
      <c r="H3735" t="s">
        <v>84</v>
      </c>
      <c r="I3735" t="s">
        <v>172</v>
      </c>
      <c r="J3735" t="str">
        <f>"9780520957145"</f>
        <v>9780520957145</v>
      </c>
      <c r="K3735" t="s">
        <v>6344</v>
      </c>
      <c r="L3735">
        <v>157</v>
      </c>
      <c r="O3735" t="s">
        <v>30</v>
      </c>
      <c r="P3735" t="s">
        <v>29</v>
      </c>
      <c r="Q3735" s="1">
        <v>42324.929780092592</v>
      </c>
      <c r="R3735">
        <v>7</v>
      </c>
      <c r="S3735" t="s">
        <v>31</v>
      </c>
      <c r="T3735" t="s">
        <v>4132</v>
      </c>
      <c r="U3735">
        <v>961.10400000000004</v>
      </c>
      <c r="V3735" s="3">
        <v>41544</v>
      </c>
    </row>
    <row r="3736" spans="1:22" x14ac:dyDescent="0.35">
      <c r="A3736" s="1">
        <v>42324.922824074078</v>
      </c>
      <c r="B3736" s="2">
        <v>6.9560185185185185E-3</v>
      </c>
      <c r="C3736" t="s">
        <v>106</v>
      </c>
      <c r="D3736" t="s">
        <v>23</v>
      </c>
      <c r="E3736" t="s">
        <v>24</v>
      </c>
      <c r="F3736" t="s">
        <v>4130</v>
      </c>
      <c r="G3736">
        <v>1433263</v>
      </c>
      <c r="H3736" t="s">
        <v>84</v>
      </c>
      <c r="I3736" t="s">
        <v>172</v>
      </c>
      <c r="J3736" t="str">
        <f>"9780520957145"</f>
        <v>9780520957145</v>
      </c>
      <c r="K3736" t="s">
        <v>6345</v>
      </c>
      <c r="L3736">
        <v>21</v>
      </c>
      <c r="O3736" t="s">
        <v>30</v>
      </c>
      <c r="P3736" t="s">
        <v>42</v>
      </c>
      <c r="S3736" t="s">
        <v>31</v>
      </c>
      <c r="T3736" t="s">
        <v>4132</v>
      </c>
      <c r="U3736">
        <v>961.10400000000004</v>
      </c>
      <c r="V3736" s="3">
        <v>41544</v>
      </c>
    </row>
    <row r="3737" spans="1:22" x14ac:dyDescent="0.35">
      <c r="A3737" s="1">
        <v>42324.916261574072</v>
      </c>
      <c r="B3737" s="2">
        <v>6.4340277777777774E-2</v>
      </c>
      <c r="C3737" t="s">
        <v>3811</v>
      </c>
      <c r="D3737" t="s">
        <v>35</v>
      </c>
      <c r="E3737" t="s">
        <v>36</v>
      </c>
      <c r="F3737" t="s">
        <v>3812</v>
      </c>
      <c r="G3737">
        <v>3038360</v>
      </c>
      <c r="H3737" t="s">
        <v>526</v>
      </c>
      <c r="I3737" t="s">
        <v>3813</v>
      </c>
      <c r="J3737" t="str">
        <f>"9780226043692"</f>
        <v>9780226043692</v>
      </c>
      <c r="K3737" t="s">
        <v>6346</v>
      </c>
      <c r="L3737">
        <v>12</v>
      </c>
      <c r="O3737" t="s">
        <v>30</v>
      </c>
      <c r="P3737" t="s">
        <v>47</v>
      </c>
      <c r="Q3737" s="1">
        <v>42324.916250000002</v>
      </c>
      <c r="R3737">
        <v>1</v>
      </c>
      <c r="S3737" t="s">
        <v>40</v>
      </c>
      <c r="T3737" t="s">
        <v>3814</v>
      </c>
      <c r="U3737">
        <v>364.601</v>
      </c>
      <c r="V3737" s="3">
        <v>41365</v>
      </c>
    </row>
    <row r="3738" spans="1:22" x14ac:dyDescent="0.35">
      <c r="A3738" s="1">
        <v>42324.915289351855</v>
      </c>
      <c r="B3738" s="2">
        <v>2.8935185185185189E-4</v>
      </c>
      <c r="C3738" t="s">
        <v>3434</v>
      </c>
      <c r="D3738" t="s">
        <v>35</v>
      </c>
      <c r="E3738" t="s">
        <v>36</v>
      </c>
      <c r="F3738" t="s">
        <v>6347</v>
      </c>
      <c r="G3738">
        <v>1834781</v>
      </c>
      <c r="H3738" t="s">
        <v>26</v>
      </c>
      <c r="I3738" t="s">
        <v>267</v>
      </c>
      <c r="J3738" t="str">
        <f>"9781118779675"</f>
        <v>9781118779675</v>
      </c>
      <c r="K3738" t="s">
        <v>6348</v>
      </c>
      <c r="L3738">
        <v>9</v>
      </c>
      <c r="O3738" t="s">
        <v>30</v>
      </c>
      <c r="P3738" t="s">
        <v>50</v>
      </c>
      <c r="S3738" t="s">
        <v>40</v>
      </c>
      <c r="T3738" t="s">
        <v>6349</v>
      </c>
      <c r="U3738" t="s">
        <v>6350</v>
      </c>
      <c r="V3738" s="3">
        <v>41948</v>
      </c>
    </row>
    <row r="3739" spans="1:22" x14ac:dyDescent="0.35">
      <c r="A3739" s="1">
        <v>42324.90865740741</v>
      </c>
      <c r="B3739" s="2">
        <v>7.5925925925925926E-3</v>
      </c>
      <c r="C3739" t="s">
        <v>3811</v>
      </c>
      <c r="D3739" t="s">
        <v>35</v>
      </c>
      <c r="E3739" t="s">
        <v>36</v>
      </c>
      <c r="F3739" t="s">
        <v>3812</v>
      </c>
      <c r="G3739">
        <v>3038360</v>
      </c>
      <c r="H3739" t="s">
        <v>526</v>
      </c>
      <c r="I3739" t="s">
        <v>3813</v>
      </c>
      <c r="J3739" t="str">
        <f>"9780226043692"</f>
        <v>9780226043692</v>
      </c>
      <c r="K3739" t="s">
        <v>6351</v>
      </c>
      <c r="L3739">
        <v>15</v>
      </c>
      <c r="O3739" t="s">
        <v>30</v>
      </c>
      <c r="P3739" t="s">
        <v>50</v>
      </c>
      <c r="S3739" t="s">
        <v>40</v>
      </c>
      <c r="T3739" t="s">
        <v>3814</v>
      </c>
      <c r="U3739">
        <v>364.601</v>
      </c>
      <c r="V3739" s="3">
        <v>41365</v>
      </c>
    </row>
    <row r="3740" spans="1:22" x14ac:dyDescent="0.35">
      <c r="A3740" s="1">
        <v>42324.908634259256</v>
      </c>
      <c r="B3740" s="2">
        <v>3.1481481481481482E-3</v>
      </c>
      <c r="C3740" t="s">
        <v>6066</v>
      </c>
      <c r="D3740" t="s">
        <v>23</v>
      </c>
      <c r="E3740" t="s">
        <v>24</v>
      </c>
      <c r="F3740" t="s">
        <v>5248</v>
      </c>
      <c r="G3740">
        <v>1120538</v>
      </c>
      <c r="H3740" t="s">
        <v>613</v>
      </c>
      <c r="I3740" t="s">
        <v>661</v>
      </c>
      <c r="J3740" t="str">
        <f>"9781469608082"</f>
        <v>9781469608082</v>
      </c>
      <c r="K3740" t="s">
        <v>6352</v>
      </c>
      <c r="L3740">
        <v>10</v>
      </c>
      <c r="O3740" t="s">
        <v>30</v>
      </c>
      <c r="P3740" t="s">
        <v>47</v>
      </c>
      <c r="Q3740" s="1">
        <v>42324.908634259256</v>
      </c>
      <c r="R3740">
        <v>1</v>
      </c>
      <c r="S3740" t="s">
        <v>31</v>
      </c>
      <c r="T3740" t="s">
        <v>5249</v>
      </c>
      <c r="U3740">
        <v>599.77309700000001</v>
      </c>
      <c r="V3740" s="3">
        <v>41417</v>
      </c>
    </row>
    <row r="3741" spans="1:22" x14ac:dyDescent="0.35">
      <c r="A3741" s="1">
        <v>42324.904861111114</v>
      </c>
      <c r="B3741" s="2">
        <v>3.7731481481481483E-3</v>
      </c>
      <c r="C3741" t="s">
        <v>6066</v>
      </c>
      <c r="D3741" t="s">
        <v>23</v>
      </c>
      <c r="E3741" t="s">
        <v>24</v>
      </c>
      <c r="F3741" t="s">
        <v>5248</v>
      </c>
      <c r="G3741">
        <v>1120538</v>
      </c>
      <c r="H3741" t="s">
        <v>613</v>
      </c>
      <c r="I3741" t="s">
        <v>661</v>
      </c>
      <c r="J3741" t="str">
        <f>"9781469608082"</f>
        <v>9781469608082</v>
      </c>
      <c r="K3741" t="s">
        <v>6353</v>
      </c>
      <c r="L3741">
        <v>17</v>
      </c>
      <c r="O3741" t="s">
        <v>30</v>
      </c>
      <c r="P3741" t="s">
        <v>50</v>
      </c>
      <c r="S3741" t="s">
        <v>31</v>
      </c>
      <c r="T3741" t="s">
        <v>5249</v>
      </c>
      <c r="U3741">
        <v>599.77309700000001</v>
      </c>
      <c r="V3741" s="3">
        <v>41417</v>
      </c>
    </row>
    <row r="3742" spans="1:22" x14ac:dyDescent="0.35">
      <c r="A3742" s="1">
        <v>42324.902638888889</v>
      </c>
      <c r="B3742" s="2">
        <v>7.3032407407407407E-2</v>
      </c>
      <c r="C3742" t="s">
        <v>3884</v>
      </c>
      <c r="D3742" t="s">
        <v>261</v>
      </c>
      <c r="E3742" t="s">
        <v>262</v>
      </c>
      <c r="F3742" t="s">
        <v>3885</v>
      </c>
      <c r="G3742">
        <v>1935791</v>
      </c>
      <c r="H3742" t="s">
        <v>26</v>
      </c>
      <c r="I3742" t="s">
        <v>108</v>
      </c>
      <c r="J3742" t="str">
        <f>"9781118909935"</f>
        <v>9781118909935</v>
      </c>
      <c r="K3742" t="s">
        <v>6354</v>
      </c>
      <c r="L3742">
        <v>35</v>
      </c>
      <c r="O3742" t="s">
        <v>30</v>
      </c>
      <c r="P3742" t="s">
        <v>29</v>
      </c>
      <c r="Q3742" s="1">
        <v>42324.902638888889</v>
      </c>
      <c r="R3742">
        <v>7</v>
      </c>
      <c r="S3742" t="s">
        <v>264</v>
      </c>
      <c r="T3742" t="s">
        <v>3887</v>
      </c>
      <c r="U3742">
        <v>338.95100000000002</v>
      </c>
      <c r="V3742" s="3">
        <v>41995</v>
      </c>
    </row>
    <row r="3743" spans="1:22" x14ac:dyDescent="0.35">
      <c r="A3743" s="1">
        <v>42324.902303240742</v>
      </c>
      <c r="B3743" s="2">
        <v>2.1527777777777778E-3</v>
      </c>
      <c r="C3743" t="s">
        <v>106</v>
      </c>
      <c r="D3743" t="s">
        <v>23</v>
      </c>
      <c r="E3743" t="s">
        <v>24</v>
      </c>
      <c r="F3743" t="s">
        <v>3224</v>
      </c>
      <c r="G3743">
        <v>1882107</v>
      </c>
      <c r="H3743" t="s">
        <v>84</v>
      </c>
      <c r="I3743" t="s">
        <v>998</v>
      </c>
      <c r="J3743" t="str">
        <f>"9780520961593"</f>
        <v>9780520961593</v>
      </c>
      <c r="K3743" t="s">
        <v>6355</v>
      </c>
      <c r="L3743">
        <v>38</v>
      </c>
      <c r="O3743" t="s">
        <v>30</v>
      </c>
      <c r="P3743" t="s">
        <v>50</v>
      </c>
      <c r="S3743" t="s">
        <v>31</v>
      </c>
      <c r="T3743" t="s">
        <v>3226</v>
      </c>
      <c r="U3743">
        <v>952.03099999999995</v>
      </c>
      <c r="V3743" s="3">
        <v>42164</v>
      </c>
    </row>
    <row r="3744" spans="1:22" x14ac:dyDescent="0.35">
      <c r="A3744" s="1">
        <v>42324.892384259256</v>
      </c>
      <c r="B3744" s="2">
        <v>1.0254629629629629E-2</v>
      </c>
      <c r="C3744" t="s">
        <v>3884</v>
      </c>
      <c r="D3744" t="s">
        <v>261</v>
      </c>
      <c r="E3744" t="s">
        <v>262</v>
      </c>
      <c r="F3744" t="s">
        <v>3885</v>
      </c>
      <c r="G3744">
        <v>1935791</v>
      </c>
      <c r="H3744" t="s">
        <v>26</v>
      </c>
      <c r="I3744" t="s">
        <v>108</v>
      </c>
      <c r="J3744" t="str">
        <f>"9781118909935"</f>
        <v>9781118909935</v>
      </c>
      <c r="K3744" t="s">
        <v>6356</v>
      </c>
      <c r="L3744">
        <v>11</v>
      </c>
      <c r="O3744" t="s">
        <v>30</v>
      </c>
      <c r="P3744" t="s">
        <v>42</v>
      </c>
      <c r="S3744" t="s">
        <v>264</v>
      </c>
      <c r="T3744" t="s">
        <v>3887</v>
      </c>
      <c r="U3744">
        <v>338.95100000000002</v>
      </c>
      <c r="V3744" s="3">
        <v>41995</v>
      </c>
    </row>
    <row r="3745" spans="1:22" x14ac:dyDescent="0.35">
      <c r="A3745" s="1">
        <v>42324.875243055554</v>
      </c>
      <c r="B3745" s="2">
        <v>9.2592592592592588E-5</v>
      </c>
      <c r="C3745" t="s">
        <v>4845</v>
      </c>
      <c r="D3745" t="s">
        <v>35</v>
      </c>
      <c r="E3745" t="s">
        <v>36</v>
      </c>
      <c r="F3745" t="s">
        <v>4846</v>
      </c>
      <c r="G3745">
        <v>1895391</v>
      </c>
      <c r="H3745" t="s">
        <v>26</v>
      </c>
      <c r="I3745" t="s">
        <v>97</v>
      </c>
      <c r="J3745" t="str">
        <f>"9781119090380"</f>
        <v>9781119090380</v>
      </c>
      <c r="K3745" t="s">
        <v>6357</v>
      </c>
      <c r="L3745">
        <v>6</v>
      </c>
      <c r="O3745" t="s">
        <v>30</v>
      </c>
      <c r="P3745" t="s">
        <v>29</v>
      </c>
      <c r="Q3745" s="1">
        <v>42324.875243055554</v>
      </c>
      <c r="R3745">
        <v>7</v>
      </c>
      <c r="S3745" t="s">
        <v>40</v>
      </c>
      <c r="T3745" t="s">
        <v>4848</v>
      </c>
      <c r="U3745" t="s">
        <v>1463</v>
      </c>
      <c r="V3745" s="3">
        <v>42081</v>
      </c>
    </row>
    <row r="3746" spans="1:22" x14ac:dyDescent="0.35">
      <c r="A3746" s="1">
        <v>42324.870879629627</v>
      </c>
      <c r="B3746" s="2">
        <v>1.2268518518518518E-3</v>
      </c>
      <c r="C3746" t="s">
        <v>471</v>
      </c>
      <c r="D3746" t="s">
        <v>211</v>
      </c>
      <c r="E3746" t="s">
        <v>212</v>
      </c>
      <c r="F3746" t="s">
        <v>1182</v>
      </c>
      <c r="G3746">
        <v>1557279</v>
      </c>
      <c r="H3746" t="s">
        <v>26</v>
      </c>
      <c r="I3746" t="s">
        <v>97</v>
      </c>
      <c r="J3746" t="str">
        <f>"9781118863664"</f>
        <v>9781118863664</v>
      </c>
      <c r="K3746" t="s">
        <v>6358</v>
      </c>
      <c r="L3746">
        <v>15</v>
      </c>
      <c r="O3746" t="s">
        <v>30</v>
      </c>
      <c r="P3746" t="s">
        <v>42</v>
      </c>
      <c r="S3746" t="s">
        <v>214</v>
      </c>
      <c r="T3746" t="s">
        <v>1183</v>
      </c>
      <c r="U3746">
        <v>657.37800000000004</v>
      </c>
      <c r="V3746" s="3">
        <v>41585</v>
      </c>
    </row>
    <row r="3747" spans="1:22" x14ac:dyDescent="0.35">
      <c r="A3747" s="1">
        <v>42324.870729166665</v>
      </c>
      <c r="B3747" s="2">
        <v>4.5138888888888893E-3</v>
      </c>
      <c r="C3747" t="s">
        <v>4845</v>
      </c>
      <c r="D3747" t="s">
        <v>35</v>
      </c>
      <c r="E3747" t="s">
        <v>36</v>
      </c>
      <c r="F3747" t="s">
        <v>4846</v>
      </c>
      <c r="G3747">
        <v>1895391</v>
      </c>
      <c r="H3747" t="s">
        <v>26</v>
      </c>
      <c r="I3747" t="s">
        <v>97</v>
      </c>
      <c r="J3747" t="str">
        <f>"9781119090380"</f>
        <v>9781119090380</v>
      </c>
      <c r="K3747" t="s">
        <v>6359</v>
      </c>
      <c r="L3747">
        <v>15</v>
      </c>
      <c r="O3747" t="s">
        <v>30</v>
      </c>
      <c r="P3747" t="s">
        <v>50</v>
      </c>
      <c r="S3747" t="s">
        <v>40</v>
      </c>
      <c r="T3747" t="s">
        <v>4848</v>
      </c>
      <c r="U3747" t="s">
        <v>1463</v>
      </c>
      <c r="V3747" s="3">
        <v>42081</v>
      </c>
    </row>
    <row r="3748" spans="1:22" x14ac:dyDescent="0.35">
      <c r="A3748" s="1">
        <v>42324.868784722225</v>
      </c>
      <c r="B3748" s="2">
        <v>1.7361111111111112E-4</v>
      </c>
      <c r="C3748" t="s">
        <v>471</v>
      </c>
      <c r="D3748" t="s">
        <v>211</v>
      </c>
      <c r="E3748" t="s">
        <v>212</v>
      </c>
      <c r="F3748" t="s">
        <v>2023</v>
      </c>
      <c r="G3748">
        <v>1895286</v>
      </c>
      <c r="H3748" t="s">
        <v>26</v>
      </c>
      <c r="I3748" t="s">
        <v>841</v>
      </c>
      <c r="J3748" t="str">
        <f>"9781119038351"</f>
        <v>9781119038351</v>
      </c>
      <c r="K3748" t="s">
        <v>209</v>
      </c>
      <c r="L3748">
        <v>4</v>
      </c>
      <c r="O3748" t="s">
        <v>30</v>
      </c>
      <c r="P3748" t="s">
        <v>42</v>
      </c>
      <c r="S3748" t="s">
        <v>214</v>
      </c>
      <c r="T3748" t="s">
        <v>2025</v>
      </c>
      <c r="U3748">
        <v>355.61</v>
      </c>
      <c r="V3748" s="3">
        <v>42131</v>
      </c>
    </row>
    <row r="3749" spans="1:22" x14ac:dyDescent="0.35">
      <c r="A3749" s="1">
        <v>42324.867511574077</v>
      </c>
      <c r="B3749" s="2">
        <v>4.9768518518518521E-4</v>
      </c>
      <c r="C3749" t="s">
        <v>471</v>
      </c>
      <c r="D3749" t="s">
        <v>211</v>
      </c>
      <c r="E3749" t="s">
        <v>212</v>
      </c>
      <c r="F3749" t="s">
        <v>1182</v>
      </c>
      <c r="G3749">
        <v>1557279</v>
      </c>
      <c r="H3749" t="s">
        <v>26</v>
      </c>
      <c r="I3749" t="s">
        <v>97</v>
      </c>
      <c r="J3749" t="str">
        <f>"9781118863664"</f>
        <v>9781118863664</v>
      </c>
      <c r="K3749" t="s">
        <v>6360</v>
      </c>
      <c r="L3749">
        <v>11</v>
      </c>
      <c r="O3749" t="s">
        <v>30</v>
      </c>
      <c r="P3749" t="s">
        <v>42</v>
      </c>
      <c r="S3749" t="s">
        <v>214</v>
      </c>
      <c r="T3749" t="s">
        <v>1183</v>
      </c>
      <c r="U3749">
        <v>657.37800000000004</v>
      </c>
      <c r="V3749" s="3">
        <v>41585</v>
      </c>
    </row>
    <row r="3750" spans="1:22" x14ac:dyDescent="0.35">
      <c r="A3750" s="1">
        <v>42324.859398148146</v>
      </c>
      <c r="B3750" s="2">
        <v>1.3773148148148147E-3</v>
      </c>
      <c r="C3750" t="s">
        <v>210</v>
      </c>
      <c r="D3750" t="s">
        <v>211</v>
      </c>
      <c r="E3750" t="s">
        <v>212</v>
      </c>
      <c r="F3750" t="s">
        <v>472</v>
      </c>
      <c r="G3750">
        <v>1222131</v>
      </c>
      <c r="H3750" t="s">
        <v>26</v>
      </c>
      <c r="I3750" t="s">
        <v>97</v>
      </c>
      <c r="J3750" t="str">
        <f>"9781118760048"</f>
        <v>9781118760048</v>
      </c>
      <c r="K3750" t="s">
        <v>6361</v>
      </c>
      <c r="L3750">
        <v>10</v>
      </c>
      <c r="O3750" t="s">
        <v>30</v>
      </c>
      <c r="P3750" t="s">
        <v>42</v>
      </c>
      <c r="S3750" t="s">
        <v>214</v>
      </c>
      <c r="T3750" t="s">
        <v>473</v>
      </c>
      <c r="U3750">
        <v>657</v>
      </c>
      <c r="V3750" s="3">
        <v>41446</v>
      </c>
    </row>
    <row r="3751" spans="1:22" x14ac:dyDescent="0.35">
      <c r="A3751" s="1">
        <v>42324.857604166667</v>
      </c>
      <c r="B3751" s="2">
        <v>2.6608796296296297E-2</v>
      </c>
      <c r="C3751" t="s">
        <v>4129</v>
      </c>
      <c r="D3751" t="s">
        <v>23</v>
      </c>
      <c r="E3751" t="s">
        <v>24</v>
      </c>
      <c r="F3751" t="s">
        <v>4130</v>
      </c>
      <c r="G3751">
        <v>1433263</v>
      </c>
      <c r="H3751" t="s">
        <v>84</v>
      </c>
      <c r="I3751" t="s">
        <v>172</v>
      </c>
      <c r="J3751" t="str">
        <f>"9780520957145"</f>
        <v>9780520957145</v>
      </c>
      <c r="K3751" t="s">
        <v>6362</v>
      </c>
      <c r="L3751">
        <v>16</v>
      </c>
      <c r="O3751" t="s">
        <v>30</v>
      </c>
      <c r="P3751" t="s">
        <v>29</v>
      </c>
      <c r="Q3751" s="1">
        <v>42324.05431712963</v>
      </c>
      <c r="R3751">
        <v>7</v>
      </c>
      <c r="S3751" t="s">
        <v>31</v>
      </c>
      <c r="T3751" t="s">
        <v>4132</v>
      </c>
      <c r="U3751">
        <v>961.10400000000004</v>
      </c>
      <c r="V3751" s="3">
        <v>41544</v>
      </c>
    </row>
    <row r="3752" spans="1:22" x14ac:dyDescent="0.35">
      <c r="A3752" s="1">
        <v>42324.851712962962</v>
      </c>
      <c r="B3752" s="2">
        <v>2.8472222222222219E-3</v>
      </c>
      <c r="C3752" t="s">
        <v>6363</v>
      </c>
      <c r="D3752" t="s">
        <v>261</v>
      </c>
      <c r="E3752" t="s">
        <v>262</v>
      </c>
      <c r="F3752" t="s">
        <v>6364</v>
      </c>
      <c r="G3752">
        <v>1158333</v>
      </c>
      <c r="H3752" t="s">
        <v>526</v>
      </c>
      <c r="I3752" t="s">
        <v>630</v>
      </c>
      <c r="J3752" t="str">
        <f>"9780226924557"</f>
        <v>9780226924557</v>
      </c>
      <c r="K3752" t="s">
        <v>6365</v>
      </c>
      <c r="L3752">
        <v>3</v>
      </c>
      <c r="O3752" t="s">
        <v>30</v>
      </c>
      <c r="P3752" t="s">
        <v>47</v>
      </c>
      <c r="Q3752" s="1">
        <v>42324.851712962962</v>
      </c>
      <c r="R3752">
        <v>1</v>
      </c>
      <c r="S3752" t="s">
        <v>264</v>
      </c>
      <c r="T3752" t="s">
        <v>6366</v>
      </c>
      <c r="U3752">
        <v>194</v>
      </c>
      <c r="V3752" s="3">
        <v>41375</v>
      </c>
    </row>
    <row r="3753" spans="1:22" x14ac:dyDescent="0.35">
      <c r="A3753" s="1">
        <v>42324.848055555558</v>
      </c>
      <c r="B3753" s="2">
        <v>3.6574074074074074E-3</v>
      </c>
      <c r="C3753" t="s">
        <v>6363</v>
      </c>
      <c r="D3753" t="s">
        <v>261</v>
      </c>
      <c r="E3753" t="s">
        <v>262</v>
      </c>
      <c r="F3753" t="s">
        <v>6364</v>
      </c>
      <c r="G3753">
        <v>1158333</v>
      </c>
      <c r="H3753" t="s">
        <v>526</v>
      </c>
      <c r="I3753" t="s">
        <v>630</v>
      </c>
      <c r="J3753" t="str">
        <f>"9780226924557"</f>
        <v>9780226924557</v>
      </c>
      <c r="K3753" t="s">
        <v>6367</v>
      </c>
      <c r="L3753">
        <v>18</v>
      </c>
      <c r="O3753" t="s">
        <v>30</v>
      </c>
      <c r="P3753" t="s">
        <v>50</v>
      </c>
      <c r="S3753" t="s">
        <v>264</v>
      </c>
      <c r="T3753" t="s">
        <v>6366</v>
      </c>
      <c r="U3753">
        <v>194</v>
      </c>
      <c r="V3753" s="3">
        <v>41375</v>
      </c>
    </row>
    <row r="3754" spans="1:22" x14ac:dyDescent="0.35">
      <c r="A3754" s="1">
        <v>42324.837199074071</v>
      </c>
      <c r="B3754" s="2">
        <v>5.6805555555555554E-2</v>
      </c>
      <c r="C3754" t="s">
        <v>4713</v>
      </c>
      <c r="D3754" t="s">
        <v>1222</v>
      </c>
      <c r="E3754" t="s">
        <v>1223</v>
      </c>
      <c r="F3754" t="s">
        <v>3263</v>
      </c>
      <c r="G3754">
        <v>1840835</v>
      </c>
      <c r="H3754" t="s">
        <v>26</v>
      </c>
      <c r="I3754" t="s">
        <v>108</v>
      </c>
      <c r="J3754" t="str">
        <f>"9781118950166"</f>
        <v>9781118950166</v>
      </c>
      <c r="K3754" t="s">
        <v>6368</v>
      </c>
      <c r="L3754">
        <v>102</v>
      </c>
      <c r="O3754" t="s">
        <v>30</v>
      </c>
      <c r="P3754" t="s">
        <v>29</v>
      </c>
      <c r="Q3754" s="1">
        <v>42324.837199074071</v>
      </c>
      <c r="R3754">
        <v>7</v>
      </c>
      <c r="S3754" t="s">
        <v>1226</v>
      </c>
      <c r="T3754" t="s">
        <v>3264</v>
      </c>
      <c r="U3754">
        <v>338.10923789999998</v>
      </c>
      <c r="V3754" s="3">
        <v>41953</v>
      </c>
    </row>
    <row r="3755" spans="1:22" x14ac:dyDescent="0.35">
      <c r="A3755" s="1">
        <v>42324.828900462962</v>
      </c>
      <c r="B3755" s="2">
        <v>8.2986111111111108E-3</v>
      </c>
      <c r="C3755" t="s">
        <v>4713</v>
      </c>
      <c r="D3755" t="s">
        <v>1222</v>
      </c>
      <c r="E3755" t="s">
        <v>1223</v>
      </c>
      <c r="F3755" t="s">
        <v>3263</v>
      </c>
      <c r="G3755">
        <v>1840835</v>
      </c>
      <c r="H3755" t="s">
        <v>26</v>
      </c>
      <c r="I3755" t="s">
        <v>108</v>
      </c>
      <c r="J3755" t="str">
        <f>"9781118950166"</f>
        <v>9781118950166</v>
      </c>
      <c r="K3755" t="s">
        <v>6369</v>
      </c>
      <c r="L3755">
        <v>31</v>
      </c>
      <c r="O3755" t="s">
        <v>30</v>
      </c>
      <c r="P3755" t="s">
        <v>42</v>
      </c>
      <c r="S3755" t="s">
        <v>1226</v>
      </c>
      <c r="T3755" t="s">
        <v>3264</v>
      </c>
      <c r="U3755">
        <v>338.10923789999998</v>
      </c>
      <c r="V3755" s="3">
        <v>41953</v>
      </c>
    </row>
    <row r="3756" spans="1:22" x14ac:dyDescent="0.35">
      <c r="A3756" s="1">
        <v>42324.826990740738</v>
      </c>
      <c r="B3756" s="2">
        <v>7.7986111111111103E-2</v>
      </c>
      <c r="C3756" t="s">
        <v>5019</v>
      </c>
      <c r="D3756" t="s">
        <v>35</v>
      </c>
      <c r="E3756" t="s">
        <v>36</v>
      </c>
      <c r="F3756" t="s">
        <v>986</v>
      </c>
      <c r="G3756">
        <v>968030</v>
      </c>
      <c r="H3756" t="s">
        <v>26</v>
      </c>
      <c r="I3756" t="s">
        <v>219</v>
      </c>
      <c r="J3756" t="str">
        <f>"9781118285138"</f>
        <v>9781118285138</v>
      </c>
      <c r="K3756" t="s">
        <v>6370</v>
      </c>
      <c r="L3756">
        <v>21</v>
      </c>
      <c r="O3756" t="s">
        <v>30</v>
      </c>
      <c r="P3756" t="s">
        <v>29</v>
      </c>
      <c r="Q3756" s="1">
        <v>42324.826979166668</v>
      </c>
      <c r="R3756">
        <v>7</v>
      </c>
      <c r="S3756" t="s">
        <v>40</v>
      </c>
      <c r="T3756" t="s">
        <v>987</v>
      </c>
      <c r="U3756">
        <v>158.30000000000001</v>
      </c>
      <c r="V3756" s="3">
        <v>41100</v>
      </c>
    </row>
    <row r="3757" spans="1:22" x14ac:dyDescent="0.35">
      <c r="A3757" s="1">
        <v>42324.814641203702</v>
      </c>
      <c r="B3757" s="2">
        <v>2.0833333333333333E-3</v>
      </c>
      <c r="C3757" t="s">
        <v>5062</v>
      </c>
      <c r="D3757" t="s">
        <v>35</v>
      </c>
      <c r="E3757" t="s">
        <v>36</v>
      </c>
      <c r="F3757" t="s">
        <v>6371</v>
      </c>
      <c r="G3757">
        <v>1776083</v>
      </c>
      <c r="H3757" t="s">
        <v>26</v>
      </c>
      <c r="I3757" t="s">
        <v>247</v>
      </c>
      <c r="J3757" t="str">
        <f>"9781118510278"</f>
        <v>9781118510278</v>
      </c>
      <c r="K3757" t="s">
        <v>6372</v>
      </c>
      <c r="L3757">
        <v>16</v>
      </c>
      <c r="O3757" t="s">
        <v>30</v>
      </c>
      <c r="P3757" t="s">
        <v>47</v>
      </c>
      <c r="Q3757" s="1">
        <v>42324.814629629633</v>
      </c>
      <c r="R3757">
        <v>1</v>
      </c>
      <c r="S3757" t="s">
        <v>40</v>
      </c>
      <c r="T3757" t="s">
        <v>6373</v>
      </c>
      <c r="U3757" t="s">
        <v>1549</v>
      </c>
      <c r="V3757" s="3">
        <v>41876</v>
      </c>
    </row>
    <row r="3758" spans="1:22" x14ac:dyDescent="0.35">
      <c r="A3758" s="1">
        <v>42324.81040509259</v>
      </c>
      <c r="B3758" s="2">
        <v>4.2245370370370371E-3</v>
      </c>
      <c r="C3758" t="s">
        <v>5062</v>
      </c>
      <c r="D3758" t="s">
        <v>35</v>
      </c>
      <c r="E3758" t="s">
        <v>36</v>
      </c>
      <c r="F3758" t="s">
        <v>6371</v>
      </c>
      <c r="G3758">
        <v>1776083</v>
      </c>
      <c r="H3758" t="s">
        <v>26</v>
      </c>
      <c r="I3758" t="s">
        <v>247</v>
      </c>
      <c r="J3758" t="str">
        <f>"9781118510278"</f>
        <v>9781118510278</v>
      </c>
      <c r="K3758" t="s">
        <v>6374</v>
      </c>
      <c r="L3758">
        <v>8</v>
      </c>
      <c r="O3758" t="s">
        <v>30</v>
      </c>
      <c r="P3758" t="s">
        <v>50</v>
      </c>
      <c r="S3758" t="s">
        <v>40</v>
      </c>
      <c r="T3758" t="s">
        <v>6373</v>
      </c>
      <c r="U3758" t="s">
        <v>1549</v>
      </c>
      <c r="V3758" s="3">
        <v>41876</v>
      </c>
    </row>
    <row r="3759" spans="1:22" x14ac:dyDescent="0.35">
      <c r="A3759" s="1">
        <v>42324.808692129627</v>
      </c>
      <c r="B3759" s="2">
        <v>3.7037037037037035E-4</v>
      </c>
      <c r="C3759" t="s">
        <v>106</v>
      </c>
      <c r="D3759" t="s">
        <v>23</v>
      </c>
      <c r="E3759" t="s">
        <v>24</v>
      </c>
      <c r="F3759" t="s">
        <v>2807</v>
      </c>
      <c r="G3759">
        <v>1767915</v>
      </c>
      <c r="H3759" t="s">
        <v>26</v>
      </c>
      <c r="I3759" t="s">
        <v>120</v>
      </c>
      <c r="J3759" t="str">
        <f>"9780730315148"</f>
        <v>9780730315148</v>
      </c>
      <c r="K3759" t="s">
        <v>6375</v>
      </c>
      <c r="L3759">
        <v>17</v>
      </c>
      <c r="O3759" t="s">
        <v>30</v>
      </c>
      <c r="P3759" t="s">
        <v>42</v>
      </c>
      <c r="S3759" t="s">
        <v>31</v>
      </c>
      <c r="T3759" t="s">
        <v>2809</v>
      </c>
      <c r="U3759">
        <v>302.23099999999999</v>
      </c>
      <c r="V3759" s="3">
        <v>41866</v>
      </c>
    </row>
    <row r="3760" spans="1:22" x14ac:dyDescent="0.35">
      <c r="A3760" s="1">
        <v>42324.796053240738</v>
      </c>
      <c r="B3760" s="2">
        <v>1.4722222222222222E-2</v>
      </c>
      <c r="C3760" t="s">
        <v>6376</v>
      </c>
      <c r="D3760" t="s">
        <v>158</v>
      </c>
      <c r="E3760" t="s">
        <v>159</v>
      </c>
      <c r="F3760" t="s">
        <v>6377</v>
      </c>
      <c r="G3760">
        <v>1574821</v>
      </c>
      <c r="H3760" t="s">
        <v>68</v>
      </c>
      <c r="I3760" t="s">
        <v>247</v>
      </c>
      <c r="J3760" t="str">
        <f>"9781317839484"</f>
        <v>9781317839484</v>
      </c>
      <c r="K3760" t="s">
        <v>33</v>
      </c>
      <c r="L3760">
        <v>3</v>
      </c>
      <c r="O3760" t="s">
        <v>28</v>
      </c>
      <c r="P3760" t="s">
        <v>47</v>
      </c>
      <c r="Q3760" s="1">
        <v>42324.769456018519</v>
      </c>
      <c r="R3760">
        <v>1</v>
      </c>
      <c r="S3760" t="s">
        <v>163</v>
      </c>
      <c r="T3760" t="s">
        <v>6378</v>
      </c>
      <c r="U3760">
        <v>616.86071000000004</v>
      </c>
      <c r="V3760" s="3">
        <v>41610</v>
      </c>
    </row>
    <row r="3761" spans="1:22" x14ac:dyDescent="0.35">
      <c r="A3761" s="1">
        <v>42324.795856481483</v>
      </c>
      <c r="B3761" s="2">
        <v>3.4722222222222222E-5</v>
      </c>
      <c r="C3761" t="s">
        <v>6376</v>
      </c>
      <c r="D3761" t="s">
        <v>158</v>
      </c>
      <c r="E3761" t="s">
        <v>159</v>
      </c>
      <c r="F3761" t="s">
        <v>6377</v>
      </c>
      <c r="G3761">
        <v>1574821</v>
      </c>
      <c r="H3761" t="s">
        <v>68</v>
      </c>
      <c r="I3761" t="s">
        <v>247</v>
      </c>
      <c r="J3761" t="str">
        <f>"9781317839484"</f>
        <v>9781317839484</v>
      </c>
      <c r="K3761" t="s">
        <v>33</v>
      </c>
      <c r="L3761">
        <v>3</v>
      </c>
      <c r="O3761" t="s">
        <v>30</v>
      </c>
      <c r="P3761" t="s">
        <v>47</v>
      </c>
      <c r="Q3761" s="1">
        <v>42324.769456018519</v>
      </c>
      <c r="R3761">
        <v>1</v>
      </c>
      <c r="S3761" t="s">
        <v>163</v>
      </c>
      <c r="T3761" t="s">
        <v>6378</v>
      </c>
      <c r="U3761">
        <v>616.86071000000004</v>
      </c>
      <c r="V3761" s="3">
        <v>41610</v>
      </c>
    </row>
    <row r="3762" spans="1:22" x14ac:dyDescent="0.35">
      <c r="A3762" s="1">
        <v>42324.795243055552</v>
      </c>
      <c r="B3762" s="2">
        <v>4.0671296296296296E-2</v>
      </c>
      <c r="C3762" t="s">
        <v>5219</v>
      </c>
      <c r="D3762" t="s">
        <v>211</v>
      </c>
      <c r="E3762" t="s">
        <v>212</v>
      </c>
      <c r="F3762" t="s">
        <v>462</v>
      </c>
      <c r="G3762">
        <v>1822529</v>
      </c>
      <c r="H3762" t="s">
        <v>26</v>
      </c>
      <c r="I3762" t="s">
        <v>297</v>
      </c>
      <c r="J3762" t="str">
        <f>"9781118824344"</f>
        <v>9781118824344</v>
      </c>
      <c r="K3762" t="s">
        <v>6379</v>
      </c>
      <c r="L3762">
        <v>24</v>
      </c>
      <c r="O3762" t="s">
        <v>30</v>
      </c>
      <c r="P3762" t="s">
        <v>29</v>
      </c>
      <c r="Q3762" s="1">
        <v>42323.836689814816</v>
      </c>
      <c r="R3762">
        <v>7</v>
      </c>
      <c r="S3762" t="s">
        <v>214</v>
      </c>
      <c r="T3762" t="s">
        <v>464</v>
      </c>
      <c r="U3762">
        <v>519.4</v>
      </c>
      <c r="V3762" s="3">
        <v>41932</v>
      </c>
    </row>
    <row r="3763" spans="1:22" x14ac:dyDescent="0.35">
      <c r="A3763" s="1">
        <v>42324.78398148148</v>
      </c>
      <c r="B3763" s="2">
        <v>2.5462962962962961E-4</v>
      </c>
      <c r="C3763" t="s">
        <v>6380</v>
      </c>
      <c r="D3763" t="s">
        <v>125</v>
      </c>
      <c r="E3763" t="s">
        <v>126</v>
      </c>
      <c r="F3763" t="s">
        <v>2262</v>
      </c>
      <c r="G3763">
        <v>843674</v>
      </c>
      <c r="H3763" t="s">
        <v>26</v>
      </c>
      <c r="I3763" t="s">
        <v>322</v>
      </c>
      <c r="J3763" t="str">
        <f>"9781118348444"</f>
        <v>9781118348444</v>
      </c>
      <c r="K3763" t="s">
        <v>6381</v>
      </c>
      <c r="L3763">
        <v>3</v>
      </c>
      <c r="N3763" t="s">
        <v>6382</v>
      </c>
      <c r="O3763" t="s">
        <v>30</v>
      </c>
      <c r="P3763" t="s">
        <v>29</v>
      </c>
      <c r="Q3763" s="1">
        <v>42324.78396990741</v>
      </c>
      <c r="R3763">
        <v>7</v>
      </c>
      <c r="S3763" t="s">
        <v>128</v>
      </c>
      <c r="T3763" t="s">
        <v>2263</v>
      </c>
      <c r="U3763">
        <v>692.50972999999999</v>
      </c>
      <c r="V3763" s="3">
        <v>40960</v>
      </c>
    </row>
    <row r="3764" spans="1:22" x14ac:dyDescent="0.35">
      <c r="A3764" s="1">
        <v>42324.783668981479</v>
      </c>
      <c r="B3764" s="2">
        <v>3.2407407407407406E-4</v>
      </c>
      <c r="C3764" t="s">
        <v>4681</v>
      </c>
      <c r="D3764" t="s">
        <v>1222</v>
      </c>
      <c r="E3764" t="s">
        <v>1223</v>
      </c>
      <c r="F3764" t="s">
        <v>3263</v>
      </c>
      <c r="G3764">
        <v>1840835</v>
      </c>
      <c r="H3764" t="s">
        <v>26</v>
      </c>
      <c r="I3764" t="s">
        <v>108</v>
      </c>
      <c r="J3764" t="str">
        <f>"9781118950166"</f>
        <v>9781118950166</v>
      </c>
      <c r="K3764" t="s">
        <v>6383</v>
      </c>
      <c r="L3764">
        <v>11</v>
      </c>
      <c r="O3764" t="s">
        <v>30</v>
      </c>
      <c r="P3764" t="s">
        <v>42</v>
      </c>
      <c r="S3764" t="s">
        <v>1226</v>
      </c>
      <c r="T3764" t="s">
        <v>3264</v>
      </c>
      <c r="U3764">
        <v>338.10923789999998</v>
      </c>
      <c r="V3764" s="3">
        <v>41953</v>
      </c>
    </row>
    <row r="3765" spans="1:22" x14ac:dyDescent="0.35">
      <c r="A3765" s="1">
        <v>42324.78230324074</v>
      </c>
      <c r="B3765" s="2">
        <v>5.5555555555555556E-4</v>
      </c>
      <c r="C3765" t="s">
        <v>6384</v>
      </c>
      <c r="D3765" t="s">
        <v>35</v>
      </c>
      <c r="E3765" t="s">
        <v>36</v>
      </c>
      <c r="F3765" t="s">
        <v>3973</v>
      </c>
      <c r="G3765">
        <v>771049</v>
      </c>
      <c r="H3765" t="s">
        <v>3465</v>
      </c>
      <c r="I3765" t="s">
        <v>3974</v>
      </c>
      <c r="J3765" t="str">
        <f>"9781608706648"</f>
        <v>9781608706648</v>
      </c>
      <c r="K3765" t="s">
        <v>217</v>
      </c>
      <c r="L3765">
        <v>12</v>
      </c>
      <c r="O3765" t="s">
        <v>30</v>
      </c>
      <c r="P3765" t="s">
        <v>42</v>
      </c>
      <c r="S3765" t="s">
        <v>40</v>
      </c>
      <c r="T3765" t="s">
        <v>3976</v>
      </c>
      <c r="U3765">
        <v>363.73874000000001</v>
      </c>
      <c r="V3765" s="3">
        <v>40909</v>
      </c>
    </row>
    <row r="3766" spans="1:22" x14ac:dyDescent="0.35">
      <c r="A3766" s="1">
        <v>42324.781956018516</v>
      </c>
      <c r="B3766" s="2">
        <v>2.0138888888888888E-3</v>
      </c>
      <c r="C3766" t="s">
        <v>6380</v>
      </c>
      <c r="D3766" t="s">
        <v>125</v>
      </c>
      <c r="E3766" t="s">
        <v>126</v>
      </c>
      <c r="F3766" t="s">
        <v>2262</v>
      </c>
      <c r="G3766">
        <v>843674</v>
      </c>
      <c r="H3766" t="s">
        <v>26</v>
      </c>
      <c r="I3766" t="s">
        <v>322</v>
      </c>
      <c r="J3766" t="str">
        <f>"9781118348444"</f>
        <v>9781118348444</v>
      </c>
      <c r="K3766" t="s">
        <v>6385</v>
      </c>
      <c r="L3766">
        <v>60</v>
      </c>
      <c r="O3766" t="s">
        <v>30</v>
      </c>
      <c r="P3766" t="s">
        <v>42</v>
      </c>
      <c r="S3766" t="s">
        <v>128</v>
      </c>
      <c r="T3766" t="s">
        <v>2263</v>
      </c>
      <c r="U3766">
        <v>692.50972999999999</v>
      </c>
      <c r="V3766" s="3">
        <v>40960</v>
      </c>
    </row>
    <row r="3767" spans="1:22" x14ac:dyDescent="0.35">
      <c r="A3767" s="1">
        <v>42324.769467592596</v>
      </c>
      <c r="B3767" s="2">
        <v>6.4583333333333333E-3</v>
      </c>
      <c r="C3767" t="s">
        <v>6376</v>
      </c>
      <c r="D3767" t="s">
        <v>158</v>
      </c>
      <c r="E3767" t="s">
        <v>159</v>
      </c>
      <c r="F3767" t="s">
        <v>6377</v>
      </c>
      <c r="G3767">
        <v>1574821</v>
      </c>
      <c r="H3767" t="s">
        <v>68</v>
      </c>
      <c r="I3767" t="s">
        <v>247</v>
      </c>
      <c r="J3767" t="str">
        <f>"9781317839484"</f>
        <v>9781317839484</v>
      </c>
      <c r="K3767" t="s">
        <v>6386</v>
      </c>
      <c r="L3767">
        <v>39</v>
      </c>
      <c r="N3767" t="s">
        <v>6387</v>
      </c>
      <c r="O3767" t="s">
        <v>30</v>
      </c>
      <c r="P3767" t="s">
        <v>47</v>
      </c>
      <c r="Q3767" s="1">
        <v>42324.769456018519</v>
      </c>
      <c r="R3767">
        <v>1</v>
      </c>
      <c r="S3767" t="s">
        <v>163</v>
      </c>
      <c r="T3767" t="s">
        <v>6378</v>
      </c>
      <c r="U3767">
        <v>616.86071000000004</v>
      </c>
      <c r="V3767" s="3">
        <v>41610</v>
      </c>
    </row>
    <row r="3768" spans="1:22" x14ac:dyDescent="0.35">
      <c r="A3768" s="1">
        <v>42324.767488425925</v>
      </c>
      <c r="B3768" s="2">
        <v>1.9675925925925928E-3</v>
      </c>
      <c r="C3768" t="s">
        <v>6376</v>
      </c>
      <c r="D3768" t="s">
        <v>158</v>
      </c>
      <c r="E3768" t="s">
        <v>159</v>
      </c>
      <c r="F3768" t="s">
        <v>6377</v>
      </c>
      <c r="G3768">
        <v>1574821</v>
      </c>
      <c r="H3768" t="s">
        <v>68</v>
      </c>
      <c r="I3768" t="s">
        <v>247</v>
      </c>
      <c r="J3768" t="str">
        <f>"9781317839484"</f>
        <v>9781317839484</v>
      </c>
      <c r="K3768" t="s">
        <v>6388</v>
      </c>
      <c r="L3768">
        <v>42</v>
      </c>
      <c r="O3768" t="s">
        <v>30</v>
      </c>
      <c r="P3768" t="s">
        <v>50</v>
      </c>
      <c r="S3768" t="s">
        <v>163</v>
      </c>
      <c r="T3768" t="s">
        <v>6378</v>
      </c>
      <c r="U3768">
        <v>616.86071000000004</v>
      </c>
      <c r="V3768" s="3">
        <v>41610</v>
      </c>
    </row>
    <row r="3769" spans="1:22" x14ac:dyDescent="0.35">
      <c r="A3769" s="1">
        <v>42324.763819444444</v>
      </c>
      <c r="B3769" s="2">
        <v>6.3159722222222228E-2</v>
      </c>
      <c r="C3769" t="s">
        <v>5019</v>
      </c>
      <c r="D3769" t="s">
        <v>35</v>
      </c>
      <c r="E3769" t="s">
        <v>36</v>
      </c>
      <c r="F3769" t="s">
        <v>986</v>
      </c>
      <c r="G3769">
        <v>968030</v>
      </c>
      <c r="H3769" t="s">
        <v>26</v>
      </c>
      <c r="I3769" t="s">
        <v>219</v>
      </c>
      <c r="J3769" t="str">
        <f>"9781118285138"</f>
        <v>9781118285138</v>
      </c>
      <c r="K3769" t="s">
        <v>33</v>
      </c>
      <c r="L3769">
        <v>3</v>
      </c>
      <c r="O3769" t="s">
        <v>30</v>
      </c>
      <c r="P3769" t="s">
        <v>42</v>
      </c>
      <c r="S3769" t="s">
        <v>40</v>
      </c>
      <c r="T3769" t="s">
        <v>987</v>
      </c>
      <c r="U3769">
        <v>158.30000000000001</v>
      </c>
      <c r="V3769" s="3">
        <v>41100</v>
      </c>
    </row>
    <row r="3770" spans="1:22" x14ac:dyDescent="0.35">
      <c r="A3770" s="1">
        <v>42324.75980324074</v>
      </c>
      <c r="B3770" s="2">
        <v>5.2199074074074066E-3</v>
      </c>
      <c r="C3770" t="s">
        <v>6330</v>
      </c>
      <c r="D3770" t="s">
        <v>261</v>
      </c>
      <c r="E3770" t="s">
        <v>262</v>
      </c>
      <c r="F3770" t="s">
        <v>6069</v>
      </c>
      <c r="G3770">
        <v>836174</v>
      </c>
      <c r="H3770" t="s">
        <v>149</v>
      </c>
      <c r="I3770" t="s">
        <v>172</v>
      </c>
      <c r="J3770" t="str">
        <f>"9781438139685"</f>
        <v>9781438139685</v>
      </c>
      <c r="K3770" t="s">
        <v>6389</v>
      </c>
      <c r="L3770">
        <v>3</v>
      </c>
      <c r="O3770" t="s">
        <v>30</v>
      </c>
      <c r="P3770" t="s">
        <v>29</v>
      </c>
      <c r="Q3770" s="1">
        <v>42324.75980324074</v>
      </c>
      <c r="R3770">
        <v>7</v>
      </c>
      <c r="S3770" t="s">
        <v>264</v>
      </c>
      <c r="T3770" t="s">
        <v>6071</v>
      </c>
      <c r="U3770">
        <v>941.50810000000001</v>
      </c>
      <c r="V3770" s="3">
        <v>40848</v>
      </c>
    </row>
    <row r="3771" spans="1:22" x14ac:dyDescent="0.35">
      <c r="A3771" s="1">
        <v>42324.754027777781</v>
      </c>
      <c r="B3771" s="2">
        <v>7.4282407407407408E-2</v>
      </c>
      <c r="C3771" t="s">
        <v>6390</v>
      </c>
      <c r="D3771" t="s">
        <v>23</v>
      </c>
      <c r="E3771" t="s">
        <v>24</v>
      </c>
      <c r="F3771" t="s">
        <v>486</v>
      </c>
      <c r="G3771">
        <v>1119505</v>
      </c>
      <c r="H3771" t="s">
        <v>26</v>
      </c>
      <c r="I3771" t="s">
        <v>450</v>
      </c>
      <c r="J3771" t="str">
        <f>"9781118355015"</f>
        <v>9781118355015</v>
      </c>
      <c r="K3771" t="s">
        <v>6391</v>
      </c>
      <c r="L3771">
        <v>101</v>
      </c>
      <c r="N3771" t="s">
        <v>6392</v>
      </c>
      <c r="O3771" t="s">
        <v>30</v>
      </c>
      <c r="P3771" t="s">
        <v>29</v>
      </c>
      <c r="Q3771" s="1">
        <v>42323.874548611115</v>
      </c>
      <c r="R3771">
        <v>7</v>
      </c>
      <c r="S3771" t="s">
        <v>31</v>
      </c>
      <c r="T3771" t="s">
        <v>487</v>
      </c>
      <c r="U3771" t="s">
        <v>488</v>
      </c>
      <c r="V3771" s="3">
        <v>41302</v>
      </c>
    </row>
    <row r="3772" spans="1:22" x14ac:dyDescent="0.35">
      <c r="A3772" s="1">
        <v>42324.754004629627</v>
      </c>
      <c r="B3772" s="2">
        <v>1.4074074074074074E-2</v>
      </c>
      <c r="C3772" t="s">
        <v>106</v>
      </c>
      <c r="D3772" t="s">
        <v>23</v>
      </c>
      <c r="E3772" t="s">
        <v>24</v>
      </c>
      <c r="F3772" t="s">
        <v>486</v>
      </c>
      <c r="G3772">
        <v>1119505</v>
      </c>
      <c r="H3772" t="s">
        <v>26</v>
      </c>
      <c r="I3772" t="s">
        <v>450</v>
      </c>
      <c r="J3772" t="str">
        <f>"9781118355015"</f>
        <v>9781118355015</v>
      </c>
      <c r="K3772" t="s">
        <v>6393</v>
      </c>
      <c r="L3772">
        <v>27</v>
      </c>
      <c r="O3772" t="s">
        <v>30</v>
      </c>
      <c r="P3772" t="s">
        <v>29</v>
      </c>
      <c r="Q3772" s="1">
        <v>42322.677546296298</v>
      </c>
      <c r="R3772">
        <v>7</v>
      </c>
      <c r="S3772" t="s">
        <v>31</v>
      </c>
      <c r="T3772" t="s">
        <v>487</v>
      </c>
      <c r="U3772" t="s">
        <v>488</v>
      </c>
      <c r="V3772" s="3">
        <v>41302</v>
      </c>
    </row>
    <row r="3773" spans="1:22" x14ac:dyDescent="0.35">
      <c r="A3773" s="1">
        <v>42324.742905092593</v>
      </c>
      <c r="B3773" s="2">
        <v>1.6898148148148148E-2</v>
      </c>
      <c r="C3773" t="s">
        <v>6330</v>
      </c>
      <c r="D3773" t="s">
        <v>261</v>
      </c>
      <c r="E3773" t="s">
        <v>262</v>
      </c>
      <c r="F3773" t="s">
        <v>6069</v>
      </c>
      <c r="G3773">
        <v>836174</v>
      </c>
      <c r="H3773" t="s">
        <v>149</v>
      </c>
      <c r="I3773" t="s">
        <v>172</v>
      </c>
      <c r="J3773" t="str">
        <f>"9781438139685"</f>
        <v>9781438139685</v>
      </c>
      <c r="K3773" t="s">
        <v>6394</v>
      </c>
      <c r="L3773">
        <v>9</v>
      </c>
      <c r="O3773" t="s">
        <v>30</v>
      </c>
      <c r="P3773" t="s">
        <v>42</v>
      </c>
      <c r="S3773" t="s">
        <v>264</v>
      </c>
      <c r="T3773" t="s">
        <v>6071</v>
      </c>
      <c r="U3773">
        <v>941.50810000000001</v>
      </c>
      <c r="V3773" s="3">
        <v>40848</v>
      </c>
    </row>
    <row r="3774" spans="1:22" x14ac:dyDescent="0.35">
      <c r="A3774" s="1">
        <v>42324.740740740737</v>
      </c>
      <c r="B3774" s="2">
        <v>3.8194444444444446E-4</v>
      </c>
      <c r="C3774" t="s">
        <v>6395</v>
      </c>
      <c r="D3774" t="s">
        <v>6396</v>
      </c>
      <c r="E3774" t="s">
        <v>6397</v>
      </c>
      <c r="F3774" t="s">
        <v>6398</v>
      </c>
      <c r="G3774">
        <v>1896024</v>
      </c>
      <c r="H3774" t="s">
        <v>26</v>
      </c>
      <c r="I3774" t="s">
        <v>69</v>
      </c>
      <c r="J3774" t="str">
        <f>"9781119061496"</f>
        <v>9781119061496</v>
      </c>
      <c r="K3774" t="s">
        <v>6399</v>
      </c>
      <c r="L3774">
        <v>8</v>
      </c>
      <c r="O3774" t="s">
        <v>30</v>
      </c>
      <c r="P3774" t="s">
        <v>50</v>
      </c>
      <c r="S3774" t="s">
        <v>6400</v>
      </c>
      <c r="T3774" t="s">
        <v>6401</v>
      </c>
      <c r="U3774">
        <v>378.00720000000001</v>
      </c>
      <c r="V3774" s="3">
        <v>42074</v>
      </c>
    </row>
    <row r="3775" spans="1:22" x14ac:dyDescent="0.35">
      <c r="A3775" s="1">
        <v>42324.730347222219</v>
      </c>
      <c r="B3775" s="2">
        <v>4.6296296296296293E-4</v>
      </c>
      <c r="C3775" t="s">
        <v>6390</v>
      </c>
      <c r="D3775" t="s">
        <v>23</v>
      </c>
      <c r="E3775" t="s">
        <v>24</v>
      </c>
      <c r="F3775" t="s">
        <v>486</v>
      </c>
      <c r="G3775">
        <v>1119505</v>
      </c>
      <c r="H3775" t="s">
        <v>26</v>
      </c>
      <c r="I3775" t="s">
        <v>450</v>
      </c>
      <c r="J3775" t="str">
        <f>"9781118355015"</f>
        <v>9781118355015</v>
      </c>
      <c r="K3775" t="s">
        <v>6402</v>
      </c>
      <c r="L3775">
        <v>9</v>
      </c>
      <c r="O3775" t="s">
        <v>30</v>
      </c>
      <c r="P3775" t="s">
        <v>29</v>
      </c>
      <c r="Q3775" s="1">
        <v>42323.874548611115</v>
      </c>
      <c r="R3775">
        <v>7</v>
      </c>
      <c r="S3775" t="s">
        <v>31</v>
      </c>
      <c r="T3775" t="s">
        <v>487</v>
      </c>
      <c r="U3775" t="s">
        <v>488</v>
      </c>
      <c r="V3775" s="3">
        <v>41302</v>
      </c>
    </row>
    <row r="3776" spans="1:22" x14ac:dyDescent="0.35">
      <c r="A3776" s="1">
        <v>42324.71435185185</v>
      </c>
      <c r="B3776" s="2">
        <v>7.6273148148148151E-3</v>
      </c>
      <c r="C3776" t="s">
        <v>6403</v>
      </c>
      <c r="D3776" t="s">
        <v>6396</v>
      </c>
      <c r="E3776" t="s">
        <v>6397</v>
      </c>
      <c r="F3776" t="s">
        <v>6404</v>
      </c>
      <c r="G3776">
        <v>1969391</v>
      </c>
      <c r="H3776" t="s">
        <v>45</v>
      </c>
      <c r="I3776" t="s">
        <v>120</v>
      </c>
      <c r="J3776" t="str">
        <f>"9781409442608"</f>
        <v>9781409442608</v>
      </c>
      <c r="K3776" t="s">
        <v>6405</v>
      </c>
      <c r="L3776">
        <v>20</v>
      </c>
      <c r="O3776" t="s">
        <v>30</v>
      </c>
      <c r="P3776" t="s">
        <v>47</v>
      </c>
      <c r="Q3776" s="1">
        <v>42324.71434027778</v>
      </c>
      <c r="R3776">
        <v>1</v>
      </c>
      <c r="S3776" t="s">
        <v>6400</v>
      </c>
      <c r="T3776" t="s">
        <v>6406</v>
      </c>
      <c r="U3776">
        <v>307.76097299999998</v>
      </c>
      <c r="V3776" s="3">
        <v>42091</v>
      </c>
    </row>
    <row r="3777" spans="1:22" x14ac:dyDescent="0.35">
      <c r="A3777" s="1">
        <v>42324.709386574075</v>
      </c>
      <c r="B3777" s="2">
        <v>4.9537037037037041E-3</v>
      </c>
      <c r="C3777" t="s">
        <v>6403</v>
      </c>
      <c r="D3777" t="s">
        <v>6396</v>
      </c>
      <c r="E3777" t="s">
        <v>6397</v>
      </c>
      <c r="F3777" t="s">
        <v>6404</v>
      </c>
      <c r="G3777">
        <v>1969391</v>
      </c>
      <c r="H3777" t="s">
        <v>45</v>
      </c>
      <c r="I3777" t="s">
        <v>120</v>
      </c>
      <c r="J3777" t="str">
        <f>"9781409442608"</f>
        <v>9781409442608</v>
      </c>
      <c r="K3777" t="s">
        <v>6407</v>
      </c>
      <c r="L3777">
        <v>37</v>
      </c>
      <c r="O3777" t="s">
        <v>30</v>
      </c>
      <c r="P3777" t="s">
        <v>50</v>
      </c>
      <c r="S3777" t="s">
        <v>6400</v>
      </c>
      <c r="T3777" t="s">
        <v>6406</v>
      </c>
      <c r="U3777">
        <v>307.76097299999998</v>
      </c>
      <c r="V3777" s="3">
        <v>42091</v>
      </c>
    </row>
    <row r="3778" spans="1:22" x14ac:dyDescent="0.35">
      <c r="A3778" s="1">
        <v>42324.700497685182</v>
      </c>
      <c r="B3778" s="2">
        <v>5.9953703703703697E-3</v>
      </c>
      <c r="C3778" t="s">
        <v>6408</v>
      </c>
      <c r="D3778" t="s">
        <v>35</v>
      </c>
      <c r="E3778" t="s">
        <v>36</v>
      </c>
      <c r="F3778" t="s">
        <v>3275</v>
      </c>
      <c r="G3778">
        <v>822662</v>
      </c>
      <c r="H3778" t="s">
        <v>26</v>
      </c>
      <c r="I3778" t="s">
        <v>172</v>
      </c>
      <c r="J3778" t="str">
        <f>"9781444355130"</f>
        <v>9781444355130</v>
      </c>
      <c r="K3778" t="s">
        <v>6409</v>
      </c>
      <c r="L3778">
        <v>42</v>
      </c>
      <c r="O3778" t="s">
        <v>30</v>
      </c>
      <c r="P3778" t="s">
        <v>42</v>
      </c>
      <c r="S3778" t="s">
        <v>40</v>
      </c>
      <c r="T3778" t="s">
        <v>3277</v>
      </c>
      <c r="U3778">
        <v>960.3</v>
      </c>
      <c r="V3778" s="3">
        <v>40858</v>
      </c>
    </row>
    <row r="3779" spans="1:22" x14ac:dyDescent="0.35">
      <c r="A3779" s="1">
        <v>42324.697418981479</v>
      </c>
      <c r="B3779" s="2">
        <v>8.9629629629629629E-2</v>
      </c>
      <c r="C3779" t="s">
        <v>6410</v>
      </c>
      <c r="D3779" t="s">
        <v>23</v>
      </c>
      <c r="E3779" t="s">
        <v>24</v>
      </c>
      <c r="F3779" t="s">
        <v>4130</v>
      </c>
      <c r="G3779">
        <v>1433263</v>
      </c>
      <c r="H3779" t="s">
        <v>84</v>
      </c>
      <c r="I3779" t="s">
        <v>172</v>
      </c>
      <c r="J3779" t="str">
        <f>"9780520957145"</f>
        <v>9780520957145</v>
      </c>
      <c r="K3779" t="s">
        <v>6411</v>
      </c>
      <c r="L3779">
        <v>174</v>
      </c>
      <c r="O3779" t="s">
        <v>30</v>
      </c>
      <c r="P3779" t="s">
        <v>29</v>
      </c>
      <c r="Q3779" s="1">
        <v>42324.697418981479</v>
      </c>
      <c r="R3779">
        <v>7</v>
      </c>
      <c r="S3779" t="s">
        <v>31</v>
      </c>
      <c r="T3779" t="s">
        <v>4132</v>
      </c>
      <c r="U3779">
        <v>961.10400000000004</v>
      </c>
      <c r="V3779" s="3">
        <v>41544</v>
      </c>
    </row>
    <row r="3780" spans="1:22" x14ac:dyDescent="0.35">
      <c r="A3780" s="1">
        <v>42324.689386574071</v>
      </c>
      <c r="B3780" s="2">
        <v>8.0324074074074065E-3</v>
      </c>
      <c r="C3780" t="s">
        <v>6410</v>
      </c>
      <c r="D3780" t="s">
        <v>23</v>
      </c>
      <c r="E3780" t="s">
        <v>24</v>
      </c>
      <c r="F3780" t="s">
        <v>4130</v>
      </c>
      <c r="G3780">
        <v>1433263</v>
      </c>
      <c r="H3780" t="s">
        <v>84</v>
      </c>
      <c r="I3780" t="s">
        <v>172</v>
      </c>
      <c r="J3780" t="str">
        <f>"9780520957145"</f>
        <v>9780520957145</v>
      </c>
      <c r="K3780" t="s">
        <v>6412</v>
      </c>
      <c r="L3780">
        <v>23</v>
      </c>
      <c r="O3780" t="s">
        <v>30</v>
      </c>
      <c r="P3780" t="s">
        <v>42</v>
      </c>
      <c r="S3780" t="s">
        <v>31</v>
      </c>
      <c r="T3780" t="s">
        <v>4132</v>
      </c>
      <c r="U3780">
        <v>961.10400000000004</v>
      </c>
      <c r="V3780" s="3">
        <v>41544</v>
      </c>
    </row>
    <row r="3781" spans="1:22" x14ac:dyDescent="0.35">
      <c r="A3781" s="1">
        <v>42324.684201388889</v>
      </c>
      <c r="B3781" s="2">
        <v>4.0972222222222222E-2</v>
      </c>
      <c r="C3781" t="s">
        <v>106</v>
      </c>
      <c r="D3781" t="s">
        <v>23</v>
      </c>
      <c r="E3781" t="s">
        <v>24</v>
      </c>
      <c r="F3781" t="s">
        <v>486</v>
      </c>
      <c r="G3781">
        <v>1119505</v>
      </c>
      <c r="H3781" t="s">
        <v>26</v>
      </c>
      <c r="I3781" t="s">
        <v>450</v>
      </c>
      <c r="J3781" t="str">
        <f>"9781118355015"</f>
        <v>9781118355015</v>
      </c>
      <c r="K3781" t="s">
        <v>6413</v>
      </c>
      <c r="L3781">
        <v>77</v>
      </c>
      <c r="O3781" t="s">
        <v>30</v>
      </c>
      <c r="P3781" t="s">
        <v>29</v>
      </c>
      <c r="Q3781" s="1">
        <v>42322.677546296298</v>
      </c>
      <c r="R3781">
        <v>7</v>
      </c>
      <c r="S3781" t="s">
        <v>31</v>
      </c>
      <c r="T3781" t="s">
        <v>487</v>
      </c>
      <c r="U3781" t="s">
        <v>488</v>
      </c>
      <c r="V3781" s="3">
        <v>41302</v>
      </c>
    </row>
    <row r="3782" spans="1:22" x14ac:dyDescent="0.35">
      <c r="A3782" s="1">
        <v>42324.682858796295</v>
      </c>
      <c r="B3782" s="2">
        <v>7.9861111111111105E-4</v>
      </c>
      <c r="C3782" t="s">
        <v>6414</v>
      </c>
      <c r="D3782" t="s">
        <v>146</v>
      </c>
      <c r="E3782" t="s">
        <v>147</v>
      </c>
      <c r="F3782" t="s">
        <v>775</v>
      </c>
      <c r="G3782">
        <v>1809742</v>
      </c>
      <c r="H3782" t="s">
        <v>26</v>
      </c>
      <c r="I3782" t="s">
        <v>776</v>
      </c>
      <c r="J3782" t="str">
        <f>"9781118968291"</f>
        <v>9781118968291</v>
      </c>
      <c r="K3782" t="s">
        <v>6415</v>
      </c>
      <c r="L3782">
        <v>14</v>
      </c>
      <c r="O3782" t="s">
        <v>30</v>
      </c>
      <c r="P3782" t="s">
        <v>29</v>
      </c>
      <c r="Q3782" s="1">
        <v>42324.660740740743</v>
      </c>
      <c r="R3782">
        <v>7</v>
      </c>
      <c r="S3782" t="s">
        <v>778</v>
      </c>
      <c r="T3782" t="s">
        <v>779</v>
      </c>
      <c r="U3782">
        <v>794.8</v>
      </c>
      <c r="V3782" s="3">
        <v>41911</v>
      </c>
    </row>
    <row r="3783" spans="1:22" x14ac:dyDescent="0.35">
      <c r="A3783" s="1">
        <v>42324.681712962964</v>
      </c>
      <c r="B3783" s="2">
        <v>4.8611111111111104E-4</v>
      </c>
      <c r="C3783" t="s">
        <v>6414</v>
      </c>
      <c r="D3783" t="s">
        <v>146</v>
      </c>
      <c r="E3783" t="s">
        <v>147</v>
      </c>
      <c r="F3783" t="s">
        <v>775</v>
      </c>
      <c r="G3783">
        <v>1809742</v>
      </c>
      <c r="H3783" t="s">
        <v>26</v>
      </c>
      <c r="I3783" t="s">
        <v>776</v>
      </c>
      <c r="J3783" t="str">
        <f>"9781118968291"</f>
        <v>9781118968291</v>
      </c>
      <c r="K3783" t="s">
        <v>6416</v>
      </c>
      <c r="L3783">
        <v>17</v>
      </c>
      <c r="O3783" t="s">
        <v>30</v>
      </c>
      <c r="P3783" t="s">
        <v>29</v>
      </c>
      <c r="Q3783" s="1">
        <v>42324.660740740743</v>
      </c>
      <c r="R3783">
        <v>7</v>
      </c>
      <c r="S3783" t="s">
        <v>778</v>
      </c>
      <c r="T3783" t="s">
        <v>779</v>
      </c>
      <c r="U3783">
        <v>794.8</v>
      </c>
      <c r="V3783" s="3">
        <v>41911</v>
      </c>
    </row>
    <row r="3784" spans="1:22" x14ac:dyDescent="0.35">
      <c r="A3784" s="1">
        <v>42324.679606481484</v>
      </c>
      <c r="B3784" s="2">
        <v>0</v>
      </c>
      <c r="C3784" t="s">
        <v>6417</v>
      </c>
      <c r="D3784" t="s">
        <v>23</v>
      </c>
      <c r="E3784" t="s">
        <v>24</v>
      </c>
      <c r="F3784" t="s">
        <v>6418</v>
      </c>
      <c r="G3784">
        <v>1168529</v>
      </c>
      <c r="H3784" t="s">
        <v>26</v>
      </c>
      <c r="I3784" t="s">
        <v>297</v>
      </c>
      <c r="J3784" t="str">
        <f>"9781118710944"</f>
        <v>9781118710944</v>
      </c>
      <c r="L3784">
        <v>0</v>
      </c>
      <c r="O3784" t="s">
        <v>28</v>
      </c>
      <c r="P3784" t="s">
        <v>29</v>
      </c>
      <c r="Q3784" s="1">
        <v>42323.108310185184</v>
      </c>
      <c r="R3784">
        <v>7</v>
      </c>
      <c r="S3784" t="s">
        <v>31</v>
      </c>
      <c r="T3784" t="s">
        <v>6419</v>
      </c>
      <c r="U3784" t="s">
        <v>6420</v>
      </c>
      <c r="V3784" s="3">
        <v>41372</v>
      </c>
    </row>
    <row r="3785" spans="1:22" x14ac:dyDescent="0.35">
      <c r="A3785" s="1">
        <v>42324.679502314815</v>
      </c>
      <c r="B3785" s="2">
        <v>3.4722222222222222E-5</v>
      </c>
      <c r="C3785" t="s">
        <v>6417</v>
      </c>
      <c r="D3785" t="s">
        <v>23</v>
      </c>
      <c r="E3785" t="s">
        <v>24</v>
      </c>
      <c r="F3785" t="s">
        <v>6418</v>
      </c>
      <c r="G3785">
        <v>1168529</v>
      </c>
      <c r="H3785" t="s">
        <v>26</v>
      </c>
      <c r="I3785" t="s">
        <v>297</v>
      </c>
      <c r="J3785" t="str">
        <f>"9781118710944"</f>
        <v>9781118710944</v>
      </c>
      <c r="K3785" t="s">
        <v>33</v>
      </c>
      <c r="L3785">
        <v>3</v>
      </c>
      <c r="O3785" t="s">
        <v>30</v>
      </c>
      <c r="P3785" t="s">
        <v>29</v>
      </c>
      <c r="Q3785" s="1">
        <v>42323.108310185184</v>
      </c>
      <c r="R3785">
        <v>7</v>
      </c>
      <c r="S3785" t="s">
        <v>31</v>
      </c>
      <c r="T3785" t="s">
        <v>6419</v>
      </c>
      <c r="U3785" t="s">
        <v>6420</v>
      </c>
      <c r="V3785" s="3">
        <v>41372</v>
      </c>
    </row>
    <row r="3786" spans="1:22" x14ac:dyDescent="0.35">
      <c r="A3786" s="1">
        <v>42324.676516203705</v>
      </c>
      <c r="B3786" s="2">
        <v>5.6249999999999989E-3</v>
      </c>
      <c r="C3786" t="s">
        <v>4949</v>
      </c>
      <c r="D3786" t="s">
        <v>360</v>
      </c>
      <c r="E3786" t="s">
        <v>361</v>
      </c>
      <c r="F3786" t="s">
        <v>4950</v>
      </c>
      <c r="G3786">
        <v>1693780</v>
      </c>
      <c r="H3786" t="s">
        <v>26</v>
      </c>
      <c r="I3786" t="s">
        <v>328</v>
      </c>
      <c r="J3786" t="str">
        <f>"9781118869420"</f>
        <v>9781118869420</v>
      </c>
      <c r="K3786" t="s">
        <v>6421</v>
      </c>
      <c r="L3786">
        <v>4</v>
      </c>
      <c r="O3786" t="s">
        <v>30</v>
      </c>
      <c r="P3786" t="s">
        <v>29</v>
      </c>
      <c r="Q3786" s="1">
        <v>42324.676516203705</v>
      </c>
      <c r="R3786">
        <v>7</v>
      </c>
      <c r="S3786" t="s">
        <v>363</v>
      </c>
      <c r="T3786" t="s">
        <v>4952</v>
      </c>
      <c r="U3786">
        <v>362.10973000000001</v>
      </c>
      <c r="V3786" s="3">
        <v>41779</v>
      </c>
    </row>
    <row r="3787" spans="1:22" x14ac:dyDescent="0.35">
      <c r="A3787" s="1">
        <v>42324.669421296298</v>
      </c>
      <c r="B3787" s="2">
        <v>7.0949074074074074E-3</v>
      </c>
      <c r="C3787" t="s">
        <v>4949</v>
      </c>
      <c r="D3787" t="s">
        <v>360</v>
      </c>
      <c r="E3787" t="s">
        <v>361</v>
      </c>
      <c r="F3787" t="s">
        <v>4950</v>
      </c>
      <c r="G3787">
        <v>1693780</v>
      </c>
      <c r="H3787" t="s">
        <v>26</v>
      </c>
      <c r="I3787" t="s">
        <v>328</v>
      </c>
      <c r="J3787" t="str">
        <f>"9781118869420"</f>
        <v>9781118869420</v>
      </c>
      <c r="K3787" t="s">
        <v>6422</v>
      </c>
      <c r="L3787">
        <v>27</v>
      </c>
      <c r="O3787" t="s">
        <v>30</v>
      </c>
      <c r="P3787" t="s">
        <v>50</v>
      </c>
      <c r="S3787" t="s">
        <v>363</v>
      </c>
      <c r="T3787" t="s">
        <v>4952</v>
      </c>
      <c r="U3787">
        <v>362.10973000000001</v>
      </c>
      <c r="V3787" s="3">
        <v>41779</v>
      </c>
    </row>
    <row r="3788" spans="1:22" x14ac:dyDescent="0.35">
      <c r="A3788" s="1">
        <v>42324.660740740743</v>
      </c>
      <c r="B3788" s="2">
        <v>2.7777777777777778E-4</v>
      </c>
      <c r="C3788" t="s">
        <v>6414</v>
      </c>
      <c r="D3788" t="s">
        <v>146</v>
      </c>
      <c r="E3788" t="s">
        <v>147</v>
      </c>
      <c r="F3788" t="s">
        <v>775</v>
      </c>
      <c r="G3788">
        <v>1809742</v>
      </c>
      <c r="H3788" t="s">
        <v>26</v>
      </c>
      <c r="I3788" t="s">
        <v>776</v>
      </c>
      <c r="J3788" t="str">
        <f>"9781118968291"</f>
        <v>9781118968291</v>
      </c>
      <c r="K3788" t="s">
        <v>6423</v>
      </c>
      <c r="L3788">
        <v>8</v>
      </c>
      <c r="O3788" t="s">
        <v>30</v>
      </c>
      <c r="P3788" t="s">
        <v>29</v>
      </c>
      <c r="Q3788" s="1">
        <v>42324.660740740743</v>
      </c>
      <c r="R3788">
        <v>7</v>
      </c>
      <c r="S3788" t="s">
        <v>778</v>
      </c>
      <c r="T3788" t="s">
        <v>779</v>
      </c>
      <c r="U3788">
        <v>794.8</v>
      </c>
      <c r="V3788" s="3">
        <v>41911</v>
      </c>
    </row>
    <row r="3789" spans="1:22" x14ac:dyDescent="0.35">
      <c r="A3789" s="1">
        <v>42324.658668981479</v>
      </c>
      <c r="B3789" s="2">
        <v>2.0717592592592593E-3</v>
      </c>
      <c r="C3789" t="s">
        <v>6414</v>
      </c>
      <c r="D3789" t="s">
        <v>146</v>
      </c>
      <c r="E3789" t="s">
        <v>147</v>
      </c>
      <c r="F3789" t="s">
        <v>775</v>
      </c>
      <c r="G3789">
        <v>1809742</v>
      </c>
      <c r="H3789" t="s">
        <v>26</v>
      </c>
      <c r="I3789" t="s">
        <v>776</v>
      </c>
      <c r="J3789" t="str">
        <f>"9781118968291"</f>
        <v>9781118968291</v>
      </c>
      <c r="K3789" t="s">
        <v>6424</v>
      </c>
      <c r="L3789">
        <v>8</v>
      </c>
      <c r="O3789" t="s">
        <v>30</v>
      </c>
      <c r="P3789" t="s">
        <v>42</v>
      </c>
      <c r="S3789" t="s">
        <v>778</v>
      </c>
      <c r="T3789" t="s">
        <v>779</v>
      </c>
      <c r="U3789">
        <v>794.8</v>
      </c>
      <c r="V3789" s="3">
        <v>41911</v>
      </c>
    </row>
    <row r="3790" spans="1:22" x14ac:dyDescent="0.35">
      <c r="A3790" s="1">
        <v>42324.645868055559</v>
      </c>
      <c r="B3790" s="2">
        <v>1.7013888888888892E-3</v>
      </c>
      <c r="C3790" t="s">
        <v>774</v>
      </c>
      <c r="D3790" t="s">
        <v>146</v>
      </c>
      <c r="E3790" t="s">
        <v>147</v>
      </c>
      <c r="F3790" t="s">
        <v>775</v>
      </c>
      <c r="G3790">
        <v>1809742</v>
      </c>
      <c r="H3790" t="s">
        <v>26</v>
      </c>
      <c r="I3790" t="s">
        <v>776</v>
      </c>
      <c r="J3790" t="str">
        <f>"9781118968291"</f>
        <v>9781118968291</v>
      </c>
      <c r="K3790" t="s">
        <v>6425</v>
      </c>
      <c r="L3790">
        <v>9</v>
      </c>
      <c r="O3790" t="s">
        <v>30</v>
      </c>
      <c r="P3790" t="s">
        <v>42</v>
      </c>
      <c r="S3790" t="s">
        <v>778</v>
      </c>
      <c r="T3790" t="s">
        <v>779</v>
      </c>
      <c r="U3790">
        <v>794.8</v>
      </c>
      <c r="V3790" s="3">
        <v>41911</v>
      </c>
    </row>
    <row r="3791" spans="1:22" x14ac:dyDescent="0.35">
      <c r="A3791" s="1">
        <v>42324.637199074074</v>
      </c>
      <c r="B3791" s="2">
        <v>1.9918981481481482E-2</v>
      </c>
      <c r="C3791" t="s">
        <v>210</v>
      </c>
      <c r="D3791" t="s">
        <v>211</v>
      </c>
      <c r="E3791" t="s">
        <v>212</v>
      </c>
      <c r="F3791" t="s">
        <v>2200</v>
      </c>
      <c r="G3791">
        <v>1119449</v>
      </c>
      <c r="H3791" t="s">
        <v>26</v>
      </c>
      <c r="I3791" t="s">
        <v>219</v>
      </c>
      <c r="J3791" t="str">
        <f>"9781118482230"</f>
        <v>9781118482230</v>
      </c>
      <c r="K3791" t="s">
        <v>6426</v>
      </c>
      <c r="L3791">
        <v>64</v>
      </c>
      <c r="O3791" t="s">
        <v>30</v>
      </c>
      <c r="P3791" t="s">
        <v>29</v>
      </c>
      <c r="Q3791" s="1">
        <v>42324.637187499997</v>
      </c>
      <c r="R3791">
        <v>7</v>
      </c>
      <c r="S3791" t="s">
        <v>214</v>
      </c>
      <c r="T3791" t="s">
        <v>2203</v>
      </c>
      <c r="U3791" t="s">
        <v>2204</v>
      </c>
      <c r="V3791" s="3">
        <v>41302</v>
      </c>
    </row>
    <row r="3792" spans="1:22" x14ac:dyDescent="0.35">
      <c r="A3792" s="1">
        <v>42324.634340277778</v>
      </c>
      <c r="B3792" s="2">
        <v>6.9791666666666674E-3</v>
      </c>
      <c r="C3792" t="s">
        <v>6427</v>
      </c>
      <c r="D3792" t="s">
        <v>623</v>
      </c>
      <c r="E3792" t="s">
        <v>624</v>
      </c>
      <c r="F3792" t="s">
        <v>3993</v>
      </c>
      <c r="G3792">
        <v>1798778</v>
      </c>
      <c r="H3792" t="s">
        <v>26</v>
      </c>
      <c r="I3792" t="s">
        <v>247</v>
      </c>
      <c r="J3792" t="str">
        <f>"9781118760741"</f>
        <v>9781118760741</v>
      </c>
      <c r="K3792" t="s">
        <v>6428</v>
      </c>
      <c r="L3792">
        <v>26</v>
      </c>
      <c r="M3792" t="s">
        <v>6429</v>
      </c>
      <c r="O3792" t="s">
        <v>30</v>
      </c>
      <c r="P3792" t="s">
        <v>29</v>
      </c>
      <c r="Q3792" s="1">
        <v>42324.634340277778</v>
      </c>
      <c r="R3792">
        <v>7</v>
      </c>
      <c r="S3792" t="s">
        <v>627</v>
      </c>
      <c r="T3792" t="s">
        <v>3995</v>
      </c>
      <c r="U3792">
        <v>616.07500000000005</v>
      </c>
      <c r="V3792" s="3">
        <v>41906</v>
      </c>
    </row>
    <row r="3793" spans="1:22" x14ac:dyDescent="0.35">
      <c r="A3793" s="1">
        <v>42324.633101851854</v>
      </c>
      <c r="B3793" s="2">
        <v>1.2384259259259258E-3</v>
      </c>
      <c r="C3793" t="s">
        <v>6427</v>
      </c>
      <c r="D3793" t="s">
        <v>623</v>
      </c>
      <c r="E3793" t="s">
        <v>624</v>
      </c>
      <c r="F3793" t="s">
        <v>3993</v>
      </c>
      <c r="G3793">
        <v>1798778</v>
      </c>
      <c r="H3793" t="s">
        <v>26</v>
      </c>
      <c r="I3793" t="s">
        <v>247</v>
      </c>
      <c r="J3793" t="str">
        <f>"9781118760741"</f>
        <v>9781118760741</v>
      </c>
      <c r="K3793" t="s">
        <v>6430</v>
      </c>
      <c r="L3793">
        <v>14</v>
      </c>
      <c r="O3793" t="s">
        <v>30</v>
      </c>
      <c r="P3793" t="s">
        <v>42</v>
      </c>
      <c r="S3793" t="s">
        <v>627</v>
      </c>
      <c r="T3793" t="s">
        <v>3995</v>
      </c>
      <c r="U3793">
        <v>616.07500000000005</v>
      </c>
      <c r="V3793" s="3">
        <v>41906</v>
      </c>
    </row>
    <row r="3794" spans="1:22" x14ac:dyDescent="0.35">
      <c r="A3794" s="1">
        <v>42324.630069444444</v>
      </c>
      <c r="B3794" s="2">
        <v>7.1180555555555554E-3</v>
      </c>
      <c r="C3794" t="s">
        <v>210</v>
      </c>
      <c r="D3794" t="s">
        <v>211</v>
      </c>
      <c r="E3794" t="s">
        <v>212</v>
      </c>
      <c r="F3794" t="s">
        <v>2200</v>
      </c>
      <c r="G3794">
        <v>1119449</v>
      </c>
      <c r="H3794" t="s">
        <v>26</v>
      </c>
      <c r="I3794" t="s">
        <v>219</v>
      </c>
      <c r="J3794" t="str">
        <f>"9781118482230"</f>
        <v>9781118482230</v>
      </c>
      <c r="K3794" t="s">
        <v>6431</v>
      </c>
      <c r="L3794">
        <v>36</v>
      </c>
      <c r="O3794" t="s">
        <v>30</v>
      </c>
      <c r="P3794" t="s">
        <v>42</v>
      </c>
      <c r="S3794" t="s">
        <v>214</v>
      </c>
      <c r="T3794" t="s">
        <v>2203</v>
      </c>
      <c r="U3794" t="s">
        <v>2204</v>
      </c>
      <c r="V3794" s="3">
        <v>41302</v>
      </c>
    </row>
    <row r="3795" spans="1:22" x14ac:dyDescent="0.35">
      <c r="A3795" s="1">
        <v>42324.629976851851</v>
      </c>
      <c r="B3795" s="2">
        <v>2.3148148148148147E-5</v>
      </c>
      <c r="C3795" t="s">
        <v>6414</v>
      </c>
      <c r="D3795" t="s">
        <v>146</v>
      </c>
      <c r="E3795" t="s">
        <v>147</v>
      </c>
      <c r="F3795" t="s">
        <v>775</v>
      </c>
      <c r="G3795">
        <v>1809742</v>
      </c>
      <c r="H3795" t="s">
        <v>26</v>
      </c>
      <c r="I3795" t="s">
        <v>776</v>
      </c>
      <c r="J3795" t="str">
        <f>"9781118968291"</f>
        <v>9781118968291</v>
      </c>
      <c r="K3795" t="s">
        <v>33</v>
      </c>
      <c r="L3795">
        <v>3</v>
      </c>
      <c r="O3795" t="s">
        <v>30</v>
      </c>
      <c r="P3795" t="s">
        <v>42</v>
      </c>
      <c r="S3795" t="s">
        <v>778</v>
      </c>
      <c r="T3795" t="s">
        <v>779</v>
      </c>
      <c r="U3795">
        <v>794.8</v>
      </c>
      <c r="V3795" s="3">
        <v>41911</v>
      </c>
    </row>
    <row r="3796" spans="1:22" x14ac:dyDescent="0.35">
      <c r="A3796" s="1">
        <v>42324.628622685188</v>
      </c>
      <c r="B3796" s="2">
        <v>1.1342592592592591E-3</v>
      </c>
      <c r="C3796" t="s">
        <v>210</v>
      </c>
      <c r="D3796" t="s">
        <v>211</v>
      </c>
      <c r="E3796" t="s">
        <v>212</v>
      </c>
      <c r="F3796" t="s">
        <v>2571</v>
      </c>
      <c r="G3796">
        <v>1119450</v>
      </c>
      <c r="H3796" t="s">
        <v>26</v>
      </c>
      <c r="I3796" t="s">
        <v>219</v>
      </c>
      <c r="J3796" t="str">
        <f>"9781118483794"</f>
        <v>9781118483794</v>
      </c>
      <c r="K3796" t="s">
        <v>6432</v>
      </c>
      <c r="L3796">
        <v>20</v>
      </c>
      <c r="O3796" t="s">
        <v>30</v>
      </c>
      <c r="P3796" t="s">
        <v>47</v>
      </c>
      <c r="Q3796" s="1">
        <v>42324.628611111111</v>
      </c>
      <c r="R3796">
        <v>1</v>
      </c>
      <c r="S3796" t="s">
        <v>214</v>
      </c>
      <c r="T3796" t="s">
        <v>2203</v>
      </c>
      <c r="U3796" t="s">
        <v>2204</v>
      </c>
      <c r="V3796" s="3">
        <v>41302</v>
      </c>
    </row>
    <row r="3797" spans="1:22" x14ac:dyDescent="0.35">
      <c r="A3797" s="1">
        <v>42324.625127314815</v>
      </c>
      <c r="B3797" s="2">
        <v>3.483796296296296E-3</v>
      </c>
      <c r="C3797" t="s">
        <v>210</v>
      </c>
      <c r="D3797" t="s">
        <v>211</v>
      </c>
      <c r="E3797" t="s">
        <v>212</v>
      </c>
      <c r="F3797" t="s">
        <v>2571</v>
      </c>
      <c r="G3797">
        <v>1119450</v>
      </c>
      <c r="H3797" t="s">
        <v>26</v>
      </c>
      <c r="I3797" t="s">
        <v>219</v>
      </c>
      <c r="J3797" t="str">
        <f>"9781118483794"</f>
        <v>9781118483794</v>
      </c>
      <c r="K3797" t="s">
        <v>6433</v>
      </c>
      <c r="L3797">
        <v>20</v>
      </c>
      <c r="O3797" t="s">
        <v>30</v>
      </c>
      <c r="P3797" t="s">
        <v>50</v>
      </c>
      <c r="S3797" t="s">
        <v>214</v>
      </c>
      <c r="T3797" t="s">
        <v>2203</v>
      </c>
      <c r="U3797" t="s">
        <v>2204</v>
      </c>
      <c r="V3797" s="3">
        <v>41302</v>
      </c>
    </row>
    <row r="3798" spans="1:22" x14ac:dyDescent="0.35">
      <c r="A3798" s="1">
        <v>42324.622164351851</v>
      </c>
      <c r="B3798" s="2">
        <v>2.4189814814814816E-3</v>
      </c>
      <c r="C3798" t="s">
        <v>210</v>
      </c>
      <c r="D3798" t="s">
        <v>211</v>
      </c>
      <c r="E3798" t="s">
        <v>212</v>
      </c>
      <c r="F3798" t="s">
        <v>2572</v>
      </c>
      <c r="G3798">
        <v>1119451</v>
      </c>
      <c r="H3798" t="s">
        <v>26</v>
      </c>
      <c r="I3798" t="s">
        <v>219</v>
      </c>
      <c r="J3798" t="str">
        <f>"9781118483893"</f>
        <v>9781118483893</v>
      </c>
      <c r="K3798" t="s">
        <v>6434</v>
      </c>
      <c r="L3798">
        <v>30</v>
      </c>
      <c r="O3798" t="s">
        <v>30</v>
      </c>
      <c r="P3798" t="s">
        <v>47</v>
      </c>
      <c r="Q3798" s="1">
        <v>42324.622152777774</v>
      </c>
      <c r="R3798">
        <v>1</v>
      </c>
      <c r="S3798" t="s">
        <v>214</v>
      </c>
      <c r="T3798" t="s">
        <v>2203</v>
      </c>
      <c r="U3798" t="s">
        <v>2204</v>
      </c>
      <c r="V3798" s="3">
        <v>41302</v>
      </c>
    </row>
    <row r="3799" spans="1:22" x14ac:dyDescent="0.35">
      <c r="A3799" s="1">
        <v>42324.618645833332</v>
      </c>
      <c r="B3799" s="2">
        <v>3.5069444444444445E-3</v>
      </c>
      <c r="C3799" t="s">
        <v>210</v>
      </c>
      <c r="D3799" t="s">
        <v>211</v>
      </c>
      <c r="E3799" t="s">
        <v>212</v>
      </c>
      <c r="F3799" t="s">
        <v>2572</v>
      </c>
      <c r="G3799">
        <v>1119451</v>
      </c>
      <c r="H3799" t="s">
        <v>26</v>
      </c>
      <c r="I3799" t="s">
        <v>219</v>
      </c>
      <c r="J3799" t="str">
        <f>"9781118483893"</f>
        <v>9781118483893</v>
      </c>
      <c r="K3799" t="s">
        <v>6435</v>
      </c>
      <c r="L3799">
        <v>21</v>
      </c>
      <c r="O3799" t="s">
        <v>30</v>
      </c>
      <c r="P3799" t="s">
        <v>50</v>
      </c>
      <c r="S3799" t="s">
        <v>214</v>
      </c>
      <c r="T3799" t="s">
        <v>2203</v>
      </c>
      <c r="U3799" t="s">
        <v>2204</v>
      </c>
      <c r="V3799" s="3">
        <v>41302</v>
      </c>
    </row>
    <row r="3800" spans="1:22" x14ac:dyDescent="0.35">
      <c r="A3800" s="1">
        <v>42324.618530092594</v>
      </c>
      <c r="B3800" s="2">
        <v>3.3333333333333335E-3</v>
      </c>
      <c r="C3800" t="s">
        <v>774</v>
      </c>
      <c r="D3800" t="s">
        <v>146</v>
      </c>
      <c r="E3800" t="s">
        <v>147</v>
      </c>
      <c r="F3800" t="s">
        <v>775</v>
      </c>
      <c r="G3800">
        <v>1809742</v>
      </c>
      <c r="H3800" t="s">
        <v>26</v>
      </c>
      <c r="I3800" t="s">
        <v>776</v>
      </c>
      <c r="J3800" t="str">
        <f>"9781118968291"</f>
        <v>9781118968291</v>
      </c>
      <c r="K3800" t="s">
        <v>6436</v>
      </c>
      <c r="L3800">
        <v>13</v>
      </c>
      <c r="O3800" t="s">
        <v>30</v>
      </c>
      <c r="P3800" t="s">
        <v>42</v>
      </c>
      <c r="S3800" t="s">
        <v>778</v>
      </c>
      <c r="T3800" t="s">
        <v>779</v>
      </c>
      <c r="U3800">
        <v>794.8</v>
      </c>
      <c r="V3800" s="3">
        <v>41911</v>
      </c>
    </row>
    <row r="3801" spans="1:22" x14ac:dyDescent="0.35">
      <c r="A3801" s="1">
        <v>42324.615266203706</v>
      </c>
      <c r="B3801" s="2">
        <v>1.9328703703703704E-3</v>
      </c>
      <c r="C3801" t="s">
        <v>6437</v>
      </c>
      <c r="D3801" t="s">
        <v>6396</v>
      </c>
      <c r="E3801" t="s">
        <v>6397</v>
      </c>
      <c r="F3801" t="s">
        <v>6398</v>
      </c>
      <c r="G3801">
        <v>1896024</v>
      </c>
      <c r="H3801" t="s">
        <v>26</v>
      </c>
      <c r="I3801" t="s">
        <v>69</v>
      </c>
      <c r="J3801" t="str">
        <f>"9781119061496"</f>
        <v>9781119061496</v>
      </c>
      <c r="K3801" t="s">
        <v>6438</v>
      </c>
      <c r="L3801">
        <v>18</v>
      </c>
      <c r="O3801" t="s">
        <v>30</v>
      </c>
      <c r="P3801" t="s">
        <v>50</v>
      </c>
      <c r="S3801" t="s">
        <v>6400</v>
      </c>
      <c r="T3801" t="s">
        <v>6401</v>
      </c>
      <c r="U3801">
        <v>378.00720000000001</v>
      </c>
      <c r="V3801" s="3">
        <v>42074</v>
      </c>
    </row>
    <row r="3802" spans="1:22" x14ac:dyDescent="0.35">
      <c r="A3802" s="1">
        <v>42324.577627314815</v>
      </c>
      <c r="B3802" s="2">
        <v>3.6712962962962961E-2</v>
      </c>
      <c r="C3802" t="s">
        <v>5219</v>
      </c>
      <c r="D3802" t="s">
        <v>211</v>
      </c>
      <c r="E3802" t="s">
        <v>212</v>
      </c>
      <c r="F3802" t="s">
        <v>462</v>
      </c>
      <c r="G3802">
        <v>1822529</v>
      </c>
      <c r="H3802" t="s">
        <v>26</v>
      </c>
      <c r="I3802" t="s">
        <v>297</v>
      </c>
      <c r="J3802" t="str">
        <f>"9781118824344"</f>
        <v>9781118824344</v>
      </c>
      <c r="K3802" t="s">
        <v>6439</v>
      </c>
      <c r="L3802">
        <v>26</v>
      </c>
      <c r="O3802" t="s">
        <v>30</v>
      </c>
      <c r="P3802" t="s">
        <v>29</v>
      </c>
      <c r="Q3802" s="1">
        <v>42323.836689814816</v>
      </c>
      <c r="R3802">
        <v>7</v>
      </c>
      <c r="S3802" t="s">
        <v>214</v>
      </c>
      <c r="T3802" t="s">
        <v>464</v>
      </c>
      <c r="U3802">
        <v>519.4</v>
      </c>
      <c r="V3802" s="3">
        <v>41932</v>
      </c>
    </row>
    <row r="3803" spans="1:22" x14ac:dyDescent="0.35">
      <c r="A3803" s="1">
        <v>42324.577152777776</v>
      </c>
      <c r="B3803" s="2">
        <v>0.14538194444444444</v>
      </c>
      <c r="C3803" t="s">
        <v>4129</v>
      </c>
      <c r="D3803" t="s">
        <v>23</v>
      </c>
      <c r="E3803" t="s">
        <v>24</v>
      </c>
      <c r="F3803" t="s">
        <v>4130</v>
      </c>
      <c r="G3803">
        <v>1433263</v>
      </c>
      <c r="H3803" t="s">
        <v>84</v>
      </c>
      <c r="I3803" t="s">
        <v>172</v>
      </c>
      <c r="J3803" t="str">
        <f>"9780520957145"</f>
        <v>9780520957145</v>
      </c>
      <c r="K3803" t="s">
        <v>6440</v>
      </c>
      <c r="L3803">
        <v>59</v>
      </c>
      <c r="O3803" t="s">
        <v>30</v>
      </c>
      <c r="P3803" t="s">
        <v>29</v>
      </c>
      <c r="Q3803" s="1">
        <v>42324.05431712963</v>
      </c>
      <c r="R3803">
        <v>7</v>
      </c>
      <c r="S3803" t="s">
        <v>31</v>
      </c>
      <c r="T3803" t="s">
        <v>4132</v>
      </c>
      <c r="U3803">
        <v>961.10400000000004</v>
      </c>
      <c r="V3803" s="3">
        <v>41544</v>
      </c>
    </row>
    <row r="3804" spans="1:22" x14ac:dyDescent="0.35">
      <c r="A3804" s="1">
        <v>42324.57607638889</v>
      </c>
      <c r="B3804" s="2">
        <v>4.8263888888888887E-3</v>
      </c>
      <c r="C3804" t="s">
        <v>6441</v>
      </c>
      <c r="D3804" t="s">
        <v>23</v>
      </c>
      <c r="E3804" t="s">
        <v>24</v>
      </c>
      <c r="F3804" t="s">
        <v>1394</v>
      </c>
      <c r="G3804">
        <v>1777859</v>
      </c>
      <c r="H3804" t="s">
        <v>91</v>
      </c>
      <c r="I3804" t="s">
        <v>247</v>
      </c>
      <c r="J3804" t="str">
        <f>"9781462515479"</f>
        <v>9781462515479</v>
      </c>
      <c r="K3804" t="s">
        <v>6442</v>
      </c>
      <c r="L3804">
        <v>88</v>
      </c>
      <c r="N3804" t="s">
        <v>6443</v>
      </c>
      <c r="O3804" t="s">
        <v>30</v>
      </c>
      <c r="P3804" t="s">
        <v>29</v>
      </c>
      <c r="Q3804" s="1">
        <v>42324.57607638889</v>
      </c>
      <c r="R3804">
        <v>7</v>
      </c>
      <c r="S3804" t="s">
        <v>31</v>
      </c>
      <c r="T3804" t="s">
        <v>1397</v>
      </c>
      <c r="U3804" t="s">
        <v>1398</v>
      </c>
      <c r="V3804" s="3">
        <v>41953</v>
      </c>
    </row>
    <row r="3805" spans="1:22" x14ac:dyDescent="0.35">
      <c r="A3805" s="1">
        <v>42324.575949074075</v>
      </c>
      <c r="B3805" s="2">
        <v>1.273148148148148E-4</v>
      </c>
      <c r="C3805" t="s">
        <v>6441</v>
      </c>
      <c r="D3805" t="s">
        <v>23</v>
      </c>
      <c r="E3805" t="s">
        <v>24</v>
      </c>
      <c r="F3805" t="s">
        <v>1394</v>
      </c>
      <c r="G3805">
        <v>1777859</v>
      </c>
      <c r="H3805" t="s">
        <v>91</v>
      </c>
      <c r="I3805" t="s">
        <v>247</v>
      </c>
      <c r="J3805" t="str">
        <f>"9781462515479"</f>
        <v>9781462515479</v>
      </c>
      <c r="K3805" t="s">
        <v>209</v>
      </c>
      <c r="L3805">
        <v>4</v>
      </c>
      <c r="O3805" t="s">
        <v>30</v>
      </c>
      <c r="P3805" t="s">
        <v>50</v>
      </c>
      <c r="S3805" t="s">
        <v>31</v>
      </c>
      <c r="T3805" t="s">
        <v>1397</v>
      </c>
      <c r="U3805" t="s">
        <v>1398</v>
      </c>
      <c r="V3805" s="3">
        <v>41953</v>
      </c>
    </row>
    <row r="3806" spans="1:22" x14ac:dyDescent="0.35">
      <c r="A3806" s="1">
        <v>42324.565636574072</v>
      </c>
      <c r="B3806" s="2">
        <v>7.951388888888888E-3</v>
      </c>
      <c r="C3806" t="s">
        <v>6444</v>
      </c>
      <c r="D3806" t="s">
        <v>23</v>
      </c>
      <c r="E3806" t="s">
        <v>24</v>
      </c>
      <c r="F3806" t="s">
        <v>1394</v>
      </c>
      <c r="G3806">
        <v>1777859</v>
      </c>
      <c r="H3806" t="s">
        <v>91</v>
      </c>
      <c r="I3806" t="s">
        <v>247</v>
      </c>
      <c r="J3806" t="str">
        <f>"9781462515479"</f>
        <v>9781462515479</v>
      </c>
      <c r="K3806" t="s">
        <v>6445</v>
      </c>
      <c r="L3806">
        <v>39</v>
      </c>
      <c r="N3806" t="s">
        <v>6446</v>
      </c>
      <c r="O3806" t="s">
        <v>30</v>
      </c>
      <c r="P3806" t="s">
        <v>47</v>
      </c>
      <c r="Q3806" s="1">
        <v>42324.565625000003</v>
      </c>
      <c r="R3806">
        <v>1</v>
      </c>
      <c r="S3806" t="s">
        <v>31</v>
      </c>
      <c r="T3806" t="s">
        <v>1397</v>
      </c>
      <c r="U3806" t="s">
        <v>1398</v>
      </c>
      <c r="V3806" s="3">
        <v>41953</v>
      </c>
    </row>
    <row r="3807" spans="1:22" x14ac:dyDescent="0.35">
      <c r="A3807" s="1">
        <v>42324.565555555557</v>
      </c>
      <c r="B3807" s="2">
        <v>6.9444444444444444E-5</v>
      </c>
      <c r="C3807" t="s">
        <v>6444</v>
      </c>
      <c r="D3807" t="s">
        <v>23</v>
      </c>
      <c r="E3807" t="s">
        <v>24</v>
      </c>
      <c r="F3807" t="s">
        <v>1394</v>
      </c>
      <c r="G3807">
        <v>1777859</v>
      </c>
      <c r="H3807" t="s">
        <v>91</v>
      </c>
      <c r="I3807" t="s">
        <v>247</v>
      </c>
      <c r="J3807" t="str">
        <f>"9781462515479"</f>
        <v>9781462515479</v>
      </c>
      <c r="K3807" t="s">
        <v>33</v>
      </c>
      <c r="L3807">
        <v>3</v>
      </c>
      <c r="O3807" t="s">
        <v>30</v>
      </c>
      <c r="P3807" t="s">
        <v>50</v>
      </c>
      <c r="S3807" t="s">
        <v>31</v>
      </c>
      <c r="T3807" t="s">
        <v>1397</v>
      </c>
      <c r="U3807" t="s">
        <v>1398</v>
      </c>
      <c r="V3807" s="3">
        <v>41953</v>
      </c>
    </row>
    <row r="3808" spans="1:22" x14ac:dyDescent="0.35">
      <c r="A3808" s="1">
        <v>42324.565127314818</v>
      </c>
      <c r="B3808" s="2">
        <v>0.11987268518518518</v>
      </c>
      <c r="C3808" t="s">
        <v>6447</v>
      </c>
      <c r="D3808" t="s">
        <v>23</v>
      </c>
      <c r="E3808" t="s">
        <v>24</v>
      </c>
      <c r="F3808" t="s">
        <v>4130</v>
      </c>
      <c r="G3808">
        <v>1433263</v>
      </c>
      <c r="H3808" t="s">
        <v>84</v>
      </c>
      <c r="I3808" t="s">
        <v>172</v>
      </c>
      <c r="J3808" t="str">
        <f>"9780520957145"</f>
        <v>9780520957145</v>
      </c>
      <c r="K3808" t="s">
        <v>6448</v>
      </c>
      <c r="L3808">
        <v>112</v>
      </c>
      <c r="O3808" t="s">
        <v>30</v>
      </c>
      <c r="P3808" t="s">
        <v>29</v>
      </c>
      <c r="Q3808" s="1">
        <v>42324.565127314818</v>
      </c>
      <c r="R3808">
        <v>7</v>
      </c>
      <c r="S3808" t="s">
        <v>31</v>
      </c>
      <c r="T3808" t="s">
        <v>4132</v>
      </c>
      <c r="U3808">
        <v>961.10400000000004</v>
      </c>
      <c r="V3808" s="3">
        <v>41544</v>
      </c>
    </row>
    <row r="3809" spans="1:22" x14ac:dyDescent="0.35">
      <c r="A3809" s="1">
        <v>42324.563946759263</v>
      </c>
      <c r="B3809" s="2">
        <v>8.449074074074075E-4</v>
      </c>
      <c r="C3809" t="s">
        <v>6077</v>
      </c>
      <c r="D3809" t="s">
        <v>23</v>
      </c>
      <c r="E3809" t="s">
        <v>24</v>
      </c>
      <c r="F3809" t="s">
        <v>1394</v>
      </c>
      <c r="G3809">
        <v>1777859</v>
      </c>
      <c r="H3809" t="s">
        <v>91</v>
      </c>
      <c r="I3809" t="s">
        <v>247</v>
      </c>
      <c r="J3809" t="str">
        <f>"9781462515479"</f>
        <v>9781462515479</v>
      </c>
      <c r="K3809" t="s">
        <v>6449</v>
      </c>
      <c r="L3809">
        <v>15</v>
      </c>
      <c r="O3809" t="s">
        <v>30</v>
      </c>
      <c r="P3809" t="s">
        <v>47</v>
      </c>
      <c r="Q3809" s="1">
        <v>42324.557083333333</v>
      </c>
      <c r="R3809">
        <v>1</v>
      </c>
      <c r="S3809" t="s">
        <v>31</v>
      </c>
      <c r="T3809" t="s">
        <v>1397</v>
      </c>
      <c r="U3809" t="s">
        <v>1398</v>
      </c>
      <c r="V3809" s="3">
        <v>41953</v>
      </c>
    </row>
    <row r="3810" spans="1:22" x14ac:dyDescent="0.35">
      <c r="A3810" s="1">
        <v>42324.559224537035</v>
      </c>
      <c r="B3810" s="2">
        <v>1.273148148148148E-4</v>
      </c>
      <c r="C3810" t="s">
        <v>6450</v>
      </c>
      <c r="D3810" t="s">
        <v>1222</v>
      </c>
      <c r="E3810" t="s">
        <v>1223</v>
      </c>
      <c r="F3810" t="s">
        <v>1373</v>
      </c>
      <c r="G3810">
        <v>979949</v>
      </c>
      <c r="H3810" t="s">
        <v>1286</v>
      </c>
      <c r="I3810" t="s">
        <v>310</v>
      </c>
      <c r="J3810" t="str">
        <f>"9780786493234"</f>
        <v>9780786493234</v>
      </c>
      <c r="K3810" t="s">
        <v>867</v>
      </c>
      <c r="L3810">
        <v>10</v>
      </c>
      <c r="O3810" t="s">
        <v>30</v>
      </c>
      <c r="P3810" t="s">
        <v>42</v>
      </c>
      <c r="S3810" t="s">
        <v>1226</v>
      </c>
      <c r="T3810" t="s">
        <v>1376</v>
      </c>
      <c r="U3810" t="s">
        <v>1289</v>
      </c>
      <c r="V3810" s="3">
        <v>41102</v>
      </c>
    </row>
    <row r="3811" spans="1:22" x14ac:dyDescent="0.35">
      <c r="A3811" s="1">
        <v>42324.557939814818</v>
      </c>
      <c r="B3811" s="2">
        <v>7.1874999999999994E-3</v>
      </c>
      <c r="C3811" t="s">
        <v>6447</v>
      </c>
      <c r="D3811" t="s">
        <v>23</v>
      </c>
      <c r="E3811" t="s">
        <v>24</v>
      </c>
      <c r="F3811" t="s">
        <v>4130</v>
      </c>
      <c r="G3811">
        <v>1433263</v>
      </c>
      <c r="H3811" t="s">
        <v>84</v>
      </c>
      <c r="I3811" t="s">
        <v>172</v>
      </c>
      <c r="J3811" t="str">
        <f>"9780520957145"</f>
        <v>9780520957145</v>
      </c>
      <c r="K3811" t="s">
        <v>1520</v>
      </c>
      <c r="L3811">
        <v>20</v>
      </c>
      <c r="O3811" t="s">
        <v>30</v>
      </c>
      <c r="P3811" t="s">
        <v>42</v>
      </c>
      <c r="S3811" t="s">
        <v>31</v>
      </c>
      <c r="T3811" t="s">
        <v>4132</v>
      </c>
      <c r="U3811">
        <v>961.10400000000004</v>
      </c>
      <c r="V3811" s="3">
        <v>41544</v>
      </c>
    </row>
    <row r="3812" spans="1:22" x14ac:dyDescent="0.35">
      <c r="A3812" s="1">
        <v>42324.55709490741</v>
      </c>
      <c r="B3812" s="2">
        <v>5.8680555555555543E-3</v>
      </c>
      <c r="C3812" t="s">
        <v>6077</v>
      </c>
      <c r="D3812" t="s">
        <v>23</v>
      </c>
      <c r="E3812" t="s">
        <v>24</v>
      </c>
      <c r="F3812" t="s">
        <v>1394</v>
      </c>
      <c r="G3812">
        <v>1777859</v>
      </c>
      <c r="H3812" t="s">
        <v>91</v>
      </c>
      <c r="I3812" t="s">
        <v>247</v>
      </c>
      <c r="J3812" t="str">
        <f>"9781462515479"</f>
        <v>9781462515479</v>
      </c>
      <c r="K3812" t="s">
        <v>6451</v>
      </c>
      <c r="L3812">
        <v>3</v>
      </c>
      <c r="N3812" t="s">
        <v>6452</v>
      </c>
      <c r="O3812" t="s">
        <v>28</v>
      </c>
      <c r="P3812" t="s">
        <v>47</v>
      </c>
      <c r="Q3812" s="1">
        <v>42324.557083333333</v>
      </c>
      <c r="R3812">
        <v>1</v>
      </c>
      <c r="S3812" t="s">
        <v>31</v>
      </c>
      <c r="T3812" t="s">
        <v>1397</v>
      </c>
      <c r="U3812" t="s">
        <v>1398</v>
      </c>
      <c r="V3812" s="3">
        <v>41953</v>
      </c>
    </row>
    <row r="3813" spans="1:22" x14ac:dyDescent="0.35">
      <c r="A3813" s="1">
        <v>42324.557083333333</v>
      </c>
      <c r="B3813" s="2">
        <v>0</v>
      </c>
      <c r="C3813" t="s">
        <v>6077</v>
      </c>
      <c r="D3813" t="s">
        <v>23</v>
      </c>
      <c r="E3813" t="s">
        <v>24</v>
      </c>
      <c r="F3813" t="s">
        <v>1394</v>
      </c>
      <c r="G3813">
        <v>1777859</v>
      </c>
      <c r="H3813" t="s">
        <v>91</v>
      </c>
      <c r="I3813" t="s">
        <v>247</v>
      </c>
      <c r="J3813" t="str">
        <f>"9781462515479"</f>
        <v>9781462515479</v>
      </c>
      <c r="L3813">
        <v>0</v>
      </c>
      <c r="O3813" t="s">
        <v>30</v>
      </c>
      <c r="P3813" t="s">
        <v>47</v>
      </c>
      <c r="Q3813" s="1">
        <v>42324.557083333333</v>
      </c>
      <c r="R3813">
        <v>1</v>
      </c>
      <c r="S3813" t="s">
        <v>31</v>
      </c>
      <c r="T3813" t="s">
        <v>1397</v>
      </c>
      <c r="U3813" t="s">
        <v>1398</v>
      </c>
      <c r="V3813" s="3">
        <v>41953</v>
      </c>
    </row>
    <row r="3814" spans="1:22" x14ac:dyDescent="0.35">
      <c r="A3814" s="1">
        <v>42324.556851851848</v>
      </c>
      <c r="B3814" s="2">
        <v>2.3148148148148146E-4</v>
      </c>
      <c r="C3814" t="s">
        <v>6077</v>
      </c>
      <c r="D3814" t="s">
        <v>23</v>
      </c>
      <c r="E3814" t="s">
        <v>24</v>
      </c>
      <c r="F3814" t="s">
        <v>1394</v>
      </c>
      <c r="G3814">
        <v>1777859</v>
      </c>
      <c r="H3814" t="s">
        <v>91</v>
      </c>
      <c r="I3814" t="s">
        <v>247</v>
      </c>
      <c r="J3814" t="str">
        <f>"9781462515479"</f>
        <v>9781462515479</v>
      </c>
      <c r="K3814" t="s">
        <v>202</v>
      </c>
      <c r="L3814">
        <v>3</v>
      </c>
      <c r="O3814" t="s">
        <v>30</v>
      </c>
      <c r="P3814" t="s">
        <v>50</v>
      </c>
      <c r="S3814" t="s">
        <v>31</v>
      </c>
      <c r="T3814" t="s">
        <v>1397</v>
      </c>
      <c r="U3814" t="s">
        <v>1398</v>
      </c>
      <c r="V3814" s="3">
        <v>41953</v>
      </c>
    </row>
    <row r="3815" spans="1:22" x14ac:dyDescent="0.35">
      <c r="A3815" s="1">
        <v>42324.241712962961</v>
      </c>
      <c r="B3815" s="2">
        <v>2.1527777777777778E-3</v>
      </c>
      <c r="C3815" t="s">
        <v>6453</v>
      </c>
      <c r="D3815" t="s">
        <v>158</v>
      </c>
      <c r="E3815" t="s">
        <v>159</v>
      </c>
      <c r="F3815" t="s">
        <v>3943</v>
      </c>
      <c r="G3815">
        <v>836167</v>
      </c>
      <c r="H3815" t="s">
        <v>149</v>
      </c>
      <c r="I3815" t="s">
        <v>3944</v>
      </c>
      <c r="J3815" t="str">
        <f>"9781438139487"</f>
        <v>9781438139487</v>
      </c>
      <c r="K3815" t="s">
        <v>6454</v>
      </c>
      <c r="L3815">
        <v>6</v>
      </c>
      <c r="O3815" t="s">
        <v>30</v>
      </c>
      <c r="P3815" t="s">
        <v>42</v>
      </c>
      <c r="S3815" t="s">
        <v>163</v>
      </c>
      <c r="T3815" t="s">
        <v>3946</v>
      </c>
      <c r="U3815" t="s">
        <v>3947</v>
      </c>
      <c r="V3815" s="3">
        <v>40848</v>
      </c>
    </row>
    <row r="3816" spans="1:22" x14ac:dyDescent="0.35">
      <c r="A3816" s="1">
        <v>42324.24013888889</v>
      </c>
      <c r="B3816" s="2">
        <v>3.1250000000000001E-4</v>
      </c>
      <c r="C3816" t="s">
        <v>6453</v>
      </c>
      <c r="D3816" t="s">
        <v>158</v>
      </c>
      <c r="E3816" t="s">
        <v>159</v>
      </c>
      <c r="F3816" t="s">
        <v>3943</v>
      </c>
      <c r="G3816">
        <v>836167</v>
      </c>
      <c r="H3816" t="s">
        <v>149</v>
      </c>
      <c r="I3816" t="s">
        <v>3944</v>
      </c>
      <c r="J3816" t="str">
        <f>"9781438139487"</f>
        <v>9781438139487</v>
      </c>
      <c r="K3816" t="s">
        <v>6455</v>
      </c>
      <c r="L3816">
        <v>10</v>
      </c>
      <c r="O3816" t="s">
        <v>30</v>
      </c>
      <c r="P3816" t="s">
        <v>42</v>
      </c>
      <c r="S3816" t="s">
        <v>163</v>
      </c>
      <c r="T3816" t="s">
        <v>3946</v>
      </c>
      <c r="U3816" t="s">
        <v>3947</v>
      </c>
      <c r="V3816" s="3">
        <v>40848</v>
      </c>
    </row>
    <row r="3817" spans="1:22" x14ac:dyDescent="0.35">
      <c r="A3817" s="1">
        <v>42324.238159722219</v>
      </c>
      <c r="B3817" s="2">
        <v>2.5462962962962961E-4</v>
      </c>
      <c r="C3817" t="s">
        <v>6453</v>
      </c>
      <c r="D3817" t="s">
        <v>158</v>
      </c>
      <c r="E3817" t="s">
        <v>159</v>
      </c>
      <c r="F3817" t="s">
        <v>3943</v>
      </c>
      <c r="G3817">
        <v>836167</v>
      </c>
      <c r="H3817" t="s">
        <v>149</v>
      </c>
      <c r="I3817" t="s">
        <v>3944</v>
      </c>
      <c r="J3817" t="str">
        <f>"9781438139487"</f>
        <v>9781438139487</v>
      </c>
      <c r="K3817" t="s">
        <v>6456</v>
      </c>
      <c r="L3817">
        <v>9</v>
      </c>
      <c r="O3817" t="s">
        <v>30</v>
      </c>
      <c r="P3817" t="s">
        <v>42</v>
      </c>
      <c r="S3817" t="s">
        <v>163</v>
      </c>
      <c r="T3817" t="s">
        <v>3946</v>
      </c>
      <c r="U3817" t="s">
        <v>3947</v>
      </c>
      <c r="V3817" s="3">
        <v>40848</v>
      </c>
    </row>
    <row r="3818" spans="1:22" x14ac:dyDescent="0.35">
      <c r="A3818" s="1">
        <v>42324.224722222221</v>
      </c>
      <c r="B3818" s="2">
        <v>8.564814814814815E-4</v>
      </c>
      <c r="C3818" t="s">
        <v>6457</v>
      </c>
      <c r="D3818" t="s">
        <v>261</v>
      </c>
      <c r="E3818" t="s">
        <v>262</v>
      </c>
      <c r="F3818" t="s">
        <v>6458</v>
      </c>
      <c r="G3818">
        <v>817384</v>
      </c>
      <c r="H3818" t="s">
        <v>26</v>
      </c>
      <c r="I3818" t="s">
        <v>6459</v>
      </c>
      <c r="J3818" t="str">
        <f>"9781118160114"</f>
        <v>9781118160114</v>
      </c>
      <c r="K3818" t="s">
        <v>6460</v>
      </c>
      <c r="L3818">
        <v>14</v>
      </c>
      <c r="O3818" t="s">
        <v>30</v>
      </c>
      <c r="P3818" t="s">
        <v>29</v>
      </c>
      <c r="Q3818" s="1">
        <v>42324.092499999999</v>
      </c>
      <c r="R3818">
        <v>7</v>
      </c>
      <c r="S3818" t="s">
        <v>264</v>
      </c>
      <c r="T3818" t="s">
        <v>6461</v>
      </c>
      <c r="U3818" t="s">
        <v>6462</v>
      </c>
      <c r="V3818" s="3">
        <v>40849</v>
      </c>
    </row>
    <row r="3819" spans="1:22" x14ac:dyDescent="0.35">
      <c r="A3819" s="1">
        <v>42324.162418981483</v>
      </c>
      <c r="B3819" s="2">
        <v>6.6354166666666659E-2</v>
      </c>
      <c r="C3819" t="s">
        <v>106</v>
      </c>
      <c r="D3819" t="s">
        <v>23</v>
      </c>
      <c r="E3819" t="s">
        <v>24</v>
      </c>
      <c r="F3819" t="s">
        <v>486</v>
      </c>
      <c r="G3819">
        <v>1119505</v>
      </c>
      <c r="H3819" t="s">
        <v>26</v>
      </c>
      <c r="I3819" t="s">
        <v>450</v>
      </c>
      <c r="J3819" t="str">
        <f>"9781118355015"</f>
        <v>9781118355015</v>
      </c>
      <c r="K3819" t="s">
        <v>6463</v>
      </c>
      <c r="L3819">
        <v>24</v>
      </c>
      <c r="O3819" t="s">
        <v>30</v>
      </c>
      <c r="P3819" t="s">
        <v>29</v>
      </c>
      <c r="Q3819" s="1">
        <v>42322.677546296298</v>
      </c>
      <c r="R3819">
        <v>7</v>
      </c>
      <c r="S3819" t="s">
        <v>31</v>
      </c>
      <c r="T3819" t="s">
        <v>487</v>
      </c>
      <c r="U3819" t="s">
        <v>488</v>
      </c>
      <c r="V3819" s="3">
        <v>41302</v>
      </c>
    </row>
    <row r="3820" spans="1:22" x14ac:dyDescent="0.35">
      <c r="A3820" s="1">
        <v>42324.15016203704</v>
      </c>
      <c r="B3820" s="2">
        <v>3.9351851851851852E-4</v>
      </c>
      <c r="C3820" t="s">
        <v>6464</v>
      </c>
      <c r="D3820" t="s">
        <v>1222</v>
      </c>
      <c r="E3820" t="s">
        <v>1223</v>
      </c>
      <c r="F3820" t="s">
        <v>83</v>
      </c>
      <c r="G3820">
        <v>1711065</v>
      </c>
      <c r="H3820" t="s">
        <v>84</v>
      </c>
      <c r="I3820" t="s">
        <v>85</v>
      </c>
      <c r="J3820" t="str">
        <f>"9780520959156"</f>
        <v>9780520959156</v>
      </c>
      <c r="K3820" t="s">
        <v>6465</v>
      </c>
      <c r="L3820">
        <v>20</v>
      </c>
      <c r="O3820" t="s">
        <v>30</v>
      </c>
      <c r="P3820" t="s">
        <v>42</v>
      </c>
      <c r="S3820" t="s">
        <v>1226</v>
      </c>
      <c r="T3820" t="s">
        <v>87</v>
      </c>
      <c r="U3820" t="s">
        <v>88</v>
      </c>
      <c r="V3820" s="3">
        <v>41881</v>
      </c>
    </row>
    <row r="3821" spans="1:22" x14ac:dyDescent="0.35">
      <c r="A3821" s="1">
        <v>42324.114027777781</v>
      </c>
      <c r="B3821" s="2">
        <v>3.4722222222222222E-5</v>
      </c>
      <c r="C3821" t="s">
        <v>6466</v>
      </c>
      <c r="D3821" t="s">
        <v>1222</v>
      </c>
      <c r="E3821" t="s">
        <v>1223</v>
      </c>
      <c r="F3821" t="s">
        <v>3268</v>
      </c>
      <c r="G3821">
        <v>1645679</v>
      </c>
      <c r="H3821" t="s">
        <v>45</v>
      </c>
      <c r="I3821" t="s">
        <v>2879</v>
      </c>
      <c r="J3821" t="str">
        <f>"9781472413079"</f>
        <v>9781472413079</v>
      </c>
      <c r="K3821" t="s">
        <v>33</v>
      </c>
      <c r="L3821">
        <v>3</v>
      </c>
      <c r="O3821" t="s">
        <v>30</v>
      </c>
      <c r="P3821" t="s">
        <v>42</v>
      </c>
      <c r="S3821" t="s">
        <v>1226</v>
      </c>
      <c r="T3821" t="s">
        <v>3269</v>
      </c>
      <c r="U3821" t="s">
        <v>3270</v>
      </c>
      <c r="V3821" s="3">
        <v>41726</v>
      </c>
    </row>
    <row r="3822" spans="1:22" x14ac:dyDescent="0.35">
      <c r="A3822" s="1">
        <v>42324.113958333335</v>
      </c>
      <c r="B3822" s="2">
        <v>2.0833333333333335E-4</v>
      </c>
      <c r="C3822" t="s">
        <v>5958</v>
      </c>
      <c r="D3822" t="s">
        <v>1222</v>
      </c>
      <c r="E3822" t="s">
        <v>1223</v>
      </c>
      <c r="F3822" t="s">
        <v>5959</v>
      </c>
      <c r="G3822">
        <v>1572865</v>
      </c>
      <c r="H3822" t="s">
        <v>139</v>
      </c>
      <c r="I3822" t="s">
        <v>998</v>
      </c>
      <c r="J3822" t="str">
        <f>"9780814769331"</f>
        <v>9780814769331</v>
      </c>
      <c r="K3822" t="s">
        <v>240</v>
      </c>
      <c r="L3822">
        <v>14</v>
      </c>
      <c r="O3822" t="s">
        <v>30</v>
      </c>
      <c r="P3822" t="s">
        <v>42</v>
      </c>
      <c r="S3822" t="s">
        <v>1226</v>
      </c>
      <c r="T3822" t="s">
        <v>5960</v>
      </c>
      <c r="U3822">
        <v>305.800973</v>
      </c>
      <c r="V3822" s="3">
        <v>41659</v>
      </c>
    </row>
    <row r="3823" spans="1:22" x14ac:dyDescent="0.35">
      <c r="A3823" s="1">
        <v>42324.109212962961</v>
      </c>
      <c r="B3823" s="2">
        <v>2.3842592592592591E-3</v>
      </c>
      <c r="C3823" t="s">
        <v>106</v>
      </c>
      <c r="D3823" t="s">
        <v>23</v>
      </c>
      <c r="E3823" t="s">
        <v>24</v>
      </c>
      <c r="F3823" t="s">
        <v>4405</v>
      </c>
      <c r="G3823">
        <v>1187185</v>
      </c>
      <c r="H3823" t="s">
        <v>26</v>
      </c>
      <c r="I3823" t="s">
        <v>4406</v>
      </c>
      <c r="J3823" t="str">
        <f>"9781118748183"</f>
        <v>9781118748183</v>
      </c>
      <c r="K3823" t="s">
        <v>6467</v>
      </c>
      <c r="L3823">
        <v>12</v>
      </c>
      <c r="O3823" t="s">
        <v>30</v>
      </c>
      <c r="P3823" t="s">
        <v>29</v>
      </c>
      <c r="Q3823" s="1">
        <v>42323.926249999997</v>
      </c>
      <c r="R3823">
        <v>7</v>
      </c>
      <c r="S3823" t="s">
        <v>31</v>
      </c>
      <c r="T3823" t="s">
        <v>4408</v>
      </c>
      <c r="U3823">
        <v>622.33799999999997</v>
      </c>
      <c r="V3823" s="3">
        <v>41400</v>
      </c>
    </row>
    <row r="3824" spans="1:22" x14ac:dyDescent="0.35">
      <c r="A3824" s="1">
        <v>42324.092812499999</v>
      </c>
      <c r="B3824" s="2">
        <v>3.8541666666666668E-3</v>
      </c>
      <c r="C3824" t="s">
        <v>6468</v>
      </c>
      <c r="D3824" t="s">
        <v>211</v>
      </c>
      <c r="E3824" t="s">
        <v>212</v>
      </c>
      <c r="F3824" t="s">
        <v>6469</v>
      </c>
      <c r="G3824">
        <v>1895917</v>
      </c>
      <c r="H3824" t="s">
        <v>26</v>
      </c>
      <c r="I3824" t="s">
        <v>150</v>
      </c>
      <c r="J3824" t="str">
        <f>"9781119014959"</f>
        <v>9781119014959</v>
      </c>
      <c r="K3824" t="s">
        <v>6470</v>
      </c>
      <c r="L3824">
        <v>11</v>
      </c>
      <c r="O3824" t="s">
        <v>30</v>
      </c>
      <c r="P3824" t="s">
        <v>29</v>
      </c>
      <c r="Q3824" s="1">
        <v>42324.092800925922</v>
      </c>
      <c r="R3824">
        <v>7</v>
      </c>
      <c r="S3824" t="s">
        <v>214</v>
      </c>
      <c r="T3824" t="s">
        <v>6471</v>
      </c>
      <c r="U3824" t="s">
        <v>6472</v>
      </c>
      <c r="V3824" s="3">
        <v>42087</v>
      </c>
    </row>
    <row r="3825" spans="1:22" x14ac:dyDescent="0.35">
      <c r="A3825" s="1">
        <v>42324.092499999999</v>
      </c>
      <c r="B3825" s="2">
        <v>1.5046296296296297E-4</v>
      </c>
      <c r="C3825" t="s">
        <v>6457</v>
      </c>
      <c r="D3825" t="s">
        <v>261</v>
      </c>
      <c r="E3825" t="s">
        <v>262</v>
      </c>
      <c r="F3825" t="s">
        <v>6458</v>
      </c>
      <c r="G3825">
        <v>817384</v>
      </c>
      <c r="H3825" t="s">
        <v>26</v>
      </c>
      <c r="I3825" t="s">
        <v>6459</v>
      </c>
      <c r="J3825" t="str">
        <f>"9781118160114"</f>
        <v>9781118160114</v>
      </c>
      <c r="K3825" t="s">
        <v>6473</v>
      </c>
      <c r="L3825">
        <v>4</v>
      </c>
      <c r="O3825" t="s">
        <v>30</v>
      </c>
      <c r="P3825" t="s">
        <v>29</v>
      </c>
      <c r="Q3825" s="1">
        <v>42324.092499999999</v>
      </c>
      <c r="R3825">
        <v>7</v>
      </c>
      <c r="S3825" t="s">
        <v>264</v>
      </c>
      <c r="T3825" t="s">
        <v>6461</v>
      </c>
      <c r="U3825" t="s">
        <v>6462</v>
      </c>
      <c r="V3825" s="3">
        <v>40849</v>
      </c>
    </row>
    <row r="3826" spans="1:22" x14ac:dyDescent="0.35">
      <c r="A3826" s="1">
        <v>42324.085497685184</v>
      </c>
      <c r="B3826" s="2">
        <v>7.0023148148148154E-3</v>
      </c>
      <c r="C3826" t="s">
        <v>6457</v>
      </c>
      <c r="D3826" t="s">
        <v>261</v>
      </c>
      <c r="E3826" t="s">
        <v>262</v>
      </c>
      <c r="F3826" t="s">
        <v>6458</v>
      </c>
      <c r="G3826">
        <v>817384</v>
      </c>
      <c r="H3826" t="s">
        <v>26</v>
      </c>
      <c r="I3826" t="s">
        <v>6459</v>
      </c>
      <c r="J3826" t="str">
        <f>"9781118160114"</f>
        <v>9781118160114</v>
      </c>
      <c r="K3826" t="s">
        <v>6474</v>
      </c>
      <c r="L3826">
        <v>58</v>
      </c>
      <c r="O3826" t="s">
        <v>30</v>
      </c>
      <c r="P3826" t="s">
        <v>42</v>
      </c>
      <c r="S3826" t="s">
        <v>264</v>
      </c>
      <c r="T3826" t="s">
        <v>6461</v>
      </c>
      <c r="U3826" t="s">
        <v>6462</v>
      </c>
      <c r="V3826" s="3">
        <v>40849</v>
      </c>
    </row>
    <row r="3827" spans="1:22" x14ac:dyDescent="0.35">
      <c r="A3827" s="1">
        <v>42324.083865740744</v>
      </c>
      <c r="B3827" s="2">
        <v>3.4490740740740745E-3</v>
      </c>
      <c r="C3827" t="s">
        <v>106</v>
      </c>
      <c r="D3827" t="s">
        <v>23</v>
      </c>
      <c r="E3827" t="s">
        <v>24</v>
      </c>
      <c r="F3827" t="s">
        <v>4405</v>
      </c>
      <c r="G3827">
        <v>1187185</v>
      </c>
      <c r="H3827" t="s">
        <v>26</v>
      </c>
      <c r="I3827" t="s">
        <v>4406</v>
      </c>
      <c r="J3827" t="str">
        <f>"9781118748183"</f>
        <v>9781118748183</v>
      </c>
      <c r="K3827" t="s">
        <v>6475</v>
      </c>
      <c r="L3827">
        <v>10</v>
      </c>
      <c r="O3827" t="s">
        <v>30</v>
      </c>
      <c r="P3827" t="s">
        <v>29</v>
      </c>
      <c r="Q3827" s="1">
        <v>42323.926249999997</v>
      </c>
      <c r="R3827">
        <v>7</v>
      </c>
      <c r="S3827" t="s">
        <v>31</v>
      </c>
      <c r="T3827" t="s">
        <v>4408</v>
      </c>
      <c r="U3827">
        <v>622.33799999999997</v>
      </c>
      <c r="V3827" s="3">
        <v>41400</v>
      </c>
    </row>
    <row r="3828" spans="1:22" x14ac:dyDescent="0.35">
      <c r="A3828" s="1">
        <v>42324.071076388886</v>
      </c>
      <c r="B3828" s="2">
        <v>1.1574074074074073E-4</v>
      </c>
      <c r="C3828" t="s">
        <v>6258</v>
      </c>
      <c r="D3828" t="s">
        <v>623</v>
      </c>
      <c r="E3828" t="s">
        <v>624</v>
      </c>
      <c r="F3828" t="s">
        <v>4770</v>
      </c>
      <c r="G3828">
        <v>2038643</v>
      </c>
      <c r="H3828" t="s">
        <v>45</v>
      </c>
      <c r="I3828" t="s">
        <v>120</v>
      </c>
      <c r="J3828" t="str">
        <f>"9781472427625"</f>
        <v>9781472427625</v>
      </c>
      <c r="K3828" t="s">
        <v>6476</v>
      </c>
      <c r="L3828">
        <v>10</v>
      </c>
      <c r="O3828" t="s">
        <v>30</v>
      </c>
      <c r="P3828" t="s">
        <v>29</v>
      </c>
      <c r="Q3828" s="1">
        <v>42324.071064814816</v>
      </c>
      <c r="R3828">
        <v>7</v>
      </c>
      <c r="S3828" t="s">
        <v>627</v>
      </c>
      <c r="T3828">
        <v>2013049432</v>
      </c>
      <c r="U3828">
        <v>306.46100000000001</v>
      </c>
      <c r="V3828" s="3">
        <v>42152</v>
      </c>
    </row>
    <row r="3829" spans="1:22" x14ac:dyDescent="0.35">
      <c r="A3829" s="1">
        <v>42324.070381944446</v>
      </c>
      <c r="B3829" s="2">
        <v>4.4155092592592593E-2</v>
      </c>
      <c r="C3829" t="s">
        <v>106</v>
      </c>
      <c r="D3829" t="s">
        <v>23</v>
      </c>
      <c r="E3829" t="s">
        <v>24</v>
      </c>
      <c r="F3829" t="s">
        <v>6477</v>
      </c>
      <c r="G3829">
        <v>1996922</v>
      </c>
      <c r="H3829" t="s">
        <v>91</v>
      </c>
      <c r="I3829" t="s">
        <v>4420</v>
      </c>
      <c r="J3829" t="str">
        <f>"9781462521289"</f>
        <v>9781462521289</v>
      </c>
      <c r="K3829" t="s">
        <v>6478</v>
      </c>
      <c r="L3829">
        <v>10</v>
      </c>
      <c r="O3829" t="s">
        <v>30</v>
      </c>
      <c r="P3829" t="s">
        <v>47</v>
      </c>
      <c r="Q3829" s="1">
        <v>42324.070381944446</v>
      </c>
      <c r="R3829">
        <v>1</v>
      </c>
      <c r="S3829" t="s">
        <v>31</v>
      </c>
      <c r="T3829" t="s">
        <v>6479</v>
      </c>
      <c r="U3829" t="s">
        <v>6480</v>
      </c>
      <c r="V3829" s="3">
        <v>42187</v>
      </c>
    </row>
    <row r="3830" spans="1:22" x14ac:dyDescent="0.35">
      <c r="A3830" s="1">
        <v>42324.067766203705</v>
      </c>
      <c r="B3830" s="2">
        <v>3.2986111111111111E-3</v>
      </c>
      <c r="C3830" t="s">
        <v>6258</v>
      </c>
      <c r="D3830" t="s">
        <v>623</v>
      </c>
      <c r="E3830" t="s">
        <v>624</v>
      </c>
      <c r="F3830" t="s">
        <v>4770</v>
      </c>
      <c r="G3830">
        <v>2038643</v>
      </c>
      <c r="H3830" t="s">
        <v>45</v>
      </c>
      <c r="I3830" t="s">
        <v>120</v>
      </c>
      <c r="J3830" t="str">
        <f>"9781472427625"</f>
        <v>9781472427625</v>
      </c>
      <c r="K3830" t="s">
        <v>6481</v>
      </c>
      <c r="L3830">
        <v>30</v>
      </c>
      <c r="O3830" t="s">
        <v>30</v>
      </c>
      <c r="P3830" t="s">
        <v>50</v>
      </c>
      <c r="S3830" t="s">
        <v>627</v>
      </c>
      <c r="T3830">
        <v>2013049432</v>
      </c>
      <c r="U3830">
        <v>306.46100000000001</v>
      </c>
      <c r="V3830" s="3">
        <v>42152</v>
      </c>
    </row>
    <row r="3831" spans="1:22" x14ac:dyDescent="0.35">
      <c r="A3831" s="1">
        <v>42324.064826388887</v>
      </c>
      <c r="B3831" s="2">
        <v>5.5555555555555558E-3</v>
      </c>
      <c r="C3831" t="s">
        <v>106</v>
      </c>
      <c r="D3831" t="s">
        <v>23</v>
      </c>
      <c r="E3831" t="s">
        <v>24</v>
      </c>
      <c r="F3831" t="s">
        <v>6477</v>
      </c>
      <c r="G3831">
        <v>1996922</v>
      </c>
      <c r="H3831" t="s">
        <v>91</v>
      </c>
      <c r="I3831" t="s">
        <v>4420</v>
      </c>
      <c r="J3831" t="str">
        <f>"9781462521289"</f>
        <v>9781462521289</v>
      </c>
      <c r="K3831" t="s">
        <v>6482</v>
      </c>
      <c r="L3831">
        <v>14</v>
      </c>
      <c r="O3831" t="s">
        <v>30</v>
      </c>
      <c r="P3831" t="s">
        <v>50</v>
      </c>
      <c r="S3831" t="s">
        <v>31</v>
      </c>
      <c r="T3831" t="s">
        <v>6479</v>
      </c>
      <c r="U3831" t="s">
        <v>6480</v>
      </c>
      <c r="V3831" s="3">
        <v>42187</v>
      </c>
    </row>
    <row r="3832" spans="1:22" x14ac:dyDescent="0.35">
      <c r="A3832" s="1">
        <v>42324.062615740739</v>
      </c>
      <c r="B3832" s="2">
        <v>4.9768518518518521E-4</v>
      </c>
      <c r="C3832" t="s">
        <v>6483</v>
      </c>
      <c r="D3832" t="s">
        <v>623</v>
      </c>
      <c r="E3832" t="s">
        <v>624</v>
      </c>
      <c r="F3832" t="s">
        <v>6484</v>
      </c>
      <c r="G3832">
        <v>2056249</v>
      </c>
      <c r="H3832" t="s">
        <v>26</v>
      </c>
      <c r="I3832" t="s">
        <v>6485</v>
      </c>
      <c r="J3832" t="str">
        <f>"9781119031758"</f>
        <v>9781119031758</v>
      </c>
      <c r="K3832" t="s">
        <v>6486</v>
      </c>
      <c r="L3832">
        <v>9</v>
      </c>
      <c r="O3832" t="s">
        <v>30</v>
      </c>
      <c r="P3832" t="s">
        <v>50</v>
      </c>
      <c r="S3832" t="s">
        <v>627</v>
      </c>
      <c r="T3832" t="s">
        <v>6487</v>
      </c>
      <c r="U3832">
        <v>174.90700000000001</v>
      </c>
      <c r="V3832" s="3">
        <v>42142</v>
      </c>
    </row>
    <row r="3833" spans="1:22" x14ac:dyDescent="0.35">
      <c r="A3833" s="1">
        <v>42324.05431712963</v>
      </c>
      <c r="B3833" s="2">
        <v>5.7256944444444437E-2</v>
      </c>
      <c r="C3833" t="s">
        <v>4129</v>
      </c>
      <c r="D3833" t="s">
        <v>23</v>
      </c>
      <c r="E3833" t="s">
        <v>24</v>
      </c>
      <c r="F3833" t="s">
        <v>4130</v>
      </c>
      <c r="G3833">
        <v>1433263</v>
      </c>
      <c r="H3833" t="s">
        <v>84</v>
      </c>
      <c r="I3833" t="s">
        <v>172</v>
      </c>
      <c r="J3833" t="str">
        <f>"9780520957145"</f>
        <v>9780520957145</v>
      </c>
      <c r="K3833" t="s">
        <v>6488</v>
      </c>
      <c r="L3833">
        <v>8</v>
      </c>
      <c r="O3833" t="s">
        <v>30</v>
      </c>
      <c r="P3833" t="s">
        <v>29</v>
      </c>
      <c r="Q3833" s="1">
        <v>42324.05431712963</v>
      </c>
      <c r="R3833">
        <v>7</v>
      </c>
      <c r="S3833" t="s">
        <v>31</v>
      </c>
      <c r="T3833" t="s">
        <v>4132</v>
      </c>
      <c r="U3833">
        <v>961.10400000000004</v>
      </c>
      <c r="V3833" s="3">
        <v>41544</v>
      </c>
    </row>
    <row r="3834" spans="1:22" x14ac:dyDescent="0.35">
      <c r="A3834" s="1">
        <v>42324.05060185185</v>
      </c>
      <c r="B3834" s="2">
        <v>8.5462962962962963E-2</v>
      </c>
      <c r="C3834" t="s">
        <v>5552</v>
      </c>
      <c r="D3834" t="s">
        <v>23</v>
      </c>
      <c r="E3834" t="s">
        <v>24</v>
      </c>
      <c r="F3834" t="s">
        <v>3060</v>
      </c>
      <c r="G3834">
        <v>1120279</v>
      </c>
      <c r="H3834" t="s">
        <v>26</v>
      </c>
      <c r="I3834" t="s">
        <v>3061</v>
      </c>
      <c r="J3834" t="str">
        <f>"9781118537671"</f>
        <v>9781118537671</v>
      </c>
      <c r="K3834" t="s">
        <v>6489</v>
      </c>
      <c r="L3834">
        <v>35</v>
      </c>
      <c r="O3834" t="s">
        <v>30</v>
      </c>
      <c r="P3834" t="s">
        <v>29</v>
      </c>
      <c r="Q3834" s="1">
        <v>42322.91815972222</v>
      </c>
      <c r="R3834">
        <v>7</v>
      </c>
      <c r="S3834" t="s">
        <v>31</v>
      </c>
      <c r="T3834" t="s">
        <v>3063</v>
      </c>
      <c r="U3834">
        <v>599.93499999999995</v>
      </c>
      <c r="V3834" s="3">
        <v>41232</v>
      </c>
    </row>
    <row r="3835" spans="1:22" x14ac:dyDescent="0.35">
      <c r="A3835" s="1">
        <v>42324.049780092595</v>
      </c>
      <c r="B3835" s="2">
        <v>4.3020833333333335E-2</v>
      </c>
      <c r="C3835" t="s">
        <v>6468</v>
      </c>
      <c r="D3835" t="s">
        <v>211</v>
      </c>
      <c r="E3835" t="s">
        <v>212</v>
      </c>
      <c r="F3835" t="s">
        <v>6469</v>
      </c>
      <c r="G3835">
        <v>1895917</v>
      </c>
      <c r="H3835" t="s">
        <v>26</v>
      </c>
      <c r="I3835" t="s">
        <v>150</v>
      </c>
      <c r="J3835" t="str">
        <f>"9781119014959"</f>
        <v>9781119014959</v>
      </c>
      <c r="K3835" t="s">
        <v>2322</v>
      </c>
      <c r="L3835">
        <v>23</v>
      </c>
      <c r="O3835" t="s">
        <v>30</v>
      </c>
      <c r="P3835" t="s">
        <v>42</v>
      </c>
      <c r="S3835" t="s">
        <v>214</v>
      </c>
      <c r="T3835" t="s">
        <v>6471</v>
      </c>
      <c r="U3835" t="s">
        <v>6472</v>
      </c>
      <c r="V3835" s="3">
        <v>42087</v>
      </c>
    </row>
    <row r="3836" spans="1:22" x14ac:dyDescent="0.35">
      <c r="A3836" s="1">
        <v>42324.044120370374</v>
      </c>
      <c r="B3836" s="2">
        <v>1.019675925925926E-2</v>
      </c>
      <c r="C3836" t="s">
        <v>4129</v>
      </c>
      <c r="D3836" t="s">
        <v>23</v>
      </c>
      <c r="E3836" t="s">
        <v>24</v>
      </c>
      <c r="F3836" t="s">
        <v>4130</v>
      </c>
      <c r="G3836">
        <v>1433263</v>
      </c>
      <c r="H3836" t="s">
        <v>84</v>
      </c>
      <c r="I3836" t="s">
        <v>172</v>
      </c>
      <c r="J3836" t="str">
        <f>"9780520957145"</f>
        <v>9780520957145</v>
      </c>
      <c r="K3836" t="s">
        <v>6490</v>
      </c>
      <c r="L3836">
        <v>26</v>
      </c>
      <c r="O3836" t="s">
        <v>30</v>
      </c>
      <c r="P3836" t="s">
        <v>42</v>
      </c>
      <c r="S3836" t="s">
        <v>31</v>
      </c>
      <c r="T3836" t="s">
        <v>4132</v>
      </c>
      <c r="U3836">
        <v>961.10400000000004</v>
      </c>
      <c r="V3836" s="3">
        <v>41544</v>
      </c>
    </row>
    <row r="3837" spans="1:22" x14ac:dyDescent="0.35">
      <c r="A3837" s="1">
        <v>42324.010092592594</v>
      </c>
      <c r="B3837" s="2">
        <v>3.4722222222222222E-5</v>
      </c>
      <c r="C3837" t="s">
        <v>6258</v>
      </c>
      <c r="D3837" t="s">
        <v>623</v>
      </c>
      <c r="E3837" t="s">
        <v>624</v>
      </c>
      <c r="F3837" t="s">
        <v>6491</v>
      </c>
      <c r="G3837">
        <v>1926299</v>
      </c>
      <c r="H3837" t="s">
        <v>139</v>
      </c>
      <c r="I3837" t="s">
        <v>38</v>
      </c>
      <c r="J3837" t="str">
        <f>"9780814762905"</f>
        <v>9780814762905</v>
      </c>
      <c r="K3837" t="s">
        <v>611</v>
      </c>
      <c r="L3837">
        <v>3</v>
      </c>
      <c r="O3837" t="s">
        <v>30</v>
      </c>
      <c r="P3837" t="s">
        <v>50</v>
      </c>
      <c r="S3837" t="s">
        <v>627</v>
      </c>
      <c r="T3837" t="s">
        <v>6492</v>
      </c>
      <c r="U3837" t="s">
        <v>6493</v>
      </c>
      <c r="V3837" s="3">
        <v>42069</v>
      </c>
    </row>
    <row r="3838" spans="1:22" x14ac:dyDescent="0.35">
      <c r="A3838" s="1">
        <v>42324.008055555554</v>
      </c>
      <c r="B3838" s="2">
        <v>1.8518518518518518E-4</v>
      </c>
      <c r="C3838" t="s">
        <v>6258</v>
      </c>
      <c r="D3838" t="s">
        <v>623</v>
      </c>
      <c r="E3838" t="s">
        <v>624</v>
      </c>
      <c r="F3838" t="s">
        <v>4770</v>
      </c>
      <c r="G3838">
        <v>2038643</v>
      </c>
      <c r="H3838" t="s">
        <v>45</v>
      </c>
      <c r="I3838" t="s">
        <v>120</v>
      </c>
      <c r="J3838" t="str">
        <f>"9781472427625"</f>
        <v>9781472427625</v>
      </c>
      <c r="K3838" t="s">
        <v>6494</v>
      </c>
      <c r="L3838">
        <v>10</v>
      </c>
      <c r="O3838" t="s">
        <v>30</v>
      </c>
      <c r="P3838" t="s">
        <v>50</v>
      </c>
      <c r="S3838" t="s">
        <v>627</v>
      </c>
      <c r="T3838">
        <v>2013049432</v>
      </c>
      <c r="U3838">
        <v>306.46100000000001</v>
      </c>
      <c r="V3838" s="3">
        <v>42152</v>
      </c>
    </row>
    <row r="3839" spans="1:22" x14ac:dyDescent="0.35">
      <c r="A3839" s="1">
        <v>42324.007199074076</v>
      </c>
      <c r="B3839" s="2">
        <v>4.3981481481481481E-4</v>
      </c>
      <c r="C3839" t="s">
        <v>6258</v>
      </c>
      <c r="D3839" t="s">
        <v>623</v>
      </c>
      <c r="E3839" t="s">
        <v>624</v>
      </c>
      <c r="F3839" t="s">
        <v>4637</v>
      </c>
      <c r="G3839">
        <v>1498550</v>
      </c>
      <c r="H3839" t="s">
        <v>26</v>
      </c>
      <c r="I3839" t="s">
        <v>120</v>
      </c>
      <c r="J3839" t="str">
        <f>"9780745683454"</f>
        <v>9780745683454</v>
      </c>
      <c r="K3839" t="s">
        <v>6495</v>
      </c>
      <c r="L3839">
        <v>11</v>
      </c>
      <c r="O3839" t="s">
        <v>30</v>
      </c>
      <c r="P3839" t="s">
        <v>50</v>
      </c>
      <c r="S3839" t="s">
        <v>627</v>
      </c>
      <c r="T3839" t="s">
        <v>4640</v>
      </c>
      <c r="U3839">
        <v>363.46</v>
      </c>
      <c r="V3839" s="3">
        <v>41568</v>
      </c>
    </row>
    <row r="3840" spans="1:22" x14ac:dyDescent="0.35">
      <c r="A3840" s="1">
        <v>42323.985879629632</v>
      </c>
      <c r="B3840" s="2">
        <v>9.1435185185185185E-4</v>
      </c>
      <c r="C3840" t="s">
        <v>6496</v>
      </c>
      <c r="D3840" t="s">
        <v>23</v>
      </c>
      <c r="E3840" t="s">
        <v>24</v>
      </c>
      <c r="F3840" t="s">
        <v>6497</v>
      </c>
      <c r="G3840">
        <v>1969426</v>
      </c>
      <c r="H3840" t="s">
        <v>45</v>
      </c>
      <c r="I3840" t="s">
        <v>6498</v>
      </c>
      <c r="J3840" t="str">
        <f>"9781472440372"</f>
        <v>9781472440372</v>
      </c>
      <c r="K3840" t="s">
        <v>6499</v>
      </c>
      <c r="L3840">
        <v>20</v>
      </c>
      <c r="O3840" t="s">
        <v>30</v>
      </c>
      <c r="P3840" t="s">
        <v>50</v>
      </c>
      <c r="S3840" t="s">
        <v>31</v>
      </c>
      <c r="T3840" t="s">
        <v>6500</v>
      </c>
      <c r="U3840" t="s">
        <v>6501</v>
      </c>
      <c r="V3840" s="3">
        <v>42091</v>
      </c>
    </row>
    <row r="3841" spans="1:22" x14ac:dyDescent="0.35">
      <c r="A3841" s="1">
        <v>42323.977986111109</v>
      </c>
      <c r="B3841" s="2">
        <v>2.568287037037037E-2</v>
      </c>
      <c r="C3841" t="s">
        <v>5900</v>
      </c>
      <c r="D3841" t="s">
        <v>623</v>
      </c>
      <c r="E3841" t="s">
        <v>624</v>
      </c>
      <c r="F3841" t="s">
        <v>4526</v>
      </c>
      <c r="G3841">
        <v>771074</v>
      </c>
      <c r="H3841" t="s">
        <v>3465</v>
      </c>
      <c r="I3841" t="s">
        <v>4527</v>
      </c>
      <c r="J3841" t="str">
        <f>"9780761499732"</f>
        <v>9780761499732</v>
      </c>
      <c r="K3841" t="s">
        <v>6502</v>
      </c>
      <c r="L3841">
        <v>11</v>
      </c>
      <c r="O3841" t="s">
        <v>30</v>
      </c>
      <c r="P3841" t="s">
        <v>29</v>
      </c>
      <c r="Q3841" s="1">
        <v>42317.066701388889</v>
      </c>
      <c r="R3841">
        <v>7</v>
      </c>
      <c r="S3841" t="s">
        <v>627</v>
      </c>
      <c r="T3841" t="s">
        <v>4528</v>
      </c>
      <c r="U3841" t="s">
        <v>4529</v>
      </c>
      <c r="V3841" s="3">
        <v>40909</v>
      </c>
    </row>
    <row r="3842" spans="1:22" x14ac:dyDescent="0.35">
      <c r="A3842" s="1">
        <v>42323.977800925924</v>
      </c>
      <c r="B3842" s="2">
        <v>5.5902777777777782E-3</v>
      </c>
      <c r="C3842" t="s">
        <v>6098</v>
      </c>
      <c r="D3842" t="s">
        <v>117</v>
      </c>
      <c r="E3842" t="s">
        <v>118</v>
      </c>
      <c r="F3842" t="s">
        <v>4405</v>
      </c>
      <c r="G3842">
        <v>1187185</v>
      </c>
      <c r="H3842" t="s">
        <v>26</v>
      </c>
      <c r="I3842" t="s">
        <v>4406</v>
      </c>
      <c r="J3842" t="str">
        <f>"9781118748183"</f>
        <v>9781118748183</v>
      </c>
      <c r="K3842" t="s">
        <v>6503</v>
      </c>
      <c r="L3842">
        <v>16</v>
      </c>
      <c r="O3842" t="s">
        <v>30</v>
      </c>
      <c r="P3842" t="s">
        <v>42</v>
      </c>
      <c r="S3842" t="s">
        <v>121</v>
      </c>
      <c r="T3842" t="s">
        <v>4408</v>
      </c>
      <c r="U3842">
        <v>622.33799999999997</v>
      </c>
      <c r="V3842" s="3">
        <v>41400</v>
      </c>
    </row>
    <row r="3843" spans="1:22" x14ac:dyDescent="0.35">
      <c r="A3843" s="1">
        <v>42323.977696759262</v>
      </c>
      <c r="B3843" s="2">
        <v>1.7361111111111112E-4</v>
      </c>
      <c r="C3843" t="s">
        <v>5900</v>
      </c>
      <c r="D3843" t="s">
        <v>623</v>
      </c>
      <c r="E3843" t="s">
        <v>624</v>
      </c>
      <c r="F3843" t="s">
        <v>3736</v>
      </c>
      <c r="G3843">
        <v>1938274</v>
      </c>
      <c r="H3843" t="s">
        <v>26</v>
      </c>
      <c r="I3843" t="s">
        <v>338</v>
      </c>
      <c r="J3843" t="str">
        <f>"9781119098201"</f>
        <v>9781119098201</v>
      </c>
      <c r="K3843" t="s">
        <v>913</v>
      </c>
      <c r="L3843">
        <v>8</v>
      </c>
      <c r="O3843" t="s">
        <v>30</v>
      </c>
      <c r="P3843" t="s">
        <v>29</v>
      </c>
      <c r="Q3843" s="1">
        <v>42318.942025462966</v>
      </c>
      <c r="R3843">
        <v>7</v>
      </c>
      <c r="S3843" t="s">
        <v>627</v>
      </c>
      <c r="T3843" t="s">
        <v>3738</v>
      </c>
      <c r="U3843" t="s">
        <v>3739</v>
      </c>
      <c r="V3843" s="3">
        <v>42033</v>
      </c>
    </row>
    <row r="3844" spans="1:22" x14ac:dyDescent="0.35">
      <c r="A3844" s="1">
        <v>42323.97755787037</v>
      </c>
      <c r="B3844" s="2">
        <v>3.4722222222222222E-5</v>
      </c>
      <c r="C3844" t="s">
        <v>5900</v>
      </c>
      <c r="D3844" t="s">
        <v>623</v>
      </c>
      <c r="E3844" t="s">
        <v>624</v>
      </c>
      <c r="F3844" t="s">
        <v>4526</v>
      </c>
      <c r="G3844">
        <v>771074</v>
      </c>
      <c r="H3844" t="s">
        <v>3465</v>
      </c>
      <c r="I3844" t="s">
        <v>4527</v>
      </c>
      <c r="J3844" t="str">
        <f>"9780761499732"</f>
        <v>9780761499732</v>
      </c>
      <c r="K3844" t="s">
        <v>33</v>
      </c>
      <c r="L3844">
        <v>3</v>
      </c>
      <c r="O3844" t="s">
        <v>30</v>
      </c>
      <c r="P3844" t="s">
        <v>29</v>
      </c>
      <c r="Q3844" s="1">
        <v>42317.066701388889</v>
      </c>
      <c r="R3844">
        <v>7</v>
      </c>
      <c r="S3844" t="s">
        <v>627</v>
      </c>
      <c r="T3844" t="s">
        <v>4528</v>
      </c>
      <c r="U3844" t="s">
        <v>4529</v>
      </c>
      <c r="V3844" s="3">
        <v>40909</v>
      </c>
    </row>
    <row r="3845" spans="1:22" x14ac:dyDescent="0.35">
      <c r="A3845" s="1">
        <v>42323.977430555555</v>
      </c>
      <c r="B3845" s="2">
        <v>4.6296296296296294E-5</v>
      </c>
      <c r="C3845" t="s">
        <v>5900</v>
      </c>
      <c r="D3845" t="s">
        <v>623</v>
      </c>
      <c r="E3845" t="s">
        <v>624</v>
      </c>
      <c r="F3845" t="s">
        <v>3736</v>
      </c>
      <c r="G3845">
        <v>1938274</v>
      </c>
      <c r="H3845" t="s">
        <v>26</v>
      </c>
      <c r="I3845" t="s">
        <v>338</v>
      </c>
      <c r="J3845" t="str">
        <f>"9781119098201"</f>
        <v>9781119098201</v>
      </c>
      <c r="K3845" t="s">
        <v>33</v>
      </c>
      <c r="L3845">
        <v>3</v>
      </c>
      <c r="O3845" t="s">
        <v>30</v>
      </c>
      <c r="P3845" t="s">
        <v>29</v>
      </c>
      <c r="Q3845" s="1">
        <v>42318.942025462966</v>
      </c>
      <c r="R3845">
        <v>7</v>
      </c>
      <c r="S3845" t="s">
        <v>627</v>
      </c>
      <c r="T3845" t="s">
        <v>3738</v>
      </c>
      <c r="U3845" t="s">
        <v>3739</v>
      </c>
      <c r="V3845" s="3">
        <v>42033</v>
      </c>
    </row>
    <row r="3846" spans="1:22" x14ac:dyDescent="0.35">
      <c r="A3846" s="1">
        <v>42323.977025462962</v>
      </c>
      <c r="B3846" s="2">
        <v>1.8518518518518518E-4</v>
      </c>
      <c r="C3846" t="s">
        <v>5900</v>
      </c>
      <c r="D3846" t="s">
        <v>623</v>
      </c>
      <c r="E3846" t="s">
        <v>624</v>
      </c>
      <c r="F3846" t="s">
        <v>4526</v>
      </c>
      <c r="G3846">
        <v>771074</v>
      </c>
      <c r="H3846" t="s">
        <v>3465</v>
      </c>
      <c r="I3846" t="s">
        <v>4527</v>
      </c>
      <c r="J3846" t="str">
        <f>"9780761499732"</f>
        <v>9780761499732</v>
      </c>
      <c r="K3846" t="s">
        <v>478</v>
      </c>
      <c r="L3846">
        <v>8</v>
      </c>
      <c r="O3846" t="s">
        <v>30</v>
      </c>
      <c r="P3846" t="s">
        <v>29</v>
      </c>
      <c r="Q3846" s="1">
        <v>42317.066701388889</v>
      </c>
      <c r="R3846">
        <v>7</v>
      </c>
      <c r="S3846" t="s">
        <v>627</v>
      </c>
      <c r="T3846" t="s">
        <v>4528</v>
      </c>
      <c r="U3846" t="s">
        <v>4529</v>
      </c>
      <c r="V3846" s="3">
        <v>40909</v>
      </c>
    </row>
    <row r="3847" spans="1:22" x14ac:dyDescent="0.35">
      <c r="A3847" s="1">
        <v>42323.969305555554</v>
      </c>
      <c r="B3847" s="2">
        <v>9.2592592592592588E-5</v>
      </c>
      <c r="C3847" t="s">
        <v>5592</v>
      </c>
      <c r="D3847" t="s">
        <v>623</v>
      </c>
      <c r="E3847" t="s">
        <v>624</v>
      </c>
      <c r="F3847" t="s">
        <v>1698</v>
      </c>
      <c r="G3847">
        <v>1637652</v>
      </c>
      <c r="H3847" t="s">
        <v>84</v>
      </c>
      <c r="I3847" t="s">
        <v>69</v>
      </c>
      <c r="J3847" t="str">
        <f>"9780520958449"</f>
        <v>9780520958449</v>
      </c>
      <c r="K3847" t="s">
        <v>6504</v>
      </c>
      <c r="L3847">
        <v>8</v>
      </c>
      <c r="O3847" t="s">
        <v>30</v>
      </c>
      <c r="P3847" t="s">
        <v>29</v>
      </c>
      <c r="Q3847" s="1">
        <v>42321.620787037034</v>
      </c>
      <c r="R3847">
        <v>7</v>
      </c>
      <c r="S3847" t="s">
        <v>627</v>
      </c>
      <c r="T3847" t="s">
        <v>1700</v>
      </c>
      <c r="U3847" t="s">
        <v>1701</v>
      </c>
      <c r="V3847" s="3">
        <v>41761</v>
      </c>
    </row>
    <row r="3848" spans="1:22" x14ac:dyDescent="0.35">
      <c r="A3848" s="1">
        <v>42323.960335648146</v>
      </c>
      <c r="B3848" s="2">
        <v>1.0416666666666667E-4</v>
      </c>
      <c r="C3848" t="s">
        <v>1333</v>
      </c>
      <c r="D3848" t="s">
        <v>23</v>
      </c>
      <c r="E3848" t="s">
        <v>24</v>
      </c>
      <c r="F3848" t="s">
        <v>6505</v>
      </c>
      <c r="G3848">
        <v>1985019</v>
      </c>
      <c r="H3848" t="s">
        <v>526</v>
      </c>
      <c r="I3848" t="s">
        <v>267</v>
      </c>
      <c r="J3848" t="str">
        <f>"9780226237015"</f>
        <v>9780226237015</v>
      </c>
      <c r="K3848" t="s">
        <v>202</v>
      </c>
      <c r="L3848">
        <v>3</v>
      </c>
      <c r="O3848" t="s">
        <v>30</v>
      </c>
      <c r="P3848" t="s">
        <v>50</v>
      </c>
      <c r="S3848" t="s">
        <v>31</v>
      </c>
      <c r="T3848" t="s">
        <v>6506</v>
      </c>
      <c r="U3848" t="s">
        <v>5629</v>
      </c>
      <c r="V3848" s="3">
        <v>42080</v>
      </c>
    </row>
    <row r="3849" spans="1:22" x14ac:dyDescent="0.35">
      <c r="A3849" s="1">
        <v>42323.95553240741</v>
      </c>
      <c r="B3849" s="2">
        <v>4.3981481481481481E-4</v>
      </c>
      <c r="C3849" t="s">
        <v>6507</v>
      </c>
      <c r="D3849" t="s">
        <v>597</v>
      </c>
      <c r="E3849" t="s">
        <v>598</v>
      </c>
      <c r="F3849" t="s">
        <v>6458</v>
      </c>
      <c r="G3849">
        <v>817384</v>
      </c>
      <c r="H3849" t="s">
        <v>26</v>
      </c>
      <c r="I3849" t="s">
        <v>6459</v>
      </c>
      <c r="J3849" t="str">
        <f>"9781118160114"</f>
        <v>9781118160114</v>
      </c>
      <c r="K3849" t="s">
        <v>6508</v>
      </c>
      <c r="L3849">
        <v>15</v>
      </c>
      <c r="O3849" t="s">
        <v>30</v>
      </c>
      <c r="P3849" t="s">
        <v>42</v>
      </c>
      <c r="S3849" t="s">
        <v>600</v>
      </c>
      <c r="T3849" t="s">
        <v>6461</v>
      </c>
      <c r="U3849" t="s">
        <v>6462</v>
      </c>
      <c r="V3849" s="3">
        <v>40849</v>
      </c>
    </row>
    <row r="3850" spans="1:22" x14ac:dyDescent="0.35">
      <c r="A3850" s="1">
        <v>42323.948437500003</v>
      </c>
      <c r="B3850" s="2">
        <v>1.6666666666666668E-3</v>
      </c>
      <c r="C3850" t="s">
        <v>6509</v>
      </c>
      <c r="D3850" t="s">
        <v>211</v>
      </c>
      <c r="E3850" t="s">
        <v>212</v>
      </c>
      <c r="F3850" t="s">
        <v>1547</v>
      </c>
      <c r="G3850">
        <v>848510</v>
      </c>
      <c r="H3850" t="s">
        <v>26</v>
      </c>
      <c r="I3850" t="s">
        <v>247</v>
      </c>
      <c r="J3850" t="str">
        <f>"9781118220481"</f>
        <v>9781118220481</v>
      </c>
      <c r="K3850" t="s">
        <v>6510</v>
      </c>
      <c r="L3850">
        <v>8</v>
      </c>
      <c r="O3850" t="s">
        <v>30</v>
      </c>
      <c r="P3850" t="s">
        <v>29</v>
      </c>
      <c r="Q3850" s="1">
        <v>42323.877442129633</v>
      </c>
      <c r="R3850">
        <v>7</v>
      </c>
      <c r="S3850" t="s">
        <v>214</v>
      </c>
      <c r="T3850" t="s">
        <v>1548</v>
      </c>
      <c r="U3850" t="s">
        <v>1549</v>
      </c>
      <c r="V3850" s="3">
        <v>41066</v>
      </c>
    </row>
    <row r="3851" spans="1:22" x14ac:dyDescent="0.35">
      <c r="A3851" s="1">
        <v>42323.933692129627</v>
      </c>
      <c r="B3851" s="2">
        <v>4.0763888888888891E-2</v>
      </c>
      <c r="C3851" t="s">
        <v>5900</v>
      </c>
      <c r="D3851" t="s">
        <v>623</v>
      </c>
      <c r="E3851" t="s">
        <v>624</v>
      </c>
      <c r="F3851" t="s">
        <v>3736</v>
      </c>
      <c r="G3851">
        <v>1938274</v>
      </c>
      <c r="H3851" t="s">
        <v>26</v>
      </c>
      <c r="I3851" t="s">
        <v>338</v>
      </c>
      <c r="J3851" t="str">
        <f>"9781119098201"</f>
        <v>9781119098201</v>
      </c>
      <c r="K3851" t="s">
        <v>6511</v>
      </c>
      <c r="L3851">
        <v>8</v>
      </c>
      <c r="O3851" t="s">
        <v>30</v>
      </c>
      <c r="P3851" t="s">
        <v>29</v>
      </c>
      <c r="Q3851" s="1">
        <v>42318.942025462966</v>
      </c>
      <c r="R3851">
        <v>7</v>
      </c>
      <c r="S3851" t="s">
        <v>627</v>
      </c>
      <c r="T3851" t="s">
        <v>3738</v>
      </c>
      <c r="U3851" t="s">
        <v>3739</v>
      </c>
      <c r="V3851" s="3">
        <v>42033</v>
      </c>
    </row>
    <row r="3852" spans="1:22" x14ac:dyDescent="0.35">
      <c r="A3852" s="1">
        <v>42323.93341435185</v>
      </c>
      <c r="B3852" s="2">
        <v>5.6597222222222222E-3</v>
      </c>
      <c r="C3852" t="s">
        <v>6512</v>
      </c>
      <c r="D3852" t="s">
        <v>23</v>
      </c>
      <c r="E3852" t="s">
        <v>24</v>
      </c>
      <c r="F3852" t="s">
        <v>986</v>
      </c>
      <c r="G3852">
        <v>968030</v>
      </c>
      <c r="H3852" t="s">
        <v>26</v>
      </c>
      <c r="I3852" t="s">
        <v>219</v>
      </c>
      <c r="J3852" t="str">
        <f>"9781118285138"</f>
        <v>9781118285138</v>
      </c>
      <c r="K3852" t="s">
        <v>6513</v>
      </c>
      <c r="L3852">
        <v>12</v>
      </c>
      <c r="O3852" t="s">
        <v>30</v>
      </c>
      <c r="P3852" t="s">
        <v>42</v>
      </c>
      <c r="S3852" t="s">
        <v>31</v>
      </c>
      <c r="T3852" t="s">
        <v>987</v>
      </c>
      <c r="U3852">
        <v>158.30000000000001</v>
      </c>
      <c r="V3852" s="3">
        <v>41100</v>
      </c>
    </row>
    <row r="3853" spans="1:22" x14ac:dyDescent="0.35">
      <c r="A3853" s="1">
        <v>42323.928935185184</v>
      </c>
      <c r="B3853" s="2">
        <v>0.10513888888888889</v>
      </c>
      <c r="C3853" t="s">
        <v>106</v>
      </c>
      <c r="D3853" t="s">
        <v>23</v>
      </c>
      <c r="E3853" t="s">
        <v>24</v>
      </c>
      <c r="F3853" t="s">
        <v>1121</v>
      </c>
      <c r="G3853">
        <v>875809</v>
      </c>
      <c r="H3853" t="s">
        <v>26</v>
      </c>
      <c r="I3853" t="s">
        <v>27</v>
      </c>
      <c r="J3853" t="str">
        <f>"9781118223598"</f>
        <v>9781118223598</v>
      </c>
      <c r="K3853" t="s">
        <v>6514</v>
      </c>
      <c r="L3853">
        <v>18</v>
      </c>
      <c r="O3853" t="s">
        <v>28</v>
      </c>
      <c r="P3853" t="s">
        <v>29</v>
      </c>
      <c r="Q3853" s="1">
        <v>42323.928935185184</v>
      </c>
      <c r="R3853">
        <v>7</v>
      </c>
      <c r="S3853" t="s">
        <v>31</v>
      </c>
      <c r="T3853" t="s">
        <v>1123</v>
      </c>
      <c r="U3853">
        <v>428.00709999999998</v>
      </c>
      <c r="V3853" s="3">
        <v>41128</v>
      </c>
    </row>
    <row r="3854" spans="1:22" x14ac:dyDescent="0.35">
      <c r="A3854" s="1">
        <v>42323.928935185184</v>
      </c>
      <c r="B3854" s="2">
        <v>0</v>
      </c>
      <c r="C3854" t="s">
        <v>106</v>
      </c>
      <c r="D3854" t="s">
        <v>23</v>
      </c>
      <c r="E3854" t="s">
        <v>24</v>
      </c>
      <c r="F3854" t="s">
        <v>1121</v>
      </c>
      <c r="G3854">
        <v>875809</v>
      </c>
      <c r="H3854" t="s">
        <v>26</v>
      </c>
      <c r="I3854" t="s">
        <v>27</v>
      </c>
      <c r="J3854" t="str">
        <f>"9781118223598"</f>
        <v>9781118223598</v>
      </c>
      <c r="L3854">
        <v>0</v>
      </c>
      <c r="O3854" t="s">
        <v>30</v>
      </c>
      <c r="P3854" t="s">
        <v>29</v>
      </c>
      <c r="Q3854" s="1">
        <v>42323.928935185184</v>
      </c>
      <c r="R3854">
        <v>7</v>
      </c>
      <c r="S3854" t="s">
        <v>31</v>
      </c>
      <c r="T3854" t="s">
        <v>1123</v>
      </c>
      <c r="U3854">
        <v>428.00709999999998</v>
      </c>
      <c r="V3854" s="3">
        <v>41128</v>
      </c>
    </row>
    <row r="3855" spans="1:22" x14ac:dyDescent="0.35">
      <c r="A3855" s="1">
        <v>42323.926249999997</v>
      </c>
      <c r="B3855" s="2">
        <v>1.9675925925925926E-4</v>
      </c>
      <c r="C3855" t="s">
        <v>106</v>
      </c>
      <c r="D3855" t="s">
        <v>23</v>
      </c>
      <c r="E3855" t="s">
        <v>24</v>
      </c>
      <c r="F3855" t="s">
        <v>4405</v>
      </c>
      <c r="G3855">
        <v>1187185</v>
      </c>
      <c r="H3855" t="s">
        <v>26</v>
      </c>
      <c r="I3855" t="s">
        <v>4406</v>
      </c>
      <c r="J3855" t="str">
        <f>"9781118748183"</f>
        <v>9781118748183</v>
      </c>
      <c r="K3855" t="s">
        <v>6515</v>
      </c>
      <c r="L3855">
        <v>3</v>
      </c>
      <c r="O3855" t="s">
        <v>30</v>
      </c>
      <c r="P3855" t="s">
        <v>29</v>
      </c>
      <c r="Q3855" s="1">
        <v>42323.926249999997</v>
      </c>
      <c r="R3855">
        <v>7</v>
      </c>
      <c r="S3855" t="s">
        <v>31</v>
      </c>
      <c r="T3855" t="s">
        <v>4408</v>
      </c>
      <c r="U3855">
        <v>622.33799999999997</v>
      </c>
      <c r="V3855" s="3">
        <v>41400</v>
      </c>
    </row>
    <row r="3856" spans="1:22" x14ac:dyDescent="0.35">
      <c r="A3856" s="1">
        <v>42323.926064814812</v>
      </c>
      <c r="B3856" s="2">
        <v>4.6296296296296294E-5</v>
      </c>
      <c r="C3856" t="s">
        <v>106</v>
      </c>
      <c r="D3856" t="s">
        <v>23</v>
      </c>
      <c r="E3856" t="s">
        <v>24</v>
      </c>
      <c r="F3856" t="s">
        <v>4405</v>
      </c>
      <c r="G3856">
        <v>1187185</v>
      </c>
      <c r="H3856" t="s">
        <v>26</v>
      </c>
      <c r="I3856" t="s">
        <v>4406</v>
      </c>
      <c r="J3856" t="str">
        <f>"9781118748183"</f>
        <v>9781118748183</v>
      </c>
      <c r="K3856" t="s">
        <v>33</v>
      </c>
      <c r="L3856">
        <v>3</v>
      </c>
      <c r="O3856" t="s">
        <v>30</v>
      </c>
      <c r="P3856" t="s">
        <v>42</v>
      </c>
      <c r="S3856" t="s">
        <v>31</v>
      </c>
      <c r="T3856" t="s">
        <v>4408</v>
      </c>
      <c r="U3856">
        <v>622.33799999999997</v>
      </c>
      <c r="V3856" s="3">
        <v>41400</v>
      </c>
    </row>
    <row r="3857" spans="1:22" x14ac:dyDescent="0.35">
      <c r="A3857" s="1">
        <v>42323.918935185182</v>
      </c>
      <c r="B3857" s="2">
        <v>0.01</v>
      </c>
      <c r="C3857" t="s">
        <v>106</v>
      </c>
      <c r="D3857" t="s">
        <v>23</v>
      </c>
      <c r="E3857" t="s">
        <v>24</v>
      </c>
      <c r="F3857" t="s">
        <v>1121</v>
      </c>
      <c r="G3857">
        <v>875809</v>
      </c>
      <c r="H3857" t="s">
        <v>26</v>
      </c>
      <c r="I3857" t="s">
        <v>27</v>
      </c>
      <c r="J3857" t="str">
        <f>"9781118223598"</f>
        <v>9781118223598</v>
      </c>
      <c r="K3857" t="s">
        <v>6516</v>
      </c>
      <c r="L3857">
        <v>13</v>
      </c>
      <c r="O3857" t="s">
        <v>30</v>
      </c>
      <c r="P3857" t="s">
        <v>42</v>
      </c>
      <c r="S3857" t="s">
        <v>31</v>
      </c>
      <c r="T3857" t="s">
        <v>1123</v>
      </c>
      <c r="U3857">
        <v>428.00709999999998</v>
      </c>
      <c r="V3857" s="3">
        <v>41128</v>
      </c>
    </row>
    <row r="3858" spans="1:22" x14ac:dyDescent="0.35">
      <c r="A3858" s="1">
        <v>42323.912453703706</v>
      </c>
      <c r="B3858" s="2">
        <v>1.3796296296296298E-2</v>
      </c>
      <c r="C3858" t="s">
        <v>106</v>
      </c>
      <c r="D3858" t="s">
        <v>23</v>
      </c>
      <c r="E3858" t="s">
        <v>24</v>
      </c>
      <c r="F3858" t="s">
        <v>4405</v>
      </c>
      <c r="G3858">
        <v>1187185</v>
      </c>
      <c r="H3858" t="s">
        <v>26</v>
      </c>
      <c r="I3858" t="s">
        <v>4406</v>
      </c>
      <c r="J3858" t="str">
        <f>"9781118748183"</f>
        <v>9781118748183</v>
      </c>
      <c r="K3858" t="s">
        <v>6517</v>
      </c>
      <c r="L3858">
        <v>23</v>
      </c>
      <c r="O3858" t="s">
        <v>30</v>
      </c>
      <c r="P3858" t="s">
        <v>42</v>
      </c>
      <c r="S3858" t="s">
        <v>31</v>
      </c>
      <c r="T3858" t="s">
        <v>4408</v>
      </c>
      <c r="U3858">
        <v>622.33799999999997</v>
      </c>
      <c r="V3858" s="3">
        <v>41400</v>
      </c>
    </row>
    <row r="3859" spans="1:22" x14ac:dyDescent="0.35">
      <c r="A3859" s="1">
        <v>42323.906134259261</v>
      </c>
      <c r="B3859" s="2">
        <v>9.9421296296296289E-3</v>
      </c>
      <c r="C3859" t="s">
        <v>6518</v>
      </c>
      <c r="D3859" t="s">
        <v>23</v>
      </c>
      <c r="E3859" t="s">
        <v>24</v>
      </c>
      <c r="F3859" t="s">
        <v>486</v>
      </c>
      <c r="G3859">
        <v>1119505</v>
      </c>
      <c r="H3859" t="s">
        <v>26</v>
      </c>
      <c r="I3859" t="s">
        <v>450</v>
      </c>
      <c r="J3859" t="str">
        <f>"9781118355015"</f>
        <v>9781118355015</v>
      </c>
      <c r="K3859" t="s">
        <v>6519</v>
      </c>
      <c r="L3859">
        <v>55</v>
      </c>
      <c r="O3859" t="s">
        <v>30</v>
      </c>
      <c r="P3859" t="s">
        <v>29</v>
      </c>
      <c r="Q3859" s="1">
        <v>42323.906134259261</v>
      </c>
      <c r="R3859">
        <v>7</v>
      </c>
      <c r="S3859" t="s">
        <v>31</v>
      </c>
      <c r="T3859" t="s">
        <v>487</v>
      </c>
      <c r="U3859" t="s">
        <v>488</v>
      </c>
      <c r="V3859" s="3">
        <v>41302</v>
      </c>
    </row>
    <row r="3860" spans="1:22" x14ac:dyDescent="0.35">
      <c r="A3860" s="1">
        <v>42323.903460648151</v>
      </c>
      <c r="B3860" s="2">
        <v>4.6296296296296294E-5</v>
      </c>
      <c r="C3860" t="s">
        <v>6520</v>
      </c>
      <c r="D3860" t="s">
        <v>261</v>
      </c>
      <c r="E3860" t="s">
        <v>262</v>
      </c>
      <c r="F3860" t="s">
        <v>6521</v>
      </c>
      <c r="G3860">
        <v>362585</v>
      </c>
      <c r="H3860" t="s">
        <v>91</v>
      </c>
      <c r="I3860" t="s">
        <v>69</v>
      </c>
      <c r="J3860" t="str">
        <f>"9781606232316"</f>
        <v>9781606232316</v>
      </c>
      <c r="K3860" t="s">
        <v>33</v>
      </c>
      <c r="L3860">
        <v>3</v>
      </c>
      <c r="O3860" t="s">
        <v>30</v>
      </c>
      <c r="P3860" t="s">
        <v>50</v>
      </c>
      <c r="S3860" t="s">
        <v>264</v>
      </c>
      <c r="T3860" t="s">
        <v>6522</v>
      </c>
      <c r="U3860">
        <v>372.46199999999999</v>
      </c>
      <c r="V3860" s="3">
        <v>41773</v>
      </c>
    </row>
    <row r="3861" spans="1:22" x14ac:dyDescent="0.35">
      <c r="A3861" s="1">
        <v>42323.888287037036</v>
      </c>
      <c r="B3861" s="2">
        <v>0</v>
      </c>
      <c r="C3861" t="s">
        <v>6523</v>
      </c>
      <c r="D3861" t="s">
        <v>23</v>
      </c>
      <c r="E3861" t="s">
        <v>24</v>
      </c>
      <c r="F3861" t="s">
        <v>3973</v>
      </c>
      <c r="G3861">
        <v>771049</v>
      </c>
      <c r="H3861" t="s">
        <v>3465</v>
      </c>
      <c r="I3861" t="s">
        <v>3974</v>
      </c>
      <c r="J3861" t="str">
        <f>"9781608706648"</f>
        <v>9781608706648</v>
      </c>
      <c r="L3861">
        <v>0</v>
      </c>
      <c r="O3861" t="s">
        <v>30</v>
      </c>
      <c r="P3861" t="s">
        <v>42</v>
      </c>
      <c r="S3861" t="s">
        <v>31</v>
      </c>
      <c r="T3861" t="s">
        <v>3976</v>
      </c>
      <c r="U3861">
        <v>363.73874000000001</v>
      </c>
      <c r="V3861" s="3">
        <v>40909</v>
      </c>
    </row>
    <row r="3862" spans="1:22" x14ac:dyDescent="0.35">
      <c r="A3862" s="1">
        <v>42323.887789351851</v>
      </c>
      <c r="B3862" s="2">
        <v>1.834490740740741E-2</v>
      </c>
      <c r="C3862" t="s">
        <v>6518</v>
      </c>
      <c r="D3862" t="s">
        <v>23</v>
      </c>
      <c r="E3862" t="s">
        <v>24</v>
      </c>
      <c r="F3862" t="s">
        <v>486</v>
      </c>
      <c r="G3862">
        <v>1119505</v>
      </c>
      <c r="H3862" t="s">
        <v>26</v>
      </c>
      <c r="I3862" t="s">
        <v>450</v>
      </c>
      <c r="J3862" t="str">
        <f>"9781118355015"</f>
        <v>9781118355015</v>
      </c>
      <c r="K3862" t="s">
        <v>6524</v>
      </c>
      <c r="L3862">
        <v>13</v>
      </c>
      <c r="O3862" t="s">
        <v>30</v>
      </c>
      <c r="P3862" t="s">
        <v>42</v>
      </c>
      <c r="S3862" t="s">
        <v>31</v>
      </c>
      <c r="T3862" t="s">
        <v>487</v>
      </c>
      <c r="U3862" t="s">
        <v>488</v>
      </c>
      <c r="V3862" s="3">
        <v>41302</v>
      </c>
    </row>
    <row r="3863" spans="1:22" x14ac:dyDescent="0.35">
      <c r="A3863" s="1">
        <v>42323.877442129633</v>
      </c>
      <c r="B3863" s="2">
        <v>7.6504629629629631E-3</v>
      </c>
      <c r="C3863" t="s">
        <v>6509</v>
      </c>
      <c r="D3863" t="s">
        <v>211</v>
      </c>
      <c r="E3863" t="s">
        <v>212</v>
      </c>
      <c r="F3863" t="s">
        <v>1547</v>
      </c>
      <c r="G3863">
        <v>848510</v>
      </c>
      <c r="H3863" t="s">
        <v>26</v>
      </c>
      <c r="I3863" t="s">
        <v>247</v>
      </c>
      <c r="J3863" t="str">
        <f>"9781118220481"</f>
        <v>9781118220481</v>
      </c>
      <c r="K3863" t="s">
        <v>6525</v>
      </c>
      <c r="L3863">
        <v>13</v>
      </c>
      <c r="O3863" t="s">
        <v>30</v>
      </c>
      <c r="P3863" t="s">
        <v>29</v>
      </c>
      <c r="Q3863" s="1">
        <v>42323.877442129633</v>
      </c>
      <c r="R3863">
        <v>7</v>
      </c>
      <c r="S3863" t="s">
        <v>214</v>
      </c>
      <c r="T3863" t="s">
        <v>1548</v>
      </c>
      <c r="U3863" t="s">
        <v>1549</v>
      </c>
      <c r="V3863" s="3">
        <v>41066</v>
      </c>
    </row>
    <row r="3864" spans="1:22" x14ac:dyDescent="0.35">
      <c r="A3864" s="1">
        <v>42323.874548611115</v>
      </c>
      <c r="B3864" s="2">
        <v>0.10128472222222222</v>
      </c>
      <c r="C3864" t="s">
        <v>6390</v>
      </c>
      <c r="D3864" t="s">
        <v>23</v>
      </c>
      <c r="E3864" t="s">
        <v>24</v>
      </c>
      <c r="F3864" t="s">
        <v>486</v>
      </c>
      <c r="G3864">
        <v>1119505</v>
      </c>
      <c r="H3864" t="s">
        <v>26</v>
      </c>
      <c r="I3864" t="s">
        <v>450</v>
      </c>
      <c r="J3864" t="str">
        <f>"9781118355015"</f>
        <v>9781118355015</v>
      </c>
      <c r="K3864" t="s">
        <v>6526</v>
      </c>
      <c r="L3864">
        <v>22</v>
      </c>
      <c r="O3864" t="s">
        <v>30</v>
      </c>
      <c r="P3864" t="s">
        <v>29</v>
      </c>
      <c r="Q3864" s="1">
        <v>42323.874548611115</v>
      </c>
      <c r="R3864">
        <v>7</v>
      </c>
      <c r="S3864" t="s">
        <v>31</v>
      </c>
      <c r="T3864" t="s">
        <v>487</v>
      </c>
      <c r="U3864" t="s">
        <v>488</v>
      </c>
      <c r="V3864" s="3">
        <v>41302</v>
      </c>
    </row>
    <row r="3865" spans="1:22" x14ac:dyDescent="0.35">
      <c r="A3865" s="1">
        <v>42323.872546296298</v>
      </c>
      <c r="B3865" s="2">
        <v>4.8958333333333328E-3</v>
      </c>
      <c r="C3865" t="s">
        <v>6509</v>
      </c>
      <c r="D3865" t="s">
        <v>211</v>
      </c>
      <c r="E3865" t="s">
        <v>212</v>
      </c>
      <c r="F3865" t="s">
        <v>1547</v>
      </c>
      <c r="G3865">
        <v>848510</v>
      </c>
      <c r="H3865" t="s">
        <v>26</v>
      </c>
      <c r="I3865" t="s">
        <v>247</v>
      </c>
      <c r="J3865" t="str">
        <f>"9781118220481"</f>
        <v>9781118220481</v>
      </c>
      <c r="K3865" t="s">
        <v>6527</v>
      </c>
      <c r="L3865">
        <v>71</v>
      </c>
      <c r="O3865" t="s">
        <v>30</v>
      </c>
      <c r="P3865" t="s">
        <v>42</v>
      </c>
      <c r="S3865" t="s">
        <v>214</v>
      </c>
      <c r="T3865" t="s">
        <v>1548</v>
      </c>
      <c r="U3865" t="s">
        <v>1549</v>
      </c>
      <c r="V3865" s="3">
        <v>41066</v>
      </c>
    </row>
    <row r="3866" spans="1:22" x14ac:dyDescent="0.35">
      <c r="A3866" s="1">
        <v>42323.869328703702</v>
      </c>
      <c r="B3866" s="2">
        <v>4.3981481481481481E-4</v>
      </c>
      <c r="C3866" t="s">
        <v>3213</v>
      </c>
      <c r="D3866" t="s">
        <v>35</v>
      </c>
      <c r="E3866" t="s">
        <v>36</v>
      </c>
      <c r="F3866" t="s">
        <v>6172</v>
      </c>
      <c r="G3866">
        <v>1110770</v>
      </c>
      <c r="H3866" t="s">
        <v>84</v>
      </c>
      <c r="I3866" t="s">
        <v>27</v>
      </c>
      <c r="J3866" t="str">
        <f>"9780520955233"</f>
        <v>9780520955233</v>
      </c>
      <c r="K3866" t="s">
        <v>6528</v>
      </c>
      <c r="L3866">
        <v>10</v>
      </c>
      <c r="O3866" t="s">
        <v>30</v>
      </c>
      <c r="P3866" t="s">
        <v>50</v>
      </c>
      <c r="S3866" t="s">
        <v>40</v>
      </c>
      <c r="T3866" t="s">
        <v>6174</v>
      </c>
      <c r="U3866">
        <v>493.186421</v>
      </c>
      <c r="V3866" s="3">
        <v>41773</v>
      </c>
    </row>
    <row r="3867" spans="1:22" x14ac:dyDescent="0.35">
      <c r="A3867" s="1">
        <v>42323.866805555554</v>
      </c>
      <c r="B3867" s="2">
        <v>7.743055555555556E-3</v>
      </c>
      <c r="C3867" t="s">
        <v>6390</v>
      </c>
      <c r="D3867" t="s">
        <v>23</v>
      </c>
      <c r="E3867" t="s">
        <v>24</v>
      </c>
      <c r="F3867" t="s">
        <v>486</v>
      </c>
      <c r="G3867">
        <v>1119505</v>
      </c>
      <c r="H3867" t="s">
        <v>26</v>
      </c>
      <c r="I3867" t="s">
        <v>450</v>
      </c>
      <c r="J3867" t="str">
        <f>"9781118355015"</f>
        <v>9781118355015</v>
      </c>
      <c r="K3867" t="s">
        <v>6529</v>
      </c>
      <c r="L3867">
        <v>15</v>
      </c>
      <c r="O3867" t="s">
        <v>30</v>
      </c>
      <c r="P3867" t="s">
        <v>42</v>
      </c>
      <c r="S3867" t="s">
        <v>31</v>
      </c>
      <c r="T3867" t="s">
        <v>487</v>
      </c>
      <c r="U3867" t="s">
        <v>488</v>
      </c>
      <c r="V3867" s="3">
        <v>41302</v>
      </c>
    </row>
    <row r="3868" spans="1:22" x14ac:dyDescent="0.35">
      <c r="A3868" s="1">
        <v>42323.86041666667</v>
      </c>
      <c r="B3868" s="2">
        <v>1.5219907407407409E-2</v>
      </c>
      <c r="C3868" t="s">
        <v>6417</v>
      </c>
      <c r="D3868" t="s">
        <v>23</v>
      </c>
      <c r="E3868" t="s">
        <v>24</v>
      </c>
      <c r="F3868" t="s">
        <v>6418</v>
      </c>
      <c r="G3868">
        <v>1168529</v>
      </c>
      <c r="H3868" t="s">
        <v>26</v>
      </c>
      <c r="I3868" t="s">
        <v>297</v>
      </c>
      <c r="J3868" t="str">
        <f>"9781118710944"</f>
        <v>9781118710944</v>
      </c>
      <c r="K3868" t="s">
        <v>6530</v>
      </c>
      <c r="L3868">
        <v>28</v>
      </c>
      <c r="O3868" t="s">
        <v>30</v>
      </c>
      <c r="P3868" t="s">
        <v>29</v>
      </c>
      <c r="Q3868" s="1">
        <v>42323.108310185184</v>
      </c>
      <c r="R3868">
        <v>7</v>
      </c>
      <c r="S3868" t="s">
        <v>31</v>
      </c>
      <c r="T3868" t="s">
        <v>6419</v>
      </c>
      <c r="U3868" t="s">
        <v>6420</v>
      </c>
      <c r="V3868" s="3">
        <v>41372</v>
      </c>
    </row>
    <row r="3869" spans="1:22" x14ac:dyDescent="0.35">
      <c r="A3869" s="1">
        <v>42323.852731481478</v>
      </c>
      <c r="B3869" s="2">
        <v>2.8935185185185189E-4</v>
      </c>
      <c r="C3869" t="s">
        <v>6417</v>
      </c>
      <c r="D3869" t="s">
        <v>23</v>
      </c>
      <c r="E3869" t="s">
        <v>24</v>
      </c>
      <c r="F3869" t="s">
        <v>6418</v>
      </c>
      <c r="G3869">
        <v>1168529</v>
      </c>
      <c r="H3869" t="s">
        <v>26</v>
      </c>
      <c r="I3869" t="s">
        <v>297</v>
      </c>
      <c r="J3869" t="str">
        <f>"9781118710944"</f>
        <v>9781118710944</v>
      </c>
      <c r="K3869" t="s">
        <v>6531</v>
      </c>
      <c r="L3869">
        <v>8</v>
      </c>
      <c r="O3869" t="s">
        <v>30</v>
      </c>
      <c r="P3869" t="s">
        <v>29</v>
      </c>
      <c r="Q3869" s="1">
        <v>42323.108310185184</v>
      </c>
      <c r="R3869">
        <v>7</v>
      </c>
      <c r="S3869" t="s">
        <v>31</v>
      </c>
      <c r="T3869" t="s">
        <v>6419</v>
      </c>
      <c r="U3869" t="s">
        <v>6420</v>
      </c>
      <c r="V3869" s="3">
        <v>41372</v>
      </c>
    </row>
    <row r="3870" spans="1:22" x14ac:dyDescent="0.35">
      <c r="A3870" s="1">
        <v>42323.848576388889</v>
      </c>
      <c r="B3870" s="2">
        <v>1.0474537037037037E-2</v>
      </c>
      <c r="C3870" t="s">
        <v>6532</v>
      </c>
      <c r="D3870" t="s">
        <v>261</v>
      </c>
      <c r="E3870" t="s">
        <v>262</v>
      </c>
      <c r="F3870" t="s">
        <v>6533</v>
      </c>
      <c r="G3870">
        <v>1674208</v>
      </c>
      <c r="H3870" t="s">
        <v>26</v>
      </c>
      <c r="I3870" t="s">
        <v>6534</v>
      </c>
      <c r="J3870" t="str">
        <f>"9780745682785"</f>
        <v>9780745682785</v>
      </c>
      <c r="K3870" t="s">
        <v>6535</v>
      </c>
      <c r="L3870">
        <v>17</v>
      </c>
      <c r="O3870" t="s">
        <v>30</v>
      </c>
      <c r="P3870" t="s">
        <v>47</v>
      </c>
      <c r="Q3870" s="1">
        <v>42323.848564814813</v>
      </c>
      <c r="R3870">
        <v>1</v>
      </c>
      <c r="S3870" t="s">
        <v>264</v>
      </c>
      <c r="T3870" t="s">
        <v>6536</v>
      </c>
      <c r="U3870">
        <v>553.82000000000005</v>
      </c>
      <c r="V3870" s="3">
        <v>41739</v>
      </c>
    </row>
    <row r="3871" spans="1:22" x14ac:dyDescent="0.35">
      <c r="A3871" s="1">
        <v>42323.848136574074</v>
      </c>
      <c r="B3871" s="2">
        <v>3.8935185185185191E-2</v>
      </c>
      <c r="C3871" t="s">
        <v>6537</v>
      </c>
      <c r="D3871" t="s">
        <v>35</v>
      </c>
      <c r="E3871" t="s">
        <v>36</v>
      </c>
      <c r="F3871" t="s">
        <v>6538</v>
      </c>
      <c r="G3871">
        <v>1655935</v>
      </c>
      <c r="H3871" t="s">
        <v>26</v>
      </c>
      <c r="I3871" t="s">
        <v>97</v>
      </c>
      <c r="J3871" t="str">
        <f>"9781118833339"</f>
        <v>9781118833339</v>
      </c>
      <c r="K3871" t="s">
        <v>6539</v>
      </c>
      <c r="L3871">
        <v>50</v>
      </c>
      <c r="O3871" t="s">
        <v>30</v>
      </c>
      <c r="P3871" t="s">
        <v>47</v>
      </c>
      <c r="Q3871" s="1">
        <v>42323.848136574074</v>
      </c>
      <c r="R3871">
        <v>1</v>
      </c>
      <c r="S3871" t="s">
        <v>40</v>
      </c>
      <c r="T3871" t="s">
        <v>6540</v>
      </c>
      <c r="U3871">
        <v>650.13</v>
      </c>
      <c r="V3871" s="3">
        <v>41715</v>
      </c>
    </row>
    <row r="3872" spans="1:22" x14ac:dyDescent="0.35">
      <c r="A3872" s="1">
        <v>42323.844421296293</v>
      </c>
      <c r="B3872" s="2">
        <v>4.1435185185185186E-3</v>
      </c>
      <c r="C3872" t="s">
        <v>6532</v>
      </c>
      <c r="D3872" t="s">
        <v>261</v>
      </c>
      <c r="E3872" t="s">
        <v>262</v>
      </c>
      <c r="F3872" t="s">
        <v>6533</v>
      </c>
      <c r="G3872">
        <v>1674208</v>
      </c>
      <c r="H3872" t="s">
        <v>26</v>
      </c>
      <c r="I3872" t="s">
        <v>6534</v>
      </c>
      <c r="J3872" t="str">
        <f>"9780745682785"</f>
        <v>9780745682785</v>
      </c>
      <c r="K3872" t="s">
        <v>6541</v>
      </c>
      <c r="L3872">
        <v>9</v>
      </c>
      <c r="O3872" t="s">
        <v>30</v>
      </c>
      <c r="P3872" t="s">
        <v>50</v>
      </c>
      <c r="S3872" t="s">
        <v>264</v>
      </c>
      <c r="T3872" t="s">
        <v>6536</v>
      </c>
      <c r="U3872">
        <v>553.82000000000005</v>
      </c>
      <c r="V3872" s="3">
        <v>41739</v>
      </c>
    </row>
    <row r="3873" spans="1:22" x14ac:dyDescent="0.35">
      <c r="A3873" s="1">
        <v>42323.840601851851</v>
      </c>
      <c r="B3873" s="2">
        <v>3.4722222222222224E-4</v>
      </c>
      <c r="C3873" t="s">
        <v>106</v>
      </c>
      <c r="D3873" t="s">
        <v>23</v>
      </c>
      <c r="E3873" t="s">
        <v>24</v>
      </c>
      <c r="F3873" t="s">
        <v>486</v>
      </c>
      <c r="G3873">
        <v>1119505</v>
      </c>
      <c r="H3873" t="s">
        <v>26</v>
      </c>
      <c r="I3873" t="s">
        <v>450</v>
      </c>
      <c r="J3873" t="str">
        <f>"9781118355015"</f>
        <v>9781118355015</v>
      </c>
      <c r="K3873" t="s">
        <v>6542</v>
      </c>
      <c r="L3873">
        <v>15</v>
      </c>
      <c r="N3873" t="s">
        <v>6543</v>
      </c>
      <c r="O3873" t="s">
        <v>30</v>
      </c>
      <c r="P3873" t="s">
        <v>29</v>
      </c>
      <c r="Q3873" s="1">
        <v>42322.677546296298</v>
      </c>
      <c r="R3873">
        <v>7</v>
      </c>
      <c r="S3873" t="s">
        <v>31</v>
      </c>
      <c r="T3873" t="s">
        <v>487</v>
      </c>
      <c r="U3873" t="s">
        <v>488</v>
      </c>
      <c r="V3873" s="3">
        <v>41302</v>
      </c>
    </row>
    <row r="3874" spans="1:22" x14ac:dyDescent="0.35">
      <c r="A3874" s="1">
        <v>42323.836689814816</v>
      </c>
      <c r="B3874" s="2">
        <v>1.3032407407407407E-2</v>
      </c>
      <c r="C3874" t="s">
        <v>5219</v>
      </c>
      <c r="D3874" t="s">
        <v>211</v>
      </c>
      <c r="E3874" t="s">
        <v>212</v>
      </c>
      <c r="F3874" t="s">
        <v>462</v>
      </c>
      <c r="G3874">
        <v>1822529</v>
      </c>
      <c r="H3874" t="s">
        <v>26</v>
      </c>
      <c r="I3874" t="s">
        <v>297</v>
      </c>
      <c r="J3874" t="str">
        <f>"9781118824344"</f>
        <v>9781118824344</v>
      </c>
      <c r="K3874" t="s">
        <v>6544</v>
      </c>
      <c r="L3874">
        <v>16</v>
      </c>
      <c r="O3874" t="s">
        <v>30</v>
      </c>
      <c r="P3874" t="s">
        <v>29</v>
      </c>
      <c r="Q3874" s="1">
        <v>42323.836689814816</v>
      </c>
      <c r="R3874">
        <v>7</v>
      </c>
      <c r="S3874" t="s">
        <v>214</v>
      </c>
      <c r="T3874" t="s">
        <v>464</v>
      </c>
      <c r="U3874">
        <v>519.4</v>
      </c>
      <c r="V3874" s="3">
        <v>41932</v>
      </c>
    </row>
    <row r="3875" spans="1:22" x14ac:dyDescent="0.35">
      <c r="A3875" s="1">
        <v>42323.836296296293</v>
      </c>
      <c r="B3875" s="2">
        <v>1.1840277777777778E-2</v>
      </c>
      <c r="C3875" t="s">
        <v>6537</v>
      </c>
      <c r="D3875" t="s">
        <v>35</v>
      </c>
      <c r="E3875" t="s">
        <v>36</v>
      </c>
      <c r="F3875" t="s">
        <v>6538</v>
      </c>
      <c r="G3875">
        <v>1655935</v>
      </c>
      <c r="H3875" t="s">
        <v>26</v>
      </c>
      <c r="I3875" t="s">
        <v>97</v>
      </c>
      <c r="J3875" t="str">
        <f>"9781118833339"</f>
        <v>9781118833339</v>
      </c>
      <c r="K3875" t="s">
        <v>6545</v>
      </c>
      <c r="L3875">
        <v>12</v>
      </c>
      <c r="O3875" t="s">
        <v>30</v>
      </c>
      <c r="P3875" t="s">
        <v>50</v>
      </c>
      <c r="S3875" t="s">
        <v>40</v>
      </c>
      <c r="T3875" t="s">
        <v>6540</v>
      </c>
      <c r="U3875">
        <v>650.13</v>
      </c>
      <c r="V3875" s="3">
        <v>41715</v>
      </c>
    </row>
    <row r="3876" spans="1:22" x14ac:dyDescent="0.35">
      <c r="A3876" s="1">
        <v>42323.834432870368</v>
      </c>
      <c r="B3876" s="2">
        <v>3.0092592592592595E-4</v>
      </c>
      <c r="C3876" t="s">
        <v>6417</v>
      </c>
      <c r="D3876" t="s">
        <v>23</v>
      </c>
      <c r="E3876" t="s">
        <v>24</v>
      </c>
      <c r="F3876" t="s">
        <v>6418</v>
      </c>
      <c r="G3876">
        <v>1168529</v>
      </c>
      <c r="H3876" t="s">
        <v>26</v>
      </c>
      <c r="I3876" t="s">
        <v>297</v>
      </c>
      <c r="J3876" t="str">
        <f>"9781118710944"</f>
        <v>9781118710944</v>
      </c>
      <c r="K3876" t="s">
        <v>6546</v>
      </c>
      <c r="L3876">
        <v>8</v>
      </c>
      <c r="O3876" t="s">
        <v>30</v>
      </c>
      <c r="P3876" t="s">
        <v>29</v>
      </c>
      <c r="Q3876" s="1">
        <v>42323.108310185184</v>
      </c>
      <c r="R3876">
        <v>7</v>
      </c>
      <c r="S3876" t="s">
        <v>31</v>
      </c>
      <c r="T3876" t="s">
        <v>6419</v>
      </c>
      <c r="U3876" t="s">
        <v>6420</v>
      </c>
      <c r="V3876" s="3">
        <v>41372</v>
      </c>
    </row>
    <row r="3877" spans="1:22" x14ac:dyDescent="0.35">
      <c r="A3877" s="1">
        <v>42323.829583333332</v>
      </c>
      <c r="B3877" s="2">
        <v>7.106481481481481E-3</v>
      </c>
      <c r="C3877" t="s">
        <v>5219</v>
      </c>
      <c r="D3877" t="s">
        <v>211</v>
      </c>
      <c r="E3877" t="s">
        <v>212</v>
      </c>
      <c r="F3877" t="s">
        <v>462</v>
      </c>
      <c r="G3877">
        <v>1822529</v>
      </c>
      <c r="H3877" t="s">
        <v>26</v>
      </c>
      <c r="I3877" t="s">
        <v>297</v>
      </c>
      <c r="J3877" t="str">
        <f>"9781118824344"</f>
        <v>9781118824344</v>
      </c>
      <c r="K3877" t="s">
        <v>6547</v>
      </c>
      <c r="L3877">
        <v>13</v>
      </c>
      <c r="O3877" t="s">
        <v>30</v>
      </c>
      <c r="P3877" t="s">
        <v>42</v>
      </c>
      <c r="S3877" t="s">
        <v>214</v>
      </c>
      <c r="T3877" t="s">
        <v>464</v>
      </c>
      <c r="U3877">
        <v>519.4</v>
      </c>
      <c r="V3877" s="3">
        <v>41932</v>
      </c>
    </row>
    <row r="3878" spans="1:22" x14ac:dyDescent="0.35">
      <c r="A3878" s="1">
        <v>42323.736145833333</v>
      </c>
      <c r="B3878" s="2">
        <v>4.6296296296296294E-5</v>
      </c>
      <c r="C3878" t="s">
        <v>6417</v>
      </c>
      <c r="D3878" t="s">
        <v>23</v>
      </c>
      <c r="E3878" t="s">
        <v>24</v>
      </c>
      <c r="F3878" t="s">
        <v>6418</v>
      </c>
      <c r="G3878">
        <v>1168529</v>
      </c>
      <c r="H3878" t="s">
        <v>26</v>
      </c>
      <c r="I3878" t="s">
        <v>297</v>
      </c>
      <c r="J3878" t="str">
        <f>"9781118710944"</f>
        <v>9781118710944</v>
      </c>
      <c r="K3878" t="s">
        <v>611</v>
      </c>
      <c r="L3878">
        <v>3</v>
      </c>
      <c r="O3878" t="s">
        <v>30</v>
      </c>
      <c r="P3878" t="s">
        <v>29</v>
      </c>
      <c r="Q3878" s="1">
        <v>42323.108310185184</v>
      </c>
      <c r="R3878">
        <v>7</v>
      </c>
      <c r="S3878" t="s">
        <v>31</v>
      </c>
      <c r="T3878" t="s">
        <v>6419</v>
      </c>
      <c r="U3878" t="s">
        <v>6420</v>
      </c>
      <c r="V3878" s="3">
        <v>41372</v>
      </c>
    </row>
    <row r="3879" spans="1:22" x14ac:dyDescent="0.35">
      <c r="A3879" s="1">
        <v>42323.726458333331</v>
      </c>
      <c r="B3879" s="2">
        <v>6.9444444444444444E-5</v>
      </c>
      <c r="C3879" t="s">
        <v>1491</v>
      </c>
      <c r="D3879" t="s">
        <v>23</v>
      </c>
      <c r="E3879" t="s">
        <v>24</v>
      </c>
      <c r="F3879" t="s">
        <v>2561</v>
      </c>
      <c r="G3879">
        <v>1870655</v>
      </c>
      <c r="H3879" t="s">
        <v>526</v>
      </c>
      <c r="I3879" t="s">
        <v>69</v>
      </c>
      <c r="J3879" t="str">
        <f>"9780226201979"</f>
        <v>9780226201979</v>
      </c>
      <c r="K3879" t="s">
        <v>6548</v>
      </c>
      <c r="L3879">
        <v>3</v>
      </c>
      <c r="N3879" t="s">
        <v>6549</v>
      </c>
      <c r="O3879" t="s">
        <v>30</v>
      </c>
      <c r="P3879" t="s">
        <v>47</v>
      </c>
      <c r="Q3879" s="1">
        <v>42323.726458333331</v>
      </c>
      <c r="R3879">
        <v>1</v>
      </c>
      <c r="S3879" t="s">
        <v>31</v>
      </c>
      <c r="T3879" t="s">
        <v>2564</v>
      </c>
      <c r="U3879" t="s">
        <v>2565</v>
      </c>
      <c r="V3879" s="3">
        <v>42004</v>
      </c>
    </row>
    <row r="3880" spans="1:22" x14ac:dyDescent="0.35">
      <c r="A3880" s="1">
        <v>42323.726273148146</v>
      </c>
      <c r="B3880" s="2">
        <v>1.8518518518518518E-4</v>
      </c>
      <c r="C3880" t="s">
        <v>1491</v>
      </c>
      <c r="D3880" t="s">
        <v>23</v>
      </c>
      <c r="E3880" t="s">
        <v>24</v>
      </c>
      <c r="F3880" t="s">
        <v>2561</v>
      </c>
      <c r="G3880">
        <v>1870655</v>
      </c>
      <c r="H3880" t="s">
        <v>526</v>
      </c>
      <c r="I3880" t="s">
        <v>69</v>
      </c>
      <c r="J3880" t="str">
        <f>"9780226201979"</f>
        <v>9780226201979</v>
      </c>
      <c r="K3880" t="s">
        <v>6550</v>
      </c>
      <c r="L3880">
        <v>6</v>
      </c>
      <c r="O3880" t="s">
        <v>30</v>
      </c>
      <c r="P3880" t="s">
        <v>50</v>
      </c>
      <c r="S3880" t="s">
        <v>31</v>
      </c>
      <c r="T3880" t="s">
        <v>2564</v>
      </c>
      <c r="U3880" t="s">
        <v>2565</v>
      </c>
      <c r="V3880" s="3">
        <v>42004</v>
      </c>
    </row>
    <row r="3881" spans="1:22" x14ac:dyDescent="0.35">
      <c r="A3881" s="1">
        <v>42323.707037037035</v>
      </c>
      <c r="B3881" s="2">
        <v>1.0069444444444444E-3</v>
      </c>
      <c r="C3881" t="s">
        <v>6551</v>
      </c>
      <c r="D3881" t="s">
        <v>1222</v>
      </c>
      <c r="E3881" t="s">
        <v>1223</v>
      </c>
      <c r="F3881" t="s">
        <v>6552</v>
      </c>
      <c r="G3881">
        <v>1655863</v>
      </c>
      <c r="H3881" t="s">
        <v>613</v>
      </c>
      <c r="I3881" t="s">
        <v>69</v>
      </c>
      <c r="J3881" t="str">
        <f>"9781469615516"</f>
        <v>9781469615516</v>
      </c>
      <c r="K3881" t="s">
        <v>6553</v>
      </c>
      <c r="L3881">
        <v>17</v>
      </c>
      <c r="O3881" t="s">
        <v>30</v>
      </c>
      <c r="P3881" t="s">
        <v>50</v>
      </c>
      <c r="S3881" t="s">
        <v>1226</v>
      </c>
      <c r="T3881" t="s">
        <v>6554</v>
      </c>
      <c r="U3881" t="s">
        <v>6555</v>
      </c>
      <c r="V3881" s="3">
        <v>41771</v>
      </c>
    </row>
    <row r="3882" spans="1:22" x14ac:dyDescent="0.35">
      <c r="A3882" s="1">
        <v>42323.68917824074</v>
      </c>
      <c r="B3882" s="2">
        <v>5.3657407407407404E-2</v>
      </c>
      <c r="C3882" t="s">
        <v>6417</v>
      </c>
      <c r="D3882" t="s">
        <v>23</v>
      </c>
      <c r="E3882" t="s">
        <v>24</v>
      </c>
      <c r="F3882" t="s">
        <v>6418</v>
      </c>
      <c r="G3882">
        <v>1168529</v>
      </c>
      <c r="H3882" t="s">
        <v>26</v>
      </c>
      <c r="I3882" t="s">
        <v>297</v>
      </c>
      <c r="J3882" t="str">
        <f>"9781118710944"</f>
        <v>9781118710944</v>
      </c>
      <c r="K3882" t="s">
        <v>6556</v>
      </c>
      <c r="L3882">
        <v>74</v>
      </c>
      <c r="O3882" t="s">
        <v>30</v>
      </c>
      <c r="P3882" t="s">
        <v>29</v>
      </c>
      <c r="Q3882" s="1">
        <v>42323.108310185184</v>
      </c>
      <c r="R3882">
        <v>7</v>
      </c>
      <c r="S3882" t="s">
        <v>31</v>
      </c>
      <c r="T3882" t="s">
        <v>6419</v>
      </c>
      <c r="U3882" t="s">
        <v>6420</v>
      </c>
      <c r="V3882" s="3">
        <v>41372</v>
      </c>
    </row>
    <row r="3883" spans="1:22" x14ac:dyDescent="0.35">
      <c r="A3883" s="1">
        <v>42323.688009259262</v>
      </c>
      <c r="B3883" s="2">
        <v>1.6435185185185183E-3</v>
      </c>
      <c r="C3883" t="s">
        <v>6557</v>
      </c>
      <c r="D3883" t="s">
        <v>158</v>
      </c>
      <c r="E3883" t="s">
        <v>159</v>
      </c>
      <c r="F3883" t="s">
        <v>5681</v>
      </c>
      <c r="G3883">
        <v>918811</v>
      </c>
      <c r="H3883" t="s">
        <v>3465</v>
      </c>
      <c r="I3883" t="s">
        <v>172</v>
      </c>
      <c r="J3883" t="str">
        <f>"9781608708062"</f>
        <v>9781608708062</v>
      </c>
      <c r="K3883" t="s">
        <v>6558</v>
      </c>
      <c r="L3883">
        <v>16</v>
      </c>
      <c r="N3883" t="s">
        <v>6559</v>
      </c>
      <c r="O3883" t="s">
        <v>30</v>
      </c>
      <c r="P3883" t="s">
        <v>29</v>
      </c>
      <c r="Q3883" s="1">
        <v>42323.687997685185</v>
      </c>
      <c r="R3883">
        <v>7</v>
      </c>
      <c r="S3883" t="s">
        <v>163</v>
      </c>
      <c r="T3883" t="s">
        <v>5683</v>
      </c>
      <c r="U3883">
        <v>981</v>
      </c>
      <c r="V3883" s="3">
        <v>40969</v>
      </c>
    </row>
    <row r="3884" spans="1:22" x14ac:dyDescent="0.35">
      <c r="A3884" s="1">
        <v>42323.686423611114</v>
      </c>
      <c r="B3884" s="2">
        <v>1.5740740740740741E-3</v>
      </c>
      <c r="C3884" t="s">
        <v>6557</v>
      </c>
      <c r="D3884" t="s">
        <v>158</v>
      </c>
      <c r="E3884" t="s">
        <v>159</v>
      </c>
      <c r="F3884" t="s">
        <v>5681</v>
      </c>
      <c r="G3884">
        <v>918811</v>
      </c>
      <c r="H3884" t="s">
        <v>3465</v>
      </c>
      <c r="I3884" t="s">
        <v>172</v>
      </c>
      <c r="J3884" t="str">
        <f>"9781608708062"</f>
        <v>9781608708062</v>
      </c>
      <c r="K3884" t="s">
        <v>6560</v>
      </c>
      <c r="L3884">
        <v>10</v>
      </c>
      <c r="O3884" t="s">
        <v>30</v>
      </c>
      <c r="P3884" t="s">
        <v>42</v>
      </c>
      <c r="S3884" t="s">
        <v>163</v>
      </c>
      <c r="T3884" t="s">
        <v>5683</v>
      </c>
      <c r="U3884">
        <v>981</v>
      </c>
      <c r="V3884" s="3">
        <v>40969</v>
      </c>
    </row>
    <row r="3885" spans="1:22" x14ac:dyDescent="0.35">
      <c r="A3885" s="1">
        <v>42323.685648148145</v>
      </c>
      <c r="B3885" s="2">
        <v>1.1574074074074073E-3</v>
      </c>
      <c r="C3885" t="s">
        <v>6561</v>
      </c>
      <c r="D3885" t="s">
        <v>23</v>
      </c>
      <c r="E3885" t="s">
        <v>24</v>
      </c>
      <c r="F3885" t="s">
        <v>887</v>
      </c>
      <c r="G3885">
        <v>1791341</v>
      </c>
      <c r="H3885" t="s">
        <v>26</v>
      </c>
      <c r="I3885" t="s">
        <v>888</v>
      </c>
      <c r="J3885" t="str">
        <f>"9781118862285"</f>
        <v>9781118862285</v>
      </c>
      <c r="K3885" t="s">
        <v>6562</v>
      </c>
      <c r="L3885">
        <v>23</v>
      </c>
      <c r="O3885" t="s">
        <v>30</v>
      </c>
      <c r="P3885" t="s">
        <v>42</v>
      </c>
      <c r="S3885" t="s">
        <v>31</v>
      </c>
      <c r="T3885" t="s">
        <v>890</v>
      </c>
      <c r="U3885">
        <v>696</v>
      </c>
      <c r="V3885" s="3">
        <v>41899</v>
      </c>
    </row>
    <row r="3886" spans="1:22" x14ac:dyDescent="0.35">
      <c r="A3886" s="1">
        <v>42323.671076388891</v>
      </c>
      <c r="B3886" s="2">
        <v>2.8287037037037038E-2</v>
      </c>
      <c r="C3886" t="s">
        <v>5900</v>
      </c>
      <c r="D3886" t="s">
        <v>623</v>
      </c>
      <c r="E3886" t="s">
        <v>624</v>
      </c>
      <c r="F3886" t="s">
        <v>4526</v>
      </c>
      <c r="G3886">
        <v>771074</v>
      </c>
      <c r="H3886" t="s">
        <v>3465</v>
      </c>
      <c r="I3886" t="s">
        <v>4527</v>
      </c>
      <c r="J3886" t="str">
        <f>"9780761499732"</f>
        <v>9780761499732</v>
      </c>
      <c r="K3886" t="s">
        <v>6563</v>
      </c>
      <c r="L3886">
        <v>22</v>
      </c>
      <c r="O3886" t="s">
        <v>30</v>
      </c>
      <c r="P3886" t="s">
        <v>29</v>
      </c>
      <c r="Q3886" s="1">
        <v>42317.066701388889</v>
      </c>
      <c r="R3886">
        <v>7</v>
      </c>
      <c r="S3886" t="s">
        <v>627</v>
      </c>
      <c r="T3886" t="s">
        <v>4528</v>
      </c>
      <c r="U3886" t="s">
        <v>4529</v>
      </c>
      <c r="V3886" s="3">
        <v>40909</v>
      </c>
    </row>
    <row r="3887" spans="1:22" x14ac:dyDescent="0.35">
      <c r="A3887" s="1">
        <v>42323.65247685185</v>
      </c>
      <c r="B3887" s="2">
        <v>0</v>
      </c>
      <c r="C3887" t="s">
        <v>6417</v>
      </c>
      <c r="D3887" t="s">
        <v>23</v>
      </c>
      <c r="E3887" t="s">
        <v>24</v>
      </c>
      <c r="F3887" t="s">
        <v>6418</v>
      </c>
      <c r="G3887">
        <v>1168529</v>
      </c>
      <c r="H3887" t="s">
        <v>26</v>
      </c>
      <c r="I3887" t="s">
        <v>297</v>
      </c>
      <c r="J3887" t="str">
        <f>"9781118710944"</f>
        <v>9781118710944</v>
      </c>
      <c r="L3887">
        <v>0</v>
      </c>
      <c r="M3887" t="s">
        <v>3778</v>
      </c>
      <c r="O3887" t="s">
        <v>28</v>
      </c>
      <c r="P3887" t="s">
        <v>29</v>
      </c>
      <c r="Q3887" s="1">
        <v>42323.108310185184</v>
      </c>
      <c r="R3887">
        <v>7</v>
      </c>
      <c r="S3887" t="s">
        <v>31</v>
      </c>
      <c r="T3887" t="s">
        <v>6419</v>
      </c>
      <c r="U3887" t="s">
        <v>6420</v>
      </c>
      <c r="V3887" s="3">
        <v>41372</v>
      </c>
    </row>
    <row r="3888" spans="1:22" x14ac:dyDescent="0.35">
      <c r="A3888" s="1">
        <v>42323.651087962964</v>
      </c>
      <c r="B3888" s="2">
        <v>1.1805555555555556E-3</v>
      </c>
      <c r="C3888" t="s">
        <v>6417</v>
      </c>
      <c r="D3888" t="s">
        <v>23</v>
      </c>
      <c r="E3888" t="s">
        <v>24</v>
      </c>
      <c r="F3888" t="s">
        <v>6418</v>
      </c>
      <c r="G3888">
        <v>1168529</v>
      </c>
      <c r="H3888" t="s">
        <v>26</v>
      </c>
      <c r="I3888" t="s">
        <v>297</v>
      </c>
      <c r="J3888" t="str">
        <f>"9781118710944"</f>
        <v>9781118710944</v>
      </c>
      <c r="K3888" t="s">
        <v>6564</v>
      </c>
      <c r="L3888">
        <v>8</v>
      </c>
      <c r="O3888" t="s">
        <v>30</v>
      </c>
      <c r="P3888" t="s">
        <v>29</v>
      </c>
      <c r="Q3888" s="1">
        <v>42323.108310185184</v>
      </c>
      <c r="R3888">
        <v>7</v>
      </c>
      <c r="S3888" t="s">
        <v>31</v>
      </c>
      <c r="T3888" t="s">
        <v>6419</v>
      </c>
      <c r="U3888" t="s">
        <v>6420</v>
      </c>
      <c r="V3888" s="3">
        <v>41372</v>
      </c>
    </row>
    <row r="3889" spans="1:22" x14ac:dyDescent="0.35">
      <c r="A3889" s="1">
        <v>42323.642777777779</v>
      </c>
      <c r="B3889" s="2">
        <v>0</v>
      </c>
      <c r="C3889" t="s">
        <v>6565</v>
      </c>
      <c r="D3889" t="s">
        <v>23</v>
      </c>
      <c r="E3889" t="s">
        <v>24</v>
      </c>
      <c r="F3889" t="s">
        <v>486</v>
      </c>
      <c r="G3889">
        <v>1119505</v>
      </c>
      <c r="H3889" t="s">
        <v>26</v>
      </c>
      <c r="I3889" t="s">
        <v>450</v>
      </c>
      <c r="J3889" t="str">
        <f>"9781118355015"</f>
        <v>9781118355015</v>
      </c>
      <c r="L3889">
        <v>0</v>
      </c>
      <c r="N3889" t="s">
        <v>6566</v>
      </c>
      <c r="O3889" t="s">
        <v>30</v>
      </c>
      <c r="P3889" t="s">
        <v>29</v>
      </c>
      <c r="Q3889" s="1">
        <v>42323.642777777779</v>
      </c>
      <c r="R3889">
        <v>7</v>
      </c>
      <c r="S3889" t="s">
        <v>31</v>
      </c>
      <c r="T3889" t="s">
        <v>487</v>
      </c>
      <c r="U3889" t="s">
        <v>488</v>
      </c>
      <c r="V3889" s="3">
        <v>41302</v>
      </c>
    </row>
    <row r="3890" spans="1:22" x14ac:dyDescent="0.35">
      <c r="A3890" s="1">
        <v>42323.642013888886</v>
      </c>
      <c r="B3890" s="2">
        <v>7.6388888888888893E-4</v>
      </c>
      <c r="C3890" t="s">
        <v>6565</v>
      </c>
      <c r="D3890" t="s">
        <v>23</v>
      </c>
      <c r="E3890" t="s">
        <v>24</v>
      </c>
      <c r="F3890" t="s">
        <v>486</v>
      </c>
      <c r="G3890">
        <v>1119505</v>
      </c>
      <c r="H3890" t="s">
        <v>26</v>
      </c>
      <c r="I3890" t="s">
        <v>450</v>
      </c>
      <c r="J3890" t="str">
        <f>"9781118355015"</f>
        <v>9781118355015</v>
      </c>
      <c r="K3890" t="s">
        <v>6567</v>
      </c>
      <c r="L3890">
        <v>27</v>
      </c>
      <c r="O3890" t="s">
        <v>30</v>
      </c>
      <c r="P3890" t="s">
        <v>42</v>
      </c>
      <c r="S3890" t="s">
        <v>31</v>
      </c>
      <c r="T3890" t="s">
        <v>487</v>
      </c>
      <c r="U3890" t="s">
        <v>488</v>
      </c>
      <c r="V3890" s="3">
        <v>41302</v>
      </c>
    </row>
    <row r="3891" spans="1:22" x14ac:dyDescent="0.35">
      <c r="A3891" s="1">
        <v>42323.63181712963</v>
      </c>
      <c r="B3891" s="2">
        <v>1.1261574074074071E-2</v>
      </c>
      <c r="C3891" t="s">
        <v>6417</v>
      </c>
      <c r="D3891" t="s">
        <v>23</v>
      </c>
      <c r="E3891" t="s">
        <v>24</v>
      </c>
      <c r="F3891" t="s">
        <v>6418</v>
      </c>
      <c r="G3891">
        <v>1168529</v>
      </c>
      <c r="H3891" t="s">
        <v>26</v>
      </c>
      <c r="I3891" t="s">
        <v>297</v>
      </c>
      <c r="J3891" t="str">
        <f>"9781118710944"</f>
        <v>9781118710944</v>
      </c>
      <c r="K3891" t="s">
        <v>6568</v>
      </c>
      <c r="L3891">
        <v>10</v>
      </c>
      <c r="O3891" t="s">
        <v>30</v>
      </c>
      <c r="P3891" t="s">
        <v>29</v>
      </c>
      <c r="Q3891" s="1">
        <v>42323.108310185184</v>
      </c>
      <c r="R3891">
        <v>7</v>
      </c>
      <c r="S3891" t="s">
        <v>31</v>
      </c>
      <c r="T3891" t="s">
        <v>6419</v>
      </c>
      <c r="U3891" t="s">
        <v>6420</v>
      </c>
      <c r="V3891" s="3">
        <v>41372</v>
      </c>
    </row>
    <row r="3892" spans="1:22" x14ac:dyDescent="0.35">
      <c r="A3892" s="1">
        <v>42323.593090277776</v>
      </c>
      <c r="B3892" s="2">
        <v>1.8981481481481482E-3</v>
      </c>
      <c r="C3892" t="s">
        <v>6509</v>
      </c>
      <c r="D3892" t="s">
        <v>211</v>
      </c>
      <c r="E3892" t="s">
        <v>212</v>
      </c>
      <c r="F3892" t="s">
        <v>1547</v>
      </c>
      <c r="G3892">
        <v>848510</v>
      </c>
      <c r="H3892" t="s">
        <v>26</v>
      </c>
      <c r="I3892" t="s">
        <v>247</v>
      </c>
      <c r="J3892" t="str">
        <f>"9781118220481"</f>
        <v>9781118220481</v>
      </c>
      <c r="K3892" t="s">
        <v>6569</v>
      </c>
      <c r="L3892">
        <v>59</v>
      </c>
      <c r="O3892" t="s">
        <v>30</v>
      </c>
      <c r="P3892" t="s">
        <v>42</v>
      </c>
      <c r="S3892" t="s">
        <v>214</v>
      </c>
      <c r="T3892" t="s">
        <v>1548</v>
      </c>
      <c r="U3892" t="s">
        <v>1549</v>
      </c>
      <c r="V3892" s="3">
        <v>41066</v>
      </c>
    </row>
    <row r="3893" spans="1:22" x14ac:dyDescent="0.35">
      <c r="A3893" s="1">
        <v>42323.582592592589</v>
      </c>
      <c r="B3893" s="2">
        <v>2.3148148148148146E-4</v>
      </c>
      <c r="C3893" t="s">
        <v>6509</v>
      </c>
      <c r="D3893" t="s">
        <v>211</v>
      </c>
      <c r="E3893" t="s">
        <v>212</v>
      </c>
      <c r="F3893" t="s">
        <v>1547</v>
      </c>
      <c r="G3893">
        <v>848510</v>
      </c>
      <c r="H3893" t="s">
        <v>26</v>
      </c>
      <c r="I3893" t="s">
        <v>247</v>
      </c>
      <c r="J3893" t="str">
        <f>"9781118220481"</f>
        <v>9781118220481</v>
      </c>
      <c r="K3893" t="s">
        <v>33</v>
      </c>
      <c r="L3893">
        <v>3</v>
      </c>
      <c r="O3893" t="s">
        <v>30</v>
      </c>
      <c r="P3893" t="s">
        <v>42</v>
      </c>
      <c r="S3893" t="s">
        <v>214</v>
      </c>
      <c r="T3893" t="s">
        <v>1548</v>
      </c>
      <c r="U3893" t="s">
        <v>1549</v>
      </c>
      <c r="V3893" s="3">
        <v>41066</v>
      </c>
    </row>
    <row r="3894" spans="1:22" x14ac:dyDescent="0.35">
      <c r="A3894" s="1">
        <v>42323.542673611111</v>
      </c>
      <c r="B3894" s="2">
        <v>3.5879629629629635E-4</v>
      </c>
      <c r="C3894" t="s">
        <v>6570</v>
      </c>
      <c r="D3894" t="s">
        <v>23</v>
      </c>
      <c r="E3894" t="s">
        <v>24</v>
      </c>
      <c r="F3894" t="s">
        <v>6477</v>
      </c>
      <c r="G3894">
        <v>1996922</v>
      </c>
      <c r="H3894" t="s">
        <v>91</v>
      </c>
      <c r="I3894" t="s">
        <v>4420</v>
      </c>
      <c r="J3894" t="str">
        <f>"9781462521289"</f>
        <v>9781462521289</v>
      </c>
      <c r="K3894" t="s">
        <v>6571</v>
      </c>
      <c r="L3894">
        <v>8</v>
      </c>
      <c r="O3894" t="s">
        <v>30</v>
      </c>
      <c r="P3894" t="s">
        <v>50</v>
      </c>
      <c r="S3894" t="s">
        <v>31</v>
      </c>
      <c r="T3894" t="s">
        <v>6479</v>
      </c>
      <c r="U3894" t="s">
        <v>6480</v>
      </c>
      <c r="V3894" s="3">
        <v>42187</v>
      </c>
    </row>
    <row r="3895" spans="1:22" x14ac:dyDescent="0.35">
      <c r="A3895" s="1">
        <v>42323.464999999997</v>
      </c>
      <c r="B3895" s="2">
        <v>9.0393518518518522E-3</v>
      </c>
      <c r="C3895" t="s">
        <v>106</v>
      </c>
      <c r="D3895" t="s">
        <v>23</v>
      </c>
      <c r="E3895" t="s">
        <v>24</v>
      </c>
      <c r="F3895" t="s">
        <v>5494</v>
      </c>
      <c r="G3895">
        <v>1589615</v>
      </c>
      <c r="H3895" t="s">
        <v>45</v>
      </c>
      <c r="I3895" t="s">
        <v>172</v>
      </c>
      <c r="J3895" t="str">
        <f>"9781409469865"</f>
        <v>9781409469865</v>
      </c>
      <c r="K3895" t="s">
        <v>6572</v>
      </c>
      <c r="L3895">
        <v>17</v>
      </c>
      <c r="O3895" t="s">
        <v>30</v>
      </c>
      <c r="P3895" t="s">
        <v>47</v>
      </c>
      <c r="Q3895" s="1">
        <v>42323.464988425927</v>
      </c>
      <c r="R3895">
        <v>1</v>
      </c>
      <c r="S3895" t="s">
        <v>31</v>
      </c>
      <c r="T3895" t="s">
        <v>5496</v>
      </c>
      <c r="U3895">
        <v>949.50199999999995</v>
      </c>
      <c r="V3895" s="3">
        <v>41940</v>
      </c>
    </row>
    <row r="3896" spans="1:22" x14ac:dyDescent="0.35">
      <c r="A3896" s="1">
        <v>42323.458553240744</v>
      </c>
      <c r="B3896" s="2">
        <v>6.4351851851851861E-3</v>
      </c>
      <c r="C3896" t="s">
        <v>106</v>
      </c>
      <c r="D3896" t="s">
        <v>23</v>
      </c>
      <c r="E3896" t="s">
        <v>24</v>
      </c>
      <c r="F3896" t="s">
        <v>5494</v>
      </c>
      <c r="G3896">
        <v>1589615</v>
      </c>
      <c r="H3896" t="s">
        <v>45</v>
      </c>
      <c r="I3896" t="s">
        <v>172</v>
      </c>
      <c r="J3896" t="str">
        <f>"9781409469865"</f>
        <v>9781409469865</v>
      </c>
      <c r="K3896" t="s">
        <v>6573</v>
      </c>
      <c r="L3896">
        <v>31</v>
      </c>
      <c r="O3896" t="s">
        <v>30</v>
      </c>
      <c r="P3896" t="s">
        <v>50</v>
      </c>
      <c r="S3896" t="s">
        <v>31</v>
      </c>
      <c r="T3896" t="s">
        <v>5496</v>
      </c>
      <c r="U3896">
        <v>949.50199999999995</v>
      </c>
      <c r="V3896" s="3">
        <v>41940</v>
      </c>
    </row>
    <row r="3897" spans="1:22" x14ac:dyDescent="0.35">
      <c r="A3897" s="1">
        <v>42323.458113425928</v>
      </c>
      <c r="B3897" s="2">
        <v>2.5462962962962961E-4</v>
      </c>
      <c r="C3897" t="s">
        <v>106</v>
      </c>
      <c r="D3897" t="s">
        <v>23</v>
      </c>
      <c r="E3897" t="s">
        <v>24</v>
      </c>
      <c r="F3897" t="s">
        <v>5494</v>
      </c>
      <c r="G3897">
        <v>1589615</v>
      </c>
      <c r="H3897" t="s">
        <v>45</v>
      </c>
      <c r="I3897" t="s">
        <v>172</v>
      </c>
      <c r="J3897" t="str">
        <f>"9781409469865"</f>
        <v>9781409469865</v>
      </c>
      <c r="K3897" t="s">
        <v>6574</v>
      </c>
      <c r="L3897">
        <v>8</v>
      </c>
      <c r="O3897" t="s">
        <v>30</v>
      </c>
      <c r="P3897" t="s">
        <v>50</v>
      </c>
      <c r="S3897" t="s">
        <v>31</v>
      </c>
      <c r="T3897" t="s">
        <v>5496</v>
      </c>
      <c r="U3897">
        <v>949.50199999999995</v>
      </c>
      <c r="V3897" s="3">
        <v>41940</v>
      </c>
    </row>
    <row r="3898" spans="1:22" x14ac:dyDescent="0.35">
      <c r="A3898" s="1">
        <v>42323.237210648149</v>
      </c>
      <c r="B3898" s="2">
        <v>0</v>
      </c>
      <c r="C3898" t="s">
        <v>1081</v>
      </c>
      <c r="D3898" t="s">
        <v>23</v>
      </c>
      <c r="E3898" t="s">
        <v>24</v>
      </c>
      <c r="F3898" t="s">
        <v>1082</v>
      </c>
      <c r="G3898">
        <v>1746990</v>
      </c>
      <c r="H3898" t="s">
        <v>45</v>
      </c>
      <c r="I3898" t="s">
        <v>97</v>
      </c>
      <c r="J3898" t="str">
        <f>"9781472432100"</f>
        <v>9781472432100</v>
      </c>
      <c r="L3898">
        <v>0</v>
      </c>
      <c r="O3898" t="s">
        <v>28</v>
      </c>
      <c r="P3898" t="s">
        <v>47</v>
      </c>
      <c r="Q3898" s="1">
        <v>42323.237210648149</v>
      </c>
      <c r="R3898">
        <v>1</v>
      </c>
      <c r="S3898" t="s">
        <v>31</v>
      </c>
      <c r="T3898" t="s">
        <v>1084</v>
      </c>
      <c r="U3898" t="s">
        <v>1085</v>
      </c>
      <c r="V3898" s="3">
        <v>41910</v>
      </c>
    </row>
    <row r="3899" spans="1:22" x14ac:dyDescent="0.35">
      <c r="A3899" s="1">
        <v>42323.237210648149</v>
      </c>
      <c r="B3899" s="2">
        <v>0</v>
      </c>
      <c r="C3899" t="s">
        <v>1081</v>
      </c>
      <c r="D3899" t="s">
        <v>23</v>
      </c>
      <c r="E3899" t="s">
        <v>24</v>
      </c>
      <c r="F3899" t="s">
        <v>1082</v>
      </c>
      <c r="G3899">
        <v>1746990</v>
      </c>
      <c r="H3899" t="s">
        <v>45</v>
      </c>
      <c r="I3899" t="s">
        <v>97</v>
      </c>
      <c r="J3899" t="str">
        <f>"9781472432100"</f>
        <v>9781472432100</v>
      </c>
      <c r="L3899">
        <v>0</v>
      </c>
      <c r="O3899" t="s">
        <v>30</v>
      </c>
      <c r="P3899" t="s">
        <v>47</v>
      </c>
      <c r="Q3899" s="1">
        <v>42323.237210648149</v>
      </c>
      <c r="R3899">
        <v>1</v>
      </c>
      <c r="S3899" t="s">
        <v>31</v>
      </c>
      <c r="T3899" t="s">
        <v>1084</v>
      </c>
      <c r="U3899" t="s">
        <v>1085</v>
      </c>
      <c r="V3899" s="3">
        <v>41910</v>
      </c>
    </row>
    <row r="3900" spans="1:22" x14ac:dyDescent="0.35">
      <c r="A3900" s="1">
        <v>42323.236504629633</v>
      </c>
      <c r="B3900" s="2">
        <v>7.0601851851851847E-4</v>
      </c>
      <c r="C3900" t="s">
        <v>1081</v>
      </c>
      <c r="D3900" t="s">
        <v>23</v>
      </c>
      <c r="E3900" t="s">
        <v>24</v>
      </c>
      <c r="F3900" t="s">
        <v>1082</v>
      </c>
      <c r="G3900">
        <v>1746990</v>
      </c>
      <c r="H3900" t="s">
        <v>45</v>
      </c>
      <c r="I3900" t="s">
        <v>97</v>
      </c>
      <c r="J3900" t="str">
        <f>"9781472432100"</f>
        <v>9781472432100</v>
      </c>
      <c r="K3900" t="s">
        <v>33</v>
      </c>
      <c r="L3900">
        <v>3</v>
      </c>
      <c r="O3900" t="s">
        <v>30</v>
      </c>
      <c r="P3900" t="s">
        <v>50</v>
      </c>
      <c r="S3900" t="s">
        <v>31</v>
      </c>
      <c r="T3900" t="s">
        <v>1084</v>
      </c>
      <c r="U3900" t="s">
        <v>1085</v>
      </c>
      <c r="V3900" s="3">
        <v>41910</v>
      </c>
    </row>
    <row r="3901" spans="1:22" x14ac:dyDescent="0.35">
      <c r="A3901" s="1">
        <v>42323.20952546296</v>
      </c>
      <c r="B3901" s="2">
        <v>1.0416666666666667E-3</v>
      </c>
      <c r="C3901" t="s">
        <v>4810</v>
      </c>
      <c r="D3901" t="s">
        <v>23</v>
      </c>
      <c r="E3901" t="s">
        <v>24</v>
      </c>
      <c r="F3901" t="s">
        <v>1082</v>
      </c>
      <c r="G3901">
        <v>1746990</v>
      </c>
      <c r="H3901" t="s">
        <v>45</v>
      </c>
      <c r="I3901" t="s">
        <v>97</v>
      </c>
      <c r="J3901" t="str">
        <f>"9781472432100"</f>
        <v>9781472432100</v>
      </c>
      <c r="K3901" t="s">
        <v>6575</v>
      </c>
      <c r="L3901">
        <v>16</v>
      </c>
      <c r="O3901" t="s">
        <v>30</v>
      </c>
      <c r="P3901" t="s">
        <v>50</v>
      </c>
      <c r="S3901" t="s">
        <v>31</v>
      </c>
      <c r="T3901" t="s">
        <v>1084</v>
      </c>
      <c r="U3901" t="s">
        <v>1085</v>
      </c>
      <c r="V3901" s="3">
        <v>41910</v>
      </c>
    </row>
    <row r="3902" spans="1:22" x14ac:dyDescent="0.35">
      <c r="A3902" s="1">
        <v>42323.192743055559</v>
      </c>
      <c r="B3902" s="2">
        <v>1.5046296296296297E-4</v>
      </c>
      <c r="C3902" t="s">
        <v>6468</v>
      </c>
      <c r="D3902" t="s">
        <v>211</v>
      </c>
      <c r="E3902" t="s">
        <v>212</v>
      </c>
      <c r="F3902" t="s">
        <v>6469</v>
      </c>
      <c r="G3902">
        <v>1895917</v>
      </c>
      <c r="H3902" t="s">
        <v>26</v>
      </c>
      <c r="I3902" t="s">
        <v>150</v>
      </c>
      <c r="J3902" t="str">
        <f>"9781119014959"</f>
        <v>9781119014959</v>
      </c>
      <c r="K3902" t="s">
        <v>1741</v>
      </c>
      <c r="L3902">
        <v>8</v>
      </c>
      <c r="O3902" t="s">
        <v>30</v>
      </c>
      <c r="P3902" t="s">
        <v>42</v>
      </c>
      <c r="S3902" t="s">
        <v>214</v>
      </c>
      <c r="T3902" t="s">
        <v>6471</v>
      </c>
      <c r="U3902" t="s">
        <v>6472</v>
      </c>
      <c r="V3902" s="3">
        <v>42087</v>
      </c>
    </row>
    <row r="3903" spans="1:22" x14ac:dyDescent="0.35">
      <c r="A3903" s="1">
        <v>42323.161087962966</v>
      </c>
      <c r="B3903" s="2">
        <v>8.9120370370370362E-4</v>
      </c>
      <c r="C3903" t="s">
        <v>5743</v>
      </c>
      <c r="D3903" t="s">
        <v>1222</v>
      </c>
      <c r="E3903" t="s">
        <v>1223</v>
      </c>
      <c r="F3903" t="s">
        <v>3449</v>
      </c>
      <c r="G3903">
        <v>1809344</v>
      </c>
      <c r="H3903" t="s">
        <v>1474</v>
      </c>
      <c r="I3903" t="s">
        <v>120</v>
      </c>
      <c r="J3903" t="str">
        <f>"9781137356192"</f>
        <v>9781137356192</v>
      </c>
      <c r="K3903" t="s">
        <v>339</v>
      </c>
      <c r="L3903">
        <v>18</v>
      </c>
      <c r="O3903" t="s">
        <v>30</v>
      </c>
      <c r="P3903" t="s">
        <v>42</v>
      </c>
      <c r="S3903" t="s">
        <v>1226</v>
      </c>
      <c r="T3903" t="s">
        <v>3451</v>
      </c>
      <c r="U3903">
        <v>364.4</v>
      </c>
      <c r="V3903" s="3">
        <v>41915</v>
      </c>
    </row>
    <row r="3904" spans="1:22" x14ac:dyDescent="0.35">
      <c r="A3904" s="1">
        <v>42323.108310185184</v>
      </c>
      <c r="B3904" s="2">
        <v>5.28587962962963E-2</v>
      </c>
      <c r="C3904" t="s">
        <v>6417</v>
      </c>
      <c r="D3904" t="s">
        <v>23</v>
      </c>
      <c r="E3904" t="s">
        <v>24</v>
      </c>
      <c r="F3904" t="s">
        <v>6418</v>
      </c>
      <c r="G3904">
        <v>1168529</v>
      </c>
      <c r="H3904" t="s">
        <v>26</v>
      </c>
      <c r="I3904" t="s">
        <v>297</v>
      </c>
      <c r="J3904" t="str">
        <f>"9781118710944"</f>
        <v>9781118710944</v>
      </c>
      <c r="K3904" t="s">
        <v>6576</v>
      </c>
      <c r="L3904">
        <v>11</v>
      </c>
      <c r="O3904" t="s">
        <v>30</v>
      </c>
      <c r="P3904" t="s">
        <v>29</v>
      </c>
      <c r="Q3904" s="1">
        <v>42323.108310185184</v>
      </c>
      <c r="R3904">
        <v>7</v>
      </c>
      <c r="S3904" t="s">
        <v>31</v>
      </c>
      <c r="T3904" t="s">
        <v>6419</v>
      </c>
      <c r="U3904" t="s">
        <v>6420</v>
      </c>
      <c r="V3904" s="3">
        <v>41372</v>
      </c>
    </row>
    <row r="3905" spans="1:22" x14ac:dyDescent="0.35">
      <c r="A3905" s="1">
        <v>42323.098541666666</v>
      </c>
      <c r="B3905" s="2">
        <v>9.7569444444444448E-3</v>
      </c>
      <c r="C3905" t="s">
        <v>6417</v>
      </c>
      <c r="D3905" t="s">
        <v>23</v>
      </c>
      <c r="E3905" t="s">
        <v>24</v>
      </c>
      <c r="F3905" t="s">
        <v>6418</v>
      </c>
      <c r="G3905">
        <v>1168529</v>
      </c>
      <c r="H3905" t="s">
        <v>26</v>
      </c>
      <c r="I3905" t="s">
        <v>297</v>
      </c>
      <c r="J3905" t="str">
        <f>"9781118710944"</f>
        <v>9781118710944</v>
      </c>
      <c r="K3905" t="s">
        <v>33</v>
      </c>
      <c r="L3905">
        <v>3</v>
      </c>
      <c r="O3905" t="s">
        <v>30</v>
      </c>
      <c r="P3905" t="s">
        <v>42</v>
      </c>
      <c r="S3905" t="s">
        <v>31</v>
      </c>
      <c r="T3905" t="s">
        <v>6419</v>
      </c>
      <c r="U3905" t="s">
        <v>6420</v>
      </c>
      <c r="V3905" s="3">
        <v>41372</v>
      </c>
    </row>
    <row r="3906" spans="1:22" x14ac:dyDescent="0.35">
      <c r="A3906" s="1">
        <v>42323.094305555554</v>
      </c>
      <c r="B3906" s="2">
        <v>1.6203703703703703E-3</v>
      </c>
      <c r="C3906" t="s">
        <v>4124</v>
      </c>
      <c r="D3906" t="s">
        <v>211</v>
      </c>
      <c r="E3906" t="s">
        <v>212</v>
      </c>
      <c r="F3906" t="s">
        <v>4152</v>
      </c>
      <c r="G3906">
        <v>1318689</v>
      </c>
      <c r="H3906" t="s">
        <v>26</v>
      </c>
      <c r="I3906" t="s">
        <v>97</v>
      </c>
      <c r="J3906" t="str">
        <f>"9781118573310"</f>
        <v>9781118573310</v>
      </c>
      <c r="K3906" t="s">
        <v>6577</v>
      </c>
      <c r="L3906">
        <v>18</v>
      </c>
      <c r="O3906" t="s">
        <v>30</v>
      </c>
      <c r="P3906" t="s">
        <v>29</v>
      </c>
      <c r="Q3906" s="1">
        <v>42322.69599537037</v>
      </c>
      <c r="R3906">
        <v>7</v>
      </c>
      <c r="S3906" t="s">
        <v>214</v>
      </c>
      <c r="T3906" t="s">
        <v>4154</v>
      </c>
      <c r="U3906" t="s">
        <v>4155</v>
      </c>
      <c r="V3906" s="3">
        <v>41471</v>
      </c>
    </row>
    <row r="3907" spans="1:22" x14ac:dyDescent="0.35">
      <c r="A3907" s="1">
        <v>42323.078194444446</v>
      </c>
      <c r="B3907" s="2">
        <v>9.9537037037037042E-4</v>
      </c>
      <c r="C3907" t="s">
        <v>6578</v>
      </c>
      <c r="D3907" t="s">
        <v>1222</v>
      </c>
      <c r="E3907" t="s">
        <v>1223</v>
      </c>
      <c r="F3907" t="s">
        <v>3232</v>
      </c>
      <c r="G3907">
        <v>1109590</v>
      </c>
      <c r="H3907" t="s">
        <v>1286</v>
      </c>
      <c r="I3907" t="s">
        <v>150</v>
      </c>
      <c r="J3907" t="str">
        <f>"9781476600093"</f>
        <v>9781476600093</v>
      </c>
      <c r="K3907" t="s">
        <v>6579</v>
      </c>
      <c r="L3907">
        <v>47</v>
      </c>
      <c r="O3907" t="s">
        <v>30</v>
      </c>
      <c r="P3907" t="s">
        <v>42</v>
      </c>
      <c r="S3907" t="s">
        <v>1226</v>
      </c>
      <c r="T3907" t="s">
        <v>3234</v>
      </c>
      <c r="U3907" t="s">
        <v>3235</v>
      </c>
      <c r="V3907" s="3">
        <v>41294</v>
      </c>
    </row>
    <row r="3908" spans="1:22" x14ac:dyDescent="0.35">
      <c r="A3908" s="1">
        <v>42323.067083333335</v>
      </c>
      <c r="B3908" s="2">
        <v>2.5462962962962961E-4</v>
      </c>
      <c r="C3908" t="s">
        <v>4124</v>
      </c>
      <c r="D3908" t="s">
        <v>211</v>
      </c>
      <c r="E3908" t="s">
        <v>212</v>
      </c>
      <c r="F3908" t="s">
        <v>4152</v>
      </c>
      <c r="G3908">
        <v>1318689</v>
      </c>
      <c r="H3908" t="s">
        <v>26</v>
      </c>
      <c r="I3908" t="s">
        <v>97</v>
      </c>
      <c r="J3908" t="str">
        <f>"9781118573310"</f>
        <v>9781118573310</v>
      </c>
      <c r="K3908" t="s">
        <v>6580</v>
      </c>
      <c r="L3908">
        <v>7</v>
      </c>
      <c r="O3908" t="s">
        <v>30</v>
      </c>
      <c r="P3908" t="s">
        <v>29</v>
      </c>
      <c r="Q3908" s="1">
        <v>42322.69599537037</v>
      </c>
      <c r="R3908">
        <v>7</v>
      </c>
      <c r="S3908" t="s">
        <v>214</v>
      </c>
      <c r="T3908" t="s">
        <v>4154</v>
      </c>
      <c r="U3908" t="s">
        <v>4155</v>
      </c>
      <c r="V3908" s="3">
        <v>41471</v>
      </c>
    </row>
    <row r="3909" spans="1:22" x14ac:dyDescent="0.35">
      <c r="A3909" s="1">
        <v>42323.052476851852</v>
      </c>
      <c r="B3909" s="2">
        <v>8.0787037037037043E-3</v>
      </c>
      <c r="C3909" t="s">
        <v>4124</v>
      </c>
      <c r="D3909" t="s">
        <v>211</v>
      </c>
      <c r="E3909" t="s">
        <v>212</v>
      </c>
      <c r="F3909" t="s">
        <v>4152</v>
      </c>
      <c r="G3909">
        <v>1318689</v>
      </c>
      <c r="H3909" t="s">
        <v>26</v>
      </c>
      <c r="I3909" t="s">
        <v>97</v>
      </c>
      <c r="J3909" t="str">
        <f>"9781118573310"</f>
        <v>9781118573310</v>
      </c>
      <c r="K3909" t="s">
        <v>6581</v>
      </c>
      <c r="L3909">
        <v>66</v>
      </c>
      <c r="O3909" t="s">
        <v>30</v>
      </c>
      <c r="P3909" t="s">
        <v>29</v>
      </c>
      <c r="Q3909" s="1">
        <v>42322.69599537037</v>
      </c>
      <c r="R3909">
        <v>7</v>
      </c>
      <c r="S3909" t="s">
        <v>214</v>
      </c>
      <c r="T3909" t="s">
        <v>4154</v>
      </c>
      <c r="U3909" t="s">
        <v>4155</v>
      </c>
      <c r="V3909" s="3">
        <v>41471</v>
      </c>
    </row>
    <row r="3910" spans="1:22" x14ac:dyDescent="0.35">
      <c r="A3910" s="1">
        <v>42323.006111111114</v>
      </c>
      <c r="B3910" s="2">
        <v>6.8287037037037025E-4</v>
      </c>
      <c r="C3910" t="s">
        <v>6417</v>
      </c>
      <c r="D3910" t="s">
        <v>23</v>
      </c>
      <c r="E3910" t="s">
        <v>24</v>
      </c>
      <c r="F3910" t="s">
        <v>6418</v>
      </c>
      <c r="G3910">
        <v>1168529</v>
      </c>
      <c r="H3910" t="s">
        <v>26</v>
      </c>
      <c r="I3910" t="s">
        <v>297</v>
      </c>
      <c r="J3910" t="str">
        <f>"9781118710944"</f>
        <v>9781118710944</v>
      </c>
      <c r="K3910" t="s">
        <v>6582</v>
      </c>
      <c r="L3910">
        <v>11</v>
      </c>
      <c r="O3910" t="s">
        <v>30</v>
      </c>
      <c r="P3910" t="s">
        <v>42</v>
      </c>
      <c r="S3910" t="s">
        <v>31</v>
      </c>
      <c r="T3910" t="s">
        <v>6419</v>
      </c>
      <c r="U3910" t="s">
        <v>6420</v>
      </c>
      <c r="V3910" s="3">
        <v>41372</v>
      </c>
    </row>
    <row r="3911" spans="1:22" x14ac:dyDescent="0.35">
      <c r="A3911" s="1">
        <v>42322.999212962961</v>
      </c>
      <c r="B3911" s="2">
        <v>3.7743055555555557E-2</v>
      </c>
      <c r="C3911" t="s">
        <v>106</v>
      </c>
      <c r="D3911" t="s">
        <v>23</v>
      </c>
      <c r="E3911" t="s">
        <v>24</v>
      </c>
      <c r="F3911" t="s">
        <v>1051</v>
      </c>
      <c r="G3911">
        <v>821663</v>
      </c>
      <c r="H3911" t="s">
        <v>26</v>
      </c>
      <c r="I3911" t="s">
        <v>200</v>
      </c>
      <c r="J3911" t="str">
        <f>"9781118168479"</f>
        <v>9781118168479</v>
      </c>
      <c r="K3911" t="s">
        <v>6583</v>
      </c>
      <c r="L3911">
        <v>17</v>
      </c>
      <c r="O3911" t="s">
        <v>30</v>
      </c>
      <c r="P3911" t="s">
        <v>29</v>
      </c>
      <c r="Q3911" s="1">
        <v>42317.257939814815</v>
      </c>
      <c r="R3911">
        <v>7</v>
      </c>
      <c r="S3911" t="s">
        <v>31</v>
      </c>
      <c r="T3911" t="s">
        <v>1053</v>
      </c>
      <c r="U3911">
        <v>729</v>
      </c>
      <c r="V3911" s="3">
        <v>40973</v>
      </c>
    </row>
    <row r="3912" spans="1:22" x14ac:dyDescent="0.35">
      <c r="A3912" s="1">
        <v>42322.973993055559</v>
      </c>
      <c r="B3912" s="2">
        <v>8.4884259259259257E-2</v>
      </c>
      <c r="C3912" t="s">
        <v>6584</v>
      </c>
      <c r="D3912" t="s">
        <v>6396</v>
      </c>
      <c r="E3912" t="s">
        <v>6397</v>
      </c>
      <c r="F3912" t="s">
        <v>6160</v>
      </c>
      <c r="G3912">
        <v>1584076</v>
      </c>
      <c r="H3912" t="s">
        <v>26</v>
      </c>
      <c r="I3912" t="s">
        <v>172</v>
      </c>
      <c r="J3912" t="str">
        <f>"9780745679679"</f>
        <v>9780745679679</v>
      </c>
      <c r="K3912" t="s">
        <v>6585</v>
      </c>
      <c r="L3912">
        <v>44</v>
      </c>
      <c r="O3912" t="s">
        <v>30</v>
      </c>
      <c r="P3912" t="s">
        <v>29</v>
      </c>
      <c r="Q3912" s="1">
        <v>42321.936516203707</v>
      </c>
      <c r="R3912">
        <v>7</v>
      </c>
      <c r="S3912" t="s">
        <v>6400</v>
      </c>
      <c r="T3912" t="s">
        <v>6162</v>
      </c>
      <c r="U3912">
        <v>945.05</v>
      </c>
      <c r="V3912" s="3">
        <v>41626</v>
      </c>
    </row>
    <row r="3913" spans="1:22" x14ac:dyDescent="0.35">
      <c r="A3913" s="1">
        <v>42322.927303240744</v>
      </c>
      <c r="B3913" s="2">
        <v>6.7129629629629622E-3</v>
      </c>
      <c r="C3913" t="s">
        <v>6586</v>
      </c>
      <c r="D3913" t="s">
        <v>1482</v>
      </c>
      <c r="E3913" t="s">
        <v>1483</v>
      </c>
      <c r="F3913" t="s">
        <v>1373</v>
      </c>
      <c r="G3913">
        <v>979949</v>
      </c>
      <c r="H3913" t="s">
        <v>1286</v>
      </c>
      <c r="I3913" t="s">
        <v>310</v>
      </c>
      <c r="J3913" t="str">
        <f>"9780786493234"</f>
        <v>9780786493234</v>
      </c>
      <c r="K3913" t="s">
        <v>1203</v>
      </c>
      <c r="L3913">
        <v>17</v>
      </c>
      <c r="O3913" t="s">
        <v>30</v>
      </c>
      <c r="P3913" t="s">
        <v>42</v>
      </c>
      <c r="S3913" t="s">
        <v>1485</v>
      </c>
      <c r="T3913" t="s">
        <v>1376</v>
      </c>
      <c r="U3913" t="s">
        <v>1289</v>
      </c>
      <c r="V3913" s="3">
        <v>41102</v>
      </c>
    </row>
    <row r="3914" spans="1:22" x14ac:dyDescent="0.35">
      <c r="A3914" s="1">
        <v>42322.92627314815</v>
      </c>
      <c r="B3914" s="2">
        <v>4.0856481481481481E-3</v>
      </c>
      <c r="C3914" t="s">
        <v>6586</v>
      </c>
      <c r="D3914" t="s">
        <v>1482</v>
      </c>
      <c r="E3914" t="s">
        <v>1483</v>
      </c>
      <c r="F3914" t="s">
        <v>1285</v>
      </c>
      <c r="G3914">
        <v>979950</v>
      </c>
      <c r="H3914" t="s">
        <v>1286</v>
      </c>
      <c r="I3914" t="s">
        <v>310</v>
      </c>
      <c r="J3914" t="str">
        <f>"9781476600321"</f>
        <v>9781476600321</v>
      </c>
      <c r="K3914" t="s">
        <v>6587</v>
      </c>
      <c r="L3914">
        <v>18</v>
      </c>
      <c r="O3914" t="s">
        <v>30</v>
      </c>
      <c r="P3914" t="s">
        <v>42</v>
      </c>
      <c r="S3914" t="s">
        <v>1485</v>
      </c>
      <c r="T3914" t="s">
        <v>1288</v>
      </c>
      <c r="U3914" t="s">
        <v>1289</v>
      </c>
      <c r="V3914" s="3">
        <v>41100</v>
      </c>
    </row>
    <row r="3915" spans="1:22" x14ac:dyDescent="0.35">
      <c r="A3915" s="1">
        <v>42322.918171296296</v>
      </c>
      <c r="B3915" s="2">
        <v>0</v>
      </c>
      <c r="C3915" t="s">
        <v>5552</v>
      </c>
      <c r="D3915" t="s">
        <v>23</v>
      </c>
      <c r="E3915" t="s">
        <v>24</v>
      </c>
      <c r="F3915" t="s">
        <v>3060</v>
      </c>
      <c r="G3915">
        <v>1120279</v>
      </c>
      <c r="H3915" t="s">
        <v>26</v>
      </c>
      <c r="I3915" t="s">
        <v>3061</v>
      </c>
      <c r="J3915" t="str">
        <f>"9781118537671"</f>
        <v>9781118537671</v>
      </c>
      <c r="K3915" t="s">
        <v>6588</v>
      </c>
      <c r="L3915">
        <v>2</v>
      </c>
      <c r="O3915" t="s">
        <v>30</v>
      </c>
      <c r="P3915" t="s">
        <v>29</v>
      </c>
      <c r="Q3915" s="1">
        <v>42322.91815972222</v>
      </c>
      <c r="R3915">
        <v>7</v>
      </c>
      <c r="S3915" t="s">
        <v>31</v>
      </c>
      <c r="T3915" t="s">
        <v>3063</v>
      </c>
      <c r="U3915">
        <v>599.93499999999995</v>
      </c>
      <c r="V3915" s="3">
        <v>41232</v>
      </c>
    </row>
    <row r="3916" spans="1:22" x14ac:dyDescent="0.35">
      <c r="A3916" s="1">
        <v>42322.896331018521</v>
      </c>
      <c r="B3916" s="2">
        <v>2.1828703703703701E-2</v>
      </c>
      <c r="C3916" t="s">
        <v>5552</v>
      </c>
      <c r="D3916" t="s">
        <v>23</v>
      </c>
      <c r="E3916" t="s">
        <v>24</v>
      </c>
      <c r="F3916" t="s">
        <v>3060</v>
      </c>
      <c r="G3916">
        <v>1120279</v>
      </c>
      <c r="H3916" t="s">
        <v>26</v>
      </c>
      <c r="I3916" t="s">
        <v>3061</v>
      </c>
      <c r="J3916" t="str">
        <f>"9781118537671"</f>
        <v>9781118537671</v>
      </c>
      <c r="K3916" t="s">
        <v>6589</v>
      </c>
      <c r="L3916">
        <v>44</v>
      </c>
      <c r="O3916" t="s">
        <v>30</v>
      </c>
      <c r="P3916" t="s">
        <v>42</v>
      </c>
      <c r="S3916" t="s">
        <v>31</v>
      </c>
      <c r="T3916" t="s">
        <v>3063</v>
      </c>
      <c r="U3916">
        <v>599.93499999999995</v>
      </c>
      <c r="V3916" s="3">
        <v>41232</v>
      </c>
    </row>
    <row r="3917" spans="1:22" x14ac:dyDescent="0.35">
      <c r="A3917" s="1">
        <v>42322.830023148148</v>
      </c>
      <c r="B3917" s="2">
        <v>1.6203703703703703E-4</v>
      </c>
      <c r="C3917" t="s">
        <v>106</v>
      </c>
      <c r="D3917" t="s">
        <v>23</v>
      </c>
      <c r="E3917" t="s">
        <v>24</v>
      </c>
      <c r="F3917" t="s">
        <v>486</v>
      </c>
      <c r="G3917">
        <v>1119505</v>
      </c>
      <c r="H3917" t="s">
        <v>26</v>
      </c>
      <c r="I3917" t="s">
        <v>450</v>
      </c>
      <c r="J3917" t="str">
        <f>"9781118355015"</f>
        <v>9781118355015</v>
      </c>
      <c r="K3917" t="s">
        <v>6590</v>
      </c>
      <c r="L3917">
        <v>9</v>
      </c>
      <c r="O3917" t="s">
        <v>30</v>
      </c>
      <c r="P3917" t="s">
        <v>29</v>
      </c>
      <c r="Q3917" s="1">
        <v>42322.677546296298</v>
      </c>
      <c r="R3917">
        <v>7</v>
      </c>
      <c r="S3917" t="s">
        <v>31</v>
      </c>
      <c r="T3917" t="s">
        <v>487</v>
      </c>
      <c r="U3917" t="s">
        <v>488</v>
      </c>
      <c r="V3917" s="3">
        <v>41302</v>
      </c>
    </row>
    <row r="3918" spans="1:22" x14ac:dyDescent="0.35">
      <c r="A3918" s="1">
        <v>42322.759409722225</v>
      </c>
      <c r="B3918" s="2">
        <v>2.3032407407407407E-3</v>
      </c>
      <c r="C3918" t="s">
        <v>6591</v>
      </c>
      <c r="D3918" t="s">
        <v>6396</v>
      </c>
      <c r="E3918" t="s">
        <v>6397</v>
      </c>
      <c r="F3918" t="s">
        <v>6592</v>
      </c>
      <c r="G3918">
        <v>2110656</v>
      </c>
      <c r="H3918" t="s">
        <v>45</v>
      </c>
      <c r="I3918" t="s">
        <v>2128</v>
      </c>
      <c r="J3918" t="str">
        <f>"9781472422910"</f>
        <v>9781472422910</v>
      </c>
      <c r="K3918" t="s">
        <v>6593</v>
      </c>
      <c r="L3918">
        <v>10</v>
      </c>
      <c r="O3918" t="s">
        <v>30</v>
      </c>
      <c r="P3918" t="s">
        <v>47</v>
      </c>
      <c r="Q3918" s="1">
        <v>42322.759409722225</v>
      </c>
      <c r="R3918">
        <v>1</v>
      </c>
      <c r="S3918" t="s">
        <v>6400</v>
      </c>
      <c r="T3918" t="s">
        <v>6594</v>
      </c>
      <c r="U3918">
        <v>1.3028500000000001</v>
      </c>
      <c r="V3918" s="3">
        <v>42275</v>
      </c>
    </row>
    <row r="3919" spans="1:22" x14ac:dyDescent="0.35">
      <c r="A3919" s="1">
        <v>42322.75571759259</v>
      </c>
      <c r="B3919" s="2">
        <v>3.6921296296296298E-3</v>
      </c>
      <c r="C3919" t="s">
        <v>6591</v>
      </c>
      <c r="D3919" t="s">
        <v>6396</v>
      </c>
      <c r="E3919" t="s">
        <v>6397</v>
      </c>
      <c r="F3919" t="s">
        <v>6592</v>
      </c>
      <c r="G3919">
        <v>2110656</v>
      </c>
      <c r="H3919" t="s">
        <v>45</v>
      </c>
      <c r="I3919" t="s">
        <v>2128</v>
      </c>
      <c r="J3919" t="str">
        <f>"9781472422910"</f>
        <v>9781472422910</v>
      </c>
      <c r="K3919" t="s">
        <v>1520</v>
      </c>
      <c r="L3919">
        <v>20</v>
      </c>
      <c r="O3919" t="s">
        <v>30</v>
      </c>
      <c r="P3919" t="s">
        <v>50</v>
      </c>
      <c r="S3919" t="s">
        <v>6400</v>
      </c>
      <c r="T3919" t="s">
        <v>6594</v>
      </c>
      <c r="U3919">
        <v>1.3028500000000001</v>
      </c>
      <c r="V3919" s="3">
        <v>42275</v>
      </c>
    </row>
    <row r="3920" spans="1:22" x14ac:dyDescent="0.35">
      <c r="A3920" s="1">
        <v>42322.738796296297</v>
      </c>
      <c r="B3920" s="2">
        <v>8.217592592592594E-3</v>
      </c>
      <c r="C3920" t="s">
        <v>106</v>
      </c>
      <c r="D3920" t="s">
        <v>23</v>
      </c>
      <c r="E3920" t="s">
        <v>24</v>
      </c>
      <c r="F3920" t="s">
        <v>486</v>
      </c>
      <c r="G3920">
        <v>1119505</v>
      </c>
      <c r="H3920" t="s">
        <v>26</v>
      </c>
      <c r="I3920" t="s">
        <v>450</v>
      </c>
      <c r="J3920" t="str">
        <f>"9781118355015"</f>
        <v>9781118355015</v>
      </c>
      <c r="K3920" t="s">
        <v>6595</v>
      </c>
      <c r="L3920">
        <v>13</v>
      </c>
      <c r="O3920" t="s">
        <v>30</v>
      </c>
      <c r="P3920" t="s">
        <v>29</v>
      </c>
      <c r="Q3920" s="1">
        <v>42322.677546296298</v>
      </c>
      <c r="R3920">
        <v>7</v>
      </c>
      <c r="S3920" t="s">
        <v>31</v>
      </c>
      <c r="T3920" t="s">
        <v>487</v>
      </c>
      <c r="U3920" t="s">
        <v>488</v>
      </c>
      <c r="V3920" s="3">
        <v>41302</v>
      </c>
    </row>
    <row r="3921" spans="1:22" x14ac:dyDescent="0.35">
      <c r="A3921" s="1">
        <v>42322.722800925927</v>
      </c>
      <c r="B3921" s="2">
        <v>4.0624999999999993E-3</v>
      </c>
      <c r="C3921" t="s">
        <v>6518</v>
      </c>
      <c r="D3921" t="s">
        <v>23</v>
      </c>
      <c r="E3921" t="s">
        <v>24</v>
      </c>
      <c r="F3921" t="s">
        <v>486</v>
      </c>
      <c r="G3921">
        <v>1119505</v>
      </c>
      <c r="H3921" t="s">
        <v>26</v>
      </c>
      <c r="I3921" t="s">
        <v>450</v>
      </c>
      <c r="J3921" t="str">
        <f>"9781118355015"</f>
        <v>9781118355015</v>
      </c>
      <c r="K3921" t="s">
        <v>6596</v>
      </c>
      <c r="L3921">
        <v>37</v>
      </c>
      <c r="O3921" t="s">
        <v>30</v>
      </c>
      <c r="P3921" t="s">
        <v>29</v>
      </c>
      <c r="Q3921" s="1">
        <v>42315.848321759258</v>
      </c>
      <c r="R3921">
        <v>7</v>
      </c>
      <c r="S3921" t="s">
        <v>31</v>
      </c>
      <c r="T3921" t="s">
        <v>487</v>
      </c>
      <c r="U3921" t="s">
        <v>488</v>
      </c>
      <c r="V3921" s="3">
        <v>41302</v>
      </c>
    </row>
    <row r="3922" spans="1:22" x14ac:dyDescent="0.35">
      <c r="A3922" s="1">
        <v>42322.704224537039</v>
      </c>
      <c r="B3922" s="2">
        <v>4.6296296296296294E-5</v>
      </c>
      <c r="C3922" t="s">
        <v>4124</v>
      </c>
      <c r="D3922" t="s">
        <v>211</v>
      </c>
      <c r="E3922" t="s">
        <v>212</v>
      </c>
      <c r="F3922" t="s">
        <v>4152</v>
      </c>
      <c r="G3922">
        <v>1318689</v>
      </c>
      <c r="H3922" t="s">
        <v>26</v>
      </c>
      <c r="I3922" t="s">
        <v>97</v>
      </c>
      <c r="J3922" t="str">
        <f>"9781118573310"</f>
        <v>9781118573310</v>
      </c>
      <c r="K3922" t="s">
        <v>33</v>
      </c>
      <c r="L3922">
        <v>3</v>
      </c>
      <c r="O3922" t="s">
        <v>30</v>
      </c>
      <c r="P3922" t="s">
        <v>29</v>
      </c>
      <c r="Q3922" s="1">
        <v>42322.69599537037</v>
      </c>
      <c r="R3922">
        <v>7</v>
      </c>
      <c r="S3922" t="s">
        <v>214</v>
      </c>
      <c r="T3922" t="s">
        <v>4154</v>
      </c>
      <c r="U3922" t="s">
        <v>4155</v>
      </c>
      <c r="V3922" s="3">
        <v>41471</v>
      </c>
    </row>
    <row r="3923" spans="1:22" x14ac:dyDescent="0.35">
      <c r="A3923" s="1">
        <v>42322.702662037038</v>
      </c>
      <c r="B3923" s="2">
        <v>1.5277777777777779E-3</v>
      </c>
      <c r="C3923" t="s">
        <v>4124</v>
      </c>
      <c r="D3923" t="s">
        <v>211</v>
      </c>
      <c r="E3923" t="s">
        <v>212</v>
      </c>
      <c r="F3923" t="s">
        <v>4152</v>
      </c>
      <c r="G3923">
        <v>1318689</v>
      </c>
      <c r="H3923" t="s">
        <v>26</v>
      </c>
      <c r="I3923" t="s">
        <v>97</v>
      </c>
      <c r="J3923" t="str">
        <f>"9781118573310"</f>
        <v>9781118573310</v>
      </c>
      <c r="K3923" t="s">
        <v>6597</v>
      </c>
      <c r="L3923">
        <v>21</v>
      </c>
      <c r="O3923" t="s">
        <v>30</v>
      </c>
      <c r="P3923" t="s">
        <v>29</v>
      </c>
      <c r="Q3923" s="1">
        <v>42322.69599537037</v>
      </c>
      <c r="R3923">
        <v>7</v>
      </c>
      <c r="S3923" t="s">
        <v>214</v>
      </c>
      <c r="T3923" t="s">
        <v>4154</v>
      </c>
      <c r="U3923" t="s">
        <v>4155</v>
      </c>
      <c r="V3923" s="3">
        <v>41471</v>
      </c>
    </row>
    <row r="3924" spans="1:22" x14ac:dyDescent="0.35">
      <c r="A3924" s="1">
        <v>42322.696006944447</v>
      </c>
      <c r="B3924" s="2">
        <v>6.238425925925925E-3</v>
      </c>
      <c r="C3924" t="s">
        <v>4124</v>
      </c>
      <c r="D3924" t="s">
        <v>211</v>
      </c>
      <c r="E3924" t="s">
        <v>212</v>
      </c>
      <c r="F3924" t="s">
        <v>4152</v>
      </c>
      <c r="G3924">
        <v>1318689</v>
      </c>
      <c r="H3924" t="s">
        <v>26</v>
      </c>
      <c r="I3924" t="s">
        <v>97</v>
      </c>
      <c r="J3924" t="str">
        <f>"9781118573310"</f>
        <v>9781118573310</v>
      </c>
      <c r="K3924" t="s">
        <v>6598</v>
      </c>
      <c r="L3924">
        <v>18</v>
      </c>
      <c r="O3924" t="s">
        <v>30</v>
      </c>
      <c r="P3924" t="s">
        <v>29</v>
      </c>
      <c r="Q3924" s="1">
        <v>42322.69599537037</v>
      </c>
      <c r="R3924">
        <v>7</v>
      </c>
      <c r="S3924" t="s">
        <v>214</v>
      </c>
      <c r="T3924" t="s">
        <v>4154</v>
      </c>
      <c r="U3924" t="s">
        <v>4155</v>
      </c>
      <c r="V3924" s="3">
        <v>41471</v>
      </c>
    </row>
    <row r="3925" spans="1:22" x14ac:dyDescent="0.35">
      <c r="A3925" s="1">
        <v>42322.678090277775</v>
      </c>
      <c r="B3925" s="2">
        <v>1.7905092592592594E-2</v>
      </c>
      <c r="C3925" t="s">
        <v>4124</v>
      </c>
      <c r="D3925" t="s">
        <v>211</v>
      </c>
      <c r="E3925" t="s">
        <v>212</v>
      </c>
      <c r="F3925" t="s">
        <v>4152</v>
      </c>
      <c r="G3925">
        <v>1318689</v>
      </c>
      <c r="H3925" t="s">
        <v>26</v>
      </c>
      <c r="I3925" t="s">
        <v>97</v>
      </c>
      <c r="J3925" t="str">
        <f>"9781118573310"</f>
        <v>9781118573310</v>
      </c>
      <c r="K3925" t="s">
        <v>6599</v>
      </c>
      <c r="L3925">
        <v>22</v>
      </c>
      <c r="O3925" t="s">
        <v>30</v>
      </c>
      <c r="P3925" t="s">
        <v>42</v>
      </c>
      <c r="S3925" t="s">
        <v>214</v>
      </c>
      <c r="T3925" t="s">
        <v>4154</v>
      </c>
      <c r="U3925" t="s">
        <v>4155</v>
      </c>
      <c r="V3925" s="3">
        <v>41471</v>
      </c>
    </row>
    <row r="3926" spans="1:22" x14ac:dyDescent="0.35">
      <c r="A3926" s="1">
        <v>42322.677557870367</v>
      </c>
      <c r="B3926" s="2">
        <v>1.3229166666666667E-2</v>
      </c>
      <c r="C3926" t="s">
        <v>106</v>
      </c>
      <c r="D3926" t="s">
        <v>23</v>
      </c>
      <c r="E3926" t="s">
        <v>24</v>
      </c>
      <c r="F3926" t="s">
        <v>486</v>
      </c>
      <c r="G3926">
        <v>1119505</v>
      </c>
      <c r="H3926" t="s">
        <v>26</v>
      </c>
      <c r="I3926" t="s">
        <v>450</v>
      </c>
      <c r="J3926" t="str">
        <f>"9781118355015"</f>
        <v>9781118355015</v>
      </c>
      <c r="K3926" t="s">
        <v>6600</v>
      </c>
      <c r="L3926">
        <v>28</v>
      </c>
      <c r="O3926" t="s">
        <v>30</v>
      </c>
      <c r="P3926" t="s">
        <v>29</v>
      </c>
      <c r="Q3926" s="1">
        <v>42322.677546296298</v>
      </c>
      <c r="R3926">
        <v>7</v>
      </c>
      <c r="S3926" t="s">
        <v>31</v>
      </c>
      <c r="T3926" t="s">
        <v>487</v>
      </c>
      <c r="U3926" t="s">
        <v>488</v>
      </c>
      <c r="V3926" s="3">
        <v>41302</v>
      </c>
    </row>
    <row r="3927" spans="1:22" x14ac:dyDescent="0.35">
      <c r="A3927" s="1">
        <v>42322.667546296296</v>
      </c>
      <c r="B3927" s="2">
        <v>0.01</v>
      </c>
      <c r="C3927" t="s">
        <v>106</v>
      </c>
      <c r="D3927" t="s">
        <v>23</v>
      </c>
      <c r="E3927" t="s">
        <v>24</v>
      </c>
      <c r="F3927" t="s">
        <v>486</v>
      </c>
      <c r="G3927">
        <v>1119505</v>
      </c>
      <c r="H3927" t="s">
        <v>26</v>
      </c>
      <c r="I3927" t="s">
        <v>450</v>
      </c>
      <c r="J3927" t="str">
        <f>"9781118355015"</f>
        <v>9781118355015</v>
      </c>
      <c r="K3927" t="s">
        <v>6601</v>
      </c>
      <c r="L3927">
        <v>10</v>
      </c>
      <c r="O3927" t="s">
        <v>30</v>
      </c>
      <c r="P3927" t="s">
        <v>42</v>
      </c>
      <c r="S3927" t="s">
        <v>31</v>
      </c>
      <c r="T3927" t="s">
        <v>487</v>
      </c>
      <c r="U3927" t="s">
        <v>488</v>
      </c>
      <c r="V3927" s="3">
        <v>41302</v>
      </c>
    </row>
    <row r="3928" spans="1:22" x14ac:dyDescent="0.35">
      <c r="A3928" s="1">
        <v>42322.519143518519</v>
      </c>
      <c r="B3928" s="2">
        <v>1.4467592592592594E-3</v>
      </c>
      <c r="C3928" t="s">
        <v>6518</v>
      </c>
      <c r="D3928" t="s">
        <v>23</v>
      </c>
      <c r="E3928" t="s">
        <v>24</v>
      </c>
      <c r="F3928" t="s">
        <v>486</v>
      </c>
      <c r="G3928">
        <v>1119505</v>
      </c>
      <c r="H3928" t="s">
        <v>26</v>
      </c>
      <c r="I3928" t="s">
        <v>450</v>
      </c>
      <c r="J3928" t="str">
        <f>"9781118355015"</f>
        <v>9781118355015</v>
      </c>
      <c r="K3928" t="s">
        <v>6602</v>
      </c>
      <c r="L3928">
        <v>14</v>
      </c>
      <c r="N3928" t="s">
        <v>6603</v>
      </c>
      <c r="O3928" t="s">
        <v>30</v>
      </c>
      <c r="P3928" t="s">
        <v>29</v>
      </c>
      <c r="Q3928" s="1">
        <v>42315.848321759258</v>
      </c>
      <c r="R3928">
        <v>7</v>
      </c>
      <c r="S3928" t="s">
        <v>31</v>
      </c>
      <c r="T3928" t="s">
        <v>487</v>
      </c>
      <c r="U3928" t="s">
        <v>488</v>
      </c>
      <c r="V3928" s="3">
        <v>41302</v>
      </c>
    </row>
    <row r="3929" spans="1:22" x14ac:dyDescent="0.35">
      <c r="A3929" s="1">
        <v>42322.331736111111</v>
      </c>
      <c r="B3929" s="2">
        <v>1.6550925925925926E-3</v>
      </c>
      <c r="C3929" t="s">
        <v>6483</v>
      </c>
      <c r="D3929" t="s">
        <v>623</v>
      </c>
      <c r="E3929" t="s">
        <v>624</v>
      </c>
      <c r="F3929" t="s">
        <v>6484</v>
      </c>
      <c r="G3929">
        <v>2056249</v>
      </c>
      <c r="H3929" t="s">
        <v>26</v>
      </c>
      <c r="I3929" t="s">
        <v>6485</v>
      </c>
      <c r="J3929" t="str">
        <f>"9781119031758"</f>
        <v>9781119031758</v>
      </c>
      <c r="K3929" t="s">
        <v>6604</v>
      </c>
      <c r="L3929">
        <v>8</v>
      </c>
      <c r="O3929" t="s">
        <v>30</v>
      </c>
      <c r="P3929" t="s">
        <v>50</v>
      </c>
      <c r="S3929" t="s">
        <v>627</v>
      </c>
      <c r="T3929" t="s">
        <v>6487</v>
      </c>
      <c r="U3929">
        <v>174.90700000000001</v>
      </c>
      <c r="V3929" s="3">
        <v>42142</v>
      </c>
    </row>
    <row r="3930" spans="1:22" x14ac:dyDescent="0.35">
      <c r="A3930" s="1">
        <v>42322.132638888892</v>
      </c>
      <c r="B3930" s="2">
        <v>6.018518518518519E-4</v>
      </c>
      <c r="C3930" t="s">
        <v>6605</v>
      </c>
      <c r="D3930" t="s">
        <v>23</v>
      </c>
      <c r="E3930" t="s">
        <v>24</v>
      </c>
      <c r="F3930" t="s">
        <v>4455</v>
      </c>
      <c r="G3930">
        <v>1759293</v>
      </c>
      <c r="H3930" t="s">
        <v>91</v>
      </c>
      <c r="I3930" t="s">
        <v>247</v>
      </c>
      <c r="J3930" t="str">
        <f>"9781462517046"</f>
        <v>9781462517046</v>
      </c>
      <c r="K3930" t="s">
        <v>98</v>
      </c>
      <c r="L3930">
        <v>7</v>
      </c>
      <c r="O3930" t="s">
        <v>30</v>
      </c>
      <c r="P3930" t="s">
        <v>50</v>
      </c>
      <c r="S3930" t="s">
        <v>31</v>
      </c>
      <c r="T3930" t="s">
        <v>4457</v>
      </c>
      <c r="U3930">
        <v>616.85226999999998</v>
      </c>
      <c r="V3930" s="3">
        <v>41953</v>
      </c>
    </row>
    <row r="3931" spans="1:22" x14ac:dyDescent="0.35">
      <c r="A3931" s="1">
        <v>42322.076620370368</v>
      </c>
      <c r="B3931" s="2">
        <v>0</v>
      </c>
      <c r="C3931" t="s">
        <v>6606</v>
      </c>
      <c r="D3931" t="s">
        <v>261</v>
      </c>
      <c r="E3931" t="s">
        <v>262</v>
      </c>
      <c r="F3931" t="s">
        <v>6607</v>
      </c>
      <c r="G3931">
        <v>1550534</v>
      </c>
      <c r="H3931" t="s">
        <v>26</v>
      </c>
      <c r="I3931" t="s">
        <v>348</v>
      </c>
      <c r="J3931" t="str">
        <f>"9780745672397"</f>
        <v>9780745672397</v>
      </c>
      <c r="K3931" t="s">
        <v>318</v>
      </c>
      <c r="L3931">
        <v>1</v>
      </c>
      <c r="O3931" t="s">
        <v>30</v>
      </c>
      <c r="P3931" t="s">
        <v>47</v>
      </c>
      <c r="Q3931" s="1">
        <v>42322.076608796298</v>
      </c>
      <c r="R3931">
        <v>1</v>
      </c>
      <c r="S3931" t="s">
        <v>264</v>
      </c>
      <c r="T3931" t="s">
        <v>6608</v>
      </c>
      <c r="U3931">
        <v>320.08199999999999</v>
      </c>
      <c r="V3931" s="3">
        <v>41584</v>
      </c>
    </row>
    <row r="3932" spans="1:22" x14ac:dyDescent="0.35">
      <c r="A3932" s="1">
        <v>42322.071898148148</v>
      </c>
      <c r="B3932" s="2">
        <v>4.7106481481481478E-3</v>
      </c>
      <c r="C3932" t="s">
        <v>6606</v>
      </c>
      <c r="D3932" t="s">
        <v>261</v>
      </c>
      <c r="E3932" t="s">
        <v>262</v>
      </c>
      <c r="F3932" t="s">
        <v>6607</v>
      </c>
      <c r="G3932">
        <v>1550534</v>
      </c>
      <c r="H3932" t="s">
        <v>26</v>
      </c>
      <c r="I3932" t="s">
        <v>348</v>
      </c>
      <c r="J3932" t="str">
        <f>"9780745672397"</f>
        <v>9780745672397</v>
      </c>
      <c r="K3932" t="s">
        <v>2353</v>
      </c>
      <c r="L3932">
        <v>13</v>
      </c>
      <c r="O3932" t="s">
        <v>30</v>
      </c>
      <c r="P3932" t="s">
        <v>50</v>
      </c>
      <c r="S3932" t="s">
        <v>264</v>
      </c>
      <c r="T3932" t="s">
        <v>6608</v>
      </c>
      <c r="U3932">
        <v>320.08199999999999</v>
      </c>
      <c r="V3932" s="3">
        <v>41584</v>
      </c>
    </row>
    <row r="3933" spans="1:22" x14ac:dyDescent="0.35">
      <c r="A3933" s="1">
        <v>42322.046875</v>
      </c>
      <c r="B3933" s="2">
        <v>9.3750000000000007E-4</v>
      </c>
      <c r="C3933" t="s">
        <v>6609</v>
      </c>
      <c r="D3933" t="s">
        <v>6396</v>
      </c>
      <c r="E3933" t="s">
        <v>6397</v>
      </c>
      <c r="F3933" t="s">
        <v>6398</v>
      </c>
      <c r="G3933">
        <v>1896024</v>
      </c>
      <c r="H3933" t="s">
        <v>26</v>
      </c>
      <c r="I3933" t="s">
        <v>69</v>
      </c>
      <c r="J3933" t="str">
        <f>"9781119061496"</f>
        <v>9781119061496</v>
      </c>
      <c r="K3933" t="s">
        <v>6610</v>
      </c>
      <c r="L3933">
        <v>27</v>
      </c>
      <c r="O3933" t="s">
        <v>30</v>
      </c>
      <c r="P3933" t="s">
        <v>50</v>
      </c>
      <c r="S3933" t="s">
        <v>6400</v>
      </c>
      <c r="T3933" t="s">
        <v>6401</v>
      </c>
      <c r="U3933">
        <v>378.00720000000001</v>
      </c>
      <c r="V3933" s="3">
        <v>42074</v>
      </c>
    </row>
    <row r="3934" spans="1:22" x14ac:dyDescent="0.35">
      <c r="A3934" s="1">
        <v>42322.017418981479</v>
      </c>
      <c r="B3934" s="2">
        <v>7.175925925925927E-4</v>
      </c>
      <c r="C3934" t="s">
        <v>6611</v>
      </c>
      <c r="D3934" t="s">
        <v>23</v>
      </c>
      <c r="E3934" t="s">
        <v>24</v>
      </c>
      <c r="F3934" t="s">
        <v>5056</v>
      </c>
      <c r="G3934">
        <v>1815566</v>
      </c>
      <c r="H3934" t="s">
        <v>45</v>
      </c>
      <c r="I3934" t="s">
        <v>348</v>
      </c>
      <c r="J3934" t="str">
        <f>"9781472430083"</f>
        <v>9781472430083</v>
      </c>
      <c r="K3934" t="s">
        <v>6612</v>
      </c>
      <c r="L3934">
        <v>29</v>
      </c>
      <c r="O3934" t="s">
        <v>30</v>
      </c>
      <c r="P3934" t="s">
        <v>47</v>
      </c>
      <c r="Q3934" s="1">
        <v>42322.017418981479</v>
      </c>
      <c r="R3934">
        <v>1</v>
      </c>
      <c r="S3934" t="s">
        <v>31</v>
      </c>
      <c r="T3934" t="s">
        <v>5058</v>
      </c>
      <c r="U3934" t="s">
        <v>5059</v>
      </c>
      <c r="V3934" s="3">
        <v>42001</v>
      </c>
    </row>
    <row r="3935" spans="1:22" x14ac:dyDescent="0.35">
      <c r="A3935" s="1">
        <v>42322.009386574071</v>
      </c>
      <c r="B3935" s="2">
        <v>8.0324074074074065E-3</v>
      </c>
      <c r="C3935" t="s">
        <v>6611</v>
      </c>
      <c r="D3935" t="s">
        <v>23</v>
      </c>
      <c r="E3935" t="s">
        <v>24</v>
      </c>
      <c r="F3935" t="s">
        <v>5056</v>
      </c>
      <c r="G3935">
        <v>1815566</v>
      </c>
      <c r="H3935" t="s">
        <v>45</v>
      </c>
      <c r="I3935" t="s">
        <v>348</v>
      </c>
      <c r="J3935" t="str">
        <f>"9781472430083"</f>
        <v>9781472430083</v>
      </c>
      <c r="K3935" t="s">
        <v>33</v>
      </c>
      <c r="L3935">
        <v>3</v>
      </c>
      <c r="O3935" t="s">
        <v>30</v>
      </c>
      <c r="P3935" t="s">
        <v>50</v>
      </c>
      <c r="S3935" t="s">
        <v>31</v>
      </c>
      <c r="T3935" t="s">
        <v>5058</v>
      </c>
      <c r="U3935" t="s">
        <v>5059</v>
      </c>
      <c r="V3935" s="3">
        <v>42001</v>
      </c>
    </row>
    <row r="3936" spans="1:22" x14ac:dyDescent="0.35">
      <c r="A3936" s="1">
        <v>42321.936516203707</v>
      </c>
      <c r="B3936" s="2">
        <v>2.2766203703703702E-2</v>
      </c>
      <c r="C3936" t="s">
        <v>6584</v>
      </c>
      <c r="D3936" t="s">
        <v>6396</v>
      </c>
      <c r="E3936" t="s">
        <v>6397</v>
      </c>
      <c r="F3936" t="s">
        <v>6160</v>
      </c>
      <c r="G3936">
        <v>1584076</v>
      </c>
      <c r="H3936" t="s">
        <v>26</v>
      </c>
      <c r="I3936" t="s">
        <v>172</v>
      </c>
      <c r="J3936" t="str">
        <f>"9780745679679"</f>
        <v>9780745679679</v>
      </c>
      <c r="K3936" t="s">
        <v>6613</v>
      </c>
      <c r="L3936">
        <v>17</v>
      </c>
      <c r="O3936" t="s">
        <v>30</v>
      </c>
      <c r="P3936" t="s">
        <v>29</v>
      </c>
      <c r="Q3936" s="1">
        <v>42321.936516203707</v>
      </c>
      <c r="R3936">
        <v>7</v>
      </c>
      <c r="S3936" t="s">
        <v>6400</v>
      </c>
      <c r="T3936" t="s">
        <v>6162</v>
      </c>
      <c r="U3936">
        <v>945.05</v>
      </c>
      <c r="V3936" s="3">
        <v>41626</v>
      </c>
    </row>
    <row r="3937" spans="1:22" x14ac:dyDescent="0.35">
      <c r="A3937" s="1">
        <v>42321.928518518522</v>
      </c>
      <c r="B3937" s="2">
        <v>7.9976851851851858E-3</v>
      </c>
      <c r="C3937" t="s">
        <v>6584</v>
      </c>
      <c r="D3937" t="s">
        <v>6396</v>
      </c>
      <c r="E3937" t="s">
        <v>6397</v>
      </c>
      <c r="F3937" t="s">
        <v>6160</v>
      </c>
      <c r="G3937">
        <v>1584076</v>
      </c>
      <c r="H3937" t="s">
        <v>26</v>
      </c>
      <c r="I3937" t="s">
        <v>172</v>
      </c>
      <c r="J3937" t="str">
        <f>"9780745679679"</f>
        <v>9780745679679</v>
      </c>
      <c r="K3937" t="s">
        <v>6614</v>
      </c>
      <c r="L3937">
        <v>13</v>
      </c>
      <c r="O3937" t="s">
        <v>30</v>
      </c>
      <c r="P3937" t="s">
        <v>42</v>
      </c>
      <c r="S3937" t="s">
        <v>6400</v>
      </c>
      <c r="T3937" t="s">
        <v>6162</v>
      </c>
      <c r="U3937">
        <v>945.05</v>
      </c>
      <c r="V3937" s="3">
        <v>41626</v>
      </c>
    </row>
    <row r="3938" spans="1:22" x14ac:dyDescent="0.35">
      <c r="A3938" s="1">
        <v>42321.893009259256</v>
      </c>
      <c r="B3938" s="2">
        <v>2.5115740740740741E-3</v>
      </c>
      <c r="C3938" t="s">
        <v>6615</v>
      </c>
      <c r="D3938" t="s">
        <v>261</v>
      </c>
      <c r="E3938" t="s">
        <v>262</v>
      </c>
      <c r="F3938" t="s">
        <v>6616</v>
      </c>
      <c r="G3938">
        <v>875791</v>
      </c>
      <c r="H3938" t="s">
        <v>26</v>
      </c>
      <c r="I3938" t="s">
        <v>69</v>
      </c>
      <c r="J3938" t="str">
        <f>"9781118220153"</f>
        <v>9781118220153</v>
      </c>
      <c r="K3938" t="s">
        <v>6617</v>
      </c>
      <c r="L3938">
        <v>14</v>
      </c>
      <c r="O3938" t="s">
        <v>30</v>
      </c>
      <c r="P3938" t="s">
        <v>42</v>
      </c>
      <c r="S3938" t="s">
        <v>264</v>
      </c>
      <c r="T3938" t="s">
        <v>6618</v>
      </c>
      <c r="U3938" t="s">
        <v>6619</v>
      </c>
      <c r="V3938" s="3">
        <v>41110</v>
      </c>
    </row>
    <row r="3939" spans="1:22" x14ac:dyDescent="0.35">
      <c r="A3939" s="1">
        <v>42321.874872685185</v>
      </c>
      <c r="B3939" s="2">
        <v>0</v>
      </c>
      <c r="C3939" t="s">
        <v>3360</v>
      </c>
      <c r="D3939" t="s">
        <v>335</v>
      </c>
      <c r="E3939" t="s">
        <v>336</v>
      </c>
      <c r="F3939" t="s">
        <v>148</v>
      </c>
      <c r="G3939">
        <v>877717</v>
      </c>
      <c r="H3939" t="s">
        <v>149</v>
      </c>
      <c r="I3939" t="s">
        <v>150</v>
      </c>
      <c r="J3939" t="str">
        <f>"9781438139265"</f>
        <v>9781438139265</v>
      </c>
      <c r="L3939">
        <v>0</v>
      </c>
      <c r="O3939" t="s">
        <v>30</v>
      </c>
      <c r="P3939" t="s">
        <v>29</v>
      </c>
      <c r="Q3939" s="1">
        <v>42321.874861111108</v>
      </c>
      <c r="R3939">
        <v>7</v>
      </c>
      <c r="S3939" t="s">
        <v>340</v>
      </c>
      <c r="T3939" t="s">
        <v>153</v>
      </c>
      <c r="U3939" t="s">
        <v>154</v>
      </c>
      <c r="V3939" s="3">
        <v>40909</v>
      </c>
    </row>
    <row r="3940" spans="1:22" x14ac:dyDescent="0.35">
      <c r="A3940" s="1">
        <v>42321.874745370369</v>
      </c>
      <c r="B3940" s="2">
        <v>1.1574074074074073E-4</v>
      </c>
      <c r="C3940" t="s">
        <v>3360</v>
      </c>
      <c r="D3940" t="s">
        <v>335</v>
      </c>
      <c r="E3940" t="s">
        <v>336</v>
      </c>
      <c r="F3940" t="s">
        <v>148</v>
      </c>
      <c r="G3940">
        <v>877717</v>
      </c>
      <c r="H3940" t="s">
        <v>149</v>
      </c>
      <c r="I3940" t="s">
        <v>150</v>
      </c>
      <c r="J3940" t="str">
        <f>"9781438139265"</f>
        <v>9781438139265</v>
      </c>
      <c r="K3940" t="s">
        <v>33</v>
      </c>
      <c r="L3940">
        <v>3</v>
      </c>
      <c r="O3940" t="s">
        <v>30</v>
      </c>
      <c r="P3940" t="s">
        <v>42</v>
      </c>
      <c r="S3940" t="s">
        <v>340</v>
      </c>
      <c r="T3940" t="s">
        <v>153</v>
      </c>
      <c r="U3940" t="s">
        <v>154</v>
      </c>
      <c r="V3940" s="3">
        <v>40909</v>
      </c>
    </row>
    <row r="3941" spans="1:22" x14ac:dyDescent="0.35">
      <c r="A3941" s="1">
        <v>42321.874259259261</v>
      </c>
      <c r="B3941" s="2">
        <v>6.9444444444444444E-5</v>
      </c>
      <c r="C3941" t="s">
        <v>3360</v>
      </c>
      <c r="D3941" t="s">
        <v>335</v>
      </c>
      <c r="E3941" t="s">
        <v>336</v>
      </c>
      <c r="F3941" t="s">
        <v>148</v>
      </c>
      <c r="G3941">
        <v>877717</v>
      </c>
      <c r="H3941" t="s">
        <v>149</v>
      </c>
      <c r="I3941" t="s">
        <v>150</v>
      </c>
      <c r="J3941" t="str">
        <f>"9781438139265"</f>
        <v>9781438139265</v>
      </c>
      <c r="K3941" t="s">
        <v>33</v>
      </c>
      <c r="L3941">
        <v>3</v>
      </c>
      <c r="O3941" t="s">
        <v>30</v>
      </c>
      <c r="P3941" t="s">
        <v>42</v>
      </c>
      <c r="S3941" t="s">
        <v>340</v>
      </c>
      <c r="T3941" t="s">
        <v>153</v>
      </c>
      <c r="U3941" t="s">
        <v>154</v>
      </c>
      <c r="V3941" s="3">
        <v>40909</v>
      </c>
    </row>
    <row r="3942" spans="1:22" x14ac:dyDescent="0.35">
      <c r="A3942" s="1">
        <v>42321.869699074072</v>
      </c>
      <c r="B3942" s="2">
        <v>6.8287037037037025E-4</v>
      </c>
      <c r="C3942" t="s">
        <v>1702</v>
      </c>
      <c r="D3942" t="s">
        <v>623</v>
      </c>
      <c r="E3942" t="s">
        <v>624</v>
      </c>
      <c r="F3942" t="s">
        <v>6620</v>
      </c>
      <c r="G3942">
        <v>1887742</v>
      </c>
      <c r="H3942" t="s">
        <v>26</v>
      </c>
      <c r="I3942" t="s">
        <v>69</v>
      </c>
      <c r="J3942" t="str">
        <f>"9781118603796"</f>
        <v>9781118603796</v>
      </c>
      <c r="K3942" t="s">
        <v>6621</v>
      </c>
      <c r="L3942">
        <v>21</v>
      </c>
      <c r="O3942" t="s">
        <v>30</v>
      </c>
      <c r="P3942" t="s">
        <v>50</v>
      </c>
      <c r="S3942" t="s">
        <v>627</v>
      </c>
      <c r="T3942" t="s">
        <v>6622</v>
      </c>
      <c r="U3942" t="s">
        <v>6623</v>
      </c>
      <c r="V3942" s="3">
        <v>41982</v>
      </c>
    </row>
    <row r="3943" spans="1:22" x14ac:dyDescent="0.35">
      <c r="A3943" s="1">
        <v>42321.860983796294</v>
      </c>
      <c r="B3943" s="2">
        <v>2.0486111111111113E-3</v>
      </c>
      <c r="C3943" t="s">
        <v>6624</v>
      </c>
      <c r="D3943" t="s">
        <v>35</v>
      </c>
      <c r="E3943" t="s">
        <v>36</v>
      </c>
      <c r="F3943" t="s">
        <v>1729</v>
      </c>
      <c r="G3943">
        <v>1895307</v>
      </c>
      <c r="H3943" t="s">
        <v>26</v>
      </c>
      <c r="I3943" t="s">
        <v>97</v>
      </c>
      <c r="J3943" t="str">
        <f>"9781119049074"</f>
        <v>9781119049074</v>
      </c>
      <c r="K3943" t="s">
        <v>6625</v>
      </c>
      <c r="L3943">
        <v>14</v>
      </c>
      <c r="O3943" t="s">
        <v>30</v>
      </c>
      <c r="P3943" t="s">
        <v>50</v>
      </c>
      <c r="S3943" t="s">
        <v>40</v>
      </c>
      <c r="T3943" t="s">
        <v>1731</v>
      </c>
      <c r="U3943">
        <v>658.10923300000002</v>
      </c>
      <c r="V3943" s="3">
        <v>42109</v>
      </c>
    </row>
    <row r="3944" spans="1:22" x14ac:dyDescent="0.35">
      <c r="A3944" s="1">
        <v>42321.823159722226</v>
      </c>
      <c r="B3944" s="2">
        <v>0</v>
      </c>
      <c r="C3944" t="s">
        <v>4025</v>
      </c>
      <c r="D3944" t="s">
        <v>23</v>
      </c>
      <c r="E3944" t="s">
        <v>24</v>
      </c>
      <c r="F3944" t="s">
        <v>6626</v>
      </c>
      <c r="G3944">
        <v>2130134</v>
      </c>
      <c r="H3944" t="s">
        <v>526</v>
      </c>
      <c r="I3944" t="s">
        <v>6627</v>
      </c>
      <c r="J3944" t="str">
        <f>"9780226219950"</f>
        <v>9780226219950</v>
      </c>
      <c r="L3944">
        <v>0</v>
      </c>
      <c r="O3944" t="s">
        <v>28</v>
      </c>
      <c r="P3944" t="s">
        <v>47</v>
      </c>
      <c r="Q3944" s="1">
        <v>42321.823159722226</v>
      </c>
      <c r="R3944">
        <v>1</v>
      </c>
      <c r="S3944" t="s">
        <v>31</v>
      </c>
      <c r="T3944" t="s">
        <v>6628</v>
      </c>
      <c r="U3944">
        <v>639.9</v>
      </c>
      <c r="V3944" s="3">
        <v>41333</v>
      </c>
    </row>
    <row r="3945" spans="1:22" x14ac:dyDescent="0.35">
      <c r="A3945" s="1">
        <v>42321.823159722226</v>
      </c>
      <c r="B3945" s="2">
        <v>0</v>
      </c>
      <c r="C3945" t="s">
        <v>4025</v>
      </c>
      <c r="D3945" t="s">
        <v>23</v>
      </c>
      <c r="E3945" t="s">
        <v>24</v>
      </c>
      <c r="F3945" t="s">
        <v>6626</v>
      </c>
      <c r="G3945">
        <v>2130134</v>
      </c>
      <c r="H3945" t="s">
        <v>526</v>
      </c>
      <c r="I3945" t="s">
        <v>6627</v>
      </c>
      <c r="J3945" t="str">
        <f>"9780226219950"</f>
        <v>9780226219950</v>
      </c>
      <c r="L3945">
        <v>0</v>
      </c>
      <c r="O3945" t="s">
        <v>30</v>
      </c>
      <c r="P3945" t="s">
        <v>47</v>
      </c>
      <c r="Q3945" s="1">
        <v>42321.823159722226</v>
      </c>
      <c r="R3945">
        <v>1</v>
      </c>
      <c r="S3945" t="s">
        <v>31</v>
      </c>
      <c r="T3945" t="s">
        <v>6628</v>
      </c>
      <c r="U3945">
        <v>639.9</v>
      </c>
      <c r="V3945" s="3">
        <v>41333</v>
      </c>
    </row>
    <row r="3946" spans="1:22" x14ac:dyDescent="0.35">
      <c r="A3946" s="1">
        <v>42321.822731481479</v>
      </c>
      <c r="B3946" s="2">
        <v>4.2824074074074075E-4</v>
      </c>
      <c r="C3946" t="s">
        <v>4025</v>
      </c>
      <c r="D3946" t="s">
        <v>23</v>
      </c>
      <c r="E3946" t="s">
        <v>24</v>
      </c>
      <c r="F3946" t="s">
        <v>6626</v>
      </c>
      <c r="G3946">
        <v>2130134</v>
      </c>
      <c r="H3946" t="s">
        <v>526</v>
      </c>
      <c r="I3946" t="s">
        <v>6627</v>
      </c>
      <c r="J3946" t="str">
        <f>"9780226219950"</f>
        <v>9780226219950</v>
      </c>
      <c r="K3946" t="s">
        <v>33</v>
      </c>
      <c r="L3946">
        <v>3</v>
      </c>
      <c r="O3946" t="s">
        <v>30</v>
      </c>
      <c r="P3946" t="s">
        <v>50</v>
      </c>
      <c r="S3946" t="s">
        <v>31</v>
      </c>
      <c r="T3946" t="s">
        <v>6628</v>
      </c>
      <c r="U3946">
        <v>639.9</v>
      </c>
      <c r="V3946" s="3">
        <v>41333</v>
      </c>
    </row>
    <row r="3947" spans="1:22" x14ac:dyDescent="0.35">
      <c r="A3947" s="1">
        <v>42321.817442129628</v>
      </c>
      <c r="B3947" s="2">
        <v>6.4814814814814813E-4</v>
      </c>
      <c r="C3947" t="s">
        <v>106</v>
      </c>
      <c r="D3947" t="s">
        <v>23</v>
      </c>
      <c r="E3947" t="s">
        <v>24</v>
      </c>
      <c r="F3947" t="s">
        <v>486</v>
      </c>
      <c r="G3947">
        <v>1119505</v>
      </c>
      <c r="H3947" t="s">
        <v>26</v>
      </c>
      <c r="I3947" t="s">
        <v>450</v>
      </c>
      <c r="J3947" t="str">
        <f>"9781118355015"</f>
        <v>9781118355015</v>
      </c>
      <c r="K3947" t="s">
        <v>6629</v>
      </c>
      <c r="L3947">
        <v>11</v>
      </c>
      <c r="O3947" t="s">
        <v>30</v>
      </c>
      <c r="P3947" t="s">
        <v>42</v>
      </c>
      <c r="S3947" t="s">
        <v>31</v>
      </c>
      <c r="T3947" t="s">
        <v>487</v>
      </c>
      <c r="U3947" t="s">
        <v>488</v>
      </c>
      <c r="V3947" s="3">
        <v>41302</v>
      </c>
    </row>
    <row r="3948" spans="1:22" x14ac:dyDescent="0.35">
      <c r="A3948" s="1">
        <v>42321.811354166668</v>
      </c>
      <c r="B3948" s="2">
        <v>3.5763888888888894E-3</v>
      </c>
      <c r="C3948" t="s">
        <v>6630</v>
      </c>
      <c r="D3948" t="s">
        <v>23</v>
      </c>
      <c r="E3948" t="s">
        <v>24</v>
      </c>
      <c r="F3948" t="s">
        <v>698</v>
      </c>
      <c r="G3948">
        <v>865191</v>
      </c>
      <c r="H3948" t="s">
        <v>26</v>
      </c>
      <c r="I3948" t="s">
        <v>120</v>
      </c>
      <c r="J3948" t="str">
        <f>"9781118101681"</f>
        <v>9781118101681</v>
      </c>
      <c r="K3948" t="s">
        <v>6631</v>
      </c>
      <c r="L3948">
        <v>18</v>
      </c>
      <c r="O3948" t="s">
        <v>30</v>
      </c>
      <c r="P3948" t="s">
        <v>42</v>
      </c>
      <c r="S3948" t="s">
        <v>31</v>
      </c>
      <c r="T3948" t="s">
        <v>699</v>
      </c>
      <c r="U3948" t="s">
        <v>700</v>
      </c>
      <c r="V3948" s="3">
        <v>40960</v>
      </c>
    </row>
    <row r="3949" spans="1:22" x14ac:dyDescent="0.35">
      <c r="A3949" s="1">
        <v>42321.81108796296</v>
      </c>
      <c r="B3949" s="2">
        <v>1.8865740740740742E-3</v>
      </c>
      <c r="C3949" t="s">
        <v>3036</v>
      </c>
      <c r="D3949" t="s">
        <v>23</v>
      </c>
      <c r="E3949" t="s">
        <v>24</v>
      </c>
      <c r="F3949" t="s">
        <v>6632</v>
      </c>
      <c r="G3949">
        <v>1767547</v>
      </c>
      <c r="H3949" t="s">
        <v>2998</v>
      </c>
      <c r="I3949" t="s">
        <v>150</v>
      </c>
      <c r="J3949" t="str">
        <f>"9780748678181"</f>
        <v>9780748678181</v>
      </c>
      <c r="K3949" t="s">
        <v>6633</v>
      </c>
      <c r="L3949">
        <v>16</v>
      </c>
      <c r="O3949" t="s">
        <v>30</v>
      </c>
      <c r="P3949" t="s">
        <v>42</v>
      </c>
      <c r="S3949" t="s">
        <v>31</v>
      </c>
      <c r="T3949" t="s">
        <v>6634</v>
      </c>
      <c r="U3949">
        <v>791.45655599999998</v>
      </c>
      <c r="V3949" s="3">
        <v>41662</v>
      </c>
    </row>
    <row r="3950" spans="1:22" x14ac:dyDescent="0.35">
      <c r="A3950" s="1">
        <v>42321.803599537037</v>
      </c>
      <c r="B3950" s="2">
        <v>2.615740740740741E-3</v>
      </c>
      <c r="C3950" t="s">
        <v>106</v>
      </c>
      <c r="D3950" t="s">
        <v>23</v>
      </c>
      <c r="E3950" t="s">
        <v>24</v>
      </c>
      <c r="F3950" t="s">
        <v>6635</v>
      </c>
      <c r="G3950">
        <v>817871</v>
      </c>
      <c r="H3950" t="s">
        <v>26</v>
      </c>
      <c r="I3950" t="s">
        <v>276</v>
      </c>
      <c r="J3950" t="str">
        <f>"9781118206911"</f>
        <v>9781118206911</v>
      </c>
      <c r="K3950" t="s">
        <v>6636</v>
      </c>
      <c r="L3950">
        <v>20</v>
      </c>
      <c r="O3950" t="s">
        <v>30</v>
      </c>
      <c r="P3950" t="s">
        <v>42</v>
      </c>
      <c r="S3950" t="s">
        <v>31</v>
      </c>
      <c r="T3950" t="s">
        <v>6637</v>
      </c>
      <c r="U3950">
        <v>6.74</v>
      </c>
      <c r="V3950" s="3">
        <v>40897</v>
      </c>
    </row>
    <row r="3951" spans="1:22" x14ac:dyDescent="0.35">
      <c r="A3951" s="1">
        <v>42321.765497685185</v>
      </c>
      <c r="B3951" s="2">
        <v>4.6296296296296294E-5</v>
      </c>
      <c r="C3951" t="s">
        <v>6483</v>
      </c>
      <c r="D3951" t="s">
        <v>623</v>
      </c>
      <c r="E3951" t="s">
        <v>624</v>
      </c>
      <c r="F3951" t="s">
        <v>6484</v>
      </c>
      <c r="G3951">
        <v>2056249</v>
      </c>
      <c r="H3951" t="s">
        <v>26</v>
      </c>
      <c r="I3951" t="s">
        <v>6485</v>
      </c>
      <c r="J3951" t="str">
        <f>"9781119031758"</f>
        <v>9781119031758</v>
      </c>
      <c r="K3951" t="s">
        <v>33</v>
      </c>
      <c r="L3951">
        <v>3</v>
      </c>
      <c r="O3951" t="s">
        <v>30</v>
      </c>
      <c r="P3951" t="s">
        <v>50</v>
      </c>
      <c r="S3951" t="s">
        <v>627</v>
      </c>
      <c r="T3951" t="s">
        <v>6487</v>
      </c>
      <c r="U3951">
        <v>174.90700000000001</v>
      </c>
      <c r="V3951" s="3">
        <v>42142</v>
      </c>
    </row>
    <row r="3952" spans="1:22" x14ac:dyDescent="0.35">
      <c r="A3952" s="1">
        <v>42321.762731481482</v>
      </c>
      <c r="B3952" s="2">
        <v>3.8194444444444446E-4</v>
      </c>
      <c r="C3952" t="s">
        <v>5630</v>
      </c>
      <c r="D3952" t="s">
        <v>1222</v>
      </c>
      <c r="E3952" t="s">
        <v>1223</v>
      </c>
      <c r="F3952" t="s">
        <v>5631</v>
      </c>
      <c r="G3952">
        <v>1650364</v>
      </c>
      <c r="H3952" t="s">
        <v>84</v>
      </c>
      <c r="I3952" t="s">
        <v>5632</v>
      </c>
      <c r="J3952" t="str">
        <f>"9780520958272"</f>
        <v>9780520958272</v>
      </c>
      <c r="K3952" t="s">
        <v>6638</v>
      </c>
      <c r="L3952">
        <v>15</v>
      </c>
      <c r="O3952" t="s">
        <v>30</v>
      </c>
      <c r="P3952" t="s">
        <v>50</v>
      </c>
      <c r="S3952" t="s">
        <v>1226</v>
      </c>
      <c r="T3952" t="s">
        <v>5634</v>
      </c>
      <c r="U3952" t="s">
        <v>5635</v>
      </c>
      <c r="V3952" s="3">
        <v>41779</v>
      </c>
    </row>
    <row r="3953" spans="1:22" x14ac:dyDescent="0.35">
      <c r="A3953" s="1">
        <v>42321.721597222226</v>
      </c>
      <c r="B3953" s="2">
        <v>5.7870370370370366E-5</v>
      </c>
      <c r="C3953" t="s">
        <v>106</v>
      </c>
      <c r="D3953" t="s">
        <v>23</v>
      </c>
      <c r="E3953" t="s">
        <v>24</v>
      </c>
      <c r="F3953" t="s">
        <v>2419</v>
      </c>
      <c r="G3953">
        <v>1110728</v>
      </c>
      <c r="H3953" t="s">
        <v>26</v>
      </c>
      <c r="I3953" t="s">
        <v>108</v>
      </c>
      <c r="J3953" t="str">
        <f>"9781118461204"</f>
        <v>9781118461204</v>
      </c>
      <c r="K3953" t="s">
        <v>33</v>
      </c>
      <c r="L3953">
        <v>3</v>
      </c>
      <c r="O3953" t="s">
        <v>30</v>
      </c>
      <c r="P3953" t="s">
        <v>42</v>
      </c>
      <c r="S3953" t="s">
        <v>31</v>
      </c>
      <c r="T3953" t="s">
        <v>2421</v>
      </c>
      <c r="U3953" t="s">
        <v>2422</v>
      </c>
      <c r="V3953" s="3">
        <v>41283</v>
      </c>
    </row>
    <row r="3954" spans="1:22" x14ac:dyDescent="0.35">
      <c r="A3954" s="1">
        <v>42321.716967592591</v>
      </c>
      <c r="B3954" s="2">
        <v>4.5486111111111109E-3</v>
      </c>
      <c r="C3954" t="s">
        <v>106</v>
      </c>
      <c r="D3954" t="s">
        <v>23</v>
      </c>
      <c r="E3954" t="s">
        <v>24</v>
      </c>
      <c r="F3954" t="s">
        <v>1579</v>
      </c>
      <c r="G3954">
        <v>1161538</v>
      </c>
      <c r="H3954" t="s">
        <v>26</v>
      </c>
      <c r="I3954" t="s">
        <v>108</v>
      </c>
      <c r="J3954" t="str">
        <f>"9781118521755"</f>
        <v>9781118521755</v>
      </c>
      <c r="K3954" t="s">
        <v>6639</v>
      </c>
      <c r="L3954">
        <v>8</v>
      </c>
      <c r="O3954" t="s">
        <v>30</v>
      </c>
      <c r="P3954" t="s">
        <v>42</v>
      </c>
      <c r="S3954" t="s">
        <v>31</v>
      </c>
      <c r="T3954" t="s">
        <v>1581</v>
      </c>
      <c r="U3954">
        <v>332.63220000000001</v>
      </c>
      <c r="V3954" s="3">
        <v>41359</v>
      </c>
    </row>
    <row r="3955" spans="1:22" x14ac:dyDescent="0.35">
      <c r="A3955" s="1">
        <v>42321.704143518517</v>
      </c>
      <c r="B3955" s="2">
        <v>2.0833333333333335E-4</v>
      </c>
      <c r="C3955" t="s">
        <v>6640</v>
      </c>
      <c r="D3955" t="s">
        <v>335</v>
      </c>
      <c r="E3955" t="s">
        <v>336</v>
      </c>
      <c r="F3955" t="s">
        <v>6641</v>
      </c>
      <c r="G3955">
        <v>967750</v>
      </c>
      <c r="H3955" t="s">
        <v>1365</v>
      </c>
      <c r="I3955" t="s">
        <v>172</v>
      </c>
      <c r="J3955" t="str">
        <f>"9781441116635"</f>
        <v>9781441116635</v>
      </c>
      <c r="K3955" t="s">
        <v>6642</v>
      </c>
      <c r="L3955">
        <v>1</v>
      </c>
      <c r="M3955" t="s">
        <v>5964</v>
      </c>
      <c r="O3955" t="s">
        <v>30</v>
      </c>
      <c r="P3955" t="s">
        <v>29</v>
      </c>
      <c r="Q3955" s="1">
        <v>42321.704143518517</v>
      </c>
      <c r="R3955">
        <v>7</v>
      </c>
      <c r="S3955" t="s">
        <v>340</v>
      </c>
      <c r="T3955" t="s">
        <v>6643</v>
      </c>
      <c r="U3955">
        <v>937</v>
      </c>
      <c r="V3955" s="3">
        <v>41081</v>
      </c>
    </row>
    <row r="3956" spans="1:22" x14ac:dyDescent="0.35">
      <c r="A3956" s="1">
        <v>42321.7034375</v>
      </c>
      <c r="B3956" s="2">
        <v>7.0601851851851847E-4</v>
      </c>
      <c r="C3956" t="s">
        <v>6640</v>
      </c>
      <c r="D3956" t="s">
        <v>335</v>
      </c>
      <c r="E3956" t="s">
        <v>336</v>
      </c>
      <c r="F3956" t="s">
        <v>6641</v>
      </c>
      <c r="G3956">
        <v>967750</v>
      </c>
      <c r="H3956" t="s">
        <v>1365</v>
      </c>
      <c r="I3956" t="s">
        <v>172</v>
      </c>
      <c r="J3956" t="str">
        <f>"9781441116635"</f>
        <v>9781441116635</v>
      </c>
      <c r="K3956" t="s">
        <v>6644</v>
      </c>
      <c r="L3956">
        <v>13</v>
      </c>
      <c r="O3956" t="s">
        <v>30</v>
      </c>
      <c r="P3956" t="s">
        <v>42</v>
      </c>
      <c r="S3956" t="s">
        <v>340</v>
      </c>
      <c r="T3956" t="s">
        <v>6643</v>
      </c>
      <c r="U3956">
        <v>937</v>
      </c>
      <c r="V3956" s="3">
        <v>41081</v>
      </c>
    </row>
    <row r="3957" spans="1:22" x14ac:dyDescent="0.35">
      <c r="A3957" s="1">
        <v>42321.699270833335</v>
      </c>
      <c r="B3957" s="2">
        <v>5.3240740740740744E-4</v>
      </c>
      <c r="C3957" t="s">
        <v>6645</v>
      </c>
      <c r="D3957" t="s">
        <v>146</v>
      </c>
      <c r="E3957" t="s">
        <v>147</v>
      </c>
      <c r="F3957" t="s">
        <v>775</v>
      </c>
      <c r="G3957">
        <v>1809742</v>
      </c>
      <c r="H3957" t="s">
        <v>26</v>
      </c>
      <c r="I3957" t="s">
        <v>776</v>
      </c>
      <c r="J3957" t="str">
        <f>"9781118968291"</f>
        <v>9781118968291</v>
      </c>
      <c r="K3957" t="s">
        <v>6646</v>
      </c>
      <c r="L3957">
        <v>20</v>
      </c>
      <c r="O3957" t="s">
        <v>30</v>
      </c>
      <c r="P3957" t="s">
        <v>42</v>
      </c>
      <c r="S3957" t="s">
        <v>6647</v>
      </c>
      <c r="T3957" t="s">
        <v>779</v>
      </c>
      <c r="U3957">
        <v>794.8</v>
      </c>
      <c r="V3957" s="3">
        <v>41911</v>
      </c>
    </row>
    <row r="3958" spans="1:22" x14ac:dyDescent="0.35">
      <c r="A3958" s="1">
        <v>42321.647673611114</v>
      </c>
      <c r="B3958" s="2">
        <v>1.2777777777777777E-2</v>
      </c>
      <c r="C3958" t="s">
        <v>6648</v>
      </c>
      <c r="D3958" t="s">
        <v>211</v>
      </c>
      <c r="E3958" t="s">
        <v>212</v>
      </c>
      <c r="F3958" t="s">
        <v>4192</v>
      </c>
      <c r="G3958">
        <v>1674203</v>
      </c>
      <c r="H3958" t="s">
        <v>26</v>
      </c>
      <c r="I3958" t="s">
        <v>630</v>
      </c>
      <c r="J3958" t="str">
        <f>"9780745674179"</f>
        <v>9780745674179</v>
      </c>
      <c r="K3958" t="s">
        <v>6649</v>
      </c>
      <c r="L3958">
        <v>19</v>
      </c>
      <c r="N3958" t="s">
        <v>6650</v>
      </c>
      <c r="O3958" t="s">
        <v>30</v>
      </c>
      <c r="P3958" t="s">
        <v>47</v>
      </c>
      <c r="Q3958" s="1">
        <v>42321.647673611114</v>
      </c>
      <c r="R3958">
        <v>1</v>
      </c>
      <c r="S3958" t="s">
        <v>214</v>
      </c>
      <c r="T3958" t="s">
        <v>4194</v>
      </c>
      <c r="U3958">
        <v>193</v>
      </c>
      <c r="V3958" s="3">
        <v>41739</v>
      </c>
    </row>
    <row r="3959" spans="1:22" x14ac:dyDescent="0.35">
      <c r="A3959" s="1">
        <v>42321.64739583333</v>
      </c>
      <c r="B3959" s="2">
        <v>2.7777777777777778E-4</v>
      </c>
      <c r="C3959" t="s">
        <v>6648</v>
      </c>
      <c r="D3959" t="s">
        <v>211</v>
      </c>
      <c r="E3959" t="s">
        <v>212</v>
      </c>
      <c r="F3959" t="s">
        <v>4192</v>
      </c>
      <c r="G3959">
        <v>1674203</v>
      </c>
      <c r="H3959" t="s">
        <v>26</v>
      </c>
      <c r="I3959" t="s">
        <v>630</v>
      </c>
      <c r="J3959" t="str">
        <f>"9780745674179"</f>
        <v>9780745674179</v>
      </c>
      <c r="K3959" t="s">
        <v>6651</v>
      </c>
      <c r="L3959">
        <v>14</v>
      </c>
      <c r="O3959" t="s">
        <v>30</v>
      </c>
      <c r="P3959" t="s">
        <v>50</v>
      </c>
      <c r="S3959" t="s">
        <v>214</v>
      </c>
      <c r="T3959" t="s">
        <v>4194</v>
      </c>
      <c r="U3959">
        <v>193</v>
      </c>
      <c r="V3959" s="3">
        <v>41739</v>
      </c>
    </row>
    <row r="3960" spans="1:22" x14ac:dyDescent="0.35">
      <c r="A3960" s="1">
        <v>42321.642546296294</v>
      </c>
      <c r="B3960" s="2">
        <v>2.9050925925925928E-3</v>
      </c>
      <c r="C3960" t="s">
        <v>210</v>
      </c>
      <c r="D3960" t="s">
        <v>211</v>
      </c>
      <c r="E3960" t="s">
        <v>212</v>
      </c>
      <c r="F3960" t="s">
        <v>4192</v>
      </c>
      <c r="G3960">
        <v>1674203</v>
      </c>
      <c r="H3960" t="s">
        <v>26</v>
      </c>
      <c r="I3960" t="s">
        <v>630</v>
      </c>
      <c r="J3960" t="str">
        <f>"9780745674179"</f>
        <v>9780745674179</v>
      </c>
      <c r="K3960" t="s">
        <v>6652</v>
      </c>
      <c r="L3960">
        <v>16</v>
      </c>
      <c r="O3960" t="s">
        <v>30</v>
      </c>
      <c r="P3960" t="s">
        <v>50</v>
      </c>
      <c r="S3960" t="s">
        <v>214</v>
      </c>
      <c r="T3960" t="s">
        <v>4194</v>
      </c>
      <c r="U3960">
        <v>193</v>
      </c>
      <c r="V3960" s="3">
        <v>41739</v>
      </c>
    </row>
    <row r="3961" spans="1:22" x14ac:dyDescent="0.35">
      <c r="A3961" s="1">
        <v>42321.632523148146</v>
      </c>
      <c r="B3961" s="2">
        <v>3.4722222222222222E-5</v>
      </c>
      <c r="C3961" t="s">
        <v>6414</v>
      </c>
      <c r="D3961" t="s">
        <v>146</v>
      </c>
      <c r="E3961" t="s">
        <v>147</v>
      </c>
      <c r="F3961" t="s">
        <v>775</v>
      </c>
      <c r="G3961">
        <v>1809742</v>
      </c>
      <c r="H3961" t="s">
        <v>26</v>
      </c>
      <c r="I3961" t="s">
        <v>776</v>
      </c>
      <c r="J3961" t="str">
        <f>"9781118968291"</f>
        <v>9781118968291</v>
      </c>
      <c r="K3961" t="s">
        <v>611</v>
      </c>
      <c r="L3961">
        <v>3</v>
      </c>
      <c r="O3961" t="s">
        <v>30</v>
      </c>
      <c r="P3961" t="s">
        <v>42</v>
      </c>
      <c r="S3961" t="s">
        <v>778</v>
      </c>
      <c r="T3961" t="s">
        <v>779</v>
      </c>
      <c r="U3961">
        <v>794.8</v>
      </c>
      <c r="V3961" s="3">
        <v>41911</v>
      </c>
    </row>
    <row r="3962" spans="1:22" x14ac:dyDescent="0.35">
      <c r="A3962" s="1">
        <v>42321.624108796299</v>
      </c>
      <c r="B3962" s="2">
        <v>6.9444444444444447E-4</v>
      </c>
      <c r="C3962" t="s">
        <v>6653</v>
      </c>
      <c r="D3962" t="s">
        <v>23</v>
      </c>
      <c r="E3962" t="s">
        <v>24</v>
      </c>
      <c r="F3962" t="s">
        <v>52</v>
      </c>
      <c r="G3962">
        <v>822040</v>
      </c>
      <c r="H3962" t="s">
        <v>26</v>
      </c>
      <c r="I3962" t="s">
        <v>53</v>
      </c>
      <c r="J3962" t="str">
        <f>"9781118289099"</f>
        <v>9781118289099</v>
      </c>
      <c r="K3962" t="s">
        <v>6654</v>
      </c>
      <c r="L3962">
        <v>49</v>
      </c>
      <c r="O3962" t="s">
        <v>30</v>
      </c>
      <c r="P3962" t="s">
        <v>42</v>
      </c>
      <c r="S3962" t="s">
        <v>31</v>
      </c>
      <c r="T3962" t="s">
        <v>55</v>
      </c>
      <c r="U3962" t="s">
        <v>56</v>
      </c>
      <c r="V3962" s="3">
        <v>40990</v>
      </c>
    </row>
    <row r="3963" spans="1:22" x14ac:dyDescent="0.35">
      <c r="A3963" s="1">
        <v>42321.620787037034</v>
      </c>
      <c r="B3963" s="2">
        <v>1.6655092592592593E-2</v>
      </c>
      <c r="C3963" t="s">
        <v>5592</v>
      </c>
      <c r="D3963" t="s">
        <v>623</v>
      </c>
      <c r="E3963" t="s">
        <v>624</v>
      </c>
      <c r="F3963" t="s">
        <v>1698</v>
      </c>
      <c r="G3963">
        <v>1637652</v>
      </c>
      <c r="H3963" t="s">
        <v>84</v>
      </c>
      <c r="I3963" t="s">
        <v>69</v>
      </c>
      <c r="J3963" t="str">
        <f>"9780520958449"</f>
        <v>9780520958449</v>
      </c>
      <c r="K3963" t="s">
        <v>6655</v>
      </c>
      <c r="L3963">
        <v>39</v>
      </c>
      <c r="O3963" t="s">
        <v>30</v>
      </c>
      <c r="P3963" t="s">
        <v>29</v>
      </c>
      <c r="Q3963" s="1">
        <v>42321.620787037034</v>
      </c>
      <c r="R3963">
        <v>7</v>
      </c>
      <c r="S3963" t="s">
        <v>627</v>
      </c>
      <c r="T3963" t="s">
        <v>1700</v>
      </c>
      <c r="U3963" t="s">
        <v>1701</v>
      </c>
      <c r="V3963" s="3">
        <v>41761</v>
      </c>
    </row>
    <row r="3964" spans="1:22" x14ac:dyDescent="0.35">
      <c r="A3964" s="1">
        <v>42321.61509259259</v>
      </c>
      <c r="B3964" s="2">
        <v>5.6944444444444438E-3</v>
      </c>
      <c r="C3964" t="s">
        <v>5592</v>
      </c>
      <c r="D3964" t="s">
        <v>623</v>
      </c>
      <c r="E3964" t="s">
        <v>624</v>
      </c>
      <c r="F3964" t="s">
        <v>1698</v>
      </c>
      <c r="G3964">
        <v>1637652</v>
      </c>
      <c r="H3964" t="s">
        <v>84</v>
      </c>
      <c r="I3964" t="s">
        <v>69</v>
      </c>
      <c r="J3964" t="str">
        <f>"9780520958449"</f>
        <v>9780520958449</v>
      </c>
      <c r="K3964" t="s">
        <v>6656</v>
      </c>
      <c r="L3964">
        <v>10</v>
      </c>
      <c r="O3964" t="s">
        <v>30</v>
      </c>
      <c r="P3964" t="s">
        <v>42</v>
      </c>
      <c r="S3964" t="s">
        <v>627</v>
      </c>
      <c r="T3964" t="s">
        <v>1700</v>
      </c>
      <c r="U3964" t="s">
        <v>1701</v>
      </c>
      <c r="V3964" s="3">
        <v>41761</v>
      </c>
    </row>
    <row r="3965" spans="1:22" x14ac:dyDescent="0.35">
      <c r="A3965" s="1">
        <v>42321.607499999998</v>
      </c>
      <c r="B3965" s="2">
        <v>4.6296296296296294E-5</v>
      </c>
      <c r="C3965" t="s">
        <v>106</v>
      </c>
      <c r="D3965" t="s">
        <v>23</v>
      </c>
      <c r="E3965" t="s">
        <v>24</v>
      </c>
      <c r="F3965" t="s">
        <v>3961</v>
      </c>
      <c r="G3965">
        <v>1610008</v>
      </c>
      <c r="H3965" t="s">
        <v>45</v>
      </c>
      <c r="I3965" t="s">
        <v>3962</v>
      </c>
      <c r="J3965" t="str">
        <f>"9781409457206"</f>
        <v>9781409457206</v>
      </c>
      <c r="K3965" t="s">
        <v>33</v>
      </c>
      <c r="L3965">
        <v>3</v>
      </c>
      <c r="O3965" t="s">
        <v>30</v>
      </c>
      <c r="P3965" t="s">
        <v>42</v>
      </c>
      <c r="S3965" t="s">
        <v>31</v>
      </c>
      <c r="T3965" t="s">
        <v>3964</v>
      </c>
      <c r="U3965">
        <v>364.66</v>
      </c>
      <c r="V3965" s="3">
        <v>41726</v>
      </c>
    </row>
    <row r="3966" spans="1:22" x14ac:dyDescent="0.35">
      <c r="A3966" s="1">
        <v>42321.600775462961</v>
      </c>
      <c r="B3966" s="2">
        <v>2.2916666666666667E-3</v>
      </c>
      <c r="C3966" t="s">
        <v>4434</v>
      </c>
      <c r="D3966" t="s">
        <v>211</v>
      </c>
      <c r="E3966" t="s">
        <v>212</v>
      </c>
      <c r="F3966" t="s">
        <v>4435</v>
      </c>
      <c r="G3966">
        <v>1770683</v>
      </c>
      <c r="H3966" t="s">
        <v>26</v>
      </c>
      <c r="I3966" t="s">
        <v>172</v>
      </c>
      <c r="J3966" t="str">
        <f>"9781118631768"</f>
        <v>9781118631768</v>
      </c>
      <c r="K3966" t="s">
        <v>6657</v>
      </c>
      <c r="L3966">
        <v>27</v>
      </c>
      <c r="O3966" t="s">
        <v>30</v>
      </c>
      <c r="P3966" t="s">
        <v>50</v>
      </c>
      <c r="S3966" t="s">
        <v>214</v>
      </c>
      <c r="T3966" t="s">
        <v>4437</v>
      </c>
      <c r="U3966">
        <v>949.5</v>
      </c>
      <c r="V3966" s="3">
        <v>41870</v>
      </c>
    </row>
    <row r="3967" spans="1:22" x14ac:dyDescent="0.35">
      <c r="A3967" s="1">
        <v>42321.582812499997</v>
      </c>
      <c r="B3967" s="2">
        <v>1.5972222222222221E-3</v>
      </c>
      <c r="C3967" t="s">
        <v>5592</v>
      </c>
      <c r="D3967" t="s">
        <v>623</v>
      </c>
      <c r="E3967" t="s">
        <v>624</v>
      </c>
      <c r="F3967" t="s">
        <v>1698</v>
      </c>
      <c r="G3967">
        <v>1637652</v>
      </c>
      <c r="H3967" t="s">
        <v>84</v>
      </c>
      <c r="I3967" t="s">
        <v>69</v>
      </c>
      <c r="J3967" t="str">
        <f>"9780520958449"</f>
        <v>9780520958449</v>
      </c>
      <c r="K3967" t="s">
        <v>6658</v>
      </c>
      <c r="L3967">
        <v>15</v>
      </c>
      <c r="O3967" t="s">
        <v>30</v>
      </c>
      <c r="P3967" t="s">
        <v>42</v>
      </c>
      <c r="S3967" t="s">
        <v>627</v>
      </c>
      <c r="T3967" t="s">
        <v>1700</v>
      </c>
      <c r="U3967" t="s">
        <v>1701</v>
      </c>
      <c r="V3967" s="3">
        <v>41761</v>
      </c>
    </row>
    <row r="3968" spans="1:22" x14ac:dyDescent="0.35">
      <c r="A3968" s="1">
        <v>42321.554884259262</v>
      </c>
      <c r="B3968" s="2">
        <v>3.3333333333333335E-3</v>
      </c>
      <c r="C3968" t="s">
        <v>5961</v>
      </c>
      <c r="D3968" t="s">
        <v>1222</v>
      </c>
      <c r="E3968" t="s">
        <v>1223</v>
      </c>
      <c r="F3968" t="s">
        <v>3366</v>
      </c>
      <c r="G3968">
        <v>836166</v>
      </c>
      <c r="H3968" t="s">
        <v>149</v>
      </c>
      <c r="I3968" t="s">
        <v>3367</v>
      </c>
      <c r="J3968" t="str">
        <f>"9781438139470"</f>
        <v>9781438139470</v>
      </c>
      <c r="K3968" t="s">
        <v>6659</v>
      </c>
      <c r="L3968">
        <v>12</v>
      </c>
      <c r="O3968" t="s">
        <v>30</v>
      </c>
      <c r="P3968" t="s">
        <v>29</v>
      </c>
      <c r="Q3968" s="1">
        <v>42321.554872685185</v>
      </c>
      <c r="R3968">
        <v>7</v>
      </c>
      <c r="S3968" t="s">
        <v>1226</v>
      </c>
      <c r="T3968" t="s">
        <v>3369</v>
      </c>
      <c r="U3968">
        <v>6.3</v>
      </c>
      <c r="V3968" s="3">
        <v>40848</v>
      </c>
    </row>
    <row r="3969" spans="1:22" x14ac:dyDescent="0.35">
      <c r="A3969" s="1">
        <v>42321.552569444444</v>
      </c>
      <c r="B3969" s="2">
        <v>2.3032407407407407E-3</v>
      </c>
      <c r="C3969" t="s">
        <v>5961</v>
      </c>
      <c r="D3969" t="s">
        <v>1222</v>
      </c>
      <c r="E3969" t="s">
        <v>1223</v>
      </c>
      <c r="F3969" t="s">
        <v>3366</v>
      </c>
      <c r="G3969">
        <v>836166</v>
      </c>
      <c r="H3969" t="s">
        <v>149</v>
      </c>
      <c r="I3969" t="s">
        <v>3367</v>
      </c>
      <c r="J3969" t="str">
        <f>"9781438139470"</f>
        <v>9781438139470</v>
      </c>
      <c r="K3969" t="s">
        <v>6660</v>
      </c>
      <c r="L3969">
        <v>7</v>
      </c>
      <c r="O3969" t="s">
        <v>30</v>
      </c>
      <c r="P3969" t="s">
        <v>42</v>
      </c>
      <c r="S3969" t="s">
        <v>1226</v>
      </c>
      <c r="T3969" t="s">
        <v>3369</v>
      </c>
      <c r="U3969">
        <v>6.3</v>
      </c>
      <c r="V3969" s="3">
        <v>40848</v>
      </c>
    </row>
    <row r="3970" spans="1:22" x14ac:dyDescent="0.35">
      <c r="A3970" s="1">
        <v>42321.287314814814</v>
      </c>
      <c r="B3970" s="2">
        <v>1.1724537037037035E-2</v>
      </c>
      <c r="C3970" t="s">
        <v>6661</v>
      </c>
      <c r="D3970" t="s">
        <v>6396</v>
      </c>
      <c r="E3970" t="s">
        <v>6397</v>
      </c>
      <c r="F3970" t="s">
        <v>6662</v>
      </c>
      <c r="G3970">
        <v>3038721</v>
      </c>
      <c r="H3970" t="s">
        <v>526</v>
      </c>
      <c r="I3970" t="s">
        <v>187</v>
      </c>
      <c r="J3970" t="str">
        <f>"9780226116938"</f>
        <v>9780226116938</v>
      </c>
      <c r="K3970" t="s">
        <v>6663</v>
      </c>
      <c r="L3970">
        <v>15</v>
      </c>
      <c r="O3970" t="s">
        <v>30</v>
      </c>
      <c r="P3970" t="s">
        <v>47</v>
      </c>
      <c r="Q3970" s="1">
        <v>42321.274131944447</v>
      </c>
      <c r="R3970">
        <v>1</v>
      </c>
      <c r="S3970" t="s">
        <v>6400</v>
      </c>
      <c r="T3970" t="s">
        <v>6664</v>
      </c>
      <c r="U3970">
        <v>639.20000000000005</v>
      </c>
      <c r="V3970" s="3">
        <v>42064</v>
      </c>
    </row>
    <row r="3971" spans="1:22" x14ac:dyDescent="0.35">
      <c r="A3971" s="1">
        <v>42321.286608796298</v>
      </c>
      <c r="B3971" s="2">
        <v>0</v>
      </c>
      <c r="C3971" t="s">
        <v>6661</v>
      </c>
      <c r="D3971" t="s">
        <v>6396</v>
      </c>
      <c r="E3971" t="s">
        <v>6397</v>
      </c>
      <c r="F3971" t="s">
        <v>6662</v>
      </c>
      <c r="G3971">
        <v>3038721</v>
      </c>
      <c r="H3971" t="s">
        <v>526</v>
      </c>
      <c r="I3971" t="s">
        <v>187</v>
      </c>
      <c r="J3971" t="str">
        <f>"9780226116938"</f>
        <v>9780226116938</v>
      </c>
      <c r="L3971">
        <v>0</v>
      </c>
      <c r="O3971" t="s">
        <v>28</v>
      </c>
      <c r="P3971" t="s">
        <v>47</v>
      </c>
      <c r="Q3971" s="1">
        <v>42321.274131944447</v>
      </c>
      <c r="R3971">
        <v>1</v>
      </c>
      <c r="S3971" t="s">
        <v>6400</v>
      </c>
      <c r="T3971" t="s">
        <v>6664</v>
      </c>
      <c r="U3971">
        <v>639.20000000000005</v>
      </c>
      <c r="V3971" s="3">
        <v>42064</v>
      </c>
    </row>
    <row r="3972" spans="1:22" x14ac:dyDescent="0.35">
      <c r="A3972" s="1">
        <v>42321.286400462966</v>
      </c>
      <c r="B3972" s="2">
        <v>0</v>
      </c>
      <c r="C3972" t="s">
        <v>6661</v>
      </c>
      <c r="D3972" t="s">
        <v>6396</v>
      </c>
      <c r="E3972" t="s">
        <v>6397</v>
      </c>
      <c r="F3972" t="s">
        <v>6662</v>
      </c>
      <c r="G3972">
        <v>3038721</v>
      </c>
      <c r="H3972" t="s">
        <v>526</v>
      </c>
      <c r="I3972" t="s">
        <v>187</v>
      </c>
      <c r="J3972" t="str">
        <f>"9780226116938"</f>
        <v>9780226116938</v>
      </c>
      <c r="L3972">
        <v>0</v>
      </c>
      <c r="O3972" t="s">
        <v>28</v>
      </c>
      <c r="P3972" t="s">
        <v>47</v>
      </c>
      <c r="Q3972" s="1">
        <v>42321.274131944447</v>
      </c>
      <c r="R3972">
        <v>1</v>
      </c>
      <c r="S3972" t="s">
        <v>6400</v>
      </c>
      <c r="T3972" t="s">
        <v>6664</v>
      </c>
      <c r="U3972">
        <v>639.20000000000005</v>
      </c>
      <c r="V3972" s="3">
        <v>42064</v>
      </c>
    </row>
    <row r="3973" spans="1:22" x14ac:dyDescent="0.35">
      <c r="A3973" s="1">
        <v>42321.274131944447</v>
      </c>
      <c r="B3973" s="2">
        <v>8.773148148148148E-3</v>
      </c>
      <c r="C3973" t="s">
        <v>6661</v>
      </c>
      <c r="D3973" t="s">
        <v>6396</v>
      </c>
      <c r="E3973" t="s">
        <v>6397</v>
      </c>
      <c r="F3973" t="s">
        <v>6662</v>
      </c>
      <c r="G3973">
        <v>3038721</v>
      </c>
      <c r="H3973" t="s">
        <v>526</v>
      </c>
      <c r="I3973" t="s">
        <v>187</v>
      </c>
      <c r="J3973" t="str">
        <f>"9780226116938"</f>
        <v>9780226116938</v>
      </c>
      <c r="K3973" t="s">
        <v>6665</v>
      </c>
      <c r="L3973">
        <v>20</v>
      </c>
      <c r="O3973" t="s">
        <v>30</v>
      </c>
      <c r="P3973" t="s">
        <v>47</v>
      </c>
      <c r="Q3973" s="1">
        <v>42321.274131944447</v>
      </c>
      <c r="R3973">
        <v>1</v>
      </c>
      <c r="S3973" t="s">
        <v>6400</v>
      </c>
      <c r="T3973" t="s">
        <v>6664</v>
      </c>
      <c r="U3973">
        <v>639.20000000000005</v>
      </c>
      <c r="V3973" s="3">
        <v>42064</v>
      </c>
    </row>
    <row r="3974" spans="1:22" x14ac:dyDescent="0.35">
      <c r="A3974" s="1">
        <v>42321.268912037034</v>
      </c>
      <c r="B3974" s="2">
        <v>5.2199074074074066E-3</v>
      </c>
      <c r="C3974" t="s">
        <v>6661</v>
      </c>
      <c r="D3974" t="s">
        <v>6396</v>
      </c>
      <c r="E3974" t="s">
        <v>6397</v>
      </c>
      <c r="F3974" t="s">
        <v>6662</v>
      </c>
      <c r="G3974">
        <v>3038721</v>
      </c>
      <c r="H3974" t="s">
        <v>526</v>
      </c>
      <c r="I3974" t="s">
        <v>187</v>
      </c>
      <c r="J3974" t="str">
        <f>"9780226116938"</f>
        <v>9780226116938</v>
      </c>
      <c r="K3974" t="s">
        <v>6666</v>
      </c>
      <c r="L3974">
        <v>12</v>
      </c>
      <c r="O3974" t="s">
        <v>30</v>
      </c>
      <c r="P3974" t="s">
        <v>50</v>
      </c>
      <c r="S3974" t="s">
        <v>6400</v>
      </c>
      <c r="T3974" t="s">
        <v>6664</v>
      </c>
      <c r="U3974">
        <v>639.20000000000005</v>
      </c>
      <c r="V3974" s="3">
        <v>42064</v>
      </c>
    </row>
    <row r="3975" spans="1:22" x14ac:dyDescent="0.35">
      <c r="A3975" s="1">
        <v>42321.253703703704</v>
      </c>
      <c r="B3975" s="2">
        <v>5.8217592592592592E-3</v>
      </c>
      <c r="C3975" t="s">
        <v>5961</v>
      </c>
      <c r="D3975" t="s">
        <v>1222</v>
      </c>
      <c r="E3975" t="s">
        <v>1223</v>
      </c>
      <c r="F3975" t="s">
        <v>3366</v>
      </c>
      <c r="G3975">
        <v>836166</v>
      </c>
      <c r="H3975" t="s">
        <v>149</v>
      </c>
      <c r="I3975" t="s">
        <v>3367</v>
      </c>
      <c r="J3975" t="str">
        <f>"9781438139470"</f>
        <v>9781438139470</v>
      </c>
      <c r="K3975" t="s">
        <v>6667</v>
      </c>
      <c r="L3975">
        <v>13</v>
      </c>
      <c r="O3975" t="s">
        <v>30</v>
      </c>
      <c r="P3975" t="s">
        <v>42</v>
      </c>
      <c r="S3975" t="s">
        <v>1226</v>
      </c>
      <c r="T3975" t="s">
        <v>3369</v>
      </c>
      <c r="U3975">
        <v>6.3</v>
      </c>
      <c r="V3975" s="3">
        <v>40848</v>
      </c>
    </row>
    <row r="3976" spans="1:22" x14ac:dyDescent="0.35">
      <c r="A3976" s="1">
        <v>42321.165972222225</v>
      </c>
      <c r="B3976" s="2">
        <v>8.2175925925925917E-4</v>
      </c>
      <c r="C3976" t="s">
        <v>3595</v>
      </c>
      <c r="D3976" t="s">
        <v>23</v>
      </c>
      <c r="E3976" t="s">
        <v>24</v>
      </c>
      <c r="F3976" t="s">
        <v>3559</v>
      </c>
      <c r="G3976">
        <v>1217954</v>
      </c>
      <c r="H3976" t="s">
        <v>45</v>
      </c>
      <c r="I3976" t="s">
        <v>3560</v>
      </c>
      <c r="J3976" t="str">
        <f>"9781409457558"</f>
        <v>9781409457558</v>
      </c>
      <c r="K3976" t="s">
        <v>6668</v>
      </c>
      <c r="L3976">
        <v>9</v>
      </c>
      <c r="O3976" t="s">
        <v>30</v>
      </c>
      <c r="P3976" t="s">
        <v>42</v>
      </c>
      <c r="S3976" t="s">
        <v>31</v>
      </c>
      <c r="T3976" t="s">
        <v>3562</v>
      </c>
      <c r="U3976" t="s">
        <v>3563</v>
      </c>
      <c r="V3976" s="3">
        <v>41575</v>
      </c>
    </row>
    <row r="3977" spans="1:22" x14ac:dyDescent="0.35">
      <c r="A3977" s="1">
        <v>42321.162048611113</v>
      </c>
      <c r="B3977" s="2">
        <v>1.7476851851851852E-3</v>
      </c>
      <c r="C3977" t="s">
        <v>106</v>
      </c>
      <c r="D3977" t="s">
        <v>23</v>
      </c>
      <c r="E3977" t="s">
        <v>24</v>
      </c>
      <c r="F3977" t="s">
        <v>3464</v>
      </c>
      <c r="G3977">
        <v>771134</v>
      </c>
      <c r="H3977" t="s">
        <v>3465</v>
      </c>
      <c r="I3977" t="s">
        <v>120</v>
      </c>
      <c r="J3977" t="str">
        <f>"9781608706426"</f>
        <v>9781608706426</v>
      </c>
      <c r="K3977" t="s">
        <v>6669</v>
      </c>
      <c r="L3977">
        <v>10</v>
      </c>
      <c r="O3977" t="s">
        <v>30</v>
      </c>
      <c r="P3977" t="s">
        <v>42</v>
      </c>
      <c r="S3977" t="s">
        <v>31</v>
      </c>
      <c r="T3977" t="s">
        <v>3467</v>
      </c>
      <c r="U3977">
        <v>306.84800000000001</v>
      </c>
      <c r="V3977" s="3">
        <v>40909</v>
      </c>
    </row>
    <row r="3978" spans="1:22" x14ac:dyDescent="0.35">
      <c r="A3978" s="1">
        <v>42321.119641203702</v>
      </c>
      <c r="B3978" s="2">
        <v>4.5138888888888892E-4</v>
      </c>
      <c r="C3978" t="s">
        <v>6670</v>
      </c>
      <c r="D3978" t="s">
        <v>1222</v>
      </c>
      <c r="E3978" t="s">
        <v>1223</v>
      </c>
      <c r="F3978" t="s">
        <v>6671</v>
      </c>
      <c r="G3978">
        <v>861675</v>
      </c>
      <c r="H3978" t="s">
        <v>26</v>
      </c>
      <c r="I3978" t="s">
        <v>97</v>
      </c>
      <c r="J3978" t="str">
        <f>"9781118284315"</f>
        <v>9781118284315</v>
      </c>
      <c r="K3978" t="s">
        <v>6672</v>
      </c>
      <c r="L3978">
        <v>14</v>
      </c>
      <c r="O3978" t="s">
        <v>30</v>
      </c>
      <c r="P3978" t="s">
        <v>29</v>
      </c>
      <c r="Q3978" s="1">
        <v>42321.087673611109</v>
      </c>
      <c r="R3978">
        <v>7</v>
      </c>
      <c r="S3978" t="s">
        <v>1226</v>
      </c>
      <c r="T3978" t="s">
        <v>6673</v>
      </c>
      <c r="U3978" t="s">
        <v>1463</v>
      </c>
      <c r="V3978" s="3">
        <v>41078</v>
      </c>
    </row>
    <row r="3979" spans="1:22" x14ac:dyDescent="0.35">
      <c r="A3979" s="1">
        <v>42321.087673611109</v>
      </c>
      <c r="B3979" s="2">
        <v>1.275462962962963E-2</v>
      </c>
      <c r="C3979" t="s">
        <v>6670</v>
      </c>
      <c r="D3979" t="s">
        <v>1222</v>
      </c>
      <c r="E3979" t="s">
        <v>1223</v>
      </c>
      <c r="F3979" t="s">
        <v>6671</v>
      </c>
      <c r="G3979">
        <v>861675</v>
      </c>
      <c r="H3979" t="s">
        <v>26</v>
      </c>
      <c r="I3979" t="s">
        <v>97</v>
      </c>
      <c r="J3979" t="str">
        <f>"9781118284315"</f>
        <v>9781118284315</v>
      </c>
      <c r="K3979" t="s">
        <v>6674</v>
      </c>
      <c r="L3979">
        <v>36</v>
      </c>
      <c r="O3979" t="s">
        <v>30</v>
      </c>
      <c r="P3979" t="s">
        <v>29</v>
      </c>
      <c r="Q3979" s="1">
        <v>42321.087673611109</v>
      </c>
      <c r="R3979">
        <v>7</v>
      </c>
      <c r="S3979" t="s">
        <v>1226</v>
      </c>
      <c r="T3979" t="s">
        <v>6673</v>
      </c>
      <c r="U3979" t="s">
        <v>1463</v>
      </c>
      <c r="V3979" s="3">
        <v>41078</v>
      </c>
    </row>
    <row r="3980" spans="1:22" x14ac:dyDescent="0.35">
      <c r="A3980" s="1">
        <v>42321.085196759261</v>
      </c>
      <c r="B3980" s="2">
        <v>1.6203703703703703E-4</v>
      </c>
      <c r="C3980" t="s">
        <v>6675</v>
      </c>
      <c r="D3980" t="s">
        <v>1222</v>
      </c>
      <c r="E3980" t="s">
        <v>1223</v>
      </c>
      <c r="F3980" t="s">
        <v>1698</v>
      </c>
      <c r="G3980">
        <v>1637652</v>
      </c>
      <c r="H3980" t="s">
        <v>84</v>
      </c>
      <c r="I3980" t="s">
        <v>69</v>
      </c>
      <c r="J3980" t="str">
        <f>"9780520958449"</f>
        <v>9780520958449</v>
      </c>
      <c r="K3980" t="s">
        <v>355</v>
      </c>
      <c r="L3980">
        <v>8</v>
      </c>
      <c r="O3980" t="s">
        <v>30</v>
      </c>
      <c r="P3980" t="s">
        <v>29</v>
      </c>
      <c r="Q3980" s="1">
        <v>42314.793483796297</v>
      </c>
      <c r="R3980">
        <v>7</v>
      </c>
      <c r="S3980" t="s">
        <v>1226</v>
      </c>
      <c r="T3980" t="s">
        <v>1700</v>
      </c>
      <c r="U3980" t="s">
        <v>1701</v>
      </c>
      <c r="V3980" s="3">
        <v>41761</v>
      </c>
    </row>
    <row r="3981" spans="1:22" x14ac:dyDescent="0.35">
      <c r="A3981" s="1">
        <v>42321.083136574074</v>
      </c>
      <c r="B3981" s="2">
        <v>4.5370370370370365E-3</v>
      </c>
      <c r="C3981" t="s">
        <v>6670</v>
      </c>
      <c r="D3981" t="s">
        <v>1222</v>
      </c>
      <c r="E3981" t="s">
        <v>1223</v>
      </c>
      <c r="F3981" t="s">
        <v>6671</v>
      </c>
      <c r="G3981">
        <v>861675</v>
      </c>
      <c r="H3981" t="s">
        <v>26</v>
      </c>
      <c r="I3981" t="s">
        <v>97</v>
      </c>
      <c r="J3981" t="str">
        <f>"9781118284315"</f>
        <v>9781118284315</v>
      </c>
      <c r="K3981" t="s">
        <v>6676</v>
      </c>
      <c r="L3981">
        <v>9</v>
      </c>
      <c r="O3981" t="s">
        <v>30</v>
      </c>
      <c r="P3981" t="s">
        <v>42</v>
      </c>
      <c r="S3981" t="s">
        <v>1226</v>
      </c>
      <c r="T3981" t="s">
        <v>6673</v>
      </c>
      <c r="U3981" t="s">
        <v>1463</v>
      </c>
      <c r="V3981" s="3">
        <v>41078</v>
      </c>
    </row>
    <row r="3982" spans="1:22" x14ac:dyDescent="0.35">
      <c r="A3982" s="1">
        <v>42321.078090277777</v>
      </c>
      <c r="B3982" s="2">
        <v>2.7314814814814819E-3</v>
      </c>
      <c r="C3982" t="s">
        <v>6670</v>
      </c>
      <c r="D3982" t="s">
        <v>1222</v>
      </c>
      <c r="E3982" t="s">
        <v>1223</v>
      </c>
      <c r="F3982" t="s">
        <v>6671</v>
      </c>
      <c r="G3982">
        <v>861675</v>
      </c>
      <c r="H3982" t="s">
        <v>26</v>
      </c>
      <c r="I3982" t="s">
        <v>97</v>
      </c>
      <c r="J3982" t="str">
        <f>"9781118284315"</f>
        <v>9781118284315</v>
      </c>
      <c r="K3982" t="s">
        <v>6677</v>
      </c>
      <c r="L3982">
        <v>35</v>
      </c>
      <c r="O3982" t="s">
        <v>30</v>
      </c>
      <c r="P3982" t="s">
        <v>42</v>
      </c>
      <c r="S3982" t="s">
        <v>1226</v>
      </c>
      <c r="T3982" t="s">
        <v>6673</v>
      </c>
      <c r="U3982" t="s">
        <v>1463</v>
      </c>
      <c r="V3982" s="3">
        <v>41078</v>
      </c>
    </row>
    <row r="3983" spans="1:22" x14ac:dyDescent="0.35">
      <c r="A3983" s="1">
        <v>42321.068912037037</v>
      </c>
      <c r="B3983" s="2">
        <v>1.5046296296296297E-4</v>
      </c>
      <c r="C3983" t="s">
        <v>6678</v>
      </c>
      <c r="D3983" t="s">
        <v>35</v>
      </c>
      <c r="E3983" t="s">
        <v>36</v>
      </c>
      <c r="F3983" t="s">
        <v>6679</v>
      </c>
      <c r="G3983">
        <v>1637618</v>
      </c>
      <c r="H3983" t="s">
        <v>26</v>
      </c>
      <c r="I3983" t="s">
        <v>6680</v>
      </c>
      <c r="J3983" t="str">
        <f>"9780745681474"</f>
        <v>9780745681474</v>
      </c>
      <c r="K3983" t="s">
        <v>4955</v>
      </c>
      <c r="L3983">
        <v>12</v>
      </c>
      <c r="O3983" t="s">
        <v>30</v>
      </c>
      <c r="P3983" t="s">
        <v>47</v>
      </c>
      <c r="Q3983" s="1">
        <v>42321.06890046296</v>
      </c>
      <c r="R3983">
        <v>1</v>
      </c>
      <c r="S3983" t="s">
        <v>40</v>
      </c>
      <c r="T3983" t="s">
        <v>6681</v>
      </c>
      <c r="U3983">
        <v>299.31</v>
      </c>
      <c r="V3983" s="3">
        <v>41688</v>
      </c>
    </row>
    <row r="3984" spans="1:22" x14ac:dyDescent="0.35">
      <c r="A3984" s="1">
        <v>42321.031805555554</v>
      </c>
      <c r="B3984" s="2">
        <v>3.7094907407407403E-2</v>
      </c>
      <c r="C3984" t="s">
        <v>6678</v>
      </c>
      <c r="D3984" t="s">
        <v>35</v>
      </c>
      <c r="E3984" t="s">
        <v>36</v>
      </c>
      <c r="F3984" t="s">
        <v>6679</v>
      </c>
      <c r="G3984">
        <v>1637618</v>
      </c>
      <c r="H3984" t="s">
        <v>26</v>
      </c>
      <c r="I3984" t="s">
        <v>6680</v>
      </c>
      <c r="J3984" t="str">
        <f>"9780745681474"</f>
        <v>9780745681474</v>
      </c>
      <c r="K3984" t="s">
        <v>6682</v>
      </c>
      <c r="L3984">
        <v>15</v>
      </c>
      <c r="O3984" t="s">
        <v>30</v>
      </c>
      <c r="P3984" t="s">
        <v>50</v>
      </c>
      <c r="S3984" t="s">
        <v>40</v>
      </c>
      <c r="T3984" t="s">
        <v>6681</v>
      </c>
      <c r="U3984">
        <v>299.31</v>
      </c>
      <c r="V3984" s="3">
        <v>41688</v>
      </c>
    </row>
    <row r="3985" spans="1:22" x14ac:dyDescent="0.35">
      <c r="A3985" s="1">
        <v>42321.014953703707</v>
      </c>
      <c r="B3985" s="2">
        <v>2.3148148148148151E-3</v>
      </c>
      <c r="C3985" t="s">
        <v>6512</v>
      </c>
      <c r="D3985" t="s">
        <v>23</v>
      </c>
      <c r="E3985" t="s">
        <v>24</v>
      </c>
      <c r="F3985" t="s">
        <v>986</v>
      </c>
      <c r="G3985">
        <v>968030</v>
      </c>
      <c r="H3985" t="s">
        <v>26</v>
      </c>
      <c r="I3985" t="s">
        <v>219</v>
      </c>
      <c r="J3985" t="str">
        <f>"9781118285138"</f>
        <v>9781118285138</v>
      </c>
      <c r="K3985" t="s">
        <v>6683</v>
      </c>
      <c r="L3985">
        <v>16</v>
      </c>
      <c r="O3985" t="s">
        <v>30</v>
      </c>
      <c r="P3985" t="s">
        <v>42</v>
      </c>
      <c r="S3985" t="s">
        <v>31</v>
      </c>
      <c r="T3985" t="s">
        <v>987</v>
      </c>
      <c r="U3985">
        <v>158.30000000000001</v>
      </c>
      <c r="V3985" s="3">
        <v>41100</v>
      </c>
    </row>
    <row r="3986" spans="1:22" x14ac:dyDescent="0.35">
      <c r="A3986" s="1">
        <v>42321.011817129627</v>
      </c>
      <c r="B3986" s="2">
        <v>3.4722222222222222E-5</v>
      </c>
      <c r="C3986" t="s">
        <v>6512</v>
      </c>
      <c r="D3986" t="s">
        <v>23</v>
      </c>
      <c r="E3986" t="s">
        <v>24</v>
      </c>
      <c r="F3986" t="s">
        <v>986</v>
      </c>
      <c r="G3986">
        <v>968030</v>
      </c>
      <c r="H3986" t="s">
        <v>26</v>
      </c>
      <c r="I3986" t="s">
        <v>219</v>
      </c>
      <c r="J3986" t="str">
        <f>"9781118285138"</f>
        <v>9781118285138</v>
      </c>
      <c r="K3986" t="s">
        <v>33</v>
      </c>
      <c r="L3986">
        <v>3</v>
      </c>
      <c r="O3986" t="s">
        <v>30</v>
      </c>
      <c r="P3986" t="s">
        <v>42</v>
      </c>
      <c r="S3986" t="s">
        <v>31</v>
      </c>
      <c r="T3986" t="s">
        <v>987</v>
      </c>
      <c r="U3986">
        <v>158.30000000000001</v>
      </c>
      <c r="V3986" s="3">
        <v>41100</v>
      </c>
    </row>
    <row r="3987" spans="1:22" x14ac:dyDescent="0.35">
      <c r="A3987" s="1">
        <v>42321.011250000003</v>
      </c>
      <c r="B3987" s="2">
        <v>4.6296296296296294E-5</v>
      </c>
      <c r="C3987" t="s">
        <v>6512</v>
      </c>
      <c r="D3987" t="s">
        <v>23</v>
      </c>
      <c r="E3987" t="s">
        <v>24</v>
      </c>
      <c r="F3987" t="s">
        <v>986</v>
      </c>
      <c r="G3987">
        <v>968030</v>
      </c>
      <c r="H3987" t="s">
        <v>26</v>
      </c>
      <c r="I3987" t="s">
        <v>219</v>
      </c>
      <c r="J3987" t="str">
        <f>"9781118285138"</f>
        <v>9781118285138</v>
      </c>
      <c r="K3987" t="s">
        <v>33</v>
      </c>
      <c r="L3987">
        <v>3</v>
      </c>
      <c r="O3987" t="s">
        <v>30</v>
      </c>
      <c r="P3987" t="s">
        <v>42</v>
      </c>
      <c r="S3987" t="s">
        <v>31</v>
      </c>
      <c r="T3987" t="s">
        <v>987</v>
      </c>
      <c r="U3987">
        <v>158.30000000000001</v>
      </c>
      <c r="V3987" s="3">
        <v>41100</v>
      </c>
    </row>
    <row r="3988" spans="1:22" x14ac:dyDescent="0.35">
      <c r="A3988" s="1">
        <v>42320.992256944446</v>
      </c>
      <c r="B3988" s="2">
        <v>1.5046296296296297E-4</v>
      </c>
      <c r="C3988" t="s">
        <v>6214</v>
      </c>
      <c r="D3988" t="s">
        <v>23</v>
      </c>
      <c r="E3988" t="s">
        <v>24</v>
      </c>
      <c r="F3988" t="s">
        <v>6684</v>
      </c>
      <c r="G3988">
        <v>1780448</v>
      </c>
      <c r="H3988" t="s">
        <v>26</v>
      </c>
      <c r="I3988" t="s">
        <v>5549</v>
      </c>
      <c r="J3988" t="str">
        <f>"9781118967683"</f>
        <v>9781118967683</v>
      </c>
      <c r="K3988" t="s">
        <v>6685</v>
      </c>
      <c r="L3988">
        <v>9</v>
      </c>
      <c r="O3988" t="s">
        <v>30</v>
      </c>
      <c r="P3988" t="s">
        <v>42</v>
      </c>
      <c r="S3988" t="s">
        <v>31</v>
      </c>
      <c r="T3988" t="s">
        <v>6686</v>
      </c>
      <c r="U3988">
        <v>621.38930000000005</v>
      </c>
      <c r="V3988" s="3">
        <v>41886</v>
      </c>
    </row>
    <row r="3989" spans="1:22" x14ac:dyDescent="0.35">
      <c r="A3989" s="1">
        <v>42320.976898148147</v>
      </c>
      <c r="B3989" s="2">
        <v>4.7453703703703704E-4</v>
      </c>
      <c r="C3989" t="s">
        <v>6687</v>
      </c>
      <c r="D3989" t="s">
        <v>158</v>
      </c>
      <c r="E3989" t="s">
        <v>159</v>
      </c>
      <c r="F3989" t="s">
        <v>4526</v>
      </c>
      <c r="G3989">
        <v>771074</v>
      </c>
      <c r="H3989" t="s">
        <v>3465</v>
      </c>
      <c r="I3989" t="s">
        <v>4527</v>
      </c>
      <c r="J3989" t="str">
        <f>"9780761499732"</f>
        <v>9780761499732</v>
      </c>
      <c r="K3989" t="s">
        <v>2663</v>
      </c>
      <c r="L3989">
        <v>15</v>
      </c>
      <c r="O3989" t="s">
        <v>30</v>
      </c>
      <c r="P3989" t="s">
        <v>42</v>
      </c>
      <c r="S3989" t="s">
        <v>163</v>
      </c>
      <c r="T3989" t="s">
        <v>4528</v>
      </c>
      <c r="U3989" t="s">
        <v>4529</v>
      </c>
      <c r="V3989" s="3">
        <v>40909</v>
      </c>
    </row>
    <row r="3990" spans="1:22" x14ac:dyDescent="0.35">
      <c r="A3990" s="1">
        <v>42320.97452546296</v>
      </c>
      <c r="B3990" s="2">
        <v>4.6296296296296293E-4</v>
      </c>
      <c r="C3990" t="s">
        <v>210</v>
      </c>
      <c r="D3990" t="s">
        <v>211</v>
      </c>
      <c r="E3990" t="s">
        <v>212</v>
      </c>
      <c r="F3990" t="s">
        <v>4435</v>
      </c>
      <c r="G3990">
        <v>1770683</v>
      </c>
      <c r="H3990" t="s">
        <v>26</v>
      </c>
      <c r="I3990" t="s">
        <v>172</v>
      </c>
      <c r="J3990" t="str">
        <f>"9781118631768"</f>
        <v>9781118631768</v>
      </c>
      <c r="K3990" t="s">
        <v>6688</v>
      </c>
      <c r="L3990">
        <v>9</v>
      </c>
      <c r="O3990" t="s">
        <v>30</v>
      </c>
      <c r="P3990" t="s">
        <v>50</v>
      </c>
      <c r="S3990" t="s">
        <v>214</v>
      </c>
      <c r="T3990" t="s">
        <v>4437</v>
      </c>
      <c r="U3990">
        <v>949.5</v>
      </c>
      <c r="V3990" s="3">
        <v>41870</v>
      </c>
    </row>
    <row r="3991" spans="1:22" x14ac:dyDescent="0.35">
      <c r="A3991" s="1">
        <v>42320.915358796294</v>
      </c>
      <c r="B3991" s="2">
        <v>3.4722222222222222E-5</v>
      </c>
      <c r="C3991" t="s">
        <v>106</v>
      </c>
      <c r="D3991" t="s">
        <v>23</v>
      </c>
      <c r="E3991" t="s">
        <v>24</v>
      </c>
      <c r="F3991" t="s">
        <v>4773</v>
      </c>
      <c r="G3991">
        <v>818332</v>
      </c>
      <c r="H3991" t="s">
        <v>26</v>
      </c>
      <c r="I3991" t="s">
        <v>120</v>
      </c>
      <c r="J3991" t="str">
        <f>"9781118252772"</f>
        <v>9781118252772</v>
      </c>
      <c r="K3991" t="s">
        <v>33</v>
      </c>
      <c r="L3991">
        <v>3</v>
      </c>
      <c r="O3991" t="s">
        <v>30</v>
      </c>
      <c r="P3991" t="s">
        <v>42</v>
      </c>
      <c r="S3991" t="s">
        <v>31</v>
      </c>
      <c r="T3991" t="s">
        <v>4775</v>
      </c>
      <c r="U3991" t="s">
        <v>4776</v>
      </c>
      <c r="V3991" s="3">
        <v>40960</v>
      </c>
    </row>
    <row r="3992" spans="1:22" x14ac:dyDescent="0.35">
      <c r="A3992" s="1">
        <v>42320.904039351852</v>
      </c>
      <c r="B3992" s="2">
        <v>6.9444444444444444E-5</v>
      </c>
      <c r="C3992" t="s">
        <v>6678</v>
      </c>
      <c r="D3992" t="s">
        <v>35</v>
      </c>
      <c r="E3992" t="s">
        <v>36</v>
      </c>
      <c r="F3992" t="s">
        <v>3271</v>
      </c>
      <c r="G3992">
        <v>1895714</v>
      </c>
      <c r="H3992" t="s">
        <v>26</v>
      </c>
      <c r="I3992" t="s">
        <v>172</v>
      </c>
      <c r="J3992" t="str">
        <f>"9781118896112"</f>
        <v>9781118896112</v>
      </c>
      <c r="K3992" t="s">
        <v>73</v>
      </c>
      <c r="L3992">
        <v>3</v>
      </c>
      <c r="O3992" t="s">
        <v>30</v>
      </c>
      <c r="P3992" t="s">
        <v>29</v>
      </c>
      <c r="Q3992" s="1">
        <v>42315.926018518519</v>
      </c>
      <c r="R3992">
        <v>7</v>
      </c>
      <c r="S3992" t="s">
        <v>40</v>
      </c>
      <c r="T3992" t="s">
        <v>3273</v>
      </c>
      <c r="U3992">
        <v>932</v>
      </c>
      <c r="V3992" s="3">
        <v>42011</v>
      </c>
    </row>
    <row r="3993" spans="1:22" x14ac:dyDescent="0.35">
      <c r="A3993" s="1">
        <v>42320.898715277777</v>
      </c>
      <c r="B3993" s="2">
        <v>2.5462962962962961E-4</v>
      </c>
      <c r="C3993" t="s">
        <v>6689</v>
      </c>
      <c r="D3993" t="s">
        <v>597</v>
      </c>
      <c r="E3993" t="s">
        <v>598</v>
      </c>
      <c r="F3993" t="s">
        <v>4289</v>
      </c>
      <c r="G3993">
        <v>1120621</v>
      </c>
      <c r="H3993" t="s">
        <v>26</v>
      </c>
      <c r="I3993" t="s">
        <v>69</v>
      </c>
      <c r="J3993" t="str">
        <f>"9781118362679"</f>
        <v>9781118362679</v>
      </c>
      <c r="K3993" t="s">
        <v>6690</v>
      </c>
      <c r="L3993">
        <v>7</v>
      </c>
      <c r="O3993" t="s">
        <v>30</v>
      </c>
      <c r="P3993" t="s">
        <v>42</v>
      </c>
      <c r="S3993" t="s">
        <v>600</v>
      </c>
      <c r="T3993" t="s">
        <v>4290</v>
      </c>
      <c r="U3993" t="s">
        <v>4291</v>
      </c>
      <c r="V3993" s="3">
        <v>41136</v>
      </c>
    </row>
    <row r="3994" spans="1:22" x14ac:dyDescent="0.35">
      <c r="A3994" s="1">
        <v>42320.891099537039</v>
      </c>
      <c r="B3994" s="2">
        <v>5.5787037037037038E-3</v>
      </c>
      <c r="C3994" t="s">
        <v>6691</v>
      </c>
      <c r="D3994" t="s">
        <v>35</v>
      </c>
      <c r="E3994" t="s">
        <v>36</v>
      </c>
      <c r="F3994" t="s">
        <v>2649</v>
      </c>
      <c r="G3994">
        <v>1143522</v>
      </c>
      <c r="H3994" t="s">
        <v>26</v>
      </c>
      <c r="I3994" t="s">
        <v>172</v>
      </c>
      <c r="J3994" t="str">
        <f>"9781118257197"</f>
        <v>9781118257197</v>
      </c>
      <c r="K3994" t="s">
        <v>6692</v>
      </c>
      <c r="L3994">
        <v>39</v>
      </c>
      <c r="O3994" t="s">
        <v>30</v>
      </c>
      <c r="P3994" t="s">
        <v>42</v>
      </c>
      <c r="S3994" t="s">
        <v>40</v>
      </c>
      <c r="T3994" t="s">
        <v>2651</v>
      </c>
      <c r="U3994">
        <v>972</v>
      </c>
      <c r="V3994" s="3">
        <v>41334</v>
      </c>
    </row>
    <row r="3995" spans="1:22" x14ac:dyDescent="0.35">
      <c r="A3995" s="1">
        <v>42320.810416666667</v>
      </c>
      <c r="B3995" s="2">
        <v>1.1574074074074073E-5</v>
      </c>
      <c r="C3995" t="s">
        <v>6693</v>
      </c>
      <c r="D3995" t="s">
        <v>6396</v>
      </c>
      <c r="E3995" t="s">
        <v>6397</v>
      </c>
      <c r="F3995" t="s">
        <v>4387</v>
      </c>
      <c r="G3995">
        <v>1542215</v>
      </c>
      <c r="H3995" t="s">
        <v>68</v>
      </c>
      <c r="I3995" t="s">
        <v>247</v>
      </c>
      <c r="J3995" t="str">
        <f>"9781134386420"</f>
        <v>9781134386420</v>
      </c>
      <c r="K3995" t="s">
        <v>1309</v>
      </c>
      <c r="L3995">
        <v>1</v>
      </c>
      <c r="O3995" t="s">
        <v>28</v>
      </c>
      <c r="P3995" t="s">
        <v>47</v>
      </c>
      <c r="Q3995" s="1">
        <v>42320.810416666667</v>
      </c>
      <c r="R3995">
        <v>1</v>
      </c>
      <c r="S3995" t="s">
        <v>6400</v>
      </c>
      <c r="T3995">
        <v>99459981</v>
      </c>
      <c r="U3995">
        <v>616.9</v>
      </c>
      <c r="V3995" s="3">
        <v>35818</v>
      </c>
    </row>
    <row r="3996" spans="1:22" x14ac:dyDescent="0.35">
      <c r="A3996" s="1">
        <v>42320.810416666667</v>
      </c>
      <c r="B3996" s="2">
        <v>0</v>
      </c>
      <c r="C3996" t="s">
        <v>6693</v>
      </c>
      <c r="D3996" t="s">
        <v>6396</v>
      </c>
      <c r="E3996" t="s">
        <v>6397</v>
      </c>
      <c r="F3996" t="s">
        <v>4387</v>
      </c>
      <c r="G3996">
        <v>1542215</v>
      </c>
      <c r="H3996" t="s">
        <v>68</v>
      </c>
      <c r="I3996" t="s">
        <v>247</v>
      </c>
      <c r="J3996" t="str">
        <f>"9781134386420"</f>
        <v>9781134386420</v>
      </c>
      <c r="L3996">
        <v>0</v>
      </c>
      <c r="O3996" t="s">
        <v>30</v>
      </c>
      <c r="P3996" t="s">
        <v>47</v>
      </c>
      <c r="Q3996" s="1">
        <v>42320.810416666667</v>
      </c>
      <c r="R3996">
        <v>1</v>
      </c>
      <c r="S3996" t="s">
        <v>6400</v>
      </c>
      <c r="T3996">
        <v>99459981</v>
      </c>
      <c r="U3996">
        <v>616.9</v>
      </c>
      <c r="V3996" s="3">
        <v>35818</v>
      </c>
    </row>
    <row r="3997" spans="1:22" x14ac:dyDescent="0.35">
      <c r="A3997" s="1">
        <v>42320.810185185182</v>
      </c>
      <c r="B3997" s="2">
        <v>2.3148148148148146E-4</v>
      </c>
      <c r="C3997" t="s">
        <v>6693</v>
      </c>
      <c r="D3997" t="s">
        <v>6396</v>
      </c>
      <c r="E3997" t="s">
        <v>6397</v>
      </c>
      <c r="F3997" t="s">
        <v>4387</v>
      </c>
      <c r="G3997">
        <v>1542215</v>
      </c>
      <c r="H3997" t="s">
        <v>68</v>
      </c>
      <c r="I3997" t="s">
        <v>247</v>
      </c>
      <c r="J3997" t="str">
        <f>"9781134386420"</f>
        <v>9781134386420</v>
      </c>
      <c r="K3997" t="s">
        <v>6694</v>
      </c>
      <c r="L3997">
        <v>11</v>
      </c>
      <c r="O3997" t="s">
        <v>30</v>
      </c>
      <c r="P3997" t="s">
        <v>50</v>
      </c>
      <c r="S3997" t="s">
        <v>6400</v>
      </c>
      <c r="T3997">
        <v>99459981</v>
      </c>
      <c r="U3997">
        <v>616.9</v>
      </c>
      <c r="V3997" s="3">
        <v>35818</v>
      </c>
    </row>
    <row r="3998" spans="1:22" x14ac:dyDescent="0.35">
      <c r="A3998" s="1">
        <v>42320.802453703705</v>
      </c>
      <c r="B3998" s="2">
        <v>4.6296296296296294E-5</v>
      </c>
      <c r="C3998" t="s">
        <v>6693</v>
      </c>
      <c r="D3998" t="s">
        <v>6396</v>
      </c>
      <c r="E3998" t="s">
        <v>6397</v>
      </c>
      <c r="F3998" t="s">
        <v>6695</v>
      </c>
      <c r="G3998">
        <v>3058244</v>
      </c>
      <c r="H3998" t="s">
        <v>26</v>
      </c>
      <c r="I3998" t="s">
        <v>247</v>
      </c>
      <c r="J3998" t="str">
        <f>"9780470643136"</f>
        <v>9780470643136</v>
      </c>
      <c r="K3998" t="s">
        <v>777</v>
      </c>
      <c r="L3998">
        <v>3</v>
      </c>
      <c r="O3998" t="s">
        <v>30</v>
      </c>
      <c r="P3998" t="s">
        <v>50</v>
      </c>
      <c r="S3998" t="s">
        <v>6400</v>
      </c>
      <c r="T3998" t="s">
        <v>6696</v>
      </c>
      <c r="U3998" t="s">
        <v>6697</v>
      </c>
      <c r="V3998" s="3">
        <v>40410</v>
      </c>
    </row>
    <row r="3999" spans="1:22" x14ac:dyDescent="0.35">
      <c r="A3999" s="1">
        <v>42320.798587962963</v>
      </c>
      <c r="B3999" s="2">
        <v>3.3692129629629627E-2</v>
      </c>
      <c r="C3999" t="s">
        <v>5062</v>
      </c>
      <c r="D3999" t="s">
        <v>35</v>
      </c>
      <c r="E3999" t="s">
        <v>36</v>
      </c>
      <c r="F3999" t="s">
        <v>6371</v>
      </c>
      <c r="G3999">
        <v>1776083</v>
      </c>
      <c r="H3999" t="s">
        <v>26</v>
      </c>
      <c r="I3999" t="s">
        <v>247</v>
      </c>
      <c r="J3999" t="str">
        <f>"9781118510278"</f>
        <v>9781118510278</v>
      </c>
      <c r="K3999" t="s">
        <v>6698</v>
      </c>
      <c r="L3999">
        <v>38</v>
      </c>
      <c r="O3999" t="s">
        <v>30</v>
      </c>
      <c r="P3999" t="s">
        <v>47</v>
      </c>
      <c r="Q3999" s="1">
        <v>42319.865486111114</v>
      </c>
      <c r="R3999">
        <v>1</v>
      </c>
      <c r="S3999" t="s">
        <v>40</v>
      </c>
      <c r="T3999" t="s">
        <v>6373</v>
      </c>
      <c r="U3999" t="s">
        <v>1549</v>
      </c>
      <c r="V3999" s="3">
        <v>41876</v>
      </c>
    </row>
    <row r="4000" spans="1:22" x14ac:dyDescent="0.35">
      <c r="A4000" s="1">
        <v>42320.78329861111</v>
      </c>
      <c r="B4000" s="2">
        <v>1.9675925925925926E-4</v>
      </c>
      <c r="C4000" t="s">
        <v>4949</v>
      </c>
      <c r="D4000" t="s">
        <v>360</v>
      </c>
      <c r="E4000" t="s">
        <v>361</v>
      </c>
      <c r="F4000" t="s">
        <v>4950</v>
      </c>
      <c r="G4000">
        <v>1693780</v>
      </c>
      <c r="H4000" t="s">
        <v>26</v>
      </c>
      <c r="I4000" t="s">
        <v>328</v>
      </c>
      <c r="J4000" t="str">
        <f>"9781118869420"</f>
        <v>9781118869420</v>
      </c>
      <c r="K4000" t="s">
        <v>209</v>
      </c>
      <c r="L4000">
        <v>4</v>
      </c>
      <c r="O4000" t="s">
        <v>30</v>
      </c>
      <c r="P4000" t="s">
        <v>50</v>
      </c>
      <c r="S4000" t="s">
        <v>363</v>
      </c>
      <c r="T4000" t="s">
        <v>4952</v>
      </c>
      <c r="U4000">
        <v>362.10973000000001</v>
      </c>
      <c r="V4000" s="3">
        <v>41779</v>
      </c>
    </row>
    <row r="4001" spans="1:22" x14ac:dyDescent="0.35">
      <c r="A4001" s="1">
        <v>42320.768414351849</v>
      </c>
      <c r="B4001" s="2">
        <v>6.5972222222222213E-4</v>
      </c>
      <c r="C4001" t="s">
        <v>4006</v>
      </c>
      <c r="D4001" t="s">
        <v>623</v>
      </c>
      <c r="E4001" t="s">
        <v>624</v>
      </c>
      <c r="F4001" t="s">
        <v>6699</v>
      </c>
      <c r="G4001">
        <v>1576323</v>
      </c>
      <c r="H4001" t="s">
        <v>26</v>
      </c>
      <c r="I4001" t="s">
        <v>2836</v>
      </c>
      <c r="J4001" t="str">
        <f>"9780857084576"</f>
        <v>9780857084576</v>
      </c>
      <c r="K4001" t="s">
        <v>6700</v>
      </c>
      <c r="L4001">
        <v>13</v>
      </c>
      <c r="N4001" t="s">
        <v>6701</v>
      </c>
      <c r="O4001" t="s">
        <v>30</v>
      </c>
      <c r="P4001" t="s">
        <v>47</v>
      </c>
      <c r="Q4001" s="1">
        <v>42320.767175925925</v>
      </c>
      <c r="R4001">
        <v>1</v>
      </c>
      <c r="S4001" t="s">
        <v>627</v>
      </c>
      <c r="T4001" t="s">
        <v>6702</v>
      </c>
      <c r="U4001">
        <v>158.1</v>
      </c>
      <c r="V4001" s="3">
        <v>41611</v>
      </c>
    </row>
    <row r="4002" spans="1:22" x14ac:dyDescent="0.35">
      <c r="A4002" s="1">
        <v>42320.767789351848</v>
      </c>
      <c r="B4002" s="2">
        <v>4.6296296296296294E-5</v>
      </c>
      <c r="C4002" t="s">
        <v>106</v>
      </c>
      <c r="D4002" t="s">
        <v>23</v>
      </c>
      <c r="E4002" t="s">
        <v>24</v>
      </c>
      <c r="F4002" t="s">
        <v>486</v>
      </c>
      <c r="G4002">
        <v>1119505</v>
      </c>
      <c r="H4002" t="s">
        <v>26</v>
      </c>
      <c r="I4002" t="s">
        <v>450</v>
      </c>
      <c r="J4002" t="str">
        <f>"9781118355015"</f>
        <v>9781118355015</v>
      </c>
      <c r="K4002" t="s">
        <v>33</v>
      </c>
      <c r="L4002">
        <v>3</v>
      </c>
      <c r="O4002" t="s">
        <v>30</v>
      </c>
      <c r="P4002" t="s">
        <v>29</v>
      </c>
      <c r="Q4002" s="1">
        <v>42314.692002314812</v>
      </c>
      <c r="R4002">
        <v>7</v>
      </c>
      <c r="S4002" t="s">
        <v>31</v>
      </c>
      <c r="T4002" t="s">
        <v>487</v>
      </c>
      <c r="U4002" t="s">
        <v>488</v>
      </c>
      <c r="V4002" s="3">
        <v>41302</v>
      </c>
    </row>
    <row r="4003" spans="1:22" x14ac:dyDescent="0.35">
      <c r="A4003" s="1">
        <v>42320.767187500001</v>
      </c>
      <c r="B4003" s="2">
        <v>0</v>
      </c>
      <c r="C4003" t="s">
        <v>4006</v>
      </c>
      <c r="D4003" t="s">
        <v>623</v>
      </c>
      <c r="E4003" t="s">
        <v>624</v>
      </c>
      <c r="F4003" t="s">
        <v>6699</v>
      </c>
      <c r="G4003">
        <v>1576323</v>
      </c>
      <c r="H4003" t="s">
        <v>26</v>
      </c>
      <c r="I4003" t="s">
        <v>2836</v>
      </c>
      <c r="J4003" t="str">
        <f>"9780857084576"</f>
        <v>9780857084576</v>
      </c>
      <c r="L4003">
        <v>0</v>
      </c>
      <c r="N4003" t="s">
        <v>6703</v>
      </c>
      <c r="O4003" t="s">
        <v>30</v>
      </c>
      <c r="P4003" t="s">
        <v>47</v>
      </c>
      <c r="Q4003" s="1">
        <v>42320.767175925925</v>
      </c>
      <c r="R4003">
        <v>1</v>
      </c>
      <c r="S4003" t="s">
        <v>627</v>
      </c>
      <c r="T4003" t="s">
        <v>6702</v>
      </c>
      <c r="U4003">
        <v>158.1</v>
      </c>
      <c r="V4003" s="3">
        <v>41611</v>
      </c>
    </row>
    <row r="4004" spans="1:22" x14ac:dyDescent="0.35">
      <c r="A4004" s="1">
        <v>42320.765497685185</v>
      </c>
      <c r="B4004" s="2">
        <v>1.6782407407407406E-3</v>
      </c>
      <c r="C4004" t="s">
        <v>4006</v>
      </c>
      <c r="D4004" t="s">
        <v>623</v>
      </c>
      <c r="E4004" t="s">
        <v>624</v>
      </c>
      <c r="F4004" t="s">
        <v>6699</v>
      </c>
      <c r="G4004">
        <v>1576323</v>
      </c>
      <c r="H4004" t="s">
        <v>26</v>
      </c>
      <c r="I4004" t="s">
        <v>2836</v>
      </c>
      <c r="J4004" t="str">
        <f>"9780857084576"</f>
        <v>9780857084576</v>
      </c>
      <c r="K4004" t="s">
        <v>6704</v>
      </c>
      <c r="L4004">
        <v>20</v>
      </c>
      <c r="O4004" t="s">
        <v>30</v>
      </c>
      <c r="P4004" t="s">
        <v>50</v>
      </c>
      <c r="S4004" t="s">
        <v>627</v>
      </c>
      <c r="T4004" t="s">
        <v>6702</v>
      </c>
      <c r="U4004">
        <v>158.1</v>
      </c>
      <c r="V4004" s="3">
        <v>41611</v>
      </c>
    </row>
    <row r="4005" spans="1:22" x14ac:dyDescent="0.35">
      <c r="A4005" s="1">
        <v>42320.765081018515</v>
      </c>
      <c r="B4005" s="2">
        <v>5.4398148148148144E-4</v>
      </c>
      <c r="C4005" t="s">
        <v>106</v>
      </c>
      <c r="D4005" t="s">
        <v>23</v>
      </c>
      <c r="E4005" t="s">
        <v>24</v>
      </c>
      <c r="F4005" t="s">
        <v>486</v>
      </c>
      <c r="G4005">
        <v>1119505</v>
      </c>
      <c r="H4005" t="s">
        <v>26</v>
      </c>
      <c r="I4005" t="s">
        <v>450</v>
      </c>
      <c r="J4005" t="str">
        <f>"9781118355015"</f>
        <v>9781118355015</v>
      </c>
      <c r="K4005" t="s">
        <v>6336</v>
      </c>
      <c r="L4005">
        <v>10</v>
      </c>
      <c r="O4005" t="s">
        <v>30</v>
      </c>
      <c r="P4005" t="s">
        <v>29</v>
      </c>
      <c r="Q4005" s="1">
        <v>42314.692002314812</v>
      </c>
      <c r="R4005">
        <v>7</v>
      </c>
      <c r="S4005" t="s">
        <v>31</v>
      </c>
      <c r="T4005" t="s">
        <v>487</v>
      </c>
      <c r="U4005" t="s">
        <v>488</v>
      </c>
      <c r="V4005" s="3">
        <v>41302</v>
      </c>
    </row>
    <row r="4006" spans="1:22" x14ac:dyDescent="0.35">
      <c r="A4006" s="1">
        <v>42320.762650462966</v>
      </c>
      <c r="B4006" s="2">
        <v>1.1689814814814816E-3</v>
      </c>
      <c r="C4006" t="s">
        <v>4006</v>
      </c>
      <c r="D4006" t="s">
        <v>623</v>
      </c>
      <c r="E4006" t="s">
        <v>624</v>
      </c>
      <c r="F4006" t="s">
        <v>6705</v>
      </c>
      <c r="G4006">
        <v>1666468</v>
      </c>
      <c r="H4006" t="s">
        <v>26</v>
      </c>
      <c r="I4006" t="s">
        <v>97</v>
      </c>
      <c r="J4006" t="str">
        <f>"9780857084989"</f>
        <v>9780857084989</v>
      </c>
      <c r="K4006" t="s">
        <v>6706</v>
      </c>
      <c r="L4006">
        <v>13</v>
      </c>
      <c r="N4006" t="s">
        <v>6707</v>
      </c>
      <c r="O4006" t="s">
        <v>30</v>
      </c>
      <c r="P4006" t="s">
        <v>29</v>
      </c>
      <c r="Q4006" s="1">
        <v>42320.761423611111</v>
      </c>
      <c r="R4006">
        <v>7</v>
      </c>
      <c r="S4006" t="s">
        <v>627</v>
      </c>
      <c r="T4006" t="s">
        <v>6708</v>
      </c>
      <c r="U4006">
        <v>650.1</v>
      </c>
      <c r="V4006" s="3">
        <v>41732</v>
      </c>
    </row>
    <row r="4007" spans="1:22" x14ac:dyDescent="0.35">
      <c r="A4007" s="1">
        <v>42320.761423611111</v>
      </c>
      <c r="B4007" s="2">
        <v>0</v>
      </c>
      <c r="C4007" t="s">
        <v>4006</v>
      </c>
      <c r="D4007" t="s">
        <v>623</v>
      </c>
      <c r="E4007" t="s">
        <v>624</v>
      </c>
      <c r="F4007" t="s">
        <v>6705</v>
      </c>
      <c r="G4007">
        <v>1666468</v>
      </c>
      <c r="H4007" t="s">
        <v>26</v>
      </c>
      <c r="I4007" t="s">
        <v>97</v>
      </c>
      <c r="J4007" t="str">
        <f>"9780857084989"</f>
        <v>9780857084989</v>
      </c>
      <c r="L4007">
        <v>0</v>
      </c>
      <c r="N4007" t="s">
        <v>6709</v>
      </c>
      <c r="O4007" t="s">
        <v>30</v>
      </c>
      <c r="P4007" t="s">
        <v>29</v>
      </c>
      <c r="Q4007" s="1">
        <v>42320.761423611111</v>
      </c>
      <c r="R4007">
        <v>7</v>
      </c>
      <c r="S4007" t="s">
        <v>627</v>
      </c>
      <c r="T4007" t="s">
        <v>6708</v>
      </c>
      <c r="U4007">
        <v>650.1</v>
      </c>
      <c r="V4007" s="3">
        <v>41732</v>
      </c>
    </row>
    <row r="4008" spans="1:22" x14ac:dyDescent="0.35">
      <c r="A4008" s="1">
        <v>42320.760092592594</v>
      </c>
      <c r="B4008" s="2">
        <v>1.3310185185185185E-3</v>
      </c>
      <c r="C4008" t="s">
        <v>4006</v>
      </c>
      <c r="D4008" t="s">
        <v>623</v>
      </c>
      <c r="E4008" t="s">
        <v>624</v>
      </c>
      <c r="F4008" t="s">
        <v>6705</v>
      </c>
      <c r="G4008">
        <v>1666468</v>
      </c>
      <c r="H4008" t="s">
        <v>26</v>
      </c>
      <c r="I4008" t="s">
        <v>97</v>
      </c>
      <c r="J4008" t="str">
        <f>"9780857084989"</f>
        <v>9780857084989</v>
      </c>
      <c r="K4008" t="s">
        <v>6710</v>
      </c>
      <c r="L4008">
        <v>19</v>
      </c>
      <c r="O4008" t="s">
        <v>30</v>
      </c>
      <c r="P4008" t="s">
        <v>42</v>
      </c>
      <c r="S4008" t="s">
        <v>627</v>
      </c>
      <c r="T4008" t="s">
        <v>6708</v>
      </c>
      <c r="U4008">
        <v>650.1</v>
      </c>
      <c r="V4008" s="3">
        <v>41732</v>
      </c>
    </row>
    <row r="4009" spans="1:22" x14ac:dyDescent="0.35">
      <c r="A4009" s="1">
        <v>42320.759525462963</v>
      </c>
      <c r="B4009" s="2">
        <v>1.1921296296296296E-3</v>
      </c>
      <c r="C4009" t="s">
        <v>6711</v>
      </c>
      <c r="D4009" t="s">
        <v>261</v>
      </c>
      <c r="E4009" t="s">
        <v>262</v>
      </c>
      <c r="F4009" t="s">
        <v>3332</v>
      </c>
      <c r="G4009">
        <v>1822530</v>
      </c>
      <c r="H4009" t="s">
        <v>26</v>
      </c>
      <c r="I4009" t="s">
        <v>1407</v>
      </c>
      <c r="J4009" t="str">
        <f>"9781118871317"</f>
        <v>9781118871317</v>
      </c>
      <c r="K4009" t="s">
        <v>98</v>
      </c>
      <c r="L4009">
        <v>7</v>
      </c>
      <c r="O4009" t="s">
        <v>30</v>
      </c>
      <c r="P4009" t="s">
        <v>50</v>
      </c>
      <c r="S4009" t="s">
        <v>264</v>
      </c>
      <c r="T4009" t="s">
        <v>3334</v>
      </c>
      <c r="U4009">
        <v>579</v>
      </c>
      <c r="V4009" s="3">
        <v>41932</v>
      </c>
    </row>
    <row r="4010" spans="1:22" x14ac:dyDescent="0.35">
      <c r="A4010" s="1">
        <v>42320.758090277777</v>
      </c>
      <c r="B4010" s="2">
        <v>1.7939814814814815E-3</v>
      </c>
      <c r="C4010" t="s">
        <v>4006</v>
      </c>
      <c r="D4010" t="s">
        <v>623</v>
      </c>
      <c r="E4010" t="s">
        <v>624</v>
      </c>
      <c r="F4010" t="s">
        <v>6712</v>
      </c>
      <c r="G4010">
        <v>1791959</v>
      </c>
      <c r="H4010" t="s">
        <v>26</v>
      </c>
      <c r="I4010" t="s">
        <v>219</v>
      </c>
      <c r="J4010" t="str">
        <f>"9780857085764"</f>
        <v>9780857085764</v>
      </c>
      <c r="K4010" t="s">
        <v>6713</v>
      </c>
      <c r="L4010">
        <v>21</v>
      </c>
      <c r="O4010" t="s">
        <v>30</v>
      </c>
      <c r="P4010" t="s">
        <v>50</v>
      </c>
      <c r="S4010" t="s">
        <v>627</v>
      </c>
      <c r="T4010" t="s">
        <v>6714</v>
      </c>
      <c r="U4010">
        <v>158.1</v>
      </c>
      <c r="V4010" s="3">
        <v>41901</v>
      </c>
    </row>
    <row r="4011" spans="1:22" x14ac:dyDescent="0.35">
      <c r="A4011" s="1">
        <v>42320.690324074072</v>
      </c>
      <c r="B4011" s="2">
        <v>2.3148148148148146E-4</v>
      </c>
      <c r="C4011" t="s">
        <v>210</v>
      </c>
      <c r="D4011" t="s">
        <v>211</v>
      </c>
      <c r="E4011" t="s">
        <v>212</v>
      </c>
      <c r="F4011" t="s">
        <v>4770</v>
      </c>
      <c r="G4011">
        <v>2038643</v>
      </c>
      <c r="H4011" t="s">
        <v>45</v>
      </c>
      <c r="I4011" t="s">
        <v>120</v>
      </c>
      <c r="J4011" t="str">
        <f>"9781472427625"</f>
        <v>9781472427625</v>
      </c>
      <c r="K4011" t="s">
        <v>999</v>
      </c>
      <c r="L4011">
        <v>8</v>
      </c>
      <c r="O4011" t="s">
        <v>30</v>
      </c>
      <c r="P4011" t="s">
        <v>50</v>
      </c>
      <c r="S4011" t="s">
        <v>214</v>
      </c>
      <c r="T4011">
        <v>2013049432</v>
      </c>
      <c r="U4011">
        <v>306.46100000000001</v>
      </c>
      <c r="V4011" s="3">
        <v>42152</v>
      </c>
    </row>
    <row r="4012" spans="1:22" x14ac:dyDescent="0.35">
      <c r="A4012" s="1">
        <v>42320.689317129632</v>
      </c>
      <c r="B4012" s="2">
        <v>7.6388888888888893E-4</v>
      </c>
      <c r="C4012" t="s">
        <v>210</v>
      </c>
      <c r="D4012" t="s">
        <v>211</v>
      </c>
      <c r="E4012" t="s">
        <v>212</v>
      </c>
      <c r="F4012" t="s">
        <v>6715</v>
      </c>
      <c r="G4012">
        <v>1747362</v>
      </c>
      <c r="H4012" t="s">
        <v>139</v>
      </c>
      <c r="I4012" t="s">
        <v>120</v>
      </c>
      <c r="J4012" t="str">
        <f>"9780814760659"</f>
        <v>9780814760659</v>
      </c>
      <c r="K4012" t="s">
        <v>6716</v>
      </c>
      <c r="L4012">
        <v>18</v>
      </c>
      <c r="O4012" t="s">
        <v>30</v>
      </c>
      <c r="P4012" t="s">
        <v>50</v>
      </c>
      <c r="S4012" t="s">
        <v>214</v>
      </c>
      <c r="T4012" t="s">
        <v>6717</v>
      </c>
      <c r="U4012">
        <v>306.70835</v>
      </c>
      <c r="V4012" s="3">
        <v>41880</v>
      </c>
    </row>
    <row r="4013" spans="1:22" x14ac:dyDescent="0.35">
      <c r="A4013" s="1">
        <v>42320.687361111108</v>
      </c>
      <c r="B4013" s="2">
        <v>2.4305555555555552E-4</v>
      </c>
      <c r="C4013" t="s">
        <v>210</v>
      </c>
      <c r="D4013" t="s">
        <v>211</v>
      </c>
      <c r="E4013" t="s">
        <v>212</v>
      </c>
      <c r="F4013" t="s">
        <v>6715</v>
      </c>
      <c r="G4013">
        <v>1747362</v>
      </c>
      <c r="H4013" t="s">
        <v>139</v>
      </c>
      <c r="I4013" t="s">
        <v>120</v>
      </c>
      <c r="J4013" t="str">
        <f>"9780814760659"</f>
        <v>9780814760659</v>
      </c>
      <c r="K4013" t="s">
        <v>6718</v>
      </c>
      <c r="L4013">
        <v>9</v>
      </c>
      <c r="O4013" t="s">
        <v>30</v>
      </c>
      <c r="P4013" t="s">
        <v>50</v>
      </c>
      <c r="S4013" t="s">
        <v>214</v>
      </c>
      <c r="T4013" t="s">
        <v>6717</v>
      </c>
      <c r="U4013">
        <v>306.70835</v>
      </c>
      <c r="V4013" s="3">
        <v>41880</v>
      </c>
    </row>
    <row r="4014" spans="1:22" x14ac:dyDescent="0.35">
      <c r="A4014" s="1">
        <v>42320.670787037037</v>
      </c>
      <c r="B4014" s="2">
        <v>0</v>
      </c>
      <c r="C4014" t="s">
        <v>4726</v>
      </c>
      <c r="D4014" t="s">
        <v>158</v>
      </c>
      <c r="E4014" t="s">
        <v>159</v>
      </c>
      <c r="F4014" t="s">
        <v>2807</v>
      </c>
      <c r="G4014">
        <v>1767915</v>
      </c>
      <c r="H4014" t="s">
        <v>26</v>
      </c>
      <c r="I4014" t="s">
        <v>120</v>
      </c>
      <c r="J4014" t="str">
        <f>"9780730315148"</f>
        <v>9780730315148</v>
      </c>
      <c r="L4014">
        <v>0</v>
      </c>
      <c r="N4014" t="s">
        <v>2858</v>
      </c>
      <c r="O4014" t="s">
        <v>30</v>
      </c>
      <c r="P4014" t="s">
        <v>29</v>
      </c>
      <c r="Q4014" s="1">
        <v>42320.670775462961</v>
      </c>
      <c r="R4014">
        <v>7</v>
      </c>
      <c r="S4014" t="s">
        <v>163</v>
      </c>
      <c r="T4014" t="s">
        <v>2809</v>
      </c>
      <c r="U4014">
        <v>302.23099999999999</v>
      </c>
      <c r="V4014" s="3">
        <v>41866</v>
      </c>
    </row>
    <row r="4015" spans="1:22" x14ac:dyDescent="0.35">
      <c r="A4015" s="1">
        <v>42320.670381944445</v>
      </c>
      <c r="B4015" s="2">
        <v>3.9351851851851852E-4</v>
      </c>
      <c r="C4015" t="s">
        <v>4726</v>
      </c>
      <c r="D4015" t="s">
        <v>158</v>
      </c>
      <c r="E4015" t="s">
        <v>159</v>
      </c>
      <c r="F4015" t="s">
        <v>2807</v>
      </c>
      <c r="G4015">
        <v>1767915</v>
      </c>
      <c r="H4015" t="s">
        <v>26</v>
      </c>
      <c r="I4015" t="s">
        <v>120</v>
      </c>
      <c r="J4015" t="str">
        <f>"9780730315148"</f>
        <v>9780730315148</v>
      </c>
      <c r="K4015" t="s">
        <v>1170</v>
      </c>
      <c r="L4015">
        <v>8</v>
      </c>
      <c r="O4015" t="s">
        <v>30</v>
      </c>
      <c r="P4015" t="s">
        <v>42</v>
      </c>
      <c r="S4015" t="s">
        <v>163</v>
      </c>
      <c r="T4015" t="s">
        <v>2809</v>
      </c>
      <c r="U4015">
        <v>302.23099999999999</v>
      </c>
      <c r="V4015" s="3">
        <v>41866</v>
      </c>
    </row>
    <row r="4016" spans="1:22" x14ac:dyDescent="0.35">
      <c r="A4016" s="1">
        <v>42320.664293981485</v>
      </c>
      <c r="B4016" s="2">
        <v>2.3958333333333336E-3</v>
      </c>
      <c r="C4016" t="s">
        <v>106</v>
      </c>
      <c r="D4016" t="s">
        <v>23</v>
      </c>
      <c r="E4016" t="s">
        <v>24</v>
      </c>
      <c r="F4016" t="s">
        <v>745</v>
      </c>
      <c r="G4016">
        <v>1166322</v>
      </c>
      <c r="H4016" t="s">
        <v>26</v>
      </c>
      <c r="I4016" t="s">
        <v>200</v>
      </c>
      <c r="J4016" t="str">
        <f>"9781118418512"</f>
        <v>9781118418512</v>
      </c>
      <c r="K4016" t="s">
        <v>6719</v>
      </c>
      <c r="L4016">
        <v>51</v>
      </c>
      <c r="O4016" t="s">
        <v>30</v>
      </c>
      <c r="P4016" t="s">
        <v>42</v>
      </c>
      <c r="S4016" t="s">
        <v>31</v>
      </c>
      <c r="T4016" t="s">
        <v>747</v>
      </c>
      <c r="U4016">
        <v>720.072</v>
      </c>
      <c r="V4016" s="3">
        <v>41367</v>
      </c>
    </row>
    <row r="4017" spans="1:22" x14ac:dyDescent="0.35">
      <c r="A4017" s="1">
        <v>42320.656990740739</v>
      </c>
      <c r="B4017" s="2">
        <v>6.018518518518519E-4</v>
      </c>
      <c r="C4017" t="s">
        <v>6720</v>
      </c>
      <c r="D4017" t="s">
        <v>158</v>
      </c>
      <c r="E4017" t="s">
        <v>159</v>
      </c>
      <c r="F4017" t="s">
        <v>6721</v>
      </c>
      <c r="G4017">
        <v>1638687</v>
      </c>
      <c r="H4017" t="s">
        <v>26</v>
      </c>
      <c r="I4017" t="s">
        <v>4527</v>
      </c>
      <c r="J4017" t="str">
        <f>"9781118850152"</f>
        <v>9781118850152</v>
      </c>
      <c r="K4017" t="s">
        <v>6722</v>
      </c>
      <c r="L4017">
        <v>20</v>
      </c>
      <c r="O4017" t="s">
        <v>30</v>
      </c>
      <c r="P4017" t="s">
        <v>42</v>
      </c>
      <c r="S4017" t="s">
        <v>163</v>
      </c>
      <c r="T4017" t="s">
        <v>6723</v>
      </c>
      <c r="U4017">
        <v>362.29</v>
      </c>
      <c r="V4017" s="3">
        <v>41691</v>
      </c>
    </row>
    <row r="4018" spans="1:22" x14ac:dyDescent="0.35">
      <c r="A4018" s="1">
        <v>42320.624699074076</v>
      </c>
      <c r="B4018" s="2">
        <v>1.1944444444444445E-2</v>
      </c>
      <c r="C4018" t="s">
        <v>6724</v>
      </c>
      <c r="D4018" t="s">
        <v>23</v>
      </c>
      <c r="E4018" t="s">
        <v>24</v>
      </c>
      <c r="F4018" t="s">
        <v>486</v>
      </c>
      <c r="G4018">
        <v>1119505</v>
      </c>
      <c r="H4018" t="s">
        <v>26</v>
      </c>
      <c r="I4018" t="s">
        <v>450</v>
      </c>
      <c r="J4018" t="str">
        <f>"9781118355015"</f>
        <v>9781118355015</v>
      </c>
      <c r="K4018" t="s">
        <v>6725</v>
      </c>
      <c r="L4018">
        <v>29</v>
      </c>
      <c r="O4018" t="s">
        <v>30</v>
      </c>
      <c r="P4018" t="s">
        <v>29</v>
      </c>
      <c r="Q4018" s="1">
        <v>42320.624699074076</v>
      </c>
      <c r="R4018">
        <v>7</v>
      </c>
      <c r="S4018" t="s">
        <v>31</v>
      </c>
      <c r="T4018" t="s">
        <v>487</v>
      </c>
      <c r="U4018" t="s">
        <v>488</v>
      </c>
      <c r="V4018" s="3">
        <v>41302</v>
      </c>
    </row>
    <row r="4019" spans="1:22" x14ac:dyDescent="0.35">
      <c r="A4019" s="1">
        <v>42320.603229166663</v>
      </c>
      <c r="B4019" s="2">
        <v>3.8831018518518515E-2</v>
      </c>
      <c r="C4019" t="s">
        <v>106</v>
      </c>
      <c r="D4019" t="s">
        <v>23</v>
      </c>
      <c r="E4019" t="s">
        <v>24</v>
      </c>
      <c r="F4019" t="s">
        <v>486</v>
      </c>
      <c r="G4019">
        <v>1119505</v>
      </c>
      <c r="H4019" t="s">
        <v>26</v>
      </c>
      <c r="I4019" t="s">
        <v>450</v>
      </c>
      <c r="J4019" t="str">
        <f>"9781118355015"</f>
        <v>9781118355015</v>
      </c>
      <c r="K4019" t="s">
        <v>6726</v>
      </c>
      <c r="L4019">
        <v>31</v>
      </c>
      <c r="O4019" t="s">
        <v>30</v>
      </c>
      <c r="P4019" t="s">
        <v>29</v>
      </c>
      <c r="Q4019" s="1">
        <v>42314.692002314812</v>
      </c>
      <c r="R4019">
        <v>7</v>
      </c>
      <c r="S4019" t="s">
        <v>31</v>
      </c>
      <c r="T4019" t="s">
        <v>487</v>
      </c>
      <c r="U4019" t="s">
        <v>488</v>
      </c>
      <c r="V4019" s="3">
        <v>41302</v>
      </c>
    </row>
    <row r="4020" spans="1:22" x14ac:dyDescent="0.35">
      <c r="A4020" s="1">
        <v>42320.602106481485</v>
      </c>
      <c r="B4020" s="2">
        <v>2.2592592592592591E-2</v>
      </c>
      <c r="C4020" t="s">
        <v>6724</v>
      </c>
      <c r="D4020" t="s">
        <v>23</v>
      </c>
      <c r="E4020" t="s">
        <v>24</v>
      </c>
      <c r="F4020" t="s">
        <v>486</v>
      </c>
      <c r="G4020">
        <v>1119505</v>
      </c>
      <c r="H4020" t="s">
        <v>26</v>
      </c>
      <c r="I4020" t="s">
        <v>450</v>
      </c>
      <c r="J4020" t="str">
        <f>"9781118355015"</f>
        <v>9781118355015</v>
      </c>
      <c r="K4020" t="s">
        <v>6727</v>
      </c>
      <c r="L4020">
        <v>10</v>
      </c>
      <c r="O4020" t="s">
        <v>30</v>
      </c>
      <c r="P4020" t="s">
        <v>42</v>
      </c>
      <c r="S4020" t="s">
        <v>31</v>
      </c>
      <c r="T4020" t="s">
        <v>487</v>
      </c>
      <c r="U4020" t="s">
        <v>488</v>
      </c>
      <c r="V4020" s="3">
        <v>41302</v>
      </c>
    </row>
    <row r="4021" spans="1:22" x14ac:dyDescent="0.35">
      <c r="A4021" s="1">
        <v>42320.57068287037</v>
      </c>
      <c r="B4021" s="2">
        <v>3.4722222222222222E-5</v>
      </c>
      <c r="C4021" t="s">
        <v>210</v>
      </c>
      <c r="D4021" t="s">
        <v>211</v>
      </c>
      <c r="E4021" t="s">
        <v>212</v>
      </c>
      <c r="F4021" t="s">
        <v>6728</v>
      </c>
      <c r="G4021">
        <v>1666472</v>
      </c>
      <c r="H4021" t="s">
        <v>26</v>
      </c>
      <c r="I4021" t="s">
        <v>776</v>
      </c>
      <c r="J4021" t="str">
        <f>"9781118444658"</f>
        <v>9781118444658</v>
      </c>
      <c r="K4021" t="s">
        <v>33</v>
      </c>
      <c r="L4021">
        <v>3</v>
      </c>
      <c r="O4021" t="s">
        <v>30</v>
      </c>
      <c r="P4021" t="s">
        <v>50</v>
      </c>
      <c r="S4021" t="s">
        <v>214</v>
      </c>
      <c r="T4021" t="s">
        <v>6729</v>
      </c>
      <c r="U4021">
        <v>796.01</v>
      </c>
      <c r="V4021" s="3">
        <v>41738</v>
      </c>
    </row>
    <row r="4022" spans="1:22" x14ac:dyDescent="0.35">
      <c r="A4022" s="1">
        <v>42320.434444444443</v>
      </c>
      <c r="B4022" s="2">
        <v>1.5243055555555557E-2</v>
      </c>
      <c r="C4022" t="s">
        <v>4311</v>
      </c>
      <c r="D4022" t="s">
        <v>23</v>
      </c>
      <c r="E4022" t="s">
        <v>24</v>
      </c>
      <c r="F4022" t="s">
        <v>745</v>
      </c>
      <c r="G4022">
        <v>1166322</v>
      </c>
      <c r="H4022" t="s">
        <v>26</v>
      </c>
      <c r="I4022" t="s">
        <v>200</v>
      </c>
      <c r="J4022" t="str">
        <f>"9781118418512"</f>
        <v>9781118418512</v>
      </c>
      <c r="K4022" t="s">
        <v>6730</v>
      </c>
      <c r="L4022">
        <v>34</v>
      </c>
      <c r="O4022" t="s">
        <v>30</v>
      </c>
      <c r="P4022" t="s">
        <v>29</v>
      </c>
      <c r="Q4022" s="1">
        <v>42320.434444444443</v>
      </c>
      <c r="R4022">
        <v>7</v>
      </c>
      <c r="S4022" t="s">
        <v>31</v>
      </c>
      <c r="T4022" t="s">
        <v>747</v>
      </c>
      <c r="U4022">
        <v>720.072</v>
      </c>
      <c r="V4022" s="3">
        <v>41367</v>
      </c>
    </row>
    <row r="4023" spans="1:22" x14ac:dyDescent="0.35">
      <c r="A4023" s="1">
        <v>42320.421909722223</v>
      </c>
      <c r="B4023" s="2">
        <v>1.2534722222222223E-2</v>
      </c>
      <c r="C4023" t="s">
        <v>4311</v>
      </c>
      <c r="D4023" t="s">
        <v>23</v>
      </c>
      <c r="E4023" t="s">
        <v>24</v>
      </c>
      <c r="F4023" t="s">
        <v>745</v>
      </c>
      <c r="G4023">
        <v>1166322</v>
      </c>
      <c r="H4023" t="s">
        <v>26</v>
      </c>
      <c r="I4023" t="s">
        <v>200</v>
      </c>
      <c r="J4023" t="str">
        <f>"9781118418512"</f>
        <v>9781118418512</v>
      </c>
      <c r="K4023" t="s">
        <v>6731</v>
      </c>
      <c r="L4023">
        <v>34</v>
      </c>
      <c r="O4023" t="s">
        <v>30</v>
      </c>
      <c r="P4023" t="s">
        <v>42</v>
      </c>
      <c r="S4023" t="s">
        <v>31</v>
      </c>
      <c r="T4023" t="s">
        <v>747</v>
      </c>
      <c r="U4023">
        <v>720.072</v>
      </c>
      <c r="V4023" s="3">
        <v>41367</v>
      </c>
    </row>
    <row r="4024" spans="1:22" x14ac:dyDescent="0.35">
      <c r="A4024" s="1">
        <v>42320.345717592594</v>
      </c>
      <c r="B4024" s="2">
        <v>4.0509259259259258E-4</v>
      </c>
      <c r="C4024" t="s">
        <v>6732</v>
      </c>
      <c r="D4024" t="s">
        <v>1222</v>
      </c>
      <c r="E4024" t="s">
        <v>1223</v>
      </c>
      <c r="F4024" t="s">
        <v>4773</v>
      </c>
      <c r="G4024">
        <v>818332</v>
      </c>
      <c r="H4024" t="s">
        <v>26</v>
      </c>
      <c r="I4024" t="s">
        <v>120</v>
      </c>
      <c r="J4024" t="str">
        <f>"9781118252772"</f>
        <v>9781118252772</v>
      </c>
      <c r="K4024" t="s">
        <v>1438</v>
      </c>
      <c r="L4024">
        <v>16</v>
      </c>
      <c r="O4024" t="s">
        <v>30</v>
      </c>
      <c r="P4024" t="s">
        <v>42</v>
      </c>
      <c r="S4024" t="s">
        <v>1226</v>
      </c>
      <c r="T4024" t="s">
        <v>4775</v>
      </c>
      <c r="U4024" t="s">
        <v>4776</v>
      </c>
      <c r="V4024" s="3">
        <v>40960</v>
      </c>
    </row>
    <row r="4025" spans="1:22" x14ac:dyDescent="0.35">
      <c r="A4025" s="1">
        <v>42320.270127314812</v>
      </c>
      <c r="B4025" s="2">
        <v>6.0416666666666665E-3</v>
      </c>
      <c r="C4025" t="s">
        <v>6733</v>
      </c>
      <c r="D4025" t="s">
        <v>261</v>
      </c>
      <c r="E4025" t="s">
        <v>262</v>
      </c>
      <c r="F4025" t="s">
        <v>4821</v>
      </c>
      <c r="G4025">
        <v>943645</v>
      </c>
      <c r="H4025" t="s">
        <v>1365</v>
      </c>
      <c r="I4025" t="s">
        <v>172</v>
      </c>
      <c r="J4025" t="str">
        <f>"9781441104755"</f>
        <v>9781441104755</v>
      </c>
      <c r="K4025" t="s">
        <v>6734</v>
      </c>
      <c r="L4025">
        <v>43</v>
      </c>
      <c r="O4025" t="s">
        <v>30</v>
      </c>
      <c r="P4025" t="s">
        <v>29</v>
      </c>
      <c r="Q4025" s="1">
        <v>42320.270127314812</v>
      </c>
      <c r="R4025">
        <v>7</v>
      </c>
      <c r="S4025" t="s">
        <v>264</v>
      </c>
      <c r="T4025" t="s">
        <v>4823</v>
      </c>
      <c r="U4025">
        <v>948.02200000000005</v>
      </c>
      <c r="V4025" s="3">
        <v>41060</v>
      </c>
    </row>
    <row r="4026" spans="1:22" x14ac:dyDescent="0.35">
      <c r="A4026" s="1">
        <v>42320.26226851852</v>
      </c>
      <c r="B4026" s="2">
        <v>7.858796296296296E-3</v>
      </c>
      <c r="C4026" t="s">
        <v>6733</v>
      </c>
      <c r="D4026" t="s">
        <v>261</v>
      </c>
      <c r="E4026" t="s">
        <v>262</v>
      </c>
      <c r="F4026" t="s">
        <v>4821</v>
      </c>
      <c r="G4026">
        <v>943645</v>
      </c>
      <c r="H4026" t="s">
        <v>1365</v>
      </c>
      <c r="I4026" t="s">
        <v>172</v>
      </c>
      <c r="J4026" t="str">
        <f>"9781441104755"</f>
        <v>9781441104755</v>
      </c>
      <c r="K4026" t="s">
        <v>33</v>
      </c>
      <c r="L4026">
        <v>3</v>
      </c>
      <c r="O4026" t="s">
        <v>30</v>
      </c>
      <c r="P4026" t="s">
        <v>42</v>
      </c>
      <c r="S4026" t="s">
        <v>264</v>
      </c>
      <c r="T4026" t="s">
        <v>4823</v>
      </c>
      <c r="U4026">
        <v>948.02200000000005</v>
      </c>
      <c r="V4026" s="3">
        <v>41060</v>
      </c>
    </row>
    <row r="4027" spans="1:22" x14ac:dyDescent="0.35">
      <c r="A4027" s="1">
        <v>42320.225046296298</v>
      </c>
      <c r="B4027" s="2">
        <v>2.4421296296296296E-3</v>
      </c>
      <c r="C4027" t="s">
        <v>6735</v>
      </c>
      <c r="D4027" t="s">
        <v>623</v>
      </c>
      <c r="E4027" t="s">
        <v>624</v>
      </c>
      <c r="F4027" t="s">
        <v>6736</v>
      </c>
      <c r="G4027">
        <v>1983497</v>
      </c>
      <c r="H4027" t="s">
        <v>26</v>
      </c>
      <c r="I4027" t="s">
        <v>120</v>
      </c>
      <c r="J4027" t="str">
        <f>"9780745689395"</f>
        <v>9780745689395</v>
      </c>
      <c r="K4027" t="s">
        <v>6737</v>
      </c>
      <c r="L4027">
        <v>10</v>
      </c>
      <c r="O4027" t="s">
        <v>30</v>
      </c>
      <c r="P4027" t="s">
        <v>29</v>
      </c>
      <c r="Q4027" s="1">
        <v>42313.277499999997</v>
      </c>
      <c r="R4027">
        <v>7</v>
      </c>
      <c r="S4027" t="s">
        <v>627</v>
      </c>
      <c r="T4027" t="s">
        <v>6738</v>
      </c>
      <c r="U4027">
        <v>391.6</v>
      </c>
      <c r="V4027" s="3">
        <v>42066</v>
      </c>
    </row>
    <row r="4028" spans="1:22" x14ac:dyDescent="0.35">
      <c r="A4028" s="1">
        <v>42320.216909722221</v>
      </c>
      <c r="B4028" s="2">
        <v>1.8518518518518518E-4</v>
      </c>
      <c r="C4028" t="s">
        <v>5290</v>
      </c>
      <c r="D4028" t="s">
        <v>23</v>
      </c>
      <c r="E4028" t="s">
        <v>24</v>
      </c>
      <c r="F4028" t="s">
        <v>5291</v>
      </c>
      <c r="G4028">
        <v>1969430</v>
      </c>
      <c r="H4028" t="s">
        <v>45</v>
      </c>
      <c r="I4028" t="s">
        <v>120</v>
      </c>
      <c r="J4028" t="str">
        <f>"9781472443038"</f>
        <v>9781472443038</v>
      </c>
      <c r="K4028" t="s">
        <v>33</v>
      </c>
      <c r="L4028">
        <v>3</v>
      </c>
      <c r="O4028" t="s">
        <v>30</v>
      </c>
      <c r="P4028" t="s">
        <v>50</v>
      </c>
      <c r="S4028" t="s">
        <v>31</v>
      </c>
      <c r="T4028" t="s">
        <v>5293</v>
      </c>
      <c r="U4028" t="s">
        <v>5294</v>
      </c>
      <c r="V4028" s="3">
        <v>42091</v>
      </c>
    </row>
    <row r="4029" spans="1:22" x14ac:dyDescent="0.35">
      <c r="A4029" s="1">
        <v>42320.187303240738</v>
      </c>
      <c r="B4029" s="2">
        <v>3.3217592592592591E-3</v>
      </c>
      <c r="C4029" t="s">
        <v>6739</v>
      </c>
      <c r="D4029" t="s">
        <v>1222</v>
      </c>
      <c r="E4029" t="s">
        <v>1223</v>
      </c>
      <c r="F4029" t="s">
        <v>4223</v>
      </c>
      <c r="G4029">
        <v>980956</v>
      </c>
      <c r="H4029" t="s">
        <v>26</v>
      </c>
      <c r="I4029" t="s">
        <v>4224</v>
      </c>
      <c r="J4029" t="str">
        <f>"9781118227251"</f>
        <v>9781118227251</v>
      </c>
      <c r="K4029" t="s">
        <v>6740</v>
      </c>
      <c r="L4029">
        <v>32</v>
      </c>
      <c r="O4029" t="s">
        <v>30</v>
      </c>
      <c r="P4029" t="s">
        <v>29</v>
      </c>
      <c r="Q4029" s="1">
        <v>42320.187303240738</v>
      </c>
      <c r="R4029">
        <v>7</v>
      </c>
      <c r="S4029" t="s">
        <v>1226</v>
      </c>
      <c r="T4029" t="s">
        <v>4226</v>
      </c>
      <c r="U4029" t="s">
        <v>4227</v>
      </c>
      <c r="V4029" s="3">
        <v>41113</v>
      </c>
    </row>
    <row r="4030" spans="1:22" x14ac:dyDescent="0.35">
      <c r="A4030" s="1">
        <v>42320.178854166668</v>
      </c>
      <c r="B4030" s="2">
        <v>8.4490740740740741E-3</v>
      </c>
      <c r="C4030" t="s">
        <v>6739</v>
      </c>
      <c r="D4030" t="s">
        <v>1222</v>
      </c>
      <c r="E4030" t="s">
        <v>1223</v>
      </c>
      <c r="F4030" t="s">
        <v>4223</v>
      </c>
      <c r="G4030">
        <v>980956</v>
      </c>
      <c r="H4030" t="s">
        <v>26</v>
      </c>
      <c r="I4030" t="s">
        <v>4224</v>
      </c>
      <c r="J4030" t="str">
        <f>"9781118227251"</f>
        <v>9781118227251</v>
      </c>
      <c r="K4030" t="s">
        <v>6741</v>
      </c>
      <c r="L4030">
        <v>213</v>
      </c>
      <c r="O4030" t="s">
        <v>30</v>
      </c>
      <c r="P4030" t="s">
        <v>42</v>
      </c>
      <c r="S4030" t="s">
        <v>1226</v>
      </c>
      <c r="T4030" t="s">
        <v>4226</v>
      </c>
      <c r="U4030" t="s">
        <v>4227</v>
      </c>
      <c r="V4030" s="3">
        <v>41113</v>
      </c>
    </row>
    <row r="4031" spans="1:22" x14ac:dyDescent="0.35">
      <c r="A4031" s="1">
        <v>42320.161736111113</v>
      </c>
      <c r="B4031" s="2">
        <v>6.6319444444444446E-3</v>
      </c>
      <c r="C4031" t="s">
        <v>6742</v>
      </c>
      <c r="D4031" t="s">
        <v>261</v>
      </c>
      <c r="E4031" t="s">
        <v>262</v>
      </c>
      <c r="F4031" t="s">
        <v>3175</v>
      </c>
      <c r="G4031">
        <v>867850</v>
      </c>
      <c r="H4031" t="s">
        <v>492</v>
      </c>
      <c r="I4031" t="s">
        <v>172</v>
      </c>
      <c r="J4031" t="str">
        <f>"9781400834860"</f>
        <v>9781400834860</v>
      </c>
      <c r="K4031" t="s">
        <v>6743</v>
      </c>
      <c r="L4031">
        <v>10</v>
      </c>
      <c r="O4031" t="s">
        <v>30</v>
      </c>
      <c r="P4031" t="s">
        <v>42</v>
      </c>
      <c r="S4031" t="s">
        <v>264</v>
      </c>
      <c r="T4031" t="s">
        <v>3177</v>
      </c>
      <c r="U4031" t="s">
        <v>3178</v>
      </c>
      <c r="V4031" s="3">
        <v>40993</v>
      </c>
    </row>
    <row r="4032" spans="1:22" x14ac:dyDescent="0.35">
      <c r="A4032" s="1">
        <v>42320.148414351854</v>
      </c>
      <c r="B4032" s="2">
        <v>4.5138888888888892E-4</v>
      </c>
      <c r="C4032" t="s">
        <v>6138</v>
      </c>
      <c r="D4032" t="s">
        <v>623</v>
      </c>
      <c r="E4032" t="s">
        <v>624</v>
      </c>
      <c r="F4032" t="s">
        <v>6139</v>
      </c>
      <c r="G4032">
        <v>2004809</v>
      </c>
      <c r="H4032" t="s">
        <v>45</v>
      </c>
      <c r="I4032" t="s">
        <v>79</v>
      </c>
      <c r="J4032" t="str">
        <f>"9781472443465"</f>
        <v>9781472443465</v>
      </c>
      <c r="K4032" t="s">
        <v>6744</v>
      </c>
      <c r="L4032">
        <v>19</v>
      </c>
      <c r="O4032" t="s">
        <v>30</v>
      </c>
      <c r="P4032" t="s">
        <v>47</v>
      </c>
      <c r="Q4032" s="1">
        <v>42319.205416666664</v>
      </c>
      <c r="R4032">
        <v>1</v>
      </c>
      <c r="S4032" t="s">
        <v>627</v>
      </c>
      <c r="T4032" t="s">
        <v>6141</v>
      </c>
      <c r="U4032" t="s">
        <v>6142</v>
      </c>
      <c r="V4032" s="3">
        <v>42122</v>
      </c>
    </row>
    <row r="4033" spans="1:22" x14ac:dyDescent="0.35">
      <c r="A4033" s="1">
        <v>42320.145891203705</v>
      </c>
      <c r="B4033" s="2">
        <v>0</v>
      </c>
      <c r="C4033" t="s">
        <v>6693</v>
      </c>
      <c r="D4033" t="s">
        <v>6396</v>
      </c>
      <c r="E4033" t="s">
        <v>6397</v>
      </c>
      <c r="F4033" t="s">
        <v>6745</v>
      </c>
      <c r="G4033">
        <v>1895943</v>
      </c>
      <c r="H4033" t="s">
        <v>26</v>
      </c>
      <c r="I4033" t="s">
        <v>97</v>
      </c>
      <c r="J4033" t="str">
        <f>"9781119026600"</f>
        <v>9781119026600</v>
      </c>
      <c r="L4033">
        <v>0</v>
      </c>
      <c r="O4033" t="s">
        <v>28</v>
      </c>
      <c r="P4033" t="s">
        <v>29</v>
      </c>
      <c r="Q4033" s="1">
        <v>42320.145891203705</v>
      </c>
      <c r="R4033">
        <v>7</v>
      </c>
      <c r="S4033" t="s">
        <v>6400</v>
      </c>
      <c r="T4033" t="s">
        <v>6746</v>
      </c>
      <c r="U4033">
        <v>657</v>
      </c>
      <c r="V4033" s="3">
        <v>42090</v>
      </c>
    </row>
    <row r="4034" spans="1:22" x14ac:dyDescent="0.35">
      <c r="A4034" s="1">
        <v>42320.145891203705</v>
      </c>
      <c r="B4034" s="2">
        <v>0</v>
      </c>
      <c r="C4034" t="s">
        <v>6693</v>
      </c>
      <c r="D4034" t="s">
        <v>6396</v>
      </c>
      <c r="E4034" t="s">
        <v>6397</v>
      </c>
      <c r="F4034" t="s">
        <v>6745</v>
      </c>
      <c r="G4034">
        <v>1895943</v>
      </c>
      <c r="H4034" t="s">
        <v>26</v>
      </c>
      <c r="I4034" t="s">
        <v>97</v>
      </c>
      <c r="J4034" t="str">
        <f>"9781119026600"</f>
        <v>9781119026600</v>
      </c>
      <c r="L4034">
        <v>0</v>
      </c>
      <c r="O4034" t="s">
        <v>30</v>
      </c>
      <c r="P4034" t="s">
        <v>29</v>
      </c>
      <c r="Q4034" s="1">
        <v>42320.145891203705</v>
      </c>
      <c r="R4034">
        <v>7</v>
      </c>
      <c r="S4034" t="s">
        <v>6400</v>
      </c>
      <c r="T4034" t="s">
        <v>6746</v>
      </c>
      <c r="U4034">
        <v>657</v>
      </c>
      <c r="V4034" s="3">
        <v>42090</v>
      </c>
    </row>
    <row r="4035" spans="1:22" x14ac:dyDescent="0.35">
      <c r="A4035" s="1">
        <v>42320.145752314813</v>
      </c>
      <c r="B4035" s="2">
        <v>1.3888888888888889E-4</v>
      </c>
      <c r="C4035" t="s">
        <v>6693</v>
      </c>
      <c r="D4035" t="s">
        <v>6396</v>
      </c>
      <c r="E4035" t="s">
        <v>6397</v>
      </c>
      <c r="F4035" t="s">
        <v>6745</v>
      </c>
      <c r="G4035">
        <v>1895943</v>
      </c>
      <c r="H4035" t="s">
        <v>26</v>
      </c>
      <c r="I4035" t="s">
        <v>97</v>
      </c>
      <c r="J4035" t="str">
        <f>"9781119026600"</f>
        <v>9781119026600</v>
      </c>
      <c r="K4035" t="s">
        <v>33</v>
      </c>
      <c r="L4035">
        <v>3</v>
      </c>
      <c r="O4035" t="s">
        <v>30</v>
      </c>
      <c r="P4035" t="s">
        <v>50</v>
      </c>
      <c r="S4035" t="s">
        <v>6400</v>
      </c>
      <c r="T4035" t="s">
        <v>6746</v>
      </c>
      <c r="U4035">
        <v>657</v>
      </c>
      <c r="V4035" s="3">
        <v>42090</v>
      </c>
    </row>
    <row r="4036" spans="1:22" x14ac:dyDescent="0.35">
      <c r="A4036" s="1">
        <v>42320.137546296297</v>
      </c>
      <c r="B4036" s="2">
        <v>0</v>
      </c>
      <c r="C4036" t="s">
        <v>6747</v>
      </c>
      <c r="D4036" t="s">
        <v>23</v>
      </c>
      <c r="E4036" t="s">
        <v>24</v>
      </c>
      <c r="F4036" t="s">
        <v>6748</v>
      </c>
      <c r="G4036">
        <v>1582755</v>
      </c>
      <c r="H4036" t="s">
        <v>526</v>
      </c>
      <c r="I4036" t="s">
        <v>426</v>
      </c>
      <c r="J4036" t="str">
        <f>"9780226083902"</f>
        <v>9780226083902</v>
      </c>
      <c r="L4036">
        <v>0</v>
      </c>
      <c r="N4036" t="s">
        <v>6749</v>
      </c>
      <c r="O4036" t="s">
        <v>30</v>
      </c>
      <c r="P4036" t="s">
        <v>47</v>
      </c>
      <c r="Q4036" s="1">
        <v>42320.13753472222</v>
      </c>
      <c r="R4036">
        <v>1</v>
      </c>
      <c r="S4036" t="s">
        <v>31</v>
      </c>
      <c r="T4036" t="s">
        <v>6750</v>
      </c>
      <c r="U4036" t="s">
        <v>6751</v>
      </c>
      <c r="V4036" s="3">
        <v>41652</v>
      </c>
    </row>
    <row r="4037" spans="1:22" x14ac:dyDescent="0.35">
      <c r="A4037" s="1">
        <v>42320.137291666666</v>
      </c>
      <c r="B4037" s="2">
        <v>2.4305555555555552E-4</v>
      </c>
      <c r="C4037" t="s">
        <v>6747</v>
      </c>
      <c r="D4037" t="s">
        <v>23</v>
      </c>
      <c r="E4037" t="s">
        <v>24</v>
      </c>
      <c r="F4037" t="s">
        <v>6748</v>
      </c>
      <c r="G4037">
        <v>1582755</v>
      </c>
      <c r="H4037" t="s">
        <v>526</v>
      </c>
      <c r="I4037" t="s">
        <v>426</v>
      </c>
      <c r="J4037" t="str">
        <f>"9780226083902"</f>
        <v>9780226083902</v>
      </c>
      <c r="K4037" t="s">
        <v>6752</v>
      </c>
      <c r="L4037">
        <v>8</v>
      </c>
      <c r="O4037" t="s">
        <v>30</v>
      </c>
      <c r="P4037" t="s">
        <v>50</v>
      </c>
      <c r="S4037" t="s">
        <v>31</v>
      </c>
      <c r="T4037" t="s">
        <v>6750</v>
      </c>
      <c r="U4037" t="s">
        <v>6751</v>
      </c>
      <c r="V4037" s="3">
        <v>41652</v>
      </c>
    </row>
    <row r="4038" spans="1:22" x14ac:dyDescent="0.35">
      <c r="A4038" s="1">
        <v>42320.121608796297</v>
      </c>
      <c r="B4038" s="2">
        <v>7.8703703703703705E-4</v>
      </c>
      <c r="C4038" t="s">
        <v>6753</v>
      </c>
      <c r="D4038" t="s">
        <v>2519</v>
      </c>
      <c r="E4038" t="s">
        <v>2520</v>
      </c>
      <c r="F4038" t="s">
        <v>6754</v>
      </c>
      <c r="G4038">
        <v>1078671</v>
      </c>
      <c r="H4038" t="s">
        <v>526</v>
      </c>
      <c r="I4038" t="s">
        <v>3674</v>
      </c>
      <c r="J4038" t="str">
        <f>"9780226922133"</f>
        <v>9780226922133</v>
      </c>
      <c r="K4038" t="s">
        <v>6755</v>
      </c>
      <c r="L4038">
        <v>22</v>
      </c>
      <c r="O4038" t="s">
        <v>30</v>
      </c>
      <c r="P4038" t="s">
        <v>47</v>
      </c>
      <c r="Q4038" s="1">
        <v>42319.970300925925</v>
      </c>
      <c r="R4038">
        <v>1</v>
      </c>
      <c r="S4038" t="s">
        <v>2523</v>
      </c>
      <c r="T4038" t="s">
        <v>6756</v>
      </c>
      <c r="U4038">
        <v>362.11</v>
      </c>
      <c r="V4038" s="3">
        <v>41292</v>
      </c>
    </row>
    <row r="4039" spans="1:22" x14ac:dyDescent="0.35">
      <c r="A4039" s="1">
        <v>42320.118425925924</v>
      </c>
      <c r="B4039" s="2">
        <v>2.8356481481481479E-3</v>
      </c>
      <c r="C4039" t="s">
        <v>6138</v>
      </c>
      <c r="D4039" t="s">
        <v>623</v>
      </c>
      <c r="E4039" t="s">
        <v>624</v>
      </c>
      <c r="F4039" t="s">
        <v>6139</v>
      </c>
      <c r="G4039">
        <v>2004809</v>
      </c>
      <c r="H4039" t="s">
        <v>45</v>
      </c>
      <c r="I4039" t="s">
        <v>79</v>
      </c>
      <c r="J4039" t="str">
        <f>"9781472443465"</f>
        <v>9781472443465</v>
      </c>
      <c r="K4039" t="s">
        <v>6757</v>
      </c>
      <c r="L4039">
        <v>22</v>
      </c>
      <c r="O4039" t="s">
        <v>30</v>
      </c>
      <c r="P4039" t="s">
        <v>47</v>
      </c>
      <c r="Q4039" s="1">
        <v>42319.205416666664</v>
      </c>
      <c r="R4039">
        <v>1</v>
      </c>
      <c r="S4039" t="s">
        <v>627</v>
      </c>
      <c r="T4039" t="s">
        <v>6141</v>
      </c>
      <c r="U4039" t="s">
        <v>6142</v>
      </c>
      <c r="V4039" s="3">
        <v>42122</v>
      </c>
    </row>
    <row r="4040" spans="1:22" x14ac:dyDescent="0.35">
      <c r="A4040" s="1">
        <v>42320.014733796299</v>
      </c>
      <c r="B4040" s="2">
        <v>1.5509259259259261E-3</v>
      </c>
      <c r="C4040" t="s">
        <v>6758</v>
      </c>
      <c r="D4040" t="s">
        <v>623</v>
      </c>
      <c r="E4040" t="s">
        <v>624</v>
      </c>
      <c r="F4040" t="s">
        <v>6759</v>
      </c>
      <c r="G4040">
        <v>1685765</v>
      </c>
      <c r="H4040" t="s">
        <v>139</v>
      </c>
      <c r="I4040" t="s">
        <v>5632</v>
      </c>
      <c r="J4040" t="str">
        <f>"9781479890996"</f>
        <v>9781479890996</v>
      </c>
      <c r="K4040" t="s">
        <v>6760</v>
      </c>
      <c r="L4040">
        <v>30</v>
      </c>
      <c r="O4040" t="s">
        <v>30</v>
      </c>
      <c r="P4040" t="s">
        <v>50</v>
      </c>
      <c r="S4040" t="s">
        <v>627</v>
      </c>
      <c r="T4040" t="s">
        <v>6761</v>
      </c>
      <c r="U4040" t="s">
        <v>6762</v>
      </c>
      <c r="V4040" s="3">
        <v>41824</v>
      </c>
    </row>
    <row r="4041" spans="1:22" x14ac:dyDescent="0.35">
      <c r="A4041" s="1">
        <v>42319.985590277778</v>
      </c>
      <c r="B4041" s="2">
        <v>8.6805555555555551E-4</v>
      </c>
      <c r="C4041" t="s">
        <v>6763</v>
      </c>
      <c r="D4041" t="s">
        <v>35</v>
      </c>
      <c r="E4041" t="s">
        <v>36</v>
      </c>
      <c r="F4041" t="s">
        <v>6764</v>
      </c>
      <c r="G4041">
        <v>1337899</v>
      </c>
      <c r="H4041" t="s">
        <v>526</v>
      </c>
      <c r="I4041" t="s">
        <v>6765</v>
      </c>
      <c r="J4041" t="str">
        <f>"9780226059747"</f>
        <v>9780226059747</v>
      </c>
      <c r="K4041" t="s">
        <v>6766</v>
      </c>
      <c r="L4041">
        <v>12</v>
      </c>
      <c r="O4041" t="s">
        <v>30</v>
      </c>
      <c r="P4041" t="s">
        <v>50</v>
      </c>
      <c r="S4041" t="s">
        <v>40</v>
      </c>
      <c r="T4041" t="s">
        <v>6767</v>
      </c>
      <c r="U4041" t="s">
        <v>6768</v>
      </c>
      <c r="V4041" s="3">
        <v>41536</v>
      </c>
    </row>
    <row r="4042" spans="1:22" x14ac:dyDescent="0.35">
      <c r="A4042" s="1">
        <v>42319.971736111111</v>
      </c>
      <c r="B4042" s="2">
        <v>4.1666666666666669E-4</v>
      </c>
      <c r="C4042" t="s">
        <v>6769</v>
      </c>
      <c r="D4042" t="s">
        <v>35</v>
      </c>
      <c r="E4042" t="s">
        <v>36</v>
      </c>
      <c r="F4042" t="s">
        <v>6770</v>
      </c>
      <c r="G4042">
        <v>2038619</v>
      </c>
      <c r="H4042" t="s">
        <v>45</v>
      </c>
      <c r="I4042" t="s">
        <v>348</v>
      </c>
      <c r="J4042" t="str">
        <f>"9781409435358"</f>
        <v>9781409435358</v>
      </c>
      <c r="K4042" t="s">
        <v>6771</v>
      </c>
      <c r="L4042">
        <v>7</v>
      </c>
      <c r="O4042" t="s">
        <v>30</v>
      </c>
      <c r="P4042" t="s">
        <v>47</v>
      </c>
      <c r="Q4042" s="1">
        <v>42319.971736111111</v>
      </c>
      <c r="R4042">
        <v>1</v>
      </c>
      <c r="S4042" t="s">
        <v>40</v>
      </c>
      <c r="T4042">
        <v>2014044650</v>
      </c>
      <c r="U4042">
        <v>327.47050000000002</v>
      </c>
      <c r="V4042" s="3">
        <v>42152</v>
      </c>
    </row>
    <row r="4043" spans="1:22" x14ac:dyDescent="0.35">
      <c r="A4043" s="1">
        <v>42319.970300925925</v>
      </c>
      <c r="B4043" s="2">
        <v>1.0300925925925926E-3</v>
      </c>
      <c r="C4043" t="s">
        <v>6753</v>
      </c>
      <c r="D4043" t="s">
        <v>2519</v>
      </c>
      <c r="E4043" t="s">
        <v>2520</v>
      </c>
      <c r="F4043" t="s">
        <v>6754</v>
      </c>
      <c r="G4043">
        <v>1078671</v>
      </c>
      <c r="H4043" t="s">
        <v>526</v>
      </c>
      <c r="I4043" t="s">
        <v>3674</v>
      </c>
      <c r="J4043" t="str">
        <f>"9780226922133"</f>
        <v>9780226922133</v>
      </c>
      <c r="K4043" t="s">
        <v>6772</v>
      </c>
      <c r="L4043">
        <v>4</v>
      </c>
      <c r="O4043" t="s">
        <v>30</v>
      </c>
      <c r="P4043" t="s">
        <v>47</v>
      </c>
      <c r="Q4043" s="1">
        <v>42319.970300925925</v>
      </c>
      <c r="R4043">
        <v>1</v>
      </c>
      <c r="S4043" t="s">
        <v>2523</v>
      </c>
      <c r="T4043" t="s">
        <v>6756</v>
      </c>
      <c r="U4043">
        <v>362.11</v>
      </c>
      <c r="V4043" s="3">
        <v>41292</v>
      </c>
    </row>
    <row r="4044" spans="1:22" x14ac:dyDescent="0.35">
      <c r="A4044" s="1">
        <v>42319.968356481484</v>
      </c>
      <c r="B4044" s="2">
        <v>1.9328703703703704E-3</v>
      </c>
      <c r="C4044" t="s">
        <v>6753</v>
      </c>
      <c r="D4044" t="s">
        <v>2519</v>
      </c>
      <c r="E4044" t="s">
        <v>2520</v>
      </c>
      <c r="F4044" t="s">
        <v>6754</v>
      </c>
      <c r="G4044">
        <v>1078671</v>
      </c>
      <c r="H4044" t="s">
        <v>526</v>
      </c>
      <c r="I4044" t="s">
        <v>3674</v>
      </c>
      <c r="J4044" t="str">
        <f>"9780226922133"</f>
        <v>9780226922133</v>
      </c>
      <c r="K4044" t="s">
        <v>6773</v>
      </c>
      <c r="L4044">
        <v>10</v>
      </c>
      <c r="O4044" t="s">
        <v>30</v>
      </c>
      <c r="P4044" t="s">
        <v>50</v>
      </c>
      <c r="S4044" t="s">
        <v>2523</v>
      </c>
      <c r="T4044" t="s">
        <v>6756</v>
      </c>
      <c r="U4044">
        <v>362.11</v>
      </c>
      <c r="V4044" s="3">
        <v>41292</v>
      </c>
    </row>
    <row r="4045" spans="1:22" x14ac:dyDescent="0.35">
      <c r="A4045" s="1">
        <v>42319.960601851853</v>
      </c>
      <c r="B4045" s="2">
        <v>1.113425925925926E-2</v>
      </c>
      <c r="C4045" t="s">
        <v>6769</v>
      </c>
      <c r="D4045" t="s">
        <v>35</v>
      </c>
      <c r="E4045" t="s">
        <v>36</v>
      </c>
      <c r="F4045" t="s">
        <v>6770</v>
      </c>
      <c r="G4045">
        <v>2038619</v>
      </c>
      <c r="H4045" t="s">
        <v>45</v>
      </c>
      <c r="I4045" t="s">
        <v>348</v>
      </c>
      <c r="J4045" t="str">
        <f>"9781409435358"</f>
        <v>9781409435358</v>
      </c>
      <c r="K4045" t="s">
        <v>611</v>
      </c>
      <c r="L4045">
        <v>3</v>
      </c>
      <c r="O4045" t="s">
        <v>30</v>
      </c>
      <c r="P4045" t="s">
        <v>50</v>
      </c>
      <c r="S4045" t="s">
        <v>40</v>
      </c>
      <c r="T4045">
        <v>2014044650</v>
      </c>
      <c r="U4045">
        <v>327.47050000000002</v>
      </c>
      <c r="V4045" s="3">
        <v>42152</v>
      </c>
    </row>
    <row r="4046" spans="1:22" x14ac:dyDescent="0.35">
      <c r="A4046" s="1">
        <v>42319.939050925925</v>
      </c>
      <c r="B4046" s="2">
        <v>2.8935185185185189E-4</v>
      </c>
      <c r="C4046" t="s">
        <v>106</v>
      </c>
      <c r="D4046" t="s">
        <v>23</v>
      </c>
      <c r="E4046" t="s">
        <v>24</v>
      </c>
      <c r="F4046" t="s">
        <v>6774</v>
      </c>
      <c r="G4046">
        <v>817992</v>
      </c>
      <c r="H4046" t="s">
        <v>26</v>
      </c>
      <c r="I4046" t="s">
        <v>276</v>
      </c>
      <c r="J4046" t="str">
        <f>"9781118222591"</f>
        <v>9781118222591</v>
      </c>
      <c r="K4046" t="s">
        <v>6775</v>
      </c>
      <c r="L4046">
        <v>4</v>
      </c>
      <c r="O4046" t="s">
        <v>30</v>
      </c>
      <c r="P4046" t="s">
        <v>29</v>
      </c>
      <c r="Q4046" s="1">
        <v>42319.939050925925</v>
      </c>
      <c r="R4046">
        <v>7</v>
      </c>
      <c r="S4046" t="s">
        <v>31</v>
      </c>
      <c r="T4046" t="s">
        <v>6776</v>
      </c>
      <c r="U4046" t="s">
        <v>6777</v>
      </c>
      <c r="V4046" s="3">
        <v>41081</v>
      </c>
    </row>
    <row r="4047" spans="1:22" x14ac:dyDescent="0.35">
      <c r="A4047" s="1">
        <v>42319.93309027778</v>
      </c>
      <c r="B4047" s="2">
        <v>5.0856481481481482E-2</v>
      </c>
      <c r="C4047" t="s">
        <v>106</v>
      </c>
      <c r="D4047" t="s">
        <v>23</v>
      </c>
      <c r="E4047" t="s">
        <v>24</v>
      </c>
      <c r="F4047" t="s">
        <v>486</v>
      </c>
      <c r="G4047">
        <v>1119505</v>
      </c>
      <c r="H4047" t="s">
        <v>26</v>
      </c>
      <c r="I4047" t="s">
        <v>450</v>
      </c>
      <c r="J4047" t="str">
        <f>"9781118355015"</f>
        <v>9781118355015</v>
      </c>
      <c r="K4047" t="s">
        <v>6778</v>
      </c>
      <c r="L4047">
        <v>47</v>
      </c>
      <c r="O4047" t="s">
        <v>30</v>
      </c>
      <c r="P4047" t="s">
        <v>29</v>
      </c>
      <c r="Q4047" s="1">
        <v>42314.692002314812</v>
      </c>
      <c r="R4047">
        <v>7</v>
      </c>
      <c r="S4047" t="s">
        <v>31</v>
      </c>
      <c r="T4047" t="s">
        <v>487</v>
      </c>
      <c r="U4047" t="s">
        <v>488</v>
      </c>
      <c r="V4047" s="3">
        <v>41302</v>
      </c>
    </row>
    <row r="4048" spans="1:22" x14ac:dyDescent="0.35">
      <c r="A4048" s="1">
        <v>42319.926990740743</v>
      </c>
      <c r="B4048" s="2">
        <v>0</v>
      </c>
      <c r="C4048" t="s">
        <v>106</v>
      </c>
      <c r="D4048" t="s">
        <v>23</v>
      </c>
      <c r="E4048" t="s">
        <v>24</v>
      </c>
      <c r="F4048" t="s">
        <v>6635</v>
      </c>
      <c r="G4048">
        <v>817871</v>
      </c>
      <c r="H4048" t="s">
        <v>26</v>
      </c>
      <c r="I4048" t="s">
        <v>276</v>
      </c>
      <c r="J4048" t="str">
        <f>"9781118206911"</f>
        <v>9781118206911</v>
      </c>
      <c r="L4048">
        <v>0</v>
      </c>
      <c r="O4048" t="s">
        <v>28</v>
      </c>
      <c r="P4048" t="s">
        <v>29</v>
      </c>
      <c r="Q4048" s="1">
        <v>42314.799872685187</v>
      </c>
      <c r="R4048">
        <v>7</v>
      </c>
      <c r="S4048" t="s">
        <v>31</v>
      </c>
      <c r="T4048" t="s">
        <v>6637</v>
      </c>
      <c r="U4048">
        <v>6.74</v>
      </c>
      <c r="V4048" s="3">
        <v>40897</v>
      </c>
    </row>
    <row r="4049" spans="1:22" x14ac:dyDescent="0.35">
      <c r="A4049" s="1">
        <v>42319.926134259258</v>
      </c>
      <c r="B4049" s="2">
        <v>2.7777777777777778E-4</v>
      </c>
      <c r="C4049" t="s">
        <v>106</v>
      </c>
      <c r="D4049" t="s">
        <v>23</v>
      </c>
      <c r="E4049" t="s">
        <v>24</v>
      </c>
      <c r="F4049" t="s">
        <v>6635</v>
      </c>
      <c r="G4049">
        <v>817871</v>
      </c>
      <c r="H4049" t="s">
        <v>26</v>
      </c>
      <c r="I4049" t="s">
        <v>276</v>
      </c>
      <c r="J4049" t="str">
        <f>"9781118206911"</f>
        <v>9781118206911</v>
      </c>
      <c r="K4049" t="s">
        <v>6779</v>
      </c>
      <c r="L4049">
        <v>3</v>
      </c>
      <c r="O4049" t="s">
        <v>30</v>
      </c>
      <c r="P4049" t="s">
        <v>29</v>
      </c>
      <c r="Q4049" s="1">
        <v>42314.799872685187</v>
      </c>
      <c r="R4049">
        <v>7</v>
      </c>
      <c r="S4049" t="s">
        <v>31</v>
      </c>
      <c r="T4049" t="s">
        <v>6637</v>
      </c>
      <c r="U4049">
        <v>6.74</v>
      </c>
      <c r="V4049" s="3">
        <v>40897</v>
      </c>
    </row>
    <row r="4050" spans="1:22" x14ac:dyDescent="0.35">
      <c r="A4050" s="1">
        <v>42319.919745370367</v>
      </c>
      <c r="B4050" s="2">
        <v>1.9305555555555555E-2</v>
      </c>
      <c r="C4050" t="s">
        <v>106</v>
      </c>
      <c r="D4050" t="s">
        <v>23</v>
      </c>
      <c r="E4050" t="s">
        <v>24</v>
      </c>
      <c r="F4050" t="s">
        <v>6774</v>
      </c>
      <c r="G4050">
        <v>817992</v>
      </c>
      <c r="H4050" t="s">
        <v>26</v>
      </c>
      <c r="I4050" t="s">
        <v>276</v>
      </c>
      <c r="J4050" t="str">
        <f>"9781118222591"</f>
        <v>9781118222591</v>
      </c>
      <c r="K4050" t="s">
        <v>2956</v>
      </c>
      <c r="L4050">
        <v>3</v>
      </c>
      <c r="O4050" t="s">
        <v>30</v>
      </c>
      <c r="P4050" t="s">
        <v>42</v>
      </c>
      <c r="S4050" t="s">
        <v>31</v>
      </c>
      <c r="T4050" t="s">
        <v>6776</v>
      </c>
      <c r="U4050" t="s">
        <v>6777</v>
      </c>
      <c r="V4050" s="3">
        <v>41081</v>
      </c>
    </row>
    <row r="4051" spans="1:22" x14ac:dyDescent="0.35">
      <c r="A4051" s="1">
        <v>42319.915960648148</v>
      </c>
      <c r="B4051" s="2">
        <v>1.4004629629629629E-3</v>
      </c>
      <c r="C4051" t="s">
        <v>6753</v>
      </c>
      <c r="D4051" t="s">
        <v>2519</v>
      </c>
      <c r="E4051" t="s">
        <v>2520</v>
      </c>
      <c r="F4051" t="s">
        <v>6754</v>
      </c>
      <c r="G4051">
        <v>1078671</v>
      </c>
      <c r="H4051" t="s">
        <v>526</v>
      </c>
      <c r="I4051" t="s">
        <v>3674</v>
      </c>
      <c r="J4051" t="str">
        <f>"9780226922133"</f>
        <v>9780226922133</v>
      </c>
      <c r="K4051" t="s">
        <v>6780</v>
      </c>
      <c r="L4051">
        <v>11</v>
      </c>
      <c r="O4051" t="s">
        <v>30</v>
      </c>
      <c r="P4051" t="s">
        <v>50</v>
      </c>
      <c r="S4051" t="s">
        <v>2523</v>
      </c>
      <c r="T4051" t="s">
        <v>6756</v>
      </c>
      <c r="U4051">
        <v>362.11</v>
      </c>
      <c r="V4051" s="3">
        <v>41292</v>
      </c>
    </row>
    <row r="4052" spans="1:22" x14ac:dyDescent="0.35">
      <c r="A4052" s="1">
        <v>42319.902268518519</v>
      </c>
      <c r="B4052" s="2">
        <v>5.9027777777777778E-4</v>
      </c>
      <c r="C4052" t="s">
        <v>6753</v>
      </c>
      <c r="D4052" t="s">
        <v>2519</v>
      </c>
      <c r="E4052" t="s">
        <v>2520</v>
      </c>
      <c r="F4052" t="s">
        <v>6754</v>
      </c>
      <c r="G4052">
        <v>1078671</v>
      </c>
      <c r="H4052" t="s">
        <v>526</v>
      </c>
      <c r="I4052" t="s">
        <v>3674</v>
      </c>
      <c r="J4052" t="str">
        <f>"9780226922133"</f>
        <v>9780226922133</v>
      </c>
      <c r="K4052" t="s">
        <v>6781</v>
      </c>
      <c r="L4052">
        <v>8</v>
      </c>
      <c r="O4052" t="s">
        <v>30</v>
      </c>
      <c r="P4052" t="s">
        <v>50</v>
      </c>
      <c r="S4052" t="s">
        <v>2523</v>
      </c>
      <c r="T4052" t="s">
        <v>6756</v>
      </c>
      <c r="U4052">
        <v>362.11</v>
      </c>
      <c r="V4052" s="3">
        <v>41292</v>
      </c>
    </row>
    <row r="4053" spans="1:22" x14ac:dyDescent="0.35">
      <c r="A4053" s="1">
        <v>42319.879305555558</v>
      </c>
      <c r="B4053" s="2">
        <v>1.5046296296296297E-4</v>
      </c>
      <c r="C4053" t="s">
        <v>6782</v>
      </c>
      <c r="D4053" t="s">
        <v>158</v>
      </c>
      <c r="E4053" t="s">
        <v>159</v>
      </c>
      <c r="F4053" t="s">
        <v>6783</v>
      </c>
      <c r="G4053">
        <v>1895441</v>
      </c>
      <c r="H4053" t="s">
        <v>26</v>
      </c>
      <c r="I4053" t="s">
        <v>187</v>
      </c>
      <c r="J4053" t="str">
        <f>"9781118409718"</f>
        <v>9781118409718</v>
      </c>
      <c r="K4053" t="s">
        <v>6784</v>
      </c>
      <c r="L4053">
        <v>4</v>
      </c>
      <c r="O4053" t="s">
        <v>30</v>
      </c>
      <c r="P4053" t="s">
        <v>50</v>
      </c>
      <c r="S4053" t="s">
        <v>163</v>
      </c>
      <c r="T4053" t="s">
        <v>6785</v>
      </c>
      <c r="U4053">
        <v>636.08960091300003</v>
      </c>
      <c r="V4053" s="3">
        <v>42016</v>
      </c>
    </row>
    <row r="4054" spans="1:22" x14ac:dyDescent="0.35">
      <c r="A4054" s="1">
        <v>42319.865497685183</v>
      </c>
      <c r="B4054" s="2">
        <v>2.3148148148148147E-5</v>
      </c>
      <c r="C4054" t="s">
        <v>5062</v>
      </c>
      <c r="D4054" t="s">
        <v>35</v>
      </c>
      <c r="E4054" t="s">
        <v>36</v>
      </c>
      <c r="F4054" t="s">
        <v>6371</v>
      </c>
      <c r="G4054">
        <v>1776083</v>
      </c>
      <c r="H4054" t="s">
        <v>26</v>
      </c>
      <c r="I4054" t="s">
        <v>247</v>
      </c>
      <c r="J4054" t="str">
        <f>"9781118510278"</f>
        <v>9781118510278</v>
      </c>
      <c r="K4054" t="s">
        <v>2045</v>
      </c>
      <c r="L4054">
        <v>2</v>
      </c>
      <c r="O4054" t="s">
        <v>30</v>
      </c>
      <c r="P4054" t="s">
        <v>47</v>
      </c>
      <c r="Q4054" s="1">
        <v>42319.865486111114</v>
      </c>
      <c r="R4054">
        <v>1</v>
      </c>
      <c r="S4054" t="s">
        <v>40</v>
      </c>
      <c r="T4054" t="s">
        <v>6373</v>
      </c>
      <c r="U4054" t="s">
        <v>1549</v>
      </c>
      <c r="V4054" s="3">
        <v>41876</v>
      </c>
    </row>
    <row r="4055" spans="1:22" x14ac:dyDescent="0.35">
      <c r="A4055" s="1">
        <v>42319.86142361111</v>
      </c>
      <c r="B4055" s="2">
        <v>4.0624999999999993E-3</v>
      </c>
      <c r="C4055" t="s">
        <v>5062</v>
      </c>
      <c r="D4055" t="s">
        <v>35</v>
      </c>
      <c r="E4055" t="s">
        <v>36</v>
      </c>
      <c r="F4055" t="s">
        <v>6371</v>
      </c>
      <c r="G4055">
        <v>1776083</v>
      </c>
      <c r="H4055" t="s">
        <v>26</v>
      </c>
      <c r="I4055" t="s">
        <v>247</v>
      </c>
      <c r="J4055" t="str">
        <f>"9781118510278"</f>
        <v>9781118510278</v>
      </c>
      <c r="K4055" t="s">
        <v>6786</v>
      </c>
      <c r="L4055">
        <v>30</v>
      </c>
      <c r="O4055" t="s">
        <v>30</v>
      </c>
      <c r="P4055" t="s">
        <v>50</v>
      </c>
      <c r="S4055" t="s">
        <v>40</v>
      </c>
      <c r="T4055" t="s">
        <v>6373</v>
      </c>
      <c r="U4055" t="s">
        <v>1549</v>
      </c>
      <c r="V4055" s="3">
        <v>41876</v>
      </c>
    </row>
    <row r="4056" spans="1:22" x14ac:dyDescent="0.35">
      <c r="A4056" s="1">
        <v>42319.819710648146</v>
      </c>
      <c r="B4056" s="2">
        <v>3.4722222222222222E-5</v>
      </c>
      <c r="C4056" t="s">
        <v>6787</v>
      </c>
      <c r="D4056" t="s">
        <v>158</v>
      </c>
      <c r="E4056" t="s">
        <v>159</v>
      </c>
      <c r="F4056" t="s">
        <v>6788</v>
      </c>
      <c r="G4056">
        <v>1784948</v>
      </c>
      <c r="H4056" t="s">
        <v>26</v>
      </c>
      <c r="I4056" t="s">
        <v>172</v>
      </c>
      <c r="J4056" t="str">
        <f>"9781119022336"</f>
        <v>9781119022336</v>
      </c>
      <c r="K4056" t="s">
        <v>105</v>
      </c>
      <c r="L4056">
        <v>1</v>
      </c>
      <c r="O4056" t="s">
        <v>30</v>
      </c>
      <c r="P4056" t="s">
        <v>42</v>
      </c>
      <c r="S4056" t="s">
        <v>163</v>
      </c>
      <c r="T4056" t="s">
        <v>6789</v>
      </c>
      <c r="U4056">
        <v>952</v>
      </c>
      <c r="V4056" s="3">
        <v>41893</v>
      </c>
    </row>
    <row r="4057" spans="1:22" x14ac:dyDescent="0.35">
      <c r="A4057" s="1">
        <v>42319.816319444442</v>
      </c>
      <c r="B4057" s="2">
        <v>3.2638888888888891E-3</v>
      </c>
      <c r="C4057" t="s">
        <v>6790</v>
      </c>
      <c r="D4057" t="s">
        <v>23</v>
      </c>
      <c r="E4057" t="s">
        <v>24</v>
      </c>
      <c r="F4057" t="s">
        <v>486</v>
      </c>
      <c r="G4057">
        <v>1119505</v>
      </c>
      <c r="H4057" t="s">
        <v>26</v>
      </c>
      <c r="I4057" t="s">
        <v>450</v>
      </c>
      <c r="J4057" t="str">
        <f>"9781118355015"</f>
        <v>9781118355015</v>
      </c>
      <c r="K4057" t="s">
        <v>6791</v>
      </c>
      <c r="L4057">
        <v>105</v>
      </c>
      <c r="N4057" t="s">
        <v>6792</v>
      </c>
      <c r="O4057" t="s">
        <v>28</v>
      </c>
      <c r="P4057" t="s">
        <v>29</v>
      </c>
      <c r="Q4057" s="1">
        <v>42317.985439814816</v>
      </c>
      <c r="R4057">
        <v>7</v>
      </c>
      <c r="S4057" t="s">
        <v>31</v>
      </c>
      <c r="T4057" t="s">
        <v>487</v>
      </c>
      <c r="U4057" t="s">
        <v>488</v>
      </c>
      <c r="V4057" s="3">
        <v>41302</v>
      </c>
    </row>
    <row r="4058" spans="1:22" x14ac:dyDescent="0.35">
      <c r="A4058" s="1">
        <v>42319.815949074073</v>
      </c>
      <c r="B4058" s="2">
        <v>3.4722222222222224E-4</v>
      </c>
      <c r="C4058" t="s">
        <v>6790</v>
      </c>
      <c r="D4058" t="s">
        <v>23</v>
      </c>
      <c r="E4058" t="s">
        <v>24</v>
      </c>
      <c r="F4058" t="s">
        <v>486</v>
      </c>
      <c r="G4058">
        <v>1119505</v>
      </c>
      <c r="H4058" t="s">
        <v>26</v>
      </c>
      <c r="I4058" t="s">
        <v>450</v>
      </c>
      <c r="J4058" t="str">
        <f>"9781118355015"</f>
        <v>9781118355015</v>
      </c>
      <c r="K4058" t="s">
        <v>6793</v>
      </c>
      <c r="L4058">
        <v>8</v>
      </c>
      <c r="O4058" t="s">
        <v>30</v>
      </c>
      <c r="P4058" t="s">
        <v>29</v>
      </c>
      <c r="Q4058" s="1">
        <v>42317.985439814816</v>
      </c>
      <c r="R4058">
        <v>7</v>
      </c>
      <c r="S4058" t="s">
        <v>31</v>
      </c>
      <c r="T4058" t="s">
        <v>487</v>
      </c>
      <c r="U4058" t="s">
        <v>488</v>
      </c>
      <c r="V4058" s="3">
        <v>41302</v>
      </c>
    </row>
    <row r="4059" spans="1:22" x14ac:dyDescent="0.35">
      <c r="A4059" s="1">
        <v>42319.798750000002</v>
      </c>
      <c r="B4059" s="2">
        <v>1.3888888888888889E-3</v>
      </c>
      <c r="C4059" t="s">
        <v>6794</v>
      </c>
      <c r="D4059" t="s">
        <v>35</v>
      </c>
      <c r="E4059" t="s">
        <v>36</v>
      </c>
      <c r="F4059" t="s">
        <v>6795</v>
      </c>
      <c r="G4059">
        <v>819226</v>
      </c>
      <c r="H4059" t="s">
        <v>26</v>
      </c>
      <c r="I4059" t="s">
        <v>247</v>
      </c>
      <c r="J4059" t="str">
        <f>"9781119998570"</f>
        <v>9781119998570</v>
      </c>
      <c r="K4059" t="s">
        <v>6796</v>
      </c>
      <c r="L4059">
        <v>17</v>
      </c>
      <c r="O4059" t="s">
        <v>30</v>
      </c>
      <c r="P4059" t="s">
        <v>42</v>
      </c>
      <c r="S4059" t="s">
        <v>40</v>
      </c>
      <c r="T4059" t="s">
        <v>6797</v>
      </c>
      <c r="U4059" t="s">
        <v>6798</v>
      </c>
      <c r="V4059" s="3">
        <v>40917</v>
      </c>
    </row>
    <row r="4060" spans="1:22" x14ac:dyDescent="0.35">
      <c r="A4060" s="1">
        <v>42319.778402777774</v>
      </c>
      <c r="B4060" s="2">
        <v>3.8194444444444446E-4</v>
      </c>
      <c r="C4060" t="s">
        <v>6799</v>
      </c>
      <c r="D4060" t="s">
        <v>2519</v>
      </c>
      <c r="E4060" t="s">
        <v>2520</v>
      </c>
      <c r="F4060" t="s">
        <v>6800</v>
      </c>
      <c r="G4060">
        <v>2038579</v>
      </c>
      <c r="H4060" t="s">
        <v>26</v>
      </c>
      <c r="I4060" t="s">
        <v>630</v>
      </c>
      <c r="J4060" t="str">
        <f>"9781119010050"</f>
        <v>9781119010050</v>
      </c>
      <c r="K4060" t="s">
        <v>6801</v>
      </c>
      <c r="L4060">
        <v>8</v>
      </c>
      <c r="O4060" t="s">
        <v>30</v>
      </c>
      <c r="P4060" t="s">
        <v>50</v>
      </c>
      <c r="S4060" t="s">
        <v>2523</v>
      </c>
      <c r="T4060" t="s">
        <v>6802</v>
      </c>
      <c r="U4060">
        <v>109.2</v>
      </c>
      <c r="V4060" s="3">
        <v>42185</v>
      </c>
    </row>
    <row r="4061" spans="1:22" x14ac:dyDescent="0.35">
      <c r="A4061" s="1">
        <v>42319.769606481481</v>
      </c>
      <c r="B4061" s="2">
        <v>3.2407407407407406E-4</v>
      </c>
      <c r="C4061" t="s">
        <v>3132</v>
      </c>
      <c r="D4061" t="s">
        <v>158</v>
      </c>
      <c r="E4061" t="s">
        <v>159</v>
      </c>
      <c r="F4061" t="s">
        <v>6803</v>
      </c>
      <c r="G4061">
        <v>1869295</v>
      </c>
      <c r="H4061" t="s">
        <v>45</v>
      </c>
      <c r="I4061" t="s">
        <v>120</v>
      </c>
      <c r="J4061" t="str">
        <f>"9781472417114"</f>
        <v>9781472417114</v>
      </c>
      <c r="K4061" t="s">
        <v>6804</v>
      </c>
      <c r="L4061">
        <v>8</v>
      </c>
      <c r="O4061" t="s">
        <v>30</v>
      </c>
      <c r="P4061" t="s">
        <v>50</v>
      </c>
      <c r="S4061" t="s">
        <v>163</v>
      </c>
      <c r="T4061" t="s">
        <v>6805</v>
      </c>
      <c r="U4061">
        <v>303.01</v>
      </c>
      <c r="V4061" s="3">
        <v>42032</v>
      </c>
    </row>
    <row r="4062" spans="1:22" x14ac:dyDescent="0.35">
      <c r="A4062" s="1">
        <v>42319.756712962961</v>
      </c>
      <c r="B4062" s="2">
        <v>1.6319444444444445E-3</v>
      </c>
      <c r="C4062" t="s">
        <v>6806</v>
      </c>
      <c r="D4062" t="s">
        <v>23</v>
      </c>
      <c r="E4062" t="s">
        <v>24</v>
      </c>
      <c r="F4062" t="s">
        <v>6807</v>
      </c>
      <c r="G4062">
        <v>1655589</v>
      </c>
      <c r="H4062" t="s">
        <v>84</v>
      </c>
      <c r="I4062" t="s">
        <v>426</v>
      </c>
      <c r="J4062" t="str">
        <f>"9780520957985"</f>
        <v>9780520957985</v>
      </c>
      <c r="K4062" t="s">
        <v>6808</v>
      </c>
      <c r="L4062">
        <v>33</v>
      </c>
      <c r="O4062" t="s">
        <v>30</v>
      </c>
      <c r="P4062" t="s">
        <v>50</v>
      </c>
      <c r="S4062" t="s">
        <v>31</v>
      </c>
      <c r="T4062" t="s">
        <v>6809</v>
      </c>
      <c r="U4062" t="s">
        <v>6810</v>
      </c>
      <c r="V4062" s="3">
        <v>41741</v>
      </c>
    </row>
    <row r="4063" spans="1:22" x14ac:dyDescent="0.35">
      <c r="A4063" s="1">
        <v>42319.745393518519</v>
      </c>
      <c r="B4063" s="2">
        <v>1.8402777777777777E-3</v>
      </c>
      <c r="C4063" t="s">
        <v>6811</v>
      </c>
      <c r="D4063" t="s">
        <v>1222</v>
      </c>
      <c r="E4063" t="s">
        <v>1223</v>
      </c>
      <c r="F4063" t="s">
        <v>6812</v>
      </c>
      <c r="G4063">
        <v>1676710</v>
      </c>
      <c r="H4063" t="s">
        <v>526</v>
      </c>
      <c r="I4063" t="s">
        <v>6813</v>
      </c>
      <c r="J4063" t="str">
        <f>"9780226118109"</f>
        <v>9780226118109</v>
      </c>
      <c r="K4063" t="s">
        <v>6814</v>
      </c>
      <c r="L4063">
        <v>7</v>
      </c>
      <c r="O4063" t="s">
        <v>30</v>
      </c>
      <c r="P4063" t="s">
        <v>47</v>
      </c>
      <c r="Q4063" s="1">
        <v>42319.745393518519</v>
      </c>
      <c r="R4063">
        <v>1</v>
      </c>
      <c r="S4063" t="s">
        <v>1226</v>
      </c>
      <c r="T4063" t="s">
        <v>6815</v>
      </c>
      <c r="U4063">
        <v>577.29999999999995</v>
      </c>
      <c r="V4063" s="3">
        <v>41782</v>
      </c>
    </row>
    <row r="4064" spans="1:22" x14ac:dyDescent="0.35">
      <c r="A4064" s="1">
        <v>42319.741168981483</v>
      </c>
      <c r="B4064" s="2">
        <v>4.2245370370370371E-3</v>
      </c>
      <c r="C4064" t="s">
        <v>6811</v>
      </c>
      <c r="D4064" t="s">
        <v>1222</v>
      </c>
      <c r="E4064" t="s">
        <v>1223</v>
      </c>
      <c r="F4064" t="s">
        <v>6812</v>
      </c>
      <c r="G4064">
        <v>1676710</v>
      </c>
      <c r="H4064" t="s">
        <v>526</v>
      </c>
      <c r="I4064" t="s">
        <v>6813</v>
      </c>
      <c r="J4064" t="str">
        <f>"9780226118109"</f>
        <v>9780226118109</v>
      </c>
      <c r="K4064" t="s">
        <v>33</v>
      </c>
      <c r="L4064">
        <v>3</v>
      </c>
      <c r="O4064" t="s">
        <v>30</v>
      </c>
      <c r="P4064" t="s">
        <v>50</v>
      </c>
      <c r="S4064" t="s">
        <v>1226</v>
      </c>
      <c r="T4064" t="s">
        <v>6815</v>
      </c>
      <c r="U4064">
        <v>577.29999999999995</v>
      </c>
      <c r="V4064" s="3">
        <v>41782</v>
      </c>
    </row>
    <row r="4065" spans="1:22" x14ac:dyDescent="0.35">
      <c r="A4065" s="1">
        <v>42319.706180555557</v>
      </c>
      <c r="B4065" s="2">
        <v>3.1250000000000001E-4</v>
      </c>
      <c r="C4065" t="s">
        <v>106</v>
      </c>
      <c r="D4065" t="s">
        <v>23</v>
      </c>
      <c r="E4065" t="s">
        <v>24</v>
      </c>
      <c r="F4065" t="s">
        <v>6816</v>
      </c>
      <c r="G4065">
        <v>2058068</v>
      </c>
      <c r="H4065" t="s">
        <v>45</v>
      </c>
      <c r="I4065" t="s">
        <v>120</v>
      </c>
      <c r="J4065" t="str">
        <f>"9781472414533"</f>
        <v>9781472414533</v>
      </c>
      <c r="K4065" t="s">
        <v>586</v>
      </c>
      <c r="L4065">
        <v>10</v>
      </c>
      <c r="O4065" t="s">
        <v>30</v>
      </c>
      <c r="P4065" t="s">
        <v>50</v>
      </c>
      <c r="S4065" t="s">
        <v>31</v>
      </c>
      <c r="T4065" t="s">
        <v>6817</v>
      </c>
      <c r="U4065">
        <v>305.30976700000002</v>
      </c>
      <c r="V4065" s="3">
        <v>42213</v>
      </c>
    </row>
    <row r="4066" spans="1:22" x14ac:dyDescent="0.35">
      <c r="A4066" s="1">
        <v>42319.690162037034</v>
      </c>
      <c r="B4066" s="2">
        <v>6.145833333333333E-3</v>
      </c>
      <c r="C4066" t="s">
        <v>6818</v>
      </c>
      <c r="D4066" t="s">
        <v>23</v>
      </c>
      <c r="E4066" t="s">
        <v>24</v>
      </c>
      <c r="F4066" t="s">
        <v>4526</v>
      </c>
      <c r="G4066">
        <v>771074</v>
      </c>
      <c r="H4066" t="s">
        <v>3465</v>
      </c>
      <c r="I4066" t="s">
        <v>4527</v>
      </c>
      <c r="J4066" t="str">
        <f>"9780761499732"</f>
        <v>9780761499732</v>
      </c>
      <c r="K4066" t="s">
        <v>6819</v>
      </c>
      <c r="L4066">
        <v>33</v>
      </c>
      <c r="O4066" t="s">
        <v>30</v>
      </c>
      <c r="P4066" t="s">
        <v>42</v>
      </c>
      <c r="S4066" t="s">
        <v>31</v>
      </c>
      <c r="T4066" t="s">
        <v>4528</v>
      </c>
      <c r="U4066" t="s">
        <v>4529</v>
      </c>
      <c r="V4066" s="3">
        <v>40909</v>
      </c>
    </row>
    <row r="4067" spans="1:22" x14ac:dyDescent="0.35">
      <c r="A4067" s="1">
        <v>42319.683553240742</v>
      </c>
      <c r="B4067" s="2">
        <v>3.3402777777777774E-2</v>
      </c>
      <c r="C4067" t="s">
        <v>5680</v>
      </c>
      <c r="D4067" t="s">
        <v>23</v>
      </c>
      <c r="E4067" t="s">
        <v>24</v>
      </c>
      <c r="F4067" t="s">
        <v>6820</v>
      </c>
      <c r="G4067">
        <v>1882097</v>
      </c>
      <c r="H4067" t="s">
        <v>84</v>
      </c>
      <c r="I4067" t="s">
        <v>120</v>
      </c>
      <c r="J4067" t="str">
        <f>"9780520958692"</f>
        <v>9780520958692</v>
      </c>
      <c r="K4067" t="s">
        <v>6821</v>
      </c>
      <c r="L4067">
        <v>38</v>
      </c>
      <c r="O4067" t="s">
        <v>30</v>
      </c>
      <c r="P4067" t="s">
        <v>47</v>
      </c>
      <c r="Q4067" s="1">
        <v>42319.683553240742</v>
      </c>
      <c r="R4067">
        <v>1</v>
      </c>
      <c r="S4067" t="s">
        <v>31</v>
      </c>
      <c r="T4067" t="s">
        <v>6822</v>
      </c>
      <c r="U4067">
        <v>303.60000000000002</v>
      </c>
      <c r="V4067" s="3">
        <v>42125</v>
      </c>
    </row>
    <row r="4068" spans="1:22" x14ac:dyDescent="0.35">
      <c r="A4068" s="1">
        <v>42319.679988425924</v>
      </c>
      <c r="B4068" s="2">
        <v>3.5648148148148154E-3</v>
      </c>
      <c r="C4068" t="s">
        <v>5680</v>
      </c>
      <c r="D4068" t="s">
        <v>23</v>
      </c>
      <c r="E4068" t="s">
        <v>24</v>
      </c>
      <c r="F4068" t="s">
        <v>6820</v>
      </c>
      <c r="G4068">
        <v>1882097</v>
      </c>
      <c r="H4068" t="s">
        <v>84</v>
      </c>
      <c r="I4068" t="s">
        <v>120</v>
      </c>
      <c r="J4068" t="str">
        <f>"9780520958692"</f>
        <v>9780520958692</v>
      </c>
      <c r="K4068" t="s">
        <v>6823</v>
      </c>
      <c r="L4068">
        <v>19</v>
      </c>
      <c r="O4068" t="s">
        <v>30</v>
      </c>
      <c r="P4068" t="s">
        <v>50</v>
      </c>
      <c r="S4068" t="s">
        <v>31</v>
      </c>
      <c r="T4068" t="s">
        <v>6822</v>
      </c>
      <c r="U4068">
        <v>303.60000000000002</v>
      </c>
      <c r="V4068" s="3">
        <v>42125</v>
      </c>
    </row>
    <row r="4069" spans="1:22" x14ac:dyDescent="0.35">
      <c r="A4069" s="1">
        <v>42319.657048611109</v>
      </c>
      <c r="B4069" s="2">
        <v>3.3101851851851851E-3</v>
      </c>
      <c r="C4069" t="s">
        <v>6408</v>
      </c>
      <c r="D4069" t="s">
        <v>35</v>
      </c>
      <c r="E4069" t="s">
        <v>36</v>
      </c>
      <c r="F4069" t="s">
        <v>3275</v>
      </c>
      <c r="G4069">
        <v>822662</v>
      </c>
      <c r="H4069" t="s">
        <v>26</v>
      </c>
      <c r="I4069" t="s">
        <v>172</v>
      </c>
      <c r="J4069" t="str">
        <f>"9781444355130"</f>
        <v>9781444355130</v>
      </c>
      <c r="K4069" t="s">
        <v>6824</v>
      </c>
      <c r="L4069">
        <v>49</v>
      </c>
      <c r="O4069" t="s">
        <v>30</v>
      </c>
      <c r="P4069" t="s">
        <v>42</v>
      </c>
      <c r="S4069" t="s">
        <v>40</v>
      </c>
      <c r="T4069" t="s">
        <v>3277</v>
      </c>
      <c r="U4069">
        <v>960.3</v>
      </c>
      <c r="V4069" s="3">
        <v>40858</v>
      </c>
    </row>
    <row r="4070" spans="1:22" x14ac:dyDescent="0.35">
      <c r="A4070" s="1">
        <v>42319.587141203701</v>
      </c>
      <c r="B4070" s="2">
        <v>2.4421296296296296E-3</v>
      </c>
      <c r="C4070" t="s">
        <v>106</v>
      </c>
      <c r="D4070" t="s">
        <v>23</v>
      </c>
      <c r="E4070" t="s">
        <v>24</v>
      </c>
      <c r="F4070" t="s">
        <v>486</v>
      </c>
      <c r="G4070">
        <v>1119505</v>
      </c>
      <c r="H4070" t="s">
        <v>26</v>
      </c>
      <c r="I4070" t="s">
        <v>450</v>
      </c>
      <c r="J4070" t="str">
        <f>"9781118355015"</f>
        <v>9781118355015</v>
      </c>
      <c r="K4070" t="s">
        <v>6825</v>
      </c>
      <c r="L4070">
        <v>13</v>
      </c>
      <c r="O4070" t="s">
        <v>30</v>
      </c>
      <c r="P4070" t="s">
        <v>29</v>
      </c>
      <c r="Q4070" s="1">
        <v>42314.692002314812</v>
      </c>
      <c r="R4070">
        <v>7</v>
      </c>
      <c r="S4070" t="s">
        <v>31</v>
      </c>
      <c r="T4070" t="s">
        <v>487</v>
      </c>
      <c r="U4070" t="s">
        <v>488</v>
      </c>
      <c r="V4070" s="3">
        <v>41302</v>
      </c>
    </row>
    <row r="4071" spans="1:22" x14ac:dyDescent="0.35">
      <c r="A4071" s="1">
        <v>42319.505104166667</v>
      </c>
      <c r="B4071" s="2">
        <v>0</v>
      </c>
      <c r="C4071" t="s">
        <v>349</v>
      </c>
      <c r="D4071" t="s">
        <v>23</v>
      </c>
      <c r="E4071" t="s">
        <v>24</v>
      </c>
      <c r="F4071" t="s">
        <v>6826</v>
      </c>
      <c r="G4071">
        <v>1386415</v>
      </c>
      <c r="H4071" t="s">
        <v>68</v>
      </c>
      <c r="I4071" t="s">
        <v>219</v>
      </c>
      <c r="J4071" t="str">
        <f>"9781135124779"</f>
        <v>9781135124779</v>
      </c>
      <c r="L4071">
        <v>0</v>
      </c>
      <c r="O4071" t="s">
        <v>28</v>
      </c>
      <c r="P4071" t="s">
        <v>47</v>
      </c>
      <c r="Q4071" s="1">
        <v>42319.505104166667</v>
      </c>
      <c r="R4071">
        <v>1</v>
      </c>
      <c r="S4071" t="s">
        <v>31</v>
      </c>
      <c r="T4071" t="s">
        <v>6827</v>
      </c>
      <c r="U4071">
        <v>152.13999999999999</v>
      </c>
      <c r="V4071" s="3">
        <v>41528</v>
      </c>
    </row>
    <row r="4072" spans="1:22" x14ac:dyDescent="0.35">
      <c r="A4072" s="1">
        <v>42319.505104166667</v>
      </c>
      <c r="B4072" s="2">
        <v>0</v>
      </c>
      <c r="C4072" t="s">
        <v>349</v>
      </c>
      <c r="D4072" t="s">
        <v>23</v>
      </c>
      <c r="E4072" t="s">
        <v>24</v>
      </c>
      <c r="F4072" t="s">
        <v>6826</v>
      </c>
      <c r="G4072">
        <v>1386415</v>
      </c>
      <c r="H4072" t="s">
        <v>68</v>
      </c>
      <c r="I4072" t="s">
        <v>219</v>
      </c>
      <c r="J4072" t="str">
        <f>"9781135124779"</f>
        <v>9781135124779</v>
      </c>
      <c r="L4072">
        <v>0</v>
      </c>
      <c r="O4072" t="s">
        <v>30</v>
      </c>
      <c r="P4072" t="s">
        <v>47</v>
      </c>
      <c r="Q4072" s="1">
        <v>42319.505104166667</v>
      </c>
      <c r="R4072">
        <v>1</v>
      </c>
      <c r="S4072" t="s">
        <v>31</v>
      </c>
      <c r="T4072" t="s">
        <v>6827</v>
      </c>
      <c r="U4072">
        <v>152.13999999999999</v>
      </c>
      <c r="V4072" s="3">
        <v>41528</v>
      </c>
    </row>
    <row r="4073" spans="1:22" x14ac:dyDescent="0.35">
      <c r="A4073" s="1">
        <v>42319.504849537036</v>
      </c>
      <c r="B4073" s="2">
        <v>2.5462962962962961E-4</v>
      </c>
      <c r="C4073" t="s">
        <v>349</v>
      </c>
      <c r="D4073" t="s">
        <v>23</v>
      </c>
      <c r="E4073" t="s">
        <v>24</v>
      </c>
      <c r="F4073" t="s">
        <v>6826</v>
      </c>
      <c r="G4073">
        <v>1386415</v>
      </c>
      <c r="H4073" t="s">
        <v>68</v>
      </c>
      <c r="I4073" t="s">
        <v>219</v>
      </c>
      <c r="J4073" t="str">
        <f>"9781135124779"</f>
        <v>9781135124779</v>
      </c>
      <c r="K4073" t="s">
        <v>209</v>
      </c>
      <c r="L4073">
        <v>4</v>
      </c>
      <c r="O4073" t="s">
        <v>30</v>
      </c>
      <c r="P4073" t="s">
        <v>50</v>
      </c>
      <c r="S4073" t="s">
        <v>31</v>
      </c>
      <c r="T4073" t="s">
        <v>6827</v>
      </c>
      <c r="U4073">
        <v>152.13999999999999</v>
      </c>
      <c r="V4073" s="3">
        <v>41528</v>
      </c>
    </row>
    <row r="4074" spans="1:22" x14ac:dyDescent="0.35">
      <c r="A4074" s="1">
        <v>42319.430543981478</v>
      </c>
      <c r="B4074" s="2">
        <v>4.9768518518518521E-4</v>
      </c>
      <c r="C4074" t="s">
        <v>1103</v>
      </c>
      <c r="D4074" t="s">
        <v>23</v>
      </c>
      <c r="E4074" t="s">
        <v>24</v>
      </c>
      <c r="F4074" t="s">
        <v>2000</v>
      </c>
      <c r="G4074">
        <v>1765699</v>
      </c>
      <c r="H4074" t="s">
        <v>1474</v>
      </c>
      <c r="I4074" t="s">
        <v>120</v>
      </c>
      <c r="J4074" t="str">
        <f>"9781137388476"</f>
        <v>9781137388476</v>
      </c>
      <c r="K4074" t="s">
        <v>6828</v>
      </c>
      <c r="L4074">
        <v>6</v>
      </c>
      <c r="O4074" t="s">
        <v>30</v>
      </c>
      <c r="P4074" t="s">
        <v>29</v>
      </c>
      <c r="Q4074" s="1">
        <v>42319.430543981478</v>
      </c>
      <c r="R4074">
        <v>7</v>
      </c>
      <c r="S4074" t="s">
        <v>31</v>
      </c>
      <c r="T4074" t="s">
        <v>2002</v>
      </c>
      <c r="U4074" t="s">
        <v>2003</v>
      </c>
      <c r="V4074" s="3">
        <v>41788</v>
      </c>
    </row>
    <row r="4075" spans="1:22" x14ac:dyDescent="0.35">
      <c r="A4075" s="1">
        <v>42319.422847222224</v>
      </c>
      <c r="B4075" s="2">
        <v>7.69675925925926E-3</v>
      </c>
      <c r="C4075" t="s">
        <v>1103</v>
      </c>
      <c r="D4075" t="s">
        <v>23</v>
      </c>
      <c r="E4075" t="s">
        <v>24</v>
      </c>
      <c r="F4075" t="s">
        <v>2000</v>
      </c>
      <c r="G4075">
        <v>1765699</v>
      </c>
      <c r="H4075" t="s">
        <v>1474</v>
      </c>
      <c r="I4075" t="s">
        <v>120</v>
      </c>
      <c r="J4075" t="str">
        <f>"9781137388476"</f>
        <v>9781137388476</v>
      </c>
      <c r="K4075" t="s">
        <v>6829</v>
      </c>
      <c r="L4075">
        <v>47</v>
      </c>
      <c r="O4075" t="s">
        <v>30</v>
      </c>
      <c r="P4075" t="s">
        <v>42</v>
      </c>
      <c r="S4075" t="s">
        <v>31</v>
      </c>
      <c r="T4075" t="s">
        <v>2002</v>
      </c>
      <c r="U4075" t="s">
        <v>2003</v>
      </c>
      <c r="V4075" s="3">
        <v>41788</v>
      </c>
    </row>
    <row r="4076" spans="1:22" x14ac:dyDescent="0.35">
      <c r="A4076" s="1">
        <v>42319.337534722225</v>
      </c>
      <c r="B4076" s="2">
        <v>1.2650462962962962E-2</v>
      </c>
      <c r="C4076" t="s">
        <v>106</v>
      </c>
      <c r="D4076" t="s">
        <v>23</v>
      </c>
      <c r="E4076" t="s">
        <v>24</v>
      </c>
      <c r="F4076" t="s">
        <v>5494</v>
      </c>
      <c r="G4076">
        <v>1589615</v>
      </c>
      <c r="H4076" t="s">
        <v>45</v>
      </c>
      <c r="I4076" t="s">
        <v>172</v>
      </c>
      <c r="J4076" t="str">
        <f>"9781409469865"</f>
        <v>9781409469865</v>
      </c>
      <c r="K4076" t="s">
        <v>6830</v>
      </c>
      <c r="L4076">
        <v>34</v>
      </c>
      <c r="O4076" t="s">
        <v>30</v>
      </c>
      <c r="P4076" t="s">
        <v>47</v>
      </c>
      <c r="Q4076" s="1">
        <v>42319.309583333335</v>
      </c>
      <c r="R4076">
        <v>1</v>
      </c>
      <c r="S4076" t="s">
        <v>31</v>
      </c>
      <c r="T4076" t="s">
        <v>5496</v>
      </c>
      <c r="U4076">
        <v>949.50199999999995</v>
      </c>
      <c r="V4076" s="3">
        <v>41940</v>
      </c>
    </row>
    <row r="4077" spans="1:22" x14ac:dyDescent="0.35">
      <c r="A4077" s="1">
        <v>42319.309583333335</v>
      </c>
      <c r="B4077" s="2">
        <v>1.019675925925926E-2</v>
      </c>
      <c r="C4077" t="s">
        <v>106</v>
      </c>
      <c r="D4077" t="s">
        <v>23</v>
      </c>
      <c r="E4077" t="s">
        <v>24</v>
      </c>
      <c r="F4077" t="s">
        <v>5494</v>
      </c>
      <c r="G4077">
        <v>1589615</v>
      </c>
      <c r="H4077" t="s">
        <v>45</v>
      </c>
      <c r="I4077" t="s">
        <v>172</v>
      </c>
      <c r="J4077" t="str">
        <f>"9781409469865"</f>
        <v>9781409469865</v>
      </c>
      <c r="K4077" t="s">
        <v>6831</v>
      </c>
      <c r="L4077">
        <v>10</v>
      </c>
      <c r="O4077" t="s">
        <v>30</v>
      </c>
      <c r="P4077" t="s">
        <v>47</v>
      </c>
      <c r="Q4077" s="1">
        <v>42319.309583333335</v>
      </c>
      <c r="R4077">
        <v>1</v>
      </c>
      <c r="S4077" t="s">
        <v>31</v>
      </c>
      <c r="T4077" t="s">
        <v>5496</v>
      </c>
      <c r="U4077">
        <v>949.50199999999995</v>
      </c>
      <c r="V4077" s="3">
        <v>41940</v>
      </c>
    </row>
    <row r="4078" spans="1:22" x14ac:dyDescent="0.35">
      <c r="A4078" s="1">
        <v>42319.305289351854</v>
      </c>
      <c r="B4078" s="2">
        <v>4.2939814814814811E-3</v>
      </c>
      <c r="C4078" t="s">
        <v>106</v>
      </c>
      <c r="D4078" t="s">
        <v>23</v>
      </c>
      <c r="E4078" t="s">
        <v>24</v>
      </c>
      <c r="F4078" t="s">
        <v>5494</v>
      </c>
      <c r="G4078">
        <v>1589615</v>
      </c>
      <c r="H4078" t="s">
        <v>45</v>
      </c>
      <c r="I4078" t="s">
        <v>172</v>
      </c>
      <c r="J4078" t="str">
        <f>"9781409469865"</f>
        <v>9781409469865</v>
      </c>
      <c r="K4078" t="s">
        <v>6832</v>
      </c>
      <c r="L4078">
        <v>8</v>
      </c>
      <c r="O4078" t="s">
        <v>30</v>
      </c>
      <c r="P4078" t="s">
        <v>50</v>
      </c>
      <c r="S4078" t="s">
        <v>31</v>
      </c>
      <c r="T4078" t="s">
        <v>5496</v>
      </c>
      <c r="U4078">
        <v>949.50199999999995</v>
      </c>
      <c r="V4078" s="3">
        <v>41940</v>
      </c>
    </row>
    <row r="4079" spans="1:22" x14ac:dyDescent="0.35">
      <c r="A4079" s="1">
        <v>42319.292627314811</v>
      </c>
      <c r="B4079" s="2">
        <v>2.3148148148148147E-5</v>
      </c>
      <c r="C4079" t="s">
        <v>106</v>
      </c>
      <c r="D4079" t="s">
        <v>23</v>
      </c>
      <c r="E4079" t="s">
        <v>24</v>
      </c>
      <c r="F4079" t="s">
        <v>1477</v>
      </c>
      <c r="G4079">
        <v>822111</v>
      </c>
      <c r="H4079" t="s">
        <v>26</v>
      </c>
      <c r="I4079" t="s">
        <v>120</v>
      </c>
      <c r="J4079" t="str">
        <f>"9781444356922"</f>
        <v>9781444356922</v>
      </c>
      <c r="K4079" t="s">
        <v>6833</v>
      </c>
      <c r="L4079">
        <v>5</v>
      </c>
      <c r="O4079" t="s">
        <v>30</v>
      </c>
      <c r="P4079" t="s">
        <v>29</v>
      </c>
      <c r="Q4079" s="1">
        <v>42319.292615740742</v>
      </c>
      <c r="R4079">
        <v>7</v>
      </c>
      <c r="S4079" t="s">
        <v>31</v>
      </c>
      <c r="T4079" t="s">
        <v>1479</v>
      </c>
      <c r="U4079" t="s">
        <v>1480</v>
      </c>
      <c r="V4079" s="3">
        <v>40955</v>
      </c>
    </row>
    <row r="4080" spans="1:22" x14ac:dyDescent="0.35">
      <c r="A4080" s="1">
        <v>42319.289317129631</v>
      </c>
      <c r="B4080" s="2">
        <v>7.6388888888888893E-4</v>
      </c>
      <c r="C4080" t="s">
        <v>6834</v>
      </c>
      <c r="D4080" t="s">
        <v>23</v>
      </c>
      <c r="E4080" t="s">
        <v>24</v>
      </c>
      <c r="F4080" t="s">
        <v>5494</v>
      </c>
      <c r="G4080">
        <v>1589615</v>
      </c>
      <c r="H4080" t="s">
        <v>45</v>
      </c>
      <c r="I4080" t="s">
        <v>172</v>
      </c>
      <c r="J4080" t="str">
        <f>"9781409469865"</f>
        <v>9781409469865</v>
      </c>
      <c r="K4080" t="s">
        <v>6835</v>
      </c>
      <c r="L4080">
        <v>21</v>
      </c>
      <c r="O4080" t="s">
        <v>30</v>
      </c>
      <c r="P4080" t="s">
        <v>50</v>
      </c>
      <c r="S4080" t="s">
        <v>31</v>
      </c>
      <c r="T4080" t="s">
        <v>5496</v>
      </c>
      <c r="U4080">
        <v>949.50199999999995</v>
      </c>
      <c r="V4080" s="3">
        <v>41940</v>
      </c>
    </row>
    <row r="4081" spans="1:22" x14ac:dyDescent="0.35">
      <c r="A4081" s="1">
        <v>42319.276087962964</v>
      </c>
      <c r="B4081" s="2">
        <v>0.12707175925925926</v>
      </c>
      <c r="C4081" t="s">
        <v>6836</v>
      </c>
      <c r="D4081" t="s">
        <v>23</v>
      </c>
      <c r="E4081" t="s">
        <v>24</v>
      </c>
      <c r="F4081" t="s">
        <v>6837</v>
      </c>
      <c r="G4081">
        <v>1655862</v>
      </c>
      <c r="H4081" t="s">
        <v>613</v>
      </c>
      <c r="I4081" t="s">
        <v>5632</v>
      </c>
      <c r="J4081" t="str">
        <f>"9781469615493"</f>
        <v>9781469615493</v>
      </c>
      <c r="K4081" t="s">
        <v>6838</v>
      </c>
      <c r="L4081">
        <v>41</v>
      </c>
      <c r="O4081" t="s">
        <v>30</v>
      </c>
      <c r="P4081" t="s">
        <v>29</v>
      </c>
      <c r="Q4081" s="1">
        <v>42319.276076388887</v>
      </c>
      <c r="R4081">
        <v>7</v>
      </c>
      <c r="S4081" t="s">
        <v>31</v>
      </c>
      <c r="T4081" t="s">
        <v>6839</v>
      </c>
      <c r="U4081" t="s">
        <v>6840</v>
      </c>
      <c r="V4081" s="3">
        <v>41744</v>
      </c>
    </row>
    <row r="4082" spans="1:22" x14ac:dyDescent="0.35">
      <c r="A4082" s="1">
        <v>42319.272581018522</v>
      </c>
      <c r="B4082" s="2">
        <v>2.0034722222222221E-2</v>
      </c>
      <c r="C4082" t="s">
        <v>106</v>
      </c>
      <c r="D4082" t="s">
        <v>23</v>
      </c>
      <c r="E4082" t="s">
        <v>24</v>
      </c>
      <c r="F4082" t="s">
        <v>1477</v>
      </c>
      <c r="G4082">
        <v>822111</v>
      </c>
      <c r="H4082" t="s">
        <v>26</v>
      </c>
      <c r="I4082" t="s">
        <v>120</v>
      </c>
      <c r="J4082" t="str">
        <f>"9781444356922"</f>
        <v>9781444356922</v>
      </c>
      <c r="K4082" t="s">
        <v>6841</v>
      </c>
      <c r="L4082">
        <v>27</v>
      </c>
      <c r="O4082" t="s">
        <v>30</v>
      </c>
      <c r="P4082" t="s">
        <v>42</v>
      </c>
      <c r="S4082" t="s">
        <v>31</v>
      </c>
      <c r="T4082" t="s">
        <v>1479</v>
      </c>
      <c r="U4082" t="s">
        <v>1480</v>
      </c>
      <c r="V4082" s="3">
        <v>40955</v>
      </c>
    </row>
    <row r="4083" spans="1:22" x14ac:dyDescent="0.35">
      <c r="A4083" s="1">
        <v>42319.225856481484</v>
      </c>
      <c r="B4083" s="2">
        <v>6.5972222222222213E-4</v>
      </c>
      <c r="C4083" t="s">
        <v>6811</v>
      </c>
      <c r="D4083" t="s">
        <v>1222</v>
      </c>
      <c r="E4083" t="s">
        <v>1223</v>
      </c>
      <c r="F4083" t="s">
        <v>6812</v>
      </c>
      <c r="G4083">
        <v>1676710</v>
      </c>
      <c r="H4083" t="s">
        <v>526</v>
      </c>
      <c r="I4083" t="s">
        <v>6813</v>
      </c>
      <c r="J4083" t="str">
        <f>"9780226118109"</f>
        <v>9780226118109</v>
      </c>
      <c r="K4083" t="s">
        <v>6842</v>
      </c>
      <c r="L4083">
        <v>8</v>
      </c>
      <c r="O4083" t="s">
        <v>30</v>
      </c>
      <c r="P4083" t="s">
        <v>50</v>
      </c>
      <c r="S4083" t="s">
        <v>1226</v>
      </c>
      <c r="T4083" t="s">
        <v>6815</v>
      </c>
      <c r="U4083">
        <v>577.29999999999995</v>
      </c>
      <c r="V4083" s="3">
        <v>41782</v>
      </c>
    </row>
    <row r="4084" spans="1:22" x14ac:dyDescent="0.35">
      <c r="A4084" s="1">
        <v>42319.214155092595</v>
      </c>
      <c r="B4084" s="2">
        <v>6.1921296296296301E-2</v>
      </c>
      <c r="C4084" t="s">
        <v>6836</v>
      </c>
      <c r="D4084" t="s">
        <v>23</v>
      </c>
      <c r="E4084" t="s">
        <v>24</v>
      </c>
      <c r="F4084" t="s">
        <v>6837</v>
      </c>
      <c r="G4084">
        <v>1655862</v>
      </c>
      <c r="H4084" t="s">
        <v>613</v>
      </c>
      <c r="I4084" t="s">
        <v>5632</v>
      </c>
      <c r="J4084" t="str">
        <f>"9781469615493"</f>
        <v>9781469615493</v>
      </c>
      <c r="K4084" t="s">
        <v>6843</v>
      </c>
      <c r="L4084">
        <v>34</v>
      </c>
      <c r="O4084" t="s">
        <v>30</v>
      </c>
      <c r="P4084" t="s">
        <v>42</v>
      </c>
      <c r="S4084" t="s">
        <v>31</v>
      </c>
      <c r="T4084" t="s">
        <v>6839</v>
      </c>
      <c r="U4084" t="s">
        <v>6840</v>
      </c>
      <c r="V4084" s="3">
        <v>41744</v>
      </c>
    </row>
    <row r="4085" spans="1:22" x14ac:dyDescent="0.35">
      <c r="A4085" s="1">
        <v>42319.205416666664</v>
      </c>
      <c r="B4085" s="2">
        <v>0</v>
      </c>
      <c r="C4085" t="s">
        <v>6138</v>
      </c>
      <c r="D4085" t="s">
        <v>623</v>
      </c>
      <c r="E4085" t="s">
        <v>624</v>
      </c>
      <c r="F4085" t="s">
        <v>6139</v>
      </c>
      <c r="G4085">
        <v>2004809</v>
      </c>
      <c r="H4085" t="s">
        <v>45</v>
      </c>
      <c r="I4085" t="s">
        <v>79</v>
      </c>
      <c r="J4085" t="str">
        <f>"9781472443465"</f>
        <v>9781472443465</v>
      </c>
      <c r="K4085" t="s">
        <v>2722</v>
      </c>
      <c r="L4085">
        <v>1</v>
      </c>
      <c r="O4085" t="s">
        <v>30</v>
      </c>
      <c r="P4085" t="s">
        <v>47</v>
      </c>
      <c r="Q4085" s="1">
        <v>42319.205416666664</v>
      </c>
      <c r="R4085">
        <v>1</v>
      </c>
      <c r="S4085" t="s">
        <v>627</v>
      </c>
      <c r="T4085" t="s">
        <v>6141</v>
      </c>
      <c r="U4085" t="s">
        <v>6142</v>
      </c>
      <c r="V4085" s="3">
        <v>42122</v>
      </c>
    </row>
    <row r="4086" spans="1:22" x14ac:dyDescent="0.35">
      <c r="A4086" s="1">
        <v>42319.201736111114</v>
      </c>
      <c r="B4086" s="2">
        <v>3.6805555555555554E-3</v>
      </c>
      <c r="C4086" t="s">
        <v>6138</v>
      </c>
      <c r="D4086" t="s">
        <v>623</v>
      </c>
      <c r="E4086" t="s">
        <v>624</v>
      </c>
      <c r="F4086" t="s">
        <v>6139</v>
      </c>
      <c r="G4086">
        <v>2004809</v>
      </c>
      <c r="H4086" t="s">
        <v>45</v>
      </c>
      <c r="I4086" t="s">
        <v>79</v>
      </c>
      <c r="J4086" t="str">
        <f>"9781472443465"</f>
        <v>9781472443465</v>
      </c>
      <c r="K4086" t="s">
        <v>6844</v>
      </c>
      <c r="L4086">
        <v>23</v>
      </c>
      <c r="O4086" t="s">
        <v>30</v>
      </c>
      <c r="P4086" t="s">
        <v>50</v>
      </c>
      <c r="S4086" t="s">
        <v>627</v>
      </c>
      <c r="T4086" t="s">
        <v>6141</v>
      </c>
      <c r="U4086" t="s">
        <v>6142</v>
      </c>
      <c r="V4086" s="3">
        <v>42122</v>
      </c>
    </row>
    <row r="4087" spans="1:22" x14ac:dyDescent="0.35">
      <c r="A4087" s="1">
        <v>42319.148009259261</v>
      </c>
      <c r="B4087" s="2">
        <v>6.0995370370370361E-3</v>
      </c>
      <c r="C4087" t="s">
        <v>6845</v>
      </c>
      <c r="D4087" t="s">
        <v>35</v>
      </c>
      <c r="E4087" t="s">
        <v>36</v>
      </c>
      <c r="F4087" t="s">
        <v>111</v>
      </c>
      <c r="G4087">
        <v>693176</v>
      </c>
      <c r="H4087" t="s">
        <v>26</v>
      </c>
      <c r="I4087" t="s">
        <v>112</v>
      </c>
      <c r="J4087" t="str">
        <f>"9781118017746"</f>
        <v>9781118017746</v>
      </c>
      <c r="K4087" t="s">
        <v>6846</v>
      </c>
      <c r="L4087">
        <v>21</v>
      </c>
      <c r="O4087" t="s">
        <v>30</v>
      </c>
      <c r="P4087" t="s">
        <v>29</v>
      </c>
      <c r="Q4087" s="1">
        <v>42319.147997685184</v>
      </c>
      <c r="R4087">
        <v>7</v>
      </c>
      <c r="S4087" t="s">
        <v>40</v>
      </c>
      <c r="T4087" t="s">
        <v>114</v>
      </c>
      <c r="U4087" t="s">
        <v>115</v>
      </c>
      <c r="V4087" s="3">
        <v>40835</v>
      </c>
    </row>
    <row r="4088" spans="1:22" x14ac:dyDescent="0.35">
      <c r="A4088" s="1">
        <v>42319.1409375</v>
      </c>
      <c r="B4088" s="2">
        <v>7.0601851851851841E-3</v>
      </c>
      <c r="C4088" t="s">
        <v>6845</v>
      </c>
      <c r="D4088" t="s">
        <v>35</v>
      </c>
      <c r="E4088" t="s">
        <v>36</v>
      </c>
      <c r="F4088" t="s">
        <v>111</v>
      </c>
      <c r="G4088">
        <v>693176</v>
      </c>
      <c r="H4088" t="s">
        <v>26</v>
      </c>
      <c r="I4088" t="s">
        <v>112</v>
      </c>
      <c r="J4088" t="str">
        <f>"9781118017746"</f>
        <v>9781118017746</v>
      </c>
      <c r="K4088" t="s">
        <v>6847</v>
      </c>
      <c r="L4088">
        <v>12</v>
      </c>
      <c r="O4088" t="s">
        <v>30</v>
      </c>
      <c r="P4088" t="s">
        <v>42</v>
      </c>
      <c r="S4088" t="s">
        <v>40</v>
      </c>
      <c r="T4088" t="s">
        <v>114</v>
      </c>
      <c r="U4088" t="s">
        <v>115</v>
      </c>
      <c r="V4088" s="3">
        <v>40835</v>
      </c>
    </row>
    <row r="4089" spans="1:22" x14ac:dyDescent="0.35">
      <c r="A4089" s="1">
        <v>42319.117523148147</v>
      </c>
      <c r="B4089" s="2">
        <v>4.5740740740740742E-2</v>
      </c>
      <c r="C4089" t="s">
        <v>6848</v>
      </c>
      <c r="D4089" t="s">
        <v>261</v>
      </c>
      <c r="E4089" t="s">
        <v>262</v>
      </c>
      <c r="F4089" t="s">
        <v>3179</v>
      </c>
      <c r="G4089">
        <v>1172554</v>
      </c>
      <c r="H4089" t="s">
        <v>1365</v>
      </c>
      <c r="I4089" t="s">
        <v>172</v>
      </c>
      <c r="J4089" t="str">
        <f>""</f>
        <v/>
      </c>
      <c r="K4089" t="s">
        <v>6849</v>
      </c>
      <c r="L4089">
        <v>34</v>
      </c>
      <c r="O4089" t="s">
        <v>30</v>
      </c>
      <c r="P4089" t="s">
        <v>29</v>
      </c>
      <c r="Q4089" s="1">
        <v>42319.117511574077</v>
      </c>
      <c r="R4089">
        <v>7</v>
      </c>
      <c r="S4089" t="s">
        <v>264</v>
      </c>
      <c r="T4089" t="s">
        <v>3182</v>
      </c>
      <c r="U4089" t="s">
        <v>3183</v>
      </c>
      <c r="V4089" s="3">
        <v>41375</v>
      </c>
    </row>
    <row r="4090" spans="1:22" x14ac:dyDescent="0.35">
      <c r="A4090" s="1">
        <v>42319.104467592595</v>
      </c>
      <c r="B4090" s="2">
        <v>1.3043981481481483E-2</v>
      </c>
      <c r="C4090" t="s">
        <v>6848</v>
      </c>
      <c r="D4090" t="s">
        <v>261</v>
      </c>
      <c r="E4090" t="s">
        <v>262</v>
      </c>
      <c r="F4090" t="s">
        <v>3179</v>
      </c>
      <c r="G4090">
        <v>1172554</v>
      </c>
      <c r="H4090" t="s">
        <v>1365</v>
      </c>
      <c r="I4090" t="s">
        <v>172</v>
      </c>
      <c r="J4090" t="str">
        <f>""</f>
        <v/>
      </c>
      <c r="K4090" t="s">
        <v>6850</v>
      </c>
      <c r="L4090">
        <v>39</v>
      </c>
      <c r="O4090" t="s">
        <v>30</v>
      </c>
      <c r="P4090" t="s">
        <v>42</v>
      </c>
      <c r="S4090" t="s">
        <v>264</v>
      </c>
      <c r="T4090" t="s">
        <v>3182</v>
      </c>
      <c r="U4090" t="s">
        <v>3183</v>
      </c>
      <c r="V4090" s="3">
        <v>41375</v>
      </c>
    </row>
    <row r="4091" spans="1:22" x14ac:dyDescent="0.35">
      <c r="A4091" s="1">
        <v>42319.09269675926</v>
      </c>
      <c r="B4091" s="2">
        <v>6.9444444444444444E-5</v>
      </c>
      <c r="C4091" t="s">
        <v>6851</v>
      </c>
      <c r="D4091" t="s">
        <v>35</v>
      </c>
      <c r="E4091" t="s">
        <v>36</v>
      </c>
      <c r="F4091" t="s">
        <v>4223</v>
      </c>
      <c r="G4091">
        <v>980956</v>
      </c>
      <c r="H4091" t="s">
        <v>26</v>
      </c>
      <c r="I4091" t="s">
        <v>4224</v>
      </c>
      <c r="J4091" t="str">
        <f>"9781118227251"</f>
        <v>9781118227251</v>
      </c>
      <c r="K4091" t="s">
        <v>33</v>
      </c>
      <c r="L4091">
        <v>3</v>
      </c>
      <c r="O4091" t="s">
        <v>30</v>
      </c>
      <c r="P4091" t="s">
        <v>42</v>
      </c>
      <c r="S4091" t="s">
        <v>40</v>
      </c>
      <c r="T4091" t="s">
        <v>4226</v>
      </c>
      <c r="U4091" t="s">
        <v>4227</v>
      </c>
      <c r="V4091" s="3">
        <v>41113</v>
      </c>
    </row>
    <row r="4092" spans="1:22" x14ac:dyDescent="0.35">
      <c r="A4092" s="1">
        <v>42319.079409722224</v>
      </c>
      <c r="B4092" s="2">
        <v>2.0833333333333335E-4</v>
      </c>
      <c r="C4092" t="s">
        <v>4006</v>
      </c>
      <c r="D4092" t="s">
        <v>623</v>
      </c>
      <c r="E4092" t="s">
        <v>624</v>
      </c>
      <c r="F4092" t="s">
        <v>6699</v>
      </c>
      <c r="G4092">
        <v>1576323</v>
      </c>
      <c r="H4092" t="s">
        <v>26</v>
      </c>
      <c r="I4092" t="s">
        <v>2836</v>
      </c>
      <c r="J4092" t="str">
        <f>"9780857084576"</f>
        <v>9780857084576</v>
      </c>
      <c r="K4092" t="s">
        <v>6852</v>
      </c>
      <c r="L4092">
        <v>8</v>
      </c>
      <c r="O4092" t="s">
        <v>30</v>
      </c>
      <c r="P4092" t="s">
        <v>50</v>
      </c>
      <c r="S4092" t="s">
        <v>627</v>
      </c>
      <c r="T4092" t="s">
        <v>6702</v>
      </c>
      <c r="U4092">
        <v>158.1</v>
      </c>
      <c r="V4092" s="3">
        <v>41611</v>
      </c>
    </row>
    <row r="4093" spans="1:22" x14ac:dyDescent="0.35">
      <c r="A4093" s="1">
        <v>42319.076342592591</v>
      </c>
      <c r="B4093" s="2">
        <v>1.6203703703703703E-4</v>
      </c>
      <c r="C4093" t="s">
        <v>4006</v>
      </c>
      <c r="D4093" t="s">
        <v>623</v>
      </c>
      <c r="E4093" t="s">
        <v>624</v>
      </c>
      <c r="F4093" t="s">
        <v>6853</v>
      </c>
      <c r="G4093">
        <v>1895417</v>
      </c>
      <c r="H4093" t="s">
        <v>26</v>
      </c>
      <c r="I4093" t="s">
        <v>219</v>
      </c>
      <c r="J4093" t="str">
        <f>"9780857086006"</f>
        <v>9780857086006</v>
      </c>
      <c r="K4093" t="s">
        <v>6854</v>
      </c>
      <c r="L4093">
        <v>8</v>
      </c>
      <c r="O4093" t="s">
        <v>30</v>
      </c>
      <c r="P4093" t="s">
        <v>50</v>
      </c>
      <c r="S4093" t="s">
        <v>627</v>
      </c>
      <c r="T4093" t="s">
        <v>6855</v>
      </c>
      <c r="U4093">
        <v>158</v>
      </c>
      <c r="V4093" s="3">
        <v>42093</v>
      </c>
    </row>
    <row r="4094" spans="1:22" x14ac:dyDescent="0.35">
      <c r="A4094" s="1">
        <v>42319.072858796295</v>
      </c>
      <c r="B4094" s="2">
        <v>9.6064814814814808E-4</v>
      </c>
      <c r="C4094" t="s">
        <v>4006</v>
      </c>
      <c r="D4094" t="s">
        <v>623</v>
      </c>
      <c r="E4094" t="s">
        <v>624</v>
      </c>
      <c r="F4094" t="s">
        <v>218</v>
      </c>
      <c r="G4094">
        <v>1895579</v>
      </c>
      <c r="H4094" t="s">
        <v>26</v>
      </c>
      <c r="I4094" t="s">
        <v>219</v>
      </c>
      <c r="J4094" t="str">
        <f>"9781118757178"</f>
        <v>9781118757178</v>
      </c>
      <c r="K4094" t="s">
        <v>6856</v>
      </c>
      <c r="L4094">
        <v>8</v>
      </c>
      <c r="O4094" t="s">
        <v>30</v>
      </c>
      <c r="P4094" t="s">
        <v>50</v>
      </c>
      <c r="S4094" t="s">
        <v>627</v>
      </c>
      <c r="T4094" t="s">
        <v>220</v>
      </c>
      <c r="U4094" t="s">
        <v>221</v>
      </c>
      <c r="V4094" s="3">
        <v>42072</v>
      </c>
    </row>
    <row r="4095" spans="1:22" x14ac:dyDescent="0.35">
      <c r="A4095" s="1">
        <v>42319.072337962964</v>
      </c>
      <c r="B4095" s="2">
        <v>4.6296296296296294E-5</v>
      </c>
      <c r="C4095" t="s">
        <v>4006</v>
      </c>
      <c r="D4095" t="s">
        <v>623</v>
      </c>
      <c r="E4095" t="s">
        <v>624</v>
      </c>
      <c r="F4095" t="s">
        <v>2921</v>
      </c>
      <c r="G4095">
        <v>875438</v>
      </c>
      <c r="H4095" t="s">
        <v>26</v>
      </c>
      <c r="I4095" t="s">
        <v>120</v>
      </c>
      <c r="J4095" t="str">
        <f>"9781118232682"</f>
        <v>9781118232682</v>
      </c>
      <c r="K4095" t="s">
        <v>33</v>
      </c>
      <c r="L4095">
        <v>3</v>
      </c>
      <c r="O4095" t="s">
        <v>30</v>
      </c>
      <c r="P4095" t="s">
        <v>42</v>
      </c>
      <c r="S4095" t="s">
        <v>627</v>
      </c>
      <c r="T4095" t="s">
        <v>2922</v>
      </c>
      <c r="U4095">
        <v>302.3</v>
      </c>
      <c r="V4095" s="3">
        <v>40976</v>
      </c>
    </row>
    <row r="4096" spans="1:22" x14ac:dyDescent="0.35">
      <c r="A4096" s="1">
        <v>42319.072152777779</v>
      </c>
      <c r="B4096" s="2">
        <v>4.6296296296296294E-5</v>
      </c>
      <c r="C4096" t="s">
        <v>4006</v>
      </c>
      <c r="D4096" t="s">
        <v>623</v>
      </c>
      <c r="E4096" t="s">
        <v>624</v>
      </c>
      <c r="F4096" t="s">
        <v>2921</v>
      </c>
      <c r="G4096">
        <v>875438</v>
      </c>
      <c r="H4096" t="s">
        <v>26</v>
      </c>
      <c r="I4096" t="s">
        <v>120</v>
      </c>
      <c r="J4096" t="str">
        <f>"9781118232682"</f>
        <v>9781118232682</v>
      </c>
      <c r="K4096" t="s">
        <v>33</v>
      </c>
      <c r="L4096">
        <v>3</v>
      </c>
      <c r="O4096" t="s">
        <v>30</v>
      </c>
      <c r="P4096" t="s">
        <v>42</v>
      </c>
      <c r="S4096" t="s">
        <v>627</v>
      </c>
      <c r="T4096" t="s">
        <v>2922</v>
      </c>
      <c r="U4096">
        <v>302.3</v>
      </c>
      <c r="V4096" s="3">
        <v>40976</v>
      </c>
    </row>
    <row r="4097" spans="1:22" x14ac:dyDescent="0.35">
      <c r="A4097" s="1">
        <v>42319.071793981479</v>
      </c>
      <c r="B4097" s="2">
        <v>4.6296296296296294E-5</v>
      </c>
      <c r="C4097" t="s">
        <v>4006</v>
      </c>
      <c r="D4097" t="s">
        <v>623</v>
      </c>
      <c r="E4097" t="s">
        <v>624</v>
      </c>
      <c r="F4097" t="s">
        <v>6857</v>
      </c>
      <c r="G4097">
        <v>1666483</v>
      </c>
      <c r="H4097" t="s">
        <v>26</v>
      </c>
      <c r="I4097" t="s">
        <v>97</v>
      </c>
      <c r="J4097" t="str">
        <f>"9781118727973"</f>
        <v>9781118727973</v>
      </c>
      <c r="K4097" t="s">
        <v>1300</v>
      </c>
      <c r="L4097">
        <v>2</v>
      </c>
      <c r="O4097" t="s">
        <v>30</v>
      </c>
      <c r="P4097" t="s">
        <v>50</v>
      </c>
      <c r="S4097" t="s">
        <v>627</v>
      </c>
      <c r="T4097" t="s">
        <v>6858</v>
      </c>
      <c r="U4097">
        <v>658.40899999999999</v>
      </c>
      <c r="V4097" s="3">
        <v>41732</v>
      </c>
    </row>
    <row r="4098" spans="1:22" x14ac:dyDescent="0.35">
      <c r="A4098" s="1">
        <v>42319.068564814814</v>
      </c>
      <c r="B4098" s="2">
        <v>2.6041666666666665E-3</v>
      </c>
      <c r="C4098" t="s">
        <v>4006</v>
      </c>
      <c r="D4098" t="s">
        <v>623</v>
      </c>
      <c r="E4098" t="s">
        <v>624</v>
      </c>
      <c r="F4098" t="s">
        <v>6859</v>
      </c>
      <c r="G4098">
        <v>1763118</v>
      </c>
      <c r="H4098" t="s">
        <v>45</v>
      </c>
      <c r="I4098" t="s">
        <v>97</v>
      </c>
      <c r="J4098" t="str">
        <f>"9781472420695"</f>
        <v>9781472420695</v>
      </c>
      <c r="K4098" t="s">
        <v>6860</v>
      </c>
      <c r="L4098">
        <v>18</v>
      </c>
      <c r="O4098" t="s">
        <v>30</v>
      </c>
      <c r="P4098" t="s">
        <v>50</v>
      </c>
      <c r="S4098" t="s">
        <v>627</v>
      </c>
      <c r="T4098" t="s">
        <v>6861</v>
      </c>
      <c r="U4098" t="s">
        <v>1463</v>
      </c>
      <c r="V4098" s="3">
        <v>41940</v>
      </c>
    </row>
    <row r="4099" spans="1:22" x14ac:dyDescent="0.35">
      <c r="A4099" s="1">
        <v>42319.060902777775</v>
      </c>
      <c r="B4099" s="2">
        <v>6.2500000000000001E-4</v>
      </c>
      <c r="C4099" t="s">
        <v>4006</v>
      </c>
      <c r="D4099" t="s">
        <v>623</v>
      </c>
      <c r="E4099" t="s">
        <v>624</v>
      </c>
      <c r="F4099" t="s">
        <v>6705</v>
      </c>
      <c r="G4099">
        <v>1666468</v>
      </c>
      <c r="H4099" t="s">
        <v>26</v>
      </c>
      <c r="I4099" t="s">
        <v>97</v>
      </c>
      <c r="J4099" t="str">
        <f>"9780857084989"</f>
        <v>9780857084989</v>
      </c>
      <c r="K4099" t="s">
        <v>6862</v>
      </c>
      <c r="L4099">
        <v>14</v>
      </c>
      <c r="O4099" t="s">
        <v>30</v>
      </c>
      <c r="P4099" t="s">
        <v>42</v>
      </c>
      <c r="S4099" t="s">
        <v>627</v>
      </c>
      <c r="T4099" t="s">
        <v>6708</v>
      </c>
      <c r="U4099">
        <v>650.1</v>
      </c>
      <c r="V4099" s="3">
        <v>41732</v>
      </c>
    </row>
    <row r="4100" spans="1:22" x14ac:dyDescent="0.35">
      <c r="A4100" s="1">
        <v>42319.053240740737</v>
      </c>
      <c r="B4100" s="2">
        <v>1.9675925925925928E-3</v>
      </c>
      <c r="C4100" t="s">
        <v>6790</v>
      </c>
      <c r="D4100" t="s">
        <v>23</v>
      </c>
      <c r="E4100" t="s">
        <v>24</v>
      </c>
      <c r="F4100" t="s">
        <v>486</v>
      </c>
      <c r="G4100">
        <v>1119505</v>
      </c>
      <c r="H4100" t="s">
        <v>26</v>
      </c>
      <c r="I4100" t="s">
        <v>450</v>
      </c>
      <c r="J4100" t="str">
        <f>"9781118355015"</f>
        <v>9781118355015</v>
      </c>
      <c r="K4100" t="s">
        <v>6863</v>
      </c>
      <c r="L4100">
        <v>20</v>
      </c>
      <c r="O4100" t="s">
        <v>28</v>
      </c>
      <c r="P4100" t="s">
        <v>29</v>
      </c>
      <c r="Q4100" s="1">
        <v>42317.985439814816</v>
      </c>
      <c r="R4100">
        <v>7</v>
      </c>
      <c r="S4100" t="s">
        <v>31</v>
      </c>
      <c r="T4100" t="s">
        <v>487</v>
      </c>
      <c r="U4100" t="s">
        <v>488</v>
      </c>
      <c r="V4100" s="3">
        <v>41302</v>
      </c>
    </row>
    <row r="4101" spans="1:22" x14ac:dyDescent="0.35">
      <c r="A4101" s="1">
        <v>42319.052812499998</v>
      </c>
      <c r="B4101" s="2">
        <v>1.7361111111111112E-4</v>
      </c>
      <c r="C4101" t="s">
        <v>6790</v>
      </c>
      <c r="D4101" t="s">
        <v>23</v>
      </c>
      <c r="E4101" t="s">
        <v>24</v>
      </c>
      <c r="F4101" t="s">
        <v>486</v>
      </c>
      <c r="G4101">
        <v>1119505</v>
      </c>
      <c r="H4101" t="s">
        <v>26</v>
      </c>
      <c r="I4101" t="s">
        <v>450</v>
      </c>
      <c r="J4101" t="str">
        <f>"9781118355015"</f>
        <v>9781118355015</v>
      </c>
      <c r="K4101" t="s">
        <v>6864</v>
      </c>
      <c r="L4101">
        <v>9</v>
      </c>
      <c r="O4101" t="s">
        <v>30</v>
      </c>
      <c r="P4101" t="s">
        <v>29</v>
      </c>
      <c r="Q4101" s="1">
        <v>42317.985439814816</v>
      </c>
      <c r="R4101">
        <v>7</v>
      </c>
      <c r="S4101" t="s">
        <v>31</v>
      </c>
      <c r="T4101" t="s">
        <v>487</v>
      </c>
      <c r="U4101" t="s">
        <v>488</v>
      </c>
      <c r="V4101" s="3">
        <v>41302</v>
      </c>
    </row>
    <row r="4102" spans="1:22" x14ac:dyDescent="0.35">
      <c r="A4102" s="1">
        <v>42319.04278935185</v>
      </c>
      <c r="B4102" s="2">
        <v>5.2777777777777771E-3</v>
      </c>
      <c r="C4102" t="s">
        <v>6865</v>
      </c>
      <c r="D4102" t="s">
        <v>23</v>
      </c>
      <c r="E4102" t="s">
        <v>24</v>
      </c>
      <c r="F4102" t="s">
        <v>6866</v>
      </c>
      <c r="G4102">
        <v>1120512</v>
      </c>
      <c r="H4102" t="s">
        <v>613</v>
      </c>
      <c r="I4102" t="s">
        <v>6867</v>
      </c>
      <c r="J4102" t="str">
        <f>"9781469608020"</f>
        <v>9781469608020</v>
      </c>
      <c r="K4102" t="s">
        <v>6868</v>
      </c>
      <c r="L4102">
        <v>11</v>
      </c>
      <c r="O4102" t="s">
        <v>30</v>
      </c>
      <c r="P4102" t="s">
        <v>47</v>
      </c>
      <c r="Q4102" s="1">
        <v>42319.04277777778</v>
      </c>
      <c r="R4102">
        <v>1</v>
      </c>
      <c r="S4102" t="s">
        <v>31</v>
      </c>
      <c r="T4102" t="s">
        <v>6869</v>
      </c>
      <c r="U4102" t="s">
        <v>6870</v>
      </c>
      <c r="V4102" s="3">
        <v>41386</v>
      </c>
    </row>
    <row r="4103" spans="1:22" x14ac:dyDescent="0.35">
      <c r="A4103" s="1">
        <v>42319.038541666669</v>
      </c>
      <c r="B4103" s="2">
        <v>4.2361111111111106E-3</v>
      </c>
      <c r="C4103" t="s">
        <v>6865</v>
      </c>
      <c r="D4103" t="s">
        <v>23</v>
      </c>
      <c r="E4103" t="s">
        <v>24</v>
      </c>
      <c r="F4103" t="s">
        <v>6866</v>
      </c>
      <c r="G4103">
        <v>1120512</v>
      </c>
      <c r="H4103" t="s">
        <v>613</v>
      </c>
      <c r="I4103" t="s">
        <v>6867</v>
      </c>
      <c r="J4103" t="str">
        <f>"9781469608020"</f>
        <v>9781469608020</v>
      </c>
      <c r="K4103" t="s">
        <v>6871</v>
      </c>
      <c r="L4103">
        <v>9</v>
      </c>
      <c r="O4103" t="s">
        <v>30</v>
      </c>
      <c r="P4103" t="s">
        <v>50</v>
      </c>
      <c r="S4103" t="s">
        <v>31</v>
      </c>
      <c r="T4103" t="s">
        <v>6869</v>
      </c>
      <c r="U4103" t="s">
        <v>6870</v>
      </c>
      <c r="V4103" s="3">
        <v>41386</v>
      </c>
    </row>
    <row r="4104" spans="1:22" x14ac:dyDescent="0.35">
      <c r="A4104" s="1">
        <v>42319.030462962961</v>
      </c>
      <c r="B4104" s="2">
        <v>1.273148148148148E-4</v>
      </c>
      <c r="C4104" t="s">
        <v>3132</v>
      </c>
      <c r="D4104" t="s">
        <v>158</v>
      </c>
      <c r="E4104" t="s">
        <v>159</v>
      </c>
      <c r="F4104" t="s">
        <v>6872</v>
      </c>
      <c r="G4104">
        <v>1998752</v>
      </c>
      <c r="H4104" t="s">
        <v>26</v>
      </c>
      <c r="I4104" t="s">
        <v>247</v>
      </c>
      <c r="J4104" t="str">
        <f>"9781118802519"</f>
        <v>9781118802519</v>
      </c>
      <c r="K4104" t="s">
        <v>6873</v>
      </c>
      <c r="L4104">
        <v>3</v>
      </c>
      <c r="O4104" t="s">
        <v>30</v>
      </c>
      <c r="P4104" t="s">
        <v>29</v>
      </c>
      <c r="Q4104" s="1">
        <v>42319.030462962961</v>
      </c>
      <c r="R4104">
        <v>7</v>
      </c>
      <c r="S4104" t="s">
        <v>163</v>
      </c>
      <c r="T4104" t="s">
        <v>6874</v>
      </c>
      <c r="U4104">
        <v>616.70000000000005</v>
      </c>
      <c r="V4104" s="3">
        <v>42094</v>
      </c>
    </row>
    <row r="4105" spans="1:22" x14ac:dyDescent="0.35">
      <c r="A4105" s="1">
        <v>42319.026087962964</v>
      </c>
      <c r="B4105" s="2">
        <v>4.3749999999999995E-3</v>
      </c>
      <c r="C4105" t="s">
        <v>3132</v>
      </c>
      <c r="D4105" t="s">
        <v>158</v>
      </c>
      <c r="E4105" t="s">
        <v>159</v>
      </c>
      <c r="F4105" t="s">
        <v>6872</v>
      </c>
      <c r="G4105">
        <v>1998752</v>
      </c>
      <c r="H4105" t="s">
        <v>26</v>
      </c>
      <c r="I4105" t="s">
        <v>247</v>
      </c>
      <c r="J4105" t="str">
        <f>"9781118802519"</f>
        <v>9781118802519</v>
      </c>
      <c r="K4105" t="s">
        <v>6875</v>
      </c>
      <c r="L4105">
        <v>16</v>
      </c>
      <c r="O4105" t="s">
        <v>30</v>
      </c>
      <c r="P4105" t="s">
        <v>50</v>
      </c>
      <c r="S4105" t="s">
        <v>163</v>
      </c>
      <c r="T4105" t="s">
        <v>6874</v>
      </c>
      <c r="U4105">
        <v>616.70000000000005</v>
      </c>
      <c r="V4105" s="3">
        <v>42094</v>
      </c>
    </row>
    <row r="4106" spans="1:22" x14ac:dyDescent="0.35">
      <c r="A4106" s="1">
        <v>42319.024664351855</v>
      </c>
      <c r="B4106" s="2">
        <v>1.0995370370370371E-3</v>
      </c>
      <c r="C4106" t="s">
        <v>3132</v>
      </c>
      <c r="D4106" t="s">
        <v>158</v>
      </c>
      <c r="E4106" t="s">
        <v>159</v>
      </c>
      <c r="F4106" t="s">
        <v>6872</v>
      </c>
      <c r="G4106">
        <v>1998752</v>
      </c>
      <c r="H4106" t="s">
        <v>26</v>
      </c>
      <c r="I4106" t="s">
        <v>247</v>
      </c>
      <c r="J4106" t="str">
        <f>"9781118802519"</f>
        <v>9781118802519</v>
      </c>
      <c r="K4106" t="s">
        <v>6876</v>
      </c>
      <c r="L4106">
        <v>10</v>
      </c>
      <c r="O4106" t="s">
        <v>30</v>
      </c>
      <c r="P4106" t="s">
        <v>50</v>
      </c>
      <c r="S4106" t="s">
        <v>163</v>
      </c>
      <c r="T4106" t="s">
        <v>6874</v>
      </c>
      <c r="U4106">
        <v>616.70000000000005</v>
      </c>
      <c r="V4106" s="3">
        <v>42094</v>
      </c>
    </row>
    <row r="4107" spans="1:22" x14ac:dyDescent="0.35">
      <c r="A4107" s="1">
        <v>42319.016018518516</v>
      </c>
      <c r="B4107" s="2">
        <v>5.4398148148148144E-4</v>
      </c>
      <c r="C4107" t="s">
        <v>3132</v>
      </c>
      <c r="D4107" t="s">
        <v>158</v>
      </c>
      <c r="E4107" t="s">
        <v>159</v>
      </c>
      <c r="F4107" t="s">
        <v>6872</v>
      </c>
      <c r="G4107">
        <v>1998752</v>
      </c>
      <c r="H4107" t="s">
        <v>26</v>
      </c>
      <c r="I4107" t="s">
        <v>247</v>
      </c>
      <c r="J4107" t="str">
        <f>"9781118802519"</f>
        <v>9781118802519</v>
      </c>
      <c r="K4107" t="s">
        <v>6877</v>
      </c>
      <c r="L4107">
        <v>7</v>
      </c>
      <c r="O4107" t="s">
        <v>30</v>
      </c>
      <c r="P4107" t="s">
        <v>50</v>
      </c>
      <c r="S4107" t="s">
        <v>163</v>
      </c>
      <c r="T4107" t="s">
        <v>6874</v>
      </c>
      <c r="U4107">
        <v>616.70000000000005</v>
      </c>
      <c r="V4107" s="3">
        <v>42094</v>
      </c>
    </row>
    <row r="4108" spans="1:22" x14ac:dyDescent="0.35">
      <c r="A4108" s="1">
        <v>42319.015300925923</v>
      </c>
      <c r="B4108" s="2">
        <v>6.5972222222222213E-4</v>
      </c>
      <c r="C4108" t="s">
        <v>3132</v>
      </c>
      <c r="D4108" t="s">
        <v>158</v>
      </c>
      <c r="E4108" t="s">
        <v>159</v>
      </c>
      <c r="F4108" t="s">
        <v>6872</v>
      </c>
      <c r="G4108">
        <v>1998752</v>
      </c>
      <c r="H4108" t="s">
        <v>26</v>
      </c>
      <c r="I4108" t="s">
        <v>247</v>
      </c>
      <c r="J4108" t="str">
        <f>"9781118802519"</f>
        <v>9781118802519</v>
      </c>
      <c r="K4108" t="s">
        <v>6878</v>
      </c>
      <c r="L4108">
        <v>6</v>
      </c>
      <c r="O4108" t="s">
        <v>30</v>
      </c>
      <c r="P4108" t="s">
        <v>50</v>
      </c>
      <c r="S4108" t="s">
        <v>163</v>
      </c>
      <c r="T4108" t="s">
        <v>6874</v>
      </c>
      <c r="U4108">
        <v>616.70000000000005</v>
      </c>
      <c r="V4108" s="3">
        <v>42094</v>
      </c>
    </row>
    <row r="4109" spans="1:22" x14ac:dyDescent="0.35">
      <c r="A4109" s="1">
        <v>42319.00980324074</v>
      </c>
      <c r="B4109" s="2">
        <v>3.4722222222222222E-5</v>
      </c>
      <c r="C4109" t="s">
        <v>3303</v>
      </c>
      <c r="D4109" t="s">
        <v>35</v>
      </c>
      <c r="E4109" t="s">
        <v>36</v>
      </c>
      <c r="F4109" t="s">
        <v>6879</v>
      </c>
      <c r="G4109">
        <v>1895572</v>
      </c>
      <c r="H4109" t="s">
        <v>26</v>
      </c>
      <c r="I4109" t="s">
        <v>120</v>
      </c>
      <c r="J4109" t="str">
        <f>"9781118745960"</f>
        <v>9781118745960</v>
      </c>
      <c r="K4109" t="s">
        <v>611</v>
      </c>
      <c r="L4109">
        <v>3</v>
      </c>
      <c r="O4109" t="s">
        <v>30</v>
      </c>
      <c r="P4109" t="s">
        <v>50</v>
      </c>
      <c r="S4109" t="s">
        <v>40</v>
      </c>
      <c r="T4109" t="s">
        <v>6880</v>
      </c>
      <c r="U4109">
        <v>301</v>
      </c>
      <c r="V4109" s="3">
        <v>42052</v>
      </c>
    </row>
    <row r="4110" spans="1:22" x14ac:dyDescent="0.35">
      <c r="A4110" s="1">
        <v>42319.00818287037</v>
      </c>
      <c r="B4110" s="2">
        <v>2.4305555555555552E-4</v>
      </c>
      <c r="C4110" t="s">
        <v>3303</v>
      </c>
      <c r="D4110" t="s">
        <v>35</v>
      </c>
      <c r="E4110" t="s">
        <v>36</v>
      </c>
      <c r="F4110" t="s">
        <v>2369</v>
      </c>
      <c r="G4110">
        <v>877782</v>
      </c>
      <c r="H4110" t="s">
        <v>26</v>
      </c>
      <c r="I4110" t="s">
        <v>2370</v>
      </c>
      <c r="J4110" t="str">
        <f>"9781118255407"</f>
        <v>9781118255407</v>
      </c>
      <c r="K4110" t="s">
        <v>6881</v>
      </c>
      <c r="L4110">
        <v>12</v>
      </c>
      <c r="O4110" t="s">
        <v>30</v>
      </c>
      <c r="P4110" t="s">
        <v>42</v>
      </c>
      <c r="S4110" t="s">
        <v>40</v>
      </c>
      <c r="T4110" t="s">
        <v>2372</v>
      </c>
      <c r="U4110">
        <v>599.9</v>
      </c>
      <c r="V4110" s="3">
        <v>40994</v>
      </c>
    </row>
    <row r="4111" spans="1:22" x14ac:dyDescent="0.35">
      <c r="A4111" s="1">
        <v>42318.987696759257</v>
      </c>
      <c r="B4111" s="2">
        <v>3.4722222222222222E-5</v>
      </c>
      <c r="C4111" t="s">
        <v>3132</v>
      </c>
      <c r="D4111" t="s">
        <v>158</v>
      </c>
      <c r="E4111" t="s">
        <v>159</v>
      </c>
      <c r="F4111" t="s">
        <v>6882</v>
      </c>
      <c r="G4111">
        <v>1377498</v>
      </c>
      <c r="H4111" t="s">
        <v>68</v>
      </c>
      <c r="I4111" t="s">
        <v>998</v>
      </c>
      <c r="J4111" t="str">
        <f>"9781135941628"</f>
        <v>9781135941628</v>
      </c>
      <c r="K4111" t="s">
        <v>33</v>
      </c>
      <c r="L4111">
        <v>3</v>
      </c>
      <c r="O4111" t="s">
        <v>30</v>
      </c>
      <c r="P4111" t="s">
        <v>50</v>
      </c>
      <c r="S4111" t="s">
        <v>163</v>
      </c>
      <c r="T4111" t="s">
        <v>6883</v>
      </c>
      <c r="U4111">
        <v>306.08998000000003</v>
      </c>
      <c r="V4111" s="3">
        <v>37956</v>
      </c>
    </row>
    <row r="4112" spans="1:22" x14ac:dyDescent="0.35">
      <c r="A4112" s="1">
        <v>42318.984293981484</v>
      </c>
      <c r="B4112" s="2">
        <v>9.2592592592592585E-4</v>
      </c>
      <c r="C4112" t="s">
        <v>3132</v>
      </c>
      <c r="D4112" t="s">
        <v>158</v>
      </c>
      <c r="E4112" t="s">
        <v>159</v>
      </c>
      <c r="F4112" t="s">
        <v>6884</v>
      </c>
      <c r="G4112">
        <v>3061108</v>
      </c>
      <c r="H4112" t="s">
        <v>68</v>
      </c>
      <c r="I4112" t="s">
        <v>247</v>
      </c>
      <c r="J4112" t="str">
        <f>"9780203370315"</f>
        <v>9780203370315</v>
      </c>
      <c r="K4112" t="s">
        <v>6885</v>
      </c>
      <c r="L4112">
        <v>13</v>
      </c>
      <c r="O4112" t="s">
        <v>30</v>
      </c>
      <c r="P4112" t="s">
        <v>50</v>
      </c>
      <c r="S4112" t="s">
        <v>163</v>
      </c>
      <c r="T4112" t="s">
        <v>6886</v>
      </c>
      <c r="U4112" t="s">
        <v>885</v>
      </c>
      <c r="V4112" s="3">
        <v>41518</v>
      </c>
    </row>
    <row r="4113" spans="1:22" x14ac:dyDescent="0.35">
      <c r="A4113" s="1">
        <v>42318.974374999998</v>
      </c>
      <c r="B4113" s="2">
        <v>1.3078703703703705E-3</v>
      </c>
      <c r="C4113" t="s">
        <v>6887</v>
      </c>
      <c r="D4113" t="s">
        <v>623</v>
      </c>
      <c r="E4113" t="s">
        <v>624</v>
      </c>
      <c r="F4113" t="s">
        <v>6888</v>
      </c>
      <c r="G4113">
        <v>1808808</v>
      </c>
      <c r="H4113" t="s">
        <v>45</v>
      </c>
      <c r="I4113" t="s">
        <v>310</v>
      </c>
      <c r="J4113" t="str">
        <f>"9781472443427"</f>
        <v>9781472443427</v>
      </c>
      <c r="K4113" t="s">
        <v>6889</v>
      </c>
      <c r="L4113">
        <v>26</v>
      </c>
      <c r="O4113" t="s">
        <v>30</v>
      </c>
      <c r="P4113" t="s">
        <v>50</v>
      </c>
      <c r="S4113" t="s">
        <v>627</v>
      </c>
      <c r="T4113" t="s">
        <v>6890</v>
      </c>
      <c r="U4113" t="s">
        <v>6891</v>
      </c>
      <c r="V4113" s="3">
        <v>41971</v>
      </c>
    </row>
    <row r="4114" spans="1:22" x14ac:dyDescent="0.35">
      <c r="A4114" s="1">
        <v>42318.942025462966</v>
      </c>
      <c r="B4114" s="2">
        <v>1.1574074074074073E-5</v>
      </c>
      <c r="C4114" t="s">
        <v>5900</v>
      </c>
      <c r="D4114" t="s">
        <v>623</v>
      </c>
      <c r="E4114" t="s">
        <v>624</v>
      </c>
      <c r="F4114" t="s">
        <v>3736</v>
      </c>
      <c r="G4114">
        <v>1938274</v>
      </c>
      <c r="H4114" t="s">
        <v>26</v>
      </c>
      <c r="I4114" t="s">
        <v>338</v>
      </c>
      <c r="J4114" t="str">
        <f>"9781119098201"</f>
        <v>9781119098201</v>
      </c>
      <c r="K4114" t="s">
        <v>6892</v>
      </c>
      <c r="L4114">
        <v>2</v>
      </c>
      <c r="O4114" t="s">
        <v>30</v>
      </c>
      <c r="P4114" t="s">
        <v>29</v>
      </c>
      <c r="Q4114" s="1">
        <v>42318.942025462966</v>
      </c>
      <c r="R4114">
        <v>7</v>
      </c>
      <c r="S4114" t="s">
        <v>627</v>
      </c>
      <c r="T4114" t="s">
        <v>3738</v>
      </c>
      <c r="U4114" t="s">
        <v>3739</v>
      </c>
      <c r="V4114" s="3">
        <v>42033</v>
      </c>
    </row>
    <row r="4115" spans="1:22" x14ac:dyDescent="0.35">
      <c r="A4115" s="1">
        <v>42318.922858796293</v>
      </c>
      <c r="B4115" s="2">
        <v>1.9166666666666669E-2</v>
      </c>
      <c r="C4115" t="s">
        <v>5900</v>
      </c>
      <c r="D4115" t="s">
        <v>623</v>
      </c>
      <c r="E4115" t="s">
        <v>624</v>
      </c>
      <c r="F4115" t="s">
        <v>3736</v>
      </c>
      <c r="G4115">
        <v>1938274</v>
      </c>
      <c r="H4115" t="s">
        <v>26</v>
      </c>
      <c r="I4115" t="s">
        <v>338</v>
      </c>
      <c r="J4115" t="str">
        <f>"9781119098201"</f>
        <v>9781119098201</v>
      </c>
      <c r="K4115" t="s">
        <v>6893</v>
      </c>
      <c r="L4115">
        <v>9</v>
      </c>
      <c r="O4115" t="s">
        <v>30</v>
      </c>
      <c r="P4115" t="s">
        <v>42</v>
      </c>
      <c r="S4115" t="s">
        <v>627</v>
      </c>
      <c r="T4115" t="s">
        <v>3738</v>
      </c>
      <c r="U4115" t="s">
        <v>3739</v>
      </c>
      <c r="V4115" s="3">
        <v>42033</v>
      </c>
    </row>
    <row r="4116" spans="1:22" x14ac:dyDescent="0.35">
      <c r="A4116" s="1">
        <v>42318.89806712963</v>
      </c>
      <c r="B4116" s="2">
        <v>5.7870370370370378E-4</v>
      </c>
      <c r="C4116" t="s">
        <v>3274</v>
      </c>
      <c r="D4116" t="s">
        <v>35</v>
      </c>
      <c r="E4116" t="s">
        <v>36</v>
      </c>
      <c r="F4116" t="s">
        <v>3275</v>
      </c>
      <c r="G4116">
        <v>822662</v>
      </c>
      <c r="H4116" t="s">
        <v>26</v>
      </c>
      <c r="I4116" t="s">
        <v>172</v>
      </c>
      <c r="J4116" t="str">
        <f>"9781444355130"</f>
        <v>9781444355130</v>
      </c>
      <c r="K4116" t="s">
        <v>6894</v>
      </c>
      <c r="L4116">
        <v>19</v>
      </c>
      <c r="O4116" t="s">
        <v>30</v>
      </c>
      <c r="P4116" t="s">
        <v>42</v>
      </c>
      <c r="S4116" t="s">
        <v>40</v>
      </c>
      <c r="T4116" t="s">
        <v>3277</v>
      </c>
      <c r="U4116">
        <v>960.3</v>
      </c>
      <c r="V4116" s="3">
        <v>40858</v>
      </c>
    </row>
    <row r="4117" spans="1:22" x14ac:dyDescent="0.35">
      <c r="A4117" s="1">
        <v>42318.896504629629</v>
      </c>
      <c r="B4117" s="2">
        <v>6.8287037037037025E-4</v>
      </c>
      <c r="C4117" t="s">
        <v>6895</v>
      </c>
      <c r="D4117" t="s">
        <v>2519</v>
      </c>
      <c r="E4117" t="s">
        <v>2520</v>
      </c>
      <c r="F4117" t="s">
        <v>6896</v>
      </c>
      <c r="G4117">
        <v>1760730</v>
      </c>
      <c r="H4117" t="s">
        <v>91</v>
      </c>
      <c r="I4117" t="s">
        <v>6897</v>
      </c>
      <c r="J4117" t="str">
        <f>"9781462518210"</f>
        <v>9781462518210</v>
      </c>
      <c r="K4117" t="s">
        <v>6898</v>
      </c>
      <c r="L4117">
        <v>30</v>
      </c>
      <c r="O4117" t="s">
        <v>30</v>
      </c>
      <c r="P4117" t="s">
        <v>50</v>
      </c>
      <c r="S4117" t="s">
        <v>2523</v>
      </c>
      <c r="T4117" t="s">
        <v>6899</v>
      </c>
      <c r="U4117" t="s">
        <v>6900</v>
      </c>
      <c r="V4117" s="3">
        <v>41992</v>
      </c>
    </row>
    <row r="4118" spans="1:22" x14ac:dyDescent="0.35">
      <c r="A4118" s="1">
        <v>42318.880486111113</v>
      </c>
      <c r="B4118" s="2">
        <v>1.8518518518518518E-4</v>
      </c>
      <c r="C4118" t="s">
        <v>2985</v>
      </c>
      <c r="D4118" t="s">
        <v>23</v>
      </c>
      <c r="E4118" t="s">
        <v>24</v>
      </c>
      <c r="F4118" t="s">
        <v>6901</v>
      </c>
      <c r="G4118">
        <v>661788</v>
      </c>
      <c r="H4118" t="s">
        <v>440</v>
      </c>
      <c r="I4118" t="s">
        <v>276</v>
      </c>
      <c r="J4118" t="str">
        <f>"9780470978306"</f>
        <v>9780470978306</v>
      </c>
      <c r="K4118" t="s">
        <v>355</v>
      </c>
      <c r="L4118">
        <v>8</v>
      </c>
      <c r="O4118" t="s">
        <v>30</v>
      </c>
      <c r="P4118" t="s">
        <v>50</v>
      </c>
      <c r="S4118" t="s">
        <v>31</v>
      </c>
      <c r="T4118" t="s">
        <v>6902</v>
      </c>
      <c r="U4118" t="s">
        <v>6903</v>
      </c>
      <c r="V4118" s="3">
        <v>40582</v>
      </c>
    </row>
    <row r="4119" spans="1:22" x14ac:dyDescent="0.35">
      <c r="A4119" s="1">
        <v>42318.857210648152</v>
      </c>
      <c r="B4119" s="2">
        <v>6.9444444444444444E-5</v>
      </c>
      <c r="C4119" t="s">
        <v>210</v>
      </c>
      <c r="D4119" t="s">
        <v>211</v>
      </c>
      <c r="E4119" t="s">
        <v>212</v>
      </c>
      <c r="F4119" t="s">
        <v>6904</v>
      </c>
      <c r="G4119">
        <v>1921048</v>
      </c>
      <c r="H4119" t="s">
        <v>26</v>
      </c>
      <c r="I4119" t="s">
        <v>120</v>
      </c>
      <c r="J4119" t="str">
        <f>"9780745688954"</f>
        <v>9780745688954</v>
      </c>
      <c r="K4119" t="s">
        <v>209</v>
      </c>
      <c r="L4119">
        <v>4</v>
      </c>
      <c r="O4119" t="s">
        <v>30</v>
      </c>
      <c r="P4119" t="s">
        <v>50</v>
      </c>
      <c r="S4119" t="s">
        <v>214</v>
      </c>
      <c r="T4119" t="s">
        <v>6905</v>
      </c>
      <c r="U4119">
        <v>306.7</v>
      </c>
      <c r="V4119" s="3">
        <v>42016</v>
      </c>
    </row>
    <row r="4120" spans="1:22" x14ac:dyDescent="0.35">
      <c r="A4120" s="1">
        <v>42318.856226851851</v>
      </c>
      <c r="B4120" s="2">
        <v>1.6087962962962963E-3</v>
      </c>
      <c r="C4120" t="s">
        <v>106</v>
      </c>
      <c r="D4120" t="s">
        <v>23</v>
      </c>
      <c r="E4120" t="s">
        <v>24</v>
      </c>
      <c r="F4120" t="s">
        <v>5494</v>
      </c>
      <c r="G4120">
        <v>1589615</v>
      </c>
      <c r="H4120" t="s">
        <v>45</v>
      </c>
      <c r="I4120" t="s">
        <v>172</v>
      </c>
      <c r="J4120" t="str">
        <f>"9781409469865"</f>
        <v>9781409469865</v>
      </c>
      <c r="K4120" t="s">
        <v>6906</v>
      </c>
      <c r="L4120">
        <v>19</v>
      </c>
      <c r="O4120" t="s">
        <v>30</v>
      </c>
      <c r="P4120" t="s">
        <v>50</v>
      </c>
      <c r="S4120" t="s">
        <v>31</v>
      </c>
      <c r="T4120" t="s">
        <v>5496</v>
      </c>
      <c r="U4120">
        <v>949.50199999999995</v>
      </c>
      <c r="V4120" s="3">
        <v>41940</v>
      </c>
    </row>
    <row r="4121" spans="1:22" x14ac:dyDescent="0.35">
      <c r="A4121" s="1">
        <v>42318.853564814817</v>
      </c>
      <c r="B4121" s="2">
        <v>4.2824074074074075E-4</v>
      </c>
      <c r="C4121" t="s">
        <v>210</v>
      </c>
      <c r="D4121" t="s">
        <v>211</v>
      </c>
      <c r="E4121" t="s">
        <v>212</v>
      </c>
      <c r="F4121" t="s">
        <v>3232</v>
      </c>
      <c r="G4121">
        <v>1109590</v>
      </c>
      <c r="H4121" t="s">
        <v>1286</v>
      </c>
      <c r="I4121" t="s">
        <v>150</v>
      </c>
      <c r="J4121" t="str">
        <f>"9781476600093"</f>
        <v>9781476600093</v>
      </c>
      <c r="K4121" t="s">
        <v>6907</v>
      </c>
      <c r="L4121">
        <v>10</v>
      </c>
      <c r="O4121" t="s">
        <v>30</v>
      </c>
      <c r="P4121" t="s">
        <v>42</v>
      </c>
      <c r="S4121" t="s">
        <v>214</v>
      </c>
      <c r="T4121" t="s">
        <v>3234</v>
      </c>
      <c r="U4121" t="s">
        <v>3235</v>
      </c>
      <c r="V4121" s="3">
        <v>41294</v>
      </c>
    </row>
    <row r="4122" spans="1:22" x14ac:dyDescent="0.35">
      <c r="A4122" s="1">
        <v>42318.853449074071</v>
      </c>
      <c r="B4122" s="2">
        <v>2.3148148148148147E-5</v>
      </c>
      <c r="C4122" t="s">
        <v>210</v>
      </c>
      <c r="D4122" t="s">
        <v>211</v>
      </c>
      <c r="E4122" t="s">
        <v>212</v>
      </c>
      <c r="F4122" t="s">
        <v>3268</v>
      </c>
      <c r="G4122">
        <v>1645679</v>
      </c>
      <c r="H4122" t="s">
        <v>45</v>
      </c>
      <c r="I4122" t="s">
        <v>2879</v>
      </c>
      <c r="J4122" t="str">
        <f>"9781472413079"</f>
        <v>9781472413079</v>
      </c>
      <c r="K4122" t="s">
        <v>33</v>
      </c>
      <c r="L4122">
        <v>3</v>
      </c>
      <c r="O4122" t="s">
        <v>30</v>
      </c>
      <c r="P4122" t="s">
        <v>42</v>
      </c>
      <c r="S4122" t="s">
        <v>214</v>
      </c>
      <c r="T4122" t="s">
        <v>3269</v>
      </c>
      <c r="U4122" t="s">
        <v>3270</v>
      </c>
      <c r="V4122" s="3">
        <v>41726</v>
      </c>
    </row>
    <row r="4123" spans="1:22" x14ac:dyDescent="0.35">
      <c r="A4123" s="1">
        <v>42318.853391203702</v>
      </c>
      <c r="B4123" s="2">
        <v>2.6620370370370372E-4</v>
      </c>
      <c r="C4123" t="s">
        <v>210</v>
      </c>
      <c r="D4123" t="s">
        <v>211</v>
      </c>
      <c r="E4123" t="s">
        <v>212</v>
      </c>
      <c r="F4123" t="s">
        <v>1738</v>
      </c>
      <c r="G4123">
        <v>1166802</v>
      </c>
      <c r="H4123" t="s">
        <v>26</v>
      </c>
      <c r="I4123" t="s">
        <v>120</v>
      </c>
      <c r="J4123" t="str">
        <f>"9780745664507"</f>
        <v>9780745664507</v>
      </c>
      <c r="K4123" t="s">
        <v>6908</v>
      </c>
      <c r="L4123">
        <v>19</v>
      </c>
      <c r="O4123" t="s">
        <v>30</v>
      </c>
      <c r="P4123" t="s">
        <v>50</v>
      </c>
      <c r="S4123" t="s">
        <v>214</v>
      </c>
      <c r="T4123" t="s">
        <v>1740</v>
      </c>
      <c r="U4123">
        <v>305.3</v>
      </c>
      <c r="V4123" s="3">
        <v>41367</v>
      </c>
    </row>
    <row r="4124" spans="1:22" x14ac:dyDescent="0.35">
      <c r="A4124" s="1">
        <v>42318.811041666668</v>
      </c>
      <c r="B4124" s="2">
        <v>3.2118055555555559E-2</v>
      </c>
      <c r="C4124" t="s">
        <v>6909</v>
      </c>
      <c r="D4124" t="s">
        <v>23</v>
      </c>
      <c r="E4124" t="s">
        <v>24</v>
      </c>
      <c r="F4124" t="s">
        <v>4736</v>
      </c>
      <c r="G4124">
        <v>1378902</v>
      </c>
      <c r="H4124" t="s">
        <v>526</v>
      </c>
      <c r="I4124" t="s">
        <v>69</v>
      </c>
      <c r="J4124" t="str">
        <f>"9780226066554"</f>
        <v>9780226066554</v>
      </c>
      <c r="K4124" t="s">
        <v>6910</v>
      </c>
      <c r="L4124">
        <v>29</v>
      </c>
      <c r="O4124" t="s">
        <v>30</v>
      </c>
      <c r="P4124" t="s">
        <v>29</v>
      </c>
      <c r="Q4124" s="1">
        <v>42318.811041666668</v>
      </c>
      <c r="R4124">
        <v>7</v>
      </c>
      <c r="S4124" t="s">
        <v>31</v>
      </c>
      <c r="T4124" t="s">
        <v>4738</v>
      </c>
      <c r="U4124" t="s">
        <v>4739</v>
      </c>
      <c r="V4124" s="3">
        <v>41551</v>
      </c>
    </row>
    <row r="4125" spans="1:22" x14ac:dyDescent="0.35">
      <c r="A4125" s="1">
        <v>42318.807372685187</v>
      </c>
      <c r="B4125" s="2">
        <v>3.6574074074074074E-3</v>
      </c>
      <c r="C4125" t="s">
        <v>6909</v>
      </c>
      <c r="D4125" t="s">
        <v>23</v>
      </c>
      <c r="E4125" t="s">
        <v>24</v>
      </c>
      <c r="F4125" t="s">
        <v>4736</v>
      </c>
      <c r="G4125">
        <v>1378902</v>
      </c>
      <c r="H4125" t="s">
        <v>526</v>
      </c>
      <c r="I4125" t="s">
        <v>69</v>
      </c>
      <c r="J4125" t="str">
        <f>"9780226066554"</f>
        <v>9780226066554</v>
      </c>
      <c r="K4125" t="s">
        <v>6911</v>
      </c>
      <c r="L4125">
        <v>23</v>
      </c>
      <c r="O4125" t="s">
        <v>30</v>
      </c>
      <c r="P4125" t="s">
        <v>50</v>
      </c>
      <c r="S4125" t="s">
        <v>31</v>
      </c>
      <c r="T4125" t="s">
        <v>4738</v>
      </c>
      <c r="U4125" t="s">
        <v>4739</v>
      </c>
      <c r="V4125" s="3">
        <v>41551</v>
      </c>
    </row>
    <row r="4126" spans="1:22" x14ac:dyDescent="0.35">
      <c r="A4126" s="1">
        <v>42318.80232638889</v>
      </c>
      <c r="B4126" s="2">
        <v>4.6296296296296294E-5</v>
      </c>
      <c r="C4126" t="s">
        <v>6912</v>
      </c>
      <c r="D4126" t="s">
        <v>211</v>
      </c>
      <c r="E4126" t="s">
        <v>212</v>
      </c>
      <c r="F4126" t="s">
        <v>4594</v>
      </c>
      <c r="G4126">
        <v>1872281</v>
      </c>
      <c r="H4126" t="s">
        <v>91</v>
      </c>
      <c r="I4126" t="s">
        <v>2133</v>
      </c>
      <c r="J4126" t="str">
        <f>"9781462519606"</f>
        <v>9781462519606</v>
      </c>
      <c r="K4126" t="s">
        <v>33</v>
      </c>
      <c r="L4126">
        <v>3</v>
      </c>
      <c r="O4126" t="s">
        <v>30</v>
      </c>
      <c r="P4126" t="s">
        <v>42</v>
      </c>
      <c r="S4126" t="s">
        <v>214</v>
      </c>
      <c r="T4126" t="s">
        <v>4596</v>
      </c>
      <c r="U4126">
        <v>378.101</v>
      </c>
      <c r="V4126" s="3">
        <v>42150</v>
      </c>
    </row>
    <row r="4127" spans="1:22" x14ac:dyDescent="0.35">
      <c r="A4127" s="1">
        <v>42318.79482638889</v>
      </c>
      <c r="B4127" s="2">
        <v>3.0208333333333333E-3</v>
      </c>
      <c r="C4127" t="s">
        <v>3238</v>
      </c>
      <c r="D4127" t="s">
        <v>23</v>
      </c>
      <c r="E4127" t="s">
        <v>24</v>
      </c>
      <c r="F4127" t="s">
        <v>3239</v>
      </c>
      <c r="G4127">
        <v>1655943</v>
      </c>
      <c r="H4127" t="s">
        <v>91</v>
      </c>
      <c r="I4127" t="s">
        <v>247</v>
      </c>
      <c r="J4127" t="str">
        <f>"9781462514205"</f>
        <v>9781462514205</v>
      </c>
      <c r="K4127" t="s">
        <v>6913</v>
      </c>
      <c r="L4127">
        <v>34</v>
      </c>
      <c r="O4127" t="s">
        <v>30</v>
      </c>
      <c r="P4127" t="s">
        <v>50</v>
      </c>
      <c r="S4127" t="s">
        <v>31</v>
      </c>
      <c r="T4127" t="s">
        <v>3241</v>
      </c>
      <c r="U4127">
        <v>618.9289</v>
      </c>
      <c r="V4127" s="3">
        <v>41773</v>
      </c>
    </row>
    <row r="4128" spans="1:22" x14ac:dyDescent="0.35">
      <c r="A4128" s="1">
        <v>42318.794652777775</v>
      </c>
      <c r="B4128" s="2">
        <v>2.7777777777777778E-4</v>
      </c>
      <c r="C4128" t="s">
        <v>6914</v>
      </c>
      <c r="D4128" t="s">
        <v>2519</v>
      </c>
      <c r="E4128" t="s">
        <v>2520</v>
      </c>
      <c r="F4128" t="s">
        <v>2557</v>
      </c>
      <c r="G4128">
        <v>1517671</v>
      </c>
      <c r="H4128" t="s">
        <v>68</v>
      </c>
      <c r="I4128" t="s">
        <v>310</v>
      </c>
      <c r="J4128" t="str">
        <f>"9781136601156"</f>
        <v>9781136601156</v>
      </c>
      <c r="K4128" t="s">
        <v>6915</v>
      </c>
      <c r="L4128">
        <v>14</v>
      </c>
      <c r="O4128" t="s">
        <v>30</v>
      </c>
      <c r="P4128" t="s">
        <v>50</v>
      </c>
      <c r="S4128" t="s">
        <v>3786</v>
      </c>
      <c r="T4128" t="s">
        <v>2559</v>
      </c>
      <c r="U4128">
        <v>822.33</v>
      </c>
      <c r="V4128" s="3">
        <v>41575</v>
      </c>
    </row>
    <row r="4129" spans="1:22" x14ac:dyDescent="0.35">
      <c r="A4129" s="1">
        <v>42318.794178240743</v>
      </c>
      <c r="B4129" s="2">
        <v>9.2592592592592588E-5</v>
      </c>
      <c r="C4129" t="s">
        <v>210</v>
      </c>
      <c r="D4129" t="s">
        <v>211</v>
      </c>
      <c r="E4129" t="s">
        <v>212</v>
      </c>
      <c r="F4129" t="s">
        <v>491</v>
      </c>
      <c r="G4129">
        <v>768534</v>
      </c>
      <c r="H4129" t="s">
        <v>492</v>
      </c>
      <c r="I4129" t="s">
        <v>493</v>
      </c>
      <c r="J4129" t="str">
        <f>"9781400839704"</f>
        <v>9781400839704</v>
      </c>
      <c r="K4129" t="s">
        <v>889</v>
      </c>
      <c r="L4129">
        <v>6</v>
      </c>
      <c r="O4129" t="s">
        <v>30</v>
      </c>
      <c r="P4129" t="s">
        <v>42</v>
      </c>
      <c r="S4129" t="s">
        <v>214</v>
      </c>
      <c r="T4129" t="s">
        <v>495</v>
      </c>
      <c r="U4129" t="s">
        <v>496</v>
      </c>
      <c r="V4129" s="3">
        <v>40847</v>
      </c>
    </row>
    <row r="4130" spans="1:22" x14ac:dyDescent="0.35">
      <c r="A4130" s="1">
        <v>42318.794120370374</v>
      </c>
      <c r="B4130" s="2">
        <v>1.9675925925925926E-4</v>
      </c>
      <c r="C4130" t="s">
        <v>210</v>
      </c>
      <c r="D4130" t="s">
        <v>211</v>
      </c>
      <c r="E4130" t="s">
        <v>212</v>
      </c>
      <c r="F4130" t="s">
        <v>6916</v>
      </c>
      <c r="G4130">
        <v>1747365</v>
      </c>
      <c r="H4130" t="s">
        <v>139</v>
      </c>
      <c r="I4130" t="s">
        <v>38</v>
      </c>
      <c r="J4130" t="str">
        <f>"9781479878901"</f>
        <v>9781479878901</v>
      </c>
      <c r="K4130" t="s">
        <v>355</v>
      </c>
      <c r="L4130">
        <v>8</v>
      </c>
      <c r="O4130" t="s">
        <v>30</v>
      </c>
      <c r="P4130" t="s">
        <v>50</v>
      </c>
      <c r="S4130" t="s">
        <v>214</v>
      </c>
      <c r="T4130" t="s">
        <v>6917</v>
      </c>
      <c r="U4130">
        <v>362.88299999999998</v>
      </c>
      <c r="V4130" s="3">
        <v>41880</v>
      </c>
    </row>
    <row r="4131" spans="1:22" x14ac:dyDescent="0.35">
      <c r="A4131" s="1">
        <v>42318.759837962964</v>
      </c>
      <c r="B4131" s="2">
        <v>0</v>
      </c>
      <c r="C4131" t="s">
        <v>6058</v>
      </c>
      <c r="D4131" t="s">
        <v>2519</v>
      </c>
      <c r="E4131" t="s">
        <v>2520</v>
      </c>
      <c r="F4131" t="s">
        <v>6918</v>
      </c>
      <c r="G4131">
        <v>1695066</v>
      </c>
      <c r="H4131" t="s">
        <v>26</v>
      </c>
      <c r="I4131" t="s">
        <v>97</v>
      </c>
      <c r="J4131" t="str">
        <f>"9780730312918"</f>
        <v>9780730312918</v>
      </c>
      <c r="L4131">
        <v>0</v>
      </c>
      <c r="O4131" t="s">
        <v>30</v>
      </c>
      <c r="P4131" t="s">
        <v>47</v>
      </c>
      <c r="Q4131" s="1">
        <v>42318.759837962964</v>
      </c>
      <c r="R4131">
        <v>1</v>
      </c>
      <c r="S4131" t="s">
        <v>2523</v>
      </c>
      <c r="T4131" t="s">
        <v>6919</v>
      </c>
      <c r="U4131">
        <v>658.45</v>
      </c>
      <c r="V4131" s="3">
        <v>41782</v>
      </c>
    </row>
    <row r="4132" spans="1:22" x14ac:dyDescent="0.35">
      <c r="A4132" s="1">
        <v>42318.759421296294</v>
      </c>
      <c r="B4132" s="2">
        <v>4.1666666666666669E-4</v>
      </c>
      <c r="C4132" t="s">
        <v>6058</v>
      </c>
      <c r="D4132" t="s">
        <v>2519</v>
      </c>
      <c r="E4132" t="s">
        <v>2520</v>
      </c>
      <c r="F4132" t="s">
        <v>6918</v>
      </c>
      <c r="G4132">
        <v>1695066</v>
      </c>
      <c r="H4132" t="s">
        <v>26</v>
      </c>
      <c r="I4132" t="s">
        <v>97</v>
      </c>
      <c r="J4132" t="str">
        <f>"9780730312918"</f>
        <v>9780730312918</v>
      </c>
      <c r="K4132" t="s">
        <v>6920</v>
      </c>
      <c r="L4132">
        <v>15</v>
      </c>
      <c r="O4132" t="s">
        <v>30</v>
      </c>
      <c r="P4132" t="s">
        <v>50</v>
      </c>
      <c r="S4132" t="s">
        <v>2523</v>
      </c>
      <c r="T4132" t="s">
        <v>6919</v>
      </c>
      <c r="U4132">
        <v>658.45</v>
      </c>
      <c r="V4132" s="3">
        <v>41782</v>
      </c>
    </row>
    <row r="4133" spans="1:22" x14ac:dyDescent="0.35">
      <c r="A4133" s="1">
        <v>42318.745451388888</v>
      </c>
      <c r="B4133" s="2">
        <v>3.425925925925926E-2</v>
      </c>
      <c r="C4133" t="s">
        <v>3942</v>
      </c>
      <c r="D4133" t="s">
        <v>35</v>
      </c>
      <c r="E4133" t="s">
        <v>36</v>
      </c>
      <c r="F4133" t="s">
        <v>3943</v>
      </c>
      <c r="G4133">
        <v>836167</v>
      </c>
      <c r="H4133" t="s">
        <v>149</v>
      </c>
      <c r="I4133" t="s">
        <v>3944</v>
      </c>
      <c r="J4133" t="str">
        <f>"9781438139487"</f>
        <v>9781438139487</v>
      </c>
      <c r="K4133" t="s">
        <v>6921</v>
      </c>
      <c r="L4133">
        <v>18</v>
      </c>
      <c r="O4133" t="s">
        <v>30</v>
      </c>
      <c r="P4133" t="s">
        <v>29</v>
      </c>
      <c r="Q4133" s="1">
        <v>42318.745451388888</v>
      </c>
      <c r="R4133">
        <v>7</v>
      </c>
      <c r="S4133" t="s">
        <v>40</v>
      </c>
      <c r="T4133" t="s">
        <v>3946</v>
      </c>
      <c r="U4133" t="s">
        <v>3947</v>
      </c>
      <c r="V4133" s="3">
        <v>40848</v>
      </c>
    </row>
    <row r="4134" spans="1:22" x14ac:dyDescent="0.35">
      <c r="A4134" s="1">
        <v>42318.736168981479</v>
      </c>
      <c r="B4134" s="2">
        <v>9.2824074074074076E-3</v>
      </c>
      <c r="C4134" t="s">
        <v>3942</v>
      </c>
      <c r="D4134" t="s">
        <v>35</v>
      </c>
      <c r="E4134" t="s">
        <v>36</v>
      </c>
      <c r="F4134" t="s">
        <v>3943</v>
      </c>
      <c r="G4134">
        <v>836167</v>
      </c>
      <c r="H4134" t="s">
        <v>149</v>
      </c>
      <c r="I4134" t="s">
        <v>3944</v>
      </c>
      <c r="J4134" t="str">
        <f>"9781438139487"</f>
        <v>9781438139487</v>
      </c>
      <c r="K4134" t="s">
        <v>6922</v>
      </c>
      <c r="L4134">
        <v>11</v>
      </c>
      <c r="O4134" t="s">
        <v>30</v>
      </c>
      <c r="P4134" t="s">
        <v>42</v>
      </c>
      <c r="S4134" t="s">
        <v>40</v>
      </c>
      <c r="T4134" t="s">
        <v>3946</v>
      </c>
      <c r="U4134" t="s">
        <v>3947</v>
      </c>
      <c r="V4134" s="3">
        <v>40848</v>
      </c>
    </row>
    <row r="4135" spans="1:22" x14ac:dyDescent="0.35">
      <c r="A4135" s="1">
        <v>42318.730613425927</v>
      </c>
      <c r="B4135" s="2">
        <v>1.273148148148148E-4</v>
      </c>
      <c r="C4135" t="s">
        <v>6923</v>
      </c>
      <c r="D4135" t="s">
        <v>2519</v>
      </c>
      <c r="E4135" t="s">
        <v>2520</v>
      </c>
      <c r="F4135" t="s">
        <v>6924</v>
      </c>
      <c r="G4135">
        <v>1985832</v>
      </c>
      <c r="H4135" t="s">
        <v>26</v>
      </c>
      <c r="I4135" t="s">
        <v>6925</v>
      </c>
      <c r="J4135" t="str">
        <f>"9781119128601"</f>
        <v>9781119128601</v>
      </c>
      <c r="K4135" t="s">
        <v>98</v>
      </c>
      <c r="L4135">
        <v>7</v>
      </c>
      <c r="O4135" t="s">
        <v>30</v>
      </c>
      <c r="P4135" t="s">
        <v>50</v>
      </c>
      <c r="S4135" t="s">
        <v>2523</v>
      </c>
      <c r="T4135" t="s">
        <v>6926</v>
      </c>
      <c r="U4135">
        <v>333.72</v>
      </c>
      <c r="V4135" s="3">
        <v>42138</v>
      </c>
    </row>
    <row r="4136" spans="1:22" x14ac:dyDescent="0.35">
      <c r="A4136" s="1">
        <v>42318.709456018521</v>
      </c>
      <c r="B4136" s="2">
        <v>1.0416666666666667E-4</v>
      </c>
      <c r="C4136" t="s">
        <v>4813</v>
      </c>
      <c r="D4136" t="s">
        <v>23</v>
      </c>
      <c r="E4136" t="s">
        <v>24</v>
      </c>
      <c r="F4136" t="s">
        <v>6927</v>
      </c>
      <c r="G4136">
        <v>1895994</v>
      </c>
      <c r="H4136" t="s">
        <v>26</v>
      </c>
      <c r="I4136" t="s">
        <v>6928</v>
      </c>
      <c r="J4136" t="str">
        <f>"9781119046035"</f>
        <v>9781119046035</v>
      </c>
      <c r="K4136" t="s">
        <v>33</v>
      </c>
      <c r="L4136">
        <v>3</v>
      </c>
      <c r="O4136" t="s">
        <v>30</v>
      </c>
      <c r="P4136" t="s">
        <v>50</v>
      </c>
      <c r="S4136" t="s">
        <v>31</v>
      </c>
      <c r="T4136" t="s">
        <v>6929</v>
      </c>
      <c r="U4136">
        <v>794.81525999999997</v>
      </c>
      <c r="V4136" s="3">
        <v>42020</v>
      </c>
    </row>
    <row r="4137" spans="1:22" x14ac:dyDescent="0.35">
      <c r="A4137" s="1">
        <v>42318.672662037039</v>
      </c>
      <c r="B4137" s="2">
        <v>3.4722222222222222E-5</v>
      </c>
      <c r="C4137" t="s">
        <v>6930</v>
      </c>
      <c r="D4137" t="s">
        <v>1222</v>
      </c>
      <c r="E4137" t="s">
        <v>1223</v>
      </c>
      <c r="F4137" t="s">
        <v>2419</v>
      </c>
      <c r="G4137">
        <v>1110728</v>
      </c>
      <c r="H4137" t="s">
        <v>26</v>
      </c>
      <c r="I4137" t="s">
        <v>108</v>
      </c>
      <c r="J4137" t="str">
        <f>"9781118461204"</f>
        <v>9781118461204</v>
      </c>
      <c r="K4137" t="s">
        <v>3050</v>
      </c>
      <c r="L4137">
        <v>3</v>
      </c>
      <c r="O4137" t="s">
        <v>30</v>
      </c>
      <c r="P4137" t="s">
        <v>42</v>
      </c>
      <c r="S4137" t="s">
        <v>1226</v>
      </c>
      <c r="T4137" t="s">
        <v>2421</v>
      </c>
      <c r="U4137" t="s">
        <v>2422</v>
      </c>
      <c r="V4137" s="3">
        <v>41283</v>
      </c>
    </row>
    <row r="4138" spans="1:22" x14ac:dyDescent="0.35">
      <c r="A4138" s="1">
        <v>42318.672569444447</v>
      </c>
      <c r="B4138" s="2">
        <v>1.273148148148148E-4</v>
      </c>
      <c r="C4138" t="s">
        <v>106</v>
      </c>
      <c r="D4138" t="s">
        <v>23</v>
      </c>
      <c r="E4138" t="s">
        <v>24</v>
      </c>
      <c r="F4138" t="s">
        <v>6931</v>
      </c>
      <c r="G4138">
        <v>1126588</v>
      </c>
      <c r="H4138" t="s">
        <v>2998</v>
      </c>
      <c r="I4138" t="s">
        <v>172</v>
      </c>
      <c r="J4138" t="str">
        <f>"9780748677108"</f>
        <v>9780748677108</v>
      </c>
      <c r="K4138" t="s">
        <v>6932</v>
      </c>
      <c r="L4138">
        <v>7</v>
      </c>
      <c r="O4138" t="s">
        <v>30</v>
      </c>
      <c r="P4138" t="s">
        <v>42</v>
      </c>
      <c r="S4138" t="s">
        <v>31</v>
      </c>
      <c r="T4138" t="s">
        <v>6933</v>
      </c>
      <c r="U4138">
        <v>935.7</v>
      </c>
      <c r="V4138" s="3">
        <v>41288</v>
      </c>
    </row>
    <row r="4139" spans="1:22" x14ac:dyDescent="0.35">
      <c r="A4139" s="1">
        <v>42318.671319444446</v>
      </c>
      <c r="B4139" s="2">
        <v>9.0277777777777784E-4</v>
      </c>
      <c r="C4139" t="s">
        <v>106</v>
      </c>
      <c r="D4139" t="s">
        <v>23</v>
      </c>
      <c r="E4139" t="s">
        <v>24</v>
      </c>
      <c r="F4139" t="s">
        <v>3973</v>
      </c>
      <c r="G4139">
        <v>771049</v>
      </c>
      <c r="H4139" t="s">
        <v>3465</v>
      </c>
      <c r="I4139" t="s">
        <v>3974</v>
      </c>
      <c r="J4139" t="str">
        <f>"9781608706648"</f>
        <v>9781608706648</v>
      </c>
      <c r="K4139" t="s">
        <v>6934</v>
      </c>
      <c r="L4139">
        <v>16</v>
      </c>
      <c r="O4139" t="s">
        <v>30</v>
      </c>
      <c r="P4139" t="s">
        <v>42</v>
      </c>
      <c r="S4139" t="s">
        <v>31</v>
      </c>
      <c r="T4139" t="s">
        <v>3976</v>
      </c>
      <c r="U4139">
        <v>363.73874000000001</v>
      </c>
      <c r="V4139" s="3">
        <v>40909</v>
      </c>
    </row>
    <row r="4140" spans="1:22" x14ac:dyDescent="0.35">
      <c r="A4140" s="1">
        <v>42318.648298611108</v>
      </c>
      <c r="B4140" s="2">
        <v>6.0995370370370361E-3</v>
      </c>
      <c r="C4140" t="s">
        <v>106</v>
      </c>
      <c r="D4140" t="s">
        <v>23</v>
      </c>
      <c r="E4140" t="s">
        <v>24</v>
      </c>
      <c r="F4140" t="s">
        <v>486</v>
      </c>
      <c r="G4140">
        <v>1119505</v>
      </c>
      <c r="H4140" t="s">
        <v>26</v>
      </c>
      <c r="I4140" t="s">
        <v>450</v>
      </c>
      <c r="J4140" t="str">
        <f>"9781118355015"</f>
        <v>9781118355015</v>
      </c>
      <c r="K4140" t="s">
        <v>6935</v>
      </c>
      <c r="L4140">
        <v>21</v>
      </c>
      <c r="O4140" t="s">
        <v>30</v>
      </c>
      <c r="P4140" t="s">
        <v>29</v>
      </c>
      <c r="Q4140" s="1">
        <v>42314.692002314812</v>
      </c>
      <c r="R4140">
        <v>7</v>
      </c>
      <c r="S4140" t="s">
        <v>31</v>
      </c>
      <c r="T4140" t="s">
        <v>487</v>
      </c>
      <c r="U4140" t="s">
        <v>488</v>
      </c>
      <c r="V4140" s="3">
        <v>41302</v>
      </c>
    </row>
    <row r="4141" spans="1:22" x14ac:dyDescent="0.35">
      <c r="A4141" s="1">
        <v>42318.622546296298</v>
      </c>
      <c r="B4141" s="2">
        <v>4.3981481481481481E-4</v>
      </c>
      <c r="C4141" t="s">
        <v>6936</v>
      </c>
      <c r="D4141" t="s">
        <v>146</v>
      </c>
      <c r="E4141" t="s">
        <v>147</v>
      </c>
      <c r="F4141" t="s">
        <v>6937</v>
      </c>
      <c r="G4141">
        <v>834631</v>
      </c>
      <c r="H4141" t="s">
        <v>26</v>
      </c>
      <c r="I4141" t="s">
        <v>247</v>
      </c>
      <c r="J4141" t="str">
        <f>"9781444354669"</f>
        <v>9781444354669</v>
      </c>
      <c r="K4141" t="s">
        <v>6938</v>
      </c>
      <c r="L4141">
        <v>15</v>
      </c>
      <c r="N4141" t="s">
        <v>6939</v>
      </c>
      <c r="O4141" t="s">
        <v>30</v>
      </c>
      <c r="P4141" t="s">
        <v>29</v>
      </c>
      <c r="Q4141" s="1">
        <v>42317.544583333336</v>
      </c>
      <c r="R4141">
        <v>7</v>
      </c>
      <c r="S4141" t="s">
        <v>778</v>
      </c>
      <c r="T4141" t="s">
        <v>6940</v>
      </c>
      <c r="U4141" t="s">
        <v>6941</v>
      </c>
      <c r="V4141" s="3">
        <v>40911</v>
      </c>
    </row>
    <row r="4142" spans="1:22" x14ac:dyDescent="0.35">
      <c r="A4142" s="1">
        <v>42318.613483796296</v>
      </c>
      <c r="B4142" s="2">
        <v>3.9583333333333337E-3</v>
      </c>
      <c r="C4142" t="s">
        <v>6942</v>
      </c>
      <c r="D4142" t="s">
        <v>146</v>
      </c>
      <c r="E4142" t="s">
        <v>147</v>
      </c>
      <c r="F4142" t="s">
        <v>6937</v>
      </c>
      <c r="G4142">
        <v>834631</v>
      </c>
      <c r="H4142" t="s">
        <v>26</v>
      </c>
      <c r="I4142" t="s">
        <v>247</v>
      </c>
      <c r="J4142" t="str">
        <f>"9781444354669"</f>
        <v>9781444354669</v>
      </c>
      <c r="K4142" t="s">
        <v>6943</v>
      </c>
      <c r="L4142">
        <v>13</v>
      </c>
      <c r="N4142" t="s">
        <v>6944</v>
      </c>
      <c r="O4142" t="s">
        <v>30</v>
      </c>
      <c r="P4142" t="s">
        <v>29</v>
      </c>
      <c r="Q4142" s="1">
        <v>42317.544583333336</v>
      </c>
      <c r="R4142">
        <v>7</v>
      </c>
      <c r="S4142" t="s">
        <v>778</v>
      </c>
      <c r="T4142" t="s">
        <v>6940</v>
      </c>
      <c r="U4142" t="s">
        <v>6941</v>
      </c>
      <c r="V4142" s="3">
        <v>40911</v>
      </c>
    </row>
    <row r="4143" spans="1:22" x14ac:dyDescent="0.35">
      <c r="A4143" s="1">
        <v>42318.61204861111</v>
      </c>
      <c r="B4143" s="2">
        <v>1.0300925925925926E-3</v>
      </c>
      <c r="C4143" t="s">
        <v>6936</v>
      </c>
      <c r="D4143" t="s">
        <v>146</v>
      </c>
      <c r="E4143" t="s">
        <v>147</v>
      </c>
      <c r="F4143" t="s">
        <v>6937</v>
      </c>
      <c r="G4143">
        <v>834631</v>
      </c>
      <c r="H4143" t="s">
        <v>26</v>
      </c>
      <c r="I4143" t="s">
        <v>247</v>
      </c>
      <c r="J4143" t="str">
        <f>"9781444354669"</f>
        <v>9781444354669</v>
      </c>
      <c r="K4143" t="s">
        <v>6945</v>
      </c>
      <c r="L4143">
        <v>16</v>
      </c>
      <c r="O4143" t="s">
        <v>30</v>
      </c>
      <c r="P4143" t="s">
        <v>29</v>
      </c>
      <c r="Q4143" s="1">
        <v>42317.544583333336</v>
      </c>
      <c r="R4143">
        <v>7</v>
      </c>
      <c r="S4143" t="s">
        <v>778</v>
      </c>
      <c r="T4143" t="s">
        <v>6940</v>
      </c>
      <c r="U4143" t="s">
        <v>6941</v>
      </c>
      <c r="V4143" s="3">
        <v>40911</v>
      </c>
    </row>
    <row r="4144" spans="1:22" x14ac:dyDescent="0.35">
      <c r="A4144" s="1">
        <v>42318.606550925928</v>
      </c>
      <c r="B4144" s="2">
        <v>6.3657407407407402E-4</v>
      </c>
      <c r="C4144" t="s">
        <v>6942</v>
      </c>
      <c r="D4144" t="s">
        <v>146</v>
      </c>
      <c r="E4144" t="s">
        <v>147</v>
      </c>
      <c r="F4144" t="s">
        <v>6937</v>
      </c>
      <c r="G4144">
        <v>834631</v>
      </c>
      <c r="H4144" t="s">
        <v>26</v>
      </c>
      <c r="I4144" t="s">
        <v>247</v>
      </c>
      <c r="J4144" t="str">
        <f>"9781444354669"</f>
        <v>9781444354669</v>
      </c>
      <c r="K4144" t="s">
        <v>6946</v>
      </c>
      <c r="L4144">
        <v>6</v>
      </c>
      <c r="O4144" t="s">
        <v>30</v>
      </c>
      <c r="P4144" t="s">
        <v>29</v>
      </c>
      <c r="Q4144" s="1">
        <v>42317.544583333336</v>
      </c>
      <c r="R4144">
        <v>7</v>
      </c>
      <c r="S4144" t="s">
        <v>778</v>
      </c>
      <c r="T4144" t="s">
        <v>6940</v>
      </c>
      <c r="U4144" t="s">
        <v>6941</v>
      </c>
      <c r="V4144" s="3">
        <v>40911</v>
      </c>
    </row>
    <row r="4145" spans="1:22" x14ac:dyDescent="0.35">
      <c r="A4145" s="1">
        <v>42318.602349537039</v>
      </c>
      <c r="B4145" s="2">
        <v>5.7870370370370366E-5</v>
      </c>
      <c r="C4145" t="s">
        <v>3076</v>
      </c>
      <c r="D4145" t="s">
        <v>146</v>
      </c>
      <c r="E4145" t="s">
        <v>147</v>
      </c>
      <c r="F4145" t="s">
        <v>775</v>
      </c>
      <c r="G4145">
        <v>1809742</v>
      </c>
      <c r="H4145" t="s">
        <v>26</v>
      </c>
      <c r="I4145" t="s">
        <v>776</v>
      </c>
      <c r="J4145" t="str">
        <f>"9781118968291"</f>
        <v>9781118968291</v>
      </c>
      <c r="K4145" t="s">
        <v>6947</v>
      </c>
      <c r="L4145">
        <v>3</v>
      </c>
      <c r="O4145" t="s">
        <v>30</v>
      </c>
      <c r="P4145" t="s">
        <v>29</v>
      </c>
      <c r="Q4145" s="1">
        <v>42318.602349537039</v>
      </c>
      <c r="R4145">
        <v>7</v>
      </c>
      <c r="S4145" t="s">
        <v>3078</v>
      </c>
      <c r="T4145" t="s">
        <v>779</v>
      </c>
      <c r="U4145">
        <v>794.8</v>
      </c>
      <c r="V4145" s="3">
        <v>41911</v>
      </c>
    </row>
    <row r="4146" spans="1:22" x14ac:dyDescent="0.35">
      <c r="A4146" s="1">
        <v>42318.580555555556</v>
      </c>
      <c r="B4146" s="2">
        <v>2.179398148148148E-2</v>
      </c>
      <c r="C4146" t="s">
        <v>3076</v>
      </c>
      <c r="D4146" t="s">
        <v>146</v>
      </c>
      <c r="E4146" t="s">
        <v>147</v>
      </c>
      <c r="F4146" t="s">
        <v>775</v>
      </c>
      <c r="G4146">
        <v>1809742</v>
      </c>
      <c r="H4146" t="s">
        <v>26</v>
      </c>
      <c r="I4146" t="s">
        <v>776</v>
      </c>
      <c r="J4146" t="str">
        <f>"9781118968291"</f>
        <v>9781118968291</v>
      </c>
      <c r="K4146" t="s">
        <v>6948</v>
      </c>
      <c r="L4146">
        <v>13</v>
      </c>
      <c r="O4146" t="s">
        <v>30</v>
      </c>
      <c r="P4146" t="s">
        <v>42</v>
      </c>
      <c r="S4146" t="s">
        <v>3078</v>
      </c>
      <c r="T4146" t="s">
        <v>779</v>
      </c>
      <c r="U4146">
        <v>794.8</v>
      </c>
      <c r="V4146" s="3">
        <v>41911</v>
      </c>
    </row>
    <row r="4147" spans="1:22" x14ac:dyDescent="0.35">
      <c r="A4147" s="1">
        <v>42318.555173611108</v>
      </c>
      <c r="B4147" s="2">
        <v>4.2824074074074075E-4</v>
      </c>
      <c r="C4147" t="s">
        <v>6949</v>
      </c>
      <c r="D4147" t="s">
        <v>35</v>
      </c>
      <c r="E4147" t="s">
        <v>36</v>
      </c>
      <c r="F4147" t="s">
        <v>6950</v>
      </c>
      <c r="G4147">
        <v>1593777</v>
      </c>
      <c r="H4147" t="s">
        <v>139</v>
      </c>
      <c r="I4147" t="s">
        <v>120</v>
      </c>
      <c r="J4147" t="str">
        <f>"9780814764794"</f>
        <v>9780814764794</v>
      </c>
      <c r="K4147" t="s">
        <v>6951</v>
      </c>
      <c r="L4147">
        <v>14</v>
      </c>
      <c r="O4147" t="s">
        <v>30</v>
      </c>
      <c r="P4147" t="s">
        <v>47</v>
      </c>
      <c r="Q4147" s="1">
        <v>42318.555162037039</v>
      </c>
      <c r="R4147">
        <v>1</v>
      </c>
      <c r="S4147" t="s">
        <v>40</v>
      </c>
      <c r="T4147" t="s">
        <v>6952</v>
      </c>
      <c r="U4147" t="s">
        <v>6953</v>
      </c>
      <c r="V4147" s="3">
        <v>41695</v>
      </c>
    </row>
    <row r="4148" spans="1:22" x14ac:dyDescent="0.35">
      <c r="A4148" s="1">
        <v>42318.551620370374</v>
      </c>
      <c r="B4148" s="2">
        <v>3.5416666666666665E-3</v>
      </c>
      <c r="C4148" t="s">
        <v>6949</v>
      </c>
      <c r="D4148" t="s">
        <v>35</v>
      </c>
      <c r="E4148" t="s">
        <v>36</v>
      </c>
      <c r="F4148" t="s">
        <v>6950</v>
      </c>
      <c r="G4148">
        <v>1593777</v>
      </c>
      <c r="H4148" t="s">
        <v>139</v>
      </c>
      <c r="I4148" t="s">
        <v>120</v>
      </c>
      <c r="J4148" t="str">
        <f>"9780814764794"</f>
        <v>9780814764794</v>
      </c>
      <c r="K4148" t="s">
        <v>6954</v>
      </c>
      <c r="L4148">
        <v>69</v>
      </c>
      <c r="O4148" t="s">
        <v>30</v>
      </c>
      <c r="P4148" t="s">
        <v>50</v>
      </c>
      <c r="S4148" t="s">
        <v>40</v>
      </c>
      <c r="T4148" t="s">
        <v>6952</v>
      </c>
      <c r="U4148" t="s">
        <v>6953</v>
      </c>
      <c r="V4148" s="3">
        <v>41695</v>
      </c>
    </row>
    <row r="4149" spans="1:22" x14ac:dyDescent="0.35">
      <c r="A4149" s="1">
        <v>42318.176122685189</v>
      </c>
      <c r="B4149" s="2">
        <v>4.9768518518518521E-4</v>
      </c>
      <c r="C4149" t="s">
        <v>6447</v>
      </c>
      <c r="D4149" t="s">
        <v>23</v>
      </c>
      <c r="E4149" t="s">
        <v>24</v>
      </c>
      <c r="F4149" t="s">
        <v>3037</v>
      </c>
      <c r="G4149">
        <v>836624</v>
      </c>
      <c r="H4149" t="s">
        <v>26</v>
      </c>
      <c r="I4149" t="s">
        <v>1650</v>
      </c>
      <c r="J4149" t="str">
        <f>"9781118346686"</f>
        <v>9781118346686</v>
      </c>
      <c r="K4149" t="s">
        <v>2663</v>
      </c>
      <c r="L4149">
        <v>15</v>
      </c>
      <c r="O4149" t="s">
        <v>30</v>
      </c>
      <c r="P4149" t="s">
        <v>42</v>
      </c>
      <c r="S4149" t="s">
        <v>31</v>
      </c>
      <c r="T4149" t="s">
        <v>3039</v>
      </c>
      <c r="U4149">
        <v>741.59730000000002</v>
      </c>
      <c r="V4149" s="3">
        <v>40969</v>
      </c>
    </row>
    <row r="4150" spans="1:22" x14ac:dyDescent="0.35">
      <c r="A4150" s="1">
        <v>42318.152511574073</v>
      </c>
      <c r="B4150" s="2">
        <v>6.8287037037037025E-4</v>
      </c>
      <c r="C4150" t="s">
        <v>6955</v>
      </c>
      <c r="D4150" t="s">
        <v>35</v>
      </c>
      <c r="E4150" t="s">
        <v>36</v>
      </c>
      <c r="F4150" t="s">
        <v>3179</v>
      </c>
      <c r="G4150">
        <v>1172554</v>
      </c>
      <c r="H4150" t="s">
        <v>1365</v>
      </c>
      <c r="I4150" t="s">
        <v>172</v>
      </c>
      <c r="J4150" t="str">
        <f>""</f>
        <v/>
      </c>
      <c r="K4150" t="s">
        <v>6956</v>
      </c>
      <c r="L4150">
        <v>22</v>
      </c>
      <c r="O4150" t="s">
        <v>30</v>
      </c>
      <c r="P4150" t="s">
        <v>42</v>
      </c>
      <c r="S4150" t="s">
        <v>40</v>
      </c>
      <c r="T4150" t="s">
        <v>3182</v>
      </c>
      <c r="U4150" t="s">
        <v>3183</v>
      </c>
      <c r="V4150" s="3">
        <v>41375</v>
      </c>
    </row>
    <row r="4151" spans="1:22" x14ac:dyDescent="0.35">
      <c r="A4151" s="1">
        <v>42318.139884259261</v>
      </c>
      <c r="B4151" s="2">
        <v>4.6296296296296294E-5</v>
      </c>
      <c r="C4151" t="s">
        <v>6957</v>
      </c>
      <c r="D4151" t="s">
        <v>158</v>
      </c>
      <c r="E4151" t="s">
        <v>159</v>
      </c>
      <c r="F4151" t="s">
        <v>4184</v>
      </c>
      <c r="G4151">
        <v>800610</v>
      </c>
      <c r="H4151" t="s">
        <v>91</v>
      </c>
      <c r="I4151" t="s">
        <v>247</v>
      </c>
      <c r="J4151" t="str">
        <f>"9781609186951"</f>
        <v>9781609186951</v>
      </c>
      <c r="K4151" t="s">
        <v>611</v>
      </c>
      <c r="L4151">
        <v>3</v>
      </c>
      <c r="O4151" t="s">
        <v>30</v>
      </c>
      <c r="P4151" t="s">
        <v>42</v>
      </c>
      <c r="S4151" t="s">
        <v>163</v>
      </c>
      <c r="T4151" t="s">
        <v>4187</v>
      </c>
      <c r="U4151">
        <v>616.89499999999998</v>
      </c>
      <c r="V4151" s="3">
        <v>40856</v>
      </c>
    </row>
    <row r="4152" spans="1:22" x14ac:dyDescent="0.35">
      <c r="A4152" s="1">
        <v>42318.124884259261</v>
      </c>
      <c r="B4152" s="2">
        <v>0.15964120370370369</v>
      </c>
      <c r="C4152" t="s">
        <v>106</v>
      </c>
      <c r="D4152" t="s">
        <v>23</v>
      </c>
      <c r="E4152" t="s">
        <v>24</v>
      </c>
      <c r="F4152" t="s">
        <v>486</v>
      </c>
      <c r="G4152">
        <v>1119505</v>
      </c>
      <c r="H4152" t="s">
        <v>26</v>
      </c>
      <c r="I4152" t="s">
        <v>450</v>
      </c>
      <c r="J4152" t="str">
        <f>"9781118355015"</f>
        <v>9781118355015</v>
      </c>
      <c r="K4152" t="s">
        <v>6958</v>
      </c>
      <c r="L4152">
        <v>54</v>
      </c>
      <c r="O4152" t="s">
        <v>30</v>
      </c>
      <c r="P4152" t="s">
        <v>29</v>
      </c>
      <c r="Q4152" s="1">
        <v>42314.692002314812</v>
      </c>
      <c r="R4152">
        <v>7</v>
      </c>
      <c r="S4152" t="s">
        <v>31</v>
      </c>
      <c r="T4152" t="s">
        <v>487</v>
      </c>
      <c r="U4152" t="s">
        <v>488</v>
      </c>
      <c r="V4152" s="3">
        <v>41302</v>
      </c>
    </row>
    <row r="4153" spans="1:22" x14ac:dyDescent="0.35">
      <c r="A4153" s="1">
        <v>42318.099722222221</v>
      </c>
      <c r="B4153" s="2">
        <v>3.3553240740740745E-2</v>
      </c>
      <c r="C4153" t="s">
        <v>5326</v>
      </c>
      <c r="D4153" t="s">
        <v>23</v>
      </c>
      <c r="E4153" t="s">
        <v>24</v>
      </c>
      <c r="F4153" t="s">
        <v>486</v>
      </c>
      <c r="G4153">
        <v>1119505</v>
      </c>
      <c r="H4153" t="s">
        <v>26</v>
      </c>
      <c r="I4153" t="s">
        <v>450</v>
      </c>
      <c r="J4153" t="str">
        <f>"9781118355015"</f>
        <v>9781118355015</v>
      </c>
      <c r="K4153" t="s">
        <v>6959</v>
      </c>
      <c r="L4153">
        <v>39</v>
      </c>
      <c r="O4153" t="s">
        <v>30</v>
      </c>
      <c r="P4153" t="s">
        <v>29</v>
      </c>
      <c r="Q4153" s="1">
        <v>42313.091331018521</v>
      </c>
      <c r="R4153">
        <v>7</v>
      </c>
      <c r="S4153" t="s">
        <v>31</v>
      </c>
      <c r="T4153" t="s">
        <v>487</v>
      </c>
      <c r="U4153" t="s">
        <v>488</v>
      </c>
      <c r="V4153" s="3">
        <v>41302</v>
      </c>
    </row>
    <row r="4154" spans="1:22" x14ac:dyDescent="0.35">
      <c r="A4154" s="1">
        <v>42318.073275462964</v>
      </c>
      <c r="B4154" s="2">
        <v>3.4722222222222222E-5</v>
      </c>
      <c r="C4154" t="s">
        <v>1421</v>
      </c>
      <c r="D4154" t="s">
        <v>623</v>
      </c>
      <c r="E4154" t="s">
        <v>624</v>
      </c>
      <c r="F4154" t="s">
        <v>6960</v>
      </c>
      <c r="G4154">
        <v>2050967</v>
      </c>
      <c r="H4154" t="s">
        <v>26</v>
      </c>
      <c r="I4154" t="s">
        <v>27</v>
      </c>
      <c r="J4154" t="str">
        <f>"9781119099215"</f>
        <v>9781119099215</v>
      </c>
      <c r="K4154" t="s">
        <v>33</v>
      </c>
      <c r="L4154">
        <v>3</v>
      </c>
      <c r="O4154" t="s">
        <v>30</v>
      </c>
      <c r="P4154" t="s">
        <v>42</v>
      </c>
      <c r="S4154" t="s">
        <v>627</v>
      </c>
      <c r="T4154" t="s">
        <v>6961</v>
      </c>
      <c r="U4154">
        <v>415</v>
      </c>
      <c r="V4154" s="3">
        <v>42178</v>
      </c>
    </row>
    <row r="4155" spans="1:22" x14ac:dyDescent="0.35">
      <c r="A4155" s="1">
        <v>42318.042210648149</v>
      </c>
      <c r="B4155" s="2">
        <v>1.9479166666666669E-2</v>
      </c>
      <c r="C4155" t="s">
        <v>106</v>
      </c>
      <c r="D4155" t="s">
        <v>23</v>
      </c>
      <c r="E4155" t="s">
        <v>24</v>
      </c>
      <c r="F4155" t="s">
        <v>6962</v>
      </c>
      <c r="G4155">
        <v>1543057</v>
      </c>
      <c r="H4155" t="s">
        <v>68</v>
      </c>
      <c r="I4155" t="s">
        <v>120</v>
      </c>
      <c r="J4155" t="str">
        <f>"9781134221509"</f>
        <v>9781134221509</v>
      </c>
      <c r="K4155" t="s">
        <v>6963</v>
      </c>
      <c r="L4155">
        <v>10</v>
      </c>
      <c r="O4155" t="s">
        <v>30</v>
      </c>
      <c r="P4155" t="s">
        <v>47</v>
      </c>
      <c r="Q4155" s="1">
        <v>42318.042210648149</v>
      </c>
      <c r="R4155">
        <v>1</v>
      </c>
      <c r="S4155" t="s">
        <v>31</v>
      </c>
      <c r="T4155" t="s">
        <v>6964</v>
      </c>
      <c r="U4155">
        <v>305.32</v>
      </c>
      <c r="V4155" s="3">
        <v>41583</v>
      </c>
    </row>
    <row r="4156" spans="1:22" x14ac:dyDescent="0.35">
      <c r="A4156" s="1">
        <v>42318.039988425924</v>
      </c>
      <c r="B4156" s="2">
        <v>4.6296296296296294E-5</v>
      </c>
      <c r="C4156" t="s">
        <v>6044</v>
      </c>
      <c r="D4156" t="s">
        <v>261</v>
      </c>
      <c r="E4156" t="s">
        <v>262</v>
      </c>
      <c r="F4156" t="s">
        <v>4140</v>
      </c>
      <c r="G4156">
        <v>1757100</v>
      </c>
      <c r="H4156" t="s">
        <v>84</v>
      </c>
      <c r="I4156" t="s">
        <v>3609</v>
      </c>
      <c r="J4156" t="str">
        <f>"9780520961302"</f>
        <v>9780520961302</v>
      </c>
      <c r="K4156" t="s">
        <v>33</v>
      </c>
      <c r="L4156">
        <v>3</v>
      </c>
      <c r="O4156" t="s">
        <v>30</v>
      </c>
      <c r="P4156" t="s">
        <v>47</v>
      </c>
      <c r="Q4156" s="1">
        <v>42318.035636574074</v>
      </c>
      <c r="R4156">
        <v>1</v>
      </c>
      <c r="S4156" t="s">
        <v>264</v>
      </c>
      <c r="T4156" t="s">
        <v>4142</v>
      </c>
      <c r="U4156" t="s">
        <v>4143</v>
      </c>
      <c r="V4156" s="3">
        <v>41967</v>
      </c>
    </row>
    <row r="4157" spans="1:22" x14ac:dyDescent="0.35">
      <c r="A4157" s="1">
        <v>42318.03564814815</v>
      </c>
      <c r="B4157" s="2">
        <v>3.3530092592592591E-2</v>
      </c>
      <c r="C4157" t="s">
        <v>6044</v>
      </c>
      <c r="D4157" t="s">
        <v>261</v>
      </c>
      <c r="E4157" t="s">
        <v>262</v>
      </c>
      <c r="F4157" t="s">
        <v>4140</v>
      </c>
      <c r="G4157">
        <v>1757100</v>
      </c>
      <c r="H4157" t="s">
        <v>84</v>
      </c>
      <c r="I4157" t="s">
        <v>3609</v>
      </c>
      <c r="J4157" t="str">
        <f>"9780520961302"</f>
        <v>9780520961302</v>
      </c>
      <c r="K4157" t="s">
        <v>6965</v>
      </c>
      <c r="L4157">
        <v>15</v>
      </c>
      <c r="O4157" t="s">
        <v>30</v>
      </c>
      <c r="P4157" t="s">
        <v>47</v>
      </c>
      <c r="Q4157" s="1">
        <v>42318.035636574074</v>
      </c>
      <c r="R4157">
        <v>1</v>
      </c>
      <c r="S4157" t="s">
        <v>264</v>
      </c>
      <c r="T4157" t="s">
        <v>4142</v>
      </c>
      <c r="U4157" t="s">
        <v>4143</v>
      </c>
      <c r="V4157" s="3">
        <v>41967</v>
      </c>
    </row>
    <row r="4158" spans="1:22" x14ac:dyDescent="0.35">
      <c r="A4158" s="1">
        <v>42318.033402777779</v>
      </c>
      <c r="B4158" s="2">
        <v>8.8078703703703704E-3</v>
      </c>
      <c r="C4158" t="s">
        <v>106</v>
      </c>
      <c r="D4158" t="s">
        <v>23</v>
      </c>
      <c r="E4158" t="s">
        <v>24</v>
      </c>
      <c r="F4158" t="s">
        <v>6962</v>
      </c>
      <c r="G4158">
        <v>1543057</v>
      </c>
      <c r="H4158" t="s">
        <v>68</v>
      </c>
      <c r="I4158" t="s">
        <v>120</v>
      </c>
      <c r="J4158" t="str">
        <f>"9781134221509"</f>
        <v>9781134221509</v>
      </c>
      <c r="K4158" t="s">
        <v>6966</v>
      </c>
      <c r="L4158">
        <v>33</v>
      </c>
      <c r="O4158" t="s">
        <v>30</v>
      </c>
      <c r="P4158" t="s">
        <v>50</v>
      </c>
      <c r="S4158" t="s">
        <v>31</v>
      </c>
      <c r="T4158" t="s">
        <v>6964</v>
      </c>
      <c r="U4158">
        <v>305.32</v>
      </c>
      <c r="V4158" s="3">
        <v>41583</v>
      </c>
    </row>
    <row r="4159" spans="1:22" x14ac:dyDescent="0.35">
      <c r="A4159" s="1">
        <v>42318.027499999997</v>
      </c>
      <c r="B4159" s="2">
        <v>8.1365740740740738E-3</v>
      </c>
      <c r="C4159" t="s">
        <v>6044</v>
      </c>
      <c r="D4159" t="s">
        <v>261</v>
      </c>
      <c r="E4159" t="s">
        <v>262</v>
      </c>
      <c r="F4159" t="s">
        <v>4140</v>
      </c>
      <c r="G4159">
        <v>1757100</v>
      </c>
      <c r="H4159" t="s">
        <v>84</v>
      </c>
      <c r="I4159" t="s">
        <v>3609</v>
      </c>
      <c r="J4159" t="str">
        <f>"9780520961302"</f>
        <v>9780520961302</v>
      </c>
      <c r="K4159" t="s">
        <v>33</v>
      </c>
      <c r="L4159">
        <v>3</v>
      </c>
      <c r="O4159" t="s">
        <v>30</v>
      </c>
      <c r="P4159" t="s">
        <v>50</v>
      </c>
      <c r="S4159" t="s">
        <v>264</v>
      </c>
      <c r="T4159" t="s">
        <v>4142</v>
      </c>
      <c r="U4159" t="s">
        <v>4143</v>
      </c>
      <c r="V4159" s="3">
        <v>41967</v>
      </c>
    </row>
    <row r="4160" spans="1:22" x14ac:dyDescent="0.35">
      <c r="A4160" s="1">
        <v>42318.008819444447</v>
      </c>
      <c r="B4160" s="2">
        <v>6.018518518518519E-4</v>
      </c>
      <c r="C4160" t="s">
        <v>6753</v>
      </c>
      <c r="D4160" t="s">
        <v>2519</v>
      </c>
      <c r="E4160" t="s">
        <v>2520</v>
      </c>
      <c r="F4160" t="s">
        <v>6754</v>
      </c>
      <c r="G4160">
        <v>1078671</v>
      </c>
      <c r="H4160" t="s">
        <v>526</v>
      </c>
      <c r="I4160" t="s">
        <v>3674</v>
      </c>
      <c r="J4160" t="str">
        <f>"9780226922133"</f>
        <v>9780226922133</v>
      </c>
      <c r="K4160" t="s">
        <v>6967</v>
      </c>
      <c r="L4160">
        <v>14</v>
      </c>
      <c r="O4160" t="s">
        <v>30</v>
      </c>
      <c r="P4160" t="s">
        <v>47</v>
      </c>
      <c r="Q4160" s="1">
        <v>42317.691261574073</v>
      </c>
      <c r="R4160">
        <v>1</v>
      </c>
      <c r="S4160" t="s">
        <v>2523</v>
      </c>
      <c r="T4160" t="s">
        <v>6756</v>
      </c>
      <c r="U4160">
        <v>362.11</v>
      </c>
      <c r="V4160" s="3">
        <v>41292</v>
      </c>
    </row>
    <row r="4161" spans="1:22" x14ac:dyDescent="0.35">
      <c r="A4161" s="1">
        <v>42317.99895833333</v>
      </c>
      <c r="B4161" s="2">
        <v>1.1921296296296296E-3</v>
      </c>
      <c r="C4161" t="s">
        <v>6968</v>
      </c>
      <c r="D4161" t="s">
        <v>211</v>
      </c>
      <c r="E4161" t="s">
        <v>212</v>
      </c>
      <c r="F4161" t="s">
        <v>5350</v>
      </c>
      <c r="G4161">
        <v>1823006</v>
      </c>
      <c r="H4161" t="s">
        <v>91</v>
      </c>
      <c r="I4161" t="s">
        <v>2875</v>
      </c>
      <c r="J4161" t="str">
        <f>"9781462519095"</f>
        <v>9781462519095</v>
      </c>
      <c r="K4161" t="s">
        <v>6969</v>
      </c>
      <c r="L4161">
        <v>28</v>
      </c>
      <c r="O4161" t="s">
        <v>30</v>
      </c>
      <c r="P4161" t="s">
        <v>42</v>
      </c>
      <c r="S4161" t="s">
        <v>214</v>
      </c>
      <c r="T4161" t="s">
        <v>5352</v>
      </c>
      <c r="U4161">
        <v>1.4028499999999999</v>
      </c>
      <c r="V4161" s="3">
        <v>42011</v>
      </c>
    </row>
    <row r="4162" spans="1:22" x14ac:dyDescent="0.35">
      <c r="A4162" s="1">
        <v>42317.988240740742</v>
      </c>
      <c r="B4162" s="2">
        <v>0.13109953703703703</v>
      </c>
      <c r="C4162" t="s">
        <v>6790</v>
      </c>
      <c r="D4162" t="s">
        <v>23</v>
      </c>
      <c r="E4162" t="s">
        <v>24</v>
      </c>
      <c r="F4162" t="s">
        <v>486</v>
      </c>
      <c r="G4162">
        <v>1119505</v>
      </c>
      <c r="H4162" t="s">
        <v>26</v>
      </c>
      <c r="I4162" t="s">
        <v>450</v>
      </c>
      <c r="J4162" t="str">
        <f t="shared" ref="J4162:J4167" si="25">"9781118355015"</f>
        <v>9781118355015</v>
      </c>
      <c r="K4162" t="s">
        <v>6970</v>
      </c>
      <c r="L4162">
        <v>110</v>
      </c>
      <c r="O4162" t="s">
        <v>30</v>
      </c>
      <c r="P4162" t="s">
        <v>29</v>
      </c>
      <c r="Q4162" s="1">
        <v>42317.985439814816</v>
      </c>
      <c r="R4162">
        <v>7</v>
      </c>
      <c r="S4162" t="s">
        <v>31</v>
      </c>
      <c r="T4162" t="s">
        <v>487</v>
      </c>
      <c r="U4162" t="s">
        <v>488</v>
      </c>
      <c r="V4162" s="3">
        <v>41302</v>
      </c>
    </row>
    <row r="4163" spans="1:22" x14ac:dyDescent="0.35">
      <c r="A4163" s="1">
        <v>42317.987500000003</v>
      </c>
      <c r="B4163" s="2">
        <v>4.2824074074074075E-4</v>
      </c>
      <c r="C4163" t="s">
        <v>6790</v>
      </c>
      <c r="D4163" t="s">
        <v>23</v>
      </c>
      <c r="E4163" t="s">
        <v>24</v>
      </c>
      <c r="F4163" t="s">
        <v>486</v>
      </c>
      <c r="G4163">
        <v>1119505</v>
      </c>
      <c r="H4163" t="s">
        <v>26</v>
      </c>
      <c r="I4163" t="s">
        <v>450</v>
      </c>
      <c r="J4163" t="str">
        <f t="shared" si="25"/>
        <v>9781118355015</v>
      </c>
      <c r="K4163" t="s">
        <v>6971</v>
      </c>
      <c r="L4163">
        <v>1</v>
      </c>
      <c r="O4163" t="s">
        <v>28</v>
      </c>
      <c r="P4163" t="s">
        <v>29</v>
      </c>
      <c r="Q4163" s="1">
        <v>42317.985439814816</v>
      </c>
      <c r="R4163">
        <v>7</v>
      </c>
      <c r="S4163" t="s">
        <v>31</v>
      </c>
      <c r="T4163" t="s">
        <v>487</v>
      </c>
      <c r="U4163" t="s">
        <v>488</v>
      </c>
      <c r="V4163" s="3">
        <v>41302</v>
      </c>
    </row>
    <row r="4164" spans="1:22" x14ac:dyDescent="0.35">
      <c r="A4164" s="1">
        <v>42317.986493055556</v>
      </c>
      <c r="B4164" s="2">
        <v>8.6805555555555551E-4</v>
      </c>
      <c r="C4164" t="s">
        <v>6790</v>
      </c>
      <c r="D4164" t="s">
        <v>23</v>
      </c>
      <c r="E4164" t="s">
        <v>24</v>
      </c>
      <c r="F4164" t="s">
        <v>486</v>
      </c>
      <c r="G4164">
        <v>1119505</v>
      </c>
      <c r="H4164" t="s">
        <v>26</v>
      </c>
      <c r="I4164" t="s">
        <v>450</v>
      </c>
      <c r="J4164" t="str">
        <f t="shared" si="25"/>
        <v>9781118355015</v>
      </c>
      <c r="K4164" t="s">
        <v>6972</v>
      </c>
      <c r="L4164">
        <v>36</v>
      </c>
      <c r="O4164" t="s">
        <v>30</v>
      </c>
      <c r="P4164" t="s">
        <v>29</v>
      </c>
      <c r="Q4164" s="1">
        <v>42317.985439814816</v>
      </c>
      <c r="R4164">
        <v>7</v>
      </c>
      <c r="S4164" t="s">
        <v>31</v>
      </c>
      <c r="T4164" t="s">
        <v>487</v>
      </c>
      <c r="U4164" t="s">
        <v>488</v>
      </c>
      <c r="V4164" s="3">
        <v>41302</v>
      </c>
    </row>
    <row r="4165" spans="1:22" x14ac:dyDescent="0.35">
      <c r="A4165" s="1">
        <v>42317.985439814816</v>
      </c>
      <c r="B4165" s="2">
        <v>5.4398148148148144E-4</v>
      </c>
      <c r="C4165" t="s">
        <v>6790</v>
      </c>
      <c r="D4165" t="s">
        <v>23</v>
      </c>
      <c r="E4165" t="s">
        <v>24</v>
      </c>
      <c r="F4165" t="s">
        <v>486</v>
      </c>
      <c r="G4165">
        <v>1119505</v>
      </c>
      <c r="H4165" t="s">
        <v>26</v>
      </c>
      <c r="I4165" t="s">
        <v>450</v>
      </c>
      <c r="J4165" t="str">
        <f t="shared" si="25"/>
        <v>9781118355015</v>
      </c>
      <c r="K4165" t="s">
        <v>6973</v>
      </c>
      <c r="L4165">
        <v>20</v>
      </c>
      <c r="M4165" t="s">
        <v>6974</v>
      </c>
      <c r="O4165" t="s">
        <v>28</v>
      </c>
      <c r="P4165" t="s">
        <v>29</v>
      </c>
      <c r="Q4165" s="1">
        <v>42317.985439814816</v>
      </c>
      <c r="R4165">
        <v>7</v>
      </c>
      <c r="S4165" t="s">
        <v>31</v>
      </c>
      <c r="T4165" t="s">
        <v>487</v>
      </c>
      <c r="U4165" t="s">
        <v>488</v>
      </c>
      <c r="V4165" s="3">
        <v>41302</v>
      </c>
    </row>
    <row r="4166" spans="1:22" x14ac:dyDescent="0.35">
      <c r="A4166" s="1">
        <v>42317.985439814816</v>
      </c>
      <c r="B4166" s="2">
        <v>0</v>
      </c>
      <c r="C4166" t="s">
        <v>6790</v>
      </c>
      <c r="D4166" t="s">
        <v>23</v>
      </c>
      <c r="E4166" t="s">
        <v>24</v>
      </c>
      <c r="F4166" t="s">
        <v>486</v>
      </c>
      <c r="G4166">
        <v>1119505</v>
      </c>
      <c r="H4166" t="s">
        <v>26</v>
      </c>
      <c r="I4166" t="s">
        <v>450</v>
      </c>
      <c r="J4166" t="str">
        <f t="shared" si="25"/>
        <v>9781118355015</v>
      </c>
      <c r="L4166">
        <v>0</v>
      </c>
      <c r="O4166" t="s">
        <v>30</v>
      </c>
      <c r="P4166" t="s">
        <v>29</v>
      </c>
      <c r="Q4166" s="1">
        <v>42317.985439814816</v>
      </c>
      <c r="R4166">
        <v>7</v>
      </c>
      <c r="S4166" t="s">
        <v>31</v>
      </c>
      <c r="T4166" t="s">
        <v>487</v>
      </c>
      <c r="U4166" t="s">
        <v>488</v>
      </c>
      <c r="V4166" s="3">
        <v>41302</v>
      </c>
    </row>
    <row r="4167" spans="1:22" x14ac:dyDescent="0.35">
      <c r="A4167" s="1">
        <v>42317.981469907405</v>
      </c>
      <c r="B4167" s="2">
        <v>3.9699074074074072E-3</v>
      </c>
      <c r="C4167" t="s">
        <v>6790</v>
      </c>
      <c r="D4167" t="s">
        <v>23</v>
      </c>
      <c r="E4167" t="s">
        <v>24</v>
      </c>
      <c r="F4167" t="s">
        <v>486</v>
      </c>
      <c r="G4167">
        <v>1119505</v>
      </c>
      <c r="H4167" t="s">
        <v>26</v>
      </c>
      <c r="I4167" t="s">
        <v>450</v>
      </c>
      <c r="J4167" t="str">
        <f t="shared" si="25"/>
        <v>9781118355015</v>
      </c>
      <c r="K4167" t="s">
        <v>6975</v>
      </c>
      <c r="L4167">
        <v>15</v>
      </c>
      <c r="O4167" t="s">
        <v>30</v>
      </c>
      <c r="P4167" t="s">
        <v>42</v>
      </c>
      <c r="S4167" t="s">
        <v>31</v>
      </c>
      <c r="T4167" t="s">
        <v>487</v>
      </c>
      <c r="U4167" t="s">
        <v>488</v>
      </c>
      <c r="V4167" s="3">
        <v>41302</v>
      </c>
    </row>
    <row r="4168" spans="1:22" x14ac:dyDescent="0.35">
      <c r="A4168" s="1">
        <v>42317.947048611109</v>
      </c>
      <c r="B4168" s="2">
        <v>1.5046296296296297E-4</v>
      </c>
      <c r="C4168" t="s">
        <v>6753</v>
      </c>
      <c r="D4168" t="s">
        <v>2519</v>
      </c>
      <c r="E4168" t="s">
        <v>2520</v>
      </c>
      <c r="F4168" t="s">
        <v>6754</v>
      </c>
      <c r="G4168">
        <v>1078671</v>
      </c>
      <c r="H4168" t="s">
        <v>526</v>
      </c>
      <c r="I4168" t="s">
        <v>3674</v>
      </c>
      <c r="J4168" t="str">
        <f>"9780226922133"</f>
        <v>9780226922133</v>
      </c>
      <c r="K4168" t="s">
        <v>6781</v>
      </c>
      <c r="L4168">
        <v>8</v>
      </c>
      <c r="O4168" t="s">
        <v>30</v>
      </c>
      <c r="P4168" t="s">
        <v>47</v>
      </c>
      <c r="Q4168" s="1">
        <v>42317.691261574073</v>
      </c>
      <c r="R4168">
        <v>1</v>
      </c>
      <c r="S4168" t="s">
        <v>2523</v>
      </c>
      <c r="T4168" t="s">
        <v>6756</v>
      </c>
      <c r="U4168">
        <v>362.11</v>
      </c>
      <c r="V4168" s="3">
        <v>41292</v>
      </c>
    </row>
    <row r="4169" spans="1:22" x14ac:dyDescent="0.35">
      <c r="A4169" s="1">
        <v>42317.94667824074</v>
      </c>
      <c r="B4169" s="2">
        <v>0</v>
      </c>
      <c r="C4169" t="s">
        <v>6976</v>
      </c>
      <c r="D4169" t="s">
        <v>6396</v>
      </c>
      <c r="E4169" t="s">
        <v>6397</v>
      </c>
      <c r="F4169" t="s">
        <v>4736</v>
      </c>
      <c r="G4169">
        <v>1378902</v>
      </c>
      <c r="H4169" t="s">
        <v>526</v>
      </c>
      <c r="I4169" t="s">
        <v>69</v>
      </c>
      <c r="J4169" t="str">
        <f>"9780226066554"</f>
        <v>9780226066554</v>
      </c>
      <c r="L4169">
        <v>0</v>
      </c>
      <c r="M4169" t="s">
        <v>6977</v>
      </c>
      <c r="N4169" t="s">
        <v>6978</v>
      </c>
      <c r="O4169" t="s">
        <v>30</v>
      </c>
      <c r="P4169" t="s">
        <v>47</v>
      </c>
      <c r="Q4169" s="1">
        <v>42317.94667824074</v>
      </c>
      <c r="R4169">
        <v>1</v>
      </c>
      <c r="S4169" t="s">
        <v>6400</v>
      </c>
      <c r="T4169" t="s">
        <v>4738</v>
      </c>
      <c r="U4169" t="s">
        <v>4739</v>
      </c>
      <c r="V4169" s="3">
        <v>41551</v>
      </c>
    </row>
    <row r="4170" spans="1:22" x14ac:dyDescent="0.35">
      <c r="A4170" s="1">
        <v>42317.944664351853</v>
      </c>
      <c r="B4170" s="2">
        <v>2.0138888888888888E-3</v>
      </c>
      <c r="C4170" t="s">
        <v>6976</v>
      </c>
      <c r="D4170" t="s">
        <v>6396</v>
      </c>
      <c r="E4170" t="s">
        <v>6397</v>
      </c>
      <c r="F4170" t="s">
        <v>4736</v>
      </c>
      <c r="G4170">
        <v>1378902</v>
      </c>
      <c r="H4170" t="s">
        <v>526</v>
      </c>
      <c r="I4170" t="s">
        <v>69</v>
      </c>
      <c r="J4170" t="str">
        <f>"9780226066554"</f>
        <v>9780226066554</v>
      </c>
      <c r="K4170" t="s">
        <v>6979</v>
      </c>
      <c r="L4170">
        <v>38</v>
      </c>
      <c r="O4170" t="s">
        <v>30</v>
      </c>
      <c r="P4170" t="s">
        <v>50</v>
      </c>
      <c r="S4170" t="s">
        <v>6400</v>
      </c>
      <c r="T4170" t="s">
        <v>4738</v>
      </c>
      <c r="U4170" t="s">
        <v>4739</v>
      </c>
      <c r="V4170" s="3">
        <v>41551</v>
      </c>
    </row>
    <row r="4171" spans="1:22" x14ac:dyDescent="0.35">
      <c r="A4171" s="1">
        <v>42317.930208333331</v>
      </c>
      <c r="B4171" s="2">
        <v>7.3148148148148148E-3</v>
      </c>
      <c r="C4171" t="s">
        <v>106</v>
      </c>
      <c r="D4171" t="s">
        <v>23</v>
      </c>
      <c r="E4171" t="s">
        <v>24</v>
      </c>
      <c r="F4171" t="s">
        <v>1051</v>
      </c>
      <c r="G4171">
        <v>821663</v>
      </c>
      <c r="H4171" t="s">
        <v>26</v>
      </c>
      <c r="I4171" t="s">
        <v>200</v>
      </c>
      <c r="J4171" t="str">
        <f>"9781118168479"</f>
        <v>9781118168479</v>
      </c>
      <c r="K4171" t="s">
        <v>6980</v>
      </c>
      <c r="L4171">
        <v>11</v>
      </c>
      <c r="O4171" t="s">
        <v>30</v>
      </c>
      <c r="P4171" t="s">
        <v>29</v>
      </c>
      <c r="Q4171" s="1">
        <v>42317.257939814815</v>
      </c>
      <c r="R4171">
        <v>7</v>
      </c>
      <c r="S4171" t="s">
        <v>31</v>
      </c>
      <c r="T4171" t="s">
        <v>1053</v>
      </c>
      <c r="U4171">
        <v>729</v>
      </c>
      <c r="V4171" s="3">
        <v>40973</v>
      </c>
    </row>
    <row r="4172" spans="1:22" x14ac:dyDescent="0.35">
      <c r="A4172" s="1">
        <v>42317.926157407404</v>
      </c>
      <c r="B4172" s="2">
        <v>2.4305555555555552E-4</v>
      </c>
      <c r="C4172" t="s">
        <v>106</v>
      </c>
      <c r="D4172" t="s">
        <v>23</v>
      </c>
      <c r="E4172" t="s">
        <v>24</v>
      </c>
      <c r="F4172" t="s">
        <v>5449</v>
      </c>
      <c r="G4172">
        <v>1332527</v>
      </c>
      <c r="H4172" t="s">
        <v>26</v>
      </c>
      <c r="I4172" t="s">
        <v>97</v>
      </c>
      <c r="J4172" t="str">
        <f>"9781118720882"</f>
        <v>9781118720882</v>
      </c>
      <c r="K4172" t="s">
        <v>6981</v>
      </c>
      <c r="L4172">
        <v>8</v>
      </c>
      <c r="O4172" t="s">
        <v>30</v>
      </c>
      <c r="P4172" t="s">
        <v>42</v>
      </c>
      <c r="S4172" t="s">
        <v>31</v>
      </c>
      <c r="T4172" t="s">
        <v>5451</v>
      </c>
      <c r="U4172">
        <v>658.11</v>
      </c>
      <c r="V4172" s="3">
        <v>41486</v>
      </c>
    </row>
    <row r="4173" spans="1:22" x14ac:dyDescent="0.35">
      <c r="A4173" s="1">
        <v>42317.891168981485</v>
      </c>
      <c r="B4173" s="2">
        <v>4.6296296296296294E-5</v>
      </c>
      <c r="C4173" t="s">
        <v>6982</v>
      </c>
      <c r="D4173" t="s">
        <v>261</v>
      </c>
      <c r="E4173" t="s">
        <v>262</v>
      </c>
      <c r="F4173" t="s">
        <v>2649</v>
      </c>
      <c r="G4173">
        <v>1143522</v>
      </c>
      <c r="H4173" t="s">
        <v>26</v>
      </c>
      <c r="I4173" t="s">
        <v>172</v>
      </c>
      <c r="J4173" t="str">
        <f>"9781118257197"</f>
        <v>9781118257197</v>
      </c>
      <c r="K4173" t="s">
        <v>611</v>
      </c>
      <c r="L4173">
        <v>3</v>
      </c>
      <c r="O4173" t="s">
        <v>30</v>
      </c>
      <c r="P4173" t="s">
        <v>29</v>
      </c>
      <c r="Q4173" s="1">
        <v>42312.021469907406</v>
      </c>
      <c r="R4173">
        <v>7</v>
      </c>
      <c r="S4173" t="s">
        <v>264</v>
      </c>
      <c r="T4173" t="s">
        <v>2651</v>
      </c>
      <c r="U4173">
        <v>972</v>
      </c>
      <c r="V4173" s="3">
        <v>41334</v>
      </c>
    </row>
    <row r="4174" spans="1:22" x14ac:dyDescent="0.35">
      <c r="A4174" s="1">
        <v>42317.886087962965</v>
      </c>
      <c r="B4174" s="2">
        <v>2.6620370370370372E-4</v>
      </c>
      <c r="C4174" t="s">
        <v>6983</v>
      </c>
      <c r="D4174" t="s">
        <v>623</v>
      </c>
      <c r="E4174" t="s">
        <v>624</v>
      </c>
      <c r="F4174" t="s">
        <v>4081</v>
      </c>
      <c r="G4174">
        <v>2198556</v>
      </c>
      <c r="H4174" t="s">
        <v>26</v>
      </c>
      <c r="J4174" t="str">
        <f>"9781118905166"</f>
        <v>9781118905166</v>
      </c>
      <c r="K4174" t="s">
        <v>2800</v>
      </c>
      <c r="L4174">
        <v>3</v>
      </c>
      <c r="O4174" t="s">
        <v>30</v>
      </c>
      <c r="P4174" t="s">
        <v>42</v>
      </c>
      <c r="S4174" t="s">
        <v>627</v>
      </c>
      <c r="V4174" s="3">
        <v>42243</v>
      </c>
    </row>
    <row r="4175" spans="1:22" x14ac:dyDescent="0.35">
      <c r="A4175" s="1">
        <v>42317.884016203701</v>
      </c>
      <c r="B4175" s="2">
        <v>6.7870370370370373E-2</v>
      </c>
      <c r="C4175" t="s">
        <v>106</v>
      </c>
      <c r="D4175" t="s">
        <v>23</v>
      </c>
      <c r="E4175" t="s">
        <v>24</v>
      </c>
      <c r="F4175" t="s">
        <v>486</v>
      </c>
      <c r="G4175">
        <v>1119505</v>
      </c>
      <c r="H4175" t="s">
        <v>26</v>
      </c>
      <c r="I4175" t="s">
        <v>450</v>
      </c>
      <c r="J4175" t="str">
        <f>"9781118355015"</f>
        <v>9781118355015</v>
      </c>
      <c r="K4175" t="s">
        <v>6984</v>
      </c>
      <c r="L4175">
        <v>66</v>
      </c>
      <c r="O4175" t="s">
        <v>30</v>
      </c>
      <c r="P4175" t="s">
        <v>29</v>
      </c>
      <c r="Q4175" s="1">
        <v>42314.692002314812</v>
      </c>
      <c r="R4175">
        <v>7</v>
      </c>
      <c r="S4175" t="s">
        <v>31</v>
      </c>
      <c r="T4175" t="s">
        <v>487</v>
      </c>
      <c r="U4175" t="s">
        <v>488</v>
      </c>
      <c r="V4175" s="3">
        <v>41302</v>
      </c>
    </row>
    <row r="4176" spans="1:22" x14ac:dyDescent="0.35">
      <c r="A4176" s="1">
        <v>42317.882557870369</v>
      </c>
      <c r="B4176" s="2">
        <v>2.5462962962962961E-4</v>
      </c>
      <c r="C4176" t="s">
        <v>106</v>
      </c>
      <c r="D4176" t="s">
        <v>23</v>
      </c>
      <c r="E4176" t="s">
        <v>24</v>
      </c>
      <c r="F4176" t="s">
        <v>6985</v>
      </c>
      <c r="G4176">
        <v>1183913</v>
      </c>
      <c r="H4176" t="s">
        <v>26</v>
      </c>
      <c r="I4176" t="s">
        <v>5549</v>
      </c>
      <c r="J4176" t="str">
        <f>"9781118446423"</f>
        <v>9781118446423</v>
      </c>
      <c r="K4176" t="s">
        <v>6986</v>
      </c>
      <c r="L4176">
        <v>13</v>
      </c>
      <c r="O4176" t="s">
        <v>30</v>
      </c>
      <c r="P4176" t="s">
        <v>42</v>
      </c>
      <c r="S4176" t="s">
        <v>31</v>
      </c>
      <c r="T4176" t="s">
        <v>6987</v>
      </c>
      <c r="U4176">
        <v>621.38099999999997</v>
      </c>
      <c r="V4176" s="3">
        <v>41393</v>
      </c>
    </row>
    <row r="4177" spans="1:22" x14ac:dyDescent="0.35">
      <c r="A4177" s="1">
        <v>42317.882465277777</v>
      </c>
      <c r="B4177" s="2">
        <v>7.9861111111111105E-4</v>
      </c>
      <c r="C4177" t="s">
        <v>6988</v>
      </c>
      <c r="D4177" t="s">
        <v>623</v>
      </c>
      <c r="E4177" t="s">
        <v>624</v>
      </c>
      <c r="F4177" t="s">
        <v>6989</v>
      </c>
      <c r="G4177">
        <v>1896021</v>
      </c>
      <c r="H4177" t="s">
        <v>26</v>
      </c>
      <c r="I4177" t="s">
        <v>5549</v>
      </c>
      <c r="J4177" t="str">
        <f>"9781119058335"</f>
        <v>9781119058335</v>
      </c>
      <c r="K4177" t="s">
        <v>6990</v>
      </c>
      <c r="L4177">
        <v>19</v>
      </c>
      <c r="O4177" t="s">
        <v>30</v>
      </c>
      <c r="P4177" t="s">
        <v>29</v>
      </c>
      <c r="Q4177" s="1">
        <v>42317.882465277777</v>
      </c>
      <c r="R4177">
        <v>7</v>
      </c>
      <c r="S4177" t="s">
        <v>627</v>
      </c>
      <c r="T4177" t="s">
        <v>6991</v>
      </c>
      <c r="U4177" t="s">
        <v>6992</v>
      </c>
      <c r="V4177" s="3">
        <v>42172</v>
      </c>
    </row>
    <row r="4178" spans="1:22" x14ac:dyDescent="0.35">
      <c r="A4178" s="1">
        <v>42317.874027777776</v>
      </c>
      <c r="B4178" s="2">
        <v>8.4375000000000006E-3</v>
      </c>
      <c r="C4178" t="s">
        <v>6988</v>
      </c>
      <c r="D4178" t="s">
        <v>623</v>
      </c>
      <c r="E4178" t="s">
        <v>624</v>
      </c>
      <c r="F4178" t="s">
        <v>6989</v>
      </c>
      <c r="G4178">
        <v>1896021</v>
      </c>
      <c r="H4178" t="s">
        <v>26</v>
      </c>
      <c r="I4178" t="s">
        <v>5549</v>
      </c>
      <c r="J4178" t="str">
        <f>"9781119058335"</f>
        <v>9781119058335</v>
      </c>
      <c r="K4178" t="s">
        <v>6993</v>
      </c>
      <c r="L4178">
        <v>19</v>
      </c>
      <c r="O4178" t="s">
        <v>30</v>
      </c>
      <c r="P4178" t="s">
        <v>50</v>
      </c>
      <c r="S4178" t="s">
        <v>627</v>
      </c>
      <c r="T4178" t="s">
        <v>6991</v>
      </c>
      <c r="U4178" t="s">
        <v>6992</v>
      </c>
      <c r="V4178" s="3">
        <v>42172</v>
      </c>
    </row>
    <row r="4179" spans="1:22" x14ac:dyDescent="0.35">
      <c r="A4179" s="1">
        <v>42317.871435185189</v>
      </c>
      <c r="B4179" s="2">
        <v>5.7870370370370366E-5</v>
      </c>
      <c r="C4179" t="s">
        <v>5887</v>
      </c>
      <c r="D4179" t="s">
        <v>23</v>
      </c>
      <c r="E4179" t="s">
        <v>24</v>
      </c>
      <c r="F4179" t="s">
        <v>1051</v>
      </c>
      <c r="G4179">
        <v>821663</v>
      </c>
      <c r="H4179" t="s">
        <v>26</v>
      </c>
      <c r="I4179" t="s">
        <v>200</v>
      </c>
      <c r="J4179" t="str">
        <f>"9781118168479"</f>
        <v>9781118168479</v>
      </c>
      <c r="K4179" t="s">
        <v>33</v>
      </c>
      <c r="L4179">
        <v>3</v>
      </c>
      <c r="O4179" t="s">
        <v>30</v>
      </c>
      <c r="P4179" t="s">
        <v>42</v>
      </c>
      <c r="S4179" t="s">
        <v>31</v>
      </c>
      <c r="T4179" t="s">
        <v>1053</v>
      </c>
      <c r="U4179">
        <v>729</v>
      </c>
      <c r="V4179" s="3">
        <v>40973</v>
      </c>
    </row>
    <row r="4180" spans="1:22" x14ac:dyDescent="0.35">
      <c r="A4180" s="1">
        <v>42317.858831018515</v>
      </c>
      <c r="B4180" s="2">
        <v>4.4560185185185189E-3</v>
      </c>
      <c r="C4180" t="s">
        <v>4953</v>
      </c>
      <c r="D4180" t="s">
        <v>261</v>
      </c>
      <c r="E4180" t="s">
        <v>262</v>
      </c>
      <c r="F4180" t="s">
        <v>6994</v>
      </c>
      <c r="G4180">
        <v>1557284</v>
      </c>
      <c r="H4180" t="s">
        <v>26</v>
      </c>
      <c r="I4180" t="s">
        <v>120</v>
      </c>
      <c r="J4180" t="str">
        <f>"9781118554067"</f>
        <v>9781118554067</v>
      </c>
      <c r="K4180" t="s">
        <v>6995</v>
      </c>
      <c r="L4180">
        <v>10</v>
      </c>
      <c r="N4180" t="s">
        <v>6996</v>
      </c>
      <c r="O4180" t="s">
        <v>28</v>
      </c>
      <c r="P4180" t="s">
        <v>47</v>
      </c>
      <c r="Q4180" s="1">
        <v>42317.858831018515</v>
      </c>
      <c r="R4180">
        <v>7</v>
      </c>
      <c r="S4180" t="s">
        <v>264</v>
      </c>
      <c r="T4180" t="s">
        <v>6997</v>
      </c>
      <c r="U4180">
        <v>302.23</v>
      </c>
      <c r="V4180" s="3">
        <v>41586</v>
      </c>
    </row>
    <row r="4181" spans="1:22" x14ac:dyDescent="0.35">
      <c r="A4181" s="1">
        <v>42317.858831018515</v>
      </c>
      <c r="B4181" s="2">
        <v>0</v>
      </c>
      <c r="C4181" t="s">
        <v>4953</v>
      </c>
      <c r="D4181" t="s">
        <v>261</v>
      </c>
      <c r="E4181" t="s">
        <v>262</v>
      </c>
      <c r="F4181" t="s">
        <v>6994</v>
      </c>
      <c r="G4181">
        <v>1557284</v>
      </c>
      <c r="H4181" t="s">
        <v>26</v>
      </c>
      <c r="I4181" t="s">
        <v>120</v>
      </c>
      <c r="J4181" t="str">
        <f>"9781118554067"</f>
        <v>9781118554067</v>
      </c>
      <c r="L4181">
        <v>0</v>
      </c>
      <c r="O4181" t="s">
        <v>30</v>
      </c>
      <c r="P4181" t="s">
        <v>47</v>
      </c>
      <c r="Q4181" s="1">
        <v>42317.858831018515</v>
      </c>
      <c r="R4181">
        <v>7</v>
      </c>
      <c r="S4181" t="s">
        <v>264</v>
      </c>
      <c r="T4181" t="s">
        <v>6997</v>
      </c>
      <c r="U4181">
        <v>302.23</v>
      </c>
      <c r="V4181" s="3">
        <v>41586</v>
      </c>
    </row>
    <row r="4182" spans="1:22" x14ac:dyDescent="0.35">
      <c r="A4182" s="1">
        <v>42317.85738425926</v>
      </c>
      <c r="B4182" s="2">
        <v>1.4467592592592594E-3</v>
      </c>
      <c r="C4182" t="s">
        <v>4953</v>
      </c>
      <c r="D4182" t="s">
        <v>261</v>
      </c>
      <c r="E4182" t="s">
        <v>262</v>
      </c>
      <c r="F4182" t="s">
        <v>6994</v>
      </c>
      <c r="G4182">
        <v>1557284</v>
      </c>
      <c r="H4182" t="s">
        <v>26</v>
      </c>
      <c r="I4182" t="s">
        <v>120</v>
      </c>
      <c r="J4182" t="str">
        <f>"9781118554067"</f>
        <v>9781118554067</v>
      </c>
      <c r="K4182" t="s">
        <v>6998</v>
      </c>
      <c r="L4182">
        <v>16</v>
      </c>
      <c r="O4182" t="s">
        <v>30</v>
      </c>
      <c r="P4182" t="s">
        <v>50</v>
      </c>
      <c r="S4182" t="s">
        <v>264</v>
      </c>
      <c r="T4182" t="s">
        <v>6997</v>
      </c>
      <c r="U4182">
        <v>302.23</v>
      </c>
      <c r="V4182" s="3">
        <v>41586</v>
      </c>
    </row>
    <row r="4183" spans="1:22" x14ac:dyDescent="0.35">
      <c r="A4183" s="1">
        <v>42317.857314814813</v>
      </c>
      <c r="B4183" s="2">
        <v>1.1539351851851851E-2</v>
      </c>
      <c r="C4183" t="s">
        <v>3884</v>
      </c>
      <c r="D4183" t="s">
        <v>261</v>
      </c>
      <c r="E4183" t="s">
        <v>262</v>
      </c>
      <c r="F4183" t="s">
        <v>3885</v>
      </c>
      <c r="G4183">
        <v>1935791</v>
      </c>
      <c r="H4183" t="s">
        <v>26</v>
      </c>
      <c r="I4183" t="s">
        <v>108</v>
      </c>
      <c r="J4183" t="str">
        <f>"9781118909935"</f>
        <v>9781118909935</v>
      </c>
      <c r="K4183" t="s">
        <v>6999</v>
      </c>
      <c r="L4183">
        <v>49</v>
      </c>
      <c r="O4183" t="s">
        <v>30</v>
      </c>
      <c r="P4183" t="s">
        <v>29</v>
      </c>
      <c r="Q4183" s="1">
        <v>42317.808518518519</v>
      </c>
      <c r="R4183">
        <v>7</v>
      </c>
      <c r="S4183" t="s">
        <v>264</v>
      </c>
      <c r="T4183" t="s">
        <v>3887</v>
      </c>
      <c r="U4183">
        <v>338.95100000000002</v>
      </c>
      <c r="V4183" s="3">
        <v>41995</v>
      </c>
    </row>
    <row r="4184" spans="1:22" x14ac:dyDescent="0.35">
      <c r="A4184" s="1">
        <v>42317.855231481481</v>
      </c>
      <c r="B4184" s="2">
        <v>1.8171296296296297E-3</v>
      </c>
      <c r="C4184" t="s">
        <v>7000</v>
      </c>
      <c r="D4184" t="s">
        <v>623</v>
      </c>
      <c r="E4184" t="s">
        <v>624</v>
      </c>
      <c r="F4184" t="s">
        <v>7001</v>
      </c>
      <c r="G4184">
        <v>3038775</v>
      </c>
      <c r="H4184" t="s">
        <v>526</v>
      </c>
      <c r="I4184" t="s">
        <v>5150</v>
      </c>
      <c r="J4184" t="str">
        <f>"9780226206981"</f>
        <v>9780226206981</v>
      </c>
      <c r="K4184" t="s">
        <v>7002</v>
      </c>
      <c r="L4184">
        <v>9</v>
      </c>
      <c r="O4184" t="s">
        <v>30</v>
      </c>
      <c r="P4184" t="s">
        <v>50</v>
      </c>
      <c r="S4184" t="s">
        <v>627</v>
      </c>
      <c r="T4184" t="s">
        <v>7003</v>
      </c>
      <c r="U4184" t="s">
        <v>4971</v>
      </c>
      <c r="V4184" s="3">
        <v>42125</v>
      </c>
    </row>
    <row r="4185" spans="1:22" x14ac:dyDescent="0.35">
      <c r="A4185" s="1">
        <v>42317.849768518521</v>
      </c>
      <c r="B4185" s="2">
        <v>0</v>
      </c>
      <c r="C4185" t="s">
        <v>7004</v>
      </c>
      <c r="D4185" t="s">
        <v>623</v>
      </c>
      <c r="E4185" t="s">
        <v>624</v>
      </c>
      <c r="F4185" t="s">
        <v>1121</v>
      </c>
      <c r="G4185">
        <v>875809</v>
      </c>
      <c r="H4185" t="s">
        <v>26</v>
      </c>
      <c r="I4185" t="s">
        <v>27</v>
      </c>
      <c r="J4185" t="str">
        <f>"9781118223598"</f>
        <v>9781118223598</v>
      </c>
      <c r="L4185">
        <v>0</v>
      </c>
      <c r="O4185" t="s">
        <v>28</v>
      </c>
      <c r="P4185" t="s">
        <v>29</v>
      </c>
      <c r="Q4185" s="1">
        <v>42317.849768518521</v>
      </c>
      <c r="R4185">
        <v>7</v>
      </c>
      <c r="S4185" t="s">
        <v>627</v>
      </c>
      <c r="T4185" t="s">
        <v>1123</v>
      </c>
      <c r="U4185">
        <v>428.00709999999998</v>
      </c>
      <c r="V4185" s="3">
        <v>41128</v>
      </c>
    </row>
    <row r="4186" spans="1:22" x14ac:dyDescent="0.35">
      <c r="A4186" s="1">
        <v>42317.849768518521</v>
      </c>
      <c r="B4186" s="2">
        <v>0</v>
      </c>
      <c r="C4186" t="s">
        <v>7004</v>
      </c>
      <c r="D4186" t="s">
        <v>623</v>
      </c>
      <c r="E4186" t="s">
        <v>624</v>
      </c>
      <c r="F4186" t="s">
        <v>1121</v>
      </c>
      <c r="G4186">
        <v>875809</v>
      </c>
      <c r="H4186" t="s">
        <v>26</v>
      </c>
      <c r="I4186" t="s">
        <v>27</v>
      </c>
      <c r="J4186" t="str">
        <f>"9781118223598"</f>
        <v>9781118223598</v>
      </c>
      <c r="L4186">
        <v>0</v>
      </c>
      <c r="O4186" t="s">
        <v>30</v>
      </c>
      <c r="P4186" t="s">
        <v>29</v>
      </c>
      <c r="Q4186" s="1">
        <v>42317.849768518521</v>
      </c>
      <c r="R4186">
        <v>7</v>
      </c>
      <c r="S4186" t="s">
        <v>627</v>
      </c>
      <c r="T4186" t="s">
        <v>1123</v>
      </c>
      <c r="U4186">
        <v>428.00709999999998</v>
      </c>
      <c r="V4186" s="3">
        <v>41128</v>
      </c>
    </row>
    <row r="4187" spans="1:22" x14ac:dyDescent="0.35">
      <c r="A4187" s="1">
        <v>42317.846388888887</v>
      </c>
      <c r="B4187" s="2">
        <v>3.37962962962963E-3</v>
      </c>
      <c r="C4187" t="s">
        <v>7004</v>
      </c>
      <c r="D4187" t="s">
        <v>623</v>
      </c>
      <c r="E4187" t="s">
        <v>624</v>
      </c>
      <c r="F4187" t="s">
        <v>1121</v>
      </c>
      <c r="G4187">
        <v>875809</v>
      </c>
      <c r="H4187" t="s">
        <v>26</v>
      </c>
      <c r="I4187" t="s">
        <v>27</v>
      </c>
      <c r="J4187" t="str">
        <f>"9781118223598"</f>
        <v>9781118223598</v>
      </c>
      <c r="K4187" t="s">
        <v>7005</v>
      </c>
      <c r="L4187">
        <v>12</v>
      </c>
      <c r="O4187" t="s">
        <v>30</v>
      </c>
      <c r="P4187" t="s">
        <v>42</v>
      </c>
      <c r="S4187" t="s">
        <v>627</v>
      </c>
      <c r="T4187" t="s">
        <v>1123</v>
      </c>
      <c r="U4187">
        <v>428.00709999999998</v>
      </c>
      <c r="V4187" s="3">
        <v>41128</v>
      </c>
    </row>
    <row r="4188" spans="1:22" x14ac:dyDescent="0.35">
      <c r="A4188" s="1">
        <v>42317.832638888889</v>
      </c>
      <c r="B4188" s="2">
        <v>7.407407407407407E-4</v>
      </c>
      <c r="C4188" t="s">
        <v>5900</v>
      </c>
      <c r="D4188" t="s">
        <v>623</v>
      </c>
      <c r="E4188" t="s">
        <v>624</v>
      </c>
      <c r="F4188" t="s">
        <v>7006</v>
      </c>
      <c r="G4188">
        <v>2038680</v>
      </c>
      <c r="H4188" t="s">
        <v>26</v>
      </c>
      <c r="I4188" t="s">
        <v>450</v>
      </c>
      <c r="J4188" t="str">
        <f>"9783527688159"</f>
        <v>9783527688159</v>
      </c>
      <c r="K4188" t="s">
        <v>7007</v>
      </c>
      <c r="L4188">
        <v>10</v>
      </c>
      <c r="O4188" t="s">
        <v>30</v>
      </c>
      <c r="P4188" t="s">
        <v>50</v>
      </c>
      <c r="S4188" t="s">
        <v>627</v>
      </c>
      <c r="T4188" t="s">
        <v>7008</v>
      </c>
      <c r="U4188" t="s">
        <v>7009</v>
      </c>
      <c r="V4188" s="3">
        <v>42122</v>
      </c>
    </row>
    <row r="4189" spans="1:22" x14ac:dyDescent="0.35">
      <c r="A4189" s="1">
        <v>42317.812777777777</v>
      </c>
      <c r="B4189" s="2">
        <v>9.0300925925925923E-2</v>
      </c>
      <c r="C4189" t="s">
        <v>106</v>
      </c>
      <c r="D4189" t="s">
        <v>23</v>
      </c>
      <c r="E4189" t="s">
        <v>24</v>
      </c>
      <c r="F4189" t="s">
        <v>6837</v>
      </c>
      <c r="G4189">
        <v>1655862</v>
      </c>
      <c r="H4189" t="s">
        <v>613</v>
      </c>
      <c r="I4189" t="s">
        <v>5632</v>
      </c>
      <c r="J4189" t="str">
        <f>"9781469615493"</f>
        <v>9781469615493</v>
      </c>
      <c r="K4189" t="s">
        <v>7010</v>
      </c>
      <c r="L4189">
        <v>35</v>
      </c>
      <c r="O4189" t="s">
        <v>30</v>
      </c>
      <c r="P4189" t="s">
        <v>29</v>
      </c>
      <c r="Q4189" s="1">
        <v>42316.853136574071</v>
      </c>
      <c r="R4189">
        <v>7</v>
      </c>
      <c r="S4189" t="s">
        <v>31</v>
      </c>
      <c r="T4189" t="s">
        <v>6839</v>
      </c>
      <c r="U4189" t="s">
        <v>6840</v>
      </c>
      <c r="V4189" s="3">
        <v>41744</v>
      </c>
    </row>
    <row r="4190" spans="1:22" x14ac:dyDescent="0.35">
      <c r="A4190" s="1">
        <v>42317.808530092596</v>
      </c>
      <c r="B4190" s="2">
        <v>1.1006944444444444E-2</v>
      </c>
      <c r="C4190" t="s">
        <v>3884</v>
      </c>
      <c r="D4190" t="s">
        <v>261</v>
      </c>
      <c r="E4190" t="s">
        <v>262</v>
      </c>
      <c r="F4190" t="s">
        <v>3885</v>
      </c>
      <c r="G4190">
        <v>1935791</v>
      </c>
      <c r="H4190" t="s">
        <v>26</v>
      </c>
      <c r="I4190" t="s">
        <v>108</v>
      </c>
      <c r="J4190" t="str">
        <f>"9781118909935"</f>
        <v>9781118909935</v>
      </c>
      <c r="K4190" t="s">
        <v>7011</v>
      </c>
      <c r="L4190">
        <v>41</v>
      </c>
      <c r="O4190" t="s">
        <v>30</v>
      </c>
      <c r="P4190" t="s">
        <v>29</v>
      </c>
      <c r="Q4190" s="1">
        <v>42317.808518518519</v>
      </c>
      <c r="R4190">
        <v>7</v>
      </c>
      <c r="S4190" t="s">
        <v>264</v>
      </c>
      <c r="T4190" t="s">
        <v>3887</v>
      </c>
      <c r="U4190">
        <v>338.95100000000002</v>
      </c>
      <c r="V4190" s="3">
        <v>41995</v>
      </c>
    </row>
    <row r="4191" spans="1:22" x14ac:dyDescent="0.35">
      <c r="A4191" s="1">
        <v>42317.806701388887</v>
      </c>
      <c r="B4191" s="2">
        <v>6.134259259259259E-4</v>
      </c>
      <c r="C4191" t="s">
        <v>6982</v>
      </c>
      <c r="D4191" t="s">
        <v>261</v>
      </c>
      <c r="E4191" t="s">
        <v>262</v>
      </c>
      <c r="F4191" t="s">
        <v>2649</v>
      </c>
      <c r="G4191">
        <v>1143522</v>
      </c>
      <c r="H4191" t="s">
        <v>26</v>
      </c>
      <c r="I4191" t="s">
        <v>172</v>
      </c>
      <c r="J4191" t="str">
        <f>"9781118257197"</f>
        <v>9781118257197</v>
      </c>
      <c r="K4191" t="s">
        <v>7012</v>
      </c>
      <c r="L4191">
        <v>8</v>
      </c>
      <c r="O4191" t="s">
        <v>30</v>
      </c>
      <c r="P4191" t="s">
        <v>29</v>
      </c>
      <c r="Q4191" s="1">
        <v>42312.021469907406</v>
      </c>
      <c r="R4191">
        <v>7</v>
      </c>
      <c r="S4191" t="s">
        <v>264</v>
      </c>
      <c r="T4191" t="s">
        <v>2651</v>
      </c>
      <c r="U4191">
        <v>972</v>
      </c>
      <c r="V4191" s="3">
        <v>41334</v>
      </c>
    </row>
    <row r="4192" spans="1:22" x14ac:dyDescent="0.35">
      <c r="A4192" s="1">
        <v>42317.805555555555</v>
      </c>
      <c r="B4192" s="2">
        <v>2.199074074074074E-4</v>
      </c>
      <c r="C4192" t="s">
        <v>7013</v>
      </c>
      <c r="D4192" t="s">
        <v>360</v>
      </c>
      <c r="E4192" t="s">
        <v>361</v>
      </c>
      <c r="F4192" t="s">
        <v>7014</v>
      </c>
      <c r="G4192">
        <v>1318968</v>
      </c>
      <c r="H4192" t="s">
        <v>68</v>
      </c>
      <c r="I4192" t="s">
        <v>120</v>
      </c>
      <c r="J4192" t="str">
        <f>"9781135122126"</f>
        <v>9781135122126</v>
      </c>
      <c r="K4192" t="s">
        <v>463</v>
      </c>
      <c r="L4192">
        <v>9</v>
      </c>
      <c r="O4192" t="s">
        <v>30</v>
      </c>
      <c r="P4192" t="s">
        <v>50</v>
      </c>
      <c r="S4192" t="s">
        <v>363</v>
      </c>
      <c r="T4192" t="s">
        <v>7015</v>
      </c>
      <c r="U4192">
        <v>306.70846</v>
      </c>
      <c r="V4192" s="3">
        <v>41473</v>
      </c>
    </row>
    <row r="4193" spans="1:22" x14ac:dyDescent="0.35">
      <c r="A4193" s="1">
        <v>42317.803298611114</v>
      </c>
      <c r="B4193" s="2">
        <v>1.5162037037037036E-3</v>
      </c>
      <c r="C4193" t="s">
        <v>5900</v>
      </c>
      <c r="D4193" t="s">
        <v>623</v>
      </c>
      <c r="E4193" t="s">
        <v>624</v>
      </c>
      <c r="F4193" t="s">
        <v>4526</v>
      </c>
      <c r="G4193">
        <v>771074</v>
      </c>
      <c r="H4193" t="s">
        <v>3465</v>
      </c>
      <c r="I4193" t="s">
        <v>4527</v>
      </c>
      <c r="J4193" t="str">
        <f>"9780761499732"</f>
        <v>9780761499732</v>
      </c>
      <c r="K4193" t="s">
        <v>7016</v>
      </c>
      <c r="L4193">
        <v>8</v>
      </c>
      <c r="O4193" t="s">
        <v>30</v>
      </c>
      <c r="P4193" t="s">
        <v>29</v>
      </c>
      <c r="Q4193" s="1">
        <v>42317.066701388889</v>
      </c>
      <c r="R4193">
        <v>7</v>
      </c>
      <c r="S4193" t="s">
        <v>627</v>
      </c>
      <c r="T4193" t="s">
        <v>4528</v>
      </c>
      <c r="U4193" t="s">
        <v>4529</v>
      </c>
      <c r="V4193" s="3">
        <v>40909</v>
      </c>
    </row>
    <row r="4194" spans="1:22" x14ac:dyDescent="0.35">
      <c r="A4194" s="1">
        <v>42317.796226851853</v>
      </c>
      <c r="B4194" s="2">
        <v>8.449074074074075E-4</v>
      </c>
      <c r="C4194" t="s">
        <v>7017</v>
      </c>
      <c r="D4194" t="s">
        <v>623</v>
      </c>
      <c r="E4194" t="s">
        <v>624</v>
      </c>
      <c r="F4194" t="s">
        <v>7018</v>
      </c>
      <c r="G4194">
        <v>1969395</v>
      </c>
      <c r="H4194" t="s">
        <v>45</v>
      </c>
      <c r="I4194" t="s">
        <v>328</v>
      </c>
      <c r="J4194" t="str">
        <f>"9781409454588"</f>
        <v>9781409454588</v>
      </c>
      <c r="K4194" t="s">
        <v>7019</v>
      </c>
      <c r="L4194">
        <v>26</v>
      </c>
      <c r="O4194" t="s">
        <v>30</v>
      </c>
      <c r="P4194" t="s">
        <v>50</v>
      </c>
      <c r="S4194" t="s">
        <v>627</v>
      </c>
      <c r="T4194" t="s">
        <v>7020</v>
      </c>
      <c r="U4194">
        <v>362.1</v>
      </c>
      <c r="V4194" s="3">
        <v>42091</v>
      </c>
    </row>
    <row r="4195" spans="1:22" x14ac:dyDescent="0.35">
      <c r="A4195" s="1">
        <v>42317.795358796298</v>
      </c>
      <c r="B4195" s="2">
        <v>3.4722222222222222E-5</v>
      </c>
      <c r="C4195" t="s">
        <v>7021</v>
      </c>
      <c r="D4195" t="s">
        <v>158</v>
      </c>
      <c r="E4195" t="s">
        <v>159</v>
      </c>
      <c r="F4195" t="s">
        <v>7022</v>
      </c>
      <c r="G4195">
        <v>1895099</v>
      </c>
      <c r="H4195" t="s">
        <v>26</v>
      </c>
      <c r="I4195" t="s">
        <v>69</v>
      </c>
      <c r="J4195" t="str">
        <f>"9781118825730"</f>
        <v>9781118825730</v>
      </c>
      <c r="K4195" t="s">
        <v>33</v>
      </c>
      <c r="L4195">
        <v>3</v>
      </c>
      <c r="O4195" t="s">
        <v>30</v>
      </c>
      <c r="P4195" t="s">
        <v>50</v>
      </c>
      <c r="S4195" t="s">
        <v>163</v>
      </c>
      <c r="T4195" t="s">
        <v>7023</v>
      </c>
      <c r="U4195">
        <v>378.1662</v>
      </c>
      <c r="V4195" s="3">
        <v>42128</v>
      </c>
    </row>
    <row r="4196" spans="1:22" x14ac:dyDescent="0.35">
      <c r="A4196" s="1">
        <v>42317.792974537035</v>
      </c>
      <c r="B4196" s="2">
        <v>1.273148148148148E-4</v>
      </c>
      <c r="C4196" t="s">
        <v>6223</v>
      </c>
      <c r="D4196" t="s">
        <v>623</v>
      </c>
      <c r="E4196" t="s">
        <v>624</v>
      </c>
      <c r="F4196" t="s">
        <v>7024</v>
      </c>
      <c r="G4196">
        <v>1463510</v>
      </c>
      <c r="H4196" t="s">
        <v>26</v>
      </c>
      <c r="I4196" t="s">
        <v>7025</v>
      </c>
      <c r="J4196" t="str">
        <f>"9781118805251"</f>
        <v>9781118805251</v>
      </c>
      <c r="K4196" t="s">
        <v>209</v>
      </c>
      <c r="L4196">
        <v>4</v>
      </c>
      <c r="O4196" t="s">
        <v>30</v>
      </c>
      <c r="P4196" t="s">
        <v>50</v>
      </c>
      <c r="S4196" t="s">
        <v>627</v>
      </c>
      <c r="T4196" t="s">
        <v>7026</v>
      </c>
      <c r="U4196">
        <v>419</v>
      </c>
      <c r="V4196" s="3">
        <v>41554</v>
      </c>
    </row>
    <row r="4197" spans="1:22" x14ac:dyDescent="0.35">
      <c r="A4197" s="1">
        <v>42317.792812500003</v>
      </c>
      <c r="B4197" s="2">
        <v>1.5706018518518518E-2</v>
      </c>
      <c r="C4197" t="s">
        <v>3884</v>
      </c>
      <c r="D4197" t="s">
        <v>261</v>
      </c>
      <c r="E4197" t="s">
        <v>262</v>
      </c>
      <c r="F4197" t="s">
        <v>3885</v>
      </c>
      <c r="G4197">
        <v>1935791</v>
      </c>
      <c r="H4197" t="s">
        <v>26</v>
      </c>
      <c r="I4197" t="s">
        <v>108</v>
      </c>
      <c r="J4197" t="str">
        <f>"9781118909935"</f>
        <v>9781118909935</v>
      </c>
      <c r="K4197" t="s">
        <v>7027</v>
      </c>
      <c r="L4197">
        <v>19</v>
      </c>
      <c r="O4197" t="s">
        <v>30</v>
      </c>
      <c r="P4197" t="s">
        <v>50</v>
      </c>
      <c r="S4197" t="s">
        <v>264</v>
      </c>
      <c r="T4197" t="s">
        <v>3887</v>
      </c>
      <c r="U4197">
        <v>338.95100000000002</v>
      </c>
      <c r="V4197" s="3">
        <v>41995</v>
      </c>
    </row>
    <row r="4198" spans="1:22" x14ac:dyDescent="0.35">
      <c r="A4198" s="1">
        <v>42317.790775462963</v>
      </c>
      <c r="B4198" s="2">
        <v>3.4398148148148143E-2</v>
      </c>
      <c r="C4198" t="s">
        <v>5219</v>
      </c>
      <c r="D4198" t="s">
        <v>211</v>
      </c>
      <c r="E4198" t="s">
        <v>212</v>
      </c>
      <c r="F4198" t="s">
        <v>462</v>
      </c>
      <c r="G4198">
        <v>1822529</v>
      </c>
      <c r="H4198" t="s">
        <v>26</v>
      </c>
      <c r="I4198" t="s">
        <v>297</v>
      </c>
      <c r="J4198" t="str">
        <f>"9781118824344"</f>
        <v>9781118824344</v>
      </c>
      <c r="K4198" t="s">
        <v>7028</v>
      </c>
      <c r="L4198">
        <v>38</v>
      </c>
      <c r="O4198" t="s">
        <v>30</v>
      </c>
      <c r="P4198" t="s">
        <v>29</v>
      </c>
      <c r="Q4198" s="1">
        <v>42310.831377314818</v>
      </c>
      <c r="R4198">
        <v>7</v>
      </c>
      <c r="S4198" t="s">
        <v>214</v>
      </c>
      <c r="T4198" t="s">
        <v>464</v>
      </c>
      <c r="U4198">
        <v>519.4</v>
      </c>
      <c r="V4198" s="3">
        <v>41932</v>
      </c>
    </row>
    <row r="4199" spans="1:22" x14ac:dyDescent="0.35">
      <c r="A4199" s="1">
        <v>42317.790069444447</v>
      </c>
      <c r="B4199" s="2">
        <v>6.9444444444444444E-5</v>
      </c>
      <c r="C4199" t="s">
        <v>6223</v>
      </c>
      <c r="D4199" t="s">
        <v>623</v>
      </c>
      <c r="E4199" t="s">
        <v>624</v>
      </c>
      <c r="F4199" t="s">
        <v>7018</v>
      </c>
      <c r="G4199">
        <v>1969395</v>
      </c>
      <c r="H4199" t="s">
        <v>45</v>
      </c>
      <c r="I4199" t="s">
        <v>328</v>
      </c>
      <c r="J4199" t="str">
        <f>"9781409454588"</f>
        <v>9781409454588</v>
      </c>
      <c r="K4199" t="s">
        <v>33</v>
      </c>
      <c r="L4199">
        <v>3</v>
      </c>
      <c r="O4199" t="s">
        <v>30</v>
      </c>
      <c r="P4199" t="s">
        <v>50</v>
      </c>
      <c r="S4199" t="s">
        <v>627</v>
      </c>
      <c r="T4199" t="s">
        <v>7020</v>
      </c>
      <c r="U4199">
        <v>362.1</v>
      </c>
      <c r="V4199" s="3">
        <v>42091</v>
      </c>
    </row>
    <row r="4200" spans="1:22" x14ac:dyDescent="0.35">
      <c r="A4200" s="1">
        <v>42317.783668981479</v>
      </c>
      <c r="B4200" s="2">
        <v>8.7858796296296296E-2</v>
      </c>
      <c r="C4200" t="s">
        <v>106</v>
      </c>
      <c r="D4200" t="s">
        <v>23</v>
      </c>
      <c r="E4200" t="s">
        <v>24</v>
      </c>
      <c r="F4200" t="s">
        <v>7029</v>
      </c>
      <c r="G4200">
        <v>1745058</v>
      </c>
      <c r="H4200" t="s">
        <v>26</v>
      </c>
      <c r="I4200" t="s">
        <v>69</v>
      </c>
      <c r="J4200" t="str">
        <f>"9781118761267"</f>
        <v>9781118761267</v>
      </c>
      <c r="K4200" t="s">
        <v>7030</v>
      </c>
      <c r="L4200">
        <v>33</v>
      </c>
      <c r="O4200" t="s">
        <v>30</v>
      </c>
      <c r="P4200" t="s">
        <v>29</v>
      </c>
      <c r="Q4200" s="1">
        <v>42317.783668981479</v>
      </c>
      <c r="R4200">
        <v>7</v>
      </c>
      <c r="S4200" t="s">
        <v>31</v>
      </c>
      <c r="T4200" t="s">
        <v>7031</v>
      </c>
      <c r="U4200" t="s">
        <v>7032</v>
      </c>
      <c r="V4200" s="3">
        <v>41838</v>
      </c>
    </row>
    <row r="4201" spans="1:22" x14ac:dyDescent="0.35">
      <c r="A4201" s="1">
        <v>42317.77884259259</v>
      </c>
      <c r="B4201" s="2">
        <v>0.12304398148148148</v>
      </c>
      <c r="C4201" t="s">
        <v>106</v>
      </c>
      <c r="D4201" t="s">
        <v>23</v>
      </c>
      <c r="E4201" t="s">
        <v>24</v>
      </c>
      <c r="F4201" t="s">
        <v>1051</v>
      </c>
      <c r="G4201">
        <v>821663</v>
      </c>
      <c r="H4201" t="s">
        <v>26</v>
      </c>
      <c r="I4201" t="s">
        <v>200</v>
      </c>
      <c r="J4201" t="str">
        <f>"9781118168479"</f>
        <v>9781118168479</v>
      </c>
      <c r="K4201" t="s">
        <v>7033</v>
      </c>
      <c r="L4201">
        <v>24</v>
      </c>
      <c r="O4201" t="s">
        <v>30</v>
      </c>
      <c r="P4201" t="s">
        <v>29</v>
      </c>
      <c r="Q4201" s="1">
        <v>42317.257939814815</v>
      </c>
      <c r="R4201">
        <v>7</v>
      </c>
      <c r="S4201" t="s">
        <v>31</v>
      </c>
      <c r="T4201" t="s">
        <v>1053</v>
      </c>
      <c r="U4201">
        <v>729</v>
      </c>
      <c r="V4201" s="3">
        <v>40973</v>
      </c>
    </row>
    <row r="4202" spans="1:22" x14ac:dyDescent="0.35">
      <c r="A4202" s="1">
        <v>42317.771898148145</v>
      </c>
      <c r="B4202" s="2">
        <v>1.1770833333333333E-2</v>
      </c>
      <c r="C4202" t="s">
        <v>106</v>
      </c>
      <c r="D4202" t="s">
        <v>23</v>
      </c>
      <c r="E4202" t="s">
        <v>24</v>
      </c>
      <c r="F4202" t="s">
        <v>7029</v>
      </c>
      <c r="G4202">
        <v>1745058</v>
      </c>
      <c r="H4202" t="s">
        <v>26</v>
      </c>
      <c r="I4202" t="s">
        <v>69</v>
      </c>
      <c r="J4202" t="str">
        <f>"9781118761267"</f>
        <v>9781118761267</v>
      </c>
      <c r="K4202" t="s">
        <v>7034</v>
      </c>
      <c r="L4202">
        <v>8</v>
      </c>
      <c r="O4202" t="s">
        <v>30</v>
      </c>
      <c r="P4202" t="s">
        <v>42</v>
      </c>
      <c r="S4202" t="s">
        <v>31</v>
      </c>
      <c r="T4202" t="s">
        <v>7031</v>
      </c>
      <c r="U4202" t="s">
        <v>7032</v>
      </c>
      <c r="V4202" s="3">
        <v>41838</v>
      </c>
    </row>
    <row r="4203" spans="1:22" x14ac:dyDescent="0.35">
      <c r="A4203" s="1">
        <v>42317.770243055558</v>
      </c>
      <c r="B4203" s="2">
        <v>4.9768518518518521E-4</v>
      </c>
      <c r="C4203" t="s">
        <v>3521</v>
      </c>
      <c r="D4203" t="s">
        <v>335</v>
      </c>
      <c r="E4203" t="s">
        <v>336</v>
      </c>
      <c r="F4203" t="s">
        <v>148</v>
      </c>
      <c r="G4203">
        <v>877717</v>
      </c>
      <c r="H4203" t="s">
        <v>149</v>
      </c>
      <c r="I4203" t="s">
        <v>150</v>
      </c>
      <c r="J4203" t="str">
        <f>"9781438139265"</f>
        <v>9781438139265</v>
      </c>
      <c r="K4203" t="s">
        <v>7035</v>
      </c>
      <c r="L4203">
        <v>21</v>
      </c>
      <c r="O4203" t="s">
        <v>30</v>
      </c>
      <c r="P4203" t="s">
        <v>42</v>
      </c>
      <c r="S4203" t="s">
        <v>340</v>
      </c>
      <c r="T4203" t="s">
        <v>153</v>
      </c>
      <c r="U4203" t="s">
        <v>154</v>
      </c>
      <c r="V4203" s="3">
        <v>40909</v>
      </c>
    </row>
    <row r="4204" spans="1:22" x14ac:dyDescent="0.35">
      <c r="A4204" s="1">
        <v>42317.769918981481</v>
      </c>
      <c r="B4204" s="2">
        <v>4.6296296296296294E-5</v>
      </c>
      <c r="C4204" t="s">
        <v>3132</v>
      </c>
      <c r="D4204" t="s">
        <v>158</v>
      </c>
      <c r="E4204" t="s">
        <v>159</v>
      </c>
      <c r="F4204" t="s">
        <v>7036</v>
      </c>
      <c r="G4204">
        <v>1581891</v>
      </c>
      <c r="H4204" t="s">
        <v>68</v>
      </c>
      <c r="I4204" t="s">
        <v>247</v>
      </c>
      <c r="J4204" t="str">
        <f>"9781317782841"</f>
        <v>9781317782841</v>
      </c>
      <c r="K4204" t="s">
        <v>33</v>
      </c>
      <c r="L4204">
        <v>3</v>
      </c>
      <c r="O4204" t="s">
        <v>30</v>
      </c>
      <c r="P4204" t="s">
        <v>50</v>
      </c>
      <c r="S4204" t="s">
        <v>163</v>
      </c>
      <c r="T4204" t="s">
        <v>7037</v>
      </c>
      <c r="U4204">
        <v>616.85</v>
      </c>
      <c r="V4204" s="3">
        <v>41624</v>
      </c>
    </row>
    <row r="4205" spans="1:22" x14ac:dyDescent="0.35">
      <c r="A4205" s="1">
        <v>42317.762557870374</v>
      </c>
      <c r="B4205" s="2">
        <v>2.3148148148148146E-4</v>
      </c>
      <c r="C4205" t="s">
        <v>6693</v>
      </c>
      <c r="D4205" t="s">
        <v>6396</v>
      </c>
      <c r="E4205" t="s">
        <v>6397</v>
      </c>
      <c r="F4205" t="s">
        <v>7038</v>
      </c>
      <c r="G4205">
        <v>1883954</v>
      </c>
      <c r="H4205" t="s">
        <v>26</v>
      </c>
      <c r="I4205" t="s">
        <v>7039</v>
      </c>
      <c r="J4205" t="str">
        <f>"9781118677711"</f>
        <v>9781118677711</v>
      </c>
      <c r="K4205" t="s">
        <v>63</v>
      </c>
      <c r="L4205">
        <v>1</v>
      </c>
      <c r="O4205" t="s">
        <v>28</v>
      </c>
      <c r="P4205" t="s">
        <v>29</v>
      </c>
      <c r="Q4205" s="1">
        <v>42317.762557870374</v>
      </c>
      <c r="R4205">
        <v>7</v>
      </c>
      <c r="S4205" t="s">
        <v>6400</v>
      </c>
      <c r="T4205" t="s">
        <v>7040</v>
      </c>
      <c r="U4205" t="s">
        <v>7041</v>
      </c>
      <c r="V4205" s="3">
        <v>41976</v>
      </c>
    </row>
    <row r="4206" spans="1:22" x14ac:dyDescent="0.35">
      <c r="A4206" s="1">
        <v>42317.762557870374</v>
      </c>
      <c r="B4206" s="2">
        <v>0</v>
      </c>
      <c r="C4206" t="s">
        <v>6693</v>
      </c>
      <c r="D4206" t="s">
        <v>6396</v>
      </c>
      <c r="E4206" t="s">
        <v>6397</v>
      </c>
      <c r="F4206" t="s">
        <v>7038</v>
      </c>
      <c r="G4206">
        <v>1883954</v>
      </c>
      <c r="H4206" t="s">
        <v>26</v>
      </c>
      <c r="I4206" t="s">
        <v>7039</v>
      </c>
      <c r="J4206" t="str">
        <f>"9781118677711"</f>
        <v>9781118677711</v>
      </c>
      <c r="L4206">
        <v>0</v>
      </c>
      <c r="O4206" t="s">
        <v>30</v>
      </c>
      <c r="P4206" t="s">
        <v>29</v>
      </c>
      <c r="Q4206" s="1">
        <v>42317.762557870374</v>
      </c>
      <c r="R4206">
        <v>7</v>
      </c>
      <c r="S4206" t="s">
        <v>6400</v>
      </c>
      <c r="T4206" t="s">
        <v>7040</v>
      </c>
      <c r="U4206" t="s">
        <v>7041</v>
      </c>
      <c r="V4206" s="3">
        <v>41976</v>
      </c>
    </row>
    <row r="4207" spans="1:22" x14ac:dyDescent="0.35">
      <c r="A4207" s="1">
        <v>42317.762453703705</v>
      </c>
      <c r="B4207" s="2">
        <v>1.0416666666666667E-4</v>
      </c>
      <c r="C4207" t="s">
        <v>6693</v>
      </c>
      <c r="D4207" t="s">
        <v>6396</v>
      </c>
      <c r="E4207" t="s">
        <v>6397</v>
      </c>
      <c r="F4207" t="s">
        <v>7038</v>
      </c>
      <c r="G4207">
        <v>1883954</v>
      </c>
      <c r="H4207" t="s">
        <v>26</v>
      </c>
      <c r="I4207" t="s">
        <v>7039</v>
      </c>
      <c r="J4207" t="str">
        <f>"9781118677711"</f>
        <v>9781118677711</v>
      </c>
      <c r="K4207" t="s">
        <v>786</v>
      </c>
      <c r="L4207">
        <v>3</v>
      </c>
      <c r="O4207" t="s">
        <v>30</v>
      </c>
      <c r="P4207" t="s">
        <v>50</v>
      </c>
      <c r="S4207" t="s">
        <v>6400</v>
      </c>
      <c r="T4207" t="s">
        <v>7040</v>
      </c>
      <c r="U4207" t="s">
        <v>7041</v>
      </c>
      <c r="V4207" s="3">
        <v>41976</v>
      </c>
    </row>
    <row r="4208" spans="1:22" x14ac:dyDescent="0.35">
      <c r="A4208" s="1">
        <v>42317.760000000002</v>
      </c>
      <c r="B4208" s="2">
        <v>1.3541666666666667E-2</v>
      </c>
      <c r="C4208" t="s">
        <v>7042</v>
      </c>
      <c r="D4208" t="s">
        <v>35</v>
      </c>
      <c r="E4208" t="s">
        <v>36</v>
      </c>
      <c r="F4208" t="s">
        <v>4065</v>
      </c>
      <c r="G4208">
        <v>918746</v>
      </c>
      <c r="H4208" t="s">
        <v>1365</v>
      </c>
      <c r="I4208" t="s">
        <v>150</v>
      </c>
      <c r="J4208" t="str">
        <f>"9780826441850"</f>
        <v>9780826441850</v>
      </c>
      <c r="K4208" t="s">
        <v>7043</v>
      </c>
      <c r="L4208">
        <v>26</v>
      </c>
      <c r="M4208" t="s">
        <v>318</v>
      </c>
      <c r="O4208" t="s">
        <v>30</v>
      </c>
      <c r="P4208" t="s">
        <v>29</v>
      </c>
      <c r="Q4208" s="1">
        <v>42317.759988425925</v>
      </c>
      <c r="R4208">
        <v>7</v>
      </c>
      <c r="S4208" t="s">
        <v>40</v>
      </c>
      <c r="T4208" t="s">
        <v>4066</v>
      </c>
      <c r="U4208">
        <v>791.45749999999998</v>
      </c>
      <c r="V4208" s="3">
        <v>41091</v>
      </c>
    </row>
    <row r="4209" spans="1:22" x14ac:dyDescent="0.35">
      <c r="A4209" s="1">
        <v>42317.758518518516</v>
      </c>
      <c r="B4209" s="2">
        <v>3.1250000000000001E-4</v>
      </c>
      <c r="C4209" t="s">
        <v>7044</v>
      </c>
      <c r="D4209" t="s">
        <v>23</v>
      </c>
      <c r="E4209" t="s">
        <v>24</v>
      </c>
      <c r="F4209" t="s">
        <v>3232</v>
      </c>
      <c r="G4209">
        <v>1109590</v>
      </c>
      <c r="H4209" t="s">
        <v>1286</v>
      </c>
      <c r="I4209" t="s">
        <v>150</v>
      </c>
      <c r="J4209" t="str">
        <f>"9781476600093"</f>
        <v>9781476600093</v>
      </c>
      <c r="K4209" t="s">
        <v>33</v>
      </c>
      <c r="L4209">
        <v>3</v>
      </c>
      <c r="O4209" t="s">
        <v>30</v>
      </c>
      <c r="P4209" t="s">
        <v>42</v>
      </c>
      <c r="S4209" t="s">
        <v>31</v>
      </c>
      <c r="T4209" t="s">
        <v>3234</v>
      </c>
      <c r="U4209" t="s">
        <v>3235</v>
      </c>
      <c r="V4209" s="3">
        <v>41294</v>
      </c>
    </row>
    <row r="4210" spans="1:22" x14ac:dyDescent="0.35">
      <c r="A4210" s="1">
        <v>42317.757997685185</v>
      </c>
      <c r="B4210" s="2">
        <v>0</v>
      </c>
      <c r="C4210" t="s">
        <v>6693</v>
      </c>
      <c r="D4210" t="s">
        <v>6396</v>
      </c>
      <c r="E4210" t="s">
        <v>6397</v>
      </c>
      <c r="F4210" t="s">
        <v>7045</v>
      </c>
      <c r="G4210">
        <v>1896080</v>
      </c>
      <c r="H4210" t="s">
        <v>26</v>
      </c>
      <c r="I4210" t="s">
        <v>7046</v>
      </c>
      <c r="J4210" t="str">
        <f>"9783527687992"</f>
        <v>9783527687992</v>
      </c>
      <c r="L4210">
        <v>0</v>
      </c>
      <c r="O4210" t="s">
        <v>28</v>
      </c>
      <c r="P4210" t="s">
        <v>29</v>
      </c>
      <c r="Q4210" s="1">
        <v>42317.757997685185</v>
      </c>
      <c r="R4210">
        <v>7</v>
      </c>
      <c r="S4210" t="s">
        <v>6400</v>
      </c>
      <c r="T4210" t="s">
        <v>7047</v>
      </c>
      <c r="U4210">
        <v>616.9</v>
      </c>
      <c r="V4210" s="3">
        <v>42058</v>
      </c>
    </row>
    <row r="4211" spans="1:22" x14ac:dyDescent="0.35">
      <c r="A4211" s="1">
        <v>42317.757997685185</v>
      </c>
      <c r="B4211" s="2">
        <v>0</v>
      </c>
      <c r="C4211" t="s">
        <v>6693</v>
      </c>
      <c r="D4211" t="s">
        <v>6396</v>
      </c>
      <c r="E4211" t="s">
        <v>6397</v>
      </c>
      <c r="F4211" t="s">
        <v>7045</v>
      </c>
      <c r="G4211">
        <v>1896080</v>
      </c>
      <c r="H4211" t="s">
        <v>26</v>
      </c>
      <c r="I4211" t="s">
        <v>7046</v>
      </c>
      <c r="J4211" t="str">
        <f>"9783527687992"</f>
        <v>9783527687992</v>
      </c>
      <c r="L4211">
        <v>0</v>
      </c>
      <c r="O4211" t="s">
        <v>30</v>
      </c>
      <c r="P4211" t="s">
        <v>29</v>
      </c>
      <c r="Q4211" s="1">
        <v>42317.757997685185</v>
      </c>
      <c r="R4211">
        <v>7</v>
      </c>
      <c r="S4211" t="s">
        <v>6400</v>
      </c>
      <c r="T4211" t="s">
        <v>7047</v>
      </c>
      <c r="U4211">
        <v>616.9</v>
      </c>
      <c r="V4211" s="3">
        <v>42058</v>
      </c>
    </row>
    <row r="4212" spans="1:22" x14ac:dyDescent="0.35">
      <c r="A4212" s="1">
        <v>42317.757893518516</v>
      </c>
      <c r="B4212" s="2">
        <v>1.0416666666666667E-4</v>
      </c>
      <c r="C4212" t="s">
        <v>6693</v>
      </c>
      <c r="D4212" t="s">
        <v>6396</v>
      </c>
      <c r="E4212" t="s">
        <v>6397</v>
      </c>
      <c r="F4212" t="s">
        <v>7045</v>
      </c>
      <c r="G4212">
        <v>1896080</v>
      </c>
      <c r="H4212" t="s">
        <v>26</v>
      </c>
      <c r="I4212" t="s">
        <v>7046</v>
      </c>
      <c r="J4212" t="str">
        <f>"9783527687992"</f>
        <v>9783527687992</v>
      </c>
      <c r="K4212" t="s">
        <v>786</v>
      </c>
      <c r="L4212">
        <v>3</v>
      </c>
      <c r="O4212" t="s">
        <v>30</v>
      </c>
      <c r="P4212" t="s">
        <v>50</v>
      </c>
      <c r="S4212" t="s">
        <v>6400</v>
      </c>
      <c r="T4212" t="s">
        <v>7047</v>
      </c>
      <c r="U4212">
        <v>616.9</v>
      </c>
      <c r="V4212" s="3">
        <v>42058</v>
      </c>
    </row>
    <row r="4213" spans="1:22" x14ac:dyDescent="0.35">
      <c r="A4213" s="1">
        <v>42317.754988425928</v>
      </c>
      <c r="B4213" s="2">
        <v>1.423611111111111E-3</v>
      </c>
      <c r="C4213" t="s">
        <v>6235</v>
      </c>
      <c r="D4213" t="s">
        <v>158</v>
      </c>
      <c r="E4213" t="s">
        <v>159</v>
      </c>
      <c r="F4213" t="s">
        <v>3602</v>
      </c>
      <c r="G4213">
        <v>877786</v>
      </c>
      <c r="H4213" t="s">
        <v>26</v>
      </c>
      <c r="I4213" t="s">
        <v>247</v>
      </c>
      <c r="J4213" t="str">
        <f>"9781118318393"</f>
        <v>9781118318393</v>
      </c>
      <c r="K4213" t="s">
        <v>7048</v>
      </c>
      <c r="L4213">
        <v>21</v>
      </c>
      <c r="O4213" t="s">
        <v>30</v>
      </c>
      <c r="P4213" t="s">
        <v>42</v>
      </c>
      <c r="S4213" t="s">
        <v>163</v>
      </c>
      <c r="T4213" t="s">
        <v>3604</v>
      </c>
      <c r="U4213" t="s">
        <v>3605</v>
      </c>
      <c r="V4213" s="3">
        <v>40988</v>
      </c>
    </row>
    <row r="4214" spans="1:22" x14ac:dyDescent="0.35">
      <c r="A4214" s="1">
        <v>42317.754745370374</v>
      </c>
      <c r="B4214" s="2">
        <v>2.1967592592592594E-2</v>
      </c>
      <c r="C4214" t="s">
        <v>6753</v>
      </c>
      <c r="D4214" t="s">
        <v>2519</v>
      </c>
      <c r="E4214" t="s">
        <v>2520</v>
      </c>
      <c r="F4214" t="s">
        <v>6754</v>
      </c>
      <c r="G4214">
        <v>1078671</v>
      </c>
      <c r="H4214" t="s">
        <v>526</v>
      </c>
      <c r="I4214" t="s">
        <v>3674</v>
      </c>
      <c r="J4214" t="str">
        <f>"9780226922133"</f>
        <v>9780226922133</v>
      </c>
      <c r="K4214" t="s">
        <v>7049</v>
      </c>
      <c r="L4214">
        <v>24</v>
      </c>
      <c r="O4214" t="s">
        <v>30</v>
      </c>
      <c r="P4214" t="s">
        <v>47</v>
      </c>
      <c r="Q4214" s="1">
        <v>42317.691261574073</v>
      </c>
      <c r="R4214">
        <v>1</v>
      </c>
      <c r="S4214" t="s">
        <v>2523</v>
      </c>
      <c r="T4214" t="s">
        <v>6756</v>
      </c>
      <c r="U4214">
        <v>362.11</v>
      </c>
      <c r="V4214" s="3">
        <v>41292</v>
      </c>
    </row>
    <row r="4215" spans="1:22" x14ac:dyDescent="0.35">
      <c r="A4215" s="1">
        <v>42317.753333333334</v>
      </c>
      <c r="B4215" s="2">
        <v>6.6550925925925935E-3</v>
      </c>
      <c r="C4215" t="s">
        <v>7042</v>
      </c>
      <c r="D4215" t="s">
        <v>35</v>
      </c>
      <c r="E4215" t="s">
        <v>36</v>
      </c>
      <c r="F4215" t="s">
        <v>4065</v>
      </c>
      <c r="G4215">
        <v>918746</v>
      </c>
      <c r="H4215" t="s">
        <v>1365</v>
      </c>
      <c r="I4215" t="s">
        <v>150</v>
      </c>
      <c r="J4215" t="str">
        <f>"9780826441850"</f>
        <v>9780826441850</v>
      </c>
      <c r="K4215" t="s">
        <v>7050</v>
      </c>
      <c r="L4215">
        <v>12</v>
      </c>
      <c r="O4215" t="s">
        <v>30</v>
      </c>
      <c r="P4215" t="s">
        <v>42</v>
      </c>
      <c r="S4215" t="s">
        <v>40</v>
      </c>
      <c r="T4215" t="s">
        <v>4066</v>
      </c>
      <c r="U4215">
        <v>791.45749999999998</v>
      </c>
      <c r="V4215" s="3">
        <v>41091</v>
      </c>
    </row>
    <row r="4216" spans="1:22" x14ac:dyDescent="0.35">
      <c r="A4216" s="1">
        <v>42317.719918981478</v>
      </c>
      <c r="B4216" s="2">
        <v>3.9120370370370368E-3</v>
      </c>
      <c r="C4216" t="s">
        <v>7051</v>
      </c>
      <c r="D4216" t="s">
        <v>623</v>
      </c>
      <c r="E4216" t="s">
        <v>624</v>
      </c>
      <c r="F4216" t="s">
        <v>7052</v>
      </c>
      <c r="G4216">
        <v>1895734</v>
      </c>
      <c r="H4216" t="s">
        <v>26</v>
      </c>
      <c r="I4216" t="s">
        <v>970</v>
      </c>
      <c r="J4216" t="str">
        <f>"9781118907221"</f>
        <v>9781118907221</v>
      </c>
      <c r="K4216" t="s">
        <v>7053</v>
      </c>
      <c r="L4216">
        <v>17</v>
      </c>
      <c r="O4216" t="s">
        <v>30</v>
      </c>
      <c r="P4216" t="s">
        <v>29</v>
      </c>
      <c r="Q4216" s="1">
        <v>42311.807337962964</v>
      </c>
      <c r="R4216">
        <v>7</v>
      </c>
      <c r="S4216" t="s">
        <v>627</v>
      </c>
      <c r="T4216" t="s">
        <v>7054</v>
      </c>
      <c r="U4216">
        <v>615.19000000000005</v>
      </c>
      <c r="V4216" s="3">
        <v>42107</v>
      </c>
    </row>
    <row r="4217" spans="1:22" x14ac:dyDescent="0.35">
      <c r="A4217" s="1">
        <v>42317.699363425927</v>
      </c>
      <c r="B4217" s="2">
        <v>1.9780092592592592E-2</v>
      </c>
      <c r="C4217" t="s">
        <v>7051</v>
      </c>
      <c r="D4217" t="s">
        <v>623</v>
      </c>
      <c r="E4217" t="s">
        <v>624</v>
      </c>
      <c r="F4217" t="s">
        <v>7052</v>
      </c>
      <c r="G4217">
        <v>1895734</v>
      </c>
      <c r="H4217" t="s">
        <v>26</v>
      </c>
      <c r="I4217" t="s">
        <v>970</v>
      </c>
      <c r="J4217" t="str">
        <f>"9781118907221"</f>
        <v>9781118907221</v>
      </c>
      <c r="K4217" t="s">
        <v>7055</v>
      </c>
      <c r="L4217">
        <v>8</v>
      </c>
      <c r="O4217" t="s">
        <v>30</v>
      </c>
      <c r="P4217" t="s">
        <v>29</v>
      </c>
      <c r="Q4217" s="1">
        <v>42311.807337962964</v>
      </c>
      <c r="R4217">
        <v>7</v>
      </c>
      <c r="S4217" t="s">
        <v>627</v>
      </c>
      <c r="T4217" t="s">
        <v>7054</v>
      </c>
      <c r="U4217">
        <v>615.19000000000005</v>
      </c>
      <c r="V4217" s="3">
        <v>42107</v>
      </c>
    </row>
    <row r="4218" spans="1:22" x14ac:dyDescent="0.35">
      <c r="A4218" s="1">
        <v>42317.695462962962</v>
      </c>
      <c r="B4218" s="2">
        <v>3.7037037037037035E-4</v>
      </c>
      <c r="C4218" t="s">
        <v>7042</v>
      </c>
      <c r="D4218" t="s">
        <v>35</v>
      </c>
      <c r="E4218" t="s">
        <v>36</v>
      </c>
      <c r="F4218" t="s">
        <v>4065</v>
      </c>
      <c r="G4218">
        <v>918746</v>
      </c>
      <c r="H4218" t="s">
        <v>1365</v>
      </c>
      <c r="I4218" t="s">
        <v>150</v>
      </c>
      <c r="J4218" t="str">
        <f>"9780826441850"</f>
        <v>9780826441850</v>
      </c>
      <c r="K4218" t="s">
        <v>7056</v>
      </c>
      <c r="L4218">
        <v>8</v>
      </c>
      <c r="O4218" t="s">
        <v>30</v>
      </c>
      <c r="P4218" t="s">
        <v>42</v>
      </c>
      <c r="S4218" t="s">
        <v>40</v>
      </c>
      <c r="T4218" t="s">
        <v>4066</v>
      </c>
      <c r="U4218">
        <v>791.45749999999998</v>
      </c>
      <c r="V4218" s="3">
        <v>41091</v>
      </c>
    </row>
    <row r="4219" spans="1:22" x14ac:dyDescent="0.35">
      <c r="A4219" s="1">
        <v>42317.69394675926</v>
      </c>
      <c r="B4219" s="2">
        <v>4.6296296296296294E-5</v>
      </c>
      <c r="C4219" t="s">
        <v>7057</v>
      </c>
      <c r="D4219" t="s">
        <v>335</v>
      </c>
      <c r="E4219" t="s">
        <v>336</v>
      </c>
      <c r="F4219" t="s">
        <v>7058</v>
      </c>
      <c r="G4219">
        <v>1249494</v>
      </c>
      <c r="H4219" t="s">
        <v>84</v>
      </c>
      <c r="I4219" t="s">
        <v>7059</v>
      </c>
      <c r="J4219" t="str">
        <f>"9780520954571"</f>
        <v>9780520954571</v>
      </c>
      <c r="K4219" t="s">
        <v>611</v>
      </c>
      <c r="L4219">
        <v>3</v>
      </c>
      <c r="O4219" t="s">
        <v>30</v>
      </c>
      <c r="P4219" t="s">
        <v>42</v>
      </c>
      <c r="S4219" t="s">
        <v>340</v>
      </c>
      <c r="T4219" t="s">
        <v>7060</v>
      </c>
      <c r="U4219">
        <v>362.29300000000001</v>
      </c>
      <c r="V4219" s="3">
        <v>41518</v>
      </c>
    </row>
    <row r="4220" spans="1:22" x14ac:dyDescent="0.35">
      <c r="A4220" s="1">
        <v>42317.69127314815</v>
      </c>
      <c r="B4220" s="2">
        <v>0</v>
      </c>
      <c r="C4220" t="s">
        <v>6753</v>
      </c>
      <c r="D4220" t="s">
        <v>2519</v>
      </c>
      <c r="E4220" t="s">
        <v>2520</v>
      </c>
      <c r="F4220" t="s">
        <v>6754</v>
      </c>
      <c r="G4220">
        <v>1078671</v>
      </c>
      <c r="H4220" t="s">
        <v>526</v>
      </c>
      <c r="I4220" t="s">
        <v>3674</v>
      </c>
      <c r="J4220" t="str">
        <f>"9780226922133"</f>
        <v>9780226922133</v>
      </c>
      <c r="K4220" t="s">
        <v>2541</v>
      </c>
      <c r="L4220">
        <v>1</v>
      </c>
      <c r="O4220" t="s">
        <v>30</v>
      </c>
      <c r="P4220" t="s">
        <v>47</v>
      </c>
      <c r="Q4220" s="1">
        <v>42317.691261574073</v>
      </c>
      <c r="R4220">
        <v>1</v>
      </c>
      <c r="S4220" t="s">
        <v>2523</v>
      </c>
      <c r="T4220" t="s">
        <v>6756</v>
      </c>
      <c r="U4220">
        <v>362.11</v>
      </c>
      <c r="V4220" s="3">
        <v>41292</v>
      </c>
    </row>
    <row r="4221" spans="1:22" x14ac:dyDescent="0.35">
      <c r="A4221" s="1">
        <v>42317.686886574076</v>
      </c>
      <c r="B4221" s="2">
        <v>4.3749999999999995E-3</v>
      </c>
      <c r="C4221" t="s">
        <v>6753</v>
      </c>
      <c r="D4221" t="s">
        <v>2519</v>
      </c>
      <c r="E4221" t="s">
        <v>2520</v>
      </c>
      <c r="F4221" t="s">
        <v>6754</v>
      </c>
      <c r="G4221">
        <v>1078671</v>
      </c>
      <c r="H4221" t="s">
        <v>526</v>
      </c>
      <c r="I4221" t="s">
        <v>3674</v>
      </c>
      <c r="J4221" t="str">
        <f>"9780226922133"</f>
        <v>9780226922133</v>
      </c>
      <c r="K4221" t="s">
        <v>7061</v>
      </c>
      <c r="L4221">
        <v>13</v>
      </c>
      <c r="O4221" t="s">
        <v>30</v>
      </c>
      <c r="P4221" t="s">
        <v>50</v>
      </c>
      <c r="S4221" t="s">
        <v>2523</v>
      </c>
      <c r="T4221" t="s">
        <v>6756</v>
      </c>
      <c r="U4221">
        <v>362.11</v>
      </c>
      <c r="V4221" s="3">
        <v>41292</v>
      </c>
    </row>
    <row r="4222" spans="1:22" x14ac:dyDescent="0.35">
      <c r="A4222" s="1">
        <v>42317.686168981483</v>
      </c>
      <c r="B4222" s="2">
        <v>6.2500000000000001E-4</v>
      </c>
      <c r="C4222" t="s">
        <v>7062</v>
      </c>
      <c r="D4222" t="s">
        <v>158</v>
      </c>
      <c r="E4222" t="s">
        <v>159</v>
      </c>
      <c r="F4222" t="s">
        <v>1477</v>
      </c>
      <c r="G4222">
        <v>822111</v>
      </c>
      <c r="H4222" t="s">
        <v>26</v>
      </c>
      <c r="I4222" t="s">
        <v>120</v>
      </c>
      <c r="J4222" t="str">
        <f>"9781444356922"</f>
        <v>9781444356922</v>
      </c>
      <c r="K4222" t="s">
        <v>7063</v>
      </c>
      <c r="L4222">
        <v>21</v>
      </c>
      <c r="O4222" t="s">
        <v>30</v>
      </c>
      <c r="P4222" t="s">
        <v>42</v>
      </c>
      <c r="S4222" t="s">
        <v>163</v>
      </c>
      <c r="T4222" t="s">
        <v>1479</v>
      </c>
      <c r="U4222" t="s">
        <v>1480</v>
      </c>
      <c r="V4222" s="3">
        <v>40955</v>
      </c>
    </row>
    <row r="4223" spans="1:22" x14ac:dyDescent="0.35">
      <c r="A4223" s="1">
        <v>42317.667696759258</v>
      </c>
      <c r="B4223" s="2">
        <v>5.7870370370370378E-4</v>
      </c>
      <c r="C4223" t="s">
        <v>7064</v>
      </c>
      <c r="D4223" t="s">
        <v>623</v>
      </c>
      <c r="E4223" t="s">
        <v>624</v>
      </c>
      <c r="F4223" t="s">
        <v>7065</v>
      </c>
      <c r="G4223">
        <v>1766691</v>
      </c>
      <c r="H4223" t="s">
        <v>84</v>
      </c>
      <c r="I4223" t="s">
        <v>187</v>
      </c>
      <c r="J4223" t="str">
        <f>"9780520960497"</f>
        <v>9780520960497</v>
      </c>
      <c r="K4223" t="s">
        <v>7066</v>
      </c>
      <c r="L4223">
        <v>14</v>
      </c>
      <c r="O4223" t="s">
        <v>30</v>
      </c>
      <c r="P4223" t="s">
        <v>47</v>
      </c>
      <c r="Q4223" s="1">
        <v>42317.667696759258</v>
      </c>
      <c r="R4223">
        <v>1</v>
      </c>
      <c r="S4223" t="s">
        <v>627</v>
      </c>
      <c r="T4223" t="s">
        <v>7067</v>
      </c>
      <c r="U4223">
        <v>639.9</v>
      </c>
      <c r="V4223" s="3">
        <v>42083</v>
      </c>
    </row>
    <row r="4224" spans="1:22" x14ac:dyDescent="0.35">
      <c r="A4224" s="1">
        <v>42317.661550925928</v>
      </c>
      <c r="B4224" s="2">
        <v>6.145833333333333E-3</v>
      </c>
      <c r="C4224" t="s">
        <v>7064</v>
      </c>
      <c r="D4224" t="s">
        <v>623</v>
      </c>
      <c r="E4224" t="s">
        <v>624</v>
      </c>
      <c r="F4224" t="s">
        <v>7065</v>
      </c>
      <c r="G4224">
        <v>1766691</v>
      </c>
      <c r="H4224" t="s">
        <v>84</v>
      </c>
      <c r="I4224" t="s">
        <v>187</v>
      </c>
      <c r="J4224" t="str">
        <f>"9780520960497"</f>
        <v>9780520960497</v>
      </c>
      <c r="K4224" t="s">
        <v>4231</v>
      </c>
      <c r="L4224">
        <v>12</v>
      </c>
      <c r="O4224" t="s">
        <v>30</v>
      </c>
      <c r="P4224" t="s">
        <v>50</v>
      </c>
      <c r="S4224" t="s">
        <v>627</v>
      </c>
      <c r="T4224" t="s">
        <v>7067</v>
      </c>
      <c r="U4224">
        <v>639.9</v>
      </c>
      <c r="V4224" s="3">
        <v>42083</v>
      </c>
    </row>
    <row r="4225" spans="1:22" x14ac:dyDescent="0.35">
      <c r="A4225" s="1">
        <v>42317.655659722222</v>
      </c>
      <c r="B4225" s="2">
        <v>3.4722222222222222E-5</v>
      </c>
      <c r="C4225" t="s">
        <v>7068</v>
      </c>
      <c r="D4225" t="s">
        <v>23</v>
      </c>
      <c r="E4225" t="s">
        <v>24</v>
      </c>
      <c r="F4225" t="s">
        <v>3709</v>
      </c>
      <c r="G4225">
        <v>1687475</v>
      </c>
      <c r="H4225" t="s">
        <v>91</v>
      </c>
      <c r="I4225" t="s">
        <v>69</v>
      </c>
      <c r="J4225" t="str">
        <f>"9781462516254"</f>
        <v>9781462516254</v>
      </c>
      <c r="K4225" t="s">
        <v>33</v>
      </c>
      <c r="L4225">
        <v>3</v>
      </c>
      <c r="O4225" t="s">
        <v>30</v>
      </c>
      <c r="P4225" t="s">
        <v>42</v>
      </c>
      <c r="S4225" t="s">
        <v>31</v>
      </c>
      <c r="T4225" t="s">
        <v>3710</v>
      </c>
      <c r="U4225">
        <v>371.29129999999998</v>
      </c>
      <c r="V4225" s="3">
        <v>41893</v>
      </c>
    </row>
    <row r="4226" spans="1:22" x14ac:dyDescent="0.35">
      <c r="A4226" s="1">
        <v>42317.65252314815</v>
      </c>
      <c r="B4226" s="2">
        <v>2.4305555555555552E-4</v>
      </c>
      <c r="C4226" t="s">
        <v>7069</v>
      </c>
      <c r="D4226" t="s">
        <v>158</v>
      </c>
      <c r="E4226" t="s">
        <v>159</v>
      </c>
      <c r="F4226" t="s">
        <v>4289</v>
      </c>
      <c r="G4226">
        <v>1120621</v>
      </c>
      <c r="H4226" t="s">
        <v>26</v>
      </c>
      <c r="I4226" t="s">
        <v>69</v>
      </c>
      <c r="J4226" t="str">
        <f>"9781118362679"</f>
        <v>9781118362679</v>
      </c>
      <c r="K4226" t="s">
        <v>7070</v>
      </c>
      <c r="L4226">
        <v>12</v>
      </c>
      <c r="O4226" t="s">
        <v>30</v>
      </c>
      <c r="P4226" t="s">
        <v>42</v>
      </c>
      <c r="S4226" t="s">
        <v>163</v>
      </c>
      <c r="T4226" t="s">
        <v>4290</v>
      </c>
      <c r="U4226" t="s">
        <v>4291</v>
      </c>
      <c r="V4226" s="3">
        <v>41136</v>
      </c>
    </row>
    <row r="4227" spans="1:22" x14ac:dyDescent="0.35">
      <c r="A4227" s="1">
        <v>42317.648865740739</v>
      </c>
      <c r="B4227" s="2">
        <v>6.145833333333333E-3</v>
      </c>
      <c r="C4227" t="s">
        <v>7071</v>
      </c>
      <c r="D4227" t="s">
        <v>146</v>
      </c>
      <c r="E4227" t="s">
        <v>147</v>
      </c>
      <c r="F4227" t="s">
        <v>337</v>
      </c>
      <c r="G4227">
        <v>1602291</v>
      </c>
      <c r="H4227" t="s">
        <v>26</v>
      </c>
      <c r="I4227" t="s">
        <v>338</v>
      </c>
      <c r="J4227" t="str">
        <f>"9781118817001"</f>
        <v>9781118817001</v>
      </c>
      <c r="K4227" t="s">
        <v>7072</v>
      </c>
      <c r="L4227">
        <v>71</v>
      </c>
      <c r="O4227" t="s">
        <v>30</v>
      </c>
      <c r="P4227" t="s">
        <v>42</v>
      </c>
      <c r="S4227" t="s">
        <v>528</v>
      </c>
      <c r="T4227" t="s">
        <v>341</v>
      </c>
      <c r="U4227">
        <v>362.29</v>
      </c>
      <c r="V4227" s="3">
        <v>41649</v>
      </c>
    </row>
    <row r="4228" spans="1:22" x14ac:dyDescent="0.35">
      <c r="A4228" s="1">
        <v>42317.640104166669</v>
      </c>
      <c r="B4228" s="2">
        <v>4.3749999999999995E-3</v>
      </c>
      <c r="C4228" t="s">
        <v>106</v>
      </c>
      <c r="D4228" t="s">
        <v>23</v>
      </c>
      <c r="E4228" t="s">
        <v>24</v>
      </c>
      <c r="F4228" t="s">
        <v>5036</v>
      </c>
      <c r="G4228">
        <v>1318206</v>
      </c>
      <c r="H4228" t="s">
        <v>26</v>
      </c>
      <c r="I4228" t="s">
        <v>5037</v>
      </c>
      <c r="J4228" t="str">
        <f>"9781118363560"</f>
        <v>9781118363560</v>
      </c>
      <c r="K4228" t="s">
        <v>7073</v>
      </c>
      <c r="L4228">
        <v>3</v>
      </c>
      <c r="O4228" t="s">
        <v>28</v>
      </c>
      <c r="P4228" t="s">
        <v>29</v>
      </c>
      <c r="Q4228" s="1">
        <v>42317.640104166669</v>
      </c>
      <c r="R4228">
        <v>7</v>
      </c>
      <c r="S4228" t="s">
        <v>31</v>
      </c>
      <c r="T4228" t="s">
        <v>5038</v>
      </c>
      <c r="U4228" t="s">
        <v>5039</v>
      </c>
      <c r="V4228" s="3">
        <v>41470</v>
      </c>
    </row>
    <row r="4229" spans="1:22" x14ac:dyDescent="0.35">
      <c r="A4229" s="1">
        <v>42317.640104166669</v>
      </c>
      <c r="B4229" s="2">
        <v>0</v>
      </c>
      <c r="C4229" t="s">
        <v>106</v>
      </c>
      <c r="D4229" t="s">
        <v>23</v>
      </c>
      <c r="E4229" t="s">
        <v>24</v>
      </c>
      <c r="F4229" t="s">
        <v>5036</v>
      </c>
      <c r="G4229">
        <v>1318206</v>
      </c>
      <c r="H4229" t="s">
        <v>26</v>
      </c>
      <c r="I4229" t="s">
        <v>5037</v>
      </c>
      <c r="J4229" t="str">
        <f>"9781118363560"</f>
        <v>9781118363560</v>
      </c>
      <c r="L4229">
        <v>0</v>
      </c>
      <c r="O4229" t="s">
        <v>30</v>
      </c>
      <c r="P4229" t="s">
        <v>29</v>
      </c>
      <c r="Q4229" s="1">
        <v>42317.640104166669</v>
      </c>
      <c r="R4229">
        <v>7</v>
      </c>
      <c r="S4229" t="s">
        <v>31</v>
      </c>
      <c r="T4229" t="s">
        <v>5038</v>
      </c>
      <c r="U4229" t="s">
        <v>5039</v>
      </c>
      <c r="V4229" s="3">
        <v>41470</v>
      </c>
    </row>
    <row r="4230" spans="1:22" x14ac:dyDescent="0.35">
      <c r="A4230" s="1">
        <v>42317.639976851853</v>
      </c>
      <c r="B4230" s="2">
        <v>1.273148148148148E-4</v>
      </c>
      <c r="C4230" t="s">
        <v>106</v>
      </c>
      <c r="D4230" t="s">
        <v>23</v>
      </c>
      <c r="E4230" t="s">
        <v>24</v>
      </c>
      <c r="F4230" t="s">
        <v>5036</v>
      </c>
      <c r="G4230">
        <v>1318206</v>
      </c>
      <c r="H4230" t="s">
        <v>26</v>
      </c>
      <c r="I4230" t="s">
        <v>5037</v>
      </c>
      <c r="J4230" t="str">
        <f>"9781118363560"</f>
        <v>9781118363560</v>
      </c>
      <c r="K4230" t="s">
        <v>7074</v>
      </c>
      <c r="L4230">
        <v>3</v>
      </c>
      <c r="O4230" t="s">
        <v>30</v>
      </c>
      <c r="P4230" t="s">
        <v>42</v>
      </c>
      <c r="S4230" t="s">
        <v>31</v>
      </c>
      <c r="T4230" t="s">
        <v>5038</v>
      </c>
      <c r="U4230" t="s">
        <v>5039</v>
      </c>
      <c r="V4230" s="3">
        <v>41470</v>
      </c>
    </row>
    <row r="4231" spans="1:22" x14ac:dyDescent="0.35">
      <c r="A4231" s="1">
        <v>42317.600428240738</v>
      </c>
      <c r="B4231" s="2">
        <v>9.2592592592592588E-5</v>
      </c>
      <c r="C4231" t="s">
        <v>210</v>
      </c>
      <c r="D4231" t="s">
        <v>211</v>
      </c>
      <c r="E4231" t="s">
        <v>212</v>
      </c>
      <c r="F4231" t="s">
        <v>7075</v>
      </c>
      <c r="G4231">
        <v>1153525</v>
      </c>
      <c r="H4231" t="s">
        <v>26</v>
      </c>
      <c r="I4231" t="s">
        <v>108</v>
      </c>
      <c r="J4231" t="str">
        <f>"9781118526361"</f>
        <v>9781118526361</v>
      </c>
      <c r="K4231" t="s">
        <v>1404</v>
      </c>
      <c r="L4231">
        <v>8</v>
      </c>
      <c r="O4231" t="s">
        <v>30</v>
      </c>
      <c r="P4231" t="s">
        <v>50</v>
      </c>
      <c r="S4231" t="s">
        <v>214</v>
      </c>
      <c r="T4231" t="s">
        <v>7076</v>
      </c>
      <c r="U4231">
        <v>332.02400972999999</v>
      </c>
      <c r="V4231" s="3">
        <v>41340</v>
      </c>
    </row>
    <row r="4232" spans="1:22" x14ac:dyDescent="0.35">
      <c r="A4232" s="1">
        <v>42317.600173611114</v>
      </c>
      <c r="B4232" s="2">
        <v>3.4722222222222222E-5</v>
      </c>
      <c r="C4232" t="s">
        <v>210</v>
      </c>
      <c r="D4232" t="s">
        <v>211</v>
      </c>
      <c r="E4232" t="s">
        <v>212</v>
      </c>
      <c r="F4232" t="s">
        <v>7077</v>
      </c>
      <c r="G4232">
        <v>1895605</v>
      </c>
      <c r="H4232" t="s">
        <v>26</v>
      </c>
      <c r="I4232" t="s">
        <v>7078</v>
      </c>
      <c r="J4232" t="str">
        <f>"9781118792766"</f>
        <v>9781118792766</v>
      </c>
      <c r="K4232" t="s">
        <v>33</v>
      </c>
      <c r="L4232">
        <v>3</v>
      </c>
      <c r="O4232" t="s">
        <v>30</v>
      </c>
      <c r="P4232" t="s">
        <v>50</v>
      </c>
      <c r="S4232" t="s">
        <v>214</v>
      </c>
      <c r="T4232" t="s">
        <v>7079</v>
      </c>
      <c r="U4232" t="s">
        <v>7080</v>
      </c>
      <c r="V4232" s="3">
        <v>42046</v>
      </c>
    </row>
    <row r="4233" spans="1:22" x14ac:dyDescent="0.35">
      <c r="A4233" s="1">
        <v>42317.599976851852</v>
      </c>
      <c r="B4233" s="2">
        <v>3.1250000000000001E-4</v>
      </c>
      <c r="C4233" t="s">
        <v>7081</v>
      </c>
      <c r="D4233" t="s">
        <v>1222</v>
      </c>
      <c r="E4233" t="s">
        <v>1223</v>
      </c>
      <c r="F4233" t="s">
        <v>7082</v>
      </c>
      <c r="G4233">
        <v>2004800</v>
      </c>
      <c r="H4233" t="s">
        <v>45</v>
      </c>
      <c r="I4233" t="s">
        <v>310</v>
      </c>
      <c r="J4233" t="str">
        <f>"9781472416353"</f>
        <v>9781472416353</v>
      </c>
      <c r="K4233" t="s">
        <v>7083</v>
      </c>
      <c r="L4233">
        <v>13</v>
      </c>
      <c r="O4233" t="s">
        <v>30</v>
      </c>
      <c r="P4233" t="s">
        <v>50</v>
      </c>
      <c r="S4233" t="s">
        <v>1226</v>
      </c>
      <c r="T4233" t="s">
        <v>7084</v>
      </c>
      <c r="U4233" t="s">
        <v>7085</v>
      </c>
      <c r="V4233" s="3">
        <v>42122</v>
      </c>
    </row>
    <row r="4234" spans="1:22" x14ac:dyDescent="0.35">
      <c r="A4234" s="1">
        <v>42317.59957175926</v>
      </c>
      <c r="B4234" s="2">
        <v>1.6203703703703703E-4</v>
      </c>
      <c r="C4234" t="s">
        <v>210</v>
      </c>
      <c r="D4234" t="s">
        <v>211</v>
      </c>
      <c r="E4234" t="s">
        <v>212</v>
      </c>
      <c r="F4234" t="s">
        <v>7086</v>
      </c>
      <c r="G4234">
        <v>487698</v>
      </c>
      <c r="H4234" t="s">
        <v>26</v>
      </c>
      <c r="I4234" t="s">
        <v>3665</v>
      </c>
      <c r="J4234" t="str">
        <f>"9780470606490"</f>
        <v>9780470606490</v>
      </c>
      <c r="K4234" t="s">
        <v>7087</v>
      </c>
      <c r="L4234">
        <v>9</v>
      </c>
      <c r="O4234" t="s">
        <v>30</v>
      </c>
      <c r="P4234" t="s">
        <v>50</v>
      </c>
      <c r="S4234" t="s">
        <v>214</v>
      </c>
      <c r="T4234" t="s">
        <v>7088</v>
      </c>
      <c r="U4234">
        <v>648.79999999999995</v>
      </c>
      <c r="V4234" s="3">
        <v>41773</v>
      </c>
    </row>
    <row r="4235" spans="1:22" x14ac:dyDescent="0.35">
      <c r="A4235" s="1">
        <v>42317.599004629628</v>
      </c>
      <c r="B4235" s="2">
        <v>2.3148148148148146E-4</v>
      </c>
      <c r="C4235" t="s">
        <v>210</v>
      </c>
      <c r="D4235" t="s">
        <v>211</v>
      </c>
      <c r="E4235" t="s">
        <v>212</v>
      </c>
      <c r="F4235" t="s">
        <v>7089</v>
      </c>
      <c r="G4235">
        <v>1895758</v>
      </c>
      <c r="H4235" t="s">
        <v>26</v>
      </c>
      <c r="I4235" t="s">
        <v>69</v>
      </c>
      <c r="J4235" t="str">
        <f>"9781118924747"</f>
        <v>9781118924747</v>
      </c>
      <c r="K4235" t="s">
        <v>7090</v>
      </c>
      <c r="L4235">
        <v>11</v>
      </c>
      <c r="O4235" t="s">
        <v>30</v>
      </c>
      <c r="P4235" t="s">
        <v>50</v>
      </c>
      <c r="S4235" t="s">
        <v>214</v>
      </c>
      <c r="T4235" t="s">
        <v>7091</v>
      </c>
      <c r="U4235">
        <v>370.15199999999999</v>
      </c>
      <c r="V4235" s="3">
        <v>42088</v>
      </c>
    </row>
    <row r="4236" spans="1:22" x14ac:dyDescent="0.35">
      <c r="A4236" s="1">
        <v>42317.598958333336</v>
      </c>
      <c r="B4236" s="2">
        <v>4.6296296296296294E-5</v>
      </c>
      <c r="C4236" t="s">
        <v>210</v>
      </c>
      <c r="D4236" t="s">
        <v>211</v>
      </c>
      <c r="E4236" t="s">
        <v>212</v>
      </c>
      <c r="F4236" t="s">
        <v>7092</v>
      </c>
      <c r="G4236">
        <v>1762784</v>
      </c>
      <c r="H4236" t="s">
        <v>26</v>
      </c>
      <c r="I4236" t="s">
        <v>247</v>
      </c>
      <c r="J4236" t="str">
        <f>"9781118589915"</f>
        <v>9781118589915</v>
      </c>
      <c r="K4236" t="s">
        <v>33</v>
      </c>
      <c r="L4236">
        <v>3</v>
      </c>
      <c r="O4236" t="s">
        <v>30</v>
      </c>
      <c r="P4236" t="s">
        <v>50</v>
      </c>
      <c r="S4236" t="s">
        <v>214</v>
      </c>
      <c r="T4236" t="s">
        <v>7093</v>
      </c>
      <c r="U4236" t="s">
        <v>7094</v>
      </c>
      <c r="V4236" s="3">
        <v>41857</v>
      </c>
    </row>
    <row r="4237" spans="1:22" x14ac:dyDescent="0.35">
      <c r="A4237" s="1">
        <v>42317.598611111112</v>
      </c>
      <c r="B4237" s="2">
        <v>1.25E-3</v>
      </c>
      <c r="C4237" t="s">
        <v>210</v>
      </c>
      <c r="D4237" t="s">
        <v>211</v>
      </c>
      <c r="E4237" t="s">
        <v>212</v>
      </c>
      <c r="F4237" t="s">
        <v>7077</v>
      </c>
      <c r="G4237">
        <v>1895605</v>
      </c>
      <c r="H4237" t="s">
        <v>26</v>
      </c>
      <c r="I4237" t="s">
        <v>7078</v>
      </c>
      <c r="J4237" t="str">
        <f>"9781118792766"</f>
        <v>9781118792766</v>
      </c>
      <c r="K4237" t="s">
        <v>7095</v>
      </c>
      <c r="L4237">
        <v>31</v>
      </c>
      <c r="O4237" t="s">
        <v>30</v>
      </c>
      <c r="P4237" t="s">
        <v>50</v>
      </c>
      <c r="S4237" t="s">
        <v>214</v>
      </c>
      <c r="T4237" t="s">
        <v>7079</v>
      </c>
      <c r="U4237" t="s">
        <v>7080</v>
      </c>
      <c r="V4237" s="3">
        <v>42046</v>
      </c>
    </row>
    <row r="4238" spans="1:22" x14ac:dyDescent="0.35">
      <c r="A4238" s="1">
        <v>42317.598587962966</v>
      </c>
      <c r="B4238" s="2">
        <v>1.6203703703703703E-4</v>
      </c>
      <c r="C4238" t="s">
        <v>210</v>
      </c>
      <c r="D4238" t="s">
        <v>211</v>
      </c>
      <c r="E4238" t="s">
        <v>212</v>
      </c>
      <c r="F4238" t="s">
        <v>7096</v>
      </c>
      <c r="G4238">
        <v>1895422</v>
      </c>
      <c r="H4238" t="s">
        <v>26</v>
      </c>
      <c r="I4238" t="s">
        <v>219</v>
      </c>
      <c r="J4238" t="str">
        <f>"9780857086204"</f>
        <v>9780857086204</v>
      </c>
      <c r="K4238" t="s">
        <v>98</v>
      </c>
      <c r="L4238">
        <v>7</v>
      </c>
      <c r="O4238" t="s">
        <v>30</v>
      </c>
      <c r="P4238" t="s">
        <v>50</v>
      </c>
      <c r="S4238" t="s">
        <v>214</v>
      </c>
      <c r="T4238" t="s">
        <v>7097</v>
      </c>
      <c r="U4238">
        <v>158.1</v>
      </c>
      <c r="V4238" s="3">
        <v>42102</v>
      </c>
    </row>
    <row r="4239" spans="1:22" x14ac:dyDescent="0.35">
      <c r="A4239" s="1">
        <v>42317.598437499997</v>
      </c>
      <c r="B4239" s="2">
        <v>1.4467592592592594E-3</v>
      </c>
      <c r="C4239" t="s">
        <v>210</v>
      </c>
      <c r="D4239" t="s">
        <v>211</v>
      </c>
      <c r="E4239" t="s">
        <v>212</v>
      </c>
      <c r="F4239" t="s">
        <v>7098</v>
      </c>
      <c r="G4239">
        <v>1746963</v>
      </c>
      <c r="H4239" t="s">
        <v>45</v>
      </c>
      <c r="I4239" t="s">
        <v>97</v>
      </c>
      <c r="J4239" t="str">
        <f>"9781472424860"</f>
        <v>9781472424860</v>
      </c>
      <c r="K4239" t="s">
        <v>7099</v>
      </c>
      <c r="L4239">
        <v>12</v>
      </c>
      <c r="O4239" t="s">
        <v>30</v>
      </c>
      <c r="P4239" t="s">
        <v>50</v>
      </c>
      <c r="S4239" t="s">
        <v>214</v>
      </c>
      <c r="T4239" t="s">
        <v>7100</v>
      </c>
      <c r="U4239" t="s">
        <v>7101</v>
      </c>
      <c r="V4239" s="3">
        <v>41910</v>
      </c>
    </row>
    <row r="4240" spans="1:22" x14ac:dyDescent="0.35">
      <c r="A4240" s="1">
        <v>42317.595173611109</v>
      </c>
      <c r="B4240" s="2">
        <v>3.6701388888888888E-2</v>
      </c>
      <c r="C4240" t="s">
        <v>210</v>
      </c>
      <c r="D4240" t="s">
        <v>211</v>
      </c>
      <c r="E4240" t="s">
        <v>212</v>
      </c>
      <c r="F4240" t="s">
        <v>2200</v>
      </c>
      <c r="G4240">
        <v>1119449</v>
      </c>
      <c r="H4240" t="s">
        <v>26</v>
      </c>
      <c r="I4240" t="s">
        <v>219</v>
      </c>
      <c r="J4240" t="str">
        <f>"9781118482230"</f>
        <v>9781118482230</v>
      </c>
      <c r="K4240" t="s">
        <v>7102</v>
      </c>
      <c r="L4240">
        <v>80</v>
      </c>
      <c r="O4240" t="s">
        <v>30</v>
      </c>
      <c r="P4240" t="s">
        <v>29</v>
      </c>
      <c r="Q4240" s="1">
        <v>42317.595173611109</v>
      </c>
      <c r="R4240">
        <v>7</v>
      </c>
      <c r="S4240" t="s">
        <v>214</v>
      </c>
      <c r="T4240" t="s">
        <v>2203</v>
      </c>
      <c r="U4240" t="s">
        <v>2204</v>
      </c>
      <c r="V4240" s="3">
        <v>41302</v>
      </c>
    </row>
    <row r="4241" spans="1:22" x14ac:dyDescent="0.35">
      <c r="A4241" s="1">
        <v>42317.590856481482</v>
      </c>
      <c r="B4241" s="2">
        <v>4.31712962962963E-3</v>
      </c>
      <c r="C4241" t="s">
        <v>210</v>
      </c>
      <c r="D4241" t="s">
        <v>211</v>
      </c>
      <c r="E4241" t="s">
        <v>212</v>
      </c>
      <c r="F4241" t="s">
        <v>2200</v>
      </c>
      <c r="G4241">
        <v>1119449</v>
      </c>
      <c r="H4241" t="s">
        <v>26</v>
      </c>
      <c r="I4241" t="s">
        <v>219</v>
      </c>
      <c r="J4241" t="str">
        <f>"9781118482230"</f>
        <v>9781118482230</v>
      </c>
      <c r="K4241" t="s">
        <v>1964</v>
      </c>
      <c r="L4241">
        <v>22</v>
      </c>
      <c r="O4241" t="s">
        <v>30</v>
      </c>
      <c r="P4241" t="s">
        <v>50</v>
      </c>
      <c r="S4241" t="s">
        <v>214</v>
      </c>
      <c r="T4241" t="s">
        <v>2203</v>
      </c>
      <c r="U4241" t="s">
        <v>2204</v>
      </c>
      <c r="V4241" s="3">
        <v>41302</v>
      </c>
    </row>
    <row r="4242" spans="1:22" x14ac:dyDescent="0.35">
      <c r="A4242" s="1">
        <v>42317.589317129627</v>
      </c>
      <c r="B4242" s="2">
        <v>6.9444444444444447E-4</v>
      </c>
      <c r="C4242" t="s">
        <v>7103</v>
      </c>
      <c r="D4242" t="s">
        <v>23</v>
      </c>
      <c r="E4242" t="s">
        <v>24</v>
      </c>
      <c r="F4242" t="s">
        <v>4773</v>
      </c>
      <c r="G4242">
        <v>818332</v>
      </c>
      <c r="H4242" t="s">
        <v>26</v>
      </c>
      <c r="I4242" t="s">
        <v>120</v>
      </c>
      <c r="J4242" t="str">
        <f>"9781118252772"</f>
        <v>9781118252772</v>
      </c>
      <c r="K4242" t="s">
        <v>7104</v>
      </c>
      <c r="L4242">
        <v>14</v>
      </c>
      <c r="O4242" t="s">
        <v>30</v>
      </c>
      <c r="P4242" t="s">
        <v>42</v>
      </c>
      <c r="S4242" t="s">
        <v>31</v>
      </c>
      <c r="T4242" t="s">
        <v>4775</v>
      </c>
      <c r="U4242" t="s">
        <v>4776</v>
      </c>
      <c r="V4242" s="3">
        <v>40960</v>
      </c>
    </row>
    <row r="4243" spans="1:22" x14ac:dyDescent="0.35">
      <c r="A4243" s="1">
        <v>42317.589062500003</v>
      </c>
      <c r="B4243" s="2">
        <v>5.2083333333333333E-4</v>
      </c>
      <c r="C4243" t="s">
        <v>6942</v>
      </c>
      <c r="D4243" t="s">
        <v>146</v>
      </c>
      <c r="E4243" t="s">
        <v>147</v>
      </c>
      <c r="F4243" t="s">
        <v>6937</v>
      </c>
      <c r="G4243">
        <v>834631</v>
      </c>
      <c r="H4243" t="s">
        <v>26</v>
      </c>
      <c r="I4243" t="s">
        <v>247</v>
      </c>
      <c r="J4243" t="str">
        <f>"9781444354669"</f>
        <v>9781444354669</v>
      </c>
      <c r="K4243" t="s">
        <v>7105</v>
      </c>
      <c r="L4243">
        <v>9</v>
      </c>
      <c r="O4243" t="s">
        <v>30</v>
      </c>
      <c r="P4243" t="s">
        <v>29</v>
      </c>
      <c r="Q4243" s="1">
        <v>42317.544583333336</v>
      </c>
      <c r="R4243">
        <v>7</v>
      </c>
      <c r="S4243" t="s">
        <v>778</v>
      </c>
      <c r="T4243" t="s">
        <v>6940</v>
      </c>
      <c r="U4243" t="s">
        <v>6941</v>
      </c>
      <c r="V4243" s="3">
        <v>40911</v>
      </c>
    </row>
    <row r="4244" spans="1:22" x14ac:dyDescent="0.35">
      <c r="A4244" s="1">
        <v>42317.588252314818</v>
      </c>
      <c r="B4244" s="2">
        <v>5.3125000000000004E-3</v>
      </c>
      <c r="C4244" t="s">
        <v>106</v>
      </c>
      <c r="D4244" t="s">
        <v>23</v>
      </c>
      <c r="E4244" t="s">
        <v>24</v>
      </c>
      <c r="F4244" t="s">
        <v>486</v>
      </c>
      <c r="G4244">
        <v>1119505</v>
      </c>
      <c r="H4244" t="s">
        <v>26</v>
      </c>
      <c r="I4244" t="s">
        <v>450</v>
      </c>
      <c r="J4244" t="str">
        <f>"9781118355015"</f>
        <v>9781118355015</v>
      </c>
      <c r="K4244" t="s">
        <v>7106</v>
      </c>
      <c r="L4244">
        <v>17</v>
      </c>
      <c r="O4244" t="s">
        <v>30</v>
      </c>
      <c r="P4244" t="s">
        <v>29</v>
      </c>
      <c r="Q4244" s="1">
        <v>42314.692002314812</v>
      </c>
      <c r="R4244">
        <v>7</v>
      </c>
      <c r="S4244" t="s">
        <v>31</v>
      </c>
      <c r="T4244" t="s">
        <v>487</v>
      </c>
      <c r="U4244" t="s">
        <v>488</v>
      </c>
      <c r="V4244" s="3">
        <v>41302</v>
      </c>
    </row>
    <row r="4245" spans="1:22" x14ac:dyDescent="0.35">
      <c r="A4245" s="1">
        <v>42317.582499999997</v>
      </c>
      <c r="B4245" s="2">
        <v>1.3541666666666667E-3</v>
      </c>
      <c r="C4245" t="s">
        <v>106</v>
      </c>
      <c r="D4245" t="s">
        <v>23</v>
      </c>
      <c r="E4245" t="s">
        <v>24</v>
      </c>
      <c r="F4245" t="s">
        <v>7107</v>
      </c>
      <c r="G4245">
        <v>2058089</v>
      </c>
      <c r="H4245" t="s">
        <v>45</v>
      </c>
      <c r="I4245" t="s">
        <v>120</v>
      </c>
      <c r="J4245" t="str">
        <f>"9781472455406"</f>
        <v>9781472455406</v>
      </c>
      <c r="K4245" t="s">
        <v>7108</v>
      </c>
      <c r="L4245">
        <v>19</v>
      </c>
      <c r="O4245" t="s">
        <v>30</v>
      </c>
      <c r="P4245" t="s">
        <v>50</v>
      </c>
      <c r="S4245" t="s">
        <v>31</v>
      </c>
      <c r="T4245" t="s">
        <v>7109</v>
      </c>
      <c r="U4245" t="s">
        <v>7110</v>
      </c>
      <c r="V4245" s="3">
        <v>42213</v>
      </c>
    </row>
    <row r="4246" spans="1:22" x14ac:dyDescent="0.35">
      <c r="A4246" s="1">
        <v>42317.581423611111</v>
      </c>
      <c r="B4246" s="2">
        <v>5.7870370370370366E-5</v>
      </c>
      <c r="C4246" t="s">
        <v>106</v>
      </c>
      <c r="D4246" t="s">
        <v>23</v>
      </c>
      <c r="E4246" t="s">
        <v>24</v>
      </c>
      <c r="F4246" t="s">
        <v>7107</v>
      </c>
      <c r="G4246">
        <v>2058089</v>
      </c>
      <c r="H4246" t="s">
        <v>45</v>
      </c>
      <c r="I4246" t="s">
        <v>120</v>
      </c>
      <c r="J4246" t="str">
        <f>"9781472455406"</f>
        <v>9781472455406</v>
      </c>
      <c r="K4246" t="s">
        <v>7111</v>
      </c>
      <c r="L4246">
        <v>3</v>
      </c>
      <c r="O4246" t="s">
        <v>30</v>
      </c>
      <c r="P4246" t="s">
        <v>50</v>
      </c>
      <c r="S4246" t="s">
        <v>31</v>
      </c>
      <c r="T4246" t="s">
        <v>7109</v>
      </c>
      <c r="U4246" t="s">
        <v>7110</v>
      </c>
      <c r="V4246" s="3">
        <v>42213</v>
      </c>
    </row>
    <row r="4247" spans="1:22" x14ac:dyDescent="0.35">
      <c r="A4247" s="1">
        <v>42317.576574074075</v>
      </c>
      <c r="B4247" s="2">
        <v>3.1597222222222222E-3</v>
      </c>
      <c r="C4247" t="s">
        <v>6942</v>
      </c>
      <c r="D4247" t="s">
        <v>146</v>
      </c>
      <c r="E4247" t="s">
        <v>147</v>
      </c>
      <c r="F4247" t="s">
        <v>6937</v>
      </c>
      <c r="G4247">
        <v>834631</v>
      </c>
      <c r="H4247" t="s">
        <v>26</v>
      </c>
      <c r="I4247" t="s">
        <v>247</v>
      </c>
      <c r="J4247" t="str">
        <f>"9781444354669"</f>
        <v>9781444354669</v>
      </c>
      <c r="K4247" t="s">
        <v>7112</v>
      </c>
      <c r="L4247">
        <v>13</v>
      </c>
      <c r="N4247" t="s">
        <v>7113</v>
      </c>
      <c r="O4247" t="s">
        <v>30</v>
      </c>
      <c r="P4247" t="s">
        <v>29</v>
      </c>
      <c r="Q4247" s="1">
        <v>42317.544583333336</v>
      </c>
      <c r="R4247">
        <v>7</v>
      </c>
      <c r="S4247" t="s">
        <v>778</v>
      </c>
      <c r="T4247" t="s">
        <v>6940</v>
      </c>
      <c r="U4247" t="s">
        <v>6941</v>
      </c>
      <c r="V4247" s="3">
        <v>40911</v>
      </c>
    </row>
    <row r="4248" spans="1:22" x14ac:dyDescent="0.35">
      <c r="A4248" s="1">
        <v>42317.549421296295</v>
      </c>
      <c r="B4248" s="2">
        <v>4.6296296296296294E-5</v>
      </c>
      <c r="C4248" t="s">
        <v>7114</v>
      </c>
      <c r="D4248" t="s">
        <v>23</v>
      </c>
      <c r="E4248" t="s">
        <v>24</v>
      </c>
      <c r="F4248" t="s">
        <v>7115</v>
      </c>
      <c r="G4248">
        <v>1788961</v>
      </c>
      <c r="H4248" t="s">
        <v>91</v>
      </c>
      <c r="I4248" t="s">
        <v>69</v>
      </c>
      <c r="J4248" t="str">
        <f>"9781462519514"</f>
        <v>9781462519514</v>
      </c>
      <c r="K4248" t="s">
        <v>33</v>
      </c>
      <c r="L4248">
        <v>3</v>
      </c>
      <c r="N4248" t="s">
        <v>7116</v>
      </c>
      <c r="O4248" t="s">
        <v>30</v>
      </c>
      <c r="P4248" t="s">
        <v>47</v>
      </c>
      <c r="Q4248" s="1">
        <v>42316.82508101852</v>
      </c>
      <c r="R4248">
        <v>1</v>
      </c>
      <c r="S4248" t="s">
        <v>31</v>
      </c>
      <c r="T4248" t="s">
        <v>7117</v>
      </c>
      <c r="U4248">
        <v>371.10239999999999</v>
      </c>
      <c r="V4248" s="3">
        <v>42006</v>
      </c>
    </row>
    <row r="4249" spans="1:22" x14ac:dyDescent="0.35">
      <c r="A4249" s="1">
        <v>42317.548182870371</v>
      </c>
      <c r="B4249" s="2">
        <v>1.736111111111111E-3</v>
      </c>
      <c r="C4249" t="s">
        <v>7118</v>
      </c>
      <c r="D4249" t="s">
        <v>35</v>
      </c>
      <c r="E4249" t="s">
        <v>36</v>
      </c>
      <c r="F4249" t="s">
        <v>7119</v>
      </c>
      <c r="G4249">
        <v>1580785</v>
      </c>
      <c r="H4249" t="s">
        <v>26</v>
      </c>
      <c r="I4249" t="s">
        <v>97</v>
      </c>
      <c r="J4249" t="str">
        <f>"9781118756263"</f>
        <v>9781118756263</v>
      </c>
      <c r="K4249" t="s">
        <v>7120</v>
      </c>
      <c r="L4249">
        <v>14</v>
      </c>
      <c r="O4249" t="s">
        <v>30</v>
      </c>
      <c r="P4249" t="s">
        <v>50</v>
      </c>
      <c r="S4249" t="s">
        <v>40</v>
      </c>
      <c r="T4249" t="s">
        <v>7121</v>
      </c>
      <c r="U4249">
        <v>658.31399999999996</v>
      </c>
      <c r="V4249" s="3">
        <v>41621</v>
      </c>
    </row>
    <row r="4250" spans="1:22" x14ac:dyDescent="0.35">
      <c r="A4250" s="1">
        <v>42317.544583333336</v>
      </c>
      <c r="B4250" s="2">
        <v>0</v>
      </c>
      <c r="C4250" t="s">
        <v>6942</v>
      </c>
      <c r="D4250" t="s">
        <v>146</v>
      </c>
      <c r="E4250" t="s">
        <v>147</v>
      </c>
      <c r="F4250" t="s">
        <v>6937</v>
      </c>
      <c r="G4250">
        <v>834631</v>
      </c>
      <c r="H4250" t="s">
        <v>26</v>
      </c>
      <c r="I4250" t="s">
        <v>247</v>
      </c>
      <c r="J4250" t="str">
        <f>"9781444354669"</f>
        <v>9781444354669</v>
      </c>
      <c r="L4250">
        <v>0</v>
      </c>
      <c r="N4250" t="s">
        <v>7122</v>
      </c>
      <c r="O4250" t="s">
        <v>30</v>
      </c>
      <c r="P4250" t="s">
        <v>29</v>
      </c>
      <c r="Q4250" s="1">
        <v>42317.544583333336</v>
      </c>
      <c r="R4250">
        <v>7</v>
      </c>
      <c r="S4250" t="s">
        <v>778</v>
      </c>
      <c r="T4250" t="s">
        <v>6940</v>
      </c>
      <c r="U4250" t="s">
        <v>6941</v>
      </c>
      <c r="V4250" s="3">
        <v>40911</v>
      </c>
    </row>
    <row r="4251" spans="1:22" x14ac:dyDescent="0.35">
      <c r="A4251" s="1">
        <v>42317.542905092596</v>
      </c>
      <c r="B4251" s="2">
        <v>1.6782407407407406E-3</v>
      </c>
      <c r="C4251" t="s">
        <v>6942</v>
      </c>
      <c r="D4251" t="s">
        <v>146</v>
      </c>
      <c r="E4251" t="s">
        <v>147</v>
      </c>
      <c r="F4251" t="s">
        <v>6937</v>
      </c>
      <c r="G4251">
        <v>834631</v>
      </c>
      <c r="H4251" t="s">
        <v>26</v>
      </c>
      <c r="I4251" t="s">
        <v>247</v>
      </c>
      <c r="J4251" t="str">
        <f>"9781444354669"</f>
        <v>9781444354669</v>
      </c>
      <c r="K4251" t="s">
        <v>7123</v>
      </c>
      <c r="L4251">
        <v>20</v>
      </c>
      <c r="O4251" t="s">
        <v>30</v>
      </c>
      <c r="P4251" t="s">
        <v>42</v>
      </c>
      <c r="S4251" t="s">
        <v>778</v>
      </c>
      <c r="T4251" t="s">
        <v>6940</v>
      </c>
      <c r="U4251" t="s">
        <v>6941</v>
      </c>
      <c r="V4251" s="3">
        <v>40911</v>
      </c>
    </row>
    <row r="4252" spans="1:22" x14ac:dyDescent="0.35">
      <c r="A4252" s="1">
        <v>42317.533182870371</v>
      </c>
      <c r="B4252" s="2">
        <v>1.3773148148148147E-3</v>
      </c>
      <c r="C4252" t="s">
        <v>6942</v>
      </c>
      <c r="D4252" t="s">
        <v>146</v>
      </c>
      <c r="E4252" t="s">
        <v>147</v>
      </c>
      <c r="F4252" t="s">
        <v>6937</v>
      </c>
      <c r="G4252">
        <v>834631</v>
      </c>
      <c r="H4252" t="s">
        <v>26</v>
      </c>
      <c r="I4252" t="s">
        <v>247</v>
      </c>
      <c r="J4252" t="str">
        <f>"9781444354669"</f>
        <v>9781444354669</v>
      </c>
      <c r="K4252" t="s">
        <v>7124</v>
      </c>
      <c r="L4252">
        <v>5</v>
      </c>
      <c r="O4252" t="s">
        <v>30</v>
      </c>
      <c r="P4252" t="s">
        <v>42</v>
      </c>
      <c r="S4252" t="s">
        <v>778</v>
      </c>
      <c r="T4252" t="s">
        <v>6940</v>
      </c>
      <c r="U4252" t="s">
        <v>6941</v>
      </c>
      <c r="V4252" s="3">
        <v>40911</v>
      </c>
    </row>
    <row r="4253" spans="1:22" x14ac:dyDescent="0.35">
      <c r="A4253" s="1">
        <v>42317.532754629632</v>
      </c>
      <c r="B4253" s="2">
        <v>2.8703703703703708E-3</v>
      </c>
      <c r="C4253" t="s">
        <v>6942</v>
      </c>
      <c r="D4253" t="s">
        <v>146</v>
      </c>
      <c r="E4253" t="s">
        <v>147</v>
      </c>
      <c r="F4253" t="s">
        <v>6937</v>
      </c>
      <c r="G4253">
        <v>834631</v>
      </c>
      <c r="H4253" t="s">
        <v>26</v>
      </c>
      <c r="I4253" t="s">
        <v>247</v>
      </c>
      <c r="J4253" t="str">
        <f>"9781444354669"</f>
        <v>9781444354669</v>
      </c>
      <c r="K4253" t="s">
        <v>7125</v>
      </c>
      <c r="L4253">
        <v>21</v>
      </c>
      <c r="O4253" t="s">
        <v>30</v>
      </c>
      <c r="P4253" t="s">
        <v>42</v>
      </c>
      <c r="S4253" t="s">
        <v>778</v>
      </c>
      <c r="T4253" t="s">
        <v>6940</v>
      </c>
      <c r="U4253" t="s">
        <v>6941</v>
      </c>
      <c r="V4253" s="3">
        <v>40911</v>
      </c>
    </row>
    <row r="4254" spans="1:22" x14ac:dyDescent="0.35">
      <c r="A4254" s="1">
        <v>42317.274270833332</v>
      </c>
      <c r="B4254" s="2">
        <v>3.4722222222222222E-5</v>
      </c>
      <c r="C4254" t="s">
        <v>7103</v>
      </c>
      <c r="D4254" t="s">
        <v>23</v>
      </c>
      <c r="E4254" t="s">
        <v>24</v>
      </c>
      <c r="F4254" t="s">
        <v>4773</v>
      </c>
      <c r="G4254">
        <v>818332</v>
      </c>
      <c r="H4254" t="s">
        <v>26</v>
      </c>
      <c r="I4254" t="s">
        <v>120</v>
      </c>
      <c r="J4254" t="str">
        <f>"9781118252772"</f>
        <v>9781118252772</v>
      </c>
      <c r="K4254" t="s">
        <v>33</v>
      </c>
      <c r="L4254">
        <v>3</v>
      </c>
      <c r="O4254" t="s">
        <v>30</v>
      </c>
      <c r="P4254" t="s">
        <v>42</v>
      </c>
      <c r="S4254" t="s">
        <v>31</v>
      </c>
      <c r="T4254" t="s">
        <v>4775</v>
      </c>
      <c r="U4254" t="s">
        <v>4776</v>
      </c>
      <c r="V4254" s="3">
        <v>40960</v>
      </c>
    </row>
    <row r="4255" spans="1:22" x14ac:dyDescent="0.35">
      <c r="A4255" s="1">
        <v>42317.273611111108</v>
      </c>
      <c r="B4255" s="2">
        <v>2.4305555555555552E-4</v>
      </c>
      <c r="C4255" t="s">
        <v>7000</v>
      </c>
      <c r="D4255" t="s">
        <v>623</v>
      </c>
      <c r="E4255" t="s">
        <v>624</v>
      </c>
      <c r="F4255" t="s">
        <v>7001</v>
      </c>
      <c r="G4255">
        <v>3038775</v>
      </c>
      <c r="H4255" t="s">
        <v>526</v>
      </c>
      <c r="I4255" t="s">
        <v>5150</v>
      </c>
      <c r="J4255" t="str">
        <f>"9780226206981"</f>
        <v>9780226206981</v>
      </c>
      <c r="K4255" t="s">
        <v>202</v>
      </c>
      <c r="L4255">
        <v>3</v>
      </c>
      <c r="O4255" t="s">
        <v>30</v>
      </c>
      <c r="P4255" t="s">
        <v>50</v>
      </c>
      <c r="S4255" t="s">
        <v>627</v>
      </c>
      <c r="T4255" t="s">
        <v>7003</v>
      </c>
      <c r="U4255" t="s">
        <v>4971</v>
      </c>
      <c r="V4255" s="3">
        <v>42125</v>
      </c>
    </row>
    <row r="4256" spans="1:22" x14ac:dyDescent="0.35">
      <c r="A4256" s="1">
        <v>42317.272731481484</v>
      </c>
      <c r="B4256" s="2">
        <v>2.6620370370370372E-4</v>
      </c>
      <c r="C4256" t="s">
        <v>7103</v>
      </c>
      <c r="D4256" t="s">
        <v>23</v>
      </c>
      <c r="E4256" t="s">
        <v>24</v>
      </c>
      <c r="F4256" t="s">
        <v>4773</v>
      </c>
      <c r="G4256">
        <v>818332</v>
      </c>
      <c r="H4256" t="s">
        <v>26</v>
      </c>
      <c r="I4256" t="s">
        <v>120</v>
      </c>
      <c r="J4256" t="str">
        <f>"9781118252772"</f>
        <v>9781118252772</v>
      </c>
      <c r="K4256" t="s">
        <v>240</v>
      </c>
      <c r="L4256">
        <v>14</v>
      </c>
      <c r="O4256" t="s">
        <v>30</v>
      </c>
      <c r="P4256" t="s">
        <v>42</v>
      </c>
      <c r="S4256" t="s">
        <v>31</v>
      </c>
      <c r="T4256" t="s">
        <v>4775</v>
      </c>
      <c r="U4256" t="s">
        <v>4776</v>
      </c>
      <c r="V4256" s="3">
        <v>40960</v>
      </c>
    </row>
    <row r="4257" spans="1:22" x14ac:dyDescent="0.35">
      <c r="A4257" s="1">
        <v>42317.257951388892</v>
      </c>
      <c r="B4257" s="2">
        <v>0</v>
      </c>
      <c r="C4257" t="s">
        <v>106</v>
      </c>
      <c r="D4257" t="s">
        <v>23</v>
      </c>
      <c r="E4257" t="s">
        <v>24</v>
      </c>
      <c r="F4257" t="s">
        <v>1051</v>
      </c>
      <c r="G4257">
        <v>821663</v>
      </c>
      <c r="H4257" t="s">
        <v>26</v>
      </c>
      <c r="I4257" t="s">
        <v>200</v>
      </c>
      <c r="J4257" t="str">
        <f>"9781118168479"</f>
        <v>9781118168479</v>
      </c>
      <c r="L4257">
        <v>0</v>
      </c>
      <c r="N4257" t="s">
        <v>7126</v>
      </c>
      <c r="O4257" t="s">
        <v>30</v>
      </c>
      <c r="P4257" t="s">
        <v>29</v>
      </c>
      <c r="Q4257" s="1">
        <v>42317.257939814815</v>
      </c>
      <c r="R4257">
        <v>7</v>
      </c>
      <c r="S4257" t="s">
        <v>31</v>
      </c>
      <c r="T4257" t="s">
        <v>1053</v>
      </c>
      <c r="U4257">
        <v>729</v>
      </c>
      <c r="V4257" s="3">
        <v>40973</v>
      </c>
    </row>
    <row r="4258" spans="1:22" x14ac:dyDescent="0.35">
      <c r="A4258" s="1">
        <v>42317.2343287037</v>
      </c>
      <c r="B4258" s="2">
        <v>9.6064814814814808E-4</v>
      </c>
      <c r="C4258" t="s">
        <v>5630</v>
      </c>
      <c r="D4258" t="s">
        <v>1222</v>
      </c>
      <c r="E4258" t="s">
        <v>1223</v>
      </c>
      <c r="F4258" t="s">
        <v>5631</v>
      </c>
      <c r="G4258">
        <v>1650364</v>
      </c>
      <c r="H4258" t="s">
        <v>84</v>
      </c>
      <c r="I4258" t="s">
        <v>5632</v>
      </c>
      <c r="J4258" t="str">
        <f>"9780520958272"</f>
        <v>9780520958272</v>
      </c>
      <c r="K4258" t="s">
        <v>7127</v>
      </c>
      <c r="L4258">
        <v>10</v>
      </c>
      <c r="O4258" t="s">
        <v>30</v>
      </c>
      <c r="P4258" t="s">
        <v>47</v>
      </c>
      <c r="Q4258" s="1">
        <v>42317.2343287037</v>
      </c>
      <c r="R4258">
        <v>1</v>
      </c>
      <c r="S4258" t="s">
        <v>1226</v>
      </c>
      <c r="T4258" t="s">
        <v>5634</v>
      </c>
      <c r="U4258" t="s">
        <v>5635</v>
      </c>
      <c r="V4258" s="3">
        <v>41779</v>
      </c>
    </row>
    <row r="4259" spans="1:22" x14ac:dyDescent="0.35">
      <c r="A4259" s="1">
        <v>42317.233541666668</v>
      </c>
      <c r="B4259" s="2">
        <v>7.8703703703703705E-4</v>
      </c>
      <c r="C4259" t="s">
        <v>5630</v>
      </c>
      <c r="D4259" t="s">
        <v>1222</v>
      </c>
      <c r="E4259" t="s">
        <v>1223</v>
      </c>
      <c r="F4259" t="s">
        <v>5631</v>
      </c>
      <c r="G4259">
        <v>1650364</v>
      </c>
      <c r="H4259" t="s">
        <v>84</v>
      </c>
      <c r="I4259" t="s">
        <v>5632</v>
      </c>
      <c r="J4259" t="str">
        <f>"9780520958272"</f>
        <v>9780520958272</v>
      </c>
      <c r="K4259" t="s">
        <v>2663</v>
      </c>
      <c r="L4259">
        <v>15</v>
      </c>
      <c r="O4259" t="s">
        <v>30</v>
      </c>
      <c r="P4259" t="s">
        <v>50</v>
      </c>
      <c r="S4259" t="s">
        <v>1226</v>
      </c>
      <c r="T4259" t="s">
        <v>5634</v>
      </c>
      <c r="U4259" t="s">
        <v>5635</v>
      </c>
      <c r="V4259" s="3">
        <v>41779</v>
      </c>
    </row>
    <row r="4260" spans="1:22" x14ac:dyDescent="0.35">
      <c r="A4260" s="1">
        <v>42317.226527777777</v>
      </c>
      <c r="B4260" s="2">
        <v>3.4722222222222222E-5</v>
      </c>
      <c r="C4260" t="s">
        <v>5630</v>
      </c>
      <c r="D4260" t="s">
        <v>1222</v>
      </c>
      <c r="E4260" t="s">
        <v>1223</v>
      </c>
      <c r="F4260" t="s">
        <v>5631</v>
      </c>
      <c r="G4260">
        <v>1650364</v>
      </c>
      <c r="H4260" t="s">
        <v>84</v>
      </c>
      <c r="I4260" t="s">
        <v>5632</v>
      </c>
      <c r="J4260" t="str">
        <f>"9780520958272"</f>
        <v>9780520958272</v>
      </c>
      <c r="K4260" t="s">
        <v>33</v>
      </c>
      <c r="L4260">
        <v>3</v>
      </c>
      <c r="O4260" t="s">
        <v>30</v>
      </c>
      <c r="P4260" t="s">
        <v>50</v>
      </c>
      <c r="S4260" t="s">
        <v>1226</v>
      </c>
      <c r="T4260" t="s">
        <v>5634</v>
      </c>
      <c r="U4260" t="s">
        <v>5635</v>
      </c>
      <c r="V4260" s="3">
        <v>41779</v>
      </c>
    </row>
    <row r="4261" spans="1:22" x14ac:dyDescent="0.35">
      <c r="A4261" s="1">
        <v>42317.202407407407</v>
      </c>
      <c r="B4261" s="2">
        <v>1.9444444444444442E-3</v>
      </c>
      <c r="C4261" t="s">
        <v>3036</v>
      </c>
      <c r="D4261" t="s">
        <v>23</v>
      </c>
      <c r="E4261" t="s">
        <v>24</v>
      </c>
      <c r="F4261" t="s">
        <v>3037</v>
      </c>
      <c r="G4261">
        <v>836624</v>
      </c>
      <c r="H4261" t="s">
        <v>26</v>
      </c>
      <c r="I4261" t="s">
        <v>1650</v>
      </c>
      <c r="J4261" t="str">
        <f>"9781118346686"</f>
        <v>9781118346686</v>
      </c>
      <c r="K4261" t="s">
        <v>7128</v>
      </c>
      <c r="L4261">
        <v>17</v>
      </c>
      <c r="O4261" t="s">
        <v>30</v>
      </c>
      <c r="P4261" t="s">
        <v>29</v>
      </c>
      <c r="Q4261" s="1">
        <v>42317.056863425925</v>
      </c>
      <c r="R4261">
        <v>7</v>
      </c>
      <c r="S4261" t="s">
        <v>31</v>
      </c>
      <c r="T4261" t="s">
        <v>3039</v>
      </c>
      <c r="U4261">
        <v>741.59730000000002</v>
      </c>
      <c r="V4261" s="3">
        <v>40969</v>
      </c>
    </row>
    <row r="4262" spans="1:22" x14ac:dyDescent="0.35">
      <c r="A4262" s="1">
        <v>42317.194826388892</v>
      </c>
      <c r="B4262" s="2">
        <v>6.3113425925925934E-2</v>
      </c>
      <c r="C4262" t="s">
        <v>106</v>
      </c>
      <c r="D4262" t="s">
        <v>23</v>
      </c>
      <c r="E4262" t="s">
        <v>24</v>
      </c>
      <c r="F4262" t="s">
        <v>1051</v>
      </c>
      <c r="G4262">
        <v>821663</v>
      </c>
      <c r="H4262" t="s">
        <v>26</v>
      </c>
      <c r="I4262" t="s">
        <v>200</v>
      </c>
      <c r="J4262" t="str">
        <f>"9781118168479"</f>
        <v>9781118168479</v>
      </c>
      <c r="K4262" t="s">
        <v>7129</v>
      </c>
      <c r="L4262">
        <v>9</v>
      </c>
      <c r="O4262" t="s">
        <v>30</v>
      </c>
      <c r="P4262" t="s">
        <v>42</v>
      </c>
      <c r="S4262" t="s">
        <v>31</v>
      </c>
      <c r="T4262" t="s">
        <v>1053</v>
      </c>
      <c r="U4262">
        <v>729</v>
      </c>
      <c r="V4262" s="3">
        <v>40973</v>
      </c>
    </row>
    <row r="4263" spans="1:22" x14ac:dyDescent="0.35">
      <c r="A4263" s="1">
        <v>42317.171423611115</v>
      </c>
      <c r="B4263" s="2">
        <v>3.0208333333333333E-3</v>
      </c>
      <c r="C4263" t="s">
        <v>6982</v>
      </c>
      <c r="D4263" t="s">
        <v>261</v>
      </c>
      <c r="E4263" t="s">
        <v>262</v>
      </c>
      <c r="F4263" t="s">
        <v>2649</v>
      </c>
      <c r="G4263">
        <v>1143522</v>
      </c>
      <c r="H4263" t="s">
        <v>26</v>
      </c>
      <c r="I4263" t="s">
        <v>172</v>
      </c>
      <c r="J4263" t="str">
        <f>"9781118257197"</f>
        <v>9781118257197</v>
      </c>
      <c r="K4263" t="s">
        <v>7130</v>
      </c>
      <c r="L4263">
        <v>9</v>
      </c>
      <c r="M4263" t="s">
        <v>7131</v>
      </c>
      <c r="O4263" t="s">
        <v>30</v>
      </c>
      <c r="P4263" t="s">
        <v>29</v>
      </c>
      <c r="Q4263" s="1">
        <v>42312.021469907406</v>
      </c>
      <c r="R4263">
        <v>7</v>
      </c>
      <c r="S4263" t="s">
        <v>264</v>
      </c>
      <c r="T4263" t="s">
        <v>2651</v>
      </c>
      <c r="U4263">
        <v>972</v>
      </c>
      <c r="V4263" s="3">
        <v>41334</v>
      </c>
    </row>
    <row r="4264" spans="1:22" x14ac:dyDescent="0.35">
      <c r="A4264" s="1">
        <v>42317.167685185188</v>
      </c>
      <c r="B4264" s="2">
        <v>9.8379629629629642E-4</v>
      </c>
      <c r="C4264" t="s">
        <v>5438</v>
      </c>
      <c r="D4264" t="s">
        <v>360</v>
      </c>
      <c r="E4264" t="s">
        <v>361</v>
      </c>
      <c r="F4264" t="s">
        <v>515</v>
      </c>
      <c r="G4264">
        <v>1757960</v>
      </c>
      <c r="H4264" t="s">
        <v>26</v>
      </c>
      <c r="I4264" t="s">
        <v>247</v>
      </c>
      <c r="J4264" t="str">
        <f>"9781118780770"</f>
        <v>9781118780770</v>
      </c>
      <c r="K4264" t="s">
        <v>217</v>
      </c>
      <c r="L4264">
        <v>12</v>
      </c>
      <c r="O4264" t="s">
        <v>30</v>
      </c>
      <c r="P4264" t="s">
        <v>42</v>
      </c>
      <c r="S4264" t="s">
        <v>363</v>
      </c>
      <c r="T4264" t="s">
        <v>517</v>
      </c>
      <c r="U4264" t="s">
        <v>518</v>
      </c>
      <c r="V4264" s="3">
        <v>41850</v>
      </c>
    </row>
    <row r="4265" spans="1:22" x14ac:dyDescent="0.35">
      <c r="A4265" s="1">
        <v>42317.16201388889</v>
      </c>
      <c r="B4265" s="2">
        <v>1.9675925925925926E-4</v>
      </c>
      <c r="C4265" t="s">
        <v>5438</v>
      </c>
      <c r="D4265" t="s">
        <v>360</v>
      </c>
      <c r="E4265" t="s">
        <v>361</v>
      </c>
      <c r="F4265" t="s">
        <v>4197</v>
      </c>
      <c r="G4265">
        <v>1742841</v>
      </c>
      <c r="H4265" t="s">
        <v>91</v>
      </c>
      <c r="I4265" t="s">
        <v>247</v>
      </c>
      <c r="J4265" t="str">
        <f>"9781462516445"</f>
        <v>9781462516445</v>
      </c>
      <c r="K4265" t="s">
        <v>5201</v>
      </c>
      <c r="L4265">
        <v>8</v>
      </c>
      <c r="O4265" t="s">
        <v>30</v>
      </c>
      <c r="P4265" t="s">
        <v>29</v>
      </c>
      <c r="Q4265" s="1">
        <v>42310.166516203702</v>
      </c>
      <c r="R4265">
        <v>7</v>
      </c>
      <c r="S4265" t="s">
        <v>363</v>
      </c>
      <c r="T4265" t="s">
        <v>4199</v>
      </c>
      <c r="U4265">
        <v>616.85270000000003</v>
      </c>
      <c r="V4265" s="3">
        <v>41934</v>
      </c>
    </row>
    <row r="4266" spans="1:22" x14ac:dyDescent="0.35">
      <c r="A4266" s="1">
        <v>42317.159016203703</v>
      </c>
      <c r="B4266" s="2">
        <v>0</v>
      </c>
      <c r="C4266" t="s">
        <v>5110</v>
      </c>
      <c r="D4266" t="s">
        <v>158</v>
      </c>
      <c r="E4266" t="s">
        <v>159</v>
      </c>
      <c r="F4266" t="s">
        <v>4065</v>
      </c>
      <c r="G4266">
        <v>918746</v>
      </c>
      <c r="H4266" t="s">
        <v>1365</v>
      </c>
      <c r="I4266" t="s">
        <v>150</v>
      </c>
      <c r="J4266" t="str">
        <f>"9780826441850"</f>
        <v>9780826441850</v>
      </c>
      <c r="L4266">
        <v>0</v>
      </c>
      <c r="O4266" t="s">
        <v>28</v>
      </c>
      <c r="P4266" t="s">
        <v>29</v>
      </c>
      <c r="Q4266" s="1">
        <v>42317.159016203703</v>
      </c>
      <c r="R4266">
        <v>7</v>
      </c>
      <c r="S4266" t="s">
        <v>163</v>
      </c>
      <c r="T4266" t="s">
        <v>4066</v>
      </c>
      <c r="U4266">
        <v>791.45749999999998</v>
      </c>
      <c r="V4266" s="3">
        <v>41091</v>
      </c>
    </row>
    <row r="4267" spans="1:22" x14ac:dyDescent="0.35">
      <c r="A4267" s="1">
        <v>42317.159016203703</v>
      </c>
      <c r="B4267" s="2">
        <v>0</v>
      </c>
      <c r="C4267" t="s">
        <v>5110</v>
      </c>
      <c r="D4267" t="s">
        <v>158</v>
      </c>
      <c r="E4267" t="s">
        <v>159</v>
      </c>
      <c r="F4267" t="s">
        <v>4065</v>
      </c>
      <c r="G4267">
        <v>918746</v>
      </c>
      <c r="H4267" t="s">
        <v>1365</v>
      </c>
      <c r="I4267" t="s">
        <v>150</v>
      </c>
      <c r="J4267" t="str">
        <f>"9780826441850"</f>
        <v>9780826441850</v>
      </c>
      <c r="L4267">
        <v>0</v>
      </c>
      <c r="O4267" t="s">
        <v>30</v>
      </c>
      <c r="P4267" t="s">
        <v>29</v>
      </c>
      <c r="Q4267" s="1">
        <v>42317.159016203703</v>
      </c>
      <c r="R4267">
        <v>7</v>
      </c>
      <c r="S4267" t="s">
        <v>163</v>
      </c>
      <c r="T4267" t="s">
        <v>4066</v>
      </c>
      <c r="U4267">
        <v>791.45749999999998</v>
      </c>
      <c r="V4267" s="3">
        <v>41091</v>
      </c>
    </row>
    <row r="4268" spans="1:22" x14ac:dyDescent="0.35">
      <c r="A4268" s="1">
        <v>42317.158506944441</v>
      </c>
      <c r="B4268" s="2">
        <v>4.9768518518518521E-4</v>
      </c>
      <c r="C4268" t="s">
        <v>5110</v>
      </c>
      <c r="D4268" t="s">
        <v>158</v>
      </c>
      <c r="E4268" t="s">
        <v>159</v>
      </c>
      <c r="F4268" t="s">
        <v>4065</v>
      </c>
      <c r="G4268">
        <v>918746</v>
      </c>
      <c r="H4268" t="s">
        <v>1365</v>
      </c>
      <c r="I4268" t="s">
        <v>150</v>
      </c>
      <c r="J4268" t="str">
        <f>"9780826441850"</f>
        <v>9780826441850</v>
      </c>
      <c r="K4268" t="s">
        <v>7132</v>
      </c>
      <c r="L4268">
        <v>17</v>
      </c>
      <c r="O4268" t="s">
        <v>30</v>
      </c>
      <c r="P4268" t="s">
        <v>42</v>
      </c>
      <c r="S4268" t="s">
        <v>163</v>
      </c>
      <c r="T4268" t="s">
        <v>4066</v>
      </c>
      <c r="U4268">
        <v>791.45749999999998</v>
      </c>
      <c r="V4268" s="3">
        <v>41091</v>
      </c>
    </row>
    <row r="4269" spans="1:22" x14ac:dyDescent="0.35">
      <c r="A4269" s="1">
        <v>42317.144918981481</v>
      </c>
      <c r="B4269" s="2">
        <v>0</v>
      </c>
      <c r="C4269" t="s">
        <v>4991</v>
      </c>
      <c r="D4269" t="s">
        <v>35</v>
      </c>
      <c r="E4269" t="s">
        <v>36</v>
      </c>
      <c r="F4269" t="s">
        <v>1473</v>
      </c>
      <c r="G4269">
        <v>1779911</v>
      </c>
      <c r="H4269" t="s">
        <v>1474</v>
      </c>
      <c r="I4269" t="s">
        <v>97</v>
      </c>
      <c r="J4269" t="str">
        <f>"9781137313256"</f>
        <v>9781137313256</v>
      </c>
      <c r="K4269" t="s">
        <v>7133</v>
      </c>
      <c r="L4269">
        <v>1</v>
      </c>
      <c r="M4269" t="s">
        <v>7134</v>
      </c>
      <c r="O4269" t="s">
        <v>30</v>
      </c>
      <c r="P4269" t="s">
        <v>29</v>
      </c>
      <c r="Q4269" s="1">
        <v>42317.144918981481</v>
      </c>
      <c r="R4269">
        <v>7</v>
      </c>
      <c r="S4269" t="s">
        <v>40</v>
      </c>
      <c r="T4269" t="s">
        <v>1476</v>
      </c>
      <c r="U4269">
        <v>659.10829999999999</v>
      </c>
      <c r="V4269" s="3">
        <v>41880</v>
      </c>
    </row>
    <row r="4270" spans="1:22" x14ac:dyDescent="0.35">
      <c r="A4270" s="1">
        <v>42317.124837962961</v>
      </c>
      <c r="B4270" s="2">
        <v>1.3425925925925925E-3</v>
      </c>
      <c r="C4270" t="s">
        <v>6735</v>
      </c>
      <c r="D4270" t="s">
        <v>623</v>
      </c>
      <c r="E4270" t="s">
        <v>624</v>
      </c>
      <c r="F4270" t="s">
        <v>6736</v>
      </c>
      <c r="G4270">
        <v>1983497</v>
      </c>
      <c r="H4270" t="s">
        <v>26</v>
      </c>
      <c r="I4270" t="s">
        <v>120</v>
      </c>
      <c r="J4270" t="str">
        <f>"9780745689395"</f>
        <v>9780745689395</v>
      </c>
      <c r="K4270" t="s">
        <v>7135</v>
      </c>
      <c r="L4270">
        <v>11</v>
      </c>
      <c r="O4270" t="s">
        <v>30</v>
      </c>
      <c r="P4270" t="s">
        <v>29</v>
      </c>
      <c r="Q4270" s="1">
        <v>42313.277499999997</v>
      </c>
      <c r="R4270">
        <v>7</v>
      </c>
      <c r="S4270" t="s">
        <v>627</v>
      </c>
      <c r="T4270" t="s">
        <v>6738</v>
      </c>
      <c r="U4270">
        <v>391.6</v>
      </c>
      <c r="V4270" s="3">
        <v>42066</v>
      </c>
    </row>
    <row r="4271" spans="1:22" x14ac:dyDescent="0.35">
      <c r="A4271" s="1">
        <v>42317.122604166667</v>
      </c>
      <c r="B4271" s="2">
        <v>0</v>
      </c>
      <c r="C4271" t="s">
        <v>6077</v>
      </c>
      <c r="D4271" t="s">
        <v>23</v>
      </c>
      <c r="E4271" t="s">
        <v>24</v>
      </c>
      <c r="F4271" t="s">
        <v>1394</v>
      </c>
      <c r="G4271">
        <v>1777859</v>
      </c>
      <c r="H4271" t="s">
        <v>91</v>
      </c>
      <c r="I4271" t="s">
        <v>247</v>
      </c>
      <c r="J4271" t="str">
        <f>"9781462515479"</f>
        <v>9781462515479</v>
      </c>
      <c r="L4271">
        <v>0</v>
      </c>
      <c r="O4271" t="s">
        <v>30</v>
      </c>
      <c r="P4271" t="s">
        <v>47</v>
      </c>
      <c r="Q4271" s="1">
        <v>42317.122604166667</v>
      </c>
      <c r="R4271">
        <v>1</v>
      </c>
      <c r="S4271" t="s">
        <v>31</v>
      </c>
      <c r="T4271" t="s">
        <v>1397</v>
      </c>
      <c r="U4271" t="s">
        <v>1398</v>
      </c>
      <c r="V4271" s="3">
        <v>41953</v>
      </c>
    </row>
    <row r="4272" spans="1:22" x14ac:dyDescent="0.35">
      <c r="A4272" s="1">
        <v>42317.121921296297</v>
      </c>
      <c r="B4272" s="2">
        <v>6.8287037037037025E-4</v>
      </c>
      <c r="C4272" t="s">
        <v>6077</v>
      </c>
      <c r="D4272" t="s">
        <v>23</v>
      </c>
      <c r="E4272" t="s">
        <v>24</v>
      </c>
      <c r="F4272" t="s">
        <v>1394</v>
      </c>
      <c r="G4272">
        <v>1777859</v>
      </c>
      <c r="H4272" t="s">
        <v>91</v>
      </c>
      <c r="I4272" t="s">
        <v>247</v>
      </c>
      <c r="J4272" t="str">
        <f>"9781462515479"</f>
        <v>9781462515479</v>
      </c>
      <c r="K4272" t="s">
        <v>202</v>
      </c>
      <c r="L4272">
        <v>3</v>
      </c>
      <c r="O4272" t="s">
        <v>30</v>
      </c>
      <c r="P4272" t="s">
        <v>50</v>
      </c>
      <c r="S4272" t="s">
        <v>31</v>
      </c>
      <c r="T4272" t="s">
        <v>1397</v>
      </c>
      <c r="U4272" t="s">
        <v>1398</v>
      </c>
      <c r="V4272" s="3">
        <v>41953</v>
      </c>
    </row>
    <row r="4273" spans="1:22" x14ac:dyDescent="0.35">
      <c r="A4273" s="1">
        <v>42317.121701388889</v>
      </c>
      <c r="B4273" s="2">
        <v>6.134259259259259E-4</v>
      </c>
      <c r="C4273" t="s">
        <v>7136</v>
      </c>
      <c r="D4273" t="s">
        <v>261</v>
      </c>
      <c r="E4273" t="s">
        <v>262</v>
      </c>
      <c r="F4273" t="s">
        <v>1477</v>
      </c>
      <c r="G4273">
        <v>822111</v>
      </c>
      <c r="H4273" t="s">
        <v>26</v>
      </c>
      <c r="I4273" t="s">
        <v>120</v>
      </c>
      <c r="J4273" t="str">
        <f>"9781444356922"</f>
        <v>9781444356922</v>
      </c>
      <c r="K4273" t="s">
        <v>7137</v>
      </c>
      <c r="L4273">
        <v>8</v>
      </c>
      <c r="O4273" t="s">
        <v>30</v>
      </c>
      <c r="P4273" t="s">
        <v>42</v>
      </c>
      <c r="S4273" t="s">
        <v>264</v>
      </c>
      <c r="T4273" t="s">
        <v>1479</v>
      </c>
      <c r="U4273" t="s">
        <v>1480</v>
      </c>
      <c r="V4273" s="3">
        <v>40955</v>
      </c>
    </row>
    <row r="4274" spans="1:22" x14ac:dyDescent="0.35">
      <c r="A4274" s="1">
        <v>42317.120381944442</v>
      </c>
      <c r="B4274" s="2">
        <v>1.3541666666666667E-3</v>
      </c>
      <c r="C4274" t="s">
        <v>7138</v>
      </c>
      <c r="D4274" t="s">
        <v>360</v>
      </c>
      <c r="E4274" t="s">
        <v>361</v>
      </c>
      <c r="F4274" t="s">
        <v>4289</v>
      </c>
      <c r="G4274">
        <v>1120621</v>
      </c>
      <c r="H4274" t="s">
        <v>26</v>
      </c>
      <c r="I4274" t="s">
        <v>69</v>
      </c>
      <c r="J4274" t="str">
        <f>"9781118362679"</f>
        <v>9781118362679</v>
      </c>
      <c r="K4274" t="s">
        <v>7139</v>
      </c>
      <c r="L4274">
        <v>11</v>
      </c>
      <c r="O4274" t="s">
        <v>30</v>
      </c>
      <c r="P4274" t="s">
        <v>29</v>
      </c>
      <c r="Q4274" s="1">
        <v>42315.914560185185</v>
      </c>
      <c r="R4274">
        <v>7</v>
      </c>
      <c r="S4274" t="s">
        <v>363</v>
      </c>
      <c r="T4274" t="s">
        <v>4290</v>
      </c>
      <c r="U4274" t="s">
        <v>4291</v>
      </c>
      <c r="V4274" s="3">
        <v>41136</v>
      </c>
    </row>
    <row r="4275" spans="1:22" x14ac:dyDescent="0.35">
      <c r="A4275" s="1">
        <v>42317.114675925928</v>
      </c>
      <c r="B4275" s="2">
        <v>3.9930555555555561E-3</v>
      </c>
      <c r="C4275" t="s">
        <v>5438</v>
      </c>
      <c r="D4275" t="s">
        <v>360</v>
      </c>
      <c r="E4275" t="s">
        <v>361</v>
      </c>
      <c r="F4275" t="s">
        <v>1547</v>
      </c>
      <c r="G4275">
        <v>848510</v>
      </c>
      <c r="H4275" t="s">
        <v>26</v>
      </c>
      <c r="I4275" t="s">
        <v>247</v>
      </c>
      <c r="J4275" t="str">
        <f>"9781118220481"</f>
        <v>9781118220481</v>
      </c>
      <c r="K4275" t="s">
        <v>867</v>
      </c>
      <c r="L4275">
        <v>10</v>
      </c>
      <c r="O4275" t="s">
        <v>30</v>
      </c>
      <c r="P4275" t="s">
        <v>29</v>
      </c>
      <c r="Q4275" s="1">
        <v>42312.208506944444</v>
      </c>
      <c r="R4275">
        <v>7</v>
      </c>
      <c r="S4275" t="s">
        <v>363</v>
      </c>
      <c r="T4275" t="s">
        <v>1548</v>
      </c>
      <c r="U4275" t="s">
        <v>1549</v>
      </c>
      <c r="V4275" s="3">
        <v>41066</v>
      </c>
    </row>
    <row r="4276" spans="1:22" x14ac:dyDescent="0.35">
      <c r="A4276" s="1">
        <v>42317.111145833333</v>
      </c>
      <c r="B4276" s="2">
        <v>2.4363425925925927E-2</v>
      </c>
      <c r="C4276" t="s">
        <v>7140</v>
      </c>
      <c r="D4276" t="s">
        <v>23</v>
      </c>
      <c r="E4276" t="s">
        <v>24</v>
      </c>
      <c r="F4276" t="s">
        <v>7141</v>
      </c>
      <c r="G4276">
        <v>1644382</v>
      </c>
      <c r="H4276" t="s">
        <v>84</v>
      </c>
      <c r="I4276" t="s">
        <v>187</v>
      </c>
      <c r="J4276" t="str">
        <f>"9780520957053"</f>
        <v>9780520957053</v>
      </c>
      <c r="K4276" t="s">
        <v>7142</v>
      </c>
      <c r="L4276">
        <v>6</v>
      </c>
      <c r="O4276" t="s">
        <v>30</v>
      </c>
      <c r="P4276" t="s">
        <v>47</v>
      </c>
      <c r="Q4276" s="1">
        <v>42317.111134259256</v>
      </c>
      <c r="R4276">
        <v>1</v>
      </c>
      <c r="S4276" t="s">
        <v>31</v>
      </c>
      <c r="T4276" t="s">
        <v>7143</v>
      </c>
      <c r="U4276">
        <v>634.80944999999997</v>
      </c>
      <c r="V4276" s="3">
        <v>41775</v>
      </c>
    </row>
    <row r="4277" spans="1:22" x14ac:dyDescent="0.35">
      <c r="A4277" s="1">
        <v>42317.104004629633</v>
      </c>
      <c r="B4277" s="2">
        <v>4.0914351851851848E-2</v>
      </c>
      <c r="C4277" t="s">
        <v>4991</v>
      </c>
      <c r="D4277" t="s">
        <v>35</v>
      </c>
      <c r="E4277" t="s">
        <v>36</v>
      </c>
      <c r="F4277" t="s">
        <v>1473</v>
      </c>
      <c r="G4277">
        <v>1779911</v>
      </c>
      <c r="H4277" t="s">
        <v>1474</v>
      </c>
      <c r="I4277" t="s">
        <v>97</v>
      </c>
      <c r="J4277" t="str">
        <f>"9781137313256"</f>
        <v>9781137313256</v>
      </c>
      <c r="K4277" t="s">
        <v>7144</v>
      </c>
      <c r="L4277">
        <v>8</v>
      </c>
      <c r="O4277" t="s">
        <v>30</v>
      </c>
      <c r="P4277" t="s">
        <v>42</v>
      </c>
      <c r="S4277" t="s">
        <v>40</v>
      </c>
      <c r="T4277" t="s">
        <v>1476</v>
      </c>
      <c r="U4277">
        <v>659.10829999999999</v>
      </c>
      <c r="V4277" s="3">
        <v>41880</v>
      </c>
    </row>
    <row r="4278" spans="1:22" x14ac:dyDescent="0.35">
      <c r="A4278" s="1">
        <v>42317.102766203701</v>
      </c>
      <c r="B4278" s="2">
        <v>8.3680555555555557E-3</v>
      </c>
      <c r="C4278" t="s">
        <v>7140</v>
      </c>
      <c r="D4278" t="s">
        <v>23</v>
      </c>
      <c r="E4278" t="s">
        <v>24</v>
      </c>
      <c r="F4278" t="s">
        <v>7141</v>
      </c>
      <c r="G4278">
        <v>1644382</v>
      </c>
      <c r="H4278" t="s">
        <v>84</v>
      </c>
      <c r="I4278" t="s">
        <v>187</v>
      </c>
      <c r="J4278" t="str">
        <f>"9780520957053"</f>
        <v>9780520957053</v>
      </c>
      <c r="K4278" t="s">
        <v>7145</v>
      </c>
      <c r="L4278">
        <v>13</v>
      </c>
      <c r="O4278" t="s">
        <v>30</v>
      </c>
      <c r="P4278" t="s">
        <v>50</v>
      </c>
      <c r="S4278" t="s">
        <v>31</v>
      </c>
      <c r="T4278" t="s">
        <v>7143</v>
      </c>
      <c r="U4278">
        <v>634.80944999999997</v>
      </c>
      <c r="V4278" s="3">
        <v>41775</v>
      </c>
    </row>
    <row r="4279" spans="1:22" x14ac:dyDescent="0.35">
      <c r="A4279" s="1">
        <v>42317.097395833334</v>
      </c>
      <c r="B4279" s="2">
        <v>1.9675925925925928E-3</v>
      </c>
      <c r="C4279" t="s">
        <v>7138</v>
      </c>
      <c r="D4279" t="s">
        <v>360</v>
      </c>
      <c r="E4279" t="s">
        <v>361</v>
      </c>
      <c r="F4279" t="s">
        <v>4289</v>
      </c>
      <c r="G4279">
        <v>1120621</v>
      </c>
      <c r="H4279" t="s">
        <v>26</v>
      </c>
      <c r="I4279" t="s">
        <v>69</v>
      </c>
      <c r="J4279" t="str">
        <f>"9781118362679"</f>
        <v>9781118362679</v>
      </c>
      <c r="K4279" t="s">
        <v>355</v>
      </c>
      <c r="L4279">
        <v>8</v>
      </c>
      <c r="O4279" t="s">
        <v>30</v>
      </c>
      <c r="P4279" t="s">
        <v>29</v>
      </c>
      <c r="Q4279" s="1">
        <v>42315.914560185185</v>
      </c>
      <c r="R4279">
        <v>7</v>
      </c>
      <c r="S4279" t="s">
        <v>363</v>
      </c>
      <c r="T4279" t="s">
        <v>4290</v>
      </c>
      <c r="U4279" t="s">
        <v>4291</v>
      </c>
      <c r="V4279" s="3">
        <v>41136</v>
      </c>
    </row>
    <row r="4280" spans="1:22" x14ac:dyDescent="0.35">
      <c r="A4280" s="1">
        <v>42317.092638888891</v>
      </c>
      <c r="B4280" s="2">
        <v>2.6041666666666665E-3</v>
      </c>
      <c r="C4280" t="s">
        <v>5630</v>
      </c>
      <c r="D4280" t="s">
        <v>1222</v>
      </c>
      <c r="E4280" t="s">
        <v>1223</v>
      </c>
      <c r="F4280" t="s">
        <v>5631</v>
      </c>
      <c r="G4280">
        <v>1650364</v>
      </c>
      <c r="H4280" t="s">
        <v>84</v>
      </c>
      <c r="I4280" t="s">
        <v>5632</v>
      </c>
      <c r="J4280" t="str">
        <f>"9780520958272"</f>
        <v>9780520958272</v>
      </c>
      <c r="K4280" t="s">
        <v>2663</v>
      </c>
      <c r="L4280">
        <v>15</v>
      </c>
      <c r="O4280" t="s">
        <v>30</v>
      </c>
      <c r="P4280" t="s">
        <v>50</v>
      </c>
      <c r="S4280" t="s">
        <v>1226</v>
      </c>
      <c r="T4280" t="s">
        <v>5634</v>
      </c>
      <c r="U4280" t="s">
        <v>5635</v>
      </c>
      <c r="V4280" s="3">
        <v>41779</v>
      </c>
    </row>
    <row r="4281" spans="1:22" x14ac:dyDescent="0.35">
      <c r="A4281" s="1">
        <v>42317.091284722221</v>
      </c>
      <c r="B4281" s="2">
        <v>1.5509259259259261E-3</v>
      </c>
      <c r="C4281" t="s">
        <v>7146</v>
      </c>
      <c r="D4281" t="s">
        <v>35</v>
      </c>
      <c r="E4281" t="s">
        <v>36</v>
      </c>
      <c r="F4281" t="s">
        <v>7147</v>
      </c>
      <c r="G4281">
        <v>1603259</v>
      </c>
      <c r="H4281" t="s">
        <v>26</v>
      </c>
      <c r="I4281" t="s">
        <v>108</v>
      </c>
      <c r="J4281" t="str">
        <f>"9780745682396"</f>
        <v>9780745682396</v>
      </c>
      <c r="K4281" t="s">
        <v>7148</v>
      </c>
      <c r="L4281">
        <v>37</v>
      </c>
      <c r="O4281" t="s">
        <v>30</v>
      </c>
      <c r="P4281" t="s">
        <v>50</v>
      </c>
      <c r="S4281" t="s">
        <v>40</v>
      </c>
      <c r="T4281" t="s">
        <v>7149</v>
      </c>
      <c r="U4281">
        <v>331.88</v>
      </c>
      <c r="V4281" s="3">
        <v>41739</v>
      </c>
    </row>
    <row r="4282" spans="1:22" x14ac:dyDescent="0.35">
      <c r="A4282" s="1">
        <v>42317.084270833337</v>
      </c>
      <c r="B4282" s="2">
        <v>4.7685185185185183E-3</v>
      </c>
      <c r="C4282" t="s">
        <v>7138</v>
      </c>
      <c r="D4282" t="s">
        <v>360</v>
      </c>
      <c r="E4282" t="s">
        <v>361</v>
      </c>
      <c r="F4282" t="s">
        <v>7150</v>
      </c>
      <c r="G4282">
        <v>332602</v>
      </c>
      <c r="H4282" t="s">
        <v>26</v>
      </c>
      <c r="I4282" t="s">
        <v>69</v>
      </c>
      <c r="J4282" t="str">
        <f>"9780631227885"</f>
        <v>9780631227885</v>
      </c>
      <c r="K4282" t="s">
        <v>217</v>
      </c>
      <c r="L4282">
        <v>12</v>
      </c>
      <c r="O4282" t="s">
        <v>30</v>
      </c>
      <c r="P4282" t="s">
        <v>29</v>
      </c>
      <c r="Q4282" s="1">
        <v>42310.868194444447</v>
      </c>
      <c r="R4282">
        <v>7</v>
      </c>
      <c r="S4282" t="s">
        <v>363</v>
      </c>
      <c r="T4282" t="s">
        <v>7151</v>
      </c>
      <c r="U4282" t="s">
        <v>7152</v>
      </c>
      <c r="V4282" s="3">
        <v>41424</v>
      </c>
    </row>
    <row r="4283" spans="1:22" x14ac:dyDescent="0.35">
      <c r="A4283" s="1">
        <v>42317.0784375</v>
      </c>
      <c r="B4283" s="2">
        <v>5.7870370370370366E-5</v>
      </c>
      <c r="C4283" t="s">
        <v>3132</v>
      </c>
      <c r="D4283" t="s">
        <v>158</v>
      </c>
      <c r="E4283" t="s">
        <v>159</v>
      </c>
      <c r="F4283" t="s">
        <v>7153</v>
      </c>
      <c r="G4283">
        <v>2073211</v>
      </c>
      <c r="H4283" t="s">
        <v>139</v>
      </c>
      <c r="I4283" t="s">
        <v>120</v>
      </c>
      <c r="J4283" t="str">
        <f>"9780814785997"</f>
        <v>9780814785997</v>
      </c>
      <c r="K4283" t="s">
        <v>33</v>
      </c>
      <c r="L4283">
        <v>3</v>
      </c>
      <c r="O4283" t="s">
        <v>30</v>
      </c>
      <c r="P4283" t="s">
        <v>50</v>
      </c>
      <c r="S4283" t="s">
        <v>163</v>
      </c>
      <c r="T4283" t="s">
        <v>7154</v>
      </c>
      <c r="U4283" t="s">
        <v>3270</v>
      </c>
      <c r="V4283" s="3">
        <v>42209</v>
      </c>
    </row>
    <row r="4284" spans="1:22" x14ac:dyDescent="0.35">
      <c r="A4284" s="1">
        <v>42317.066712962966</v>
      </c>
      <c r="B4284" s="2">
        <v>3.5277777777777776E-2</v>
      </c>
      <c r="C4284" t="s">
        <v>5900</v>
      </c>
      <c r="D4284" t="s">
        <v>623</v>
      </c>
      <c r="E4284" t="s">
        <v>624</v>
      </c>
      <c r="F4284" t="s">
        <v>4526</v>
      </c>
      <c r="G4284">
        <v>771074</v>
      </c>
      <c r="H4284" t="s">
        <v>3465</v>
      </c>
      <c r="I4284" t="s">
        <v>4527</v>
      </c>
      <c r="J4284" t="str">
        <f>"9780761499732"</f>
        <v>9780761499732</v>
      </c>
      <c r="K4284" t="s">
        <v>7155</v>
      </c>
      <c r="L4284">
        <v>12</v>
      </c>
      <c r="O4284" t="s">
        <v>30</v>
      </c>
      <c r="P4284" t="s">
        <v>29</v>
      </c>
      <c r="Q4284" s="1">
        <v>42317.066701388889</v>
      </c>
      <c r="R4284">
        <v>7</v>
      </c>
      <c r="S4284" t="s">
        <v>627</v>
      </c>
      <c r="T4284" t="s">
        <v>4528</v>
      </c>
      <c r="U4284" t="s">
        <v>4529</v>
      </c>
      <c r="V4284" s="3">
        <v>40909</v>
      </c>
    </row>
    <row r="4285" spans="1:22" x14ac:dyDescent="0.35">
      <c r="A4285" s="1">
        <v>42317.063807870371</v>
      </c>
      <c r="B4285" s="2">
        <v>4.2824074074074075E-4</v>
      </c>
      <c r="C4285" t="s">
        <v>5630</v>
      </c>
      <c r="D4285" t="s">
        <v>1222</v>
      </c>
      <c r="E4285" t="s">
        <v>1223</v>
      </c>
      <c r="F4285" t="s">
        <v>5631</v>
      </c>
      <c r="G4285">
        <v>1650364</v>
      </c>
      <c r="H4285" t="s">
        <v>84</v>
      </c>
      <c r="I4285" t="s">
        <v>5632</v>
      </c>
      <c r="J4285" t="str">
        <f>"9780520958272"</f>
        <v>9780520958272</v>
      </c>
      <c r="K4285" t="s">
        <v>7156</v>
      </c>
      <c r="L4285">
        <v>14</v>
      </c>
      <c r="O4285" t="s">
        <v>30</v>
      </c>
      <c r="P4285" t="s">
        <v>50</v>
      </c>
      <c r="S4285" t="s">
        <v>1226</v>
      </c>
      <c r="T4285" t="s">
        <v>5634</v>
      </c>
      <c r="U4285" t="s">
        <v>5635</v>
      </c>
      <c r="V4285" s="3">
        <v>41779</v>
      </c>
    </row>
    <row r="4286" spans="1:22" x14ac:dyDescent="0.35">
      <c r="A4286" s="1">
        <v>42317.063796296294</v>
      </c>
      <c r="B4286" s="2">
        <v>5.6712962962962956E-4</v>
      </c>
      <c r="C4286" t="s">
        <v>5438</v>
      </c>
      <c r="D4286" t="s">
        <v>360</v>
      </c>
      <c r="E4286" t="s">
        <v>361</v>
      </c>
      <c r="F4286" t="s">
        <v>515</v>
      </c>
      <c r="G4286">
        <v>1757960</v>
      </c>
      <c r="H4286" t="s">
        <v>26</v>
      </c>
      <c r="I4286" t="s">
        <v>247</v>
      </c>
      <c r="J4286" t="str">
        <f>"9781118780770"</f>
        <v>9781118780770</v>
      </c>
      <c r="K4286" t="s">
        <v>1651</v>
      </c>
      <c r="L4286">
        <v>11</v>
      </c>
      <c r="O4286" t="s">
        <v>30</v>
      </c>
      <c r="P4286" t="s">
        <v>29</v>
      </c>
      <c r="Q4286" s="1">
        <v>42310.084409722222</v>
      </c>
      <c r="R4286">
        <v>7</v>
      </c>
      <c r="S4286" t="s">
        <v>363</v>
      </c>
      <c r="T4286" t="s">
        <v>517</v>
      </c>
      <c r="U4286" t="s">
        <v>518</v>
      </c>
      <c r="V4286" s="3">
        <v>41850</v>
      </c>
    </row>
    <row r="4287" spans="1:22" x14ac:dyDescent="0.35">
      <c r="A4287" s="1">
        <v>42317.059166666666</v>
      </c>
      <c r="B4287" s="2">
        <v>7.5347222222222213E-3</v>
      </c>
      <c r="C4287" t="s">
        <v>5900</v>
      </c>
      <c r="D4287" t="s">
        <v>623</v>
      </c>
      <c r="E4287" t="s">
        <v>624</v>
      </c>
      <c r="F4287" t="s">
        <v>4526</v>
      </c>
      <c r="G4287">
        <v>771074</v>
      </c>
      <c r="H4287" t="s">
        <v>3465</v>
      </c>
      <c r="I4287" t="s">
        <v>4527</v>
      </c>
      <c r="J4287" t="str">
        <f>"9780761499732"</f>
        <v>9780761499732</v>
      </c>
      <c r="K4287" t="s">
        <v>7157</v>
      </c>
      <c r="L4287">
        <v>26</v>
      </c>
      <c r="O4287" t="s">
        <v>30</v>
      </c>
      <c r="P4287" t="s">
        <v>42</v>
      </c>
      <c r="S4287" t="s">
        <v>627</v>
      </c>
      <c r="T4287" t="s">
        <v>4528</v>
      </c>
      <c r="U4287" t="s">
        <v>4529</v>
      </c>
      <c r="V4287" s="3">
        <v>40909</v>
      </c>
    </row>
    <row r="4288" spans="1:22" x14ac:dyDescent="0.35">
      <c r="A4288" s="1">
        <v>42317.057604166665</v>
      </c>
      <c r="B4288" s="2">
        <v>3.7615740740740739E-3</v>
      </c>
      <c r="C4288" t="s">
        <v>3036</v>
      </c>
      <c r="D4288" t="s">
        <v>23</v>
      </c>
      <c r="E4288" t="s">
        <v>24</v>
      </c>
      <c r="F4288" t="s">
        <v>3037</v>
      </c>
      <c r="G4288">
        <v>836624</v>
      </c>
      <c r="H4288" t="s">
        <v>26</v>
      </c>
      <c r="I4288" t="s">
        <v>1650</v>
      </c>
      <c r="J4288" t="str">
        <f>"9781118346686"</f>
        <v>9781118346686</v>
      </c>
      <c r="K4288" t="s">
        <v>7158</v>
      </c>
      <c r="L4288">
        <v>13</v>
      </c>
      <c r="O4288" t="s">
        <v>30</v>
      </c>
      <c r="P4288" t="s">
        <v>29</v>
      </c>
      <c r="Q4288" s="1">
        <v>42317.057604166665</v>
      </c>
      <c r="R4288">
        <v>7</v>
      </c>
      <c r="S4288" t="s">
        <v>31</v>
      </c>
      <c r="T4288" t="s">
        <v>3039</v>
      </c>
      <c r="U4288">
        <v>741.59730000000002</v>
      </c>
      <c r="V4288" s="3">
        <v>40969</v>
      </c>
    </row>
    <row r="4289" spans="1:22" x14ac:dyDescent="0.35">
      <c r="A4289" s="1">
        <v>42317.057476851849</v>
      </c>
      <c r="B4289" s="2">
        <v>4.6296296296296294E-5</v>
      </c>
      <c r="C4289" t="s">
        <v>4426</v>
      </c>
      <c r="D4289" t="s">
        <v>360</v>
      </c>
      <c r="E4289" t="s">
        <v>361</v>
      </c>
      <c r="F4289" t="s">
        <v>4376</v>
      </c>
      <c r="G4289">
        <v>918742</v>
      </c>
      <c r="H4289" t="s">
        <v>1365</v>
      </c>
      <c r="I4289" t="s">
        <v>120</v>
      </c>
      <c r="J4289" t="str">
        <f>"9781441130525"</f>
        <v>9781441130525</v>
      </c>
      <c r="K4289" t="s">
        <v>33</v>
      </c>
      <c r="L4289">
        <v>3</v>
      </c>
      <c r="O4289" t="s">
        <v>30</v>
      </c>
      <c r="P4289" t="s">
        <v>42</v>
      </c>
      <c r="S4289" t="s">
        <v>363</v>
      </c>
      <c r="T4289" t="s">
        <v>4378</v>
      </c>
      <c r="U4289">
        <v>363.33097299999997</v>
      </c>
      <c r="V4289" s="3">
        <v>41061</v>
      </c>
    </row>
    <row r="4290" spans="1:22" x14ac:dyDescent="0.35">
      <c r="A4290" s="1">
        <v>42317.056863425925</v>
      </c>
      <c r="B4290" s="2">
        <v>8.1018518518518516E-5</v>
      </c>
      <c r="C4290" t="s">
        <v>3036</v>
      </c>
      <c r="D4290" t="s">
        <v>23</v>
      </c>
      <c r="E4290" t="s">
        <v>24</v>
      </c>
      <c r="F4290" t="s">
        <v>3037</v>
      </c>
      <c r="G4290">
        <v>836624</v>
      </c>
      <c r="H4290" t="s">
        <v>26</v>
      </c>
      <c r="I4290" t="s">
        <v>1650</v>
      </c>
      <c r="J4290" t="str">
        <f>"9781118346686"</f>
        <v>9781118346686</v>
      </c>
      <c r="K4290" t="s">
        <v>7159</v>
      </c>
      <c r="L4290">
        <v>2</v>
      </c>
      <c r="O4290" t="s">
        <v>30</v>
      </c>
      <c r="P4290" t="s">
        <v>29</v>
      </c>
      <c r="Q4290" s="1">
        <v>42317.056863425925</v>
      </c>
      <c r="R4290">
        <v>7</v>
      </c>
      <c r="S4290" t="s">
        <v>31</v>
      </c>
      <c r="T4290" t="s">
        <v>3039</v>
      </c>
      <c r="U4290">
        <v>741.59730000000002</v>
      </c>
      <c r="V4290" s="3">
        <v>40969</v>
      </c>
    </row>
    <row r="4291" spans="1:22" x14ac:dyDescent="0.35">
      <c r="A4291" s="1">
        <v>42317.056863425925</v>
      </c>
      <c r="B4291" s="2">
        <v>4.4733796296296292E-2</v>
      </c>
      <c r="C4291" t="s">
        <v>7160</v>
      </c>
      <c r="D4291" t="s">
        <v>35</v>
      </c>
      <c r="E4291" t="s">
        <v>36</v>
      </c>
      <c r="F4291" t="s">
        <v>7161</v>
      </c>
      <c r="G4291">
        <v>1715160</v>
      </c>
      <c r="H4291" t="s">
        <v>84</v>
      </c>
      <c r="I4291" t="s">
        <v>120</v>
      </c>
      <c r="J4291" t="str">
        <f>"9780520959835"</f>
        <v>9780520959835</v>
      </c>
      <c r="K4291" t="s">
        <v>7162</v>
      </c>
      <c r="L4291">
        <v>7</v>
      </c>
      <c r="O4291" t="s">
        <v>30</v>
      </c>
      <c r="P4291" t="s">
        <v>47</v>
      </c>
      <c r="Q4291" s="1">
        <v>42317.056851851848</v>
      </c>
      <c r="R4291">
        <v>1</v>
      </c>
      <c r="S4291" t="s">
        <v>40</v>
      </c>
      <c r="T4291" t="s">
        <v>7163</v>
      </c>
      <c r="U4291" t="s">
        <v>7164</v>
      </c>
      <c r="V4291" s="3">
        <v>41985</v>
      </c>
    </row>
    <row r="4292" spans="1:22" x14ac:dyDescent="0.35">
      <c r="A4292" s="1">
        <v>42317.052442129629</v>
      </c>
      <c r="B4292" s="2">
        <v>5.162037037037037E-3</v>
      </c>
      <c r="C4292" t="s">
        <v>3036</v>
      </c>
      <c r="D4292" t="s">
        <v>23</v>
      </c>
      <c r="E4292" t="s">
        <v>24</v>
      </c>
      <c r="F4292" t="s">
        <v>3037</v>
      </c>
      <c r="G4292">
        <v>836624</v>
      </c>
      <c r="H4292" t="s">
        <v>26</v>
      </c>
      <c r="I4292" t="s">
        <v>1650</v>
      </c>
      <c r="J4292" t="str">
        <f>"9781118346686"</f>
        <v>9781118346686</v>
      </c>
      <c r="K4292" t="s">
        <v>2703</v>
      </c>
      <c r="L4292">
        <v>7</v>
      </c>
      <c r="O4292" t="s">
        <v>30</v>
      </c>
      <c r="P4292" t="s">
        <v>42</v>
      </c>
      <c r="S4292" t="s">
        <v>31</v>
      </c>
      <c r="T4292" t="s">
        <v>3039</v>
      </c>
      <c r="U4292">
        <v>741.59730000000002</v>
      </c>
      <c r="V4292" s="3">
        <v>40969</v>
      </c>
    </row>
    <row r="4293" spans="1:22" x14ac:dyDescent="0.35">
      <c r="A4293" s="1">
        <v>42317.052372685182</v>
      </c>
      <c r="B4293" s="2">
        <v>4.4907407407407405E-3</v>
      </c>
      <c r="C4293" t="s">
        <v>3036</v>
      </c>
      <c r="D4293" t="s">
        <v>23</v>
      </c>
      <c r="E4293" t="s">
        <v>24</v>
      </c>
      <c r="F4293" t="s">
        <v>3037</v>
      </c>
      <c r="G4293">
        <v>836624</v>
      </c>
      <c r="H4293" t="s">
        <v>26</v>
      </c>
      <c r="I4293" t="s">
        <v>1650</v>
      </c>
      <c r="J4293" t="str">
        <f>"9781118346686"</f>
        <v>9781118346686</v>
      </c>
      <c r="K4293" t="s">
        <v>7165</v>
      </c>
      <c r="L4293">
        <v>9</v>
      </c>
      <c r="O4293" t="s">
        <v>30</v>
      </c>
      <c r="P4293" t="s">
        <v>42</v>
      </c>
      <c r="S4293" t="s">
        <v>31</v>
      </c>
      <c r="T4293" t="s">
        <v>3039</v>
      </c>
      <c r="U4293">
        <v>741.59730000000002</v>
      </c>
      <c r="V4293" s="3">
        <v>40969</v>
      </c>
    </row>
    <row r="4294" spans="1:22" x14ac:dyDescent="0.35">
      <c r="A4294" s="1">
        <v>42317.05228009259</v>
      </c>
      <c r="B4294" s="2">
        <v>2.2453703703703702E-3</v>
      </c>
      <c r="C4294" t="s">
        <v>3036</v>
      </c>
      <c r="D4294" t="s">
        <v>23</v>
      </c>
      <c r="E4294" t="s">
        <v>24</v>
      </c>
      <c r="F4294" t="s">
        <v>3037</v>
      </c>
      <c r="G4294">
        <v>836624</v>
      </c>
      <c r="H4294" t="s">
        <v>26</v>
      </c>
      <c r="I4294" t="s">
        <v>1650</v>
      </c>
      <c r="J4294" t="str">
        <f>"9781118346686"</f>
        <v>9781118346686</v>
      </c>
      <c r="K4294" t="s">
        <v>7166</v>
      </c>
      <c r="L4294">
        <v>10</v>
      </c>
      <c r="O4294" t="s">
        <v>30</v>
      </c>
      <c r="P4294" t="s">
        <v>42</v>
      </c>
      <c r="S4294" t="s">
        <v>31</v>
      </c>
      <c r="T4294" t="s">
        <v>3039</v>
      </c>
      <c r="U4294">
        <v>741.59730000000002</v>
      </c>
      <c r="V4294" s="3">
        <v>40969</v>
      </c>
    </row>
    <row r="4295" spans="1:22" x14ac:dyDescent="0.35">
      <c r="A4295" s="1">
        <v>42317.050451388888</v>
      </c>
      <c r="B4295" s="2">
        <v>8.2523148148148148E-3</v>
      </c>
      <c r="C4295" t="s">
        <v>106</v>
      </c>
      <c r="D4295" t="s">
        <v>23</v>
      </c>
      <c r="E4295" t="s">
        <v>24</v>
      </c>
      <c r="F4295" t="s">
        <v>3699</v>
      </c>
      <c r="G4295">
        <v>817432</v>
      </c>
      <c r="H4295" t="s">
        <v>26</v>
      </c>
      <c r="I4295" t="s">
        <v>150</v>
      </c>
      <c r="J4295" t="str">
        <f>"9781118169261"</f>
        <v>9781118169261</v>
      </c>
      <c r="K4295" t="s">
        <v>7167</v>
      </c>
      <c r="L4295">
        <v>51</v>
      </c>
      <c r="O4295" t="s">
        <v>30</v>
      </c>
      <c r="P4295" t="s">
        <v>29</v>
      </c>
      <c r="Q4295" s="1">
        <v>42317.050439814811</v>
      </c>
      <c r="R4295">
        <v>7</v>
      </c>
      <c r="S4295" t="s">
        <v>31</v>
      </c>
      <c r="T4295" t="s">
        <v>3703</v>
      </c>
      <c r="U4295">
        <v>781</v>
      </c>
      <c r="V4295" s="3">
        <v>40834</v>
      </c>
    </row>
    <row r="4296" spans="1:22" x14ac:dyDescent="0.35">
      <c r="A4296" s="1">
        <v>42317.050266203703</v>
      </c>
      <c r="B4296" s="2">
        <v>6.5856481481481469E-3</v>
      </c>
      <c r="C4296" t="s">
        <v>7160</v>
      </c>
      <c r="D4296" t="s">
        <v>35</v>
      </c>
      <c r="E4296" t="s">
        <v>36</v>
      </c>
      <c r="F4296" t="s">
        <v>7161</v>
      </c>
      <c r="G4296">
        <v>1715160</v>
      </c>
      <c r="H4296" t="s">
        <v>84</v>
      </c>
      <c r="I4296" t="s">
        <v>120</v>
      </c>
      <c r="J4296" t="str">
        <f>"9780520959835"</f>
        <v>9780520959835</v>
      </c>
      <c r="K4296" t="s">
        <v>33</v>
      </c>
      <c r="L4296">
        <v>3</v>
      </c>
      <c r="O4296" t="s">
        <v>30</v>
      </c>
      <c r="P4296" t="s">
        <v>50</v>
      </c>
      <c r="S4296" t="s">
        <v>40</v>
      </c>
      <c r="T4296" t="s">
        <v>7163</v>
      </c>
      <c r="U4296" t="s">
        <v>7164</v>
      </c>
      <c r="V4296" s="3">
        <v>41985</v>
      </c>
    </row>
    <row r="4297" spans="1:22" x14ac:dyDescent="0.35">
      <c r="A4297" s="1">
        <v>42317.03696759259</v>
      </c>
      <c r="B4297" s="2">
        <v>1.3472222222222221E-2</v>
      </c>
      <c r="C4297" t="s">
        <v>106</v>
      </c>
      <c r="D4297" t="s">
        <v>23</v>
      </c>
      <c r="E4297" t="s">
        <v>24</v>
      </c>
      <c r="F4297" t="s">
        <v>3699</v>
      </c>
      <c r="G4297">
        <v>817432</v>
      </c>
      <c r="H4297" t="s">
        <v>26</v>
      </c>
      <c r="I4297" t="s">
        <v>150</v>
      </c>
      <c r="J4297" t="str">
        <f>"9781118169261"</f>
        <v>9781118169261</v>
      </c>
      <c r="K4297" t="s">
        <v>7168</v>
      </c>
      <c r="L4297">
        <v>9</v>
      </c>
      <c r="O4297" t="s">
        <v>30</v>
      </c>
      <c r="P4297" t="s">
        <v>42</v>
      </c>
      <c r="S4297" t="s">
        <v>31</v>
      </c>
      <c r="T4297" t="s">
        <v>3703</v>
      </c>
      <c r="U4297">
        <v>781</v>
      </c>
      <c r="V4297" s="3">
        <v>40834</v>
      </c>
    </row>
    <row r="4298" spans="1:22" x14ac:dyDescent="0.35">
      <c r="A4298" s="1">
        <v>42317.00608796296</v>
      </c>
      <c r="B4298" s="2">
        <v>7.719907407407408E-3</v>
      </c>
      <c r="C4298" t="s">
        <v>6675</v>
      </c>
      <c r="D4298" t="s">
        <v>1222</v>
      </c>
      <c r="E4298" t="s">
        <v>1223</v>
      </c>
      <c r="F4298" t="s">
        <v>1698</v>
      </c>
      <c r="G4298">
        <v>1637652</v>
      </c>
      <c r="H4298" t="s">
        <v>84</v>
      </c>
      <c r="I4298" t="s">
        <v>69</v>
      </c>
      <c r="J4298" t="str">
        <f>"9780520958449"</f>
        <v>9780520958449</v>
      </c>
      <c r="K4298" t="s">
        <v>7169</v>
      </c>
      <c r="L4298">
        <v>39</v>
      </c>
      <c r="O4298" t="s">
        <v>30</v>
      </c>
      <c r="P4298" t="s">
        <v>29</v>
      </c>
      <c r="Q4298" s="1">
        <v>42314.793483796297</v>
      </c>
      <c r="R4298">
        <v>7</v>
      </c>
      <c r="S4298" t="s">
        <v>1226</v>
      </c>
      <c r="T4298" t="s">
        <v>1700</v>
      </c>
      <c r="U4298" t="s">
        <v>1701</v>
      </c>
      <c r="V4298" s="3">
        <v>41761</v>
      </c>
    </row>
    <row r="4299" spans="1:22" x14ac:dyDescent="0.35">
      <c r="A4299" s="1">
        <v>42316.988055555557</v>
      </c>
      <c r="B4299" s="2">
        <v>5.5555555555555556E-4</v>
      </c>
      <c r="C4299" t="s">
        <v>5110</v>
      </c>
      <c r="D4299" t="s">
        <v>158</v>
      </c>
      <c r="E4299" t="s">
        <v>159</v>
      </c>
      <c r="F4299" t="s">
        <v>4065</v>
      </c>
      <c r="G4299">
        <v>918746</v>
      </c>
      <c r="H4299" t="s">
        <v>1365</v>
      </c>
      <c r="I4299" t="s">
        <v>150</v>
      </c>
      <c r="J4299" t="str">
        <f>"9780826441850"</f>
        <v>9780826441850</v>
      </c>
      <c r="K4299" t="s">
        <v>1438</v>
      </c>
      <c r="L4299">
        <v>16</v>
      </c>
      <c r="O4299" t="s">
        <v>30</v>
      </c>
      <c r="P4299" t="s">
        <v>42</v>
      </c>
      <c r="S4299" t="s">
        <v>163</v>
      </c>
      <c r="T4299" t="s">
        <v>4066</v>
      </c>
      <c r="U4299">
        <v>791.45749999999998</v>
      </c>
      <c r="V4299" s="3">
        <v>41091</v>
      </c>
    </row>
    <row r="4300" spans="1:22" x14ac:dyDescent="0.35">
      <c r="A4300" s="1">
        <v>42316.955312500002</v>
      </c>
      <c r="B4300" s="2">
        <v>1.4351851851851854E-3</v>
      </c>
      <c r="C4300" t="s">
        <v>7170</v>
      </c>
      <c r="D4300" t="s">
        <v>23</v>
      </c>
      <c r="E4300" t="s">
        <v>24</v>
      </c>
      <c r="F4300" t="s">
        <v>246</v>
      </c>
      <c r="G4300">
        <v>1682559</v>
      </c>
      <c r="H4300" t="s">
        <v>91</v>
      </c>
      <c r="I4300" t="s">
        <v>247</v>
      </c>
      <c r="J4300" t="str">
        <f>"9781462515431"</f>
        <v>9781462515431</v>
      </c>
      <c r="K4300" t="s">
        <v>7171</v>
      </c>
      <c r="L4300">
        <v>10</v>
      </c>
      <c r="M4300" t="s">
        <v>5918</v>
      </c>
      <c r="O4300" t="s">
        <v>30</v>
      </c>
      <c r="P4300" t="s">
        <v>29</v>
      </c>
      <c r="Q4300" s="1">
        <v>42316.955312500002</v>
      </c>
      <c r="R4300">
        <v>7</v>
      </c>
      <c r="S4300" t="s">
        <v>31</v>
      </c>
      <c r="T4300" t="s">
        <v>249</v>
      </c>
      <c r="U4300">
        <v>616.89</v>
      </c>
      <c r="V4300" s="3">
        <v>41769</v>
      </c>
    </row>
    <row r="4301" spans="1:22" x14ac:dyDescent="0.35">
      <c r="A4301" s="1">
        <v>42316.954594907409</v>
      </c>
      <c r="B4301" s="2">
        <v>7.175925925925927E-4</v>
      </c>
      <c r="C4301" t="s">
        <v>7170</v>
      </c>
      <c r="D4301" t="s">
        <v>23</v>
      </c>
      <c r="E4301" t="s">
        <v>24</v>
      </c>
      <c r="F4301" t="s">
        <v>246</v>
      </c>
      <c r="G4301">
        <v>1682559</v>
      </c>
      <c r="H4301" t="s">
        <v>91</v>
      </c>
      <c r="I4301" t="s">
        <v>247</v>
      </c>
      <c r="J4301" t="str">
        <f>"9781462515431"</f>
        <v>9781462515431</v>
      </c>
      <c r="K4301" t="s">
        <v>7172</v>
      </c>
      <c r="L4301">
        <v>10</v>
      </c>
      <c r="O4301" t="s">
        <v>30</v>
      </c>
      <c r="P4301" t="s">
        <v>42</v>
      </c>
      <c r="S4301" t="s">
        <v>31</v>
      </c>
      <c r="T4301" t="s">
        <v>249</v>
      </c>
      <c r="U4301">
        <v>616.89</v>
      </c>
      <c r="V4301" s="3">
        <v>41769</v>
      </c>
    </row>
    <row r="4302" spans="1:22" x14ac:dyDescent="0.35">
      <c r="A4302" s="1">
        <v>42316.918483796297</v>
      </c>
      <c r="B4302" s="2">
        <v>6.8020833333333336E-2</v>
      </c>
      <c r="C4302" t="s">
        <v>106</v>
      </c>
      <c r="D4302" t="s">
        <v>23</v>
      </c>
      <c r="E4302" t="s">
        <v>24</v>
      </c>
      <c r="F4302" t="s">
        <v>486</v>
      </c>
      <c r="G4302">
        <v>1119505</v>
      </c>
      <c r="H4302" t="s">
        <v>26</v>
      </c>
      <c r="I4302" t="s">
        <v>450</v>
      </c>
      <c r="J4302" t="str">
        <f>"9781118355015"</f>
        <v>9781118355015</v>
      </c>
      <c r="K4302" t="s">
        <v>7173</v>
      </c>
      <c r="L4302">
        <v>105</v>
      </c>
      <c r="O4302" t="s">
        <v>30</v>
      </c>
      <c r="P4302" t="s">
        <v>29</v>
      </c>
      <c r="Q4302" s="1">
        <v>42314.692002314812</v>
      </c>
      <c r="R4302">
        <v>7</v>
      </c>
      <c r="S4302" t="s">
        <v>31</v>
      </c>
      <c r="T4302" t="s">
        <v>487</v>
      </c>
      <c r="U4302" t="s">
        <v>488</v>
      </c>
      <c r="V4302" s="3">
        <v>41302</v>
      </c>
    </row>
    <row r="4303" spans="1:22" x14ac:dyDescent="0.35">
      <c r="A4303" s="1">
        <v>42316.894849537035</v>
      </c>
      <c r="B4303" s="2">
        <v>1.0069444444444444E-3</v>
      </c>
      <c r="C4303" t="s">
        <v>7174</v>
      </c>
      <c r="D4303" t="s">
        <v>623</v>
      </c>
      <c r="E4303" t="s">
        <v>624</v>
      </c>
      <c r="F4303" t="s">
        <v>7175</v>
      </c>
      <c r="G4303">
        <v>1895713</v>
      </c>
      <c r="H4303" t="s">
        <v>26</v>
      </c>
      <c r="I4303" t="s">
        <v>69</v>
      </c>
      <c r="J4303" t="str">
        <f>"9781118938959"</f>
        <v>9781118938959</v>
      </c>
      <c r="K4303" t="s">
        <v>7176</v>
      </c>
      <c r="L4303">
        <v>20</v>
      </c>
      <c r="O4303" t="s">
        <v>30</v>
      </c>
      <c r="P4303" t="s">
        <v>42</v>
      </c>
      <c r="S4303" t="s">
        <v>627</v>
      </c>
      <c r="T4303" t="s">
        <v>7177</v>
      </c>
      <c r="U4303">
        <v>371.33</v>
      </c>
      <c r="V4303" s="3">
        <v>42067</v>
      </c>
    </row>
    <row r="4304" spans="1:22" x14ac:dyDescent="0.35">
      <c r="A4304" s="1">
        <v>42316.892094907409</v>
      </c>
      <c r="B4304" s="2">
        <v>8.449074074074075E-4</v>
      </c>
      <c r="C4304" t="s">
        <v>7174</v>
      </c>
      <c r="D4304" t="s">
        <v>623</v>
      </c>
      <c r="E4304" t="s">
        <v>624</v>
      </c>
      <c r="F4304" t="s">
        <v>7175</v>
      </c>
      <c r="G4304">
        <v>1895713</v>
      </c>
      <c r="H4304" t="s">
        <v>26</v>
      </c>
      <c r="I4304" t="s">
        <v>69</v>
      </c>
      <c r="J4304" t="str">
        <f>"9781118938959"</f>
        <v>9781118938959</v>
      </c>
      <c r="K4304" t="s">
        <v>7178</v>
      </c>
      <c r="L4304">
        <v>12</v>
      </c>
      <c r="O4304" t="s">
        <v>30</v>
      </c>
      <c r="P4304" t="s">
        <v>42</v>
      </c>
      <c r="S4304" t="s">
        <v>627</v>
      </c>
      <c r="T4304" t="s">
        <v>7177</v>
      </c>
      <c r="U4304">
        <v>371.33</v>
      </c>
      <c r="V4304" s="3">
        <v>42067</v>
      </c>
    </row>
    <row r="4305" spans="1:22" x14ac:dyDescent="0.35">
      <c r="A4305" s="1">
        <v>42316.863321759258</v>
      </c>
      <c r="B4305" s="2">
        <v>5.2905092592592594E-2</v>
      </c>
      <c r="C4305" t="s">
        <v>7179</v>
      </c>
      <c r="D4305" t="s">
        <v>211</v>
      </c>
      <c r="E4305" t="s">
        <v>212</v>
      </c>
      <c r="F4305" t="s">
        <v>6469</v>
      </c>
      <c r="G4305">
        <v>1895917</v>
      </c>
      <c r="H4305" t="s">
        <v>26</v>
      </c>
      <c r="I4305" t="s">
        <v>150</v>
      </c>
      <c r="J4305" t="str">
        <f>"9781119014959"</f>
        <v>9781119014959</v>
      </c>
      <c r="K4305" t="s">
        <v>7180</v>
      </c>
      <c r="L4305">
        <v>82</v>
      </c>
      <c r="O4305" t="s">
        <v>30</v>
      </c>
      <c r="P4305" t="s">
        <v>29</v>
      </c>
      <c r="Q4305" s="1">
        <v>42316.863321759258</v>
      </c>
      <c r="R4305">
        <v>7</v>
      </c>
      <c r="S4305" t="s">
        <v>214</v>
      </c>
      <c r="T4305" t="s">
        <v>6471</v>
      </c>
      <c r="U4305" t="s">
        <v>6472</v>
      </c>
      <c r="V4305" s="3">
        <v>42087</v>
      </c>
    </row>
    <row r="4306" spans="1:22" x14ac:dyDescent="0.35">
      <c r="A4306" s="1">
        <v>42316.857800925929</v>
      </c>
      <c r="B4306" s="2">
        <v>2.4305555555555552E-4</v>
      </c>
      <c r="C4306" t="s">
        <v>7114</v>
      </c>
      <c r="D4306" t="s">
        <v>23</v>
      </c>
      <c r="E4306" t="s">
        <v>24</v>
      </c>
      <c r="F4306" t="s">
        <v>7115</v>
      </c>
      <c r="G4306">
        <v>1788961</v>
      </c>
      <c r="H4306" t="s">
        <v>91</v>
      </c>
      <c r="I4306" t="s">
        <v>69</v>
      </c>
      <c r="J4306" t="str">
        <f>"9781462519514"</f>
        <v>9781462519514</v>
      </c>
      <c r="K4306" t="s">
        <v>3653</v>
      </c>
      <c r="L4306">
        <v>8</v>
      </c>
      <c r="O4306" t="s">
        <v>30</v>
      </c>
      <c r="P4306" t="s">
        <v>47</v>
      </c>
      <c r="Q4306" s="1">
        <v>42316.82508101852</v>
      </c>
      <c r="R4306">
        <v>1</v>
      </c>
      <c r="S4306" t="s">
        <v>31</v>
      </c>
      <c r="T4306" t="s">
        <v>7117</v>
      </c>
      <c r="U4306">
        <v>371.10239999999999</v>
      </c>
      <c r="V4306" s="3">
        <v>42006</v>
      </c>
    </row>
    <row r="4307" spans="1:22" x14ac:dyDescent="0.35">
      <c r="A4307" s="1">
        <v>42316.854444444441</v>
      </c>
      <c r="B4307" s="2">
        <v>1.7013888888888892E-3</v>
      </c>
      <c r="C4307" t="s">
        <v>7114</v>
      </c>
      <c r="D4307" t="s">
        <v>23</v>
      </c>
      <c r="E4307" t="s">
        <v>24</v>
      </c>
      <c r="F4307" t="s">
        <v>7115</v>
      </c>
      <c r="G4307">
        <v>1788961</v>
      </c>
      <c r="H4307" t="s">
        <v>91</v>
      </c>
      <c r="I4307" t="s">
        <v>69</v>
      </c>
      <c r="J4307" t="str">
        <f>"9781462519514"</f>
        <v>9781462519514</v>
      </c>
      <c r="K4307" t="s">
        <v>7181</v>
      </c>
      <c r="L4307">
        <v>9</v>
      </c>
      <c r="O4307" t="s">
        <v>28</v>
      </c>
      <c r="P4307" t="s">
        <v>47</v>
      </c>
      <c r="Q4307" s="1">
        <v>42316.82508101852</v>
      </c>
      <c r="R4307">
        <v>1</v>
      </c>
      <c r="S4307" t="s">
        <v>31</v>
      </c>
      <c r="T4307" t="s">
        <v>7117</v>
      </c>
      <c r="U4307">
        <v>371.10239999999999</v>
      </c>
      <c r="V4307" s="3">
        <v>42006</v>
      </c>
    </row>
    <row r="4308" spans="1:22" x14ac:dyDescent="0.35">
      <c r="A4308" s="1">
        <v>42316.853136574071</v>
      </c>
      <c r="B4308" s="2">
        <v>8.971064814814815E-2</v>
      </c>
      <c r="C4308" t="s">
        <v>106</v>
      </c>
      <c r="D4308" t="s">
        <v>23</v>
      </c>
      <c r="E4308" t="s">
        <v>24</v>
      </c>
      <c r="F4308" t="s">
        <v>6837</v>
      </c>
      <c r="G4308">
        <v>1655862</v>
      </c>
      <c r="H4308" t="s">
        <v>613</v>
      </c>
      <c r="I4308" t="s">
        <v>5632</v>
      </c>
      <c r="J4308" t="str">
        <f>"9781469615493"</f>
        <v>9781469615493</v>
      </c>
      <c r="K4308" t="s">
        <v>7182</v>
      </c>
      <c r="L4308">
        <v>22</v>
      </c>
      <c r="O4308" t="s">
        <v>30</v>
      </c>
      <c r="P4308" t="s">
        <v>29</v>
      </c>
      <c r="Q4308" s="1">
        <v>42316.853136574071</v>
      </c>
      <c r="R4308">
        <v>7</v>
      </c>
      <c r="S4308" t="s">
        <v>31</v>
      </c>
      <c r="T4308" t="s">
        <v>6839</v>
      </c>
      <c r="U4308" t="s">
        <v>6840</v>
      </c>
      <c r="V4308" s="3">
        <v>41744</v>
      </c>
    </row>
    <row r="4309" spans="1:22" x14ac:dyDescent="0.35">
      <c r="A4309" s="1">
        <v>42316.842766203707</v>
      </c>
      <c r="B4309" s="2">
        <v>1.8796296296296297E-2</v>
      </c>
      <c r="C4309" t="s">
        <v>4389</v>
      </c>
      <c r="D4309" t="s">
        <v>35</v>
      </c>
      <c r="E4309" t="s">
        <v>36</v>
      </c>
      <c r="F4309" t="s">
        <v>5531</v>
      </c>
      <c r="G4309">
        <v>1107458</v>
      </c>
      <c r="H4309" t="s">
        <v>1286</v>
      </c>
      <c r="I4309" t="s">
        <v>291</v>
      </c>
      <c r="J4309" t="str">
        <f>"9781476600161"</f>
        <v>9781476600161</v>
      </c>
      <c r="K4309" t="s">
        <v>7183</v>
      </c>
      <c r="L4309">
        <v>18</v>
      </c>
      <c r="O4309" t="s">
        <v>30</v>
      </c>
      <c r="P4309" t="s">
        <v>29</v>
      </c>
      <c r="Q4309" s="1">
        <v>42316.728460648148</v>
      </c>
      <c r="R4309">
        <v>7</v>
      </c>
      <c r="S4309" t="s">
        <v>40</v>
      </c>
      <c r="T4309" t="s">
        <v>5533</v>
      </c>
      <c r="U4309" t="s">
        <v>5534</v>
      </c>
      <c r="V4309" s="3">
        <v>41287</v>
      </c>
    </row>
    <row r="4310" spans="1:22" x14ac:dyDescent="0.35">
      <c r="A4310" s="1">
        <v>42316.840648148151</v>
      </c>
      <c r="B4310" s="2">
        <v>1.247685185185185E-2</v>
      </c>
      <c r="C4310" t="s">
        <v>106</v>
      </c>
      <c r="D4310" t="s">
        <v>23</v>
      </c>
      <c r="E4310" t="s">
        <v>24</v>
      </c>
      <c r="F4310" t="s">
        <v>6837</v>
      </c>
      <c r="G4310">
        <v>1655862</v>
      </c>
      <c r="H4310" t="s">
        <v>613</v>
      </c>
      <c r="I4310" t="s">
        <v>5632</v>
      </c>
      <c r="J4310" t="str">
        <f>"9781469615493"</f>
        <v>9781469615493</v>
      </c>
      <c r="K4310" t="s">
        <v>7184</v>
      </c>
      <c r="L4310">
        <v>16</v>
      </c>
      <c r="O4310" t="s">
        <v>30</v>
      </c>
      <c r="P4310" t="s">
        <v>50</v>
      </c>
      <c r="S4310" t="s">
        <v>31</v>
      </c>
      <c r="T4310" t="s">
        <v>6839</v>
      </c>
      <c r="U4310" t="s">
        <v>6840</v>
      </c>
      <c r="V4310" s="3">
        <v>41744</v>
      </c>
    </row>
    <row r="4311" spans="1:22" x14ac:dyDescent="0.35">
      <c r="A4311" s="1">
        <v>42316.8284375</v>
      </c>
      <c r="B4311" s="2">
        <v>3.4884259259259261E-2</v>
      </c>
      <c r="C4311" t="s">
        <v>7179</v>
      </c>
      <c r="D4311" t="s">
        <v>211</v>
      </c>
      <c r="E4311" t="s">
        <v>212</v>
      </c>
      <c r="F4311" t="s">
        <v>6469</v>
      </c>
      <c r="G4311">
        <v>1895917</v>
      </c>
      <c r="H4311" t="s">
        <v>26</v>
      </c>
      <c r="I4311" t="s">
        <v>150</v>
      </c>
      <c r="J4311" t="str">
        <f>"9781119014959"</f>
        <v>9781119014959</v>
      </c>
      <c r="K4311" t="s">
        <v>5201</v>
      </c>
      <c r="L4311">
        <v>8</v>
      </c>
      <c r="O4311" t="s">
        <v>30</v>
      </c>
      <c r="P4311" t="s">
        <v>50</v>
      </c>
      <c r="S4311" t="s">
        <v>214</v>
      </c>
      <c r="T4311" t="s">
        <v>6471</v>
      </c>
      <c r="U4311" t="s">
        <v>6472</v>
      </c>
      <c r="V4311" s="3">
        <v>42087</v>
      </c>
    </row>
    <row r="4312" spans="1:22" x14ac:dyDescent="0.35">
      <c r="A4312" s="1">
        <v>42316.82508101852</v>
      </c>
      <c r="B4312" s="2">
        <v>2.9074074074074075E-2</v>
      </c>
      <c r="C4312" t="s">
        <v>7114</v>
      </c>
      <c r="D4312" t="s">
        <v>23</v>
      </c>
      <c r="E4312" t="s">
        <v>24</v>
      </c>
      <c r="F4312" t="s">
        <v>7115</v>
      </c>
      <c r="G4312">
        <v>1788961</v>
      </c>
      <c r="H4312" t="s">
        <v>91</v>
      </c>
      <c r="I4312" t="s">
        <v>69</v>
      </c>
      <c r="J4312" t="str">
        <f>"9781462519514"</f>
        <v>9781462519514</v>
      </c>
      <c r="K4312" t="s">
        <v>7185</v>
      </c>
      <c r="L4312">
        <v>41</v>
      </c>
      <c r="M4312" t="s">
        <v>3837</v>
      </c>
      <c r="O4312" t="s">
        <v>30</v>
      </c>
      <c r="P4312" t="s">
        <v>47</v>
      </c>
      <c r="Q4312" s="1">
        <v>42316.82508101852</v>
      </c>
      <c r="R4312">
        <v>1</v>
      </c>
      <c r="S4312" t="s">
        <v>31</v>
      </c>
      <c r="T4312" t="s">
        <v>7117</v>
      </c>
      <c r="U4312">
        <v>371.10239999999999</v>
      </c>
      <c r="V4312" s="3">
        <v>42006</v>
      </c>
    </row>
    <row r="4313" spans="1:22" x14ac:dyDescent="0.35">
      <c r="A4313" s="1">
        <v>42316.825057870374</v>
      </c>
      <c r="B4313" s="2">
        <v>2.3148148148148147E-5</v>
      </c>
      <c r="C4313" t="s">
        <v>7114</v>
      </c>
      <c r="D4313" t="s">
        <v>23</v>
      </c>
      <c r="E4313" t="s">
        <v>24</v>
      </c>
      <c r="F4313" t="s">
        <v>7115</v>
      </c>
      <c r="G4313">
        <v>1788961</v>
      </c>
      <c r="H4313" t="s">
        <v>91</v>
      </c>
      <c r="I4313" t="s">
        <v>69</v>
      </c>
      <c r="J4313" t="str">
        <f>"9781462519514"</f>
        <v>9781462519514</v>
      </c>
      <c r="L4313">
        <v>0</v>
      </c>
      <c r="O4313" t="s">
        <v>30</v>
      </c>
      <c r="P4313" t="s">
        <v>50</v>
      </c>
      <c r="S4313" t="s">
        <v>31</v>
      </c>
      <c r="T4313" t="s">
        <v>7117</v>
      </c>
      <c r="U4313">
        <v>371.10239999999999</v>
      </c>
      <c r="V4313" s="3">
        <v>42006</v>
      </c>
    </row>
    <row r="4314" spans="1:22" x14ac:dyDescent="0.35">
      <c r="A4314" s="1">
        <v>42316.813425925924</v>
      </c>
      <c r="B4314" s="2">
        <v>1.1631944444444445E-2</v>
      </c>
      <c r="C4314" t="s">
        <v>106</v>
      </c>
      <c r="D4314" t="s">
        <v>23</v>
      </c>
      <c r="E4314" t="s">
        <v>24</v>
      </c>
      <c r="F4314" t="s">
        <v>486</v>
      </c>
      <c r="G4314">
        <v>1119505</v>
      </c>
      <c r="H4314" t="s">
        <v>26</v>
      </c>
      <c r="I4314" t="s">
        <v>450</v>
      </c>
      <c r="J4314" t="str">
        <f>"9781118355015"</f>
        <v>9781118355015</v>
      </c>
      <c r="K4314" t="s">
        <v>7186</v>
      </c>
      <c r="L4314">
        <v>40</v>
      </c>
      <c r="O4314" t="s">
        <v>30</v>
      </c>
      <c r="P4314" t="s">
        <v>29</v>
      </c>
      <c r="Q4314" s="1">
        <v>42314.692002314812</v>
      </c>
      <c r="R4314">
        <v>7</v>
      </c>
      <c r="S4314" t="s">
        <v>31</v>
      </c>
      <c r="T4314" t="s">
        <v>487</v>
      </c>
      <c r="U4314" t="s">
        <v>488</v>
      </c>
      <c r="V4314" s="3">
        <v>41302</v>
      </c>
    </row>
    <row r="4315" spans="1:22" x14ac:dyDescent="0.35">
      <c r="A4315" s="1">
        <v>42316.783182870371</v>
      </c>
      <c r="B4315" s="2">
        <v>1.0416666666666667E-4</v>
      </c>
      <c r="C4315" t="s">
        <v>5438</v>
      </c>
      <c r="D4315" t="s">
        <v>360</v>
      </c>
      <c r="E4315" t="s">
        <v>361</v>
      </c>
      <c r="F4315" t="s">
        <v>1547</v>
      </c>
      <c r="G4315">
        <v>848510</v>
      </c>
      <c r="H4315" t="s">
        <v>26</v>
      </c>
      <c r="I4315" t="s">
        <v>247</v>
      </c>
      <c r="J4315" t="str">
        <f>"9781118220481"</f>
        <v>9781118220481</v>
      </c>
      <c r="K4315" t="s">
        <v>33</v>
      </c>
      <c r="L4315">
        <v>3</v>
      </c>
      <c r="O4315" t="s">
        <v>30</v>
      </c>
      <c r="P4315" t="s">
        <v>29</v>
      </c>
      <c r="Q4315" s="1">
        <v>42312.208506944444</v>
      </c>
      <c r="R4315">
        <v>7</v>
      </c>
      <c r="S4315" t="s">
        <v>363</v>
      </c>
      <c r="T4315" t="s">
        <v>1548</v>
      </c>
      <c r="U4315" t="s">
        <v>1549</v>
      </c>
      <c r="V4315" s="3">
        <v>41066</v>
      </c>
    </row>
    <row r="4316" spans="1:22" x14ac:dyDescent="0.35">
      <c r="A4316" s="1">
        <v>42316.77484953704</v>
      </c>
      <c r="B4316" s="2">
        <v>5.2083333333333333E-4</v>
      </c>
      <c r="C4316" t="s">
        <v>7187</v>
      </c>
      <c r="D4316" t="s">
        <v>35</v>
      </c>
      <c r="E4316" t="s">
        <v>36</v>
      </c>
      <c r="F4316" t="s">
        <v>7188</v>
      </c>
      <c r="G4316">
        <v>1583994</v>
      </c>
      <c r="H4316" t="s">
        <v>526</v>
      </c>
      <c r="I4316" t="s">
        <v>7189</v>
      </c>
      <c r="J4316" t="str">
        <f>"9780226088266"</f>
        <v>9780226088266</v>
      </c>
      <c r="K4316" t="s">
        <v>7190</v>
      </c>
      <c r="L4316">
        <v>11</v>
      </c>
      <c r="O4316" t="s">
        <v>30</v>
      </c>
      <c r="P4316" t="s">
        <v>50</v>
      </c>
      <c r="S4316" t="s">
        <v>40</v>
      </c>
      <c r="T4316" t="s">
        <v>7191</v>
      </c>
      <c r="U4316">
        <v>179.7</v>
      </c>
      <c r="V4316" s="3">
        <v>41649</v>
      </c>
    </row>
    <row r="4317" spans="1:22" x14ac:dyDescent="0.35">
      <c r="A4317" s="1">
        <v>42316.752893518518</v>
      </c>
      <c r="B4317" s="2">
        <v>5.2083333333333333E-4</v>
      </c>
      <c r="C4317" t="s">
        <v>7192</v>
      </c>
      <c r="D4317" t="s">
        <v>23</v>
      </c>
      <c r="E4317" t="s">
        <v>24</v>
      </c>
      <c r="F4317" t="s">
        <v>3943</v>
      </c>
      <c r="G4317">
        <v>836167</v>
      </c>
      <c r="H4317" t="s">
        <v>149</v>
      </c>
      <c r="I4317" t="s">
        <v>3944</v>
      </c>
      <c r="J4317" t="str">
        <f>"9781438139487"</f>
        <v>9781438139487</v>
      </c>
      <c r="K4317" t="s">
        <v>7193</v>
      </c>
      <c r="L4317">
        <v>34</v>
      </c>
      <c r="O4317" t="s">
        <v>30</v>
      </c>
      <c r="P4317" t="s">
        <v>42</v>
      </c>
      <c r="S4317" t="s">
        <v>31</v>
      </c>
      <c r="T4317" t="s">
        <v>3946</v>
      </c>
      <c r="U4317" t="s">
        <v>3947</v>
      </c>
      <c r="V4317" s="3">
        <v>40848</v>
      </c>
    </row>
    <row r="4318" spans="1:22" x14ac:dyDescent="0.35">
      <c r="A4318" s="1">
        <v>42316.747442129628</v>
      </c>
      <c r="B4318" s="2">
        <v>3.4722222222222222E-5</v>
      </c>
      <c r="C4318" t="s">
        <v>7194</v>
      </c>
      <c r="D4318" t="s">
        <v>23</v>
      </c>
      <c r="E4318" t="s">
        <v>24</v>
      </c>
      <c r="F4318" t="s">
        <v>3973</v>
      </c>
      <c r="G4318">
        <v>771049</v>
      </c>
      <c r="H4318" t="s">
        <v>3465</v>
      </c>
      <c r="I4318" t="s">
        <v>3974</v>
      </c>
      <c r="J4318" t="str">
        <f>"9781608706648"</f>
        <v>9781608706648</v>
      </c>
      <c r="K4318" t="s">
        <v>33</v>
      </c>
      <c r="L4318">
        <v>3</v>
      </c>
      <c r="O4318" t="s">
        <v>30</v>
      </c>
      <c r="P4318" t="s">
        <v>42</v>
      </c>
      <c r="S4318" t="s">
        <v>31</v>
      </c>
      <c r="T4318" t="s">
        <v>3976</v>
      </c>
      <c r="U4318">
        <v>363.73874000000001</v>
      </c>
      <c r="V4318" s="3">
        <v>40909</v>
      </c>
    </row>
    <row r="4319" spans="1:22" x14ac:dyDescent="0.35">
      <c r="A4319" s="1">
        <v>42316.747106481482</v>
      </c>
      <c r="B4319" s="2">
        <v>2.3148148148148147E-5</v>
      </c>
      <c r="C4319" t="s">
        <v>7195</v>
      </c>
      <c r="D4319" t="s">
        <v>146</v>
      </c>
      <c r="E4319" t="s">
        <v>147</v>
      </c>
      <c r="F4319" t="s">
        <v>7196</v>
      </c>
      <c r="G4319">
        <v>1991884</v>
      </c>
      <c r="H4319" t="s">
        <v>139</v>
      </c>
      <c r="I4319" t="s">
        <v>120</v>
      </c>
      <c r="J4319" t="str">
        <f>"9780814760499"</f>
        <v>9780814760499</v>
      </c>
      <c r="K4319" t="s">
        <v>33</v>
      </c>
      <c r="L4319">
        <v>3</v>
      </c>
      <c r="O4319" t="s">
        <v>30</v>
      </c>
      <c r="P4319" t="s">
        <v>50</v>
      </c>
      <c r="S4319" t="s">
        <v>7197</v>
      </c>
      <c r="T4319" t="s">
        <v>7198</v>
      </c>
      <c r="U4319" t="s">
        <v>7199</v>
      </c>
      <c r="V4319" s="3">
        <v>42118</v>
      </c>
    </row>
    <row r="4320" spans="1:22" x14ac:dyDescent="0.35">
      <c r="A4320" s="1">
        <v>42316.747106481482</v>
      </c>
      <c r="B4320" s="2">
        <v>1.7824074074074072E-3</v>
      </c>
      <c r="C4320" t="s">
        <v>7192</v>
      </c>
      <c r="D4320" t="s">
        <v>23</v>
      </c>
      <c r="E4320" t="s">
        <v>24</v>
      </c>
      <c r="F4320" t="s">
        <v>3973</v>
      </c>
      <c r="G4320">
        <v>771049</v>
      </c>
      <c r="H4320" t="s">
        <v>3465</v>
      </c>
      <c r="I4320" t="s">
        <v>3974</v>
      </c>
      <c r="J4320" t="str">
        <f>"9781608706648"</f>
        <v>9781608706648</v>
      </c>
      <c r="K4320" t="s">
        <v>7200</v>
      </c>
      <c r="L4320">
        <v>16</v>
      </c>
      <c r="O4320" t="s">
        <v>30</v>
      </c>
      <c r="P4320" t="s">
        <v>29</v>
      </c>
      <c r="Q4320" s="1">
        <v>42316.747094907405</v>
      </c>
      <c r="R4320">
        <v>7</v>
      </c>
      <c r="S4320" t="s">
        <v>31</v>
      </c>
      <c r="T4320" t="s">
        <v>3976</v>
      </c>
      <c r="U4320">
        <v>363.73874000000001</v>
      </c>
      <c r="V4320" s="3">
        <v>40909</v>
      </c>
    </row>
    <row r="4321" spans="1:22" x14ac:dyDescent="0.35">
      <c r="A4321" s="1">
        <v>42316.744039351855</v>
      </c>
      <c r="B4321" s="2">
        <v>0.10112268518518519</v>
      </c>
      <c r="C4321" t="s">
        <v>5219</v>
      </c>
      <c r="D4321" t="s">
        <v>211</v>
      </c>
      <c r="E4321" t="s">
        <v>212</v>
      </c>
      <c r="F4321" t="s">
        <v>462</v>
      </c>
      <c r="G4321">
        <v>1822529</v>
      </c>
      <c r="H4321" t="s">
        <v>26</v>
      </c>
      <c r="I4321" t="s">
        <v>297</v>
      </c>
      <c r="J4321" t="str">
        <f>"9781118824344"</f>
        <v>9781118824344</v>
      </c>
      <c r="K4321" t="s">
        <v>7201</v>
      </c>
      <c r="L4321">
        <v>39</v>
      </c>
      <c r="O4321" t="s">
        <v>30</v>
      </c>
      <c r="P4321" t="s">
        <v>29</v>
      </c>
      <c r="Q4321" s="1">
        <v>42310.831377314818</v>
      </c>
      <c r="R4321">
        <v>7</v>
      </c>
      <c r="S4321" t="s">
        <v>214</v>
      </c>
      <c r="T4321" t="s">
        <v>464</v>
      </c>
      <c r="U4321">
        <v>519.4</v>
      </c>
      <c r="V4321" s="3">
        <v>41932</v>
      </c>
    </row>
    <row r="4322" spans="1:22" x14ac:dyDescent="0.35">
      <c r="A4322" s="1">
        <v>42316.73337962963</v>
      </c>
      <c r="B4322" s="2">
        <v>1.3715277777777778E-2</v>
      </c>
      <c r="C4322" t="s">
        <v>7192</v>
      </c>
      <c r="D4322" t="s">
        <v>23</v>
      </c>
      <c r="E4322" t="s">
        <v>24</v>
      </c>
      <c r="F4322" t="s">
        <v>3973</v>
      </c>
      <c r="G4322">
        <v>771049</v>
      </c>
      <c r="H4322" t="s">
        <v>3465</v>
      </c>
      <c r="I4322" t="s">
        <v>3974</v>
      </c>
      <c r="J4322" t="str">
        <f>"9781608706648"</f>
        <v>9781608706648</v>
      </c>
      <c r="K4322" t="s">
        <v>339</v>
      </c>
      <c r="L4322">
        <v>18</v>
      </c>
      <c r="O4322" t="s">
        <v>30</v>
      </c>
      <c r="P4322" t="s">
        <v>42</v>
      </c>
      <c r="S4322" t="s">
        <v>31</v>
      </c>
      <c r="T4322" t="s">
        <v>3976</v>
      </c>
      <c r="U4322">
        <v>363.73874000000001</v>
      </c>
      <c r="V4322" s="3">
        <v>40909</v>
      </c>
    </row>
    <row r="4323" spans="1:22" x14ac:dyDescent="0.35">
      <c r="A4323" s="1">
        <v>42316.731307870374</v>
      </c>
      <c r="B4323" s="2">
        <v>0.10422453703703705</v>
      </c>
      <c r="C4323" t="s">
        <v>4389</v>
      </c>
      <c r="D4323" t="s">
        <v>35</v>
      </c>
      <c r="E4323" t="s">
        <v>36</v>
      </c>
      <c r="F4323" t="s">
        <v>5531</v>
      </c>
      <c r="G4323">
        <v>1107458</v>
      </c>
      <c r="H4323" t="s">
        <v>1286</v>
      </c>
      <c r="I4323" t="s">
        <v>291</v>
      </c>
      <c r="J4323" t="str">
        <f>"9781476600161"</f>
        <v>9781476600161</v>
      </c>
      <c r="K4323" t="s">
        <v>7202</v>
      </c>
      <c r="L4323">
        <v>22</v>
      </c>
      <c r="O4323" t="s">
        <v>30</v>
      </c>
      <c r="P4323" t="s">
        <v>29</v>
      </c>
      <c r="Q4323" s="1">
        <v>42316.728460648148</v>
      </c>
      <c r="R4323">
        <v>7</v>
      </c>
      <c r="S4323" t="s">
        <v>40</v>
      </c>
      <c r="T4323" t="s">
        <v>5533</v>
      </c>
      <c r="U4323" t="s">
        <v>5534</v>
      </c>
      <c r="V4323" s="3">
        <v>41287</v>
      </c>
    </row>
    <row r="4324" spans="1:22" x14ac:dyDescent="0.35">
      <c r="A4324" s="1">
        <v>42316.728460648148</v>
      </c>
      <c r="B4324" s="2">
        <v>0</v>
      </c>
      <c r="C4324" t="s">
        <v>4389</v>
      </c>
      <c r="D4324" t="s">
        <v>35</v>
      </c>
      <c r="E4324" t="s">
        <v>36</v>
      </c>
      <c r="F4324" t="s">
        <v>5531</v>
      </c>
      <c r="G4324">
        <v>1107458</v>
      </c>
      <c r="H4324" t="s">
        <v>1286</v>
      </c>
      <c r="I4324" t="s">
        <v>291</v>
      </c>
      <c r="J4324" t="str">
        <f>"9781476600161"</f>
        <v>9781476600161</v>
      </c>
      <c r="L4324">
        <v>0</v>
      </c>
      <c r="O4324" t="s">
        <v>28</v>
      </c>
      <c r="P4324" t="s">
        <v>29</v>
      </c>
      <c r="Q4324" s="1">
        <v>42316.728460648148</v>
      </c>
      <c r="R4324">
        <v>7</v>
      </c>
      <c r="S4324" t="s">
        <v>40</v>
      </c>
      <c r="T4324" t="s">
        <v>5533</v>
      </c>
      <c r="U4324" t="s">
        <v>5534</v>
      </c>
      <c r="V4324" s="3">
        <v>41287</v>
      </c>
    </row>
    <row r="4325" spans="1:22" x14ac:dyDescent="0.35">
      <c r="A4325" s="1">
        <v>42316.728460648148</v>
      </c>
      <c r="B4325" s="2">
        <v>0</v>
      </c>
      <c r="C4325" t="s">
        <v>4389</v>
      </c>
      <c r="D4325" t="s">
        <v>35</v>
      </c>
      <c r="E4325" t="s">
        <v>36</v>
      </c>
      <c r="F4325" t="s">
        <v>5531</v>
      </c>
      <c r="G4325">
        <v>1107458</v>
      </c>
      <c r="H4325" t="s">
        <v>1286</v>
      </c>
      <c r="I4325" t="s">
        <v>291</v>
      </c>
      <c r="J4325" t="str">
        <f>"9781476600161"</f>
        <v>9781476600161</v>
      </c>
      <c r="L4325">
        <v>0</v>
      </c>
      <c r="O4325" t="s">
        <v>30</v>
      </c>
      <c r="P4325" t="s">
        <v>29</v>
      </c>
      <c r="Q4325" s="1">
        <v>42316.728460648148</v>
      </c>
      <c r="R4325">
        <v>7</v>
      </c>
      <c r="S4325" t="s">
        <v>40</v>
      </c>
      <c r="T4325" t="s">
        <v>5533</v>
      </c>
      <c r="U4325" t="s">
        <v>5534</v>
      </c>
      <c r="V4325" s="3">
        <v>41287</v>
      </c>
    </row>
    <row r="4326" spans="1:22" x14ac:dyDescent="0.35">
      <c r="A4326" s="1">
        <v>42316.726388888892</v>
      </c>
      <c r="B4326" s="2">
        <v>2.0717592592592593E-3</v>
      </c>
      <c r="C4326" t="s">
        <v>4389</v>
      </c>
      <c r="D4326" t="s">
        <v>35</v>
      </c>
      <c r="E4326" t="s">
        <v>36</v>
      </c>
      <c r="F4326" t="s">
        <v>5531</v>
      </c>
      <c r="G4326">
        <v>1107458</v>
      </c>
      <c r="H4326" t="s">
        <v>1286</v>
      </c>
      <c r="I4326" t="s">
        <v>291</v>
      </c>
      <c r="J4326" t="str">
        <f>"9781476600161"</f>
        <v>9781476600161</v>
      </c>
      <c r="K4326" t="s">
        <v>7203</v>
      </c>
      <c r="L4326">
        <v>4</v>
      </c>
      <c r="O4326" t="s">
        <v>30</v>
      </c>
      <c r="P4326" t="s">
        <v>42</v>
      </c>
      <c r="S4326" t="s">
        <v>40</v>
      </c>
      <c r="T4326" t="s">
        <v>5533</v>
      </c>
      <c r="U4326" t="s">
        <v>5534</v>
      </c>
      <c r="V4326" s="3">
        <v>41287</v>
      </c>
    </row>
    <row r="4327" spans="1:22" x14ac:dyDescent="0.35">
      <c r="A4327" s="1">
        <v>42316.708749999998</v>
      </c>
      <c r="B4327" s="2">
        <v>5.8680555555555543E-3</v>
      </c>
      <c r="C4327" t="s">
        <v>4728</v>
      </c>
      <c r="D4327" t="s">
        <v>623</v>
      </c>
      <c r="E4327" t="s">
        <v>624</v>
      </c>
      <c r="F4327" t="s">
        <v>4494</v>
      </c>
      <c r="G4327">
        <v>565082</v>
      </c>
      <c r="H4327" t="s">
        <v>26</v>
      </c>
      <c r="I4327" t="s">
        <v>69</v>
      </c>
      <c r="J4327" t="str">
        <f>"9781118041567"</f>
        <v>9781118041567</v>
      </c>
      <c r="K4327" t="s">
        <v>7204</v>
      </c>
      <c r="L4327">
        <v>27</v>
      </c>
      <c r="O4327" t="s">
        <v>30</v>
      </c>
      <c r="P4327" t="s">
        <v>29</v>
      </c>
      <c r="Q4327" s="1">
        <v>42312.162627314814</v>
      </c>
      <c r="R4327">
        <v>7</v>
      </c>
      <c r="S4327" t="s">
        <v>627</v>
      </c>
      <c r="T4327" t="s">
        <v>4496</v>
      </c>
      <c r="U4327" t="s">
        <v>4497</v>
      </c>
      <c r="V4327" s="3">
        <v>40337</v>
      </c>
    </row>
    <row r="4328" spans="1:22" x14ac:dyDescent="0.35">
      <c r="A4328" s="1">
        <v>42316.694305555553</v>
      </c>
      <c r="B4328" s="2">
        <v>2.1111111111111108E-2</v>
      </c>
      <c r="C4328" t="s">
        <v>7205</v>
      </c>
      <c r="D4328" t="s">
        <v>35</v>
      </c>
      <c r="E4328" t="s">
        <v>36</v>
      </c>
      <c r="F4328" t="s">
        <v>6521</v>
      </c>
      <c r="G4328">
        <v>362585</v>
      </c>
      <c r="H4328" t="s">
        <v>91</v>
      </c>
      <c r="I4328" t="s">
        <v>69</v>
      </c>
      <c r="J4328" t="str">
        <f>"9781606232316"</f>
        <v>9781606232316</v>
      </c>
      <c r="K4328" t="s">
        <v>7206</v>
      </c>
      <c r="L4328">
        <v>5</v>
      </c>
      <c r="O4328" t="s">
        <v>30</v>
      </c>
      <c r="P4328" t="s">
        <v>47</v>
      </c>
      <c r="Q4328" s="1">
        <v>42316.694293981483</v>
      </c>
      <c r="R4328">
        <v>1</v>
      </c>
      <c r="S4328" t="s">
        <v>40</v>
      </c>
      <c r="T4328" t="s">
        <v>6522</v>
      </c>
      <c r="U4328">
        <v>372.46199999999999</v>
      </c>
      <c r="V4328" s="3">
        <v>41773</v>
      </c>
    </row>
    <row r="4329" spans="1:22" x14ac:dyDescent="0.35">
      <c r="A4329" s="1">
        <v>42316.69054398148</v>
      </c>
      <c r="B4329" s="2">
        <v>3.7500000000000003E-3</v>
      </c>
      <c r="C4329" t="s">
        <v>7205</v>
      </c>
      <c r="D4329" t="s">
        <v>35</v>
      </c>
      <c r="E4329" t="s">
        <v>36</v>
      </c>
      <c r="F4329" t="s">
        <v>6521</v>
      </c>
      <c r="G4329">
        <v>362585</v>
      </c>
      <c r="H4329" t="s">
        <v>91</v>
      </c>
      <c r="I4329" t="s">
        <v>69</v>
      </c>
      <c r="J4329" t="str">
        <f>"9781606232316"</f>
        <v>9781606232316</v>
      </c>
      <c r="K4329" t="s">
        <v>7207</v>
      </c>
      <c r="L4329">
        <v>10</v>
      </c>
      <c r="O4329" t="s">
        <v>30</v>
      </c>
      <c r="P4329" t="s">
        <v>50</v>
      </c>
      <c r="S4329" t="s">
        <v>40</v>
      </c>
      <c r="T4329" t="s">
        <v>6522</v>
      </c>
      <c r="U4329">
        <v>372.46199999999999</v>
      </c>
      <c r="V4329" s="3">
        <v>41773</v>
      </c>
    </row>
    <row r="4330" spans="1:22" x14ac:dyDescent="0.35">
      <c r="A4330" s="1">
        <v>42316.637638888889</v>
      </c>
      <c r="B4330" s="2">
        <v>7.7546296296296304E-4</v>
      </c>
      <c r="C4330" t="s">
        <v>7208</v>
      </c>
      <c r="D4330" t="s">
        <v>23</v>
      </c>
      <c r="E4330" t="s">
        <v>24</v>
      </c>
      <c r="F4330" t="s">
        <v>3758</v>
      </c>
      <c r="G4330">
        <v>1655946</v>
      </c>
      <c r="H4330" t="s">
        <v>91</v>
      </c>
      <c r="I4330" t="s">
        <v>247</v>
      </c>
      <c r="J4330" t="str">
        <f>"9781462514472"</f>
        <v>9781462514472</v>
      </c>
      <c r="K4330" t="s">
        <v>7209</v>
      </c>
      <c r="L4330">
        <v>30</v>
      </c>
      <c r="O4330" t="s">
        <v>30</v>
      </c>
      <c r="P4330" t="s">
        <v>47</v>
      </c>
      <c r="Q4330" s="1">
        <v>42316.637638888889</v>
      </c>
      <c r="R4330">
        <v>1</v>
      </c>
      <c r="S4330" t="s">
        <v>31</v>
      </c>
      <c r="T4330" t="s">
        <v>3760</v>
      </c>
      <c r="U4330">
        <v>616.89008349999995</v>
      </c>
      <c r="V4330" s="3">
        <v>41773</v>
      </c>
    </row>
    <row r="4331" spans="1:22" x14ac:dyDescent="0.35">
      <c r="A4331" s="1">
        <v>42316.624363425923</v>
      </c>
      <c r="B4331" s="2">
        <v>1.3275462962962963E-2</v>
      </c>
      <c r="C4331" t="s">
        <v>7208</v>
      </c>
      <c r="D4331" t="s">
        <v>23</v>
      </c>
      <c r="E4331" t="s">
        <v>24</v>
      </c>
      <c r="F4331" t="s">
        <v>3758</v>
      </c>
      <c r="G4331">
        <v>1655946</v>
      </c>
      <c r="H4331" t="s">
        <v>91</v>
      </c>
      <c r="I4331" t="s">
        <v>247</v>
      </c>
      <c r="J4331" t="str">
        <f>"9781462514472"</f>
        <v>9781462514472</v>
      </c>
      <c r="K4331" t="s">
        <v>98</v>
      </c>
      <c r="L4331">
        <v>7</v>
      </c>
      <c r="O4331" t="s">
        <v>30</v>
      </c>
      <c r="P4331" t="s">
        <v>50</v>
      </c>
      <c r="S4331" t="s">
        <v>31</v>
      </c>
      <c r="T4331" t="s">
        <v>3760</v>
      </c>
      <c r="U4331">
        <v>616.89008349999995</v>
      </c>
      <c r="V4331" s="3">
        <v>41773</v>
      </c>
    </row>
    <row r="4332" spans="1:22" x14ac:dyDescent="0.35">
      <c r="A4332" s="1">
        <v>42316.572314814817</v>
      </c>
      <c r="B4332" s="2">
        <v>1.7731481481481483E-2</v>
      </c>
      <c r="C4332" t="s">
        <v>5438</v>
      </c>
      <c r="D4332" t="s">
        <v>360</v>
      </c>
      <c r="E4332" t="s">
        <v>361</v>
      </c>
      <c r="F4332" t="s">
        <v>4197</v>
      </c>
      <c r="G4332">
        <v>1742841</v>
      </c>
      <c r="H4332" t="s">
        <v>91</v>
      </c>
      <c r="I4332" t="s">
        <v>247</v>
      </c>
      <c r="J4332" t="str">
        <f>"9781462516445"</f>
        <v>9781462516445</v>
      </c>
      <c r="K4332" t="s">
        <v>7210</v>
      </c>
      <c r="L4332">
        <v>27</v>
      </c>
      <c r="O4332" t="s">
        <v>30</v>
      </c>
      <c r="P4332" t="s">
        <v>29</v>
      </c>
      <c r="Q4332" s="1">
        <v>42310.166516203702</v>
      </c>
      <c r="R4332">
        <v>7</v>
      </c>
      <c r="S4332" t="s">
        <v>363</v>
      </c>
      <c r="T4332" t="s">
        <v>4199</v>
      </c>
      <c r="U4332">
        <v>616.85270000000003</v>
      </c>
      <c r="V4332" s="3">
        <v>41934</v>
      </c>
    </row>
    <row r="4333" spans="1:22" x14ac:dyDescent="0.35">
      <c r="A4333" s="1">
        <v>42316.554178240738</v>
      </c>
      <c r="B4333" s="2">
        <v>7.5231481481481471E-4</v>
      </c>
      <c r="C4333" t="s">
        <v>5438</v>
      </c>
      <c r="D4333" t="s">
        <v>360</v>
      </c>
      <c r="E4333" t="s">
        <v>361</v>
      </c>
      <c r="F4333" t="s">
        <v>4197</v>
      </c>
      <c r="G4333">
        <v>1742841</v>
      </c>
      <c r="H4333" t="s">
        <v>91</v>
      </c>
      <c r="I4333" t="s">
        <v>247</v>
      </c>
      <c r="J4333" t="str">
        <f>"9781462516445"</f>
        <v>9781462516445</v>
      </c>
      <c r="K4333" t="s">
        <v>7211</v>
      </c>
      <c r="L4333">
        <v>12</v>
      </c>
      <c r="O4333" t="s">
        <v>30</v>
      </c>
      <c r="P4333" t="s">
        <v>29</v>
      </c>
      <c r="Q4333" s="1">
        <v>42310.166516203702</v>
      </c>
      <c r="R4333">
        <v>7</v>
      </c>
      <c r="S4333" t="s">
        <v>363</v>
      </c>
      <c r="T4333" t="s">
        <v>4199</v>
      </c>
      <c r="U4333">
        <v>616.85270000000003</v>
      </c>
      <c r="V4333" s="3">
        <v>41934</v>
      </c>
    </row>
    <row r="4334" spans="1:22" x14ac:dyDescent="0.35">
      <c r="A4334" s="1">
        <v>42316.539918981478</v>
      </c>
      <c r="B4334" s="2">
        <v>1.4930555555555556E-3</v>
      </c>
      <c r="C4334" t="s">
        <v>7212</v>
      </c>
      <c r="D4334" t="s">
        <v>623</v>
      </c>
      <c r="E4334" t="s">
        <v>624</v>
      </c>
      <c r="F4334" t="s">
        <v>7213</v>
      </c>
      <c r="G4334">
        <v>1501510</v>
      </c>
      <c r="H4334" t="s">
        <v>68</v>
      </c>
      <c r="I4334" t="s">
        <v>120</v>
      </c>
      <c r="J4334" t="str">
        <f>"9781317787556"</f>
        <v>9781317787556</v>
      </c>
      <c r="K4334" t="s">
        <v>7214</v>
      </c>
      <c r="L4334">
        <v>25</v>
      </c>
      <c r="O4334" t="s">
        <v>30</v>
      </c>
      <c r="P4334" t="s">
        <v>50</v>
      </c>
      <c r="S4334" t="s">
        <v>627</v>
      </c>
      <c r="T4334" t="s">
        <v>7215</v>
      </c>
      <c r="U4334">
        <v>362.6071073</v>
      </c>
      <c r="V4334" s="3">
        <v>41570</v>
      </c>
    </row>
    <row r="4335" spans="1:22" x14ac:dyDescent="0.35">
      <c r="A4335" s="1">
        <v>42316.538287037038</v>
      </c>
      <c r="B4335" s="2">
        <v>1.3773148148148147E-3</v>
      </c>
      <c r="C4335" t="s">
        <v>7212</v>
      </c>
      <c r="D4335" t="s">
        <v>623</v>
      </c>
      <c r="E4335" t="s">
        <v>624</v>
      </c>
      <c r="F4335" t="s">
        <v>7216</v>
      </c>
      <c r="G4335">
        <v>1569750</v>
      </c>
      <c r="H4335" t="s">
        <v>68</v>
      </c>
      <c r="I4335" t="s">
        <v>120</v>
      </c>
      <c r="J4335" t="str">
        <f>"9781317837350"</f>
        <v>9781317837350</v>
      </c>
      <c r="K4335" t="s">
        <v>7217</v>
      </c>
      <c r="L4335">
        <v>17</v>
      </c>
      <c r="O4335" t="s">
        <v>30</v>
      </c>
      <c r="P4335" t="s">
        <v>50</v>
      </c>
      <c r="S4335" t="s">
        <v>627</v>
      </c>
      <c r="T4335" t="s">
        <v>7218</v>
      </c>
      <c r="U4335">
        <v>362.60973000000001</v>
      </c>
      <c r="V4335" s="3">
        <v>41604</v>
      </c>
    </row>
    <row r="4336" spans="1:22" x14ac:dyDescent="0.35">
      <c r="A4336" s="1">
        <v>42316.383483796293</v>
      </c>
      <c r="B4336" s="2">
        <v>5.1643518518518526E-2</v>
      </c>
      <c r="C4336" t="s">
        <v>5219</v>
      </c>
      <c r="D4336" t="s">
        <v>211</v>
      </c>
      <c r="E4336" t="s">
        <v>212</v>
      </c>
      <c r="F4336" t="s">
        <v>462</v>
      </c>
      <c r="G4336">
        <v>1822529</v>
      </c>
      <c r="H4336" t="s">
        <v>26</v>
      </c>
      <c r="I4336" t="s">
        <v>297</v>
      </c>
      <c r="J4336" t="str">
        <f>"9781118824344"</f>
        <v>9781118824344</v>
      </c>
      <c r="K4336" t="s">
        <v>7219</v>
      </c>
      <c r="L4336">
        <v>23</v>
      </c>
      <c r="O4336" t="s">
        <v>30</v>
      </c>
      <c r="P4336" t="s">
        <v>29</v>
      </c>
      <c r="Q4336" s="1">
        <v>42310.831377314818</v>
      </c>
      <c r="R4336">
        <v>7</v>
      </c>
      <c r="S4336" t="s">
        <v>214</v>
      </c>
      <c r="T4336" t="s">
        <v>464</v>
      </c>
      <c r="U4336">
        <v>519.4</v>
      </c>
      <c r="V4336" s="3">
        <v>41932</v>
      </c>
    </row>
    <row r="4337" spans="1:22" x14ac:dyDescent="0.35">
      <c r="A4337" s="1">
        <v>42316.276620370372</v>
      </c>
      <c r="B4337" s="2">
        <v>4.2824074074074075E-4</v>
      </c>
      <c r="C4337" t="s">
        <v>7220</v>
      </c>
      <c r="D4337" t="s">
        <v>35</v>
      </c>
      <c r="E4337" t="s">
        <v>36</v>
      </c>
      <c r="F4337" t="s">
        <v>4779</v>
      </c>
      <c r="G4337">
        <v>1839929</v>
      </c>
      <c r="H4337" t="s">
        <v>91</v>
      </c>
      <c r="I4337" t="s">
        <v>247</v>
      </c>
      <c r="J4337" t="str">
        <f>"9781462519873"</f>
        <v>9781462519873</v>
      </c>
      <c r="K4337" t="s">
        <v>7221</v>
      </c>
      <c r="L4337">
        <v>2</v>
      </c>
      <c r="O4337" t="s">
        <v>30</v>
      </c>
      <c r="P4337" t="s">
        <v>47</v>
      </c>
      <c r="Q4337" s="1">
        <v>42316.276620370372</v>
      </c>
      <c r="R4337">
        <v>1</v>
      </c>
      <c r="S4337" t="s">
        <v>40</v>
      </c>
      <c r="T4337" t="s">
        <v>4781</v>
      </c>
      <c r="U4337" t="s">
        <v>4782</v>
      </c>
      <c r="V4337" s="3">
        <v>42060</v>
      </c>
    </row>
    <row r="4338" spans="1:22" x14ac:dyDescent="0.35">
      <c r="A4338" s="1">
        <v>42316.271284722221</v>
      </c>
      <c r="B4338" s="2">
        <v>5.3356481481481484E-3</v>
      </c>
      <c r="C4338" t="s">
        <v>7220</v>
      </c>
      <c r="D4338" t="s">
        <v>35</v>
      </c>
      <c r="E4338" t="s">
        <v>36</v>
      </c>
      <c r="F4338" t="s">
        <v>4779</v>
      </c>
      <c r="G4338">
        <v>1839929</v>
      </c>
      <c r="H4338" t="s">
        <v>91</v>
      </c>
      <c r="I4338" t="s">
        <v>247</v>
      </c>
      <c r="J4338" t="str">
        <f>"9781462519873"</f>
        <v>9781462519873</v>
      </c>
      <c r="K4338" t="s">
        <v>7222</v>
      </c>
      <c r="L4338">
        <v>12</v>
      </c>
      <c r="O4338" t="s">
        <v>30</v>
      </c>
      <c r="P4338" t="s">
        <v>50</v>
      </c>
      <c r="S4338" t="s">
        <v>40</v>
      </c>
      <c r="T4338" t="s">
        <v>4781</v>
      </c>
      <c r="U4338" t="s">
        <v>4782</v>
      </c>
      <c r="V4338" s="3">
        <v>42060</v>
      </c>
    </row>
    <row r="4339" spans="1:22" x14ac:dyDescent="0.35">
      <c r="A4339" s="1">
        <v>42316.270451388889</v>
      </c>
      <c r="B4339" s="2">
        <v>1.9930555555555556E-2</v>
      </c>
      <c r="C4339" t="s">
        <v>6390</v>
      </c>
      <c r="D4339" t="s">
        <v>23</v>
      </c>
      <c r="E4339" t="s">
        <v>24</v>
      </c>
      <c r="F4339" t="s">
        <v>486</v>
      </c>
      <c r="G4339">
        <v>1119505</v>
      </c>
      <c r="H4339" t="s">
        <v>26</v>
      </c>
      <c r="I4339" t="s">
        <v>450</v>
      </c>
      <c r="J4339" t="str">
        <f>"9781118355015"</f>
        <v>9781118355015</v>
      </c>
      <c r="K4339" t="s">
        <v>7223</v>
      </c>
      <c r="L4339">
        <v>27</v>
      </c>
      <c r="O4339" t="s">
        <v>30</v>
      </c>
      <c r="P4339" t="s">
        <v>29</v>
      </c>
      <c r="Q4339" s="1">
        <v>42315.849594907406</v>
      </c>
      <c r="R4339">
        <v>7</v>
      </c>
      <c r="S4339" t="s">
        <v>31</v>
      </c>
      <c r="T4339" t="s">
        <v>487</v>
      </c>
      <c r="U4339" t="s">
        <v>488</v>
      </c>
      <c r="V4339" s="3">
        <v>41302</v>
      </c>
    </row>
    <row r="4340" spans="1:22" x14ac:dyDescent="0.35">
      <c r="A4340" s="1">
        <v>42316.269675925927</v>
      </c>
      <c r="B4340" s="2">
        <v>0</v>
      </c>
      <c r="C4340" t="s">
        <v>6693</v>
      </c>
      <c r="D4340" t="s">
        <v>6396</v>
      </c>
      <c r="E4340" t="s">
        <v>6397</v>
      </c>
      <c r="F4340" t="s">
        <v>7224</v>
      </c>
      <c r="G4340">
        <v>1964836</v>
      </c>
      <c r="H4340" t="s">
        <v>26</v>
      </c>
      <c r="I4340" t="s">
        <v>970</v>
      </c>
      <c r="J4340" t="str">
        <f>"9781118543559"</f>
        <v>9781118543559</v>
      </c>
      <c r="L4340">
        <v>0</v>
      </c>
      <c r="O4340" t="s">
        <v>28</v>
      </c>
      <c r="P4340" t="s">
        <v>29</v>
      </c>
      <c r="Q4340" s="1">
        <v>42316.269675925927</v>
      </c>
      <c r="R4340">
        <v>7</v>
      </c>
      <c r="S4340" t="s">
        <v>6400</v>
      </c>
      <c r="T4340" t="s">
        <v>7225</v>
      </c>
      <c r="U4340" t="s">
        <v>7226</v>
      </c>
      <c r="V4340" s="3">
        <v>42052</v>
      </c>
    </row>
    <row r="4341" spans="1:22" x14ac:dyDescent="0.35">
      <c r="A4341" s="1">
        <v>42316.269675925927</v>
      </c>
      <c r="B4341" s="2">
        <v>0</v>
      </c>
      <c r="C4341" t="s">
        <v>6693</v>
      </c>
      <c r="D4341" t="s">
        <v>6396</v>
      </c>
      <c r="E4341" t="s">
        <v>6397</v>
      </c>
      <c r="F4341" t="s">
        <v>7224</v>
      </c>
      <c r="G4341">
        <v>1964836</v>
      </c>
      <c r="H4341" t="s">
        <v>26</v>
      </c>
      <c r="I4341" t="s">
        <v>970</v>
      </c>
      <c r="J4341" t="str">
        <f>"9781118543559"</f>
        <v>9781118543559</v>
      </c>
      <c r="L4341">
        <v>0</v>
      </c>
      <c r="O4341" t="s">
        <v>30</v>
      </c>
      <c r="P4341" t="s">
        <v>29</v>
      </c>
      <c r="Q4341" s="1">
        <v>42316.269675925927</v>
      </c>
      <c r="R4341">
        <v>7</v>
      </c>
      <c r="S4341" t="s">
        <v>6400</v>
      </c>
      <c r="T4341" t="s">
        <v>7225</v>
      </c>
      <c r="U4341" t="s">
        <v>7226</v>
      </c>
      <c r="V4341" s="3">
        <v>42052</v>
      </c>
    </row>
    <row r="4342" spans="1:22" x14ac:dyDescent="0.35">
      <c r="A4342" s="1">
        <v>42316.268287037034</v>
      </c>
      <c r="B4342" s="2">
        <v>1.3888888888888889E-3</v>
      </c>
      <c r="C4342" t="s">
        <v>6693</v>
      </c>
      <c r="D4342" t="s">
        <v>6396</v>
      </c>
      <c r="E4342" t="s">
        <v>6397</v>
      </c>
      <c r="F4342" t="s">
        <v>7224</v>
      </c>
      <c r="G4342">
        <v>1964836</v>
      </c>
      <c r="H4342" t="s">
        <v>26</v>
      </c>
      <c r="I4342" t="s">
        <v>970</v>
      </c>
      <c r="J4342" t="str">
        <f>"9781118543559"</f>
        <v>9781118543559</v>
      </c>
      <c r="K4342" t="s">
        <v>7227</v>
      </c>
      <c r="L4342">
        <v>16</v>
      </c>
      <c r="O4342" t="s">
        <v>30</v>
      </c>
      <c r="P4342" t="s">
        <v>50</v>
      </c>
      <c r="S4342" t="s">
        <v>6400</v>
      </c>
      <c r="T4342" t="s">
        <v>7225</v>
      </c>
      <c r="U4342" t="s">
        <v>7226</v>
      </c>
      <c r="V4342" s="3">
        <v>42052</v>
      </c>
    </row>
    <row r="4343" spans="1:22" x14ac:dyDescent="0.35">
      <c r="A4343" s="1">
        <v>42316.2655787037</v>
      </c>
      <c r="B4343" s="2">
        <v>1.0671296296296297E-2</v>
      </c>
      <c r="C4343" t="s">
        <v>7228</v>
      </c>
      <c r="D4343" t="s">
        <v>23</v>
      </c>
      <c r="E4343" t="s">
        <v>24</v>
      </c>
      <c r="F4343" t="s">
        <v>7229</v>
      </c>
      <c r="G4343">
        <v>1760734</v>
      </c>
      <c r="H4343" t="s">
        <v>91</v>
      </c>
      <c r="I4343" t="s">
        <v>120</v>
      </c>
      <c r="J4343" t="str">
        <f>"9781462518517"</f>
        <v>9781462518517</v>
      </c>
      <c r="K4343" t="s">
        <v>7230</v>
      </c>
      <c r="L4343">
        <v>63</v>
      </c>
      <c r="O4343" t="s">
        <v>30</v>
      </c>
      <c r="P4343" t="s">
        <v>29</v>
      </c>
      <c r="Q4343" s="1">
        <v>42316.2655787037</v>
      </c>
      <c r="R4343">
        <v>7</v>
      </c>
      <c r="S4343" t="s">
        <v>31</v>
      </c>
      <c r="T4343" t="s">
        <v>7231</v>
      </c>
      <c r="U4343">
        <v>302</v>
      </c>
      <c r="V4343" s="3">
        <v>41955</v>
      </c>
    </row>
    <row r="4344" spans="1:22" x14ac:dyDescent="0.35">
      <c r="A4344" s="1">
        <v>42316.265370370369</v>
      </c>
      <c r="B4344" s="2">
        <v>0</v>
      </c>
      <c r="C4344" t="s">
        <v>6693</v>
      </c>
      <c r="D4344" t="s">
        <v>6396</v>
      </c>
      <c r="E4344" t="s">
        <v>6397</v>
      </c>
      <c r="F4344" t="s">
        <v>7232</v>
      </c>
      <c r="G4344">
        <v>4035485</v>
      </c>
      <c r="H4344" t="s">
        <v>26</v>
      </c>
      <c r="I4344" t="s">
        <v>970</v>
      </c>
      <c r="J4344" t="str">
        <f>"9781118451274"</f>
        <v>9781118451274</v>
      </c>
      <c r="L4344">
        <v>0</v>
      </c>
      <c r="O4344" t="s">
        <v>28</v>
      </c>
      <c r="P4344" t="s">
        <v>47</v>
      </c>
      <c r="Q4344" s="1">
        <v>42316.265370370369</v>
      </c>
      <c r="R4344">
        <v>1</v>
      </c>
      <c r="S4344" t="s">
        <v>6400</v>
      </c>
      <c r="U4344">
        <v>615.78269999999998</v>
      </c>
      <c r="V4344" s="3">
        <v>41838</v>
      </c>
    </row>
    <row r="4345" spans="1:22" x14ac:dyDescent="0.35">
      <c r="A4345" s="1">
        <v>42316.265370370369</v>
      </c>
      <c r="B4345" s="2">
        <v>0</v>
      </c>
      <c r="C4345" t="s">
        <v>6693</v>
      </c>
      <c r="D4345" t="s">
        <v>6396</v>
      </c>
      <c r="E4345" t="s">
        <v>6397</v>
      </c>
      <c r="F4345" t="s">
        <v>7232</v>
      </c>
      <c r="G4345">
        <v>4035485</v>
      </c>
      <c r="H4345" t="s">
        <v>26</v>
      </c>
      <c r="I4345" t="s">
        <v>970</v>
      </c>
      <c r="J4345" t="str">
        <f>"9781118451274"</f>
        <v>9781118451274</v>
      </c>
      <c r="L4345">
        <v>0</v>
      </c>
      <c r="O4345" t="s">
        <v>30</v>
      </c>
      <c r="P4345" t="s">
        <v>47</v>
      </c>
      <c r="Q4345" s="1">
        <v>42316.265370370369</v>
      </c>
      <c r="R4345">
        <v>1</v>
      </c>
      <c r="S4345" t="s">
        <v>6400</v>
      </c>
      <c r="U4345">
        <v>615.78269999999998</v>
      </c>
      <c r="V4345" s="3">
        <v>41838</v>
      </c>
    </row>
    <row r="4346" spans="1:22" x14ac:dyDescent="0.35">
      <c r="A4346" s="1">
        <v>42316.265173611115</v>
      </c>
      <c r="B4346" s="2">
        <v>1.9675925925925926E-4</v>
      </c>
      <c r="C4346" t="s">
        <v>6693</v>
      </c>
      <c r="D4346" t="s">
        <v>6396</v>
      </c>
      <c r="E4346" t="s">
        <v>6397</v>
      </c>
      <c r="F4346" t="s">
        <v>7232</v>
      </c>
      <c r="G4346">
        <v>4035485</v>
      </c>
      <c r="H4346" t="s">
        <v>26</v>
      </c>
      <c r="I4346" t="s">
        <v>970</v>
      </c>
      <c r="J4346" t="str">
        <f>"9781118451274"</f>
        <v>9781118451274</v>
      </c>
      <c r="K4346" t="s">
        <v>33</v>
      </c>
      <c r="L4346">
        <v>3</v>
      </c>
      <c r="O4346" t="s">
        <v>30</v>
      </c>
      <c r="P4346" t="s">
        <v>50</v>
      </c>
      <c r="S4346" t="s">
        <v>6400</v>
      </c>
      <c r="U4346">
        <v>615.78269999999998</v>
      </c>
      <c r="V4346" s="3">
        <v>41838</v>
      </c>
    </row>
    <row r="4347" spans="1:22" x14ac:dyDescent="0.35">
      <c r="A4347" s="1">
        <v>42316.26489583333</v>
      </c>
      <c r="B4347" s="2">
        <v>0</v>
      </c>
      <c r="C4347" t="s">
        <v>6693</v>
      </c>
      <c r="D4347" t="s">
        <v>6396</v>
      </c>
      <c r="E4347" t="s">
        <v>6397</v>
      </c>
      <c r="F4347" t="s">
        <v>7233</v>
      </c>
      <c r="G4347">
        <v>1848227</v>
      </c>
      <c r="H4347" t="s">
        <v>26</v>
      </c>
      <c r="I4347" t="s">
        <v>7234</v>
      </c>
      <c r="J4347" t="str">
        <f>"9781118938300"</f>
        <v>9781118938300</v>
      </c>
      <c r="L4347">
        <v>0</v>
      </c>
      <c r="O4347" t="s">
        <v>28</v>
      </c>
      <c r="P4347" t="s">
        <v>29</v>
      </c>
      <c r="Q4347" s="1">
        <v>42316.26489583333</v>
      </c>
      <c r="R4347">
        <v>7</v>
      </c>
      <c r="S4347" t="s">
        <v>6400</v>
      </c>
      <c r="T4347" t="s">
        <v>7235</v>
      </c>
      <c r="U4347" t="s">
        <v>7236</v>
      </c>
      <c r="V4347" s="3">
        <v>41956</v>
      </c>
    </row>
    <row r="4348" spans="1:22" x14ac:dyDescent="0.35">
      <c r="A4348" s="1">
        <v>42316.26489583333</v>
      </c>
      <c r="B4348" s="2">
        <v>0</v>
      </c>
      <c r="C4348" t="s">
        <v>6693</v>
      </c>
      <c r="D4348" t="s">
        <v>6396</v>
      </c>
      <c r="E4348" t="s">
        <v>6397</v>
      </c>
      <c r="F4348" t="s">
        <v>7233</v>
      </c>
      <c r="G4348">
        <v>1848227</v>
      </c>
      <c r="H4348" t="s">
        <v>26</v>
      </c>
      <c r="I4348" t="s">
        <v>7234</v>
      </c>
      <c r="J4348" t="str">
        <f>"9781118938300"</f>
        <v>9781118938300</v>
      </c>
      <c r="L4348">
        <v>0</v>
      </c>
      <c r="O4348" t="s">
        <v>30</v>
      </c>
      <c r="P4348" t="s">
        <v>29</v>
      </c>
      <c r="Q4348" s="1">
        <v>42316.26489583333</v>
      </c>
      <c r="R4348">
        <v>7</v>
      </c>
      <c r="S4348" t="s">
        <v>6400</v>
      </c>
      <c r="T4348" t="s">
        <v>7235</v>
      </c>
      <c r="U4348" t="s">
        <v>7236</v>
      </c>
      <c r="V4348" s="3">
        <v>41956</v>
      </c>
    </row>
    <row r="4349" spans="1:22" x14ac:dyDescent="0.35">
      <c r="A4349" s="1">
        <v>42316.264756944445</v>
      </c>
      <c r="B4349" s="2">
        <v>1.3888888888888889E-4</v>
      </c>
      <c r="C4349" t="s">
        <v>6693</v>
      </c>
      <c r="D4349" t="s">
        <v>6396</v>
      </c>
      <c r="E4349" t="s">
        <v>6397</v>
      </c>
      <c r="F4349" t="s">
        <v>7233</v>
      </c>
      <c r="G4349">
        <v>1848227</v>
      </c>
      <c r="H4349" t="s">
        <v>26</v>
      </c>
      <c r="I4349" t="s">
        <v>7234</v>
      </c>
      <c r="J4349" t="str">
        <f>"9781118938300"</f>
        <v>9781118938300</v>
      </c>
      <c r="K4349" t="s">
        <v>33</v>
      </c>
      <c r="L4349">
        <v>3</v>
      </c>
      <c r="O4349" t="s">
        <v>30</v>
      </c>
      <c r="P4349" t="s">
        <v>50</v>
      </c>
      <c r="S4349" t="s">
        <v>6400</v>
      </c>
      <c r="T4349" t="s">
        <v>7235</v>
      </c>
      <c r="U4349" t="s">
        <v>7236</v>
      </c>
      <c r="V4349" s="3">
        <v>41956</v>
      </c>
    </row>
    <row r="4350" spans="1:22" x14ac:dyDescent="0.35">
      <c r="A4350" s="1">
        <v>42316.264675925922</v>
      </c>
      <c r="B4350" s="2">
        <v>0</v>
      </c>
      <c r="C4350" t="s">
        <v>6693</v>
      </c>
      <c r="D4350" t="s">
        <v>6396</v>
      </c>
      <c r="E4350" t="s">
        <v>6397</v>
      </c>
      <c r="F4350" t="s">
        <v>7237</v>
      </c>
      <c r="G4350">
        <v>1998742</v>
      </c>
      <c r="H4350" t="s">
        <v>26</v>
      </c>
      <c r="I4350" t="s">
        <v>1608</v>
      </c>
      <c r="J4350" t="str">
        <f>"9781118451663"</f>
        <v>9781118451663</v>
      </c>
      <c r="L4350">
        <v>0</v>
      </c>
      <c r="O4350" t="s">
        <v>28</v>
      </c>
      <c r="P4350" t="s">
        <v>29</v>
      </c>
      <c r="Q4350" s="1">
        <v>42316.264675925922</v>
      </c>
      <c r="R4350">
        <v>7</v>
      </c>
      <c r="S4350" t="s">
        <v>6400</v>
      </c>
      <c r="T4350" t="s">
        <v>7238</v>
      </c>
      <c r="U4350">
        <v>616.07899999999995</v>
      </c>
      <c r="V4350" s="3">
        <v>42192</v>
      </c>
    </row>
    <row r="4351" spans="1:22" x14ac:dyDescent="0.35">
      <c r="A4351" s="1">
        <v>42316.264675925922</v>
      </c>
      <c r="B4351" s="2">
        <v>0</v>
      </c>
      <c r="C4351" t="s">
        <v>6693</v>
      </c>
      <c r="D4351" t="s">
        <v>6396</v>
      </c>
      <c r="E4351" t="s">
        <v>6397</v>
      </c>
      <c r="F4351" t="s">
        <v>7237</v>
      </c>
      <c r="G4351">
        <v>1998742</v>
      </c>
      <c r="H4351" t="s">
        <v>26</v>
      </c>
      <c r="I4351" t="s">
        <v>1608</v>
      </c>
      <c r="J4351" t="str">
        <f>"9781118451663"</f>
        <v>9781118451663</v>
      </c>
      <c r="L4351">
        <v>0</v>
      </c>
      <c r="O4351" t="s">
        <v>30</v>
      </c>
      <c r="P4351" t="s">
        <v>29</v>
      </c>
      <c r="Q4351" s="1">
        <v>42316.264675925922</v>
      </c>
      <c r="R4351">
        <v>7</v>
      </c>
      <c r="S4351" t="s">
        <v>6400</v>
      </c>
      <c r="T4351" t="s">
        <v>7238</v>
      </c>
      <c r="U4351">
        <v>616.07899999999995</v>
      </c>
      <c r="V4351" s="3">
        <v>42192</v>
      </c>
    </row>
    <row r="4352" spans="1:22" x14ac:dyDescent="0.35">
      <c r="A4352" s="1">
        <v>42316.264525462961</v>
      </c>
      <c r="B4352" s="2">
        <v>1.5046296296296297E-4</v>
      </c>
      <c r="C4352" t="s">
        <v>6693</v>
      </c>
      <c r="D4352" t="s">
        <v>6396</v>
      </c>
      <c r="E4352" t="s">
        <v>6397</v>
      </c>
      <c r="F4352" t="s">
        <v>7237</v>
      </c>
      <c r="G4352">
        <v>1998742</v>
      </c>
      <c r="H4352" t="s">
        <v>26</v>
      </c>
      <c r="I4352" t="s">
        <v>1608</v>
      </c>
      <c r="J4352" t="str">
        <f>"9781118451663"</f>
        <v>9781118451663</v>
      </c>
      <c r="K4352" t="s">
        <v>33</v>
      </c>
      <c r="L4352">
        <v>3</v>
      </c>
      <c r="O4352" t="s">
        <v>30</v>
      </c>
      <c r="P4352" t="s">
        <v>42</v>
      </c>
      <c r="S4352" t="s">
        <v>6400</v>
      </c>
      <c r="T4352" t="s">
        <v>7238</v>
      </c>
      <c r="U4352">
        <v>616.07899999999995</v>
      </c>
      <c r="V4352" s="3">
        <v>42192</v>
      </c>
    </row>
    <row r="4353" spans="1:22" x14ac:dyDescent="0.35">
      <c r="A4353" s="1">
        <v>42316.264085648145</v>
      </c>
      <c r="B4353" s="2">
        <v>3.4722222222222222E-5</v>
      </c>
      <c r="C4353" t="s">
        <v>6693</v>
      </c>
      <c r="D4353" t="s">
        <v>6396</v>
      </c>
      <c r="E4353" t="s">
        <v>6397</v>
      </c>
      <c r="F4353" t="s">
        <v>7239</v>
      </c>
      <c r="G4353">
        <v>1851934</v>
      </c>
      <c r="H4353" t="s">
        <v>26</v>
      </c>
      <c r="I4353" t="s">
        <v>247</v>
      </c>
      <c r="J4353" t="str">
        <f>"9781118638415"</f>
        <v>9781118638415</v>
      </c>
      <c r="K4353" t="s">
        <v>33</v>
      </c>
      <c r="L4353">
        <v>3</v>
      </c>
      <c r="O4353" t="s">
        <v>30</v>
      </c>
      <c r="P4353" t="s">
        <v>42</v>
      </c>
      <c r="S4353" t="s">
        <v>6400</v>
      </c>
      <c r="T4353" t="s">
        <v>7240</v>
      </c>
      <c r="U4353">
        <v>616</v>
      </c>
      <c r="V4353" s="3">
        <v>41956</v>
      </c>
    </row>
    <row r="4354" spans="1:22" x14ac:dyDescent="0.35">
      <c r="A4354" s="1">
        <v>42316.263449074075</v>
      </c>
      <c r="B4354" s="2">
        <v>0</v>
      </c>
      <c r="C4354" t="s">
        <v>6693</v>
      </c>
      <c r="D4354" t="s">
        <v>6396</v>
      </c>
      <c r="E4354" t="s">
        <v>6397</v>
      </c>
      <c r="F4354" t="s">
        <v>7241</v>
      </c>
      <c r="G4354">
        <v>1834782</v>
      </c>
      <c r="H4354" t="s">
        <v>26</v>
      </c>
      <c r="I4354" t="s">
        <v>2221</v>
      </c>
      <c r="J4354" t="str">
        <f>"9781118817308"</f>
        <v>9781118817308</v>
      </c>
      <c r="L4354">
        <v>0</v>
      </c>
      <c r="O4354" t="s">
        <v>28</v>
      </c>
      <c r="P4354" t="s">
        <v>29</v>
      </c>
      <c r="Q4354" s="1">
        <v>42316.263449074075</v>
      </c>
      <c r="R4354">
        <v>7</v>
      </c>
      <c r="S4354" t="s">
        <v>6400</v>
      </c>
      <c r="T4354" t="s">
        <v>7242</v>
      </c>
      <c r="U4354">
        <v>612.11</v>
      </c>
      <c r="V4354" s="3">
        <v>41946</v>
      </c>
    </row>
    <row r="4355" spans="1:22" x14ac:dyDescent="0.35">
      <c r="A4355" s="1">
        <v>42316.263449074075</v>
      </c>
      <c r="B4355" s="2">
        <v>0</v>
      </c>
      <c r="C4355" t="s">
        <v>6693</v>
      </c>
      <c r="D4355" t="s">
        <v>6396</v>
      </c>
      <c r="E4355" t="s">
        <v>6397</v>
      </c>
      <c r="F4355" t="s">
        <v>7241</v>
      </c>
      <c r="G4355">
        <v>1834782</v>
      </c>
      <c r="H4355" t="s">
        <v>26</v>
      </c>
      <c r="I4355" t="s">
        <v>2221</v>
      </c>
      <c r="J4355" t="str">
        <f>"9781118817308"</f>
        <v>9781118817308</v>
      </c>
      <c r="L4355">
        <v>0</v>
      </c>
      <c r="O4355" t="s">
        <v>30</v>
      </c>
      <c r="P4355" t="s">
        <v>29</v>
      </c>
      <c r="Q4355" s="1">
        <v>42316.263449074075</v>
      </c>
      <c r="R4355">
        <v>7</v>
      </c>
      <c r="S4355" t="s">
        <v>6400</v>
      </c>
      <c r="T4355" t="s">
        <v>7242</v>
      </c>
      <c r="U4355">
        <v>612.11</v>
      </c>
      <c r="V4355" s="3">
        <v>41946</v>
      </c>
    </row>
    <row r="4356" spans="1:22" x14ac:dyDescent="0.35">
      <c r="A4356" s="1">
        <v>42316.26284722222</v>
      </c>
      <c r="B4356" s="2">
        <v>0</v>
      </c>
      <c r="C4356" t="s">
        <v>6693</v>
      </c>
      <c r="D4356" t="s">
        <v>6396</v>
      </c>
      <c r="E4356" t="s">
        <v>6397</v>
      </c>
      <c r="F4356" t="s">
        <v>7243</v>
      </c>
      <c r="G4356">
        <v>4034050</v>
      </c>
      <c r="H4356" t="s">
        <v>26</v>
      </c>
      <c r="I4356" t="s">
        <v>247</v>
      </c>
      <c r="J4356" t="str">
        <f>"9781118311073"</f>
        <v>9781118311073</v>
      </c>
      <c r="L4356">
        <v>0</v>
      </c>
      <c r="O4356" t="s">
        <v>28</v>
      </c>
      <c r="P4356" t="s">
        <v>47</v>
      </c>
      <c r="Q4356" s="1">
        <v>42316.262835648151</v>
      </c>
      <c r="R4356">
        <v>1</v>
      </c>
      <c r="S4356" t="s">
        <v>6400</v>
      </c>
      <c r="T4356" t="s">
        <v>7244</v>
      </c>
      <c r="U4356">
        <v>616.07000000000005</v>
      </c>
      <c r="V4356" s="3">
        <v>41277</v>
      </c>
    </row>
    <row r="4357" spans="1:22" x14ac:dyDescent="0.35">
      <c r="A4357" s="1">
        <v>42316.26284722222</v>
      </c>
      <c r="B4357" s="2">
        <v>0</v>
      </c>
      <c r="C4357" t="s">
        <v>6693</v>
      </c>
      <c r="D4357" t="s">
        <v>6396</v>
      </c>
      <c r="E4357" t="s">
        <v>6397</v>
      </c>
      <c r="F4357" t="s">
        <v>7243</v>
      </c>
      <c r="G4357">
        <v>4034050</v>
      </c>
      <c r="H4357" t="s">
        <v>26</v>
      </c>
      <c r="I4357" t="s">
        <v>247</v>
      </c>
      <c r="J4357" t="str">
        <f>"9781118311073"</f>
        <v>9781118311073</v>
      </c>
      <c r="L4357">
        <v>0</v>
      </c>
      <c r="O4357" t="s">
        <v>30</v>
      </c>
      <c r="P4357" t="s">
        <v>47</v>
      </c>
      <c r="Q4357" s="1">
        <v>42316.262835648151</v>
      </c>
      <c r="R4357">
        <v>1</v>
      </c>
      <c r="S4357" t="s">
        <v>6400</v>
      </c>
      <c r="T4357" t="s">
        <v>7244</v>
      </c>
      <c r="U4357">
        <v>616.07000000000005</v>
      </c>
      <c r="V4357" s="3">
        <v>41277</v>
      </c>
    </row>
    <row r="4358" spans="1:22" x14ac:dyDescent="0.35">
      <c r="A4358" s="1">
        <v>42316.262662037036</v>
      </c>
      <c r="B4358" s="2">
        <v>0</v>
      </c>
      <c r="C4358" t="s">
        <v>6693</v>
      </c>
      <c r="D4358" t="s">
        <v>6396</v>
      </c>
      <c r="E4358" t="s">
        <v>6397</v>
      </c>
      <c r="F4358" t="s">
        <v>7245</v>
      </c>
      <c r="G4358">
        <v>1584781</v>
      </c>
      <c r="H4358" t="s">
        <v>26</v>
      </c>
      <c r="I4358" t="s">
        <v>970</v>
      </c>
      <c r="J4358" t="str">
        <f>"9781118661765"</f>
        <v>9781118661765</v>
      </c>
      <c r="L4358">
        <v>0</v>
      </c>
      <c r="O4358" t="s">
        <v>28</v>
      </c>
      <c r="P4358" t="s">
        <v>47</v>
      </c>
      <c r="Q4358" s="1">
        <v>42316.262662037036</v>
      </c>
      <c r="R4358">
        <v>1</v>
      </c>
      <c r="S4358" t="s">
        <v>6400</v>
      </c>
      <c r="T4358" t="s">
        <v>7246</v>
      </c>
      <c r="U4358">
        <v>616.024</v>
      </c>
      <c r="V4358" s="3">
        <v>41631</v>
      </c>
    </row>
    <row r="4359" spans="1:22" x14ac:dyDescent="0.35">
      <c r="A4359" s="1">
        <v>42316.262662037036</v>
      </c>
      <c r="B4359" s="2">
        <v>0</v>
      </c>
      <c r="C4359" t="s">
        <v>6693</v>
      </c>
      <c r="D4359" t="s">
        <v>6396</v>
      </c>
      <c r="E4359" t="s">
        <v>6397</v>
      </c>
      <c r="F4359" t="s">
        <v>7245</v>
      </c>
      <c r="G4359">
        <v>1584781</v>
      </c>
      <c r="H4359" t="s">
        <v>26</v>
      </c>
      <c r="I4359" t="s">
        <v>970</v>
      </c>
      <c r="J4359" t="str">
        <f>"9781118661765"</f>
        <v>9781118661765</v>
      </c>
      <c r="L4359">
        <v>0</v>
      </c>
      <c r="O4359" t="s">
        <v>30</v>
      </c>
      <c r="P4359" t="s">
        <v>47</v>
      </c>
      <c r="Q4359" s="1">
        <v>42316.262662037036</v>
      </c>
      <c r="R4359">
        <v>1</v>
      </c>
      <c r="S4359" t="s">
        <v>6400</v>
      </c>
      <c r="T4359" t="s">
        <v>7246</v>
      </c>
      <c r="U4359">
        <v>616.024</v>
      </c>
      <c r="V4359" s="3">
        <v>41631</v>
      </c>
    </row>
    <row r="4360" spans="1:22" x14ac:dyDescent="0.35">
      <c r="A4360" s="1">
        <v>42316.262476851851</v>
      </c>
      <c r="B4360" s="2">
        <v>1.8518518518518518E-4</v>
      </c>
      <c r="C4360" t="s">
        <v>6693</v>
      </c>
      <c r="D4360" t="s">
        <v>6396</v>
      </c>
      <c r="E4360" t="s">
        <v>6397</v>
      </c>
      <c r="F4360" t="s">
        <v>7245</v>
      </c>
      <c r="G4360">
        <v>1584781</v>
      </c>
      <c r="H4360" t="s">
        <v>26</v>
      </c>
      <c r="I4360" t="s">
        <v>970</v>
      </c>
      <c r="J4360" t="str">
        <f>"9781118661765"</f>
        <v>9781118661765</v>
      </c>
      <c r="K4360" t="s">
        <v>33</v>
      </c>
      <c r="L4360">
        <v>3</v>
      </c>
      <c r="O4360" t="s">
        <v>30</v>
      </c>
      <c r="P4360" t="s">
        <v>50</v>
      </c>
      <c r="S4360" t="s">
        <v>6400</v>
      </c>
      <c r="T4360" t="s">
        <v>7246</v>
      </c>
      <c r="U4360">
        <v>616.024</v>
      </c>
      <c r="V4360" s="3">
        <v>41631</v>
      </c>
    </row>
    <row r="4361" spans="1:22" x14ac:dyDescent="0.35">
      <c r="A4361" s="1">
        <v>42316.262384259258</v>
      </c>
      <c r="B4361" s="2">
        <v>1.0648148148148147E-3</v>
      </c>
      <c r="C4361" t="s">
        <v>6693</v>
      </c>
      <c r="D4361" t="s">
        <v>6396</v>
      </c>
      <c r="E4361" t="s">
        <v>6397</v>
      </c>
      <c r="F4361" t="s">
        <v>7241</v>
      </c>
      <c r="G4361">
        <v>1834782</v>
      </c>
      <c r="H4361" t="s">
        <v>26</v>
      </c>
      <c r="I4361" t="s">
        <v>2221</v>
      </c>
      <c r="J4361" t="str">
        <f>"9781118817308"</f>
        <v>9781118817308</v>
      </c>
      <c r="K4361" t="s">
        <v>7247</v>
      </c>
      <c r="L4361">
        <v>10</v>
      </c>
      <c r="O4361" t="s">
        <v>30</v>
      </c>
      <c r="P4361" t="s">
        <v>50</v>
      </c>
      <c r="S4361" t="s">
        <v>6400</v>
      </c>
      <c r="T4361" t="s">
        <v>7242</v>
      </c>
      <c r="U4361">
        <v>612.11</v>
      </c>
      <c r="V4361" s="3">
        <v>41946</v>
      </c>
    </row>
    <row r="4362" spans="1:22" x14ac:dyDescent="0.35">
      <c r="A4362" s="1">
        <v>42316.262233796297</v>
      </c>
      <c r="B4362" s="2">
        <v>6.018518518518519E-4</v>
      </c>
      <c r="C4362" t="s">
        <v>6693</v>
      </c>
      <c r="D4362" t="s">
        <v>6396</v>
      </c>
      <c r="E4362" t="s">
        <v>6397</v>
      </c>
      <c r="F4362" t="s">
        <v>7243</v>
      </c>
      <c r="G4362">
        <v>4034050</v>
      </c>
      <c r="H4362" t="s">
        <v>26</v>
      </c>
      <c r="I4362" t="s">
        <v>247</v>
      </c>
      <c r="J4362" t="str">
        <f>"9781118311073"</f>
        <v>9781118311073</v>
      </c>
      <c r="K4362" t="s">
        <v>33</v>
      </c>
      <c r="L4362">
        <v>3</v>
      </c>
      <c r="O4362" t="s">
        <v>30</v>
      </c>
      <c r="P4362" t="s">
        <v>50</v>
      </c>
      <c r="S4362" t="s">
        <v>6400</v>
      </c>
      <c r="T4362" t="s">
        <v>7244</v>
      </c>
      <c r="U4362">
        <v>616.07000000000005</v>
      </c>
      <c r="V4362" s="3">
        <v>41277</v>
      </c>
    </row>
    <row r="4363" spans="1:22" x14ac:dyDescent="0.35">
      <c r="A4363" s="1">
        <v>42316.261134259257</v>
      </c>
      <c r="B4363" s="2">
        <v>0</v>
      </c>
      <c r="C4363" t="s">
        <v>6693</v>
      </c>
      <c r="D4363" t="s">
        <v>6396</v>
      </c>
      <c r="E4363" t="s">
        <v>6397</v>
      </c>
      <c r="F4363" t="s">
        <v>7248</v>
      </c>
      <c r="G4363">
        <v>4033603</v>
      </c>
      <c r="H4363" t="s">
        <v>26</v>
      </c>
      <c r="I4363" t="s">
        <v>247</v>
      </c>
      <c r="J4363" t="str">
        <f>"9781118272121"</f>
        <v>9781118272121</v>
      </c>
      <c r="L4363">
        <v>0</v>
      </c>
      <c r="O4363" t="s">
        <v>28</v>
      </c>
      <c r="P4363" t="s">
        <v>47</v>
      </c>
      <c r="Q4363" s="1">
        <v>42316.261134259257</v>
      </c>
      <c r="R4363">
        <v>1</v>
      </c>
      <c r="S4363" t="s">
        <v>6400</v>
      </c>
      <c r="T4363" t="s">
        <v>7249</v>
      </c>
      <c r="U4363">
        <v>616.07560000000001</v>
      </c>
      <c r="V4363" s="3">
        <v>41488</v>
      </c>
    </row>
    <row r="4364" spans="1:22" x14ac:dyDescent="0.35">
      <c r="A4364" s="1">
        <v>42316.261134259257</v>
      </c>
      <c r="B4364" s="2">
        <v>0</v>
      </c>
      <c r="C4364" t="s">
        <v>6693</v>
      </c>
      <c r="D4364" t="s">
        <v>6396</v>
      </c>
      <c r="E4364" t="s">
        <v>6397</v>
      </c>
      <c r="F4364" t="s">
        <v>7248</v>
      </c>
      <c r="G4364">
        <v>4033603</v>
      </c>
      <c r="H4364" t="s">
        <v>26</v>
      </c>
      <c r="I4364" t="s">
        <v>247</v>
      </c>
      <c r="J4364" t="str">
        <f>"9781118272121"</f>
        <v>9781118272121</v>
      </c>
      <c r="L4364">
        <v>0</v>
      </c>
      <c r="O4364" t="s">
        <v>30</v>
      </c>
      <c r="P4364" t="s">
        <v>47</v>
      </c>
      <c r="Q4364" s="1">
        <v>42316.261134259257</v>
      </c>
      <c r="R4364">
        <v>1</v>
      </c>
      <c r="S4364" t="s">
        <v>6400</v>
      </c>
      <c r="T4364" t="s">
        <v>7249</v>
      </c>
      <c r="U4364">
        <v>616.07560000000001</v>
      </c>
      <c r="V4364" s="3">
        <v>41488</v>
      </c>
    </row>
    <row r="4365" spans="1:22" x14ac:dyDescent="0.35">
      <c r="A4365" s="1">
        <v>42316.260729166665</v>
      </c>
      <c r="B4365" s="2">
        <v>4.0509259259259258E-4</v>
      </c>
      <c r="C4365" t="s">
        <v>6693</v>
      </c>
      <c r="D4365" t="s">
        <v>6396</v>
      </c>
      <c r="E4365" t="s">
        <v>6397</v>
      </c>
      <c r="F4365" t="s">
        <v>7248</v>
      </c>
      <c r="G4365">
        <v>4033603</v>
      </c>
      <c r="H4365" t="s">
        <v>26</v>
      </c>
      <c r="I4365" t="s">
        <v>247</v>
      </c>
      <c r="J4365" t="str">
        <f>"9781118272121"</f>
        <v>9781118272121</v>
      </c>
      <c r="K4365" t="s">
        <v>33</v>
      </c>
      <c r="L4365">
        <v>3</v>
      </c>
      <c r="O4365" t="s">
        <v>30</v>
      </c>
      <c r="P4365" t="s">
        <v>50</v>
      </c>
      <c r="S4365" t="s">
        <v>6400</v>
      </c>
      <c r="T4365" t="s">
        <v>7249</v>
      </c>
      <c r="U4365">
        <v>616.07560000000001</v>
      </c>
      <c r="V4365" s="3">
        <v>41488</v>
      </c>
    </row>
    <row r="4366" spans="1:22" x14ac:dyDescent="0.35">
      <c r="A4366" s="1">
        <v>42316.258344907408</v>
      </c>
      <c r="B4366" s="2">
        <v>7.2222222222222228E-3</v>
      </c>
      <c r="C4366" t="s">
        <v>7228</v>
      </c>
      <c r="D4366" t="s">
        <v>23</v>
      </c>
      <c r="E4366" t="s">
        <v>24</v>
      </c>
      <c r="F4366" t="s">
        <v>7229</v>
      </c>
      <c r="G4366">
        <v>1760734</v>
      </c>
      <c r="H4366" t="s">
        <v>91</v>
      </c>
      <c r="I4366" t="s">
        <v>120</v>
      </c>
      <c r="J4366" t="str">
        <f>"9781462518517"</f>
        <v>9781462518517</v>
      </c>
      <c r="K4366" t="s">
        <v>33</v>
      </c>
      <c r="L4366">
        <v>3</v>
      </c>
      <c r="O4366" t="s">
        <v>30</v>
      </c>
      <c r="P4366" t="s">
        <v>50</v>
      </c>
      <c r="S4366" t="s">
        <v>31</v>
      </c>
      <c r="T4366" t="s">
        <v>7231</v>
      </c>
      <c r="U4366">
        <v>302</v>
      </c>
      <c r="V4366" s="3">
        <v>41955</v>
      </c>
    </row>
    <row r="4367" spans="1:22" x14ac:dyDescent="0.35">
      <c r="A4367" s="1">
        <v>42316.217141203706</v>
      </c>
      <c r="B4367" s="2">
        <v>1.0590277777777777E-2</v>
      </c>
      <c r="C4367" t="s">
        <v>7138</v>
      </c>
      <c r="D4367" t="s">
        <v>360</v>
      </c>
      <c r="E4367" t="s">
        <v>361</v>
      </c>
      <c r="F4367" t="s">
        <v>4289</v>
      </c>
      <c r="G4367">
        <v>1120621</v>
      </c>
      <c r="H4367" t="s">
        <v>26</v>
      </c>
      <c r="I4367" t="s">
        <v>69</v>
      </c>
      <c r="J4367" t="str">
        <f>"9781118362679"</f>
        <v>9781118362679</v>
      </c>
      <c r="K4367" t="s">
        <v>7250</v>
      </c>
      <c r="L4367">
        <v>86</v>
      </c>
      <c r="O4367" t="s">
        <v>30</v>
      </c>
      <c r="P4367" t="s">
        <v>29</v>
      </c>
      <c r="Q4367" s="1">
        <v>42315.914560185185</v>
      </c>
      <c r="R4367">
        <v>7</v>
      </c>
      <c r="S4367" t="s">
        <v>363</v>
      </c>
      <c r="T4367" t="s">
        <v>4290</v>
      </c>
      <c r="U4367" t="s">
        <v>4291</v>
      </c>
      <c r="V4367" s="3">
        <v>41136</v>
      </c>
    </row>
    <row r="4368" spans="1:22" x14ac:dyDescent="0.35">
      <c r="A4368" s="1">
        <v>42316.195451388892</v>
      </c>
      <c r="B4368" s="2">
        <v>4.6874999999999998E-3</v>
      </c>
      <c r="C4368" t="s">
        <v>7138</v>
      </c>
      <c r="D4368" t="s">
        <v>360</v>
      </c>
      <c r="E4368" t="s">
        <v>361</v>
      </c>
      <c r="F4368" t="s">
        <v>7150</v>
      </c>
      <c r="G4368">
        <v>332602</v>
      </c>
      <c r="H4368" t="s">
        <v>26</v>
      </c>
      <c r="I4368" t="s">
        <v>69</v>
      </c>
      <c r="J4368" t="str">
        <f>"9780631227885"</f>
        <v>9780631227885</v>
      </c>
      <c r="K4368" t="s">
        <v>7251</v>
      </c>
      <c r="L4368">
        <v>37</v>
      </c>
      <c r="O4368" t="s">
        <v>30</v>
      </c>
      <c r="P4368" t="s">
        <v>29</v>
      </c>
      <c r="Q4368" s="1">
        <v>42310.868194444447</v>
      </c>
      <c r="R4368">
        <v>7</v>
      </c>
      <c r="S4368" t="s">
        <v>363</v>
      </c>
      <c r="T4368" t="s">
        <v>7151</v>
      </c>
      <c r="U4368" t="s">
        <v>7152</v>
      </c>
      <c r="V4368" s="3">
        <v>41424</v>
      </c>
    </row>
    <row r="4369" spans="1:22" x14ac:dyDescent="0.35">
      <c r="A4369" s="1">
        <v>42316.173402777778</v>
      </c>
      <c r="B4369" s="2">
        <v>1.6782407407407406E-3</v>
      </c>
      <c r="C4369" t="s">
        <v>3423</v>
      </c>
      <c r="D4369" t="s">
        <v>261</v>
      </c>
      <c r="E4369" t="s">
        <v>262</v>
      </c>
      <c r="F4369" t="s">
        <v>7252</v>
      </c>
      <c r="G4369">
        <v>1819685</v>
      </c>
      <c r="H4369" t="s">
        <v>26</v>
      </c>
      <c r="I4369" t="s">
        <v>7253</v>
      </c>
      <c r="J4369" t="str">
        <f>"9780745686646"</f>
        <v>9780745686646</v>
      </c>
      <c r="K4369" t="s">
        <v>7254</v>
      </c>
      <c r="L4369">
        <v>7</v>
      </c>
      <c r="O4369" t="s">
        <v>30</v>
      </c>
      <c r="P4369" t="s">
        <v>47</v>
      </c>
      <c r="Q4369" s="1">
        <v>42316.173391203702</v>
      </c>
      <c r="R4369">
        <v>1</v>
      </c>
      <c r="S4369" t="s">
        <v>264</v>
      </c>
      <c r="T4369" t="s">
        <v>7255</v>
      </c>
      <c r="U4369">
        <v>325.10000000000002</v>
      </c>
      <c r="V4369" s="3">
        <v>41928</v>
      </c>
    </row>
    <row r="4370" spans="1:22" x14ac:dyDescent="0.35">
      <c r="A4370" s="1">
        <v>42316.170578703706</v>
      </c>
      <c r="B4370" s="2">
        <v>4.6296296296296294E-5</v>
      </c>
      <c r="C4370" t="s">
        <v>6693</v>
      </c>
      <c r="D4370" t="s">
        <v>6396</v>
      </c>
      <c r="E4370" t="s">
        <v>6397</v>
      </c>
      <c r="F4370" t="s">
        <v>7248</v>
      </c>
      <c r="G4370">
        <v>4033603</v>
      </c>
      <c r="H4370" t="s">
        <v>26</v>
      </c>
      <c r="I4370" t="s">
        <v>247</v>
      </c>
      <c r="J4370" t="str">
        <f>"9781118272121"</f>
        <v>9781118272121</v>
      </c>
      <c r="K4370" t="s">
        <v>33</v>
      </c>
      <c r="L4370">
        <v>3</v>
      </c>
      <c r="O4370" t="s">
        <v>30</v>
      </c>
      <c r="P4370" t="s">
        <v>50</v>
      </c>
      <c r="S4370" t="s">
        <v>6400</v>
      </c>
      <c r="T4370" t="s">
        <v>7249</v>
      </c>
      <c r="U4370">
        <v>616.07560000000001</v>
      </c>
      <c r="V4370" s="3">
        <v>41488</v>
      </c>
    </row>
    <row r="4371" spans="1:22" x14ac:dyDescent="0.35">
      <c r="A4371" s="1">
        <v>42316.169050925928</v>
      </c>
      <c r="B4371" s="2">
        <v>4.340277777777778E-3</v>
      </c>
      <c r="C4371" t="s">
        <v>3423</v>
      </c>
      <c r="D4371" t="s">
        <v>261</v>
      </c>
      <c r="E4371" t="s">
        <v>262</v>
      </c>
      <c r="F4371" t="s">
        <v>7252</v>
      </c>
      <c r="G4371">
        <v>1819685</v>
      </c>
      <c r="H4371" t="s">
        <v>26</v>
      </c>
      <c r="I4371" t="s">
        <v>7253</v>
      </c>
      <c r="J4371" t="str">
        <f>"9780745686646"</f>
        <v>9780745686646</v>
      </c>
      <c r="K4371" t="s">
        <v>1964</v>
      </c>
      <c r="L4371">
        <v>22</v>
      </c>
      <c r="O4371" t="s">
        <v>30</v>
      </c>
      <c r="P4371" t="s">
        <v>50</v>
      </c>
      <c r="S4371" t="s">
        <v>264</v>
      </c>
      <c r="T4371" t="s">
        <v>7255</v>
      </c>
      <c r="U4371">
        <v>325.10000000000002</v>
      </c>
      <c r="V4371" s="3">
        <v>41928</v>
      </c>
    </row>
    <row r="4372" spans="1:22" x14ac:dyDescent="0.35">
      <c r="A4372" s="1">
        <v>42316.165833333333</v>
      </c>
      <c r="B4372" s="2">
        <v>3.4722222222222222E-5</v>
      </c>
      <c r="C4372" t="s">
        <v>6693</v>
      </c>
      <c r="D4372" t="s">
        <v>6396</v>
      </c>
      <c r="E4372" t="s">
        <v>6397</v>
      </c>
      <c r="F4372" t="s">
        <v>7256</v>
      </c>
      <c r="G4372">
        <v>1762077</v>
      </c>
      <c r="H4372" t="s">
        <v>26</v>
      </c>
      <c r="I4372" t="s">
        <v>247</v>
      </c>
      <c r="J4372" t="str">
        <f>"9781118914908"</f>
        <v>9781118914908</v>
      </c>
      <c r="K4372" t="s">
        <v>3050</v>
      </c>
      <c r="L4372">
        <v>3</v>
      </c>
      <c r="O4372" t="s">
        <v>30</v>
      </c>
      <c r="P4372" t="s">
        <v>42</v>
      </c>
      <c r="S4372" t="s">
        <v>6400</v>
      </c>
      <c r="T4372" t="s">
        <v>7257</v>
      </c>
      <c r="U4372">
        <v>616.07500000000005</v>
      </c>
      <c r="V4372" s="3">
        <v>41856</v>
      </c>
    </row>
    <row r="4373" spans="1:22" x14ac:dyDescent="0.35">
      <c r="A4373" s="1">
        <v>42316.157696759263</v>
      </c>
      <c r="B4373" s="2">
        <v>2.9976851851851848E-3</v>
      </c>
      <c r="C4373" t="s">
        <v>6693</v>
      </c>
      <c r="D4373" t="s">
        <v>6396</v>
      </c>
      <c r="E4373" t="s">
        <v>6397</v>
      </c>
      <c r="F4373" t="s">
        <v>7258</v>
      </c>
      <c r="G4373">
        <v>1847931</v>
      </c>
      <c r="H4373" t="s">
        <v>26</v>
      </c>
      <c r="I4373" t="s">
        <v>247</v>
      </c>
      <c r="J4373" t="str">
        <f>"9781118850978"</f>
        <v>9781118850978</v>
      </c>
      <c r="K4373" t="s">
        <v>7259</v>
      </c>
      <c r="L4373">
        <v>48</v>
      </c>
      <c r="O4373" t="s">
        <v>30</v>
      </c>
      <c r="P4373" t="s">
        <v>50</v>
      </c>
      <c r="S4373" t="s">
        <v>6400</v>
      </c>
      <c r="T4373" t="s">
        <v>7260</v>
      </c>
      <c r="U4373">
        <v>616.5</v>
      </c>
      <c r="V4373" s="3">
        <v>41954</v>
      </c>
    </row>
    <row r="4374" spans="1:22" x14ac:dyDescent="0.35">
      <c r="A4374" s="1">
        <v>42316.120567129627</v>
      </c>
      <c r="B4374" s="2">
        <v>2.0682870370370372E-2</v>
      </c>
      <c r="C4374" t="s">
        <v>7261</v>
      </c>
      <c r="D4374" t="s">
        <v>623</v>
      </c>
      <c r="E4374" t="s">
        <v>624</v>
      </c>
      <c r="F4374" t="s">
        <v>7262</v>
      </c>
      <c r="G4374">
        <v>1895314</v>
      </c>
      <c r="H4374" t="s">
        <v>26</v>
      </c>
      <c r="I4374" t="s">
        <v>7263</v>
      </c>
      <c r="J4374" t="str">
        <f>"9781119052531"</f>
        <v>9781119052531</v>
      </c>
      <c r="K4374" t="s">
        <v>7264</v>
      </c>
      <c r="L4374">
        <v>53</v>
      </c>
      <c r="O4374" t="s">
        <v>30</v>
      </c>
      <c r="P4374" t="s">
        <v>47</v>
      </c>
      <c r="Q4374" s="1">
        <v>42315.734594907408</v>
      </c>
      <c r="R4374">
        <v>1</v>
      </c>
      <c r="S4374" t="s">
        <v>627</v>
      </c>
      <c r="T4374" t="s">
        <v>7265</v>
      </c>
      <c r="U4374">
        <v>641.56309999999996</v>
      </c>
      <c r="V4374" s="3">
        <v>42157</v>
      </c>
    </row>
    <row r="4375" spans="1:22" x14ac:dyDescent="0.35">
      <c r="A4375" s="1">
        <v>42316.066192129627</v>
      </c>
      <c r="B4375" s="2">
        <v>5.5879629629629633E-2</v>
      </c>
      <c r="C4375" t="s">
        <v>7138</v>
      </c>
      <c r="D4375" t="s">
        <v>360</v>
      </c>
      <c r="E4375" t="s">
        <v>361</v>
      </c>
      <c r="F4375" t="s">
        <v>4289</v>
      </c>
      <c r="G4375">
        <v>1120621</v>
      </c>
      <c r="H4375" t="s">
        <v>26</v>
      </c>
      <c r="I4375" t="s">
        <v>69</v>
      </c>
      <c r="J4375" t="str">
        <f>"9781118362679"</f>
        <v>9781118362679</v>
      </c>
      <c r="K4375" t="s">
        <v>7266</v>
      </c>
      <c r="L4375">
        <v>45</v>
      </c>
      <c r="O4375" t="s">
        <v>30</v>
      </c>
      <c r="P4375" t="s">
        <v>29</v>
      </c>
      <c r="Q4375" s="1">
        <v>42315.914560185185</v>
      </c>
      <c r="R4375">
        <v>7</v>
      </c>
      <c r="S4375" t="s">
        <v>363</v>
      </c>
      <c r="T4375" t="s">
        <v>4290</v>
      </c>
      <c r="U4375" t="s">
        <v>4291</v>
      </c>
      <c r="V4375" s="3">
        <v>41136</v>
      </c>
    </row>
    <row r="4376" spans="1:22" x14ac:dyDescent="0.35">
      <c r="A4376" s="1">
        <v>42316.05810185185</v>
      </c>
      <c r="B4376" s="2">
        <v>3.0092592592592595E-4</v>
      </c>
      <c r="C4376" t="s">
        <v>6223</v>
      </c>
      <c r="D4376" t="s">
        <v>623</v>
      </c>
      <c r="E4376" t="s">
        <v>624</v>
      </c>
      <c r="F4376" t="s">
        <v>2354</v>
      </c>
      <c r="G4376">
        <v>3057725</v>
      </c>
      <c r="H4376" t="s">
        <v>26</v>
      </c>
      <c r="I4376" t="s">
        <v>150</v>
      </c>
      <c r="J4376" t="str">
        <f>"9780470099667"</f>
        <v>9780470099667</v>
      </c>
      <c r="K4376" t="s">
        <v>7267</v>
      </c>
      <c r="L4376">
        <v>9</v>
      </c>
      <c r="O4376" t="s">
        <v>30</v>
      </c>
      <c r="P4376" t="s">
        <v>42</v>
      </c>
      <c r="S4376" t="s">
        <v>627</v>
      </c>
      <c r="T4376" t="s">
        <v>2356</v>
      </c>
      <c r="U4376" t="s">
        <v>2357</v>
      </c>
      <c r="V4376" s="3">
        <v>38979</v>
      </c>
    </row>
    <row r="4377" spans="1:22" x14ac:dyDescent="0.35">
      <c r="A4377" s="1">
        <v>42316.035462962966</v>
      </c>
      <c r="B4377" s="2">
        <v>1.0416666666666667E-4</v>
      </c>
      <c r="C4377" t="s">
        <v>5094</v>
      </c>
      <c r="D4377" t="s">
        <v>23</v>
      </c>
      <c r="E4377" t="s">
        <v>24</v>
      </c>
      <c r="F4377" t="s">
        <v>4289</v>
      </c>
      <c r="G4377">
        <v>1120621</v>
      </c>
      <c r="H4377" t="s">
        <v>26</v>
      </c>
      <c r="I4377" t="s">
        <v>69</v>
      </c>
      <c r="J4377" t="str">
        <f>"9781118362679"</f>
        <v>9781118362679</v>
      </c>
      <c r="K4377" t="s">
        <v>33</v>
      </c>
      <c r="L4377">
        <v>3</v>
      </c>
      <c r="O4377" t="s">
        <v>30</v>
      </c>
      <c r="P4377" t="s">
        <v>42</v>
      </c>
      <c r="S4377" t="s">
        <v>31</v>
      </c>
      <c r="T4377" t="s">
        <v>4290</v>
      </c>
      <c r="U4377" t="s">
        <v>4291</v>
      </c>
      <c r="V4377" s="3">
        <v>41136</v>
      </c>
    </row>
    <row r="4378" spans="1:22" x14ac:dyDescent="0.35">
      <c r="A4378" s="1">
        <v>42316.020798611113</v>
      </c>
      <c r="B4378" s="2">
        <v>5.7870370370370366E-5</v>
      </c>
      <c r="C4378" t="s">
        <v>6678</v>
      </c>
      <c r="D4378" t="s">
        <v>35</v>
      </c>
      <c r="E4378" t="s">
        <v>36</v>
      </c>
      <c r="F4378" t="s">
        <v>7268</v>
      </c>
      <c r="G4378">
        <v>1832720</v>
      </c>
      <c r="H4378" t="s">
        <v>26</v>
      </c>
      <c r="I4378" t="s">
        <v>426</v>
      </c>
      <c r="J4378" t="str">
        <f>"9781118610497"</f>
        <v>9781118610497</v>
      </c>
      <c r="K4378" t="s">
        <v>7269</v>
      </c>
      <c r="L4378">
        <v>2</v>
      </c>
      <c r="O4378" t="s">
        <v>30</v>
      </c>
      <c r="P4378" t="s">
        <v>47</v>
      </c>
      <c r="Q4378" s="1">
        <v>42316.020787037036</v>
      </c>
      <c r="R4378">
        <v>1</v>
      </c>
      <c r="S4378" t="s">
        <v>40</v>
      </c>
      <c r="T4378" t="s">
        <v>7270</v>
      </c>
      <c r="U4378" t="s">
        <v>7271</v>
      </c>
      <c r="V4378" s="3">
        <v>41897</v>
      </c>
    </row>
    <row r="4379" spans="1:22" x14ac:dyDescent="0.35">
      <c r="A4379" s="1">
        <v>42316.015428240738</v>
      </c>
      <c r="B4379" s="2">
        <v>5.3587962962962964E-3</v>
      </c>
      <c r="C4379" t="s">
        <v>6678</v>
      </c>
      <c r="D4379" t="s">
        <v>35</v>
      </c>
      <c r="E4379" t="s">
        <v>36</v>
      </c>
      <c r="F4379" t="s">
        <v>7268</v>
      </c>
      <c r="G4379">
        <v>1832720</v>
      </c>
      <c r="H4379" t="s">
        <v>26</v>
      </c>
      <c r="I4379" t="s">
        <v>426</v>
      </c>
      <c r="J4379" t="str">
        <f>"9781118610497"</f>
        <v>9781118610497</v>
      </c>
      <c r="K4379" t="s">
        <v>7272</v>
      </c>
      <c r="L4379">
        <v>15</v>
      </c>
      <c r="O4379" t="s">
        <v>30</v>
      </c>
      <c r="P4379" t="s">
        <v>50</v>
      </c>
      <c r="S4379" t="s">
        <v>40</v>
      </c>
      <c r="T4379" t="s">
        <v>7270</v>
      </c>
      <c r="U4379" t="s">
        <v>7271</v>
      </c>
      <c r="V4379" s="3">
        <v>41897</v>
      </c>
    </row>
    <row r="4380" spans="1:22" x14ac:dyDescent="0.35">
      <c r="A4380" s="1">
        <v>42315.978229166663</v>
      </c>
      <c r="B4380" s="2">
        <v>2.6493055555555558E-2</v>
      </c>
      <c r="C4380" t="s">
        <v>5326</v>
      </c>
      <c r="D4380" t="s">
        <v>23</v>
      </c>
      <c r="E4380" t="s">
        <v>24</v>
      </c>
      <c r="F4380" t="s">
        <v>486</v>
      </c>
      <c r="G4380">
        <v>1119505</v>
      </c>
      <c r="H4380" t="s">
        <v>26</v>
      </c>
      <c r="I4380" t="s">
        <v>450</v>
      </c>
      <c r="J4380" t="str">
        <f>"9781118355015"</f>
        <v>9781118355015</v>
      </c>
      <c r="K4380" t="s">
        <v>7273</v>
      </c>
      <c r="L4380">
        <v>27</v>
      </c>
      <c r="O4380" t="s">
        <v>30</v>
      </c>
      <c r="P4380" t="s">
        <v>29</v>
      </c>
      <c r="Q4380" s="1">
        <v>42313.091331018521</v>
      </c>
      <c r="R4380">
        <v>7</v>
      </c>
      <c r="S4380" t="s">
        <v>31</v>
      </c>
      <c r="T4380" t="s">
        <v>487</v>
      </c>
      <c r="U4380" t="s">
        <v>488</v>
      </c>
      <c r="V4380" s="3">
        <v>41302</v>
      </c>
    </row>
    <row r="4381" spans="1:22" x14ac:dyDescent="0.35">
      <c r="A4381" s="1">
        <v>42315.946886574071</v>
      </c>
      <c r="B4381" s="2">
        <v>0.20442129629629627</v>
      </c>
      <c r="C4381" t="s">
        <v>5438</v>
      </c>
      <c r="D4381" t="s">
        <v>360</v>
      </c>
      <c r="E4381" t="s">
        <v>361</v>
      </c>
      <c r="F4381" t="s">
        <v>4197</v>
      </c>
      <c r="G4381">
        <v>1742841</v>
      </c>
      <c r="H4381" t="s">
        <v>91</v>
      </c>
      <c r="I4381" t="s">
        <v>247</v>
      </c>
      <c r="J4381" t="str">
        <f>"9781462516445"</f>
        <v>9781462516445</v>
      </c>
      <c r="K4381" t="s">
        <v>7274</v>
      </c>
      <c r="L4381">
        <v>49</v>
      </c>
      <c r="O4381" t="s">
        <v>30</v>
      </c>
      <c r="P4381" t="s">
        <v>29</v>
      </c>
      <c r="Q4381" s="1">
        <v>42310.166516203702</v>
      </c>
      <c r="R4381">
        <v>7</v>
      </c>
      <c r="S4381" t="s">
        <v>363</v>
      </c>
      <c r="T4381" t="s">
        <v>4199</v>
      </c>
      <c r="U4381">
        <v>616.85270000000003</v>
      </c>
      <c r="V4381" s="3">
        <v>41934</v>
      </c>
    </row>
    <row r="4382" spans="1:22" x14ac:dyDescent="0.35">
      <c r="A4382" s="1">
        <v>42315.926030092596</v>
      </c>
      <c r="B4382" s="2">
        <v>3.953703703703703E-2</v>
      </c>
      <c r="C4382" t="s">
        <v>6678</v>
      </c>
      <c r="D4382" t="s">
        <v>35</v>
      </c>
      <c r="E4382" t="s">
        <v>36</v>
      </c>
      <c r="F4382" t="s">
        <v>3271</v>
      </c>
      <c r="G4382">
        <v>1895714</v>
      </c>
      <c r="H4382" t="s">
        <v>26</v>
      </c>
      <c r="I4382" t="s">
        <v>172</v>
      </c>
      <c r="J4382" t="str">
        <f>"9781118896112"</f>
        <v>9781118896112</v>
      </c>
      <c r="K4382" t="s">
        <v>7275</v>
      </c>
      <c r="L4382">
        <v>57</v>
      </c>
      <c r="O4382" t="s">
        <v>30</v>
      </c>
      <c r="P4382" t="s">
        <v>29</v>
      </c>
      <c r="Q4382" s="1">
        <v>42315.926018518519</v>
      </c>
      <c r="R4382">
        <v>7</v>
      </c>
      <c r="S4382" t="s">
        <v>40</v>
      </c>
      <c r="T4382" t="s">
        <v>3273</v>
      </c>
      <c r="U4382">
        <v>932</v>
      </c>
      <c r="V4382" s="3">
        <v>42011</v>
      </c>
    </row>
    <row r="4383" spans="1:22" x14ac:dyDescent="0.35">
      <c r="A4383" s="1">
        <v>42315.923055555555</v>
      </c>
      <c r="B4383" s="2">
        <v>3.4722222222222224E-2</v>
      </c>
      <c r="C4383" t="s">
        <v>6518</v>
      </c>
      <c r="D4383" t="s">
        <v>23</v>
      </c>
      <c r="E4383" t="s">
        <v>24</v>
      </c>
      <c r="F4383" t="s">
        <v>486</v>
      </c>
      <c r="G4383">
        <v>1119505</v>
      </c>
      <c r="H4383" t="s">
        <v>26</v>
      </c>
      <c r="I4383" t="s">
        <v>450</v>
      </c>
      <c r="J4383" t="str">
        <f>"9781118355015"</f>
        <v>9781118355015</v>
      </c>
      <c r="K4383" t="s">
        <v>7276</v>
      </c>
      <c r="L4383">
        <v>62</v>
      </c>
      <c r="O4383" t="s">
        <v>30</v>
      </c>
      <c r="P4383" t="s">
        <v>29</v>
      </c>
      <c r="Q4383" s="1">
        <v>42315.848321759258</v>
      </c>
      <c r="R4383">
        <v>7</v>
      </c>
      <c r="S4383" t="s">
        <v>31</v>
      </c>
      <c r="T4383" t="s">
        <v>487</v>
      </c>
      <c r="U4383" t="s">
        <v>488</v>
      </c>
      <c r="V4383" s="3">
        <v>41302</v>
      </c>
    </row>
    <row r="4384" spans="1:22" x14ac:dyDescent="0.35">
      <c r="A4384" s="1">
        <v>42315.921053240738</v>
      </c>
      <c r="B4384" s="2">
        <v>4.9652777777777777E-3</v>
      </c>
      <c r="C4384" t="s">
        <v>6678</v>
      </c>
      <c r="D4384" t="s">
        <v>35</v>
      </c>
      <c r="E4384" t="s">
        <v>36</v>
      </c>
      <c r="F4384" t="s">
        <v>3271</v>
      </c>
      <c r="G4384">
        <v>1895714</v>
      </c>
      <c r="H4384" t="s">
        <v>26</v>
      </c>
      <c r="I4384" t="s">
        <v>172</v>
      </c>
      <c r="J4384" t="str">
        <f>"9781118896112"</f>
        <v>9781118896112</v>
      </c>
      <c r="K4384" t="s">
        <v>7277</v>
      </c>
      <c r="L4384">
        <v>10</v>
      </c>
      <c r="O4384" t="s">
        <v>30</v>
      </c>
      <c r="P4384" t="s">
        <v>50</v>
      </c>
      <c r="S4384" t="s">
        <v>40</v>
      </c>
      <c r="T4384" t="s">
        <v>3273</v>
      </c>
      <c r="U4384">
        <v>932</v>
      </c>
      <c r="V4384" s="3">
        <v>42011</v>
      </c>
    </row>
    <row r="4385" spans="1:22" x14ac:dyDescent="0.35">
      <c r="A4385" s="1">
        <v>42315.914560185185</v>
      </c>
      <c r="B4385" s="2">
        <v>2.5462962962962961E-4</v>
      </c>
      <c r="C4385" t="s">
        <v>7138</v>
      </c>
      <c r="D4385" t="s">
        <v>360</v>
      </c>
      <c r="E4385" t="s">
        <v>361</v>
      </c>
      <c r="F4385" t="s">
        <v>4289</v>
      </c>
      <c r="G4385">
        <v>1120621</v>
      </c>
      <c r="H4385" t="s">
        <v>26</v>
      </c>
      <c r="I4385" t="s">
        <v>69</v>
      </c>
      <c r="J4385" t="str">
        <f>"9781118362679"</f>
        <v>9781118362679</v>
      </c>
      <c r="K4385" t="s">
        <v>7278</v>
      </c>
      <c r="L4385">
        <v>5</v>
      </c>
      <c r="O4385" t="s">
        <v>30</v>
      </c>
      <c r="P4385" t="s">
        <v>29</v>
      </c>
      <c r="Q4385" s="1">
        <v>42315.914560185185</v>
      </c>
      <c r="R4385">
        <v>7</v>
      </c>
      <c r="S4385" t="s">
        <v>363</v>
      </c>
      <c r="T4385" t="s">
        <v>4290</v>
      </c>
      <c r="U4385" t="s">
        <v>4291</v>
      </c>
      <c r="V4385" s="3">
        <v>41136</v>
      </c>
    </row>
    <row r="4386" spans="1:22" x14ac:dyDescent="0.35">
      <c r="A4386" s="1">
        <v>42315.912106481483</v>
      </c>
      <c r="B4386" s="2">
        <v>2.4537037037037036E-3</v>
      </c>
      <c r="C4386" t="s">
        <v>7138</v>
      </c>
      <c r="D4386" t="s">
        <v>360</v>
      </c>
      <c r="E4386" t="s">
        <v>361</v>
      </c>
      <c r="F4386" t="s">
        <v>4289</v>
      </c>
      <c r="G4386">
        <v>1120621</v>
      </c>
      <c r="H4386" t="s">
        <v>26</v>
      </c>
      <c r="I4386" t="s">
        <v>69</v>
      </c>
      <c r="J4386" t="str">
        <f>"9781118362679"</f>
        <v>9781118362679</v>
      </c>
      <c r="K4386" t="s">
        <v>7279</v>
      </c>
      <c r="L4386">
        <v>19</v>
      </c>
      <c r="O4386" t="s">
        <v>30</v>
      </c>
      <c r="P4386" t="s">
        <v>42</v>
      </c>
      <c r="S4386" t="s">
        <v>363</v>
      </c>
      <c r="T4386" t="s">
        <v>4290</v>
      </c>
      <c r="U4386" t="s">
        <v>4291</v>
      </c>
      <c r="V4386" s="3">
        <v>41136</v>
      </c>
    </row>
    <row r="4387" spans="1:22" x14ac:dyDescent="0.35">
      <c r="A4387" s="1">
        <v>42315.900127314817</v>
      </c>
      <c r="B4387" s="2">
        <v>3.2986111111111111E-3</v>
      </c>
      <c r="C4387" t="s">
        <v>106</v>
      </c>
      <c r="D4387" t="s">
        <v>23</v>
      </c>
      <c r="E4387" t="s">
        <v>24</v>
      </c>
      <c r="F4387" t="s">
        <v>4405</v>
      </c>
      <c r="G4387">
        <v>1187185</v>
      </c>
      <c r="H4387" t="s">
        <v>26</v>
      </c>
      <c r="I4387" t="s">
        <v>4406</v>
      </c>
      <c r="J4387" t="str">
        <f>"9781118748183"</f>
        <v>9781118748183</v>
      </c>
      <c r="K4387" t="s">
        <v>7280</v>
      </c>
      <c r="L4387">
        <v>14</v>
      </c>
      <c r="O4387" t="s">
        <v>30</v>
      </c>
      <c r="P4387" t="s">
        <v>29</v>
      </c>
      <c r="Q4387" s="1">
        <v>42313.930532407408</v>
      </c>
      <c r="R4387">
        <v>7</v>
      </c>
      <c r="S4387" t="s">
        <v>31</v>
      </c>
      <c r="T4387" t="s">
        <v>4408</v>
      </c>
      <c r="U4387">
        <v>622.33799999999997</v>
      </c>
      <c r="V4387" s="3">
        <v>41400</v>
      </c>
    </row>
    <row r="4388" spans="1:22" x14ac:dyDescent="0.35">
      <c r="A4388" s="1">
        <v>42315.879675925928</v>
      </c>
      <c r="B4388" s="2">
        <v>4.7453703703703704E-4</v>
      </c>
      <c r="C4388" t="s">
        <v>5438</v>
      </c>
      <c r="D4388" t="s">
        <v>360</v>
      </c>
      <c r="E4388" t="s">
        <v>361</v>
      </c>
      <c r="F4388" t="s">
        <v>515</v>
      </c>
      <c r="G4388">
        <v>1757960</v>
      </c>
      <c r="H4388" t="s">
        <v>26</v>
      </c>
      <c r="I4388" t="s">
        <v>247</v>
      </c>
      <c r="J4388" t="str">
        <f>"9781118780770"</f>
        <v>9781118780770</v>
      </c>
      <c r="K4388" t="s">
        <v>7281</v>
      </c>
      <c r="L4388">
        <v>8</v>
      </c>
      <c r="O4388" t="s">
        <v>30</v>
      </c>
      <c r="P4388" t="s">
        <v>29</v>
      </c>
      <c r="Q4388" s="1">
        <v>42310.084409722222</v>
      </c>
      <c r="R4388">
        <v>7</v>
      </c>
      <c r="S4388" t="s">
        <v>363</v>
      </c>
      <c r="T4388" t="s">
        <v>517</v>
      </c>
      <c r="U4388" t="s">
        <v>518</v>
      </c>
      <c r="V4388" s="3">
        <v>41850</v>
      </c>
    </row>
    <row r="4389" spans="1:22" x14ac:dyDescent="0.35">
      <c r="A4389" s="1">
        <v>42315.854548611111</v>
      </c>
      <c r="B4389" s="2">
        <v>2.7777777777777779E-3</v>
      </c>
      <c r="C4389" t="s">
        <v>7138</v>
      </c>
      <c r="D4389" t="s">
        <v>360</v>
      </c>
      <c r="E4389" t="s">
        <v>361</v>
      </c>
      <c r="F4389" t="s">
        <v>1477</v>
      </c>
      <c r="G4389">
        <v>822111</v>
      </c>
      <c r="H4389" t="s">
        <v>26</v>
      </c>
      <c r="I4389" t="s">
        <v>120</v>
      </c>
      <c r="J4389" t="str">
        <f>"9781444356922"</f>
        <v>9781444356922</v>
      </c>
      <c r="K4389" t="s">
        <v>7282</v>
      </c>
      <c r="L4389">
        <v>7</v>
      </c>
      <c r="O4389" t="s">
        <v>30</v>
      </c>
      <c r="P4389" t="s">
        <v>29</v>
      </c>
      <c r="Q4389" s="1">
        <v>42315.854548611111</v>
      </c>
      <c r="R4389">
        <v>7</v>
      </c>
      <c r="S4389" t="s">
        <v>363</v>
      </c>
      <c r="T4389" t="s">
        <v>1479</v>
      </c>
      <c r="U4389" t="s">
        <v>1480</v>
      </c>
      <c r="V4389" s="3">
        <v>40955</v>
      </c>
    </row>
    <row r="4390" spans="1:22" x14ac:dyDescent="0.35">
      <c r="A4390" s="1">
        <v>42315.851400462961</v>
      </c>
      <c r="B4390" s="2">
        <v>3.1481481481481482E-3</v>
      </c>
      <c r="C4390" t="s">
        <v>7138</v>
      </c>
      <c r="D4390" t="s">
        <v>360</v>
      </c>
      <c r="E4390" t="s">
        <v>361</v>
      </c>
      <c r="F4390" t="s">
        <v>1477</v>
      </c>
      <c r="G4390">
        <v>822111</v>
      </c>
      <c r="H4390" t="s">
        <v>26</v>
      </c>
      <c r="I4390" t="s">
        <v>120</v>
      </c>
      <c r="J4390" t="str">
        <f>"9781444356922"</f>
        <v>9781444356922</v>
      </c>
      <c r="K4390" t="s">
        <v>7283</v>
      </c>
      <c r="L4390">
        <v>11</v>
      </c>
      <c r="O4390" t="s">
        <v>30</v>
      </c>
      <c r="P4390" t="s">
        <v>42</v>
      </c>
      <c r="S4390" t="s">
        <v>363</v>
      </c>
      <c r="T4390" t="s">
        <v>1479</v>
      </c>
      <c r="U4390" t="s">
        <v>1480</v>
      </c>
      <c r="V4390" s="3">
        <v>40955</v>
      </c>
    </row>
    <row r="4391" spans="1:22" x14ac:dyDescent="0.35">
      <c r="A4391" s="1">
        <v>42315.849606481483</v>
      </c>
      <c r="B4391" s="2">
        <v>2.5624999999999998E-2</v>
      </c>
      <c r="C4391" t="s">
        <v>6390</v>
      </c>
      <c r="D4391" t="s">
        <v>23</v>
      </c>
      <c r="E4391" t="s">
        <v>24</v>
      </c>
      <c r="F4391" t="s">
        <v>486</v>
      </c>
      <c r="G4391">
        <v>1119505</v>
      </c>
      <c r="H4391" t="s">
        <v>26</v>
      </c>
      <c r="I4391" t="s">
        <v>450</v>
      </c>
      <c r="J4391" t="str">
        <f>"9781118355015"</f>
        <v>9781118355015</v>
      </c>
      <c r="K4391" t="s">
        <v>7284</v>
      </c>
      <c r="L4391">
        <v>10</v>
      </c>
      <c r="O4391" t="s">
        <v>30</v>
      </c>
      <c r="P4391" t="s">
        <v>29</v>
      </c>
      <c r="Q4391" s="1">
        <v>42315.849594907406</v>
      </c>
      <c r="R4391">
        <v>7</v>
      </c>
      <c r="S4391" t="s">
        <v>31</v>
      </c>
      <c r="T4391" t="s">
        <v>487</v>
      </c>
      <c r="U4391" t="s">
        <v>488</v>
      </c>
      <c r="V4391" s="3">
        <v>41302</v>
      </c>
    </row>
    <row r="4392" spans="1:22" x14ac:dyDescent="0.35">
      <c r="A4392" s="1">
        <v>42315.848333333335</v>
      </c>
      <c r="B4392" s="2">
        <v>0</v>
      </c>
      <c r="C4392" t="s">
        <v>6518</v>
      </c>
      <c r="D4392" t="s">
        <v>23</v>
      </c>
      <c r="E4392" t="s">
        <v>24</v>
      </c>
      <c r="F4392" t="s">
        <v>486</v>
      </c>
      <c r="G4392">
        <v>1119505</v>
      </c>
      <c r="H4392" t="s">
        <v>26</v>
      </c>
      <c r="I4392" t="s">
        <v>450</v>
      </c>
      <c r="J4392" t="str">
        <f>"9781118355015"</f>
        <v>9781118355015</v>
      </c>
      <c r="L4392">
        <v>0</v>
      </c>
      <c r="N4392" t="s">
        <v>7285</v>
      </c>
      <c r="O4392" t="s">
        <v>30</v>
      </c>
      <c r="P4392" t="s">
        <v>29</v>
      </c>
      <c r="Q4392" s="1">
        <v>42315.848321759258</v>
      </c>
      <c r="R4392">
        <v>7</v>
      </c>
      <c r="S4392" t="s">
        <v>31</v>
      </c>
      <c r="T4392" t="s">
        <v>487</v>
      </c>
      <c r="U4392" t="s">
        <v>488</v>
      </c>
      <c r="V4392" s="3">
        <v>41302</v>
      </c>
    </row>
    <row r="4393" spans="1:22" x14ac:dyDescent="0.35">
      <c r="A4393" s="1">
        <v>42315.847986111112</v>
      </c>
      <c r="B4393" s="2">
        <v>3.3564814814814812E-4</v>
      </c>
      <c r="C4393" t="s">
        <v>6518</v>
      </c>
      <c r="D4393" t="s">
        <v>23</v>
      </c>
      <c r="E4393" t="s">
        <v>24</v>
      </c>
      <c r="F4393" t="s">
        <v>486</v>
      </c>
      <c r="G4393">
        <v>1119505</v>
      </c>
      <c r="H4393" t="s">
        <v>26</v>
      </c>
      <c r="I4393" t="s">
        <v>450</v>
      </c>
      <c r="J4393" t="str">
        <f>"9781118355015"</f>
        <v>9781118355015</v>
      </c>
      <c r="K4393" t="s">
        <v>7286</v>
      </c>
      <c r="L4393">
        <v>16</v>
      </c>
      <c r="O4393" t="s">
        <v>30</v>
      </c>
      <c r="P4393" t="s">
        <v>42</v>
      </c>
      <c r="S4393" t="s">
        <v>31</v>
      </c>
      <c r="T4393" t="s">
        <v>487</v>
      </c>
      <c r="U4393" t="s">
        <v>488</v>
      </c>
      <c r="V4393" s="3">
        <v>41302</v>
      </c>
    </row>
    <row r="4394" spans="1:22" x14ac:dyDescent="0.35">
      <c r="A4394" s="1">
        <v>42315.842685185184</v>
      </c>
      <c r="B4394" s="2">
        <v>1.462962962962963E-2</v>
      </c>
      <c r="C4394" t="s">
        <v>7114</v>
      </c>
      <c r="D4394" t="s">
        <v>23</v>
      </c>
      <c r="E4394" t="s">
        <v>24</v>
      </c>
      <c r="F4394" t="s">
        <v>7115</v>
      </c>
      <c r="G4394">
        <v>1788961</v>
      </c>
      <c r="H4394" t="s">
        <v>91</v>
      </c>
      <c r="I4394" t="s">
        <v>69</v>
      </c>
      <c r="J4394" t="str">
        <f>"9781462519514"</f>
        <v>9781462519514</v>
      </c>
      <c r="K4394" t="s">
        <v>7287</v>
      </c>
      <c r="L4394">
        <v>35</v>
      </c>
      <c r="O4394" t="s">
        <v>30</v>
      </c>
      <c r="P4394" t="s">
        <v>47</v>
      </c>
      <c r="Q4394" s="1">
        <v>42315.714884259258</v>
      </c>
      <c r="R4394">
        <v>1</v>
      </c>
      <c r="S4394" t="s">
        <v>31</v>
      </c>
      <c r="T4394" t="s">
        <v>7117</v>
      </c>
      <c r="U4394">
        <v>371.10239999999999</v>
      </c>
      <c r="V4394" s="3">
        <v>42006</v>
      </c>
    </row>
    <row r="4395" spans="1:22" x14ac:dyDescent="0.35">
      <c r="A4395" s="1">
        <v>42315.842280092591</v>
      </c>
      <c r="B4395" s="2">
        <v>7.3148148148148148E-3</v>
      </c>
      <c r="C4395" t="s">
        <v>6390</v>
      </c>
      <c r="D4395" t="s">
        <v>23</v>
      </c>
      <c r="E4395" t="s">
        <v>24</v>
      </c>
      <c r="F4395" t="s">
        <v>486</v>
      </c>
      <c r="G4395">
        <v>1119505</v>
      </c>
      <c r="H4395" t="s">
        <v>26</v>
      </c>
      <c r="I4395" t="s">
        <v>450</v>
      </c>
      <c r="J4395" t="str">
        <f>"9781118355015"</f>
        <v>9781118355015</v>
      </c>
      <c r="K4395" t="s">
        <v>7288</v>
      </c>
      <c r="L4395">
        <v>19</v>
      </c>
      <c r="O4395" t="s">
        <v>30</v>
      </c>
      <c r="P4395" t="s">
        <v>42</v>
      </c>
      <c r="S4395" t="s">
        <v>31</v>
      </c>
      <c r="T4395" t="s">
        <v>487</v>
      </c>
      <c r="U4395" t="s">
        <v>488</v>
      </c>
      <c r="V4395" s="3">
        <v>41302</v>
      </c>
    </row>
    <row r="4396" spans="1:22" x14ac:dyDescent="0.35">
      <c r="A4396" s="1">
        <v>42315.836388888885</v>
      </c>
      <c r="B4396" s="2">
        <v>2.1145833333333332E-2</v>
      </c>
      <c r="C4396" t="s">
        <v>6836</v>
      </c>
      <c r="D4396" t="s">
        <v>23</v>
      </c>
      <c r="E4396" t="s">
        <v>24</v>
      </c>
      <c r="F4396" t="s">
        <v>6837</v>
      </c>
      <c r="G4396">
        <v>1655862</v>
      </c>
      <c r="H4396" t="s">
        <v>613</v>
      </c>
      <c r="I4396" t="s">
        <v>5632</v>
      </c>
      <c r="J4396" t="str">
        <f>"9781469615493"</f>
        <v>9781469615493</v>
      </c>
      <c r="K4396" t="s">
        <v>7289</v>
      </c>
      <c r="L4396">
        <v>3</v>
      </c>
      <c r="O4396" t="s">
        <v>30</v>
      </c>
      <c r="P4396" t="s">
        <v>47</v>
      </c>
      <c r="Q4396" s="1">
        <v>42315.836377314816</v>
      </c>
      <c r="R4396">
        <v>1</v>
      </c>
      <c r="S4396" t="s">
        <v>31</v>
      </c>
      <c r="T4396" t="s">
        <v>6839</v>
      </c>
      <c r="U4396" t="s">
        <v>6840</v>
      </c>
      <c r="V4396" s="3">
        <v>41744</v>
      </c>
    </row>
    <row r="4397" spans="1:22" x14ac:dyDescent="0.35">
      <c r="A4397" s="1">
        <v>42315.833368055559</v>
      </c>
      <c r="B4397" s="2">
        <v>9.9537037037037042E-4</v>
      </c>
      <c r="C4397" t="s">
        <v>5094</v>
      </c>
      <c r="D4397" t="s">
        <v>23</v>
      </c>
      <c r="E4397" t="s">
        <v>24</v>
      </c>
      <c r="F4397" t="s">
        <v>4289</v>
      </c>
      <c r="G4397">
        <v>1120621</v>
      </c>
      <c r="H4397" t="s">
        <v>26</v>
      </c>
      <c r="I4397" t="s">
        <v>69</v>
      </c>
      <c r="J4397" t="str">
        <f>"9781118362679"</f>
        <v>9781118362679</v>
      </c>
      <c r="K4397" t="s">
        <v>7290</v>
      </c>
      <c r="L4397">
        <v>9</v>
      </c>
      <c r="O4397" t="s">
        <v>30</v>
      </c>
      <c r="P4397" t="s">
        <v>42</v>
      </c>
      <c r="S4397" t="s">
        <v>31</v>
      </c>
      <c r="T4397" t="s">
        <v>4290</v>
      </c>
      <c r="U4397" t="s">
        <v>4291</v>
      </c>
      <c r="V4397" s="3">
        <v>41136</v>
      </c>
    </row>
    <row r="4398" spans="1:22" x14ac:dyDescent="0.35">
      <c r="A4398" s="1">
        <v>42315.833136574074</v>
      </c>
      <c r="B4398" s="2">
        <v>3.0092592592592595E-4</v>
      </c>
      <c r="C4398" t="s">
        <v>5438</v>
      </c>
      <c r="D4398" t="s">
        <v>360</v>
      </c>
      <c r="E4398" t="s">
        <v>361</v>
      </c>
      <c r="F4398" t="s">
        <v>1477</v>
      </c>
      <c r="G4398">
        <v>822111</v>
      </c>
      <c r="H4398" t="s">
        <v>26</v>
      </c>
      <c r="I4398" t="s">
        <v>120</v>
      </c>
      <c r="J4398" t="str">
        <f>"9781444356922"</f>
        <v>9781444356922</v>
      </c>
      <c r="K4398" t="s">
        <v>7291</v>
      </c>
      <c r="L4398">
        <v>9</v>
      </c>
      <c r="O4398" t="s">
        <v>30</v>
      </c>
      <c r="P4398" t="s">
        <v>42</v>
      </c>
      <c r="S4398" t="s">
        <v>363</v>
      </c>
      <c r="T4398" t="s">
        <v>1479</v>
      </c>
      <c r="U4398" t="s">
        <v>1480</v>
      </c>
      <c r="V4398" s="3">
        <v>40955</v>
      </c>
    </row>
    <row r="4399" spans="1:22" x14ac:dyDescent="0.35">
      <c r="A4399" s="1">
        <v>42315.825520833336</v>
      </c>
      <c r="B4399" s="2">
        <v>1.037037037037037E-2</v>
      </c>
      <c r="C4399" t="s">
        <v>106</v>
      </c>
      <c r="D4399" t="s">
        <v>23</v>
      </c>
      <c r="E4399" t="s">
        <v>24</v>
      </c>
      <c r="F4399" t="s">
        <v>7292</v>
      </c>
      <c r="G4399">
        <v>1185074</v>
      </c>
      <c r="H4399" t="s">
        <v>91</v>
      </c>
      <c r="I4399" t="s">
        <v>1827</v>
      </c>
      <c r="J4399" t="str">
        <f>"9781462510122"</f>
        <v>9781462510122</v>
      </c>
      <c r="K4399" t="s">
        <v>7293</v>
      </c>
      <c r="L4399">
        <v>31</v>
      </c>
      <c r="N4399" t="s">
        <v>7294</v>
      </c>
      <c r="O4399" t="s">
        <v>30</v>
      </c>
      <c r="P4399" t="s">
        <v>29</v>
      </c>
      <c r="Q4399" s="1">
        <v>42315.825520833336</v>
      </c>
      <c r="R4399">
        <v>7</v>
      </c>
      <c r="S4399" t="s">
        <v>31</v>
      </c>
      <c r="T4399" t="s">
        <v>7295</v>
      </c>
      <c r="U4399">
        <v>428.00709999999998</v>
      </c>
      <c r="V4399" s="3">
        <v>41773</v>
      </c>
    </row>
    <row r="4400" spans="1:22" x14ac:dyDescent="0.35">
      <c r="A4400" s="1">
        <v>42315.824999999997</v>
      </c>
      <c r="B4400" s="2">
        <v>5.2083333333333333E-4</v>
      </c>
      <c r="C4400" t="s">
        <v>106</v>
      </c>
      <c r="D4400" t="s">
        <v>23</v>
      </c>
      <c r="E4400" t="s">
        <v>24</v>
      </c>
      <c r="F4400" t="s">
        <v>7292</v>
      </c>
      <c r="G4400">
        <v>1185074</v>
      </c>
      <c r="H4400" t="s">
        <v>91</v>
      </c>
      <c r="I4400" t="s">
        <v>1827</v>
      </c>
      <c r="J4400" t="str">
        <f>"9781462510122"</f>
        <v>9781462510122</v>
      </c>
      <c r="K4400" t="s">
        <v>7296</v>
      </c>
      <c r="L4400">
        <v>27</v>
      </c>
      <c r="O4400" t="s">
        <v>30</v>
      </c>
      <c r="P4400" t="s">
        <v>42</v>
      </c>
      <c r="S4400" t="s">
        <v>31</v>
      </c>
      <c r="T4400" t="s">
        <v>7295</v>
      </c>
      <c r="U4400">
        <v>428.00709999999998</v>
      </c>
      <c r="V4400" s="3">
        <v>41773</v>
      </c>
    </row>
    <row r="4401" spans="1:22" x14ac:dyDescent="0.35">
      <c r="A4401" s="1">
        <v>42315.824560185189</v>
      </c>
      <c r="B4401" s="2">
        <v>1.1817129629629629E-2</v>
      </c>
      <c r="C4401" t="s">
        <v>6836</v>
      </c>
      <c r="D4401" t="s">
        <v>23</v>
      </c>
      <c r="E4401" t="s">
        <v>24</v>
      </c>
      <c r="F4401" t="s">
        <v>6837</v>
      </c>
      <c r="G4401">
        <v>1655862</v>
      </c>
      <c r="H4401" t="s">
        <v>613</v>
      </c>
      <c r="I4401" t="s">
        <v>5632</v>
      </c>
      <c r="J4401" t="str">
        <f>"9781469615493"</f>
        <v>9781469615493</v>
      </c>
      <c r="K4401" t="s">
        <v>7297</v>
      </c>
      <c r="L4401">
        <v>10</v>
      </c>
      <c r="O4401" t="s">
        <v>30</v>
      </c>
      <c r="P4401" t="s">
        <v>50</v>
      </c>
      <c r="S4401" t="s">
        <v>31</v>
      </c>
      <c r="T4401" t="s">
        <v>6839</v>
      </c>
      <c r="U4401" t="s">
        <v>6840</v>
      </c>
      <c r="V4401" s="3">
        <v>41744</v>
      </c>
    </row>
    <row r="4402" spans="1:22" x14ac:dyDescent="0.35">
      <c r="A4402" s="1">
        <v>42315.818171296298</v>
      </c>
      <c r="B4402" s="2">
        <v>2.5462962962962961E-4</v>
      </c>
      <c r="C4402" t="s">
        <v>106</v>
      </c>
      <c r="D4402" t="s">
        <v>23</v>
      </c>
      <c r="E4402" t="s">
        <v>24</v>
      </c>
      <c r="F4402" t="s">
        <v>3232</v>
      </c>
      <c r="G4402">
        <v>1109590</v>
      </c>
      <c r="H4402" t="s">
        <v>1286</v>
      </c>
      <c r="I4402" t="s">
        <v>150</v>
      </c>
      <c r="J4402" t="str">
        <f>"9781476600093"</f>
        <v>9781476600093</v>
      </c>
      <c r="K4402" t="s">
        <v>7298</v>
      </c>
      <c r="L4402">
        <v>8</v>
      </c>
      <c r="O4402" t="s">
        <v>30</v>
      </c>
      <c r="P4402" t="s">
        <v>42</v>
      </c>
      <c r="S4402" t="s">
        <v>31</v>
      </c>
      <c r="T4402" t="s">
        <v>3234</v>
      </c>
      <c r="U4402" t="s">
        <v>3235</v>
      </c>
      <c r="V4402" s="3">
        <v>41294</v>
      </c>
    </row>
    <row r="4403" spans="1:22" x14ac:dyDescent="0.35">
      <c r="A4403" s="1">
        <v>42315.813807870371</v>
      </c>
      <c r="B4403" s="2">
        <v>3.0902777777777782E-3</v>
      </c>
      <c r="C4403" t="s">
        <v>7299</v>
      </c>
      <c r="D4403" t="s">
        <v>23</v>
      </c>
      <c r="E4403" t="s">
        <v>24</v>
      </c>
      <c r="F4403" t="s">
        <v>7300</v>
      </c>
      <c r="G4403">
        <v>1760713</v>
      </c>
      <c r="H4403" t="s">
        <v>91</v>
      </c>
      <c r="I4403" t="s">
        <v>69</v>
      </c>
      <c r="J4403" t="str">
        <f>"9781462517213"</f>
        <v>9781462517213</v>
      </c>
      <c r="K4403" t="s">
        <v>7301</v>
      </c>
      <c r="L4403">
        <v>62</v>
      </c>
      <c r="N4403" t="s">
        <v>7302</v>
      </c>
      <c r="O4403" t="s">
        <v>30</v>
      </c>
      <c r="P4403" t="s">
        <v>47</v>
      </c>
      <c r="Q4403" s="1">
        <v>42315.813807870371</v>
      </c>
      <c r="R4403">
        <v>1</v>
      </c>
      <c r="S4403" t="s">
        <v>31</v>
      </c>
      <c r="T4403" t="s">
        <v>7303</v>
      </c>
      <c r="U4403">
        <v>372.6044</v>
      </c>
      <c r="V4403" s="3">
        <v>41956</v>
      </c>
    </row>
    <row r="4404" spans="1:22" x14ac:dyDescent="0.35">
      <c r="A4404" s="1">
        <v>42315.810034722221</v>
      </c>
      <c r="B4404" s="2">
        <v>3.7731481481481483E-3</v>
      </c>
      <c r="C4404" t="s">
        <v>7299</v>
      </c>
      <c r="D4404" t="s">
        <v>23</v>
      </c>
      <c r="E4404" t="s">
        <v>24</v>
      </c>
      <c r="F4404" t="s">
        <v>7300</v>
      </c>
      <c r="G4404">
        <v>1760713</v>
      </c>
      <c r="H4404" t="s">
        <v>91</v>
      </c>
      <c r="I4404" t="s">
        <v>69</v>
      </c>
      <c r="J4404" t="str">
        <f>"9781462517213"</f>
        <v>9781462517213</v>
      </c>
      <c r="K4404" t="s">
        <v>7304</v>
      </c>
      <c r="L4404">
        <v>34</v>
      </c>
      <c r="O4404" t="s">
        <v>30</v>
      </c>
      <c r="P4404" t="s">
        <v>50</v>
      </c>
      <c r="S4404" t="s">
        <v>31</v>
      </c>
      <c r="T4404" t="s">
        <v>7303</v>
      </c>
      <c r="U4404">
        <v>372.6044</v>
      </c>
      <c r="V4404" s="3">
        <v>41956</v>
      </c>
    </row>
    <row r="4405" spans="1:22" x14ac:dyDescent="0.35">
      <c r="A4405" s="1">
        <v>42315.791030092594</v>
      </c>
      <c r="B4405" s="2">
        <v>3.8194444444444446E-4</v>
      </c>
      <c r="C4405" t="s">
        <v>7305</v>
      </c>
      <c r="D4405" t="s">
        <v>23</v>
      </c>
      <c r="E4405" t="s">
        <v>24</v>
      </c>
      <c r="F4405" t="s">
        <v>5056</v>
      </c>
      <c r="G4405">
        <v>1815566</v>
      </c>
      <c r="H4405" t="s">
        <v>45</v>
      </c>
      <c r="I4405" t="s">
        <v>348</v>
      </c>
      <c r="J4405" t="str">
        <f>"9781472430083"</f>
        <v>9781472430083</v>
      </c>
      <c r="K4405" t="s">
        <v>217</v>
      </c>
      <c r="L4405">
        <v>12</v>
      </c>
      <c r="O4405" t="s">
        <v>30</v>
      </c>
      <c r="P4405" t="s">
        <v>50</v>
      </c>
      <c r="S4405" t="s">
        <v>31</v>
      </c>
      <c r="T4405" t="s">
        <v>5058</v>
      </c>
      <c r="U4405" t="s">
        <v>5059</v>
      </c>
      <c r="V4405" s="3">
        <v>42001</v>
      </c>
    </row>
    <row r="4406" spans="1:22" x14ac:dyDescent="0.35">
      <c r="A4406" s="1">
        <v>42315.790219907409</v>
      </c>
      <c r="B4406" s="2">
        <v>7.0509259259259258E-2</v>
      </c>
      <c r="C4406" t="s">
        <v>5219</v>
      </c>
      <c r="D4406" t="s">
        <v>211</v>
      </c>
      <c r="E4406" t="s">
        <v>212</v>
      </c>
      <c r="F4406" t="s">
        <v>462</v>
      </c>
      <c r="G4406">
        <v>1822529</v>
      </c>
      <c r="H4406" t="s">
        <v>26</v>
      </c>
      <c r="I4406" t="s">
        <v>297</v>
      </c>
      <c r="J4406" t="str">
        <f>"9781118824344"</f>
        <v>9781118824344</v>
      </c>
      <c r="K4406" t="s">
        <v>7306</v>
      </c>
      <c r="L4406">
        <v>60</v>
      </c>
      <c r="O4406" t="s">
        <v>30</v>
      </c>
      <c r="P4406" t="s">
        <v>29</v>
      </c>
      <c r="Q4406" s="1">
        <v>42310.831377314818</v>
      </c>
      <c r="R4406">
        <v>7</v>
      </c>
      <c r="S4406" t="s">
        <v>214</v>
      </c>
      <c r="T4406" t="s">
        <v>464</v>
      </c>
      <c r="U4406">
        <v>519.4</v>
      </c>
      <c r="V4406" s="3">
        <v>41932</v>
      </c>
    </row>
    <row r="4407" spans="1:22" x14ac:dyDescent="0.35">
      <c r="A4407" s="1">
        <v>42315.74732638889</v>
      </c>
      <c r="B4407" s="2">
        <v>3.2407407407407406E-4</v>
      </c>
      <c r="C4407" t="s">
        <v>7261</v>
      </c>
      <c r="D4407" t="s">
        <v>623</v>
      </c>
      <c r="E4407" t="s">
        <v>624</v>
      </c>
      <c r="F4407" t="s">
        <v>7307</v>
      </c>
      <c r="G4407">
        <v>1650815</v>
      </c>
      <c r="H4407" t="s">
        <v>26</v>
      </c>
      <c r="I4407" t="s">
        <v>7308</v>
      </c>
      <c r="J4407" t="str">
        <f>"9780730304869"</f>
        <v>9780730304869</v>
      </c>
      <c r="K4407" t="s">
        <v>6097</v>
      </c>
      <c r="L4407">
        <v>3</v>
      </c>
      <c r="O4407" t="s">
        <v>30</v>
      </c>
      <c r="P4407" t="s">
        <v>50</v>
      </c>
      <c r="S4407" t="s">
        <v>627</v>
      </c>
      <c r="T4407" t="s">
        <v>7309</v>
      </c>
      <c r="U4407">
        <v>641.56380000000001</v>
      </c>
      <c r="V4407" s="3">
        <v>41702</v>
      </c>
    </row>
    <row r="4408" spans="1:22" x14ac:dyDescent="0.35">
      <c r="A4408" s="1">
        <v>42315.734733796293</v>
      </c>
      <c r="B4408" s="2">
        <v>1.1747685185185186E-2</v>
      </c>
      <c r="C4408" t="s">
        <v>7261</v>
      </c>
      <c r="D4408" t="s">
        <v>623</v>
      </c>
      <c r="E4408" t="s">
        <v>624</v>
      </c>
      <c r="F4408" t="s">
        <v>7262</v>
      </c>
      <c r="G4408">
        <v>1895314</v>
      </c>
      <c r="H4408" t="s">
        <v>26</v>
      </c>
      <c r="I4408" t="s">
        <v>7263</v>
      </c>
      <c r="J4408" t="str">
        <f>"9781119052531"</f>
        <v>9781119052531</v>
      </c>
      <c r="K4408" t="s">
        <v>7310</v>
      </c>
      <c r="L4408">
        <v>20</v>
      </c>
      <c r="O4408" t="s">
        <v>28</v>
      </c>
      <c r="P4408" t="s">
        <v>47</v>
      </c>
      <c r="Q4408" s="1">
        <v>42315.734594907408</v>
      </c>
      <c r="R4408">
        <v>1</v>
      </c>
      <c r="S4408" t="s">
        <v>627</v>
      </c>
      <c r="T4408" t="s">
        <v>7265</v>
      </c>
      <c r="U4408">
        <v>641.56309999999996</v>
      </c>
      <c r="V4408" s="3">
        <v>42157</v>
      </c>
    </row>
    <row r="4409" spans="1:22" x14ac:dyDescent="0.35">
      <c r="A4409" s="1">
        <v>42315.734594907408</v>
      </c>
      <c r="B4409" s="2">
        <v>6.9444444444444444E-5</v>
      </c>
      <c r="C4409" t="s">
        <v>7261</v>
      </c>
      <c r="D4409" t="s">
        <v>623</v>
      </c>
      <c r="E4409" t="s">
        <v>624</v>
      </c>
      <c r="F4409" t="s">
        <v>7262</v>
      </c>
      <c r="G4409">
        <v>1895314</v>
      </c>
      <c r="H4409" t="s">
        <v>26</v>
      </c>
      <c r="I4409" t="s">
        <v>7263</v>
      </c>
      <c r="J4409" t="str">
        <f>"9781119052531"</f>
        <v>9781119052531</v>
      </c>
      <c r="K4409" t="s">
        <v>7311</v>
      </c>
      <c r="L4409">
        <v>5</v>
      </c>
      <c r="O4409" t="s">
        <v>30</v>
      </c>
      <c r="P4409" t="s">
        <v>47</v>
      </c>
      <c r="Q4409" s="1">
        <v>42315.734594907408</v>
      </c>
      <c r="R4409">
        <v>1</v>
      </c>
      <c r="S4409" t="s">
        <v>627</v>
      </c>
      <c r="T4409" t="s">
        <v>7265</v>
      </c>
      <c r="U4409">
        <v>641.56309999999996</v>
      </c>
      <c r="V4409" s="3">
        <v>42157</v>
      </c>
    </row>
    <row r="4410" spans="1:22" x14ac:dyDescent="0.35">
      <c r="A4410" s="1">
        <v>42315.729398148149</v>
      </c>
      <c r="B4410" s="2">
        <v>5.1967592592592595E-3</v>
      </c>
      <c r="C4410" t="s">
        <v>7261</v>
      </c>
      <c r="D4410" t="s">
        <v>623</v>
      </c>
      <c r="E4410" t="s">
        <v>624</v>
      </c>
      <c r="F4410" t="s">
        <v>7262</v>
      </c>
      <c r="G4410">
        <v>1895314</v>
      </c>
      <c r="H4410" t="s">
        <v>26</v>
      </c>
      <c r="I4410" t="s">
        <v>7263</v>
      </c>
      <c r="J4410" t="str">
        <f>"9781119052531"</f>
        <v>9781119052531</v>
      </c>
      <c r="K4410" t="s">
        <v>7312</v>
      </c>
      <c r="L4410">
        <v>3</v>
      </c>
      <c r="O4410" t="s">
        <v>30</v>
      </c>
      <c r="P4410" t="s">
        <v>50</v>
      </c>
      <c r="S4410" t="s">
        <v>627</v>
      </c>
      <c r="T4410" t="s">
        <v>7265</v>
      </c>
      <c r="U4410">
        <v>641.56309999999996</v>
      </c>
      <c r="V4410" s="3">
        <v>42157</v>
      </c>
    </row>
    <row r="4411" spans="1:22" x14ac:dyDescent="0.35">
      <c r="A4411" s="1">
        <v>42315.721539351849</v>
      </c>
      <c r="B4411" s="2">
        <v>4.6296296296296294E-5</v>
      </c>
      <c r="C4411" t="s">
        <v>7313</v>
      </c>
      <c r="D4411" t="s">
        <v>23</v>
      </c>
      <c r="E4411" t="s">
        <v>24</v>
      </c>
      <c r="F4411" t="s">
        <v>7314</v>
      </c>
      <c r="G4411">
        <v>1676117</v>
      </c>
      <c r="H4411" t="s">
        <v>26</v>
      </c>
      <c r="I4411" t="s">
        <v>4938</v>
      </c>
      <c r="J4411" t="str">
        <f>"9781118898109"</f>
        <v>9781118898109</v>
      </c>
      <c r="K4411" t="s">
        <v>33</v>
      </c>
      <c r="L4411">
        <v>3</v>
      </c>
      <c r="O4411" t="s">
        <v>30</v>
      </c>
      <c r="P4411" t="s">
        <v>42</v>
      </c>
      <c r="S4411" t="s">
        <v>31</v>
      </c>
      <c r="T4411" t="s">
        <v>7315</v>
      </c>
      <c r="U4411">
        <v>5.54</v>
      </c>
      <c r="V4411" s="3">
        <v>41743</v>
      </c>
    </row>
    <row r="4412" spans="1:22" x14ac:dyDescent="0.35">
      <c r="A4412" s="1">
        <v>42315.714884259258</v>
      </c>
      <c r="B4412" s="2">
        <v>1.2442129629629629E-2</v>
      </c>
      <c r="C4412" t="s">
        <v>7114</v>
      </c>
      <c r="D4412" t="s">
        <v>23</v>
      </c>
      <c r="E4412" t="s">
        <v>24</v>
      </c>
      <c r="F4412" t="s">
        <v>7115</v>
      </c>
      <c r="G4412">
        <v>1788961</v>
      </c>
      <c r="H4412" t="s">
        <v>91</v>
      </c>
      <c r="I4412" t="s">
        <v>69</v>
      </c>
      <c r="J4412" t="str">
        <f>"9781462519514"</f>
        <v>9781462519514</v>
      </c>
      <c r="K4412" t="s">
        <v>7316</v>
      </c>
      <c r="L4412">
        <v>22</v>
      </c>
      <c r="M4412" t="s">
        <v>1959</v>
      </c>
      <c r="O4412" t="s">
        <v>28</v>
      </c>
      <c r="P4412" t="s">
        <v>47</v>
      </c>
      <c r="Q4412" s="1">
        <v>42315.714884259258</v>
      </c>
      <c r="R4412">
        <v>1</v>
      </c>
      <c r="S4412" t="s">
        <v>31</v>
      </c>
      <c r="T4412" t="s">
        <v>7117</v>
      </c>
      <c r="U4412">
        <v>371.10239999999999</v>
      </c>
      <c r="V4412" s="3">
        <v>42006</v>
      </c>
    </row>
    <row r="4413" spans="1:22" x14ac:dyDescent="0.35">
      <c r="A4413" s="1">
        <v>42315.714884259258</v>
      </c>
      <c r="B4413" s="2">
        <v>0</v>
      </c>
      <c r="C4413" t="s">
        <v>7114</v>
      </c>
      <c r="D4413" t="s">
        <v>23</v>
      </c>
      <c r="E4413" t="s">
        <v>24</v>
      </c>
      <c r="F4413" t="s">
        <v>7115</v>
      </c>
      <c r="G4413">
        <v>1788961</v>
      </c>
      <c r="H4413" t="s">
        <v>91</v>
      </c>
      <c r="I4413" t="s">
        <v>69</v>
      </c>
      <c r="J4413" t="str">
        <f>"9781462519514"</f>
        <v>9781462519514</v>
      </c>
      <c r="L4413">
        <v>0</v>
      </c>
      <c r="O4413" t="s">
        <v>30</v>
      </c>
      <c r="P4413" t="s">
        <v>47</v>
      </c>
      <c r="Q4413" s="1">
        <v>42315.714884259258</v>
      </c>
      <c r="R4413">
        <v>1</v>
      </c>
      <c r="S4413" t="s">
        <v>31</v>
      </c>
      <c r="T4413" t="s">
        <v>7117</v>
      </c>
      <c r="U4413">
        <v>371.10239999999999</v>
      </c>
      <c r="V4413" s="3">
        <v>42006</v>
      </c>
    </row>
    <row r="4414" spans="1:22" x14ac:dyDescent="0.35">
      <c r="A4414" s="1">
        <v>42315.714328703703</v>
      </c>
      <c r="B4414" s="2">
        <v>5.5555555555555556E-4</v>
      </c>
      <c r="C4414" t="s">
        <v>7114</v>
      </c>
      <c r="D4414" t="s">
        <v>23</v>
      </c>
      <c r="E4414" t="s">
        <v>24</v>
      </c>
      <c r="F4414" t="s">
        <v>7115</v>
      </c>
      <c r="G4414">
        <v>1788961</v>
      </c>
      <c r="H4414" t="s">
        <v>91</v>
      </c>
      <c r="I4414" t="s">
        <v>69</v>
      </c>
      <c r="J4414" t="str">
        <f>"9781462519514"</f>
        <v>9781462519514</v>
      </c>
      <c r="K4414" t="s">
        <v>7317</v>
      </c>
      <c r="L4414">
        <v>10</v>
      </c>
      <c r="O4414" t="s">
        <v>30</v>
      </c>
      <c r="P4414" t="s">
        <v>50</v>
      </c>
      <c r="S4414" t="s">
        <v>31</v>
      </c>
      <c r="T4414" t="s">
        <v>7117</v>
      </c>
      <c r="U4414">
        <v>371.10239999999999</v>
      </c>
      <c r="V4414" s="3">
        <v>42006</v>
      </c>
    </row>
    <row r="4415" spans="1:22" x14ac:dyDescent="0.35">
      <c r="A4415" s="1">
        <v>42315.584814814814</v>
      </c>
      <c r="B4415" s="2">
        <v>5.7870370370370366E-5</v>
      </c>
      <c r="C4415" t="s">
        <v>6509</v>
      </c>
      <c r="D4415" t="s">
        <v>211</v>
      </c>
      <c r="E4415" t="s">
        <v>212</v>
      </c>
      <c r="F4415" t="s">
        <v>1547</v>
      </c>
      <c r="G4415">
        <v>848510</v>
      </c>
      <c r="H4415" t="s">
        <v>26</v>
      </c>
      <c r="I4415" t="s">
        <v>247</v>
      </c>
      <c r="J4415" t="str">
        <f>"9781118220481"</f>
        <v>9781118220481</v>
      </c>
      <c r="K4415" t="s">
        <v>33</v>
      </c>
      <c r="L4415">
        <v>3</v>
      </c>
      <c r="O4415" t="s">
        <v>30</v>
      </c>
      <c r="P4415" t="s">
        <v>42</v>
      </c>
      <c r="S4415" t="s">
        <v>214</v>
      </c>
      <c r="T4415" t="s">
        <v>1548</v>
      </c>
      <c r="U4415" t="s">
        <v>1549</v>
      </c>
      <c r="V4415" s="3">
        <v>41066</v>
      </c>
    </row>
    <row r="4416" spans="1:22" x14ac:dyDescent="0.35">
      <c r="A4416" s="1">
        <v>42315.575335648151</v>
      </c>
      <c r="B4416" s="2">
        <v>0</v>
      </c>
      <c r="C4416" t="s">
        <v>7318</v>
      </c>
      <c r="D4416" t="s">
        <v>2519</v>
      </c>
      <c r="E4416" t="s">
        <v>2520</v>
      </c>
      <c r="F4416" t="s">
        <v>7319</v>
      </c>
      <c r="G4416">
        <v>1244526</v>
      </c>
      <c r="H4416" t="s">
        <v>68</v>
      </c>
      <c r="I4416" t="s">
        <v>7320</v>
      </c>
      <c r="J4416" t="str">
        <f>"9781136073823"</f>
        <v>9781136073823</v>
      </c>
      <c r="L4416">
        <v>0</v>
      </c>
      <c r="O4416" t="s">
        <v>30</v>
      </c>
      <c r="P4416" t="s">
        <v>47</v>
      </c>
      <c r="Q4416" s="1">
        <v>42315.575335648151</v>
      </c>
      <c r="R4416">
        <v>1</v>
      </c>
      <c r="S4416" t="s">
        <v>3786</v>
      </c>
      <c r="T4416" t="s">
        <v>7321</v>
      </c>
      <c r="U4416">
        <v>629.25400000000002</v>
      </c>
      <c r="V4416" s="3">
        <v>41459</v>
      </c>
    </row>
    <row r="4417" spans="1:22" x14ac:dyDescent="0.35">
      <c r="A4417" s="1">
        <v>42315.572916666664</v>
      </c>
      <c r="B4417" s="2">
        <v>2.4074074074074076E-3</v>
      </c>
      <c r="C4417" t="s">
        <v>7318</v>
      </c>
      <c r="D4417" t="s">
        <v>2519</v>
      </c>
      <c r="E4417" t="s">
        <v>2520</v>
      </c>
      <c r="F4417" t="s">
        <v>7319</v>
      </c>
      <c r="G4417">
        <v>1244526</v>
      </c>
      <c r="H4417" t="s">
        <v>68</v>
      </c>
      <c r="I4417" t="s">
        <v>7320</v>
      </c>
      <c r="J4417" t="str">
        <f>"9781136073823"</f>
        <v>9781136073823</v>
      </c>
      <c r="K4417" t="s">
        <v>7322</v>
      </c>
      <c r="L4417">
        <v>9</v>
      </c>
      <c r="O4417" t="s">
        <v>30</v>
      </c>
      <c r="P4417" t="s">
        <v>50</v>
      </c>
      <c r="S4417" t="s">
        <v>3786</v>
      </c>
      <c r="T4417" t="s">
        <v>7321</v>
      </c>
      <c r="U4417">
        <v>629.25400000000002</v>
      </c>
      <c r="V4417" s="3">
        <v>41459</v>
      </c>
    </row>
    <row r="4418" spans="1:22" x14ac:dyDescent="0.35">
      <c r="A4418" s="1">
        <v>42315.175810185188</v>
      </c>
      <c r="B4418" s="2">
        <v>0</v>
      </c>
      <c r="C4418" t="s">
        <v>5438</v>
      </c>
      <c r="D4418" t="s">
        <v>360</v>
      </c>
      <c r="E4418" t="s">
        <v>361</v>
      </c>
      <c r="F4418" t="s">
        <v>7150</v>
      </c>
      <c r="G4418">
        <v>332602</v>
      </c>
      <c r="H4418" t="s">
        <v>26</v>
      </c>
      <c r="I4418" t="s">
        <v>69</v>
      </c>
      <c r="J4418" t="str">
        <f>"9780631227885"</f>
        <v>9780631227885</v>
      </c>
      <c r="L4418">
        <v>0</v>
      </c>
      <c r="O4418" t="s">
        <v>30</v>
      </c>
      <c r="P4418" t="s">
        <v>29</v>
      </c>
      <c r="Q4418" s="1">
        <v>42308.775324074071</v>
      </c>
      <c r="R4418">
        <v>7</v>
      </c>
      <c r="S4418" t="s">
        <v>363</v>
      </c>
      <c r="T4418" t="s">
        <v>7151</v>
      </c>
      <c r="U4418" t="s">
        <v>7152</v>
      </c>
      <c r="V4418" s="3">
        <v>41424</v>
      </c>
    </row>
    <row r="4419" spans="1:22" x14ac:dyDescent="0.35">
      <c r="A4419" s="1">
        <v>42315.160729166666</v>
      </c>
      <c r="B4419" s="2">
        <v>1.7187499999999998E-2</v>
      </c>
      <c r="C4419" t="s">
        <v>5438</v>
      </c>
      <c r="D4419" t="s">
        <v>360</v>
      </c>
      <c r="E4419" t="s">
        <v>361</v>
      </c>
      <c r="F4419" t="s">
        <v>4289</v>
      </c>
      <c r="G4419">
        <v>1120621</v>
      </c>
      <c r="H4419" t="s">
        <v>26</v>
      </c>
      <c r="I4419" t="s">
        <v>69</v>
      </c>
      <c r="J4419" t="str">
        <f>"9781118362679"</f>
        <v>9781118362679</v>
      </c>
      <c r="K4419" t="s">
        <v>7323</v>
      </c>
      <c r="L4419">
        <v>9</v>
      </c>
      <c r="O4419" t="s">
        <v>30</v>
      </c>
      <c r="P4419" t="s">
        <v>29</v>
      </c>
      <c r="Q4419" s="1">
        <v>42308.894675925927</v>
      </c>
      <c r="R4419">
        <v>7</v>
      </c>
      <c r="S4419" t="s">
        <v>363</v>
      </c>
      <c r="T4419" t="s">
        <v>4290</v>
      </c>
      <c r="U4419" t="s">
        <v>4291</v>
      </c>
      <c r="V4419" s="3">
        <v>41136</v>
      </c>
    </row>
    <row r="4420" spans="1:22" x14ac:dyDescent="0.35">
      <c r="A4420" s="1">
        <v>42315.112407407411</v>
      </c>
      <c r="B4420" s="2">
        <v>4.2465277777777775E-2</v>
      </c>
      <c r="C4420" t="s">
        <v>6675</v>
      </c>
      <c r="D4420" t="s">
        <v>1222</v>
      </c>
      <c r="E4420" t="s">
        <v>1223</v>
      </c>
      <c r="F4420" t="s">
        <v>1698</v>
      </c>
      <c r="G4420">
        <v>1637652</v>
      </c>
      <c r="H4420" t="s">
        <v>84</v>
      </c>
      <c r="I4420" t="s">
        <v>69</v>
      </c>
      <c r="J4420" t="str">
        <f>"9780520958449"</f>
        <v>9780520958449</v>
      </c>
      <c r="K4420" t="s">
        <v>7324</v>
      </c>
      <c r="L4420">
        <v>43</v>
      </c>
      <c r="O4420" t="s">
        <v>30</v>
      </c>
      <c r="P4420" t="s">
        <v>29</v>
      </c>
      <c r="Q4420" s="1">
        <v>42314.793483796297</v>
      </c>
      <c r="R4420">
        <v>7</v>
      </c>
      <c r="S4420" t="s">
        <v>1226</v>
      </c>
      <c r="T4420" t="s">
        <v>1700</v>
      </c>
      <c r="U4420" t="s">
        <v>1701</v>
      </c>
      <c r="V4420" s="3">
        <v>41761</v>
      </c>
    </row>
    <row r="4421" spans="1:22" x14ac:dyDescent="0.35">
      <c r="A4421" s="1">
        <v>42314.979108796295</v>
      </c>
      <c r="B4421" s="2">
        <v>0</v>
      </c>
      <c r="C4421" t="s">
        <v>7325</v>
      </c>
      <c r="D4421" t="s">
        <v>23</v>
      </c>
      <c r="E4421" t="s">
        <v>24</v>
      </c>
      <c r="F4421" t="s">
        <v>3830</v>
      </c>
      <c r="G4421">
        <v>832297</v>
      </c>
      <c r="H4421" t="s">
        <v>26</v>
      </c>
      <c r="I4421" t="s">
        <v>172</v>
      </c>
      <c r="J4421" t="str">
        <f>"9781118300947"</f>
        <v>9781118300947</v>
      </c>
      <c r="L4421">
        <v>0</v>
      </c>
      <c r="N4421" t="s">
        <v>7326</v>
      </c>
      <c r="O4421" t="s">
        <v>30</v>
      </c>
      <c r="P4421" t="s">
        <v>29</v>
      </c>
      <c r="Q4421" s="1">
        <v>42314.979097222225</v>
      </c>
      <c r="R4421">
        <v>7</v>
      </c>
      <c r="S4421" t="s">
        <v>31</v>
      </c>
      <c r="T4421" t="s">
        <v>3831</v>
      </c>
      <c r="U4421">
        <v>938</v>
      </c>
      <c r="V4421" s="3">
        <v>40896</v>
      </c>
    </row>
    <row r="4422" spans="1:22" x14ac:dyDescent="0.35">
      <c r="A4422" s="1">
        <v>42314.975810185184</v>
      </c>
      <c r="B4422" s="2">
        <v>3.2870370370370367E-3</v>
      </c>
      <c r="C4422" t="s">
        <v>7325</v>
      </c>
      <c r="D4422" t="s">
        <v>23</v>
      </c>
      <c r="E4422" t="s">
        <v>24</v>
      </c>
      <c r="F4422" t="s">
        <v>3830</v>
      </c>
      <c r="G4422">
        <v>832297</v>
      </c>
      <c r="H4422" t="s">
        <v>26</v>
      </c>
      <c r="I4422" t="s">
        <v>172</v>
      </c>
      <c r="J4422" t="str">
        <f>"9781118300947"</f>
        <v>9781118300947</v>
      </c>
      <c r="K4422" t="s">
        <v>7327</v>
      </c>
      <c r="L4422">
        <v>8</v>
      </c>
      <c r="O4422" t="s">
        <v>30</v>
      </c>
      <c r="P4422" t="s">
        <v>42</v>
      </c>
      <c r="S4422" t="s">
        <v>31</v>
      </c>
      <c r="T4422" t="s">
        <v>3831</v>
      </c>
      <c r="U4422">
        <v>938</v>
      </c>
      <c r="V4422" s="3">
        <v>40896</v>
      </c>
    </row>
    <row r="4423" spans="1:22" x14ac:dyDescent="0.35">
      <c r="A4423" s="1">
        <v>42314.943101851852</v>
      </c>
      <c r="B4423" s="2">
        <v>3.8310185185185183E-3</v>
      </c>
      <c r="C4423" t="s">
        <v>7138</v>
      </c>
      <c r="D4423" t="s">
        <v>360</v>
      </c>
      <c r="E4423" t="s">
        <v>361</v>
      </c>
      <c r="F4423" t="s">
        <v>1477</v>
      </c>
      <c r="G4423">
        <v>822111</v>
      </c>
      <c r="H4423" t="s">
        <v>26</v>
      </c>
      <c r="I4423" t="s">
        <v>120</v>
      </c>
      <c r="J4423" t="str">
        <f>"9781444356922"</f>
        <v>9781444356922</v>
      </c>
      <c r="K4423" t="s">
        <v>7328</v>
      </c>
      <c r="L4423">
        <v>24</v>
      </c>
      <c r="O4423" t="s">
        <v>30</v>
      </c>
      <c r="P4423" t="s">
        <v>42</v>
      </c>
      <c r="S4423" t="s">
        <v>363</v>
      </c>
      <c r="T4423" t="s">
        <v>1479</v>
      </c>
      <c r="U4423" t="s">
        <v>1480</v>
      </c>
      <c r="V4423" s="3">
        <v>40955</v>
      </c>
    </row>
    <row r="4424" spans="1:22" x14ac:dyDescent="0.35">
      <c r="A4424" s="1">
        <v>42314.942662037036</v>
      </c>
      <c r="B4424" s="2">
        <v>4.5138888888888893E-3</v>
      </c>
      <c r="C4424" t="s">
        <v>7138</v>
      </c>
      <c r="D4424" t="s">
        <v>360</v>
      </c>
      <c r="E4424" t="s">
        <v>361</v>
      </c>
      <c r="F4424" t="s">
        <v>4289</v>
      </c>
      <c r="G4424">
        <v>1120621</v>
      </c>
      <c r="H4424" t="s">
        <v>26</v>
      </c>
      <c r="I4424" t="s">
        <v>69</v>
      </c>
      <c r="J4424" t="str">
        <f>"9781118362679"</f>
        <v>9781118362679</v>
      </c>
      <c r="K4424" t="s">
        <v>7329</v>
      </c>
      <c r="L4424">
        <v>8</v>
      </c>
      <c r="O4424" t="s">
        <v>30</v>
      </c>
      <c r="P4424" t="s">
        <v>29</v>
      </c>
      <c r="Q4424" s="1">
        <v>42308.155497685184</v>
      </c>
      <c r="R4424">
        <v>7</v>
      </c>
      <c r="S4424" t="s">
        <v>363</v>
      </c>
      <c r="T4424" t="s">
        <v>4290</v>
      </c>
      <c r="U4424" t="s">
        <v>4291</v>
      </c>
      <c r="V4424" s="3">
        <v>41136</v>
      </c>
    </row>
    <row r="4425" spans="1:22" x14ac:dyDescent="0.35">
      <c r="A4425" s="1">
        <v>42314.936018518521</v>
      </c>
      <c r="B4425" s="2">
        <v>6.238425925925925E-3</v>
      </c>
      <c r="C4425" t="s">
        <v>7330</v>
      </c>
      <c r="D4425" t="s">
        <v>23</v>
      </c>
      <c r="E4425" t="s">
        <v>24</v>
      </c>
      <c r="F4425" t="s">
        <v>4117</v>
      </c>
      <c r="G4425">
        <v>1724876</v>
      </c>
      <c r="H4425" t="s">
        <v>26</v>
      </c>
      <c r="I4425" t="s">
        <v>108</v>
      </c>
      <c r="J4425" t="str">
        <f>"9781118914113"</f>
        <v>9781118914113</v>
      </c>
      <c r="K4425" t="s">
        <v>7331</v>
      </c>
      <c r="L4425">
        <v>5</v>
      </c>
      <c r="N4425" t="s">
        <v>7332</v>
      </c>
      <c r="O4425" t="s">
        <v>30</v>
      </c>
      <c r="P4425" t="s">
        <v>29</v>
      </c>
      <c r="Q4425" s="1">
        <v>42310.775555555556</v>
      </c>
      <c r="R4425">
        <v>7</v>
      </c>
      <c r="S4425" t="s">
        <v>31</v>
      </c>
      <c r="T4425" t="s">
        <v>4120</v>
      </c>
      <c r="U4425">
        <v>332</v>
      </c>
      <c r="V4425" s="3">
        <v>41816</v>
      </c>
    </row>
    <row r="4426" spans="1:22" x14ac:dyDescent="0.35">
      <c r="A4426" s="1">
        <v>42314.912534722222</v>
      </c>
      <c r="B4426" s="2">
        <v>1.2384259259259258E-3</v>
      </c>
      <c r="C4426" t="s">
        <v>5438</v>
      </c>
      <c r="D4426" t="s">
        <v>360</v>
      </c>
      <c r="E4426" t="s">
        <v>361</v>
      </c>
      <c r="F4426" t="s">
        <v>7150</v>
      </c>
      <c r="G4426">
        <v>332602</v>
      </c>
      <c r="H4426" t="s">
        <v>26</v>
      </c>
      <c r="I4426" t="s">
        <v>69</v>
      </c>
      <c r="J4426" t="str">
        <f>"9780631227885"</f>
        <v>9780631227885</v>
      </c>
      <c r="K4426" t="s">
        <v>7333</v>
      </c>
      <c r="L4426">
        <v>9</v>
      </c>
      <c r="O4426" t="s">
        <v>30</v>
      </c>
      <c r="P4426" t="s">
        <v>29</v>
      </c>
      <c r="Q4426" s="1">
        <v>42308.775324074071</v>
      </c>
      <c r="R4426">
        <v>7</v>
      </c>
      <c r="S4426" t="s">
        <v>363</v>
      </c>
      <c r="T4426" t="s">
        <v>7151</v>
      </c>
      <c r="U4426" t="s">
        <v>7152</v>
      </c>
      <c r="V4426" s="3">
        <v>41424</v>
      </c>
    </row>
    <row r="4427" spans="1:22" x14ac:dyDescent="0.35">
      <c r="A4427" s="1">
        <v>42314.882627314815</v>
      </c>
      <c r="B4427" s="2">
        <v>0</v>
      </c>
      <c r="C4427" t="s">
        <v>7334</v>
      </c>
      <c r="D4427" t="s">
        <v>35</v>
      </c>
      <c r="E4427" t="s">
        <v>36</v>
      </c>
      <c r="F4427" t="s">
        <v>1662</v>
      </c>
      <c r="G4427">
        <v>821733</v>
      </c>
      <c r="H4427" t="s">
        <v>26</v>
      </c>
      <c r="I4427" t="s">
        <v>841</v>
      </c>
      <c r="J4427" t="str">
        <f>"9781118220627"</f>
        <v>9781118220627</v>
      </c>
      <c r="L4427">
        <v>0</v>
      </c>
      <c r="N4427" t="s">
        <v>7335</v>
      </c>
      <c r="O4427" t="s">
        <v>30</v>
      </c>
      <c r="P4427" t="s">
        <v>29</v>
      </c>
      <c r="Q4427" s="1">
        <v>42314.882627314815</v>
      </c>
      <c r="R4427">
        <v>7</v>
      </c>
      <c r="S4427" t="s">
        <v>40</v>
      </c>
      <c r="U4427">
        <v>358.41550973</v>
      </c>
      <c r="V4427" s="3">
        <v>41429</v>
      </c>
    </row>
    <row r="4428" spans="1:22" x14ac:dyDescent="0.35">
      <c r="A4428" s="1">
        <v>42314.88208333333</v>
      </c>
      <c r="B4428" s="2">
        <v>7.1319444444444449E-2</v>
      </c>
      <c r="C4428" t="s">
        <v>7138</v>
      </c>
      <c r="D4428" t="s">
        <v>360</v>
      </c>
      <c r="E4428" t="s">
        <v>361</v>
      </c>
      <c r="F4428" t="s">
        <v>7150</v>
      </c>
      <c r="G4428">
        <v>332602</v>
      </c>
      <c r="H4428" t="s">
        <v>26</v>
      </c>
      <c r="I4428" t="s">
        <v>69</v>
      </c>
      <c r="J4428" t="str">
        <f>"9780631227885"</f>
        <v>9780631227885</v>
      </c>
      <c r="K4428" t="s">
        <v>7336</v>
      </c>
      <c r="L4428">
        <v>17</v>
      </c>
      <c r="O4428" t="s">
        <v>30</v>
      </c>
      <c r="P4428" t="s">
        <v>29</v>
      </c>
      <c r="Q4428" s="1">
        <v>42310.868194444447</v>
      </c>
      <c r="R4428">
        <v>7</v>
      </c>
      <c r="S4428" t="s">
        <v>363</v>
      </c>
      <c r="T4428" t="s">
        <v>7151</v>
      </c>
      <c r="U4428" t="s">
        <v>7152</v>
      </c>
      <c r="V4428" s="3">
        <v>41424</v>
      </c>
    </row>
    <row r="4429" spans="1:22" x14ac:dyDescent="0.35">
      <c r="A4429" s="1">
        <v>42314.881319444445</v>
      </c>
      <c r="B4429" s="2">
        <v>1.3078703703703705E-3</v>
      </c>
      <c r="C4429" t="s">
        <v>7334</v>
      </c>
      <c r="D4429" t="s">
        <v>35</v>
      </c>
      <c r="E4429" t="s">
        <v>36</v>
      </c>
      <c r="F4429" t="s">
        <v>1662</v>
      </c>
      <c r="G4429">
        <v>821733</v>
      </c>
      <c r="H4429" t="s">
        <v>26</v>
      </c>
      <c r="I4429" t="s">
        <v>841</v>
      </c>
      <c r="J4429" t="str">
        <f>"9781118220627"</f>
        <v>9781118220627</v>
      </c>
      <c r="K4429" t="s">
        <v>7337</v>
      </c>
      <c r="L4429">
        <v>21</v>
      </c>
      <c r="O4429" t="s">
        <v>30</v>
      </c>
      <c r="P4429" t="s">
        <v>50</v>
      </c>
      <c r="S4429" t="s">
        <v>40</v>
      </c>
      <c r="U4429">
        <v>358.41550973</v>
      </c>
      <c r="V4429" s="3">
        <v>41429</v>
      </c>
    </row>
    <row r="4430" spans="1:22" x14ac:dyDescent="0.35">
      <c r="A4430" s="1">
        <v>42314.880462962959</v>
      </c>
      <c r="B4430" s="2">
        <v>5.0925925925925921E-4</v>
      </c>
      <c r="C4430" t="s">
        <v>7334</v>
      </c>
      <c r="D4430" t="s">
        <v>35</v>
      </c>
      <c r="E4430" t="s">
        <v>36</v>
      </c>
      <c r="F4430" t="s">
        <v>1662</v>
      </c>
      <c r="G4430">
        <v>821733</v>
      </c>
      <c r="H4430" t="s">
        <v>26</v>
      </c>
      <c r="I4430" t="s">
        <v>841</v>
      </c>
      <c r="J4430" t="str">
        <f>"9781118220627"</f>
        <v>9781118220627</v>
      </c>
      <c r="K4430" t="s">
        <v>7338</v>
      </c>
      <c r="L4430">
        <v>12</v>
      </c>
      <c r="O4430" t="s">
        <v>30</v>
      </c>
      <c r="P4430" t="s">
        <v>50</v>
      </c>
      <c r="S4430" t="s">
        <v>40</v>
      </c>
      <c r="U4430">
        <v>358.41550973</v>
      </c>
      <c r="V4430" s="3">
        <v>41429</v>
      </c>
    </row>
    <row r="4431" spans="1:22" x14ac:dyDescent="0.35">
      <c r="A4431" s="1">
        <v>42314.870104166665</v>
      </c>
      <c r="B4431" s="2">
        <v>1.25E-3</v>
      </c>
      <c r="C4431" t="s">
        <v>7339</v>
      </c>
      <c r="D4431" t="s">
        <v>261</v>
      </c>
      <c r="E4431" t="s">
        <v>262</v>
      </c>
      <c r="F4431" t="s">
        <v>7340</v>
      </c>
      <c r="G4431">
        <v>1895172</v>
      </c>
      <c r="H4431" t="s">
        <v>26</v>
      </c>
      <c r="I4431" t="s">
        <v>97</v>
      </c>
      <c r="J4431" t="str">
        <f>"9781118961780"</f>
        <v>9781118961780</v>
      </c>
      <c r="K4431" t="s">
        <v>7341</v>
      </c>
      <c r="L4431">
        <v>20</v>
      </c>
      <c r="O4431" t="s">
        <v>30</v>
      </c>
      <c r="P4431" t="s">
        <v>50</v>
      </c>
      <c r="S4431" t="s">
        <v>264</v>
      </c>
      <c r="T4431" t="s">
        <v>7342</v>
      </c>
      <c r="U4431">
        <v>658.47028</v>
      </c>
      <c r="V4431" s="3">
        <v>42130</v>
      </c>
    </row>
    <row r="4432" spans="1:22" x14ac:dyDescent="0.35">
      <c r="A4432" s="1">
        <v>42314.864490740743</v>
      </c>
      <c r="B4432" s="2">
        <v>1.1562499999999998E-2</v>
      </c>
      <c r="C4432" t="s">
        <v>5210</v>
      </c>
      <c r="D4432" t="s">
        <v>35</v>
      </c>
      <c r="E4432" t="s">
        <v>36</v>
      </c>
      <c r="F4432" t="s">
        <v>986</v>
      </c>
      <c r="G4432">
        <v>968030</v>
      </c>
      <c r="H4432" t="s">
        <v>26</v>
      </c>
      <c r="I4432" t="s">
        <v>219</v>
      </c>
      <c r="J4432" t="str">
        <f>"9781118285138"</f>
        <v>9781118285138</v>
      </c>
      <c r="K4432" t="s">
        <v>7343</v>
      </c>
      <c r="L4432">
        <v>30</v>
      </c>
      <c r="O4432" t="s">
        <v>30</v>
      </c>
      <c r="P4432" t="s">
        <v>29</v>
      </c>
      <c r="Q4432" s="1">
        <v>42309.862604166665</v>
      </c>
      <c r="R4432">
        <v>7</v>
      </c>
      <c r="S4432" t="s">
        <v>40</v>
      </c>
      <c r="T4432" t="s">
        <v>987</v>
      </c>
      <c r="U4432">
        <v>158.30000000000001</v>
      </c>
      <c r="V4432" s="3">
        <v>41100</v>
      </c>
    </row>
    <row r="4433" spans="1:22" x14ac:dyDescent="0.35">
      <c r="A4433" s="1">
        <v>42314.856192129628</v>
      </c>
      <c r="B4433" s="2">
        <v>3.4687500000000003E-2</v>
      </c>
      <c r="C4433" t="s">
        <v>6982</v>
      </c>
      <c r="D4433" t="s">
        <v>261</v>
      </c>
      <c r="E4433" t="s">
        <v>262</v>
      </c>
      <c r="F4433" t="s">
        <v>2649</v>
      </c>
      <c r="G4433">
        <v>1143522</v>
      </c>
      <c r="H4433" t="s">
        <v>26</v>
      </c>
      <c r="I4433" t="s">
        <v>172</v>
      </c>
      <c r="J4433" t="str">
        <f>"9781118257197"</f>
        <v>9781118257197</v>
      </c>
      <c r="K4433" t="s">
        <v>7344</v>
      </c>
      <c r="L4433">
        <v>62</v>
      </c>
      <c r="O4433" t="s">
        <v>30</v>
      </c>
      <c r="P4433" t="s">
        <v>29</v>
      </c>
      <c r="Q4433" s="1">
        <v>42312.021469907406</v>
      </c>
      <c r="R4433">
        <v>7</v>
      </c>
      <c r="S4433" t="s">
        <v>264</v>
      </c>
      <c r="T4433" t="s">
        <v>2651</v>
      </c>
      <c r="U4433">
        <v>972</v>
      </c>
      <c r="V4433" s="3">
        <v>41334</v>
      </c>
    </row>
    <row r="4434" spans="1:22" x14ac:dyDescent="0.35">
      <c r="A4434" s="1">
        <v>42314.849062499998</v>
      </c>
      <c r="B4434" s="2">
        <v>5.2083333333333333E-4</v>
      </c>
      <c r="C4434" t="s">
        <v>6509</v>
      </c>
      <c r="D4434" t="s">
        <v>211</v>
      </c>
      <c r="E4434" t="s">
        <v>212</v>
      </c>
      <c r="F4434" t="s">
        <v>1547</v>
      </c>
      <c r="G4434">
        <v>848510</v>
      </c>
      <c r="H4434" t="s">
        <v>26</v>
      </c>
      <c r="I4434" t="s">
        <v>247</v>
      </c>
      <c r="J4434" t="str">
        <f>"9781118220481"</f>
        <v>9781118220481</v>
      </c>
      <c r="K4434" t="s">
        <v>7345</v>
      </c>
      <c r="L4434">
        <v>22</v>
      </c>
      <c r="O4434" t="s">
        <v>30</v>
      </c>
      <c r="P4434" t="s">
        <v>42</v>
      </c>
      <c r="S4434" t="s">
        <v>214</v>
      </c>
      <c r="T4434" t="s">
        <v>1548</v>
      </c>
      <c r="U4434" t="s">
        <v>1549</v>
      </c>
      <c r="V4434" s="3">
        <v>41066</v>
      </c>
    </row>
    <row r="4435" spans="1:22" x14ac:dyDescent="0.35">
      <c r="A4435" s="1">
        <v>42314.837592592594</v>
      </c>
      <c r="B4435" s="2">
        <v>6.5740740740740733E-3</v>
      </c>
      <c r="C4435" t="s">
        <v>106</v>
      </c>
      <c r="D4435" t="s">
        <v>23</v>
      </c>
      <c r="E4435" t="s">
        <v>24</v>
      </c>
      <c r="F4435" t="s">
        <v>3830</v>
      </c>
      <c r="G4435">
        <v>832297</v>
      </c>
      <c r="H4435" t="s">
        <v>26</v>
      </c>
      <c r="I4435" t="s">
        <v>172</v>
      </c>
      <c r="J4435" t="str">
        <f>"9781118300947"</f>
        <v>9781118300947</v>
      </c>
      <c r="K4435" t="s">
        <v>7346</v>
      </c>
      <c r="L4435">
        <v>9</v>
      </c>
      <c r="O4435" t="s">
        <v>30</v>
      </c>
      <c r="P4435" t="s">
        <v>42</v>
      </c>
      <c r="S4435" t="s">
        <v>31</v>
      </c>
      <c r="T4435" t="s">
        <v>3831</v>
      </c>
      <c r="U4435">
        <v>938</v>
      </c>
      <c r="V4435" s="3">
        <v>40896</v>
      </c>
    </row>
    <row r="4436" spans="1:22" x14ac:dyDescent="0.35">
      <c r="A4436" s="1">
        <v>42314.836041666669</v>
      </c>
      <c r="B4436" s="2">
        <v>0</v>
      </c>
      <c r="C4436" t="s">
        <v>7347</v>
      </c>
      <c r="D4436" t="s">
        <v>35</v>
      </c>
      <c r="E4436" t="s">
        <v>36</v>
      </c>
      <c r="F4436" t="s">
        <v>1662</v>
      </c>
      <c r="G4436">
        <v>821733</v>
      </c>
      <c r="H4436" t="s">
        <v>26</v>
      </c>
      <c r="I4436" t="s">
        <v>841</v>
      </c>
      <c r="J4436" t="str">
        <f>"9781118220627"</f>
        <v>9781118220627</v>
      </c>
      <c r="L4436">
        <v>0</v>
      </c>
      <c r="N4436" t="s">
        <v>7348</v>
      </c>
      <c r="O4436" t="s">
        <v>30</v>
      </c>
      <c r="P4436" t="s">
        <v>47</v>
      </c>
      <c r="Q4436" s="1">
        <v>42314.836041666669</v>
      </c>
      <c r="R4436">
        <v>1</v>
      </c>
      <c r="S4436" t="s">
        <v>40</v>
      </c>
      <c r="U4436">
        <v>358.41550973</v>
      </c>
      <c r="V4436" s="3">
        <v>41429</v>
      </c>
    </row>
    <row r="4437" spans="1:22" x14ac:dyDescent="0.35">
      <c r="A4437" s="1">
        <v>42314.83394675926</v>
      </c>
      <c r="B4437" s="2">
        <v>2.0949074074074073E-3</v>
      </c>
      <c r="C4437" t="s">
        <v>7347</v>
      </c>
      <c r="D4437" t="s">
        <v>35</v>
      </c>
      <c r="E4437" t="s">
        <v>36</v>
      </c>
      <c r="F4437" t="s">
        <v>1662</v>
      </c>
      <c r="G4437">
        <v>821733</v>
      </c>
      <c r="H4437" t="s">
        <v>26</v>
      </c>
      <c r="I4437" t="s">
        <v>841</v>
      </c>
      <c r="J4437" t="str">
        <f>"9781118220627"</f>
        <v>9781118220627</v>
      </c>
      <c r="K4437" t="s">
        <v>7349</v>
      </c>
      <c r="L4437">
        <v>25</v>
      </c>
      <c r="O4437" t="s">
        <v>30</v>
      </c>
      <c r="P4437" t="s">
        <v>50</v>
      </c>
      <c r="S4437" t="s">
        <v>40</v>
      </c>
      <c r="U4437">
        <v>358.41550973</v>
      </c>
      <c r="V4437" s="3">
        <v>41429</v>
      </c>
    </row>
    <row r="4438" spans="1:22" x14ac:dyDescent="0.35">
      <c r="A4438" s="1">
        <v>42314.820763888885</v>
      </c>
      <c r="B4438" s="2">
        <v>4.9652777777777777E-3</v>
      </c>
      <c r="C4438" t="s">
        <v>5438</v>
      </c>
      <c r="D4438" t="s">
        <v>360</v>
      </c>
      <c r="E4438" t="s">
        <v>361</v>
      </c>
      <c r="F4438" t="s">
        <v>7150</v>
      </c>
      <c r="G4438">
        <v>332602</v>
      </c>
      <c r="H4438" t="s">
        <v>26</v>
      </c>
      <c r="I4438" t="s">
        <v>69</v>
      </c>
      <c r="J4438" t="str">
        <f>"9780631227885"</f>
        <v>9780631227885</v>
      </c>
      <c r="K4438" t="s">
        <v>7350</v>
      </c>
      <c r="L4438">
        <v>9</v>
      </c>
      <c r="O4438" t="s">
        <v>30</v>
      </c>
      <c r="P4438" t="s">
        <v>29</v>
      </c>
      <c r="Q4438" s="1">
        <v>42308.775324074071</v>
      </c>
      <c r="R4438">
        <v>7</v>
      </c>
      <c r="S4438" t="s">
        <v>363</v>
      </c>
      <c r="T4438" t="s">
        <v>7151</v>
      </c>
      <c r="U4438" t="s">
        <v>7152</v>
      </c>
      <c r="V4438" s="3">
        <v>41424</v>
      </c>
    </row>
    <row r="4439" spans="1:22" x14ac:dyDescent="0.35">
      <c r="A4439" s="1">
        <v>42314.799872685187</v>
      </c>
      <c r="B4439" s="2">
        <v>5.7986111111111112E-3</v>
      </c>
      <c r="C4439" t="s">
        <v>106</v>
      </c>
      <c r="D4439" t="s">
        <v>23</v>
      </c>
      <c r="E4439" t="s">
        <v>24</v>
      </c>
      <c r="F4439" t="s">
        <v>6635</v>
      </c>
      <c r="G4439">
        <v>817871</v>
      </c>
      <c r="H4439" t="s">
        <v>26</v>
      </c>
      <c r="I4439" t="s">
        <v>276</v>
      </c>
      <c r="J4439" t="str">
        <f>"9781118206911"</f>
        <v>9781118206911</v>
      </c>
      <c r="K4439" t="s">
        <v>7351</v>
      </c>
      <c r="L4439">
        <v>19</v>
      </c>
      <c r="O4439" t="s">
        <v>30</v>
      </c>
      <c r="P4439" t="s">
        <v>29</v>
      </c>
      <c r="Q4439" s="1">
        <v>42314.799872685187</v>
      </c>
      <c r="R4439">
        <v>7</v>
      </c>
      <c r="S4439" t="s">
        <v>31</v>
      </c>
      <c r="T4439" t="s">
        <v>6637</v>
      </c>
      <c r="U4439">
        <v>6.74</v>
      </c>
      <c r="V4439" s="3">
        <v>40897</v>
      </c>
    </row>
    <row r="4440" spans="1:22" x14ac:dyDescent="0.35">
      <c r="A4440" s="1">
        <v>42314.793483796297</v>
      </c>
      <c r="B4440" s="2">
        <v>9.5370370370370366E-3</v>
      </c>
      <c r="C4440" t="s">
        <v>6675</v>
      </c>
      <c r="D4440" t="s">
        <v>1222</v>
      </c>
      <c r="E4440" t="s">
        <v>1223</v>
      </c>
      <c r="F4440" t="s">
        <v>1698</v>
      </c>
      <c r="G4440">
        <v>1637652</v>
      </c>
      <c r="H4440" t="s">
        <v>84</v>
      </c>
      <c r="I4440" t="s">
        <v>69</v>
      </c>
      <c r="J4440" t="str">
        <f>"9780520958449"</f>
        <v>9780520958449</v>
      </c>
      <c r="K4440" t="s">
        <v>7352</v>
      </c>
      <c r="L4440">
        <v>5</v>
      </c>
      <c r="O4440" t="s">
        <v>30</v>
      </c>
      <c r="P4440" t="s">
        <v>29</v>
      </c>
      <c r="Q4440" s="1">
        <v>42314.793483796297</v>
      </c>
      <c r="R4440">
        <v>7</v>
      </c>
      <c r="S4440" t="s">
        <v>1226</v>
      </c>
      <c r="T4440" t="s">
        <v>1700</v>
      </c>
      <c r="U4440" t="s">
        <v>1701</v>
      </c>
      <c r="V4440" s="3">
        <v>41761</v>
      </c>
    </row>
    <row r="4441" spans="1:22" x14ac:dyDescent="0.35">
      <c r="A4441" s="1">
        <v>42314.791921296295</v>
      </c>
      <c r="B4441" s="2">
        <v>7.951388888888888E-3</v>
      </c>
      <c r="C4441" t="s">
        <v>106</v>
      </c>
      <c r="D4441" t="s">
        <v>23</v>
      </c>
      <c r="E4441" t="s">
        <v>24</v>
      </c>
      <c r="F4441" t="s">
        <v>6635</v>
      </c>
      <c r="G4441">
        <v>817871</v>
      </c>
      <c r="H4441" t="s">
        <v>26</v>
      </c>
      <c r="I4441" t="s">
        <v>276</v>
      </c>
      <c r="J4441" t="str">
        <f>"9781118206911"</f>
        <v>9781118206911</v>
      </c>
      <c r="K4441" t="s">
        <v>7353</v>
      </c>
      <c r="L4441">
        <v>12</v>
      </c>
      <c r="O4441" t="s">
        <v>30</v>
      </c>
      <c r="P4441" t="s">
        <v>42</v>
      </c>
      <c r="S4441" t="s">
        <v>31</v>
      </c>
      <c r="T4441" t="s">
        <v>6637</v>
      </c>
      <c r="U4441">
        <v>6.74</v>
      </c>
      <c r="V4441" s="3">
        <v>40897</v>
      </c>
    </row>
    <row r="4442" spans="1:22" x14ac:dyDescent="0.35">
      <c r="A4442" s="1">
        <v>42314.784432870372</v>
      </c>
      <c r="B4442" s="2">
        <v>9.0509259259259258E-3</v>
      </c>
      <c r="C4442" t="s">
        <v>6675</v>
      </c>
      <c r="D4442" t="s">
        <v>1222</v>
      </c>
      <c r="E4442" t="s">
        <v>1223</v>
      </c>
      <c r="F4442" t="s">
        <v>1698</v>
      </c>
      <c r="G4442">
        <v>1637652</v>
      </c>
      <c r="H4442" t="s">
        <v>84</v>
      </c>
      <c r="I4442" t="s">
        <v>69</v>
      </c>
      <c r="J4442" t="str">
        <f>"9780520958449"</f>
        <v>9780520958449</v>
      </c>
      <c r="K4442" t="s">
        <v>413</v>
      </c>
      <c r="L4442">
        <v>9</v>
      </c>
      <c r="O4442" t="s">
        <v>30</v>
      </c>
      <c r="P4442" t="s">
        <v>42</v>
      </c>
      <c r="S4442" t="s">
        <v>1226</v>
      </c>
      <c r="T4442" t="s">
        <v>1700</v>
      </c>
      <c r="U4442" t="s">
        <v>1701</v>
      </c>
      <c r="V4442" s="3">
        <v>41761</v>
      </c>
    </row>
    <row r="4443" spans="1:22" x14ac:dyDescent="0.35">
      <c r="A4443" s="1">
        <v>42314.774351851855</v>
      </c>
      <c r="B4443" s="2">
        <v>3.4722222222222222E-5</v>
      </c>
      <c r="C4443" t="s">
        <v>7354</v>
      </c>
      <c r="D4443" t="s">
        <v>23</v>
      </c>
      <c r="E4443" t="s">
        <v>24</v>
      </c>
      <c r="F4443" t="s">
        <v>4065</v>
      </c>
      <c r="G4443">
        <v>918746</v>
      </c>
      <c r="H4443" t="s">
        <v>1365</v>
      </c>
      <c r="I4443" t="s">
        <v>150</v>
      </c>
      <c r="J4443" t="str">
        <f>"9780826441850"</f>
        <v>9780826441850</v>
      </c>
      <c r="K4443" t="s">
        <v>33</v>
      </c>
      <c r="L4443">
        <v>3</v>
      </c>
      <c r="O4443" t="s">
        <v>30</v>
      </c>
      <c r="P4443" t="s">
        <v>42</v>
      </c>
      <c r="S4443" t="s">
        <v>31</v>
      </c>
      <c r="T4443" t="s">
        <v>4066</v>
      </c>
      <c r="U4443">
        <v>791.45749999999998</v>
      </c>
      <c r="V4443" s="3">
        <v>41091</v>
      </c>
    </row>
    <row r="4444" spans="1:22" x14ac:dyDescent="0.35">
      <c r="A4444" s="1">
        <v>42314.773530092592</v>
      </c>
      <c r="B4444" s="2">
        <v>1.4351851851851854E-3</v>
      </c>
      <c r="C4444" t="s">
        <v>7355</v>
      </c>
      <c r="D4444" t="s">
        <v>623</v>
      </c>
      <c r="E4444" t="s">
        <v>624</v>
      </c>
      <c r="F4444" t="s">
        <v>7356</v>
      </c>
      <c r="G4444">
        <v>1474730</v>
      </c>
      <c r="H4444" t="s">
        <v>68</v>
      </c>
      <c r="I4444" t="s">
        <v>310</v>
      </c>
      <c r="J4444" t="str">
        <f>"9781136357251"</f>
        <v>9781136357251</v>
      </c>
      <c r="K4444" t="s">
        <v>7357</v>
      </c>
      <c r="L4444">
        <v>34</v>
      </c>
      <c r="O4444" t="s">
        <v>30</v>
      </c>
      <c r="P4444" t="s">
        <v>50</v>
      </c>
      <c r="S4444" t="s">
        <v>627</v>
      </c>
      <c r="T4444" t="s">
        <v>7358</v>
      </c>
      <c r="U4444">
        <v>808.82935799999996</v>
      </c>
      <c r="V4444" s="3">
        <v>36405</v>
      </c>
    </row>
    <row r="4445" spans="1:22" x14ac:dyDescent="0.35">
      <c r="A4445" s="1">
        <v>42314.771249999998</v>
      </c>
      <c r="B4445" s="2">
        <v>2.199074074074074E-4</v>
      </c>
      <c r="C4445" t="s">
        <v>7355</v>
      </c>
      <c r="D4445" t="s">
        <v>623</v>
      </c>
      <c r="E4445" t="s">
        <v>624</v>
      </c>
      <c r="F4445" t="s">
        <v>7359</v>
      </c>
      <c r="G4445">
        <v>1514118</v>
      </c>
      <c r="H4445" t="s">
        <v>526</v>
      </c>
      <c r="I4445" t="s">
        <v>348</v>
      </c>
      <c r="J4445" t="str">
        <f>"9780226077567"</f>
        <v>9780226077567</v>
      </c>
      <c r="K4445" t="s">
        <v>7360</v>
      </c>
      <c r="L4445">
        <v>12</v>
      </c>
      <c r="O4445" t="s">
        <v>30</v>
      </c>
      <c r="P4445" t="s">
        <v>50</v>
      </c>
      <c r="S4445" t="s">
        <v>627</v>
      </c>
      <c r="T4445" t="s">
        <v>7361</v>
      </c>
      <c r="U4445" t="s">
        <v>7362</v>
      </c>
      <c r="V4445" s="3">
        <v>41614</v>
      </c>
    </row>
    <row r="4446" spans="1:22" x14ac:dyDescent="0.35">
      <c r="A4446" s="1">
        <v>42314.768263888887</v>
      </c>
      <c r="B4446" s="2">
        <v>3.0092592592592588E-3</v>
      </c>
      <c r="C4446" t="s">
        <v>7363</v>
      </c>
      <c r="D4446" t="s">
        <v>125</v>
      </c>
      <c r="E4446" t="s">
        <v>126</v>
      </c>
      <c r="F4446" t="s">
        <v>7364</v>
      </c>
      <c r="G4446">
        <v>1809240</v>
      </c>
      <c r="H4446" t="s">
        <v>1474</v>
      </c>
      <c r="I4446" t="s">
        <v>120</v>
      </c>
      <c r="J4446" t="str">
        <f>"9781137393630"</f>
        <v>9781137393630</v>
      </c>
      <c r="K4446" t="s">
        <v>7365</v>
      </c>
      <c r="L4446">
        <v>109</v>
      </c>
      <c r="O4446" t="s">
        <v>30</v>
      </c>
      <c r="P4446" t="s">
        <v>42</v>
      </c>
      <c r="S4446" t="s">
        <v>128</v>
      </c>
      <c r="T4446" t="s">
        <v>7366</v>
      </c>
      <c r="U4446" t="s">
        <v>4971</v>
      </c>
      <c r="V4446" s="3">
        <v>41873</v>
      </c>
    </row>
    <row r="4447" spans="1:22" x14ac:dyDescent="0.35">
      <c r="A4447" s="1">
        <v>42314.69804398148</v>
      </c>
      <c r="B4447" s="2">
        <v>2.2685185185185182E-3</v>
      </c>
      <c r="C4447" t="s">
        <v>5675</v>
      </c>
      <c r="D4447" t="s">
        <v>23</v>
      </c>
      <c r="E4447" t="s">
        <v>24</v>
      </c>
      <c r="F4447" t="s">
        <v>1161</v>
      </c>
      <c r="G4447">
        <v>1710997</v>
      </c>
      <c r="H4447" t="s">
        <v>84</v>
      </c>
      <c r="I4447" t="s">
        <v>108</v>
      </c>
      <c r="J4447" t="str">
        <f>"9780520959224"</f>
        <v>9780520959224</v>
      </c>
      <c r="K4447" t="s">
        <v>7367</v>
      </c>
      <c r="L4447">
        <v>16</v>
      </c>
      <c r="O4447" t="s">
        <v>30</v>
      </c>
      <c r="P4447" t="s">
        <v>47</v>
      </c>
      <c r="Q4447" s="1">
        <v>42314.69803240741</v>
      </c>
      <c r="R4447">
        <v>1</v>
      </c>
      <c r="S4447" t="s">
        <v>31</v>
      </c>
      <c r="T4447" t="s">
        <v>1162</v>
      </c>
      <c r="U4447" t="s">
        <v>1163</v>
      </c>
      <c r="V4447" s="3">
        <v>42018</v>
      </c>
    </row>
    <row r="4448" spans="1:22" x14ac:dyDescent="0.35">
      <c r="A4448" s="1">
        <v>42314.692013888889</v>
      </c>
      <c r="B4448" s="2">
        <v>6.7013888888888887E-2</v>
      </c>
      <c r="C4448" t="s">
        <v>106</v>
      </c>
      <c r="D4448" t="s">
        <v>23</v>
      </c>
      <c r="E4448" t="s">
        <v>24</v>
      </c>
      <c r="F4448" t="s">
        <v>486</v>
      </c>
      <c r="G4448">
        <v>1119505</v>
      </c>
      <c r="H4448" t="s">
        <v>26</v>
      </c>
      <c r="I4448" t="s">
        <v>450</v>
      </c>
      <c r="J4448" t="str">
        <f>"9781118355015"</f>
        <v>9781118355015</v>
      </c>
      <c r="K4448" t="s">
        <v>7368</v>
      </c>
      <c r="L4448">
        <v>35</v>
      </c>
      <c r="O4448" t="s">
        <v>30</v>
      </c>
      <c r="P4448" t="s">
        <v>29</v>
      </c>
      <c r="Q4448" s="1">
        <v>42314.692002314812</v>
      </c>
      <c r="R4448">
        <v>7</v>
      </c>
      <c r="S4448" t="s">
        <v>31</v>
      </c>
      <c r="T4448" t="s">
        <v>487</v>
      </c>
      <c r="U4448" t="s">
        <v>488</v>
      </c>
      <c r="V4448" s="3">
        <v>41302</v>
      </c>
    </row>
    <row r="4449" spans="1:22" x14ac:dyDescent="0.35">
      <c r="A4449" s="1">
        <v>42314.691979166666</v>
      </c>
      <c r="B4449" s="2">
        <v>2.3148148148148147E-5</v>
      </c>
      <c r="C4449" t="s">
        <v>106</v>
      </c>
      <c r="D4449" t="s">
        <v>23</v>
      </c>
      <c r="E4449" t="s">
        <v>24</v>
      </c>
      <c r="F4449" t="s">
        <v>486</v>
      </c>
      <c r="G4449">
        <v>1119505</v>
      </c>
      <c r="H4449" t="s">
        <v>26</v>
      </c>
      <c r="I4449" t="s">
        <v>450</v>
      </c>
      <c r="J4449" t="str">
        <f>"9781118355015"</f>
        <v>9781118355015</v>
      </c>
      <c r="L4449">
        <v>0</v>
      </c>
      <c r="O4449" t="s">
        <v>30</v>
      </c>
      <c r="P4449" t="s">
        <v>42</v>
      </c>
      <c r="S4449" t="s">
        <v>31</v>
      </c>
      <c r="T4449" t="s">
        <v>487</v>
      </c>
      <c r="U4449" t="s">
        <v>488</v>
      </c>
      <c r="V4449" s="3">
        <v>41302</v>
      </c>
    </row>
    <row r="4450" spans="1:22" x14ac:dyDescent="0.35">
      <c r="A4450" s="1">
        <v>42314.68822916667</v>
      </c>
      <c r="B4450" s="2">
        <v>1.9675925925925926E-4</v>
      </c>
      <c r="C4450" t="s">
        <v>7369</v>
      </c>
      <c r="D4450" t="s">
        <v>6396</v>
      </c>
      <c r="E4450" t="s">
        <v>6397</v>
      </c>
      <c r="F4450" t="s">
        <v>7370</v>
      </c>
      <c r="G4450">
        <v>4037849</v>
      </c>
      <c r="H4450" t="s">
        <v>26</v>
      </c>
      <c r="I4450" t="s">
        <v>187</v>
      </c>
      <c r="J4450" t="str">
        <f>"9781118701201"</f>
        <v>9781118701201</v>
      </c>
      <c r="K4450" t="s">
        <v>33</v>
      </c>
      <c r="L4450">
        <v>3</v>
      </c>
      <c r="O4450" t="s">
        <v>30</v>
      </c>
      <c r="P4450" t="s">
        <v>50</v>
      </c>
      <c r="S4450" t="s">
        <v>6400</v>
      </c>
      <c r="T4450" t="s">
        <v>7371</v>
      </c>
      <c r="U4450">
        <v>636.70000000000005</v>
      </c>
      <c r="V4450" s="3">
        <v>41358</v>
      </c>
    </row>
    <row r="4451" spans="1:22" x14ac:dyDescent="0.35">
      <c r="A4451" s="1">
        <v>42314.686874999999</v>
      </c>
      <c r="B4451" s="2">
        <v>1.1157407407407408E-2</v>
      </c>
      <c r="C4451" t="s">
        <v>5675</v>
      </c>
      <c r="D4451" t="s">
        <v>23</v>
      </c>
      <c r="E4451" t="s">
        <v>24</v>
      </c>
      <c r="F4451" t="s">
        <v>1161</v>
      </c>
      <c r="G4451">
        <v>1710997</v>
      </c>
      <c r="H4451" t="s">
        <v>84</v>
      </c>
      <c r="I4451" t="s">
        <v>108</v>
      </c>
      <c r="J4451" t="str">
        <f>"9780520959224"</f>
        <v>9780520959224</v>
      </c>
      <c r="K4451" t="s">
        <v>2663</v>
      </c>
      <c r="L4451">
        <v>15</v>
      </c>
      <c r="O4451" t="s">
        <v>30</v>
      </c>
      <c r="P4451" t="s">
        <v>50</v>
      </c>
      <c r="S4451" t="s">
        <v>31</v>
      </c>
      <c r="T4451" t="s">
        <v>1162</v>
      </c>
      <c r="U4451" t="s">
        <v>1163</v>
      </c>
      <c r="V4451" s="3">
        <v>42018</v>
      </c>
    </row>
    <row r="4452" spans="1:22" x14ac:dyDescent="0.35">
      <c r="A4452" s="1">
        <v>42314.655590277776</v>
      </c>
      <c r="B4452" s="2">
        <v>1.5972222222222221E-3</v>
      </c>
      <c r="C4452" t="s">
        <v>7372</v>
      </c>
      <c r="D4452" t="s">
        <v>23</v>
      </c>
      <c r="E4452" t="s">
        <v>24</v>
      </c>
      <c r="F4452" t="s">
        <v>7373</v>
      </c>
      <c r="G4452">
        <v>1823060</v>
      </c>
      <c r="H4452" t="s">
        <v>26</v>
      </c>
      <c r="I4452" t="s">
        <v>276</v>
      </c>
      <c r="J4452" t="str">
        <f>"9781119019152"</f>
        <v>9781119019152</v>
      </c>
      <c r="K4452" t="s">
        <v>7374</v>
      </c>
      <c r="L4452">
        <v>13</v>
      </c>
      <c r="O4452" t="s">
        <v>30</v>
      </c>
      <c r="P4452" t="s">
        <v>29</v>
      </c>
      <c r="Q4452" s="1">
        <v>42314.655578703707</v>
      </c>
      <c r="R4452">
        <v>7</v>
      </c>
      <c r="S4452" t="s">
        <v>31</v>
      </c>
      <c r="T4452" t="s">
        <v>7375</v>
      </c>
      <c r="U4452">
        <v>5.8</v>
      </c>
      <c r="V4452" s="3">
        <v>41932</v>
      </c>
    </row>
    <row r="4453" spans="1:22" x14ac:dyDescent="0.35">
      <c r="A4453" s="1">
        <v>42314.641504629632</v>
      </c>
      <c r="B4453" s="2">
        <v>3.4722222222222222E-5</v>
      </c>
      <c r="C4453" t="s">
        <v>7376</v>
      </c>
      <c r="D4453" t="s">
        <v>1222</v>
      </c>
      <c r="E4453" t="s">
        <v>1223</v>
      </c>
      <c r="F4453" t="s">
        <v>1477</v>
      </c>
      <c r="G4453">
        <v>822111</v>
      </c>
      <c r="H4453" t="s">
        <v>26</v>
      </c>
      <c r="I4453" t="s">
        <v>120</v>
      </c>
      <c r="J4453" t="str">
        <f>"9781444356922"</f>
        <v>9781444356922</v>
      </c>
      <c r="K4453" t="s">
        <v>33</v>
      </c>
      <c r="L4453">
        <v>3</v>
      </c>
      <c r="O4453" t="s">
        <v>30</v>
      </c>
      <c r="P4453" t="s">
        <v>42</v>
      </c>
      <c r="S4453" t="s">
        <v>1226</v>
      </c>
      <c r="T4453" t="s">
        <v>1479</v>
      </c>
      <c r="U4453" t="s">
        <v>1480</v>
      </c>
      <c r="V4453" s="3">
        <v>40955</v>
      </c>
    </row>
    <row r="4454" spans="1:22" x14ac:dyDescent="0.35">
      <c r="A4454" s="1">
        <v>42314.640682870369</v>
      </c>
      <c r="B4454" s="2">
        <v>1.4895833333333332E-2</v>
      </c>
      <c r="C4454" t="s">
        <v>7372</v>
      </c>
      <c r="D4454" t="s">
        <v>23</v>
      </c>
      <c r="E4454" t="s">
        <v>24</v>
      </c>
      <c r="F4454" t="s">
        <v>7373</v>
      </c>
      <c r="G4454">
        <v>1823060</v>
      </c>
      <c r="H4454" t="s">
        <v>26</v>
      </c>
      <c r="I4454" t="s">
        <v>276</v>
      </c>
      <c r="J4454" t="str">
        <f>"9781119019152"</f>
        <v>9781119019152</v>
      </c>
      <c r="K4454" t="s">
        <v>7377</v>
      </c>
      <c r="L4454">
        <v>16</v>
      </c>
      <c r="O4454" t="s">
        <v>30</v>
      </c>
      <c r="P4454" t="s">
        <v>42</v>
      </c>
      <c r="S4454" t="s">
        <v>31</v>
      </c>
      <c r="T4454" t="s">
        <v>7375</v>
      </c>
      <c r="U4454">
        <v>5.8</v>
      </c>
      <c r="V4454" s="3">
        <v>41932</v>
      </c>
    </row>
    <row r="4455" spans="1:22" x14ac:dyDescent="0.35">
      <c r="A4455" s="1">
        <v>42314.612858796296</v>
      </c>
      <c r="B4455" s="2">
        <v>4.7453703703703704E-4</v>
      </c>
      <c r="C4455" t="s">
        <v>7378</v>
      </c>
      <c r="D4455" t="s">
        <v>35</v>
      </c>
      <c r="E4455" t="s">
        <v>36</v>
      </c>
      <c r="F4455" t="s">
        <v>4863</v>
      </c>
      <c r="G4455">
        <v>829309</v>
      </c>
      <c r="H4455" t="s">
        <v>91</v>
      </c>
      <c r="I4455" t="s">
        <v>247</v>
      </c>
      <c r="J4455" t="str">
        <f>"9781462502387"</f>
        <v>9781462502387</v>
      </c>
      <c r="K4455" t="s">
        <v>240</v>
      </c>
      <c r="L4455">
        <v>14</v>
      </c>
      <c r="O4455" t="s">
        <v>30</v>
      </c>
      <c r="P4455" t="s">
        <v>42</v>
      </c>
      <c r="S4455" t="s">
        <v>40</v>
      </c>
      <c r="T4455" t="s">
        <v>4865</v>
      </c>
      <c r="U4455">
        <v>616.89142000000004</v>
      </c>
      <c r="V4455" s="3">
        <v>40891</v>
      </c>
    </row>
    <row r="4456" spans="1:22" x14ac:dyDescent="0.35">
      <c r="A4456" s="1">
        <v>42314.567754629628</v>
      </c>
      <c r="B4456" s="2">
        <v>5.7870370370370366E-5</v>
      </c>
      <c r="C4456" t="s">
        <v>7379</v>
      </c>
      <c r="D4456" t="s">
        <v>35</v>
      </c>
      <c r="E4456" t="s">
        <v>36</v>
      </c>
      <c r="F4456" t="s">
        <v>7380</v>
      </c>
      <c r="G4456">
        <v>707308</v>
      </c>
      <c r="H4456" t="s">
        <v>26</v>
      </c>
      <c r="I4456" t="s">
        <v>187</v>
      </c>
      <c r="J4456" t="str">
        <f>"9780632055524"</f>
        <v>9780632055524</v>
      </c>
      <c r="K4456" t="s">
        <v>33</v>
      </c>
      <c r="L4456">
        <v>3</v>
      </c>
      <c r="O4456" t="s">
        <v>30</v>
      </c>
      <c r="P4456" t="s">
        <v>50</v>
      </c>
      <c r="S4456" t="s">
        <v>40</v>
      </c>
      <c r="T4456" t="s">
        <v>7381</v>
      </c>
      <c r="U4456" t="s">
        <v>7382</v>
      </c>
      <c r="V4456" s="3">
        <v>41393</v>
      </c>
    </row>
    <row r="4457" spans="1:22" x14ac:dyDescent="0.35">
      <c r="A4457" s="1">
        <v>42314.34584490741</v>
      </c>
      <c r="B4457" s="2">
        <v>1.6203703703703703E-4</v>
      </c>
      <c r="C4457" t="s">
        <v>7383</v>
      </c>
      <c r="D4457" t="s">
        <v>23</v>
      </c>
      <c r="E4457" t="s">
        <v>24</v>
      </c>
      <c r="F4457" t="s">
        <v>840</v>
      </c>
      <c r="G4457">
        <v>1166311</v>
      </c>
      <c r="H4457" t="s">
        <v>26</v>
      </c>
      <c r="I4457" t="s">
        <v>841</v>
      </c>
      <c r="J4457" t="str">
        <f>"9781118525616"</f>
        <v>9781118525616</v>
      </c>
      <c r="K4457" t="s">
        <v>86</v>
      </c>
      <c r="L4457">
        <v>5</v>
      </c>
      <c r="O4457" t="s">
        <v>30</v>
      </c>
      <c r="P4457" t="s">
        <v>42</v>
      </c>
      <c r="S4457" t="s">
        <v>31</v>
      </c>
      <c r="T4457" t="s">
        <v>842</v>
      </c>
      <c r="U4457">
        <v>355.00700000000001</v>
      </c>
      <c r="V4457" s="3">
        <v>41366</v>
      </c>
    </row>
    <row r="4458" spans="1:22" x14ac:dyDescent="0.35">
      <c r="A4458" s="1">
        <v>42314.248657407406</v>
      </c>
      <c r="B4458" s="2">
        <v>5.2083333333333333E-4</v>
      </c>
      <c r="C4458" t="s">
        <v>4041</v>
      </c>
      <c r="D4458" t="s">
        <v>23</v>
      </c>
      <c r="E4458" t="s">
        <v>24</v>
      </c>
      <c r="F4458" t="s">
        <v>3060</v>
      </c>
      <c r="G4458">
        <v>1120279</v>
      </c>
      <c r="H4458" t="s">
        <v>26</v>
      </c>
      <c r="I4458" t="s">
        <v>3061</v>
      </c>
      <c r="J4458" t="str">
        <f>"9781118537671"</f>
        <v>9781118537671</v>
      </c>
      <c r="K4458" t="s">
        <v>7384</v>
      </c>
      <c r="L4458">
        <v>30</v>
      </c>
      <c r="O4458" t="s">
        <v>30</v>
      </c>
      <c r="P4458" t="s">
        <v>42</v>
      </c>
      <c r="S4458" t="s">
        <v>31</v>
      </c>
      <c r="T4458" t="s">
        <v>3063</v>
      </c>
      <c r="U4458">
        <v>599.93499999999995</v>
      </c>
      <c r="V4458" s="3">
        <v>41232</v>
      </c>
    </row>
    <row r="4459" spans="1:22" x14ac:dyDescent="0.35">
      <c r="A4459" s="1">
        <v>42314.157939814817</v>
      </c>
      <c r="B4459" s="2">
        <v>1.5740740740740741E-3</v>
      </c>
      <c r="C4459" t="s">
        <v>7385</v>
      </c>
      <c r="D4459" t="s">
        <v>23</v>
      </c>
      <c r="E4459" t="s">
        <v>24</v>
      </c>
      <c r="F4459" t="s">
        <v>1051</v>
      </c>
      <c r="G4459">
        <v>821663</v>
      </c>
      <c r="H4459" t="s">
        <v>26</v>
      </c>
      <c r="I4459" t="s">
        <v>200</v>
      </c>
      <c r="J4459" t="str">
        <f>"9781118168479"</f>
        <v>9781118168479</v>
      </c>
      <c r="K4459" t="s">
        <v>7386</v>
      </c>
      <c r="L4459">
        <v>13</v>
      </c>
      <c r="O4459" t="s">
        <v>30</v>
      </c>
      <c r="P4459" t="s">
        <v>29</v>
      </c>
      <c r="Q4459" s="1">
        <v>42310.658703703702</v>
      </c>
      <c r="R4459">
        <v>7</v>
      </c>
      <c r="S4459" t="s">
        <v>31</v>
      </c>
      <c r="T4459" t="s">
        <v>1053</v>
      </c>
      <c r="U4459">
        <v>729</v>
      </c>
      <c r="V4459" s="3">
        <v>40973</v>
      </c>
    </row>
    <row r="4460" spans="1:22" x14ac:dyDescent="0.35">
      <c r="A4460" s="1">
        <v>42314.087569444448</v>
      </c>
      <c r="B4460" s="2">
        <v>1.2627314814814815E-2</v>
      </c>
      <c r="C4460" t="s">
        <v>7261</v>
      </c>
      <c r="D4460" t="s">
        <v>623</v>
      </c>
      <c r="E4460" t="s">
        <v>624</v>
      </c>
      <c r="F4460" t="s">
        <v>7262</v>
      </c>
      <c r="G4460">
        <v>1895314</v>
      </c>
      <c r="H4460" t="s">
        <v>26</v>
      </c>
      <c r="I4460" t="s">
        <v>7263</v>
      </c>
      <c r="J4460" t="str">
        <f>"9781119052531"</f>
        <v>9781119052531</v>
      </c>
      <c r="K4460" t="s">
        <v>7387</v>
      </c>
      <c r="L4460">
        <v>17</v>
      </c>
      <c r="O4460" t="s">
        <v>30</v>
      </c>
      <c r="P4460" t="s">
        <v>47</v>
      </c>
      <c r="Q4460" s="1">
        <v>42314.035462962966</v>
      </c>
      <c r="R4460">
        <v>1</v>
      </c>
      <c r="S4460" t="s">
        <v>627</v>
      </c>
      <c r="T4460" t="s">
        <v>7265</v>
      </c>
      <c r="U4460">
        <v>641.56309999999996</v>
      </c>
      <c r="V4460" s="3">
        <v>42157</v>
      </c>
    </row>
    <row r="4461" spans="1:22" x14ac:dyDescent="0.35">
      <c r="A4461" s="1">
        <v>42314.080196759256</v>
      </c>
      <c r="B4461" s="2">
        <v>7.083333333333333E-3</v>
      </c>
      <c r="C4461" t="s">
        <v>7261</v>
      </c>
      <c r="D4461" t="s">
        <v>623</v>
      </c>
      <c r="E4461" t="s">
        <v>624</v>
      </c>
      <c r="F4461" t="s">
        <v>7262</v>
      </c>
      <c r="G4461">
        <v>1895314</v>
      </c>
      <c r="H4461" t="s">
        <v>26</v>
      </c>
      <c r="I4461" t="s">
        <v>7263</v>
      </c>
      <c r="J4461" t="str">
        <f>"9781119052531"</f>
        <v>9781119052531</v>
      </c>
      <c r="K4461" t="s">
        <v>7388</v>
      </c>
      <c r="L4461">
        <v>14</v>
      </c>
      <c r="O4461" t="s">
        <v>30</v>
      </c>
      <c r="P4461" t="s">
        <v>47</v>
      </c>
      <c r="Q4461" s="1">
        <v>42314.035462962966</v>
      </c>
      <c r="R4461">
        <v>1</v>
      </c>
      <c r="S4461" t="s">
        <v>627</v>
      </c>
      <c r="T4461" t="s">
        <v>7265</v>
      </c>
      <c r="U4461">
        <v>641.56309999999996</v>
      </c>
      <c r="V4461" s="3">
        <v>42157</v>
      </c>
    </row>
    <row r="4462" spans="1:22" x14ac:dyDescent="0.35">
      <c r="A4462" s="1">
        <v>42314.079606481479</v>
      </c>
      <c r="B4462" s="2">
        <v>2.3148148148148146E-4</v>
      </c>
      <c r="C4462" t="s">
        <v>7261</v>
      </c>
      <c r="D4462" t="s">
        <v>623</v>
      </c>
      <c r="E4462" t="s">
        <v>624</v>
      </c>
      <c r="F4462" t="s">
        <v>7262</v>
      </c>
      <c r="G4462">
        <v>1895314</v>
      </c>
      <c r="H4462" t="s">
        <v>26</v>
      </c>
      <c r="I4462" t="s">
        <v>7263</v>
      </c>
      <c r="J4462" t="str">
        <f>"9781119052531"</f>
        <v>9781119052531</v>
      </c>
      <c r="K4462" t="s">
        <v>209</v>
      </c>
      <c r="L4462">
        <v>4</v>
      </c>
      <c r="O4462" t="s">
        <v>30</v>
      </c>
      <c r="P4462" t="s">
        <v>47</v>
      </c>
      <c r="Q4462" s="1">
        <v>42314.035462962966</v>
      </c>
      <c r="R4462">
        <v>1</v>
      </c>
      <c r="S4462" t="s">
        <v>627</v>
      </c>
      <c r="T4462" t="s">
        <v>7265</v>
      </c>
      <c r="U4462">
        <v>641.56309999999996</v>
      </c>
      <c r="V4462" s="3">
        <v>42157</v>
      </c>
    </row>
    <row r="4463" spans="1:22" x14ac:dyDescent="0.35">
      <c r="A4463" s="1">
        <v>42314.079444444447</v>
      </c>
      <c r="B4463" s="2">
        <v>7.5231481481481471E-4</v>
      </c>
      <c r="C4463" t="s">
        <v>7389</v>
      </c>
      <c r="D4463" t="s">
        <v>623</v>
      </c>
      <c r="E4463" t="s">
        <v>624</v>
      </c>
      <c r="F4463" t="s">
        <v>7390</v>
      </c>
      <c r="G4463">
        <v>1583279</v>
      </c>
      <c r="H4463" t="s">
        <v>68</v>
      </c>
      <c r="I4463" t="s">
        <v>247</v>
      </c>
      <c r="J4463" t="str">
        <f>"9781317835134"</f>
        <v>9781317835134</v>
      </c>
      <c r="K4463" t="s">
        <v>7391</v>
      </c>
      <c r="L4463">
        <v>14</v>
      </c>
      <c r="O4463" t="s">
        <v>30</v>
      </c>
      <c r="P4463" t="s">
        <v>50</v>
      </c>
      <c r="S4463" t="s">
        <v>627</v>
      </c>
      <c r="T4463" t="s">
        <v>7392</v>
      </c>
      <c r="U4463">
        <v>615.85155999999995</v>
      </c>
      <c r="V4463" s="3">
        <v>41627</v>
      </c>
    </row>
    <row r="4464" spans="1:22" x14ac:dyDescent="0.35">
      <c r="A4464" s="1">
        <v>42314.078240740739</v>
      </c>
      <c r="B4464" s="2">
        <v>1.0300925925925926E-3</v>
      </c>
      <c r="C4464" t="s">
        <v>7389</v>
      </c>
      <c r="D4464" t="s">
        <v>623</v>
      </c>
      <c r="E4464" t="s">
        <v>624</v>
      </c>
      <c r="F4464" t="s">
        <v>7393</v>
      </c>
      <c r="G4464">
        <v>1498708</v>
      </c>
      <c r="H4464" t="s">
        <v>68</v>
      </c>
      <c r="I4464" t="s">
        <v>38</v>
      </c>
      <c r="J4464" t="str">
        <f>"9781136161117"</f>
        <v>9781136161117</v>
      </c>
      <c r="K4464" t="s">
        <v>7394</v>
      </c>
      <c r="L4464">
        <v>19</v>
      </c>
      <c r="O4464" t="s">
        <v>30</v>
      </c>
      <c r="P4464" t="s">
        <v>50</v>
      </c>
      <c r="S4464" t="s">
        <v>627</v>
      </c>
      <c r="T4464" t="s">
        <v>7395</v>
      </c>
      <c r="U4464">
        <v>306.46100000000001</v>
      </c>
      <c r="V4464" s="3">
        <v>41570</v>
      </c>
    </row>
    <row r="4465" spans="1:22" x14ac:dyDescent="0.35">
      <c r="A4465" s="1">
        <v>42314.077453703707</v>
      </c>
      <c r="B4465" s="2">
        <v>1.3888888888888889E-4</v>
      </c>
      <c r="C4465" t="s">
        <v>7389</v>
      </c>
      <c r="D4465" t="s">
        <v>623</v>
      </c>
      <c r="E4465" t="s">
        <v>624</v>
      </c>
      <c r="F4465" t="s">
        <v>7396</v>
      </c>
      <c r="G4465">
        <v>1569757</v>
      </c>
      <c r="H4465" t="s">
        <v>68</v>
      </c>
      <c r="I4465" t="s">
        <v>247</v>
      </c>
      <c r="J4465" t="str">
        <f>"9781136017926"</f>
        <v>9781136017926</v>
      </c>
      <c r="K4465" t="s">
        <v>7397</v>
      </c>
      <c r="L4465">
        <v>8</v>
      </c>
      <c r="O4465" t="s">
        <v>30</v>
      </c>
      <c r="P4465" t="s">
        <v>50</v>
      </c>
      <c r="S4465" t="s">
        <v>627</v>
      </c>
      <c r="T4465" t="s">
        <v>7398</v>
      </c>
      <c r="U4465">
        <v>615.85155999999995</v>
      </c>
      <c r="V4465" s="3">
        <v>41604</v>
      </c>
    </row>
    <row r="4466" spans="1:22" x14ac:dyDescent="0.35">
      <c r="A4466" s="1">
        <v>42314.076203703706</v>
      </c>
      <c r="B4466" s="2">
        <v>6.7129629629629625E-4</v>
      </c>
      <c r="C4466" t="s">
        <v>7389</v>
      </c>
      <c r="D4466" t="s">
        <v>623</v>
      </c>
      <c r="E4466" t="s">
        <v>624</v>
      </c>
      <c r="F4466" t="s">
        <v>7399</v>
      </c>
      <c r="G4466">
        <v>1539136</v>
      </c>
      <c r="H4466" t="s">
        <v>68</v>
      </c>
      <c r="I4466" t="s">
        <v>386</v>
      </c>
      <c r="J4466" t="str">
        <f>"9781136690778"</f>
        <v>9781136690778</v>
      </c>
      <c r="K4466" t="s">
        <v>4737</v>
      </c>
      <c r="L4466">
        <v>13</v>
      </c>
      <c r="O4466" t="s">
        <v>30</v>
      </c>
      <c r="P4466" t="s">
        <v>50</v>
      </c>
      <c r="S4466" t="s">
        <v>627</v>
      </c>
      <c r="T4466" t="s">
        <v>7400</v>
      </c>
      <c r="U4466">
        <v>362.1</v>
      </c>
      <c r="V4466" s="3">
        <v>41583</v>
      </c>
    </row>
    <row r="4467" spans="1:22" x14ac:dyDescent="0.35">
      <c r="A4467" s="1">
        <v>42314.074502314812</v>
      </c>
      <c r="B4467" s="2">
        <v>9.6064814814814808E-4</v>
      </c>
      <c r="C4467" t="s">
        <v>7389</v>
      </c>
      <c r="D4467" t="s">
        <v>623</v>
      </c>
      <c r="E4467" t="s">
        <v>624</v>
      </c>
      <c r="F4467" t="s">
        <v>7401</v>
      </c>
      <c r="G4467">
        <v>1520916</v>
      </c>
      <c r="H4467" t="s">
        <v>68</v>
      </c>
      <c r="I4467" t="s">
        <v>247</v>
      </c>
      <c r="J4467" t="str">
        <f>"9781135012571"</f>
        <v>9781135012571</v>
      </c>
      <c r="K4467" t="s">
        <v>7402</v>
      </c>
      <c r="L4467">
        <v>11</v>
      </c>
      <c r="O4467" t="s">
        <v>30</v>
      </c>
      <c r="P4467" t="s">
        <v>50</v>
      </c>
      <c r="S4467" t="s">
        <v>627</v>
      </c>
      <c r="T4467" t="s">
        <v>7403</v>
      </c>
      <c r="U4467">
        <v>616.89165600000001</v>
      </c>
      <c r="V4467" s="3">
        <v>41578</v>
      </c>
    </row>
    <row r="4468" spans="1:22" x14ac:dyDescent="0.35">
      <c r="A4468" s="1">
        <v>42314.072500000002</v>
      </c>
      <c r="B4468" s="2">
        <v>1.1111111111111111E-3</v>
      </c>
      <c r="C4468" t="s">
        <v>7389</v>
      </c>
      <c r="D4468" t="s">
        <v>623</v>
      </c>
      <c r="E4468" t="s">
        <v>624</v>
      </c>
      <c r="F4468" t="s">
        <v>7404</v>
      </c>
      <c r="G4468">
        <v>1355951</v>
      </c>
      <c r="H4468" t="s">
        <v>68</v>
      </c>
      <c r="I4468" t="s">
        <v>247</v>
      </c>
      <c r="J4468" t="str">
        <f>"9781134853861"</f>
        <v>9781134853861</v>
      </c>
      <c r="K4468" t="s">
        <v>7405</v>
      </c>
      <c r="L4468">
        <v>13</v>
      </c>
      <c r="O4468" t="s">
        <v>30</v>
      </c>
      <c r="P4468" t="s">
        <v>50</v>
      </c>
      <c r="S4468" t="s">
        <v>627</v>
      </c>
      <c r="T4468" t="s">
        <v>7406</v>
      </c>
      <c r="U4468">
        <v>616.89156200000002</v>
      </c>
      <c r="V4468" s="3">
        <v>35068</v>
      </c>
    </row>
    <row r="4469" spans="1:22" x14ac:dyDescent="0.35">
      <c r="A4469" s="1">
        <v>42314.071597222224</v>
      </c>
      <c r="B4469" s="2">
        <v>1.6076388888888887E-2</v>
      </c>
      <c r="C4469" t="s">
        <v>6288</v>
      </c>
      <c r="D4469" t="s">
        <v>23</v>
      </c>
      <c r="E4469" t="s">
        <v>24</v>
      </c>
      <c r="F4469" t="s">
        <v>486</v>
      </c>
      <c r="G4469">
        <v>1119505</v>
      </c>
      <c r="H4469" t="s">
        <v>26</v>
      </c>
      <c r="I4469" t="s">
        <v>450</v>
      </c>
      <c r="J4469" t="str">
        <f>"9781118355015"</f>
        <v>9781118355015</v>
      </c>
      <c r="K4469" t="s">
        <v>7407</v>
      </c>
      <c r="L4469">
        <v>30</v>
      </c>
      <c r="O4469" t="s">
        <v>30</v>
      </c>
      <c r="P4469" t="s">
        <v>29</v>
      </c>
      <c r="Q4469" s="1">
        <v>42314.071585648147</v>
      </c>
      <c r="R4469">
        <v>7</v>
      </c>
      <c r="S4469" t="s">
        <v>31</v>
      </c>
      <c r="T4469" t="s">
        <v>487</v>
      </c>
      <c r="U4469" t="s">
        <v>488</v>
      </c>
      <c r="V4469" s="3">
        <v>41302</v>
      </c>
    </row>
    <row r="4470" spans="1:22" x14ac:dyDescent="0.35">
      <c r="A4470" s="1">
        <v>42314.071469907409</v>
      </c>
      <c r="B4470" s="2">
        <v>1.273148148148148E-4</v>
      </c>
      <c r="C4470" t="s">
        <v>7408</v>
      </c>
      <c r="D4470" t="s">
        <v>23</v>
      </c>
      <c r="E4470" t="s">
        <v>24</v>
      </c>
      <c r="F4470" t="s">
        <v>486</v>
      </c>
      <c r="G4470">
        <v>1119505</v>
      </c>
      <c r="H4470" t="s">
        <v>26</v>
      </c>
      <c r="I4470" t="s">
        <v>450</v>
      </c>
      <c r="J4470" t="str">
        <f>"9781118355015"</f>
        <v>9781118355015</v>
      </c>
      <c r="K4470" t="s">
        <v>7409</v>
      </c>
      <c r="L4470">
        <v>8</v>
      </c>
      <c r="O4470" t="s">
        <v>30</v>
      </c>
      <c r="P4470" t="s">
        <v>29</v>
      </c>
      <c r="Q4470" s="1">
        <v>42313.600844907407</v>
      </c>
      <c r="R4470">
        <v>7</v>
      </c>
      <c r="S4470" t="s">
        <v>31</v>
      </c>
      <c r="T4470" t="s">
        <v>487</v>
      </c>
      <c r="U4470" t="s">
        <v>488</v>
      </c>
      <c r="V4470" s="3">
        <v>41302</v>
      </c>
    </row>
    <row r="4471" spans="1:22" x14ac:dyDescent="0.35">
      <c r="A4471" s="1">
        <v>42314.068726851852</v>
      </c>
      <c r="B4471" s="2">
        <v>7.0601851851851847E-4</v>
      </c>
      <c r="C4471" t="s">
        <v>7389</v>
      </c>
      <c r="D4471" t="s">
        <v>623</v>
      </c>
      <c r="E4471" t="s">
        <v>624</v>
      </c>
      <c r="F4471" t="s">
        <v>7410</v>
      </c>
      <c r="G4471">
        <v>2130961</v>
      </c>
      <c r="H4471" t="s">
        <v>26</v>
      </c>
      <c r="I4471" t="s">
        <v>247</v>
      </c>
      <c r="J4471" t="str">
        <f>"9781118722183"</f>
        <v>9781118722183</v>
      </c>
      <c r="K4471" t="s">
        <v>7411</v>
      </c>
      <c r="L4471">
        <v>13</v>
      </c>
      <c r="O4471" t="s">
        <v>30</v>
      </c>
      <c r="P4471" t="s">
        <v>50</v>
      </c>
      <c r="S4471" t="s">
        <v>627</v>
      </c>
      <c r="T4471" t="s">
        <v>7412</v>
      </c>
      <c r="U4471" t="s">
        <v>7413</v>
      </c>
      <c r="V4471" s="3">
        <v>42209</v>
      </c>
    </row>
    <row r="4472" spans="1:22" x14ac:dyDescent="0.35">
      <c r="A4472" s="1">
        <v>42314.067673611113</v>
      </c>
      <c r="B4472" s="2">
        <v>3.2407407407407406E-4</v>
      </c>
      <c r="C4472" t="s">
        <v>7389</v>
      </c>
      <c r="D4472" t="s">
        <v>623</v>
      </c>
      <c r="E4472" t="s">
        <v>624</v>
      </c>
      <c r="F4472" t="s">
        <v>5835</v>
      </c>
      <c r="G4472">
        <v>1760729</v>
      </c>
      <c r="H4472" t="s">
        <v>91</v>
      </c>
      <c r="I4472" t="s">
        <v>247</v>
      </c>
      <c r="J4472" t="str">
        <f>"9781462518449"</f>
        <v>9781462518449</v>
      </c>
      <c r="K4472" t="s">
        <v>7414</v>
      </c>
      <c r="L4472">
        <v>9</v>
      </c>
      <c r="O4472" t="s">
        <v>30</v>
      </c>
      <c r="P4472" t="s">
        <v>50</v>
      </c>
      <c r="S4472" t="s">
        <v>627</v>
      </c>
      <c r="T4472" t="s">
        <v>5836</v>
      </c>
      <c r="U4472">
        <v>618.92852100000005</v>
      </c>
      <c r="V4472" s="3">
        <v>41953</v>
      </c>
    </row>
    <row r="4473" spans="1:22" x14ac:dyDescent="0.35">
      <c r="A4473" s="1">
        <v>42314.065613425926</v>
      </c>
      <c r="B4473" s="2">
        <v>6.4814814814814813E-4</v>
      </c>
      <c r="C4473" t="s">
        <v>7389</v>
      </c>
      <c r="D4473" t="s">
        <v>623</v>
      </c>
      <c r="E4473" t="s">
        <v>624</v>
      </c>
      <c r="F4473" t="s">
        <v>7415</v>
      </c>
      <c r="G4473">
        <v>1889224</v>
      </c>
      <c r="H4473" t="s">
        <v>26</v>
      </c>
      <c r="I4473" t="s">
        <v>219</v>
      </c>
      <c r="J4473" t="str">
        <f>"9781119026402"</f>
        <v>9781119026402</v>
      </c>
      <c r="K4473" t="s">
        <v>7416</v>
      </c>
      <c r="L4473">
        <v>14</v>
      </c>
      <c r="O4473" t="s">
        <v>30</v>
      </c>
      <c r="P4473" t="s">
        <v>50</v>
      </c>
      <c r="S4473" t="s">
        <v>627</v>
      </c>
      <c r="T4473" t="s">
        <v>7417</v>
      </c>
      <c r="U4473" t="s">
        <v>7418</v>
      </c>
      <c r="V4473" s="3">
        <v>41981</v>
      </c>
    </row>
    <row r="4474" spans="1:22" x14ac:dyDescent="0.35">
      <c r="A4474" s="1">
        <v>42314.06417824074</v>
      </c>
      <c r="B4474" s="2">
        <v>7.4074074074074068E-3</v>
      </c>
      <c r="C4474" t="s">
        <v>6288</v>
      </c>
      <c r="D4474" t="s">
        <v>23</v>
      </c>
      <c r="E4474" t="s">
        <v>24</v>
      </c>
      <c r="F4474" t="s">
        <v>486</v>
      </c>
      <c r="G4474">
        <v>1119505</v>
      </c>
      <c r="H4474" t="s">
        <v>26</v>
      </c>
      <c r="I4474" t="s">
        <v>450</v>
      </c>
      <c r="J4474" t="str">
        <f>"9781118355015"</f>
        <v>9781118355015</v>
      </c>
      <c r="K4474" t="s">
        <v>7419</v>
      </c>
      <c r="L4474">
        <v>25</v>
      </c>
      <c r="O4474" t="s">
        <v>30</v>
      </c>
      <c r="P4474" t="s">
        <v>42</v>
      </c>
      <c r="S4474" t="s">
        <v>31</v>
      </c>
      <c r="T4474" t="s">
        <v>487</v>
      </c>
      <c r="U4474" t="s">
        <v>488</v>
      </c>
      <c r="V4474" s="3">
        <v>41302</v>
      </c>
    </row>
    <row r="4475" spans="1:22" x14ac:dyDescent="0.35">
      <c r="A4475" s="1">
        <v>42314.041875000003</v>
      </c>
      <c r="B4475" s="2">
        <v>7.7546296296296304E-4</v>
      </c>
      <c r="C4475" t="s">
        <v>7420</v>
      </c>
      <c r="D4475" t="s">
        <v>623</v>
      </c>
      <c r="E4475" t="s">
        <v>624</v>
      </c>
      <c r="F4475" t="s">
        <v>4881</v>
      </c>
      <c r="G4475">
        <v>1969407</v>
      </c>
      <c r="H4475" t="s">
        <v>45</v>
      </c>
      <c r="I4475" t="s">
        <v>200</v>
      </c>
      <c r="J4475" t="str">
        <f>"9781472422880"</f>
        <v>9781472422880</v>
      </c>
      <c r="K4475" t="s">
        <v>7421</v>
      </c>
      <c r="L4475">
        <v>9</v>
      </c>
      <c r="O4475" t="s">
        <v>30</v>
      </c>
      <c r="P4475" t="s">
        <v>50</v>
      </c>
      <c r="S4475" t="s">
        <v>627</v>
      </c>
      <c r="T4475" t="s">
        <v>4883</v>
      </c>
      <c r="U4475">
        <v>720.71</v>
      </c>
      <c r="V4475" s="3">
        <v>42091</v>
      </c>
    </row>
    <row r="4476" spans="1:22" x14ac:dyDescent="0.35">
      <c r="A4476" s="1">
        <v>42314.035462962966</v>
      </c>
      <c r="B4476" s="2">
        <v>7.6620370370370366E-3</v>
      </c>
      <c r="C4476" t="s">
        <v>7261</v>
      </c>
      <c r="D4476" t="s">
        <v>623</v>
      </c>
      <c r="E4476" t="s">
        <v>624</v>
      </c>
      <c r="F4476" t="s">
        <v>7262</v>
      </c>
      <c r="G4476">
        <v>1895314</v>
      </c>
      <c r="H4476" t="s">
        <v>26</v>
      </c>
      <c r="I4476" t="s">
        <v>7263</v>
      </c>
      <c r="J4476" t="str">
        <f>"9781119052531"</f>
        <v>9781119052531</v>
      </c>
      <c r="K4476" t="s">
        <v>7422</v>
      </c>
      <c r="L4476">
        <v>5</v>
      </c>
      <c r="O4476" t="s">
        <v>30</v>
      </c>
      <c r="P4476" t="s">
        <v>47</v>
      </c>
      <c r="Q4476" s="1">
        <v>42314.035462962966</v>
      </c>
      <c r="R4476">
        <v>1</v>
      </c>
      <c r="S4476" t="s">
        <v>627</v>
      </c>
      <c r="T4476" t="s">
        <v>7265</v>
      </c>
      <c r="U4476">
        <v>641.56309999999996</v>
      </c>
      <c r="V4476" s="3">
        <v>42157</v>
      </c>
    </row>
    <row r="4477" spans="1:22" x14ac:dyDescent="0.35">
      <c r="A4477" s="1">
        <v>42314.033043981479</v>
      </c>
      <c r="B4477" s="2">
        <v>2.0949074074074073E-3</v>
      </c>
      <c r="C4477" t="s">
        <v>5326</v>
      </c>
      <c r="D4477" t="s">
        <v>23</v>
      </c>
      <c r="E4477" t="s">
        <v>24</v>
      </c>
      <c r="F4477" t="s">
        <v>486</v>
      </c>
      <c r="G4477">
        <v>1119505</v>
      </c>
      <c r="H4477" t="s">
        <v>26</v>
      </c>
      <c r="I4477" t="s">
        <v>450</v>
      </c>
      <c r="J4477" t="str">
        <f>"9781118355015"</f>
        <v>9781118355015</v>
      </c>
      <c r="K4477" t="s">
        <v>7423</v>
      </c>
      <c r="L4477">
        <v>13</v>
      </c>
      <c r="O4477" t="s">
        <v>30</v>
      </c>
      <c r="P4477" t="s">
        <v>29</v>
      </c>
      <c r="Q4477" s="1">
        <v>42313.091331018521</v>
      </c>
      <c r="R4477">
        <v>7</v>
      </c>
      <c r="S4477" t="s">
        <v>31</v>
      </c>
      <c r="T4477" t="s">
        <v>487</v>
      </c>
      <c r="U4477" t="s">
        <v>488</v>
      </c>
      <c r="V4477" s="3">
        <v>41302</v>
      </c>
    </row>
    <row r="4478" spans="1:22" x14ac:dyDescent="0.35">
      <c r="A4478" s="1">
        <v>42314.031412037039</v>
      </c>
      <c r="B4478" s="2">
        <v>4.0509259259259257E-3</v>
      </c>
      <c r="C4478" t="s">
        <v>7261</v>
      </c>
      <c r="D4478" t="s">
        <v>623</v>
      </c>
      <c r="E4478" t="s">
        <v>624</v>
      </c>
      <c r="F4478" t="s">
        <v>7262</v>
      </c>
      <c r="G4478">
        <v>1895314</v>
      </c>
      <c r="H4478" t="s">
        <v>26</v>
      </c>
      <c r="I4478" t="s">
        <v>7263</v>
      </c>
      <c r="J4478" t="str">
        <f>"9781119052531"</f>
        <v>9781119052531</v>
      </c>
      <c r="K4478" t="s">
        <v>7424</v>
      </c>
      <c r="L4478">
        <v>9</v>
      </c>
      <c r="O4478" t="s">
        <v>30</v>
      </c>
      <c r="P4478" t="s">
        <v>50</v>
      </c>
      <c r="S4478" t="s">
        <v>627</v>
      </c>
      <c r="T4478" t="s">
        <v>7265</v>
      </c>
      <c r="U4478">
        <v>641.56309999999996</v>
      </c>
      <c r="V4478" s="3">
        <v>42157</v>
      </c>
    </row>
    <row r="4479" spans="1:22" x14ac:dyDescent="0.35">
      <c r="A4479" s="1">
        <v>42314.031018518515</v>
      </c>
      <c r="B4479" s="2">
        <v>3.4722222222222222E-5</v>
      </c>
      <c r="C4479" t="s">
        <v>7420</v>
      </c>
      <c r="D4479" t="s">
        <v>623</v>
      </c>
      <c r="E4479" t="s">
        <v>624</v>
      </c>
      <c r="F4479" t="s">
        <v>7425</v>
      </c>
      <c r="G4479">
        <v>1562138</v>
      </c>
      <c r="H4479" t="s">
        <v>68</v>
      </c>
      <c r="I4479" t="s">
        <v>120</v>
      </c>
      <c r="J4479" t="str">
        <f>"9781317972860"</f>
        <v>9781317972860</v>
      </c>
      <c r="K4479" t="s">
        <v>33</v>
      </c>
      <c r="L4479">
        <v>3</v>
      </c>
      <c r="O4479" t="s">
        <v>30</v>
      </c>
      <c r="P4479" t="s">
        <v>50</v>
      </c>
      <c r="S4479" t="s">
        <v>627</v>
      </c>
      <c r="T4479" t="s">
        <v>7426</v>
      </c>
      <c r="U4479">
        <v>307.1216</v>
      </c>
      <c r="V4479" s="3">
        <v>41590</v>
      </c>
    </row>
    <row r="4480" spans="1:22" x14ac:dyDescent="0.35">
      <c r="A4480" s="1">
        <v>42314.029247685183</v>
      </c>
      <c r="B4480" s="2">
        <v>1.5509259259259261E-3</v>
      </c>
      <c r="C4480" t="s">
        <v>7261</v>
      </c>
      <c r="D4480" t="s">
        <v>623</v>
      </c>
      <c r="E4480" t="s">
        <v>624</v>
      </c>
      <c r="F4480" t="s">
        <v>7262</v>
      </c>
      <c r="G4480">
        <v>1895314</v>
      </c>
      <c r="H4480" t="s">
        <v>26</v>
      </c>
      <c r="I4480" t="s">
        <v>7263</v>
      </c>
      <c r="J4480" t="str">
        <f>"9781119052531"</f>
        <v>9781119052531</v>
      </c>
      <c r="K4480" t="s">
        <v>7427</v>
      </c>
      <c r="L4480">
        <v>11</v>
      </c>
      <c r="O4480" t="s">
        <v>30</v>
      </c>
      <c r="P4480" t="s">
        <v>50</v>
      </c>
      <c r="S4480" t="s">
        <v>627</v>
      </c>
      <c r="T4480" t="s">
        <v>7265</v>
      </c>
      <c r="U4480">
        <v>641.56309999999996</v>
      </c>
      <c r="V4480" s="3">
        <v>42157</v>
      </c>
    </row>
    <row r="4481" spans="1:22" x14ac:dyDescent="0.35">
      <c r="A4481" s="1">
        <v>42314.026817129627</v>
      </c>
      <c r="B4481" s="2">
        <v>1.5046296296296297E-4</v>
      </c>
      <c r="C4481" t="s">
        <v>7420</v>
      </c>
      <c r="D4481" t="s">
        <v>623</v>
      </c>
      <c r="E4481" t="s">
        <v>624</v>
      </c>
      <c r="F4481" t="s">
        <v>7428</v>
      </c>
      <c r="G4481">
        <v>1985701</v>
      </c>
      <c r="H4481" t="s">
        <v>26</v>
      </c>
      <c r="I4481" t="s">
        <v>150</v>
      </c>
      <c r="J4481" t="str">
        <f>"9783433605844"</f>
        <v>9783433605844</v>
      </c>
      <c r="K4481" t="s">
        <v>7429</v>
      </c>
      <c r="L4481">
        <v>8</v>
      </c>
      <c r="O4481" t="s">
        <v>30</v>
      </c>
      <c r="P4481" t="s">
        <v>50</v>
      </c>
      <c r="S4481" t="s">
        <v>627</v>
      </c>
      <c r="T4481" t="s">
        <v>7430</v>
      </c>
      <c r="U4481">
        <v>745.44420000000002</v>
      </c>
      <c r="V4481" s="3">
        <v>42069</v>
      </c>
    </row>
    <row r="4482" spans="1:22" x14ac:dyDescent="0.35">
      <c r="A4482" s="1">
        <v>42314.021562499998</v>
      </c>
      <c r="B4482" s="2">
        <v>1.6342592592592593E-2</v>
      </c>
      <c r="C4482" t="s">
        <v>4205</v>
      </c>
      <c r="D4482" t="s">
        <v>597</v>
      </c>
      <c r="E4482" t="s">
        <v>598</v>
      </c>
      <c r="F4482" t="s">
        <v>111</v>
      </c>
      <c r="G4482">
        <v>693176</v>
      </c>
      <c r="H4482" t="s">
        <v>26</v>
      </c>
      <c r="I4482" t="s">
        <v>112</v>
      </c>
      <c r="J4482" t="str">
        <f>"9781118017746"</f>
        <v>9781118017746</v>
      </c>
      <c r="K4482" t="s">
        <v>7431</v>
      </c>
      <c r="L4482">
        <v>40</v>
      </c>
      <c r="O4482" t="s">
        <v>30</v>
      </c>
      <c r="P4482" t="s">
        <v>29</v>
      </c>
      <c r="Q4482" s="1">
        <v>42314.021562499998</v>
      </c>
      <c r="R4482">
        <v>7</v>
      </c>
      <c r="S4482" t="s">
        <v>600</v>
      </c>
      <c r="T4482" t="s">
        <v>114</v>
      </c>
      <c r="U4482" t="s">
        <v>115</v>
      </c>
      <c r="V4482" s="3">
        <v>40835</v>
      </c>
    </row>
    <row r="4483" spans="1:22" x14ac:dyDescent="0.35">
      <c r="A4483" s="1">
        <v>42314.013958333337</v>
      </c>
      <c r="B4483" s="2">
        <v>7.5925925925925926E-3</v>
      </c>
      <c r="C4483" t="s">
        <v>4205</v>
      </c>
      <c r="D4483" t="s">
        <v>597</v>
      </c>
      <c r="E4483" t="s">
        <v>598</v>
      </c>
      <c r="F4483" t="s">
        <v>111</v>
      </c>
      <c r="G4483">
        <v>693176</v>
      </c>
      <c r="H4483" t="s">
        <v>26</v>
      </c>
      <c r="I4483" t="s">
        <v>112</v>
      </c>
      <c r="J4483" t="str">
        <f>"9781118017746"</f>
        <v>9781118017746</v>
      </c>
      <c r="K4483" t="s">
        <v>7432</v>
      </c>
      <c r="L4483">
        <v>27</v>
      </c>
      <c r="O4483" t="s">
        <v>30</v>
      </c>
      <c r="P4483" t="s">
        <v>42</v>
      </c>
      <c r="S4483" t="s">
        <v>600</v>
      </c>
      <c r="T4483" t="s">
        <v>114</v>
      </c>
      <c r="U4483" t="s">
        <v>115</v>
      </c>
      <c r="V4483" s="3">
        <v>40835</v>
      </c>
    </row>
    <row r="4484" spans="1:22" x14ac:dyDescent="0.35">
      <c r="A4484" s="1">
        <v>42314.00273148148</v>
      </c>
      <c r="B4484" s="2">
        <v>3.472222222222222E-3</v>
      </c>
      <c r="C4484" t="s">
        <v>7433</v>
      </c>
      <c r="D4484" t="s">
        <v>23</v>
      </c>
      <c r="E4484" t="s">
        <v>24</v>
      </c>
      <c r="F4484" t="s">
        <v>4065</v>
      </c>
      <c r="G4484">
        <v>918746</v>
      </c>
      <c r="H4484" t="s">
        <v>1365</v>
      </c>
      <c r="I4484" t="s">
        <v>150</v>
      </c>
      <c r="J4484" t="str">
        <f>"9780826441850"</f>
        <v>9780826441850</v>
      </c>
      <c r="K4484" t="s">
        <v>7434</v>
      </c>
      <c r="L4484">
        <v>22</v>
      </c>
      <c r="O4484" t="s">
        <v>30</v>
      </c>
      <c r="P4484" t="s">
        <v>42</v>
      </c>
      <c r="S4484" t="s">
        <v>31</v>
      </c>
      <c r="T4484" t="s">
        <v>4066</v>
      </c>
      <c r="U4484">
        <v>791.45749999999998</v>
      </c>
      <c r="V4484" s="3">
        <v>41091</v>
      </c>
    </row>
    <row r="4485" spans="1:22" x14ac:dyDescent="0.35">
      <c r="A4485" s="1">
        <v>42313.976168981484</v>
      </c>
      <c r="B4485" s="2">
        <v>1.5856481481481479E-3</v>
      </c>
      <c r="C4485" t="s">
        <v>7435</v>
      </c>
      <c r="D4485" t="s">
        <v>23</v>
      </c>
      <c r="E4485" t="s">
        <v>24</v>
      </c>
      <c r="F4485" t="s">
        <v>4289</v>
      </c>
      <c r="G4485">
        <v>1120621</v>
      </c>
      <c r="H4485" t="s">
        <v>26</v>
      </c>
      <c r="I4485" t="s">
        <v>69</v>
      </c>
      <c r="J4485" t="str">
        <f>"9781118362679"</f>
        <v>9781118362679</v>
      </c>
      <c r="K4485" t="s">
        <v>7436</v>
      </c>
      <c r="L4485">
        <v>16</v>
      </c>
      <c r="O4485" t="s">
        <v>30</v>
      </c>
      <c r="P4485" t="s">
        <v>42</v>
      </c>
      <c r="S4485" t="s">
        <v>31</v>
      </c>
      <c r="T4485" t="s">
        <v>4290</v>
      </c>
      <c r="U4485" t="s">
        <v>4291</v>
      </c>
      <c r="V4485" s="3">
        <v>41136</v>
      </c>
    </row>
    <row r="4486" spans="1:22" x14ac:dyDescent="0.35">
      <c r="A4486" s="1">
        <v>42313.950173611112</v>
      </c>
      <c r="B4486" s="2">
        <v>1.9675925925925926E-4</v>
      </c>
      <c r="C4486" t="s">
        <v>7437</v>
      </c>
      <c r="D4486" t="s">
        <v>23</v>
      </c>
      <c r="E4486" t="s">
        <v>24</v>
      </c>
      <c r="F4486" t="s">
        <v>7438</v>
      </c>
      <c r="G4486">
        <v>1498686</v>
      </c>
      <c r="H4486" t="s">
        <v>526</v>
      </c>
      <c r="I4486" t="s">
        <v>426</v>
      </c>
      <c r="J4486" t="str">
        <f>"9780226072692"</f>
        <v>9780226072692</v>
      </c>
      <c r="K4486" t="s">
        <v>7439</v>
      </c>
      <c r="L4486">
        <v>9</v>
      </c>
      <c r="O4486" t="s">
        <v>30</v>
      </c>
      <c r="P4486" t="s">
        <v>50</v>
      </c>
      <c r="S4486" t="s">
        <v>31</v>
      </c>
      <c r="T4486" t="s">
        <v>7440</v>
      </c>
      <c r="U4486" t="s">
        <v>7441</v>
      </c>
      <c r="V4486" s="3">
        <v>41605</v>
      </c>
    </row>
    <row r="4487" spans="1:22" x14ac:dyDescent="0.35">
      <c r="A4487" s="1">
        <v>42313.948773148149</v>
      </c>
      <c r="B4487" s="2">
        <v>4.5138888888888892E-4</v>
      </c>
      <c r="C4487" t="s">
        <v>7442</v>
      </c>
      <c r="D4487" t="s">
        <v>623</v>
      </c>
      <c r="E4487" t="s">
        <v>624</v>
      </c>
      <c r="F4487" t="s">
        <v>7443</v>
      </c>
      <c r="G4487">
        <v>1887746</v>
      </c>
      <c r="H4487" t="s">
        <v>26</v>
      </c>
      <c r="I4487" t="s">
        <v>426</v>
      </c>
      <c r="J4487" t="str">
        <f>"9781118697559"</f>
        <v>9781118697559</v>
      </c>
      <c r="K4487" t="s">
        <v>355</v>
      </c>
      <c r="L4487">
        <v>8</v>
      </c>
      <c r="O4487" t="s">
        <v>30</v>
      </c>
      <c r="P4487" t="s">
        <v>50</v>
      </c>
      <c r="S4487" t="s">
        <v>627</v>
      </c>
      <c r="T4487" t="s">
        <v>7444</v>
      </c>
      <c r="U4487">
        <v>248</v>
      </c>
      <c r="V4487" s="3">
        <v>41424</v>
      </c>
    </row>
    <row r="4488" spans="1:22" x14ac:dyDescent="0.35">
      <c r="A4488" s="1">
        <v>42313.941238425927</v>
      </c>
      <c r="B4488" s="2">
        <v>2.3611111111111111E-3</v>
      </c>
      <c r="C4488" t="s">
        <v>7445</v>
      </c>
      <c r="D4488" t="s">
        <v>158</v>
      </c>
      <c r="E4488" t="s">
        <v>159</v>
      </c>
      <c r="F4488" t="s">
        <v>1477</v>
      </c>
      <c r="G4488">
        <v>822111</v>
      </c>
      <c r="H4488" t="s">
        <v>26</v>
      </c>
      <c r="I4488" t="s">
        <v>120</v>
      </c>
      <c r="J4488" t="str">
        <f>"9781444356922"</f>
        <v>9781444356922</v>
      </c>
      <c r="K4488" t="s">
        <v>7446</v>
      </c>
      <c r="L4488">
        <v>23</v>
      </c>
      <c r="M4488" t="s">
        <v>7447</v>
      </c>
      <c r="O4488" t="s">
        <v>30</v>
      </c>
      <c r="P4488" t="s">
        <v>29</v>
      </c>
      <c r="Q4488" s="1">
        <v>42313.941238425927</v>
      </c>
      <c r="R4488">
        <v>7</v>
      </c>
      <c r="S4488" t="s">
        <v>163</v>
      </c>
      <c r="T4488" t="s">
        <v>1479</v>
      </c>
      <c r="U4488" t="s">
        <v>1480</v>
      </c>
      <c r="V4488" s="3">
        <v>40955</v>
      </c>
    </row>
    <row r="4489" spans="1:22" x14ac:dyDescent="0.35">
      <c r="A4489" s="1">
        <v>42313.932199074072</v>
      </c>
      <c r="B4489" s="2">
        <v>8.7962962962962962E-4</v>
      </c>
      <c r="C4489" t="s">
        <v>7442</v>
      </c>
      <c r="D4489" t="s">
        <v>623</v>
      </c>
      <c r="E4489" t="s">
        <v>624</v>
      </c>
      <c r="F4489" t="s">
        <v>7443</v>
      </c>
      <c r="G4489">
        <v>1887746</v>
      </c>
      <c r="H4489" t="s">
        <v>26</v>
      </c>
      <c r="I4489" t="s">
        <v>426</v>
      </c>
      <c r="J4489" t="str">
        <f>"9781118697559"</f>
        <v>9781118697559</v>
      </c>
      <c r="K4489" t="s">
        <v>7448</v>
      </c>
      <c r="L4489">
        <v>18</v>
      </c>
      <c r="O4489" t="s">
        <v>30</v>
      </c>
      <c r="P4489" t="s">
        <v>50</v>
      </c>
      <c r="S4489" t="s">
        <v>627</v>
      </c>
      <c r="T4489" t="s">
        <v>7444</v>
      </c>
      <c r="U4489">
        <v>248</v>
      </c>
      <c r="V4489" s="3">
        <v>41424</v>
      </c>
    </row>
    <row r="4490" spans="1:22" x14ac:dyDescent="0.35">
      <c r="A4490" s="1">
        <v>42313.930532407408</v>
      </c>
      <c r="B4490" s="2">
        <v>1.8564814814814815E-2</v>
      </c>
      <c r="C4490" t="s">
        <v>106</v>
      </c>
      <c r="D4490" t="s">
        <v>23</v>
      </c>
      <c r="E4490" t="s">
        <v>24</v>
      </c>
      <c r="F4490" t="s">
        <v>4405</v>
      </c>
      <c r="G4490">
        <v>1187185</v>
      </c>
      <c r="H4490" t="s">
        <v>26</v>
      </c>
      <c r="I4490" t="s">
        <v>4406</v>
      </c>
      <c r="J4490" t="str">
        <f>"9781118748183"</f>
        <v>9781118748183</v>
      </c>
      <c r="K4490" t="s">
        <v>7449</v>
      </c>
      <c r="L4490">
        <v>28</v>
      </c>
      <c r="O4490" t="s">
        <v>30</v>
      </c>
      <c r="P4490" t="s">
        <v>29</v>
      </c>
      <c r="Q4490" s="1">
        <v>42313.930532407408</v>
      </c>
      <c r="R4490">
        <v>7</v>
      </c>
      <c r="S4490" t="s">
        <v>31</v>
      </c>
      <c r="T4490" t="s">
        <v>4408</v>
      </c>
      <c r="U4490">
        <v>622.33799999999997</v>
      </c>
      <c r="V4490" s="3">
        <v>41400</v>
      </c>
    </row>
    <row r="4491" spans="1:22" x14ac:dyDescent="0.35">
      <c r="A4491" s="1">
        <v>42313.929224537038</v>
      </c>
      <c r="B4491" s="2">
        <v>1.2013888888888888E-2</v>
      </c>
      <c r="C4491" t="s">
        <v>7445</v>
      </c>
      <c r="D4491" t="s">
        <v>158</v>
      </c>
      <c r="E4491" t="s">
        <v>159</v>
      </c>
      <c r="F4491" t="s">
        <v>1477</v>
      </c>
      <c r="G4491">
        <v>822111</v>
      </c>
      <c r="H4491" t="s">
        <v>26</v>
      </c>
      <c r="I4491" t="s">
        <v>120</v>
      </c>
      <c r="J4491" t="str">
        <f>"9781444356922"</f>
        <v>9781444356922</v>
      </c>
      <c r="K4491" t="s">
        <v>7450</v>
      </c>
      <c r="L4491">
        <v>10</v>
      </c>
      <c r="O4491" t="s">
        <v>30</v>
      </c>
      <c r="P4491" t="s">
        <v>42</v>
      </c>
      <c r="S4491" t="s">
        <v>163</v>
      </c>
      <c r="T4491" t="s">
        <v>1479</v>
      </c>
      <c r="U4491" t="s">
        <v>1480</v>
      </c>
      <c r="V4491" s="3">
        <v>40955</v>
      </c>
    </row>
    <row r="4492" spans="1:22" x14ac:dyDescent="0.35">
      <c r="A4492" s="1">
        <v>42313.920995370368</v>
      </c>
      <c r="B4492" s="2">
        <v>9.5370370370370366E-3</v>
      </c>
      <c r="C4492" t="s">
        <v>106</v>
      </c>
      <c r="D4492" t="s">
        <v>23</v>
      </c>
      <c r="E4492" t="s">
        <v>24</v>
      </c>
      <c r="F4492" t="s">
        <v>4405</v>
      </c>
      <c r="G4492">
        <v>1187185</v>
      </c>
      <c r="H4492" t="s">
        <v>26</v>
      </c>
      <c r="I4492" t="s">
        <v>4406</v>
      </c>
      <c r="J4492" t="str">
        <f>"9781118748183"</f>
        <v>9781118748183</v>
      </c>
      <c r="K4492" t="s">
        <v>7451</v>
      </c>
      <c r="L4492">
        <v>31</v>
      </c>
      <c r="O4492" t="s">
        <v>30</v>
      </c>
      <c r="P4492" t="s">
        <v>42</v>
      </c>
      <c r="S4492" t="s">
        <v>31</v>
      </c>
      <c r="T4492" t="s">
        <v>4408</v>
      </c>
      <c r="U4492">
        <v>622.33799999999997</v>
      </c>
      <c r="V4492" s="3">
        <v>41400</v>
      </c>
    </row>
    <row r="4493" spans="1:22" x14ac:dyDescent="0.35">
      <c r="A4493" s="1">
        <v>42313.914895833332</v>
      </c>
      <c r="B4493" s="2">
        <v>2.4305555555555552E-4</v>
      </c>
      <c r="C4493" t="s">
        <v>3360</v>
      </c>
      <c r="D4493" t="s">
        <v>335</v>
      </c>
      <c r="E4493" t="s">
        <v>336</v>
      </c>
      <c r="F4493" t="s">
        <v>148</v>
      </c>
      <c r="G4493">
        <v>877717</v>
      </c>
      <c r="H4493" t="s">
        <v>149</v>
      </c>
      <c r="I4493" t="s">
        <v>150</v>
      </c>
      <c r="J4493" t="str">
        <f>"9781438139265"</f>
        <v>9781438139265</v>
      </c>
      <c r="K4493" t="s">
        <v>7452</v>
      </c>
      <c r="L4493">
        <v>3</v>
      </c>
      <c r="O4493" t="s">
        <v>30</v>
      </c>
      <c r="P4493" t="s">
        <v>29</v>
      </c>
      <c r="Q4493" s="1">
        <v>42310.919421296298</v>
      </c>
      <c r="R4493">
        <v>7</v>
      </c>
      <c r="S4493" t="s">
        <v>340</v>
      </c>
      <c r="T4493" t="s">
        <v>153</v>
      </c>
      <c r="U4493" t="s">
        <v>154</v>
      </c>
      <c r="V4493" s="3">
        <v>40909</v>
      </c>
    </row>
    <row r="4494" spans="1:22" x14ac:dyDescent="0.35">
      <c r="A4494" s="1">
        <v>42313.911643518521</v>
      </c>
      <c r="B4494" s="2">
        <v>6.4814814814814813E-4</v>
      </c>
      <c r="C4494" t="s">
        <v>3360</v>
      </c>
      <c r="D4494" t="s">
        <v>335</v>
      </c>
      <c r="E4494" t="s">
        <v>336</v>
      </c>
      <c r="F4494" t="s">
        <v>148</v>
      </c>
      <c r="G4494">
        <v>877717</v>
      </c>
      <c r="H4494" t="s">
        <v>149</v>
      </c>
      <c r="I4494" t="s">
        <v>150</v>
      </c>
      <c r="J4494" t="str">
        <f>"9781438139265"</f>
        <v>9781438139265</v>
      </c>
      <c r="K4494" t="s">
        <v>7453</v>
      </c>
      <c r="L4494">
        <v>4</v>
      </c>
      <c r="O4494" t="s">
        <v>30</v>
      </c>
      <c r="P4494" t="s">
        <v>29</v>
      </c>
      <c r="Q4494" s="1">
        <v>42310.919421296298</v>
      </c>
      <c r="R4494">
        <v>7</v>
      </c>
      <c r="S4494" t="s">
        <v>340</v>
      </c>
      <c r="T4494" t="s">
        <v>153</v>
      </c>
      <c r="U4494" t="s">
        <v>154</v>
      </c>
      <c r="V4494" s="3">
        <v>40909</v>
      </c>
    </row>
    <row r="4495" spans="1:22" x14ac:dyDescent="0.35">
      <c r="A4495" s="1">
        <v>42313.910624999997</v>
      </c>
      <c r="B4495" s="2">
        <v>2.2685185185185182E-3</v>
      </c>
      <c r="C4495" t="s">
        <v>3618</v>
      </c>
      <c r="D4495" t="s">
        <v>360</v>
      </c>
      <c r="E4495" t="s">
        <v>361</v>
      </c>
      <c r="F4495" t="s">
        <v>7454</v>
      </c>
      <c r="G4495">
        <v>1943360</v>
      </c>
      <c r="H4495" t="s">
        <v>26</v>
      </c>
      <c r="I4495" t="s">
        <v>630</v>
      </c>
      <c r="J4495" t="str">
        <f>"9780745688718"</f>
        <v>9780745688718</v>
      </c>
      <c r="K4495" t="s">
        <v>7455</v>
      </c>
      <c r="L4495">
        <v>23</v>
      </c>
      <c r="O4495" t="s">
        <v>30</v>
      </c>
      <c r="P4495" t="s">
        <v>50</v>
      </c>
      <c r="S4495" t="s">
        <v>363</v>
      </c>
      <c r="T4495" t="s">
        <v>7456</v>
      </c>
      <c r="U4495">
        <v>128</v>
      </c>
      <c r="V4495" s="3">
        <v>42039</v>
      </c>
    </row>
    <row r="4496" spans="1:22" x14ac:dyDescent="0.35">
      <c r="A4496" s="1">
        <v>42313.873483796298</v>
      </c>
      <c r="B4496" s="2">
        <v>4.8993055555555554E-2</v>
      </c>
      <c r="C4496" t="s">
        <v>5865</v>
      </c>
      <c r="D4496" t="s">
        <v>35</v>
      </c>
      <c r="E4496" t="s">
        <v>36</v>
      </c>
      <c r="F4496" t="s">
        <v>986</v>
      </c>
      <c r="G4496">
        <v>968030</v>
      </c>
      <c r="H4496" t="s">
        <v>26</v>
      </c>
      <c r="I4496" t="s">
        <v>219</v>
      </c>
      <c r="J4496" t="str">
        <f>"9781118285138"</f>
        <v>9781118285138</v>
      </c>
      <c r="K4496" t="s">
        <v>7457</v>
      </c>
      <c r="L4496">
        <v>37</v>
      </c>
      <c r="O4496" t="s">
        <v>30</v>
      </c>
      <c r="P4496" t="s">
        <v>29</v>
      </c>
      <c r="Q4496" s="1">
        <v>42313.094722222224</v>
      </c>
      <c r="R4496">
        <v>7</v>
      </c>
      <c r="S4496" t="s">
        <v>40</v>
      </c>
      <c r="T4496" t="s">
        <v>987</v>
      </c>
      <c r="U4496">
        <v>158.30000000000001</v>
      </c>
      <c r="V4496" s="3">
        <v>41100</v>
      </c>
    </row>
    <row r="4497" spans="1:22" x14ac:dyDescent="0.35">
      <c r="A4497" s="1">
        <v>42313.865960648145</v>
      </c>
      <c r="B4497" s="2">
        <v>2.8703703703703708E-3</v>
      </c>
      <c r="C4497" t="s">
        <v>6000</v>
      </c>
      <c r="D4497" t="s">
        <v>35</v>
      </c>
      <c r="E4497" t="s">
        <v>36</v>
      </c>
      <c r="F4497" t="s">
        <v>986</v>
      </c>
      <c r="G4497">
        <v>968030</v>
      </c>
      <c r="H4497" t="s">
        <v>26</v>
      </c>
      <c r="I4497" t="s">
        <v>219</v>
      </c>
      <c r="J4497" t="str">
        <f>"9781118285138"</f>
        <v>9781118285138</v>
      </c>
      <c r="K4497" t="s">
        <v>7458</v>
      </c>
      <c r="L4497">
        <v>17</v>
      </c>
      <c r="O4497" t="s">
        <v>30</v>
      </c>
      <c r="P4497" t="s">
        <v>42</v>
      </c>
      <c r="S4497" t="s">
        <v>40</v>
      </c>
      <c r="T4497" t="s">
        <v>987</v>
      </c>
      <c r="U4497">
        <v>158.30000000000001</v>
      </c>
      <c r="V4497" s="3">
        <v>41100</v>
      </c>
    </row>
    <row r="4498" spans="1:22" x14ac:dyDescent="0.35">
      <c r="A4498" s="1">
        <v>42313.81113425926</v>
      </c>
      <c r="B4498" s="2">
        <v>1.7569444444444447E-2</v>
      </c>
      <c r="C4498" t="s">
        <v>5902</v>
      </c>
      <c r="D4498" t="s">
        <v>35</v>
      </c>
      <c r="E4498" t="s">
        <v>36</v>
      </c>
      <c r="F4498" t="s">
        <v>986</v>
      </c>
      <c r="G4498">
        <v>968030</v>
      </c>
      <c r="H4498" t="s">
        <v>26</v>
      </c>
      <c r="I4498" t="s">
        <v>219</v>
      </c>
      <c r="J4498" t="str">
        <f>"9781118285138"</f>
        <v>9781118285138</v>
      </c>
      <c r="K4498" t="s">
        <v>7459</v>
      </c>
      <c r="L4498">
        <v>16</v>
      </c>
      <c r="O4498" t="s">
        <v>30</v>
      </c>
      <c r="P4498" t="s">
        <v>29</v>
      </c>
      <c r="Q4498" s="1">
        <v>42313.811122685183</v>
      </c>
      <c r="R4498">
        <v>7</v>
      </c>
      <c r="S4498" t="s">
        <v>40</v>
      </c>
      <c r="T4498" t="s">
        <v>987</v>
      </c>
      <c r="U4498">
        <v>158.30000000000001</v>
      </c>
      <c r="V4498" s="3">
        <v>41100</v>
      </c>
    </row>
    <row r="4499" spans="1:22" x14ac:dyDescent="0.35">
      <c r="A4499" s="1">
        <v>42313.802986111114</v>
      </c>
      <c r="B4499" s="2">
        <v>8.1365740740740738E-3</v>
      </c>
      <c r="C4499" t="s">
        <v>5902</v>
      </c>
      <c r="D4499" t="s">
        <v>35</v>
      </c>
      <c r="E4499" t="s">
        <v>36</v>
      </c>
      <c r="F4499" t="s">
        <v>986</v>
      </c>
      <c r="G4499">
        <v>968030</v>
      </c>
      <c r="H4499" t="s">
        <v>26</v>
      </c>
      <c r="I4499" t="s">
        <v>219</v>
      </c>
      <c r="J4499" t="str">
        <f>"9781118285138"</f>
        <v>9781118285138</v>
      </c>
      <c r="K4499" t="s">
        <v>7460</v>
      </c>
      <c r="L4499">
        <v>11</v>
      </c>
      <c r="O4499" t="s">
        <v>30</v>
      </c>
      <c r="P4499" t="s">
        <v>42</v>
      </c>
      <c r="S4499" t="s">
        <v>40</v>
      </c>
      <c r="T4499" t="s">
        <v>987</v>
      </c>
      <c r="U4499">
        <v>158.30000000000001</v>
      </c>
      <c r="V4499" s="3">
        <v>41100</v>
      </c>
    </row>
    <row r="4500" spans="1:22" x14ac:dyDescent="0.35">
      <c r="A4500" s="1">
        <v>42313.796076388891</v>
      </c>
      <c r="B4500" s="2">
        <v>3.414351851851852E-3</v>
      </c>
      <c r="C4500" t="s">
        <v>7461</v>
      </c>
      <c r="D4500" t="s">
        <v>623</v>
      </c>
      <c r="E4500" t="s">
        <v>624</v>
      </c>
      <c r="F4500" t="s">
        <v>6937</v>
      </c>
      <c r="G4500">
        <v>834631</v>
      </c>
      <c r="H4500" t="s">
        <v>26</v>
      </c>
      <c r="I4500" t="s">
        <v>247</v>
      </c>
      <c r="J4500" t="str">
        <f>"9781444354669"</f>
        <v>9781444354669</v>
      </c>
      <c r="K4500" t="s">
        <v>7462</v>
      </c>
      <c r="L4500">
        <v>39</v>
      </c>
      <c r="O4500" t="s">
        <v>30</v>
      </c>
      <c r="P4500" t="s">
        <v>42</v>
      </c>
      <c r="S4500" t="s">
        <v>627</v>
      </c>
      <c r="T4500" t="s">
        <v>6940</v>
      </c>
      <c r="U4500" t="s">
        <v>6941</v>
      </c>
      <c r="V4500" s="3">
        <v>40911</v>
      </c>
    </row>
    <row r="4501" spans="1:22" x14ac:dyDescent="0.35">
      <c r="A4501" s="1">
        <v>42313.795613425929</v>
      </c>
      <c r="B4501" s="2">
        <v>4.6296296296296294E-5</v>
      </c>
      <c r="C4501" t="s">
        <v>7461</v>
      </c>
      <c r="D4501" t="s">
        <v>623</v>
      </c>
      <c r="E4501" t="s">
        <v>624</v>
      </c>
      <c r="F4501" t="s">
        <v>6937</v>
      </c>
      <c r="G4501">
        <v>834631</v>
      </c>
      <c r="H4501" t="s">
        <v>26</v>
      </c>
      <c r="I4501" t="s">
        <v>247</v>
      </c>
      <c r="J4501" t="str">
        <f>"9781444354669"</f>
        <v>9781444354669</v>
      </c>
      <c r="K4501" t="s">
        <v>33</v>
      </c>
      <c r="L4501">
        <v>3</v>
      </c>
      <c r="O4501" t="s">
        <v>30</v>
      </c>
      <c r="P4501" t="s">
        <v>42</v>
      </c>
      <c r="S4501" t="s">
        <v>627</v>
      </c>
      <c r="T4501" t="s">
        <v>6940</v>
      </c>
      <c r="U4501" t="s">
        <v>6941</v>
      </c>
      <c r="V4501" s="3">
        <v>40911</v>
      </c>
    </row>
    <row r="4502" spans="1:22" x14ac:dyDescent="0.35">
      <c r="A4502" s="1">
        <v>42313.772546296299</v>
      </c>
      <c r="B4502" s="2">
        <v>4.9837962962962966E-2</v>
      </c>
      <c r="C4502" t="s">
        <v>5219</v>
      </c>
      <c r="D4502" t="s">
        <v>211</v>
      </c>
      <c r="E4502" t="s">
        <v>212</v>
      </c>
      <c r="F4502" t="s">
        <v>462</v>
      </c>
      <c r="G4502">
        <v>1822529</v>
      </c>
      <c r="H4502" t="s">
        <v>26</v>
      </c>
      <c r="I4502" t="s">
        <v>297</v>
      </c>
      <c r="J4502" t="str">
        <f>"9781118824344"</f>
        <v>9781118824344</v>
      </c>
      <c r="K4502" t="s">
        <v>7463</v>
      </c>
      <c r="L4502">
        <v>55</v>
      </c>
      <c r="O4502" t="s">
        <v>30</v>
      </c>
      <c r="P4502" t="s">
        <v>29</v>
      </c>
      <c r="Q4502" s="1">
        <v>42310.831377314818</v>
      </c>
      <c r="R4502">
        <v>7</v>
      </c>
      <c r="S4502" t="s">
        <v>214</v>
      </c>
      <c r="T4502" t="s">
        <v>464</v>
      </c>
      <c r="U4502">
        <v>519.4</v>
      </c>
      <c r="V4502" s="3">
        <v>41932</v>
      </c>
    </row>
    <row r="4503" spans="1:22" x14ac:dyDescent="0.35">
      <c r="A4503" s="1">
        <v>42313.768043981479</v>
      </c>
      <c r="B4503" s="2">
        <v>4.6296296296296294E-5</v>
      </c>
      <c r="C4503" t="s">
        <v>7464</v>
      </c>
      <c r="D4503" t="s">
        <v>623</v>
      </c>
      <c r="E4503" t="s">
        <v>624</v>
      </c>
      <c r="F4503" t="s">
        <v>7465</v>
      </c>
      <c r="G4503">
        <v>1771581</v>
      </c>
      <c r="H4503" t="s">
        <v>26</v>
      </c>
      <c r="I4503" t="s">
        <v>97</v>
      </c>
      <c r="J4503" t="str">
        <f>"9781118933855"</f>
        <v>9781118933855</v>
      </c>
      <c r="K4503" t="s">
        <v>611</v>
      </c>
      <c r="L4503">
        <v>3</v>
      </c>
      <c r="O4503" t="s">
        <v>30</v>
      </c>
      <c r="P4503" t="s">
        <v>50</v>
      </c>
      <c r="S4503" t="s">
        <v>627</v>
      </c>
      <c r="T4503" t="s">
        <v>7466</v>
      </c>
      <c r="U4503" t="s">
        <v>7467</v>
      </c>
      <c r="V4503" s="3">
        <v>41872</v>
      </c>
    </row>
    <row r="4504" spans="1:22" x14ac:dyDescent="0.35">
      <c r="A4504" s="1">
        <v>42313.748611111114</v>
      </c>
      <c r="B4504" s="2">
        <v>7.291666666666667E-4</v>
      </c>
      <c r="C4504" t="s">
        <v>5439</v>
      </c>
      <c r="D4504" t="s">
        <v>623</v>
      </c>
      <c r="E4504" t="s">
        <v>624</v>
      </c>
      <c r="F4504" t="s">
        <v>148</v>
      </c>
      <c r="G4504">
        <v>877717</v>
      </c>
      <c r="H4504" t="s">
        <v>149</v>
      </c>
      <c r="I4504" t="s">
        <v>150</v>
      </c>
      <c r="J4504" t="str">
        <f>"9781438139265"</f>
        <v>9781438139265</v>
      </c>
      <c r="K4504" t="s">
        <v>7468</v>
      </c>
      <c r="L4504">
        <v>17</v>
      </c>
      <c r="O4504" t="s">
        <v>30</v>
      </c>
      <c r="P4504" t="s">
        <v>42</v>
      </c>
      <c r="S4504" t="s">
        <v>627</v>
      </c>
      <c r="T4504" t="s">
        <v>153</v>
      </c>
      <c r="U4504" t="s">
        <v>154</v>
      </c>
      <c r="V4504" s="3">
        <v>40909</v>
      </c>
    </row>
    <row r="4505" spans="1:22" x14ac:dyDescent="0.35">
      <c r="A4505" s="1">
        <v>42313.748368055552</v>
      </c>
      <c r="B4505" s="2">
        <v>5.5555555555555556E-4</v>
      </c>
      <c r="C4505" t="s">
        <v>6000</v>
      </c>
      <c r="D4505" t="s">
        <v>35</v>
      </c>
      <c r="E4505" t="s">
        <v>36</v>
      </c>
      <c r="F4505" t="s">
        <v>986</v>
      </c>
      <c r="G4505">
        <v>968030</v>
      </c>
      <c r="H4505" t="s">
        <v>26</v>
      </c>
      <c r="I4505" t="s">
        <v>219</v>
      </c>
      <c r="J4505" t="str">
        <f>"9781118285138"</f>
        <v>9781118285138</v>
      </c>
      <c r="K4505" t="s">
        <v>7469</v>
      </c>
      <c r="L4505">
        <v>21</v>
      </c>
      <c r="O4505" t="s">
        <v>30</v>
      </c>
      <c r="P4505" t="s">
        <v>42</v>
      </c>
      <c r="S4505" t="s">
        <v>40</v>
      </c>
      <c r="T4505" t="s">
        <v>987</v>
      </c>
      <c r="U4505">
        <v>158.30000000000001</v>
      </c>
      <c r="V4505" s="3">
        <v>41100</v>
      </c>
    </row>
    <row r="4506" spans="1:22" x14ac:dyDescent="0.35">
      <c r="A4506" s="1">
        <v>42313.745196759257</v>
      </c>
      <c r="B4506" s="2">
        <v>4.6296296296296294E-5</v>
      </c>
      <c r="C4506" t="s">
        <v>7442</v>
      </c>
      <c r="D4506" t="s">
        <v>623</v>
      </c>
      <c r="E4506" t="s">
        <v>624</v>
      </c>
      <c r="F4506" t="s">
        <v>7443</v>
      </c>
      <c r="G4506">
        <v>1887746</v>
      </c>
      <c r="H4506" t="s">
        <v>26</v>
      </c>
      <c r="I4506" t="s">
        <v>426</v>
      </c>
      <c r="J4506" t="str">
        <f>"9781118697559"</f>
        <v>9781118697559</v>
      </c>
      <c r="K4506" t="s">
        <v>33</v>
      </c>
      <c r="L4506">
        <v>3</v>
      </c>
      <c r="O4506" t="s">
        <v>30</v>
      </c>
      <c r="P4506" t="s">
        <v>47</v>
      </c>
      <c r="Q4506" s="1">
        <v>42312.748842592591</v>
      </c>
      <c r="R4506">
        <v>1</v>
      </c>
      <c r="S4506" t="s">
        <v>627</v>
      </c>
      <c r="T4506" t="s">
        <v>7444</v>
      </c>
      <c r="U4506">
        <v>248</v>
      </c>
      <c r="V4506" s="3">
        <v>41424</v>
      </c>
    </row>
    <row r="4507" spans="1:22" x14ac:dyDescent="0.35">
      <c r="A4507" s="1">
        <v>42313.730150462965</v>
      </c>
      <c r="B4507" s="2">
        <v>2.4641203703703703E-2</v>
      </c>
      <c r="C4507" t="s">
        <v>106</v>
      </c>
      <c r="D4507" t="s">
        <v>23</v>
      </c>
      <c r="E4507" t="s">
        <v>24</v>
      </c>
      <c r="F4507" t="s">
        <v>486</v>
      </c>
      <c r="G4507">
        <v>1119505</v>
      </c>
      <c r="H4507" t="s">
        <v>26</v>
      </c>
      <c r="I4507" t="s">
        <v>450</v>
      </c>
      <c r="J4507" t="str">
        <f>"9781118355015"</f>
        <v>9781118355015</v>
      </c>
      <c r="K4507" t="s">
        <v>7470</v>
      </c>
      <c r="L4507">
        <v>25</v>
      </c>
      <c r="O4507" t="s">
        <v>30</v>
      </c>
      <c r="P4507" t="s">
        <v>29</v>
      </c>
      <c r="Q4507" s="1">
        <v>42306.770254629628</v>
      </c>
      <c r="R4507">
        <v>7</v>
      </c>
      <c r="S4507" t="s">
        <v>31</v>
      </c>
      <c r="T4507" t="s">
        <v>487</v>
      </c>
      <c r="U4507" t="s">
        <v>488</v>
      </c>
      <c r="V4507" s="3">
        <v>41302</v>
      </c>
    </row>
    <row r="4508" spans="1:22" x14ac:dyDescent="0.35">
      <c r="A4508" s="1">
        <v>42313.724293981482</v>
      </c>
      <c r="B4508" s="2">
        <v>1.7476851851851852E-3</v>
      </c>
      <c r="C4508" t="s">
        <v>7471</v>
      </c>
      <c r="D4508" t="s">
        <v>360</v>
      </c>
      <c r="E4508" t="s">
        <v>361</v>
      </c>
      <c r="F4508" t="s">
        <v>7472</v>
      </c>
      <c r="G4508">
        <v>2121793</v>
      </c>
      <c r="H4508" t="s">
        <v>26</v>
      </c>
      <c r="I4508" t="s">
        <v>276</v>
      </c>
      <c r="J4508" t="str">
        <f>"9781119088738"</f>
        <v>9781119088738</v>
      </c>
      <c r="K4508" t="s">
        <v>7473</v>
      </c>
      <c r="L4508">
        <v>29</v>
      </c>
      <c r="O4508" t="s">
        <v>30</v>
      </c>
      <c r="P4508" t="s">
        <v>50</v>
      </c>
      <c r="S4508" t="s">
        <v>363</v>
      </c>
      <c r="T4508" t="s">
        <v>7474</v>
      </c>
      <c r="U4508">
        <v>6.7519999999999998</v>
      </c>
      <c r="V4508" s="3">
        <v>42200</v>
      </c>
    </row>
    <row r="4509" spans="1:22" x14ac:dyDescent="0.35">
      <c r="A4509" s="1">
        <v>42313.692187499997</v>
      </c>
      <c r="B4509" s="2">
        <v>1.1805555555555556E-3</v>
      </c>
      <c r="C4509" t="s">
        <v>3132</v>
      </c>
      <c r="D4509" t="s">
        <v>158</v>
      </c>
      <c r="E4509" t="s">
        <v>159</v>
      </c>
      <c r="F4509" t="s">
        <v>7475</v>
      </c>
      <c r="G4509">
        <v>2073209</v>
      </c>
      <c r="H4509" t="s">
        <v>139</v>
      </c>
      <c r="I4509" t="s">
        <v>172</v>
      </c>
      <c r="J4509" t="str">
        <f>"9781479873661"</f>
        <v>9781479873661</v>
      </c>
      <c r="K4509" t="s">
        <v>7476</v>
      </c>
      <c r="L4509">
        <v>11</v>
      </c>
      <c r="O4509" t="s">
        <v>30</v>
      </c>
      <c r="P4509" t="s">
        <v>50</v>
      </c>
      <c r="S4509" t="s">
        <v>163</v>
      </c>
      <c r="T4509" t="s">
        <v>7477</v>
      </c>
      <c r="U4509" t="s">
        <v>7478</v>
      </c>
      <c r="V4509" s="3">
        <v>42188</v>
      </c>
    </row>
    <row r="4510" spans="1:22" x14ac:dyDescent="0.35">
      <c r="A4510" s="1">
        <v>42313.691134259258</v>
      </c>
      <c r="B4510" s="2">
        <v>1.0416666666666667E-4</v>
      </c>
      <c r="C4510" t="s">
        <v>210</v>
      </c>
      <c r="D4510" t="s">
        <v>211</v>
      </c>
      <c r="E4510" t="s">
        <v>212</v>
      </c>
      <c r="F4510" t="s">
        <v>7479</v>
      </c>
      <c r="G4510">
        <v>1765098</v>
      </c>
      <c r="H4510" t="s">
        <v>26</v>
      </c>
      <c r="I4510" t="s">
        <v>328</v>
      </c>
      <c r="J4510" t="str">
        <f>"9781118907917"</f>
        <v>9781118907917</v>
      </c>
      <c r="K4510" t="s">
        <v>1741</v>
      </c>
      <c r="L4510">
        <v>8</v>
      </c>
      <c r="O4510" t="s">
        <v>30</v>
      </c>
      <c r="P4510" t="s">
        <v>50</v>
      </c>
      <c r="S4510" t="s">
        <v>214</v>
      </c>
      <c r="T4510" t="s">
        <v>7480</v>
      </c>
      <c r="U4510" t="s">
        <v>7481</v>
      </c>
      <c r="V4510" s="3">
        <v>41858</v>
      </c>
    </row>
    <row r="4511" spans="1:22" x14ac:dyDescent="0.35">
      <c r="A4511" s="1">
        <v>42313.684594907405</v>
      </c>
      <c r="B4511" s="2">
        <v>8.564814814814815E-4</v>
      </c>
      <c r="C4511" t="s">
        <v>5592</v>
      </c>
      <c r="D4511" t="s">
        <v>623</v>
      </c>
      <c r="E4511" t="s">
        <v>624</v>
      </c>
      <c r="F4511" t="s">
        <v>7482</v>
      </c>
      <c r="G4511">
        <v>1471871</v>
      </c>
      <c r="H4511" t="s">
        <v>26</v>
      </c>
      <c r="I4511" t="s">
        <v>108</v>
      </c>
      <c r="J4511" t="str">
        <f>"9781118733431"</f>
        <v>9781118733431</v>
      </c>
      <c r="K4511" t="s">
        <v>1203</v>
      </c>
      <c r="L4511">
        <v>17</v>
      </c>
      <c r="O4511" t="s">
        <v>30</v>
      </c>
      <c r="P4511" t="s">
        <v>50</v>
      </c>
      <c r="S4511" t="s">
        <v>627</v>
      </c>
      <c r="T4511" t="s">
        <v>7483</v>
      </c>
      <c r="U4511">
        <v>332.6</v>
      </c>
      <c r="V4511" s="3">
        <v>41558</v>
      </c>
    </row>
    <row r="4512" spans="1:22" x14ac:dyDescent="0.35">
      <c r="A4512" s="1">
        <v>42313.679270833331</v>
      </c>
      <c r="B4512" s="2">
        <v>2.8935185185185189E-4</v>
      </c>
      <c r="C4512" t="s">
        <v>6735</v>
      </c>
      <c r="D4512" t="s">
        <v>623</v>
      </c>
      <c r="E4512" t="s">
        <v>624</v>
      </c>
      <c r="F4512" t="s">
        <v>6736</v>
      </c>
      <c r="G4512">
        <v>1983497</v>
      </c>
      <c r="H4512" t="s">
        <v>26</v>
      </c>
      <c r="I4512" t="s">
        <v>120</v>
      </c>
      <c r="J4512" t="str">
        <f>"9780745689395"</f>
        <v>9780745689395</v>
      </c>
      <c r="K4512" t="s">
        <v>7484</v>
      </c>
      <c r="L4512">
        <v>10</v>
      </c>
      <c r="O4512" t="s">
        <v>30</v>
      </c>
      <c r="P4512" t="s">
        <v>29</v>
      </c>
      <c r="Q4512" s="1">
        <v>42313.277499999997</v>
      </c>
      <c r="R4512">
        <v>7</v>
      </c>
      <c r="S4512" t="s">
        <v>627</v>
      </c>
      <c r="T4512" t="s">
        <v>6738</v>
      </c>
      <c r="U4512">
        <v>391.6</v>
      </c>
      <c r="V4512" s="3">
        <v>42066</v>
      </c>
    </row>
    <row r="4513" spans="1:22" x14ac:dyDescent="0.35">
      <c r="A4513" s="1">
        <v>42313.66333333333</v>
      </c>
      <c r="B4513" s="2">
        <v>4.6296296296296294E-5</v>
      </c>
      <c r="C4513" t="s">
        <v>6735</v>
      </c>
      <c r="D4513" t="s">
        <v>623</v>
      </c>
      <c r="E4513" t="s">
        <v>624</v>
      </c>
      <c r="F4513" t="s">
        <v>6736</v>
      </c>
      <c r="G4513">
        <v>1983497</v>
      </c>
      <c r="H4513" t="s">
        <v>26</v>
      </c>
      <c r="I4513" t="s">
        <v>120</v>
      </c>
      <c r="J4513" t="str">
        <f>"9780745689395"</f>
        <v>9780745689395</v>
      </c>
      <c r="K4513" t="s">
        <v>33</v>
      </c>
      <c r="L4513">
        <v>3</v>
      </c>
      <c r="O4513" t="s">
        <v>30</v>
      </c>
      <c r="P4513" t="s">
        <v>29</v>
      </c>
      <c r="Q4513" s="1">
        <v>42313.277499999997</v>
      </c>
      <c r="R4513">
        <v>7</v>
      </c>
      <c r="S4513" t="s">
        <v>627</v>
      </c>
      <c r="T4513" t="s">
        <v>6738</v>
      </c>
      <c r="U4513">
        <v>391.6</v>
      </c>
      <c r="V4513" s="3">
        <v>42066</v>
      </c>
    </row>
    <row r="4514" spans="1:22" x14ac:dyDescent="0.35">
      <c r="A4514" s="1">
        <v>42313.646979166668</v>
      </c>
      <c r="B4514" s="2">
        <v>1.7708333333333332E-3</v>
      </c>
      <c r="C4514" t="s">
        <v>7442</v>
      </c>
      <c r="D4514" t="s">
        <v>623</v>
      </c>
      <c r="E4514" t="s">
        <v>624</v>
      </c>
      <c r="F4514" t="s">
        <v>7443</v>
      </c>
      <c r="G4514">
        <v>1887746</v>
      </c>
      <c r="H4514" t="s">
        <v>26</v>
      </c>
      <c r="I4514" t="s">
        <v>426</v>
      </c>
      <c r="J4514" t="str">
        <f>"9781118697559"</f>
        <v>9781118697559</v>
      </c>
      <c r="K4514" t="s">
        <v>7485</v>
      </c>
      <c r="L4514">
        <v>11</v>
      </c>
      <c r="O4514" t="s">
        <v>30</v>
      </c>
      <c r="P4514" t="s">
        <v>47</v>
      </c>
      <c r="Q4514" s="1">
        <v>42312.748842592591</v>
      </c>
      <c r="R4514">
        <v>1</v>
      </c>
      <c r="S4514" t="s">
        <v>627</v>
      </c>
      <c r="T4514" t="s">
        <v>7444</v>
      </c>
      <c r="U4514">
        <v>248</v>
      </c>
      <c r="V4514" s="3">
        <v>41424</v>
      </c>
    </row>
    <row r="4515" spans="1:22" x14ac:dyDescent="0.35">
      <c r="A4515" s="1">
        <v>42313.631226851852</v>
      </c>
      <c r="B4515" s="2">
        <v>8.1018518518518516E-5</v>
      </c>
      <c r="C4515" t="s">
        <v>7442</v>
      </c>
      <c r="D4515" t="s">
        <v>623</v>
      </c>
      <c r="E4515" t="s">
        <v>624</v>
      </c>
      <c r="F4515" t="s">
        <v>7443</v>
      </c>
      <c r="G4515">
        <v>1887746</v>
      </c>
      <c r="H4515" t="s">
        <v>26</v>
      </c>
      <c r="I4515" t="s">
        <v>426</v>
      </c>
      <c r="J4515" t="str">
        <f>"9781118697559"</f>
        <v>9781118697559</v>
      </c>
      <c r="K4515" t="s">
        <v>33</v>
      </c>
      <c r="L4515">
        <v>3</v>
      </c>
      <c r="O4515" t="s">
        <v>30</v>
      </c>
      <c r="P4515" t="s">
        <v>47</v>
      </c>
      <c r="Q4515" s="1">
        <v>42312.748842592591</v>
      </c>
      <c r="R4515">
        <v>1</v>
      </c>
      <c r="S4515" t="s">
        <v>627</v>
      </c>
      <c r="T4515" t="s">
        <v>7444</v>
      </c>
      <c r="U4515">
        <v>248</v>
      </c>
      <c r="V4515" s="3">
        <v>41424</v>
      </c>
    </row>
    <row r="4516" spans="1:22" x14ac:dyDescent="0.35">
      <c r="A4516" s="1">
        <v>42313.61891203704</v>
      </c>
      <c r="B4516" s="2">
        <v>1.8020833333333333E-2</v>
      </c>
      <c r="C4516" t="s">
        <v>3753</v>
      </c>
      <c r="D4516" t="s">
        <v>35</v>
      </c>
      <c r="E4516" t="s">
        <v>36</v>
      </c>
      <c r="F4516" t="s">
        <v>986</v>
      </c>
      <c r="G4516">
        <v>968030</v>
      </c>
      <c r="H4516" t="s">
        <v>26</v>
      </c>
      <c r="I4516" t="s">
        <v>219</v>
      </c>
      <c r="J4516" t="str">
        <f>"9781118285138"</f>
        <v>9781118285138</v>
      </c>
      <c r="K4516" t="s">
        <v>7486</v>
      </c>
      <c r="L4516">
        <v>13</v>
      </c>
      <c r="O4516" t="s">
        <v>30</v>
      </c>
      <c r="P4516" t="s">
        <v>29</v>
      </c>
      <c r="Q4516" s="1">
        <v>42313.61891203704</v>
      </c>
      <c r="R4516">
        <v>7</v>
      </c>
      <c r="S4516" t="s">
        <v>40</v>
      </c>
      <c r="T4516" t="s">
        <v>987</v>
      </c>
      <c r="U4516">
        <v>158.30000000000001</v>
      </c>
      <c r="V4516" s="3">
        <v>41100</v>
      </c>
    </row>
    <row r="4517" spans="1:22" x14ac:dyDescent="0.35">
      <c r="A4517" s="1">
        <v>42313.618483796294</v>
      </c>
      <c r="B4517" s="2">
        <v>3.3009259259259259E-2</v>
      </c>
      <c r="C4517" t="s">
        <v>6724</v>
      </c>
      <c r="D4517" t="s">
        <v>23</v>
      </c>
      <c r="E4517" t="s">
        <v>24</v>
      </c>
      <c r="F4517" t="s">
        <v>486</v>
      </c>
      <c r="G4517">
        <v>1119505</v>
      </c>
      <c r="H4517" t="s">
        <v>26</v>
      </c>
      <c r="I4517" t="s">
        <v>450</v>
      </c>
      <c r="J4517" t="str">
        <f>"9781118355015"</f>
        <v>9781118355015</v>
      </c>
      <c r="K4517" t="s">
        <v>7487</v>
      </c>
      <c r="L4517">
        <v>40</v>
      </c>
      <c r="O4517" t="s">
        <v>30</v>
      </c>
      <c r="P4517" t="s">
        <v>29</v>
      </c>
      <c r="Q4517" s="1">
        <v>42307.629710648151</v>
      </c>
      <c r="R4517">
        <v>7</v>
      </c>
      <c r="S4517" t="s">
        <v>31</v>
      </c>
      <c r="T4517" t="s">
        <v>487</v>
      </c>
      <c r="U4517" t="s">
        <v>488</v>
      </c>
      <c r="V4517" s="3">
        <v>41302</v>
      </c>
    </row>
    <row r="4518" spans="1:22" x14ac:dyDescent="0.35">
      <c r="A4518" s="1">
        <v>42313.617337962962</v>
      </c>
      <c r="B4518" s="2">
        <v>3.8159722222222227E-2</v>
      </c>
      <c r="C4518" t="s">
        <v>5019</v>
      </c>
      <c r="D4518" t="s">
        <v>35</v>
      </c>
      <c r="E4518" t="s">
        <v>36</v>
      </c>
      <c r="F4518" t="s">
        <v>986</v>
      </c>
      <c r="G4518">
        <v>968030</v>
      </c>
      <c r="H4518" t="s">
        <v>26</v>
      </c>
      <c r="I4518" t="s">
        <v>219</v>
      </c>
      <c r="J4518" t="str">
        <f>"9781118285138"</f>
        <v>9781118285138</v>
      </c>
      <c r="K4518" t="s">
        <v>7488</v>
      </c>
      <c r="L4518">
        <v>18</v>
      </c>
      <c r="O4518" t="s">
        <v>30</v>
      </c>
      <c r="P4518" t="s">
        <v>29</v>
      </c>
      <c r="Q4518" s="1">
        <v>42312.808518518519</v>
      </c>
      <c r="R4518">
        <v>7</v>
      </c>
      <c r="S4518" t="s">
        <v>40</v>
      </c>
      <c r="T4518" t="s">
        <v>987</v>
      </c>
      <c r="U4518">
        <v>158.30000000000001</v>
      </c>
      <c r="V4518" s="3">
        <v>41100</v>
      </c>
    </row>
    <row r="4519" spans="1:22" x14ac:dyDescent="0.35">
      <c r="A4519" s="1">
        <v>42313.610451388886</v>
      </c>
      <c r="B4519" s="2">
        <v>8.4606481481481494E-3</v>
      </c>
      <c r="C4519" t="s">
        <v>3753</v>
      </c>
      <c r="D4519" t="s">
        <v>35</v>
      </c>
      <c r="E4519" t="s">
        <v>36</v>
      </c>
      <c r="F4519" t="s">
        <v>986</v>
      </c>
      <c r="G4519">
        <v>968030</v>
      </c>
      <c r="H4519" t="s">
        <v>26</v>
      </c>
      <c r="I4519" t="s">
        <v>219</v>
      </c>
      <c r="J4519" t="str">
        <f>"9781118285138"</f>
        <v>9781118285138</v>
      </c>
      <c r="K4519" t="s">
        <v>7489</v>
      </c>
      <c r="L4519">
        <v>9</v>
      </c>
      <c r="O4519" t="s">
        <v>30</v>
      </c>
      <c r="P4519" t="s">
        <v>42</v>
      </c>
      <c r="S4519" t="s">
        <v>40</v>
      </c>
      <c r="T4519" t="s">
        <v>987</v>
      </c>
      <c r="U4519">
        <v>158.30000000000001</v>
      </c>
      <c r="V4519" s="3">
        <v>41100</v>
      </c>
    </row>
    <row r="4520" spans="1:22" x14ac:dyDescent="0.35">
      <c r="A4520" s="1">
        <v>42313.604722222219</v>
      </c>
      <c r="B4520" s="2">
        <v>1.2511574074074073E-2</v>
      </c>
      <c r="C4520" t="s">
        <v>6724</v>
      </c>
      <c r="D4520" t="s">
        <v>23</v>
      </c>
      <c r="E4520" t="s">
        <v>24</v>
      </c>
      <c r="F4520" t="s">
        <v>486</v>
      </c>
      <c r="G4520">
        <v>1119505</v>
      </c>
      <c r="H4520" t="s">
        <v>26</v>
      </c>
      <c r="I4520" t="s">
        <v>450</v>
      </c>
      <c r="J4520" t="str">
        <f>"9781118355015"</f>
        <v>9781118355015</v>
      </c>
      <c r="K4520" t="s">
        <v>7490</v>
      </c>
      <c r="L4520">
        <v>43</v>
      </c>
      <c r="O4520" t="s">
        <v>30</v>
      </c>
      <c r="P4520" t="s">
        <v>29</v>
      </c>
      <c r="Q4520" s="1">
        <v>42307.629710648151</v>
      </c>
      <c r="R4520">
        <v>7</v>
      </c>
      <c r="S4520" t="s">
        <v>31</v>
      </c>
      <c r="T4520" t="s">
        <v>487</v>
      </c>
      <c r="U4520" t="s">
        <v>488</v>
      </c>
      <c r="V4520" s="3">
        <v>41302</v>
      </c>
    </row>
    <row r="4521" spans="1:22" x14ac:dyDescent="0.35">
      <c r="A4521" s="1">
        <v>42313.600844907407</v>
      </c>
      <c r="B4521" s="2">
        <v>5.7314814814814818E-2</v>
      </c>
      <c r="C4521" t="s">
        <v>7408</v>
      </c>
      <c r="D4521" t="s">
        <v>23</v>
      </c>
      <c r="E4521" t="s">
        <v>24</v>
      </c>
      <c r="F4521" t="s">
        <v>486</v>
      </c>
      <c r="G4521">
        <v>1119505</v>
      </c>
      <c r="H4521" t="s">
        <v>26</v>
      </c>
      <c r="I4521" t="s">
        <v>450</v>
      </c>
      <c r="J4521" t="str">
        <f>"9781118355015"</f>
        <v>9781118355015</v>
      </c>
      <c r="K4521" t="s">
        <v>7491</v>
      </c>
      <c r="L4521">
        <v>24</v>
      </c>
      <c r="N4521" t="s">
        <v>7285</v>
      </c>
      <c r="O4521" t="s">
        <v>30</v>
      </c>
      <c r="P4521" t="s">
        <v>29</v>
      </c>
      <c r="Q4521" s="1">
        <v>42313.600844907407</v>
      </c>
      <c r="R4521">
        <v>7</v>
      </c>
      <c r="S4521" t="s">
        <v>31</v>
      </c>
      <c r="T4521" t="s">
        <v>487</v>
      </c>
      <c r="U4521" t="s">
        <v>488</v>
      </c>
      <c r="V4521" s="3">
        <v>41302</v>
      </c>
    </row>
    <row r="4522" spans="1:22" x14ac:dyDescent="0.35">
      <c r="A4522" s="1">
        <v>42313.600648148145</v>
      </c>
      <c r="B4522" s="2">
        <v>1.9675925925925926E-4</v>
      </c>
      <c r="C4522" t="s">
        <v>7408</v>
      </c>
      <c r="D4522" t="s">
        <v>23</v>
      </c>
      <c r="E4522" t="s">
        <v>24</v>
      </c>
      <c r="F4522" t="s">
        <v>486</v>
      </c>
      <c r="G4522">
        <v>1119505</v>
      </c>
      <c r="H4522" t="s">
        <v>26</v>
      </c>
      <c r="I4522" t="s">
        <v>450</v>
      </c>
      <c r="J4522" t="str">
        <f>"9781118355015"</f>
        <v>9781118355015</v>
      </c>
      <c r="K4522" t="s">
        <v>7492</v>
      </c>
      <c r="L4522">
        <v>6</v>
      </c>
      <c r="O4522" t="s">
        <v>30</v>
      </c>
      <c r="P4522" t="s">
        <v>42</v>
      </c>
      <c r="S4522" t="s">
        <v>31</v>
      </c>
      <c r="T4522" t="s">
        <v>487</v>
      </c>
      <c r="U4522" t="s">
        <v>488</v>
      </c>
      <c r="V4522" s="3">
        <v>41302</v>
      </c>
    </row>
    <row r="4523" spans="1:22" x14ac:dyDescent="0.35">
      <c r="A4523" s="1">
        <v>42313.574490740742</v>
      </c>
      <c r="B4523" s="2">
        <v>2.0833333333333335E-4</v>
      </c>
      <c r="C4523" t="s">
        <v>7493</v>
      </c>
      <c r="D4523" t="s">
        <v>35</v>
      </c>
      <c r="E4523" t="s">
        <v>36</v>
      </c>
      <c r="F4523" t="s">
        <v>7494</v>
      </c>
      <c r="G4523">
        <v>1725831</v>
      </c>
      <c r="H4523" t="s">
        <v>26</v>
      </c>
      <c r="I4523" t="s">
        <v>120</v>
      </c>
      <c r="J4523" t="str">
        <f>"9781118896334"</f>
        <v>9781118896334</v>
      </c>
      <c r="K4523" t="s">
        <v>7495</v>
      </c>
      <c r="L4523">
        <v>6</v>
      </c>
      <c r="O4523" t="s">
        <v>30</v>
      </c>
      <c r="P4523" t="s">
        <v>47</v>
      </c>
      <c r="Q4523" s="1">
        <v>42313.574490740742</v>
      </c>
      <c r="R4523">
        <v>1</v>
      </c>
      <c r="S4523" t="s">
        <v>40</v>
      </c>
      <c r="T4523" t="s">
        <v>7496</v>
      </c>
      <c r="U4523">
        <v>305.8</v>
      </c>
      <c r="V4523" s="3">
        <v>41817</v>
      </c>
    </row>
    <row r="4524" spans="1:22" x14ac:dyDescent="0.35">
      <c r="A4524" s="1">
        <v>42313.570972222224</v>
      </c>
      <c r="B4524" s="2">
        <v>3.5185185185185185E-3</v>
      </c>
      <c r="C4524" t="s">
        <v>7493</v>
      </c>
      <c r="D4524" t="s">
        <v>35</v>
      </c>
      <c r="E4524" t="s">
        <v>36</v>
      </c>
      <c r="F4524" t="s">
        <v>7494</v>
      </c>
      <c r="G4524">
        <v>1725831</v>
      </c>
      <c r="H4524" t="s">
        <v>26</v>
      </c>
      <c r="I4524" t="s">
        <v>120</v>
      </c>
      <c r="J4524" t="str">
        <f>"9781118896334"</f>
        <v>9781118896334</v>
      </c>
      <c r="K4524" t="s">
        <v>7497</v>
      </c>
      <c r="L4524">
        <v>43</v>
      </c>
      <c r="O4524" t="s">
        <v>30</v>
      </c>
      <c r="P4524" t="s">
        <v>50</v>
      </c>
      <c r="S4524" t="s">
        <v>40</v>
      </c>
      <c r="T4524" t="s">
        <v>7496</v>
      </c>
      <c r="U4524">
        <v>305.8</v>
      </c>
      <c r="V4524" s="3">
        <v>41817</v>
      </c>
    </row>
    <row r="4525" spans="1:22" x14ac:dyDescent="0.35">
      <c r="A4525" s="1">
        <v>42313.445706018516</v>
      </c>
      <c r="B4525" s="2">
        <v>2.1412037037037038E-3</v>
      </c>
      <c r="C4525" t="s">
        <v>7498</v>
      </c>
      <c r="D4525" t="s">
        <v>35</v>
      </c>
      <c r="E4525" t="s">
        <v>36</v>
      </c>
      <c r="F4525" t="s">
        <v>3275</v>
      </c>
      <c r="G4525">
        <v>822662</v>
      </c>
      <c r="H4525" t="s">
        <v>26</v>
      </c>
      <c r="I4525" t="s">
        <v>172</v>
      </c>
      <c r="J4525" t="str">
        <f>"9781444355130"</f>
        <v>9781444355130</v>
      </c>
      <c r="K4525" t="s">
        <v>7499</v>
      </c>
      <c r="L4525">
        <v>24</v>
      </c>
      <c r="O4525" t="s">
        <v>30</v>
      </c>
      <c r="P4525" t="s">
        <v>29</v>
      </c>
      <c r="Q4525" s="1">
        <v>42307.401377314818</v>
      </c>
      <c r="R4525">
        <v>7</v>
      </c>
      <c r="S4525" t="s">
        <v>40</v>
      </c>
      <c r="T4525" t="s">
        <v>3277</v>
      </c>
      <c r="U4525">
        <v>960.3</v>
      </c>
      <c r="V4525" s="3">
        <v>40858</v>
      </c>
    </row>
    <row r="4526" spans="1:22" x14ac:dyDescent="0.35">
      <c r="A4526" s="1">
        <v>42313.405914351853</v>
      </c>
      <c r="B4526" s="2">
        <v>3.5312500000000004E-2</v>
      </c>
      <c r="C4526" t="s">
        <v>7498</v>
      </c>
      <c r="D4526" t="s">
        <v>35</v>
      </c>
      <c r="E4526" t="s">
        <v>36</v>
      </c>
      <c r="F4526" t="s">
        <v>3275</v>
      </c>
      <c r="G4526">
        <v>822662</v>
      </c>
      <c r="H4526" t="s">
        <v>26</v>
      </c>
      <c r="I4526" t="s">
        <v>172</v>
      </c>
      <c r="J4526" t="str">
        <f>"9781444355130"</f>
        <v>9781444355130</v>
      </c>
      <c r="K4526" t="s">
        <v>7500</v>
      </c>
      <c r="L4526">
        <v>25</v>
      </c>
      <c r="M4526" t="s">
        <v>7501</v>
      </c>
      <c r="O4526" t="s">
        <v>30</v>
      </c>
      <c r="P4526" t="s">
        <v>29</v>
      </c>
      <c r="Q4526" s="1">
        <v>42307.401377314818</v>
      </c>
      <c r="R4526">
        <v>7</v>
      </c>
      <c r="S4526" t="s">
        <v>40</v>
      </c>
      <c r="T4526" t="s">
        <v>3277</v>
      </c>
      <c r="U4526">
        <v>960.3</v>
      </c>
      <c r="V4526" s="3">
        <v>40858</v>
      </c>
    </row>
    <row r="4527" spans="1:22" x14ac:dyDescent="0.35">
      <c r="A4527" s="1">
        <v>42313.405902777777</v>
      </c>
      <c r="B4527" s="2">
        <v>0</v>
      </c>
      <c r="C4527" t="s">
        <v>7498</v>
      </c>
      <c r="D4527" t="s">
        <v>35</v>
      </c>
      <c r="E4527" t="s">
        <v>36</v>
      </c>
      <c r="F4527" t="s">
        <v>3275</v>
      </c>
      <c r="G4527">
        <v>822662</v>
      </c>
      <c r="H4527" t="s">
        <v>26</v>
      </c>
      <c r="I4527" t="s">
        <v>172</v>
      </c>
      <c r="J4527" t="str">
        <f>"9781444355130"</f>
        <v>9781444355130</v>
      </c>
      <c r="L4527">
        <v>0</v>
      </c>
      <c r="O4527" t="s">
        <v>30</v>
      </c>
      <c r="P4527" t="s">
        <v>29</v>
      </c>
      <c r="Q4527" s="1">
        <v>42307.401377314818</v>
      </c>
      <c r="R4527">
        <v>7</v>
      </c>
      <c r="S4527" t="s">
        <v>40</v>
      </c>
      <c r="T4527" t="s">
        <v>3277</v>
      </c>
      <c r="U4527">
        <v>960.3</v>
      </c>
      <c r="V4527" s="3">
        <v>40858</v>
      </c>
    </row>
    <row r="4528" spans="1:22" x14ac:dyDescent="0.35">
      <c r="A4528" s="1">
        <v>42313.3125462963</v>
      </c>
      <c r="B4528" s="2">
        <v>1.0416666666666667E-4</v>
      </c>
      <c r="C4528" t="s">
        <v>7502</v>
      </c>
      <c r="D4528" t="s">
        <v>23</v>
      </c>
      <c r="E4528" t="s">
        <v>24</v>
      </c>
      <c r="F4528" t="s">
        <v>7503</v>
      </c>
      <c r="G4528">
        <v>2051171</v>
      </c>
      <c r="H4528" t="s">
        <v>84</v>
      </c>
      <c r="I4528" t="s">
        <v>120</v>
      </c>
      <c r="J4528" t="str">
        <f>"9780520964037"</f>
        <v>9780520964037</v>
      </c>
      <c r="K4528" t="s">
        <v>33</v>
      </c>
      <c r="L4528">
        <v>3</v>
      </c>
      <c r="O4528" t="s">
        <v>30</v>
      </c>
      <c r="P4528" t="s">
        <v>47</v>
      </c>
      <c r="Q4528" s="1">
        <v>42313.305462962962</v>
      </c>
      <c r="R4528">
        <v>7</v>
      </c>
      <c r="S4528" t="s">
        <v>31</v>
      </c>
      <c r="T4528" t="s">
        <v>7504</v>
      </c>
      <c r="U4528">
        <v>363.32499999999999</v>
      </c>
      <c r="V4528" s="3">
        <v>42255</v>
      </c>
    </row>
    <row r="4529" spans="1:22" x14ac:dyDescent="0.35">
      <c r="A4529" s="1">
        <v>42313.306574074071</v>
      </c>
      <c r="B4529" s="2">
        <v>3.2060185185185191E-3</v>
      </c>
      <c r="C4529" t="s">
        <v>106</v>
      </c>
      <c r="D4529" t="s">
        <v>23</v>
      </c>
      <c r="E4529" t="s">
        <v>24</v>
      </c>
      <c r="F4529" t="s">
        <v>4801</v>
      </c>
      <c r="G4529">
        <v>1388962</v>
      </c>
      <c r="H4529" t="s">
        <v>186</v>
      </c>
      <c r="I4529" t="s">
        <v>247</v>
      </c>
      <c r="J4529" t="str">
        <f>"9781780643403"</f>
        <v>9781780643403</v>
      </c>
      <c r="K4529" t="s">
        <v>7505</v>
      </c>
      <c r="L4529">
        <v>29</v>
      </c>
      <c r="O4529" t="s">
        <v>30</v>
      </c>
      <c r="P4529" t="s">
        <v>29</v>
      </c>
      <c r="Q4529" s="1">
        <v>42313.150324074071</v>
      </c>
      <c r="R4529">
        <v>7</v>
      </c>
      <c r="S4529" t="s">
        <v>31</v>
      </c>
      <c r="T4529" t="s">
        <v>4803</v>
      </c>
      <c r="U4529" t="s">
        <v>4804</v>
      </c>
      <c r="V4529" s="3">
        <v>41275</v>
      </c>
    </row>
    <row r="4530" spans="1:22" x14ac:dyDescent="0.35">
      <c r="A4530" s="1">
        <v>42313.306458333333</v>
      </c>
      <c r="B4530" s="2">
        <v>0</v>
      </c>
      <c r="C4530" t="s">
        <v>7502</v>
      </c>
      <c r="D4530" t="s">
        <v>23</v>
      </c>
      <c r="E4530" t="s">
        <v>24</v>
      </c>
      <c r="F4530" t="s">
        <v>7503</v>
      </c>
      <c r="G4530">
        <v>2051171</v>
      </c>
      <c r="H4530" t="s">
        <v>84</v>
      </c>
      <c r="I4530" t="s">
        <v>120</v>
      </c>
      <c r="J4530" t="str">
        <f>"9780520964037"</f>
        <v>9780520964037</v>
      </c>
      <c r="L4530">
        <v>0</v>
      </c>
      <c r="O4530" t="s">
        <v>28</v>
      </c>
      <c r="P4530" t="s">
        <v>47</v>
      </c>
      <c r="Q4530" s="1">
        <v>42313.305462962962</v>
      </c>
      <c r="R4530">
        <v>7</v>
      </c>
      <c r="S4530" t="s">
        <v>31</v>
      </c>
      <c r="T4530" t="s">
        <v>7504</v>
      </c>
      <c r="U4530">
        <v>363.32499999999999</v>
      </c>
      <c r="V4530" s="3">
        <v>42255</v>
      </c>
    </row>
    <row r="4531" spans="1:22" x14ac:dyDescent="0.35">
      <c r="A4531" s="1">
        <v>42313.305474537039</v>
      </c>
      <c r="B4531" s="2">
        <v>5.2083333333333333E-4</v>
      </c>
      <c r="C4531" t="s">
        <v>7502</v>
      </c>
      <c r="D4531" t="s">
        <v>23</v>
      </c>
      <c r="E4531" t="s">
        <v>24</v>
      </c>
      <c r="F4531" t="s">
        <v>7503</v>
      </c>
      <c r="G4531">
        <v>2051171</v>
      </c>
      <c r="H4531" t="s">
        <v>84</v>
      </c>
      <c r="I4531" t="s">
        <v>120</v>
      </c>
      <c r="J4531" t="str">
        <f>"9780520964037"</f>
        <v>9780520964037</v>
      </c>
      <c r="K4531" t="s">
        <v>7506</v>
      </c>
      <c r="L4531">
        <v>2</v>
      </c>
      <c r="O4531" t="s">
        <v>28</v>
      </c>
      <c r="P4531" t="s">
        <v>47</v>
      </c>
      <c r="Q4531" s="1">
        <v>42313.305462962962</v>
      </c>
      <c r="R4531">
        <v>7</v>
      </c>
      <c r="S4531" t="s">
        <v>31</v>
      </c>
      <c r="T4531" t="s">
        <v>7504</v>
      </c>
      <c r="U4531">
        <v>363.32499999999999</v>
      </c>
      <c r="V4531" s="3">
        <v>42255</v>
      </c>
    </row>
    <row r="4532" spans="1:22" x14ac:dyDescent="0.35">
      <c r="A4532" s="1">
        <v>42313.305474537039</v>
      </c>
      <c r="B4532" s="2">
        <v>0</v>
      </c>
      <c r="C4532" t="s">
        <v>7502</v>
      </c>
      <c r="D4532" t="s">
        <v>23</v>
      </c>
      <c r="E4532" t="s">
        <v>24</v>
      </c>
      <c r="F4532" t="s">
        <v>7503</v>
      </c>
      <c r="G4532">
        <v>2051171</v>
      </c>
      <c r="H4532" t="s">
        <v>84</v>
      </c>
      <c r="I4532" t="s">
        <v>120</v>
      </c>
      <c r="J4532" t="str">
        <f>"9780520964037"</f>
        <v>9780520964037</v>
      </c>
      <c r="L4532">
        <v>0</v>
      </c>
      <c r="O4532" t="s">
        <v>30</v>
      </c>
      <c r="P4532" t="s">
        <v>47</v>
      </c>
      <c r="Q4532" s="1">
        <v>42313.305462962962</v>
      </c>
      <c r="R4532">
        <v>7</v>
      </c>
      <c r="S4532" t="s">
        <v>31</v>
      </c>
      <c r="T4532" t="s">
        <v>7504</v>
      </c>
      <c r="U4532">
        <v>363.32499999999999</v>
      </c>
      <c r="V4532" s="3">
        <v>42255</v>
      </c>
    </row>
    <row r="4533" spans="1:22" x14ac:dyDescent="0.35">
      <c r="A4533" s="1">
        <v>42313.304988425924</v>
      </c>
      <c r="B4533" s="2">
        <v>4.7453703703703704E-4</v>
      </c>
      <c r="C4533" t="s">
        <v>7502</v>
      </c>
      <c r="D4533" t="s">
        <v>23</v>
      </c>
      <c r="E4533" t="s">
        <v>24</v>
      </c>
      <c r="F4533" t="s">
        <v>7503</v>
      </c>
      <c r="G4533">
        <v>2051171</v>
      </c>
      <c r="H4533" t="s">
        <v>84</v>
      </c>
      <c r="I4533" t="s">
        <v>120</v>
      </c>
      <c r="J4533" t="str">
        <f>"9780520964037"</f>
        <v>9780520964037</v>
      </c>
      <c r="K4533" t="s">
        <v>202</v>
      </c>
      <c r="L4533">
        <v>3</v>
      </c>
      <c r="O4533" t="s">
        <v>30</v>
      </c>
      <c r="P4533" t="s">
        <v>50</v>
      </c>
      <c r="S4533" t="s">
        <v>31</v>
      </c>
      <c r="T4533" t="s">
        <v>7504</v>
      </c>
      <c r="U4533">
        <v>363.32499999999999</v>
      </c>
      <c r="V4533" s="3">
        <v>42255</v>
      </c>
    </row>
    <row r="4534" spans="1:22" x14ac:dyDescent="0.35">
      <c r="A4534" s="1">
        <v>42313.277499999997</v>
      </c>
      <c r="B4534" s="2">
        <v>3.8310185185185183E-3</v>
      </c>
      <c r="C4534" t="s">
        <v>6735</v>
      </c>
      <c r="D4534" t="s">
        <v>623</v>
      </c>
      <c r="E4534" t="s">
        <v>624</v>
      </c>
      <c r="F4534" t="s">
        <v>6736</v>
      </c>
      <c r="G4534">
        <v>1983497</v>
      </c>
      <c r="H4534" t="s">
        <v>26</v>
      </c>
      <c r="I4534" t="s">
        <v>120</v>
      </c>
      <c r="J4534" t="str">
        <f>"9780745689395"</f>
        <v>9780745689395</v>
      </c>
      <c r="K4534" t="s">
        <v>7507</v>
      </c>
      <c r="L4534">
        <v>3</v>
      </c>
      <c r="O4534" t="s">
        <v>30</v>
      </c>
      <c r="P4534" t="s">
        <v>29</v>
      </c>
      <c r="Q4534" s="1">
        <v>42313.277499999997</v>
      </c>
      <c r="R4534">
        <v>7</v>
      </c>
      <c r="S4534" t="s">
        <v>627</v>
      </c>
      <c r="T4534" t="s">
        <v>6738</v>
      </c>
      <c r="U4534">
        <v>391.6</v>
      </c>
      <c r="V4534" s="3">
        <v>42066</v>
      </c>
    </row>
    <row r="4535" spans="1:22" x14ac:dyDescent="0.35">
      <c r="A4535" s="1">
        <v>42313.259814814817</v>
      </c>
      <c r="B4535" s="2">
        <v>1.7685185185185182E-2</v>
      </c>
      <c r="C4535" t="s">
        <v>6735</v>
      </c>
      <c r="D4535" t="s">
        <v>623</v>
      </c>
      <c r="E4535" t="s">
        <v>624</v>
      </c>
      <c r="F4535" t="s">
        <v>6736</v>
      </c>
      <c r="G4535">
        <v>1983497</v>
      </c>
      <c r="H4535" t="s">
        <v>26</v>
      </c>
      <c r="I4535" t="s">
        <v>120</v>
      </c>
      <c r="J4535" t="str">
        <f>"9780745689395"</f>
        <v>9780745689395</v>
      </c>
      <c r="K4535" t="s">
        <v>33</v>
      </c>
      <c r="L4535">
        <v>3</v>
      </c>
      <c r="O4535" t="s">
        <v>30</v>
      </c>
      <c r="P4535" t="s">
        <v>42</v>
      </c>
      <c r="S4535" t="s">
        <v>627</v>
      </c>
      <c r="T4535" t="s">
        <v>6738</v>
      </c>
      <c r="U4535">
        <v>391.6</v>
      </c>
      <c r="V4535" s="3">
        <v>42066</v>
      </c>
    </row>
    <row r="4536" spans="1:22" x14ac:dyDescent="0.35">
      <c r="A4536" s="1">
        <v>42313.230578703704</v>
      </c>
      <c r="B4536" s="2">
        <v>5.6712962962962956E-4</v>
      </c>
      <c r="C4536" t="s">
        <v>7498</v>
      </c>
      <c r="D4536" t="s">
        <v>35</v>
      </c>
      <c r="E4536" t="s">
        <v>36</v>
      </c>
      <c r="F4536" t="s">
        <v>3275</v>
      </c>
      <c r="G4536">
        <v>822662</v>
      </c>
      <c r="H4536" t="s">
        <v>26</v>
      </c>
      <c r="I4536" t="s">
        <v>172</v>
      </c>
      <c r="J4536" t="str">
        <f>"9781444355130"</f>
        <v>9781444355130</v>
      </c>
      <c r="K4536" t="s">
        <v>7508</v>
      </c>
      <c r="L4536">
        <v>9</v>
      </c>
      <c r="O4536" t="s">
        <v>30</v>
      </c>
      <c r="P4536" t="s">
        <v>29</v>
      </c>
      <c r="Q4536" s="1">
        <v>42307.401377314818</v>
      </c>
      <c r="R4536">
        <v>7</v>
      </c>
      <c r="S4536" t="s">
        <v>40</v>
      </c>
      <c r="T4536" t="s">
        <v>3277</v>
      </c>
      <c r="U4536">
        <v>960.3</v>
      </c>
      <c r="V4536" s="3">
        <v>40858</v>
      </c>
    </row>
    <row r="4537" spans="1:22" x14ac:dyDescent="0.35">
      <c r="A4537" s="1">
        <v>42313.230578703704</v>
      </c>
      <c r="B4537" s="2">
        <v>0</v>
      </c>
      <c r="C4537" t="s">
        <v>7498</v>
      </c>
      <c r="D4537" t="s">
        <v>35</v>
      </c>
      <c r="E4537" t="s">
        <v>36</v>
      </c>
      <c r="F4537" t="s">
        <v>3275</v>
      </c>
      <c r="G4537">
        <v>822662</v>
      </c>
      <c r="H4537" t="s">
        <v>26</v>
      </c>
      <c r="I4537" t="s">
        <v>172</v>
      </c>
      <c r="J4537" t="str">
        <f>"9781444355130"</f>
        <v>9781444355130</v>
      </c>
      <c r="L4537">
        <v>0</v>
      </c>
      <c r="O4537" t="s">
        <v>30</v>
      </c>
      <c r="P4537" t="s">
        <v>29</v>
      </c>
      <c r="Q4537" s="1">
        <v>42307.401377314818</v>
      </c>
      <c r="R4537">
        <v>7</v>
      </c>
      <c r="S4537" t="s">
        <v>40</v>
      </c>
      <c r="T4537" t="s">
        <v>3277</v>
      </c>
      <c r="U4537">
        <v>960.3</v>
      </c>
      <c r="V4537" s="3">
        <v>40858</v>
      </c>
    </row>
    <row r="4538" spans="1:22" x14ac:dyDescent="0.35">
      <c r="A4538" s="1">
        <v>42313.16138888889</v>
      </c>
      <c r="B4538" s="2">
        <v>4.65625E-2</v>
      </c>
      <c r="C4538" t="s">
        <v>4741</v>
      </c>
      <c r="D4538" t="s">
        <v>1222</v>
      </c>
      <c r="E4538" t="s">
        <v>1223</v>
      </c>
      <c r="F4538" t="s">
        <v>3263</v>
      </c>
      <c r="G4538">
        <v>1840835</v>
      </c>
      <c r="H4538" t="s">
        <v>26</v>
      </c>
      <c r="I4538" t="s">
        <v>108</v>
      </c>
      <c r="J4538" t="str">
        <f>"9781118950166"</f>
        <v>9781118950166</v>
      </c>
      <c r="K4538" t="s">
        <v>7509</v>
      </c>
      <c r="L4538">
        <v>71</v>
      </c>
      <c r="O4538" t="s">
        <v>30</v>
      </c>
      <c r="P4538" t="s">
        <v>29</v>
      </c>
      <c r="Q4538" s="1">
        <v>42313.117060185185</v>
      </c>
      <c r="R4538">
        <v>7</v>
      </c>
      <c r="S4538" t="s">
        <v>1226</v>
      </c>
      <c r="T4538" t="s">
        <v>3264</v>
      </c>
      <c r="U4538">
        <v>338.10923789999998</v>
      </c>
      <c r="V4538" s="3">
        <v>41953</v>
      </c>
    </row>
    <row r="4539" spans="1:22" x14ac:dyDescent="0.35">
      <c r="A4539" s="1">
        <v>42313.161180555559</v>
      </c>
      <c r="B4539" s="2">
        <v>3.1249999999999997E-3</v>
      </c>
      <c r="C4539" t="s">
        <v>7510</v>
      </c>
      <c r="D4539" t="s">
        <v>35</v>
      </c>
      <c r="E4539" t="s">
        <v>36</v>
      </c>
      <c r="F4539" t="s">
        <v>4087</v>
      </c>
      <c r="G4539">
        <v>912464</v>
      </c>
      <c r="H4539" t="s">
        <v>1365</v>
      </c>
      <c r="I4539" t="s">
        <v>27</v>
      </c>
      <c r="J4539" t="str">
        <f>"9781408176238"</f>
        <v>9781408176238</v>
      </c>
      <c r="K4539" t="s">
        <v>7511</v>
      </c>
      <c r="L4539">
        <v>33</v>
      </c>
      <c r="O4539" t="s">
        <v>30</v>
      </c>
      <c r="P4539" t="s">
        <v>42</v>
      </c>
      <c r="S4539" t="s">
        <v>40</v>
      </c>
      <c r="T4539" t="s">
        <v>4088</v>
      </c>
      <c r="U4539">
        <v>428.24076000000002</v>
      </c>
      <c r="V4539" s="3">
        <v>41046</v>
      </c>
    </row>
    <row r="4540" spans="1:22" x14ac:dyDescent="0.35">
      <c r="A4540" s="1">
        <v>42313.150324074071</v>
      </c>
      <c r="B4540" s="2">
        <v>2.2152777777777775E-2</v>
      </c>
      <c r="C4540" t="s">
        <v>106</v>
      </c>
      <c r="D4540" t="s">
        <v>23</v>
      </c>
      <c r="E4540" t="s">
        <v>24</v>
      </c>
      <c r="F4540" t="s">
        <v>4801</v>
      </c>
      <c r="G4540">
        <v>1388962</v>
      </c>
      <c r="H4540" t="s">
        <v>186</v>
      </c>
      <c r="I4540" t="s">
        <v>247</v>
      </c>
      <c r="J4540" t="str">
        <f>"9781780643403"</f>
        <v>9781780643403</v>
      </c>
      <c r="K4540" t="s">
        <v>7512</v>
      </c>
      <c r="L4540">
        <v>49</v>
      </c>
      <c r="O4540" t="s">
        <v>30</v>
      </c>
      <c r="P4540" t="s">
        <v>29</v>
      </c>
      <c r="Q4540" s="1">
        <v>42313.150324074071</v>
      </c>
      <c r="R4540">
        <v>7</v>
      </c>
      <c r="S4540" t="s">
        <v>31</v>
      </c>
      <c r="T4540" t="s">
        <v>4803</v>
      </c>
      <c r="U4540" t="s">
        <v>4804</v>
      </c>
      <c r="V4540" s="3">
        <v>41275</v>
      </c>
    </row>
    <row r="4541" spans="1:22" x14ac:dyDescent="0.35">
      <c r="A4541" s="1">
        <v>42313.143900462965</v>
      </c>
      <c r="B4541" s="2">
        <v>1.273148148148148E-4</v>
      </c>
      <c r="C4541" t="s">
        <v>7513</v>
      </c>
      <c r="D4541" t="s">
        <v>23</v>
      </c>
      <c r="E4541" t="s">
        <v>24</v>
      </c>
      <c r="F4541" t="s">
        <v>4087</v>
      </c>
      <c r="G4541">
        <v>912464</v>
      </c>
      <c r="H4541" t="s">
        <v>1365</v>
      </c>
      <c r="I4541" t="s">
        <v>27</v>
      </c>
      <c r="J4541" t="str">
        <f>"9781408176238"</f>
        <v>9781408176238</v>
      </c>
      <c r="K4541" t="s">
        <v>7514</v>
      </c>
      <c r="L4541">
        <v>6</v>
      </c>
      <c r="O4541" t="s">
        <v>30</v>
      </c>
      <c r="P4541" t="s">
        <v>29</v>
      </c>
      <c r="Q4541" s="1">
        <v>42313.143900462965</v>
      </c>
      <c r="R4541">
        <v>7</v>
      </c>
      <c r="S4541" t="s">
        <v>31</v>
      </c>
      <c r="T4541" t="s">
        <v>4088</v>
      </c>
      <c r="U4541">
        <v>428.24076000000002</v>
      </c>
      <c r="V4541" s="3">
        <v>41046</v>
      </c>
    </row>
    <row r="4542" spans="1:22" x14ac:dyDescent="0.35">
      <c r="A4542" s="1">
        <v>42313.141261574077</v>
      </c>
      <c r="B4542" s="2">
        <v>1.6087962962962963E-3</v>
      </c>
      <c r="C4542" t="s">
        <v>7515</v>
      </c>
      <c r="D4542" t="s">
        <v>623</v>
      </c>
      <c r="E4542" t="s">
        <v>624</v>
      </c>
      <c r="F4542" t="s">
        <v>7516</v>
      </c>
      <c r="G4542">
        <v>1245462</v>
      </c>
      <c r="H4542" t="s">
        <v>26</v>
      </c>
      <c r="I4542" t="s">
        <v>3802</v>
      </c>
      <c r="J4542" t="str">
        <f>"9781118499870"</f>
        <v>9781118499870</v>
      </c>
      <c r="K4542" t="s">
        <v>7517</v>
      </c>
      <c r="L4542">
        <v>13</v>
      </c>
      <c r="O4542" t="s">
        <v>30</v>
      </c>
      <c r="P4542" t="s">
        <v>50</v>
      </c>
      <c r="S4542" t="s">
        <v>627</v>
      </c>
      <c r="T4542" t="s">
        <v>7518</v>
      </c>
      <c r="U4542" t="s">
        <v>7519</v>
      </c>
      <c r="V4542" s="3">
        <v>41450</v>
      </c>
    </row>
    <row r="4543" spans="1:22" x14ac:dyDescent="0.35">
      <c r="A4543" s="1">
        <v>42313.135775462964</v>
      </c>
      <c r="B4543" s="2">
        <v>8.1249999999999985E-3</v>
      </c>
      <c r="C4543" t="s">
        <v>7513</v>
      </c>
      <c r="D4543" t="s">
        <v>23</v>
      </c>
      <c r="E4543" t="s">
        <v>24</v>
      </c>
      <c r="F4543" t="s">
        <v>4087</v>
      </c>
      <c r="G4543">
        <v>912464</v>
      </c>
      <c r="H4543" t="s">
        <v>1365</v>
      </c>
      <c r="I4543" t="s">
        <v>27</v>
      </c>
      <c r="J4543" t="str">
        <f>"9781408176238"</f>
        <v>9781408176238</v>
      </c>
      <c r="K4543" t="s">
        <v>7520</v>
      </c>
      <c r="L4543">
        <v>13</v>
      </c>
      <c r="O4543" t="s">
        <v>30</v>
      </c>
      <c r="P4543" t="s">
        <v>42</v>
      </c>
      <c r="S4543" t="s">
        <v>31</v>
      </c>
      <c r="T4543" t="s">
        <v>4088</v>
      </c>
      <c r="U4543">
        <v>428.24076000000002</v>
      </c>
      <c r="V4543" s="3">
        <v>41046</v>
      </c>
    </row>
    <row r="4544" spans="1:22" x14ac:dyDescent="0.35">
      <c r="A4544" s="1">
        <v>42313.117060185185</v>
      </c>
      <c r="B4544" s="2">
        <v>4.1122685185185186E-2</v>
      </c>
      <c r="C4544" t="s">
        <v>4741</v>
      </c>
      <c r="D4544" t="s">
        <v>1222</v>
      </c>
      <c r="E4544" t="s">
        <v>1223</v>
      </c>
      <c r="F4544" t="s">
        <v>3263</v>
      </c>
      <c r="G4544">
        <v>1840835</v>
      </c>
      <c r="H4544" t="s">
        <v>26</v>
      </c>
      <c r="I4544" t="s">
        <v>108</v>
      </c>
      <c r="J4544" t="str">
        <f>"9781118950166"</f>
        <v>9781118950166</v>
      </c>
      <c r="K4544" t="s">
        <v>7521</v>
      </c>
      <c r="L4544">
        <v>23</v>
      </c>
      <c r="O4544" t="s">
        <v>30</v>
      </c>
      <c r="P4544" t="s">
        <v>29</v>
      </c>
      <c r="Q4544" s="1">
        <v>42313.117060185185</v>
      </c>
      <c r="R4544">
        <v>7</v>
      </c>
      <c r="S4544" t="s">
        <v>1226</v>
      </c>
      <c r="T4544" t="s">
        <v>3264</v>
      </c>
      <c r="U4544">
        <v>338.10923789999998</v>
      </c>
      <c r="V4544" s="3">
        <v>41953</v>
      </c>
    </row>
    <row r="4545" spans="1:22" x14ac:dyDescent="0.35">
      <c r="A4545" s="1">
        <v>42313.116365740738</v>
      </c>
      <c r="B4545" s="2">
        <v>3.3958333333333333E-2</v>
      </c>
      <c r="C4545" t="s">
        <v>106</v>
      </c>
      <c r="D4545" t="s">
        <v>23</v>
      </c>
      <c r="E4545" t="s">
        <v>24</v>
      </c>
      <c r="F4545" t="s">
        <v>4801</v>
      </c>
      <c r="G4545">
        <v>1388962</v>
      </c>
      <c r="H4545" t="s">
        <v>186</v>
      </c>
      <c r="I4545" t="s">
        <v>247</v>
      </c>
      <c r="J4545" t="str">
        <f>"9781780643403"</f>
        <v>9781780643403</v>
      </c>
      <c r="K4545" t="s">
        <v>217</v>
      </c>
      <c r="L4545">
        <v>12</v>
      </c>
      <c r="O4545" t="s">
        <v>30</v>
      </c>
      <c r="P4545" t="s">
        <v>50</v>
      </c>
      <c r="S4545" t="s">
        <v>31</v>
      </c>
      <c r="T4545" t="s">
        <v>4803</v>
      </c>
      <c r="U4545" t="s">
        <v>4804</v>
      </c>
      <c r="V4545" s="3">
        <v>41275</v>
      </c>
    </row>
    <row r="4546" spans="1:22" x14ac:dyDescent="0.35">
      <c r="A4546" s="1">
        <v>42313.110011574077</v>
      </c>
      <c r="B4546" s="2">
        <v>7.0486111111111105E-3</v>
      </c>
      <c r="C4546" t="s">
        <v>4741</v>
      </c>
      <c r="D4546" t="s">
        <v>1222</v>
      </c>
      <c r="E4546" t="s">
        <v>1223</v>
      </c>
      <c r="F4546" t="s">
        <v>3263</v>
      </c>
      <c r="G4546">
        <v>1840835</v>
      </c>
      <c r="H4546" t="s">
        <v>26</v>
      </c>
      <c r="I4546" t="s">
        <v>108</v>
      </c>
      <c r="J4546" t="str">
        <f>"9781118950166"</f>
        <v>9781118950166</v>
      </c>
      <c r="K4546" t="s">
        <v>7522</v>
      </c>
      <c r="L4546">
        <v>10</v>
      </c>
      <c r="O4546" t="s">
        <v>30</v>
      </c>
      <c r="P4546" t="s">
        <v>42</v>
      </c>
      <c r="S4546" t="s">
        <v>1226</v>
      </c>
      <c r="T4546" t="s">
        <v>3264</v>
      </c>
      <c r="U4546">
        <v>338.10923789999998</v>
      </c>
      <c r="V4546" s="3">
        <v>41953</v>
      </c>
    </row>
    <row r="4547" spans="1:22" x14ac:dyDescent="0.35">
      <c r="A4547" s="1">
        <v>42313.094722222224</v>
      </c>
      <c r="B4547" s="2">
        <v>0</v>
      </c>
      <c r="C4547" t="s">
        <v>5865</v>
      </c>
      <c r="D4547" t="s">
        <v>35</v>
      </c>
      <c r="E4547" t="s">
        <v>36</v>
      </c>
      <c r="F4547" t="s">
        <v>986</v>
      </c>
      <c r="G4547">
        <v>968030</v>
      </c>
      <c r="H4547" t="s">
        <v>26</v>
      </c>
      <c r="I4547" t="s">
        <v>219</v>
      </c>
      <c r="J4547" t="str">
        <f>"9781118285138"</f>
        <v>9781118285138</v>
      </c>
      <c r="K4547" t="s">
        <v>7523</v>
      </c>
      <c r="L4547">
        <v>1</v>
      </c>
      <c r="O4547" t="s">
        <v>30</v>
      </c>
      <c r="P4547" t="s">
        <v>29</v>
      </c>
      <c r="Q4547" s="1">
        <v>42313.094722222224</v>
      </c>
      <c r="R4547">
        <v>7</v>
      </c>
      <c r="S4547" t="s">
        <v>40</v>
      </c>
      <c r="T4547" t="s">
        <v>987</v>
      </c>
      <c r="U4547">
        <v>158.30000000000001</v>
      </c>
      <c r="V4547" s="3">
        <v>41100</v>
      </c>
    </row>
    <row r="4548" spans="1:22" x14ac:dyDescent="0.35">
      <c r="A4548" s="1">
        <v>42313.091354166667</v>
      </c>
      <c r="B4548" s="2">
        <v>2.7974537037037034E-2</v>
      </c>
      <c r="C4548" t="s">
        <v>5326</v>
      </c>
      <c r="D4548" t="s">
        <v>23</v>
      </c>
      <c r="E4548" t="s">
        <v>24</v>
      </c>
      <c r="F4548" t="s">
        <v>486</v>
      </c>
      <c r="G4548">
        <v>1119505</v>
      </c>
      <c r="H4548" t="s">
        <v>26</v>
      </c>
      <c r="I4548" t="s">
        <v>450</v>
      </c>
      <c r="J4548" t="str">
        <f>"9781118355015"</f>
        <v>9781118355015</v>
      </c>
      <c r="K4548" t="s">
        <v>7524</v>
      </c>
      <c r="L4548">
        <v>22</v>
      </c>
      <c r="O4548" t="s">
        <v>30</v>
      </c>
      <c r="P4548" t="s">
        <v>29</v>
      </c>
      <c r="Q4548" s="1">
        <v>42313.091331018521</v>
      </c>
      <c r="R4548">
        <v>7</v>
      </c>
      <c r="S4548" t="s">
        <v>31</v>
      </c>
      <c r="T4548" t="s">
        <v>487</v>
      </c>
      <c r="U4548" t="s">
        <v>488</v>
      </c>
      <c r="V4548" s="3">
        <v>41302</v>
      </c>
    </row>
    <row r="4549" spans="1:22" x14ac:dyDescent="0.35">
      <c r="A4549" s="1">
        <v>42313.087233796294</v>
      </c>
      <c r="B4549" s="2">
        <v>7.4884259259259262E-3</v>
      </c>
      <c r="C4549" t="s">
        <v>5865</v>
      </c>
      <c r="D4549" t="s">
        <v>35</v>
      </c>
      <c r="E4549" t="s">
        <v>36</v>
      </c>
      <c r="F4549" t="s">
        <v>986</v>
      </c>
      <c r="G4549">
        <v>968030</v>
      </c>
      <c r="H4549" t="s">
        <v>26</v>
      </c>
      <c r="I4549" t="s">
        <v>219</v>
      </c>
      <c r="J4549" t="str">
        <f>"9781118285138"</f>
        <v>9781118285138</v>
      </c>
      <c r="K4549" t="s">
        <v>7525</v>
      </c>
      <c r="L4549">
        <v>8</v>
      </c>
      <c r="O4549" t="s">
        <v>30</v>
      </c>
      <c r="P4549" t="s">
        <v>42</v>
      </c>
      <c r="S4549" t="s">
        <v>40</v>
      </c>
      <c r="T4549" t="s">
        <v>987</v>
      </c>
      <c r="U4549">
        <v>158.30000000000001</v>
      </c>
      <c r="V4549" s="3">
        <v>41100</v>
      </c>
    </row>
    <row r="4550" spans="1:22" x14ac:dyDescent="0.35">
      <c r="A4550" s="1">
        <v>42313.08152777778</v>
      </c>
      <c r="B4550" s="2">
        <v>9.8032407407407408E-3</v>
      </c>
      <c r="C4550" t="s">
        <v>5326</v>
      </c>
      <c r="D4550" t="s">
        <v>23</v>
      </c>
      <c r="E4550" t="s">
        <v>24</v>
      </c>
      <c r="F4550" t="s">
        <v>486</v>
      </c>
      <c r="G4550">
        <v>1119505</v>
      </c>
      <c r="H4550" t="s">
        <v>26</v>
      </c>
      <c r="I4550" t="s">
        <v>450</v>
      </c>
      <c r="J4550" t="str">
        <f>"9781118355015"</f>
        <v>9781118355015</v>
      </c>
      <c r="K4550" t="s">
        <v>7526</v>
      </c>
      <c r="L4550">
        <v>17</v>
      </c>
      <c r="O4550" t="s">
        <v>30</v>
      </c>
      <c r="P4550" t="s">
        <v>42</v>
      </c>
      <c r="S4550" t="s">
        <v>31</v>
      </c>
      <c r="T4550" t="s">
        <v>487</v>
      </c>
      <c r="U4550" t="s">
        <v>488</v>
      </c>
      <c r="V4550" s="3">
        <v>41302</v>
      </c>
    </row>
    <row r="4551" spans="1:22" x14ac:dyDescent="0.35">
      <c r="A4551" s="1">
        <v>42313.074247685188</v>
      </c>
      <c r="B4551" s="2">
        <v>6.9444444444444444E-5</v>
      </c>
      <c r="C4551" t="s">
        <v>6000</v>
      </c>
      <c r="D4551" t="s">
        <v>35</v>
      </c>
      <c r="E4551" t="s">
        <v>36</v>
      </c>
      <c r="F4551" t="s">
        <v>986</v>
      </c>
      <c r="G4551">
        <v>968030</v>
      </c>
      <c r="H4551" t="s">
        <v>26</v>
      </c>
      <c r="I4551" t="s">
        <v>219</v>
      </c>
      <c r="J4551" t="str">
        <f>"9781118285138"</f>
        <v>9781118285138</v>
      </c>
      <c r="K4551" t="s">
        <v>33</v>
      </c>
      <c r="L4551">
        <v>3</v>
      </c>
      <c r="O4551" t="s">
        <v>30</v>
      </c>
      <c r="P4551" t="s">
        <v>42</v>
      </c>
      <c r="S4551" t="s">
        <v>40</v>
      </c>
      <c r="T4551" t="s">
        <v>987</v>
      </c>
      <c r="U4551">
        <v>158.30000000000001</v>
      </c>
      <c r="V4551" s="3">
        <v>41100</v>
      </c>
    </row>
    <row r="4552" spans="1:22" x14ac:dyDescent="0.35">
      <c r="A4552" s="1">
        <v>42313.038877314815</v>
      </c>
      <c r="B4552" s="2">
        <v>7.5231481481481471E-4</v>
      </c>
      <c r="C4552" t="s">
        <v>7527</v>
      </c>
      <c r="D4552" t="s">
        <v>623</v>
      </c>
      <c r="E4552" t="s">
        <v>624</v>
      </c>
      <c r="F4552" t="s">
        <v>7528</v>
      </c>
      <c r="G4552">
        <v>1830135</v>
      </c>
      <c r="H4552" t="s">
        <v>26</v>
      </c>
      <c r="I4552" t="s">
        <v>97</v>
      </c>
      <c r="J4552" t="str">
        <f>"9781119003960"</f>
        <v>9781119003960</v>
      </c>
      <c r="K4552" t="s">
        <v>7529</v>
      </c>
      <c r="L4552">
        <v>15</v>
      </c>
      <c r="O4552" t="s">
        <v>30</v>
      </c>
      <c r="P4552" t="s">
        <v>50</v>
      </c>
      <c r="S4552" t="s">
        <v>627</v>
      </c>
      <c r="T4552" t="s">
        <v>7530</v>
      </c>
      <c r="U4552" t="s">
        <v>1463</v>
      </c>
      <c r="V4552" s="3">
        <v>41942</v>
      </c>
    </row>
    <row r="4553" spans="1:22" x14ac:dyDescent="0.35">
      <c r="A4553" s="1">
        <v>42313.029513888891</v>
      </c>
      <c r="B4553" s="2">
        <v>1.2777777777777777E-2</v>
      </c>
      <c r="C4553" t="s">
        <v>6171</v>
      </c>
      <c r="D4553" t="s">
        <v>35</v>
      </c>
      <c r="E4553" t="s">
        <v>36</v>
      </c>
      <c r="F4553" t="s">
        <v>986</v>
      </c>
      <c r="G4553">
        <v>968030</v>
      </c>
      <c r="H4553" t="s">
        <v>26</v>
      </c>
      <c r="I4553" t="s">
        <v>219</v>
      </c>
      <c r="J4553" t="str">
        <f>"9781118285138"</f>
        <v>9781118285138</v>
      </c>
      <c r="K4553" t="s">
        <v>7531</v>
      </c>
      <c r="L4553">
        <v>24</v>
      </c>
      <c r="O4553" t="s">
        <v>30</v>
      </c>
      <c r="P4553" t="s">
        <v>29</v>
      </c>
      <c r="Q4553" s="1">
        <v>42311.152291666665</v>
      </c>
      <c r="R4553">
        <v>7</v>
      </c>
      <c r="S4553" t="s">
        <v>40</v>
      </c>
      <c r="T4553" t="s">
        <v>987</v>
      </c>
      <c r="U4553">
        <v>158.30000000000001</v>
      </c>
      <c r="V4553" s="3">
        <v>41100</v>
      </c>
    </row>
    <row r="4554" spans="1:22" x14ac:dyDescent="0.35">
      <c r="A4554" s="1">
        <v>42312.997939814813</v>
      </c>
      <c r="B4554" s="2">
        <v>3.2407407407407406E-4</v>
      </c>
      <c r="C4554" t="s">
        <v>106</v>
      </c>
      <c r="D4554" t="s">
        <v>23</v>
      </c>
      <c r="E4554" t="s">
        <v>24</v>
      </c>
      <c r="F4554" t="s">
        <v>1121</v>
      </c>
      <c r="G4554">
        <v>875809</v>
      </c>
      <c r="H4554" t="s">
        <v>26</v>
      </c>
      <c r="I4554" t="s">
        <v>27</v>
      </c>
      <c r="J4554" t="str">
        <f>"9781118223598"</f>
        <v>9781118223598</v>
      </c>
      <c r="K4554" t="s">
        <v>5020</v>
      </c>
      <c r="L4554">
        <v>2</v>
      </c>
      <c r="O4554" t="s">
        <v>28</v>
      </c>
      <c r="P4554" t="s">
        <v>29</v>
      </c>
      <c r="Q4554" s="1">
        <v>42312.978402777779</v>
      </c>
      <c r="R4554">
        <v>7</v>
      </c>
      <c r="S4554" t="s">
        <v>31</v>
      </c>
      <c r="T4554" t="s">
        <v>1123</v>
      </c>
      <c r="U4554">
        <v>428.00709999999998</v>
      </c>
      <c r="V4554" s="3">
        <v>41128</v>
      </c>
    </row>
    <row r="4555" spans="1:22" x14ac:dyDescent="0.35">
      <c r="A4555" s="1">
        <v>42312.992465277777</v>
      </c>
      <c r="B4555" s="2">
        <v>7.7546296296296304E-4</v>
      </c>
      <c r="C4555" t="s">
        <v>7532</v>
      </c>
      <c r="D4555" t="s">
        <v>623</v>
      </c>
      <c r="E4555" t="s">
        <v>624</v>
      </c>
      <c r="F4555" t="s">
        <v>7533</v>
      </c>
      <c r="G4555">
        <v>1557287</v>
      </c>
      <c r="H4555" t="s">
        <v>26</v>
      </c>
      <c r="I4555" t="s">
        <v>150</v>
      </c>
      <c r="J4555" t="str">
        <f>"9781118799192"</f>
        <v>9781118799192</v>
      </c>
      <c r="K4555" t="s">
        <v>7534</v>
      </c>
      <c r="L4555">
        <v>12</v>
      </c>
      <c r="O4555" t="s">
        <v>30</v>
      </c>
      <c r="P4555" t="s">
        <v>47</v>
      </c>
      <c r="Q4555" s="1">
        <v>42312.981469907405</v>
      </c>
      <c r="R4555">
        <v>1</v>
      </c>
      <c r="S4555" t="s">
        <v>627</v>
      </c>
      <c r="T4555" t="s">
        <v>7535</v>
      </c>
      <c r="U4555" t="s">
        <v>7536</v>
      </c>
      <c r="V4555" s="3">
        <v>41586</v>
      </c>
    </row>
    <row r="4556" spans="1:22" x14ac:dyDescent="0.35">
      <c r="A4556" s="1">
        <v>42312.981481481482</v>
      </c>
      <c r="B4556" s="2">
        <v>7.291666666666667E-4</v>
      </c>
      <c r="C4556" t="s">
        <v>7532</v>
      </c>
      <c r="D4556" t="s">
        <v>623</v>
      </c>
      <c r="E4556" t="s">
        <v>624</v>
      </c>
      <c r="F4556" t="s">
        <v>7533</v>
      </c>
      <c r="G4556">
        <v>1557287</v>
      </c>
      <c r="H4556" t="s">
        <v>26</v>
      </c>
      <c r="I4556" t="s">
        <v>150</v>
      </c>
      <c r="J4556" t="str">
        <f>"9781118799192"</f>
        <v>9781118799192</v>
      </c>
      <c r="K4556" t="s">
        <v>7537</v>
      </c>
      <c r="L4556">
        <v>14</v>
      </c>
      <c r="O4556" t="s">
        <v>30</v>
      </c>
      <c r="P4556" t="s">
        <v>47</v>
      </c>
      <c r="Q4556" s="1">
        <v>42312.981469907405</v>
      </c>
      <c r="R4556">
        <v>1</v>
      </c>
      <c r="S4556" t="s">
        <v>627</v>
      </c>
      <c r="T4556" t="s">
        <v>7535</v>
      </c>
      <c r="U4556" t="s">
        <v>7536</v>
      </c>
      <c r="V4556" s="3">
        <v>41586</v>
      </c>
    </row>
    <row r="4557" spans="1:22" x14ac:dyDescent="0.35">
      <c r="A4557" s="1">
        <v>42312.978414351855</v>
      </c>
      <c r="B4557" s="2">
        <v>3.2523148148148151E-3</v>
      </c>
      <c r="C4557" t="s">
        <v>106</v>
      </c>
      <c r="D4557" t="s">
        <v>23</v>
      </c>
      <c r="E4557" t="s">
        <v>24</v>
      </c>
      <c r="F4557" t="s">
        <v>1121</v>
      </c>
      <c r="G4557">
        <v>875809</v>
      </c>
      <c r="H4557" t="s">
        <v>26</v>
      </c>
      <c r="I4557" t="s">
        <v>27</v>
      </c>
      <c r="J4557" t="str">
        <f>"9781118223598"</f>
        <v>9781118223598</v>
      </c>
      <c r="K4557" t="s">
        <v>7538</v>
      </c>
      <c r="L4557">
        <v>5</v>
      </c>
      <c r="O4557" t="s">
        <v>30</v>
      </c>
      <c r="P4557" t="s">
        <v>29</v>
      </c>
      <c r="Q4557" s="1">
        <v>42312.978402777779</v>
      </c>
      <c r="R4557">
        <v>7</v>
      </c>
      <c r="S4557" t="s">
        <v>31</v>
      </c>
      <c r="T4557" t="s">
        <v>1123</v>
      </c>
      <c r="U4557">
        <v>428.00709999999998</v>
      </c>
      <c r="V4557" s="3">
        <v>41128</v>
      </c>
    </row>
    <row r="4558" spans="1:22" x14ac:dyDescent="0.35">
      <c r="A4558" s="1">
        <v>42312.977893518517</v>
      </c>
      <c r="B4558" s="2">
        <v>3.5763888888888894E-3</v>
      </c>
      <c r="C4558" t="s">
        <v>7532</v>
      </c>
      <c r="D4558" t="s">
        <v>623</v>
      </c>
      <c r="E4558" t="s">
        <v>624</v>
      </c>
      <c r="F4558" t="s">
        <v>7533</v>
      </c>
      <c r="G4558">
        <v>1557287</v>
      </c>
      <c r="H4558" t="s">
        <v>26</v>
      </c>
      <c r="I4558" t="s">
        <v>150</v>
      </c>
      <c r="J4558" t="str">
        <f>"9781118799192"</f>
        <v>9781118799192</v>
      </c>
      <c r="K4558" t="s">
        <v>7539</v>
      </c>
      <c r="L4558">
        <v>4</v>
      </c>
      <c r="O4558" t="s">
        <v>30</v>
      </c>
      <c r="P4558" t="s">
        <v>50</v>
      </c>
      <c r="S4558" t="s">
        <v>627</v>
      </c>
      <c r="T4558" t="s">
        <v>7535</v>
      </c>
      <c r="U4558" t="s">
        <v>7536</v>
      </c>
      <c r="V4558" s="3">
        <v>41586</v>
      </c>
    </row>
    <row r="4559" spans="1:22" x14ac:dyDescent="0.35">
      <c r="A4559" s="1">
        <v>42312.97011574074</v>
      </c>
      <c r="B4559" s="2">
        <v>8.2870370370370372E-3</v>
      </c>
      <c r="C4559" t="s">
        <v>106</v>
      </c>
      <c r="D4559" t="s">
        <v>23</v>
      </c>
      <c r="E4559" t="s">
        <v>24</v>
      </c>
      <c r="F4559" t="s">
        <v>1121</v>
      </c>
      <c r="G4559">
        <v>875809</v>
      </c>
      <c r="H4559" t="s">
        <v>26</v>
      </c>
      <c r="I4559" t="s">
        <v>27</v>
      </c>
      <c r="J4559" t="str">
        <f>"9781118223598"</f>
        <v>9781118223598</v>
      </c>
      <c r="K4559" t="s">
        <v>7540</v>
      </c>
      <c r="L4559">
        <v>22</v>
      </c>
      <c r="O4559" t="s">
        <v>30</v>
      </c>
      <c r="P4559" t="s">
        <v>42</v>
      </c>
      <c r="S4559" t="s">
        <v>31</v>
      </c>
      <c r="T4559" t="s">
        <v>1123</v>
      </c>
      <c r="U4559">
        <v>428.00709999999998</v>
      </c>
      <c r="V4559" s="3">
        <v>41128</v>
      </c>
    </row>
    <row r="4560" spans="1:22" x14ac:dyDescent="0.35">
      <c r="A4560" s="1">
        <v>42312.964513888888</v>
      </c>
      <c r="B4560" s="2">
        <v>8.0439814814814818E-3</v>
      </c>
      <c r="C4560" t="s">
        <v>7541</v>
      </c>
      <c r="D4560" t="s">
        <v>623</v>
      </c>
      <c r="E4560" t="s">
        <v>624</v>
      </c>
      <c r="F4560" t="s">
        <v>7542</v>
      </c>
      <c r="G4560">
        <v>1985694</v>
      </c>
      <c r="H4560" t="s">
        <v>26</v>
      </c>
      <c r="I4560" t="s">
        <v>7543</v>
      </c>
      <c r="J4560" t="str">
        <f>"9780745689005"</f>
        <v>9780745689005</v>
      </c>
      <c r="K4560" t="s">
        <v>7544</v>
      </c>
      <c r="L4560">
        <v>19</v>
      </c>
      <c r="O4560" t="s">
        <v>30</v>
      </c>
      <c r="P4560" t="s">
        <v>29</v>
      </c>
      <c r="Q4560" s="1">
        <v>42312.964513888888</v>
      </c>
      <c r="R4560">
        <v>7</v>
      </c>
      <c r="S4560" t="s">
        <v>627</v>
      </c>
      <c r="T4560" t="s">
        <v>7545</v>
      </c>
      <c r="U4560">
        <v>345.05</v>
      </c>
      <c r="V4560" s="3">
        <v>42068</v>
      </c>
    </row>
    <row r="4561" spans="1:22" x14ac:dyDescent="0.35">
      <c r="A4561" s="1">
        <v>42312.964155092595</v>
      </c>
      <c r="B4561" s="2">
        <v>3.5879629629629635E-4</v>
      </c>
      <c r="C4561" t="s">
        <v>7541</v>
      </c>
      <c r="D4561" t="s">
        <v>623</v>
      </c>
      <c r="E4561" t="s">
        <v>624</v>
      </c>
      <c r="F4561" t="s">
        <v>7542</v>
      </c>
      <c r="G4561">
        <v>1985694</v>
      </c>
      <c r="H4561" t="s">
        <v>26</v>
      </c>
      <c r="I4561" t="s">
        <v>7543</v>
      </c>
      <c r="J4561" t="str">
        <f>"9780745689005"</f>
        <v>9780745689005</v>
      </c>
      <c r="K4561" t="s">
        <v>7546</v>
      </c>
      <c r="L4561">
        <v>6</v>
      </c>
      <c r="O4561" t="s">
        <v>30</v>
      </c>
      <c r="P4561" t="s">
        <v>50</v>
      </c>
      <c r="S4561" t="s">
        <v>627</v>
      </c>
      <c r="T4561" t="s">
        <v>7545</v>
      </c>
      <c r="U4561">
        <v>345.05</v>
      </c>
      <c r="V4561" s="3">
        <v>42068</v>
      </c>
    </row>
    <row r="4562" spans="1:22" x14ac:dyDescent="0.35">
      <c r="A4562" s="1">
        <v>42312.959178240744</v>
      </c>
      <c r="B4562" s="2">
        <v>3.0324074074074073E-3</v>
      </c>
      <c r="C4562" t="s">
        <v>7541</v>
      </c>
      <c r="D4562" t="s">
        <v>623</v>
      </c>
      <c r="E4562" t="s">
        <v>624</v>
      </c>
      <c r="F4562" t="s">
        <v>7542</v>
      </c>
      <c r="G4562">
        <v>1985694</v>
      </c>
      <c r="H4562" t="s">
        <v>26</v>
      </c>
      <c r="I4562" t="s">
        <v>7543</v>
      </c>
      <c r="J4562" t="str">
        <f>"9780745689005"</f>
        <v>9780745689005</v>
      </c>
      <c r="K4562" t="s">
        <v>7547</v>
      </c>
      <c r="L4562">
        <v>15</v>
      </c>
      <c r="O4562" t="s">
        <v>30</v>
      </c>
      <c r="P4562" t="s">
        <v>50</v>
      </c>
      <c r="S4562" t="s">
        <v>627</v>
      </c>
      <c r="T4562" t="s">
        <v>7545</v>
      </c>
      <c r="U4562">
        <v>345.05</v>
      </c>
      <c r="V4562" s="3">
        <v>42068</v>
      </c>
    </row>
    <row r="4563" spans="1:22" x14ac:dyDescent="0.35">
      <c r="A4563" s="1">
        <v>42312.958090277774</v>
      </c>
      <c r="B4563" s="2">
        <v>3.9583333333333337E-3</v>
      </c>
      <c r="C4563" t="s">
        <v>7548</v>
      </c>
      <c r="D4563" t="s">
        <v>1222</v>
      </c>
      <c r="E4563" t="s">
        <v>1223</v>
      </c>
      <c r="F4563" t="s">
        <v>7549</v>
      </c>
      <c r="G4563">
        <v>1655945</v>
      </c>
      <c r="H4563" t="s">
        <v>91</v>
      </c>
      <c r="I4563" t="s">
        <v>120</v>
      </c>
      <c r="J4563" t="str">
        <f>"9781462515318"</f>
        <v>9781462515318</v>
      </c>
      <c r="K4563" t="s">
        <v>7550</v>
      </c>
      <c r="L4563">
        <v>3</v>
      </c>
      <c r="N4563" t="s">
        <v>7551</v>
      </c>
      <c r="O4563" t="s">
        <v>30</v>
      </c>
      <c r="P4563" t="s">
        <v>47</v>
      </c>
      <c r="Q4563" s="1">
        <v>42312.958090277774</v>
      </c>
      <c r="R4563">
        <v>1</v>
      </c>
      <c r="S4563" t="s">
        <v>1226</v>
      </c>
      <c r="T4563" t="s">
        <v>7552</v>
      </c>
      <c r="U4563">
        <v>305.42009999999999</v>
      </c>
      <c r="V4563" s="3">
        <v>41773</v>
      </c>
    </row>
    <row r="4564" spans="1:22" x14ac:dyDescent="0.35">
      <c r="A4564" s="1">
        <v>42312.956192129626</v>
      </c>
      <c r="B4564" s="2">
        <v>1.8981481481481482E-3</v>
      </c>
      <c r="C4564" t="s">
        <v>7548</v>
      </c>
      <c r="D4564" t="s">
        <v>1222</v>
      </c>
      <c r="E4564" t="s">
        <v>1223</v>
      </c>
      <c r="F4564" t="s">
        <v>7549</v>
      </c>
      <c r="G4564">
        <v>1655945</v>
      </c>
      <c r="H4564" t="s">
        <v>91</v>
      </c>
      <c r="I4564" t="s">
        <v>120</v>
      </c>
      <c r="J4564" t="str">
        <f>"9781462515318"</f>
        <v>9781462515318</v>
      </c>
      <c r="K4564" t="s">
        <v>7553</v>
      </c>
      <c r="L4564">
        <v>40</v>
      </c>
      <c r="O4564" t="s">
        <v>30</v>
      </c>
      <c r="P4564" t="s">
        <v>50</v>
      </c>
      <c r="S4564" t="s">
        <v>1226</v>
      </c>
      <c r="T4564" t="s">
        <v>7552</v>
      </c>
      <c r="U4564">
        <v>305.42009999999999</v>
      </c>
      <c r="V4564" s="3">
        <v>41773</v>
      </c>
    </row>
    <row r="4565" spans="1:22" x14ac:dyDescent="0.35">
      <c r="A4565" s="1">
        <v>42312.946701388886</v>
      </c>
      <c r="B4565" s="2">
        <v>1.0416666666666667E-4</v>
      </c>
      <c r="C4565" t="s">
        <v>7541</v>
      </c>
      <c r="D4565" t="s">
        <v>623</v>
      </c>
      <c r="E4565" t="s">
        <v>624</v>
      </c>
      <c r="F4565" t="s">
        <v>7542</v>
      </c>
      <c r="G4565">
        <v>1985694</v>
      </c>
      <c r="H4565" t="s">
        <v>26</v>
      </c>
      <c r="I4565" t="s">
        <v>7543</v>
      </c>
      <c r="J4565" t="str">
        <f>"9780745689005"</f>
        <v>9780745689005</v>
      </c>
      <c r="K4565" t="s">
        <v>2295</v>
      </c>
      <c r="L4565">
        <v>8</v>
      </c>
      <c r="O4565" t="s">
        <v>30</v>
      </c>
      <c r="P4565" t="s">
        <v>50</v>
      </c>
      <c r="S4565" t="s">
        <v>627</v>
      </c>
      <c r="T4565" t="s">
        <v>7545</v>
      </c>
      <c r="U4565">
        <v>345.05</v>
      </c>
      <c r="V4565" s="3">
        <v>42068</v>
      </c>
    </row>
    <row r="4566" spans="1:22" x14ac:dyDescent="0.35">
      <c r="A4566" s="1">
        <v>42312.946145833332</v>
      </c>
      <c r="B4566" s="2">
        <v>1.7361111111111112E-4</v>
      </c>
      <c r="C4566" t="s">
        <v>7541</v>
      </c>
      <c r="D4566" t="s">
        <v>623</v>
      </c>
      <c r="E4566" t="s">
        <v>624</v>
      </c>
      <c r="F4566" t="s">
        <v>7554</v>
      </c>
      <c r="G4566">
        <v>1895764</v>
      </c>
      <c r="H4566" t="s">
        <v>26</v>
      </c>
      <c r="I4566" t="s">
        <v>120</v>
      </c>
      <c r="J4566" t="str">
        <f>"9781118928929"</f>
        <v>9781118928929</v>
      </c>
      <c r="K4566" t="s">
        <v>98</v>
      </c>
      <c r="L4566">
        <v>7</v>
      </c>
      <c r="O4566" t="s">
        <v>30</v>
      </c>
      <c r="P4566" t="s">
        <v>50</v>
      </c>
      <c r="S4566" t="s">
        <v>627</v>
      </c>
      <c r="T4566" t="s">
        <v>7555</v>
      </c>
      <c r="U4566" t="s">
        <v>4160</v>
      </c>
      <c r="V4566" s="3">
        <v>42080</v>
      </c>
    </row>
    <row r="4567" spans="1:22" x14ac:dyDescent="0.35">
      <c r="A4567" s="1">
        <v>42312.934374999997</v>
      </c>
      <c r="B4567" s="2">
        <v>3.1250000000000001E-4</v>
      </c>
      <c r="C4567" t="s">
        <v>7556</v>
      </c>
      <c r="D4567" t="s">
        <v>23</v>
      </c>
      <c r="E4567" t="s">
        <v>24</v>
      </c>
      <c r="F4567" t="s">
        <v>7557</v>
      </c>
      <c r="G4567">
        <v>1774374</v>
      </c>
      <c r="H4567" t="s">
        <v>91</v>
      </c>
      <c r="I4567" t="s">
        <v>219</v>
      </c>
      <c r="J4567" t="str">
        <f>"9781462519040"</f>
        <v>9781462519040</v>
      </c>
      <c r="K4567" t="s">
        <v>7558</v>
      </c>
      <c r="L4567">
        <v>20</v>
      </c>
      <c r="O4567" t="s">
        <v>30</v>
      </c>
      <c r="P4567" t="s">
        <v>50</v>
      </c>
      <c r="S4567" t="s">
        <v>31</v>
      </c>
      <c r="T4567" t="s">
        <v>7559</v>
      </c>
      <c r="U4567">
        <v>158</v>
      </c>
      <c r="V4567" s="3">
        <v>41997</v>
      </c>
    </row>
    <row r="4568" spans="1:22" x14ac:dyDescent="0.35">
      <c r="A4568" s="1">
        <v>42312.934039351851</v>
      </c>
      <c r="B4568" s="2">
        <v>2.5462962962962961E-4</v>
      </c>
      <c r="C4568" t="s">
        <v>7556</v>
      </c>
      <c r="D4568" t="s">
        <v>23</v>
      </c>
      <c r="E4568" t="s">
        <v>24</v>
      </c>
      <c r="F4568" t="s">
        <v>7557</v>
      </c>
      <c r="G4568">
        <v>1774374</v>
      </c>
      <c r="H4568" t="s">
        <v>91</v>
      </c>
      <c r="I4568" t="s">
        <v>219</v>
      </c>
      <c r="J4568" t="str">
        <f>"9781462519040"</f>
        <v>9781462519040</v>
      </c>
      <c r="K4568" t="s">
        <v>7560</v>
      </c>
      <c r="L4568">
        <v>14</v>
      </c>
      <c r="O4568" t="s">
        <v>30</v>
      </c>
      <c r="P4568" t="s">
        <v>50</v>
      </c>
      <c r="S4568" t="s">
        <v>31</v>
      </c>
      <c r="T4568" t="s">
        <v>7559</v>
      </c>
      <c r="U4568">
        <v>158</v>
      </c>
      <c r="V4568" s="3">
        <v>41997</v>
      </c>
    </row>
    <row r="4569" spans="1:22" x14ac:dyDescent="0.35">
      <c r="A4569" s="1">
        <v>42312.93178240741</v>
      </c>
      <c r="B4569" s="2">
        <v>2.5462962962962961E-4</v>
      </c>
      <c r="C4569" t="s">
        <v>7561</v>
      </c>
      <c r="D4569" t="s">
        <v>23</v>
      </c>
      <c r="E4569" t="s">
        <v>24</v>
      </c>
      <c r="F4569" t="s">
        <v>7562</v>
      </c>
      <c r="G4569">
        <v>2039130</v>
      </c>
      <c r="H4569" t="s">
        <v>45</v>
      </c>
      <c r="I4569" t="s">
        <v>120</v>
      </c>
      <c r="J4569" t="str">
        <f>"9781472459435"</f>
        <v>9781472459435</v>
      </c>
      <c r="K4569" t="s">
        <v>7563</v>
      </c>
      <c r="L4569">
        <v>7</v>
      </c>
      <c r="O4569" t="s">
        <v>30</v>
      </c>
      <c r="P4569" t="s">
        <v>50</v>
      </c>
      <c r="S4569" t="s">
        <v>31</v>
      </c>
      <c r="T4569" t="s">
        <v>7564</v>
      </c>
      <c r="U4569">
        <v>301.072</v>
      </c>
      <c r="V4569" s="3">
        <v>42183</v>
      </c>
    </row>
    <row r="4570" spans="1:22" x14ac:dyDescent="0.35">
      <c r="A4570" s="1">
        <v>42312.918692129628</v>
      </c>
      <c r="B4570" s="2">
        <v>2.0706018518518519E-2</v>
      </c>
      <c r="C4570" t="s">
        <v>4728</v>
      </c>
      <c r="D4570" t="s">
        <v>623</v>
      </c>
      <c r="E4570" t="s">
        <v>624</v>
      </c>
      <c r="F4570" t="s">
        <v>4494</v>
      </c>
      <c r="G4570">
        <v>565082</v>
      </c>
      <c r="H4570" t="s">
        <v>26</v>
      </c>
      <c r="I4570" t="s">
        <v>69</v>
      </c>
      <c r="J4570" t="str">
        <f>"9781118041567"</f>
        <v>9781118041567</v>
      </c>
      <c r="K4570" t="s">
        <v>7565</v>
      </c>
      <c r="L4570">
        <v>25</v>
      </c>
      <c r="O4570" t="s">
        <v>30</v>
      </c>
      <c r="P4570" t="s">
        <v>29</v>
      </c>
      <c r="Q4570" s="1">
        <v>42312.162627314814</v>
      </c>
      <c r="R4570">
        <v>7</v>
      </c>
      <c r="S4570" t="s">
        <v>627</v>
      </c>
      <c r="T4570" t="s">
        <v>4496</v>
      </c>
      <c r="U4570" t="s">
        <v>4497</v>
      </c>
      <c r="V4570" s="3">
        <v>40337</v>
      </c>
    </row>
    <row r="4571" spans="1:22" x14ac:dyDescent="0.35">
      <c r="A4571" s="1">
        <v>42312.861898148149</v>
      </c>
      <c r="B4571" s="2">
        <v>4.1666666666666669E-4</v>
      </c>
      <c r="C4571" t="s">
        <v>106</v>
      </c>
      <c r="D4571" t="s">
        <v>23</v>
      </c>
      <c r="E4571" t="s">
        <v>24</v>
      </c>
      <c r="F4571" t="s">
        <v>3973</v>
      </c>
      <c r="G4571">
        <v>771049</v>
      </c>
      <c r="H4571" t="s">
        <v>3465</v>
      </c>
      <c r="I4571" t="s">
        <v>3974</v>
      </c>
      <c r="J4571" t="str">
        <f>"9781608706648"</f>
        <v>9781608706648</v>
      </c>
      <c r="K4571" t="s">
        <v>7566</v>
      </c>
      <c r="L4571">
        <v>21</v>
      </c>
      <c r="O4571" t="s">
        <v>30</v>
      </c>
      <c r="P4571" t="s">
        <v>42</v>
      </c>
      <c r="S4571" t="s">
        <v>31</v>
      </c>
      <c r="T4571" t="s">
        <v>3976</v>
      </c>
      <c r="U4571">
        <v>363.73874000000001</v>
      </c>
      <c r="V4571" s="3">
        <v>40909</v>
      </c>
    </row>
    <row r="4572" spans="1:22" x14ac:dyDescent="0.35">
      <c r="A4572" s="1">
        <v>42312.847002314818</v>
      </c>
      <c r="B4572" s="2">
        <v>6.3078703703703708E-3</v>
      </c>
      <c r="C4572" t="s">
        <v>6126</v>
      </c>
      <c r="D4572" t="s">
        <v>23</v>
      </c>
      <c r="E4572" t="s">
        <v>24</v>
      </c>
      <c r="F4572" t="s">
        <v>2924</v>
      </c>
      <c r="G4572">
        <v>2008480</v>
      </c>
      <c r="H4572" t="s">
        <v>91</v>
      </c>
      <c r="I4572" t="s">
        <v>247</v>
      </c>
      <c r="J4572" t="str">
        <f>"9781462523221"</f>
        <v>9781462523221</v>
      </c>
      <c r="K4572" t="s">
        <v>7567</v>
      </c>
      <c r="L4572">
        <v>6</v>
      </c>
      <c r="O4572" t="s">
        <v>30</v>
      </c>
      <c r="P4572" t="s">
        <v>47</v>
      </c>
      <c r="Q4572" s="1">
        <v>42312.846990740742</v>
      </c>
      <c r="R4572">
        <v>1</v>
      </c>
      <c r="S4572" t="s">
        <v>31</v>
      </c>
      <c r="T4572" t="s">
        <v>2926</v>
      </c>
      <c r="U4572">
        <v>616.85220000000004</v>
      </c>
      <c r="V4572" s="3">
        <v>42005</v>
      </c>
    </row>
    <row r="4573" spans="1:22" x14ac:dyDescent="0.35">
      <c r="A4573" s="1">
        <v>42312.831435185188</v>
      </c>
      <c r="B4573" s="2">
        <v>1.5555555555555553E-2</v>
      </c>
      <c r="C4573" t="s">
        <v>6126</v>
      </c>
      <c r="D4573" t="s">
        <v>23</v>
      </c>
      <c r="E4573" t="s">
        <v>24</v>
      </c>
      <c r="F4573" t="s">
        <v>2924</v>
      </c>
      <c r="G4573">
        <v>2008480</v>
      </c>
      <c r="H4573" t="s">
        <v>91</v>
      </c>
      <c r="I4573" t="s">
        <v>247</v>
      </c>
      <c r="J4573" t="str">
        <f>"9781462523221"</f>
        <v>9781462523221</v>
      </c>
      <c r="K4573" t="s">
        <v>7568</v>
      </c>
      <c r="L4573">
        <v>19</v>
      </c>
      <c r="O4573" t="s">
        <v>30</v>
      </c>
      <c r="P4573" t="s">
        <v>50</v>
      </c>
      <c r="S4573" t="s">
        <v>31</v>
      </c>
      <c r="T4573" t="s">
        <v>2926</v>
      </c>
      <c r="U4573">
        <v>616.85220000000004</v>
      </c>
      <c r="V4573" s="3">
        <v>42005</v>
      </c>
    </row>
    <row r="4574" spans="1:22" x14ac:dyDescent="0.35">
      <c r="A4574" s="1">
        <v>42312.825868055559</v>
      </c>
      <c r="B4574" s="2">
        <v>3.2060185185185191E-3</v>
      </c>
      <c r="C4574" t="s">
        <v>7569</v>
      </c>
      <c r="D4574" t="s">
        <v>623</v>
      </c>
      <c r="E4574" t="s">
        <v>624</v>
      </c>
      <c r="F4574" t="s">
        <v>4821</v>
      </c>
      <c r="G4574">
        <v>943645</v>
      </c>
      <c r="H4574" t="s">
        <v>1365</v>
      </c>
      <c r="I4574" t="s">
        <v>172</v>
      </c>
      <c r="J4574" t="str">
        <f>"9781441104755"</f>
        <v>9781441104755</v>
      </c>
      <c r="K4574" t="s">
        <v>7570</v>
      </c>
      <c r="L4574">
        <v>13</v>
      </c>
      <c r="O4574" t="s">
        <v>30</v>
      </c>
      <c r="P4574" t="s">
        <v>29</v>
      </c>
      <c r="Q4574" s="1">
        <v>42312.825856481482</v>
      </c>
      <c r="R4574">
        <v>7</v>
      </c>
      <c r="S4574" t="s">
        <v>627</v>
      </c>
      <c r="T4574" t="s">
        <v>4823</v>
      </c>
      <c r="U4574">
        <v>948.02200000000005</v>
      </c>
      <c r="V4574" s="3">
        <v>41060</v>
      </c>
    </row>
    <row r="4575" spans="1:22" x14ac:dyDescent="0.35">
      <c r="A4575" s="1">
        <v>42312.825439814813</v>
      </c>
      <c r="B4575" s="2">
        <v>1.1574074074074073E-4</v>
      </c>
      <c r="C4575" t="s">
        <v>7571</v>
      </c>
      <c r="D4575" t="s">
        <v>23</v>
      </c>
      <c r="E4575" t="s">
        <v>24</v>
      </c>
      <c r="F4575" t="s">
        <v>7572</v>
      </c>
      <c r="G4575">
        <v>1583996</v>
      </c>
      <c r="H4575" t="s">
        <v>526</v>
      </c>
      <c r="I4575" t="s">
        <v>1532</v>
      </c>
      <c r="J4575" t="str">
        <f>"9780226084404"</f>
        <v>9780226084404</v>
      </c>
      <c r="K4575" t="s">
        <v>7573</v>
      </c>
      <c r="L4575">
        <v>6</v>
      </c>
      <c r="O4575" t="s">
        <v>30</v>
      </c>
      <c r="P4575" t="s">
        <v>47</v>
      </c>
      <c r="Q4575" s="1">
        <v>42312.825428240743</v>
      </c>
      <c r="R4575">
        <v>1</v>
      </c>
      <c r="S4575" t="s">
        <v>31</v>
      </c>
      <c r="T4575" t="s">
        <v>7574</v>
      </c>
      <c r="U4575" t="s">
        <v>7575</v>
      </c>
      <c r="V4575" s="3">
        <v>41645</v>
      </c>
    </row>
    <row r="4576" spans="1:22" x14ac:dyDescent="0.35">
      <c r="A4576" s="1">
        <v>42312.818564814814</v>
      </c>
      <c r="B4576" s="2">
        <v>7.2916666666666659E-3</v>
      </c>
      <c r="C4576" t="s">
        <v>7569</v>
      </c>
      <c r="D4576" t="s">
        <v>623</v>
      </c>
      <c r="E4576" t="s">
        <v>624</v>
      </c>
      <c r="F4576" t="s">
        <v>4821</v>
      </c>
      <c r="G4576">
        <v>943645</v>
      </c>
      <c r="H4576" t="s">
        <v>1365</v>
      </c>
      <c r="I4576" t="s">
        <v>172</v>
      </c>
      <c r="J4576" t="str">
        <f>"9781441104755"</f>
        <v>9781441104755</v>
      </c>
      <c r="K4576" t="s">
        <v>7576</v>
      </c>
      <c r="L4576">
        <v>13</v>
      </c>
      <c r="O4576" t="s">
        <v>30</v>
      </c>
      <c r="P4576" t="s">
        <v>42</v>
      </c>
      <c r="S4576" t="s">
        <v>627</v>
      </c>
      <c r="T4576" t="s">
        <v>4823</v>
      </c>
      <c r="U4576">
        <v>948.02200000000005</v>
      </c>
      <c r="V4576" s="3">
        <v>41060</v>
      </c>
    </row>
    <row r="4577" spans="1:22" x14ac:dyDescent="0.35">
      <c r="A4577" s="1">
        <v>42312.811226851853</v>
      </c>
      <c r="B4577" s="2">
        <v>4.4328703703703709E-3</v>
      </c>
      <c r="C4577" t="s">
        <v>7569</v>
      </c>
      <c r="D4577" t="s">
        <v>623</v>
      </c>
      <c r="E4577" t="s">
        <v>624</v>
      </c>
      <c r="F4577" t="s">
        <v>3741</v>
      </c>
      <c r="G4577">
        <v>837573</v>
      </c>
      <c r="H4577" t="s">
        <v>26</v>
      </c>
      <c r="I4577" t="s">
        <v>120</v>
      </c>
      <c r="J4577" t="str">
        <f>"9781444354805"</f>
        <v>9781444354805</v>
      </c>
      <c r="K4577" t="s">
        <v>7577</v>
      </c>
      <c r="L4577">
        <v>10</v>
      </c>
      <c r="O4577" t="s">
        <v>30</v>
      </c>
      <c r="P4577" t="s">
        <v>29</v>
      </c>
      <c r="Q4577" s="1">
        <v>42312.811215277776</v>
      </c>
      <c r="R4577">
        <v>7</v>
      </c>
      <c r="S4577" t="s">
        <v>627</v>
      </c>
      <c r="T4577" t="s">
        <v>3744</v>
      </c>
      <c r="U4577">
        <v>305.40929999999997</v>
      </c>
      <c r="V4577" s="3">
        <v>40917</v>
      </c>
    </row>
    <row r="4578" spans="1:22" x14ac:dyDescent="0.35">
      <c r="A4578" s="1">
        <v>42312.808530092596</v>
      </c>
      <c r="B4578" s="2">
        <v>2.7777777777777778E-4</v>
      </c>
      <c r="C4578" t="s">
        <v>5019</v>
      </c>
      <c r="D4578" t="s">
        <v>35</v>
      </c>
      <c r="E4578" t="s">
        <v>36</v>
      </c>
      <c r="F4578" t="s">
        <v>986</v>
      </c>
      <c r="G4578">
        <v>968030</v>
      </c>
      <c r="H4578" t="s">
        <v>26</v>
      </c>
      <c r="I4578" t="s">
        <v>219</v>
      </c>
      <c r="J4578" t="str">
        <f>"9781118285138"</f>
        <v>9781118285138</v>
      </c>
      <c r="K4578" t="s">
        <v>7578</v>
      </c>
      <c r="L4578">
        <v>2</v>
      </c>
      <c r="O4578" t="s">
        <v>30</v>
      </c>
      <c r="P4578" t="s">
        <v>29</v>
      </c>
      <c r="Q4578" s="1">
        <v>42312.808518518519</v>
      </c>
      <c r="R4578">
        <v>7</v>
      </c>
      <c r="S4578" t="s">
        <v>40</v>
      </c>
      <c r="T4578" t="s">
        <v>987</v>
      </c>
      <c r="U4578">
        <v>158.30000000000001</v>
      </c>
      <c r="V4578" s="3">
        <v>41100</v>
      </c>
    </row>
    <row r="4579" spans="1:22" x14ac:dyDescent="0.35">
      <c r="A4579" s="1">
        <v>42312.808194444442</v>
      </c>
      <c r="B4579" s="2">
        <v>1.7233796296296296E-2</v>
      </c>
      <c r="C4579" t="s">
        <v>7571</v>
      </c>
      <c r="D4579" t="s">
        <v>23</v>
      </c>
      <c r="E4579" t="s">
        <v>24</v>
      </c>
      <c r="F4579" t="s">
        <v>7572</v>
      </c>
      <c r="G4579">
        <v>1583996</v>
      </c>
      <c r="H4579" t="s">
        <v>526</v>
      </c>
      <c r="I4579" t="s">
        <v>1532</v>
      </c>
      <c r="J4579" t="str">
        <f>"9780226084404"</f>
        <v>9780226084404</v>
      </c>
      <c r="K4579" t="s">
        <v>611</v>
      </c>
      <c r="L4579">
        <v>3</v>
      </c>
      <c r="O4579" t="s">
        <v>30</v>
      </c>
      <c r="P4579" t="s">
        <v>50</v>
      </c>
      <c r="S4579" t="s">
        <v>31</v>
      </c>
      <c r="T4579" t="s">
        <v>7574</v>
      </c>
      <c r="U4579" t="s">
        <v>7575</v>
      </c>
      <c r="V4579" s="3">
        <v>41645</v>
      </c>
    </row>
    <row r="4580" spans="1:22" x14ac:dyDescent="0.35">
      <c r="A4580" s="1">
        <v>42312.799571759257</v>
      </c>
      <c r="B4580" s="2">
        <v>1.1643518518518518E-2</v>
      </c>
      <c r="C4580" t="s">
        <v>7569</v>
      </c>
      <c r="D4580" t="s">
        <v>623</v>
      </c>
      <c r="E4580" t="s">
        <v>624</v>
      </c>
      <c r="F4580" t="s">
        <v>3741</v>
      </c>
      <c r="G4580">
        <v>837573</v>
      </c>
      <c r="H4580" t="s">
        <v>26</v>
      </c>
      <c r="I4580" t="s">
        <v>120</v>
      </c>
      <c r="J4580" t="str">
        <f>"9781444354805"</f>
        <v>9781444354805</v>
      </c>
      <c r="K4580" t="s">
        <v>7579</v>
      </c>
      <c r="L4580">
        <v>30</v>
      </c>
      <c r="O4580" t="s">
        <v>30</v>
      </c>
      <c r="P4580" t="s">
        <v>42</v>
      </c>
      <c r="S4580" t="s">
        <v>627</v>
      </c>
      <c r="T4580" t="s">
        <v>3744</v>
      </c>
      <c r="U4580">
        <v>305.40929999999997</v>
      </c>
      <c r="V4580" s="3">
        <v>40917</v>
      </c>
    </row>
    <row r="4581" spans="1:22" x14ac:dyDescent="0.35">
      <c r="A4581" s="1">
        <v>42312.798854166664</v>
      </c>
      <c r="B4581" s="2">
        <v>9.6643518518518511E-3</v>
      </c>
      <c r="C4581" t="s">
        <v>5019</v>
      </c>
      <c r="D4581" t="s">
        <v>35</v>
      </c>
      <c r="E4581" t="s">
        <v>36</v>
      </c>
      <c r="F4581" t="s">
        <v>986</v>
      </c>
      <c r="G4581">
        <v>968030</v>
      </c>
      <c r="H4581" t="s">
        <v>26</v>
      </c>
      <c r="I4581" t="s">
        <v>219</v>
      </c>
      <c r="J4581" t="str">
        <f>"9781118285138"</f>
        <v>9781118285138</v>
      </c>
      <c r="K4581" t="s">
        <v>7580</v>
      </c>
      <c r="L4581">
        <v>8</v>
      </c>
      <c r="O4581" t="s">
        <v>30</v>
      </c>
      <c r="P4581" t="s">
        <v>42</v>
      </c>
      <c r="S4581" t="s">
        <v>40</v>
      </c>
      <c r="T4581" t="s">
        <v>987</v>
      </c>
      <c r="U4581">
        <v>158.30000000000001</v>
      </c>
      <c r="V4581" s="3">
        <v>41100</v>
      </c>
    </row>
    <row r="4582" spans="1:22" x14ac:dyDescent="0.35">
      <c r="A4582" s="1">
        <v>42312.793425925927</v>
      </c>
      <c r="B4582" s="2">
        <v>3.4722222222222222E-5</v>
      </c>
      <c r="C4582" t="s">
        <v>210</v>
      </c>
      <c r="D4582" t="s">
        <v>211</v>
      </c>
      <c r="E4582" t="s">
        <v>212</v>
      </c>
      <c r="F4582" t="s">
        <v>7581</v>
      </c>
      <c r="G4582">
        <v>1660347</v>
      </c>
      <c r="H4582" t="s">
        <v>526</v>
      </c>
      <c r="I4582" t="s">
        <v>69</v>
      </c>
      <c r="J4582" t="str">
        <f>"9780226122144"</f>
        <v>9780226122144</v>
      </c>
      <c r="K4582" t="s">
        <v>7582</v>
      </c>
      <c r="L4582">
        <v>2</v>
      </c>
      <c r="O4582" t="s">
        <v>30</v>
      </c>
      <c r="P4582" t="s">
        <v>47</v>
      </c>
      <c r="Q4582" s="1">
        <v>42312.793425925927</v>
      </c>
      <c r="R4582">
        <v>1</v>
      </c>
      <c r="S4582" t="s">
        <v>214</v>
      </c>
      <c r="T4582" t="s">
        <v>7583</v>
      </c>
      <c r="U4582" t="s">
        <v>7584</v>
      </c>
      <c r="V4582" s="3">
        <v>41740</v>
      </c>
    </row>
    <row r="4583" spans="1:22" x14ac:dyDescent="0.35">
      <c r="A4583" s="1">
        <v>42312.788576388892</v>
      </c>
      <c r="B4583" s="2">
        <v>2.5462962962962961E-4</v>
      </c>
      <c r="C4583" t="s">
        <v>7138</v>
      </c>
      <c r="D4583" t="s">
        <v>360</v>
      </c>
      <c r="E4583" t="s">
        <v>361</v>
      </c>
      <c r="F4583" t="s">
        <v>4289</v>
      </c>
      <c r="G4583">
        <v>1120621</v>
      </c>
      <c r="H4583" t="s">
        <v>26</v>
      </c>
      <c r="I4583" t="s">
        <v>69</v>
      </c>
      <c r="J4583" t="str">
        <f>"9781118362679"</f>
        <v>9781118362679</v>
      </c>
      <c r="K4583" t="s">
        <v>5970</v>
      </c>
      <c r="L4583">
        <v>8</v>
      </c>
      <c r="O4583" t="s">
        <v>30</v>
      </c>
      <c r="P4583" t="s">
        <v>29</v>
      </c>
      <c r="Q4583" s="1">
        <v>42308.155497685184</v>
      </c>
      <c r="R4583">
        <v>7</v>
      </c>
      <c r="S4583" t="s">
        <v>363</v>
      </c>
      <c r="T4583" t="s">
        <v>4290</v>
      </c>
      <c r="U4583" t="s">
        <v>4291</v>
      </c>
      <c r="V4583" s="3">
        <v>41136</v>
      </c>
    </row>
    <row r="4584" spans="1:22" x14ac:dyDescent="0.35">
      <c r="A4584" s="1">
        <v>42312.78633101852</v>
      </c>
      <c r="B4584" s="2">
        <v>3.7037037037037035E-4</v>
      </c>
      <c r="C4584" t="s">
        <v>210</v>
      </c>
      <c r="D4584" t="s">
        <v>211</v>
      </c>
      <c r="E4584" t="s">
        <v>212</v>
      </c>
      <c r="F4584" t="s">
        <v>7585</v>
      </c>
      <c r="G4584">
        <v>1673310</v>
      </c>
      <c r="H4584" t="s">
        <v>91</v>
      </c>
      <c r="I4584" t="s">
        <v>69</v>
      </c>
      <c r="J4584" t="str">
        <f>"9781462515691"</f>
        <v>9781462515691</v>
      </c>
      <c r="K4584" t="s">
        <v>1520</v>
      </c>
      <c r="L4584">
        <v>20</v>
      </c>
      <c r="O4584" t="s">
        <v>30</v>
      </c>
      <c r="P4584" t="s">
        <v>50</v>
      </c>
      <c r="S4584" t="s">
        <v>214</v>
      </c>
      <c r="T4584" t="s">
        <v>7586</v>
      </c>
      <c r="U4584">
        <v>372.6</v>
      </c>
      <c r="V4584" s="3">
        <v>41835</v>
      </c>
    </row>
    <row r="4585" spans="1:22" x14ac:dyDescent="0.35">
      <c r="A4585" s="1">
        <v>42312.786296296297</v>
      </c>
      <c r="B4585" s="2">
        <v>7.1296296296296307E-3</v>
      </c>
      <c r="C4585" t="s">
        <v>210</v>
      </c>
      <c r="D4585" t="s">
        <v>211</v>
      </c>
      <c r="E4585" t="s">
        <v>212</v>
      </c>
      <c r="F4585" t="s">
        <v>7581</v>
      </c>
      <c r="G4585">
        <v>1660347</v>
      </c>
      <c r="H4585" t="s">
        <v>526</v>
      </c>
      <c r="I4585" t="s">
        <v>69</v>
      </c>
      <c r="J4585" t="str">
        <f>"9780226122144"</f>
        <v>9780226122144</v>
      </c>
      <c r="K4585" t="s">
        <v>7587</v>
      </c>
      <c r="L4585">
        <v>13</v>
      </c>
      <c r="O4585" t="s">
        <v>30</v>
      </c>
      <c r="P4585" t="s">
        <v>50</v>
      </c>
      <c r="S4585" t="s">
        <v>214</v>
      </c>
      <c r="T4585" t="s">
        <v>7583</v>
      </c>
      <c r="U4585" t="s">
        <v>7584</v>
      </c>
      <c r="V4585" s="3">
        <v>41740</v>
      </c>
    </row>
    <row r="4586" spans="1:22" x14ac:dyDescent="0.35">
      <c r="A4586" s="1">
        <v>42312.786226851851</v>
      </c>
      <c r="B4586" s="2">
        <v>1.5046296296296297E-4</v>
      </c>
      <c r="C4586" t="s">
        <v>210</v>
      </c>
      <c r="D4586" t="s">
        <v>211</v>
      </c>
      <c r="E4586" t="s">
        <v>212</v>
      </c>
      <c r="F4586" t="s">
        <v>3650</v>
      </c>
      <c r="G4586">
        <v>2065773</v>
      </c>
      <c r="H4586" t="s">
        <v>26</v>
      </c>
      <c r="I4586" t="s">
        <v>120</v>
      </c>
      <c r="J4586" t="str">
        <f>"9780745690490"</f>
        <v>9780745690490</v>
      </c>
      <c r="K4586" t="s">
        <v>867</v>
      </c>
      <c r="L4586">
        <v>10</v>
      </c>
      <c r="O4586" t="s">
        <v>30</v>
      </c>
      <c r="P4586" t="s">
        <v>42</v>
      </c>
      <c r="S4586" t="s">
        <v>214</v>
      </c>
      <c r="T4586" t="s">
        <v>3652</v>
      </c>
      <c r="U4586">
        <v>303.61</v>
      </c>
      <c r="V4586" s="3">
        <v>42159</v>
      </c>
    </row>
    <row r="4587" spans="1:22" x14ac:dyDescent="0.35">
      <c r="A4587" s="1">
        <v>42312.785069444442</v>
      </c>
      <c r="B4587" s="2">
        <v>5.7870370370370378E-4</v>
      </c>
      <c r="C4587" t="s">
        <v>210</v>
      </c>
      <c r="D4587" t="s">
        <v>211</v>
      </c>
      <c r="E4587" t="s">
        <v>212</v>
      </c>
      <c r="F4587" t="s">
        <v>7585</v>
      </c>
      <c r="G4587">
        <v>1673310</v>
      </c>
      <c r="H4587" t="s">
        <v>91</v>
      </c>
      <c r="I4587" t="s">
        <v>69</v>
      </c>
      <c r="J4587" t="str">
        <f>"9781462515691"</f>
        <v>9781462515691</v>
      </c>
      <c r="K4587" t="s">
        <v>7588</v>
      </c>
      <c r="L4587">
        <v>26</v>
      </c>
      <c r="O4587" t="s">
        <v>30</v>
      </c>
      <c r="P4587" t="s">
        <v>50</v>
      </c>
      <c r="S4587" t="s">
        <v>214</v>
      </c>
      <c r="T4587" t="s">
        <v>7586</v>
      </c>
      <c r="U4587">
        <v>372.6</v>
      </c>
      <c r="V4587" s="3">
        <v>41835</v>
      </c>
    </row>
    <row r="4588" spans="1:22" x14ac:dyDescent="0.35">
      <c r="A4588" s="1">
        <v>42312.766562500001</v>
      </c>
      <c r="B4588" s="2">
        <v>1.0798611111111111E-2</v>
      </c>
      <c r="C4588" t="s">
        <v>210</v>
      </c>
      <c r="D4588" t="s">
        <v>211</v>
      </c>
      <c r="E4588" t="s">
        <v>212</v>
      </c>
      <c r="F4588" t="s">
        <v>7589</v>
      </c>
      <c r="G4588">
        <v>1882105</v>
      </c>
      <c r="H4588" t="s">
        <v>84</v>
      </c>
      <c r="I4588" t="s">
        <v>445</v>
      </c>
      <c r="J4588" t="str">
        <f>"9780520958852"</f>
        <v>9780520958852</v>
      </c>
      <c r="K4588" t="s">
        <v>7590</v>
      </c>
      <c r="L4588">
        <v>49</v>
      </c>
      <c r="O4588" t="s">
        <v>30</v>
      </c>
      <c r="P4588" t="s">
        <v>47</v>
      </c>
      <c r="Q4588" s="1">
        <v>42312.705578703702</v>
      </c>
      <c r="R4588">
        <v>1</v>
      </c>
      <c r="S4588" t="s">
        <v>214</v>
      </c>
      <c r="T4588" t="s">
        <v>7591</v>
      </c>
      <c r="U4588" t="s">
        <v>7592</v>
      </c>
      <c r="V4588" s="3">
        <v>42205</v>
      </c>
    </row>
    <row r="4589" spans="1:22" x14ac:dyDescent="0.35">
      <c r="A4589" s="1">
        <v>42312.752199074072</v>
      </c>
      <c r="B4589" s="2">
        <v>6.9444444444444447E-4</v>
      </c>
      <c r="C4589" t="s">
        <v>6081</v>
      </c>
      <c r="D4589" t="s">
        <v>1222</v>
      </c>
      <c r="E4589" t="s">
        <v>1223</v>
      </c>
      <c r="F4589" t="s">
        <v>6082</v>
      </c>
      <c r="G4589">
        <v>1925073</v>
      </c>
      <c r="H4589" t="s">
        <v>91</v>
      </c>
      <c r="I4589" t="s">
        <v>69</v>
      </c>
      <c r="J4589" t="str">
        <f>"9781462521128"</f>
        <v>9781462521128</v>
      </c>
      <c r="K4589" t="s">
        <v>7593</v>
      </c>
      <c r="L4589">
        <v>9</v>
      </c>
      <c r="N4589" t="s">
        <v>7594</v>
      </c>
      <c r="O4589" t="s">
        <v>30</v>
      </c>
      <c r="P4589" t="s">
        <v>29</v>
      </c>
      <c r="Q4589" s="1">
        <v>42312.750162037039</v>
      </c>
      <c r="R4589">
        <v>7</v>
      </c>
      <c r="S4589" t="s">
        <v>1226</v>
      </c>
      <c r="T4589" t="s">
        <v>6085</v>
      </c>
      <c r="U4589">
        <v>372.48</v>
      </c>
      <c r="V4589" s="3">
        <v>42178</v>
      </c>
    </row>
    <row r="4590" spans="1:22" x14ac:dyDescent="0.35">
      <c r="A4590" s="1">
        <v>42312.752106481479</v>
      </c>
      <c r="B4590" s="2">
        <v>1.9976851851851853E-2</v>
      </c>
      <c r="C4590" t="s">
        <v>7138</v>
      </c>
      <c r="D4590" t="s">
        <v>360</v>
      </c>
      <c r="E4590" t="s">
        <v>361</v>
      </c>
      <c r="F4590" t="s">
        <v>4289</v>
      </c>
      <c r="G4590">
        <v>1120621</v>
      </c>
      <c r="H4590" t="s">
        <v>26</v>
      </c>
      <c r="I4590" t="s">
        <v>69</v>
      </c>
      <c r="J4590" t="str">
        <f>"9781118362679"</f>
        <v>9781118362679</v>
      </c>
      <c r="K4590" t="s">
        <v>7595</v>
      </c>
      <c r="L4590">
        <v>11</v>
      </c>
      <c r="O4590" t="s">
        <v>30</v>
      </c>
      <c r="P4590" t="s">
        <v>29</v>
      </c>
      <c r="Q4590" s="1">
        <v>42308.155497685184</v>
      </c>
      <c r="R4590">
        <v>7</v>
      </c>
      <c r="S4590" t="s">
        <v>363</v>
      </c>
      <c r="T4590" t="s">
        <v>4290</v>
      </c>
      <c r="U4590" t="s">
        <v>4291</v>
      </c>
      <c r="V4590" s="3">
        <v>41136</v>
      </c>
    </row>
    <row r="4591" spans="1:22" x14ac:dyDescent="0.35">
      <c r="A4591" s="1">
        <v>42312.750173611108</v>
      </c>
      <c r="B4591" s="2">
        <v>6.1342592592592594E-3</v>
      </c>
      <c r="C4591" t="s">
        <v>6081</v>
      </c>
      <c r="D4591" t="s">
        <v>1222</v>
      </c>
      <c r="E4591" t="s">
        <v>1223</v>
      </c>
      <c r="F4591" t="s">
        <v>6082</v>
      </c>
      <c r="G4591">
        <v>1925073</v>
      </c>
      <c r="H4591" t="s">
        <v>91</v>
      </c>
      <c r="I4591" t="s">
        <v>69</v>
      </c>
      <c r="J4591" t="str">
        <f>"9781462521128"</f>
        <v>9781462521128</v>
      </c>
      <c r="K4591" t="s">
        <v>7596</v>
      </c>
      <c r="L4591">
        <v>29</v>
      </c>
      <c r="N4591" t="s">
        <v>7597</v>
      </c>
      <c r="O4591" t="s">
        <v>30</v>
      </c>
      <c r="P4591" t="s">
        <v>29</v>
      </c>
      <c r="Q4591" s="1">
        <v>42312.750162037039</v>
      </c>
      <c r="R4591">
        <v>7</v>
      </c>
      <c r="S4591" t="s">
        <v>1226</v>
      </c>
      <c r="T4591" t="s">
        <v>6085</v>
      </c>
      <c r="U4591">
        <v>372.48</v>
      </c>
      <c r="V4591" s="3">
        <v>42178</v>
      </c>
    </row>
    <row r="4592" spans="1:22" x14ac:dyDescent="0.35">
      <c r="A4592" s="1">
        <v>42312.748854166668</v>
      </c>
      <c r="B4592" s="2">
        <v>1.6203703703703703E-4</v>
      </c>
      <c r="C4592" t="s">
        <v>7442</v>
      </c>
      <c r="D4592" t="s">
        <v>623</v>
      </c>
      <c r="E4592" t="s">
        <v>624</v>
      </c>
      <c r="F4592" t="s">
        <v>7443</v>
      </c>
      <c r="G4592">
        <v>1887746</v>
      </c>
      <c r="H4592" t="s">
        <v>26</v>
      </c>
      <c r="I4592" t="s">
        <v>426</v>
      </c>
      <c r="J4592" t="str">
        <f>"9781118697559"</f>
        <v>9781118697559</v>
      </c>
      <c r="K4592" t="s">
        <v>7598</v>
      </c>
      <c r="L4592">
        <v>9</v>
      </c>
      <c r="O4592" t="s">
        <v>30</v>
      </c>
      <c r="P4592" t="s">
        <v>47</v>
      </c>
      <c r="Q4592" s="1">
        <v>42312.748842592591</v>
      </c>
      <c r="R4592">
        <v>1</v>
      </c>
      <c r="S4592" t="s">
        <v>627</v>
      </c>
      <c r="T4592" t="s">
        <v>7444</v>
      </c>
      <c r="U4592">
        <v>248</v>
      </c>
      <c r="V4592" s="3">
        <v>41424</v>
      </c>
    </row>
    <row r="4593" spans="1:22" x14ac:dyDescent="0.35">
      <c r="A4593" s="1">
        <v>42312.748414351852</v>
      </c>
      <c r="B4593" s="2">
        <v>1.7476851851851852E-3</v>
      </c>
      <c r="C4593" t="s">
        <v>6081</v>
      </c>
      <c r="D4593" t="s">
        <v>1222</v>
      </c>
      <c r="E4593" t="s">
        <v>1223</v>
      </c>
      <c r="F4593" t="s">
        <v>6082</v>
      </c>
      <c r="G4593">
        <v>1925073</v>
      </c>
      <c r="H4593" t="s">
        <v>91</v>
      </c>
      <c r="I4593" t="s">
        <v>69</v>
      </c>
      <c r="J4593" t="str">
        <f>"9781462521128"</f>
        <v>9781462521128</v>
      </c>
      <c r="K4593" t="s">
        <v>7599</v>
      </c>
      <c r="L4593">
        <v>16</v>
      </c>
      <c r="O4593" t="s">
        <v>30</v>
      </c>
      <c r="P4593" t="s">
        <v>42</v>
      </c>
      <c r="S4593" t="s">
        <v>1226</v>
      </c>
      <c r="T4593" t="s">
        <v>6085</v>
      </c>
      <c r="U4593">
        <v>372.48</v>
      </c>
      <c r="V4593" s="3">
        <v>42178</v>
      </c>
    </row>
    <row r="4594" spans="1:22" x14ac:dyDescent="0.35">
      <c r="A4594" s="1">
        <v>42312.744953703703</v>
      </c>
      <c r="B4594" s="2">
        <v>3.8888888888888883E-3</v>
      </c>
      <c r="C4594" t="s">
        <v>7442</v>
      </c>
      <c r="D4594" t="s">
        <v>623</v>
      </c>
      <c r="E4594" t="s">
        <v>624</v>
      </c>
      <c r="F4594" t="s">
        <v>7443</v>
      </c>
      <c r="G4594">
        <v>1887746</v>
      </c>
      <c r="H4594" t="s">
        <v>26</v>
      </c>
      <c r="I4594" t="s">
        <v>426</v>
      </c>
      <c r="J4594" t="str">
        <f>"9781118697559"</f>
        <v>9781118697559</v>
      </c>
      <c r="K4594" t="s">
        <v>7600</v>
      </c>
      <c r="L4594">
        <v>12</v>
      </c>
      <c r="O4594" t="s">
        <v>30</v>
      </c>
      <c r="P4594" t="s">
        <v>50</v>
      </c>
      <c r="S4594" t="s">
        <v>627</v>
      </c>
      <c r="T4594" t="s">
        <v>7444</v>
      </c>
      <c r="U4594">
        <v>248</v>
      </c>
      <c r="V4594" s="3">
        <v>41424</v>
      </c>
    </row>
    <row r="4595" spans="1:22" x14ac:dyDescent="0.35">
      <c r="A4595" s="1">
        <v>42312.712407407409</v>
      </c>
      <c r="B4595" s="2">
        <v>3.9699074074074072E-3</v>
      </c>
      <c r="C4595" t="s">
        <v>6408</v>
      </c>
      <c r="D4595" t="s">
        <v>35</v>
      </c>
      <c r="E4595" t="s">
        <v>36</v>
      </c>
      <c r="F4595" t="s">
        <v>3275</v>
      </c>
      <c r="G4595">
        <v>822662</v>
      </c>
      <c r="H4595" t="s">
        <v>26</v>
      </c>
      <c r="I4595" t="s">
        <v>172</v>
      </c>
      <c r="J4595" t="str">
        <f>"9781444355130"</f>
        <v>9781444355130</v>
      </c>
      <c r="K4595" t="s">
        <v>7601</v>
      </c>
      <c r="L4595">
        <v>23</v>
      </c>
      <c r="O4595" t="s">
        <v>30</v>
      </c>
      <c r="P4595" t="s">
        <v>29</v>
      </c>
      <c r="Q4595" s="1">
        <v>42307.653136574074</v>
      </c>
      <c r="R4595">
        <v>7</v>
      </c>
      <c r="S4595" t="s">
        <v>40</v>
      </c>
      <c r="T4595" t="s">
        <v>3277</v>
      </c>
      <c r="U4595">
        <v>960.3</v>
      </c>
      <c r="V4595" s="3">
        <v>40858</v>
      </c>
    </row>
    <row r="4596" spans="1:22" x14ac:dyDescent="0.35">
      <c r="A4596" s="1">
        <v>42312.705590277779</v>
      </c>
      <c r="B4596" s="2">
        <v>4.8263888888888887E-3</v>
      </c>
      <c r="C4596" t="s">
        <v>210</v>
      </c>
      <c r="D4596" t="s">
        <v>211</v>
      </c>
      <c r="E4596" t="s">
        <v>212</v>
      </c>
      <c r="F4596" t="s">
        <v>7589</v>
      </c>
      <c r="G4596">
        <v>1882105</v>
      </c>
      <c r="H4596" t="s">
        <v>84</v>
      </c>
      <c r="I4596" t="s">
        <v>445</v>
      </c>
      <c r="J4596" t="str">
        <f>"9780520958852"</f>
        <v>9780520958852</v>
      </c>
      <c r="K4596" t="s">
        <v>7602</v>
      </c>
      <c r="L4596">
        <v>21</v>
      </c>
      <c r="O4596" t="s">
        <v>30</v>
      </c>
      <c r="P4596" t="s">
        <v>47</v>
      </c>
      <c r="Q4596" s="1">
        <v>42312.705578703702</v>
      </c>
      <c r="R4596">
        <v>1</v>
      </c>
      <c r="S4596" t="s">
        <v>214</v>
      </c>
      <c r="T4596" t="s">
        <v>7591</v>
      </c>
      <c r="U4596" t="s">
        <v>7592</v>
      </c>
      <c r="V4596" s="3">
        <v>42205</v>
      </c>
    </row>
    <row r="4597" spans="1:22" x14ac:dyDescent="0.35">
      <c r="A4597" s="1">
        <v>42312.704861111109</v>
      </c>
      <c r="B4597" s="2">
        <v>3.3564814814814812E-4</v>
      </c>
      <c r="C4597" t="s">
        <v>1421</v>
      </c>
      <c r="D4597" t="s">
        <v>623</v>
      </c>
      <c r="E4597" t="s">
        <v>624</v>
      </c>
      <c r="F4597" t="s">
        <v>7603</v>
      </c>
      <c r="G4597">
        <v>1812458</v>
      </c>
      <c r="H4597" t="s">
        <v>26</v>
      </c>
      <c r="I4597" t="s">
        <v>7604</v>
      </c>
      <c r="J4597" t="str">
        <f>"9781118787540"</f>
        <v>9781118787540</v>
      </c>
      <c r="K4597" t="s">
        <v>7605</v>
      </c>
      <c r="L4597">
        <v>8</v>
      </c>
      <c r="O4597" t="s">
        <v>30</v>
      </c>
      <c r="P4597" t="s">
        <v>50</v>
      </c>
      <c r="S4597" t="s">
        <v>627</v>
      </c>
      <c r="T4597" t="s">
        <v>7606</v>
      </c>
      <c r="U4597" t="s">
        <v>7607</v>
      </c>
      <c r="V4597" s="3">
        <v>41918</v>
      </c>
    </row>
    <row r="4598" spans="1:22" x14ac:dyDescent="0.35">
      <c r="A4598" s="1">
        <v>42312.701874999999</v>
      </c>
      <c r="B4598" s="2">
        <v>3.7037037037037034E-3</v>
      </c>
      <c r="C4598" t="s">
        <v>210</v>
      </c>
      <c r="D4598" t="s">
        <v>211</v>
      </c>
      <c r="E4598" t="s">
        <v>212</v>
      </c>
      <c r="F4598" t="s">
        <v>7589</v>
      </c>
      <c r="G4598">
        <v>1882105</v>
      </c>
      <c r="H4598" t="s">
        <v>84</v>
      </c>
      <c r="I4598" t="s">
        <v>445</v>
      </c>
      <c r="J4598" t="str">
        <f>"9780520958852"</f>
        <v>9780520958852</v>
      </c>
      <c r="K4598" t="s">
        <v>7608</v>
      </c>
      <c r="L4598">
        <v>12</v>
      </c>
      <c r="O4598" t="s">
        <v>30</v>
      </c>
      <c r="P4598" t="s">
        <v>50</v>
      </c>
      <c r="S4598" t="s">
        <v>214</v>
      </c>
      <c r="T4598" t="s">
        <v>7591</v>
      </c>
      <c r="U4598" t="s">
        <v>7592</v>
      </c>
      <c r="V4598" s="3">
        <v>42205</v>
      </c>
    </row>
    <row r="4599" spans="1:22" x14ac:dyDescent="0.35">
      <c r="A4599" s="1">
        <v>42312.697233796294</v>
      </c>
      <c r="B4599" s="2">
        <v>4.6296296296296294E-5</v>
      </c>
      <c r="C4599" t="s">
        <v>7609</v>
      </c>
      <c r="D4599" t="s">
        <v>158</v>
      </c>
      <c r="E4599" t="s">
        <v>159</v>
      </c>
      <c r="F4599" t="s">
        <v>7610</v>
      </c>
      <c r="G4599">
        <v>818250</v>
      </c>
      <c r="H4599" t="s">
        <v>26</v>
      </c>
      <c r="I4599" t="s">
        <v>38</v>
      </c>
      <c r="J4599" t="str">
        <f>"9781118244982"</f>
        <v>9781118244982</v>
      </c>
      <c r="K4599" t="s">
        <v>2752</v>
      </c>
      <c r="L4599">
        <v>3</v>
      </c>
      <c r="O4599" t="s">
        <v>30</v>
      </c>
      <c r="P4599" t="s">
        <v>42</v>
      </c>
      <c r="S4599" t="s">
        <v>163</v>
      </c>
      <c r="T4599" t="s">
        <v>7611</v>
      </c>
      <c r="U4599" t="s">
        <v>7612</v>
      </c>
      <c r="V4599" s="3">
        <v>40855</v>
      </c>
    </row>
    <row r="4600" spans="1:22" x14ac:dyDescent="0.35">
      <c r="A4600" s="1">
        <v>42312.696250000001</v>
      </c>
      <c r="B4600" s="2">
        <v>3.4722222222222222E-5</v>
      </c>
      <c r="C4600" t="s">
        <v>210</v>
      </c>
      <c r="D4600" t="s">
        <v>211</v>
      </c>
      <c r="E4600" t="s">
        <v>212</v>
      </c>
      <c r="F4600" t="s">
        <v>7585</v>
      </c>
      <c r="G4600">
        <v>1673310</v>
      </c>
      <c r="H4600" t="s">
        <v>91</v>
      </c>
      <c r="I4600" t="s">
        <v>69</v>
      </c>
      <c r="J4600" t="str">
        <f>"9781462515691"</f>
        <v>9781462515691</v>
      </c>
      <c r="K4600" t="s">
        <v>33</v>
      </c>
      <c r="L4600">
        <v>3</v>
      </c>
      <c r="O4600" t="s">
        <v>30</v>
      </c>
      <c r="P4600" t="s">
        <v>50</v>
      </c>
      <c r="S4600" t="s">
        <v>214</v>
      </c>
      <c r="T4600" t="s">
        <v>7586</v>
      </c>
      <c r="U4600">
        <v>372.6</v>
      </c>
      <c r="V4600" s="3">
        <v>41835</v>
      </c>
    </row>
    <row r="4601" spans="1:22" x14ac:dyDescent="0.35">
      <c r="A4601" s="1">
        <v>42312.691805555558</v>
      </c>
      <c r="B4601" s="2">
        <v>7.7546296296296304E-4</v>
      </c>
      <c r="C4601" t="s">
        <v>210</v>
      </c>
      <c r="D4601" t="s">
        <v>211</v>
      </c>
      <c r="E4601" t="s">
        <v>212</v>
      </c>
      <c r="F4601" t="s">
        <v>7585</v>
      </c>
      <c r="G4601">
        <v>1673310</v>
      </c>
      <c r="H4601" t="s">
        <v>91</v>
      </c>
      <c r="I4601" t="s">
        <v>69</v>
      </c>
      <c r="J4601" t="str">
        <f>"9781462515691"</f>
        <v>9781462515691</v>
      </c>
      <c r="K4601" t="s">
        <v>7613</v>
      </c>
      <c r="L4601">
        <v>17</v>
      </c>
      <c r="O4601" t="s">
        <v>30</v>
      </c>
      <c r="P4601" t="s">
        <v>50</v>
      </c>
      <c r="S4601" t="s">
        <v>214</v>
      </c>
      <c r="T4601" t="s">
        <v>7586</v>
      </c>
      <c r="U4601">
        <v>372.6</v>
      </c>
      <c r="V4601" s="3">
        <v>41835</v>
      </c>
    </row>
    <row r="4602" spans="1:22" x14ac:dyDescent="0.35">
      <c r="A4602" s="1">
        <v>42312.682939814818</v>
      </c>
      <c r="B4602" s="2">
        <v>1.1574074074074073E-5</v>
      </c>
      <c r="C4602" t="s">
        <v>7614</v>
      </c>
      <c r="D4602" t="s">
        <v>623</v>
      </c>
      <c r="E4602" t="s">
        <v>624</v>
      </c>
      <c r="F4602" t="s">
        <v>7615</v>
      </c>
      <c r="G4602">
        <v>1895268</v>
      </c>
      <c r="H4602" t="s">
        <v>26</v>
      </c>
      <c r="I4602" t="s">
        <v>120</v>
      </c>
      <c r="J4602" t="str">
        <f>"9781119026334"</f>
        <v>9781119026334</v>
      </c>
      <c r="K4602" t="s">
        <v>7616</v>
      </c>
      <c r="L4602">
        <v>1</v>
      </c>
      <c r="O4602" t="s">
        <v>28</v>
      </c>
      <c r="P4602" t="s">
        <v>29</v>
      </c>
      <c r="Q4602" s="1">
        <v>42312.682939814818</v>
      </c>
      <c r="R4602">
        <v>7</v>
      </c>
      <c r="S4602" t="s">
        <v>627</v>
      </c>
      <c r="T4602" t="s">
        <v>7617</v>
      </c>
      <c r="U4602" t="s">
        <v>7618</v>
      </c>
      <c r="V4602" s="3">
        <v>42018</v>
      </c>
    </row>
    <row r="4603" spans="1:22" x14ac:dyDescent="0.35">
      <c r="A4603" s="1">
        <v>42312.682939814818</v>
      </c>
      <c r="B4603" s="2">
        <v>0</v>
      </c>
      <c r="C4603" t="s">
        <v>7614</v>
      </c>
      <c r="D4603" t="s">
        <v>623</v>
      </c>
      <c r="E4603" t="s">
        <v>624</v>
      </c>
      <c r="F4603" t="s">
        <v>7615</v>
      </c>
      <c r="G4603">
        <v>1895268</v>
      </c>
      <c r="H4603" t="s">
        <v>26</v>
      </c>
      <c r="I4603" t="s">
        <v>120</v>
      </c>
      <c r="J4603" t="str">
        <f>"9781119026334"</f>
        <v>9781119026334</v>
      </c>
      <c r="L4603">
        <v>0</v>
      </c>
      <c r="O4603" t="s">
        <v>30</v>
      </c>
      <c r="P4603" t="s">
        <v>29</v>
      </c>
      <c r="Q4603" s="1">
        <v>42312.682939814818</v>
      </c>
      <c r="R4603">
        <v>7</v>
      </c>
      <c r="S4603" t="s">
        <v>627</v>
      </c>
      <c r="T4603" t="s">
        <v>7617</v>
      </c>
      <c r="U4603" t="s">
        <v>7618</v>
      </c>
      <c r="V4603" s="3">
        <v>42018</v>
      </c>
    </row>
    <row r="4604" spans="1:22" x14ac:dyDescent="0.35">
      <c r="A4604" s="1">
        <v>42312.682685185187</v>
      </c>
      <c r="B4604" s="2">
        <v>2.5462962962962961E-4</v>
      </c>
      <c r="C4604" t="s">
        <v>7614</v>
      </c>
      <c r="D4604" t="s">
        <v>623</v>
      </c>
      <c r="E4604" t="s">
        <v>624</v>
      </c>
      <c r="F4604" t="s">
        <v>7615</v>
      </c>
      <c r="G4604">
        <v>1895268</v>
      </c>
      <c r="H4604" t="s">
        <v>26</v>
      </c>
      <c r="I4604" t="s">
        <v>120</v>
      </c>
      <c r="J4604" t="str">
        <f>"9781119026334"</f>
        <v>9781119026334</v>
      </c>
      <c r="K4604" t="s">
        <v>7619</v>
      </c>
      <c r="L4604">
        <v>7</v>
      </c>
      <c r="O4604" t="s">
        <v>30</v>
      </c>
      <c r="P4604" t="s">
        <v>50</v>
      </c>
      <c r="S4604" t="s">
        <v>627</v>
      </c>
      <c r="T4604" t="s">
        <v>7617</v>
      </c>
      <c r="U4604" t="s">
        <v>7618</v>
      </c>
      <c r="V4604" s="3">
        <v>42018</v>
      </c>
    </row>
    <row r="4605" spans="1:22" x14ac:dyDescent="0.35">
      <c r="A4605" s="1">
        <v>42312.68109953704</v>
      </c>
      <c r="B4605" s="2">
        <v>9.2592592592592588E-5</v>
      </c>
      <c r="C4605" t="s">
        <v>7614</v>
      </c>
      <c r="D4605" t="s">
        <v>623</v>
      </c>
      <c r="E4605" t="s">
        <v>624</v>
      </c>
      <c r="F4605" t="s">
        <v>7615</v>
      </c>
      <c r="G4605">
        <v>1895268</v>
      </c>
      <c r="H4605" t="s">
        <v>26</v>
      </c>
      <c r="I4605" t="s">
        <v>120</v>
      </c>
      <c r="J4605" t="str">
        <f>"9781119026334"</f>
        <v>9781119026334</v>
      </c>
      <c r="K4605" t="s">
        <v>33</v>
      </c>
      <c r="L4605">
        <v>3</v>
      </c>
      <c r="O4605" t="s">
        <v>30</v>
      </c>
      <c r="P4605" t="s">
        <v>50</v>
      </c>
      <c r="S4605" t="s">
        <v>627</v>
      </c>
      <c r="T4605" t="s">
        <v>7617</v>
      </c>
      <c r="U4605" t="s">
        <v>7618</v>
      </c>
      <c r="V4605" s="3">
        <v>42018</v>
      </c>
    </row>
    <row r="4606" spans="1:22" x14ac:dyDescent="0.35">
      <c r="A4606" s="1">
        <v>42312.669027777774</v>
      </c>
      <c r="B4606" s="2">
        <v>3.2870370370370367E-3</v>
      </c>
      <c r="C4606" t="s">
        <v>106</v>
      </c>
      <c r="D4606" t="s">
        <v>23</v>
      </c>
      <c r="E4606" t="s">
        <v>24</v>
      </c>
      <c r="F4606" t="s">
        <v>3699</v>
      </c>
      <c r="G4606">
        <v>817432</v>
      </c>
      <c r="H4606" t="s">
        <v>26</v>
      </c>
      <c r="I4606" t="s">
        <v>150</v>
      </c>
      <c r="J4606" t="str">
        <f>"9781118169261"</f>
        <v>9781118169261</v>
      </c>
      <c r="K4606" t="s">
        <v>7620</v>
      </c>
      <c r="L4606">
        <v>19</v>
      </c>
      <c r="O4606" t="s">
        <v>30</v>
      </c>
      <c r="P4606" t="s">
        <v>42</v>
      </c>
      <c r="S4606" t="s">
        <v>31</v>
      </c>
      <c r="T4606" t="s">
        <v>3703</v>
      </c>
      <c r="U4606">
        <v>781</v>
      </c>
      <c r="V4606" s="3">
        <v>40834</v>
      </c>
    </row>
    <row r="4607" spans="1:22" x14ac:dyDescent="0.35">
      <c r="A4607" s="1">
        <v>42312.652453703704</v>
      </c>
      <c r="B4607" s="2">
        <v>8.7384259259259255E-3</v>
      </c>
      <c r="C4607" t="s">
        <v>7621</v>
      </c>
      <c r="D4607" t="s">
        <v>623</v>
      </c>
      <c r="E4607" t="s">
        <v>624</v>
      </c>
      <c r="F4607" t="s">
        <v>7622</v>
      </c>
      <c r="G4607">
        <v>1798775</v>
      </c>
      <c r="H4607" t="s">
        <v>26</v>
      </c>
      <c r="I4607" t="s">
        <v>276</v>
      </c>
      <c r="J4607" t="str">
        <f>"9781118421666"</f>
        <v>9781118421666</v>
      </c>
      <c r="K4607" t="s">
        <v>7623</v>
      </c>
      <c r="L4607">
        <v>25</v>
      </c>
      <c r="O4607" t="s">
        <v>30</v>
      </c>
      <c r="P4607" t="s">
        <v>47</v>
      </c>
      <c r="Q4607" s="1">
        <v>42312.652453703704</v>
      </c>
      <c r="R4607">
        <v>1</v>
      </c>
      <c r="S4607" t="s">
        <v>627</v>
      </c>
      <c r="T4607" t="s">
        <v>7624</v>
      </c>
      <c r="U4607">
        <v>5.133</v>
      </c>
      <c r="V4607" s="3">
        <v>41906</v>
      </c>
    </row>
    <row r="4608" spans="1:22" x14ac:dyDescent="0.35">
      <c r="A4608" s="1">
        <v>42312.649375000001</v>
      </c>
      <c r="B4608" s="2">
        <v>5.3240740740740744E-4</v>
      </c>
      <c r="C4608" t="s">
        <v>7625</v>
      </c>
      <c r="D4608" t="s">
        <v>623</v>
      </c>
      <c r="E4608" t="s">
        <v>624</v>
      </c>
      <c r="F4608" t="s">
        <v>7626</v>
      </c>
      <c r="G4608">
        <v>1895175</v>
      </c>
      <c r="H4608" t="s">
        <v>26</v>
      </c>
      <c r="I4608" t="s">
        <v>97</v>
      </c>
      <c r="J4608" t="str">
        <f>"9781118972007"</f>
        <v>9781118972007</v>
      </c>
      <c r="K4608" t="s">
        <v>7627</v>
      </c>
      <c r="L4608">
        <v>10</v>
      </c>
      <c r="O4608" t="s">
        <v>30</v>
      </c>
      <c r="P4608" t="s">
        <v>50</v>
      </c>
      <c r="S4608" t="s">
        <v>627</v>
      </c>
      <c r="T4608" t="s">
        <v>7628</v>
      </c>
      <c r="U4608" t="s">
        <v>7629</v>
      </c>
      <c r="V4608" s="3">
        <v>42114</v>
      </c>
    </row>
    <row r="4609" spans="1:22" x14ac:dyDescent="0.35">
      <c r="A4609" s="1">
        <v>42312.648935185185</v>
      </c>
      <c r="B4609" s="2">
        <v>3.5185185185185185E-3</v>
      </c>
      <c r="C4609" t="s">
        <v>7621</v>
      </c>
      <c r="D4609" t="s">
        <v>623</v>
      </c>
      <c r="E4609" t="s">
        <v>624</v>
      </c>
      <c r="F4609" t="s">
        <v>7622</v>
      </c>
      <c r="G4609">
        <v>1798775</v>
      </c>
      <c r="H4609" t="s">
        <v>26</v>
      </c>
      <c r="I4609" t="s">
        <v>276</v>
      </c>
      <c r="J4609" t="str">
        <f>"9781118421666"</f>
        <v>9781118421666</v>
      </c>
      <c r="K4609" t="s">
        <v>209</v>
      </c>
      <c r="L4609">
        <v>4</v>
      </c>
      <c r="O4609" t="s">
        <v>30</v>
      </c>
      <c r="P4609" t="s">
        <v>50</v>
      </c>
      <c r="S4609" t="s">
        <v>627</v>
      </c>
      <c r="T4609" t="s">
        <v>7624</v>
      </c>
      <c r="U4609">
        <v>5.133</v>
      </c>
      <c r="V4609" s="3">
        <v>41906</v>
      </c>
    </row>
    <row r="4610" spans="1:22" x14ac:dyDescent="0.35">
      <c r="A4610" s="1">
        <v>42312.642013888886</v>
      </c>
      <c r="B4610" s="2">
        <v>1.0532407407407407E-3</v>
      </c>
      <c r="C4610" t="s">
        <v>7630</v>
      </c>
      <c r="D4610" t="s">
        <v>1222</v>
      </c>
      <c r="E4610" t="s">
        <v>1223</v>
      </c>
      <c r="F4610" t="s">
        <v>7631</v>
      </c>
      <c r="G4610">
        <v>1825704</v>
      </c>
      <c r="H4610" t="s">
        <v>45</v>
      </c>
      <c r="I4610" t="s">
        <v>120</v>
      </c>
      <c r="J4610" t="str">
        <f>"9781409442943"</f>
        <v>9781409442943</v>
      </c>
      <c r="K4610" t="s">
        <v>7632</v>
      </c>
      <c r="L4610">
        <v>9</v>
      </c>
      <c r="O4610" t="s">
        <v>30</v>
      </c>
      <c r="P4610" t="s">
        <v>50</v>
      </c>
      <c r="S4610" t="s">
        <v>1226</v>
      </c>
      <c r="T4610" t="s">
        <v>7633</v>
      </c>
      <c r="U4610">
        <v>307.76</v>
      </c>
      <c r="V4610" s="3">
        <v>42001</v>
      </c>
    </row>
    <row r="4611" spans="1:22" x14ac:dyDescent="0.35">
      <c r="A4611" s="1">
        <v>42312.641284722224</v>
      </c>
      <c r="B4611" s="2">
        <v>9.7222222222222209E-4</v>
      </c>
      <c r="C4611" t="s">
        <v>4726</v>
      </c>
      <c r="D4611" t="s">
        <v>158</v>
      </c>
      <c r="E4611" t="s">
        <v>159</v>
      </c>
      <c r="F4611" t="s">
        <v>2807</v>
      </c>
      <c r="G4611">
        <v>1767915</v>
      </c>
      <c r="H4611" t="s">
        <v>26</v>
      </c>
      <c r="I4611" t="s">
        <v>120</v>
      </c>
      <c r="J4611" t="str">
        <f>"9780730315148"</f>
        <v>9780730315148</v>
      </c>
      <c r="K4611" t="s">
        <v>7634</v>
      </c>
      <c r="L4611">
        <v>10</v>
      </c>
      <c r="O4611" t="s">
        <v>30</v>
      </c>
      <c r="P4611" t="s">
        <v>42</v>
      </c>
      <c r="S4611" t="s">
        <v>163</v>
      </c>
      <c r="T4611" t="s">
        <v>2809</v>
      </c>
      <c r="U4611">
        <v>302.23099999999999</v>
      </c>
      <c r="V4611" s="3">
        <v>41866</v>
      </c>
    </row>
    <row r="4612" spans="1:22" x14ac:dyDescent="0.35">
      <c r="A4612" s="1">
        <v>42312.633935185186</v>
      </c>
      <c r="B4612" s="2">
        <v>4.0162037037037033E-3</v>
      </c>
      <c r="C4612" t="s">
        <v>7372</v>
      </c>
      <c r="D4612" t="s">
        <v>23</v>
      </c>
      <c r="E4612" t="s">
        <v>24</v>
      </c>
      <c r="F4612" t="s">
        <v>7373</v>
      </c>
      <c r="G4612">
        <v>1823060</v>
      </c>
      <c r="H4612" t="s">
        <v>26</v>
      </c>
      <c r="I4612" t="s">
        <v>276</v>
      </c>
      <c r="J4612" t="str">
        <f>"9781119019152"</f>
        <v>9781119019152</v>
      </c>
      <c r="K4612" t="s">
        <v>7635</v>
      </c>
      <c r="L4612">
        <v>26</v>
      </c>
      <c r="O4612" t="s">
        <v>30</v>
      </c>
      <c r="P4612" t="s">
        <v>42</v>
      </c>
      <c r="S4612" t="s">
        <v>31</v>
      </c>
      <c r="T4612" t="s">
        <v>7375</v>
      </c>
      <c r="U4612">
        <v>5.8</v>
      </c>
      <c r="V4612" s="3">
        <v>41932</v>
      </c>
    </row>
    <row r="4613" spans="1:22" x14ac:dyDescent="0.35">
      <c r="A4613" s="1">
        <v>42312.613738425927</v>
      </c>
      <c r="B4613" s="2">
        <v>1.0416666666666667E-4</v>
      </c>
      <c r="C4613" t="s">
        <v>210</v>
      </c>
      <c r="D4613" t="s">
        <v>211</v>
      </c>
      <c r="E4613" t="s">
        <v>212</v>
      </c>
      <c r="F4613" t="s">
        <v>7636</v>
      </c>
      <c r="G4613">
        <v>1184118</v>
      </c>
      <c r="H4613" t="s">
        <v>26</v>
      </c>
      <c r="I4613" t="s">
        <v>7637</v>
      </c>
      <c r="J4613" t="str">
        <f>"9780745637778"</f>
        <v>9780745637778</v>
      </c>
      <c r="K4613" t="s">
        <v>3103</v>
      </c>
      <c r="L4613">
        <v>8</v>
      </c>
      <c r="O4613" t="s">
        <v>30</v>
      </c>
      <c r="P4613" t="s">
        <v>50</v>
      </c>
      <c r="S4613" t="s">
        <v>214</v>
      </c>
      <c r="T4613" t="s">
        <v>7638</v>
      </c>
      <c r="U4613">
        <v>338.37270000000001</v>
      </c>
      <c r="V4613" s="3">
        <v>41390</v>
      </c>
    </row>
    <row r="4614" spans="1:22" x14ac:dyDescent="0.35">
      <c r="A4614" s="1">
        <v>42312.605613425927</v>
      </c>
      <c r="B4614" s="2">
        <v>7.407407407407407E-4</v>
      </c>
      <c r="C4614" t="s">
        <v>3132</v>
      </c>
      <c r="D4614" t="s">
        <v>158</v>
      </c>
      <c r="E4614" t="s">
        <v>159</v>
      </c>
      <c r="F4614" t="s">
        <v>3117</v>
      </c>
      <c r="G4614">
        <v>1022416</v>
      </c>
      <c r="H4614" t="s">
        <v>26</v>
      </c>
      <c r="I4614" t="s">
        <v>2751</v>
      </c>
      <c r="J4614" t="str">
        <f>"9781118373811"</f>
        <v>9781118373811</v>
      </c>
      <c r="K4614" t="s">
        <v>7639</v>
      </c>
      <c r="L4614">
        <v>15</v>
      </c>
      <c r="O4614" t="s">
        <v>30</v>
      </c>
      <c r="P4614" t="s">
        <v>42</v>
      </c>
      <c r="S4614" t="s">
        <v>163</v>
      </c>
      <c r="T4614" t="s">
        <v>3119</v>
      </c>
      <c r="U4614">
        <v>664</v>
      </c>
      <c r="V4614" s="3">
        <v>41157</v>
      </c>
    </row>
    <row r="4615" spans="1:22" x14ac:dyDescent="0.35">
      <c r="A4615" s="1">
        <v>42312.604791666665</v>
      </c>
      <c r="B4615" s="2">
        <v>6.018518518518519E-4</v>
      </c>
      <c r="C4615" t="s">
        <v>7062</v>
      </c>
      <c r="D4615" t="s">
        <v>158</v>
      </c>
      <c r="E4615" t="s">
        <v>159</v>
      </c>
      <c r="F4615" t="s">
        <v>3973</v>
      </c>
      <c r="G4615">
        <v>771049</v>
      </c>
      <c r="H4615" t="s">
        <v>3465</v>
      </c>
      <c r="I4615" t="s">
        <v>3974</v>
      </c>
      <c r="J4615" t="str">
        <f>"9781608706648"</f>
        <v>9781608706648</v>
      </c>
      <c r="K4615" t="s">
        <v>7640</v>
      </c>
      <c r="L4615">
        <v>13</v>
      </c>
      <c r="O4615" t="s">
        <v>30</v>
      </c>
      <c r="P4615" t="s">
        <v>42</v>
      </c>
      <c r="S4615" t="s">
        <v>163</v>
      </c>
      <c r="T4615" t="s">
        <v>3976</v>
      </c>
      <c r="U4615">
        <v>363.73874000000001</v>
      </c>
      <c r="V4615" s="3">
        <v>40909</v>
      </c>
    </row>
    <row r="4616" spans="1:22" x14ac:dyDescent="0.35">
      <c r="A4616" s="1">
        <v>42312.601782407408</v>
      </c>
      <c r="B4616" s="2">
        <v>3.9351851851851852E-4</v>
      </c>
      <c r="C4616" t="s">
        <v>7641</v>
      </c>
      <c r="D4616" t="s">
        <v>1222</v>
      </c>
      <c r="E4616" t="s">
        <v>1223</v>
      </c>
      <c r="F4616" t="s">
        <v>7642</v>
      </c>
      <c r="G4616">
        <v>1969413</v>
      </c>
      <c r="H4616" t="s">
        <v>45</v>
      </c>
      <c r="I4616" t="s">
        <v>79</v>
      </c>
      <c r="J4616" t="str">
        <f>"9781472428981"</f>
        <v>9781472428981</v>
      </c>
      <c r="K4616" t="s">
        <v>7643</v>
      </c>
      <c r="L4616">
        <v>8</v>
      </c>
      <c r="O4616" t="s">
        <v>30</v>
      </c>
      <c r="P4616" t="s">
        <v>50</v>
      </c>
      <c r="S4616" t="s">
        <v>1226</v>
      </c>
      <c r="T4616" t="s">
        <v>7644</v>
      </c>
      <c r="U4616" t="s">
        <v>7645</v>
      </c>
      <c r="V4616" s="3">
        <v>42091</v>
      </c>
    </row>
    <row r="4617" spans="1:22" x14ac:dyDescent="0.35">
      <c r="A4617" s="1">
        <v>42312.600740740738</v>
      </c>
      <c r="B4617" s="2">
        <v>3.6921296296296298E-3</v>
      </c>
      <c r="C4617" t="s">
        <v>5438</v>
      </c>
      <c r="D4617" t="s">
        <v>360</v>
      </c>
      <c r="E4617" t="s">
        <v>361</v>
      </c>
      <c r="F4617" t="s">
        <v>4197</v>
      </c>
      <c r="G4617">
        <v>1742841</v>
      </c>
      <c r="H4617" t="s">
        <v>91</v>
      </c>
      <c r="I4617" t="s">
        <v>247</v>
      </c>
      <c r="J4617" t="str">
        <f>"9781462516445"</f>
        <v>9781462516445</v>
      </c>
      <c r="K4617" t="s">
        <v>7646</v>
      </c>
      <c r="L4617">
        <v>17</v>
      </c>
      <c r="O4617" t="s">
        <v>30</v>
      </c>
      <c r="P4617" t="s">
        <v>29</v>
      </c>
      <c r="Q4617" s="1">
        <v>42310.166516203702</v>
      </c>
      <c r="R4617">
        <v>7</v>
      </c>
      <c r="S4617" t="s">
        <v>363</v>
      </c>
      <c r="T4617" t="s">
        <v>4199</v>
      </c>
      <c r="U4617">
        <v>616.85270000000003</v>
      </c>
      <c r="V4617" s="3">
        <v>41934</v>
      </c>
    </row>
    <row r="4618" spans="1:22" x14ac:dyDescent="0.35">
      <c r="A4618" s="1">
        <v>42312.593622685185</v>
      </c>
      <c r="B4618" s="2">
        <v>3.0844907407407404E-2</v>
      </c>
      <c r="C4618" t="s">
        <v>5219</v>
      </c>
      <c r="D4618" t="s">
        <v>211</v>
      </c>
      <c r="E4618" t="s">
        <v>212</v>
      </c>
      <c r="F4618" t="s">
        <v>462</v>
      </c>
      <c r="G4618">
        <v>1822529</v>
      </c>
      <c r="H4618" t="s">
        <v>26</v>
      </c>
      <c r="I4618" t="s">
        <v>297</v>
      </c>
      <c r="J4618" t="str">
        <f>"9781118824344"</f>
        <v>9781118824344</v>
      </c>
      <c r="K4618" t="s">
        <v>7647</v>
      </c>
      <c r="L4618">
        <v>26</v>
      </c>
      <c r="O4618" t="s">
        <v>30</v>
      </c>
      <c r="P4618" t="s">
        <v>29</v>
      </c>
      <c r="Q4618" s="1">
        <v>42310.831377314818</v>
      </c>
      <c r="R4618">
        <v>7</v>
      </c>
      <c r="S4618" t="s">
        <v>214</v>
      </c>
      <c r="T4618" t="s">
        <v>464</v>
      </c>
      <c r="U4618">
        <v>519.4</v>
      </c>
      <c r="V4618" s="3">
        <v>41932</v>
      </c>
    </row>
    <row r="4619" spans="1:22" x14ac:dyDescent="0.35">
      <c r="A4619" s="1">
        <v>42312.590405092589</v>
      </c>
      <c r="B4619" s="2">
        <v>1.4027777777777778E-2</v>
      </c>
      <c r="C4619" t="s">
        <v>6724</v>
      </c>
      <c r="D4619" t="s">
        <v>23</v>
      </c>
      <c r="E4619" t="s">
        <v>24</v>
      </c>
      <c r="F4619" t="s">
        <v>486</v>
      </c>
      <c r="G4619">
        <v>1119505</v>
      </c>
      <c r="H4619" t="s">
        <v>26</v>
      </c>
      <c r="I4619" t="s">
        <v>450</v>
      </c>
      <c r="J4619" t="str">
        <f>"9781118355015"</f>
        <v>9781118355015</v>
      </c>
      <c r="K4619" t="s">
        <v>7648</v>
      </c>
      <c r="L4619">
        <v>47</v>
      </c>
      <c r="O4619" t="s">
        <v>30</v>
      </c>
      <c r="P4619" t="s">
        <v>29</v>
      </c>
      <c r="Q4619" s="1">
        <v>42307.629710648151</v>
      </c>
      <c r="R4619">
        <v>7</v>
      </c>
      <c r="S4619" t="s">
        <v>31</v>
      </c>
      <c r="T4619" t="s">
        <v>487</v>
      </c>
      <c r="U4619" t="s">
        <v>488</v>
      </c>
      <c r="V4619" s="3">
        <v>41302</v>
      </c>
    </row>
    <row r="4620" spans="1:22" x14ac:dyDescent="0.35">
      <c r="A4620" s="1">
        <v>42312.589502314811</v>
      </c>
      <c r="B4620" s="2">
        <v>4.6296296296296294E-5</v>
      </c>
      <c r="C4620" t="s">
        <v>7649</v>
      </c>
      <c r="D4620" t="s">
        <v>23</v>
      </c>
      <c r="E4620" t="s">
        <v>24</v>
      </c>
      <c r="F4620" t="s">
        <v>4881</v>
      </c>
      <c r="G4620">
        <v>1969407</v>
      </c>
      <c r="H4620" t="s">
        <v>45</v>
      </c>
      <c r="I4620" t="s">
        <v>200</v>
      </c>
      <c r="J4620" t="str">
        <f>"9781472422880"</f>
        <v>9781472422880</v>
      </c>
      <c r="K4620" t="s">
        <v>33</v>
      </c>
      <c r="L4620">
        <v>3</v>
      </c>
      <c r="O4620" t="s">
        <v>30</v>
      </c>
      <c r="P4620" t="s">
        <v>50</v>
      </c>
      <c r="S4620" t="s">
        <v>31</v>
      </c>
      <c r="T4620" t="s">
        <v>4883</v>
      </c>
      <c r="U4620">
        <v>720.71</v>
      </c>
      <c r="V4620" s="3">
        <v>42091</v>
      </c>
    </row>
    <row r="4621" spans="1:22" x14ac:dyDescent="0.35">
      <c r="A4621" s="1">
        <v>42312.565057870372</v>
      </c>
      <c r="B4621" s="2">
        <v>3.3587962962962965E-2</v>
      </c>
      <c r="C4621" t="s">
        <v>6606</v>
      </c>
      <c r="D4621" t="s">
        <v>261</v>
      </c>
      <c r="E4621" t="s">
        <v>262</v>
      </c>
      <c r="F4621" t="s">
        <v>7650</v>
      </c>
      <c r="G4621">
        <v>1651145</v>
      </c>
      <c r="H4621" t="s">
        <v>26</v>
      </c>
      <c r="I4621" t="s">
        <v>85</v>
      </c>
      <c r="J4621" t="str">
        <f>"9780745684277"</f>
        <v>9780745684277</v>
      </c>
      <c r="K4621" t="s">
        <v>7651</v>
      </c>
      <c r="L4621">
        <v>18</v>
      </c>
      <c r="O4621" t="s">
        <v>30</v>
      </c>
      <c r="P4621" t="s">
        <v>47</v>
      </c>
      <c r="Q4621" s="1">
        <v>42312.565046296295</v>
      </c>
      <c r="R4621">
        <v>1</v>
      </c>
      <c r="S4621" t="s">
        <v>264</v>
      </c>
      <c r="T4621" t="s">
        <v>7652</v>
      </c>
      <c r="U4621">
        <v>303.48200000000003</v>
      </c>
      <c r="V4621" s="3">
        <v>41701</v>
      </c>
    </row>
    <row r="4622" spans="1:22" x14ac:dyDescent="0.35">
      <c r="A4622" s="1">
        <v>42312.561400462961</v>
      </c>
      <c r="B4622" s="2">
        <v>3.645833333333333E-3</v>
      </c>
      <c r="C4622" t="s">
        <v>6606</v>
      </c>
      <c r="D4622" t="s">
        <v>261</v>
      </c>
      <c r="E4622" t="s">
        <v>262</v>
      </c>
      <c r="F4622" t="s">
        <v>7650</v>
      </c>
      <c r="G4622">
        <v>1651145</v>
      </c>
      <c r="H4622" t="s">
        <v>26</v>
      </c>
      <c r="I4622" t="s">
        <v>85</v>
      </c>
      <c r="J4622" t="str">
        <f>"9780745684277"</f>
        <v>9780745684277</v>
      </c>
      <c r="K4622" t="s">
        <v>1651</v>
      </c>
      <c r="L4622">
        <v>11</v>
      </c>
      <c r="O4622" t="s">
        <v>30</v>
      </c>
      <c r="P4622" t="s">
        <v>50</v>
      </c>
      <c r="S4622" t="s">
        <v>264</v>
      </c>
      <c r="T4622" t="s">
        <v>7652</v>
      </c>
      <c r="U4622">
        <v>303.48200000000003</v>
      </c>
      <c r="V4622" s="3">
        <v>41701</v>
      </c>
    </row>
    <row r="4623" spans="1:22" x14ac:dyDescent="0.35">
      <c r="A4623" s="1">
        <v>42312.558379629627</v>
      </c>
      <c r="B4623" s="2">
        <v>4.6296296296296294E-5</v>
      </c>
      <c r="C4623" t="s">
        <v>210</v>
      </c>
      <c r="D4623" t="s">
        <v>211</v>
      </c>
      <c r="E4623" t="s">
        <v>212</v>
      </c>
      <c r="F4623" t="s">
        <v>7653</v>
      </c>
      <c r="G4623">
        <v>2025594</v>
      </c>
      <c r="H4623" t="s">
        <v>84</v>
      </c>
      <c r="I4623" t="s">
        <v>187</v>
      </c>
      <c r="J4623" t="str">
        <f>"9780520961838"</f>
        <v>9780520961838</v>
      </c>
      <c r="K4623" t="s">
        <v>611</v>
      </c>
      <c r="L4623">
        <v>3</v>
      </c>
      <c r="O4623" t="s">
        <v>30</v>
      </c>
      <c r="P4623" t="s">
        <v>50</v>
      </c>
      <c r="S4623" t="s">
        <v>214</v>
      </c>
      <c r="T4623" t="s">
        <v>7654</v>
      </c>
      <c r="U4623" t="s">
        <v>7655</v>
      </c>
      <c r="V4623" s="3">
        <v>42185</v>
      </c>
    </row>
    <row r="4624" spans="1:22" x14ac:dyDescent="0.35">
      <c r="A4624" s="1">
        <v>42312.385034722225</v>
      </c>
      <c r="B4624" s="2">
        <v>1.7303240740740741E-2</v>
      </c>
      <c r="C4624" t="s">
        <v>5290</v>
      </c>
      <c r="D4624" t="s">
        <v>23</v>
      </c>
      <c r="E4624" t="s">
        <v>24</v>
      </c>
      <c r="F4624" t="s">
        <v>5291</v>
      </c>
      <c r="G4624">
        <v>1969430</v>
      </c>
      <c r="H4624" t="s">
        <v>45</v>
      </c>
      <c r="I4624" t="s">
        <v>120</v>
      </c>
      <c r="J4624" t="str">
        <f>"9781472443038"</f>
        <v>9781472443038</v>
      </c>
      <c r="K4624" t="s">
        <v>7656</v>
      </c>
      <c r="L4624">
        <v>19</v>
      </c>
      <c r="O4624" t="s">
        <v>30</v>
      </c>
      <c r="P4624" t="s">
        <v>47</v>
      </c>
      <c r="Q4624" s="1">
        <v>42312.385034722225</v>
      </c>
      <c r="R4624">
        <v>1</v>
      </c>
      <c r="S4624" t="s">
        <v>31</v>
      </c>
      <c r="T4624" t="s">
        <v>5293</v>
      </c>
      <c r="U4624" t="s">
        <v>5294</v>
      </c>
      <c r="V4624" s="3">
        <v>42091</v>
      </c>
    </row>
    <row r="4625" spans="1:22" x14ac:dyDescent="0.35">
      <c r="A4625" s="1">
        <v>42312.381655092591</v>
      </c>
      <c r="B4625" s="2">
        <v>3.37962962962963E-3</v>
      </c>
      <c r="C4625" t="s">
        <v>5290</v>
      </c>
      <c r="D4625" t="s">
        <v>23</v>
      </c>
      <c r="E4625" t="s">
        <v>24</v>
      </c>
      <c r="F4625" t="s">
        <v>5291</v>
      </c>
      <c r="G4625">
        <v>1969430</v>
      </c>
      <c r="H4625" t="s">
        <v>45</v>
      </c>
      <c r="I4625" t="s">
        <v>120</v>
      </c>
      <c r="J4625" t="str">
        <f>"9781472443038"</f>
        <v>9781472443038</v>
      </c>
      <c r="K4625" t="s">
        <v>209</v>
      </c>
      <c r="L4625">
        <v>4</v>
      </c>
      <c r="O4625" t="s">
        <v>30</v>
      </c>
      <c r="P4625" t="s">
        <v>50</v>
      </c>
      <c r="S4625" t="s">
        <v>31</v>
      </c>
      <c r="T4625" t="s">
        <v>5293</v>
      </c>
      <c r="U4625" t="s">
        <v>5294</v>
      </c>
      <c r="V4625" s="3">
        <v>42091</v>
      </c>
    </row>
    <row r="4626" spans="1:22" x14ac:dyDescent="0.35">
      <c r="A4626" s="1">
        <v>42312.213067129633</v>
      </c>
      <c r="B4626" s="2">
        <v>1.3888888888888889E-4</v>
      </c>
      <c r="C4626" t="s">
        <v>5438</v>
      </c>
      <c r="D4626" t="s">
        <v>360</v>
      </c>
      <c r="E4626" t="s">
        <v>361</v>
      </c>
      <c r="F4626" t="s">
        <v>7657</v>
      </c>
      <c r="G4626">
        <v>759923</v>
      </c>
      <c r="H4626" t="s">
        <v>91</v>
      </c>
      <c r="I4626" t="s">
        <v>247</v>
      </c>
      <c r="J4626" t="str">
        <f>"9781609186418"</f>
        <v>9781609186418</v>
      </c>
      <c r="K4626" t="s">
        <v>3453</v>
      </c>
      <c r="L4626">
        <v>8</v>
      </c>
      <c r="O4626" t="s">
        <v>30</v>
      </c>
      <c r="P4626" t="s">
        <v>42</v>
      </c>
      <c r="S4626" t="s">
        <v>363</v>
      </c>
      <c r="T4626" t="s">
        <v>7658</v>
      </c>
      <c r="U4626">
        <v>618.9289</v>
      </c>
      <c r="V4626" s="3">
        <v>41824</v>
      </c>
    </row>
    <row r="4627" spans="1:22" x14ac:dyDescent="0.35">
      <c r="A4627" s="1">
        <v>42312.209201388891</v>
      </c>
      <c r="B4627" s="2">
        <v>0</v>
      </c>
      <c r="C4627" t="s">
        <v>2525</v>
      </c>
      <c r="D4627" t="s">
        <v>117</v>
      </c>
      <c r="E4627" t="s">
        <v>118</v>
      </c>
      <c r="F4627" t="s">
        <v>6180</v>
      </c>
      <c r="G4627">
        <v>3058948</v>
      </c>
      <c r="H4627" t="s">
        <v>440</v>
      </c>
      <c r="I4627" t="s">
        <v>247</v>
      </c>
      <c r="J4627" t="str">
        <f>"9781444314595"</f>
        <v>9781444314595</v>
      </c>
      <c r="L4627">
        <v>0</v>
      </c>
      <c r="O4627" t="s">
        <v>28</v>
      </c>
      <c r="P4627" t="s">
        <v>47</v>
      </c>
      <c r="Q4627" s="1">
        <v>42312.192708333336</v>
      </c>
      <c r="R4627">
        <v>1</v>
      </c>
      <c r="S4627" t="s">
        <v>121</v>
      </c>
      <c r="T4627" t="s">
        <v>6181</v>
      </c>
      <c r="U4627" t="s">
        <v>6182</v>
      </c>
      <c r="V4627" s="3">
        <v>41401</v>
      </c>
    </row>
    <row r="4628" spans="1:22" x14ac:dyDescent="0.35">
      <c r="A4628" s="1">
        <v>42312.20884259259</v>
      </c>
      <c r="B4628" s="2">
        <v>3.0092592592592595E-4</v>
      </c>
      <c r="C4628" t="s">
        <v>2525</v>
      </c>
      <c r="D4628" t="s">
        <v>117</v>
      </c>
      <c r="E4628" t="s">
        <v>118</v>
      </c>
      <c r="F4628" t="s">
        <v>6180</v>
      </c>
      <c r="G4628">
        <v>3058948</v>
      </c>
      <c r="H4628" t="s">
        <v>440</v>
      </c>
      <c r="I4628" t="s">
        <v>247</v>
      </c>
      <c r="J4628" t="str">
        <f>"9781444314595"</f>
        <v>9781444314595</v>
      </c>
      <c r="K4628" t="s">
        <v>2663</v>
      </c>
      <c r="L4628">
        <v>15</v>
      </c>
      <c r="O4628" t="s">
        <v>30</v>
      </c>
      <c r="P4628" t="s">
        <v>47</v>
      </c>
      <c r="Q4628" s="1">
        <v>42312.192708333336</v>
      </c>
      <c r="R4628">
        <v>1</v>
      </c>
      <c r="S4628" t="s">
        <v>121</v>
      </c>
      <c r="T4628" t="s">
        <v>6181</v>
      </c>
      <c r="U4628" t="s">
        <v>6182</v>
      </c>
      <c r="V4628" s="3">
        <v>41401</v>
      </c>
    </row>
    <row r="4629" spans="1:22" x14ac:dyDescent="0.35">
      <c r="A4629" s="1">
        <v>42312.208518518521</v>
      </c>
      <c r="B4629" s="2">
        <v>4.2013888888888891E-3</v>
      </c>
      <c r="C4629" t="s">
        <v>5438</v>
      </c>
      <c r="D4629" t="s">
        <v>360</v>
      </c>
      <c r="E4629" t="s">
        <v>361</v>
      </c>
      <c r="F4629" t="s">
        <v>1547</v>
      </c>
      <c r="G4629">
        <v>848510</v>
      </c>
      <c r="H4629" t="s">
        <v>26</v>
      </c>
      <c r="I4629" t="s">
        <v>247</v>
      </c>
      <c r="J4629" t="str">
        <f>"9781118220481"</f>
        <v>9781118220481</v>
      </c>
      <c r="K4629" t="s">
        <v>7659</v>
      </c>
      <c r="L4629">
        <v>18</v>
      </c>
      <c r="O4629" t="s">
        <v>30</v>
      </c>
      <c r="P4629" t="s">
        <v>29</v>
      </c>
      <c r="Q4629" s="1">
        <v>42312.208506944444</v>
      </c>
      <c r="R4629">
        <v>7</v>
      </c>
      <c r="S4629" t="s">
        <v>363</v>
      </c>
      <c r="T4629" t="s">
        <v>1548</v>
      </c>
      <c r="U4629" t="s">
        <v>1549</v>
      </c>
      <c r="V4629" s="3">
        <v>41066</v>
      </c>
    </row>
    <row r="4630" spans="1:22" x14ac:dyDescent="0.35">
      <c r="A4630" s="1">
        <v>42312.200162037036</v>
      </c>
      <c r="B4630" s="2">
        <v>8.3449074074074085E-3</v>
      </c>
      <c r="C4630" t="s">
        <v>5438</v>
      </c>
      <c r="D4630" t="s">
        <v>360</v>
      </c>
      <c r="E4630" t="s">
        <v>361</v>
      </c>
      <c r="F4630" t="s">
        <v>1547</v>
      </c>
      <c r="G4630">
        <v>848510</v>
      </c>
      <c r="H4630" t="s">
        <v>26</v>
      </c>
      <c r="I4630" t="s">
        <v>247</v>
      </c>
      <c r="J4630" t="str">
        <f>"9781118220481"</f>
        <v>9781118220481</v>
      </c>
      <c r="K4630" t="s">
        <v>7660</v>
      </c>
      <c r="L4630">
        <v>6</v>
      </c>
      <c r="O4630" t="s">
        <v>30</v>
      </c>
      <c r="P4630" t="s">
        <v>42</v>
      </c>
      <c r="S4630" t="s">
        <v>363</v>
      </c>
      <c r="T4630" t="s">
        <v>1548</v>
      </c>
      <c r="U4630" t="s">
        <v>1549</v>
      </c>
      <c r="V4630" s="3">
        <v>41066</v>
      </c>
    </row>
    <row r="4631" spans="1:22" x14ac:dyDescent="0.35">
      <c r="A4631" s="1">
        <v>42312.192708333336</v>
      </c>
      <c r="B4631" s="2">
        <v>0</v>
      </c>
      <c r="C4631" t="s">
        <v>2525</v>
      </c>
      <c r="D4631" t="s">
        <v>117</v>
      </c>
      <c r="E4631" t="s">
        <v>118</v>
      </c>
      <c r="F4631" t="s">
        <v>6180</v>
      </c>
      <c r="G4631">
        <v>3058948</v>
      </c>
      <c r="H4631" t="s">
        <v>440</v>
      </c>
      <c r="I4631" t="s">
        <v>247</v>
      </c>
      <c r="J4631" t="str">
        <f>"9781444314595"</f>
        <v>9781444314595</v>
      </c>
      <c r="L4631">
        <v>0</v>
      </c>
      <c r="O4631" t="s">
        <v>28</v>
      </c>
      <c r="P4631" t="s">
        <v>47</v>
      </c>
      <c r="Q4631" s="1">
        <v>42312.192708333336</v>
      </c>
      <c r="R4631">
        <v>1</v>
      </c>
      <c r="S4631" t="s">
        <v>121</v>
      </c>
      <c r="T4631" t="s">
        <v>6181</v>
      </c>
      <c r="U4631" t="s">
        <v>6182</v>
      </c>
      <c r="V4631" s="3">
        <v>41401</v>
      </c>
    </row>
    <row r="4632" spans="1:22" x14ac:dyDescent="0.35">
      <c r="A4632" s="1">
        <v>42312.192708333336</v>
      </c>
      <c r="B4632" s="2">
        <v>0</v>
      </c>
      <c r="C4632" t="s">
        <v>2525</v>
      </c>
      <c r="D4632" t="s">
        <v>117</v>
      </c>
      <c r="E4632" t="s">
        <v>118</v>
      </c>
      <c r="F4632" t="s">
        <v>6180</v>
      </c>
      <c r="G4632">
        <v>3058948</v>
      </c>
      <c r="H4632" t="s">
        <v>440</v>
      </c>
      <c r="I4632" t="s">
        <v>247</v>
      </c>
      <c r="J4632" t="str">
        <f>"9781444314595"</f>
        <v>9781444314595</v>
      </c>
      <c r="L4632">
        <v>0</v>
      </c>
      <c r="O4632" t="s">
        <v>30</v>
      </c>
      <c r="P4632" t="s">
        <v>47</v>
      </c>
      <c r="Q4632" s="1">
        <v>42312.192708333336</v>
      </c>
      <c r="R4632">
        <v>1</v>
      </c>
      <c r="S4632" t="s">
        <v>121</v>
      </c>
      <c r="T4632" t="s">
        <v>6181</v>
      </c>
      <c r="U4632" t="s">
        <v>6182</v>
      </c>
      <c r="V4632" s="3">
        <v>41401</v>
      </c>
    </row>
    <row r="4633" spans="1:22" x14ac:dyDescent="0.35">
      <c r="A4633" s="1">
        <v>42312.191921296297</v>
      </c>
      <c r="B4633" s="2">
        <v>7.8703703703703705E-4</v>
      </c>
      <c r="C4633" t="s">
        <v>2525</v>
      </c>
      <c r="D4633" t="s">
        <v>117</v>
      </c>
      <c r="E4633" t="s">
        <v>118</v>
      </c>
      <c r="F4633" t="s">
        <v>6180</v>
      </c>
      <c r="G4633">
        <v>3058948</v>
      </c>
      <c r="H4633" t="s">
        <v>440</v>
      </c>
      <c r="I4633" t="s">
        <v>247</v>
      </c>
      <c r="J4633" t="str">
        <f>"9781444314595"</f>
        <v>9781444314595</v>
      </c>
      <c r="K4633" t="s">
        <v>33</v>
      </c>
      <c r="L4633">
        <v>3</v>
      </c>
      <c r="O4633" t="s">
        <v>30</v>
      </c>
      <c r="P4633" t="s">
        <v>50</v>
      </c>
      <c r="S4633" t="s">
        <v>121</v>
      </c>
      <c r="T4633" t="s">
        <v>6181</v>
      </c>
      <c r="U4633" t="s">
        <v>6182</v>
      </c>
      <c r="V4633" s="3">
        <v>41401</v>
      </c>
    </row>
    <row r="4634" spans="1:22" x14ac:dyDescent="0.35">
      <c r="A4634" s="1">
        <v>42312.162638888891</v>
      </c>
      <c r="B4634" s="2">
        <v>2.3263888888888887E-3</v>
      </c>
      <c r="C4634" t="s">
        <v>4728</v>
      </c>
      <c r="D4634" t="s">
        <v>623</v>
      </c>
      <c r="E4634" t="s">
        <v>624</v>
      </c>
      <c r="F4634" t="s">
        <v>4494</v>
      </c>
      <c r="G4634">
        <v>565082</v>
      </c>
      <c r="H4634" t="s">
        <v>26</v>
      </c>
      <c r="I4634" t="s">
        <v>69</v>
      </c>
      <c r="J4634" t="str">
        <f>"9781118041567"</f>
        <v>9781118041567</v>
      </c>
      <c r="K4634" t="s">
        <v>7661</v>
      </c>
      <c r="L4634">
        <v>3</v>
      </c>
      <c r="O4634" t="s">
        <v>30</v>
      </c>
      <c r="P4634" t="s">
        <v>29</v>
      </c>
      <c r="Q4634" s="1">
        <v>42312.162627314814</v>
      </c>
      <c r="R4634">
        <v>7</v>
      </c>
      <c r="S4634" t="s">
        <v>627</v>
      </c>
      <c r="T4634" t="s">
        <v>4496</v>
      </c>
      <c r="U4634" t="s">
        <v>4497</v>
      </c>
      <c r="V4634" s="3">
        <v>40337</v>
      </c>
    </row>
    <row r="4635" spans="1:22" x14ac:dyDescent="0.35">
      <c r="A4635" s="1">
        <v>42312.154513888891</v>
      </c>
      <c r="B4635" s="2">
        <v>8.5300925925925926E-3</v>
      </c>
      <c r="C4635" t="s">
        <v>5438</v>
      </c>
      <c r="D4635" t="s">
        <v>360</v>
      </c>
      <c r="E4635" t="s">
        <v>361</v>
      </c>
      <c r="F4635" t="s">
        <v>4197</v>
      </c>
      <c r="G4635">
        <v>1742841</v>
      </c>
      <c r="H4635" t="s">
        <v>91</v>
      </c>
      <c r="I4635" t="s">
        <v>247</v>
      </c>
      <c r="J4635" t="str">
        <f>"9781462516445"</f>
        <v>9781462516445</v>
      </c>
      <c r="K4635" t="s">
        <v>7662</v>
      </c>
      <c r="L4635">
        <v>14</v>
      </c>
      <c r="O4635" t="s">
        <v>30</v>
      </c>
      <c r="P4635" t="s">
        <v>29</v>
      </c>
      <c r="Q4635" s="1">
        <v>42310.166516203702</v>
      </c>
      <c r="R4635">
        <v>7</v>
      </c>
      <c r="S4635" t="s">
        <v>363</v>
      </c>
      <c r="T4635" t="s">
        <v>4199</v>
      </c>
      <c r="U4635">
        <v>616.85270000000003</v>
      </c>
      <c r="V4635" s="3">
        <v>41934</v>
      </c>
    </row>
    <row r="4636" spans="1:22" x14ac:dyDescent="0.35">
      <c r="A4636" s="1">
        <v>42312.152337962965</v>
      </c>
      <c r="B4636" s="2">
        <v>1.0289351851851852E-2</v>
      </c>
      <c r="C4636" t="s">
        <v>4728</v>
      </c>
      <c r="D4636" t="s">
        <v>623</v>
      </c>
      <c r="E4636" t="s">
        <v>624</v>
      </c>
      <c r="F4636" t="s">
        <v>4494</v>
      </c>
      <c r="G4636">
        <v>565082</v>
      </c>
      <c r="H4636" t="s">
        <v>26</v>
      </c>
      <c r="I4636" t="s">
        <v>69</v>
      </c>
      <c r="J4636" t="str">
        <f>"9781118041567"</f>
        <v>9781118041567</v>
      </c>
      <c r="K4636" t="s">
        <v>7663</v>
      </c>
      <c r="L4636">
        <v>21</v>
      </c>
      <c r="O4636" t="s">
        <v>30</v>
      </c>
      <c r="P4636" t="s">
        <v>42</v>
      </c>
      <c r="S4636" t="s">
        <v>627</v>
      </c>
      <c r="T4636" t="s">
        <v>4496</v>
      </c>
      <c r="U4636" t="s">
        <v>4497</v>
      </c>
      <c r="V4636" s="3">
        <v>40337</v>
      </c>
    </row>
    <row r="4637" spans="1:22" x14ac:dyDescent="0.35">
      <c r="A4637" s="1">
        <v>42312.131261574075</v>
      </c>
      <c r="B4637" s="2">
        <v>4.6296296296296294E-5</v>
      </c>
      <c r="C4637" t="s">
        <v>7664</v>
      </c>
      <c r="D4637" t="s">
        <v>23</v>
      </c>
      <c r="E4637" t="s">
        <v>24</v>
      </c>
      <c r="F4637" t="s">
        <v>7665</v>
      </c>
      <c r="G4637">
        <v>1742839</v>
      </c>
      <c r="H4637" t="s">
        <v>91</v>
      </c>
      <c r="I4637" t="s">
        <v>247</v>
      </c>
      <c r="J4637" t="str">
        <f>"9781462516728"</f>
        <v>9781462516728</v>
      </c>
      <c r="K4637" t="s">
        <v>105</v>
      </c>
      <c r="L4637">
        <v>1</v>
      </c>
      <c r="O4637" t="s">
        <v>30</v>
      </c>
      <c r="P4637" t="s">
        <v>50</v>
      </c>
      <c r="S4637" t="s">
        <v>31</v>
      </c>
      <c r="T4637" t="s">
        <v>7666</v>
      </c>
      <c r="U4637">
        <v>616.89499999999998</v>
      </c>
      <c r="V4637" s="3">
        <v>41941</v>
      </c>
    </row>
    <row r="4638" spans="1:22" x14ac:dyDescent="0.35">
      <c r="A4638" s="1">
        <v>42312.122997685183</v>
      </c>
      <c r="B4638" s="2">
        <v>7.6597222222222219E-2</v>
      </c>
      <c r="C4638" t="s">
        <v>5438</v>
      </c>
      <c r="D4638" t="s">
        <v>360</v>
      </c>
      <c r="E4638" t="s">
        <v>361</v>
      </c>
      <c r="F4638" t="s">
        <v>515</v>
      </c>
      <c r="G4638">
        <v>1757960</v>
      </c>
      <c r="H4638" t="s">
        <v>26</v>
      </c>
      <c r="I4638" t="s">
        <v>247</v>
      </c>
      <c r="J4638" t="str">
        <f>"9781118780770"</f>
        <v>9781118780770</v>
      </c>
      <c r="K4638" t="s">
        <v>7667</v>
      </c>
      <c r="L4638">
        <v>20</v>
      </c>
      <c r="O4638" t="s">
        <v>30</v>
      </c>
      <c r="P4638" t="s">
        <v>29</v>
      </c>
      <c r="Q4638" s="1">
        <v>42310.084409722222</v>
      </c>
      <c r="R4638">
        <v>7</v>
      </c>
      <c r="S4638" t="s">
        <v>363</v>
      </c>
      <c r="T4638" t="s">
        <v>517</v>
      </c>
      <c r="U4638" t="s">
        <v>518</v>
      </c>
      <c r="V4638" s="3">
        <v>41850</v>
      </c>
    </row>
    <row r="4639" spans="1:22" x14ac:dyDescent="0.35">
      <c r="A4639" s="1">
        <v>42312.084189814814</v>
      </c>
      <c r="B4639" s="2">
        <v>3.1597222222222222E-3</v>
      </c>
      <c r="C4639" t="s">
        <v>106</v>
      </c>
      <c r="D4639" t="s">
        <v>23</v>
      </c>
      <c r="E4639" t="s">
        <v>24</v>
      </c>
      <c r="F4639" t="s">
        <v>4065</v>
      </c>
      <c r="G4639">
        <v>918746</v>
      </c>
      <c r="H4639" t="s">
        <v>1365</v>
      </c>
      <c r="I4639" t="s">
        <v>150</v>
      </c>
      <c r="J4639" t="str">
        <f>"9780826441850"</f>
        <v>9780826441850</v>
      </c>
      <c r="K4639" t="s">
        <v>7668</v>
      </c>
      <c r="L4639">
        <v>21</v>
      </c>
      <c r="O4639" t="s">
        <v>30</v>
      </c>
      <c r="P4639" t="s">
        <v>29</v>
      </c>
      <c r="Q4639" s="1">
        <v>42312.084178240744</v>
      </c>
      <c r="R4639">
        <v>7</v>
      </c>
      <c r="S4639" t="s">
        <v>31</v>
      </c>
      <c r="T4639" t="s">
        <v>4066</v>
      </c>
      <c r="U4639">
        <v>791.45749999999998</v>
      </c>
      <c r="V4639" s="3">
        <v>41091</v>
      </c>
    </row>
    <row r="4640" spans="1:22" x14ac:dyDescent="0.35">
      <c r="A4640" s="1">
        <v>42312.076921296299</v>
      </c>
      <c r="B4640" s="2">
        <v>7.2569444444444443E-3</v>
      </c>
      <c r="C4640" t="s">
        <v>106</v>
      </c>
      <c r="D4640" t="s">
        <v>23</v>
      </c>
      <c r="E4640" t="s">
        <v>24</v>
      </c>
      <c r="F4640" t="s">
        <v>4065</v>
      </c>
      <c r="G4640">
        <v>918746</v>
      </c>
      <c r="H4640" t="s">
        <v>1365</v>
      </c>
      <c r="I4640" t="s">
        <v>150</v>
      </c>
      <c r="J4640" t="str">
        <f>"9780826441850"</f>
        <v>9780826441850</v>
      </c>
      <c r="K4640" t="s">
        <v>7669</v>
      </c>
      <c r="L4640">
        <v>24</v>
      </c>
      <c r="O4640" t="s">
        <v>30</v>
      </c>
      <c r="P4640" t="s">
        <v>42</v>
      </c>
      <c r="S4640" t="s">
        <v>31</v>
      </c>
      <c r="T4640" t="s">
        <v>4066</v>
      </c>
      <c r="U4640">
        <v>791.45749999999998</v>
      </c>
      <c r="V4640" s="3">
        <v>41091</v>
      </c>
    </row>
    <row r="4641" spans="1:22" x14ac:dyDescent="0.35">
      <c r="A4641" s="1">
        <v>42312.052037037036</v>
      </c>
      <c r="B4641" s="2">
        <v>1.8518518518518518E-4</v>
      </c>
      <c r="C4641" t="s">
        <v>210</v>
      </c>
      <c r="D4641" t="s">
        <v>211</v>
      </c>
      <c r="E4641" t="s">
        <v>212</v>
      </c>
      <c r="F4641" t="s">
        <v>52</v>
      </c>
      <c r="G4641">
        <v>822040</v>
      </c>
      <c r="H4641" t="s">
        <v>26</v>
      </c>
      <c r="I4641" t="s">
        <v>53</v>
      </c>
      <c r="J4641" t="str">
        <f>"9781118289099"</f>
        <v>9781118289099</v>
      </c>
      <c r="K4641" t="s">
        <v>7670</v>
      </c>
      <c r="L4641">
        <v>16</v>
      </c>
      <c r="O4641" t="s">
        <v>30</v>
      </c>
      <c r="P4641" t="s">
        <v>29</v>
      </c>
      <c r="Q4641" s="1">
        <v>42312.052037037036</v>
      </c>
      <c r="R4641">
        <v>7</v>
      </c>
      <c r="S4641" t="s">
        <v>214</v>
      </c>
      <c r="T4641" t="s">
        <v>55</v>
      </c>
      <c r="U4641" t="s">
        <v>56</v>
      </c>
      <c r="V4641" s="3">
        <v>40990</v>
      </c>
    </row>
    <row r="4642" spans="1:22" x14ac:dyDescent="0.35">
      <c r="A4642" s="1">
        <v>42312.042430555557</v>
      </c>
      <c r="B4642" s="2">
        <v>9.6064814814814815E-3</v>
      </c>
      <c r="C4642" t="s">
        <v>210</v>
      </c>
      <c r="D4642" t="s">
        <v>211</v>
      </c>
      <c r="E4642" t="s">
        <v>212</v>
      </c>
      <c r="F4642" t="s">
        <v>52</v>
      </c>
      <c r="G4642">
        <v>822040</v>
      </c>
      <c r="H4642" t="s">
        <v>26</v>
      </c>
      <c r="I4642" t="s">
        <v>53</v>
      </c>
      <c r="J4642" t="str">
        <f>"9781118289099"</f>
        <v>9781118289099</v>
      </c>
      <c r="K4642" t="s">
        <v>7671</v>
      </c>
      <c r="L4642">
        <v>27</v>
      </c>
      <c r="O4642" t="s">
        <v>30</v>
      </c>
      <c r="P4642" t="s">
        <v>42</v>
      </c>
      <c r="S4642" t="s">
        <v>214</v>
      </c>
      <c r="T4642" t="s">
        <v>55</v>
      </c>
      <c r="U4642" t="s">
        <v>56</v>
      </c>
      <c r="V4642" s="3">
        <v>40990</v>
      </c>
    </row>
    <row r="4643" spans="1:22" x14ac:dyDescent="0.35">
      <c r="A4643" s="1">
        <v>42312.038506944446</v>
      </c>
      <c r="B4643" s="2">
        <v>1.6319444444444445E-3</v>
      </c>
      <c r="C4643" t="s">
        <v>7205</v>
      </c>
      <c r="D4643" t="s">
        <v>35</v>
      </c>
      <c r="E4643" t="s">
        <v>36</v>
      </c>
      <c r="F4643" t="s">
        <v>7672</v>
      </c>
      <c r="G4643">
        <v>1715302</v>
      </c>
      <c r="H4643" t="s">
        <v>91</v>
      </c>
      <c r="I4643" t="s">
        <v>69</v>
      </c>
      <c r="J4643" t="str">
        <f>"9781462516322"</f>
        <v>9781462516322</v>
      </c>
      <c r="K4643" t="s">
        <v>7673</v>
      </c>
      <c r="L4643">
        <v>20</v>
      </c>
      <c r="O4643" t="s">
        <v>30</v>
      </c>
      <c r="P4643" t="s">
        <v>47</v>
      </c>
      <c r="Q4643" s="1">
        <v>42312.038506944446</v>
      </c>
      <c r="R4643">
        <v>1</v>
      </c>
      <c r="S4643" t="s">
        <v>40</v>
      </c>
      <c r="T4643" t="s">
        <v>7674</v>
      </c>
      <c r="U4643">
        <v>372.47</v>
      </c>
      <c r="V4643" s="3">
        <v>41809</v>
      </c>
    </row>
    <row r="4644" spans="1:22" x14ac:dyDescent="0.35">
      <c r="A4644" s="1">
        <v>42312.034988425927</v>
      </c>
      <c r="B4644" s="2">
        <v>3.5069444444444445E-3</v>
      </c>
      <c r="C4644" t="s">
        <v>7205</v>
      </c>
      <c r="D4644" t="s">
        <v>35</v>
      </c>
      <c r="E4644" t="s">
        <v>36</v>
      </c>
      <c r="F4644" t="s">
        <v>7672</v>
      </c>
      <c r="G4644">
        <v>1715302</v>
      </c>
      <c r="H4644" t="s">
        <v>91</v>
      </c>
      <c r="I4644" t="s">
        <v>69</v>
      </c>
      <c r="J4644" t="str">
        <f>"9781462516322"</f>
        <v>9781462516322</v>
      </c>
      <c r="K4644" t="s">
        <v>7675</v>
      </c>
      <c r="L4644">
        <v>37</v>
      </c>
      <c r="O4644" t="s">
        <v>30</v>
      </c>
      <c r="P4644" t="s">
        <v>50</v>
      </c>
      <c r="S4644" t="s">
        <v>40</v>
      </c>
      <c r="T4644" t="s">
        <v>7674</v>
      </c>
      <c r="U4644">
        <v>372.47</v>
      </c>
      <c r="V4644" s="3">
        <v>41809</v>
      </c>
    </row>
    <row r="4645" spans="1:22" x14ac:dyDescent="0.35">
      <c r="A4645" s="1">
        <v>42312.021550925929</v>
      </c>
      <c r="B4645" s="2">
        <v>4.6296296296296294E-5</v>
      </c>
      <c r="C4645" t="s">
        <v>7205</v>
      </c>
      <c r="D4645" t="s">
        <v>35</v>
      </c>
      <c r="E4645" t="s">
        <v>36</v>
      </c>
      <c r="F4645" t="s">
        <v>6521</v>
      </c>
      <c r="G4645">
        <v>362585</v>
      </c>
      <c r="H4645" t="s">
        <v>91</v>
      </c>
      <c r="I4645" t="s">
        <v>69</v>
      </c>
      <c r="J4645" t="str">
        <f>"9781606232316"</f>
        <v>9781606232316</v>
      </c>
      <c r="K4645" t="s">
        <v>7676</v>
      </c>
      <c r="L4645">
        <v>5</v>
      </c>
      <c r="O4645" t="s">
        <v>30</v>
      </c>
      <c r="P4645" t="s">
        <v>47</v>
      </c>
      <c r="Q4645" s="1">
        <v>42312.021539351852</v>
      </c>
      <c r="R4645">
        <v>1</v>
      </c>
      <c r="S4645" t="s">
        <v>40</v>
      </c>
      <c r="T4645" t="s">
        <v>6522</v>
      </c>
      <c r="U4645">
        <v>372.46199999999999</v>
      </c>
      <c r="V4645" s="3">
        <v>41773</v>
      </c>
    </row>
    <row r="4646" spans="1:22" x14ac:dyDescent="0.35">
      <c r="A4646" s="1">
        <v>42312.021469907406</v>
      </c>
      <c r="B4646" s="2">
        <v>3.4722222222222224E-4</v>
      </c>
      <c r="C4646" t="s">
        <v>6982</v>
      </c>
      <c r="D4646" t="s">
        <v>261</v>
      </c>
      <c r="E4646" t="s">
        <v>262</v>
      </c>
      <c r="F4646" t="s">
        <v>2649</v>
      </c>
      <c r="G4646">
        <v>1143522</v>
      </c>
      <c r="H4646" t="s">
        <v>26</v>
      </c>
      <c r="I4646" t="s">
        <v>172</v>
      </c>
      <c r="J4646" t="str">
        <f>"9781118257197"</f>
        <v>9781118257197</v>
      </c>
      <c r="K4646" t="s">
        <v>7677</v>
      </c>
      <c r="L4646">
        <v>11</v>
      </c>
      <c r="O4646" t="s">
        <v>30</v>
      </c>
      <c r="P4646" t="s">
        <v>29</v>
      </c>
      <c r="Q4646" s="1">
        <v>42312.021469907406</v>
      </c>
      <c r="R4646">
        <v>7</v>
      </c>
      <c r="S4646" t="s">
        <v>264</v>
      </c>
      <c r="T4646" t="s">
        <v>2651</v>
      </c>
      <c r="U4646">
        <v>972</v>
      </c>
      <c r="V4646" s="3">
        <v>41334</v>
      </c>
    </row>
    <row r="4647" spans="1:22" x14ac:dyDescent="0.35">
      <c r="A4647" s="1">
        <v>42312.015960648147</v>
      </c>
      <c r="B4647" s="2">
        <v>5.5787037037037038E-3</v>
      </c>
      <c r="C4647" t="s">
        <v>7205</v>
      </c>
      <c r="D4647" t="s">
        <v>35</v>
      </c>
      <c r="E4647" t="s">
        <v>36</v>
      </c>
      <c r="F4647" t="s">
        <v>6521</v>
      </c>
      <c r="G4647">
        <v>362585</v>
      </c>
      <c r="H4647" t="s">
        <v>91</v>
      </c>
      <c r="I4647" t="s">
        <v>69</v>
      </c>
      <c r="J4647" t="str">
        <f>"9781606232316"</f>
        <v>9781606232316</v>
      </c>
      <c r="K4647" t="s">
        <v>7678</v>
      </c>
      <c r="L4647">
        <v>31</v>
      </c>
      <c r="O4647" t="s">
        <v>30</v>
      </c>
      <c r="P4647" t="s">
        <v>50</v>
      </c>
      <c r="S4647" t="s">
        <v>40</v>
      </c>
      <c r="T4647" t="s">
        <v>6522</v>
      </c>
      <c r="U4647">
        <v>372.46199999999999</v>
      </c>
      <c r="V4647" s="3">
        <v>41773</v>
      </c>
    </row>
    <row r="4648" spans="1:22" x14ac:dyDescent="0.35">
      <c r="A4648" s="1">
        <v>42312.010358796295</v>
      </c>
      <c r="B4648" s="2">
        <v>1.1111111111111112E-2</v>
      </c>
      <c r="C4648" t="s">
        <v>6982</v>
      </c>
      <c r="D4648" t="s">
        <v>261</v>
      </c>
      <c r="E4648" t="s">
        <v>262</v>
      </c>
      <c r="F4648" t="s">
        <v>2649</v>
      </c>
      <c r="G4648">
        <v>1143522</v>
      </c>
      <c r="H4648" t="s">
        <v>26</v>
      </c>
      <c r="I4648" t="s">
        <v>172</v>
      </c>
      <c r="J4648" t="str">
        <f>"9781118257197"</f>
        <v>9781118257197</v>
      </c>
      <c r="K4648" t="s">
        <v>7679</v>
      </c>
      <c r="L4648">
        <v>16</v>
      </c>
      <c r="O4648" t="s">
        <v>30</v>
      </c>
      <c r="P4648" t="s">
        <v>42</v>
      </c>
      <c r="S4648" t="s">
        <v>264</v>
      </c>
      <c r="T4648" t="s">
        <v>2651</v>
      </c>
      <c r="U4648">
        <v>972</v>
      </c>
      <c r="V4648" s="3">
        <v>41334</v>
      </c>
    </row>
    <row r="4649" spans="1:22" x14ac:dyDescent="0.35">
      <c r="A4649" s="1">
        <v>42312.001759259256</v>
      </c>
      <c r="B4649" s="2">
        <v>4.8321759259259266E-2</v>
      </c>
      <c r="C4649" t="s">
        <v>5448</v>
      </c>
      <c r="D4649" t="s">
        <v>23</v>
      </c>
      <c r="E4649" t="s">
        <v>24</v>
      </c>
      <c r="F4649" t="s">
        <v>5449</v>
      </c>
      <c r="G4649">
        <v>1332527</v>
      </c>
      <c r="H4649" t="s">
        <v>26</v>
      </c>
      <c r="I4649" t="s">
        <v>97</v>
      </c>
      <c r="J4649" t="str">
        <f>"9781118720882"</f>
        <v>9781118720882</v>
      </c>
      <c r="K4649" t="s">
        <v>7680</v>
      </c>
      <c r="L4649">
        <v>27</v>
      </c>
      <c r="O4649" t="s">
        <v>30</v>
      </c>
      <c r="P4649" t="s">
        <v>29</v>
      </c>
      <c r="Q4649" s="1">
        <v>42312.001759259256</v>
      </c>
      <c r="R4649">
        <v>7</v>
      </c>
      <c r="S4649" t="s">
        <v>31</v>
      </c>
      <c r="T4649" t="s">
        <v>5451</v>
      </c>
      <c r="U4649">
        <v>658.11</v>
      </c>
      <c r="V4649" s="3">
        <v>41486</v>
      </c>
    </row>
    <row r="4650" spans="1:22" x14ac:dyDescent="0.35">
      <c r="A4650" s="1">
        <v>42311.994780092595</v>
      </c>
      <c r="B4650" s="2">
        <v>6.9791666666666674E-3</v>
      </c>
      <c r="C4650" t="s">
        <v>5448</v>
      </c>
      <c r="D4650" t="s">
        <v>23</v>
      </c>
      <c r="E4650" t="s">
        <v>24</v>
      </c>
      <c r="F4650" t="s">
        <v>5449</v>
      </c>
      <c r="G4650">
        <v>1332527</v>
      </c>
      <c r="H4650" t="s">
        <v>26</v>
      </c>
      <c r="I4650" t="s">
        <v>97</v>
      </c>
      <c r="J4650" t="str">
        <f>"9781118720882"</f>
        <v>9781118720882</v>
      </c>
      <c r="K4650" t="s">
        <v>7681</v>
      </c>
      <c r="L4650">
        <v>9</v>
      </c>
      <c r="O4650" t="s">
        <v>30</v>
      </c>
      <c r="P4650" t="s">
        <v>42</v>
      </c>
      <c r="S4650" t="s">
        <v>31</v>
      </c>
      <c r="T4650" t="s">
        <v>5451</v>
      </c>
      <c r="U4650">
        <v>658.11</v>
      </c>
      <c r="V4650" s="3">
        <v>41486</v>
      </c>
    </row>
    <row r="4651" spans="1:22" x14ac:dyDescent="0.35">
      <c r="A4651" s="1">
        <v>42311.97347222222</v>
      </c>
      <c r="B4651" s="2">
        <v>4.6296296296296294E-5</v>
      </c>
      <c r="C4651" t="s">
        <v>4205</v>
      </c>
      <c r="D4651" t="s">
        <v>597</v>
      </c>
      <c r="E4651" t="s">
        <v>598</v>
      </c>
      <c r="F4651" t="s">
        <v>111</v>
      </c>
      <c r="G4651">
        <v>693176</v>
      </c>
      <c r="H4651" t="s">
        <v>26</v>
      </c>
      <c r="I4651" t="s">
        <v>112</v>
      </c>
      <c r="J4651" t="str">
        <f>"9781118017746"</f>
        <v>9781118017746</v>
      </c>
      <c r="K4651" t="s">
        <v>33</v>
      </c>
      <c r="L4651">
        <v>3</v>
      </c>
      <c r="O4651" t="s">
        <v>30</v>
      </c>
      <c r="P4651" t="s">
        <v>42</v>
      </c>
      <c r="S4651" t="s">
        <v>600</v>
      </c>
      <c r="T4651" t="s">
        <v>114</v>
      </c>
      <c r="U4651" t="s">
        <v>115</v>
      </c>
      <c r="V4651" s="3">
        <v>40835</v>
      </c>
    </row>
    <row r="4652" spans="1:22" x14ac:dyDescent="0.35">
      <c r="A4652" s="1">
        <v>42311.954884259256</v>
      </c>
      <c r="B4652" s="2">
        <v>4.9768518518518521E-4</v>
      </c>
      <c r="C4652" t="s">
        <v>210</v>
      </c>
      <c r="D4652" t="s">
        <v>211</v>
      </c>
      <c r="E4652" t="s">
        <v>212</v>
      </c>
      <c r="F4652" t="s">
        <v>7682</v>
      </c>
      <c r="G4652">
        <v>1896037</v>
      </c>
      <c r="H4652" t="s">
        <v>26</v>
      </c>
      <c r="I4652" t="s">
        <v>7683</v>
      </c>
      <c r="J4652" t="str">
        <f>"9781119066262"</f>
        <v>9781119066262</v>
      </c>
      <c r="K4652" t="s">
        <v>7684</v>
      </c>
      <c r="L4652">
        <v>12</v>
      </c>
      <c r="O4652" t="s">
        <v>30</v>
      </c>
      <c r="P4652" t="s">
        <v>42</v>
      </c>
      <c r="S4652" t="s">
        <v>214</v>
      </c>
      <c r="T4652" t="s">
        <v>7685</v>
      </c>
      <c r="U4652" t="s">
        <v>7686</v>
      </c>
      <c r="V4652" s="3">
        <v>41990</v>
      </c>
    </row>
    <row r="4653" spans="1:22" x14ac:dyDescent="0.35">
      <c r="A4653" s="1">
        <v>42311.953263888892</v>
      </c>
      <c r="B4653" s="2">
        <v>2.4305555555555552E-4</v>
      </c>
      <c r="C4653" t="s">
        <v>106</v>
      </c>
      <c r="D4653" t="s">
        <v>23</v>
      </c>
      <c r="E4653" t="s">
        <v>24</v>
      </c>
      <c r="F4653" t="s">
        <v>4065</v>
      </c>
      <c r="G4653">
        <v>918746</v>
      </c>
      <c r="H4653" t="s">
        <v>1365</v>
      </c>
      <c r="I4653" t="s">
        <v>150</v>
      </c>
      <c r="J4653" t="str">
        <f>"9780826441850"</f>
        <v>9780826441850</v>
      </c>
      <c r="K4653" t="s">
        <v>7687</v>
      </c>
      <c r="L4653">
        <v>9</v>
      </c>
      <c r="O4653" t="s">
        <v>30</v>
      </c>
      <c r="P4653" t="s">
        <v>42</v>
      </c>
      <c r="S4653" t="s">
        <v>31</v>
      </c>
      <c r="T4653" t="s">
        <v>4066</v>
      </c>
      <c r="U4653">
        <v>791.45749999999998</v>
      </c>
      <c r="V4653" s="3">
        <v>41091</v>
      </c>
    </row>
    <row r="4654" spans="1:22" x14ac:dyDescent="0.35">
      <c r="A4654" s="1">
        <v>42311.950289351851</v>
      </c>
      <c r="B4654" s="2">
        <v>5.7870370370370378E-4</v>
      </c>
      <c r="C4654" t="s">
        <v>7138</v>
      </c>
      <c r="D4654" t="s">
        <v>360</v>
      </c>
      <c r="E4654" t="s">
        <v>361</v>
      </c>
      <c r="F4654" t="s">
        <v>4289</v>
      </c>
      <c r="G4654">
        <v>1120621</v>
      </c>
      <c r="H4654" t="s">
        <v>26</v>
      </c>
      <c r="I4654" t="s">
        <v>69</v>
      </c>
      <c r="J4654" t="str">
        <f>"9781118362679"</f>
        <v>9781118362679</v>
      </c>
      <c r="K4654" t="s">
        <v>7688</v>
      </c>
      <c r="L4654">
        <v>11</v>
      </c>
      <c r="O4654" t="s">
        <v>30</v>
      </c>
      <c r="P4654" t="s">
        <v>29</v>
      </c>
      <c r="Q4654" s="1">
        <v>42308.155497685184</v>
      </c>
      <c r="R4654">
        <v>7</v>
      </c>
      <c r="S4654" t="s">
        <v>363</v>
      </c>
      <c r="T4654" t="s">
        <v>4290</v>
      </c>
      <c r="U4654" t="s">
        <v>4291</v>
      </c>
      <c r="V4654" s="3">
        <v>41136</v>
      </c>
    </row>
    <row r="4655" spans="1:22" x14ac:dyDescent="0.35">
      <c r="A4655" s="1">
        <v>42311.943182870367</v>
      </c>
      <c r="B4655" s="2">
        <v>3.9351851851851852E-4</v>
      </c>
      <c r="C4655" t="s">
        <v>3132</v>
      </c>
      <c r="D4655" t="s">
        <v>158</v>
      </c>
      <c r="E4655" t="s">
        <v>159</v>
      </c>
      <c r="F4655" t="s">
        <v>7689</v>
      </c>
      <c r="G4655">
        <v>1637200</v>
      </c>
      <c r="H4655" t="s">
        <v>186</v>
      </c>
      <c r="I4655" t="s">
        <v>187</v>
      </c>
      <c r="J4655" t="str">
        <f>"9781780641775"</f>
        <v>9781780641775</v>
      </c>
      <c r="K4655" t="s">
        <v>7690</v>
      </c>
      <c r="L4655">
        <v>14</v>
      </c>
      <c r="O4655" t="s">
        <v>30</v>
      </c>
      <c r="P4655" t="s">
        <v>50</v>
      </c>
      <c r="S4655" t="s">
        <v>163</v>
      </c>
      <c r="T4655" t="s">
        <v>7691</v>
      </c>
      <c r="U4655" t="s">
        <v>7692</v>
      </c>
      <c r="V4655" s="3">
        <v>41275</v>
      </c>
    </row>
    <row r="4656" spans="1:22" x14ac:dyDescent="0.35">
      <c r="A4656" s="1">
        <v>42311.939502314817</v>
      </c>
      <c r="B4656" s="2">
        <v>5.9027777777777778E-4</v>
      </c>
      <c r="C4656" t="s">
        <v>7693</v>
      </c>
      <c r="D4656" t="s">
        <v>335</v>
      </c>
      <c r="E4656" t="s">
        <v>336</v>
      </c>
      <c r="F4656" t="s">
        <v>7694</v>
      </c>
      <c r="G4656">
        <v>886774</v>
      </c>
      <c r="H4656" t="s">
        <v>91</v>
      </c>
      <c r="I4656" t="s">
        <v>69</v>
      </c>
      <c r="J4656" t="str">
        <f>"9781462504039"</f>
        <v>9781462504039</v>
      </c>
      <c r="K4656" t="s">
        <v>7695</v>
      </c>
      <c r="L4656">
        <v>10</v>
      </c>
      <c r="O4656" t="s">
        <v>30</v>
      </c>
      <c r="P4656" t="s">
        <v>42</v>
      </c>
      <c r="S4656" t="s">
        <v>340</v>
      </c>
      <c r="T4656" t="s">
        <v>7696</v>
      </c>
      <c r="U4656" t="s">
        <v>7697</v>
      </c>
      <c r="V4656" s="3">
        <v>41001</v>
      </c>
    </row>
    <row r="4657" spans="1:22" x14ac:dyDescent="0.35">
      <c r="A4657" s="1">
        <v>42311.921909722223</v>
      </c>
      <c r="B4657" s="2">
        <v>5.5555555555555556E-4</v>
      </c>
      <c r="C4657" t="s">
        <v>5438</v>
      </c>
      <c r="D4657" t="s">
        <v>360</v>
      </c>
      <c r="E4657" t="s">
        <v>361</v>
      </c>
      <c r="F4657" t="s">
        <v>7698</v>
      </c>
      <c r="G4657">
        <v>1641469</v>
      </c>
      <c r="H4657" t="s">
        <v>91</v>
      </c>
      <c r="I4657" t="s">
        <v>247</v>
      </c>
      <c r="J4657" t="str">
        <f>"9781462513444"</f>
        <v>9781462513444</v>
      </c>
      <c r="K4657" t="s">
        <v>7699</v>
      </c>
      <c r="L4657">
        <v>9</v>
      </c>
      <c r="O4657" t="s">
        <v>30</v>
      </c>
      <c r="P4657" t="s">
        <v>42</v>
      </c>
      <c r="S4657" t="s">
        <v>363</v>
      </c>
      <c r="T4657" t="s">
        <v>7700</v>
      </c>
      <c r="U4657">
        <v>616.89142000000004</v>
      </c>
      <c r="V4657" s="3">
        <v>41697</v>
      </c>
    </row>
    <row r="4658" spans="1:22" x14ac:dyDescent="0.35">
      <c r="A4658" s="1">
        <v>42311.914166666669</v>
      </c>
      <c r="B4658" s="2">
        <v>3.0092592592592595E-4</v>
      </c>
      <c r="C4658" t="s">
        <v>106</v>
      </c>
      <c r="D4658" t="s">
        <v>23</v>
      </c>
      <c r="E4658" t="s">
        <v>24</v>
      </c>
      <c r="F4658" t="s">
        <v>515</v>
      </c>
      <c r="G4658">
        <v>1757960</v>
      </c>
      <c r="H4658" t="s">
        <v>26</v>
      </c>
      <c r="I4658" t="s">
        <v>247</v>
      </c>
      <c r="J4658" t="str">
        <f>"9781118780770"</f>
        <v>9781118780770</v>
      </c>
      <c r="K4658" t="s">
        <v>7701</v>
      </c>
      <c r="L4658">
        <v>24</v>
      </c>
      <c r="O4658" t="s">
        <v>30</v>
      </c>
      <c r="P4658" t="s">
        <v>42</v>
      </c>
      <c r="S4658" t="s">
        <v>31</v>
      </c>
      <c r="T4658" t="s">
        <v>517</v>
      </c>
      <c r="U4658" t="s">
        <v>518</v>
      </c>
      <c r="V4658" s="3">
        <v>41850</v>
      </c>
    </row>
    <row r="4659" spans="1:22" x14ac:dyDescent="0.35">
      <c r="A4659" s="1">
        <v>42311.899398148147</v>
      </c>
      <c r="B4659" s="2">
        <v>0</v>
      </c>
      <c r="C4659" t="s">
        <v>7702</v>
      </c>
      <c r="D4659" t="s">
        <v>23</v>
      </c>
      <c r="E4659" t="s">
        <v>24</v>
      </c>
      <c r="F4659" t="s">
        <v>3171</v>
      </c>
      <c r="G4659">
        <v>1825699</v>
      </c>
      <c r="H4659" t="s">
        <v>45</v>
      </c>
      <c r="I4659" t="s">
        <v>150</v>
      </c>
      <c r="J4659" t="str">
        <f>"9781472409645"</f>
        <v>9781472409645</v>
      </c>
      <c r="L4659">
        <v>0</v>
      </c>
      <c r="O4659" t="s">
        <v>28</v>
      </c>
      <c r="P4659" t="s">
        <v>47</v>
      </c>
      <c r="Q4659" s="1">
        <v>42311.899398148147</v>
      </c>
      <c r="R4659">
        <v>1</v>
      </c>
      <c r="S4659" t="s">
        <v>31</v>
      </c>
      <c r="T4659" t="s">
        <v>3173</v>
      </c>
      <c r="U4659">
        <v>780.92</v>
      </c>
      <c r="V4659" s="3">
        <v>42001</v>
      </c>
    </row>
    <row r="4660" spans="1:22" x14ac:dyDescent="0.35">
      <c r="A4660" s="1">
        <v>42311.899398148147</v>
      </c>
      <c r="B4660" s="2">
        <v>0</v>
      </c>
      <c r="C4660" t="s">
        <v>7702</v>
      </c>
      <c r="D4660" t="s">
        <v>23</v>
      </c>
      <c r="E4660" t="s">
        <v>24</v>
      </c>
      <c r="F4660" t="s">
        <v>3171</v>
      </c>
      <c r="G4660">
        <v>1825699</v>
      </c>
      <c r="H4660" t="s">
        <v>45</v>
      </c>
      <c r="I4660" t="s">
        <v>150</v>
      </c>
      <c r="J4660" t="str">
        <f>"9781472409645"</f>
        <v>9781472409645</v>
      </c>
      <c r="L4660">
        <v>0</v>
      </c>
      <c r="O4660" t="s">
        <v>30</v>
      </c>
      <c r="P4660" t="s">
        <v>47</v>
      </c>
      <c r="Q4660" s="1">
        <v>42311.899398148147</v>
      </c>
      <c r="R4660">
        <v>1</v>
      </c>
      <c r="S4660" t="s">
        <v>31</v>
      </c>
      <c r="T4660" t="s">
        <v>3173</v>
      </c>
      <c r="U4660">
        <v>780.92</v>
      </c>
      <c r="V4660" s="3">
        <v>42001</v>
      </c>
    </row>
    <row r="4661" spans="1:22" x14ac:dyDescent="0.35">
      <c r="A4661" s="1">
        <v>42311.897789351853</v>
      </c>
      <c r="B4661" s="2">
        <v>1.6087962962962963E-3</v>
      </c>
      <c r="C4661" t="s">
        <v>7702</v>
      </c>
      <c r="D4661" t="s">
        <v>23</v>
      </c>
      <c r="E4661" t="s">
        <v>24</v>
      </c>
      <c r="F4661" t="s">
        <v>3171</v>
      </c>
      <c r="G4661">
        <v>1825699</v>
      </c>
      <c r="H4661" t="s">
        <v>45</v>
      </c>
      <c r="I4661" t="s">
        <v>150</v>
      </c>
      <c r="J4661" t="str">
        <f>"9781472409645"</f>
        <v>9781472409645</v>
      </c>
      <c r="K4661" t="s">
        <v>7703</v>
      </c>
      <c r="L4661">
        <v>14</v>
      </c>
      <c r="O4661" t="s">
        <v>30</v>
      </c>
      <c r="P4661" t="s">
        <v>50</v>
      </c>
      <c r="S4661" t="s">
        <v>31</v>
      </c>
      <c r="T4661" t="s">
        <v>3173</v>
      </c>
      <c r="U4661">
        <v>780.92</v>
      </c>
      <c r="V4661" s="3">
        <v>42001</v>
      </c>
    </row>
    <row r="4662" spans="1:22" x14ac:dyDescent="0.35">
      <c r="A4662" s="1">
        <v>42311.893055555556</v>
      </c>
      <c r="B4662" s="2">
        <v>6.3657407407407402E-4</v>
      </c>
      <c r="C4662" t="s">
        <v>5290</v>
      </c>
      <c r="D4662" t="s">
        <v>23</v>
      </c>
      <c r="E4662" t="s">
        <v>24</v>
      </c>
      <c r="F4662" t="s">
        <v>5291</v>
      </c>
      <c r="G4662">
        <v>1969430</v>
      </c>
      <c r="H4662" t="s">
        <v>45</v>
      </c>
      <c r="I4662" t="s">
        <v>120</v>
      </c>
      <c r="J4662" t="str">
        <f>"9781472443038"</f>
        <v>9781472443038</v>
      </c>
      <c r="K4662" t="s">
        <v>7704</v>
      </c>
      <c r="L4662">
        <v>11</v>
      </c>
      <c r="O4662" t="s">
        <v>30</v>
      </c>
      <c r="P4662" t="s">
        <v>50</v>
      </c>
      <c r="S4662" t="s">
        <v>31</v>
      </c>
      <c r="T4662" t="s">
        <v>5293</v>
      </c>
      <c r="U4662" t="s">
        <v>5294</v>
      </c>
      <c r="V4662" s="3">
        <v>42091</v>
      </c>
    </row>
    <row r="4663" spans="1:22" x14ac:dyDescent="0.35">
      <c r="A4663" s="1">
        <v>42311.890486111108</v>
      </c>
      <c r="B4663" s="2">
        <v>4.7453703703703704E-4</v>
      </c>
      <c r="C4663" t="s">
        <v>7705</v>
      </c>
      <c r="D4663" t="s">
        <v>623</v>
      </c>
      <c r="E4663" t="s">
        <v>624</v>
      </c>
      <c r="F4663" t="s">
        <v>7262</v>
      </c>
      <c r="G4663">
        <v>1895314</v>
      </c>
      <c r="H4663" t="s">
        <v>26</v>
      </c>
      <c r="I4663" t="s">
        <v>7263</v>
      </c>
      <c r="J4663" t="str">
        <f>"9781119052531"</f>
        <v>9781119052531</v>
      </c>
      <c r="K4663" t="s">
        <v>7706</v>
      </c>
      <c r="L4663">
        <v>14</v>
      </c>
      <c r="O4663" t="s">
        <v>30</v>
      </c>
      <c r="P4663" t="s">
        <v>50</v>
      </c>
      <c r="S4663" t="s">
        <v>627</v>
      </c>
      <c r="T4663" t="s">
        <v>7265</v>
      </c>
      <c r="U4663">
        <v>641.56309999999996</v>
      </c>
      <c r="V4663" s="3">
        <v>42157</v>
      </c>
    </row>
    <row r="4664" spans="1:22" x14ac:dyDescent="0.35">
      <c r="A4664" s="1">
        <v>42311.885011574072</v>
      </c>
      <c r="B4664" s="2">
        <v>6.9444444444444444E-5</v>
      </c>
      <c r="C4664" t="s">
        <v>7707</v>
      </c>
      <c r="D4664" t="s">
        <v>623</v>
      </c>
      <c r="E4664" t="s">
        <v>624</v>
      </c>
      <c r="F4664" t="s">
        <v>7262</v>
      </c>
      <c r="G4664">
        <v>1895314</v>
      </c>
      <c r="H4664" t="s">
        <v>26</v>
      </c>
      <c r="I4664" t="s">
        <v>7263</v>
      </c>
      <c r="J4664" t="str">
        <f>"9781119052531"</f>
        <v>9781119052531</v>
      </c>
      <c r="K4664" t="s">
        <v>7708</v>
      </c>
      <c r="L4664">
        <v>6</v>
      </c>
      <c r="O4664" t="s">
        <v>30</v>
      </c>
      <c r="P4664" t="s">
        <v>50</v>
      </c>
      <c r="S4664" t="s">
        <v>627</v>
      </c>
      <c r="T4664" t="s">
        <v>7265</v>
      </c>
      <c r="U4664">
        <v>641.56309999999996</v>
      </c>
      <c r="V4664" s="3">
        <v>42157</v>
      </c>
    </row>
    <row r="4665" spans="1:22" x14ac:dyDescent="0.35">
      <c r="A4665" s="1">
        <v>42311.882615740738</v>
      </c>
      <c r="B4665" s="2">
        <v>3.4722222222222222E-5</v>
      </c>
      <c r="C4665" t="s">
        <v>5865</v>
      </c>
      <c r="D4665" t="s">
        <v>35</v>
      </c>
      <c r="E4665" t="s">
        <v>36</v>
      </c>
      <c r="F4665" t="s">
        <v>986</v>
      </c>
      <c r="G4665">
        <v>968030</v>
      </c>
      <c r="H4665" t="s">
        <v>26</v>
      </c>
      <c r="I4665" t="s">
        <v>219</v>
      </c>
      <c r="J4665" t="str">
        <f>"9781118285138"</f>
        <v>9781118285138</v>
      </c>
      <c r="K4665" t="s">
        <v>33</v>
      </c>
      <c r="L4665">
        <v>3</v>
      </c>
      <c r="O4665" t="s">
        <v>30</v>
      </c>
      <c r="P4665" t="s">
        <v>42</v>
      </c>
      <c r="S4665" t="s">
        <v>40</v>
      </c>
      <c r="T4665" t="s">
        <v>987</v>
      </c>
      <c r="U4665">
        <v>158.30000000000001</v>
      </c>
      <c r="V4665" s="3">
        <v>41100</v>
      </c>
    </row>
    <row r="4666" spans="1:22" x14ac:dyDescent="0.35">
      <c r="A4666" s="1">
        <v>42311.858703703707</v>
      </c>
      <c r="B4666" s="2">
        <v>1.3738425925925926E-2</v>
      </c>
      <c r="C4666" t="s">
        <v>106</v>
      </c>
      <c r="D4666" t="s">
        <v>23</v>
      </c>
      <c r="E4666" t="s">
        <v>24</v>
      </c>
      <c r="F4666" t="s">
        <v>5449</v>
      </c>
      <c r="G4666">
        <v>1332527</v>
      </c>
      <c r="H4666" t="s">
        <v>26</v>
      </c>
      <c r="I4666" t="s">
        <v>97</v>
      </c>
      <c r="J4666" t="str">
        <f>"9781118720882"</f>
        <v>9781118720882</v>
      </c>
      <c r="K4666" t="s">
        <v>7709</v>
      </c>
      <c r="L4666">
        <v>23</v>
      </c>
      <c r="O4666" t="s">
        <v>30</v>
      </c>
      <c r="P4666" t="s">
        <v>29</v>
      </c>
      <c r="Q4666" s="1">
        <v>42310.707129629627</v>
      </c>
      <c r="R4666">
        <v>7</v>
      </c>
      <c r="S4666" t="s">
        <v>31</v>
      </c>
      <c r="T4666" t="s">
        <v>5451</v>
      </c>
      <c r="U4666">
        <v>658.11</v>
      </c>
      <c r="V4666" s="3">
        <v>41486</v>
      </c>
    </row>
    <row r="4667" spans="1:22" x14ac:dyDescent="0.35">
      <c r="A4667" s="1">
        <v>42311.852361111109</v>
      </c>
      <c r="B4667" s="2">
        <v>3.0324074074074073E-3</v>
      </c>
      <c r="C4667" t="s">
        <v>7710</v>
      </c>
      <c r="D4667" t="s">
        <v>35</v>
      </c>
      <c r="E4667" t="s">
        <v>36</v>
      </c>
      <c r="F4667" t="s">
        <v>7711</v>
      </c>
      <c r="G4667">
        <v>1171793</v>
      </c>
      <c r="H4667" t="s">
        <v>26</v>
      </c>
      <c r="I4667" t="s">
        <v>120</v>
      </c>
      <c r="J4667" t="str">
        <f>"9780745676654"</f>
        <v>9780745676654</v>
      </c>
      <c r="K4667" t="s">
        <v>7712</v>
      </c>
      <c r="L4667">
        <v>13</v>
      </c>
      <c r="O4667" t="s">
        <v>30</v>
      </c>
      <c r="P4667" t="s">
        <v>29</v>
      </c>
      <c r="Q4667" s="1">
        <v>42311.852361111109</v>
      </c>
      <c r="R4667">
        <v>7</v>
      </c>
      <c r="S4667" t="s">
        <v>40</v>
      </c>
      <c r="T4667" t="s">
        <v>7713</v>
      </c>
      <c r="U4667">
        <v>307.76</v>
      </c>
      <c r="V4667" s="3">
        <v>41506</v>
      </c>
    </row>
    <row r="4668" spans="1:22" x14ac:dyDescent="0.35">
      <c r="A4668" s="1">
        <v>42311.84883101852</v>
      </c>
      <c r="B4668" s="2">
        <v>4.2824074074074075E-3</v>
      </c>
      <c r="C4668" t="s">
        <v>5210</v>
      </c>
      <c r="D4668" t="s">
        <v>35</v>
      </c>
      <c r="E4668" t="s">
        <v>36</v>
      </c>
      <c r="F4668" t="s">
        <v>986</v>
      </c>
      <c r="G4668">
        <v>968030</v>
      </c>
      <c r="H4668" t="s">
        <v>26</v>
      </c>
      <c r="I4668" t="s">
        <v>219</v>
      </c>
      <c r="J4668" t="str">
        <f>"9781118285138"</f>
        <v>9781118285138</v>
      </c>
      <c r="K4668" t="s">
        <v>7714</v>
      </c>
      <c r="L4668">
        <v>26</v>
      </c>
      <c r="O4668" t="s">
        <v>30</v>
      </c>
      <c r="P4668" t="s">
        <v>29</v>
      </c>
      <c r="Q4668" s="1">
        <v>42309.862604166665</v>
      </c>
      <c r="R4668">
        <v>7</v>
      </c>
      <c r="S4668" t="s">
        <v>40</v>
      </c>
      <c r="T4668" t="s">
        <v>987</v>
      </c>
      <c r="U4668">
        <v>158.30000000000001</v>
      </c>
      <c r="V4668" s="3">
        <v>41100</v>
      </c>
    </row>
    <row r="4669" spans="1:22" x14ac:dyDescent="0.35">
      <c r="A4669" s="1">
        <v>42311.843807870369</v>
      </c>
      <c r="B4669" s="2">
        <v>2.1122685185185185E-2</v>
      </c>
      <c r="C4669" t="s">
        <v>5219</v>
      </c>
      <c r="D4669" t="s">
        <v>211</v>
      </c>
      <c r="E4669" t="s">
        <v>212</v>
      </c>
      <c r="F4669" t="s">
        <v>462</v>
      </c>
      <c r="G4669">
        <v>1822529</v>
      </c>
      <c r="H4669" t="s">
        <v>26</v>
      </c>
      <c r="I4669" t="s">
        <v>297</v>
      </c>
      <c r="J4669" t="str">
        <f>"9781118824344"</f>
        <v>9781118824344</v>
      </c>
      <c r="K4669" t="s">
        <v>7715</v>
      </c>
      <c r="L4669">
        <v>35</v>
      </c>
      <c r="O4669" t="s">
        <v>30</v>
      </c>
      <c r="P4669" t="s">
        <v>29</v>
      </c>
      <c r="Q4669" s="1">
        <v>42310.831377314818</v>
      </c>
      <c r="R4669">
        <v>7</v>
      </c>
      <c r="S4669" t="s">
        <v>214</v>
      </c>
      <c r="T4669" t="s">
        <v>464</v>
      </c>
      <c r="U4669">
        <v>519.4</v>
      </c>
      <c r="V4669" s="3">
        <v>41932</v>
      </c>
    </row>
    <row r="4670" spans="1:22" x14ac:dyDescent="0.35">
      <c r="A4670" s="1">
        <v>42311.84375</v>
      </c>
      <c r="B4670" s="2">
        <v>8.611111111111111E-3</v>
      </c>
      <c r="C4670" t="s">
        <v>7710</v>
      </c>
      <c r="D4670" t="s">
        <v>35</v>
      </c>
      <c r="E4670" t="s">
        <v>36</v>
      </c>
      <c r="F4670" t="s">
        <v>7711</v>
      </c>
      <c r="G4670">
        <v>1171793</v>
      </c>
      <c r="H4670" t="s">
        <v>26</v>
      </c>
      <c r="I4670" t="s">
        <v>120</v>
      </c>
      <c r="J4670" t="str">
        <f>"9780745676654"</f>
        <v>9780745676654</v>
      </c>
      <c r="K4670" t="s">
        <v>7716</v>
      </c>
      <c r="L4670">
        <v>29</v>
      </c>
      <c r="O4670" t="s">
        <v>30</v>
      </c>
      <c r="P4670" t="s">
        <v>42</v>
      </c>
      <c r="S4670" t="s">
        <v>40</v>
      </c>
      <c r="T4670" t="s">
        <v>7713</v>
      </c>
      <c r="U4670">
        <v>307.76</v>
      </c>
      <c r="V4670" s="3">
        <v>41506</v>
      </c>
    </row>
    <row r="4671" spans="1:22" x14ac:dyDescent="0.35">
      <c r="A4671" s="1">
        <v>42311.821018518516</v>
      </c>
      <c r="B4671" s="2">
        <v>1.4351851851851854E-3</v>
      </c>
      <c r="C4671" t="s">
        <v>7717</v>
      </c>
      <c r="D4671" t="s">
        <v>623</v>
      </c>
      <c r="E4671" t="s">
        <v>624</v>
      </c>
      <c r="F4671" t="s">
        <v>7718</v>
      </c>
      <c r="G4671">
        <v>1895760</v>
      </c>
      <c r="H4671" t="s">
        <v>26</v>
      </c>
      <c r="I4671" t="s">
        <v>1246</v>
      </c>
      <c r="J4671" t="str">
        <f>"9781118926376"</f>
        <v>9781118926376</v>
      </c>
      <c r="K4671" t="s">
        <v>7719</v>
      </c>
      <c r="L4671">
        <v>10</v>
      </c>
      <c r="O4671" t="s">
        <v>30</v>
      </c>
      <c r="P4671" t="s">
        <v>29</v>
      </c>
      <c r="Q4671" s="1">
        <v>42311.821006944447</v>
      </c>
      <c r="R4671">
        <v>7</v>
      </c>
      <c r="S4671" t="s">
        <v>627</v>
      </c>
      <c r="T4671" t="s">
        <v>7720</v>
      </c>
      <c r="U4671">
        <v>621.42999999999995</v>
      </c>
      <c r="V4671" s="3">
        <v>42186</v>
      </c>
    </row>
    <row r="4672" spans="1:22" x14ac:dyDescent="0.35">
      <c r="A4672" s="1">
        <v>42311.819155092591</v>
      </c>
      <c r="B4672" s="2">
        <v>1.7361111111111112E-4</v>
      </c>
      <c r="C4672" t="s">
        <v>7051</v>
      </c>
      <c r="D4672" t="s">
        <v>623</v>
      </c>
      <c r="E4672" t="s">
        <v>624</v>
      </c>
      <c r="F4672" t="s">
        <v>1316</v>
      </c>
      <c r="G4672">
        <v>1884289</v>
      </c>
      <c r="H4672" t="s">
        <v>26</v>
      </c>
      <c r="I4672" t="s">
        <v>1317</v>
      </c>
      <c r="J4672" t="str">
        <f>"9781118636282"</f>
        <v>9781118636282</v>
      </c>
      <c r="K4672" t="s">
        <v>7721</v>
      </c>
      <c r="L4672">
        <v>7</v>
      </c>
      <c r="O4672" t="s">
        <v>30</v>
      </c>
      <c r="P4672" t="s">
        <v>29</v>
      </c>
      <c r="Q4672" s="1">
        <v>42311.819143518522</v>
      </c>
      <c r="R4672">
        <v>7</v>
      </c>
      <c r="S4672" t="s">
        <v>627</v>
      </c>
      <c r="T4672" t="s">
        <v>1321</v>
      </c>
      <c r="U4672" t="s">
        <v>1322</v>
      </c>
      <c r="V4672" s="3">
        <v>41977</v>
      </c>
    </row>
    <row r="4673" spans="1:22" x14ac:dyDescent="0.35">
      <c r="A4673" s="1">
        <v>42311.816932870373</v>
      </c>
      <c r="B4673" s="2">
        <v>4.0740740740740746E-3</v>
      </c>
      <c r="C4673" t="s">
        <v>7717</v>
      </c>
      <c r="D4673" t="s">
        <v>623</v>
      </c>
      <c r="E4673" t="s">
        <v>624</v>
      </c>
      <c r="F4673" t="s">
        <v>7718</v>
      </c>
      <c r="G4673">
        <v>1895760</v>
      </c>
      <c r="H4673" t="s">
        <v>26</v>
      </c>
      <c r="I4673" t="s">
        <v>1246</v>
      </c>
      <c r="J4673" t="str">
        <f>"9781118926376"</f>
        <v>9781118926376</v>
      </c>
      <c r="K4673" t="s">
        <v>7722</v>
      </c>
      <c r="L4673">
        <v>22</v>
      </c>
      <c r="O4673" t="s">
        <v>30</v>
      </c>
      <c r="P4673" t="s">
        <v>50</v>
      </c>
      <c r="S4673" t="s">
        <v>627</v>
      </c>
      <c r="T4673" t="s">
        <v>7720</v>
      </c>
      <c r="U4673">
        <v>621.42999999999995</v>
      </c>
      <c r="V4673" s="3">
        <v>42186</v>
      </c>
    </row>
    <row r="4674" spans="1:22" x14ac:dyDescent="0.35">
      <c r="A4674" s="1">
        <v>42311.816342592596</v>
      </c>
      <c r="B4674" s="2">
        <v>1.6203703703703703E-4</v>
      </c>
      <c r="C4674" t="s">
        <v>210</v>
      </c>
      <c r="D4674" t="s">
        <v>211</v>
      </c>
      <c r="E4674" t="s">
        <v>212</v>
      </c>
      <c r="F4674" t="s">
        <v>1738</v>
      </c>
      <c r="G4674">
        <v>1166802</v>
      </c>
      <c r="H4674" t="s">
        <v>26</v>
      </c>
      <c r="I4674" t="s">
        <v>120</v>
      </c>
      <c r="J4674" t="str">
        <f>"9780745664507"</f>
        <v>9780745664507</v>
      </c>
      <c r="K4674" t="s">
        <v>6781</v>
      </c>
      <c r="L4674">
        <v>8</v>
      </c>
      <c r="O4674" t="s">
        <v>30</v>
      </c>
      <c r="P4674" t="s">
        <v>50</v>
      </c>
      <c r="S4674" t="s">
        <v>214</v>
      </c>
      <c r="T4674" t="s">
        <v>1740</v>
      </c>
      <c r="U4674">
        <v>305.3</v>
      </c>
      <c r="V4674" s="3">
        <v>41367</v>
      </c>
    </row>
    <row r="4675" spans="1:22" x14ac:dyDescent="0.35">
      <c r="A4675" s="1">
        <v>42311.814143518517</v>
      </c>
      <c r="B4675" s="2">
        <v>5.0000000000000001E-3</v>
      </c>
      <c r="C4675" t="s">
        <v>7051</v>
      </c>
      <c r="D4675" t="s">
        <v>623</v>
      </c>
      <c r="E4675" t="s">
        <v>624</v>
      </c>
      <c r="F4675" t="s">
        <v>1316</v>
      </c>
      <c r="G4675">
        <v>1884289</v>
      </c>
      <c r="H4675" t="s">
        <v>26</v>
      </c>
      <c r="I4675" t="s">
        <v>1317</v>
      </c>
      <c r="J4675" t="str">
        <f>"9781118636282"</f>
        <v>9781118636282</v>
      </c>
      <c r="K4675" t="s">
        <v>463</v>
      </c>
      <c r="L4675">
        <v>9</v>
      </c>
      <c r="O4675" t="s">
        <v>30</v>
      </c>
      <c r="P4675" t="s">
        <v>50</v>
      </c>
      <c r="S4675" t="s">
        <v>627</v>
      </c>
      <c r="T4675" t="s">
        <v>1321</v>
      </c>
      <c r="U4675" t="s">
        <v>1322</v>
      </c>
      <c r="V4675" s="3">
        <v>41977</v>
      </c>
    </row>
    <row r="4676" spans="1:22" x14ac:dyDescent="0.35">
      <c r="A4676" s="1">
        <v>42311.812094907407</v>
      </c>
      <c r="B4676" s="2">
        <v>1.7361111111111112E-4</v>
      </c>
      <c r="C4676" t="s">
        <v>210</v>
      </c>
      <c r="D4676" t="s">
        <v>211</v>
      </c>
      <c r="E4676" t="s">
        <v>212</v>
      </c>
      <c r="F4676" t="s">
        <v>7723</v>
      </c>
      <c r="G4676">
        <v>1996595</v>
      </c>
      <c r="H4676" t="s">
        <v>139</v>
      </c>
      <c r="I4676" t="s">
        <v>348</v>
      </c>
      <c r="J4676" t="str">
        <f>"9781479886630"</f>
        <v>9781479886630</v>
      </c>
      <c r="K4676" t="s">
        <v>5544</v>
      </c>
      <c r="L4676">
        <v>8</v>
      </c>
      <c r="O4676" t="s">
        <v>30</v>
      </c>
      <c r="P4676" t="s">
        <v>50</v>
      </c>
      <c r="S4676" t="s">
        <v>214</v>
      </c>
      <c r="T4676" t="s">
        <v>7724</v>
      </c>
      <c r="U4676" t="s">
        <v>7725</v>
      </c>
      <c r="V4676" s="3">
        <v>42090</v>
      </c>
    </row>
    <row r="4677" spans="1:22" x14ac:dyDescent="0.35">
      <c r="A4677" s="1">
        <v>42311.810659722221</v>
      </c>
      <c r="B4677" s="2">
        <v>3.4722222222222222E-5</v>
      </c>
      <c r="C4677" t="s">
        <v>7051</v>
      </c>
      <c r="D4677" t="s">
        <v>623</v>
      </c>
      <c r="E4677" t="s">
        <v>624</v>
      </c>
      <c r="F4677" t="s">
        <v>7726</v>
      </c>
      <c r="G4677">
        <v>1887114</v>
      </c>
      <c r="H4677" t="s">
        <v>26</v>
      </c>
      <c r="I4677" t="s">
        <v>120</v>
      </c>
      <c r="J4677" t="str">
        <f>"9781118521250"</f>
        <v>9781118521250</v>
      </c>
      <c r="K4677" t="s">
        <v>33</v>
      </c>
      <c r="L4677">
        <v>3</v>
      </c>
      <c r="O4677" t="s">
        <v>30</v>
      </c>
      <c r="P4677" t="s">
        <v>50</v>
      </c>
      <c r="S4677" t="s">
        <v>627</v>
      </c>
      <c r="T4677" t="s">
        <v>7727</v>
      </c>
      <c r="U4677">
        <v>305.23099999999999</v>
      </c>
      <c r="V4677" s="3">
        <v>41977</v>
      </c>
    </row>
    <row r="4678" spans="1:22" x14ac:dyDescent="0.35">
      <c r="A4678" s="1">
        <v>42311.807349537034</v>
      </c>
      <c r="B4678" s="2">
        <v>5.7870370370370366E-5</v>
      </c>
      <c r="C4678" t="s">
        <v>7051</v>
      </c>
      <c r="D4678" t="s">
        <v>623</v>
      </c>
      <c r="E4678" t="s">
        <v>624</v>
      </c>
      <c r="F4678" t="s">
        <v>7052</v>
      </c>
      <c r="G4678">
        <v>1895734</v>
      </c>
      <c r="H4678" t="s">
        <v>26</v>
      </c>
      <c r="I4678" t="s">
        <v>970</v>
      </c>
      <c r="J4678" t="str">
        <f>"9781118907221"</f>
        <v>9781118907221</v>
      </c>
      <c r="K4678" t="s">
        <v>7728</v>
      </c>
      <c r="L4678">
        <v>3</v>
      </c>
      <c r="O4678" t="s">
        <v>30</v>
      </c>
      <c r="P4678" t="s">
        <v>29</v>
      </c>
      <c r="Q4678" s="1">
        <v>42311.807337962964</v>
      </c>
      <c r="R4678">
        <v>7</v>
      </c>
      <c r="S4678" t="s">
        <v>627</v>
      </c>
      <c r="T4678" t="s">
        <v>7054</v>
      </c>
      <c r="U4678">
        <v>615.19000000000005</v>
      </c>
      <c r="V4678" s="3">
        <v>42107</v>
      </c>
    </row>
    <row r="4679" spans="1:22" x14ac:dyDescent="0.35">
      <c r="A4679" s="1">
        <v>42311.805300925924</v>
      </c>
      <c r="B4679" s="2">
        <v>1.3194444444444443E-3</v>
      </c>
      <c r="C4679" t="s">
        <v>7717</v>
      </c>
      <c r="D4679" t="s">
        <v>623</v>
      </c>
      <c r="E4679" t="s">
        <v>624</v>
      </c>
      <c r="F4679" t="s">
        <v>7729</v>
      </c>
      <c r="G4679">
        <v>1568766</v>
      </c>
      <c r="H4679" t="s">
        <v>26</v>
      </c>
      <c r="I4679" t="s">
        <v>7730</v>
      </c>
      <c r="J4679" t="str">
        <f>"9780745679075"</f>
        <v>9780745679075</v>
      </c>
      <c r="K4679" t="s">
        <v>7731</v>
      </c>
      <c r="L4679">
        <v>22</v>
      </c>
      <c r="O4679" t="s">
        <v>30</v>
      </c>
      <c r="P4679" t="s">
        <v>50</v>
      </c>
      <c r="S4679" t="s">
        <v>627</v>
      </c>
      <c r="T4679" t="s">
        <v>7732</v>
      </c>
      <c r="U4679">
        <v>333.79</v>
      </c>
      <c r="V4679" s="3">
        <v>41598</v>
      </c>
    </row>
    <row r="4680" spans="1:22" x14ac:dyDescent="0.35">
      <c r="A4680" s="1">
        <v>42311.800567129627</v>
      </c>
      <c r="B4680" s="2">
        <v>6.7708333333333336E-3</v>
      </c>
      <c r="C4680" t="s">
        <v>7051</v>
      </c>
      <c r="D4680" t="s">
        <v>623</v>
      </c>
      <c r="E4680" t="s">
        <v>624</v>
      </c>
      <c r="F4680" t="s">
        <v>7052</v>
      </c>
      <c r="G4680">
        <v>1895734</v>
      </c>
      <c r="H4680" t="s">
        <v>26</v>
      </c>
      <c r="I4680" t="s">
        <v>970</v>
      </c>
      <c r="J4680" t="str">
        <f>"9781118907221"</f>
        <v>9781118907221</v>
      </c>
      <c r="K4680" t="s">
        <v>7733</v>
      </c>
      <c r="L4680">
        <v>11</v>
      </c>
      <c r="O4680" t="s">
        <v>30</v>
      </c>
      <c r="P4680" t="s">
        <v>50</v>
      </c>
      <c r="S4680" t="s">
        <v>627</v>
      </c>
      <c r="T4680" t="s">
        <v>7054</v>
      </c>
      <c r="U4680">
        <v>615.19000000000005</v>
      </c>
      <c r="V4680" s="3">
        <v>42107</v>
      </c>
    </row>
    <row r="4681" spans="1:22" x14ac:dyDescent="0.35">
      <c r="A4681" s="1">
        <v>42311.799861111111</v>
      </c>
      <c r="B4681" s="2">
        <v>0</v>
      </c>
      <c r="C4681" t="s">
        <v>7734</v>
      </c>
      <c r="D4681" t="s">
        <v>23</v>
      </c>
      <c r="E4681" t="s">
        <v>24</v>
      </c>
      <c r="F4681" t="s">
        <v>855</v>
      </c>
      <c r="G4681">
        <v>817848</v>
      </c>
      <c r="H4681" t="s">
        <v>26</v>
      </c>
      <c r="I4681" t="s">
        <v>856</v>
      </c>
      <c r="J4681" t="str">
        <f>"9781118205624"</f>
        <v>9781118205624</v>
      </c>
      <c r="L4681">
        <v>0</v>
      </c>
      <c r="M4681" t="s">
        <v>7735</v>
      </c>
      <c r="O4681" t="s">
        <v>30</v>
      </c>
      <c r="P4681" t="s">
        <v>29</v>
      </c>
      <c r="Q4681" s="1">
        <v>42311.799861111111</v>
      </c>
      <c r="R4681">
        <v>7</v>
      </c>
      <c r="S4681" t="s">
        <v>31</v>
      </c>
      <c r="T4681" t="s">
        <v>858</v>
      </c>
      <c r="U4681" t="s">
        <v>859</v>
      </c>
      <c r="V4681" s="3">
        <v>41019</v>
      </c>
    </row>
    <row r="4682" spans="1:22" x14ac:dyDescent="0.35">
      <c r="A4682" s="1">
        <v>42311.79923611111</v>
      </c>
      <c r="B4682" s="2">
        <v>6.2500000000000001E-4</v>
      </c>
      <c r="C4682" t="s">
        <v>7734</v>
      </c>
      <c r="D4682" t="s">
        <v>23</v>
      </c>
      <c r="E4682" t="s">
        <v>24</v>
      </c>
      <c r="F4682" t="s">
        <v>855</v>
      </c>
      <c r="G4682">
        <v>817848</v>
      </c>
      <c r="H4682" t="s">
        <v>26</v>
      </c>
      <c r="I4682" t="s">
        <v>856</v>
      </c>
      <c r="J4682" t="str">
        <f>"9781118205624"</f>
        <v>9781118205624</v>
      </c>
      <c r="K4682" t="s">
        <v>7736</v>
      </c>
      <c r="L4682">
        <v>14</v>
      </c>
      <c r="O4682" t="s">
        <v>30</v>
      </c>
      <c r="P4682" t="s">
        <v>42</v>
      </c>
      <c r="S4682" t="s">
        <v>31</v>
      </c>
      <c r="T4682" t="s">
        <v>858</v>
      </c>
      <c r="U4682" t="s">
        <v>859</v>
      </c>
      <c r="V4682" s="3">
        <v>41019</v>
      </c>
    </row>
    <row r="4683" spans="1:22" x14ac:dyDescent="0.35">
      <c r="A4683" s="1">
        <v>42311.796296296299</v>
      </c>
      <c r="B4683" s="2">
        <v>1.0416666666666667E-4</v>
      </c>
      <c r="C4683" t="s">
        <v>5438</v>
      </c>
      <c r="D4683" t="s">
        <v>360</v>
      </c>
      <c r="E4683" t="s">
        <v>361</v>
      </c>
      <c r="F4683" t="s">
        <v>7150</v>
      </c>
      <c r="G4683">
        <v>332602</v>
      </c>
      <c r="H4683" t="s">
        <v>26</v>
      </c>
      <c r="I4683" t="s">
        <v>69</v>
      </c>
      <c r="J4683" t="str">
        <f>"9780631227885"</f>
        <v>9780631227885</v>
      </c>
      <c r="K4683" t="s">
        <v>33</v>
      </c>
      <c r="L4683">
        <v>3</v>
      </c>
      <c r="O4683" t="s">
        <v>30</v>
      </c>
      <c r="P4683" t="s">
        <v>29</v>
      </c>
      <c r="Q4683" s="1">
        <v>42308.775324074071</v>
      </c>
      <c r="R4683">
        <v>7</v>
      </c>
      <c r="S4683" t="s">
        <v>363</v>
      </c>
      <c r="T4683" t="s">
        <v>7151</v>
      </c>
      <c r="U4683" t="s">
        <v>7152</v>
      </c>
      <c r="V4683" s="3">
        <v>41424</v>
      </c>
    </row>
    <row r="4684" spans="1:22" x14ac:dyDescent="0.35">
      <c r="A4684" s="1">
        <v>42311.795243055552</v>
      </c>
      <c r="B4684" s="2">
        <v>4.7453703703703704E-4</v>
      </c>
      <c r="C4684" t="s">
        <v>5438</v>
      </c>
      <c r="D4684" t="s">
        <v>360</v>
      </c>
      <c r="E4684" t="s">
        <v>361</v>
      </c>
      <c r="F4684" t="s">
        <v>4289</v>
      </c>
      <c r="G4684">
        <v>1120621</v>
      </c>
      <c r="H4684" t="s">
        <v>26</v>
      </c>
      <c r="I4684" t="s">
        <v>69</v>
      </c>
      <c r="J4684" t="str">
        <f>"9781118362679"</f>
        <v>9781118362679</v>
      </c>
      <c r="K4684" t="s">
        <v>7737</v>
      </c>
      <c r="L4684">
        <v>8</v>
      </c>
      <c r="O4684" t="s">
        <v>30</v>
      </c>
      <c r="P4684" t="s">
        <v>29</v>
      </c>
      <c r="Q4684" s="1">
        <v>42308.894675925927</v>
      </c>
      <c r="R4684">
        <v>7</v>
      </c>
      <c r="S4684" t="s">
        <v>363</v>
      </c>
      <c r="T4684" t="s">
        <v>4290</v>
      </c>
      <c r="U4684" t="s">
        <v>4291</v>
      </c>
      <c r="V4684" s="3">
        <v>41136</v>
      </c>
    </row>
    <row r="4685" spans="1:22" x14ac:dyDescent="0.35">
      <c r="A4685" s="1">
        <v>42311.778368055559</v>
      </c>
      <c r="B4685" s="2">
        <v>2.4537037037037036E-3</v>
      </c>
      <c r="C4685" t="s">
        <v>7738</v>
      </c>
      <c r="D4685" t="s">
        <v>423</v>
      </c>
      <c r="E4685" t="s">
        <v>424</v>
      </c>
      <c r="F4685" t="s">
        <v>7739</v>
      </c>
      <c r="G4685">
        <v>2011348</v>
      </c>
      <c r="H4685" t="s">
        <v>26</v>
      </c>
      <c r="I4685" t="s">
        <v>824</v>
      </c>
      <c r="J4685" t="str">
        <f>"9781118941911"</f>
        <v>9781118941911</v>
      </c>
      <c r="K4685" t="s">
        <v>7740</v>
      </c>
      <c r="L4685">
        <v>43</v>
      </c>
      <c r="O4685" t="s">
        <v>30</v>
      </c>
      <c r="P4685" t="s">
        <v>50</v>
      </c>
      <c r="S4685" t="s">
        <v>428</v>
      </c>
      <c r="T4685" t="s">
        <v>7741</v>
      </c>
      <c r="U4685">
        <v>174.4</v>
      </c>
      <c r="V4685" s="3">
        <v>42102</v>
      </c>
    </row>
    <row r="4686" spans="1:22" x14ac:dyDescent="0.35">
      <c r="A4686" s="1">
        <v>42311.777604166666</v>
      </c>
      <c r="B4686" s="2">
        <v>0.14729166666666668</v>
      </c>
      <c r="C4686" t="s">
        <v>5438</v>
      </c>
      <c r="D4686" t="s">
        <v>360</v>
      </c>
      <c r="E4686" t="s">
        <v>361</v>
      </c>
      <c r="F4686" t="s">
        <v>4197</v>
      </c>
      <c r="G4686">
        <v>1742841</v>
      </c>
      <c r="H4686" t="s">
        <v>91</v>
      </c>
      <c r="I4686" t="s">
        <v>247</v>
      </c>
      <c r="J4686" t="str">
        <f>"9781462516445"</f>
        <v>9781462516445</v>
      </c>
      <c r="K4686" t="s">
        <v>7742</v>
      </c>
      <c r="L4686">
        <v>24</v>
      </c>
      <c r="O4686" t="s">
        <v>30</v>
      </c>
      <c r="P4686" t="s">
        <v>29</v>
      </c>
      <c r="Q4686" s="1">
        <v>42310.166516203702</v>
      </c>
      <c r="R4686">
        <v>7</v>
      </c>
      <c r="S4686" t="s">
        <v>363</v>
      </c>
      <c r="T4686" t="s">
        <v>4199</v>
      </c>
      <c r="U4686">
        <v>616.85270000000003</v>
      </c>
      <c r="V4686" s="3">
        <v>41934</v>
      </c>
    </row>
    <row r="4687" spans="1:22" x14ac:dyDescent="0.35">
      <c r="A4687" s="1">
        <v>42311.776099537034</v>
      </c>
      <c r="B4687" s="2">
        <v>4.2824074074074075E-4</v>
      </c>
      <c r="C4687" t="s">
        <v>5438</v>
      </c>
      <c r="D4687" t="s">
        <v>360</v>
      </c>
      <c r="E4687" t="s">
        <v>361</v>
      </c>
      <c r="F4687" t="s">
        <v>515</v>
      </c>
      <c r="G4687">
        <v>1757960</v>
      </c>
      <c r="H4687" t="s">
        <v>26</v>
      </c>
      <c r="I4687" t="s">
        <v>247</v>
      </c>
      <c r="J4687" t="str">
        <f>"9781118780770"</f>
        <v>9781118780770</v>
      </c>
      <c r="K4687" t="s">
        <v>7743</v>
      </c>
      <c r="L4687">
        <v>8</v>
      </c>
      <c r="O4687" t="s">
        <v>30</v>
      </c>
      <c r="P4687" t="s">
        <v>29</v>
      </c>
      <c r="Q4687" s="1">
        <v>42310.084409722222</v>
      </c>
      <c r="R4687">
        <v>7</v>
      </c>
      <c r="S4687" t="s">
        <v>363</v>
      </c>
      <c r="T4687" t="s">
        <v>517</v>
      </c>
      <c r="U4687" t="s">
        <v>518</v>
      </c>
      <c r="V4687" s="3">
        <v>41850</v>
      </c>
    </row>
    <row r="4688" spans="1:22" x14ac:dyDescent="0.35">
      <c r="A4688" s="1">
        <v>42311.772337962961</v>
      </c>
      <c r="B4688" s="2">
        <v>2.1817129629629631E-2</v>
      </c>
      <c r="C4688" t="s">
        <v>7138</v>
      </c>
      <c r="D4688" t="s">
        <v>360</v>
      </c>
      <c r="E4688" t="s">
        <v>361</v>
      </c>
      <c r="F4688" t="s">
        <v>4289</v>
      </c>
      <c r="G4688">
        <v>1120621</v>
      </c>
      <c r="H4688" t="s">
        <v>26</v>
      </c>
      <c r="I4688" t="s">
        <v>69</v>
      </c>
      <c r="J4688" t="str">
        <f>"9781118362679"</f>
        <v>9781118362679</v>
      </c>
      <c r="K4688" t="s">
        <v>7744</v>
      </c>
      <c r="L4688">
        <v>13</v>
      </c>
      <c r="O4688" t="s">
        <v>30</v>
      </c>
      <c r="P4688" t="s">
        <v>29</v>
      </c>
      <c r="Q4688" s="1">
        <v>42308.155497685184</v>
      </c>
      <c r="R4688">
        <v>7</v>
      </c>
      <c r="S4688" t="s">
        <v>363</v>
      </c>
      <c r="T4688" t="s">
        <v>4290</v>
      </c>
      <c r="U4688" t="s">
        <v>4291</v>
      </c>
      <c r="V4688" s="3">
        <v>41136</v>
      </c>
    </row>
    <row r="4689" spans="1:22" x14ac:dyDescent="0.35">
      <c r="A4689" s="1">
        <v>42311.761076388888</v>
      </c>
      <c r="B4689" s="2">
        <v>5.0925925925925921E-4</v>
      </c>
      <c r="C4689" t="s">
        <v>6942</v>
      </c>
      <c r="D4689" t="s">
        <v>146</v>
      </c>
      <c r="E4689" t="s">
        <v>147</v>
      </c>
      <c r="F4689" t="s">
        <v>6937</v>
      </c>
      <c r="G4689">
        <v>834631</v>
      </c>
      <c r="H4689" t="s">
        <v>26</v>
      </c>
      <c r="I4689" t="s">
        <v>247</v>
      </c>
      <c r="J4689" t="str">
        <f>"9781444354669"</f>
        <v>9781444354669</v>
      </c>
      <c r="K4689" t="s">
        <v>7745</v>
      </c>
      <c r="L4689">
        <v>7</v>
      </c>
      <c r="O4689" t="s">
        <v>30</v>
      </c>
      <c r="P4689" t="s">
        <v>42</v>
      </c>
      <c r="S4689" t="s">
        <v>778</v>
      </c>
      <c r="T4689" t="s">
        <v>6940</v>
      </c>
      <c r="U4689" t="s">
        <v>6941</v>
      </c>
      <c r="V4689" s="3">
        <v>40911</v>
      </c>
    </row>
    <row r="4690" spans="1:22" x14ac:dyDescent="0.35">
      <c r="A4690" s="1">
        <v>42311.710509259261</v>
      </c>
      <c r="B4690" s="2">
        <v>4.6296296296296294E-5</v>
      </c>
      <c r="C4690" t="s">
        <v>7746</v>
      </c>
      <c r="D4690" t="s">
        <v>623</v>
      </c>
      <c r="E4690" t="s">
        <v>624</v>
      </c>
      <c r="F4690" t="s">
        <v>5432</v>
      </c>
      <c r="G4690">
        <v>1833666</v>
      </c>
      <c r="H4690" t="s">
        <v>526</v>
      </c>
      <c r="I4690" t="s">
        <v>1407</v>
      </c>
      <c r="J4690" t="str">
        <f>"9780226166216"</f>
        <v>9780226166216</v>
      </c>
      <c r="K4690" t="s">
        <v>7747</v>
      </c>
      <c r="L4690">
        <v>6</v>
      </c>
      <c r="O4690" t="s">
        <v>30</v>
      </c>
      <c r="P4690" t="s">
        <v>47</v>
      </c>
      <c r="Q4690" s="1">
        <v>42311.710497685184</v>
      </c>
      <c r="R4690">
        <v>1</v>
      </c>
      <c r="S4690" t="s">
        <v>627</v>
      </c>
      <c r="T4690" t="s">
        <v>5434</v>
      </c>
      <c r="U4690" t="s">
        <v>5435</v>
      </c>
      <c r="V4690" s="3">
        <v>41967</v>
      </c>
    </row>
    <row r="4691" spans="1:22" x14ac:dyDescent="0.35">
      <c r="A4691" s="1">
        <v>42311.700208333335</v>
      </c>
      <c r="B4691" s="2">
        <v>1.0289351851851852E-2</v>
      </c>
      <c r="C4691" t="s">
        <v>7746</v>
      </c>
      <c r="D4691" t="s">
        <v>623</v>
      </c>
      <c r="E4691" t="s">
        <v>624</v>
      </c>
      <c r="F4691" t="s">
        <v>5432</v>
      </c>
      <c r="G4691">
        <v>1833666</v>
      </c>
      <c r="H4691" t="s">
        <v>526</v>
      </c>
      <c r="I4691" t="s">
        <v>1407</v>
      </c>
      <c r="J4691" t="str">
        <f>"9780226166216"</f>
        <v>9780226166216</v>
      </c>
      <c r="K4691" t="s">
        <v>7748</v>
      </c>
      <c r="L4691">
        <v>37</v>
      </c>
      <c r="O4691" t="s">
        <v>30</v>
      </c>
      <c r="P4691" t="s">
        <v>50</v>
      </c>
      <c r="S4691" t="s">
        <v>627</v>
      </c>
      <c r="T4691" t="s">
        <v>5434</v>
      </c>
      <c r="U4691" t="s">
        <v>5435</v>
      </c>
      <c r="V4691" s="3">
        <v>41967</v>
      </c>
    </row>
    <row r="4692" spans="1:22" x14ac:dyDescent="0.35">
      <c r="A4692" s="1">
        <v>42311.690844907411</v>
      </c>
      <c r="B4692" s="2">
        <v>1.4583333333333334E-3</v>
      </c>
      <c r="C4692" t="s">
        <v>106</v>
      </c>
      <c r="D4692" t="s">
        <v>23</v>
      </c>
      <c r="E4692" t="s">
        <v>24</v>
      </c>
      <c r="F4692" t="s">
        <v>1051</v>
      </c>
      <c r="G4692">
        <v>821663</v>
      </c>
      <c r="H4692" t="s">
        <v>26</v>
      </c>
      <c r="I4692" t="s">
        <v>200</v>
      </c>
      <c r="J4692" t="str">
        <f>"9781118168479"</f>
        <v>9781118168479</v>
      </c>
      <c r="K4692" t="s">
        <v>7749</v>
      </c>
      <c r="L4692">
        <v>36</v>
      </c>
      <c r="O4692" t="s">
        <v>30</v>
      </c>
      <c r="P4692" t="s">
        <v>42</v>
      </c>
      <c r="S4692" t="s">
        <v>31</v>
      </c>
      <c r="T4692" t="s">
        <v>1053</v>
      </c>
      <c r="U4692">
        <v>729</v>
      </c>
      <c r="V4692" s="3">
        <v>40973</v>
      </c>
    </row>
    <row r="4693" spans="1:22" x14ac:dyDescent="0.35">
      <c r="A4693" s="1">
        <v>42311.687337962961</v>
      </c>
      <c r="B4693" s="2">
        <v>0</v>
      </c>
      <c r="C4693" t="s">
        <v>7750</v>
      </c>
      <c r="D4693" t="s">
        <v>35</v>
      </c>
      <c r="E4693" t="s">
        <v>36</v>
      </c>
      <c r="F4693" t="s">
        <v>7751</v>
      </c>
      <c r="G4693">
        <v>1662663</v>
      </c>
      <c r="H4693" t="s">
        <v>26</v>
      </c>
      <c r="I4693" t="s">
        <v>150</v>
      </c>
      <c r="J4693" t="str">
        <f>"9781118769522"</f>
        <v>9781118769522</v>
      </c>
      <c r="L4693">
        <v>0</v>
      </c>
      <c r="O4693" t="s">
        <v>28</v>
      </c>
      <c r="P4693" t="s">
        <v>47</v>
      </c>
      <c r="Q4693" s="1">
        <v>42311.687337962961</v>
      </c>
      <c r="R4693">
        <v>7</v>
      </c>
      <c r="S4693" t="s">
        <v>40</v>
      </c>
      <c r="T4693" t="s">
        <v>7752</v>
      </c>
      <c r="U4693">
        <v>785.12</v>
      </c>
      <c r="V4693" s="3">
        <v>41722</v>
      </c>
    </row>
    <row r="4694" spans="1:22" x14ac:dyDescent="0.35">
      <c r="A4694" s="1">
        <v>42311.687337962961</v>
      </c>
      <c r="B4694" s="2">
        <v>0</v>
      </c>
      <c r="C4694" t="s">
        <v>7750</v>
      </c>
      <c r="D4694" t="s">
        <v>35</v>
      </c>
      <c r="E4694" t="s">
        <v>36</v>
      </c>
      <c r="F4694" t="s">
        <v>7751</v>
      </c>
      <c r="G4694">
        <v>1662663</v>
      </c>
      <c r="H4694" t="s">
        <v>26</v>
      </c>
      <c r="I4694" t="s">
        <v>150</v>
      </c>
      <c r="J4694" t="str">
        <f>"9781118769522"</f>
        <v>9781118769522</v>
      </c>
      <c r="L4694">
        <v>0</v>
      </c>
      <c r="O4694" t="s">
        <v>30</v>
      </c>
      <c r="P4694" t="s">
        <v>47</v>
      </c>
      <c r="Q4694" s="1">
        <v>42311.687337962961</v>
      </c>
      <c r="R4694">
        <v>7</v>
      </c>
      <c r="S4694" t="s">
        <v>40</v>
      </c>
      <c r="T4694" t="s">
        <v>7752</v>
      </c>
      <c r="U4694">
        <v>785.12</v>
      </c>
      <c r="V4694" s="3">
        <v>41722</v>
      </c>
    </row>
    <row r="4695" spans="1:22" x14ac:dyDescent="0.35">
      <c r="A4695" s="1">
        <v>42311.68582175926</v>
      </c>
      <c r="B4695" s="2">
        <v>1.5162037037037036E-3</v>
      </c>
      <c r="C4695" t="s">
        <v>7750</v>
      </c>
      <c r="D4695" t="s">
        <v>35</v>
      </c>
      <c r="E4695" t="s">
        <v>36</v>
      </c>
      <c r="F4695" t="s">
        <v>7751</v>
      </c>
      <c r="G4695">
        <v>1662663</v>
      </c>
      <c r="H4695" t="s">
        <v>26</v>
      </c>
      <c r="I4695" t="s">
        <v>150</v>
      </c>
      <c r="J4695" t="str">
        <f>"9781118769522"</f>
        <v>9781118769522</v>
      </c>
      <c r="K4695" t="s">
        <v>7753</v>
      </c>
      <c r="L4695">
        <v>13</v>
      </c>
      <c r="O4695" t="s">
        <v>30</v>
      </c>
      <c r="P4695" t="s">
        <v>50</v>
      </c>
      <c r="S4695" t="s">
        <v>40</v>
      </c>
      <c r="T4695" t="s">
        <v>7752</v>
      </c>
      <c r="U4695">
        <v>785.12</v>
      </c>
      <c r="V4695" s="3">
        <v>41722</v>
      </c>
    </row>
    <row r="4696" spans="1:22" x14ac:dyDescent="0.35">
      <c r="A4696" s="1">
        <v>42311.684664351851</v>
      </c>
      <c r="B4696" s="2">
        <v>9.2592592592592588E-5</v>
      </c>
      <c r="C4696" t="s">
        <v>7649</v>
      </c>
      <c r="D4696" t="s">
        <v>23</v>
      </c>
      <c r="E4696" t="s">
        <v>24</v>
      </c>
      <c r="F4696" t="s">
        <v>4881</v>
      </c>
      <c r="G4696">
        <v>1969407</v>
      </c>
      <c r="H4696" t="s">
        <v>45</v>
      </c>
      <c r="I4696" t="s">
        <v>200</v>
      </c>
      <c r="J4696" t="str">
        <f>"9781472422880"</f>
        <v>9781472422880</v>
      </c>
      <c r="K4696" t="s">
        <v>355</v>
      </c>
      <c r="L4696">
        <v>8</v>
      </c>
      <c r="O4696" t="s">
        <v>30</v>
      </c>
      <c r="P4696" t="s">
        <v>47</v>
      </c>
      <c r="Q4696" s="1">
        <v>42310.78429398148</v>
      </c>
      <c r="R4696">
        <v>1</v>
      </c>
      <c r="S4696" t="s">
        <v>31</v>
      </c>
      <c r="T4696" t="s">
        <v>4883</v>
      </c>
      <c r="U4696">
        <v>720.71</v>
      </c>
      <c r="V4696" s="3">
        <v>42091</v>
      </c>
    </row>
    <row r="4697" spans="1:22" x14ac:dyDescent="0.35">
      <c r="A4697" s="1">
        <v>42311.678425925929</v>
      </c>
      <c r="B4697" s="2">
        <v>6.134259259259259E-4</v>
      </c>
      <c r="C4697" t="s">
        <v>7754</v>
      </c>
      <c r="D4697" t="s">
        <v>35</v>
      </c>
      <c r="E4697" t="s">
        <v>36</v>
      </c>
      <c r="F4697" t="s">
        <v>3673</v>
      </c>
      <c r="G4697">
        <v>1816989</v>
      </c>
      <c r="H4697" t="s">
        <v>186</v>
      </c>
      <c r="I4697" t="s">
        <v>3674</v>
      </c>
      <c r="J4697" t="str">
        <f>"9781780644578"</f>
        <v>9781780644578</v>
      </c>
      <c r="K4697" t="s">
        <v>7755</v>
      </c>
      <c r="L4697">
        <v>14</v>
      </c>
      <c r="O4697" t="s">
        <v>30</v>
      </c>
      <c r="P4697" t="s">
        <v>50</v>
      </c>
      <c r="S4697" t="s">
        <v>40</v>
      </c>
      <c r="T4697" t="s">
        <v>3676</v>
      </c>
      <c r="U4697" t="s">
        <v>3677</v>
      </c>
      <c r="V4697" s="3">
        <v>41908</v>
      </c>
    </row>
    <row r="4698" spans="1:22" x14ac:dyDescent="0.35">
      <c r="A4698" s="1">
        <v>42311.675868055558</v>
      </c>
      <c r="B4698" s="2">
        <v>7.407407407407407E-4</v>
      </c>
      <c r="C4698" t="s">
        <v>2972</v>
      </c>
      <c r="D4698" t="s">
        <v>23</v>
      </c>
      <c r="E4698" t="s">
        <v>24</v>
      </c>
      <c r="F4698" t="s">
        <v>1051</v>
      </c>
      <c r="G4698">
        <v>821663</v>
      </c>
      <c r="H4698" t="s">
        <v>26</v>
      </c>
      <c r="I4698" t="s">
        <v>200</v>
      </c>
      <c r="J4698" t="str">
        <f>"9781118168479"</f>
        <v>9781118168479</v>
      </c>
      <c r="K4698" t="s">
        <v>7756</v>
      </c>
      <c r="L4698">
        <v>20</v>
      </c>
      <c r="O4698" t="s">
        <v>30</v>
      </c>
      <c r="P4698" t="s">
        <v>42</v>
      </c>
      <c r="S4698" t="s">
        <v>31</v>
      </c>
      <c r="T4698" t="s">
        <v>1053</v>
      </c>
      <c r="U4698">
        <v>729</v>
      </c>
      <c r="V4698" s="3">
        <v>40973</v>
      </c>
    </row>
    <row r="4699" spans="1:22" x14ac:dyDescent="0.35">
      <c r="A4699" s="1">
        <v>42311.646481481483</v>
      </c>
      <c r="B4699" s="2">
        <v>1.0069444444444444E-3</v>
      </c>
      <c r="C4699" t="s">
        <v>7757</v>
      </c>
      <c r="D4699" t="s">
        <v>623</v>
      </c>
      <c r="E4699" t="s">
        <v>624</v>
      </c>
      <c r="F4699" t="s">
        <v>4376</v>
      </c>
      <c r="G4699">
        <v>918742</v>
      </c>
      <c r="H4699" t="s">
        <v>1365</v>
      </c>
      <c r="I4699" t="s">
        <v>120</v>
      </c>
      <c r="J4699" t="str">
        <f>"9781441130525"</f>
        <v>9781441130525</v>
      </c>
      <c r="K4699" t="s">
        <v>7758</v>
      </c>
      <c r="L4699">
        <v>17</v>
      </c>
      <c r="O4699" t="s">
        <v>30</v>
      </c>
      <c r="P4699" t="s">
        <v>42</v>
      </c>
      <c r="S4699" t="s">
        <v>627</v>
      </c>
      <c r="T4699" t="s">
        <v>4378</v>
      </c>
      <c r="U4699">
        <v>363.33097299999997</v>
      </c>
      <c r="V4699" s="3">
        <v>41061</v>
      </c>
    </row>
    <row r="4700" spans="1:22" x14ac:dyDescent="0.35">
      <c r="A4700" s="1">
        <v>42311.615624999999</v>
      </c>
      <c r="B4700" s="2">
        <v>1.0763888888888889E-3</v>
      </c>
      <c r="C4700" t="s">
        <v>7759</v>
      </c>
      <c r="D4700" t="s">
        <v>623</v>
      </c>
      <c r="E4700" t="s">
        <v>624</v>
      </c>
      <c r="F4700" t="s">
        <v>3961</v>
      </c>
      <c r="G4700">
        <v>1610008</v>
      </c>
      <c r="H4700" t="s">
        <v>45</v>
      </c>
      <c r="I4700" t="s">
        <v>3962</v>
      </c>
      <c r="J4700" t="str">
        <f>"9781409457206"</f>
        <v>9781409457206</v>
      </c>
      <c r="K4700" t="s">
        <v>7760</v>
      </c>
      <c r="L4700">
        <v>18</v>
      </c>
      <c r="O4700" t="s">
        <v>30</v>
      </c>
      <c r="P4700" t="s">
        <v>42</v>
      </c>
      <c r="S4700" t="s">
        <v>627</v>
      </c>
      <c r="T4700" t="s">
        <v>3964</v>
      </c>
      <c r="U4700">
        <v>364.66</v>
      </c>
      <c r="V4700" s="3">
        <v>41726</v>
      </c>
    </row>
    <row r="4701" spans="1:22" x14ac:dyDescent="0.35">
      <c r="A4701" s="1">
        <v>42311.611724537041</v>
      </c>
      <c r="B4701" s="2">
        <v>9.0277777777777784E-4</v>
      </c>
      <c r="C4701" t="s">
        <v>7761</v>
      </c>
      <c r="D4701" t="s">
        <v>623</v>
      </c>
      <c r="E4701" t="s">
        <v>624</v>
      </c>
      <c r="F4701" t="s">
        <v>7762</v>
      </c>
      <c r="G4701">
        <v>2009964</v>
      </c>
      <c r="H4701" t="s">
        <v>84</v>
      </c>
      <c r="I4701" t="s">
        <v>150</v>
      </c>
      <c r="J4701" t="str">
        <f>"9780520962934"</f>
        <v>9780520962934</v>
      </c>
      <c r="K4701" t="s">
        <v>443</v>
      </c>
      <c r="L4701">
        <v>19</v>
      </c>
      <c r="O4701" t="s">
        <v>30</v>
      </c>
      <c r="P4701" t="s">
        <v>50</v>
      </c>
      <c r="S4701" t="s">
        <v>627</v>
      </c>
      <c r="T4701" t="s">
        <v>7763</v>
      </c>
      <c r="U4701">
        <v>780.23</v>
      </c>
      <c r="V4701" s="3">
        <v>42248</v>
      </c>
    </row>
    <row r="4702" spans="1:22" x14ac:dyDescent="0.35">
      <c r="A4702" s="1">
        <v>42311.608923611115</v>
      </c>
      <c r="B4702" s="2">
        <v>7.5231481481481471E-4</v>
      </c>
      <c r="C4702" t="s">
        <v>7764</v>
      </c>
      <c r="D4702" t="s">
        <v>623</v>
      </c>
      <c r="E4702" t="s">
        <v>624</v>
      </c>
      <c r="F4702" t="s">
        <v>7765</v>
      </c>
      <c r="G4702">
        <v>2144890</v>
      </c>
      <c r="H4702" t="s">
        <v>26</v>
      </c>
      <c r="I4702" t="s">
        <v>998</v>
      </c>
      <c r="J4702" t="str">
        <f>"9780745695853"</f>
        <v>9780745695853</v>
      </c>
      <c r="K4702" t="s">
        <v>339</v>
      </c>
      <c r="L4702">
        <v>18</v>
      </c>
      <c r="O4702" t="s">
        <v>30</v>
      </c>
      <c r="P4702" t="s">
        <v>42</v>
      </c>
      <c r="S4702" t="s">
        <v>627</v>
      </c>
      <c r="T4702" t="s">
        <v>7766</v>
      </c>
      <c r="U4702" t="s">
        <v>7767</v>
      </c>
      <c r="V4702" s="3">
        <v>42222</v>
      </c>
    </row>
    <row r="4703" spans="1:22" x14ac:dyDescent="0.35">
      <c r="A4703" s="1">
        <v>42311.604872685188</v>
      </c>
      <c r="B4703" s="2">
        <v>6.2499999999999995E-3</v>
      </c>
      <c r="C4703" t="s">
        <v>7768</v>
      </c>
      <c r="D4703" t="s">
        <v>623</v>
      </c>
      <c r="E4703" t="s">
        <v>624</v>
      </c>
      <c r="F4703" t="s">
        <v>7769</v>
      </c>
      <c r="G4703">
        <v>1939110</v>
      </c>
      <c r="H4703" t="s">
        <v>84</v>
      </c>
      <c r="I4703" t="s">
        <v>120</v>
      </c>
      <c r="J4703" t="str">
        <f>"9780520959378"</f>
        <v>9780520959378</v>
      </c>
      <c r="K4703" t="s">
        <v>7770</v>
      </c>
      <c r="L4703">
        <v>16</v>
      </c>
      <c r="O4703" t="s">
        <v>30</v>
      </c>
      <c r="P4703" t="s">
        <v>47</v>
      </c>
      <c r="Q4703" s="1">
        <v>42311.604861111111</v>
      </c>
      <c r="R4703">
        <v>1</v>
      </c>
      <c r="S4703" t="s">
        <v>627</v>
      </c>
      <c r="T4703" t="s">
        <v>7771</v>
      </c>
      <c r="U4703">
        <v>364.10980000000001</v>
      </c>
      <c r="V4703" s="3">
        <v>42160</v>
      </c>
    </row>
    <row r="4704" spans="1:22" x14ac:dyDescent="0.35">
      <c r="A4704" s="1">
        <v>42311.600925925923</v>
      </c>
      <c r="B4704" s="2">
        <v>3.9351851851851857E-3</v>
      </c>
      <c r="C4704" t="s">
        <v>7768</v>
      </c>
      <c r="D4704" t="s">
        <v>623</v>
      </c>
      <c r="E4704" t="s">
        <v>624</v>
      </c>
      <c r="F4704" t="s">
        <v>7769</v>
      </c>
      <c r="G4704">
        <v>1939110</v>
      </c>
      <c r="H4704" t="s">
        <v>84</v>
      </c>
      <c r="I4704" t="s">
        <v>120</v>
      </c>
      <c r="J4704" t="str">
        <f>"9780520959378"</f>
        <v>9780520959378</v>
      </c>
      <c r="K4704" t="s">
        <v>7772</v>
      </c>
      <c r="L4704">
        <v>19</v>
      </c>
      <c r="O4704" t="s">
        <v>30</v>
      </c>
      <c r="P4704" t="s">
        <v>50</v>
      </c>
      <c r="S4704" t="s">
        <v>627</v>
      </c>
      <c r="T4704" t="s">
        <v>7771</v>
      </c>
      <c r="U4704">
        <v>364.10980000000001</v>
      </c>
      <c r="V4704" s="3">
        <v>42160</v>
      </c>
    </row>
    <row r="4705" spans="1:22" x14ac:dyDescent="0.35">
      <c r="A4705" s="1">
        <v>42311.596944444442</v>
      </c>
      <c r="B4705" s="2">
        <v>1.2384259259259258E-3</v>
      </c>
      <c r="C4705" t="s">
        <v>106</v>
      </c>
      <c r="D4705" t="s">
        <v>23</v>
      </c>
      <c r="E4705" t="s">
        <v>24</v>
      </c>
      <c r="F4705" t="s">
        <v>486</v>
      </c>
      <c r="G4705">
        <v>1119505</v>
      </c>
      <c r="H4705" t="s">
        <v>26</v>
      </c>
      <c r="I4705" t="s">
        <v>450</v>
      </c>
      <c r="J4705" t="str">
        <f>"9781118355015"</f>
        <v>9781118355015</v>
      </c>
      <c r="K4705" t="s">
        <v>7773</v>
      </c>
      <c r="L4705">
        <v>22</v>
      </c>
      <c r="O4705" t="s">
        <v>30</v>
      </c>
      <c r="P4705" t="s">
        <v>29</v>
      </c>
      <c r="Q4705" s="1">
        <v>42306.770254629628</v>
      </c>
      <c r="R4705">
        <v>7</v>
      </c>
      <c r="S4705" t="s">
        <v>31</v>
      </c>
      <c r="T4705" t="s">
        <v>487</v>
      </c>
      <c r="U4705" t="s">
        <v>488</v>
      </c>
      <c r="V4705" s="3">
        <v>41302</v>
      </c>
    </row>
    <row r="4706" spans="1:22" x14ac:dyDescent="0.35">
      <c r="A4706" s="1">
        <v>42311.593310185184</v>
      </c>
      <c r="B4706" s="2">
        <v>7.3842592592592597E-3</v>
      </c>
      <c r="C4706" t="s">
        <v>7774</v>
      </c>
      <c r="D4706" t="s">
        <v>23</v>
      </c>
      <c r="E4706" t="s">
        <v>24</v>
      </c>
      <c r="F4706" t="s">
        <v>1051</v>
      </c>
      <c r="G4706">
        <v>821663</v>
      </c>
      <c r="H4706" t="s">
        <v>26</v>
      </c>
      <c r="I4706" t="s">
        <v>200</v>
      </c>
      <c r="J4706" t="str">
        <f>"9781118168479"</f>
        <v>9781118168479</v>
      </c>
      <c r="K4706" t="s">
        <v>7775</v>
      </c>
      <c r="L4706">
        <v>42</v>
      </c>
      <c r="O4706" t="s">
        <v>30</v>
      </c>
      <c r="P4706" t="s">
        <v>29</v>
      </c>
      <c r="Q4706" s="1">
        <v>42311.515196759261</v>
      </c>
      <c r="R4706">
        <v>7</v>
      </c>
      <c r="S4706" t="s">
        <v>31</v>
      </c>
      <c r="T4706" t="s">
        <v>1053</v>
      </c>
      <c r="U4706">
        <v>729</v>
      </c>
      <c r="V4706" s="3">
        <v>40973</v>
      </c>
    </row>
    <row r="4707" spans="1:22" x14ac:dyDescent="0.35">
      <c r="A4707" s="1">
        <v>42311.588240740741</v>
      </c>
      <c r="B4707" s="2">
        <v>6.4814814814814813E-4</v>
      </c>
      <c r="C4707" t="s">
        <v>7776</v>
      </c>
      <c r="D4707" t="s">
        <v>35</v>
      </c>
      <c r="E4707" t="s">
        <v>36</v>
      </c>
      <c r="F4707" t="s">
        <v>7777</v>
      </c>
      <c r="G4707">
        <v>1895123</v>
      </c>
      <c r="H4707" t="s">
        <v>26</v>
      </c>
      <c r="I4707" t="s">
        <v>276</v>
      </c>
      <c r="J4707" t="str">
        <f>"9781118865996"</f>
        <v>9781118865996</v>
      </c>
      <c r="K4707" t="s">
        <v>7778</v>
      </c>
      <c r="L4707">
        <v>22</v>
      </c>
      <c r="O4707" t="s">
        <v>30</v>
      </c>
      <c r="P4707" t="s">
        <v>50</v>
      </c>
      <c r="S4707" t="s">
        <v>40</v>
      </c>
      <c r="T4707" t="s">
        <v>7779</v>
      </c>
      <c r="U4707">
        <v>5.2762000000000002</v>
      </c>
      <c r="V4707" s="3">
        <v>42068</v>
      </c>
    </row>
    <row r="4708" spans="1:22" x14ac:dyDescent="0.35">
      <c r="A4708" s="1">
        <v>42311.584907407407</v>
      </c>
      <c r="B4708" s="2">
        <v>0.10504629629629629</v>
      </c>
      <c r="C4708" t="s">
        <v>7780</v>
      </c>
      <c r="D4708" t="s">
        <v>23</v>
      </c>
      <c r="E4708" t="s">
        <v>24</v>
      </c>
      <c r="F4708" t="s">
        <v>2433</v>
      </c>
      <c r="G4708">
        <v>1138225</v>
      </c>
      <c r="H4708" t="s">
        <v>26</v>
      </c>
      <c r="I4708" t="s">
        <v>297</v>
      </c>
      <c r="J4708" t="str">
        <f>"9781118548356"</f>
        <v>9781118548356</v>
      </c>
      <c r="K4708" t="s">
        <v>7781</v>
      </c>
      <c r="L4708">
        <v>345</v>
      </c>
      <c r="O4708" t="s">
        <v>30</v>
      </c>
      <c r="P4708" t="s">
        <v>29</v>
      </c>
      <c r="Q4708" s="1">
        <v>42311.584907407407</v>
      </c>
      <c r="R4708">
        <v>7</v>
      </c>
      <c r="S4708" t="s">
        <v>31</v>
      </c>
      <c r="T4708" t="s">
        <v>2436</v>
      </c>
      <c r="U4708">
        <v>519.53599999999994</v>
      </c>
      <c r="V4708" s="3">
        <v>41331</v>
      </c>
    </row>
    <row r="4709" spans="1:22" x14ac:dyDescent="0.35">
      <c r="A4709" s="1">
        <v>42311.577523148146</v>
      </c>
      <c r="B4709" s="2">
        <v>7.3842592592592597E-3</v>
      </c>
      <c r="C4709" t="s">
        <v>7780</v>
      </c>
      <c r="D4709" t="s">
        <v>23</v>
      </c>
      <c r="E4709" t="s">
        <v>24</v>
      </c>
      <c r="F4709" t="s">
        <v>2433</v>
      </c>
      <c r="G4709">
        <v>1138225</v>
      </c>
      <c r="H4709" t="s">
        <v>26</v>
      </c>
      <c r="I4709" t="s">
        <v>297</v>
      </c>
      <c r="J4709" t="str">
        <f>"9781118548356"</f>
        <v>9781118548356</v>
      </c>
      <c r="K4709" t="s">
        <v>7782</v>
      </c>
      <c r="L4709">
        <v>21</v>
      </c>
      <c r="O4709" t="s">
        <v>30</v>
      </c>
      <c r="P4709" t="s">
        <v>42</v>
      </c>
      <c r="S4709" t="s">
        <v>31</v>
      </c>
      <c r="T4709" t="s">
        <v>2436</v>
      </c>
      <c r="U4709">
        <v>519.53599999999994</v>
      </c>
      <c r="V4709" s="3">
        <v>41331</v>
      </c>
    </row>
    <row r="4710" spans="1:22" x14ac:dyDescent="0.35">
      <c r="A4710" s="1">
        <v>42311.569097222222</v>
      </c>
      <c r="B4710" s="2">
        <v>0</v>
      </c>
      <c r="C4710" t="s">
        <v>7783</v>
      </c>
      <c r="D4710" t="s">
        <v>623</v>
      </c>
      <c r="E4710" t="s">
        <v>624</v>
      </c>
      <c r="F4710" t="s">
        <v>235</v>
      </c>
      <c r="G4710">
        <v>1935742</v>
      </c>
      <c r="H4710" t="s">
        <v>236</v>
      </c>
      <c r="I4710" t="s">
        <v>237</v>
      </c>
      <c r="J4710" t="str">
        <f>"9781118473252"</f>
        <v>9781118473252</v>
      </c>
      <c r="L4710">
        <v>0</v>
      </c>
      <c r="O4710" t="s">
        <v>28</v>
      </c>
      <c r="P4710" t="s">
        <v>29</v>
      </c>
      <c r="Q4710" s="1">
        <v>42311.569097222222</v>
      </c>
      <c r="R4710">
        <v>7</v>
      </c>
      <c r="S4710" t="s">
        <v>627</v>
      </c>
      <c r="T4710" t="s">
        <v>239</v>
      </c>
      <c r="U4710">
        <v>550</v>
      </c>
      <c r="V4710" s="3">
        <v>41360</v>
      </c>
    </row>
    <row r="4711" spans="1:22" x14ac:dyDescent="0.35">
      <c r="A4711" s="1">
        <v>42311.569097222222</v>
      </c>
      <c r="B4711" s="2">
        <v>0</v>
      </c>
      <c r="C4711" t="s">
        <v>7783</v>
      </c>
      <c r="D4711" t="s">
        <v>623</v>
      </c>
      <c r="E4711" t="s">
        <v>624</v>
      </c>
      <c r="F4711" t="s">
        <v>235</v>
      </c>
      <c r="G4711">
        <v>1935742</v>
      </c>
      <c r="H4711" t="s">
        <v>236</v>
      </c>
      <c r="I4711" t="s">
        <v>237</v>
      </c>
      <c r="J4711" t="str">
        <f>"9781118473252"</f>
        <v>9781118473252</v>
      </c>
      <c r="L4711">
        <v>0</v>
      </c>
      <c r="O4711" t="s">
        <v>30</v>
      </c>
      <c r="P4711" t="s">
        <v>29</v>
      </c>
      <c r="Q4711" s="1">
        <v>42311.569097222222</v>
      </c>
      <c r="R4711">
        <v>7</v>
      </c>
      <c r="S4711" t="s">
        <v>627</v>
      </c>
      <c r="T4711" t="s">
        <v>239</v>
      </c>
      <c r="U4711">
        <v>550</v>
      </c>
      <c r="V4711" s="3">
        <v>41360</v>
      </c>
    </row>
    <row r="4712" spans="1:22" x14ac:dyDescent="0.35">
      <c r="A4712" s="1">
        <v>42311.566701388889</v>
      </c>
      <c r="B4712" s="2">
        <v>2.3958333333333336E-3</v>
      </c>
      <c r="C4712" t="s">
        <v>7783</v>
      </c>
      <c r="D4712" t="s">
        <v>623</v>
      </c>
      <c r="E4712" t="s">
        <v>624</v>
      </c>
      <c r="F4712" t="s">
        <v>235</v>
      </c>
      <c r="G4712">
        <v>1935742</v>
      </c>
      <c r="H4712" t="s">
        <v>236</v>
      </c>
      <c r="I4712" t="s">
        <v>237</v>
      </c>
      <c r="J4712" t="str">
        <f>"9781118473252"</f>
        <v>9781118473252</v>
      </c>
      <c r="K4712" t="s">
        <v>33</v>
      </c>
      <c r="L4712">
        <v>3</v>
      </c>
      <c r="O4712" t="s">
        <v>30</v>
      </c>
      <c r="P4712" t="s">
        <v>50</v>
      </c>
      <c r="S4712" t="s">
        <v>627</v>
      </c>
      <c r="T4712" t="s">
        <v>239</v>
      </c>
      <c r="U4712">
        <v>550</v>
      </c>
      <c r="V4712" s="3">
        <v>41360</v>
      </c>
    </row>
    <row r="4713" spans="1:22" x14ac:dyDescent="0.35">
      <c r="A4713" s="1">
        <v>42311.525173611109</v>
      </c>
      <c r="B4713" s="2">
        <v>6.9791666666666674E-3</v>
      </c>
      <c r="C4713" t="s">
        <v>2981</v>
      </c>
      <c r="D4713" t="s">
        <v>23</v>
      </c>
      <c r="E4713" t="s">
        <v>24</v>
      </c>
      <c r="F4713" t="s">
        <v>1051</v>
      </c>
      <c r="G4713">
        <v>821663</v>
      </c>
      <c r="H4713" t="s">
        <v>26</v>
      </c>
      <c r="I4713" t="s">
        <v>200</v>
      </c>
      <c r="J4713" t="str">
        <f t="shared" ref="J4713:J4719" si="26">"9781118168479"</f>
        <v>9781118168479</v>
      </c>
      <c r="K4713" t="s">
        <v>7784</v>
      </c>
      <c r="L4713">
        <v>14</v>
      </c>
      <c r="O4713" t="s">
        <v>30</v>
      </c>
      <c r="P4713" t="s">
        <v>29</v>
      </c>
      <c r="Q4713" s="1">
        <v>42311.105578703704</v>
      </c>
      <c r="R4713">
        <v>7</v>
      </c>
      <c r="S4713" t="s">
        <v>31</v>
      </c>
      <c r="T4713" t="s">
        <v>1053</v>
      </c>
      <c r="U4713">
        <v>729</v>
      </c>
      <c r="V4713" s="3">
        <v>40973</v>
      </c>
    </row>
    <row r="4714" spans="1:22" x14ac:dyDescent="0.35">
      <c r="A4714" s="1">
        <v>42311.515208333331</v>
      </c>
      <c r="B4714" s="2">
        <v>7.7777777777777779E-2</v>
      </c>
      <c r="C4714" t="s">
        <v>7774</v>
      </c>
      <c r="D4714" t="s">
        <v>23</v>
      </c>
      <c r="E4714" t="s">
        <v>24</v>
      </c>
      <c r="F4714" t="s">
        <v>1051</v>
      </c>
      <c r="G4714">
        <v>821663</v>
      </c>
      <c r="H4714" t="s">
        <v>26</v>
      </c>
      <c r="I4714" t="s">
        <v>200</v>
      </c>
      <c r="J4714" t="str">
        <f t="shared" si="26"/>
        <v>9781118168479</v>
      </c>
      <c r="K4714" t="s">
        <v>7785</v>
      </c>
      <c r="L4714">
        <v>100</v>
      </c>
      <c r="O4714" t="s">
        <v>30</v>
      </c>
      <c r="P4714" t="s">
        <v>29</v>
      </c>
      <c r="Q4714" s="1">
        <v>42311.515196759261</v>
      </c>
      <c r="R4714">
        <v>7</v>
      </c>
      <c r="S4714" t="s">
        <v>31</v>
      </c>
      <c r="T4714" t="s">
        <v>1053</v>
      </c>
      <c r="U4714">
        <v>729</v>
      </c>
      <c r="V4714" s="3">
        <v>40973</v>
      </c>
    </row>
    <row r="4715" spans="1:22" x14ac:dyDescent="0.35">
      <c r="A4715" s="1">
        <v>42311.506793981483</v>
      </c>
      <c r="B4715" s="2">
        <v>8.4027777777777781E-3</v>
      </c>
      <c r="C4715" t="s">
        <v>7774</v>
      </c>
      <c r="D4715" t="s">
        <v>23</v>
      </c>
      <c r="E4715" t="s">
        <v>24</v>
      </c>
      <c r="F4715" t="s">
        <v>1051</v>
      </c>
      <c r="G4715">
        <v>821663</v>
      </c>
      <c r="H4715" t="s">
        <v>26</v>
      </c>
      <c r="I4715" t="s">
        <v>200</v>
      </c>
      <c r="J4715" t="str">
        <f t="shared" si="26"/>
        <v>9781118168479</v>
      </c>
      <c r="K4715" t="s">
        <v>7786</v>
      </c>
      <c r="L4715">
        <v>20</v>
      </c>
      <c r="O4715" t="s">
        <v>30</v>
      </c>
      <c r="P4715" t="s">
        <v>42</v>
      </c>
      <c r="S4715" t="s">
        <v>31</v>
      </c>
      <c r="T4715" t="s">
        <v>1053</v>
      </c>
      <c r="U4715">
        <v>729</v>
      </c>
      <c r="V4715" s="3">
        <v>40973</v>
      </c>
    </row>
    <row r="4716" spans="1:22" x14ac:dyDescent="0.35">
      <c r="A4716" s="1">
        <v>42311.489490740743</v>
      </c>
      <c r="B4716" s="2">
        <v>1.1122685185185185E-2</v>
      </c>
      <c r="C4716" t="s">
        <v>2981</v>
      </c>
      <c r="D4716" t="s">
        <v>23</v>
      </c>
      <c r="E4716" t="s">
        <v>24</v>
      </c>
      <c r="F4716" t="s">
        <v>1051</v>
      </c>
      <c r="G4716">
        <v>821663</v>
      </c>
      <c r="H4716" t="s">
        <v>26</v>
      </c>
      <c r="I4716" t="s">
        <v>200</v>
      </c>
      <c r="J4716" t="str">
        <f t="shared" si="26"/>
        <v>9781118168479</v>
      </c>
      <c r="K4716" t="s">
        <v>7787</v>
      </c>
      <c r="L4716">
        <v>16</v>
      </c>
      <c r="O4716" t="s">
        <v>30</v>
      </c>
      <c r="P4716" t="s">
        <v>29</v>
      </c>
      <c r="Q4716" s="1">
        <v>42311.105578703704</v>
      </c>
      <c r="R4716">
        <v>7</v>
      </c>
      <c r="S4716" t="s">
        <v>31</v>
      </c>
      <c r="T4716" t="s">
        <v>1053</v>
      </c>
      <c r="U4716">
        <v>729</v>
      </c>
      <c r="V4716" s="3">
        <v>40973</v>
      </c>
    </row>
    <row r="4717" spans="1:22" x14ac:dyDescent="0.35">
      <c r="A4717" s="1">
        <v>42311.432511574072</v>
      </c>
      <c r="B4717" s="2">
        <v>1.1516203703703702E-2</v>
      </c>
      <c r="C4717" t="s">
        <v>2981</v>
      </c>
      <c r="D4717" t="s">
        <v>23</v>
      </c>
      <c r="E4717" t="s">
        <v>24</v>
      </c>
      <c r="F4717" t="s">
        <v>1051</v>
      </c>
      <c r="G4717">
        <v>821663</v>
      </c>
      <c r="H4717" t="s">
        <v>26</v>
      </c>
      <c r="I4717" t="s">
        <v>200</v>
      </c>
      <c r="J4717" t="str">
        <f t="shared" si="26"/>
        <v>9781118168479</v>
      </c>
      <c r="K4717" t="s">
        <v>7788</v>
      </c>
      <c r="L4717">
        <v>19</v>
      </c>
      <c r="O4717" t="s">
        <v>30</v>
      </c>
      <c r="P4717" t="s">
        <v>29</v>
      </c>
      <c r="Q4717" s="1">
        <v>42311.105578703704</v>
      </c>
      <c r="R4717">
        <v>7</v>
      </c>
      <c r="S4717" t="s">
        <v>31</v>
      </c>
      <c r="T4717" t="s">
        <v>1053</v>
      </c>
      <c r="U4717">
        <v>729</v>
      </c>
      <c r="V4717" s="3">
        <v>40973</v>
      </c>
    </row>
    <row r="4718" spans="1:22" x14ac:dyDescent="0.35">
      <c r="A4718" s="1">
        <v>42311.245636574073</v>
      </c>
      <c r="B4718" s="2">
        <v>1.7361111111111112E-4</v>
      </c>
      <c r="C4718" t="s">
        <v>5271</v>
      </c>
      <c r="D4718" t="s">
        <v>23</v>
      </c>
      <c r="E4718" t="s">
        <v>24</v>
      </c>
      <c r="F4718" t="s">
        <v>1051</v>
      </c>
      <c r="G4718">
        <v>821663</v>
      </c>
      <c r="H4718" t="s">
        <v>26</v>
      </c>
      <c r="I4718" t="s">
        <v>200</v>
      </c>
      <c r="J4718" t="str">
        <f t="shared" si="26"/>
        <v>9781118168479</v>
      </c>
      <c r="K4718" t="s">
        <v>7789</v>
      </c>
      <c r="L4718">
        <v>3</v>
      </c>
      <c r="O4718" t="s">
        <v>30</v>
      </c>
      <c r="P4718" t="s">
        <v>29</v>
      </c>
      <c r="Q4718" s="1">
        <v>42311.245636574073</v>
      </c>
      <c r="R4718">
        <v>7</v>
      </c>
      <c r="S4718" t="s">
        <v>31</v>
      </c>
      <c r="T4718" t="s">
        <v>1053</v>
      </c>
      <c r="U4718">
        <v>729</v>
      </c>
      <c r="V4718" s="3">
        <v>40973</v>
      </c>
    </row>
    <row r="4719" spans="1:22" x14ac:dyDescent="0.35">
      <c r="A4719" s="1">
        <v>42311.231516203705</v>
      </c>
      <c r="B4719" s="2">
        <v>1.4120370370370368E-2</v>
      </c>
      <c r="C4719" t="s">
        <v>5271</v>
      </c>
      <c r="D4719" t="s">
        <v>23</v>
      </c>
      <c r="E4719" t="s">
        <v>24</v>
      </c>
      <c r="F4719" t="s">
        <v>1051</v>
      </c>
      <c r="G4719">
        <v>821663</v>
      </c>
      <c r="H4719" t="s">
        <v>26</v>
      </c>
      <c r="I4719" t="s">
        <v>200</v>
      </c>
      <c r="J4719" t="str">
        <f t="shared" si="26"/>
        <v>9781118168479</v>
      </c>
      <c r="K4719" t="s">
        <v>33</v>
      </c>
      <c r="L4719">
        <v>3</v>
      </c>
      <c r="O4719" t="s">
        <v>30</v>
      </c>
      <c r="P4719" t="s">
        <v>42</v>
      </c>
      <c r="S4719" t="s">
        <v>31</v>
      </c>
      <c r="T4719" t="s">
        <v>1053</v>
      </c>
      <c r="U4719">
        <v>729</v>
      </c>
      <c r="V4719" s="3">
        <v>40973</v>
      </c>
    </row>
    <row r="4720" spans="1:22" x14ac:dyDescent="0.35">
      <c r="A4720" s="1">
        <v>42311.205347222225</v>
      </c>
      <c r="B4720" s="2">
        <v>4.6180555555555558E-3</v>
      </c>
      <c r="C4720" t="s">
        <v>4713</v>
      </c>
      <c r="D4720" t="s">
        <v>1222</v>
      </c>
      <c r="E4720" t="s">
        <v>1223</v>
      </c>
      <c r="F4720" t="s">
        <v>3263</v>
      </c>
      <c r="G4720">
        <v>1840835</v>
      </c>
      <c r="H4720" t="s">
        <v>26</v>
      </c>
      <c r="I4720" t="s">
        <v>108</v>
      </c>
      <c r="J4720" t="str">
        <f>"9781118950166"</f>
        <v>9781118950166</v>
      </c>
      <c r="K4720" t="s">
        <v>7790</v>
      </c>
      <c r="L4720">
        <v>30</v>
      </c>
      <c r="O4720" t="s">
        <v>30</v>
      </c>
      <c r="P4720" t="s">
        <v>29</v>
      </c>
      <c r="Q4720" s="1">
        <v>42311.205347222225</v>
      </c>
      <c r="R4720">
        <v>7</v>
      </c>
      <c r="S4720" t="s">
        <v>1226</v>
      </c>
      <c r="T4720" t="s">
        <v>3264</v>
      </c>
      <c r="U4720">
        <v>338.10923789999998</v>
      </c>
      <c r="V4720" s="3">
        <v>41953</v>
      </c>
    </row>
    <row r="4721" spans="1:22" x14ac:dyDescent="0.35">
      <c r="A4721" s="1">
        <v>42311.198379629626</v>
      </c>
      <c r="B4721" s="2">
        <v>6.9675925925925921E-3</v>
      </c>
      <c r="C4721" t="s">
        <v>4713</v>
      </c>
      <c r="D4721" t="s">
        <v>1222</v>
      </c>
      <c r="E4721" t="s">
        <v>1223</v>
      </c>
      <c r="F4721" t="s">
        <v>3263</v>
      </c>
      <c r="G4721">
        <v>1840835</v>
      </c>
      <c r="H4721" t="s">
        <v>26</v>
      </c>
      <c r="I4721" t="s">
        <v>108</v>
      </c>
      <c r="J4721" t="str">
        <f>"9781118950166"</f>
        <v>9781118950166</v>
      </c>
      <c r="K4721" t="s">
        <v>7791</v>
      </c>
      <c r="L4721">
        <v>33</v>
      </c>
      <c r="O4721" t="s">
        <v>30</v>
      </c>
      <c r="P4721" t="s">
        <v>42</v>
      </c>
      <c r="S4721" t="s">
        <v>1226</v>
      </c>
      <c r="T4721" t="s">
        <v>3264</v>
      </c>
      <c r="U4721">
        <v>338.10923789999998</v>
      </c>
      <c r="V4721" s="3">
        <v>41953</v>
      </c>
    </row>
    <row r="4722" spans="1:22" x14ac:dyDescent="0.35">
      <c r="A4722" s="1">
        <v>42311.193055555559</v>
      </c>
      <c r="B4722" s="2">
        <v>1.273148148148148E-4</v>
      </c>
      <c r="C4722" t="s">
        <v>106</v>
      </c>
      <c r="D4722" t="s">
        <v>23</v>
      </c>
      <c r="E4722" t="s">
        <v>24</v>
      </c>
      <c r="F4722" t="s">
        <v>3268</v>
      </c>
      <c r="G4722">
        <v>1645679</v>
      </c>
      <c r="H4722" t="s">
        <v>45</v>
      </c>
      <c r="I4722" t="s">
        <v>2879</v>
      </c>
      <c r="J4722" t="str">
        <f>"9781472413079"</f>
        <v>9781472413079</v>
      </c>
      <c r="K4722" t="s">
        <v>7792</v>
      </c>
      <c r="L4722">
        <v>7</v>
      </c>
      <c r="O4722" t="s">
        <v>30</v>
      </c>
      <c r="P4722" t="s">
        <v>29</v>
      </c>
      <c r="Q4722" s="1">
        <v>42311.192314814813</v>
      </c>
      <c r="R4722">
        <v>7</v>
      </c>
      <c r="S4722" t="s">
        <v>31</v>
      </c>
      <c r="T4722" t="s">
        <v>3269</v>
      </c>
      <c r="U4722" t="s">
        <v>3270</v>
      </c>
      <c r="V4722" s="3">
        <v>41726</v>
      </c>
    </row>
    <row r="4723" spans="1:22" x14ac:dyDescent="0.35">
      <c r="A4723" s="1">
        <v>42311.192731481482</v>
      </c>
      <c r="B4723" s="2">
        <v>0</v>
      </c>
      <c r="C4723" t="s">
        <v>2525</v>
      </c>
      <c r="D4723" t="s">
        <v>117</v>
      </c>
      <c r="E4723" t="s">
        <v>118</v>
      </c>
      <c r="F4723" t="s">
        <v>6215</v>
      </c>
      <c r="G4723">
        <v>1718748</v>
      </c>
      <c r="H4723" t="s">
        <v>26</v>
      </c>
      <c r="I4723" t="s">
        <v>297</v>
      </c>
      <c r="J4723" t="str">
        <f>"9781118791080"</f>
        <v>9781118791080</v>
      </c>
      <c r="L4723">
        <v>0</v>
      </c>
      <c r="O4723" t="s">
        <v>28</v>
      </c>
      <c r="P4723" t="s">
        <v>29</v>
      </c>
      <c r="Q4723" s="1">
        <v>42311.188842592594</v>
      </c>
      <c r="R4723">
        <v>7</v>
      </c>
      <c r="S4723" t="s">
        <v>121</v>
      </c>
      <c r="T4723" t="s">
        <v>6217</v>
      </c>
      <c r="U4723">
        <v>515</v>
      </c>
      <c r="V4723" s="3">
        <v>41813</v>
      </c>
    </row>
    <row r="4724" spans="1:22" x14ac:dyDescent="0.35">
      <c r="A4724" s="1">
        <v>42311.192511574074</v>
      </c>
      <c r="B4724" s="2">
        <v>4.6296296296296294E-5</v>
      </c>
      <c r="C4724" t="s">
        <v>2525</v>
      </c>
      <c r="D4724" t="s">
        <v>117</v>
      </c>
      <c r="E4724" t="s">
        <v>118</v>
      </c>
      <c r="F4724" t="s">
        <v>6215</v>
      </c>
      <c r="G4724">
        <v>1718748</v>
      </c>
      <c r="H4724" t="s">
        <v>26</v>
      </c>
      <c r="I4724" t="s">
        <v>297</v>
      </c>
      <c r="J4724" t="str">
        <f>"9781118791080"</f>
        <v>9781118791080</v>
      </c>
      <c r="K4724" t="s">
        <v>33</v>
      </c>
      <c r="L4724">
        <v>3</v>
      </c>
      <c r="O4724" t="s">
        <v>30</v>
      </c>
      <c r="P4724" t="s">
        <v>29</v>
      </c>
      <c r="Q4724" s="1">
        <v>42311.188842592594</v>
      </c>
      <c r="R4724">
        <v>7</v>
      </c>
      <c r="S4724" t="s">
        <v>121</v>
      </c>
      <c r="T4724" t="s">
        <v>6217</v>
      </c>
      <c r="U4724">
        <v>515</v>
      </c>
      <c r="V4724" s="3">
        <v>41813</v>
      </c>
    </row>
    <row r="4725" spans="1:22" x14ac:dyDescent="0.35">
      <c r="A4725" s="1">
        <v>42311.192314814813</v>
      </c>
      <c r="B4725" s="2">
        <v>1.6759259259259258E-2</v>
      </c>
      <c r="C4725" t="s">
        <v>106</v>
      </c>
      <c r="D4725" t="s">
        <v>23</v>
      </c>
      <c r="E4725" t="s">
        <v>24</v>
      </c>
      <c r="F4725" t="s">
        <v>3268</v>
      </c>
      <c r="G4725">
        <v>1645679</v>
      </c>
      <c r="H4725" t="s">
        <v>45</v>
      </c>
      <c r="I4725" t="s">
        <v>2879</v>
      </c>
      <c r="J4725" t="str">
        <f>"9781472413079"</f>
        <v>9781472413079</v>
      </c>
      <c r="K4725" t="s">
        <v>7793</v>
      </c>
      <c r="L4725">
        <v>28</v>
      </c>
      <c r="O4725" t="s">
        <v>30</v>
      </c>
      <c r="P4725" t="s">
        <v>29</v>
      </c>
      <c r="Q4725" s="1">
        <v>42311.192314814813</v>
      </c>
      <c r="R4725">
        <v>7</v>
      </c>
      <c r="S4725" t="s">
        <v>31</v>
      </c>
      <c r="T4725" t="s">
        <v>3269</v>
      </c>
      <c r="U4725" t="s">
        <v>3270</v>
      </c>
      <c r="V4725" s="3">
        <v>41726</v>
      </c>
    </row>
    <row r="4726" spans="1:22" x14ac:dyDescent="0.35">
      <c r="A4726" s="1">
        <v>42311.192060185182</v>
      </c>
      <c r="B4726" s="2">
        <v>0</v>
      </c>
      <c r="C4726" t="s">
        <v>2525</v>
      </c>
      <c r="D4726" t="s">
        <v>117</v>
      </c>
      <c r="E4726" t="s">
        <v>118</v>
      </c>
      <c r="F4726" t="s">
        <v>6215</v>
      </c>
      <c r="G4726">
        <v>1718748</v>
      </c>
      <c r="H4726" t="s">
        <v>26</v>
      </c>
      <c r="I4726" t="s">
        <v>297</v>
      </c>
      <c r="J4726" t="str">
        <f>"9781118791080"</f>
        <v>9781118791080</v>
      </c>
      <c r="L4726">
        <v>0</v>
      </c>
      <c r="O4726" t="s">
        <v>28</v>
      </c>
      <c r="P4726" t="s">
        <v>29</v>
      </c>
      <c r="Q4726" s="1">
        <v>42311.188842592594</v>
      </c>
      <c r="R4726">
        <v>7</v>
      </c>
      <c r="S4726" t="s">
        <v>121</v>
      </c>
      <c r="T4726" t="s">
        <v>6217</v>
      </c>
      <c r="U4726">
        <v>515</v>
      </c>
      <c r="V4726" s="3">
        <v>41813</v>
      </c>
    </row>
    <row r="4727" spans="1:22" x14ac:dyDescent="0.35">
      <c r="A4727" s="1">
        <v>42311.188842592594</v>
      </c>
      <c r="B4727" s="2">
        <v>1.689814814814815E-3</v>
      </c>
      <c r="C4727" t="s">
        <v>2525</v>
      </c>
      <c r="D4727" t="s">
        <v>117</v>
      </c>
      <c r="E4727" t="s">
        <v>118</v>
      </c>
      <c r="F4727" t="s">
        <v>6215</v>
      </c>
      <c r="G4727">
        <v>1718748</v>
      </c>
      <c r="H4727" t="s">
        <v>26</v>
      </c>
      <c r="I4727" t="s">
        <v>297</v>
      </c>
      <c r="J4727" t="str">
        <f>"9781118791080"</f>
        <v>9781118791080</v>
      </c>
      <c r="K4727" t="s">
        <v>7794</v>
      </c>
      <c r="L4727">
        <v>16</v>
      </c>
      <c r="O4727" t="s">
        <v>28</v>
      </c>
      <c r="P4727" t="s">
        <v>29</v>
      </c>
      <c r="Q4727" s="1">
        <v>42311.188842592594</v>
      </c>
      <c r="R4727">
        <v>7</v>
      </c>
      <c r="S4727" t="s">
        <v>121</v>
      </c>
      <c r="T4727" t="s">
        <v>6217</v>
      </c>
      <c r="U4727">
        <v>515</v>
      </c>
      <c r="V4727" s="3">
        <v>41813</v>
      </c>
    </row>
    <row r="4728" spans="1:22" x14ac:dyDescent="0.35">
      <c r="A4728" s="1">
        <v>42311.188842592594</v>
      </c>
      <c r="B4728" s="2">
        <v>0</v>
      </c>
      <c r="C4728" t="s">
        <v>2525</v>
      </c>
      <c r="D4728" t="s">
        <v>117</v>
      </c>
      <c r="E4728" t="s">
        <v>118</v>
      </c>
      <c r="F4728" t="s">
        <v>6215</v>
      </c>
      <c r="G4728">
        <v>1718748</v>
      </c>
      <c r="H4728" t="s">
        <v>26</v>
      </c>
      <c r="I4728" t="s">
        <v>297</v>
      </c>
      <c r="J4728" t="str">
        <f>"9781118791080"</f>
        <v>9781118791080</v>
      </c>
      <c r="L4728">
        <v>0</v>
      </c>
      <c r="O4728" t="s">
        <v>30</v>
      </c>
      <c r="P4728" t="s">
        <v>29</v>
      </c>
      <c r="Q4728" s="1">
        <v>42311.188842592594</v>
      </c>
      <c r="R4728">
        <v>7</v>
      </c>
      <c r="S4728" t="s">
        <v>121</v>
      </c>
      <c r="T4728" t="s">
        <v>6217</v>
      </c>
      <c r="U4728">
        <v>515</v>
      </c>
      <c r="V4728" s="3">
        <v>41813</v>
      </c>
    </row>
    <row r="4729" spans="1:22" x14ac:dyDescent="0.35">
      <c r="A4729" s="1">
        <v>42311.187777777777</v>
      </c>
      <c r="B4729" s="2">
        <v>7.9907407407407413E-2</v>
      </c>
      <c r="C4729" t="s">
        <v>106</v>
      </c>
      <c r="D4729" t="s">
        <v>23</v>
      </c>
      <c r="E4729" t="s">
        <v>24</v>
      </c>
      <c r="F4729" t="s">
        <v>486</v>
      </c>
      <c r="G4729">
        <v>1119505</v>
      </c>
      <c r="H4729" t="s">
        <v>26</v>
      </c>
      <c r="I4729" t="s">
        <v>450</v>
      </c>
      <c r="J4729" t="str">
        <f>"9781118355015"</f>
        <v>9781118355015</v>
      </c>
      <c r="K4729" t="s">
        <v>7795</v>
      </c>
      <c r="L4729">
        <v>19</v>
      </c>
      <c r="O4729" t="s">
        <v>30</v>
      </c>
      <c r="P4729" t="s">
        <v>29</v>
      </c>
      <c r="Q4729" s="1">
        <v>42306.770254629628</v>
      </c>
      <c r="R4729">
        <v>7</v>
      </c>
      <c r="S4729" t="s">
        <v>31</v>
      </c>
      <c r="T4729" t="s">
        <v>487</v>
      </c>
      <c r="U4729" t="s">
        <v>488</v>
      </c>
      <c r="V4729" s="3">
        <v>41302</v>
      </c>
    </row>
    <row r="4730" spans="1:22" x14ac:dyDescent="0.35">
      <c r="A4730" s="1">
        <v>42311.187627314815</v>
      </c>
      <c r="B4730" s="2">
        <v>1.2152777777777778E-3</v>
      </c>
      <c r="C4730" t="s">
        <v>7796</v>
      </c>
      <c r="D4730" t="s">
        <v>2519</v>
      </c>
      <c r="E4730" t="s">
        <v>2520</v>
      </c>
      <c r="F4730" t="s">
        <v>7797</v>
      </c>
      <c r="G4730">
        <v>1747546</v>
      </c>
      <c r="H4730" t="s">
        <v>84</v>
      </c>
      <c r="I4730" t="s">
        <v>930</v>
      </c>
      <c r="J4730" t="str">
        <f>"9780520959675"</f>
        <v>9780520959675</v>
      </c>
      <c r="K4730" t="s">
        <v>1964</v>
      </c>
      <c r="L4730">
        <v>22</v>
      </c>
      <c r="O4730" t="s">
        <v>30</v>
      </c>
      <c r="P4730" t="s">
        <v>50</v>
      </c>
      <c r="S4730" t="s">
        <v>3786</v>
      </c>
      <c r="T4730" t="s">
        <v>7798</v>
      </c>
      <c r="U4730" t="s">
        <v>7799</v>
      </c>
      <c r="V4730" s="3">
        <v>42027</v>
      </c>
    </row>
    <row r="4731" spans="1:22" x14ac:dyDescent="0.35">
      <c r="A4731" s="1">
        <v>42311.18577546296</v>
      </c>
      <c r="B4731" s="2">
        <v>3.0671296296296297E-3</v>
      </c>
      <c r="C4731" t="s">
        <v>2525</v>
      </c>
      <c r="D4731" t="s">
        <v>117</v>
      </c>
      <c r="E4731" t="s">
        <v>118</v>
      </c>
      <c r="F4731" t="s">
        <v>6215</v>
      </c>
      <c r="G4731">
        <v>1718748</v>
      </c>
      <c r="H4731" t="s">
        <v>26</v>
      </c>
      <c r="I4731" t="s">
        <v>297</v>
      </c>
      <c r="J4731" t="str">
        <f>"9781118791080"</f>
        <v>9781118791080</v>
      </c>
      <c r="K4731" t="s">
        <v>7800</v>
      </c>
      <c r="L4731">
        <v>34</v>
      </c>
      <c r="O4731" t="s">
        <v>30</v>
      </c>
      <c r="P4731" t="s">
        <v>42</v>
      </c>
      <c r="S4731" t="s">
        <v>121</v>
      </c>
      <c r="T4731" t="s">
        <v>6217</v>
      </c>
      <c r="U4731">
        <v>515</v>
      </c>
      <c r="V4731" s="3">
        <v>41813</v>
      </c>
    </row>
    <row r="4732" spans="1:22" x14ac:dyDescent="0.35">
      <c r="A4732" s="1">
        <v>42311.177534722221</v>
      </c>
      <c r="B4732" s="2">
        <v>1.4780092592592595E-2</v>
      </c>
      <c r="C4732" t="s">
        <v>106</v>
      </c>
      <c r="D4732" t="s">
        <v>23</v>
      </c>
      <c r="E4732" t="s">
        <v>24</v>
      </c>
      <c r="F4732" t="s">
        <v>3268</v>
      </c>
      <c r="G4732">
        <v>1645679</v>
      </c>
      <c r="H4732" t="s">
        <v>45</v>
      </c>
      <c r="I4732" t="s">
        <v>2879</v>
      </c>
      <c r="J4732" t="str">
        <f>"9781472413079"</f>
        <v>9781472413079</v>
      </c>
      <c r="K4732" t="s">
        <v>7801</v>
      </c>
      <c r="L4732">
        <v>8</v>
      </c>
      <c r="O4732" t="s">
        <v>30</v>
      </c>
      <c r="P4732" t="s">
        <v>42</v>
      </c>
      <c r="S4732" t="s">
        <v>31</v>
      </c>
      <c r="T4732" t="s">
        <v>3269</v>
      </c>
      <c r="U4732" t="s">
        <v>3270</v>
      </c>
      <c r="V4732" s="3">
        <v>41726</v>
      </c>
    </row>
    <row r="4733" spans="1:22" x14ac:dyDescent="0.35">
      <c r="A4733" s="1">
        <v>42311.174131944441</v>
      </c>
      <c r="B4733" s="2">
        <v>1.9108796296296294E-2</v>
      </c>
      <c r="C4733" t="s">
        <v>7802</v>
      </c>
      <c r="D4733" t="s">
        <v>23</v>
      </c>
      <c r="E4733" t="s">
        <v>24</v>
      </c>
      <c r="F4733" t="s">
        <v>5449</v>
      </c>
      <c r="G4733">
        <v>1332527</v>
      </c>
      <c r="H4733" t="s">
        <v>26</v>
      </c>
      <c r="I4733" t="s">
        <v>97</v>
      </c>
      <c r="J4733" t="str">
        <f>"9781118720882"</f>
        <v>9781118720882</v>
      </c>
      <c r="K4733" t="s">
        <v>7803</v>
      </c>
      <c r="L4733">
        <v>71</v>
      </c>
      <c r="O4733" t="s">
        <v>28</v>
      </c>
      <c r="P4733" t="s">
        <v>29</v>
      </c>
      <c r="Q4733" s="1">
        <v>42311.174131944441</v>
      </c>
      <c r="R4733">
        <v>7</v>
      </c>
      <c r="S4733" t="s">
        <v>31</v>
      </c>
      <c r="T4733" t="s">
        <v>5451</v>
      </c>
      <c r="U4733">
        <v>658.11</v>
      </c>
      <c r="V4733" s="3">
        <v>41486</v>
      </c>
    </row>
    <row r="4734" spans="1:22" x14ac:dyDescent="0.35">
      <c r="A4734" s="1">
        <v>42311.174131944441</v>
      </c>
      <c r="B4734" s="2">
        <v>0</v>
      </c>
      <c r="C4734" t="s">
        <v>7802</v>
      </c>
      <c r="D4734" t="s">
        <v>23</v>
      </c>
      <c r="E4734" t="s">
        <v>24</v>
      </c>
      <c r="F4734" t="s">
        <v>5449</v>
      </c>
      <c r="G4734">
        <v>1332527</v>
      </c>
      <c r="H4734" t="s">
        <v>26</v>
      </c>
      <c r="I4734" t="s">
        <v>97</v>
      </c>
      <c r="J4734" t="str">
        <f>"9781118720882"</f>
        <v>9781118720882</v>
      </c>
      <c r="L4734">
        <v>0</v>
      </c>
      <c r="O4734" t="s">
        <v>30</v>
      </c>
      <c r="P4734" t="s">
        <v>29</v>
      </c>
      <c r="Q4734" s="1">
        <v>42311.174131944441</v>
      </c>
      <c r="R4734">
        <v>7</v>
      </c>
      <c r="S4734" t="s">
        <v>31</v>
      </c>
      <c r="T4734" t="s">
        <v>5451</v>
      </c>
      <c r="U4734">
        <v>658.11</v>
      </c>
      <c r="V4734" s="3">
        <v>41486</v>
      </c>
    </row>
    <row r="4735" spans="1:22" x14ac:dyDescent="0.35">
      <c r="A4735" s="1">
        <v>42311.17391203704</v>
      </c>
      <c r="B4735" s="2">
        <v>2.199074074074074E-4</v>
      </c>
      <c r="C4735" t="s">
        <v>7802</v>
      </c>
      <c r="D4735" t="s">
        <v>23</v>
      </c>
      <c r="E4735" t="s">
        <v>24</v>
      </c>
      <c r="F4735" t="s">
        <v>5449</v>
      </c>
      <c r="G4735">
        <v>1332527</v>
      </c>
      <c r="H4735" t="s">
        <v>26</v>
      </c>
      <c r="I4735" t="s">
        <v>97</v>
      </c>
      <c r="J4735" t="str">
        <f>"9781118720882"</f>
        <v>9781118720882</v>
      </c>
      <c r="K4735" t="s">
        <v>33</v>
      </c>
      <c r="L4735">
        <v>3</v>
      </c>
      <c r="O4735" t="s">
        <v>30</v>
      </c>
      <c r="P4735" t="s">
        <v>42</v>
      </c>
      <c r="S4735" t="s">
        <v>31</v>
      </c>
      <c r="T4735" t="s">
        <v>5451</v>
      </c>
      <c r="U4735">
        <v>658.11</v>
      </c>
      <c r="V4735" s="3">
        <v>41486</v>
      </c>
    </row>
    <row r="4736" spans="1:22" x14ac:dyDescent="0.35">
      <c r="A4736" s="1">
        <v>42311.152303240742</v>
      </c>
      <c r="B4736" s="2">
        <v>1.4317129629629631E-2</v>
      </c>
      <c r="C4736" t="s">
        <v>6171</v>
      </c>
      <c r="D4736" t="s">
        <v>35</v>
      </c>
      <c r="E4736" t="s">
        <v>36</v>
      </c>
      <c r="F4736" t="s">
        <v>986</v>
      </c>
      <c r="G4736">
        <v>968030</v>
      </c>
      <c r="H4736" t="s">
        <v>26</v>
      </c>
      <c r="I4736" t="s">
        <v>219</v>
      </c>
      <c r="J4736" t="str">
        <f>"9781118285138"</f>
        <v>9781118285138</v>
      </c>
      <c r="K4736" t="s">
        <v>7804</v>
      </c>
      <c r="L4736">
        <v>9</v>
      </c>
      <c r="O4736" t="s">
        <v>30</v>
      </c>
      <c r="P4736" t="s">
        <v>29</v>
      </c>
      <c r="Q4736" s="1">
        <v>42311.152291666665</v>
      </c>
      <c r="R4736">
        <v>7</v>
      </c>
      <c r="S4736" t="s">
        <v>40</v>
      </c>
      <c r="T4736" t="s">
        <v>987</v>
      </c>
      <c r="U4736">
        <v>158.30000000000001</v>
      </c>
      <c r="V4736" s="3">
        <v>41100</v>
      </c>
    </row>
    <row r="4737" spans="1:22" x14ac:dyDescent="0.35">
      <c r="A4737" s="1">
        <v>42311.150092592594</v>
      </c>
      <c r="B4737" s="2">
        <v>2.4305555555555552E-4</v>
      </c>
      <c r="C4737" t="s">
        <v>7805</v>
      </c>
      <c r="D4737" t="s">
        <v>35</v>
      </c>
      <c r="E4737" t="s">
        <v>36</v>
      </c>
      <c r="F4737" t="s">
        <v>7806</v>
      </c>
      <c r="G4737">
        <v>1611704</v>
      </c>
      <c r="H4737" t="s">
        <v>139</v>
      </c>
      <c r="I4737" t="s">
        <v>247</v>
      </c>
      <c r="J4737" t="str">
        <f>"9780814777077"</f>
        <v>9780814777077</v>
      </c>
      <c r="K4737" t="s">
        <v>7807</v>
      </c>
      <c r="L4737">
        <v>15</v>
      </c>
      <c r="O4737" t="s">
        <v>30</v>
      </c>
      <c r="P4737" t="s">
        <v>50</v>
      </c>
      <c r="S4737" t="s">
        <v>40</v>
      </c>
      <c r="T4737" t="s">
        <v>7808</v>
      </c>
      <c r="U4737" t="s">
        <v>7809</v>
      </c>
      <c r="V4737" s="3">
        <v>41705</v>
      </c>
    </row>
    <row r="4738" spans="1:22" x14ac:dyDescent="0.35">
      <c r="A4738" s="1">
        <v>42311.144606481481</v>
      </c>
      <c r="B4738" s="2">
        <v>7.6851851851851847E-3</v>
      </c>
      <c r="C4738" t="s">
        <v>6171</v>
      </c>
      <c r="D4738" t="s">
        <v>35</v>
      </c>
      <c r="E4738" t="s">
        <v>36</v>
      </c>
      <c r="F4738" t="s">
        <v>986</v>
      </c>
      <c r="G4738">
        <v>968030</v>
      </c>
      <c r="H4738" t="s">
        <v>26</v>
      </c>
      <c r="I4738" t="s">
        <v>219</v>
      </c>
      <c r="J4738" t="str">
        <f>"9781118285138"</f>
        <v>9781118285138</v>
      </c>
      <c r="K4738" t="s">
        <v>7810</v>
      </c>
      <c r="L4738">
        <v>14</v>
      </c>
      <c r="O4738" t="s">
        <v>30</v>
      </c>
      <c r="P4738" t="s">
        <v>42</v>
      </c>
      <c r="S4738" t="s">
        <v>40</v>
      </c>
      <c r="T4738" t="s">
        <v>987</v>
      </c>
      <c r="U4738">
        <v>158.30000000000001</v>
      </c>
      <c r="V4738" s="3">
        <v>41100</v>
      </c>
    </row>
    <row r="4739" spans="1:22" x14ac:dyDescent="0.35">
      <c r="A4739" s="1">
        <v>42311.135567129626</v>
      </c>
      <c r="B4739" s="2">
        <v>2.4016203703703706E-2</v>
      </c>
      <c r="C4739" t="s">
        <v>7138</v>
      </c>
      <c r="D4739" t="s">
        <v>360</v>
      </c>
      <c r="E4739" t="s">
        <v>361</v>
      </c>
      <c r="F4739" t="s">
        <v>7150</v>
      </c>
      <c r="G4739">
        <v>332602</v>
      </c>
      <c r="H4739" t="s">
        <v>26</v>
      </c>
      <c r="I4739" t="s">
        <v>69</v>
      </c>
      <c r="J4739" t="str">
        <f>"9780631227885"</f>
        <v>9780631227885</v>
      </c>
      <c r="K4739" t="s">
        <v>7811</v>
      </c>
      <c r="L4739">
        <v>19</v>
      </c>
      <c r="O4739" t="s">
        <v>30</v>
      </c>
      <c r="P4739" t="s">
        <v>29</v>
      </c>
      <c r="Q4739" s="1">
        <v>42310.868194444447</v>
      </c>
      <c r="R4739">
        <v>7</v>
      </c>
      <c r="S4739" t="s">
        <v>363</v>
      </c>
      <c r="T4739" t="s">
        <v>7151</v>
      </c>
      <c r="U4739" t="s">
        <v>7152</v>
      </c>
      <c r="V4739" s="3">
        <v>41424</v>
      </c>
    </row>
    <row r="4740" spans="1:22" x14ac:dyDescent="0.35">
      <c r="A4740" s="1">
        <v>42311.105578703704</v>
      </c>
      <c r="B4740" s="2">
        <v>6.6562500000000011E-2</v>
      </c>
      <c r="C4740" t="s">
        <v>2981</v>
      </c>
      <c r="D4740" t="s">
        <v>23</v>
      </c>
      <c r="E4740" t="s">
        <v>24</v>
      </c>
      <c r="F4740" t="s">
        <v>1051</v>
      </c>
      <c r="G4740">
        <v>821663</v>
      </c>
      <c r="H4740" t="s">
        <v>26</v>
      </c>
      <c r="I4740" t="s">
        <v>200</v>
      </c>
      <c r="J4740" t="str">
        <f>"9781118168479"</f>
        <v>9781118168479</v>
      </c>
      <c r="K4740" t="s">
        <v>7812</v>
      </c>
      <c r="L4740">
        <v>51</v>
      </c>
      <c r="O4740" t="s">
        <v>28</v>
      </c>
      <c r="P4740" t="s">
        <v>29</v>
      </c>
      <c r="Q4740" s="1">
        <v>42311.105578703704</v>
      </c>
      <c r="R4740">
        <v>7</v>
      </c>
      <c r="S4740" t="s">
        <v>31</v>
      </c>
      <c r="T4740" t="s">
        <v>1053</v>
      </c>
      <c r="U4740">
        <v>729</v>
      </c>
      <c r="V4740" s="3">
        <v>40973</v>
      </c>
    </row>
    <row r="4741" spans="1:22" x14ac:dyDescent="0.35">
      <c r="A4741" s="1">
        <v>42311.105578703704</v>
      </c>
      <c r="B4741" s="2">
        <v>0</v>
      </c>
      <c r="C4741" t="s">
        <v>2981</v>
      </c>
      <c r="D4741" t="s">
        <v>23</v>
      </c>
      <c r="E4741" t="s">
        <v>24</v>
      </c>
      <c r="F4741" t="s">
        <v>1051</v>
      </c>
      <c r="G4741">
        <v>821663</v>
      </c>
      <c r="H4741" t="s">
        <v>26</v>
      </c>
      <c r="I4741" t="s">
        <v>200</v>
      </c>
      <c r="J4741" t="str">
        <f>"9781118168479"</f>
        <v>9781118168479</v>
      </c>
      <c r="L4741">
        <v>0</v>
      </c>
      <c r="O4741" t="s">
        <v>30</v>
      </c>
      <c r="P4741" t="s">
        <v>29</v>
      </c>
      <c r="Q4741" s="1">
        <v>42311.105578703704</v>
      </c>
      <c r="R4741">
        <v>7</v>
      </c>
      <c r="S4741" t="s">
        <v>31</v>
      </c>
      <c r="T4741" t="s">
        <v>1053</v>
      </c>
      <c r="U4741">
        <v>729</v>
      </c>
      <c r="V4741" s="3">
        <v>40973</v>
      </c>
    </row>
    <row r="4742" spans="1:22" x14ac:dyDescent="0.35">
      <c r="A4742" s="1">
        <v>42311.10465277778</v>
      </c>
      <c r="B4742" s="2">
        <v>9.2592592592592585E-4</v>
      </c>
      <c r="C4742" t="s">
        <v>2981</v>
      </c>
      <c r="D4742" t="s">
        <v>23</v>
      </c>
      <c r="E4742" t="s">
        <v>24</v>
      </c>
      <c r="F4742" t="s">
        <v>1051</v>
      </c>
      <c r="G4742">
        <v>821663</v>
      </c>
      <c r="H4742" t="s">
        <v>26</v>
      </c>
      <c r="I4742" t="s">
        <v>200</v>
      </c>
      <c r="J4742" t="str">
        <f>"9781118168479"</f>
        <v>9781118168479</v>
      </c>
      <c r="K4742" t="s">
        <v>7813</v>
      </c>
      <c r="L4742">
        <v>10</v>
      </c>
      <c r="O4742" t="s">
        <v>30</v>
      </c>
      <c r="P4742" t="s">
        <v>42</v>
      </c>
      <c r="S4742" t="s">
        <v>31</v>
      </c>
      <c r="T4742" t="s">
        <v>1053</v>
      </c>
      <c r="U4742">
        <v>729</v>
      </c>
      <c r="V4742" s="3">
        <v>40973</v>
      </c>
    </row>
    <row r="4743" spans="1:22" x14ac:dyDescent="0.35">
      <c r="A4743" s="1">
        <v>42311.086087962962</v>
      </c>
      <c r="B4743" s="2">
        <v>2.5462962962962961E-4</v>
      </c>
      <c r="C4743" t="s">
        <v>7814</v>
      </c>
      <c r="D4743" t="s">
        <v>6396</v>
      </c>
      <c r="E4743" t="s">
        <v>6397</v>
      </c>
      <c r="F4743" t="s">
        <v>5291</v>
      </c>
      <c r="G4743">
        <v>1969430</v>
      </c>
      <c r="H4743" t="s">
        <v>45</v>
      </c>
      <c r="I4743" t="s">
        <v>120</v>
      </c>
      <c r="J4743" t="str">
        <f>"9781472443038"</f>
        <v>9781472443038</v>
      </c>
      <c r="K4743" t="s">
        <v>4072</v>
      </c>
      <c r="L4743">
        <v>8</v>
      </c>
      <c r="O4743" t="s">
        <v>30</v>
      </c>
      <c r="P4743" t="s">
        <v>50</v>
      </c>
      <c r="S4743" t="s">
        <v>6400</v>
      </c>
      <c r="T4743" t="s">
        <v>5293</v>
      </c>
      <c r="U4743" t="s">
        <v>5294</v>
      </c>
      <c r="V4743" s="3">
        <v>42091</v>
      </c>
    </row>
    <row r="4744" spans="1:22" x14ac:dyDescent="0.35">
      <c r="A4744" s="1">
        <v>42311.077905092592</v>
      </c>
      <c r="B4744" s="2">
        <v>3.4490740740740745E-3</v>
      </c>
      <c r="C4744" t="s">
        <v>6735</v>
      </c>
      <c r="D4744" t="s">
        <v>623</v>
      </c>
      <c r="E4744" t="s">
        <v>624</v>
      </c>
      <c r="F4744" t="s">
        <v>6736</v>
      </c>
      <c r="G4744">
        <v>1983497</v>
      </c>
      <c r="H4744" t="s">
        <v>26</v>
      </c>
      <c r="I4744" t="s">
        <v>120</v>
      </c>
      <c r="J4744" t="str">
        <f>"9780745689395"</f>
        <v>9780745689395</v>
      </c>
      <c r="K4744" t="s">
        <v>7815</v>
      </c>
      <c r="L4744">
        <v>11</v>
      </c>
      <c r="O4744" t="s">
        <v>30</v>
      </c>
      <c r="P4744" t="s">
        <v>29</v>
      </c>
      <c r="Q4744" s="1">
        <v>42305.922453703701</v>
      </c>
      <c r="R4744">
        <v>7</v>
      </c>
      <c r="S4744" t="s">
        <v>627</v>
      </c>
      <c r="T4744" t="s">
        <v>6738</v>
      </c>
      <c r="U4744">
        <v>391.6</v>
      </c>
      <c r="V4744" s="3">
        <v>42066</v>
      </c>
    </row>
    <row r="4745" spans="1:22" x14ac:dyDescent="0.35">
      <c r="A4745" s="1">
        <v>42311.066203703704</v>
      </c>
      <c r="B4745" s="2">
        <v>8.1018518518518516E-5</v>
      </c>
      <c r="C4745" t="s">
        <v>5438</v>
      </c>
      <c r="D4745" t="s">
        <v>360</v>
      </c>
      <c r="E4745" t="s">
        <v>361</v>
      </c>
      <c r="F4745" t="s">
        <v>7657</v>
      </c>
      <c r="G4745">
        <v>759923</v>
      </c>
      <c r="H4745" t="s">
        <v>91</v>
      </c>
      <c r="I4745" t="s">
        <v>247</v>
      </c>
      <c r="J4745" t="str">
        <f>"9781609186418"</f>
        <v>9781609186418</v>
      </c>
      <c r="K4745" t="s">
        <v>33</v>
      </c>
      <c r="L4745">
        <v>3</v>
      </c>
      <c r="O4745" t="s">
        <v>30</v>
      </c>
      <c r="P4745" t="s">
        <v>42</v>
      </c>
      <c r="S4745" t="s">
        <v>363</v>
      </c>
      <c r="T4745" t="s">
        <v>7658</v>
      </c>
      <c r="U4745">
        <v>618.9289</v>
      </c>
      <c r="V4745" s="3">
        <v>41824</v>
      </c>
    </row>
    <row r="4746" spans="1:22" x14ac:dyDescent="0.35">
      <c r="A4746" s="1">
        <v>42311.057303240741</v>
      </c>
      <c r="B4746" s="2">
        <v>5.7870370370370366E-5</v>
      </c>
      <c r="C4746" t="s">
        <v>7816</v>
      </c>
      <c r="D4746" t="s">
        <v>23</v>
      </c>
      <c r="E4746" t="s">
        <v>24</v>
      </c>
      <c r="F4746" t="s">
        <v>7817</v>
      </c>
      <c r="G4746">
        <v>1318682</v>
      </c>
      <c r="H4746" t="s">
        <v>26</v>
      </c>
      <c r="I4746" t="s">
        <v>5370</v>
      </c>
      <c r="J4746" t="str">
        <f>"9781118549483"</f>
        <v>9781118549483</v>
      </c>
      <c r="K4746" t="s">
        <v>33</v>
      </c>
      <c r="L4746">
        <v>3</v>
      </c>
      <c r="O4746" t="s">
        <v>30</v>
      </c>
      <c r="P4746" t="s">
        <v>29</v>
      </c>
      <c r="Q4746" s="1">
        <v>42307.76085648148</v>
      </c>
      <c r="R4746">
        <v>7</v>
      </c>
      <c r="S4746" t="s">
        <v>31</v>
      </c>
      <c r="T4746" t="s">
        <v>7818</v>
      </c>
      <c r="U4746">
        <v>629.89</v>
      </c>
      <c r="V4746" s="3">
        <v>41471</v>
      </c>
    </row>
    <row r="4747" spans="1:22" x14ac:dyDescent="0.35">
      <c r="A4747" s="1">
        <v>42311.051886574074</v>
      </c>
      <c r="B4747" s="2">
        <v>4.3981481481481481E-4</v>
      </c>
      <c r="C4747" t="s">
        <v>7819</v>
      </c>
      <c r="D4747" t="s">
        <v>35</v>
      </c>
      <c r="E4747" t="s">
        <v>36</v>
      </c>
      <c r="F4747" t="s">
        <v>7820</v>
      </c>
      <c r="G4747">
        <v>3038700</v>
      </c>
      <c r="H4747" t="s">
        <v>526</v>
      </c>
      <c r="I4747" t="s">
        <v>7821</v>
      </c>
      <c r="J4747" t="str">
        <f>"9780226186306"</f>
        <v>9780226186306</v>
      </c>
      <c r="K4747" t="s">
        <v>7822</v>
      </c>
      <c r="L4747">
        <v>4</v>
      </c>
      <c r="O4747" t="s">
        <v>30</v>
      </c>
      <c r="P4747" t="s">
        <v>50</v>
      </c>
      <c r="S4747" t="s">
        <v>40</v>
      </c>
      <c r="T4747" t="s">
        <v>7823</v>
      </c>
      <c r="U4747" t="s">
        <v>7824</v>
      </c>
      <c r="V4747" s="3">
        <v>41913</v>
      </c>
    </row>
    <row r="4748" spans="1:22" x14ac:dyDescent="0.35">
      <c r="A4748" s="1">
        <v>42311.050115740742</v>
      </c>
      <c r="B4748" s="2">
        <v>1.7939814814814815E-3</v>
      </c>
      <c r="C4748" t="s">
        <v>7825</v>
      </c>
      <c r="D4748" t="s">
        <v>261</v>
      </c>
      <c r="E4748" t="s">
        <v>262</v>
      </c>
      <c r="F4748" t="s">
        <v>7826</v>
      </c>
      <c r="G4748">
        <v>2039095</v>
      </c>
      <c r="H4748" t="s">
        <v>45</v>
      </c>
      <c r="I4748" t="s">
        <v>79</v>
      </c>
      <c r="J4748" t="str">
        <f>"9781472443007"</f>
        <v>9781472443007</v>
      </c>
      <c r="K4748" t="s">
        <v>7827</v>
      </c>
      <c r="L4748">
        <v>24</v>
      </c>
      <c r="O4748" t="s">
        <v>30</v>
      </c>
      <c r="P4748" t="s">
        <v>50</v>
      </c>
      <c r="S4748" t="s">
        <v>264</v>
      </c>
      <c r="T4748" t="s">
        <v>7828</v>
      </c>
      <c r="U4748" t="s">
        <v>7829</v>
      </c>
      <c r="V4748" s="3">
        <v>42183</v>
      </c>
    </row>
    <row r="4749" spans="1:22" x14ac:dyDescent="0.35">
      <c r="A4749" s="1">
        <v>42311.036087962966</v>
      </c>
      <c r="B4749" s="2">
        <v>4.2777777777777776E-2</v>
      </c>
      <c r="C4749" t="s">
        <v>7816</v>
      </c>
      <c r="D4749" t="s">
        <v>23</v>
      </c>
      <c r="E4749" t="s">
        <v>24</v>
      </c>
      <c r="F4749" t="s">
        <v>7817</v>
      </c>
      <c r="G4749">
        <v>1318682</v>
      </c>
      <c r="H4749" t="s">
        <v>26</v>
      </c>
      <c r="I4749" t="s">
        <v>5370</v>
      </c>
      <c r="J4749" t="str">
        <f>"9781118549483"</f>
        <v>9781118549483</v>
      </c>
      <c r="K4749" t="s">
        <v>7830</v>
      </c>
      <c r="L4749">
        <v>67</v>
      </c>
      <c r="O4749" t="s">
        <v>30</v>
      </c>
      <c r="P4749" t="s">
        <v>29</v>
      </c>
      <c r="Q4749" s="1">
        <v>42307.76085648148</v>
      </c>
      <c r="R4749">
        <v>7</v>
      </c>
      <c r="S4749" t="s">
        <v>31</v>
      </c>
      <c r="T4749" t="s">
        <v>7818</v>
      </c>
      <c r="U4749">
        <v>629.89</v>
      </c>
      <c r="V4749" s="3">
        <v>41471</v>
      </c>
    </row>
    <row r="4750" spans="1:22" x14ac:dyDescent="0.35">
      <c r="A4750" s="1">
        <v>42311.035046296296</v>
      </c>
      <c r="B4750" s="2">
        <v>0</v>
      </c>
      <c r="C4750" t="s">
        <v>6976</v>
      </c>
      <c r="D4750" t="s">
        <v>6396</v>
      </c>
      <c r="E4750" t="s">
        <v>6397</v>
      </c>
      <c r="F4750" t="s">
        <v>4736</v>
      </c>
      <c r="G4750">
        <v>1378902</v>
      </c>
      <c r="H4750" t="s">
        <v>526</v>
      </c>
      <c r="I4750" t="s">
        <v>69</v>
      </c>
      <c r="J4750" t="str">
        <f>"9780226066554"</f>
        <v>9780226066554</v>
      </c>
      <c r="L4750">
        <v>0</v>
      </c>
      <c r="O4750" t="s">
        <v>28</v>
      </c>
      <c r="P4750" t="s">
        <v>47</v>
      </c>
      <c r="Q4750" s="1">
        <v>42311.035046296296</v>
      </c>
      <c r="R4750">
        <v>1</v>
      </c>
      <c r="S4750" t="s">
        <v>6400</v>
      </c>
      <c r="T4750" t="s">
        <v>4738</v>
      </c>
      <c r="U4750" t="s">
        <v>4739</v>
      </c>
      <c r="V4750" s="3">
        <v>41551</v>
      </c>
    </row>
    <row r="4751" spans="1:22" x14ac:dyDescent="0.35">
      <c r="A4751" s="1">
        <v>42311.035046296296</v>
      </c>
      <c r="B4751" s="2">
        <v>0</v>
      </c>
      <c r="C4751" t="s">
        <v>6976</v>
      </c>
      <c r="D4751" t="s">
        <v>6396</v>
      </c>
      <c r="E4751" t="s">
        <v>6397</v>
      </c>
      <c r="F4751" t="s">
        <v>4736</v>
      </c>
      <c r="G4751">
        <v>1378902</v>
      </c>
      <c r="H4751" t="s">
        <v>526</v>
      </c>
      <c r="I4751" t="s">
        <v>69</v>
      </c>
      <c r="J4751" t="str">
        <f>"9780226066554"</f>
        <v>9780226066554</v>
      </c>
      <c r="L4751">
        <v>0</v>
      </c>
      <c r="O4751" t="s">
        <v>30</v>
      </c>
      <c r="P4751" t="s">
        <v>47</v>
      </c>
      <c r="Q4751" s="1">
        <v>42311.035046296296</v>
      </c>
      <c r="R4751">
        <v>1</v>
      </c>
      <c r="S4751" t="s">
        <v>6400</v>
      </c>
      <c r="T4751" t="s">
        <v>4738</v>
      </c>
      <c r="U4751" t="s">
        <v>4739</v>
      </c>
      <c r="V4751" s="3">
        <v>41551</v>
      </c>
    </row>
    <row r="4752" spans="1:22" x14ac:dyDescent="0.35">
      <c r="A4752" s="1">
        <v>42311.030891203707</v>
      </c>
      <c r="B4752" s="2">
        <v>4.155092592592593E-3</v>
      </c>
      <c r="C4752" t="s">
        <v>6976</v>
      </c>
      <c r="D4752" t="s">
        <v>6396</v>
      </c>
      <c r="E4752" t="s">
        <v>6397</v>
      </c>
      <c r="F4752" t="s">
        <v>4736</v>
      </c>
      <c r="G4752">
        <v>1378902</v>
      </c>
      <c r="H4752" t="s">
        <v>526</v>
      </c>
      <c r="I4752" t="s">
        <v>69</v>
      </c>
      <c r="J4752" t="str">
        <f>"9780226066554"</f>
        <v>9780226066554</v>
      </c>
      <c r="K4752" t="s">
        <v>7831</v>
      </c>
      <c r="L4752">
        <v>27</v>
      </c>
      <c r="O4752" t="s">
        <v>30</v>
      </c>
      <c r="P4752" t="s">
        <v>50</v>
      </c>
      <c r="S4752" t="s">
        <v>6400</v>
      </c>
      <c r="T4752" t="s">
        <v>4738</v>
      </c>
      <c r="U4752" t="s">
        <v>4739</v>
      </c>
      <c r="V4752" s="3">
        <v>41551</v>
      </c>
    </row>
    <row r="4753" spans="1:22" x14ac:dyDescent="0.35">
      <c r="A4753" s="1">
        <v>42311.028379629628</v>
      </c>
      <c r="B4753" s="2">
        <v>4.2824074074074075E-4</v>
      </c>
      <c r="C4753" t="s">
        <v>1009</v>
      </c>
      <c r="D4753" t="s">
        <v>23</v>
      </c>
      <c r="E4753" t="s">
        <v>24</v>
      </c>
      <c r="F4753" t="s">
        <v>7832</v>
      </c>
      <c r="G4753">
        <v>2065161</v>
      </c>
      <c r="H4753" t="s">
        <v>526</v>
      </c>
      <c r="I4753" t="s">
        <v>630</v>
      </c>
      <c r="J4753" t="str">
        <f>"9780226233741"</f>
        <v>9780226233741</v>
      </c>
      <c r="K4753" t="s">
        <v>6055</v>
      </c>
      <c r="L4753">
        <v>3</v>
      </c>
      <c r="O4753" t="s">
        <v>30</v>
      </c>
      <c r="P4753" t="s">
        <v>47</v>
      </c>
      <c r="Q4753" s="1">
        <v>42311.028368055559</v>
      </c>
      <c r="R4753">
        <v>1</v>
      </c>
      <c r="S4753" t="s">
        <v>31</v>
      </c>
      <c r="T4753" t="s">
        <v>7833</v>
      </c>
      <c r="U4753">
        <v>117</v>
      </c>
      <c r="V4753" s="3">
        <v>42153</v>
      </c>
    </row>
    <row r="4754" spans="1:22" x14ac:dyDescent="0.35">
      <c r="A4754" s="1">
        <v>42311.028182870374</v>
      </c>
      <c r="B4754" s="2">
        <v>1.8518518518518518E-4</v>
      </c>
      <c r="C4754" t="s">
        <v>1009</v>
      </c>
      <c r="D4754" t="s">
        <v>23</v>
      </c>
      <c r="E4754" t="s">
        <v>24</v>
      </c>
      <c r="F4754" t="s">
        <v>7832</v>
      </c>
      <c r="G4754">
        <v>2065161</v>
      </c>
      <c r="H4754" t="s">
        <v>526</v>
      </c>
      <c r="I4754" t="s">
        <v>630</v>
      </c>
      <c r="J4754" t="str">
        <f>"9780226233741"</f>
        <v>9780226233741</v>
      </c>
      <c r="K4754" t="s">
        <v>33</v>
      </c>
      <c r="L4754">
        <v>3</v>
      </c>
      <c r="O4754" t="s">
        <v>30</v>
      </c>
      <c r="P4754" t="s">
        <v>50</v>
      </c>
      <c r="S4754" t="s">
        <v>31</v>
      </c>
      <c r="T4754" t="s">
        <v>7833</v>
      </c>
      <c r="U4754">
        <v>117</v>
      </c>
      <c r="V4754" s="3">
        <v>42153</v>
      </c>
    </row>
    <row r="4755" spans="1:22" x14ac:dyDescent="0.35">
      <c r="A4755" s="1">
        <v>42311.028171296297</v>
      </c>
      <c r="B4755" s="2">
        <v>1.7708333333333332E-3</v>
      </c>
      <c r="C4755" t="s">
        <v>106</v>
      </c>
      <c r="D4755" t="s">
        <v>23</v>
      </c>
      <c r="E4755" t="s">
        <v>24</v>
      </c>
      <c r="F4755" t="s">
        <v>1051</v>
      </c>
      <c r="G4755">
        <v>821663</v>
      </c>
      <c r="H4755" t="s">
        <v>26</v>
      </c>
      <c r="I4755" t="s">
        <v>200</v>
      </c>
      <c r="J4755" t="str">
        <f>"9781118168479"</f>
        <v>9781118168479</v>
      </c>
      <c r="K4755" t="s">
        <v>7834</v>
      </c>
      <c r="L4755">
        <v>14</v>
      </c>
      <c r="O4755" t="s">
        <v>30</v>
      </c>
      <c r="P4755" t="s">
        <v>42</v>
      </c>
      <c r="S4755" t="s">
        <v>31</v>
      </c>
      <c r="T4755" t="s">
        <v>1053</v>
      </c>
      <c r="U4755">
        <v>729</v>
      </c>
      <c r="V4755" s="3">
        <v>40973</v>
      </c>
    </row>
    <row r="4756" spans="1:22" x14ac:dyDescent="0.35">
      <c r="A4756" s="1">
        <v>42311.023564814815</v>
      </c>
      <c r="B4756" s="2">
        <v>2.6574074074074073E-2</v>
      </c>
      <c r="C4756" t="s">
        <v>5438</v>
      </c>
      <c r="D4756" t="s">
        <v>360</v>
      </c>
      <c r="E4756" t="s">
        <v>361</v>
      </c>
      <c r="F4756" t="s">
        <v>515</v>
      </c>
      <c r="G4756">
        <v>1757960</v>
      </c>
      <c r="H4756" t="s">
        <v>26</v>
      </c>
      <c r="I4756" t="s">
        <v>247</v>
      </c>
      <c r="J4756" t="str">
        <f>"9781118780770"</f>
        <v>9781118780770</v>
      </c>
      <c r="K4756" t="s">
        <v>7835</v>
      </c>
      <c r="L4756">
        <v>23</v>
      </c>
      <c r="O4756" t="s">
        <v>30</v>
      </c>
      <c r="P4756" t="s">
        <v>29</v>
      </c>
      <c r="Q4756" s="1">
        <v>42310.084409722222</v>
      </c>
      <c r="R4756">
        <v>7</v>
      </c>
      <c r="S4756" t="s">
        <v>363</v>
      </c>
      <c r="T4756" t="s">
        <v>517</v>
      </c>
      <c r="U4756" t="s">
        <v>518</v>
      </c>
      <c r="V4756" s="3">
        <v>41850</v>
      </c>
    </row>
    <row r="4757" spans="1:22" x14ac:dyDescent="0.35">
      <c r="A4757" s="1">
        <v>42311.021770833337</v>
      </c>
      <c r="B4757" s="2">
        <v>8.449074074074075E-4</v>
      </c>
      <c r="C4757" t="s">
        <v>7816</v>
      </c>
      <c r="D4757" t="s">
        <v>23</v>
      </c>
      <c r="E4757" t="s">
        <v>24</v>
      </c>
      <c r="F4757" t="s">
        <v>7817</v>
      </c>
      <c r="G4757">
        <v>1318682</v>
      </c>
      <c r="H4757" t="s">
        <v>26</v>
      </c>
      <c r="I4757" t="s">
        <v>5370</v>
      </c>
      <c r="J4757" t="str">
        <f>"9781118549483"</f>
        <v>9781118549483</v>
      </c>
      <c r="K4757" t="s">
        <v>7836</v>
      </c>
      <c r="L4757">
        <v>13</v>
      </c>
      <c r="O4757" t="s">
        <v>30</v>
      </c>
      <c r="P4757" t="s">
        <v>29</v>
      </c>
      <c r="Q4757" s="1">
        <v>42307.76085648148</v>
      </c>
      <c r="R4757">
        <v>7</v>
      </c>
      <c r="S4757" t="s">
        <v>31</v>
      </c>
      <c r="T4757" t="s">
        <v>7818</v>
      </c>
      <c r="U4757">
        <v>629.89</v>
      </c>
      <c r="V4757" s="3">
        <v>41471</v>
      </c>
    </row>
    <row r="4758" spans="1:22" x14ac:dyDescent="0.35">
      <c r="A4758" s="1">
        <v>42311.02</v>
      </c>
      <c r="B4758" s="2">
        <v>1.8518518518518518E-4</v>
      </c>
      <c r="C4758" t="s">
        <v>106</v>
      </c>
      <c r="D4758" t="s">
        <v>23</v>
      </c>
      <c r="E4758" t="s">
        <v>24</v>
      </c>
      <c r="F4758" t="s">
        <v>7837</v>
      </c>
      <c r="G4758">
        <v>1969404</v>
      </c>
      <c r="H4758" t="s">
        <v>45</v>
      </c>
      <c r="I4758" t="s">
        <v>7838</v>
      </c>
      <c r="J4758" t="str">
        <f>"9781472419590"</f>
        <v>9781472419590</v>
      </c>
      <c r="K4758" t="s">
        <v>202</v>
      </c>
      <c r="L4758">
        <v>3</v>
      </c>
      <c r="O4758" t="s">
        <v>30</v>
      </c>
      <c r="P4758" t="s">
        <v>50</v>
      </c>
      <c r="S4758" t="s">
        <v>31</v>
      </c>
      <c r="T4758" t="s">
        <v>7839</v>
      </c>
      <c r="U4758" t="s">
        <v>7840</v>
      </c>
      <c r="V4758" s="3">
        <v>42091</v>
      </c>
    </row>
    <row r="4759" spans="1:22" x14ac:dyDescent="0.35">
      <c r="A4759" s="1">
        <v>42310.990254629629</v>
      </c>
      <c r="B4759" s="2">
        <v>5.9027777777777778E-4</v>
      </c>
      <c r="C4759" t="s">
        <v>5332</v>
      </c>
      <c r="D4759" t="s">
        <v>360</v>
      </c>
      <c r="E4759" t="s">
        <v>361</v>
      </c>
      <c r="F4759" t="s">
        <v>5333</v>
      </c>
      <c r="G4759">
        <v>538048</v>
      </c>
      <c r="H4759" t="s">
        <v>526</v>
      </c>
      <c r="I4759" t="s">
        <v>79</v>
      </c>
      <c r="J4759" t="str">
        <f>"9780226493671"</f>
        <v>9780226493671</v>
      </c>
      <c r="K4759" t="s">
        <v>7841</v>
      </c>
      <c r="L4759">
        <v>9</v>
      </c>
      <c r="O4759" t="s">
        <v>30</v>
      </c>
      <c r="P4759" t="s">
        <v>47</v>
      </c>
      <c r="Q4759" s="1">
        <v>42310.776597222219</v>
      </c>
      <c r="R4759">
        <v>1</v>
      </c>
      <c r="S4759" t="s">
        <v>363</v>
      </c>
      <c r="T4759" t="s">
        <v>5335</v>
      </c>
      <c r="U4759" t="s">
        <v>5336</v>
      </c>
      <c r="V4759" s="3">
        <v>41303</v>
      </c>
    </row>
    <row r="4760" spans="1:22" x14ac:dyDescent="0.35">
      <c r="A4760" s="1">
        <v>42310.961157407408</v>
      </c>
      <c r="B4760" s="2">
        <v>1.6435185185185183E-3</v>
      </c>
      <c r="C4760" t="s">
        <v>7013</v>
      </c>
      <c r="D4760" t="s">
        <v>360</v>
      </c>
      <c r="E4760" t="s">
        <v>361</v>
      </c>
      <c r="F4760" t="s">
        <v>7842</v>
      </c>
      <c r="G4760">
        <v>1895843</v>
      </c>
      <c r="H4760" t="s">
        <v>26</v>
      </c>
      <c r="I4760" t="s">
        <v>247</v>
      </c>
      <c r="J4760" t="str">
        <f>"9781118972953"</f>
        <v>9781118972953</v>
      </c>
      <c r="K4760" t="s">
        <v>7843</v>
      </c>
      <c r="L4760">
        <v>8</v>
      </c>
      <c r="O4760" t="s">
        <v>30</v>
      </c>
      <c r="P4760" t="s">
        <v>29</v>
      </c>
      <c r="Q4760" s="1">
        <v>42310.961145833331</v>
      </c>
      <c r="R4760">
        <v>7</v>
      </c>
      <c r="S4760" t="s">
        <v>363</v>
      </c>
      <c r="T4760" t="s">
        <v>7844</v>
      </c>
      <c r="U4760">
        <v>616.89156200000002</v>
      </c>
      <c r="V4760" s="3">
        <v>42144</v>
      </c>
    </row>
    <row r="4761" spans="1:22" x14ac:dyDescent="0.35">
      <c r="A4761" s="1">
        <v>42310.959652777776</v>
      </c>
      <c r="B4761" s="2">
        <v>1.1898148148148149E-2</v>
      </c>
      <c r="C4761" t="s">
        <v>3360</v>
      </c>
      <c r="D4761" t="s">
        <v>335</v>
      </c>
      <c r="E4761" t="s">
        <v>336</v>
      </c>
      <c r="F4761" t="s">
        <v>148</v>
      </c>
      <c r="G4761">
        <v>877717</v>
      </c>
      <c r="H4761" t="s">
        <v>149</v>
      </c>
      <c r="I4761" t="s">
        <v>150</v>
      </c>
      <c r="J4761" t="str">
        <f>"9781438139265"</f>
        <v>9781438139265</v>
      </c>
      <c r="K4761" t="s">
        <v>7845</v>
      </c>
      <c r="L4761">
        <v>73</v>
      </c>
      <c r="N4761" t="s">
        <v>7846</v>
      </c>
      <c r="O4761" t="s">
        <v>30</v>
      </c>
      <c r="P4761" t="s">
        <v>29</v>
      </c>
      <c r="Q4761" s="1">
        <v>42310.919421296298</v>
      </c>
      <c r="R4761">
        <v>7</v>
      </c>
      <c r="S4761" t="s">
        <v>340</v>
      </c>
      <c r="T4761" t="s">
        <v>153</v>
      </c>
      <c r="U4761" t="s">
        <v>154</v>
      </c>
      <c r="V4761" s="3">
        <v>40909</v>
      </c>
    </row>
    <row r="4762" spans="1:22" x14ac:dyDescent="0.35">
      <c r="A4762" s="1">
        <v>42310.958518518521</v>
      </c>
      <c r="B4762" s="2">
        <v>8.7037037037037031E-3</v>
      </c>
      <c r="C4762" t="s">
        <v>5227</v>
      </c>
      <c r="D4762" t="s">
        <v>211</v>
      </c>
      <c r="E4762" t="s">
        <v>212</v>
      </c>
      <c r="F4762" t="s">
        <v>5228</v>
      </c>
      <c r="G4762">
        <v>1034770</v>
      </c>
      <c r="H4762" t="s">
        <v>91</v>
      </c>
      <c r="I4762" t="s">
        <v>247</v>
      </c>
      <c r="J4762" t="str">
        <f>"9781462507566"</f>
        <v>9781462507566</v>
      </c>
      <c r="K4762" t="s">
        <v>7847</v>
      </c>
      <c r="L4762">
        <v>38</v>
      </c>
      <c r="O4762" t="s">
        <v>30</v>
      </c>
      <c r="P4762" t="s">
        <v>29</v>
      </c>
      <c r="Q4762" s="1">
        <v>42309.604247685187</v>
      </c>
      <c r="R4762">
        <v>7</v>
      </c>
      <c r="S4762" t="s">
        <v>214</v>
      </c>
      <c r="T4762" t="s">
        <v>5230</v>
      </c>
      <c r="U4762">
        <v>616.85839999999996</v>
      </c>
      <c r="V4762" s="3">
        <v>41567</v>
      </c>
    </row>
    <row r="4763" spans="1:22" x14ac:dyDescent="0.35">
      <c r="A4763" s="1">
        <v>42310.95815972222</v>
      </c>
      <c r="B4763" s="2">
        <v>3.5879629629629635E-4</v>
      </c>
      <c r="C4763" t="s">
        <v>3360</v>
      </c>
      <c r="D4763" t="s">
        <v>335</v>
      </c>
      <c r="E4763" t="s">
        <v>336</v>
      </c>
      <c r="F4763" t="s">
        <v>148</v>
      </c>
      <c r="G4763">
        <v>877717</v>
      </c>
      <c r="H4763" t="s">
        <v>149</v>
      </c>
      <c r="I4763" t="s">
        <v>150</v>
      </c>
      <c r="J4763" t="str">
        <f>"9781438139265"</f>
        <v>9781438139265</v>
      </c>
      <c r="K4763" t="s">
        <v>7848</v>
      </c>
      <c r="L4763">
        <v>27</v>
      </c>
      <c r="O4763" t="s">
        <v>30</v>
      </c>
      <c r="P4763" t="s">
        <v>29</v>
      </c>
      <c r="Q4763" s="1">
        <v>42310.919421296298</v>
      </c>
      <c r="R4763">
        <v>7</v>
      </c>
      <c r="S4763" t="s">
        <v>340</v>
      </c>
      <c r="T4763" t="s">
        <v>153</v>
      </c>
      <c r="U4763" t="s">
        <v>154</v>
      </c>
      <c r="V4763" s="3">
        <v>40909</v>
      </c>
    </row>
    <row r="4764" spans="1:22" x14ac:dyDescent="0.35">
      <c r="A4764" s="1">
        <v>42310.957268518519</v>
      </c>
      <c r="B4764" s="2">
        <v>6.134259259259259E-4</v>
      </c>
      <c r="C4764" t="s">
        <v>3360</v>
      </c>
      <c r="D4764" t="s">
        <v>335</v>
      </c>
      <c r="E4764" t="s">
        <v>336</v>
      </c>
      <c r="F4764" t="s">
        <v>148</v>
      </c>
      <c r="G4764">
        <v>877717</v>
      </c>
      <c r="H4764" t="s">
        <v>149</v>
      </c>
      <c r="I4764" t="s">
        <v>150</v>
      </c>
      <c r="J4764" t="str">
        <f>"9781438139265"</f>
        <v>9781438139265</v>
      </c>
      <c r="K4764" t="s">
        <v>7849</v>
      </c>
      <c r="L4764">
        <v>26</v>
      </c>
      <c r="O4764" t="s">
        <v>30</v>
      </c>
      <c r="P4764" t="s">
        <v>29</v>
      </c>
      <c r="Q4764" s="1">
        <v>42310.919421296298</v>
      </c>
      <c r="R4764">
        <v>7</v>
      </c>
      <c r="S4764" t="s">
        <v>340</v>
      </c>
      <c r="T4764" t="s">
        <v>153</v>
      </c>
      <c r="U4764" t="s">
        <v>154</v>
      </c>
      <c r="V4764" s="3">
        <v>40909</v>
      </c>
    </row>
    <row r="4765" spans="1:22" x14ac:dyDescent="0.35">
      <c r="A4765" s="1">
        <v>42310.956701388888</v>
      </c>
      <c r="B4765" s="2">
        <v>4.4444444444444444E-3</v>
      </c>
      <c r="C4765" t="s">
        <v>7013</v>
      </c>
      <c r="D4765" t="s">
        <v>360</v>
      </c>
      <c r="E4765" t="s">
        <v>361</v>
      </c>
      <c r="F4765" t="s">
        <v>7842</v>
      </c>
      <c r="G4765">
        <v>1895843</v>
      </c>
      <c r="H4765" t="s">
        <v>26</v>
      </c>
      <c r="I4765" t="s">
        <v>247</v>
      </c>
      <c r="J4765" t="str">
        <f>"9781118972953"</f>
        <v>9781118972953</v>
      </c>
      <c r="K4765" t="s">
        <v>463</v>
      </c>
      <c r="L4765">
        <v>9</v>
      </c>
      <c r="O4765" t="s">
        <v>30</v>
      </c>
      <c r="P4765" t="s">
        <v>50</v>
      </c>
      <c r="S4765" t="s">
        <v>363</v>
      </c>
      <c r="T4765" t="s">
        <v>7844</v>
      </c>
      <c r="U4765">
        <v>616.89156200000002</v>
      </c>
      <c r="V4765" s="3">
        <v>42144</v>
      </c>
    </row>
    <row r="4766" spans="1:22" x14ac:dyDescent="0.35">
      <c r="A4766" s="1">
        <v>42310.955787037034</v>
      </c>
      <c r="B4766" s="2">
        <v>3.4722222222222222E-5</v>
      </c>
      <c r="C4766" t="s">
        <v>3360</v>
      </c>
      <c r="D4766" t="s">
        <v>335</v>
      </c>
      <c r="E4766" t="s">
        <v>336</v>
      </c>
      <c r="F4766" t="s">
        <v>148</v>
      </c>
      <c r="G4766">
        <v>877717</v>
      </c>
      <c r="H4766" t="s">
        <v>149</v>
      </c>
      <c r="I4766" t="s">
        <v>150</v>
      </c>
      <c r="J4766" t="str">
        <f>"9781438139265"</f>
        <v>9781438139265</v>
      </c>
      <c r="K4766" t="s">
        <v>33</v>
      </c>
      <c r="L4766">
        <v>3</v>
      </c>
      <c r="O4766" t="s">
        <v>30</v>
      </c>
      <c r="P4766" t="s">
        <v>29</v>
      </c>
      <c r="Q4766" s="1">
        <v>42310.919421296298</v>
      </c>
      <c r="R4766">
        <v>7</v>
      </c>
      <c r="S4766" t="s">
        <v>340</v>
      </c>
      <c r="T4766" t="s">
        <v>153</v>
      </c>
      <c r="U4766" t="s">
        <v>154</v>
      </c>
      <c r="V4766" s="3">
        <v>40909</v>
      </c>
    </row>
    <row r="4767" spans="1:22" x14ac:dyDescent="0.35">
      <c r="A4767" s="1">
        <v>42310.955081018517</v>
      </c>
      <c r="B4767" s="2">
        <v>1.3425925925925925E-3</v>
      </c>
      <c r="C4767" t="s">
        <v>7013</v>
      </c>
      <c r="D4767" t="s">
        <v>360</v>
      </c>
      <c r="E4767" t="s">
        <v>361</v>
      </c>
      <c r="F4767" t="s">
        <v>7850</v>
      </c>
      <c r="G4767">
        <v>1527427</v>
      </c>
      <c r="H4767" t="s">
        <v>26</v>
      </c>
      <c r="I4767" t="s">
        <v>7851</v>
      </c>
      <c r="J4767" t="str">
        <f>"9780745671901"</f>
        <v>9780745671901</v>
      </c>
      <c r="K4767" t="s">
        <v>2663</v>
      </c>
      <c r="L4767">
        <v>15</v>
      </c>
      <c r="O4767" t="s">
        <v>30</v>
      </c>
      <c r="P4767" t="s">
        <v>50</v>
      </c>
      <c r="S4767" t="s">
        <v>363</v>
      </c>
      <c r="T4767" t="s">
        <v>7852</v>
      </c>
      <c r="U4767">
        <v>306.48700000000002</v>
      </c>
      <c r="V4767" s="3">
        <v>41577</v>
      </c>
    </row>
    <row r="4768" spans="1:22" x14ac:dyDescent="0.35">
      <c r="A4768" s="1">
        <v>42310.94159722222</v>
      </c>
      <c r="B4768" s="2">
        <v>6.3310185185185197E-3</v>
      </c>
      <c r="C4768" t="s">
        <v>3360</v>
      </c>
      <c r="D4768" t="s">
        <v>335</v>
      </c>
      <c r="E4768" t="s">
        <v>336</v>
      </c>
      <c r="F4768" t="s">
        <v>148</v>
      </c>
      <c r="G4768">
        <v>877717</v>
      </c>
      <c r="H4768" t="s">
        <v>149</v>
      </c>
      <c r="I4768" t="s">
        <v>150</v>
      </c>
      <c r="J4768" t="str">
        <f t="shared" ref="J4768:J4774" si="27">"9781438139265"</f>
        <v>9781438139265</v>
      </c>
      <c r="K4768" t="s">
        <v>7853</v>
      </c>
      <c r="L4768">
        <v>114</v>
      </c>
      <c r="O4768" t="s">
        <v>30</v>
      </c>
      <c r="P4768" t="s">
        <v>29</v>
      </c>
      <c r="Q4768" s="1">
        <v>42310.919421296298</v>
      </c>
      <c r="R4768">
        <v>7</v>
      </c>
      <c r="S4768" t="s">
        <v>340</v>
      </c>
      <c r="T4768" t="s">
        <v>153</v>
      </c>
      <c r="U4768" t="s">
        <v>154</v>
      </c>
      <c r="V4768" s="3">
        <v>40909</v>
      </c>
    </row>
    <row r="4769" spans="1:22" x14ac:dyDescent="0.35">
      <c r="A4769" s="1">
        <v>42310.932766203703</v>
      </c>
      <c r="B4769" s="2">
        <v>7.1412037037037043E-3</v>
      </c>
      <c r="C4769" t="s">
        <v>3360</v>
      </c>
      <c r="D4769" t="s">
        <v>335</v>
      </c>
      <c r="E4769" t="s">
        <v>336</v>
      </c>
      <c r="F4769" t="s">
        <v>148</v>
      </c>
      <c r="G4769">
        <v>877717</v>
      </c>
      <c r="H4769" t="s">
        <v>149</v>
      </c>
      <c r="I4769" t="s">
        <v>150</v>
      </c>
      <c r="J4769" t="str">
        <f t="shared" si="27"/>
        <v>9781438139265</v>
      </c>
      <c r="K4769" t="s">
        <v>7854</v>
      </c>
      <c r="L4769">
        <v>39</v>
      </c>
      <c r="N4769" t="s">
        <v>7855</v>
      </c>
      <c r="O4769" t="s">
        <v>30</v>
      </c>
      <c r="P4769" t="s">
        <v>29</v>
      </c>
      <c r="Q4769" s="1">
        <v>42310.919421296298</v>
      </c>
      <c r="R4769">
        <v>7</v>
      </c>
      <c r="S4769" t="s">
        <v>340</v>
      </c>
      <c r="T4769" t="s">
        <v>153</v>
      </c>
      <c r="U4769" t="s">
        <v>154</v>
      </c>
      <c r="V4769" s="3">
        <v>40909</v>
      </c>
    </row>
    <row r="4770" spans="1:22" x14ac:dyDescent="0.35">
      <c r="A4770" s="1">
        <v>42310.929467592592</v>
      </c>
      <c r="B4770" s="2">
        <v>6.3657407407407402E-4</v>
      </c>
      <c r="C4770" t="s">
        <v>3360</v>
      </c>
      <c r="D4770" t="s">
        <v>335</v>
      </c>
      <c r="E4770" t="s">
        <v>336</v>
      </c>
      <c r="F4770" t="s">
        <v>148</v>
      </c>
      <c r="G4770">
        <v>877717</v>
      </c>
      <c r="H4770" t="s">
        <v>149</v>
      </c>
      <c r="I4770" t="s">
        <v>150</v>
      </c>
      <c r="J4770" t="str">
        <f t="shared" si="27"/>
        <v>9781438139265</v>
      </c>
      <c r="K4770" t="s">
        <v>7856</v>
      </c>
      <c r="L4770">
        <v>3</v>
      </c>
      <c r="O4770" t="s">
        <v>28</v>
      </c>
      <c r="P4770" t="s">
        <v>29</v>
      </c>
      <c r="Q4770" s="1">
        <v>42310.919421296298</v>
      </c>
      <c r="R4770">
        <v>7</v>
      </c>
      <c r="S4770" t="s">
        <v>340</v>
      </c>
      <c r="T4770" t="s">
        <v>153</v>
      </c>
      <c r="U4770" t="s">
        <v>154</v>
      </c>
      <c r="V4770" s="3">
        <v>40909</v>
      </c>
    </row>
    <row r="4771" spans="1:22" x14ac:dyDescent="0.35">
      <c r="A4771" s="1">
        <v>42310.926979166667</v>
      </c>
      <c r="B4771" s="2">
        <v>2.4074074074074076E-3</v>
      </c>
      <c r="C4771" t="s">
        <v>3360</v>
      </c>
      <c r="D4771" t="s">
        <v>335</v>
      </c>
      <c r="E4771" t="s">
        <v>336</v>
      </c>
      <c r="F4771" t="s">
        <v>148</v>
      </c>
      <c r="G4771">
        <v>877717</v>
      </c>
      <c r="H4771" t="s">
        <v>149</v>
      </c>
      <c r="I4771" t="s">
        <v>150</v>
      </c>
      <c r="J4771" t="str">
        <f t="shared" si="27"/>
        <v>9781438139265</v>
      </c>
      <c r="K4771" t="s">
        <v>4421</v>
      </c>
      <c r="L4771">
        <v>2</v>
      </c>
      <c r="O4771" t="s">
        <v>28</v>
      </c>
      <c r="P4771" t="s">
        <v>29</v>
      </c>
      <c r="Q4771" s="1">
        <v>42310.919421296298</v>
      </c>
      <c r="R4771">
        <v>7</v>
      </c>
      <c r="S4771" t="s">
        <v>340</v>
      </c>
      <c r="T4771" t="s">
        <v>153</v>
      </c>
      <c r="U4771" t="s">
        <v>154</v>
      </c>
      <c r="V4771" s="3">
        <v>40909</v>
      </c>
    </row>
    <row r="4772" spans="1:22" x14ac:dyDescent="0.35">
      <c r="A4772" s="1">
        <v>42310.925821759258</v>
      </c>
      <c r="B4772" s="2">
        <v>1.0416666666666667E-3</v>
      </c>
      <c r="C4772" t="s">
        <v>3360</v>
      </c>
      <c r="D4772" t="s">
        <v>335</v>
      </c>
      <c r="E4772" t="s">
        <v>336</v>
      </c>
      <c r="F4772" t="s">
        <v>148</v>
      </c>
      <c r="G4772">
        <v>877717</v>
      </c>
      <c r="H4772" t="s">
        <v>149</v>
      </c>
      <c r="I4772" t="s">
        <v>150</v>
      </c>
      <c r="J4772" t="str">
        <f t="shared" si="27"/>
        <v>9781438139265</v>
      </c>
      <c r="K4772" t="s">
        <v>2663</v>
      </c>
      <c r="L4772">
        <v>15</v>
      </c>
      <c r="O4772" t="s">
        <v>30</v>
      </c>
      <c r="P4772" t="s">
        <v>29</v>
      </c>
      <c r="Q4772" s="1">
        <v>42310.919421296298</v>
      </c>
      <c r="R4772">
        <v>7</v>
      </c>
      <c r="S4772" t="s">
        <v>340</v>
      </c>
      <c r="T4772" t="s">
        <v>153</v>
      </c>
      <c r="U4772" t="s">
        <v>154</v>
      </c>
      <c r="V4772" s="3">
        <v>40909</v>
      </c>
    </row>
    <row r="4773" spans="1:22" x14ac:dyDescent="0.35">
      <c r="A4773" s="1">
        <v>42310.919432870367</v>
      </c>
      <c r="B4773" s="2">
        <v>4.409722222222222E-3</v>
      </c>
      <c r="C4773" t="s">
        <v>3360</v>
      </c>
      <c r="D4773" t="s">
        <v>335</v>
      </c>
      <c r="E4773" t="s">
        <v>336</v>
      </c>
      <c r="F4773" t="s">
        <v>148</v>
      </c>
      <c r="G4773">
        <v>877717</v>
      </c>
      <c r="H4773" t="s">
        <v>149</v>
      </c>
      <c r="I4773" t="s">
        <v>150</v>
      </c>
      <c r="J4773" t="str">
        <f t="shared" si="27"/>
        <v>9781438139265</v>
      </c>
      <c r="K4773" t="s">
        <v>7857</v>
      </c>
      <c r="L4773">
        <v>55</v>
      </c>
      <c r="M4773" t="s">
        <v>7858</v>
      </c>
      <c r="O4773" t="s">
        <v>30</v>
      </c>
      <c r="P4773" t="s">
        <v>29</v>
      </c>
      <c r="Q4773" s="1">
        <v>42310.919421296298</v>
      </c>
      <c r="R4773">
        <v>7</v>
      </c>
      <c r="S4773" t="s">
        <v>340</v>
      </c>
      <c r="T4773" t="s">
        <v>153</v>
      </c>
      <c r="U4773" t="s">
        <v>154</v>
      </c>
      <c r="V4773" s="3">
        <v>40909</v>
      </c>
    </row>
    <row r="4774" spans="1:22" x14ac:dyDescent="0.35">
      <c r="A4774" s="1">
        <v>42310.914201388892</v>
      </c>
      <c r="B4774" s="2">
        <v>5.2199074074074066E-3</v>
      </c>
      <c r="C4774" t="s">
        <v>3360</v>
      </c>
      <c r="D4774" t="s">
        <v>335</v>
      </c>
      <c r="E4774" t="s">
        <v>336</v>
      </c>
      <c r="F4774" t="s">
        <v>148</v>
      </c>
      <c r="G4774">
        <v>877717</v>
      </c>
      <c r="H4774" t="s">
        <v>149</v>
      </c>
      <c r="I4774" t="s">
        <v>150</v>
      </c>
      <c r="J4774" t="str">
        <f t="shared" si="27"/>
        <v>9781438139265</v>
      </c>
      <c r="K4774" t="s">
        <v>7859</v>
      </c>
      <c r="L4774">
        <v>78</v>
      </c>
      <c r="O4774" t="s">
        <v>30</v>
      </c>
      <c r="P4774" t="s">
        <v>42</v>
      </c>
      <c r="S4774" t="s">
        <v>340</v>
      </c>
      <c r="T4774" t="s">
        <v>153</v>
      </c>
      <c r="U4774" t="s">
        <v>154</v>
      </c>
      <c r="V4774" s="3">
        <v>40909</v>
      </c>
    </row>
    <row r="4775" spans="1:22" x14ac:dyDescent="0.35">
      <c r="A4775" s="1">
        <v>42310.907523148147</v>
      </c>
      <c r="B4775" s="2">
        <v>6.9444444444444444E-5</v>
      </c>
      <c r="C4775" t="s">
        <v>7860</v>
      </c>
      <c r="D4775" t="s">
        <v>335</v>
      </c>
      <c r="E4775" t="s">
        <v>336</v>
      </c>
      <c r="F4775" t="s">
        <v>7861</v>
      </c>
      <c r="G4775">
        <v>1964097</v>
      </c>
      <c r="H4775" t="s">
        <v>26</v>
      </c>
      <c r="I4775" t="s">
        <v>1948</v>
      </c>
      <c r="J4775" t="str">
        <f>"9781118850336"</f>
        <v>9781118850336</v>
      </c>
      <c r="K4775" t="s">
        <v>86</v>
      </c>
      <c r="L4775">
        <v>5</v>
      </c>
      <c r="O4775" t="s">
        <v>30</v>
      </c>
      <c r="P4775" t="s">
        <v>50</v>
      </c>
      <c r="S4775" t="s">
        <v>340</v>
      </c>
      <c r="T4775" t="s">
        <v>7862</v>
      </c>
      <c r="U4775">
        <v>613</v>
      </c>
      <c r="V4775" s="3">
        <v>42047</v>
      </c>
    </row>
    <row r="4776" spans="1:22" x14ac:dyDescent="0.35">
      <c r="A4776" s="1">
        <v>42310.894212962965</v>
      </c>
      <c r="B4776" s="2">
        <v>2.8587962962962963E-3</v>
      </c>
      <c r="C4776" t="s">
        <v>210</v>
      </c>
      <c r="D4776" t="s">
        <v>211</v>
      </c>
      <c r="E4776" t="s">
        <v>212</v>
      </c>
      <c r="F4776" t="s">
        <v>5228</v>
      </c>
      <c r="G4776">
        <v>1034770</v>
      </c>
      <c r="H4776" t="s">
        <v>91</v>
      </c>
      <c r="I4776" t="s">
        <v>247</v>
      </c>
      <c r="J4776" t="str">
        <f>"9781462507566"</f>
        <v>9781462507566</v>
      </c>
      <c r="K4776" t="s">
        <v>7863</v>
      </c>
      <c r="L4776">
        <v>16</v>
      </c>
      <c r="O4776" t="s">
        <v>30</v>
      </c>
      <c r="P4776" t="s">
        <v>42</v>
      </c>
      <c r="S4776" t="s">
        <v>214</v>
      </c>
      <c r="T4776" t="s">
        <v>5230</v>
      </c>
      <c r="U4776">
        <v>616.85839999999996</v>
      </c>
      <c r="V4776" s="3">
        <v>41567</v>
      </c>
    </row>
    <row r="4777" spans="1:22" x14ac:dyDescent="0.35">
      <c r="A4777" s="1">
        <v>42310.88890046296</v>
      </c>
      <c r="B4777" s="2">
        <v>1.0416666666666667E-4</v>
      </c>
      <c r="C4777" t="s">
        <v>7864</v>
      </c>
      <c r="D4777" t="s">
        <v>1222</v>
      </c>
      <c r="E4777" t="s">
        <v>1223</v>
      </c>
      <c r="F4777" t="s">
        <v>7865</v>
      </c>
      <c r="G4777">
        <v>1377286</v>
      </c>
      <c r="H4777" t="s">
        <v>526</v>
      </c>
      <c r="I4777" t="s">
        <v>97</v>
      </c>
      <c r="J4777" t="str">
        <f>"9780226073675"</f>
        <v>9780226073675</v>
      </c>
      <c r="K4777" t="s">
        <v>86</v>
      </c>
      <c r="L4777">
        <v>5</v>
      </c>
      <c r="O4777" t="s">
        <v>30</v>
      </c>
      <c r="P4777" t="s">
        <v>50</v>
      </c>
      <c r="S4777" t="s">
        <v>1226</v>
      </c>
      <c r="T4777" t="s">
        <v>7866</v>
      </c>
      <c r="U4777">
        <v>650.14</v>
      </c>
      <c r="V4777" s="3">
        <v>41563</v>
      </c>
    </row>
    <row r="4778" spans="1:22" x14ac:dyDescent="0.35">
      <c r="A4778" s="1">
        <v>42310.887094907404</v>
      </c>
      <c r="B4778" s="2">
        <v>2.1412037037037038E-3</v>
      </c>
      <c r="C4778" t="s">
        <v>106</v>
      </c>
      <c r="D4778" t="s">
        <v>23</v>
      </c>
      <c r="E4778" t="s">
        <v>24</v>
      </c>
      <c r="F4778" t="s">
        <v>7867</v>
      </c>
      <c r="G4778">
        <v>836633</v>
      </c>
      <c r="H4778" t="s">
        <v>26</v>
      </c>
      <c r="I4778" t="s">
        <v>219</v>
      </c>
      <c r="J4778" t="str">
        <f>"9781119953784"</f>
        <v>9781119953784</v>
      </c>
      <c r="K4778" t="s">
        <v>7868</v>
      </c>
      <c r="L4778">
        <v>41</v>
      </c>
      <c r="O4778" t="s">
        <v>30</v>
      </c>
      <c r="P4778" t="s">
        <v>42</v>
      </c>
      <c r="S4778" t="s">
        <v>31</v>
      </c>
      <c r="T4778" t="s">
        <v>7869</v>
      </c>
      <c r="U4778">
        <v>153.69</v>
      </c>
      <c r="V4778" s="3">
        <v>40911</v>
      </c>
    </row>
    <row r="4779" spans="1:22" x14ac:dyDescent="0.35">
      <c r="A4779" s="1">
        <v>42310.884039351855</v>
      </c>
      <c r="B4779" s="2">
        <v>5.0347222222222225E-3</v>
      </c>
      <c r="C4779" t="s">
        <v>106</v>
      </c>
      <c r="D4779" t="s">
        <v>23</v>
      </c>
      <c r="E4779" t="s">
        <v>24</v>
      </c>
      <c r="F4779" t="s">
        <v>486</v>
      </c>
      <c r="G4779">
        <v>1119505</v>
      </c>
      <c r="H4779" t="s">
        <v>26</v>
      </c>
      <c r="I4779" t="s">
        <v>450</v>
      </c>
      <c r="J4779" t="str">
        <f>"9781118355015"</f>
        <v>9781118355015</v>
      </c>
      <c r="K4779" t="s">
        <v>7870</v>
      </c>
      <c r="L4779">
        <v>9</v>
      </c>
      <c r="O4779" t="s">
        <v>30</v>
      </c>
      <c r="P4779" t="s">
        <v>29</v>
      </c>
      <c r="Q4779" s="1">
        <v>42306.770254629628</v>
      </c>
      <c r="R4779">
        <v>7</v>
      </c>
      <c r="S4779" t="s">
        <v>31</v>
      </c>
      <c r="T4779" t="s">
        <v>487</v>
      </c>
      <c r="U4779" t="s">
        <v>488</v>
      </c>
      <c r="V4779" s="3">
        <v>41302</v>
      </c>
    </row>
    <row r="4780" spans="1:22" x14ac:dyDescent="0.35">
      <c r="A4780" s="1">
        <v>42310.868194444447</v>
      </c>
      <c r="B4780" s="2">
        <v>9.571759259259259E-3</v>
      </c>
      <c r="C4780" t="s">
        <v>7138</v>
      </c>
      <c r="D4780" t="s">
        <v>360</v>
      </c>
      <c r="E4780" t="s">
        <v>361</v>
      </c>
      <c r="F4780" t="s">
        <v>7150</v>
      </c>
      <c r="G4780">
        <v>332602</v>
      </c>
      <c r="H4780" t="s">
        <v>26</v>
      </c>
      <c r="I4780" t="s">
        <v>69</v>
      </c>
      <c r="J4780" t="str">
        <f>"9780631227885"</f>
        <v>9780631227885</v>
      </c>
      <c r="K4780" t="s">
        <v>7871</v>
      </c>
      <c r="L4780">
        <v>10</v>
      </c>
      <c r="O4780" t="s">
        <v>30</v>
      </c>
      <c r="P4780" t="s">
        <v>29</v>
      </c>
      <c r="Q4780" s="1">
        <v>42310.868194444447</v>
      </c>
      <c r="R4780">
        <v>7</v>
      </c>
      <c r="S4780" t="s">
        <v>363</v>
      </c>
      <c r="T4780" t="s">
        <v>7151</v>
      </c>
      <c r="U4780" t="s">
        <v>7152</v>
      </c>
      <c r="V4780" s="3">
        <v>41424</v>
      </c>
    </row>
    <row r="4781" spans="1:22" x14ac:dyDescent="0.35">
      <c r="A4781" s="1">
        <v>42310.836481481485</v>
      </c>
      <c r="B4781" s="2">
        <v>5.2777777777777771E-3</v>
      </c>
      <c r="C4781" t="s">
        <v>106</v>
      </c>
      <c r="D4781" t="s">
        <v>23</v>
      </c>
      <c r="E4781" t="s">
        <v>24</v>
      </c>
      <c r="F4781" t="s">
        <v>7872</v>
      </c>
      <c r="G4781">
        <v>2055108</v>
      </c>
      <c r="H4781" t="s">
        <v>45</v>
      </c>
      <c r="J4781" t="str">
        <f>"9781472459763"</f>
        <v>9781472459763</v>
      </c>
      <c r="K4781" t="s">
        <v>7873</v>
      </c>
      <c r="L4781">
        <v>17</v>
      </c>
      <c r="O4781" t="s">
        <v>30</v>
      </c>
      <c r="P4781" t="s">
        <v>47</v>
      </c>
      <c r="Q4781" s="1">
        <v>42310.836481481485</v>
      </c>
      <c r="R4781">
        <v>1</v>
      </c>
      <c r="S4781" t="s">
        <v>31</v>
      </c>
      <c r="T4781">
        <v>2014043798</v>
      </c>
      <c r="U4781" t="s">
        <v>7874</v>
      </c>
      <c r="V4781" s="3">
        <v>42079</v>
      </c>
    </row>
    <row r="4782" spans="1:22" x14ac:dyDescent="0.35">
      <c r="A4782" s="1">
        <v>42310.836331018516</v>
      </c>
      <c r="B4782" s="2">
        <v>7.6157407407407415E-3</v>
      </c>
      <c r="C4782" t="s">
        <v>5210</v>
      </c>
      <c r="D4782" t="s">
        <v>35</v>
      </c>
      <c r="E4782" t="s">
        <v>36</v>
      </c>
      <c r="F4782" t="s">
        <v>986</v>
      </c>
      <c r="G4782">
        <v>968030</v>
      </c>
      <c r="H4782" t="s">
        <v>26</v>
      </c>
      <c r="I4782" t="s">
        <v>219</v>
      </c>
      <c r="J4782" t="str">
        <f>"9781118285138"</f>
        <v>9781118285138</v>
      </c>
      <c r="K4782" t="s">
        <v>7875</v>
      </c>
      <c r="L4782">
        <v>32</v>
      </c>
      <c r="O4782" t="s">
        <v>30</v>
      </c>
      <c r="P4782" t="s">
        <v>29</v>
      </c>
      <c r="Q4782" s="1">
        <v>42309.862604166665</v>
      </c>
      <c r="R4782">
        <v>7</v>
      </c>
      <c r="S4782" t="s">
        <v>40</v>
      </c>
      <c r="T4782" t="s">
        <v>987</v>
      </c>
      <c r="U4782">
        <v>158.30000000000001</v>
      </c>
      <c r="V4782" s="3">
        <v>41100</v>
      </c>
    </row>
    <row r="4783" spans="1:22" x14ac:dyDescent="0.35">
      <c r="A4783" s="1">
        <v>42310.831377314818</v>
      </c>
      <c r="B4783" s="2">
        <v>2.5046296296296299E-2</v>
      </c>
      <c r="C4783" t="s">
        <v>5219</v>
      </c>
      <c r="D4783" t="s">
        <v>211</v>
      </c>
      <c r="E4783" t="s">
        <v>212</v>
      </c>
      <c r="F4783" t="s">
        <v>462</v>
      </c>
      <c r="G4783">
        <v>1822529</v>
      </c>
      <c r="H4783" t="s">
        <v>26</v>
      </c>
      <c r="I4783" t="s">
        <v>297</v>
      </c>
      <c r="J4783" t="str">
        <f>"9781118824344"</f>
        <v>9781118824344</v>
      </c>
      <c r="K4783" t="s">
        <v>7876</v>
      </c>
      <c r="L4783">
        <v>33</v>
      </c>
      <c r="M4783" t="s">
        <v>7877</v>
      </c>
      <c r="O4783" t="s">
        <v>30</v>
      </c>
      <c r="P4783" t="s">
        <v>29</v>
      </c>
      <c r="Q4783" s="1">
        <v>42310.831377314818</v>
      </c>
      <c r="R4783">
        <v>7</v>
      </c>
      <c r="S4783" t="s">
        <v>214</v>
      </c>
      <c r="T4783" t="s">
        <v>464</v>
      </c>
      <c r="U4783">
        <v>519.4</v>
      </c>
      <c r="V4783" s="3">
        <v>41932</v>
      </c>
    </row>
    <row r="4784" spans="1:22" x14ac:dyDescent="0.35">
      <c r="A4784" s="1">
        <v>42310.831134259257</v>
      </c>
      <c r="B4784" s="2">
        <v>5.347222222222222E-3</v>
      </c>
      <c r="C4784" t="s">
        <v>106</v>
      </c>
      <c r="D4784" t="s">
        <v>23</v>
      </c>
      <c r="E4784" t="s">
        <v>24</v>
      </c>
      <c r="F4784" t="s">
        <v>7872</v>
      </c>
      <c r="G4784">
        <v>2055108</v>
      </c>
      <c r="H4784" t="s">
        <v>45</v>
      </c>
      <c r="J4784" t="str">
        <f>"9781472459763"</f>
        <v>9781472459763</v>
      </c>
      <c r="K4784" t="s">
        <v>7878</v>
      </c>
      <c r="L4784">
        <v>9</v>
      </c>
      <c r="O4784" t="s">
        <v>30</v>
      </c>
      <c r="P4784" t="s">
        <v>50</v>
      </c>
      <c r="S4784" t="s">
        <v>31</v>
      </c>
      <c r="T4784">
        <v>2014043798</v>
      </c>
      <c r="U4784" t="s">
        <v>7874</v>
      </c>
      <c r="V4784" s="3">
        <v>42079</v>
      </c>
    </row>
    <row r="4785" spans="1:22" x14ac:dyDescent="0.35">
      <c r="A4785" s="1">
        <v>42310.821666666663</v>
      </c>
      <c r="B4785" s="2">
        <v>9.7106481481481471E-3</v>
      </c>
      <c r="C4785" t="s">
        <v>5219</v>
      </c>
      <c r="D4785" t="s">
        <v>211</v>
      </c>
      <c r="E4785" t="s">
        <v>212</v>
      </c>
      <c r="F4785" t="s">
        <v>462</v>
      </c>
      <c r="G4785">
        <v>1822529</v>
      </c>
      <c r="H4785" t="s">
        <v>26</v>
      </c>
      <c r="I4785" t="s">
        <v>297</v>
      </c>
      <c r="J4785" t="str">
        <f>"9781118824344"</f>
        <v>9781118824344</v>
      </c>
      <c r="K4785" t="s">
        <v>7879</v>
      </c>
      <c r="L4785">
        <v>26</v>
      </c>
      <c r="O4785" t="s">
        <v>30</v>
      </c>
      <c r="P4785" t="s">
        <v>42</v>
      </c>
      <c r="S4785" t="s">
        <v>214</v>
      </c>
      <c r="T4785" t="s">
        <v>464</v>
      </c>
      <c r="U4785">
        <v>519.4</v>
      </c>
      <c r="V4785" s="3">
        <v>41932</v>
      </c>
    </row>
    <row r="4786" spans="1:22" x14ac:dyDescent="0.35">
      <c r="A4786" s="1">
        <v>42310.820173611108</v>
      </c>
      <c r="B4786" s="2">
        <v>1.0763888888888889E-3</v>
      </c>
      <c r="C4786" t="s">
        <v>106</v>
      </c>
      <c r="D4786" t="s">
        <v>23</v>
      </c>
      <c r="E4786" t="s">
        <v>24</v>
      </c>
      <c r="F4786" t="s">
        <v>1051</v>
      </c>
      <c r="G4786">
        <v>821663</v>
      </c>
      <c r="H4786" t="s">
        <v>26</v>
      </c>
      <c r="I4786" t="s">
        <v>200</v>
      </c>
      <c r="J4786" t="str">
        <f>"9781118168479"</f>
        <v>9781118168479</v>
      </c>
      <c r="K4786" t="s">
        <v>7880</v>
      </c>
      <c r="L4786">
        <v>79</v>
      </c>
      <c r="O4786" t="s">
        <v>30</v>
      </c>
      <c r="P4786" t="s">
        <v>42</v>
      </c>
      <c r="S4786" t="s">
        <v>31</v>
      </c>
      <c r="T4786" t="s">
        <v>1053</v>
      </c>
      <c r="U4786">
        <v>729</v>
      </c>
      <c r="V4786" s="3">
        <v>40973</v>
      </c>
    </row>
    <row r="4787" spans="1:22" x14ac:dyDescent="0.35">
      <c r="A4787" s="1">
        <v>42310.819594907407</v>
      </c>
      <c r="B4787" s="2">
        <v>9.2592592592592588E-5</v>
      </c>
      <c r="C4787" t="s">
        <v>805</v>
      </c>
      <c r="D4787" t="s">
        <v>623</v>
      </c>
      <c r="E4787" t="s">
        <v>624</v>
      </c>
      <c r="F4787" t="s">
        <v>806</v>
      </c>
      <c r="G4787">
        <v>1715305</v>
      </c>
      <c r="H4787" t="s">
        <v>91</v>
      </c>
      <c r="I4787" t="s">
        <v>247</v>
      </c>
      <c r="J4787" t="str">
        <f>"9781462516742"</f>
        <v>9781462516742</v>
      </c>
      <c r="K4787" t="s">
        <v>202</v>
      </c>
      <c r="L4787">
        <v>3</v>
      </c>
      <c r="O4787" t="s">
        <v>30</v>
      </c>
      <c r="P4787" t="s">
        <v>42</v>
      </c>
      <c r="S4787" t="s">
        <v>627</v>
      </c>
      <c r="T4787" t="s">
        <v>808</v>
      </c>
      <c r="U4787">
        <v>618.9289</v>
      </c>
      <c r="V4787" s="3">
        <v>41886</v>
      </c>
    </row>
    <row r="4788" spans="1:22" x14ac:dyDescent="0.35">
      <c r="A4788" s="1">
        <v>42310.81827546296</v>
      </c>
      <c r="B4788" s="2">
        <v>2.0833333333333335E-4</v>
      </c>
      <c r="C4788" t="s">
        <v>106</v>
      </c>
      <c r="D4788" t="s">
        <v>23</v>
      </c>
      <c r="E4788" t="s">
        <v>24</v>
      </c>
      <c r="F4788" t="s">
        <v>1051</v>
      </c>
      <c r="G4788">
        <v>821663</v>
      </c>
      <c r="H4788" t="s">
        <v>26</v>
      </c>
      <c r="I4788" t="s">
        <v>200</v>
      </c>
      <c r="J4788" t="str">
        <f>"9781118168479"</f>
        <v>9781118168479</v>
      </c>
      <c r="K4788" t="s">
        <v>7881</v>
      </c>
      <c r="L4788">
        <v>14</v>
      </c>
      <c r="O4788" t="s">
        <v>30</v>
      </c>
      <c r="P4788" t="s">
        <v>42</v>
      </c>
      <c r="S4788" t="s">
        <v>31</v>
      </c>
      <c r="T4788" t="s">
        <v>1053</v>
      </c>
      <c r="U4788">
        <v>729</v>
      </c>
      <c r="V4788" s="3">
        <v>40973</v>
      </c>
    </row>
    <row r="4789" spans="1:22" x14ac:dyDescent="0.35">
      <c r="A4789" s="1">
        <v>42310.817662037036</v>
      </c>
      <c r="B4789" s="2">
        <v>1.0416666666666667E-4</v>
      </c>
      <c r="C4789" t="s">
        <v>805</v>
      </c>
      <c r="D4789" t="s">
        <v>623</v>
      </c>
      <c r="E4789" t="s">
        <v>624</v>
      </c>
      <c r="F4789" t="s">
        <v>7882</v>
      </c>
      <c r="G4789">
        <v>1887754</v>
      </c>
      <c r="H4789" t="s">
        <v>26</v>
      </c>
      <c r="I4789" t="s">
        <v>247</v>
      </c>
      <c r="J4789" t="str">
        <f>"9781118840184"</f>
        <v>9781118840184</v>
      </c>
      <c r="K4789" t="s">
        <v>202</v>
      </c>
      <c r="L4789">
        <v>3</v>
      </c>
      <c r="O4789" t="s">
        <v>30</v>
      </c>
      <c r="P4789" t="s">
        <v>50</v>
      </c>
      <c r="S4789" t="s">
        <v>627</v>
      </c>
      <c r="T4789" t="s">
        <v>7883</v>
      </c>
      <c r="U4789" t="s">
        <v>7884</v>
      </c>
      <c r="V4789" s="3">
        <v>41985</v>
      </c>
    </row>
    <row r="4790" spans="1:22" x14ac:dyDescent="0.35">
      <c r="A4790" s="1">
        <v>42310.808564814812</v>
      </c>
      <c r="B4790" s="2">
        <v>5.9629629629629623E-2</v>
      </c>
      <c r="C4790" t="s">
        <v>7138</v>
      </c>
      <c r="D4790" t="s">
        <v>360</v>
      </c>
      <c r="E4790" t="s">
        <v>361</v>
      </c>
      <c r="F4790" t="s">
        <v>7150</v>
      </c>
      <c r="G4790">
        <v>332602</v>
      </c>
      <c r="H4790" t="s">
        <v>26</v>
      </c>
      <c r="I4790" t="s">
        <v>69</v>
      </c>
      <c r="J4790" t="str">
        <f>"9780631227885"</f>
        <v>9780631227885</v>
      </c>
      <c r="K4790" t="s">
        <v>7885</v>
      </c>
      <c r="L4790">
        <v>10</v>
      </c>
      <c r="O4790" t="s">
        <v>30</v>
      </c>
      <c r="P4790" t="s">
        <v>42</v>
      </c>
      <c r="S4790" t="s">
        <v>363</v>
      </c>
      <c r="T4790" t="s">
        <v>7151</v>
      </c>
      <c r="U4790" t="s">
        <v>7152</v>
      </c>
      <c r="V4790" s="3">
        <v>41424</v>
      </c>
    </row>
    <row r="4791" spans="1:22" x14ac:dyDescent="0.35">
      <c r="A4791" s="1">
        <v>42310.808437500003</v>
      </c>
      <c r="B4791" s="2">
        <v>6.5706018518518525E-2</v>
      </c>
      <c r="C4791" t="s">
        <v>5438</v>
      </c>
      <c r="D4791" t="s">
        <v>360</v>
      </c>
      <c r="E4791" t="s">
        <v>361</v>
      </c>
      <c r="F4791" t="s">
        <v>7150</v>
      </c>
      <c r="G4791">
        <v>332602</v>
      </c>
      <c r="H4791" t="s">
        <v>26</v>
      </c>
      <c r="I4791" t="s">
        <v>69</v>
      </c>
      <c r="J4791" t="str">
        <f>"9780631227885"</f>
        <v>9780631227885</v>
      </c>
      <c r="K4791" t="s">
        <v>7886</v>
      </c>
      <c r="L4791">
        <v>27</v>
      </c>
      <c r="O4791" t="s">
        <v>30</v>
      </c>
      <c r="P4791" t="s">
        <v>29</v>
      </c>
      <c r="Q4791" s="1">
        <v>42308.775324074071</v>
      </c>
      <c r="R4791">
        <v>7</v>
      </c>
      <c r="S4791" t="s">
        <v>363</v>
      </c>
      <c r="T4791" t="s">
        <v>7151</v>
      </c>
      <c r="U4791" t="s">
        <v>7152</v>
      </c>
      <c r="V4791" s="3">
        <v>41424</v>
      </c>
    </row>
    <row r="4792" spans="1:22" x14ac:dyDescent="0.35">
      <c r="A4792" s="1">
        <v>42310.802372685182</v>
      </c>
      <c r="B4792" s="2">
        <v>0</v>
      </c>
      <c r="C4792" t="s">
        <v>5438</v>
      </c>
      <c r="D4792" t="s">
        <v>360</v>
      </c>
      <c r="E4792" t="s">
        <v>361</v>
      </c>
      <c r="F4792" t="s">
        <v>7150</v>
      </c>
      <c r="G4792">
        <v>332602</v>
      </c>
      <c r="H4792" t="s">
        <v>26</v>
      </c>
      <c r="I4792" t="s">
        <v>69</v>
      </c>
      <c r="J4792" t="str">
        <f>"9780631227885"</f>
        <v>9780631227885</v>
      </c>
      <c r="L4792">
        <v>0</v>
      </c>
      <c r="O4792" t="s">
        <v>30</v>
      </c>
      <c r="P4792" t="s">
        <v>29</v>
      </c>
      <c r="Q4792" s="1">
        <v>42308.775324074071</v>
      </c>
      <c r="R4792">
        <v>7</v>
      </c>
      <c r="S4792" t="s">
        <v>363</v>
      </c>
      <c r="T4792" t="s">
        <v>7151</v>
      </c>
      <c r="U4792" t="s">
        <v>7152</v>
      </c>
      <c r="V4792" s="3">
        <v>41424</v>
      </c>
    </row>
    <row r="4793" spans="1:22" x14ac:dyDescent="0.35">
      <c r="A4793" s="1">
        <v>42310.801018518519</v>
      </c>
      <c r="B4793" s="2">
        <v>1.2384259259259258E-3</v>
      </c>
      <c r="C4793" t="s">
        <v>7614</v>
      </c>
      <c r="D4793" t="s">
        <v>623</v>
      </c>
      <c r="E4793" t="s">
        <v>624</v>
      </c>
      <c r="F4793" t="s">
        <v>4526</v>
      </c>
      <c r="G4793">
        <v>771074</v>
      </c>
      <c r="H4793" t="s">
        <v>3465</v>
      </c>
      <c r="I4793" t="s">
        <v>4527</v>
      </c>
      <c r="J4793" t="str">
        <f>"9780761499732"</f>
        <v>9780761499732</v>
      </c>
      <c r="K4793" t="s">
        <v>7887</v>
      </c>
      <c r="L4793">
        <v>13</v>
      </c>
      <c r="O4793" t="s">
        <v>28</v>
      </c>
      <c r="P4793" t="s">
        <v>29</v>
      </c>
      <c r="Q4793" s="1">
        <v>42310.799502314818</v>
      </c>
      <c r="R4793">
        <v>7</v>
      </c>
      <c r="S4793" t="s">
        <v>627</v>
      </c>
      <c r="T4793" t="s">
        <v>4528</v>
      </c>
      <c r="U4793" t="s">
        <v>4529</v>
      </c>
      <c r="V4793" s="3">
        <v>40909</v>
      </c>
    </row>
    <row r="4794" spans="1:22" x14ac:dyDescent="0.35">
      <c r="A4794" s="1">
        <v>42310.799502314818</v>
      </c>
      <c r="B4794" s="2">
        <v>0</v>
      </c>
      <c r="C4794" t="s">
        <v>7614</v>
      </c>
      <c r="D4794" t="s">
        <v>623</v>
      </c>
      <c r="E4794" t="s">
        <v>624</v>
      </c>
      <c r="F4794" t="s">
        <v>4526</v>
      </c>
      <c r="G4794">
        <v>771074</v>
      </c>
      <c r="H4794" t="s">
        <v>3465</v>
      </c>
      <c r="I4794" t="s">
        <v>4527</v>
      </c>
      <c r="J4794" t="str">
        <f>"9780761499732"</f>
        <v>9780761499732</v>
      </c>
      <c r="L4794">
        <v>0</v>
      </c>
      <c r="O4794" t="s">
        <v>28</v>
      </c>
      <c r="P4794" t="s">
        <v>29</v>
      </c>
      <c r="Q4794" s="1">
        <v>42310.799502314818</v>
      </c>
      <c r="R4794">
        <v>7</v>
      </c>
      <c r="S4794" t="s">
        <v>627</v>
      </c>
      <c r="T4794" t="s">
        <v>4528</v>
      </c>
      <c r="U4794" t="s">
        <v>4529</v>
      </c>
      <c r="V4794" s="3">
        <v>40909</v>
      </c>
    </row>
    <row r="4795" spans="1:22" x14ac:dyDescent="0.35">
      <c r="A4795" s="1">
        <v>42310.799502314818</v>
      </c>
      <c r="B4795" s="2">
        <v>0</v>
      </c>
      <c r="C4795" t="s">
        <v>7614</v>
      </c>
      <c r="D4795" t="s">
        <v>623</v>
      </c>
      <c r="E4795" t="s">
        <v>624</v>
      </c>
      <c r="F4795" t="s">
        <v>4526</v>
      </c>
      <c r="G4795">
        <v>771074</v>
      </c>
      <c r="H4795" t="s">
        <v>3465</v>
      </c>
      <c r="I4795" t="s">
        <v>4527</v>
      </c>
      <c r="J4795" t="str">
        <f>"9780761499732"</f>
        <v>9780761499732</v>
      </c>
      <c r="L4795">
        <v>0</v>
      </c>
      <c r="O4795" t="s">
        <v>30</v>
      </c>
      <c r="P4795" t="s">
        <v>29</v>
      </c>
      <c r="Q4795" s="1">
        <v>42310.799502314818</v>
      </c>
      <c r="R4795">
        <v>7</v>
      </c>
      <c r="S4795" t="s">
        <v>627</v>
      </c>
      <c r="T4795" t="s">
        <v>4528</v>
      </c>
      <c r="U4795" t="s">
        <v>4529</v>
      </c>
      <c r="V4795" s="3">
        <v>40909</v>
      </c>
    </row>
    <row r="4796" spans="1:22" x14ac:dyDescent="0.35">
      <c r="A4796" s="1">
        <v>42310.798703703702</v>
      </c>
      <c r="B4796" s="2">
        <v>7.9861111111111105E-4</v>
      </c>
      <c r="C4796" t="s">
        <v>7614</v>
      </c>
      <c r="D4796" t="s">
        <v>623</v>
      </c>
      <c r="E4796" t="s">
        <v>624</v>
      </c>
      <c r="F4796" t="s">
        <v>4526</v>
      </c>
      <c r="G4796">
        <v>771074</v>
      </c>
      <c r="H4796" t="s">
        <v>3465</v>
      </c>
      <c r="I4796" t="s">
        <v>4527</v>
      </c>
      <c r="J4796" t="str">
        <f>"9780761499732"</f>
        <v>9780761499732</v>
      </c>
      <c r="K4796" t="s">
        <v>33</v>
      </c>
      <c r="L4796">
        <v>3</v>
      </c>
      <c r="O4796" t="s">
        <v>30</v>
      </c>
      <c r="P4796" t="s">
        <v>42</v>
      </c>
      <c r="S4796" t="s">
        <v>627</v>
      </c>
      <c r="T4796" t="s">
        <v>4528</v>
      </c>
      <c r="U4796" t="s">
        <v>4529</v>
      </c>
      <c r="V4796" s="3">
        <v>40909</v>
      </c>
    </row>
    <row r="4797" spans="1:22" x14ac:dyDescent="0.35">
      <c r="A4797" s="1">
        <v>42310.794745370367</v>
      </c>
      <c r="B4797" s="2">
        <v>2.0833333333333335E-4</v>
      </c>
      <c r="C4797" t="s">
        <v>805</v>
      </c>
      <c r="D4797" t="s">
        <v>623</v>
      </c>
      <c r="E4797" t="s">
        <v>624</v>
      </c>
      <c r="F4797" t="s">
        <v>806</v>
      </c>
      <c r="G4797">
        <v>1715305</v>
      </c>
      <c r="H4797" t="s">
        <v>91</v>
      </c>
      <c r="I4797" t="s">
        <v>247</v>
      </c>
      <c r="J4797" t="str">
        <f>"9781462516742"</f>
        <v>9781462516742</v>
      </c>
      <c r="K4797" t="s">
        <v>7888</v>
      </c>
      <c r="L4797">
        <v>17</v>
      </c>
      <c r="O4797" t="s">
        <v>30</v>
      </c>
      <c r="P4797" t="s">
        <v>42</v>
      </c>
      <c r="S4797" t="s">
        <v>627</v>
      </c>
      <c r="T4797" t="s">
        <v>808</v>
      </c>
      <c r="U4797">
        <v>618.9289</v>
      </c>
      <c r="V4797" s="3">
        <v>41886</v>
      </c>
    </row>
    <row r="4798" spans="1:22" x14ac:dyDescent="0.35">
      <c r="A4798" s="1">
        <v>42310.790833333333</v>
      </c>
      <c r="B4798" s="2">
        <v>1.8634259259259261E-3</v>
      </c>
      <c r="C4798" t="s">
        <v>5438</v>
      </c>
      <c r="D4798" t="s">
        <v>360</v>
      </c>
      <c r="E4798" t="s">
        <v>361</v>
      </c>
      <c r="F4798" t="s">
        <v>4289</v>
      </c>
      <c r="G4798">
        <v>1120621</v>
      </c>
      <c r="H4798" t="s">
        <v>26</v>
      </c>
      <c r="I4798" t="s">
        <v>69</v>
      </c>
      <c r="J4798" t="str">
        <f>"9781118362679"</f>
        <v>9781118362679</v>
      </c>
      <c r="K4798" t="s">
        <v>7889</v>
      </c>
      <c r="L4798">
        <v>9</v>
      </c>
      <c r="O4798" t="s">
        <v>30</v>
      </c>
      <c r="P4798" t="s">
        <v>29</v>
      </c>
      <c r="Q4798" s="1">
        <v>42308.894675925927</v>
      </c>
      <c r="R4798">
        <v>7</v>
      </c>
      <c r="S4798" t="s">
        <v>363</v>
      </c>
      <c r="T4798" t="s">
        <v>4290</v>
      </c>
      <c r="U4798" t="s">
        <v>4291</v>
      </c>
      <c r="V4798" s="3">
        <v>41136</v>
      </c>
    </row>
    <row r="4799" spans="1:22" x14ac:dyDescent="0.35">
      <c r="A4799" s="1">
        <v>42310.78429398148</v>
      </c>
      <c r="B4799" s="2">
        <v>0.12103009259259261</v>
      </c>
      <c r="C4799" t="s">
        <v>7649</v>
      </c>
      <c r="D4799" t="s">
        <v>23</v>
      </c>
      <c r="E4799" t="s">
        <v>24</v>
      </c>
      <c r="F4799" t="s">
        <v>4881</v>
      </c>
      <c r="G4799">
        <v>1969407</v>
      </c>
      <c r="H4799" t="s">
        <v>45</v>
      </c>
      <c r="I4799" t="s">
        <v>200</v>
      </c>
      <c r="J4799" t="str">
        <f>"9781472422880"</f>
        <v>9781472422880</v>
      </c>
      <c r="K4799" t="s">
        <v>7890</v>
      </c>
      <c r="L4799">
        <v>51</v>
      </c>
      <c r="O4799" t="s">
        <v>30</v>
      </c>
      <c r="P4799" t="s">
        <v>47</v>
      </c>
      <c r="Q4799" s="1">
        <v>42310.78429398148</v>
      </c>
      <c r="R4799">
        <v>1</v>
      </c>
      <c r="S4799" t="s">
        <v>31</v>
      </c>
      <c r="T4799" t="s">
        <v>4883</v>
      </c>
      <c r="U4799">
        <v>720.71</v>
      </c>
      <c r="V4799" s="3">
        <v>42091</v>
      </c>
    </row>
    <row r="4800" spans="1:22" x14ac:dyDescent="0.35">
      <c r="A4800" s="1">
        <v>42310.776597222219</v>
      </c>
      <c r="B4800" s="2">
        <v>7.9861111111111105E-4</v>
      </c>
      <c r="C4800" t="s">
        <v>5332</v>
      </c>
      <c r="D4800" t="s">
        <v>360</v>
      </c>
      <c r="E4800" t="s">
        <v>361</v>
      </c>
      <c r="F4800" t="s">
        <v>5333</v>
      </c>
      <c r="G4800">
        <v>538048</v>
      </c>
      <c r="H4800" t="s">
        <v>526</v>
      </c>
      <c r="I4800" t="s">
        <v>79</v>
      </c>
      <c r="J4800" t="str">
        <f>"9780226493671"</f>
        <v>9780226493671</v>
      </c>
      <c r="K4800" t="s">
        <v>7891</v>
      </c>
      <c r="L4800">
        <v>3</v>
      </c>
      <c r="O4800" t="s">
        <v>30</v>
      </c>
      <c r="P4800" t="s">
        <v>47</v>
      </c>
      <c r="Q4800" s="1">
        <v>42310.776597222219</v>
      </c>
      <c r="R4800">
        <v>1</v>
      </c>
      <c r="S4800" t="s">
        <v>363</v>
      </c>
      <c r="T4800" t="s">
        <v>5335</v>
      </c>
      <c r="U4800" t="s">
        <v>5336</v>
      </c>
      <c r="V4800" s="3">
        <v>41303</v>
      </c>
    </row>
    <row r="4801" spans="1:22" x14ac:dyDescent="0.35">
      <c r="A4801" s="1">
        <v>42310.775555555556</v>
      </c>
      <c r="B4801" s="2">
        <v>0</v>
      </c>
      <c r="C4801" t="s">
        <v>7330</v>
      </c>
      <c r="D4801" t="s">
        <v>23</v>
      </c>
      <c r="E4801" t="s">
        <v>24</v>
      </c>
      <c r="F4801" t="s">
        <v>4117</v>
      </c>
      <c r="G4801">
        <v>1724876</v>
      </c>
      <c r="H4801" t="s">
        <v>26</v>
      </c>
      <c r="I4801" t="s">
        <v>108</v>
      </c>
      <c r="J4801" t="str">
        <f>"9781118914113"</f>
        <v>9781118914113</v>
      </c>
      <c r="L4801">
        <v>0</v>
      </c>
      <c r="N4801" t="s">
        <v>7892</v>
      </c>
      <c r="O4801" t="s">
        <v>30</v>
      </c>
      <c r="P4801" t="s">
        <v>29</v>
      </c>
      <c r="Q4801" s="1">
        <v>42310.775555555556</v>
      </c>
      <c r="R4801">
        <v>7</v>
      </c>
      <c r="S4801" t="s">
        <v>31</v>
      </c>
      <c r="T4801" t="s">
        <v>4120</v>
      </c>
      <c r="U4801">
        <v>332</v>
      </c>
      <c r="V4801" s="3">
        <v>41816</v>
      </c>
    </row>
    <row r="4802" spans="1:22" x14ac:dyDescent="0.35">
      <c r="A4802" s="1">
        <v>42310.775381944448</v>
      </c>
      <c r="B4802" s="2">
        <v>1.7361111111111112E-4</v>
      </c>
      <c r="C4802" t="s">
        <v>7330</v>
      </c>
      <c r="D4802" t="s">
        <v>23</v>
      </c>
      <c r="E4802" t="s">
        <v>24</v>
      </c>
      <c r="F4802" t="s">
        <v>4117</v>
      </c>
      <c r="G4802">
        <v>1724876</v>
      </c>
      <c r="H4802" t="s">
        <v>26</v>
      </c>
      <c r="I4802" t="s">
        <v>108</v>
      </c>
      <c r="J4802" t="str">
        <f>"9781118914113"</f>
        <v>9781118914113</v>
      </c>
      <c r="K4802" t="s">
        <v>33</v>
      </c>
      <c r="L4802">
        <v>3</v>
      </c>
      <c r="O4802" t="s">
        <v>30</v>
      </c>
      <c r="P4802" t="s">
        <v>42</v>
      </c>
      <c r="S4802" t="s">
        <v>31</v>
      </c>
      <c r="T4802" t="s">
        <v>4120</v>
      </c>
      <c r="U4802">
        <v>332</v>
      </c>
      <c r="V4802" s="3">
        <v>41816</v>
      </c>
    </row>
    <row r="4803" spans="1:22" x14ac:dyDescent="0.35">
      <c r="A4803" s="1">
        <v>42310.772974537038</v>
      </c>
      <c r="B4803" s="2">
        <v>3.6226851851851854E-3</v>
      </c>
      <c r="C4803" t="s">
        <v>5332</v>
      </c>
      <c r="D4803" t="s">
        <v>360</v>
      </c>
      <c r="E4803" t="s">
        <v>361</v>
      </c>
      <c r="F4803" t="s">
        <v>5333</v>
      </c>
      <c r="G4803">
        <v>538048</v>
      </c>
      <c r="H4803" t="s">
        <v>526</v>
      </c>
      <c r="I4803" t="s">
        <v>79</v>
      </c>
      <c r="J4803" t="str">
        <f>"9780226493671"</f>
        <v>9780226493671</v>
      </c>
      <c r="K4803" t="s">
        <v>240</v>
      </c>
      <c r="L4803">
        <v>14</v>
      </c>
      <c r="O4803" t="s">
        <v>30</v>
      </c>
      <c r="P4803" t="s">
        <v>50</v>
      </c>
      <c r="S4803" t="s">
        <v>363</v>
      </c>
      <c r="T4803" t="s">
        <v>5335</v>
      </c>
      <c r="U4803" t="s">
        <v>5336</v>
      </c>
      <c r="V4803" s="3">
        <v>41303</v>
      </c>
    </row>
    <row r="4804" spans="1:22" x14ac:dyDescent="0.35">
      <c r="A4804" s="1">
        <v>42310.769571759258</v>
      </c>
      <c r="B4804" s="2">
        <v>1.4722222222222222E-2</v>
      </c>
      <c r="C4804" t="s">
        <v>7649</v>
      </c>
      <c r="D4804" t="s">
        <v>23</v>
      </c>
      <c r="E4804" t="s">
        <v>24</v>
      </c>
      <c r="F4804" t="s">
        <v>4881</v>
      </c>
      <c r="G4804">
        <v>1969407</v>
      </c>
      <c r="H4804" t="s">
        <v>45</v>
      </c>
      <c r="I4804" t="s">
        <v>200</v>
      </c>
      <c r="J4804" t="str">
        <f>"9781472422880"</f>
        <v>9781472422880</v>
      </c>
      <c r="K4804" t="s">
        <v>7893</v>
      </c>
      <c r="L4804">
        <v>9</v>
      </c>
      <c r="O4804" t="s">
        <v>30</v>
      </c>
      <c r="P4804" t="s">
        <v>50</v>
      </c>
      <c r="S4804" t="s">
        <v>31</v>
      </c>
      <c r="T4804" t="s">
        <v>4883</v>
      </c>
      <c r="U4804">
        <v>720.71</v>
      </c>
      <c r="V4804" s="3">
        <v>42091</v>
      </c>
    </row>
    <row r="4805" spans="1:22" x14ac:dyDescent="0.35">
      <c r="A4805" s="1">
        <v>42310.76357638889</v>
      </c>
      <c r="B4805" s="2">
        <v>1.3657407407407409E-3</v>
      </c>
      <c r="C4805" t="s">
        <v>7894</v>
      </c>
      <c r="D4805" t="s">
        <v>623</v>
      </c>
      <c r="E4805" t="s">
        <v>624</v>
      </c>
      <c r="F4805" t="s">
        <v>5397</v>
      </c>
      <c r="G4805">
        <v>1894285</v>
      </c>
      <c r="H4805" t="s">
        <v>91</v>
      </c>
      <c r="I4805" t="s">
        <v>69</v>
      </c>
      <c r="J4805" t="str">
        <f>"9781462520169"</f>
        <v>9781462520169</v>
      </c>
      <c r="K4805" t="s">
        <v>7895</v>
      </c>
      <c r="L4805">
        <v>20</v>
      </c>
      <c r="O4805" t="s">
        <v>30</v>
      </c>
      <c r="P4805" t="s">
        <v>50</v>
      </c>
      <c r="S4805" t="s">
        <v>627</v>
      </c>
      <c r="T4805" t="s">
        <v>5399</v>
      </c>
      <c r="U4805">
        <v>370.15300000000002</v>
      </c>
      <c r="V4805" s="3">
        <v>42109</v>
      </c>
    </row>
    <row r="4806" spans="1:22" x14ac:dyDescent="0.35">
      <c r="A4806" s="1">
        <v>42310.763101851851</v>
      </c>
      <c r="B4806" s="2">
        <v>3.4722222222222222E-5</v>
      </c>
      <c r="C4806" t="s">
        <v>7894</v>
      </c>
      <c r="D4806" t="s">
        <v>623</v>
      </c>
      <c r="E4806" t="s">
        <v>624</v>
      </c>
      <c r="F4806" t="s">
        <v>5397</v>
      </c>
      <c r="G4806">
        <v>1894285</v>
      </c>
      <c r="H4806" t="s">
        <v>91</v>
      </c>
      <c r="I4806" t="s">
        <v>69</v>
      </c>
      <c r="J4806" t="str">
        <f>"9781462520169"</f>
        <v>9781462520169</v>
      </c>
      <c r="K4806" t="s">
        <v>105</v>
      </c>
      <c r="L4806">
        <v>1</v>
      </c>
      <c r="O4806" t="s">
        <v>30</v>
      </c>
      <c r="P4806" t="s">
        <v>50</v>
      </c>
      <c r="S4806" t="s">
        <v>627</v>
      </c>
      <c r="T4806" t="s">
        <v>5399</v>
      </c>
      <c r="U4806">
        <v>370.15300000000002</v>
      </c>
      <c r="V4806" s="3">
        <v>42109</v>
      </c>
    </row>
    <row r="4807" spans="1:22" x14ac:dyDescent="0.35">
      <c r="A4807" s="1">
        <v>42310.762708333335</v>
      </c>
      <c r="B4807" s="2">
        <v>4.8611111111111104E-4</v>
      </c>
      <c r="C4807" t="s">
        <v>7896</v>
      </c>
      <c r="D4807" t="s">
        <v>35</v>
      </c>
      <c r="E4807" t="s">
        <v>36</v>
      </c>
      <c r="F4807" t="s">
        <v>5454</v>
      </c>
      <c r="G4807">
        <v>1120969</v>
      </c>
      <c r="H4807" t="s">
        <v>84</v>
      </c>
      <c r="I4807" t="s">
        <v>38</v>
      </c>
      <c r="J4807" t="str">
        <f>"9780520955189"</f>
        <v>9780520955189</v>
      </c>
      <c r="K4807" t="s">
        <v>7897</v>
      </c>
      <c r="L4807">
        <v>25</v>
      </c>
      <c r="O4807" t="s">
        <v>30</v>
      </c>
      <c r="P4807" t="s">
        <v>50</v>
      </c>
      <c r="S4807" t="s">
        <v>40</v>
      </c>
      <c r="T4807" t="s">
        <v>5455</v>
      </c>
      <c r="U4807">
        <v>362.1</v>
      </c>
      <c r="V4807" s="3">
        <v>41330</v>
      </c>
    </row>
    <row r="4808" spans="1:22" x14ac:dyDescent="0.35">
      <c r="A4808" s="1">
        <v>42310.752754629626</v>
      </c>
      <c r="B4808" s="2">
        <v>2.6516203703703698E-2</v>
      </c>
      <c r="C4808" t="s">
        <v>7898</v>
      </c>
      <c r="D4808" t="s">
        <v>158</v>
      </c>
      <c r="E4808" t="s">
        <v>159</v>
      </c>
      <c r="F4808" t="s">
        <v>5301</v>
      </c>
      <c r="G4808">
        <v>818121</v>
      </c>
      <c r="H4808" t="s">
        <v>26</v>
      </c>
      <c r="I4808" t="s">
        <v>5302</v>
      </c>
      <c r="J4808" t="str">
        <f>"9781118226339"</f>
        <v>9781118226339</v>
      </c>
      <c r="K4808" t="s">
        <v>7899</v>
      </c>
      <c r="L4808">
        <v>22</v>
      </c>
      <c r="O4808" t="s">
        <v>30</v>
      </c>
      <c r="P4808" t="s">
        <v>29</v>
      </c>
      <c r="Q4808" s="1">
        <v>42306.809675925928</v>
      </c>
      <c r="R4808">
        <v>7</v>
      </c>
      <c r="S4808" t="s">
        <v>163</v>
      </c>
      <c r="T4808" t="s">
        <v>5303</v>
      </c>
      <c r="U4808" t="s">
        <v>5304</v>
      </c>
      <c r="V4808" s="3">
        <v>40934</v>
      </c>
    </row>
    <row r="4809" spans="1:22" x14ac:dyDescent="0.35">
      <c r="A4809" s="1">
        <v>42310.74690972222</v>
      </c>
      <c r="B4809" s="2">
        <v>3.3564814814814812E-4</v>
      </c>
      <c r="C4809" t="s">
        <v>6557</v>
      </c>
      <c r="D4809" t="s">
        <v>158</v>
      </c>
      <c r="E4809" t="s">
        <v>159</v>
      </c>
      <c r="F4809" t="s">
        <v>5681</v>
      </c>
      <c r="G4809">
        <v>918811</v>
      </c>
      <c r="H4809" t="s">
        <v>3465</v>
      </c>
      <c r="I4809" t="s">
        <v>172</v>
      </c>
      <c r="J4809" t="str">
        <f>"9781608708062"</f>
        <v>9781608708062</v>
      </c>
      <c r="K4809" t="s">
        <v>2045</v>
      </c>
      <c r="L4809">
        <v>2</v>
      </c>
      <c r="O4809" t="s">
        <v>30</v>
      </c>
      <c r="P4809" t="s">
        <v>29</v>
      </c>
      <c r="Q4809" s="1">
        <v>42310.742951388886</v>
      </c>
      <c r="R4809">
        <v>7</v>
      </c>
      <c r="S4809" t="s">
        <v>163</v>
      </c>
      <c r="T4809" t="s">
        <v>5683</v>
      </c>
      <c r="U4809">
        <v>981</v>
      </c>
      <c r="V4809" s="3">
        <v>40969</v>
      </c>
    </row>
    <row r="4810" spans="1:22" x14ac:dyDescent="0.35">
      <c r="A4810" s="1">
        <v>42310.742962962962</v>
      </c>
      <c r="B4810" s="2">
        <v>5.7870370370370366E-5</v>
      </c>
      <c r="C4810" t="s">
        <v>6557</v>
      </c>
      <c r="D4810" t="s">
        <v>158</v>
      </c>
      <c r="E4810" t="s">
        <v>159</v>
      </c>
      <c r="F4810" t="s">
        <v>5681</v>
      </c>
      <c r="G4810">
        <v>918811</v>
      </c>
      <c r="H4810" t="s">
        <v>3465</v>
      </c>
      <c r="I4810" t="s">
        <v>172</v>
      </c>
      <c r="J4810" t="str">
        <f>"9781608708062"</f>
        <v>9781608708062</v>
      </c>
      <c r="K4810" t="s">
        <v>7900</v>
      </c>
      <c r="L4810">
        <v>3</v>
      </c>
      <c r="O4810" t="s">
        <v>30</v>
      </c>
      <c r="P4810" t="s">
        <v>29</v>
      </c>
      <c r="Q4810" s="1">
        <v>42310.742951388886</v>
      </c>
      <c r="R4810">
        <v>7</v>
      </c>
      <c r="S4810" t="s">
        <v>163</v>
      </c>
      <c r="T4810" t="s">
        <v>5683</v>
      </c>
      <c r="U4810">
        <v>981</v>
      </c>
      <c r="V4810" s="3">
        <v>40969</v>
      </c>
    </row>
    <row r="4811" spans="1:22" x14ac:dyDescent="0.35">
      <c r="A4811" s="1">
        <v>42310.73678240741</v>
      </c>
      <c r="B4811" s="2">
        <v>1.1770833333333333E-2</v>
      </c>
      <c r="C4811" t="s">
        <v>6275</v>
      </c>
      <c r="D4811" t="s">
        <v>23</v>
      </c>
      <c r="E4811" t="s">
        <v>24</v>
      </c>
      <c r="F4811" t="s">
        <v>1051</v>
      </c>
      <c r="G4811">
        <v>821663</v>
      </c>
      <c r="H4811" t="s">
        <v>26</v>
      </c>
      <c r="I4811" t="s">
        <v>200</v>
      </c>
      <c r="J4811" t="str">
        <f>"9781118168479"</f>
        <v>9781118168479</v>
      </c>
      <c r="K4811" t="s">
        <v>7901</v>
      </c>
      <c r="L4811">
        <v>24</v>
      </c>
      <c r="O4811" t="s">
        <v>30</v>
      </c>
      <c r="P4811" t="s">
        <v>29</v>
      </c>
      <c r="Q4811" s="1">
        <v>42310.736770833333</v>
      </c>
      <c r="R4811">
        <v>7</v>
      </c>
      <c r="S4811" t="s">
        <v>31</v>
      </c>
      <c r="T4811" t="s">
        <v>1053</v>
      </c>
      <c r="U4811">
        <v>729</v>
      </c>
      <c r="V4811" s="3">
        <v>40973</v>
      </c>
    </row>
    <row r="4812" spans="1:22" x14ac:dyDescent="0.35">
      <c r="A4812" s="1">
        <v>42310.735324074078</v>
      </c>
      <c r="B4812" s="2">
        <v>7.6273148148148151E-3</v>
      </c>
      <c r="C4812" t="s">
        <v>6557</v>
      </c>
      <c r="D4812" t="s">
        <v>158</v>
      </c>
      <c r="E4812" t="s">
        <v>159</v>
      </c>
      <c r="F4812" t="s">
        <v>5681</v>
      </c>
      <c r="G4812">
        <v>918811</v>
      </c>
      <c r="H4812" t="s">
        <v>3465</v>
      </c>
      <c r="I4812" t="s">
        <v>172</v>
      </c>
      <c r="J4812" t="str">
        <f>"9781608708062"</f>
        <v>9781608708062</v>
      </c>
      <c r="K4812" t="s">
        <v>7902</v>
      </c>
      <c r="L4812">
        <v>7</v>
      </c>
      <c r="O4812" t="s">
        <v>30</v>
      </c>
      <c r="P4812" t="s">
        <v>42</v>
      </c>
      <c r="S4812" t="s">
        <v>163</v>
      </c>
      <c r="T4812" t="s">
        <v>5683</v>
      </c>
      <c r="U4812">
        <v>981</v>
      </c>
      <c r="V4812" s="3">
        <v>40969</v>
      </c>
    </row>
    <row r="4813" spans="1:22" x14ac:dyDescent="0.35">
      <c r="A4813" s="1">
        <v>42310.718217592592</v>
      </c>
      <c r="B4813" s="2">
        <v>1.8553240740740742E-2</v>
      </c>
      <c r="C4813" t="s">
        <v>6275</v>
      </c>
      <c r="D4813" t="s">
        <v>23</v>
      </c>
      <c r="E4813" t="s">
        <v>24</v>
      </c>
      <c r="F4813" t="s">
        <v>1051</v>
      </c>
      <c r="G4813">
        <v>821663</v>
      </c>
      <c r="H4813" t="s">
        <v>26</v>
      </c>
      <c r="I4813" t="s">
        <v>200</v>
      </c>
      <c r="J4813" t="str">
        <f>"9781118168479"</f>
        <v>9781118168479</v>
      </c>
      <c r="K4813" t="s">
        <v>7903</v>
      </c>
      <c r="L4813">
        <v>8</v>
      </c>
      <c r="O4813" t="s">
        <v>30</v>
      </c>
      <c r="P4813" t="s">
        <v>42</v>
      </c>
      <c r="S4813" t="s">
        <v>31</v>
      </c>
      <c r="T4813" t="s">
        <v>1053</v>
      </c>
      <c r="U4813">
        <v>729</v>
      </c>
      <c r="V4813" s="3">
        <v>40973</v>
      </c>
    </row>
    <row r="4814" spans="1:22" x14ac:dyDescent="0.35">
      <c r="A4814" s="1">
        <v>42310.717256944445</v>
      </c>
      <c r="B4814" s="2">
        <v>5.0347222222222217E-2</v>
      </c>
      <c r="C4814" t="s">
        <v>106</v>
      </c>
      <c r="D4814" t="s">
        <v>23</v>
      </c>
      <c r="E4814" t="s">
        <v>24</v>
      </c>
      <c r="F4814" t="s">
        <v>486</v>
      </c>
      <c r="G4814">
        <v>1119505</v>
      </c>
      <c r="H4814" t="s">
        <v>26</v>
      </c>
      <c r="I4814" t="s">
        <v>450</v>
      </c>
      <c r="J4814" t="str">
        <f>"9781118355015"</f>
        <v>9781118355015</v>
      </c>
      <c r="K4814" t="s">
        <v>7904</v>
      </c>
      <c r="L4814">
        <v>18</v>
      </c>
      <c r="O4814" t="s">
        <v>30</v>
      </c>
      <c r="P4814" t="s">
        <v>29</v>
      </c>
      <c r="Q4814" s="1">
        <v>42306.770254629628</v>
      </c>
      <c r="R4814">
        <v>7</v>
      </c>
      <c r="S4814" t="s">
        <v>31</v>
      </c>
      <c r="T4814" t="s">
        <v>487</v>
      </c>
      <c r="U4814" t="s">
        <v>488</v>
      </c>
      <c r="V4814" s="3">
        <v>41302</v>
      </c>
    </row>
    <row r="4815" spans="1:22" x14ac:dyDescent="0.35">
      <c r="A4815" s="1">
        <v>42310.714479166665</v>
      </c>
      <c r="B4815" s="2">
        <v>2.0833333333333335E-4</v>
      </c>
      <c r="C4815" t="s">
        <v>106</v>
      </c>
      <c r="D4815" t="s">
        <v>23</v>
      </c>
      <c r="E4815" t="s">
        <v>24</v>
      </c>
      <c r="F4815" t="s">
        <v>486</v>
      </c>
      <c r="G4815">
        <v>1119505</v>
      </c>
      <c r="H4815" t="s">
        <v>26</v>
      </c>
      <c r="I4815" t="s">
        <v>450</v>
      </c>
      <c r="J4815" t="str">
        <f>"9781118355015"</f>
        <v>9781118355015</v>
      </c>
      <c r="K4815" t="s">
        <v>7905</v>
      </c>
      <c r="L4815">
        <v>10</v>
      </c>
      <c r="O4815" t="s">
        <v>30</v>
      </c>
      <c r="P4815" t="s">
        <v>29</v>
      </c>
      <c r="Q4815" s="1">
        <v>42306.770254629628</v>
      </c>
      <c r="R4815">
        <v>7</v>
      </c>
      <c r="S4815" t="s">
        <v>31</v>
      </c>
      <c r="T4815" t="s">
        <v>487</v>
      </c>
      <c r="U4815" t="s">
        <v>488</v>
      </c>
      <c r="V4815" s="3">
        <v>41302</v>
      </c>
    </row>
    <row r="4816" spans="1:22" x14ac:dyDescent="0.35">
      <c r="A4816" s="1">
        <v>42310.712696759256</v>
      </c>
      <c r="B4816" s="2">
        <v>2.5462962962962961E-4</v>
      </c>
      <c r="C4816" t="s">
        <v>106</v>
      </c>
      <c r="D4816" t="s">
        <v>23</v>
      </c>
      <c r="E4816" t="s">
        <v>24</v>
      </c>
      <c r="F4816" t="s">
        <v>486</v>
      </c>
      <c r="G4816">
        <v>1119505</v>
      </c>
      <c r="H4816" t="s">
        <v>26</v>
      </c>
      <c r="I4816" t="s">
        <v>450</v>
      </c>
      <c r="J4816" t="str">
        <f>"9781118355015"</f>
        <v>9781118355015</v>
      </c>
      <c r="K4816" t="s">
        <v>7906</v>
      </c>
      <c r="L4816">
        <v>12</v>
      </c>
      <c r="O4816" t="s">
        <v>30</v>
      </c>
      <c r="P4816" t="s">
        <v>29</v>
      </c>
      <c r="Q4816" s="1">
        <v>42306.770254629628</v>
      </c>
      <c r="R4816">
        <v>7</v>
      </c>
      <c r="S4816" t="s">
        <v>31</v>
      </c>
      <c r="T4816" t="s">
        <v>487</v>
      </c>
      <c r="U4816" t="s">
        <v>488</v>
      </c>
      <c r="V4816" s="3">
        <v>41302</v>
      </c>
    </row>
    <row r="4817" spans="1:22" x14ac:dyDescent="0.35">
      <c r="A4817" s="1">
        <v>42310.711284722223</v>
      </c>
      <c r="B4817" s="2">
        <v>8.2175925925925917E-4</v>
      </c>
      <c r="C4817" t="s">
        <v>7461</v>
      </c>
      <c r="D4817" t="s">
        <v>623</v>
      </c>
      <c r="E4817" t="s">
        <v>624</v>
      </c>
      <c r="F4817" t="s">
        <v>6937</v>
      </c>
      <c r="G4817">
        <v>834631</v>
      </c>
      <c r="H4817" t="s">
        <v>26</v>
      </c>
      <c r="I4817" t="s">
        <v>247</v>
      </c>
      <c r="J4817" t="str">
        <f>"9781444354669"</f>
        <v>9781444354669</v>
      </c>
      <c r="K4817" t="s">
        <v>7907</v>
      </c>
      <c r="L4817">
        <v>20</v>
      </c>
      <c r="O4817" t="s">
        <v>30</v>
      </c>
      <c r="P4817" t="s">
        <v>42</v>
      </c>
      <c r="S4817" t="s">
        <v>627</v>
      </c>
      <c r="T4817" t="s">
        <v>6940</v>
      </c>
      <c r="U4817" t="s">
        <v>6941</v>
      </c>
      <c r="V4817" s="3">
        <v>40911</v>
      </c>
    </row>
    <row r="4818" spans="1:22" x14ac:dyDescent="0.35">
      <c r="A4818" s="1">
        <v>42310.707129629627</v>
      </c>
      <c r="B4818" s="2">
        <v>1.712962962962963E-3</v>
      </c>
      <c r="C4818" t="s">
        <v>106</v>
      </c>
      <c r="D4818" t="s">
        <v>23</v>
      </c>
      <c r="E4818" t="s">
        <v>24</v>
      </c>
      <c r="F4818" t="s">
        <v>5449</v>
      </c>
      <c r="G4818">
        <v>1332527</v>
      </c>
      <c r="H4818" t="s">
        <v>26</v>
      </c>
      <c r="I4818" t="s">
        <v>97</v>
      </c>
      <c r="J4818" t="str">
        <f>"9781118720882"</f>
        <v>9781118720882</v>
      </c>
      <c r="K4818" t="s">
        <v>7908</v>
      </c>
      <c r="L4818">
        <v>2</v>
      </c>
      <c r="O4818" t="s">
        <v>30</v>
      </c>
      <c r="P4818" t="s">
        <v>29</v>
      </c>
      <c r="Q4818" s="1">
        <v>42310.707129629627</v>
      </c>
      <c r="R4818">
        <v>7</v>
      </c>
      <c r="S4818" t="s">
        <v>31</v>
      </c>
      <c r="T4818" t="s">
        <v>5451</v>
      </c>
      <c r="U4818">
        <v>658.11</v>
      </c>
      <c r="V4818" s="3">
        <v>41486</v>
      </c>
    </row>
    <row r="4819" spans="1:22" x14ac:dyDescent="0.35">
      <c r="A4819" s="1">
        <v>42310.706909722219</v>
      </c>
      <c r="B4819" s="2">
        <v>2.199074074074074E-4</v>
      </c>
      <c r="C4819" t="s">
        <v>106</v>
      </c>
      <c r="D4819" t="s">
        <v>23</v>
      </c>
      <c r="E4819" t="s">
        <v>24</v>
      </c>
      <c r="F4819" t="s">
        <v>5449</v>
      </c>
      <c r="G4819">
        <v>1332527</v>
      </c>
      <c r="H4819" t="s">
        <v>26</v>
      </c>
      <c r="I4819" t="s">
        <v>97</v>
      </c>
      <c r="J4819" t="str">
        <f>"9781118720882"</f>
        <v>9781118720882</v>
      </c>
      <c r="K4819" t="s">
        <v>7909</v>
      </c>
      <c r="L4819">
        <v>3</v>
      </c>
      <c r="O4819" t="s">
        <v>30</v>
      </c>
      <c r="P4819" t="s">
        <v>42</v>
      </c>
      <c r="S4819" t="s">
        <v>31</v>
      </c>
      <c r="T4819" t="s">
        <v>5451</v>
      </c>
      <c r="U4819">
        <v>658.11</v>
      </c>
      <c r="V4819" s="3">
        <v>41486</v>
      </c>
    </row>
    <row r="4820" spans="1:22" x14ac:dyDescent="0.35">
      <c r="A4820" s="1">
        <v>42310.697997685187</v>
      </c>
      <c r="B4820" s="2">
        <v>2.4305555555555552E-4</v>
      </c>
      <c r="C4820" t="s">
        <v>106</v>
      </c>
      <c r="D4820" t="s">
        <v>23</v>
      </c>
      <c r="E4820" t="s">
        <v>24</v>
      </c>
      <c r="F4820" t="s">
        <v>7872</v>
      </c>
      <c r="G4820">
        <v>2055108</v>
      </c>
      <c r="H4820" t="s">
        <v>45</v>
      </c>
      <c r="J4820" t="str">
        <f>"9781472459763"</f>
        <v>9781472459763</v>
      </c>
      <c r="K4820" t="s">
        <v>7910</v>
      </c>
      <c r="L4820">
        <v>11</v>
      </c>
      <c r="O4820" t="s">
        <v>30</v>
      </c>
      <c r="P4820" t="s">
        <v>50</v>
      </c>
      <c r="S4820" t="s">
        <v>31</v>
      </c>
      <c r="T4820">
        <v>2014043798</v>
      </c>
      <c r="U4820" t="s">
        <v>7874</v>
      </c>
      <c r="V4820" s="3">
        <v>42079</v>
      </c>
    </row>
    <row r="4821" spans="1:22" x14ac:dyDescent="0.35">
      <c r="A4821" s="1">
        <v>42310.692291666666</v>
      </c>
      <c r="B4821" s="2">
        <v>1.0416666666666667E-4</v>
      </c>
      <c r="C4821" t="s">
        <v>210</v>
      </c>
      <c r="D4821" t="s">
        <v>211</v>
      </c>
      <c r="E4821" t="s">
        <v>212</v>
      </c>
      <c r="F4821" t="s">
        <v>7589</v>
      </c>
      <c r="G4821">
        <v>1882105</v>
      </c>
      <c r="H4821" t="s">
        <v>84</v>
      </c>
      <c r="I4821" t="s">
        <v>445</v>
      </c>
      <c r="J4821" t="str">
        <f>"9780520958852"</f>
        <v>9780520958852</v>
      </c>
      <c r="K4821" t="s">
        <v>999</v>
      </c>
      <c r="L4821">
        <v>8</v>
      </c>
      <c r="O4821" t="s">
        <v>30</v>
      </c>
      <c r="P4821" t="s">
        <v>50</v>
      </c>
      <c r="S4821" t="s">
        <v>214</v>
      </c>
      <c r="T4821" t="s">
        <v>7591</v>
      </c>
      <c r="U4821" t="s">
        <v>7592</v>
      </c>
      <c r="V4821" s="3">
        <v>42205</v>
      </c>
    </row>
    <row r="4822" spans="1:22" x14ac:dyDescent="0.35">
      <c r="A4822" s="1">
        <v>42310.688125000001</v>
      </c>
      <c r="B4822" s="2">
        <v>3.4722222222222222E-5</v>
      </c>
      <c r="C4822" t="s">
        <v>7385</v>
      </c>
      <c r="D4822" t="s">
        <v>23</v>
      </c>
      <c r="E4822" t="s">
        <v>24</v>
      </c>
      <c r="F4822" t="s">
        <v>1051</v>
      </c>
      <c r="G4822">
        <v>821663</v>
      </c>
      <c r="H4822" t="s">
        <v>26</v>
      </c>
      <c r="I4822" t="s">
        <v>200</v>
      </c>
      <c r="J4822" t="str">
        <f>"9781118168479"</f>
        <v>9781118168479</v>
      </c>
      <c r="K4822" t="s">
        <v>33</v>
      </c>
      <c r="L4822">
        <v>3</v>
      </c>
      <c r="O4822" t="s">
        <v>30</v>
      </c>
      <c r="P4822" t="s">
        <v>29</v>
      </c>
      <c r="Q4822" s="1">
        <v>42310.658703703702</v>
      </c>
      <c r="R4822">
        <v>7</v>
      </c>
      <c r="S4822" t="s">
        <v>31</v>
      </c>
      <c r="T4822" t="s">
        <v>1053</v>
      </c>
      <c r="U4822">
        <v>729</v>
      </c>
      <c r="V4822" s="3">
        <v>40973</v>
      </c>
    </row>
    <row r="4823" spans="1:22" x14ac:dyDescent="0.35">
      <c r="A4823" s="1">
        <v>42310.682905092595</v>
      </c>
      <c r="B4823" s="2">
        <v>4.2939814814814811E-3</v>
      </c>
      <c r="C4823" t="s">
        <v>7385</v>
      </c>
      <c r="D4823" t="s">
        <v>23</v>
      </c>
      <c r="E4823" t="s">
        <v>24</v>
      </c>
      <c r="F4823" t="s">
        <v>1051</v>
      </c>
      <c r="G4823">
        <v>821663</v>
      </c>
      <c r="H4823" t="s">
        <v>26</v>
      </c>
      <c r="I4823" t="s">
        <v>200</v>
      </c>
      <c r="J4823" t="str">
        <f>"9781118168479"</f>
        <v>9781118168479</v>
      </c>
      <c r="K4823" t="s">
        <v>7911</v>
      </c>
      <c r="L4823">
        <v>23</v>
      </c>
      <c r="O4823" t="s">
        <v>28</v>
      </c>
      <c r="P4823" t="s">
        <v>29</v>
      </c>
      <c r="Q4823" s="1">
        <v>42310.658703703702</v>
      </c>
      <c r="R4823">
        <v>7</v>
      </c>
      <c r="S4823" t="s">
        <v>31</v>
      </c>
      <c r="T4823" t="s">
        <v>1053</v>
      </c>
      <c r="U4823">
        <v>729</v>
      </c>
      <c r="V4823" s="3">
        <v>40973</v>
      </c>
    </row>
    <row r="4824" spans="1:22" x14ac:dyDescent="0.35">
      <c r="A4824" s="1">
        <v>42310.680856481478</v>
      </c>
      <c r="B4824" s="2">
        <v>2.5752314814814815E-2</v>
      </c>
      <c r="C4824" t="s">
        <v>6408</v>
      </c>
      <c r="D4824" t="s">
        <v>35</v>
      </c>
      <c r="E4824" t="s">
        <v>36</v>
      </c>
      <c r="F4824" t="s">
        <v>3275</v>
      </c>
      <c r="G4824">
        <v>822662</v>
      </c>
      <c r="H4824" t="s">
        <v>26</v>
      </c>
      <c r="I4824" t="s">
        <v>172</v>
      </c>
      <c r="J4824" t="str">
        <f>"9781444355130"</f>
        <v>9781444355130</v>
      </c>
      <c r="K4824" t="s">
        <v>7912</v>
      </c>
      <c r="L4824">
        <v>25</v>
      </c>
      <c r="O4824" t="s">
        <v>30</v>
      </c>
      <c r="P4824" t="s">
        <v>29</v>
      </c>
      <c r="Q4824" s="1">
        <v>42307.653136574074</v>
      </c>
      <c r="R4824">
        <v>7</v>
      </c>
      <c r="S4824" t="s">
        <v>40</v>
      </c>
      <c r="T4824" t="s">
        <v>3277</v>
      </c>
      <c r="U4824">
        <v>960.3</v>
      </c>
      <c r="V4824" s="3">
        <v>40858</v>
      </c>
    </row>
    <row r="4825" spans="1:22" x14ac:dyDescent="0.35">
      <c r="A4825" s="1">
        <v>42310.680844907409</v>
      </c>
      <c r="B4825" s="2">
        <v>0</v>
      </c>
      <c r="C4825" t="s">
        <v>7385</v>
      </c>
      <c r="D4825" t="s">
        <v>23</v>
      </c>
      <c r="E4825" t="s">
        <v>24</v>
      </c>
      <c r="F4825" t="s">
        <v>1051</v>
      </c>
      <c r="G4825">
        <v>821663</v>
      </c>
      <c r="H4825" t="s">
        <v>26</v>
      </c>
      <c r="I4825" t="s">
        <v>200</v>
      </c>
      <c r="J4825" t="str">
        <f>"9781118168479"</f>
        <v>9781118168479</v>
      </c>
      <c r="L4825">
        <v>0</v>
      </c>
      <c r="O4825" t="s">
        <v>28</v>
      </c>
      <c r="P4825" t="s">
        <v>29</v>
      </c>
      <c r="Q4825" s="1">
        <v>42310.658703703702</v>
      </c>
      <c r="R4825">
        <v>7</v>
      </c>
      <c r="S4825" t="s">
        <v>31</v>
      </c>
      <c r="T4825" t="s">
        <v>1053</v>
      </c>
      <c r="U4825">
        <v>729</v>
      </c>
      <c r="V4825" s="3">
        <v>40973</v>
      </c>
    </row>
    <row r="4826" spans="1:22" x14ac:dyDescent="0.35">
      <c r="A4826" s="1">
        <v>42310.680763888886</v>
      </c>
      <c r="B4826" s="2">
        <v>0</v>
      </c>
      <c r="C4826" t="s">
        <v>7385</v>
      </c>
      <c r="D4826" t="s">
        <v>23</v>
      </c>
      <c r="E4826" t="s">
        <v>24</v>
      </c>
      <c r="F4826" t="s">
        <v>1051</v>
      </c>
      <c r="G4826">
        <v>821663</v>
      </c>
      <c r="H4826" t="s">
        <v>26</v>
      </c>
      <c r="I4826" t="s">
        <v>200</v>
      </c>
      <c r="J4826" t="str">
        <f>"9781118168479"</f>
        <v>9781118168479</v>
      </c>
      <c r="L4826">
        <v>0</v>
      </c>
      <c r="O4826" t="s">
        <v>28</v>
      </c>
      <c r="P4826" t="s">
        <v>29</v>
      </c>
      <c r="Q4826" s="1">
        <v>42310.658703703702</v>
      </c>
      <c r="R4826">
        <v>7</v>
      </c>
      <c r="S4826" t="s">
        <v>31</v>
      </c>
      <c r="T4826" t="s">
        <v>1053</v>
      </c>
      <c r="U4826">
        <v>729</v>
      </c>
      <c r="V4826" s="3">
        <v>40973</v>
      </c>
    </row>
    <row r="4827" spans="1:22" x14ac:dyDescent="0.35">
      <c r="A4827" s="1">
        <v>42310.679710648146</v>
      </c>
      <c r="B4827" s="2">
        <v>0</v>
      </c>
      <c r="C4827" t="s">
        <v>7385</v>
      </c>
      <c r="D4827" t="s">
        <v>23</v>
      </c>
      <c r="E4827" t="s">
        <v>24</v>
      </c>
      <c r="F4827" t="s">
        <v>1051</v>
      </c>
      <c r="G4827">
        <v>821663</v>
      </c>
      <c r="H4827" t="s">
        <v>26</v>
      </c>
      <c r="I4827" t="s">
        <v>200</v>
      </c>
      <c r="J4827" t="str">
        <f>"9781118168479"</f>
        <v>9781118168479</v>
      </c>
      <c r="L4827">
        <v>0</v>
      </c>
      <c r="O4827" t="s">
        <v>28</v>
      </c>
      <c r="P4827" t="s">
        <v>29</v>
      </c>
      <c r="Q4827" s="1">
        <v>42310.658703703702</v>
      </c>
      <c r="R4827">
        <v>7</v>
      </c>
      <c r="S4827" t="s">
        <v>31</v>
      </c>
      <c r="T4827" t="s">
        <v>1053</v>
      </c>
      <c r="U4827">
        <v>729</v>
      </c>
      <c r="V4827" s="3">
        <v>40973</v>
      </c>
    </row>
    <row r="4828" spans="1:22" x14ac:dyDescent="0.35">
      <c r="A4828" s="1">
        <v>42310.672013888892</v>
      </c>
      <c r="B4828" s="2">
        <v>3.4722222222222222E-5</v>
      </c>
      <c r="C4828" t="s">
        <v>7913</v>
      </c>
      <c r="D4828" t="s">
        <v>1222</v>
      </c>
      <c r="E4828" t="s">
        <v>1223</v>
      </c>
      <c r="F4828" t="s">
        <v>7029</v>
      </c>
      <c r="G4828">
        <v>1745058</v>
      </c>
      <c r="H4828" t="s">
        <v>26</v>
      </c>
      <c r="I4828" t="s">
        <v>69</v>
      </c>
      <c r="J4828" t="str">
        <f>"9781118761267"</f>
        <v>9781118761267</v>
      </c>
      <c r="K4828" t="s">
        <v>33</v>
      </c>
      <c r="L4828">
        <v>3</v>
      </c>
      <c r="O4828" t="s">
        <v>30</v>
      </c>
      <c r="P4828" t="s">
        <v>42</v>
      </c>
      <c r="S4828" t="s">
        <v>1226</v>
      </c>
      <c r="T4828" t="s">
        <v>7031</v>
      </c>
      <c r="U4828" t="s">
        <v>7032</v>
      </c>
      <c r="V4828" s="3">
        <v>41838</v>
      </c>
    </row>
    <row r="4829" spans="1:22" x14ac:dyDescent="0.35">
      <c r="A4829" s="1">
        <v>42310.664131944446</v>
      </c>
      <c r="B4829" s="2">
        <v>3.4722222222222222E-5</v>
      </c>
      <c r="C4829" t="s">
        <v>106</v>
      </c>
      <c r="D4829" t="s">
        <v>23</v>
      </c>
      <c r="E4829" t="s">
        <v>24</v>
      </c>
      <c r="F4829" t="s">
        <v>3699</v>
      </c>
      <c r="G4829">
        <v>817432</v>
      </c>
      <c r="H4829" t="s">
        <v>26</v>
      </c>
      <c r="I4829" t="s">
        <v>150</v>
      </c>
      <c r="J4829" t="str">
        <f>"9781118169261"</f>
        <v>9781118169261</v>
      </c>
      <c r="K4829" t="s">
        <v>33</v>
      </c>
      <c r="L4829">
        <v>3</v>
      </c>
      <c r="O4829" t="s">
        <v>30</v>
      </c>
      <c r="P4829" t="s">
        <v>42</v>
      </c>
      <c r="S4829" t="s">
        <v>31</v>
      </c>
      <c r="T4829" t="s">
        <v>3703</v>
      </c>
      <c r="U4829">
        <v>781</v>
      </c>
      <c r="V4829" s="3">
        <v>40834</v>
      </c>
    </row>
    <row r="4830" spans="1:22" x14ac:dyDescent="0.35">
      <c r="A4830" s="1">
        <v>42310.659918981481</v>
      </c>
      <c r="B4830" s="2">
        <v>5.3587962962962964E-3</v>
      </c>
      <c r="C4830" t="s">
        <v>7498</v>
      </c>
      <c r="D4830" t="s">
        <v>35</v>
      </c>
      <c r="E4830" t="s">
        <v>36</v>
      </c>
      <c r="F4830" t="s">
        <v>3275</v>
      </c>
      <c r="G4830">
        <v>822662</v>
      </c>
      <c r="H4830" t="s">
        <v>26</v>
      </c>
      <c r="I4830" t="s">
        <v>172</v>
      </c>
      <c r="J4830" t="str">
        <f>"9781444355130"</f>
        <v>9781444355130</v>
      </c>
      <c r="K4830" t="s">
        <v>7914</v>
      </c>
      <c r="L4830">
        <v>24</v>
      </c>
      <c r="O4830" t="s">
        <v>30</v>
      </c>
      <c r="P4830" t="s">
        <v>29</v>
      </c>
      <c r="Q4830" s="1">
        <v>42307.401377314818</v>
      </c>
      <c r="R4830">
        <v>7</v>
      </c>
      <c r="S4830" t="s">
        <v>40</v>
      </c>
      <c r="T4830" t="s">
        <v>3277</v>
      </c>
      <c r="U4830">
        <v>960.3</v>
      </c>
      <c r="V4830" s="3">
        <v>40858</v>
      </c>
    </row>
    <row r="4831" spans="1:22" x14ac:dyDescent="0.35">
      <c r="A4831" s="1">
        <v>42310.658715277779</v>
      </c>
      <c r="B4831" s="2">
        <v>1.0300925925925927E-2</v>
      </c>
      <c r="C4831" t="s">
        <v>7385</v>
      </c>
      <c r="D4831" t="s">
        <v>23</v>
      </c>
      <c r="E4831" t="s">
        <v>24</v>
      </c>
      <c r="F4831" t="s">
        <v>1051</v>
      </c>
      <c r="G4831">
        <v>821663</v>
      </c>
      <c r="H4831" t="s">
        <v>26</v>
      </c>
      <c r="I4831" t="s">
        <v>200</v>
      </c>
      <c r="J4831" t="str">
        <f>"9781118168479"</f>
        <v>9781118168479</v>
      </c>
      <c r="K4831" t="s">
        <v>7915</v>
      </c>
      <c r="L4831">
        <v>26</v>
      </c>
      <c r="O4831" t="s">
        <v>30</v>
      </c>
      <c r="P4831" t="s">
        <v>29</v>
      </c>
      <c r="Q4831" s="1">
        <v>42310.658703703702</v>
      </c>
      <c r="R4831">
        <v>7</v>
      </c>
      <c r="S4831" t="s">
        <v>31</v>
      </c>
      <c r="T4831" t="s">
        <v>1053</v>
      </c>
      <c r="U4831">
        <v>729</v>
      </c>
      <c r="V4831" s="3">
        <v>40973</v>
      </c>
    </row>
    <row r="4832" spans="1:22" x14ac:dyDescent="0.35">
      <c r="A4832" s="1">
        <v>42310.655972222223</v>
      </c>
      <c r="B4832" s="2">
        <v>1.9675925925925926E-4</v>
      </c>
      <c r="C4832" t="s">
        <v>210</v>
      </c>
      <c r="D4832" t="s">
        <v>211</v>
      </c>
      <c r="E4832" t="s">
        <v>212</v>
      </c>
      <c r="F4832" t="s">
        <v>2200</v>
      </c>
      <c r="G4832">
        <v>1119449</v>
      </c>
      <c r="H4832" t="s">
        <v>26</v>
      </c>
      <c r="I4832" t="s">
        <v>219</v>
      </c>
      <c r="J4832" t="str">
        <f>"9781118482230"</f>
        <v>9781118482230</v>
      </c>
      <c r="K4832" t="s">
        <v>7247</v>
      </c>
      <c r="L4832">
        <v>10</v>
      </c>
      <c r="O4832" t="s">
        <v>30</v>
      </c>
      <c r="P4832" t="s">
        <v>50</v>
      </c>
      <c r="S4832" t="s">
        <v>214</v>
      </c>
      <c r="T4832" t="s">
        <v>2203</v>
      </c>
      <c r="U4832" t="s">
        <v>2204</v>
      </c>
      <c r="V4832" s="3">
        <v>41302</v>
      </c>
    </row>
    <row r="4833" spans="1:22" x14ac:dyDescent="0.35">
      <c r="A4833" s="1">
        <v>42310.65121527778</v>
      </c>
      <c r="B4833" s="2">
        <v>7.4884259259259262E-3</v>
      </c>
      <c r="C4833" t="s">
        <v>7385</v>
      </c>
      <c r="D4833" t="s">
        <v>23</v>
      </c>
      <c r="E4833" t="s">
        <v>24</v>
      </c>
      <c r="F4833" t="s">
        <v>1051</v>
      </c>
      <c r="G4833">
        <v>821663</v>
      </c>
      <c r="H4833" t="s">
        <v>26</v>
      </c>
      <c r="I4833" t="s">
        <v>200</v>
      </c>
      <c r="J4833" t="str">
        <f>"9781118168479"</f>
        <v>9781118168479</v>
      </c>
      <c r="K4833" t="s">
        <v>33</v>
      </c>
      <c r="L4833">
        <v>3</v>
      </c>
      <c r="O4833" t="s">
        <v>30</v>
      </c>
      <c r="P4833" t="s">
        <v>42</v>
      </c>
      <c r="S4833" t="s">
        <v>31</v>
      </c>
      <c r="T4833" t="s">
        <v>1053</v>
      </c>
      <c r="U4833">
        <v>729</v>
      </c>
      <c r="V4833" s="3">
        <v>40973</v>
      </c>
    </row>
    <row r="4834" spans="1:22" x14ac:dyDescent="0.35">
      <c r="A4834" s="1">
        <v>42310.644490740742</v>
      </c>
      <c r="B4834" s="2">
        <v>2.9629629629629628E-3</v>
      </c>
      <c r="C4834" t="s">
        <v>3595</v>
      </c>
      <c r="D4834" t="s">
        <v>23</v>
      </c>
      <c r="E4834" t="s">
        <v>24</v>
      </c>
      <c r="F4834" t="s">
        <v>3692</v>
      </c>
      <c r="G4834">
        <v>1124406</v>
      </c>
      <c r="H4834" t="s">
        <v>26</v>
      </c>
      <c r="I4834" t="s">
        <v>3693</v>
      </c>
      <c r="J4834" t="str">
        <f>"9781118490389"</f>
        <v>9781118490389</v>
      </c>
      <c r="K4834" t="s">
        <v>7916</v>
      </c>
      <c r="L4834">
        <v>40</v>
      </c>
      <c r="O4834" t="s">
        <v>30</v>
      </c>
      <c r="P4834" t="s">
        <v>29</v>
      </c>
      <c r="Q4834" s="1">
        <v>42310.644490740742</v>
      </c>
      <c r="R4834">
        <v>7</v>
      </c>
      <c r="S4834" t="s">
        <v>31</v>
      </c>
      <c r="T4834" t="s">
        <v>3695</v>
      </c>
      <c r="U4834">
        <v>5.54</v>
      </c>
      <c r="V4834" s="3">
        <v>41311</v>
      </c>
    </row>
    <row r="4835" spans="1:22" x14ac:dyDescent="0.35">
      <c r="A4835" s="1">
        <v>42310.64340277778</v>
      </c>
      <c r="B4835" s="2">
        <v>0</v>
      </c>
      <c r="C4835" t="s">
        <v>6790</v>
      </c>
      <c r="D4835" t="s">
        <v>23</v>
      </c>
      <c r="E4835" t="s">
        <v>24</v>
      </c>
      <c r="F4835" t="s">
        <v>486</v>
      </c>
      <c r="G4835">
        <v>1119505</v>
      </c>
      <c r="H4835" t="s">
        <v>26</v>
      </c>
      <c r="I4835" t="s">
        <v>450</v>
      </c>
      <c r="J4835" t="str">
        <f>"9781118355015"</f>
        <v>9781118355015</v>
      </c>
      <c r="L4835">
        <v>0</v>
      </c>
      <c r="N4835" t="s">
        <v>7917</v>
      </c>
      <c r="O4835" t="s">
        <v>30</v>
      </c>
      <c r="P4835" t="s">
        <v>29</v>
      </c>
      <c r="Q4835" s="1">
        <v>42310.643391203703</v>
      </c>
      <c r="R4835">
        <v>7</v>
      </c>
      <c r="S4835" t="s">
        <v>31</v>
      </c>
      <c r="T4835" t="s">
        <v>487</v>
      </c>
      <c r="U4835" t="s">
        <v>488</v>
      </c>
      <c r="V4835" s="3">
        <v>41302</v>
      </c>
    </row>
    <row r="4836" spans="1:22" x14ac:dyDescent="0.35">
      <c r="A4836" s="1">
        <v>42310.640856481485</v>
      </c>
      <c r="B4836" s="2">
        <v>2.5347222222222221E-3</v>
      </c>
      <c r="C4836" t="s">
        <v>6790</v>
      </c>
      <c r="D4836" t="s">
        <v>23</v>
      </c>
      <c r="E4836" t="s">
        <v>24</v>
      </c>
      <c r="F4836" t="s">
        <v>486</v>
      </c>
      <c r="G4836">
        <v>1119505</v>
      </c>
      <c r="H4836" t="s">
        <v>26</v>
      </c>
      <c r="I4836" t="s">
        <v>450</v>
      </c>
      <c r="J4836" t="str">
        <f>"9781118355015"</f>
        <v>9781118355015</v>
      </c>
      <c r="K4836" t="s">
        <v>7918</v>
      </c>
      <c r="L4836">
        <v>8</v>
      </c>
      <c r="O4836" t="s">
        <v>30</v>
      </c>
      <c r="P4836" t="s">
        <v>42</v>
      </c>
      <c r="S4836" t="s">
        <v>31</v>
      </c>
      <c r="T4836" t="s">
        <v>487</v>
      </c>
      <c r="U4836" t="s">
        <v>488</v>
      </c>
      <c r="V4836" s="3">
        <v>41302</v>
      </c>
    </row>
    <row r="4837" spans="1:22" x14ac:dyDescent="0.35">
      <c r="A4837" s="1">
        <v>42310.63758101852</v>
      </c>
      <c r="B4837" s="2">
        <v>6.9097222222222225E-3</v>
      </c>
      <c r="C4837" t="s">
        <v>3595</v>
      </c>
      <c r="D4837" t="s">
        <v>23</v>
      </c>
      <c r="E4837" t="s">
        <v>24</v>
      </c>
      <c r="F4837" t="s">
        <v>3692</v>
      </c>
      <c r="G4837">
        <v>1124406</v>
      </c>
      <c r="H4837" t="s">
        <v>26</v>
      </c>
      <c r="I4837" t="s">
        <v>3693</v>
      </c>
      <c r="J4837" t="str">
        <f>"9781118490389"</f>
        <v>9781118490389</v>
      </c>
      <c r="K4837" t="s">
        <v>7919</v>
      </c>
      <c r="L4837">
        <v>94</v>
      </c>
      <c r="O4837" t="s">
        <v>30</v>
      </c>
      <c r="P4837" t="s">
        <v>42</v>
      </c>
      <c r="S4837" t="s">
        <v>31</v>
      </c>
      <c r="T4837" t="s">
        <v>3695</v>
      </c>
      <c r="U4837">
        <v>5.54</v>
      </c>
      <c r="V4837" s="3">
        <v>41311</v>
      </c>
    </row>
    <row r="4838" spans="1:22" x14ac:dyDescent="0.35">
      <c r="A4838" s="1">
        <v>42310.631643518522</v>
      </c>
      <c r="B4838" s="2">
        <v>4.7453703703703704E-4</v>
      </c>
      <c r="C4838" t="s">
        <v>2958</v>
      </c>
      <c r="D4838" t="s">
        <v>146</v>
      </c>
      <c r="E4838" t="s">
        <v>147</v>
      </c>
      <c r="F4838" t="s">
        <v>840</v>
      </c>
      <c r="G4838">
        <v>1166311</v>
      </c>
      <c r="H4838" t="s">
        <v>26</v>
      </c>
      <c r="I4838" t="s">
        <v>841</v>
      </c>
      <c r="J4838" t="str">
        <f>"9781118525616"</f>
        <v>9781118525616</v>
      </c>
      <c r="K4838" t="s">
        <v>7920</v>
      </c>
      <c r="L4838">
        <v>13</v>
      </c>
      <c r="O4838" t="s">
        <v>30</v>
      </c>
      <c r="P4838" t="s">
        <v>42</v>
      </c>
      <c r="S4838" t="s">
        <v>2961</v>
      </c>
      <c r="T4838" t="s">
        <v>842</v>
      </c>
      <c r="U4838">
        <v>355.00700000000001</v>
      </c>
      <c r="V4838" s="3">
        <v>41366</v>
      </c>
    </row>
    <row r="4839" spans="1:22" x14ac:dyDescent="0.35">
      <c r="A4839" s="1">
        <v>42310.608969907407</v>
      </c>
      <c r="B4839" s="2">
        <v>8.1018518518518516E-5</v>
      </c>
      <c r="C4839" t="s">
        <v>7921</v>
      </c>
      <c r="D4839" t="s">
        <v>23</v>
      </c>
      <c r="E4839" t="s">
        <v>24</v>
      </c>
      <c r="F4839" t="s">
        <v>887</v>
      </c>
      <c r="G4839">
        <v>1791341</v>
      </c>
      <c r="H4839" t="s">
        <v>26</v>
      </c>
      <c r="I4839" t="s">
        <v>888</v>
      </c>
      <c r="J4839" t="str">
        <f>"9781118862285"</f>
        <v>9781118862285</v>
      </c>
      <c r="K4839" t="s">
        <v>33</v>
      </c>
      <c r="L4839">
        <v>3</v>
      </c>
      <c r="O4839" t="s">
        <v>30</v>
      </c>
      <c r="P4839" t="s">
        <v>42</v>
      </c>
      <c r="S4839" t="s">
        <v>31</v>
      </c>
      <c r="T4839" t="s">
        <v>890</v>
      </c>
      <c r="U4839">
        <v>696</v>
      </c>
      <c r="V4839" s="3">
        <v>41899</v>
      </c>
    </row>
    <row r="4840" spans="1:22" x14ac:dyDescent="0.35">
      <c r="A4840" s="1">
        <v>42310.581284722219</v>
      </c>
      <c r="B4840" s="2">
        <v>1.1921296296296296E-3</v>
      </c>
      <c r="C4840" t="s">
        <v>6275</v>
      </c>
      <c r="D4840" t="s">
        <v>23</v>
      </c>
      <c r="E4840" t="s">
        <v>24</v>
      </c>
      <c r="F4840" t="s">
        <v>1051</v>
      </c>
      <c r="G4840">
        <v>821663</v>
      </c>
      <c r="H4840" t="s">
        <v>26</v>
      </c>
      <c r="I4840" t="s">
        <v>200</v>
      </c>
      <c r="J4840" t="str">
        <f>"9781118168479"</f>
        <v>9781118168479</v>
      </c>
      <c r="K4840" t="s">
        <v>7922</v>
      </c>
      <c r="L4840">
        <v>13</v>
      </c>
      <c r="O4840" t="s">
        <v>30</v>
      </c>
      <c r="P4840" t="s">
        <v>42</v>
      </c>
      <c r="S4840" t="s">
        <v>31</v>
      </c>
      <c r="T4840" t="s">
        <v>1053</v>
      </c>
      <c r="U4840">
        <v>729</v>
      </c>
      <c r="V4840" s="3">
        <v>40973</v>
      </c>
    </row>
    <row r="4841" spans="1:22" x14ac:dyDescent="0.35">
      <c r="A4841" s="1">
        <v>42310.570740740739</v>
      </c>
      <c r="B4841" s="2">
        <v>8.0081018518518524E-2</v>
      </c>
      <c r="C4841" t="s">
        <v>5438</v>
      </c>
      <c r="D4841" t="s">
        <v>360</v>
      </c>
      <c r="E4841" t="s">
        <v>361</v>
      </c>
      <c r="F4841" t="s">
        <v>515</v>
      </c>
      <c r="G4841">
        <v>1757960</v>
      </c>
      <c r="H4841" t="s">
        <v>26</v>
      </c>
      <c r="I4841" t="s">
        <v>247</v>
      </c>
      <c r="J4841" t="str">
        <f>"9781118780770"</f>
        <v>9781118780770</v>
      </c>
      <c r="K4841" t="s">
        <v>7923</v>
      </c>
      <c r="L4841">
        <v>9</v>
      </c>
      <c r="O4841" t="s">
        <v>30</v>
      </c>
      <c r="P4841" t="s">
        <v>29</v>
      </c>
      <c r="Q4841" s="1">
        <v>42310.084409722222</v>
      </c>
      <c r="R4841">
        <v>7</v>
      </c>
      <c r="S4841" t="s">
        <v>363</v>
      </c>
      <c r="T4841" t="s">
        <v>517</v>
      </c>
      <c r="U4841" t="s">
        <v>518</v>
      </c>
      <c r="V4841" s="3">
        <v>41850</v>
      </c>
    </row>
    <row r="4842" spans="1:22" x14ac:dyDescent="0.35">
      <c r="A4842" s="1">
        <v>42310.32403935185</v>
      </c>
      <c r="B4842" s="2">
        <v>0</v>
      </c>
      <c r="C4842" t="s">
        <v>7924</v>
      </c>
      <c r="D4842" t="s">
        <v>597</v>
      </c>
      <c r="E4842" t="s">
        <v>598</v>
      </c>
      <c r="F4842" t="s">
        <v>7058</v>
      </c>
      <c r="G4842">
        <v>1249494</v>
      </c>
      <c r="H4842" t="s">
        <v>84</v>
      </c>
      <c r="I4842" t="s">
        <v>7059</v>
      </c>
      <c r="J4842" t="str">
        <f>"9780520954571"</f>
        <v>9780520954571</v>
      </c>
      <c r="K4842" t="s">
        <v>7925</v>
      </c>
      <c r="L4842">
        <v>1</v>
      </c>
      <c r="O4842" t="s">
        <v>30</v>
      </c>
      <c r="P4842" t="s">
        <v>29</v>
      </c>
      <c r="Q4842" s="1">
        <v>42310.32402777778</v>
      </c>
      <c r="R4842">
        <v>7</v>
      </c>
      <c r="S4842" t="s">
        <v>600</v>
      </c>
      <c r="T4842" t="s">
        <v>7060</v>
      </c>
      <c r="U4842">
        <v>362.29300000000001</v>
      </c>
      <c r="V4842" s="3">
        <v>41518</v>
      </c>
    </row>
    <row r="4843" spans="1:22" x14ac:dyDescent="0.35">
      <c r="A4843" s="1">
        <v>42310.260682870372</v>
      </c>
      <c r="B4843" s="2">
        <v>6.3344907407407405E-2</v>
      </c>
      <c r="C4843" t="s">
        <v>7924</v>
      </c>
      <c r="D4843" t="s">
        <v>597</v>
      </c>
      <c r="E4843" t="s">
        <v>598</v>
      </c>
      <c r="F4843" t="s">
        <v>7058</v>
      </c>
      <c r="G4843">
        <v>1249494</v>
      </c>
      <c r="H4843" t="s">
        <v>84</v>
      </c>
      <c r="I4843" t="s">
        <v>7059</v>
      </c>
      <c r="J4843" t="str">
        <f>"9780520954571"</f>
        <v>9780520954571</v>
      </c>
      <c r="K4843" t="s">
        <v>240</v>
      </c>
      <c r="L4843">
        <v>14</v>
      </c>
      <c r="O4843" t="s">
        <v>30</v>
      </c>
      <c r="P4843" t="s">
        <v>42</v>
      </c>
      <c r="S4843" t="s">
        <v>600</v>
      </c>
      <c r="T4843" t="s">
        <v>7060</v>
      </c>
      <c r="U4843">
        <v>362.29300000000001</v>
      </c>
      <c r="V4843" s="3">
        <v>41518</v>
      </c>
    </row>
    <row r="4844" spans="1:22" x14ac:dyDescent="0.35">
      <c r="A4844" s="1">
        <v>42310.17664351852</v>
      </c>
      <c r="B4844" s="2">
        <v>6.4814814814814813E-4</v>
      </c>
      <c r="C4844" t="s">
        <v>5438</v>
      </c>
      <c r="D4844" t="s">
        <v>360</v>
      </c>
      <c r="E4844" t="s">
        <v>361</v>
      </c>
      <c r="F4844" t="s">
        <v>1547</v>
      </c>
      <c r="G4844">
        <v>848510</v>
      </c>
      <c r="H4844" t="s">
        <v>26</v>
      </c>
      <c r="I4844" t="s">
        <v>247</v>
      </c>
      <c r="J4844" t="str">
        <f>"9781118220481"</f>
        <v>9781118220481</v>
      </c>
      <c r="K4844" t="s">
        <v>33</v>
      </c>
      <c r="L4844">
        <v>3</v>
      </c>
      <c r="O4844" t="s">
        <v>30</v>
      </c>
      <c r="P4844" t="s">
        <v>42</v>
      </c>
      <c r="S4844" t="s">
        <v>363</v>
      </c>
      <c r="T4844" t="s">
        <v>1548</v>
      </c>
      <c r="U4844" t="s">
        <v>1549</v>
      </c>
      <c r="V4844" s="3">
        <v>41066</v>
      </c>
    </row>
    <row r="4845" spans="1:22" x14ac:dyDescent="0.35">
      <c r="A4845" s="1">
        <v>42310.173078703701</v>
      </c>
      <c r="B4845" s="2">
        <v>1.1226851851851851E-3</v>
      </c>
      <c r="C4845" t="s">
        <v>5438</v>
      </c>
      <c r="D4845" t="s">
        <v>360</v>
      </c>
      <c r="E4845" t="s">
        <v>361</v>
      </c>
      <c r="F4845" t="s">
        <v>7657</v>
      </c>
      <c r="G4845">
        <v>759923</v>
      </c>
      <c r="H4845" t="s">
        <v>91</v>
      </c>
      <c r="I4845" t="s">
        <v>247</v>
      </c>
      <c r="J4845" t="str">
        <f>"9781609186418"</f>
        <v>9781609186418</v>
      </c>
      <c r="K4845" t="s">
        <v>7926</v>
      </c>
      <c r="L4845">
        <v>9</v>
      </c>
      <c r="O4845" t="s">
        <v>30</v>
      </c>
      <c r="P4845" t="s">
        <v>42</v>
      </c>
      <c r="S4845" t="s">
        <v>363</v>
      </c>
      <c r="T4845" t="s">
        <v>7658</v>
      </c>
      <c r="U4845">
        <v>618.9289</v>
      </c>
      <c r="V4845" s="3">
        <v>41824</v>
      </c>
    </row>
    <row r="4846" spans="1:22" x14ac:dyDescent="0.35">
      <c r="A4846" s="1">
        <v>42310.166516203702</v>
      </c>
      <c r="B4846" s="2">
        <v>3.5069444444444445E-3</v>
      </c>
      <c r="C4846" t="s">
        <v>5438</v>
      </c>
      <c r="D4846" t="s">
        <v>360</v>
      </c>
      <c r="E4846" t="s">
        <v>361</v>
      </c>
      <c r="F4846" t="s">
        <v>4197</v>
      </c>
      <c r="G4846">
        <v>1742841</v>
      </c>
      <c r="H4846" t="s">
        <v>91</v>
      </c>
      <c r="I4846" t="s">
        <v>247</v>
      </c>
      <c r="J4846" t="str">
        <f>"9781462516445"</f>
        <v>9781462516445</v>
      </c>
      <c r="K4846" t="s">
        <v>7927</v>
      </c>
      <c r="L4846">
        <v>31</v>
      </c>
      <c r="O4846" t="s">
        <v>30</v>
      </c>
      <c r="P4846" t="s">
        <v>29</v>
      </c>
      <c r="Q4846" s="1">
        <v>42310.166516203702</v>
      </c>
      <c r="R4846">
        <v>7</v>
      </c>
      <c r="S4846" t="s">
        <v>363</v>
      </c>
      <c r="T4846" t="s">
        <v>4199</v>
      </c>
      <c r="U4846">
        <v>616.85270000000003</v>
      </c>
      <c r="V4846" s="3">
        <v>41934</v>
      </c>
    </row>
    <row r="4847" spans="1:22" x14ac:dyDescent="0.35">
      <c r="A4847" s="1">
        <v>42310.154895833337</v>
      </c>
      <c r="B4847" s="2">
        <v>1.1620370370370371E-2</v>
      </c>
      <c r="C4847" t="s">
        <v>5438</v>
      </c>
      <c r="D4847" t="s">
        <v>360</v>
      </c>
      <c r="E4847" t="s">
        <v>361</v>
      </c>
      <c r="F4847" t="s">
        <v>4197</v>
      </c>
      <c r="G4847">
        <v>1742841</v>
      </c>
      <c r="H4847" t="s">
        <v>91</v>
      </c>
      <c r="I4847" t="s">
        <v>247</v>
      </c>
      <c r="J4847" t="str">
        <f>"9781462516445"</f>
        <v>9781462516445</v>
      </c>
      <c r="K4847" t="s">
        <v>7928</v>
      </c>
      <c r="L4847">
        <v>4</v>
      </c>
      <c r="O4847" t="s">
        <v>30</v>
      </c>
      <c r="P4847" t="s">
        <v>42</v>
      </c>
      <c r="S4847" t="s">
        <v>363</v>
      </c>
      <c r="T4847" t="s">
        <v>4199</v>
      </c>
      <c r="U4847">
        <v>616.85270000000003</v>
      </c>
      <c r="V4847" s="3">
        <v>41934</v>
      </c>
    </row>
    <row r="4848" spans="1:22" x14ac:dyDescent="0.35">
      <c r="A4848" s="1">
        <v>42310.151944444442</v>
      </c>
      <c r="B4848" s="2">
        <v>8.2175925925925917E-4</v>
      </c>
      <c r="C4848" t="s">
        <v>7929</v>
      </c>
      <c r="D4848" t="s">
        <v>623</v>
      </c>
      <c r="E4848" t="s">
        <v>624</v>
      </c>
      <c r="F4848" t="s">
        <v>7930</v>
      </c>
      <c r="G4848">
        <v>1895603</v>
      </c>
      <c r="H4848" t="s">
        <v>26</v>
      </c>
      <c r="I4848" t="s">
        <v>120</v>
      </c>
      <c r="J4848" t="str">
        <f>"9781118789315"</f>
        <v>9781118789315</v>
      </c>
      <c r="K4848" t="s">
        <v>7931</v>
      </c>
      <c r="L4848">
        <v>13</v>
      </c>
      <c r="O4848" t="s">
        <v>30</v>
      </c>
      <c r="P4848" t="s">
        <v>50</v>
      </c>
      <c r="S4848" t="s">
        <v>627</v>
      </c>
      <c r="T4848" t="s">
        <v>7932</v>
      </c>
      <c r="U4848" t="s">
        <v>7933</v>
      </c>
      <c r="V4848" s="3">
        <v>42038</v>
      </c>
    </row>
    <row r="4849" spans="1:22" x14ac:dyDescent="0.35">
      <c r="A4849" s="1">
        <v>42310.144756944443</v>
      </c>
      <c r="B4849" s="2">
        <v>2.1759259259259258E-3</v>
      </c>
      <c r="C4849" t="s">
        <v>7929</v>
      </c>
      <c r="D4849" t="s">
        <v>623</v>
      </c>
      <c r="E4849" t="s">
        <v>624</v>
      </c>
      <c r="F4849" t="s">
        <v>5301</v>
      </c>
      <c r="G4849">
        <v>818121</v>
      </c>
      <c r="H4849" t="s">
        <v>26</v>
      </c>
      <c r="I4849" t="s">
        <v>5302</v>
      </c>
      <c r="J4849" t="str">
        <f>"9781118226339"</f>
        <v>9781118226339</v>
      </c>
      <c r="K4849" t="s">
        <v>7934</v>
      </c>
      <c r="L4849">
        <v>13</v>
      </c>
      <c r="O4849" t="s">
        <v>30</v>
      </c>
      <c r="P4849" t="s">
        <v>42</v>
      </c>
      <c r="S4849" t="s">
        <v>627</v>
      </c>
      <c r="T4849" t="s">
        <v>5303</v>
      </c>
      <c r="U4849" t="s">
        <v>5304</v>
      </c>
      <c r="V4849" s="3">
        <v>40934</v>
      </c>
    </row>
    <row r="4850" spans="1:22" x14ac:dyDescent="0.35">
      <c r="A4850" s="1">
        <v>42310.14398148148</v>
      </c>
      <c r="B4850" s="2">
        <v>9.3171296296296294E-2</v>
      </c>
      <c r="C4850" t="s">
        <v>106</v>
      </c>
      <c r="D4850" t="s">
        <v>23</v>
      </c>
      <c r="E4850" t="s">
        <v>24</v>
      </c>
      <c r="F4850" t="s">
        <v>486</v>
      </c>
      <c r="G4850">
        <v>1119505</v>
      </c>
      <c r="H4850" t="s">
        <v>26</v>
      </c>
      <c r="I4850" t="s">
        <v>450</v>
      </c>
      <c r="J4850" t="str">
        <f>"9781118355015"</f>
        <v>9781118355015</v>
      </c>
      <c r="K4850" t="s">
        <v>7935</v>
      </c>
      <c r="L4850">
        <v>19</v>
      </c>
      <c r="O4850" t="s">
        <v>30</v>
      </c>
      <c r="P4850" t="s">
        <v>29</v>
      </c>
      <c r="Q4850" s="1">
        <v>42306.770254629628</v>
      </c>
      <c r="R4850">
        <v>7</v>
      </c>
      <c r="S4850" t="s">
        <v>31</v>
      </c>
      <c r="T4850" t="s">
        <v>487</v>
      </c>
      <c r="U4850" t="s">
        <v>488</v>
      </c>
      <c r="V4850" s="3">
        <v>41302</v>
      </c>
    </row>
    <row r="4851" spans="1:22" x14ac:dyDescent="0.35">
      <c r="A4851" s="1">
        <v>42310.127476851849</v>
      </c>
      <c r="B4851" s="2">
        <v>5.6898148148148149E-2</v>
      </c>
      <c r="C4851" t="s">
        <v>5438</v>
      </c>
      <c r="D4851" t="s">
        <v>360</v>
      </c>
      <c r="E4851" t="s">
        <v>361</v>
      </c>
      <c r="F4851" t="s">
        <v>515</v>
      </c>
      <c r="G4851">
        <v>1757960</v>
      </c>
      <c r="H4851" t="s">
        <v>26</v>
      </c>
      <c r="I4851" t="s">
        <v>247</v>
      </c>
      <c r="J4851" t="str">
        <f>"9781118780770"</f>
        <v>9781118780770</v>
      </c>
      <c r="K4851" t="s">
        <v>7936</v>
      </c>
      <c r="L4851">
        <v>15</v>
      </c>
      <c r="O4851" t="s">
        <v>30</v>
      </c>
      <c r="P4851" t="s">
        <v>29</v>
      </c>
      <c r="Q4851" s="1">
        <v>42310.084409722222</v>
      </c>
      <c r="R4851">
        <v>7</v>
      </c>
      <c r="S4851" t="s">
        <v>363</v>
      </c>
      <c r="T4851" t="s">
        <v>517</v>
      </c>
      <c r="U4851" t="s">
        <v>518</v>
      </c>
      <c r="V4851" s="3">
        <v>41850</v>
      </c>
    </row>
    <row r="4852" spans="1:22" x14ac:dyDescent="0.35">
      <c r="A4852" s="1">
        <v>42310.119363425925</v>
      </c>
      <c r="B4852" s="2">
        <v>2.3379629629629631E-3</v>
      </c>
      <c r="C4852" t="s">
        <v>5675</v>
      </c>
      <c r="D4852" t="s">
        <v>23</v>
      </c>
      <c r="E4852" t="s">
        <v>24</v>
      </c>
      <c r="F4852" t="s">
        <v>5676</v>
      </c>
      <c r="G4852">
        <v>1760725</v>
      </c>
      <c r="H4852" t="s">
        <v>91</v>
      </c>
      <c r="I4852" t="s">
        <v>247</v>
      </c>
      <c r="J4852" t="str">
        <f>"9781462517992"</f>
        <v>9781462517992</v>
      </c>
      <c r="K4852" t="s">
        <v>7937</v>
      </c>
      <c r="L4852">
        <v>14</v>
      </c>
      <c r="O4852" t="s">
        <v>30</v>
      </c>
      <c r="P4852" t="s">
        <v>50</v>
      </c>
      <c r="S4852" t="s">
        <v>31</v>
      </c>
      <c r="T4852" t="s">
        <v>5677</v>
      </c>
      <c r="U4852" t="s">
        <v>1398</v>
      </c>
      <c r="V4852" s="3">
        <v>41953</v>
      </c>
    </row>
    <row r="4853" spans="1:22" x14ac:dyDescent="0.35">
      <c r="A4853" s="1">
        <v>42310.111712962964</v>
      </c>
      <c r="B4853" s="2">
        <v>3.4722222222222222E-5</v>
      </c>
      <c r="C4853" t="s">
        <v>7929</v>
      </c>
      <c r="D4853" t="s">
        <v>623</v>
      </c>
      <c r="E4853" t="s">
        <v>624</v>
      </c>
      <c r="F4853" t="s">
        <v>7938</v>
      </c>
      <c r="G4853">
        <v>1604130</v>
      </c>
      <c r="H4853" t="s">
        <v>26</v>
      </c>
      <c r="I4853" t="s">
        <v>445</v>
      </c>
      <c r="J4853" t="str">
        <f>"9780745678917"</f>
        <v>9780745678917</v>
      </c>
      <c r="K4853" t="s">
        <v>105</v>
      </c>
      <c r="L4853">
        <v>1</v>
      </c>
      <c r="O4853" t="s">
        <v>30</v>
      </c>
      <c r="P4853" t="s">
        <v>50</v>
      </c>
      <c r="S4853" t="s">
        <v>627</v>
      </c>
      <c r="T4853" t="s">
        <v>7939</v>
      </c>
      <c r="U4853">
        <v>330.12200000000001</v>
      </c>
      <c r="V4853" s="3">
        <v>41663</v>
      </c>
    </row>
    <row r="4854" spans="1:22" x14ac:dyDescent="0.35">
      <c r="A4854" s="1">
        <v>42310.106793981482</v>
      </c>
      <c r="B4854" s="2">
        <v>4.6296296296296294E-5</v>
      </c>
      <c r="C4854" t="s">
        <v>7929</v>
      </c>
      <c r="D4854" t="s">
        <v>623</v>
      </c>
      <c r="E4854" t="s">
        <v>624</v>
      </c>
      <c r="F4854" t="s">
        <v>7940</v>
      </c>
      <c r="G4854">
        <v>1895151</v>
      </c>
      <c r="H4854" t="s">
        <v>26</v>
      </c>
      <c r="I4854" t="s">
        <v>97</v>
      </c>
      <c r="J4854" t="str">
        <f>"9781118933244"</f>
        <v>9781118933244</v>
      </c>
      <c r="K4854" t="s">
        <v>33</v>
      </c>
      <c r="L4854">
        <v>3</v>
      </c>
      <c r="O4854" t="s">
        <v>30</v>
      </c>
      <c r="P4854" t="s">
        <v>50</v>
      </c>
      <c r="S4854" t="s">
        <v>627</v>
      </c>
      <c r="T4854" t="s">
        <v>7941</v>
      </c>
      <c r="U4854">
        <v>658.40120000000002</v>
      </c>
      <c r="V4854" s="3">
        <v>42132</v>
      </c>
    </row>
    <row r="4855" spans="1:22" x14ac:dyDescent="0.35">
      <c r="A4855" s="1">
        <v>42310.104710648149</v>
      </c>
      <c r="B4855" s="2">
        <v>7.8703703703703705E-4</v>
      </c>
      <c r="C4855" t="s">
        <v>7929</v>
      </c>
      <c r="D4855" t="s">
        <v>623</v>
      </c>
      <c r="E4855" t="s">
        <v>624</v>
      </c>
      <c r="F4855" t="s">
        <v>7930</v>
      </c>
      <c r="G4855">
        <v>1895603</v>
      </c>
      <c r="H4855" t="s">
        <v>26</v>
      </c>
      <c r="I4855" t="s">
        <v>120</v>
      </c>
      <c r="J4855" t="str">
        <f>"9781118789315"</f>
        <v>9781118789315</v>
      </c>
      <c r="K4855" t="s">
        <v>7942</v>
      </c>
      <c r="L4855">
        <v>18</v>
      </c>
      <c r="O4855" t="s">
        <v>30</v>
      </c>
      <c r="P4855" t="s">
        <v>50</v>
      </c>
      <c r="S4855" t="s">
        <v>627</v>
      </c>
      <c r="T4855" t="s">
        <v>7932</v>
      </c>
      <c r="U4855" t="s">
        <v>7933</v>
      </c>
      <c r="V4855" s="3">
        <v>42038</v>
      </c>
    </row>
    <row r="4856" spans="1:22" x14ac:dyDescent="0.35">
      <c r="A4856" s="1">
        <v>42310.095810185187</v>
      </c>
      <c r="B4856" s="2">
        <v>1.3738425925925926E-2</v>
      </c>
      <c r="C4856" t="s">
        <v>6845</v>
      </c>
      <c r="D4856" t="s">
        <v>35</v>
      </c>
      <c r="E4856" t="s">
        <v>36</v>
      </c>
      <c r="F4856" t="s">
        <v>111</v>
      </c>
      <c r="G4856">
        <v>693176</v>
      </c>
      <c r="H4856" t="s">
        <v>26</v>
      </c>
      <c r="I4856" t="s">
        <v>112</v>
      </c>
      <c r="J4856" t="str">
        <f>"9781118017746"</f>
        <v>9781118017746</v>
      </c>
      <c r="K4856" t="s">
        <v>7943</v>
      </c>
      <c r="L4856">
        <v>41</v>
      </c>
      <c r="O4856" t="s">
        <v>30</v>
      </c>
      <c r="P4856" t="s">
        <v>29</v>
      </c>
      <c r="Q4856" s="1">
        <v>42305.110567129632</v>
      </c>
      <c r="R4856">
        <v>7</v>
      </c>
      <c r="S4856" t="s">
        <v>40</v>
      </c>
      <c r="T4856" t="s">
        <v>114</v>
      </c>
      <c r="U4856" t="s">
        <v>115</v>
      </c>
      <c r="V4856" s="3">
        <v>40835</v>
      </c>
    </row>
    <row r="4857" spans="1:22" x14ac:dyDescent="0.35">
      <c r="A4857" s="1">
        <v>42310.084409722222</v>
      </c>
      <c r="B4857" s="2">
        <v>9.4699074074074074E-2</v>
      </c>
      <c r="C4857" t="s">
        <v>5438</v>
      </c>
      <c r="D4857" t="s">
        <v>360</v>
      </c>
      <c r="E4857" t="s">
        <v>361</v>
      </c>
      <c r="F4857" t="s">
        <v>515</v>
      </c>
      <c r="G4857">
        <v>1757960</v>
      </c>
      <c r="H4857" t="s">
        <v>26</v>
      </c>
      <c r="I4857" t="s">
        <v>247</v>
      </c>
      <c r="J4857" t="str">
        <f>"9781118780770"</f>
        <v>9781118780770</v>
      </c>
      <c r="K4857" t="s">
        <v>7944</v>
      </c>
      <c r="L4857">
        <v>12</v>
      </c>
      <c r="O4857" t="s">
        <v>30</v>
      </c>
      <c r="P4857" t="s">
        <v>29</v>
      </c>
      <c r="Q4857" s="1">
        <v>42310.084409722222</v>
      </c>
      <c r="R4857">
        <v>7</v>
      </c>
      <c r="S4857" t="s">
        <v>363</v>
      </c>
      <c r="T4857" t="s">
        <v>517</v>
      </c>
      <c r="U4857" t="s">
        <v>518</v>
      </c>
      <c r="V4857" s="3">
        <v>41850</v>
      </c>
    </row>
    <row r="4858" spans="1:22" x14ac:dyDescent="0.35">
      <c r="A4858" s="1">
        <v>42310.082256944443</v>
      </c>
      <c r="B4858" s="2">
        <v>2.1527777777777778E-3</v>
      </c>
      <c r="C4858" t="s">
        <v>5438</v>
      </c>
      <c r="D4858" t="s">
        <v>360</v>
      </c>
      <c r="E4858" t="s">
        <v>361</v>
      </c>
      <c r="F4858" t="s">
        <v>515</v>
      </c>
      <c r="G4858">
        <v>1757960</v>
      </c>
      <c r="H4858" t="s">
        <v>26</v>
      </c>
      <c r="I4858" t="s">
        <v>247</v>
      </c>
      <c r="J4858" t="str">
        <f>"9781118780770"</f>
        <v>9781118780770</v>
      </c>
      <c r="K4858" t="s">
        <v>33</v>
      </c>
      <c r="L4858">
        <v>3</v>
      </c>
      <c r="O4858" t="s">
        <v>30</v>
      </c>
      <c r="P4858" t="s">
        <v>42</v>
      </c>
      <c r="S4858" t="s">
        <v>363</v>
      </c>
      <c r="T4858" t="s">
        <v>517</v>
      </c>
      <c r="U4858" t="s">
        <v>518</v>
      </c>
      <c r="V4858" s="3">
        <v>41850</v>
      </c>
    </row>
    <row r="4859" spans="1:22" x14ac:dyDescent="0.35">
      <c r="A4859" s="1">
        <v>42310.080509259256</v>
      </c>
      <c r="B4859" s="2">
        <v>1.6203703703703703E-3</v>
      </c>
      <c r="C4859" t="s">
        <v>5227</v>
      </c>
      <c r="D4859" t="s">
        <v>211</v>
      </c>
      <c r="E4859" t="s">
        <v>212</v>
      </c>
      <c r="F4859" t="s">
        <v>5228</v>
      </c>
      <c r="G4859">
        <v>1034770</v>
      </c>
      <c r="H4859" t="s">
        <v>91</v>
      </c>
      <c r="I4859" t="s">
        <v>247</v>
      </c>
      <c r="J4859" t="str">
        <f>"9781462507566"</f>
        <v>9781462507566</v>
      </c>
      <c r="K4859" t="s">
        <v>7945</v>
      </c>
      <c r="L4859">
        <v>19</v>
      </c>
      <c r="O4859" t="s">
        <v>30</v>
      </c>
      <c r="P4859" t="s">
        <v>29</v>
      </c>
      <c r="Q4859" s="1">
        <v>42309.604247685187</v>
      </c>
      <c r="R4859">
        <v>7</v>
      </c>
      <c r="S4859" t="s">
        <v>214</v>
      </c>
      <c r="T4859" t="s">
        <v>5230</v>
      </c>
      <c r="U4859">
        <v>616.85839999999996</v>
      </c>
      <c r="V4859" s="3">
        <v>41567</v>
      </c>
    </row>
    <row r="4860" spans="1:22" x14ac:dyDescent="0.35">
      <c r="A4860" s="1">
        <v>42310.037094907406</v>
      </c>
      <c r="B4860" s="2">
        <v>6.7129629629629625E-4</v>
      </c>
      <c r="C4860" t="s">
        <v>7946</v>
      </c>
      <c r="D4860" t="s">
        <v>261</v>
      </c>
      <c r="E4860" t="s">
        <v>262</v>
      </c>
      <c r="F4860" t="s">
        <v>7947</v>
      </c>
      <c r="G4860">
        <v>1666572</v>
      </c>
      <c r="H4860" t="s">
        <v>526</v>
      </c>
      <c r="I4860" t="s">
        <v>291</v>
      </c>
      <c r="J4860" t="str">
        <f>"9780226136066"</f>
        <v>9780226136066</v>
      </c>
      <c r="K4860" t="s">
        <v>7948</v>
      </c>
      <c r="L4860">
        <v>10</v>
      </c>
      <c r="O4860" t="s">
        <v>30</v>
      </c>
      <c r="P4860" t="s">
        <v>47</v>
      </c>
      <c r="Q4860" s="1">
        <v>42310.037094907406</v>
      </c>
      <c r="R4860">
        <v>1</v>
      </c>
      <c r="S4860" t="s">
        <v>264</v>
      </c>
      <c r="T4860" t="s">
        <v>7949</v>
      </c>
      <c r="U4860" t="s">
        <v>7950</v>
      </c>
      <c r="V4860" s="3">
        <v>41757</v>
      </c>
    </row>
    <row r="4861" spans="1:22" x14ac:dyDescent="0.35">
      <c r="A4861" s="1">
        <v>42310.031944444447</v>
      </c>
      <c r="B4861" s="2">
        <v>5.1504629629629635E-3</v>
      </c>
      <c r="C4861" t="s">
        <v>7946</v>
      </c>
      <c r="D4861" t="s">
        <v>261</v>
      </c>
      <c r="E4861" t="s">
        <v>262</v>
      </c>
      <c r="F4861" t="s">
        <v>7947</v>
      </c>
      <c r="G4861">
        <v>1666572</v>
      </c>
      <c r="H4861" t="s">
        <v>526</v>
      </c>
      <c r="I4861" t="s">
        <v>291</v>
      </c>
      <c r="J4861" t="str">
        <f>"9780226136066"</f>
        <v>9780226136066</v>
      </c>
      <c r="K4861" t="s">
        <v>7951</v>
      </c>
      <c r="L4861">
        <v>14</v>
      </c>
      <c r="O4861" t="s">
        <v>30</v>
      </c>
      <c r="P4861" t="s">
        <v>50</v>
      </c>
      <c r="S4861" t="s">
        <v>264</v>
      </c>
      <c r="T4861" t="s">
        <v>7949</v>
      </c>
      <c r="U4861" t="s">
        <v>7950</v>
      </c>
      <c r="V4861" s="3">
        <v>41757</v>
      </c>
    </row>
    <row r="4862" spans="1:22" x14ac:dyDescent="0.35">
      <c r="A4862" s="1">
        <v>42310.011550925927</v>
      </c>
      <c r="B4862" s="2">
        <v>3.4027777777777784E-3</v>
      </c>
      <c r="C4862" t="s">
        <v>7898</v>
      </c>
      <c r="D4862" t="s">
        <v>158</v>
      </c>
      <c r="E4862" t="s">
        <v>159</v>
      </c>
      <c r="F4862" t="s">
        <v>5301</v>
      </c>
      <c r="G4862">
        <v>818121</v>
      </c>
      <c r="H4862" t="s">
        <v>26</v>
      </c>
      <c r="I4862" t="s">
        <v>5302</v>
      </c>
      <c r="J4862" t="str">
        <f>"9781118226339"</f>
        <v>9781118226339</v>
      </c>
      <c r="K4862" t="s">
        <v>7952</v>
      </c>
      <c r="L4862">
        <v>57</v>
      </c>
      <c r="O4862" t="s">
        <v>30</v>
      </c>
      <c r="P4862" t="s">
        <v>29</v>
      </c>
      <c r="Q4862" s="1">
        <v>42306.809675925928</v>
      </c>
      <c r="R4862">
        <v>7</v>
      </c>
      <c r="S4862" t="s">
        <v>163</v>
      </c>
      <c r="T4862" t="s">
        <v>5303</v>
      </c>
      <c r="U4862" t="s">
        <v>5304</v>
      </c>
      <c r="V4862" s="3">
        <v>40934</v>
      </c>
    </row>
    <row r="4863" spans="1:22" x14ac:dyDescent="0.35">
      <c r="A4863" s="1">
        <v>42309.990231481483</v>
      </c>
      <c r="B4863" s="2">
        <v>0</v>
      </c>
      <c r="C4863" t="s">
        <v>6138</v>
      </c>
      <c r="D4863" t="s">
        <v>623</v>
      </c>
      <c r="E4863" t="s">
        <v>624</v>
      </c>
      <c r="F4863" t="s">
        <v>6139</v>
      </c>
      <c r="G4863">
        <v>2004809</v>
      </c>
      <c r="H4863" t="s">
        <v>45</v>
      </c>
      <c r="I4863" t="s">
        <v>79</v>
      </c>
      <c r="J4863" t="str">
        <f>"9781472443465"</f>
        <v>9781472443465</v>
      </c>
      <c r="K4863" t="s">
        <v>3701</v>
      </c>
      <c r="L4863">
        <v>1</v>
      </c>
      <c r="O4863" t="s">
        <v>30</v>
      </c>
      <c r="P4863" t="s">
        <v>47</v>
      </c>
      <c r="Q4863" s="1">
        <v>42309.990219907406</v>
      </c>
      <c r="R4863">
        <v>1</v>
      </c>
      <c r="S4863" t="s">
        <v>627</v>
      </c>
      <c r="T4863" t="s">
        <v>6141</v>
      </c>
      <c r="U4863" t="s">
        <v>6142</v>
      </c>
      <c r="V4863" s="3">
        <v>42122</v>
      </c>
    </row>
    <row r="4864" spans="1:22" x14ac:dyDescent="0.35">
      <c r="A4864" s="1">
        <v>42309.984988425924</v>
      </c>
      <c r="B4864" s="2">
        <v>5.2314814814814819E-3</v>
      </c>
      <c r="C4864" t="s">
        <v>6138</v>
      </c>
      <c r="D4864" t="s">
        <v>623</v>
      </c>
      <c r="E4864" t="s">
        <v>624</v>
      </c>
      <c r="F4864" t="s">
        <v>6139</v>
      </c>
      <c r="G4864">
        <v>2004809</v>
      </c>
      <c r="H4864" t="s">
        <v>45</v>
      </c>
      <c r="I4864" t="s">
        <v>79</v>
      </c>
      <c r="J4864" t="str">
        <f>"9781472443465"</f>
        <v>9781472443465</v>
      </c>
      <c r="K4864" t="s">
        <v>7953</v>
      </c>
      <c r="L4864">
        <v>31</v>
      </c>
      <c r="O4864" t="s">
        <v>30</v>
      </c>
      <c r="P4864" t="s">
        <v>50</v>
      </c>
      <c r="S4864" t="s">
        <v>627</v>
      </c>
      <c r="T4864" t="s">
        <v>6141</v>
      </c>
      <c r="U4864" t="s">
        <v>6142</v>
      </c>
      <c r="V4864" s="3">
        <v>42122</v>
      </c>
    </row>
    <row r="4865" spans="1:22" x14ac:dyDescent="0.35">
      <c r="A4865" s="1">
        <v>42309.959340277775</v>
      </c>
      <c r="B4865" s="2">
        <v>6.4930555555555549E-3</v>
      </c>
      <c r="C4865" t="s">
        <v>106</v>
      </c>
      <c r="D4865" t="s">
        <v>23</v>
      </c>
      <c r="E4865" t="s">
        <v>24</v>
      </c>
      <c r="F4865" t="s">
        <v>5390</v>
      </c>
      <c r="G4865">
        <v>1732123</v>
      </c>
      <c r="H4865" t="s">
        <v>26</v>
      </c>
      <c r="I4865" t="s">
        <v>445</v>
      </c>
      <c r="J4865" t="str">
        <f>"9781118884942"</f>
        <v>9781118884942</v>
      </c>
      <c r="K4865" t="s">
        <v>278</v>
      </c>
      <c r="L4865">
        <v>21</v>
      </c>
      <c r="O4865" t="s">
        <v>30</v>
      </c>
      <c r="P4865" t="s">
        <v>42</v>
      </c>
      <c r="S4865" t="s">
        <v>31</v>
      </c>
      <c r="T4865" t="s">
        <v>5392</v>
      </c>
      <c r="U4865">
        <v>332.024</v>
      </c>
      <c r="V4865" s="3">
        <v>41827</v>
      </c>
    </row>
    <row r="4866" spans="1:22" x14ac:dyDescent="0.35">
      <c r="A4866" s="1">
        <v>42309.947256944448</v>
      </c>
      <c r="B4866" s="2">
        <v>5.3240740740740744E-4</v>
      </c>
      <c r="C4866" t="s">
        <v>7954</v>
      </c>
      <c r="D4866" t="s">
        <v>623</v>
      </c>
      <c r="E4866" t="s">
        <v>624</v>
      </c>
      <c r="F4866" t="s">
        <v>7955</v>
      </c>
      <c r="G4866">
        <v>1882078</v>
      </c>
      <c r="H4866" t="s">
        <v>84</v>
      </c>
      <c r="I4866" t="s">
        <v>998</v>
      </c>
      <c r="J4866" t="str">
        <f>"9780520960480"</f>
        <v>9780520960480</v>
      </c>
      <c r="K4866" t="s">
        <v>7956</v>
      </c>
      <c r="L4866">
        <v>23</v>
      </c>
      <c r="O4866" t="s">
        <v>30</v>
      </c>
      <c r="P4866" t="s">
        <v>50</v>
      </c>
      <c r="S4866" t="s">
        <v>627</v>
      </c>
      <c r="T4866" t="s">
        <v>7957</v>
      </c>
      <c r="U4866">
        <v>301.09199999999998</v>
      </c>
      <c r="V4866" s="3">
        <v>42243</v>
      </c>
    </row>
    <row r="4867" spans="1:22" x14ac:dyDescent="0.35">
      <c r="A4867" s="1">
        <v>42309.931203703702</v>
      </c>
      <c r="B4867" s="2">
        <v>8.9814814814814809E-3</v>
      </c>
      <c r="C4867" t="s">
        <v>3213</v>
      </c>
      <c r="D4867" t="s">
        <v>35</v>
      </c>
      <c r="E4867" t="s">
        <v>36</v>
      </c>
      <c r="F4867" t="s">
        <v>6172</v>
      </c>
      <c r="G4867">
        <v>1110770</v>
      </c>
      <c r="H4867" t="s">
        <v>84</v>
      </c>
      <c r="I4867" t="s">
        <v>27</v>
      </c>
      <c r="J4867" t="str">
        <f>"9780520955233"</f>
        <v>9780520955233</v>
      </c>
      <c r="K4867" t="s">
        <v>7958</v>
      </c>
      <c r="L4867">
        <v>6</v>
      </c>
      <c r="O4867" t="s">
        <v>30</v>
      </c>
      <c r="P4867" t="s">
        <v>47</v>
      </c>
      <c r="Q4867" s="1">
        <v>42309.931192129632</v>
      </c>
      <c r="R4867">
        <v>1</v>
      </c>
      <c r="S4867" t="s">
        <v>40</v>
      </c>
      <c r="T4867" t="s">
        <v>6174</v>
      </c>
      <c r="U4867">
        <v>493.186421</v>
      </c>
      <c r="V4867" s="3">
        <v>41773</v>
      </c>
    </row>
    <row r="4868" spans="1:22" x14ac:dyDescent="0.35">
      <c r="A4868" s="1">
        <v>42309.895682870374</v>
      </c>
      <c r="B4868" s="2">
        <v>5.2083333333333333E-4</v>
      </c>
      <c r="C4868" t="s">
        <v>106</v>
      </c>
      <c r="D4868" t="s">
        <v>23</v>
      </c>
      <c r="E4868" t="s">
        <v>24</v>
      </c>
      <c r="F4868" t="s">
        <v>486</v>
      </c>
      <c r="G4868">
        <v>1119505</v>
      </c>
      <c r="H4868" t="s">
        <v>26</v>
      </c>
      <c r="I4868" t="s">
        <v>450</v>
      </c>
      <c r="J4868" t="str">
        <f>"9781118355015"</f>
        <v>9781118355015</v>
      </c>
      <c r="K4868" t="s">
        <v>7959</v>
      </c>
      <c r="L4868">
        <v>12</v>
      </c>
      <c r="O4868" t="s">
        <v>30</v>
      </c>
      <c r="P4868" t="s">
        <v>29</v>
      </c>
      <c r="Q4868" s="1">
        <v>42306.770254629628</v>
      </c>
      <c r="R4868">
        <v>7</v>
      </c>
      <c r="S4868" t="s">
        <v>31</v>
      </c>
      <c r="T4868" t="s">
        <v>487</v>
      </c>
      <c r="U4868" t="s">
        <v>488</v>
      </c>
      <c r="V4868" s="3">
        <v>41302</v>
      </c>
    </row>
    <row r="4869" spans="1:22" x14ac:dyDescent="0.35">
      <c r="A4869" s="1">
        <v>42309.89329861111</v>
      </c>
      <c r="B4869" s="2">
        <v>6.5624999999999998E-3</v>
      </c>
      <c r="C4869" t="s">
        <v>7960</v>
      </c>
      <c r="D4869" t="s">
        <v>35</v>
      </c>
      <c r="E4869" t="s">
        <v>36</v>
      </c>
      <c r="F4869" t="s">
        <v>986</v>
      </c>
      <c r="G4869">
        <v>968030</v>
      </c>
      <c r="H4869" t="s">
        <v>26</v>
      </c>
      <c r="I4869" t="s">
        <v>219</v>
      </c>
      <c r="J4869" t="str">
        <f>"9781118285138"</f>
        <v>9781118285138</v>
      </c>
      <c r="K4869" t="s">
        <v>7961</v>
      </c>
      <c r="L4869">
        <v>24</v>
      </c>
      <c r="O4869" t="s">
        <v>30</v>
      </c>
      <c r="P4869" t="s">
        <v>42</v>
      </c>
      <c r="S4869" t="s">
        <v>40</v>
      </c>
      <c r="T4869" t="s">
        <v>987</v>
      </c>
      <c r="U4869">
        <v>158.30000000000001</v>
      </c>
      <c r="V4869" s="3">
        <v>41100</v>
      </c>
    </row>
    <row r="4870" spans="1:22" x14ac:dyDescent="0.35">
      <c r="A4870" s="1">
        <v>42309.884097222224</v>
      </c>
      <c r="B4870" s="2">
        <v>4.7094907407407405E-2</v>
      </c>
      <c r="C4870" t="s">
        <v>3213</v>
      </c>
      <c r="D4870" t="s">
        <v>35</v>
      </c>
      <c r="E4870" t="s">
        <v>36</v>
      </c>
      <c r="F4870" t="s">
        <v>6172</v>
      </c>
      <c r="G4870">
        <v>1110770</v>
      </c>
      <c r="H4870" t="s">
        <v>84</v>
      </c>
      <c r="I4870" t="s">
        <v>27</v>
      </c>
      <c r="J4870" t="str">
        <f>"9780520955233"</f>
        <v>9780520955233</v>
      </c>
      <c r="K4870" t="s">
        <v>7962</v>
      </c>
      <c r="L4870">
        <v>7</v>
      </c>
      <c r="O4870" t="s">
        <v>30</v>
      </c>
      <c r="P4870" t="s">
        <v>50</v>
      </c>
      <c r="S4870" t="s">
        <v>40</v>
      </c>
      <c r="T4870" t="s">
        <v>6174</v>
      </c>
      <c r="U4870">
        <v>493.186421</v>
      </c>
      <c r="V4870" s="3">
        <v>41773</v>
      </c>
    </row>
    <row r="4871" spans="1:22" x14ac:dyDescent="0.35">
      <c r="A4871" s="1">
        <v>42309.86886574074</v>
      </c>
      <c r="B4871" s="2">
        <v>6.5162037037037037E-3</v>
      </c>
      <c r="C4871" t="s">
        <v>5438</v>
      </c>
      <c r="D4871" t="s">
        <v>360</v>
      </c>
      <c r="E4871" t="s">
        <v>361</v>
      </c>
      <c r="F4871" t="s">
        <v>515</v>
      </c>
      <c r="G4871">
        <v>1757960</v>
      </c>
      <c r="H4871" t="s">
        <v>26</v>
      </c>
      <c r="I4871" t="s">
        <v>247</v>
      </c>
      <c r="J4871" t="str">
        <f>"9781118780770"</f>
        <v>9781118780770</v>
      </c>
      <c r="K4871" t="s">
        <v>7963</v>
      </c>
      <c r="L4871">
        <v>9</v>
      </c>
      <c r="O4871" t="s">
        <v>30</v>
      </c>
      <c r="P4871" t="s">
        <v>42</v>
      </c>
      <c r="S4871" t="s">
        <v>363</v>
      </c>
      <c r="T4871" t="s">
        <v>517</v>
      </c>
      <c r="U4871" t="s">
        <v>518</v>
      </c>
      <c r="V4871" s="3">
        <v>41850</v>
      </c>
    </row>
    <row r="4872" spans="1:22" x14ac:dyDescent="0.35">
      <c r="A4872" s="1">
        <v>42309.862604166665</v>
      </c>
      <c r="B4872" s="2">
        <v>5.9062499999999997E-2</v>
      </c>
      <c r="C4872" t="s">
        <v>5210</v>
      </c>
      <c r="D4872" t="s">
        <v>35</v>
      </c>
      <c r="E4872" t="s">
        <v>36</v>
      </c>
      <c r="F4872" t="s">
        <v>986</v>
      </c>
      <c r="G4872">
        <v>968030</v>
      </c>
      <c r="H4872" t="s">
        <v>26</v>
      </c>
      <c r="I4872" t="s">
        <v>219</v>
      </c>
      <c r="J4872" t="str">
        <f>"9781118285138"</f>
        <v>9781118285138</v>
      </c>
      <c r="K4872" t="s">
        <v>7964</v>
      </c>
      <c r="L4872">
        <v>4</v>
      </c>
      <c r="O4872" t="s">
        <v>30</v>
      </c>
      <c r="P4872" t="s">
        <v>29</v>
      </c>
      <c r="Q4872" s="1">
        <v>42309.862604166665</v>
      </c>
      <c r="R4872">
        <v>7</v>
      </c>
      <c r="S4872" t="s">
        <v>40</v>
      </c>
      <c r="T4872" t="s">
        <v>987</v>
      </c>
      <c r="U4872">
        <v>158.30000000000001</v>
      </c>
      <c r="V4872" s="3">
        <v>41100</v>
      </c>
    </row>
    <row r="4873" spans="1:22" x14ac:dyDescent="0.35">
      <c r="A4873" s="1">
        <v>42309.843912037039</v>
      </c>
      <c r="B4873" s="2">
        <v>1.8680555555555554E-2</v>
      </c>
      <c r="C4873" t="s">
        <v>5210</v>
      </c>
      <c r="D4873" t="s">
        <v>35</v>
      </c>
      <c r="E4873" t="s">
        <v>36</v>
      </c>
      <c r="F4873" t="s">
        <v>986</v>
      </c>
      <c r="G4873">
        <v>968030</v>
      </c>
      <c r="H4873" t="s">
        <v>26</v>
      </c>
      <c r="I4873" t="s">
        <v>219</v>
      </c>
      <c r="J4873" t="str">
        <f>"9781118285138"</f>
        <v>9781118285138</v>
      </c>
      <c r="K4873" t="s">
        <v>7965</v>
      </c>
      <c r="L4873">
        <v>23</v>
      </c>
      <c r="O4873" t="s">
        <v>30</v>
      </c>
      <c r="P4873" t="s">
        <v>42</v>
      </c>
      <c r="S4873" t="s">
        <v>40</v>
      </c>
      <c r="T4873" t="s">
        <v>987</v>
      </c>
      <c r="U4873">
        <v>158.30000000000001</v>
      </c>
      <c r="V4873" s="3">
        <v>41100</v>
      </c>
    </row>
    <row r="4874" spans="1:22" x14ac:dyDescent="0.35">
      <c r="A4874" s="1">
        <v>42309.824861111112</v>
      </c>
      <c r="B4874" s="2">
        <v>4.6296296296296294E-5</v>
      </c>
      <c r="C4874" t="s">
        <v>3595</v>
      </c>
      <c r="D4874" t="s">
        <v>23</v>
      </c>
      <c r="E4874" t="s">
        <v>24</v>
      </c>
      <c r="F4874" t="s">
        <v>3692</v>
      </c>
      <c r="G4874">
        <v>1124406</v>
      </c>
      <c r="H4874" t="s">
        <v>26</v>
      </c>
      <c r="I4874" t="s">
        <v>3693</v>
      </c>
      <c r="J4874" t="str">
        <f>"9781118490389"</f>
        <v>9781118490389</v>
      </c>
      <c r="K4874" t="s">
        <v>33</v>
      </c>
      <c r="L4874">
        <v>3</v>
      </c>
      <c r="O4874" t="s">
        <v>30</v>
      </c>
      <c r="P4874" t="s">
        <v>42</v>
      </c>
      <c r="S4874" t="s">
        <v>31</v>
      </c>
      <c r="T4874" t="s">
        <v>3695</v>
      </c>
      <c r="U4874">
        <v>5.54</v>
      </c>
      <c r="V4874" s="3">
        <v>41311</v>
      </c>
    </row>
    <row r="4875" spans="1:22" x14ac:dyDescent="0.35">
      <c r="A4875" s="1">
        <v>42309.823587962965</v>
      </c>
      <c r="B4875" s="2">
        <v>6.4351851851851861E-3</v>
      </c>
      <c r="C4875" t="s">
        <v>6408</v>
      </c>
      <c r="D4875" t="s">
        <v>35</v>
      </c>
      <c r="E4875" t="s">
        <v>36</v>
      </c>
      <c r="F4875" t="s">
        <v>3275</v>
      </c>
      <c r="G4875">
        <v>822662</v>
      </c>
      <c r="H4875" t="s">
        <v>26</v>
      </c>
      <c r="I4875" t="s">
        <v>172</v>
      </c>
      <c r="J4875" t="str">
        <f>"9781444355130"</f>
        <v>9781444355130</v>
      </c>
      <c r="K4875" t="s">
        <v>7966</v>
      </c>
      <c r="L4875">
        <v>51</v>
      </c>
      <c r="O4875" t="s">
        <v>30</v>
      </c>
      <c r="P4875" t="s">
        <v>29</v>
      </c>
      <c r="Q4875" s="1">
        <v>42307.653136574074</v>
      </c>
      <c r="R4875">
        <v>7</v>
      </c>
      <c r="S4875" t="s">
        <v>40</v>
      </c>
      <c r="T4875" t="s">
        <v>3277</v>
      </c>
      <c r="U4875">
        <v>960.3</v>
      </c>
      <c r="V4875" s="3">
        <v>40858</v>
      </c>
    </row>
    <row r="4876" spans="1:22" x14ac:dyDescent="0.35">
      <c r="A4876" s="1">
        <v>42309.822870370372</v>
      </c>
      <c r="B4876" s="2">
        <v>3.408564814814815E-2</v>
      </c>
      <c r="C4876" t="s">
        <v>5227</v>
      </c>
      <c r="D4876" t="s">
        <v>211</v>
      </c>
      <c r="E4876" t="s">
        <v>212</v>
      </c>
      <c r="F4876" t="s">
        <v>5228</v>
      </c>
      <c r="G4876">
        <v>1034770</v>
      </c>
      <c r="H4876" t="s">
        <v>91</v>
      </c>
      <c r="I4876" t="s">
        <v>247</v>
      </c>
      <c r="J4876" t="str">
        <f>"9781462507566"</f>
        <v>9781462507566</v>
      </c>
      <c r="K4876" t="s">
        <v>7967</v>
      </c>
      <c r="L4876">
        <v>47</v>
      </c>
      <c r="O4876" t="s">
        <v>30</v>
      </c>
      <c r="P4876" t="s">
        <v>29</v>
      </c>
      <c r="Q4876" s="1">
        <v>42309.604247685187</v>
      </c>
      <c r="R4876">
        <v>7</v>
      </c>
      <c r="S4876" t="s">
        <v>214</v>
      </c>
      <c r="T4876" t="s">
        <v>5230</v>
      </c>
      <c r="U4876">
        <v>616.85839999999996</v>
      </c>
      <c r="V4876" s="3">
        <v>41567</v>
      </c>
    </row>
    <row r="4877" spans="1:22" x14ac:dyDescent="0.35">
      <c r="A4877" s="1">
        <v>42309.810127314813</v>
      </c>
      <c r="B4877" s="2">
        <v>2.8055555555555556E-2</v>
      </c>
      <c r="C4877" t="s">
        <v>7968</v>
      </c>
      <c r="D4877" t="s">
        <v>23</v>
      </c>
      <c r="E4877" t="s">
        <v>24</v>
      </c>
      <c r="F4877" t="s">
        <v>7969</v>
      </c>
      <c r="G4877">
        <v>1991216</v>
      </c>
      <c r="H4877" t="s">
        <v>91</v>
      </c>
      <c r="I4877" t="s">
        <v>247</v>
      </c>
      <c r="J4877" t="str">
        <f>"9781462521029"</f>
        <v>9781462521029</v>
      </c>
      <c r="K4877" t="s">
        <v>7970</v>
      </c>
      <c r="L4877">
        <v>17</v>
      </c>
      <c r="O4877" t="s">
        <v>28</v>
      </c>
      <c r="P4877" t="s">
        <v>47</v>
      </c>
      <c r="Q4877" s="1">
        <v>42309.810127314813</v>
      </c>
      <c r="R4877">
        <v>7</v>
      </c>
      <c r="S4877" t="s">
        <v>31</v>
      </c>
      <c r="T4877" t="s">
        <v>7971</v>
      </c>
      <c r="U4877">
        <v>616.89</v>
      </c>
      <c r="V4877" s="3">
        <v>42170</v>
      </c>
    </row>
    <row r="4878" spans="1:22" x14ac:dyDescent="0.35">
      <c r="A4878" s="1">
        <v>42309.810127314813</v>
      </c>
      <c r="B4878" s="2">
        <v>0</v>
      </c>
      <c r="C4878" t="s">
        <v>7968</v>
      </c>
      <c r="D4878" t="s">
        <v>23</v>
      </c>
      <c r="E4878" t="s">
        <v>24</v>
      </c>
      <c r="F4878" t="s">
        <v>7969</v>
      </c>
      <c r="G4878">
        <v>1991216</v>
      </c>
      <c r="H4878" t="s">
        <v>91</v>
      </c>
      <c r="I4878" t="s">
        <v>247</v>
      </c>
      <c r="J4878" t="str">
        <f>"9781462521029"</f>
        <v>9781462521029</v>
      </c>
      <c r="L4878">
        <v>0</v>
      </c>
      <c r="O4878" t="s">
        <v>30</v>
      </c>
      <c r="P4878" t="s">
        <v>47</v>
      </c>
      <c r="Q4878" s="1">
        <v>42309.810127314813</v>
      </c>
      <c r="R4878">
        <v>7</v>
      </c>
      <c r="S4878" t="s">
        <v>31</v>
      </c>
      <c r="T4878" t="s">
        <v>7971</v>
      </c>
      <c r="U4878">
        <v>616.89</v>
      </c>
      <c r="V4878" s="3">
        <v>42170</v>
      </c>
    </row>
    <row r="4879" spans="1:22" x14ac:dyDescent="0.35">
      <c r="A4879" s="1">
        <v>42309.808298611111</v>
      </c>
      <c r="B4879" s="2">
        <v>1.8287037037037037E-3</v>
      </c>
      <c r="C4879" t="s">
        <v>7968</v>
      </c>
      <c r="D4879" t="s">
        <v>23</v>
      </c>
      <c r="E4879" t="s">
        <v>24</v>
      </c>
      <c r="F4879" t="s">
        <v>7969</v>
      </c>
      <c r="G4879">
        <v>1991216</v>
      </c>
      <c r="H4879" t="s">
        <v>91</v>
      </c>
      <c r="I4879" t="s">
        <v>247</v>
      </c>
      <c r="J4879" t="str">
        <f>"9781462521029"</f>
        <v>9781462521029</v>
      </c>
      <c r="K4879" t="s">
        <v>7972</v>
      </c>
      <c r="L4879">
        <v>10</v>
      </c>
      <c r="O4879" t="s">
        <v>30</v>
      </c>
      <c r="P4879" t="s">
        <v>50</v>
      </c>
      <c r="S4879" t="s">
        <v>31</v>
      </c>
      <c r="T4879" t="s">
        <v>7971</v>
      </c>
      <c r="U4879">
        <v>616.89</v>
      </c>
      <c r="V4879" s="3">
        <v>42170</v>
      </c>
    </row>
    <row r="4880" spans="1:22" x14ac:dyDescent="0.35">
      <c r="A4880" s="1">
        <v>42309.734861111108</v>
      </c>
      <c r="B4880" s="2">
        <v>2.3414351851851853E-2</v>
      </c>
      <c r="C4880" t="s">
        <v>7973</v>
      </c>
      <c r="D4880" t="s">
        <v>211</v>
      </c>
      <c r="E4880" t="s">
        <v>212</v>
      </c>
      <c r="F4880" t="s">
        <v>7682</v>
      </c>
      <c r="G4880">
        <v>1896037</v>
      </c>
      <c r="H4880" t="s">
        <v>26</v>
      </c>
      <c r="I4880" t="s">
        <v>7683</v>
      </c>
      <c r="J4880" t="str">
        <f>"9781119066262"</f>
        <v>9781119066262</v>
      </c>
      <c r="K4880" t="s">
        <v>7974</v>
      </c>
      <c r="L4880">
        <v>27</v>
      </c>
      <c r="O4880" t="s">
        <v>30</v>
      </c>
      <c r="P4880" t="s">
        <v>29</v>
      </c>
      <c r="Q4880" s="1">
        <v>42309.734849537039</v>
      </c>
      <c r="R4880">
        <v>7</v>
      </c>
      <c r="S4880" t="s">
        <v>214</v>
      </c>
      <c r="T4880" t="s">
        <v>7685</v>
      </c>
      <c r="U4880" t="s">
        <v>7686</v>
      </c>
      <c r="V4880" s="3">
        <v>41990</v>
      </c>
    </row>
    <row r="4881" spans="1:22" x14ac:dyDescent="0.35">
      <c r="A4881" s="1">
        <v>42309.725046296298</v>
      </c>
      <c r="B4881" s="2">
        <v>9.8032407407407408E-3</v>
      </c>
      <c r="C4881" t="s">
        <v>7973</v>
      </c>
      <c r="D4881" t="s">
        <v>211</v>
      </c>
      <c r="E4881" t="s">
        <v>212</v>
      </c>
      <c r="F4881" t="s">
        <v>7682</v>
      </c>
      <c r="G4881">
        <v>1896037</v>
      </c>
      <c r="H4881" t="s">
        <v>26</v>
      </c>
      <c r="I4881" t="s">
        <v>7683</v>
      </c>
      <c r="J4881" t="str">
        <f>"9781119066262"</f>
        <v>9781119066262</v>
      </c>
      <c r="K4881" t="s">
        <v>7975</v>
      </c>
      <c r="L4881">
        <v>14</v>
      </c>
      <c r="O4881" t="s">
        <v>30</v>
      </c>
      <c r="P4881" t="s">
        <v>42</v>
      </c>
      <c r="S4881" t="s">
        <v>214</v>
      </c>
      <c r="T4881" t="s">
        <v>7685</v>
      </c>
      <c r="U4881" t="s">
        <v>7686</v>
      </c>
      <c r="V4881" s="3">
        <v>41990</v>
      </c>
    </row>
    <row r="4882" spans="1:22" x14ac:dyDescent="0.35">
      <c r="A4882" s="1">
        <v>42309.715682870374</v>
      </c>
      <c r="B4882" s="2">
        <v>1.3888888888888889E-4</v>
      </c>
      <c r="C4882" t="s">
        <v>6693</v>
      </c>
      <c r="D4882" t="s">
        <v>6396</v>
      </c>
      <c r="E4882" t="s">
        <v>6397</v>
      </c>
      <c r="F4882" t="s">
        <v>7976</v>
      </c>
      <c r="G4882">
        <v>1662677</v>
      </c>
      <c r="H4882" t="s">
        <v>26</v>
      </c>
      <c r="I4882" t="s">
        <v>69</v>
      </c>
      <c r="J4882" t="str">
        <f>"9781118841280"</f>
        <v>9781118841280</v>
      </c>
      <c r="K4882" t="s">
        <v>63</v>
      </c>
      <c r="L4882">
        <v>1</v>
      </c>
      <c r="O4882" t="s">
        <v>28</v>
      </c>
      <c r="P4882" t="s">
        <v>47</v>
      </c>
      <c r="Q4882" s="1">
        <v>42309.715682870374</v>
      </c>
      <c r="R4882">
        <v>1</v>
      </c>
      <c r="S4882" t="s">
        <v>6400</v>
      </c>
      <c r="T4882" t="s">
        <v>7977</v>
      </c>
      <c r="U4882" t="s">
        <v>7978</v>
      </c>
      <c r="V4882" s="3">
        <v>41724</v>
      </c>
    </row>
    <row r="4883" spans="1:22" x14ac:dyDescent="0.35">
      <c r="A4883" s="1">
        <v>42309.715682870374</v>
      </c>
      <c r="B4883" s="2">
        <v>0</v>
      </c>
      <c r="C4883" t="s">
        <v>6693</v>
      </c>
      <c r="D4883" t="s">
        <v>6396</v>
      </c>
      <c r="E4883" t="s">
        <v>6397</v>
      </c>
      <c r="F4883" t="s">
        <v>7976</v>
      </c>
      <c r="G4883">
        <v>1662677</v>
      </c>
      <c r="H4883" t="s">
        <v>26</v>
      </c>
      <c r="I4883" t="s">
        <v>69</v>
      </c>
      <c r="J4883" t="str">
        <f>"9781118841280"</f>
        <v>9781118841280</v>
      </c>
      <c r="L4883">
        <v>0</v>
      </c>
      <c r="O4883" t="s">
        <v>30</v>
      </c>
      <c r="P4883" t="s">
        <v>47</v>
      </c>
      <c r="Q4883" s="1">
        <v>42309.715682870374</v>
      </c>
      <c r="R4883">
        <v>1</v>
      </c>
      <c r="S4883" t="s">
        <v>6400</v>
      </c>
      <c r="T4883" t="s">
        <v>7977</v>
      </c>
      <c r="U4883" t="s">
        <v>7978</v>
      </c>
      <c r="V4883" s="3">
        <v>41724</v>
      </c>
    </row>
    <row r="4884" spans="1:22" x14ac:dyDescent="0.35">
      <c r="A4884" s="1">
        <v>42309.715567129628</v>
      </c>
      <c r="B4884" s="2">
        <v>1.1574074074074073E-4</v>
      </c>
      <c r="C4884" t="s">
        <v>6693</v>
      </c>
      <c r="D4884" t="s">
        <v>6396</v>
      </c>
      <c r="E4884" t="s">
        <v>6397</v>
      </c>
      <c r="F4884" t="s">
        <v>7976</v>
      </c>
      <c r="G4884">
        <v>1662677</v>
      </c>
      <c r="H4884" t="s">
        <v>26</v>
      </c>
      <c r="I4884" t="s">
        <v>69</v>
      </c>
      <c r="J4884" t="str">
        <f>"9781118841280"</f>
        <v>9781118841280</v>
      </c>
      <c r="K4884" t="s">
        <v>7979</v>
      </c>
      <c r="L4884">
        <v>3</v>
      </c>
      <c r="O4884" t="s">
        <v>30</v>
      </c>
      <c r="P4884" t="s">
        <v>50</v>
      </c>
      <c r="S4884" t="s">
        <v>6400</v>
      </c>
      <c r="T4884" t="s">
        <v>7977</v>
      </c>
      <c r="U4884" t="s">
        <v>7978</v>
      </c>
      <c r="V4884" s="3">
        <v>41724</v>
      </c>
    </row>
    <row r="4885" spans="1:22" x14ac:dyDescent="0.35">
      <c r="A4885" s="1">
        <v>42309.713263888887</v>
      </c>
      <c r="B4885" s="2">
        <v>1.9675925925925926E-4</v>
      </c>
      <c r="C4885" t="s">
        <v>6693</v>
      </c>
      <c r="D4885" t="s">
        <v>6396</v>
      </c>
      <c r="E4885" t="s">
        <v>6397</v>
      </c>
      <c r="F4885" t="s">
        <v>7980</v>
      </c>
      <c r="G4885">
        <v>1318536</v>
      </c>
      <c r="H4885" t="s">
        <v>139</v>
      </c>
      <c r="I4885" t="s">
        <v>120</v>
      </c>
      <c r="J4885" t="str">
        <f>"9781479897506"</f>
        <v>9781479897506</v>
      </c>
      <c r="K4885" t="s">
        <v>63</v>
      </c>
      <c r="L4885">
        <v>1</v>
      </c>
      <c r="O4885" t="s">
        <v>28</v>
      </c>
      <c r="P4885" t="s">
        <v>47</v>
      </c>
      <c r="Q4885" s="1">
        <v>42309.713263888887</v>
      </c>
      <c r="R4885">
        <v>1</v>
      </c>
      <c r="S4885" t="s">
        <v>6400</v>
      </c>
      <c r="T4885" t="s">
        <v>7981</v>
      </c>
      <c r="U4885">
        <v>303.37200000000001</v>
      </c>
      <c r="V4885" s="3">
        <v>41526</v>
      </c>
    </row>
    <row r="4886" spans="1:22" x14ac:dyDescent="0.35">
      <c r="A4886" s="1">
        <v>42309.713263888887</v>
      </c>
      <c r="B4886" s="2">
        <v>0</v>
      </c>
      <c r="C4886" t="s">
        <v>6693</v>
      </c>
      <c r="D4886" t="s">
        <v>6396</v>
      </c>
      <c r="E4886" t="s">
        <v>6397</v>
      </c>
      <c r="F4886" t="s">
        <v>7980</v>
      </c>
      <c r="G4886">
        <v>1318536</v>
      </c>
      <c r="H4886" t="s">
        <v>139</v>
      </c>
      <c r="I4886" t="s">
        <v>120</v>
      </c>
      <c r="J4886" t="str">
        <f>"9781479897506"</f>
        <v>9781479897506</v>
      </c>
      <c r="L4886">
        <v>0</v>
      </c>
      <c r="O4886" t="s">
        <v>30</v>
      </c>
      <c r="P4886" t="s">
        <v>47</v>
      </c>
      <c r="Q4886" s="1">
        <v>42309.713263888887</v>
      </c>
      <c r="R4886">
        <v>1</v>
      </c>
      <c r="S4886" t="s">
        <v>6400</v>
      </c>
      <c r="T4886" t="s">
        <v>7981</v>
      </c>
      <c r="U4886">
        <v>303.37200000000001</v>
      </c>
      <c r="V4886" s="3">
        <v>41526</v>
      </c>
    </row>
    <row r="4887" spans="1:22" x14ac:dyDescent="0.35">
      <c r="A4887" s="1">
        <v>42309.713206018518</v>
      </c>
      <c r="B4887" s="2">
        <v>5.7870370370370366E-5</v>
      </c>
      <c r="C4887" t="s">
        <v>6693</v>
      </c>
      <c r="D4887" t="s">
        <v>6396</v>
      </c>
      <c r="E4887" t="s">
        <v>6397</v>
      </c>
      <c r="F4887" t="s">
        <v>7980</v>
      </c>
      <c r="G4887">
        <v>1318536</v>
      </c>
      <c r="H4887" t="s">
        <v>139</v>
      </c>
      <c r="I4887" t="s">
        <v>120</v>
      </c>
      <c r="J4887" t="str">
        <f>"9781479897506"</f>
        <v>9781479897506</v>
      </c>
      <c r="K4887" t="s">
        <v>7982</v>
      </c>
      <c r="L4887">
        <v>3</v>
      </c>
      <c r="O4887" t="s">
        <v>30</v>
      </c>
      <c r="P4887" t="s">
        <v>50</v>
      </c>
      <c r="S4887" t="s">
        <v>6400</v>
      </c>
      <c r="T4887" t="s">
        <v>7981</v>
      </c>
      <c r="U4887">
        <v>303.37200000000001</v>
      </c>
      <c r="V4887" s="3">
        <v>41526</v>
      </c>
    </row>
    <row r="4888" spans="1:22" x14ac:dyDescent="0.35">
      <c r="A4888" s="1">
        <v>42309.712685185186</v>
      </c>
      <c r="B4888" s="2">
        <v>1.6203703703703703E-4</v>
      </c>
      <c r="C4888" t="s">
        <v>6693</v>
      </c>
      <c r="D4888" t="s">
        <v>6396</v>
      </c>
      <c r="E4888" t="s">
        <v>6397</v>
      </c>
      <c r="F4888" t="s">
        <v>7983</v>
      </c>
      <c r="G4888">
        <v>1155387</v>
      </c>
      <c r="H4888" t="s">
        <v>26</v>
      </c>
      <c r="I4888" t="s">
        <v>7984</v>
      </c>
      <c r="J4888" t="str">
        <f>"9781118616376"</f>
        <v>9781118616376</v>
      </c>
      <c r="K4888" t="s">
        <v>63</v>
      </c>
      <c r="L4888">
        <v>1</v>
      </c>
      <c r="O4888" t="s">
        <v>28</v>
      </c>
      <c r="P4888" t="s">
        <v>47</v>
      </c>
      <c r="Q4888" s="1">
        <v>42309.712685185186</v>
      </c>
      <c r="R4888">
        <v>1</v>
      </c>
      <c r="S4888" t="s">
        <v>6400</v>
      </c>
      <c r="T4888" t="s">
        <v>7985</v>
      </c>
      <c r="U4888" t="s">
        <v>7986</v>
      </c>
      <c r="V4888" s="3">
        <v>41348</v>
      </c>
    </row>
    <row r="4889" spans="1:22" x14ac:dyDescent="0.35">
      <c r="A4889" s="1">
        <v>42309.712685185186</v>
      </c>
      <c r="B4889" s="2">
        <v>0</v>
      </c>
      <c r="C4889" t="s">
        <v>6693</v>
      </c>
      <c r="D4889" t="s">
        <v>6396</v>
      </c>
      <c r="E4889" t="s">
        <v>6397</v>
      </c>
      <c r="F4889" t="s">
        <v>7983</v>
      </c>
      <c r="G4889">
        <v>1155387</v>
      </c>
      <c r="H4889" t="s">
        <v>26</v>
      </c>
      <c r="I4889" t="s">
        <v>7984</v>
      </c>
      <c r="J4889" t="str">
        <f>"9781118616376"</f>
        <v>9781118616376</v>
      </c>
      <c r="L4889">
        <v>0</v>
      </c>
      <c r="O4889" t="s">
        <v>30</v>
      </c>
      <c r="P4889" t="s">
        <v>47</v>
      </c>
      <c r="Q4889" s="1">
        <v>42309.712685185186</v>
      </c>
      <c r="R4889">
        <v>1</v>
      </c>
      <c r="S4889" t="s">
        <v>6400</v>
      </c>
      <c r="T4889" t="s">
        <v>7985</v>
      </c>
      <c r="U4889" t="s">
        <v>7986</v>
      </c>
      <c r="V4889" s="3">
        <v>41348</v>
      </c>
    </row>
    <row r="4890" spans="1:22" x14ac:dyDescent="0.35">
      <c r="A4890" s="1">
        <v>42309.712581018517</v>
      </c>
      <c r="B4890" s="2">
        <v>1.0416666666666667E-4</v>
      </c>
      <c r="C4890" t="s">
        <v>6693</v>
      </c>
      <c r="D4890" t="s">
        <v>6396</v>
      </c>
      <c r="E4890" t="s">
        <v>6397</v>
      </c>
      <c r="F4890" t="s">
        <v>7983</v>
      </c>
      <c r="G4890">
        <v>1155387</v>
      </c>
      <c r="H4890" t="s">
        <v>26</v>
      </c>
      <c r="I4890" t="s">
        <v>7984</v>
      </c>
      <c r="J4890" t="str">
        <f>"9781118616376"</f>
        <v>9781118616376</v>
      </c>
      <c r="K4890" t="s">
        <v>73</v>
      </c>
      <c r="L4890">
        <v>3</v>
      </c>
      <c r="O4890" t="s">
        <v>30</v>
      </c>
      <c r="P4890" t="s">
        <v>50</v>
      </c>
      <c r="S4890" t="s">
        <v>6400</v>
      </c>
      <c r="T4890" t="s">
        <v>7985</v>
      </c>
      <c r="U4890" t="s">
        <v>7986</v>
      </c>
      <c r="V4890" s="3">
        <v>41348</v>
      </c>
    </row>
    <row r="4891" spans="1:22" x14ac:dyDescent="0.35">
      <c r="A4891" s="1">
        <v>42309.712523148148</v>
      </c>
      <c r="B4891" s="2">
        <v>1.8518518518518518E-4</v>
      </c>
      <c r="C4891" t="s">
        <v>6693</v>
      </c>
      <c r="D4891" t="s">
        <v>6396</v>
      </c>
      <c r="E4891" t="s">
        <v>6397</v>
      </c>
      <c r="F4891" t="s">
        <v>3018</v>
      </c>
      <c r="G4891">
        <v>1953321</v>
      </c>
      <c r="H4891" t="s">
        <v>26</v>
      </c>
      <c r="I4891" t="s">
        <v>97</v>
      </c>
      <c r="J4891" t="str">
        <f>"9781119062448"</f>
        <v>9781119062448</v>
      </c>
      <c r="K4891" t="s">
        <v>63</v>
      </c>
      <c r="L4891">
        <v>1</v>
      </c>
      <c r="O4891" t="s">
        <v>28</v>
      </c>
      <c r="P4891" t="s">
        <v>29</v>
      </c>
      <c r="Q4891" s="1">
        <v>42309.712523148148</v>
      </c>
      <c r="R4891">
        <v>7</v>
      </c>
      <c r="S4891" t="s">
        <v>6400</v>
      </c>
      <c r="T4891" t="s">
        <v>3020</v>
      </c>
      <c r="U4891">
        <v>658.15028555399999</v>
      </c>
      <c r="V4891" s="3">
        <v>42079</v>
      </c>
    </row>
    <row r="4892" spans="1:22" x14ac:dyDescent="0.35">
      <c r="A4892" s="1">
        <v>42309.712523148148</v>
      </c>
      <c r="B4892" s="2">
        <v>0</v>
      </c>
      <c r="C4892" t="s">
        <v>6693</v>
      </c>
      <c r="D4892" t="s">
        <v>6396</v>
      </c>
      <c r="E4892" t="s">
        <v>6397</v>
      </c>
      <c r="F4892" t="s">
        <v>3018</v>
      </c>
      <c r="G4892">
        <v>1953321</v>
      </c>
      <c r="H4892" t="s">
        <v>26</v>
      </c>
      <c r="I4892" t="s">
        <v>97</v>
      </c>
      <c r="J4892" t="str">
        <f>"9781119062448"</f>
        <v>9781119062448</v>
      </c>
      <c r="L4892">
        <v>0</v>
      </c>
      <c r="O4892" t="s">
        <v>30</v>
      </c>
      <c r="P4892" t="s">
        <v>29</v>
      </c>
      <c r="Q4892" s="1">
        <v>42309.712523148148</v>
      </c>
      <c r="R4892">
        <v>7</v>
      </c>
      <c r="S4892" t="s">
        <v>6400</v>
      </c>
      <c r="T4892" t="s">
        <v>3020</v>
      </c>
      <c r="U4892">
        <v>658.15028555399999</v>
      </c>
      <c r="V4892" s="3">
        <v>42079</v>
      </c>
    </row>
    <row r="4893" spans="1:22" x14ac:dyDescent="0.35">
      <c r="A4893" s="1">
        <v>42309.712453703702</v>
      </c>
      <c r="B4893" s="2">
        <v>6.9444444444444444E-5</v>
      </c>
      <c r="C4893" t="s">
        <v>6693</v>
      </c>
      <c r="D4893" t="s">
        <v>6396</v>
      </c>
      <c r="E4893" t="s">
        <v>6397</v>
      </c>
      <c r="F4893" t="s">
        <v>3018</v>
      </c>
      <c r="G4893">
        <v>1953321</v>
      </c>
      <c r="H4893" t="s">
        <v>26</v>
      </c>
      <c r="I4893" t="s">
        <v>97</v>
      </c>
      <c r="J4893" t="str">
        <f>"9781119062448"</f>
        <v>9781119062448</v>
      </c>
      <c r="K4893" t="s">
        <v>786</v>
      </c>
      <c r="L4893">
        <v>3</v>
      </c>
      <c r="O4893" t="s">
        <v>30</v>
      </c>
      <c r="P4893" t="s">
        <v>42</v>
      </c>
      <c r="S4893" t="s">
        <v>6400</v>
      </c>
      <c r="T4893" t="s">
        <v>3020</v>
      </c>
      <c r="U4893">
        <v>658.15028555399999</v>
      </c>
      <c r="V4893" s="3">
        <v>42079</v>
      </c>
    </row>
    <row r="4894" spans="1:22" x14ac:dyDescent="0.35">
      <c r="A4894" s="1">
        <v>42309.712129629632</v>
      </c>
      <c r="B4894" s="2">
        <v>6.9444444444444444E-5</v>
      </c>
      <c r="C4894" t="s">
        <v>7987</v>
      </c>
      <c r="D4894" t="s">
        <v>23</v>
      </c>
      <c r="E4894" t="s">
        <v>24</v>
      </c>
      <c r="F4894" t="s">
        <v>4863</v>
      </c>
      <c r="G4894">
        <v>829309</v>
      </c>
      <c r="H4894" t="s">
        <v>91</v>
      </c>
      <c r="I4894" t="s">
        <v>247</v>
      </c>
      <c r="J4894" t="str">
        <f>"9781462502387"</f>
        <v>9781462502387</v>
      </c>
      <c r="K4894" t="s">
        <v>7988</v>
      </c>
      <c r="L4894">
        <v>3</v>
      </c>
      <c r="O4894" t="s">
        <v>30</v>
      </c>
      <c r="P4894" t="s">
        <v>29</v>
      </c>
      <c r="Q4894" s="1">
        <v>42309.712129629632</v>
      </c>
      <c r="R4894">
        <v>7</v>
      </c>
      <c r="S4894" t="s">
        <v>31</v>
      </c>
      <c r="T4894" t="s">
        <v>4865</v>
      </c>
      <c r="U4894">
        <v>616.89142000000004</v>
      </c>
      <c r="V4894" s="3">
        <v>40891</v>
      </c>
    </row>
    <row r="4895" spans="1:22" x14ac:dyDescent="0.35">
      <c r="A4895" s="1">
        <v>42309.712037037039</v>
      </c>
      <c r="B4895" s="2">
        <v>1.6203703703703703E-4</v>
      </c>
      <c r="C4895" t="s">
        <v>6693</v>
      </c>
      <c r="D4895" t="s">
        <v>6396</v>
      </c>
      <c r="E4895" t="s">
        <v>6397</v>
      </c>
      <c r="F4895" t="s">
        <v>7989</v>
      </c>
      <c r="G4895">
        <v>1896284</v>
      </c>
      <c r="H4895" t="s">
        <v>26</v>
      </c>
      <c r="I4895" t="s">
        <v>97</v>
      </c>
      <c r="J4895" t="str">
        <f>"9780857085214"</f>
        <v>9780857085214</v>
      </c>
      <c r="K4895" t="s">
        <v>63</v>
      </c>
      <c r="L4895">
        <v>1</v>
      </c>
      <c r="O4895" t="s">
        <v>28</v>
      </c>
      <c r="P4895" t="s">
        <v>29</v>
      </c>
      <c r="Q4895" s="1">
        <v>42309.712037037039</v>
      </c>
      <c r="R4895">
        <v>7</v>
      </c>
      <c r="S4895" t="s">
        <v>6400</v>
      </c>
      <c r="T4895" t="s">
        <v>7990</v>
      </c>
      <c r="U4895">
        <v>658</v>
      </c>
      <c r="V4895" s="3">
        <v>41984</v>
      </c>
    </row>
    <row r="4896" spans="1:22" x14ac:dyDescent="0.35">
      <c r="A4896" s="1">
        <v>42309.712037037039</v>
      </c>
      <c r="B4896" s="2">
        <v>0</v>
      </c>
      <c r="C4896" t="s">
        <v>6693</v>
      </c>
      <c r="D4896" t="s">
        <v>6396</v>
      </c>
      <c r="E4896" t="s">
        <v>6397</v>
      </c>
      <c r="F4896" t="s">
        <v>7989</v>
      </c>
      <c r="G4896">
        <v>1896284</v>
      </c>
      <c r="H4896" t="s">
        <v>26</v>
      </c>
      <c r="I4896" t="s">
        <v>97</v>
      </c>
      <c r="J4896" t="str">
        <f>"9780857085214"</f>
        <v>9780857085214</v>
      </c>
      <c r="L4896">
        <v>0</v>
      </c>
      <c r="O4896" t="s">
        <v>30</v>
      </c>
      <c r="P4896" t="s">
        <v>29</v>
      </c>
      <c r="Q4896" s="1">
        <v>42309.712037037039</v>
      </c>
      <c r="R4896">
        <v>7</v>
      </c>
      <c r="S4896" t="s">
        <v>6400</v>
      </c>
      <c r="T4896" t="s">
        <v>7990</v>
      </c>
      <c r="U4896">
        <v>658</v>
      </c>
      <c r="V4896" s="3">
        <v>41984</v>
      </c>
    </row>
    <row r="4897" spans="1:22" x14ac:dyDescent="0.35">
      <c r="A4897" s="1">
        <v>42309.711944444447</v>
      </c>
      <c r="B4897" s="2">
        <v>9.2592592592592588E-5</v>
      </c>
      <c r="C4897" t="s">
        <v>6693</v>
      </c>
      <c r="D4897" t="s">
        <v>6396</v>
      </c>
      <c r="E4897" t="s">
        <v>6397</v>
      </c>
      <c r="F4897" t="s">
        <v>7989</v>
      </c>
      <c r="G4897">
        <v>1896284</v>
      </c>
      <c r="H4897" t="s">
        <v>26</v>
      </c>
      <c r="I4897" t="s">
        <v>97</v>
      </c>
      <c r="J4897" t="str">
        <f>"9780857085214"</f>
        <v>9780857085214</v>
      </c>
      <c r="K4897" t="s">
        <v>7074</v>
      </c>
      <c r="L4897">
        <v>3</v>
      </c>
      <c r="O4897" t="s">
        <v>30</v>
      </c>
      <c r="P4897" t="s">
        <v>50</v>
      </c>
      <c r="S4897" t="s">
        <v>6400</v>
      </c>
      <c r="T4897" t="s">
        <v>7990</v>
      </c>
      <c r="U4897">
        <v>658</v>
      </c>
      <c r="V4897" s="3">
        <v>41984</v>
      </c>
    </row>
    <row r="4898" spans="1:22" x14ac:dyDescent="0.35">
      <c r="A4898" s="1">
        <v>42309.71162037037</v>
      </c>
      <c r="B4898" s="2">
        <v>0</v>
      </c>
      <c r="C4898" t="s">
        <v>6693</v>
      </c>
      <c r="D4898" t="s">
        <v>6396</v>
      </c>
      <c r="E4898" t="s">
        <v>6397</v>
      </c>
      <c r="F4898" t="s">
        <v>7991</v>
      </c>
      <c r="G4898">
        <v>1895414</v>
      </c>
      <c r="H4898" t="s">
        <v>26</v>
      </c>
      <c r="I4898" t="s">
        <v>328</v>
      </c>
      <c r="J4898" t="str">
        <f>"9780857085917"</f>
        <v>9780857085917</v>
      </c>
      <c r="L4898">
        <v>0</v>
      </c>
      <c r="O4898" t="s">
        <v>28</v>
      </c>
      <c r="P4898" t="s">
        <v>29</v>
      </c>
      <c r="Q4898" s="1">
        <v>42309.71162037037</v>
      </c>
      <c r="R4898">
        <v>7</v>
      </c>
      <c r="S4898" t="s">
        <v>6400</v>
      </c>
      <c r="T4898" t="s">
        <v>7992</v>
      </c>
      <c r="U4898">
        <v>613</v>
      </c>
      <c r="V4898" s="3">
        <v>42048</v>
      </c>
    </row>
    <row r="4899" spans="1:22" x14ac:dyDescent="0.35">
      <c r="A4899" s="1">
        <v>42309.71162037037</v>
      </c>
      <c r="B4899" s="2">
        <v>0</v>
      </c>
      <c r="C4899" t="s">
        <v>6693</v>
      </c>
      <c r="D4899" t="s">
        <v>6396</v>
      </c>
      <c r="E4899" t="s">
        <v>6397</v>
      </c>
      <c r="F4899" t="s">
        <v>7991</v>
      </c>
      <c r="G4899">
        <v>1895414</v>
      </c>
      <c r="H4899" t="s">
        <v>26</v>
      </c>
      <c r="I4899" t="s">
        <v>328</v>
      </c>
      <c r="J4899" t="str">
        <f>"9780857085917"</f>
        <v>9780857085917</v>
      </c>
      <c r="L4899">
        <v>0</v>
      </c>
      <c r="O4899" t="s">
        <v>30</v>
      </c>
      <c r="P4899" t="s">
        <v>29</v>
      </c>
      <c r="Q4899" s="1">
        <v>42309.71162037037</v>
      </c>
      <c r="R4899">
        <v>7</v>
      </c>
      <c r="S4899" t="s">
        <v>6400</v>
      </c>
      <c r="T4899" t="s">
        <v>7992</v>
      </c>
      <c r="U4899">
        <v>613</v>
      </c>
      <c r="V4899" s="3">
        <v>42048</v>
      </c>
    </row>
    <row r="4900" spans="1:22" x14ac:dyDescent="0.35">
      <c r="A4900" s="1">
        <v>42309.711041666669</v>
      </c>
      <c r="B4900" s="2">
        <v>0</v>
      </c>
      <c r="C4900" t="s">
        <v>6693</v>
      </c>
      <c r="D4900" t="s">
        <v>6396</v>
      </c>
      <c r="E4900" t="s">
        <v>6397</v>
      </c>
      <c r="F4900" t="s">
        <v>7993</v>
      </c>
      <c r="G4900">
        <v>836860</v>
      </c>
      <c r="H4900" t="s">
        <v>91</v>
      </c>
      <c r="I4900" t="s">
        <v>219</v>
      </c>
      <c r="J4900" t="str">
        <f>"9781462503117"</f>
        <v>9781462503117</v>
      </c>
      <c r="L4900">
        <v>0</v>
      </c>
      <c r="O4900" t="s">
        <v>28</v>
      </c>
      <c r="P4900" t="s">
        <v>29</v>
      </c>
      <c r="Q4900" s="1">
        <v>42309.711041666669</v>
      </c>
      <c r="R4900">
        <v>7</v>
      </c>
      <c r="S4900" t="s">
        <v>6400</v>
      </c>
      <c r="T4900" t="s">
        <v>7994</v>
      </c>
      <c r="U4900">
        <v>155.19999999999999</v>
      </c>
      <c r="V4900" s="3">
        <v>41773</v>
      </c>
    </row>
    <row r="4901" spans="1:22" x14ac:dyDescent="0.35">
      <c r="A4901" s="1">
        <v>42309.711041666669</v>
      </c>
      <c r="B4901" s="2">
        <v>0</v>
      </c>
      <c r="C4901" t="s">
        <v>6693</v>
      </c>
      <c r="D4901" t="s">
        <v>6396</v>
      </c>
      <c r="E4901" t="s">
        <v>6397</v>
      </c>
      <c r="F4901" t="s">
        <v>7993</v>
      </c>
      <c r="G4901">
        <v>836860</v>
      </c>
      <c r="H4901" t="s">
        <v>91</v>
      </c>
      <c r="I4901" t="s">
        <v>219</v>
      </c>
      <c r="J4901" t="str">
        <f>"9781462503117"</f>
        <v>9781462503117</v>
      </c>
      <c r="L4901">
        <v>0</v>
      </c>
      <c r="O4901" t="s">
        <v>30</v>
      </c>
      <c r="P4901" t="s">
        <v>29</v>
      </c>
      <c r="Q4901" s="1">
        <v>42309.711041666669</v>
      </c>
      <c r="R4901">
        <v>7</v>
      </c>
      <c r="S4901" t="s">
        <v>6400</v>
      </c>
      <c r="T4901" t="s">
        <v>7994</v>
      </c>
      <c r="U4901">
        <v>155.19999999999999</v>
      </c>
      <c r="V4901" s="3">
        <v>41773</v>
      </c>
    </row>
    <row r="4902" spans="1:22" x14ac:dyDescent="0.35">
      <c r="A4902" s="1">
        <v>42309.710949074077</v>
      </c>
      <c r="B4902" s="2">
        <v>0</v>
      </c>
      <c r="C4902" t="s">
        <v>6693</v>
      </c>
      <c r="D4902" t="s">
        <v>6396</v>
      </c>
      <c r="E4902" t="s">
        <v>6397</v>
      </c>
      <c r="F4902" t="s">
        <v>7995</v>
      </c>
      <c r="G4902">
        <v>3038574</v>
      </c>
      <c r="H4902" t="s">
        <v>526</v>
      </c>
      <c r="I4902" t="s">
        <v>3061</v>
      </c>
      <c r="J4902" t="str">
        <f>"9780226057644"</f>
        <v>9780226057644</v>
      </c>
      <c r="L4902">
        <v>0</v>
      </c>
      <c r="O4902" t="s">
        <v>28</v>
      </c>
      <c r="P4902" t="s">
        <v>47</v>
      </c>
      <c r="Q4902" s="1">
        <v>42309.710949074077</v>
      </c>
      <c r="R4902">
        <v>1</v>
      </c>
      <c r="S4902" t="s">
        <v>6400</v>
      </c>
      <c r="T4902" t="s">
        <v>7996</v>
      </c>
      <c r="U4902" t="s">
        <v>7997</v>
      </c>
      <c r="V4902" s="3">
        <v>41730</v>
      </c>
    </row>
    <row r="4903" spans="1:22" x14ac:dyDescent="0.35">
      <c r="A4903" s="1">
        <v>42309.710949074077</v>
      </c>
      <c r="B4903" s="2">
        <v>0</v>
      </c>
      <c r="C4903" t="s">
        <v>6693</v>
      </c>
      <c r="D4903" t="s">
        <v>6396</v>
      </c>
      <c r="E4903" t="s">
        <v>6397</v>
      </c>
      <c r="F4903" t="s">
        <v>7995</v>
      </c>
      <c r="G4903">
        <v>3038574</v>
      </c>
      <c r="H4903" t="s">
        <v>526</v>
      </c>
      <c r="I4903" t="s">
        <v>3061</v>
      </c>
      <c r="J4903" t="str">
        <f>"9780226057644"</f>
        <v>9780226057644</v>
      </c>
      <c r="L4903">
        <v>0</v>
      </c>
      <c r="O4903" t="s">
        <v>30</v>
      </c>
      <c r="P4903" t="s">
        <v>47</v>
      </c>
      <c r="Q4903" s="1">
        <v>42309.710949074077</v>
      </c>
      <c r="R4903">
        <v>1</v>
      </c>
      <c r="S4903" t="s">
        <v>6400</v>
      </c>
      <c r="T4903" t="s">
        <v>7996</v>
      </c>
      <c r="U4903" t="s">
        <v>7997</v>
      </c>
      <c r="V4903" s="3">
        <v>41730</v>
      </c>
    </row>
    <row r="4904" spans="1:22" x14ac:dyDescent="0.35">
      <c r="A4904" s="1">
        <v>42309.710729166669</v>
      </c>
      <c r="B4904" s="2">
        <v>0</v>
      </c>
      <c r="C4904" t="s">
        <v>6693</v>
      </c>
      <c r="D4904" t="s">
        <v>6396</v>
      </c>
      <c r="E4904" t="s">
        <v>6397</v>
      </c>
      <c r="F4904" t="s">
        <v>7998</v>
      </c>
      <c r="G4904">
        <v>1675478</v>
      </c>
      <c r="H4904" t="s">
        <v>91</v>
      </c>
      <c r="I4904" t="s">
        <v>69</v>
      </c>
      <c r="J4904" t="str">
        <f>"9781462515837"</f>
        <v>9781462515837</v>
      </c>
      <c r="L4904">
        <v>0</v>
      </c>
      <c r="O4904" t="s">
        <v>28</v>
      </c>
      <c r="P4904" t="s">
        <v>47</v>
      </c>
      <c r="Q4904" s="1">
        <v>42309.710729166669</v>
      </c>
      <c r="R4904">
        <v>1</v>
      </c>
      <c r="S4904" t="s">
        <v>6400</v>
      </c>
      <c r="T4904" t="s">
        <v>7999</v>
      </c>
      <c r="U4904">
        <v>372.4</v>
      </c>
      <c r="V4904" s="3">
        <v>41850</v>
      </c>
    </row>
    <row r="4905" spans="1:22" x14ac:dyDescent="0.35">
      <c r="A4905" s="1">
        <v>42309.710729166669</v>
      </c>
      <c r="B4905" s="2">
        <v>0</v>
      </c>
      <c r="C4905" t="s">
        <v>6693</v>
      </c>
      <c r="D4905" t="s">
        <v>6396</v>
      </c>
      <c r="E4905" t="s">
        <v>6397</v>
      </c>
      <c r="F4905" t="s">
        <v>7998</v>
      </c>
      <c r="G4905">
        <v>1675478</v>
      </c>
      <c r="H4905" t="s">
        <v>91</v>
      </c>
      <c r="I4905" t="s">
        <v>69</v>
      </c>
      <c r="J4905" t="str">
        <f>"9781462515837"</f>
        <v>9781462515837</v>
      </c>
      <c r="L4905">
        <v>0</v>
      </c>
      <c r="O4905" t="s">
        <v>30</v>
      </c>
      <c r="P4905" t="s">
        <v>47</v>
      </c>
      <c r="Q4905" s="1">
        <v>42309.710729166669</v>
      </c>
      <c r="R4905">
        <v>1</v>
      </c>
      <c r="S4905" t="s">
        <v>6400</v>
      </c>
      <c r="T4905" t="s">
        <v>7999</v>
      </c>
      <c r="U4905">
        <v>372.4</v>
      </c>
      <c r="V4905" s="3">
        <v>41850</v>
      </c>
    </row>
    <row r="4906" spans="1:22" x14ac:dyDescent="0.35">
      <c r="A4906" s="1">
        <v>42309.710393518515</v>
      </c>
      <c r="B4906" s="2">
        <v>0</v>
      </c>
      <c r="C4906" t="s">
        <v>6693</v>
      </c>
      <c r="D4906" t="s">
        <v>6396</v>
      </c>
      <c r="E4906" t="s">
        <v>6397</v>
      </c>
      <c r="F4906" t="s">
        <v>8000</v>
      </c>
      <c r="G4906">
        <v>1890984</v>
      </c>
      <c r="H4906" t="s">
        <v>26</v>
      </c>
      <c r="I4906" t="s">
        <v>97</v>
      </c>
      <c r="J4906" t="str">
        <f>"9780857085078"</f>
        <v>9780857085078</v>
      </c>
      <c r="L4906">
        <v>0</v>
      </c>
      <c r="O4906" t="s">
        <v>28</v>
      </c>
      <c r="P4906" t="s">
        <v>29</v>
      </c>
      <c r="Q4906" s="1">
        <v>42309.710393518515</v>
      </c>
      <c r="R4906">
        <v>7</v>
      </c>
      <c r="S4906" t="s">
        <v>6400</v>
      </c>
      <c r="T4906" t="s">
        <v>8001</v>
      </c>
      <c r="U4906">
        <v>658</v>
      </c>
      <c r="V4906" s="3">
        <v>41984</v>
      </c>
    </row>
    <row r="4907" spans="1:22" x14ac:dyDescent="0.35">
      <c r="A4907" s="1">
        <v>42309.710393518515</v>
      </c>
      <c r="B4907" s="2">
        <v>0</v>
      </c>
      <c r="C4907" t="s">
        <v>6693</v>
      </c>
      <c r="D4907" t="s">
        <v>6396</v>
      </c>
      <c r="E4907" t="s">
        <v>6397</v>
      </c>
      <c r="F4907" t="s">
        <v>8000</v>
      </c>
      <c r="G4907">
        <v>1890984</v>
      </c>
      <c r="H4907" t="s">
        <v>26</v>
      </c>
      <c r="I4907" t="s">
        <v>97</v>
      </c>
      <c r="J4907" t="str">
        <f>"9780857085078"</f>
        <v>9780857085078</v>
      </c>
      <c r="L4907">
        <v>0</v>
      </c>
      <c r="O4907" t="s">
        <v>30</v>
      </c>
      <c r="P4907" t="s">
        <v>29</v>
      </c>
      <c r="Q4907" s="1">
        <v>42309.710393518515</v>
      </c>
      <c r="R4907">
        <v>7</v>
      </c>
      <c r="S4907" t="s">
        <v>6400</v>
      </c>
      <c r="T4907" t="s">
        <v>8001</v>
      </c>
      <c r="U4907">
        <v>658</v>
      </c>
      <c r="V4907" s="3">
        <v>41984</v>
      </c>
    </row>
    <row r="4908" spans="1:22" x14ac:dyDescent="0.35">
      <c r="A4908" s="1">
        <v>42309.710324074076</v>
      </c>
      <c r="B4908" s="2">
        <v>4.0509259259259258E-4</v>
      </c>
      <c r="C4908" t="s">
        <v>6693</v>
      </c>
      <c r="D4908" t="s">
        <v>6396</v>
      </c>
      <c r="E4908" t="s">
        <v>6397</v>
      </c>
      <c r="F4908" t="s">
        <v>7998</v>
      </c>
      <c r="G4908">
        <v>1675478</v>
      </c>
      <c r="H4908" t="s">
        <v>91</v>
      </c>
      <c r="I4908" t="s">
        <v>69</v>
      </c>
      <c r="J4908" t="str">
        <f>"9781462515837"</f>
        <v>9781462515837</v>
      </c>
      <c r="K4908" t="s">
        <v>1326</v>
      </c>
      <c r="L4908">
        <v>3</v>
      </c>
      <c r="O4908" t="s">
        <v>30</v>
      </c>
      <c r="P4908" t="s">
        <v>50</v>
      </c>
      <c r="S4908" t="s">
        <v>6400</v>
      </c>
      <c r="T4908" t="s">
        <v>7999</v>
      </c>
      <c r="U4908">
        <v>372.4</v>
      </c>
      <c r="V4908" s="3">
        <v>41850</v>
      </c>
    </row>
    <row r="4909" spans="1:22" x14ac:dyDescent="0.35">
      <c r="A4909" s="1">
        <v>42309.710219907407</v>
      </c>
      <c r="B4909" s="2">
        <v>1.4004629629629629E-3</v>
      </c>
      <c r="C4909" t="s">
        <v>6693</v>
      </c>
      <c r="D4909" t="s">
        <v>6396</v>
      </c>
      <c r="E4909" t="s">
        <v>6397</v>
      </c>
      <c r="F4909" t="s">
        <v>7991</v>
      </c>
      <c r="G4909">
        <v>1895414</v>
      </c>
      <c r="H4909" t="s">
        <v>26</v>
      </c>
      <c r="I4909" t="s">
        <v>328</v>
      </c>
      <c r="J4909" t="str">
        <f>"9780857085917"</f>
        <v>9780857085917</v>
      </c>
      <c r="K4909" t="s">
        <v>8002</v>
      </c>
      <c r="L4909">
        <v>3</v>
      </c>
      <c r="O4909" t="s">
        <v>30</v>
      </c>
      <c r="P4909" t="s">
        <v>50</v>
      </c>
      <c r="S4909" t="s">
        <v>6400</v>
      </c>
      <c r="T4909" t="s">
        <v>7992</v>
      </c>
      <c r="U4909">
        <v>613</v>
      </c>
      <c r="V4909" s="3">
        <v>42048</v>
      </c>
    </row>
    <row r="4910" spans="1:22" x14ac:dyDescent="0.35">
      <c r="A4910" s="1">
        <v>42309.710138888891</v>
      </c>
      <c r="B4910" s="2">
        <v>9.0277777777777784E-4</v>
      </c>
      <c r="C4910" t="s">
        <v>6693</v>
      </c>
      <c r="D4910" t="s">
        <v>6396</v>
      </c>
      <c r="E4910" t="s">
        <v>6397</v>
      </c>
      <c r="F4910" t="s">
        <v>7993</v>
      </c>
      <c r="G4910">
        <v>836860</v>
      </c>
      <c r="H4910" t="s">
        <v>91</v>
      </c>
      <c r="I4910" t="s">
        <v>219</v>
      </c>
      <c r="J4910" t="str">
        <f>"9781462503117"</f>
        <v>9781462503117</v>
      </c>
      <c r="K4910" t="s">
        <v>1315</v>
      </c>
      <c r="L4910">
        <v>3</v>
      </c>
      <c r="O4910" t="s">
        <v>30</v>
      </c>
      <c r="P4910" t="s">
        <v>42</v>
      </c>
      <c r="S4910" t="s">
        <v>6400</v>
      </c>
      <c r="T4910" t="s">
        <v>7994</v>
      </c>
      <c r="U4910">
        <v>155.19999999999999</v>
      </c>
      <c r="V4910" s="3">
        <v>41773</v>
      </c>
    </row>
    <row r="4911" spans="1:22" x14ac:dyDescent="0.35">
      <c r="A4911" s="1">
        <v>42309.710092592592</v>
      </c>
      <c r="B4911" s="2">
        <v>8.564814814814815E-4</v>
      </c>
      <c r="C4911" t="s">
        <v>6693</v>
      </c>
      <c r="D4911" t="s">
        <v>6396</v>
      </c>
      <c r="E4911" t="s">
        <v>6397</v>
      </c>
      <c r="F4911" t="s">
        <v>7995</v>
      </c>
      <c r="G4911">
        <v>3038574</v>
      </c>
      <c r="H4911" t="s">
        <v>526</v>
      </c>
      <c r="I4911" t="s">
        <v>3061</v>
      </c>
      <c r="J4911" t="str">
        <f>"9780226057644"</f>
        <v>9780226057644</v>
      </c>
      <c r="K4911" t="s">
        <v>1197</v>
      </c>
      <c r="L4911">
        <v>3</v>
      </c>
      <c r="O4911" t="s">
        <v>30</v>
      </c>
      <c r="P4911" t="s">
        <v>50</v>
      </c>
      <c r="S4911" t="s">
        <v>6400</v>
      </c>
      <c r="T4911" t="s">
        <v>7996</v>
      </c>
      <c r="U4911" t="s">
        <v>7997</v>
      </c>
      <c r="V4911" s="3">
        <v>41730</v>
      </c>
    </row>
    <row r="4912" spans="1:22" x14ac:dyDescent="0.35">
      <c r="A4912" s="1">
        <v>42309.709560185183</v>
      </c>
      <c r="B4912" s="2">
        <v>8.3333333333333339E-4</v>
      </c>
      <c r="C4912" t="s">
        <v>6693</v>
      </c>
      <c r="D4912" t="s">
        <v>6396</v>
      </c>
      <c r="E4912" t="s">
        <v>6397</v>
      </c>
      <c r="F4912" t="s">
        <v>8000</v>
      </c>
      <c r="G4912">
        <v>1890984</v>
      </c>
      <c r="H4912" t="s">
        <v>26</v>
      </c>
      <c r="I4912" t="s">
        <v>97</v>
      </c>
      <c r="J4912" t="str">
        <f>"9780857085078"</f>
        <v>9780857085078</v>
      </c>
      <c r="K4912" t="s">
        <v>2800</v>
      </c>
      <c r="L4912">
        <v>3</v>
      </c>
      <c r="O4912" t="s">
        <v>30</v>
      </c>
      <c r="P4912" t="s">
        <v>50</v>
      </c>
      <c r="S4912" t="s">
        <v>6400</v>
      </c>
      <c r="T4912" t="s">
        <v>8001</v>
      </c>
      <c r="U4912">
        <v>658</v>
      </c>
      <c r="V4912" s="3">
        <v>41984</v>
      </c>
    </row>
    <row r="4913" spans="1:22" x14ac:dyDescent="0.35">
      <c r="A4913" s="1">
        <v>42309.704953703702</v>
      </c>
      <c r="B4913" s="2">
        <v>7.1759259259259259E-3</v>
      </c>
      <c r="C4913" t="s">
        <v>7987</v>
      </c>
      <c r="D4913" t="s">
        <v>23</v>
      </c>
      <c r="E4913" t="s">
        <v>24</v>
      </c>
      <c r="F4913" t="s">
        <v>4863</v>
      </c>
      <c r="G4913">
        <v>829309</v>
      </c>
      <c r="H4913" t="s">
        <v>91</v>
      </c>
      <c r="I4913" t="s">
        <v>247</v>
      </c>
      <c r="J4913" t="str">
        <f>"9781462502387"</f>
        <v>9781462502387</v>
      </c>
      <c r="K4913" t="s">
        <v>8003</v>
      </c>
      <c r="L4913">
        <v>37</v>
      </c>
      <c r="O4913" t="s">
        <v>30</v>
      </c>
      <c r="P4913" t="s">
        <v>42</v>
      </c>
      <c r="S4913" t="s">
        <v>31</v>
      </c>
      <c r="T4913" t="s">
        <v>4865</v>
      </c>
      <c r="U4913">
        <v>616.89142000000004</v>
      </c>
      <c r="V4913" s="3">
        <v>40891</v>
      </c>
    </row>
    <row r="4914" spans="1:22" x14ac:dyDescent="0.35">
      <c r="A4914" s="1">
        <v>42309.703981481478</v>
      </c>
      <c r="B4914" s="2">
        <v>3.0092592592592588E-3</v>
      </c>
      <c r="C4914" t="s">
        <v>8004</v>
      </c>
      <c r="D4914" t="s">
        <v>158</v>
      </c>
      <c r="E4914" t="s">
        <v>159</v>
      </c>
      <c r="F4914" t="s">
        <v>83</v>
      </c>
      <c r="G4914">
        <v>1711065</v>
      </c>
      <c r="H4914" t="s">
        <v>84</v>
      </c>
      <c r="I4914" t="s">
        <v>85</v>
      </c>
      <c r="J4914" t="str">
        <f>"9780520959156"</f>
        <v>9780520959156</v>
      </c>
      <c r="K4914" t="s">
        <v>8005</v>
      </c>
      <c r="L4914">
        <v>51</v>
      </c>
      <c r="O4914" t="s">
        <v>30</v>
      </c>
      <c r="P4914" t="s">
        <v>42</v>
      </c>
      <c r="S4914" t="s">
        <v>163</v>
      </c>
      <c r="T4914" t="s">
        <v>87</v>
      </c>
      <c r="U4914" t="s">
        <v>88</v>
      </c>
      <c r="V4914" s="3">
        <v>41881</v>
      </c>
    </row>
    <row r="4915" spans="1:22" x14ac:dyDescent="0.35">
      <c r="A4915" s="1">
        <v>42309.69568287037</v>
      </c>
      <c r="B4915" s="2">
        <v>0.11043981481481481</v>
      </c>
      <c r="C4915" t="s">
        <v>106</v>
      </c>
      <c r="D4915" t="s">
        <v>23</v>
      </c>
      <c r="E4915" t="s">
        <v>24</v>
      </c>
      <c r="F4915" t="s">
        <v>486</v>
      </c>
      <c r="G4915">
        <v>1119505</v>
      </c>
      <c r="H4915" t="s">
        <v>26</v>
      </c>
      <c r="I4915" t="s">
        <v>450</v>
      </c>
      <c r="J4915" t="str">
        <f>"9781118355015"</f>
        <v>9781118355015</v>
      </c>
      <c r="K4915" t="s">
        <v>8006</v>
      </c>
      <c r="L4915">
        <v>19</v>
      </c>
      <c r="O4915" t="s">
        <v>30</v>
      </c>
      <c r="P4915" t="s">
        <v>29</v>
      </c>
      <c r="Q4915" s="1">
        <v>42306.770254629628</v>
      </c>
      <c r="R4915">
        <v>7</v>
      </c>
      <c r="S4915" t="s">
        <v>31</v>
      </c>
      <c r="T4915" t="s">
        <v>487</v>
      </c>
      <c r="U4915" t="s">
        <v>488</v>
      </c>
      <c r="V4915" s="3">
        <v>41302</v>
      </c>
    </row>
    <row r="4916" spans="1:22" x14ac:dyDescent="0.35">
      <c r="A4916" s="1">
        <v>42309.604247685187</v>
      </c>
      <c r="B4916" s="2">
        <v>0.13047453703703704</v>
      </c>
      <c r="C4916" t="s">
        <v>5227</v>
      </c>
      <c r="D4916" t="s">
        <v>211</v>
      </c>
      <c r="E4916" t="s">
        <v>212</v>
      </c>
      <c r="F4916" t="s">
        <v>5228</v>
      </c>
      <c r="G4916">
        <v>1034770</v>
      </c>
      <c r="H4916" t="s">
        <v>91</v>
      </c>
      <c r="I4916" t="s">
        <v>247</v>
      </c>
      <c r="J4916" t="str">
        <f>"9781462507566"</f>
        <v>9781462507566</v>
      </c>
      <c r="K4916" t="s">
        <v>8007</v>
      </c>
      <c r="L4916">
        <v>28</v>
      </c>
      <c r="O4916" t="s">
        <v>30</v>
      </c>
      <c r="P4916" t="s">
        <v>29</v>
      </c>
      <c r="Q4916" s="1">
        <v>42309.604247685187</v>
      </c>
      <c r="R4916">
        <v>7</v>
      </c>
      <c r="S4916" t="s">
        <v>214</v>
      </c>
      <c r="T4916" t="s">
        <v>5230</v>
      </c>
      <c r="U4916">
        <v>616.85839999999996</v>
      </c>
      <c r="V4916" s="3">
        <v>41567</v>
      </c>
    </row>
    <row r="4917" spans="1:22" x14ac:dyDescent="0.35">
      <c r="A4917" s="1">
        <v>42309.595347222225</v>
      </c>
      <c r="B4917" s="2">
        <v>8.9004629629629625E-3</v>
      </c>
      <c r="C4917" t="s">
        <v>5227</v>
      </c>
      <c r="D4917" t="s">
        <v>211</v>
      </c>
      <c r="E4917" t="s">
        <v>212</v>
      </c>
      <c r="F4917" t="s">
        <v>5228</v>
      </c>
      <c r="G4917">
        <v>1034770</v>
      </c>
      <c r="H4917" t="s">
        <v>91</v>
      </c>
      <c r="I4917" t="s">
        <v>247</v>
      </c>
      <c r="J4917" t="str">
        <f>"9781462507566"</f>
        <v>9781462507566</v>
      </c>
      <c r="K4917" t="s">
        <v>8008</v>
      </c>
      <c r="L4917">
        <v>9</v>
      </c>
      <c r="O4917" t="s">
        <v>30</v>
      </c>
      <c r="P4917" t="s">
        <v>42</v>
      </c>
      <c r="S4917" t="s">
        <v>214</v>
      </c>
      <c r="T4917" t="s">
        <v>5230</v>
      </c>
      <c r="U4917">
        <v>616.85839999999996</v>
      </c>
      <c r="V4917" s="3">
        <v>41567</v>
      </c>
    </row>
    <row r="4918" spans="1:22" x14ac:dyDescent="0.35">
      <c r="A4918" s="1">
        <v>42309.108356481483</v>
      </c>
      <c r="B4918" s="2">
        <v>5.2314814814814819E-3</v>
      </c>
      <c r="C4918" t="s">
        <v>5675</v>
      </c>
      <c r="D4918" t="s">
        <v>23</v>
      </c>
      <c r="E4918" t="s">
        <v>24</v>
      </c>
      <c r="F4918" t="s">
        <v>5676</v>
      </c>
      <c r="G4918">
        <v>1760725</v>
      </c>
      <c r="H4918" t="s">
        <v>91</v>
      </c>
      <c r="I4918" t="s">
        <v>247</v>
      </c>
      <c r="J4918" t="str">
        <f>"9781462517992"</f>
        <v>9781462517992</v>
      </c>
      <c r="K4918" t="s">
        <v>8009</v>
      </c>
      <c r="L4918">
        <v>7</v>
      </c>
      <c r="O4918" t="s">
        <v>30</v>
      </c>
      <c r="P4918" t="s">
        <v>47</v>
      </c>
      <c r="Q4918" s="1">
        <v>42309.108356481483</v>
      </c>
      <c r="R4918">
        <v>1</v>
      </c>
      <c r="S4918" t="s">
        <v>31</v>
      </c>
      <c r="T4918" t="s">
        <v>5677</v>
      </c>
      <c r="U4918" t="s">
        <v>1398</v>
      </c>
      <c r="V4918" s="3">
        <v>41953</v>
      </c>
    </row>
    <row r="4919" spans="1:22" x14ac:dyDescent="0.35">
      <c r="A4919" s="1">
        <v>42309.101782407408</v>
      </c>
      <c r="B4919" s="2">
        <v>6.5740740740740733E-3</v>
      </c>
      <c r="C4919" t="s">
        <v>5675</v>
      </c>
      <c r="D4919" t="s">
        <v>23</v>
      </c>
      <c r="E4919" t="s">
        <v>24</v>
      </c>
      <c r="F4919" t="s">
        <v>5676</v>
      </c>
      <c r="G4919">
        <v>1760725</v>
      </c>
      <c r="H4919" t="s">
        <v>91</v>
      </c>
      <c r="I4919" t="s">
        <v>247</v>
      </c>
      <c r="J4919" t="str">
        <f>"9781462517992"</f>
        <v>9781462517992</v>
      </c>
      <c r="K4919" t="s">
        <v>8010</v>
      </c>
      <c r="L4919">
        <v>11</v>
      </c>
      <c r="O4919" t="s">
        <v>30</v>
      </c>
      <c r="P4919" t="s">
        <v>50</v>
      </c>
      <c r="S4919" t="s">
        <v>31</v>
      </c>
      <c r="T4919" t="s">
        <v>5677</v>
      </c>
      <c r="U4919" t="s">
        <v>1398</v>
      </c>
      <c r="V4919" s="3">
        <v>41953</v>
      </c>
    </row>
    <row r="4920" spans="1:22" x14ac:dyDescent="0.35">
      <c r="A4920" s="1">
        <v>42309.051469907405</v>
      </c>
      <c r="B4920" s="2">
        <v>3.5879629629629635E-4</v>
      </c>
      <c r="C4920" t="s">
        <v>7138</v>
      </c>
      <c r="D4920" t="s">
        <v>360</v>
      </c>
      <c r="E4920" t="s">
        <v>361</v>
      </c>
      <c r="F4920" t="s">
        <v>7150</v>
      </c>
      <c r="G4920">
        <v>332602</v>
      </c>
      <c r="H4920" t="s">
        <v>26</v>
      </c>
      <c r="I4920" t="s">
        <v>69</v>
      </c>
      <c r="J4920" t="str">
        <f>"9780631227885"</f>
        <v>9780631227885</v>
      </c>
      <c r="K4920" t="s">
        <v>8011</v>
      </c>
      <c r="L4920">
        <v>14</v>
      </c>
      <c r="O4920" t="s">
        <v>30</v>
      </c>
      <c r="P4920" t="s">
        <v>29</v>
      </c>
      <c r="Q4920" s="1">
        <v>42302.998159722221</v>
      </c>
      <c r="R4920">
        <v>7</v>
      </c>
      <c r="S4920" t="s">
        <v>363</v>
      </c>
      <c r="T4920" t="s">
        <v>7151</v>
      </c>
      <c r="U4920" t="s">
        <v>7152</v>
      </c>
      <c r="V4920" s="3">
        <v>41424</v>
      </c>
    </row>
    <row r="4921" spans="1:22" x14ac:dyDescent="0.35">
      <c r="A4921" s="1">
        <v>42308.978078703702</v>
      </c>
      <c r="B4921" s="2">
        <v>4.5138888888888892E-4</v>
      </c>
      <c r="C4921" t="s">
        <v>106</v>
      </c>
      <c r="D4921" t="s">
        <v>23</v>
      </c>
      <c r="E4921" t="s">
        <v>24</v>
      </c>
      <c r="F4921" t="s">
        <v>3186</v>
      </c>
      <c r="G4921">
        <v>699744</v>
      </c>
      <c r="H4921" t="s">
        <v>26</v>
      </c>
      <c r="I4921" t="s">
        <v>3187</v>
      </c>
      <c r="J4921" t="str">
        <f>"9781118585818"</f>
        <v>9781118585818</v>
      </c>
      <c r="K4921" t="s">
        <v>8012</v>
      </c>
      <c r="L4921">
        <v>20</v>
      </c>
      <c r="O4921" t="s">
        <v>30</v>
      </c>
      <c r="P4921" t="s">
        <v>29</v>
      </c>
      <c r="Q4921" s="1">
        <v>42308.978078703702</v>
      </c>
      <c r="R4921">
        <v>7</v>
      </c>
      <c r="S4921" t="s">
        <v>31</v>
      </c>
      <c r="T4921" t="s">
        <v>3188</v>
      </c>
      <c r="U4921">
        <v>621.36</v>
      </c>
      <c r="V4921" s="3">
        <v>41310</v>
      </c>
    </row>
    <row r="4922" spans="1:22" x14ac:dyDescent="0.35">
      <c r="A4922" s="1">
        <v>42308.933171296296</v>
      </c>
      <c r="B4922" s="2">
        <v>4.4907407407407403E-2</v>
      </c>
      <c r="C4922" t="s">
        <v>106</v>
      </c>
      <c r="D4922" t="s">
        <v>23</v>
      </c>
      <c r="E4922" t="s">
        <v>24</v>
      </c>
      <c r="F4922" t="s">
        <v>3186</v>
      </c>
      <c r="G4922">
        <v>699744</v>
      </c>
      <c r="H4922" t="s">
        <v>26</v>
      </c>
      <c r="I4922" t="s">
        <v>3187</v>
      </c>
      <c r="J4922" t="str">
        <f>"9781118585818"</f>
        <v>9781118585818</v>
      </c>
      <c r="K4922" t="s">
        <v>8013</v>
      </c>
      <c r="L4922">
        <v>73</v>
      </c>
      <c r="O4922" t="s">
        <v>30</v>
      </c>
      <c r="P4922" t="s">
        <v>42</v>
      </c>
      <c r="S4922" t="s">
        <v>31</v>
      </c>
      <c r="T4922" t="s">
        <v>3188</v>
      </c>
      <c r="U4922">
        <v>621.36</v>
      </c>
      <c r="V4922" s="3">
        <v>41310</v>
      </c>
    </row>
    <row r="4923" spans="1:22" x14ac:dyDescent="0.35">
      <c r="A4923" s="1">
        <v>42308.894687499997</v>
      </c>
      <c r="B4923" s="2">
        <v>1.7361111111111112E-4</v>
      </c>
      <c r="C4923" t="s">
        <v>5438</v>
      </c>
      <c r="D4923" t="s">
        <v>360</v>
      </c>
      <c r="E4923" t="s">
        <v>361</v>
      </c>
      <c r="F4923" t="s">
        <v>4289</v>
      </c>
      <c r="G4923">
        <v>1120621</v>
      </c>
      <c r="H4923" t="s">
        <v>26</v>
      </c>
      <c r="I4923" t="s">
        <v>69</v>
      </c>
      <c r="J4923" t="str">
        <f>"9781118362679"</f>
        <v>9781118362679</v>
      </c>
      <c r="K4923" t="s">
        <v>8014</v>
      </c>
      <c r="L4923">
        <v>9</v>
      </c>
      <c r="O4923" t="s">
        <v>30</v>
      </c>
      <c r="P4923" t="s">
        <v>29</v>
      </c>
      <c r="Q4923" s="1">
        <v>42308.894675925927</v>
      </c>
      <c r="R4923">
        <v>7</v>
      </c>
      <c r="S4923" t="s">
        <v>363</v>
      </c>
      <c r="T4923" t="s">
        <v>4290</v>
      </c>
      <c r="U4923" t="s">
        <v>4291</v>
      </c>
      <c r="V4923" s="3">
        <v>41136</v>
      </c>
    </row>
    <row r="4924" spans="1:22" x14ac:dyDescent="0.35">
      <c r="A4924" s="1">
        <v>42308.892488425925</v>
      </c>
      <c r="B4924" s="2">
        <v>1.4583333333333334E-3</v>
      </c>
      <c r="C4924" t="s">
        <v>8015</v>
      </c>
      <c r="D4924" t="s">
        <v>35</v>
      </c>
      <c r="E4924" t="s">
        <v>36</v>
      </c>
      <c r="F4924" t="s">
        <v>8016</v>
      </c>
      <c r="G4924">
        <v>836598</v>
      </c>
      <c r="H4924" t="s">
        <v>26</v>
      </c>
      <c r="I4924" t="s">
        <v>5134</v>
      </c>
      <c r="J4924" t="str">
        <f>"9781118292631"</f>
        <v>9781118292631</v>
      </c>
      <c r="K4924" t="s">
        <v>8017</v>
      </c>
      <c r="L4924">
        <v>28</v>
      </c>
      <c r="O4924" t="s">
        <v>30</v>
      </c>
      <c r="P4924" t="s">
        <v>42</v>
      </c>
      <c r="S4924" t="s">
        <v>40</v>
      </c>
      <c r="T4924" t="s">
        <v>8018</v>
      </c>
      <c r="U4924">
        <v>907.2</v>
      </c>
      <c r="V4924" s="3">
        <v>41081</v>
      </c>
    </row>
    <row r="4925" spans="1:22" x14ac:dyDescent="0.35">
      <c r="A4925" s="1">
        <v>42308.865057870367</v>
      </c>
      <c r="B4925" s="2">
        <v>1.5046296296296297E-4</v>
      </c>
      <c r="C4925" t="s">
        <v>6693</v>
      </c>
      <c r="D4925" t="s">
        <v>6396</v>
      </c>
      <c r="E4925" t="s">
        <v>6397</v>
      </c>
      <c r="F4925" t="s">
        <v>8019</v>
      </c>
      <c r="G4925">
        <v>3057122</v>
      </c>
      <c r="H4925" t="s">
        <v>440</v>
      </c>
      <c r="I4925" t="s">
        <v>8020</v>
      </c>
      <c r="J4925" t="str">
        <f>"9780470399842"</f>
        <v>9780470399842</v>
      </c>
      <c r="K4925" t="s">
        <v>63</v>
      </c>
      <c r="L4925">
        <v>1</v>
      </c>
      <c r="O4925" t="s">
        <v>28</v>
      </c>
      <c r="P4925" t="s">
        <v>29</v>
      </c>
      <c r="Q4925" s="1">
        <v>42308.865057870367</v>
      </c>
      <c r="R4925">
        <v>7</v>
      </c>
      <c r="S4925" t="s">
        <v>6400</v>
      </c>
      <c r="T4925" t="s">
        <v>8021</v>
      </c>
      <c r="U4925" t="s">
        <v>8022</v>
      </c>
      <c r="V4925" s="3">
        <v>39864</v>
      </c>
    </row>
    <row r="4926" spans="1:22" x14ac:dyDescent="0.35">
      <c r="A4926" s="1">
        <v>42308.865057870367</v>
      </c>
      <c r="B4926" s="2">
        <v>0</v>
      </c>
      <c r="C4926" t="s">
        <v>6693</v>
      </c>
      <c r="D4926" t="s">
        <v>6396</v>
      </c>
      <c r="E4926" t="s">
        <v>6397</v>
      </c>
      <c r="F4926" t="s">
        <v>8019</v>
      </c>
      <c r="G4926">
        <v>3057122</v>
      </c>
      <c r="H4926" t="s">
        <v>440</v>
      </c>
      <c r="I4926" t="s">
        <v>8020</v>
      </c>
      <c r="J4926" t="str">
        <f>"9780470399842"</f>
        <v>9780470399842</v>
      </c>
      <c r="L4926">
        <v>0</v>
      </c>
      <c r="O4926" t="s">
        <v>30</v>
      </c>
      <c r="P4926" t="s">
        <v>29</v>
      </c>
      <c r="Q4926" s="1">
        <v>42308.865057870367</v>
      </c>
      <c r="R4926">
        <v>7</v>
      </c>
      <c r="S4926" t="s">
        <v>6400</v>
      </c>
      <c r="T4926" t="s">
        <v>8021</v>
      </c>
      <c r="U4926" t="s">
        <v>8022</v>
      </c>
      <c r="V4926" s="3">
        <v>39864</v>
      </c>
    </row>
    <row r="4927" spans="1:22" x14ac:dyDescent="0.35">
      <c r="A4927" s="1">
        <v>42308.864872685182</v>
      </c>
      <c r="B4927" s="2">
        <v>1.8518518518518518E-4</v>
      </c>
      <c r="C4927" t="s">
        <v>6693</v>
      </c>
      <c r="D4927" t="s">
        <v>6396</v>
      </c>
      <c r="E4927" t="s">
        <v>6397</v>
      </c>
      <c r="F4927" t="s">
        <v>8019</v>
      </c>
      <c r="G4927">
        <v>3057122</v>
      </c>
      <c r="H4927" t="s">
        <v>440</v>
      </c>
      <c r="I4927" t="s">
        <v>8020</v>
      </c>
      <c r="J4927" t="str">
        <f>"9780470399842"</f>
        <v>9780470399842</v>
      </c>
      <c r="K4927" t="s">
        <v>73</v>
      </c>
      <c r="L4927">
        <v>3</v>
      </c>
      <c r="O4927" t="s">
        <v>30</v>
      </c>
      <c r="P4927" t="s">
        <v>50</v>
      </c>
      <c r="S4927" t="s">
        <v>6400</v>
      </c>
      <c r="T4927" t="s">
        <v>8021</v>
      </c>
      <c r="U4927" t="s">
        <v>8022</v>
      </c>
      <c r="V4927" s="3">
        <v>39864</v>
      </c>
    </row>
    <row r="4928" spans="1:22" x14ac:dyDescent="0.35">
      <c r="A4928" s="1">
        <v>42308.828657407408</v>
      </c>
      <c r="B4928" s="2">
        <v>6.6018518518518518E-2</v>
      </c>
      <c r="C4928" t="s">
        <v>5438</v>
      </c>
      <c r="D4928" t="s">
        <v>360</v>
      </c>
      <c r="E4928" t="s">
        <v>361</v>
      </c>
      <c r="F4928" t="s">
        <v>4289</v>
      </c>
      <c r="G4928">
        <v>1120621</v>
      </c>
      <c r="H4928" t="s">
        <v>26</v>
      </c>
      <c r="I4928" t="s">
        <v>69</v>
      </c>
      <c r="J4928" t="str">
        <f>"9781118362679"</f>
        <v>9781118362679</v>
      </c>
      <c r="K4928" t="s">
        <v>8023</v>
      </c>
      <c r="L4928">
        <v>12</v>
      </c>
      <c r="O4928" t="s">
        <v>30</v>
      </c>
      <c r="P4928" t="s">
        <v>42</v>
      </c>
      <c r="S4928" t="s">
        <v>363</v>
      </c>
      <c r="T4928" t="s">
        <v>4290</v>
      </c>
      <c r="U4928" t="s">
        <v>4291</v>
      </c>
      <c r="V4928" s="3">
        <v>41136</v>
      </c>
    </row>
    <row r="4929" spans="1:22" x14ac:dyDescent="0.35">
      <c r="A4929" s="1">
        <v>42308.827256944445</v>
      </c>
      <c r="B4929" s="2">
        <v>4.6296296296296293E-4</v>
      </c>
      <c r="C4929" t="s">
        <v>106</v>
      </c>
      <c r="D4929" t="s">
        <v>23</v>
      </c>
      <c r="E4929" t="s">
        <v>24</v>
      </c>
      <c r="F4929" t="s">
        <v>486</v>
      </c>
      <c r="G4929">
        <v>1119505</v>
      </c>
      <c r="H4929" t="s">
        <v>26</v>
      </c>
      <c r="I4929" t="s">
        <v>450</v>
      </c>
      <c r="J4929" t="str">
        <f>"9781118355015"</f>
        <v>9781118355015</v>
      </c>
      <c r="K4929" t="s">
        <v>8024</v>
      </c>
      <c r="L4929">
        <v>15</v>
      </c>
      <c r="O4929" t="s">
        <v>30</v>
      </c>
      <c r="P4929" t="s">
        <v>29</v>
      </c>
      <c r="Q4929" s="1">
        <v>42306.770254629628</v>
      </c>
      <c r="R4929">
        <v>7</v>
      </c>
      <c r="S4929" t="s">
        <v>31</v>
      </c>
      <c r="T4929" t="s">
        <v>487</v>
      </c>
      <c r="U4929" t="s">
        <v>488</v>
      </c>
      <c r="V4929" s="3">
        <v>41302</v>
      </c>
    </row>
    <row r="4930" spans="1:22" x14ac:dyDescent="0.35">
      <c r="A4930" s="1">
        <v>42308.791319444441</v>
      </c>
      <c r="B4930" s="2">
        <v>6.3495370370370369E-2</v>
      </c>
      <c r="C4930" t="s">
        <v>106</v>
      </c>
      <c r="D4930" t="s">
        <v>23</v>
      </c>
      <c r="E4930" t="s">
        <v>24</v>
      </c>
      <c r="F4930" t="s">
        <v>6837</v>
      </c>
      <c r="G4930">
        <v>1655862</v>
      </c>
      <c r="H4930" t="s">
        <v>613</v>
      </c>
      <c r="I4930" t="s">
        <v>5632</v>
      </c>
      <c r="J4930" t="str">
        <f>"9781469615493"</f>
        <v>9781469615493</v>
      </c>
      <c r="K4930" t="s">
        <v>8025</v>
      </c>
      <c r="L4930">
        <v>7</v>
      </c>
      <c r="O4930" t="s">
        <v>30</v>
      </c>
      <c r="P4930" t="s">
        <v>47</v>
      </c>
      <c r="Q4930" s="1">
        <v>42308.791307870371</v>
      </c>
      <c r="R4930">
        <v>1</v>
      </c>
      <c r="S4930" t="s">
        <v>31</v>
      </c>
      <c r="T4930" t="s">
        <v>6839</v>
      </c>
      <c r="U4930" t="s">
        <v>6840</v>
      </c>
      <c r="V4930" s="3">
        <v>41744</v>
      </c>
    </row>
    <row r="4931" spans="1:22" x14ac:dyDescent="0.35">
      <c r="A4931" s="1">
        <v>42308.791018518517</v>
      </c>
      <c r="B4931" s="2">
        <v>1.1805555555555556E-3</v>
      </c>
      <c r="C4931" t="s">
        <v>5815</v>
      </c>
      <c r="D4931" t="s">
        <v>35</v>
      </c>
      <c r="E4931" t="s">
        <v>36</v>
      </c>
      <c r="F4931" t="s">
        <v>6347</v>
      </c>
      <c r="G4931">
        <v>1834781</v>
      </c>
      <c r="H4931" t="s">
        <v>26</v>
      </c>
      <c r="I4931" t="s">
        <v>267</v>
      </c>
      <c r="J4931" t="str">
        <f>"9781118779675"</f>
        <v>9781118779675</v>
      </c>
      <c r="K4931" t="s">
        <v>8026</v>
      </c>
      <c r="L4931">
        <v>15</v>
      </c>
      <c r="O4931" t="s">
        <v>30</v>
      </c>
      <c r="P4931" t="s">
        <v>50</v>
      </c>
      <c r="S4931" t="s">
        <v>40</v>
      </c>
      <c r="T4931" t="s">
        <v>6349</v>
      </c>
      <c r="U4931" t="s">
        <v>6350</v>
      </c>
      <c r="V4931" s="3">
        <v>41948</v>
      </c>
    </row>
    <row r="4932" spans="1:22" x14ac:dyDescent="0.35">
      <c r="A4932" s="1">
        <v>42308.786030092589</v>
      </c>
      <c r="B4932" s="2">
        <v>5.2777777777777771E-3</v>
      </c>
      <c r="C4932" t="s">
        <v>106</v>
      </c>
      <c r="D4932" t="s">
        <v>23</v>
      </c>
      <c r="E4932" t="s">
        <v>24</v>
      </c>
      <c r="F4932" t="s">
        <v>6837</v>
      </c>
      <c r="G4932">
        <v>1655862</v>
      </c>
      <c r="H4932" t="s">
        <v>613</v>
      </c>
      <c r="I4932" t="s">
        <v>5632</v>
      </c>
      <c r="J4932" t="str">
        <f>"9781469615493"</f>
        <v>9781469615493</v>
      </c>
      <c r="K4932" t="s">
        <v>8027</v>
      </c>
      <c r="L4932">
        <v>8</v>
      </c>
      <c r="O4932" t="s">
        <v>30</v>
      </c>
      <c r="P4932" t="s">
        <v>50</v>
      </c>
      <c r="S4932" t="s">
        <v>31</v>
      </c>
      <c r="T4932" t="s">
        <v>6839</v>
      </c>
      <c r="U4932" t="s">
        <v>6840</v>
      </c>
      <c r="V4932" s="3">
        <v>41744</v>
      </c>
    </row>
    <row r="4933" spans="1:22" x14ac:dyDescent="0.35">
      <c r="A4933" s="1">
        <v>42308.776469907411</v>
      </c>
      <c r="B4933" s="2">
        <v>0.18635416666666668</v>
      </c>
      <c r="C4933" t="s">
        <v>6390</v>
      </c>
      <c r="D4933" t="s">
        <v>23</v>
      </c>
      <c r="E4933" t="s">
        <v>24</v>
      </c>
      <c r="F4933" t="s">
        <v>486</v>
      </c>
      <c r="G4933">
        <v>1119505</v>
      </c>
      <c r="H4933" t="s">
        <v>26</v>
      </c>
      <c r="I4933" t="s">
        <v>450</v>
      </c>
      <c r="J4933" t="str">
        <f>"9781118355015"</f>
        <v>9781118355015</v>
      </c>
      <c r="K4933" t="s">
        <v>8028</v>
      </c>
      <c r="L4933">
        <v>35</v>
      </c>
      <c r="O4933" t="s">
        <v>30</v>
      </c>
      <c r="P4933" t="s">
        <v>29</v>
      </c>
      <c r="Q4933" s="1">
        <v>42308.776469907411</v>
      </c>
      <c r="R4933">
        <v>7</v>
      </c>
      <c r="S4933" t="s">
        <v>31</v>
      </c>
      <c r="T4933" t="s">
        <v>487</v>
      </c>
      <c r="U4933" t="s">
        <v>488</v>
      </c>
      <c r="V4933" s="3">
        <v>41302</v>
      </c>
    </row>
    <row r="4934" spans="1:22" x14ac:dyDescent="0.35">
      <c r="A4934" s="1">
        <v>42308.775324074071</v>
      </c>
      <c r="B4934" s="2">
        <v>4.3842592592592593E-2</v>
      </c>
      <c r="C4934" t="s">
        <v>5438</v>
      </c>
      <c r="D4934" t="s">
        <v>360</v>
      </c>
      <c r="E4934" t="s">
        <v>361</v>
      </c>
      <c r="F4934" t="s">
        <v>7150</v>
      </c>
      <c r="G4934">
        <v>332602</v>
      </c>
      <c r="H4934" t="s">
        <v>26</v>
      </c>
      <c r="I4934" t="s">
        <v>69</v>
      </c>
      <c r="J4934" t="str">
        <f>"9780631227885"</f>
        <v>9780631227885</v>
      </c>
      <c r="K4934" t="s">
        <v>8029</v>
      </c>
      <c r="L4934">
        <v>52</v>
      </c>
      <c r="O4934" t="s">
        <v>30</v>
      </c>
      <c r="P4934" t="s">
        <v>29</v>
      </c>
      <c r="Q4934" s="1">
        <v>42308.775324074071</v>
      </c>
      <c r="R4934">
        <v>7</v>
      </c>
      <c r="S4934" t="s">
        <v>363</v>
      </c>
      <c r="T4934" t="s">
        <v>7151</v>
      </c>
      <c r="U4934" t="s">
        <v>7152</v>
      </c>
      <c r="V4934" s="3">
        <v>41424</v>
      </c>
    </row>
    <row r="4935" spans="1:22" x14ac:dyDescent="0.35">
      <c r="A4935" s="1">
        <v>42308.768321759257</v>
      </c>
      <c r="B4935" s="2">
        <v>7.0023148148148154E-3</v>
      </c>
      <c r="C4935" t="s">
        <v>5438</v>
      </c>
      <c r="D4935" t="s">
        <v>360</v>
      </c>
      <c r="E4935" t="s">
        <v>361</v>
      </c>
      <c r="F4935" t="s">
        <v>7150</v>
      </c>
      <c r="G4935">
        <v>332602</v>
      </c>
      <c r="H4935" t="s">
        <v>26</v>
      </c>
      <c r="I4935" t="s">
        <v>69</v>
      </c>
      <c r="J4935" t="str">
        <f>"9780631227885"</f>
        <v>9780631227885</v>
      </c>
      <c r="K4935" t="s">
        <v>8030</v>
      </c>
      <c r="L4935">
        <v>14</v>
      </c>
      <c r="O4935" t="s">
        <v>30</v>
      </c>
      <c r="P4935" t="s">
        <v>42</v>
      </c>
      <c r="S4935" t="s">
        <v>363</v>
      </c>
      <c r="T4935" t="s">
        <v>7151</v>
      </c>
      <c r="U4935" t="s">
        <v>7152</v>
      </c>
      <c r="V4935" s="3">
        <v>41424</v>
      </c>
    </row>
    <row r="4936" spans="1:22" x14ac:dyDescent="0.35">
      <c r="A4936" s="1">
        <v>42308.764826388891</v>
      </c>
      <c r="B4936" s="2">
        <v>1.1643518518518518E-2</v>
      </c>
      <c r="C4936" t="s">
        <v>6390</v>
      </c>
      <c r="D4936" t="s">
        <v>23</v>
      </c>
      <c r="E4936" t="s">
        <v>24</v>
      </c>
      <c r="F4936" t="s">
        <v>486</v>
      </c>
      <c r="G4936">
        <v>1119505</v>
      </c>
      <c r="H4936" t="s">
        <v>26</v>
      </c>
      <c r="I4936" t="s">
        <v>450</v>
      </c>
      <c r="J4936" t="str">
        <f>"9781118355015"</f>
        <v>9781118355015</v>
      </c>
      <c r="K4936" t="s">
        <v>8031</v>
      </c>
      <c r="L4936">
        <v>13</v>
      </c>
      <c r="O4936" t="s">
        <v>30</v>
      </c>
      <c r="P4936" t="s">
        <v>42</v>
      </c>
      <c r="S4936" t="s">
        <v>31</v>
      </c>
      <c r="T4936" t="s">
        <v>487</v>
      </c>
      <c r="U4936" t="s">
        <v>488</v>
      </c>
      <c r="V4936" s="3">
        <v>41302</v>
      </c>
    </row>
    <row r="4937" spans="1:22" x14ac:dyDescent="0.35">
      <c r="A4937" s="1">
        <v>42308.763009259259</v>
      </c>
      <c r="B4937" s="2">
        <v>1.6944444444444443E-2</v>
      </c>
      <c r="C4937" t="s">
        <v>7138</v>
      </c>
      <c r="D4937" t="s">
        <v>360</v>
      </c>
      <c r="E4937" t="s">
        <v>361</v>
      </c>
      <c r="F4937" t="s">
        <v>7150</v>
      </c>
      <c r="G4937">
        <v>332602</v>
      </c>
      <c r="H4937" t="s">
        <v>26</v>
      </c>
      <c r="I4937" t="s">
        <v>69</v>
      </c>
      <c r="J4937" t="str">
        <f>"9780631227885"</f>
        <v>9780631227885</v>
      </c>
      <c r="K4937" t="s">
        <v>8032</v>
      </c>
      <c r="L4937">
        <v>23</v>
      </c>
      <c r="O4937" t="s">
        <v>30</v>
      </c>
      <c r="P4937" t="s">
        <v>29</v>
      </c>
      <c r="Q4937" s="1">
        <v>42302.998159722221</v>
      </c>
      <c r="R4937">
        <v>7</v>
      </c>
      <c r="S4937" t="s">
        <v>363</v>
      </c>
      <c r="T4937" t="s">
        <v>7151</v>
      </c>
      <c r="U4937" t="s">
        <v>7152</v>
      </c>
      <c r="V4937" s="3">
        <v>41424</v>
      </c>
    </row>
    <row r="4938" spans="1:22" x14ac:dyDescent="0.35">
      <c r="A4938" s="1">
        <v>42308.755046296297</v>
      </c>
      <c r="B4938" s="2">
        <v>5.37037037037037E-3</v>
      </c>
      <c r="C4938" t="s">
        <v>7138</v>
      </c>
      <c r="D4938" t="s">
        <v>360</v>
      </c>
      <c r="E4938" t="s">
        <v>361</v>
      </c>
      <c r="F4938" t="s">
        <v>4289</v>
      </c>
      <c r="G4938">
        <v>1120621</v>
      </c>
      <c r="H4938" t="s">
        <v>26</v>
      </c>
      <c r="I4938" t="s">
        <v>69</v>
      </c>
      <c r="J4938" t="str">
        <f>"9781118362679"</f>
        <v>9781118362679</v>
      </c>
      <c r="K4938" t="s">
        <v>8033</v>
      </c>
      <c r="L4938">
        <v>48</v>
      </c>
      <c r="O4938" t="s">
        <v>30</v>
      </c>
      <c r="P4938" t="s">
        <v>29</v>
      </c>
      <c r="Q4938" s="1">
        <v>42308.155497685184</v>
      </c>
      <c r="R4938">
        <v>7</v>
      </c>
      <c r="S4938" t="s">
        <v>363</v>
      </c>
      <c r="T4938" t="s">
        <v>4290</v>
      </c>
      <c r="U4938" t="s">
        <v>4291</v>
      </c>
      <c r="V4938" s="3">
        <v>41136</v>
      </c>
    </row>
    <row r="4939" spans="1:22" x14ac:dyDescent="0.35">
      <c r="A4939" s="1">
        <v>42308.745833333334</v>
      </c>
      <c r="B4939" s="2">
        <v>3.1250000000000001E-4</v>
      </c>
      <c r="C4939" t="s">
        <v>8015</v>
      </c>
      <c r="D4939" t="s">
        <v>35</v>
      </c>
      <c r="E4939" t="s">
        <v>36</v>
      </c>
      <c r="F4939" t="s">
        <v>1738</v>
      </c>
      <c r="G4939">
        <v>1166802</v>
      </c>
      <c r="H4939" t="s">
        <v>26</v>
      </c>
      <c r="I4939" t="s">
        <v>120</v>
      </c>
      <c r="J4939" t="str">
        <f>"9780745664507"</f>
        <v>9780745664507</v>
      </c>
      <c r="K4939" t="s">
        <v>8034</v>
      </c>
      <c r="L4939">
        <v>10</v>
      </c>
      <c r="O4939" t="s">
        <v>30</v>
      </c>
      <c r="P4939" t="s">
        <v>50</v>
      </c>
      <c r="S4939" t="s">
        <v>40</v>
      </c>
      <c r="T4939" t="s">
        <v>1740</v>
      </c>
      <c r="U4939">
        <v>305.3</v>
      </c>
      <c r="V4939" s="3">
        <v>41367</v>
      </c>
    </row>
    <row r="4940" spans="1:22" x14ac:dyDescent="0.35">
      <c r="A4940" s="1">
        <v>42308.731724537036</v>
      </c>
      <c r="B4940" s="2">
        <v>1.5046296296296297E-4</v>
      </c>
      <c r="C4940" t="s">
        <v>8015</v>
      </c>
      <c r="D4940" t="s">
        <v>35</v>
      </c>
      <c r="E4940" t="s">
        <v>36</v>
      </c>
      <c r="F4940" t="s">
        <v>8035</v>
      </c>
      <c r="G4940">
        <v>1598280</v>
      </c>
      <c r="H4940" t="s">
        <v>26</v>
      </c>
      <c r="I4940" t="s">
        <v>3813</v>
      </c>
      <c r="J4940" t="str">
        <f>"9780745679761"</f>
        <v>9780745679761</v>
      </c>
      <c r="K4940" t="s">
        <v>519</v>
      </c>
      <c r="L4940">
        <v>8</v>
      </c>
      <c r="O4940" t="s">
        <v>30</v>
      </c>
      <c r="P4940" t="s">
        <v>50</v>
      </c>
      <c r="S4940" t="s">
        <v>40</v>
      </c>
      <c r="T4940" t="s">
        <v>8036</v>
      </c>
      <c r="U4940" t="s">
        <v>8037</v>
      </c>
      <c r="V4940" s="3">
        <v>41653</v>
      </c>
    </row>
    <row r="4941" spans="1:22" x14ac:dyDescent="0.35">
      <c r="A4941" s="1">
        <v>42308.727569444447</v>
      </c>
      <c r="B4941" s="2">
        <v>1.6087962962962963E-3</v>
      </c>
      <c r="C4941" t="s">
        <v>8038</v>
      </c>
      <c r="D4941" t="s">
        <v>35</v>
      </c>
      <c r="E4941" t="s">
        <v>36</v>
      </c>
      <c r="F4941" t="s">
        <v>8039</v>
      </c>
      <c r="G4941">
        <v>1765082</v>
      </c>
      <c r="H4941" t="s">
        <v>26</v>
      </c>
      <c r="I4941" t="s">
        <v>2091</v>
      </c>
      <c r="J4941" t="str">
        <f>"9781118753132"</f>
        <v>9781118753132</v>
      </c>
      <c r="K4941" t="s">
        <v>8040</v>
      </c>
      <c r="L4941">
        <v>8</v>
      </c>
      <c r="O4941" t="s">
        <v>30</v>
      </c>
      <c r="P4941" t="s">
        <v>47</v>
      </c>
      <c r="Q4941" s="1">
        <v>42308.727569444447</v>
      </c>
      <c r="R4941">
        <v>1</v>
      </c>
      <c r="S4941" t="s">
        <v>40</v>
      </c>
      <c r="T4941" t="s">
        <v>8041</v>
      </c>
      <c r="U4941" t="s">
        <v>1549</v>
      </c>
      <c r="V4941" s="3">
        <v>41852</v>
      </c>
    </row>
    <row r="4942" spans="1:22" x14ac:dyDescent="0.35">
      <c r="A4942" s="1">
        <v>42308.723425925928</v>
      </c>
      <c r="B4942" s="2">
        <v>4.1435185185185186E-3</v>
      </c>
      <c r="C4942" t="s">
        <v>8038</v>
      </c>
      <c r="D4942" t="s">
        <v>35</v>
      </c>
      <c r="E4942" t="s">
        <v>36</v>
      </c>
      <c r="F4942" t="s">
        <v>8039</v>
      </c>
      <c r="G4942">
        <v>1765082</v>
      </c>
      <c r="H4942" t="s">
        <v>26</v>
      </c>
      <c r="I4942" t="s">
        <v>2091</v>
      </c>
      <c r="J4942" t="str">
        <f>"9781118753132"</f>
        <v>9781118753132</v>
      </c>
      <c r="K4942" t="s">
        <v>8042</v>
      </c>
      <c r="L4942">
        <v>16</v>
      </c>
      <c r="O4942" t="s">
        <v>30</v>
      </c>
      <c r="P4942" t="s">
        <v>50</v>
      </c>
      <c r="S4942" t="s">
        <v>40</v>
      </c>
      <c r="T4942" t="s">
        <v>8041</v>
      </c>
      <c r="U4942" t="s">
        <v>1549</v>
      </c>
      <c r="V4942" s="3">
        <v>41852</v>
      </c>
    </row>
    <row r="4943" spans="1:22" x14ac:dyDescent="0.35">
      <c r="A4943" s="1">
        <v>42308.712361111109</v>
      </c>
      <c r="B4943" s="2">
        <v>5.8217592592592592E-3</v>
      </c>
      <c r="C4943" t="s">
        <v>8038</v>
      </c>
      <c r="D4943" t="s">
        <v>35</v>
      </c>
      <c r="E4943" t="s">
        <v>36</v>
      </c>
      <c r="F4943" t="s">
        <v>8043</v>
      </c>
      <c r="G4943">
        <v>1869098</v>
      </c>
      <c r="H4943" t="s">
        <v>26</v>
      </c>
      <c r="I4943" t="s">
        <v>247</v>
      </c>
      <c r="J4943" t="str">
        <f>"9781118760390"</f>
        <v>9781118760390</v>
      </c>
      <c r="K4943" t="s">
        <v>8044</v>
      </c>
      <c r="L4943">
        <v>17</v>
      </c>
      <c r="O4943" t="s">
        <v>30</v>
      </c>
      <c r="P4943" t="s">
        <v>29</v>
      </c>
      <c r="Q4943" s="1">
        <v>42307.85659722222</v>
      </c>
      <c r="R4943">
        <v>7</v>
      </c>
      <c r="S4943" t="s">
        <v>40</v>
      </c>
      <c r="T4943" t="s">
        <v>8045</v>
      </c>
      <c r="U4943" t="s">
        <v>8046</v>
      </c>
      <c r="V4943" s="3">
        <v>41963</v>
      </c>
    </row>
    <row r="4944" spans="1:22" x14ac:dyDescent="0.35">
      <c r="A4944" s="1">
        <v>42308.686851851853</v>
      </c>
      <c r="B4944" s="2">
        <v>1.6087962962962963E-3</v>
      </c>
      <c r="C4944" t="s">
        <v>8015</v>
      </c>
      <c r="D4944" t="s">
        <v>35</v>
      </c>
      <c r="E4944" t="s">
        <v>36</v>
      </c>
      <c r="F4944" t="s">
        <v>8035</v>
      </c>
      <c r="G4944">
        <v>1598280</v>
      </c>
      <c r="H4944" t="s">
        <v>26</v>
      </c>
      <c r="I4944" t="s">
        <v>3813</v>
      </c>
      <c r="J4944" t="str">
        <f>"9780745679761"</f>
        <v>9780745679761</v>
      </c>
      <c r="K4944" t="s">
        <v>8047</v>
      </c>
      <c r="L4944">
        <v>22</v>
      </c>
      <c r="O4944" t="s">
        <v>30</v>
      </c>
      <c r="P4944" t="s">
        <v>50</v>
      </c>
      <c r="S4944" t="s">
        <v>40</v>
      </c>
      <c r="T4944" t="s">
        <v>8036</v>
      </c>
      <c r="U4944" t="s">
        <v>8037</v>
      </c>
      <c r="V4944" s="3">
        <v>41653</v>
      </c>
    </row>
    <row r="4945" spans="1:22" x14ac:dyDescent="0.35">
      <c r="A4945" s="1">
        <v>42308.65148148148</v>
      </c>
      <c r="B4945" s="2">
        <v>1.0763888888888889E-3</v>
      </c>
      <c r="C4945" t="s">
        <v>8048</v>
      </c>
      <c r="D4945" t="s">
        <v>23</v>
      </c>
      <c r="E4945" t="s">
        <v>24</v>
      </c>
      <c r="F4945" t="s">
        <v>83</v>
      </c>
      <c r="G4945">
        <v>1711065</v>
      </c>
      <c r="H4945" t="s">
        <v>84</v>
      </c>
      <c r="I4945" t="s">
        <v>85</v>
      </c>
      <c r="J4945" t="str">
        <f>"9780520959156"</f>
        <v>9780520959156</v>
      </c>
      <c r="K4945" t="s">
        <v>8049</v>
      </c>
      <c r="L4945">
        <v>16</v>
      </c>
      <c r="O4945" t="s">
        <v>30</v>
      </c>
      <c r="P4945" t="s">
        <v>42</v>
      </c>
      <c r="S4945" t="s">
        <v>31</v>
      </c>
      <c r="T4945" t="s">
        <v>87</v>
      </c>
      <c r="U4945" t="s">
        <v>88</v>
      </c>
      <c r="V4945" s="3">
        <v>41881</v>
      </c>
    </row>
    <row r="4946" spans="1:22" x14ac:dyDescent="0.35">
      <c r="A4946" s="1">
        <v>42308.35052083333</v>
      </c>
      <c r="B4946" s="2">
        <v>1.2152777777777778E-3</v>
      </c>
      <c r="C4946" t="s">
        <v>6693</v>
      </c>
      <c r="D4946" t="s">
        <v>6396</v>
      </c>
      <c r="E4946" t="s">
        <v>6397</v>
      </c>
      <c r="F4946" t="s">
        <v>8019</v>
      </c>
      <c r="G4946">
        <v>3057122</v>
      </c>
      <c r="H4946" t="s">
        <v>440</v>
      </c>
      <c r="I4946" t="s">
        <v>8020</v>
      </c>
      <c r="J4946" t="str">
        <f>"9780470399842"</f>
        <v>9780470399842</v>
      </c>
      <c r="K4946" t="s">
        <v>8050</v>
      </c>
      <c r="L4946">
        <v>27</v>
      </c>
      <c r="O4946" t="s">
        <v>30</v>
      </c>
      <c r="P4946" t="s">
        <v>50</v>
      </c>
      <c r="S4946" t="s">
        <v>6400</v>
      </c>
      <c r="T4946" t="s">
        <v>8021</v>
      </c>
      <c r="U4946" t="s">
        <v>8022</v>
      </c>
      <c r="V4946" s="3">
        <v>39864</v>
      </c>
    </row>
    <row r="4947" spans="1:22" x14ac:dyDescent="0.35">
      <c r="A4947" s="1">
        <v>42308.155497685184</v>
      </c>
      <c r="B4947" s="2">
        <v>3.4606481481481481E-2</v>
      </c>
      <c r="C4947" t="s">
        <v>7138</v>
      </c>
      <c r="D4947" t="s">
        <v>360</v>
      </c>
      <c r="E4947" t="s">
        <v>361</v>
      </c>
      <c r="F4947" t="s">
        <v>4289</v>
      </c>
      <c r="G4947">
        <v>1120621</v>
      </c>
      <c r="H4947" t="s">
        <v>26</v>
      </c>
      <c r="I4947" t="s">
        <v>69</v>
      </c>
      <c r="J4947" t="str">
        <f>"9781118362679"</f>
        <v>9781118362679</v>
      </c>
      <c r="K4947" t="s">
        <v>8051</v>
      </c>
      <c r="L4947">
        <v>25</v>
      </c>
      <c r="O4947" t="s">
        <v>30</v>
      </c>
      <c r="P4947" t="s">
        <v>29</v>
      </c>
      <c r="Q4947" s="1">
        <v>42308.155497685184</v>
      </c>
      <c r="R4947">
        <v>7</v>
      </c>
      <c r="S4947" t="s">
        <v>363</v>
      </c>
      <c r="T4947" t="s">
        <v>4290</v>
      </c>
      <c r="U4947" t="s">
        <v>4291</v>
      </c>
      <c r="V4947" s="3">
        <v>41136</v>
      </c>
    </row>
    <row r="4948" spans="1:22" x14ac:dyDescent="0.35">
      <c r="A4948" s="1">
        <v>42308.147604166668</v>
      </c>
      <c r="B4948" s="2">
        <v>7.8935185185185185E-3</v>
      </c>
      <c r="C4948" t="s">
        <v>7138</v>
      </c>
      <c r="D4948" t="s">
        <v>360</v>
      </c>
      <c r="E4948" t="s">
        <v>361</v>
      </c>
      <c r="F4948" t="s">
        <v>4289</v>
      </c>
      <c r="G4948">
        <v>1120621</v>
      </c>
      <c r="H4948" t="s">
        <v>26</v>
      </c>
      <c r="I4948" t="s">
        <v>69</v>
      </c>
      <c r="J4948" t="str">
        <f>"9781118362679"</f>
        <v>9781118362679</v>
      </c>
      <c r="K4948" t="s">
        <v>2019</v>
      </c>
      <c r="L4948">
        <v>31</v>
      </c>
      <c r="O4948" t="s">
        <v>30</v>
      </c>
      <c r="P4948" t="s">
        <v>42</v>
      </c>
      <c r="S4948" t="s">
        <v>363</v>
      </c>
      <c r="T4948" t="s">
        <v>4290</v>
      </c>
      <c r="U4948" t="s">
        <v>4291</v>
      </c>
      <c r="V4948" s="3">
        <v>41136</v>
      </c>
    </row>
    <row r="4949" spans="1:22" x14ac:dyDescent="0.35">
      <c r="A4949" s="1">
        <v>42308.140555555554</v>
      </c>
      <c r="B4949" s="2">
        <v>3.483796296296296E-3</v>
      </c>
      <c r="C4949" t="s">
        <v>8052</v>
      </c>
      <c r="D4949" t="s">
        <v>6396</v>
      </c>
      <c r="E4949" t="s">
        <v>6397</v>
      </c>
      <c r="F4949" t="s">
        <v>8053</v>
      </c>
      <c r="G4949">
        <v>1124311</v>
      </c>
      <c r="H4949" t="s">
        <v>26</v>
      </c>
      <c r="I4949" t="s">
        <v>97</v>
      </c>
      <c r="J4949" t="str">
        <f>"9781118453827"</f>
        <v>9781118453827</v>
      </c>
      <c r="K4949" t="s">
        <v>8054</v>
      </c>
      <c r="L4949">
        <v>49</v>
      </c>
      <c r="O4949" t="s">
        <v>28</v>
      </c>
      <c r="P4949" t="s">
        <v>47</v>
      </c>
      <c r="Q4949" s="1">
        <v>42308.140555555554</v>
      </c>
      <c r="R4949">
        <v>1</v>
      </c>
      <c r="S4949" t="s">
        <v>6400</v>
      </c>
      <c r="T4949" t="s">
        <v>8055</v>
      </c>
      <c r="U4949">
        <v>657.42</v>
      </c>
      <c r="V4949" s="3">
        <v>41311</v>
      </c>
    </row>
    <row r="4950" spans="1:22" x14ac:dyDescent="0.35">
      <c r="A4950" s="1">
        <v>42308.140555555554</v>
      </c>
      <c r="B4950" s="2">
        <v>0</v>
      </c>
      <c r="C4950" t="s">
        <v>8052</v>
      </c>
      <c r="D4950" t="s">
        <v>6396</v>
      </c>
      <c r="E4950" t="s">
        <v>6397</v>
      </c>
      <c r="F4950" t="s">
        <v>8053</v>
      </c>
      <c r="G4950">
        <v>1124311</v>
      </c>
      <c r="H4950" t="s">
        <v>26</v>
      </c>
      <c r="I4950" t="s">
        <v>97</v>
      </c>
      <c r="J4950" t="str">
        <f>"9781118453827"</f>
        <v>9781118453827</v>
      </c>
      <c r="L4950">
        <v>0</v>
      </c>
      <c r="O4950" t="s">
        <v>30</v>
      </c>
      <c r="P4950" t="s">
        <v>47</v>
      </c>
      <c r="Q4950" s="1">
        <v>42308.140555555554</v>
      </c>
      <c r="R4950">
        <v>1</v>
      </c>
      <c r="S4950" t="s">
        <v>6400</v>
      </c>
      <c r="T4950" t="s">
        <v>8055</v>
      </c>
      <c r="U4950">
        <v>657.42</v>
      </c>
      <c r="V4950" s="3">
        <v>41311</v>
      </c>
    </row>
    <row r="4951" spans="1:22" x14ac:dyDescent="0.35">
      <c r="A4951" s="1">
        <v>42308.140138888892</v>
      </c>
      <c r="B4951" s="2">
        <v>4.1666666666666669E-4</v>
      </c>
      <c r="C4951" t="s">
        <v>8052</v>
      </c>
      <c r="D4951" t="s">
        <v>6396</v>
      </c>
      <c r="E4951" t="s">
        <v>6397</v>
      </c>
      <c r="F4951" t="s">
        <v>8053</v>
      </c>
      <c r="G4951">
        <v>1124311</v>
      </c>
      <c r="H4951" t="s">
        <v>26</v>
      </c>
      <c r="I4951" t="s">
        <v>97</v>
      </c>
      <c r="J4951" t="str">
        <f>"9781118453827"</f>
        <v>9781118453827</v>
      </c>
      <c r="K4951" t="s">
        <v>33</v>
      </c>
      <c r="L4951">
        <v>3</v>
      </c>
      <c r="O4951" t="s">
        <v>30</v>
      </c>
      <c r="P4951" t="s">
        <v>50</v>
      </c>
      <c r="S4951" t="s">
        <v>6400</v>
      </c>
      <c r="T4951" t="s">
        <v>8055</v>
      </c>
      <c r="U4951">
        <v>657.42</v>
      </c>
      <c r="V4951" s="3">
        <v>41311</v>
      </c>
    </row>
    <row r="4952" spans="1:22" x14ac:dyDescent="0.35">
      <c r="A4952" s="1">
        <v>42308.112986111111</v>
      </c>
      <c r="B4952" s="2">
        <v>9.780092592592592E-3</v>
      </c>
      <c r="C4952" t="s">
        <v>8056</v>
      </c>
      <c r="D4952" t="s">
        <v>261</v>
      </c>
      <c r="E4952" t="s">
        <v>262</v>
      </c>
      <c r="F4952" t="s">
        <v>8057</v>
      </c>
      <c r="G4952">
        <v>1318800</v>
      </c>
      <c r="H4952" t="s">
        <v>26</v>
      </c>
      <c r="I4952" t="s">
        <v>247</v>
      </c>
      <c r="J4952" t="str">
        <f>"9781118734391"</f>
        <v>9781118734391</v>
      </c>
      <c r="K4952" t="s">
        <v>8058</v>
      </c>
      <c r="L4952">
        <v>23</v>
      </c>
      <c r="O4952" t="s">
        <v>30</v>
      </c>
      <c r="P4952" t="s">
        <v>47</v>
      </c>
      <c r="Q4952" s="1">
        <v>42308.102129629631</v>
      </c>
      <c r="R4952">
        <v>1</v>
      </c>
      <c r="S4952" t="s">
        <v>264</v>
      </c>
      <c r="T4952" t="s">
        <v>8059</v>
      </c>
      <c r="U4952" t="s">
        <v>8060</v>
      </c>
      <c r="V4952" s="3">
        <v>41467</v>
      </c>
    </row>
    <row r="4953" spans="1:22" x14ac:dyDescent="0.35">
      <c r="A4953" s="1">
        <v>42308.102129629631</v>
      </c>
      <c r="B4953" s="2">
        <v>4.386574074074074E-3</v>
      </c>
      <c r="C4953" t="s">
        <v>8056</v>
      </c>
      <c r="D4953" t="s">
        <v>261</v>
      </c>
      <c r="E4953" t="s">
        <v>262</v>
      </c>
      <c r="F4953" t="s">
        <v>8057</v>
      </c>
      <c r="G4953">
        <v>1318800</v>
      </c>
      <c r="H4953" t="s">
        <v>26</v>
      </c>
      <c r="I4953" t="s">
        <v>247</v>
      </c>
      <c r="J4953" t="str">
        <f>"9781118734391"</f>
        <v>9781118734391</v>
      </c>
      <c r="K4953" t="s">
        <v>8061</v>
      </c>
      <c r="L4953">
        <v>11</v>
      </c>
      <c r="O4953" t="s">
        <v>30</v>
      </c>
      <c r="P4953" t="s">
        <v>47</v>
      </c>
      <c r="Q4953" s="1">
        <v>42308.102129629631</v>
      </c>
      <c r="R4953">
        <v>1</v>
      </c>
      <c r="S4953" t="s">
        <v>264</v>
      </c>
      <c r="T4953" t="s">
        <v>8059</v>
      </c>
      <c r="U4953" t="s">
        <v>8060</v>
      </c>
      <c r="V4953" s="3">
        <v>41467</v>
      </c>
    </row>
    <row r="4954" spans="1:22" x14ac:dyDescent="0.35">
      <c r="A4954" s="1">
        <v>42308.095601851855</v>
      </c>
      <c r="B4954" s="2">
        <v>6.5277777777777782E-3</v>
      </c>
      <c r="C4954" t="s">
        <v>8056</v>
      </c>
      <c r="D4954" t="s">
        <v>261</v>
      </c>
      <c r="E4954" t="s">
        <v>262</v>
      </c>
      <c r="F4954" t="s">
        <v>8057</v>
      </c>
      <c r="G4954">
        <v>1318800</v>
      </c>
      <c r="H4954" t="s">
        <v>26</v>
      </c>
      <c r="I4954" t="s">
        <v>247</v>
      </c>
      <c r="J4954" t="str">
        <f>"9781118734391"</f>
        <v>9781118734391</v>
      </c>
      <c r="K4954" t="s">
        <v>209</v>
      </c>
      <c r="L4954">
        <v>4</v>
      </c>
      <c r="O4954" t="s">
        <v>30</v>
      </c>
      <c r="P4954" t="s">
        <v>50</v>
      </c>
      <c r="S4954" t="s">
        <v>264</v>
      </c>
      <c r="T4954" t="s">
        <v>8059</v>
      </c>
      <c r="U4954" t="s">
        <v>8060</v>
      </c>
      <c r="V4954" s="3">
        <v>41467</v>
      </c>
    </row>
    <row r="4955" spans="1:22" x14ac:dyDescent="0.35">
      <c r="A4955" s="1">
        <v>42308.087175925924</v>
      </c>
      <c r="B4955" s="2">
        <v>0.10096064814814815</v>
      </c>
      <c r="C4955" t="s">
        <v>7138</v>
      </c>
      <c r="D4955" t="s">
        <v>360</v>
      </c>
      <c r="E4955" t="s">
        <v>361</v>
      </c>
      <c r="F4955" t="s">
        <v>7150</v>
      </c>
      <c r="G4955">
        <v>332602</v>
      </c>
      <c r="H4955" t="s">
        <v>26</v>
      </c>
      <c r="I4955" t="s">
        <v>69</v>
      </c>
      <c r="J4955" t="str">
        <f>"9780631227885"</f>
        <v>9780631227885</v>
      </c>
      <c r="K4955" t="s">
        <v>8062</v>
      </c>
      <c r="L4955">
        <v>74</v>
      </c>
      <c r="O4955" t="s">
        <v>30</v>
      </c>
      <c r="P4955" t="s">
        <v>29</v>
      </c>
      <c r="Q4955" s="1">
        <v>42302.998159722221</v>
      </c>
      <c r="R4955">
        <v>7</v>
      </c>
      <c r="S4955" t="s">
        <v>363</v>
      </c>
      <c r="T4955" t="s">
        <v>7151</v>
      </c>
      <c r="U4955" t="s">
        <v>7152</v>
      </c>
      <c r="V4955" s="3">
        <v>41424</v>
      </c>
    </row>
    <row r="4956" spans="1:22" x14ac:dyDescent="0.35">
      <c r="A4956" s="1">
        <v>42308.000011574077</v>
      </c>
      <c r="B4956" s="2">
        <v>8.1018518518518516E-4</v>
      </c>
      <c r="C4956" t="s">
        <v>8063</v>
      </c>
      <c r="D4956" t="s">
        <v>623</v>
      </c>
      <c r="E4956" t="s">
        <v>624</v>
      </c>
      <c r="F4956" t="s">
        <v>8064</v>
      </c>
      <c r="G4956">
        <v>1763122</v>
      </c>
      <c r="H4956" t="s">
        <v>45</v>
      </c>
      <c r="I4956" t="s">
        <v>310</v>
      </c>
      <c r="J4956" t="str">
        <f>"9781472446848"</f>
        <v>9781472446848</v>
      </c>
      <c r="K4956" t="s">
        <v>8065</v>
      </c>
      <c r="L4956">
        <v>24</v>
      </c>
      <c r="O4956" t="s">
        <v>30</v>
      </c>
      <c r="P4956" t="s">
        <v>29</v>
      </c>
      <c r="Q4956" s="1">
        <v>42308</v>
      </c>
      <c r="R4956">
        <v>7</v>
      </c>
      <c r="S4956" t="s">
        <v>627</v>
      </c>
      <c r="T4956" t="s">
        <v>8066</v>
      </c>
      <c r="U4956" t="s">
        <v>8067</v>
      </c>
      <c r="V4956" s="3">
        <v>41940</v>
      </c>
    </row>
    <row r="4957" spans="1:22" x14ac:dyDescent="0.35">
      <c r="A4957" s="1">
        <v>42307.993101851855</v>
      </c>
      <c r="B4957" s="2">
        <v>6.8981481481481489E-3</v>
      </c>
      <c r="C4957" t="s">
        <v>8063</v>
      </c>
      <c r="D4957" t="s">
        <v>623</v>
      </c>
      <c r="E4957" t="s">
        <v>624</v>
      </c>
      <c r="F4957" t="s">
        <v>8064</v>
      </c>
      <c r="G4957">
        <v>1763122</v>
      </c>
      <c r="H4957" t="s">
        <v>45</v>
      </c>
      <c r="I4957" t="s">
        <v>310</v>
      </c>
      <c r="J4957" t="str">
        <f>"9781472446848"</f>
        <v>9781472446848</v>
      </c>
      <c r="K4957" t="s">
        <v>8068</v>
      </c>
      <c r="L4957">
        <v>13</v>
      </c>
      <c r="O4957" t="s">
        <v>30</v>
      </c>
      <c r="P4957" t="s">
        <v>50</v>
      </c>
      <c r="S4957" t="s">
        <v>627</v>
      </c>
      <c r="T4957" t="s">
        <v>8066</v>
      </c>
      <c r="U4957" t="s">
        <v>8067</v>
      </c>
      <c r="V4957" s="3">
        <v>41940</v>
      </c>
    </row>
    <row r="4958" spans="1:22" x14ac:dyDescent="0.35">
      <c r="A4958" s="1">
        <v>42307.97284722222</v>
      </c>
      <c r="B4958" s="2">
        <v>9.8379629629629633E-3</v>
      </c>
      <c r="C4958" t="s">
        <v>8069</v>
      </c>
      <c r="D4958" t="s">
        <v>23</v>
      </c>
      <c r="E4958" t="s">
        <v>24</v>
      </c>
      <c r="F4958" t="s">
        <v>3186</v>
      </c>
      <c r="G4958">
        <v>699744</v>
      </c>
      <c r="H4958" t="s">
        <v>26</v>
      </c>
      <c r="I4958" t="s">
        <v>3187</v>
      </c>
      <c r="J4958" t="str">
        <f>"9781118585818"</f>
        <v>9781118585818</v>
      </c>
      <c r="K4958" t="s">
        <v>8070</v>
      </c>
      <c r="L4958">
        <v>54</v>
      </c>
      <c r="M4958" t="s">
        <v>8071</v>
      </c>
      <c r="N4958" t="s">
        <v>8072</v>
      </c>
      <c r="O4958" t="s">
        <v>30</v>
      </c>
      <c r="P4958" t="s">
        <v>29</v>
      </c>
      <c r="Q4958" s="1">
        <v>42304.580659722225</v>
      </c>
      <c r="R4958">
        <v>7</v>
      </c>
      <c r="S4958" t="s">
        <v>31</v>
      </c>
      <c r="T4958" t="s">
        <v>3188</v>
      </c>
      <c r="U4958">
        <v>621.36</v>
      </c>
      <c r="V4958" s="3">
        <v>41310</v>
      </c>
    </row>
    <row r="4959" spans="1:22" x14ac:dyDescent="0.35">
      <c r="A4959" s="1">
        <v>42307.938159722224</v>
      </c>
      <c r="B4959" s="2">
        <v>5.7870370370370366E-5</v>
      </c>
      <c r="C4959" t="s">
        <v>6693</v>
      </c>
      <c r="D4959" t="s">
        <v>6396</v>
      </c>
      <c r="E4959" t="s">
        <v>6397</v>
      </c>
      <c r="F4959" t="s">
        <v>8073</v>
      </c>
      <c r="G4959">
        <v>1126727</v>
      </c>
      <c r="H4959" t="s">
        <v>139</v>
      </c>
      <c r="I4959" t="s">
        <v>267</v>
      </c>
      <c r="J4959" t="str">
        <f>"9780814771556"</f>
        <v>9780814771556</v>
      </c>
      <c r="K4959" t="s">
        <v>73</v>
      </c>
      <c r="L4959">
        <v>3</v>
      </c>
      <c r="O4959" t="s">
        <v>30</v>
      </c>
      <c r="P4959" t="s">
        <v>50</v>
      </c>
      <c r="S4959" t="s">
        <v>6400</v>
      </c>
      <c r="T4959" t="s">
        <v>8074</v>
      </c>
      <c r="U4959" t="s">
        <v>8075</v>
      </c>
      <c r="V4959" s="3">
        <v>41358</v>
      </c>
    </row>
    <row r="4960" spans="1:22" x14ac:dyDescent="0.35">
      <c r="A4960" s="1">
        <v>42307.935613425929</v>
      </c>
      <c r="B4960" s="2">
        <v>1.9675925925925928E-3</v>
      </c>
      <c r="C4960" t="s">
        <v>6693</v>
      </c>
      <c r="D4960" t="s">
        <v>6396</v>
      </c>
      <c r="E4960" t="s">
        <v>6397</v>
      </c>
      <c r="F4960" t="s">
        <v>8019</v>
      </c>
      <c r="G4960">
        <v>3057122</v>
      </c>
      <c r="H4960" t="s">
        <v>440</v>
      </c>
      <c r="I4960" t="s">
        <v>8020</v>
      </c>
      <c r="J4960" t="str">
        <f>"9780470399842"</f>
        <v>9780470399842</v>
      </c>
      <c r="K4960" t="s">
        <v>8076</v>
      </c>
      <c r="L4960">
        <v>5</v>
      </c>
      <c r="O4960" t="s">
        <v>30</v>
      </c>
      <c r="P4960" t="s">
        <v>50</v>
      </c>
      <c r="S4960" t="s">
        <v>6400</v>
      </c>
      <c r="T4960" t="s">
        <v>8021</v>
      </c>
      <c r="U4960" t="s">
        <v>8022</v>
      </c>
      <c r="V4960" s="3">
        <v>39864</v>
      </c>
    </row>
    <row r="4961" spans="1:22" x14ac:dyDescent="0.35">
      <c r="A4961" s="1">
        <v>42307.935532407406</v>
      </c>
      <c r="B4961" s="2">
        <v>2.0833333333333335E-4</v>
      </c>
      <c r="C4961" t="s">
        <v>6693</v>
      </c>
      <c r="D4961" t="s">
        <v>6396</v>
      </c>
      <c r="E4961" t="s">
        <v>6397</v>
      </c>
      <c r="F4961" t="s">
        <v>8077</v>
      </c>
      <c r="G4961">
        <v>1895426</v>
      </c>
      <c r="H4961" t="s">
        <v>26</v>
      </c>
      <c r="I4961" t="s">
        <v>888</v>
      </c>
      <c r="J4961" t="str">
        <f>"9781118333105"</f>
        <v>9781118333105</v>
      </c>
      <c r="K4961" t="s">
        <v>63</v>
      </c>
      <c r="L4961">
        <v>1</v>
      </c>
      <c r="O4961" t="s">
        <v>28</v>
      </c>
      <c r="P4961" t="s">
        <v>29</v>
      </c>
      <c r="Q4961" s="1">
        <v>42307.935532407406</v>
      </c>
      <c r="R4961">
        <v>7</v>
      </c>
      <c r="S4961" t="s">
        <v>6400</v>
      </c>
      <c r="T4961" t="s">
        <v>8078</v>
      </c>
      <c r="U4961">
        <v>694.6</v>
      </c>
      <c r="V4961" s="3">
        <v>42093</v>
      </c>
    </row>
    <row r="4962" spans="1:22" x14ac:dyDescent="0.35">
      <c r="A4962" s="1">
        <v>42307.935532407406</v>
      </c>
      <c r="B4962" s="2">
        <v>0</v>
      </c>
      <c r="C4962" t="s">
        <v>6693</v>
      </c>
      <c r="D4962" t="s">
        <v>6396</v>
      </c>
      <c r="E4962" t="s">
        <v>6397</v>
      </c>
      <c r="F4962" t="s">
        <v>8077</v>
      </c>
      <c r="G4962">
        <v>1895426</v>
      </c>
      <c r="H4962" t="s">
        <v>26</v>
      </c>
      <c r="I4962" t="s">
        <v>888</v>
      </c>
      <c r="J4962" t="str">
        <f>"9781118333105"</f>
        <v>9781118333105</v>
      </c>
      <c r="L4962">
        <v>0</v>
      </c>
      <c r="O4962" t="s">
        <v>30</v>
      </c>
      <c r="P4962" t="s">
        <v>29</v>
      </c>
      <c r="Q4962" s="1">
        <v>42307.935532407406</v>
      </c>
      <c r="R4962">
        <v>7</v>
      </c>
      <c r="S4962" t="s">
        <v>6400</v>
      </c>
      <c r="T4962" t="s">
        <v>8078</v>
      </c>
      <c r="U4962">
        <v>694.6</v>
      </c>
      <c r="V4962" s="3">
        <v>42093</v>
      </c>
    </row>
    <row r="4963" spans="1:22" x14ac:dyDescent="0.35">
      <c r="A4963" s="1">
        <v>42307.93540509259</v>
      </c>
      <c r="B4963" s="2">
        <v>1.1574074074074073E-4</v>
      </c>
      <c r="C4963" t="s">
        <v>6693</v>
      </c>
      <c r="D4963" t="s">
        <v>6396</v>
      </c>
      <c r="E4963" t="s">
        <v>6397</v>
      </c>
      <c r="F4963" t="s">
        <v>8077</v>
      </c>
      <c r="G4963">
        <v>1895426</v>
      </c>
      <c r="H4963" t="s">
        <v>26</v>
      </c>
      <c r="I4963" t="s">
        <v>888</v>
      </c>
      <c r="J4963" t="str">
        <f>"9781118333105"</f>
        <v>9781118333105</v>
      </c>
      <c r="K4963" t="s">
        <v>737</v>
      </c>
      <c r="L4963">
        <v>3</v>
      </c>
      <c r="O4963" t="s">
        <v>30</v>
      </c>
      <c r="P4963" t="s">
        <v>50</v>
      </c>
      <c r="S4963" t="s">
        <v>6400</v>
      </c>
      <c r="T4963" t="s">
        <v>8078</v>
      </c>
      <c r="U4963">
        <v>694.6</v>
      </c>
      <c r="V4963" s="3">
        <v>42093</v>
      </c>
    </row>
    <row r="4964" spans="1:22" x14ac:dyDescent="0.35">
      <c r="A4964" s="1">
        <v>42307.935277777775</v>
      </c>
      <c r="B4964" s="2">
        <v>0</v>
      </c>
      <c r="C4964" t="s">
        <v>6693</v>
      </c>
      <c r="D4964" t="s">
        <v>6396</v>
      </c>
      <c r="E4964" t="s">
        <v>6397</v>
      </c>
      <c r="F4964" t="s">
        <v>2330</v>
      </c>
      <c r="G4964">
        <v>1895443</v>
      </c>
      <c r="H4964" t="s">
        <v>26</v>
      </c>
      <c r="I4964" t="s">
        <v>2331</v>
      </c>
      <c r="J4964" t="str">
        <f>"9781118417713"</f>
        <v>9781118417713</v>
      </c>
      <c r="L4964">
        <v>0</v>
      </c>
      <c r="O4964" t="s">
        <v>28</v>
      </c>
      <c r="P4964" t="s">
        <v>29</v>
      </c>
      <c r="Q4964" s="1">
        <v>42307.935277777775</v>
      </c>
      <c r="R4964">
        <v>7</v>
      </c>
      <c r="S4964" t="s">
        <v>6400</v>
      </c>
      <c r="T4964" t="s">
        <v>2332</v>
      </c>
      <c r="U4964" t="s">
        <v>2333</v>
      </c>
      <c r="V4964" s="3">
        <v>42032</v>
      </c>
    </row>
    <row r="4965" spans="1:22" x14ac:dyDescent="0.35">
      <c r="A4965" s="1">
        <v>42307.935277777775</v>
      </c>
      <c r="B4965" s="2">
        <v>0</v>
      </c>
      <c r="C4965" t="s">
        <v>6693</v>
      </c>
      <c r="D4965" t="s">
        <v>6396</v>
      </c>
      <c r="E4965" t="s">
        <v>6397</v>
      </c>
      <c r="F4965" t="s">
        <v>2330</v>
      </c>
      <c r="G4965">
        <v>1895443</v>
      </c>
      <c r="H4965" t="s">
        <v>26</v>
      </c>
      <c r="I4965" t="s">
        <v>2331</v>
      </c>
      <c r="J4965" t="str">
        <f>"9781118417713"</f>
        <v>9781118417713</v>
      </c>
      <c r="L4965">
        <v>0</v>
      </c>
      <c r="O4965" t="s">
        <v>30</v>
      </c>
      <c r="P4965" t="s">
        <v>29</v>
      </c>
      <c r="Q4965" s="1">
        <v>42307.935277777775</v>
      </c>
      <c r="R4965">
        <v>7</v>
      </c>
      <c r="S4965" t="s">
        <v>6400</v>
      </c>
      <c r="T4965" t="s">
        <v>2332</v>
      </c>
      <c r="U4965" t="s">
        <v>2333</v>
      </c>
      <c r="V4965" s="3">
        <v>42032</v>
      </c>
    </row>
    <row r="4966" spans="1:22" x14ac:dyDescent="0.35">
      <c r="A4966" s="1">
        <v>42307.934745370374</v>
      </c>
      <c r="B4966" s="2">
        <v>5.3240740740740744E-4</v>
      </c>
      <c r="C4966" t="s">
        <v>6693</v>
      </c>
      <c r="D4966" t="s">
        <v>6396</v>
      </c>
      <c r="E4966" t="s">
        <v>6397</v>
      </c>
      <c r="F4966" t="s">
        <v>2330</v>
      </c>
      <c r="G4966">
        <v>1895443</v>
      </c>
      <c r="H4966" t="s">
        <v>26</v>
      </c>
      <c r="I4966" t="s">
        <v>2331</v>
      </c>
      <c r="J4966" t="str">
        <f>"9781118417713"</f>
        <v>9781118417713</v>
      </c>
      <c r="K4966" t="s">
        <v>536</v>
      </c>
      <c r="L4966">
        <v>3</v>
      </c>
      <c r="O4966" t="s">
        <v>30</v>
      </c>
      <c r="P4966" t="s">
        <v>50</v>
      </c>
      <c r="S4966" t="s">
        <v>6400</v>
      </c>
      <c r="T4966" t="s">
        <v>2332</v>
      </c>
      <c r="U4966" t="s">
        <v>2333</v>
      </c>
      <c r="V4966" s="3">
        <v>42032</v>
      </c>
    </row>
    <row r="4967" spans="1:22" x14ac:dyDescent="0.35">
      <c r="A4967" s="1">
        <v>42307.932997685188</v>
      </c>
      <c r="B4967" s="2">
        <v>0</v>
      </c>
      <c r="C4967" t="s">
        <v>6693</v>
      </c>
      <c r="D4967" t="s">
        <v>6396</v>
      </c>
      <c r="E4967" t="s">
        <v>6397</v>
      </c>
      <c r="F4967" t="s">
        <v>2354</v>
      </c>
      <c r="G4967">
        <v>3057725</v>
      </c>
      <c r="H4967" t="s">
        <v>26</v>
      </c>
      <c r="I4967" t="s">
        <v>150</v>
      </c>
      <c r="J4967" t="str">
        <f>"9780470099667"</f>
        <v>9780470099667</v>
      </c>
      <c r="L4967">
        <v>0</v>
      </c>
      <c r="O4967" t="s">
        <v>28</v>
      </c>
      <c r="P4967" t="s">
        <v>29</v>
      </c>
      <c r="Q4967" s="1">
        <v>42307.932997685188</v>
      </c>
      <c r="R4967">
        <v>7</v>
      </c>
      <c r="S4967" t="s">
        <v>6400</v>
      </c>
      <c r="T4967" t="s">
        <v>2356</v>
      </c>
      <c r="U4967" t="s">
        <v>2357</v>
      </c>
      <c r="V4967" s="3">
        <v>38979</v>
      </c>
    </row>
    <row r="4968" spans="1:22" x14ac:dyDescent="0.35">
      <c r="A4968" s="1">
        <v>42307.932997685188</v>
      </c>
      <c r="B4968" s="2">
        <v>0</v>
      </c>
      <c r="C4968" t="s">
        <v>6693</v>
      </c>
      <c r="D4968" t="s">
        <v>6396</v>
      </c>
      <c r="E4968" t="s">
        <v>6397</v>
      </c>
      <c r="F4968" t="s">
        <v>2354</v>
      </c>
      <c r="G4968">
        <v>3057725</v>
      </c>
      <c r="H4968" t="s">
        <v>26</v>
      </c>
      <c r="I4968" t="s">
        <v>150</v>
      </c>
      <c r="J4968" t="str">
        <f>"9780470099667"</f>
        <v>9780470099667</v>
      </c>
      <c r="L4968">
        <v>0</v>
      </c>
      <c r="O4968" t="s">
        <v>30</v>
      </c>
      <c r="P4968" t="s">
        <v>29</v>
      </c>
      <c r="Q4968" s="1">
        <v>42307.932997685188</v>
      </c>
      <c r="R4968">
        <v>7</v>
      </c>
      <c r="S4968" t="s">
        <v>6400</v>
      </c>
      <c r="T4968" t="s">
        <v>2356</v>
      </c>
      <c r="U4968" t="s">
        <v>2357</v>
      </c>
      <c r="V4968" s="3">
        <v>38979</v>
      </c>
    </row>
    <row r="4969" spans="1:22" x14ac:dyDescent="0.35">
      <c r="A4969" s="1">
        <v>42307.932268518518</v>
      </c>
      <c r="B4969" s="2">
        <v>7.291666666666667E-4</v>
      </c>
      <c r="C4969" t="s">
        <v>6693</v>
      </c>
      <c r="D4969" t="s">
        <v>6396</v>
      </c>
      <c r="E4969" t="s">
        <v>6397</v>
      </c>
      <c r="F4969" t="s">
        <v>2354</v>
      </c>
      <c r="G4969">
        <v>3057725</v>
      </c>
      <c r="H4969" t="s">
        <v>26</v>
      </c>
      <c r="I4969" t="s">
        <v>150</v>
      </c>
      <c r="J4969" t="str">
        <f>"9780470099667"</f>
        <v>9780470099667</v>
      </c>
      <c r="K4969" t="s">
        <v>8079</v>
      </c>
      <c r="L4969">
        <v>12</v>
      </c>
      <c r="O4969" t="s">
        <v>30</v>
      </c>
      <c r="P4969" t="s">
        <v>50</v>
      </c>
      <c r="S4969" t="s">
        <v>6400</v>
      </c>
      <c r="T4969" t="s">
        <v>2356</v>
      </c>
      <c r="U4969" t="s">
        <v>2357</v>
      </c>
      <c r="V4969" s="3">
        <v>38979</v>
      </c>
    </row>
    <row r="4970" spans="1:22" x14ac:dyDescent="0.35">
      <c r="A4970" s="1">
        <v>42307.931331018517</v>
      </c>
      <c r="B4970" s="2">
        <v>0</v>
      </c>
      <c r="C4970" t="s">
        <v>6693</v>
      </c>
      <c r="D4970" t="s">
        <v>6396</v>
      </c>
      <c r="E4970" t="s">
        <v>6397</v>
      </c>
      <c r="F4970" t="s">
        <v>8080</v>
      </c>
      <c r="G4970">
        <v>1365052</v>
      </c>
      <c r="H4970" t="s">
        <v>26</v>
      </c>
      <c r="I4970" t="s">
        <v>8081</v>
      </c>
      <c r="J4970" t="str">
        <f>"9781118419908"</f>
        <v>9781118419908</v>
      </c>
      <c r="L4970">
        <v>0</v>
      </c>
      <c r="O4970" t="s">
        <v>28</v>
      </c>
      <c r="P4970" t="s">
        <v>47</v>
      </c>
      <c r="Q4970" s="1">
        <v>42307.931331018517</v>
      </c>
      <c r="R4970">
        <v>1</v>
      </c>
      <c r="S4970" t="s">
        <v>6400</v>
      </c>
      <c r="T4970" t="s">
        <v>8082</v>
      </c>
      <c r="U4970">
        <v>729</v>
      </c>
      <c r="V4970" s="3">
        <v>41512</v>
      </c>
    </row>
    <row r="4971" spans="1:22" x14ac:dyDescent="0.35">
      <c r="A4971" s="1">
        <v>42307.931331018517</v>
      </c>
      <c r="B4971" s="2">
        <v>0</v>
      </c>
      <c r="C4971" t="s">
        <v>6693</v>
      </c>
      <c r="D4971" t="s">
        <v>6396</v>
      </c>
      <c r="E4971" t="s">
        <v>6397</v>
      </c>
      <c r="F4971" t="s">
        <v>8080</v>
      </c>
      <c r="G4971">
        <v>1365052</v>
      </c>
      <c r="H4971" t="s">
        <v>26</v>
      </c>
      <c r="I4971" t="s">
        <v>8081</v>
      </c>
      <c r="J4971" t="str">
        <f>"9781118419908"</f>
        <v>9781118419908</v>
      </c>
      <c r="L4971">
        <v>0</v>
      </c>
      <c r="O4971" t="s">
        <v>30</v>
      </c>
      <c r="P4971" t="s">
        <v>47</v>
      </c>
      <c r="Q4971" s="1">
        <v>42307.931331018517</v>
      </c>
      <c r="R4971">
        <v>1</v>
      </c>
      <c r="S4971" t="s">
        <v>6400</v>
      </c>
      <c r="T4971" t="s">
        <v>8082</v>
      </c>
      <c r="U4971">
        <v>729</v>
      </c>
      <c r="V4971" s="3">
        <v>41512</v>
      </c>
    </row>
    <row r="4972" spans="1:22" x14ac:dyDescent="0.35">
      <c r="A4972" s="1">
        <v>42307.931250000001</v>
      </c>
      <c r="B4972" s="2">
        <v>0</v>
      </c>
      <c r="C4972" t="s">
        <v>6693</v>
      </c>
      <c r="D4972" t="s">
        <v>6396</v>
      </c>
      <c r="E4972" t="s">
        <v>6397</v>
      </c>
      <c r="F4972" t="s">
        <v>8083</v>
      </c>
      <c r="G4972">
        <v>1120973</v>
      </c>
      <c r="H4972" t="s">
        <v>26</v>
      </c>
      <c r="I4972" t="s">
        <v>8084</v>
      </c>
      <c r="J4972" t="str">
        <f>"9781118404621"</f>
        <v>9781118404621</v>
      </c>
      <c r="L4972">
        <v>0</v>
      </c>
      <c r="O4972" t="s">
        <v>28</v>
      </c>
      <c r="P4972" t="s">
        <v>29</v>
      </c>
      <c r="Q4972" s="1">
        <v>42307.931250000001</v>
      </c>
      <c r="R4972">
        <v>7</v>
      </c>
      <c r="S4972" t="s">
        <v>6400</v>
      </c>
      <c r="T4972" t="s">
        <v>8085</v>
      </c>
      <c r="U4972" t="s">
        <v>8086</v>
      </c>
      <c r="V4972" s="3">
        <v>41304</v>
      </c>
    </row>
    <row r="4973" spans="1:22" x14ac:dyDescent="0.35">
      <c r="A4973" s="1">
        <v>42307.931250000001</v>
      </c>
      <c r="B4973" s="2">
        <v>0</v>
      </c>
      <c r="C4973" t="s">
        <v>6693</v>
      </c>
      <c r="D4973" t="s">
        <v>6396</v>
      </c>
      <c r="E4973" t="s">
        <v>6397</v>
      </c>
      <c r="F4973" t="s">
        <v>8083</v>
      </c>
      <c r="G4973">
        <v>1120973</v>
      </c>
      <c r="H4973" t="s">
        <v>26</v>
      </c>
      <c r="I4973" t="s">
        <v>8084</v>
      </c>
      <c r="J4973" t="str">
        <f>"9781118404621"</f>
        <v>9781118404621</v>
      </c>
      <c r="L4973">
        <v>0</v>
      </c>
      <c r="O4973" t="s">
        <v>30</v>
      </c>
      <c r="P4973" t="s">
        <v>29</v>
      </c>
      <c r="Q4973" s="1">
        <v>42307.931250000001</v>
      </c>
      <c r="R4973">
        <v>7</v>
      </c>
      <c r="S4973" t="s">
        <v>6400</v>
      </c>
      <c r="T4973" t="s">
        <v>8085</v>
      </c>
      <c r="U4973" t="s">
        <v>8086</v>
      </c>
      <c r="V4973" s="3">
        <v>41304</v>
      </c>
    </row>
    <row r="4974" spans="1:22" x14ac:dyDescent="0.35">
      <c r="A4974" s="1">
        <v>42307.931192129632</v>
      </c>
      <c r="B4974" s="2">
        <v>0</v>
      </c>
      <c r="C4974" t="s">
        <v>6693</v>
      </c>
      <c r="D4974" t="s">
        <v>6396</v>
      </c>
      <c r="E4974" t="s">
        <v>6397</v>
      </c>
      <c r="F4974" t="s">
        <v>3713</v>
      </c>
      <c r="G4974">
        <v>1895557</v>
      </c>
      <c r="H4974" t="s">
        <v>26</v>
      </c>
      <c r="I4974" t="s">
        <v>150</v>
      </c>
      <c r="J4974" t="str">
        <f>"9781118715659"</f>
        <v>9781118715659</v>
      </c>
      <c r="L4974">
        <v>0</v>
      </c>
      <c r="O4974" t="s">
        <v>28</v>
      </c>
      <c r="P4974" t="s">
        <v>29</v>
      </c>
      <c r="Q4974" s="1">
        <v>42307.931192129632</v>
      </c>
      <c r="R4974">
        <v>7</v>
      </c>
      <c r="S4974" t="s">
        <v>6400</v>
      </c>
      <c r="T4974" t="s">
        <v>3715</v>
      </c>
      <c r="U4974" t="s">
        <v>3716</v>
      </c>
      <c r="V4974" s="3">
        <v>42009</v>
      </c>
    </row>
    <row r="4975" spans="1:22" x14ac:dyDescent="0.35">
      <c r="A4975" s="1">
        <v>42307.931192129632</v>
      </c>
      <c r="B4975" s="2">
        <v>0</v>
      </c>
      <c r="C4975" t="s">
        <v>6693</v>
      </c>
      <c r="D4975" t="s">
        <v>6396</v>
      </c>
      <c r="E4975" t="s">
        <v>6397</v>
      </c>
      <c r="F4975" t="s">
        <v>3713</v>
      </c>
      <c r="G4975">
        <v>1895557</v>
      </c>
      <c r="H4975" t="s">
        <v>26</v>
      </c>
      <c r="I4975" t="s">
        <v>150</v>
      </c>
      <c r="J4975" t="str">
        <f>"9781118715659"</f>
        <v>9781118715659</v>
      </c>
      <c r="L4975">
        <v>0</v>
      </c>
      <c r="O4975" t="s">
        <v>30</v>
      </c>
      <c r="P4975" t="s">
        <v>29</v>
      </c>
      <c r="Q4975" s="1">
        <v>42307.931192129632</v>
      </c>
      <c r="R4975">
        <v>7</v>
      </c>
      <c r="S4975" t="s">
        <v>6400</v>
      </c>
      <c r="T4975" t="s">
        <v>3715</v>
      </c>
      <c r="U4975" t="s">
        <v>3716</v>
      </c>
      <c r="V4975" s="3">
        <v>42009</v>
      </c>
    </row>
    <row r="4976" spans="1:22" x14ac:dyDescent="0.35">
      <c r="A4976" s="1">
        <v>42307.931111111109</v>
      </c>
      <c r="B4976" s="2">
        <v>0</v>
      </c>
      <c r="C4976" t="s">
        <v>6693</v>
      </c>
      <c r="D4976" t="s">
        <v>6396</v>
      </c>
      <c r="E4976" t="s">
        <v>6397</v>
      </c>
      <c r="F4976" t="s">
        <v>8087</v>
      </c>
      <c r="G4976">
        <v>1642645</v>
      </c>
      <c r="H4976" t="s">
        <v>26</v>
      </c>
      <c r="I4976" t="s">
        <v>8088</v>
      </c>
      <c r="J4976" t="str">
        <f>"9781118806463"</f>
        <v>9781118806463</v>
      </c>
      <c r="L4976">
        <v>0</v>
      </c>
      <c r="O4976" t="s">
        <v>28</v>
      </c>
      <c r="P4976" t="s">
        <v>47</v>
      </c>
      <c r="Q4976" s="1">
        <v>42307.931111111109</v>
      </c>
      <c r="R4976">
        <v>1</v>
      </c>
      <c r="S4976" t="s">
        <v>6400</v>
      </c>
      <c r="T4976" t="s">
        <v>8089</v>
      </c>
      <c r="U4976" t="s">
        <v>3716</v>
      </c>
      <c r="V4976" s="3">
        <v>41697</v>
      </c>
    </row>
    <row r="4977" spans="1:22" x14ac:dyDescent="0.35">
      <c r="A4977" s="1">
        <v>42307.931111111109</v>
      </c>
      <c r="B4977" s="2">
        <v>0</v>
      </c>
      <c r="C4977" t="s">
        <v>6693</v>
      </c>
      <c r="D4977" t="s">
        <v>6396</v>
      </c>
      <c r="E4977" t="s">
        <v>6397</v>
      </c>
      <c r="F4977" t="s">
        <v>8087</v>
      </c>
      <c r="G4977">
        <v>1642645</v>
      </c>
      <c r="H4977" t="s">
        <v>26</v>
      </c>
      <c r="I4977" t="s">
        <v>8088</v>
      </c>
      <c r="J4977" t="str">
        <f>"9781118806463"</f>
        <v>9781118806463</v>
      </c>
      <c r="L4977">
        <v>0</v>
      </c>
      <c r="O4977" t="s">
        <v>30</v>
      </c>
      <c r="P4977" t="s">
        <v>47</v>
      </c>
      <c r="Q4977" s="1">
        <v>42307.931111111109</v>
      </c>
      <c r="R4977">
        <v>1</v>
      </c>
      <c r="S4977" t="s">
        <v>6400</v>
      </c>
      <c r="T4977" t="s">
        <v>8089</v>
      </c>
      <c r="U4977" t="s">
        <v>3716</v>
      </c>
      <c r="V4977" s="3">
        <v>41697</v>
      </c>
    </row>
    <row r="4978" spans="1:22" x14ac:dyDescent="0.35">
      <c r="A4978" s="1">
        <v>42307.930196759262</v>
      </c>
      <c r="B4978" s="2">
        <v>0</v>
      </c>
      <c r="C4978" t="s">
        <v>6693</v>
      </c>
      <c r="D4978" t="s">
        <v>6396</v>
      </c>
      <c r="E4978" t="s">
        <v>6397</v>
      </c>
      <c r="F4978" t="s">
        <v>8090</v>
      </c>
      <c r="G4978">
        <v>1120820</v>
      </c>
      <c r="H4978" t="s">
        <v>26</v>
      </c>
      <c r="I4978" t="s">
        <v>8084</v>
      </c>
      <c r="J4978" t="str">
        <f>"9781118404508"</f>
        <v>9781118404508</v>
      </c>
      <c r="L4978">
        <v>0</v>
      </c>
      <c r="O4978" t="s">
        <v>28</v>
      </c>
      <c r="P4978" t="s">
        <v>47</v>
      </c>
      <c r="Q4978" s="1">
        <v>42307.930196759262</v>
      </c>
      <c r="R4978">
        <v>1</v>
      </c>
      <c r="S4978" t="s">
        <v>6400</v>
      </c>
      <c r="T4978" t="s">
        <v>8091</v>
      </c>
      <c r="U4978" t="s">
        <v>8092</v>
      </c>
      <c r="V4978" s="3">
        <v>41291</v>
      </c>
    </row>
    <row r="4979" spans="1:22" x14ac:dyDescent="0.35">
      <c r="A4979" s="1">
        <v>42307.930196759262</v>
      </c>
      <c r="B4979" s="2">
        <v>0</v>
      </c>
      <c r="C4979" t="s">
        <v>6693</v>
      </c>
      <c r="D4979" t="s">
        <v>6396</v>
      </c>
      <c r="E4979" t="s">
        <v>6397</v>
      </c>
      <c r="F4979" t="s">
        <v>8090</v>
      </c>
      <c r="G4979">
        <v>1120820</v>
      </c>
      <c r="H4979" t="s">
        <v>26</v>
      </c>
      <c r="I4979" t="s">
        <v>8084</v>
      </c>
      <c r="J4979" t="str">
        <f>"9781118404508"</f>
        <v>9781118404508</v>
      </c>
      <c r="L4979">
        <v>0</v>
      </c>
      <c r="O4979" t="s">
        <v>30</v>
      </c>
      <c r="P4979" t="s">
        <v>47</v>
      </c>
      <c r="Q4979" s="1">
        <v>42307.930196759262</v>
      </c>
      <c r="R4979">
        <v>1</v>
      </c>
      <c r="S4979" t="s">
        <v>6400</v>
      </c>
      <c r="T4979" t="s">
        <v>8091</v>
      </c>
      <c r="U4979" t="s">
        <v>8092</v>
      </c>
      <c r="V4979" s="3">
        <v>41291</v>
      </c>
    </row>
    <row r="4980" spans="1:22" x14ac:dyDescent="0.35">
      <c r="A4980" s="1">
        <v>42307.929097222222</v>
      </c>
      <c r="B4980" s="2">
        <v>1.0995370370370371E-3</v>
      </c>
      <c r="C4980" t="s">
        <v>6693</v>
      </c>
      <c r="D4980" t="s">
        <v>6396</v>
      </c>
      <c r="E4980" t="s">
        <v>6397</v>
      </c>
      <c r="F4980" t="s">
        <v>8090</v>
      </c>
      <c r="G4980">
        <v>1120820</v>
      </c>
      <c r="H4980" t="s">
        <v>26</v>
      </c>
      <c r="I4980" t="s">
        <v>8084</v>
      </c>
      <c r="J4980" t="str">
        <f>"9781118404508"</f>
        <v>9781118404508</v>
      </c>
      <c r="K4980" t="s">
        <v>1109</v>
      </c>
      <c r="L4980">
        <v>3</v>
      </c>
      <c r="O4980" t="s">
        <v>30</v>
      </c>
      <c r="P4980" t="s">
        <v>50</v>
      </c>
      <c r="S4980" t="s">
        <v>6400</v>
      </c>
      <c r="T4980" t="s">
        <v>8091</v>
      </c>
      <c r="U4980" t="s">
        <v>8092</v>
      </c>
      <c r="V4980" s="3">
        <v>41291</v>
      </c>
    </row>
    <row r="4981" spans="1:22" x14ac:dyDescent="0.35">
      <c r="A4981" s="1">
        <v>42307.929050925923</v>
      </c>
      <c r="B4981" s="2">
        <v>2.0601851851851853E-3</v>
      </c>
      <c r="C4981" t="s">
        <v>6693</v>
      </c>
      <c r="D4981" t="s">
        <v>6396</v>
      </c>
      <c r="E4981" t="s">
        <v>6397</v>
      </c>
      <c r="F4981" t="s">
        <v>8087</v>
      </c>
      <c r="G4981">
        <v>1642645</v>
      </c>
      <c r="H4981" t="s">
        <v>26</v>
      </c>
      <c r="I4981" t="s">
        <v>8088</v>
      </c>
      <c r="J4981" t="str">
        <f>"9781118806463"</f>
        <v>9781118806463</v>
      </c>
      <c r="K4981" t="s">
        <v>1197</v>
      </c>
      <c r="L4981">
        <v>3</v>
      </c>
      <c r="O4981" t="s">
        <v>30</v>
      </c>
      <c r="P4981" t="s">
        <v>50</v>
      </c>
      <c r="S4981" t="s">
        <v>6400</v>
      </c>
      <c r="T4981" t="s">
        <v>8089</v>
      </c>
      <c r="U4981" t="s">
        <v>3716</v>
      </c>
      <c r="V4981" s="3">
        <v>41697</v>
      </c>
    </row>
    <row r="4982" spans="1:22" x14ac:dyDescent="0.35">
      <c r="A4982" s="1">
        <v>42307.929016203707</v>
      </c>
      <c r="B4982" s="2">
        <v>2.1759259259259258E-3</v>
      </c>
      <c r="C4982" t="s">
        <v>6693</v>
      </c>
      <c r="D4982" t="s">
        <v>6396</v>
      </c>
      <c r="E4982" t="s">
        <v>6397</v>
      </c>
      <c r="F4982" t="s">
        <v>3713</v>
      </c>
      <c r="G4982">
        <v>1895557</v>
      </c>
      <c r="H4982" t="s">
        <v>26</v>
      </c>
      <c r="I4982" t="s">
        <v>150</v>
      </c>
      <c r="J4982" t="str">
        <f>"9781118715659"</f>
        <v>9781118715659</v>
      </c>
      <c r="K4982" t="s">
        <v>1315</v>
      </c>
      <c r="L4982">
        <v>3</v>
      </c>
      <c r="O4982" t="s">
        <v>30</v>
      </c>
      <c r="P4982" t="s">
        <v>50</v>
      </c>
      <c r="S4982" t="s">
        <v>6400</v>
      </c>
      <c r="T4982" t="s">
        <v>3715</v>
      </c>
      <c r="U4982" t="s">
        <v>3716</v>
      </c>
      <c r="V4982" s="3">
        <v>42009</v>
      </c>
    </row>
    <row r="4983" spans="1:22" x14ac:dyDescent="0.35">
      <c r="A4983" s="1">
        <v>42307.928969907407</v>
      </c>
      <c r="B4983" s="2">
        <v>2.2800925925925927E-3</v>
      </c>
      <c r="C4983" t="s">
        <v>6693</v>
      </c>
      <c r="D4983" t="s">
        <v>6396</v>
      </c>
      <c r="E4983" t="s">
        <v>6397</v>
      </c>
      <c r="F4983" t="s">
        <v>8083</v>
      </c>
      <c r="G4983">
        <v>1120973</v>
      </c>
      <c r="H4983" t="s">
        <v>26</v>
      </c>
      <c r="I4983" t="s">
        <v>8084</v>
      </c>
      <c r="J4983" t="str">
        <f>"9781118404621"</f>
        <v>9781118404621</v>
      </c>
      <c r="K4983" t="s">
        <v>1109</v>
      </c>
      <c r="L4983">
        <v>3</v>
      </c>
      <c r="O4983" t="s">
        <v>30</v>
      </c>
      <c r="P4983" t="s">
        <v>42</v>
      </c>
      <c r="S4983" t="s">
        <v>6400</v>
      </c>
      <c r="T4983" t="s">
        <v>8085</v>
      </c>
      <c r="U4983" t="s">
        <v>8086</v>
      </c>
      <c r="V4983" s="3">
        <v>41304</v>
      </c>
    </row>
    <row r="4984" spans="1:22" x14ac:dyDescent="0.35">
      <c r="A4984" s="1">
        <v>42307.928935185184</v>
      </c>
      <c r="B4984" s="2">
        <v>2.3958333333333336E-3</v>
      </c>
      <c r="C4984" t="s">
        <v>6693</v>
      </c>
      <c r="D4984" t="s">
        <v>6396</v>
      </c>
      <c r="E4984" t="s">
        <v>6397</v>
      </c>
      <c r="F4984" t="s">
        <v>8080</v>
      </c>
      <c r="G4984">
        <v>1365052</v>
      </c>
      <c r="H4984" t="s">
        <v>26</v>
      </c>
      <c r="I4984" t="s">
        <v>8081</v>
      </c>
      <c r="J4984" t="str">
        <f>"9781118419908"</f>
        <v>9781118419908</v>
      </c>
      <c r="K4984" t="s">
        <v>536</v>
      </c>
      <c r="L4984">
        <v>3</v>
      </c>
      <c r="O4984" t="s">
        <v>30</v>
      </c>
      <c r="P4984" t="s">
        <v>50</v>
      </c>
      <c r="S4984" t="s">
        <v>6400</v>
      </c>
      <c r="T4984" t="s">
        <v>8082</v>
      </c>
      <c r="U4984">
        <v>729</v>
      </c>
      <c r="V4984" s="3">
        <v>41512</v>
      </c>
    </row>
    <row r="4985" spans="1:22" x14ac:dyDescent="0.35">
      <c r="A4985" s="1">
        <v>42307.906643518516</v>
      </c>
      <c r="B4985" s="2">
        <v>5.9027777777777778E-4</v>
      </c>
      <c r="C4985" t="s">
        <v>8093</v>
      </c>
      <c r="D4985" t="s">
        <v>158</v>
      </c>
      <c r="E4985" t="s">
        <v>159</v>
      </c>
      <c r="F4985" t="s">
        <v>8094</v>
      </c>
      <c r="G4985">
        <v>3059071</v>
      </c>
      <c r="H4985" t="s">
        <v>26</v>
      </c>
      <c r="I4985" t="s">
        <v>435</v>
      </c>
      <c r="J4985" t="str">
        <f>"9781118839669"</f>
        <v>9781118839669</v>
      </c>
      <c r="K4985" t="s">
        <v>8095</v>
      </c>
      <c r="L4985">
        <v>8</v>
      </c>
      <c r="N4985" t="s">
        <v>8096</v>
      </c>
      <c r="O4985" t="s">
        <v>30</v>
      </c>
      <c r="P4985" t="s">
        <v>29</v>
      </c>
      <c r="Q4985" s="1">
        <v>42307.906643518516</v>
      </c>
      <c r="R4985">
        <v>7</v>
      </c>
      <c r="S4985" t="s">
        <v>163</v>
      </c>
      <c r="T4985" t="s">
        <v>8097</v>
      </c>
      <c r="U4985">
        <v>303.33999999999997</v>
      </c>
      <c r="V4985" s="3">
        <v>41609</v>
      </c>
    </row>
    <row r="4986" spans="1:22" x14ac:dyDescent="0.35">
      <c r="A4986" s="1">
        <v>42307.902442129627</v>
      </c>
      <c r="B4986" s="2">
        <v>4.2013888888888891E-3</v>
      </c>
      <c r="C4986" t="s">
        <v>8093</v>
      </c>
      <c r="D4986" t="s">
        <v>158</v>
      </c>
      <c r="E4986" t="s">
        <v>159</v>
      </c>
      <c r="F4986" t="s">
        <v>8094</v>
      </c>
      <c r="G4986">
        <v>3059071</v>
      </c>
      <c r="H4986" t="s">
        <v>26</v>
      </c>
      <c r="I4986" t="s">
        <v>435</v>
      </c>
      <c r="J4986" t="str">
        <f>"9781118839669"</f>
        <v>9781118839669</v>
      </c>
      <c r="K4986" t="s">
        <v>8098</v>
      </c>
      <c r="L4986">
        <v>12</v>
      </c>
      <c r="O4986" t="s">
        <v>30</v>
      </c>
      <c r="P4986" t="s">
        <v>50</v>
      </c>
      <c r="S4986" t="s">
        <v>163</v>
      </c>
      <c r="T4986" t="s">
        <v>8097</v>
      </c>
      <c r="U4986">
        <v>303.33999999999997</v>
      </c>
      <c r="V4986" s="3">
        <v>41609</v>
      </c>
    </row>
    <row r="4987" spans="1:22" x14ac:dyDescent="0.35">
      <c r="A4987" s="1">
        <v>42307.87190972222</v>
      </c>
      <c r="B4987" s="2">
        <v>2.0601851851851853E-3</v>
      </c>
      <c r="C4987" t="s">
        <v>8099</v>
      </c>
      <c r="D4987" t="s">
        <v>261</v>
      </c>
      <c r="E4987" t="s">
        <v>262</v>
      </c>
      <c r="F4987" t="s">
        <v>8100</v>
      </c>
      <c r="G4987">
        <v>879339</v>
      </c>
      <c r="H4987" t="s">
        <v>26</v>
      </c>
      <c r="I4987" t="s">
        <v>247</v>
      </c>
      <c r="J4987" t="str">
        <f>"9781119962212"</f>
        <v>9781119962212</v>
      </c>
      <c r="K4987" t="s">
        <v>8101</v>
      </c>
      <c r="L4987">
        <v>13</v>
      </c>
      <c r="O4987" t="s">
        <v>30</v>
      </c>
      <c r="P4987" t="s">
        <v>29</v>
      </c>
      <c r="Q4987" s="1">
        <v>42307.871898148151</v>
      </c>
      <c r="R4987">
        <v>7</v>
      </c>
      <c r="S4987" t="s">
        <v>264</v>
      </c>
      <c r="T4987" t="s">
        <v>8102</v>
      </c>
      <c r="U4987">
        <v>616.89008349999995</v>
      </c>
      <c r="V4987" s="3">
        <v>40991</v>
      </c>
    </row>
    <row r="4988" spans="1:22" x14ac:dyDescent="0.35">
      <c r="A4988" s="1">
        <v>42307.864861111113</v>
      </c>
      <c r="B4988" s="2">
        <v>7.037037037037037E-3</v>
      </c>
      <c r="C4988" t="s">
        <v>8099</v>
      </c>
      <c r="D4988" t="s">
        <v>261</v>
      </c>
      <c r="E4988" t="s">
        <v>262</v>
      </c>
      <c r="F4988" t="s">
        <v>8100</v>
      </c>
      <c r="G4988">
        <v>879339</v>
      </c>
      <c r="H4988" t="s">
        <v>26</v>
      </c>
      <c r="I4988" t="s">
        <v>247</v>
      </c>
      <c r="J4988" t="str">
        <f>"9781119962212"</f>
        <v>9781119962212</v>
      </c>
      <c r="K4988" t="s">
        <v>8103</v>
      </c>
      <c r="L4988">
        <v>23</v>
      </c>
      <c r="O4988" t="s">
        <v>30</v>
      </c>
      <c r="P4988" t="s">
        <v>42</v>
      </c>
      <c r="S4988" t="s">
        <v>264</v>
      </c>
      <c r="T4988" t="s">
        <v>8102</v>
      </c>
      <c r="U4988">
        <v>616.89008349999995</v>
      </c>
      <c r="V4988" s="3">
        <v>40991</v>
      </c>
    </row>
    <row r="4989" spans="1:22" x14ac:dyDescent="0.35">
      <c r="A4989" s="1">
        <v>42307.857060185182</v>
      </c>
      <c r="B4989" s="2">
        <v>0</v>
      </c>
      <c r="C4989" t="s">
        <v>8038</v>
      </c>
      <c r="D4989" t="s">
        <v>35</v>
      </c>
      <c r="E4989" t="s">
        <v>36</v>
      </c>
      <c r="F4989" t="s">
        <v>8043</v>
      </c>
      <c r="G4989">
        <v>1869098</v>
      </c>
      <c r="H4989" t="s">
        <v>26</v>
      </c>
      <c r="I4989" t="s">
        <v>247</v>
      </c>
      <c r="J4989" t="str">
        <f>"9781118760390"</f>
        <v>9781118760390</v>
      </c>
      <c r="L4989">
        <v>0</v>
      </c>
      <c r="O4989" t="s">
        <v>28</v>
      </c>
      <c r="P4989" t="s">
        <v>29</v>
      </c>
      <c r="Q4989" s="1">
        <v>42307.85659722222</v>
      </c>
      <c r="R4989">
        <v>7</v>
      </c>
      <c r="S4989" t="s">
        <v>40</v>
      </c>
      <c r="T4989" t="s">
        <v>8045</v>
      </c>
      <c r="U4989" t="s">
        <v>8046</v>
      </c>
      <c r="V4989" s="3">
        <v>41963</v>
      </c>
    </row>
    <row r="4990" spans="1:22" x14ac:dyDescent="0.35">
      <c r="A4990" s="1">
        <v>42307.85659722222</v>
      </c>
      <c r="B4990" s="2">
        <v>0</v>
      </c>
      <c r="C4990" t="s">
        <v>8038</v>
      </c>
      <c r="D4990" t="s">
        <v>35</v>
      </c>
      <c r="E4990" t="s">
        <v>36</v>
      </c>
      <c r="F4990" t="s">
        <v>8043</v>
      </c>
      <c r="G4990">
        <v>1869098</v>
      </c>
      <c r="H4990" t="s">
        <v>26</v>
      </c>
      <c r="I4990" t="s">
        <v>247</v>
      </c>
      <c r="J4990" t="str">
        <f>"9781118760390"</f>
        <v>9781118760390</v>
      </c>
      <c r="L4990">
        <v>0</v>
      </c>
      <c r="O4990" t="s">
        <v>28</v>
      </c>
      <c r="P4990" t="s">
        <v>29</v>
      </c>
      <c r="Q4990" s="1">
        <v>42307.85659722222</v>
      </c>
      <c r="R4990">
        <v>7</v>
      </c>
      <c r="S4990" t="s">
        <v>40</v>
      </c>
      <c r="T4990" t="s">
        <v>8045</v>
      </c>
      <c r="U4990" t="s">
        <v>8046</v>
      </c>
      <c r="V4990" s="3">
        <v>41963</v>
      </c>
    </row>
    <row r="4991" spans="1:22" x14ac:dyDescent="0.35">
      <c r="A4991" s="1">
        <v>42307.85659722222</v>
      </c>
      <c r="B4991" s="2">
        <v>0</v>
      </c>
      <c r="C4991" t="s">
        <v>8038</v>
      </c>
      <c r="D4991" t="s">
        <v>35</v>
      </c>
      <c r="E4991" t="s">
        <v>36</v>
      </c>
      <c r="F4991" t="s">
        <v>8043</v>
      </c>
      <c r="G4991">
        <v>1869098</v>
      </c>
      <c r="H4991" t="s">
        <v>26</v>
      </c>
      <c r="I4991" t="s">
        <v>247</v>
      </c>
      <c r="J4991" t="str">
        <f>"9781118760390"</f>
        <v>9781118760390</v>
      </c>
      <c r="L4991">
        <v>0</v>
      </c>
      <c r="O4991" t="s">
        <v>30</v>
      </c>
      <c r="P4991" t="s">
        <v>29</v>
      </c>
      <c r="Q4991" s="1">
        <v>42307.85659722222</v>
      </c>
      <c r="R4991">
        <v>7</v>
      </c>
      <c r="S4991" t="s">
        <v>40</v>
      </c>
      <c r="T4991" t="s">
        <v>8045</v>
      </c>
      <c r="U4991" t="s">
        <v>8046</v>
      </c>
      <c r="V4991" s="3">
        <v>41963</v>
      </c>
    </row>
    <row r="4992" spans="1:22" x14ac:dyDescent="0.35">
      <c r="A4992" s="1">
        <v>42307.856296296297</v>
      </c>
      <c r="B4992" s="2">
        <v>3.0092592592592595E-4</v>
      </c>
      <c r="C4992" t="s">
        <v>8038</v>
      </c>
      <c r="D4992" t="s">
        <v>35</v>
      </c>
      <c r="E4992" t="s">
        <v>36</v>
      </c>
      <c r="F4992" t="s">
        <v>8043</v>
      </c>
      <c r="G4992">
        <v>1869098</v>
      </c>
      <c r="H4992" t="s">
        <v>26</v>
      </c>
      <c r="I4992" t="s">
        <v>247</v>
      </c>
      <c r="J4992" t="str">
        <f>"9781118760390"</f>
        <v>9781118760390</v>
      </c>
      <c r="K4992" t="s">
        <v>835</v>
      </c>
      <c r="L4992">
        <v>5</v>
      </c>
      <c r="O4992" t="s">
        <v>30</v>
      </c>
      <c r="P4992" t="s">
        <v>50</v>
      </c>
      <c r="S4992" t="s">
        <v>40</v>
      </c>
      <c r="T4992" t="s">
        <v>8045</v>
      </c>
      <c r="U4992" t="s">
        <v>8046</v>
      </c>
      <c r="V4992" s="3">
        <v>41963</v>
      </c>
    </row>
    <row r="4993" spans="1:22" x14ac:dyDescent="0.35">
      <c r="A4993" s="1">
        <v>42307.805983796294</v>
      </c>
      <c r="B4993" s="2">
        <v>9.6064814814814808E-4</v>
      </c>
      <c r="C4993" t="s">
        <v>8104</v>
      </c>
      <c r="D4993" t="s">
        <v>158</v>
      </c>
      <c r="E4993" t="s">
        <v>159</v>
      </c>
      <c r="F4993" t="s">
        <v>5847</v>
      </c>
      <c r="G4993">
        <v>1597377</v>
      </c>
      <c r="H4993" t="s">
        <v>26</v>
      </c>
      <c r="I4993" t="s">
        <v>310</v>
      </c>
      <c r="J4993" t="str">
        <f>"9781118559512"</f>
        <v>9781118559512</v>
      </c>
      <c r="K4993" t="s">
        <v>8105</v>
      </c>
      <c r="L4993">
        <v>14</v>
      </c>
      <c r="O4993" t="s">
        <v>30</v>
      </c>
      <c r="P4993" t="s">
        <v>50</v>
      </c>
      <c r="S4993" t="s">
        <v>163</v>
      </c>
      <c r="T4993" t="s">
        <v>5849</v>
      </c>
      <c r="U4993">
        <v>810.80896072999997</v>
      </c>
      <c r="V4993" s="3">
        <v>41652</v>
      </c>
    </row>
    <row r="4994" spans="1:22" x14ac:dyDescent="0.35">
      <c r="A4994" s="1">
        <v>42307.803483796299</v>
      </c>
      <c r="B4994" s="2">
        <v>3.5532407407407405E-3</v>
      </c>
      <c r="C4994" t="s">
        <v>8106</v>
      </c>
      <c r="D4994" t="s">
        <v>35</v>
      </c>
      <c r="E4994" t="s">
        <v>36</v>
      </c>
      <c r="F4994" t="s">
        <v>8107</v>
      </c>
      <c r="G4994">
        <v>1811430</v>
      </c>
      <c r="H4994" t="s">
        <v>26</v>
      </c>
      <c r="I4994" t="s">
        <v>426</v>
      </c>
      <c r="J4994" t="str">
        <f>"9781118323533"</f>
        <v>9781118323533</v>
      </c>
      <c r="K4994" t="s">
        <v>8108</v>
      </c>
      <c r="L4994">
        <v>11</v>
      </c>
      <c r="O4994" t="s">
        <v>30</v>
      </c>
      <c r="P4994" t="s">
        <v>47</v>
      </c>
      <c r="Q4994" s="1">
        <v>42307.803483796299</v>
      </c>
      <c r="R4994">
        <v>1</v>
      </c>
      <c r="S4994" t="s">
        <v>40</v>
      </c>
      <c r="T4994" t="s">
        <v>8109</v>
      </c>
      <c r="U4994">
        <v>200.97300000000001</v>
      </c>
      <c r="V4994" s="3">
        <v>41912</v>
      </c>
    </row>
    <row r="4995" spans="1:22" x14ac:dyDescent="0.35">
      <c r="A4995" s="1">
        <v>42307.8</v>
      </c>
      <c r="B4995" s="2">
        <v>3.483796296296296E-3</v>
      </c>
      <c r="C4995" t="s">
        <v>8106</v>
      </c>
      <c r="D4995" t="s">
        <v>35</v>
      </c>
      <c r="E4995" t="s">
        <v>36</v>
      </c>
      <c r="F4995" t="s">
        <v>8107</v>
      </c>
      <c r="G4995">
        <v>1811430</v>
      </c>
      <c r="H4995" t="s">
        <v>26</v>
      </c>
      <c r="I4995" t="s">
        <v>426</v>
      </c>
      <c r="J4995" t="str">
        <f>"9781118323533"</f>
        <v>9781118323533</v>
      </c>
      <c r="K4995" t="s">
        <v>8110</v>
      </c>
      <c r="L4995">
        <v>15</v>
      </c>
      <c r="O4995" t="s">
        <v>30</v>
      </c>
      <c r="P4995" t="s">
        <v>50</v>
      </c>
      <c r="S4995" t="s">
        <v>40</v>
      </c>
      <c r="T4995" t="s">
        <v>8109</v>
      </c>
      <c r="U4995">
        <v>200.97300000000001</v>
      </c>
      <c r="V4995" s="3">
        <v>41912</v>
      </c>
    </row>
    <row r="4996" spans="1:22" x14ac:dyDescent="0.35">
      <c r="A4996" s="1">
        <v>42307.771493055552</v>
      </c>
      <c r="B4996" s="2">
        <v>2.6759259259259257E-2</v>
      </c>
      <c r="C4996" t="s">
        <v>8111</v>
      </c>
      <c r="D4996" t="s">
        <v>125</v>
      </c>
      <c r="E4996" t="s">
        <v>126</v>
      </c>
      <c r="F4996" t="s">
        <v>2262</v>
      </c>
      <c r="G4996">
        <v>843674</v>
      </c>
      <c r="H4996" t="s">
        <v>26</v>
      </c>
      <c r="I4996" t="s">
        <v>322</v>
      </c>
      <c r="J4996" t="str">
        <f>"9781118348444"</f>
        <v>9781118348444</v>
      </c>
      <c r="K4996" t="s">
        <v>8112</v>
      </c>
      <c r="L4996">
        <v>122</v>
      </c>
      <c r="O4996" t="s">
        <v>30</v>
      </c>
      <c r="P4996" t="s">
        <v>29</v>
      </c>
      <c r="Q4996" s="1">
        <v>42307.771493055552</v>
      </c>
      <c r="R4996">
        <v>7</v>
      </c>
      <c r="S4996" t="s">
        <v>128</v>
      </c>
      <c r="T4996" t="s">
        <v>2263</v>
      </c>
      <c r="U4996">
        <v>692.50972999999999</v>
      </c>
      <c r="V4996" s="3">
        <v>40960</v>
      </c>
    </row>
    <row r="4997" spans="1:22" x14ac:dyDescent="0.35">
      <c r="A4997" s="1">
        <v>42307.761331018519</v>
      </c>
      <c r="B4997" s="2">
        <v>1.3888888888888889E-3</v>
      </c>
      <c r="C4997" t="s">
        <v>7816</v>
      </c>
      <c r="D4997" t="s">
        <v>23</v>
      </c>
      <c r="E4997" t="s">
        <v>24</v>
      </c>
      <c r="F4997" t="s">
        <v>7817</v>
      </c>
      <c r="G4997">
        <v>1318682</v>
      </c>
      <c r="H4997" t="s">
        <v>26</v>
      </c>
      <c r="I4997" t="s">
        <v>5370</v>
      </c>
      <c r="J4997" t="str">
        <f>"9781118549483"</f>
        <v>9781118549483</v>
      </c>
      <c r="K4997" t="s">
        <v>2863</v>
      </c>
      <c r="L4997">
        <v>10</v>
      </c>
      <c r="O4997" t="s">
        <v>28</v>
      </c>
      <c r="P4997" t="s">
        <v>29</v>
      </c>
      <c r="Q4997" s="1">
        <v>42307.76085648148</v>
      </c>
      <c r="R4997">
        <v>7</v>
      </c>
      <c r="S4997" t="s">
        <v>31</v>
      </c>
      <c r="T4997" t="s">
        <v>7818</v>
      </c>
      <c r="U4997">
        <v>629.89</v>
      </c>
      <c r="V4997" s="3">
        <v>41471</v>
      </c>
    </row>
    <row r="4998" spans="1:22" x14ac:dyDescent="0.35">
      <c r="A4998" s="1">
        <v>42307.76122685185</v>
      </c>
      <c r="B4998" s="2">
        <v>3.4722222222222222E-5</v>
      </c>
      <c r="C4998" t="s">
        <v>7816</v>
      </c>
      <c r="D4998" t="s">
        <v>23</v>
      </c>
      <c r="E4998" t="s">
        <v>24</v>
      </c>
      <c r="F4998" t="s">
        <v>7817</v>
      </c>
      <c r="G4998">
        <v>1318682</v>
      </c>
      <c r="H4998" t="s">
        <v>26</v>
      </c>
      <c r="I4998" t="s">
        <v>5370</v>
      </c>
      <c r="J4998" t="str">
        <f>"9781118549483"</f>
        <v>9781118549483</v>
      </c>
      <c r="K4998" t="s">
        <v>33</v>
      </c>
      <c r="L4998">
        <v>3</v>
      </c>
      <c r="O4998" t="s">
        <v>30</v>
      </c>
      <c r="P4998" t="s">
        <v>29</v>
      </c>
      <c r="Q4998" s="1">
        <v>42307.76085648148</v>
      </c>
      <c r="R4998">
        <v>7</v>
      </c>
      <c r="S4998" t="s">
        <v>31</v>
      </c>
      <c r="T4998" t="s">
        <v>7818</v>
      </c>
      <c r="U4998">
        <v>629.89</v>
      </c>
      <c r="V4998" s="3">
        <v>41471</v>
      </c>
    </row>
    <row r="4999" spans="1:22" x14ac:dyDescent="0.35">
      <c r="A4999" s="1">
        <v>42307.760868055557</v>
      </c>
      <c r="B4999" s="2">
        <v>0</v>
      </c>
      <c r="C4999" t="s">
        <v>7816</v>
      </c>
      <c r="D4999" t="s">
        <v>23</v>
      </c>
      <c r="E4999" t="s">
        <v>24</v>
      </c>
      <c r="F4999" t="s">
        <v>7817</v>
      </c>
      <c r="G4999">
        <v>1318682</v>
      </c>
      <c r="H4999" t="s">
        <v>26</v>
      </c>
      <c r="I4999" t="s">
        <v>5370</v>
      </c>
      <c r="J4999" t="str">
        <f>"9781118549483"</f>
        <v>9781118549483</v>
      </c>
      <c r="L4999">
        <v>0</v>
      </c>
      <c r="N4999" t="s">
        <v>8113</v>
      </c>
      <c r="O4999" t="s">
        <v>30</v>
      </c>
      <c r="P4999" t="s">
        <v>29</v>
      </c>
      <c r="Q4999" s="1">
        <v>42307.76085648148</v>
      </c>
      <c r="R4999">
        <v>7</v>
      </c>
      <c r="S4999" t="s">
        <v>31</v>
      </c>
      <c r="T4999" t="s">
        <v>7818</v>
      </c>
      <c r="U4999">
        <v>629.89</v>
      </c>
      <c r="V4999" s="3">
        <v>41471</v>
      </c>
    </row>
    <row r="5000" spans="1:22" x14ac:dyDescent="0.35">
      <c r="A5000" s="1">
        <v>42307.760763888888</v>
      </c>
      <c r="B5000" s="2">
        <v>9.2592592592592588E-5</v>
      </c>
      <c r="C5000" t="s">
        <v>7816</v>
      </c>
      <c r="D5000" t="s">
        <v>23</v>
      </c>
      <c r="E5000" t="s">
        <v>24</v>
      </c>
      <c r="F5000" t="s">
        <v>7817</v>
      </c>
      <c r="G5000">
        <v>1318682</v>
      </c>
      <c r="H5000" t="s">
        <v>26</v>
      </c>
      <c r="I5000" t="s">
        <v>5370</v>
      </c>
      <c r="J5000" t="str">
        <f>"9781118549483"</f>
        <v>9781118549483</v>
      </c>
      <c r="K5000" t="s">
        <v>611</v>
      </c>
      <c r="L5000">
        <v>3</v>
      </c>
      <c r="O5000" t="s">
        <v>30</v>
      </c>
      <c r="P5000" t="s">
        <v>42</v>
      </c>
      <c r="S5000" t="s">
        <v>31</v>
      </c>
      <c r="T5000" t="s">
        <v>7818</v>
      </c>
      <c r="U5000">
        <v>629.89</v>
      </c>
      <c r="V5000" s="3">
        <v>41471</v>
      </c>
    </row>
    <row r="5001" spans="1:22" x14ac:dyDescent="0.35">
      <c r="A5001" s="1">
        <v>42307.754571759258</v>
      </c>
      <c r="B5001" s="2">
        <v>4.2002314814814812E-2</v>
      </c>
      <c r="C5001" t="s">
        <v>6380</v>
      </c>
      <c r="D5001" t="s">
        <v>125</v>
      </c>
      <c r="E5001" t="s">
        <v>126</v>
      </c>
      <c r="F5001" t="s">
        <v>2262</v>
      </c>
      <c r="G5001">
        <v>843674</v>
      </c>
      <c r="H5001" t="s">
        <v>26</v>
      </c>
      <c r="I5001" t="s">
        <v>322</v>
      </c>
      <c r="J5001" t="str">
        <f>"9781118348444"</f>
        <v>9781118348444</v>
      </c>
      <c r="K5001" t="s">
        <v>8114</v>
      </c>
      <c r="L5001">
        <v>102</v>
      </c>
      <c r="O5001" t="s">
        <v>30</v>
      </c>
      <c r="P5001" t="s">
        <v>29</v>
      </c>
      <c r="Q5001" s="1">
        <v>42307.754571759258</v>
      </c>
      <c r="R5001">
        <v>7</v>
      </c>
      <c r="S5001" t="s">
        <v>128</v>
      </c>
      <c r="T5001" t="s">
        <v>2263</v>
      </c>
      <c r="U5001">
        <v>692.50972999999999</v>
      </c>
      <c r="V5001" s="3">
        <v>40960</v>
      </c>
    </row>
    <row r="5002" spans="1:22" x14ac:dyDescent="0.35">
      <c r="A5002" s="1">
        <v>42307.749490740738</v>
      </c>
      <c r="B5002" s="2">
        <v>2.2002314814814818E-2</v>
      </c>
      <c r="C5002" t="s">
        <v>8111</v>
      </c>
      <c r="D5002" t="s">
        <v>125</v>
      </c>
      <c r="E5002" t="s">
        <v>126</v>
      </c>
      <c r="F5002" t="s">
        <v>2262</v>
      </c>
      <c r="G5002">
        <v>843674</v>
      </c>
      <c r="H5002" t="s">
        <v>26</v>
      </c>
      <c r="I5002" t="s">
        <v>322</v>
      </c>
      <c r="J5002" t="str">
        <f>"9781118348444"</f>
        <v>9781118348444</v>
      </c>
      <c r="K5002" t="s">
        <v>8115</v>
      </c>
      <c r="L5002">
        <v>16</v>
      </c>
      <c r="O5002" t="s">
        <v>30</v>
      </c>
      <c r="P5002" t="s">
        <v>42</v>
      </c>
      <c r="S5002" t="s">
        <v>128</v>
      </c>
      <c r="T5002" t="s">
        <v>2263</v>
      </c>
      <c r="U5002">
        <v>692.50972999999999</v>
      </c>
      <c r="V5002" s="3">
        <v>40960</v>
      </c>
    </row>
    <row r="5003" spans="1:22" x14ac:dyDescent="0.35">
      <c r="A5003" s="1">
        <v>42307.748298611114</v>
      </c>
      <c r="B5003" s="2">
        <v>6.2731481481481484E-3</v>
      </c>
      <c r="C5003" t="s">
        <v>6380</v>
      </c>
      <c r="D5003" t="s">
        <v>125</v>
      </c>
      <c r="E5003" t="s">
        <v>126</v>
      </c>
      <c r="F5003" t="s">
        <v>2262</v>
      </c>
      <c r="G5003">
        <v>843674</v>
      </c>
      <c r="H5003" t="s">
        <v>26</v>
      </c>
      <c r="I5003" t="s">
        <v>322</v>
      </c>
      <c r="J5003" t="str">
        <f>"9781118348444"</f>
        <v>9781118348444</v>
      </c>
      <c r="K5003" t="s">
        <v>8116</v>
      </c>
      <c r="L5003">
        <v>8</v>
      </c>
      <c r="O5003" t="s">
        <v>30</v>
      </c>
      <c r="P5003" t="s">
        <v>42</v>
      </c>
      <c r="S5003" t="s">
        <v>128</v>
      </c>
      <c r="T5003" t="s">
        <v>2263</v>
      </c>
      <c r="U5003">
        <v>692.50972999999999</v>
      </c>
      <c r="V5003" s="3">
        <v>40960</v>
      </c>
    </row>
    <row r="5004" spans="1:22" x14ac:dyDescent="0.35">
      <c r="A5004" s="1">
        <v>42307.745011574072</v>
      </c>
      <c r="B5004" s="2">
        <v>1.0763888888888889E-3</v>
      </c>
      <c r="C5004" t="s">
        <v>106</v>
      </c>
      <c r="D5004" t="s">
        <v>23</v>
      </c>
      <c r="E5004" t="s">
        <v>24</v>
      </c>
      <c r="F5004" t="s">
        <v>3619</v>
      </c>
      <c r="G5004">
        <v>1819342</v>
      </c>
      <c r="H5004" t="s">
        <v>26</v>
      </c>
      <c r="I5004" t="s">
        <v>912</v>
      </c>
      <c r="J5004" t="str">
        <f>"9781118940334"</f>
        <v>9781118940334</v>
      </c>
      <c r="K5004" t="s">
        <v>8117</v>
      </c>
      <c r="L5004">
        <v>10</v>
      </c>
      <c r="O5004" t="s">
        <v>30</v>
      </c>
      <c r="P5004" t="s">
        <v>29</v>
      </c>
      <c r="Q5004" s="1">
        <v>42307.745000000003</v>
      </c>
      <c r="R5004">
        <v>7</v>
      </c>
      <c r="S5004" t="s">
        <v>31</v>
      </c>
      <c r="T5004" t="s">
        <v>3621</v>
      </c>
      <c r="U5004">
        <v>1.6419999999999999</v>
      </c>
      <c r="V5004" s="3">
        <v>41928</v>
      </c>
    </row>
    <row r="5005" spans="1:22" x14ac:dyDescent="0.35">
      <c r="A5005" s="1">
        <v>42307.739131944443</v>
      </c>
      <c r="B5005" s="2">
        <v>2.8599537037037034E-2</v>
      </c>
      <c r="C5005" t="s">
        <v>106</v>
      </c>
      <c r="D5005" t="s">
        <v>23</v>
      </c>
      <c r="E5005" t="s">
        <v>24</v>
      </c>
      <c r="F5005" t="s">
        <v>486</v>
      </c>
      <c r="G5005">
        <v>1119505</v>
      </c>
      <c r="H5005" t="s">
        <v>26</v>
      </c>
      <c r="I5005" t="s">
        <v>450</v>
      </c>
      <c r="J5005" t="str">
        <f>"9781118355015"</f>
        <v>9781118355015</v>
      </c>
      <c r="K5005" t="s">
        <v>8118</v>
      </c>
      <c r="L5005">
        <v>12</v>
      </c>
      <c r="O5005" t="s">
        <v>30</v>
      </c>
      <c r="P5005" t="s">
        <v>29</v>
      </c>
      <c r="Q5005" s="1">
        <v>42306.770254629628</v>
      </c>
      <c r="R5005">
        <v>7</v>
      </c>
      <c r="S5005" t="s">
        <v>31</v>
      </c>
      <c r="T5005" t="s">
        <v>487</v>
      </c>
      <c r="U5005" t="s">
        <v>488</v>
      </c>
      <c r="V5005" s="3">
        <v>41302</v>
      </c>
    </row>
    <row r="5006" spans="1:22" x14ac:dyDescent="0.35">
      <c r="A5006" s="1">
        <v>42307.730034722219</v>
      </c>
      <c r="B5006" s="2">
        <v>1.4965277777777779E-2</v>
      </c>
      <c r="C5006" t="s">
        <v>106</v>
      </c>
      <c r="D5006" t="s">
        <v>23</v>
      </c>
      <c r="E5006" t="s">
        <v>24</v>
      </c>
      <c r="F5006" t="s">
        <v>3619</v>
      </c>
      <c r="G5006">
        <v>1819342</v>
      </c>
      <c r="H5006" t="s">
        <v>26</v>
      </c>
      <c r="I5006" t="s">
        <v>912</v>
      </c>
      <c r="J5006" t="str">
        <f>"9781118940334"</f>
        <v>9781118940334</v>
      </c>
      <c r="K5006" t="s">
        <v>8119</v>
      </c>
      <c r="L5006">
        <v>15</v>
      </c>
      <c r="O5006" t="s">
        <v>30</v>
      </c>
      <c r="P5006" t="s">
        <v>42</v>
      </c>
      <c r="S5006" t="s">
        <v>31</v>
      </c>
      <c r="T5006" t="s">
        <v>3621</v>
      </c>
      <c r="U5006">
        <v>1.6419999999999999</v>
      </c>
      <c r="V5006" s="3">
        <v>41928</v>
      </c>
    </row>
    <row r="5007" spans="1:22" x14ac:dyDescent="0.35">
      <c r="A5007" s="1">
        <v>42307.724976851852</v>
      </c>
      <c r="B5007" s="2">
        <v>1.3078703703703705E-3</v>
      </c>
      <c r="C5007" t="s">
        <v>8120</v>
      </c>
      <c r="D5007" t="s">
        <v>1222</v>
      </c>
      <c r="E5007" t="s">
        <v>1223</v>
      </c>
      <c r="F5007" t="s">
        <v>1698</v>
      </c>
      <c r="G5007">
        <v>1637652</v>
      </c>
      <c r="H5007" t="s">
        <v>84</v>
      </c>
      <c r="I5007" t="s">
        <v>69</v>
      </c>
      <c r="J5007" t="str">
        <f>"9780520958449"</f>
        <v>9780520958449</v>
      </c>
      <c r="K5007" t="s">
        <v>8121</v>
      </c>
      <c r="L5007">
        <v>10</v>
      </c>
      <c r="O5007" t="s">
        <v>30</v>
      </c>
      <c r="P5007" t="s">
        <v>29</v>
      </c>
      <c r="Q5007" s="1">
        <v>42307.724965277775</v>
      </c>
      <c r="R5007">
        <v>7</v>
      </c>
      <c r="S5007" t="s">
        <v>1226</v>
      </c>
      <c r="T5007" t="s">
        <v>1700</v>
      </c>
      <c r="U5007" t="s">
        <v>1701</v>
      </c>
      <c r="V5007" s="3">
        <v>41761</v>
      </c>
    </row>
    <row r="5008" spans="1:22" x14ac:dyDescent="0.35">
      <c r="A5008" s="1">
        <v>42307.717928240738</v>
      </c>
      <c r="B5008" s="2">
        <v>5.3240740740740744E-4</v>
      </c>
      <c r="C5008" t="s">
        <v>8122</v>
      </c>
      <c r="D5008" t="s">
        <v>335</v>
      </c>
      <c r="E5008" t="s">
        <v>336</v>
      </c>
      <c r="F5008" t="s">
        <v>1656</v>
      </c>
      <c r="G5008">
        <v>902995</v>
      </c>
      <c r="H5008" t="s">
        <v>149</v>
      </c>
      <c r="I5008" t="s">
        <v>247</v>
      </c>
      <c r="J5008" t="str">
        <f>"9781438139234"</f>
        <v>9781438139234</v>
      </c>
      <c r="K5008" t="s">
        <v>8123</v>
      </c>
      <c r="L5008">
        <v>10</v>
      </c>
      <c r="O5008" t="s">
        <v>30</v>
      </c>
      <c r="P5008" t="s">
        <v>42</v>
      </c>
      <c r="S5008" t="s">
        <v>340</v>
      </c>
      <c r="T5008" t="s">
        <v>1657</v>
      </c>
      <c r="U5008" t="s">
        <v>1658</v>
      </c>
      <c r="V5008" s="3">
        <v>40969</v>
      </c>
    </row>
    <row r="5009" spans="1:22" x14ac:dyDescent="0.35">
      <c r="A5009" s="1">
        <v>42307.71671296296</v>
      </c>
      <c r="B5009" s="2">
        <v>8.2523148148148148E-3</v>
      </c>
      <c r="C5009" t="s">
        <v>8120</v>
      </c>
      <c r="D5009" t="s">
        <v>1222</v>
      </c>
      <c r="E5009" t="s">
        <v>1223</v>
      </c>
      <c r="F5009" t="s">
        <v>1698</v>
      </c>
      <c r="G5009">
        <v>1637652</v>
      </c>
      <c r="H5009" t="s">
        <v>84</v>
      </c>
      <c r="I5009" t="s">
        <v>69</v>
      </c>
      <c r="J5009" t="str">
        <f>"9780520958449"</f>
        <v>9780520958449</v>
      </c>
      <c r="K5009" t="s">
        <v>8124</v>
      </c>
      <c r="L5009">
        <v>22</v>
      </c>
      <c r="O5009" t="s">
        <v>30</v>
      </c>
      <c r="P5009" t="s">
        <v>42</v>
      </c>
      <c r="S5009" t="s">
        <v>1226</v>
      </c>
      <c r="T5009" t="s">
        <v>1700</v>
      </c>
      <c r="U5009" t="s">
        <v>1701</v>
      </c>
      <c r="V5009" s="3">
        <v>41761</v>
      </c>
    </row>
    <row r="5010" spans="1:22" x14ac:dyDescent="0.35">
      <c r="A5010" s="1">
        <v>42307.710787037038</v>
      </c>
      <c r="B5010" s="2">
        <v>1.2268518518518518E-3</v>
      </c>
      <c r="C5010" t="s">
        <v>106</v>
      </c>
      <c r="D5010" t="s">
        <v>23</v>
      </c>
      <c r="E5010" t="s">
        <v>24</v>
      </c>
      <c r="F5010" t="s">
        <v>6635</v>
      </c>
      <c r="G5010">
        <v>817871</v>
      </c>
      <c r="H5010" t="s">
        <v>26</v>
      </c>
      <c r="I5010" t="s">
        <v>276</v>
      </c>
      <c r="J5010" t="str">
        <f>"9781118206911"</f>
        <v>9781118206911</v>
      </c>
      <c r="K5010" t="s">
        <v>8125</v>
      </c>
      <c r="L5010">
        <v>24</v>
      </c>
      <c r="O5010" t="s">
        <v>30</v>
      </c>
      <c r="P5010" t="s">
        <v>42</v>
      </c>
      <c r="S5010" t="s">
        <v>31</v>
      </c>
      <c r="T5010" t="s">
        <v>6637</v>
      </c>
      <c r="U5010">
        <v>6.74</v>
      </c>
      <c r="V5010" s="3">
        <v>40897</v>
      </c>
    </row>
    <row r="5011" spans="1:22" x14ac:dyDescent="0.35">
      <c r="A5011" s="1">
        <v>42307.709664351853</v>
      </c>
      <c r="B5011" s="2">
        <v>4.5370370370370365E-3</v>
      </c>
      <c r="C5011" t="s">
        <v>5517</v>
      </c>
      <c r="D5011" t="s">
        <v>35</v>
      </c>
      <c r="E5011" t="s">
        <v>36</v>
      </c>
      <c r="F5011" t="s">
        <v>3275</v>
      </c>
      <c r="G5011">
        <v>822662</v>
      </c>
      <c r="H5011" t="s">
        <v>26</v>
      </c>
      <c r="I5011" t="s">
        <v>172</v>
      </c>
      <c r="J5011" t="str">
        <f>"9781444355130"</f>
        <v>9781444355130</v>
      </c>
      <c r="K5011" t="s">
        <v>8126</v>
      </c>
      <c r="L5011">
        <v>38</v>
      </c>
      <c r="O5011" t="s">
        <v>30</v>
      </c>
      <c r="P5011" t="s">
        <v>42</v>
      </c>
      <c r="S5011" t="s">
        <v>40</v>
      </c>
      <c r="T5011" t="s">
        <v>3277</v>
      </c>
      <c r="U5011">
        <v>960.3</v>
      </c>
      <c r="V5011" s="3">
        <v>40858</v>
      </c>
    </row>
    <row r="5012" spans="1:22" x14ac:dyDescent="0.35">
      <c r="A5012" s="1">
        <v>42307.671203703707</v>
      </c>
      <c r="B5012" s="2">
        <v>4.6296296296296294E-5</v>
      </c>
      <c r="C5012" t="s">
        <v>8127</v>
      </c>
      <c r="D5012" t="s">
        <v>1222</v>
      </c>
      <c r="E5012" t="s">
        <v>1223</v>
      </c>
      <c r="F5012" t="s">
        <v>5376</v>
      </c>
      <c r="G5012">
        <v>1645284</v>
      </c>
      <c r="H5012" t="s">
        <v>526</v>
      </c>
      <c r="I5012" t="s">
        <v>998</v>
      </c>
      <c r="J5012" t="str">
        <f>"9780226122595"</f>
        <v>9780226122595</v>
      </c>
      <c r="K5012" t="s">
        <v>33</v>
      </c>
      <c r="L5012">
        <v>3</v>
      </c>
      <c r="O5012" t="s">
        <v>30</v>
      </c>
      <c r="P5012" t="s">
        <v>50</v>
      </c>
      <c r="S5012" t="s">
        <v>1226</v>
      </c>
      <c r="T5012" t="s">
        <v>5378</v>
      </c>
      <c r="U5012">
        <v>304.80973</v>
      </c>
      <c r="V5012" s="3">
        <v>41726</v>
      </c>
    </row>
    <row r="5013" spans="1:22" x14ac:dyDescent="0.35">
      <c r="A5013" s="1">
        <v>42307.653923611113</v>
      </c>
      <c r="B5013" s="2">
        <v>7.0601851851851847E-4</v>
      </c>
      <c r="C5013" t="s">
        <v>8128</v>
      </c>
      <c r="D5013" t="s">
        <v>23</v>
      </c>
      <c r="E5013" t="s">
        <v>24</v>
      </c>
      <c r="F5013" t="s">
        <v>3530</v>
      </c>
      <c r="G5013">
        <v>822647</v>
      </c>
      <c r="H5013" t="s">
        <v>26</v>
      </c>
      <c r="I5013" t="s">
        <v>27</v>
      </c>
      <c r="J5013" t="str">
        <f>"9781444347173"</f>
        <v>9781444347173</v>
      </c>
      <c r="K5013" t="s">
        <v>8129</v>
      </c>
      <c r="L5013">
        <v>10</v>
      </c>
      <c r="O5013" t="s">
        <v>30</v>
      </c>
      <c r="P5013" t="s">
        <v>42</v>
      </c>
      <c r="S5013" t="s">
        <v>31</v>
      </c>
      <c r="T5013" t="s">
        <v>3531</v>
      </c>
      <c r="U5013" t="s">
        <v>3532</v>
      </c>
      <c r="V5013" s="3">
        <v>40840</v>
      </c>
    </row>
    <row r="5014" spans="1:22" x14ac:dyDescent="0.35">
      <c r="A5014" s="1">
        <v>42307.653483796297</v>
      </c>
      <c r="B5014" s="2">
        <v>0</v>
      </c>
      <c r="C5014" t="s">
        <v>4813</v>
      </c>
      <c r="D5014" t="s">
        <v>23</v>
      </c>
      <c r="E5014" t="s">
        <v>24</v>
      </c>
      <c r="F5014" t="s">
        <v>8130</v>
      </c>
      <c r="G5014">
        <v>1784643</v>
      </c>
      <c r="H5014" t="s">
        <v>45</v>
      </c>
      <c r="I5014" t="s">
        <v>8131</v>
      </c>
      <c r="J5014" t="str">
        <f>"9781472425164"</f>
        <v>9781472425164</v>
      </c>
      <c r="L5014">
        <v>0</v>
      </c>
      <c r="O5014" t="s">
        <v>30</v>
      </c>
      <c r="P5014" t="s">
        <v>47</v>
      </c>
      <c r="Q5014" s="1">
        <v>42307.311342592591</v>
      </c>
      <c r="R5014">
        <v>1</v>
      </c>
      <c r="S5014" t="s">
        <v>31</v>
      </c>
      <c r="T5014" t="s">
        <v>8132</v>
      </c>
      <c r="U5014" t="s">
        <v>255</v>
      </c>
      <c r="V5014" s="3">
        <v>41971</v>
      </c>
    </row>
    <row r="5015" spans="1:22" x14ac:dyDescent="0.35">
      <c r="A5015" s="1">
        <v>42307.653148148151</v>
      </c>
      <c r="B5015" s="2">
        <v>5.37037037037037E-3</v>
      </c>
      <c r="C5015" t="s">
        <v>6408</v>
      </c>
      <c r="D5015" t="s">
        <v>35</v>
      </c>
      <c r="E5015" t="s">
        <v>36</v>
      </c>
      <c r="F5015" t="s">
        <v>3275</v>
      </c>
      <c r="G5015">
        <v>822662</v>
      </c>
      <c r="H5015" t="s">
        <v>26</v>
      </c>
      <c r="I5015" t="s">
        <v>172</v>
      </c>
      <c r="J5015" t="str">
        <f>"9781444355130"</f>
        <v>9781444355130</v>
      </c>
      <c r="K5015" t="s">
        <v>8133</v>
      </c>
      <c r="L5015">
        <v>13</v>
      </c>
      <c r="O5015" t="s">
        <v>30</v>
      </c>
      <c r="P5015" t="s">
        <v>29</v>
      </c>
      <c r="Q5015" s="1">
        <v>42307.653136574074</v>
      </c>
      <c r="R5015">
        <v>7</v>
      </c>
      <c r="S5015" t="s">
        <v>40</v>
      </c>
      <c r="T5015" t="s">
        <v>3277</v>
      </c>
      <c r="U5015">
        <v>960.3</v>
      </c>
      <c r="V5015" s="3">
        <v>40858</v>
      </c>
    </row>
    <row r="5016" spans="1:22" x14ac:dyDescent="0.35">
      <c r="A5016" s="1">
        <v>42307.644687499997</v>
      </c>
      <c r="B5016" s="2">
        <v>8.4490740740740741E-3</v>
      </c>
      <c r="C5016" t="s">
        <v>6408</v>
      </c>
      <c r="D5016" t="s">
        <v>35</v>
      </c>
      <c r="E5016" t="s">
        <v>36</v>
      </c>
      <c r="F5016" t="s">
        <v>3275</v>
      </c>
      <c r="G5016">
        <v>822662</v>
      </c>
      <c r="H5016" t="s">
        <v>26</v>
      </c>
      <c r="I5016" t="s">
        <v>172</v>
      </c>
      <c r="J5016" t="str">
        <f>"9781444355130"</f>
        <v>9781444355130</v>
      </c>
      <c r="K5016" t="s">
        <v>8134</v>
      </c>
      <c r="L5016">
        <v>11</v>
      </c>
      <c r="O5016" t="s">
        <v>30</v>
      </c>
      <c r="P5016" t="s">
        <v>42</v>
      </c>
      <c r="S5016" t="s">
        <v>40</v>
      </c>
      <c r="T5016" t="s">
        <v>3277</v>
      </c>
      <c r="U5016">
        <v>960.3</v>
      </c>
      <c r="V5016" s="3">
        <v>40858</v>
      </c>
    </row>
    <row r="5017" spans="1:22" x14ac:dyDescent="0.35">
      <c r="A5017" s="1">
        <v>42307.6328125</v>
      </c>
      <c r="B5017" s="2">
        <v>2.5775462962962962E-2</v>
      </c>
      <c r="C5017" t="s">
        <v>8135</v>
      </c>
      <c r="D5017" t="s">
        <v>23</v>
      </c>
      <c r="E5017" t="s">
        <v>24</v>
      </c>
      <c r="F5017" t="s">
        <v>8136</v>
      </c>
      <c r="G5017">
        <v>1190428</v>
      </c>
      <c r="H5017" t="s">
        <v>84</v>
      </c>
      <c r="I5017" t="s">
        <v>38</v>
      </c>
      <c r="J5017" t="str">
        <f>"9780520955066"</f>
        <v>9780520955066</v>
      </c>
      <c r="K5017" t="s">
        <v>8137</v>
      </c>
      <c r="L5017">
        <v>35</v>
      </c>
      <c r="O5017" t="s">
        <v>30</v>
      </c>
      <c r="P5017" t="s">
        <v>29</v>
      </c>
      <c r="Q5017" s="1">
        <v>42304.58326388889</v>
      </c>
      <c r="R5017">
        <v>7</v>
      </c>
      <c r="S5017" t="s">
        <v>31</v>
      </c>
      <c r="T5017" t="s">
        <v>8138</v>
      </c>
      <c r="U5017" t="s">
        <v>8139</v>
      </c>
      <c r="V5017" s="3">
        <v>41408</v>
      </c>
    </row>
    <row r="5018" spans="1:22" x14ac:dyDescent="0.35">
      <c r="A5018" s="1">
        <v>42307.62972222222</v>
      </c>
      <c r="B5018" s="2">
        <v>2.4502314814814814E-2</v>
      </c>
      <c r="C5018" t="s">
        <v>6724</v>
      </c>
      <c r="D5018" t="s">
        <v>23</v>
      </c>
      <c r="E5018" t="s">
        <v>24</v>
      </c>
      <c r="F5018" t="s">
        <v>486</v>
      </c>
      <c r="G5018">
        <v>1119505</v>
      </c>
      <c r="H5018" t="s">
        <v>26</v>
      </c>
      <c r="I5018" t="s">
        <v>450</v>
      </c>
      <c r="J5018" t="str">
        <f>"9781118355015"</f>
        <v>9781118355015</v>
      </c>
      <c r="K5018" t="s">
        <v>8140</v>
      </c>
      <c r="L5018">
        <v>17</v>
      </c>
      <c r="O5018" t="s">
        <v>30</v>
      </c>
      <c r="P5018" t="s">
        <v>29</v>
      </c>
      <c r="Q5018" s="1">
        <v>42307.629710648151</v>
      </c>
      <c r="R5018">
        <v>7</v>
      </c>
      <c r="S5018" t="s">
        <v>31</v>
      </c>
      <c r="T5018" t="s">
        <v>487</v>
      </c>
      <c r="U5018" t="s">
        <v>488</v>
      </c>
      <c r="V5018" s="3">
        <v>41302</v>
      </c>
    </row>
    <row r="5019" spans="1:22" x14ac:dyDescent="0.35">
      <c r="A5019" s="1">
        <v>42307.622743055559</v>
      </c>
      <c r="B5019" s="2">
        <v>6.9675925925925921E-3</v>
      </c>
      <c r="C5019" t="s">
        <v>6724</v>
      </c>
      <c r="D5019" t="s">
        <v>23</v>
      </c>
      <c r="E5019" t="s">
        <v>24</v>
      </c>
      <c r="F5019" t="s">
        <v>486</v>
      </c>
      <c r="G5019">
        <v>1119505</v>
      </c>
      <c r="H5019" t="s">
        <v>26</v>
      </c>
      <c r="I5019" t="s">
        <v>450</v>
      </c>
      <c r="J5019" t="str">
        <f>"9781118355015"</f>
        <v>9781118355015</v>
      </c>
      <c r="K5019" t="s">
        <v>8141</v>
      </c>
      <c r="L5019">
        <v>25</v>
      </c>
      <c r="O5019" t="s">
        <v>30</v>
      </c>
      <c r="P5019" t="s">
        <v>42</v>
      </c>
      <c r="S5019" t="s">
        <v>31</v>
      </c>
      <c r="T5019" t="s">
        <v>487</v>
      </c>
      <c r="U5019" t="s">
        <v>488</v>
      </c>
      <c r="V5019" s="3">
        <v>41302</v>
      </c>
    </row>
    <row r="5020" spans="1:22" x14ac:dyDescent="0.35">
      <c r="A5020" s="1">
        <v>42307.589895833335</v>
      </c>
      <c r="B5020" s="2">
        <v>3.8194444444444446E-4</v>
      </c>
      <c r="C5020" t="s">
        <v>2958</v>
      </c>
      <c r="D5020" t="s">
        <v>146</v>
      </c>
      <c r="E5020" t="s">
        <v>147</v>
      </c>
      <c r="F5020" t="s">
        <v>8142</v>
      </c>
      <c r="G5020">
        <v>871516</v>
      </c>
      <c r="H5020" t="s">
        <v>26</v>
      </c>
      <c r="I5020" t="s">
        <v>3061</v>
      </c>
      <c r="J5020" t="str">
        <f>"9781444347210"</f>
        <v>9781444347210</v>
      </c>
      <c r="K5020" t="s">
        <v>8143</v>
      </c>
      <c r="L5020">
        <v>9</v>
      </c>
      <c r="O5020" t="s">
        <v>30</v>
      </c>
      <c r="P5020" t="s">
        <v>42</v>
      </c>
      <c r="S5020" t="s">
        <v>2961</v>
      </c>
      <c r="T5020" t="s">
        <v>8144</v>
      </c>
      <c r="U5020" t="s">
        <v>8145</v>
      </c>
      <c r="V5020" s="3">
        <v>40967</v>
      </c>
    </row>
    <row r="5021" spans="1:22" x14ac:dyDescent="0.35">
      <c r="A5021" s="1">
        <v>42307.587916666664</v>
      </c>
      <c r="B5021" s="2">
        <v>4.5138888888888892E-4</v>
      </c>
      <c r="C5021" t="s">
        <v>6408</v>
      </c>
      <c r="D5021" t="s">
        <v>35</v>
      </c>
      <c r="E5021" t="s">
        <v>36</v>
      </c>
      <c r="F5021" t="s">
        <v>3275</v>
      </c>
      <c r="G5021">
        <v>822662</v>
      </c>
      <c r="H5021" t="s">
        <v>26</v>
      </c>
      <c r="I5021" t="s">
        <v>172</v>
      </c>
      <c r="J5021" t="str">
        <f>"9781444355130"</f>
        <v>9781444355130</v>
      </c>
      <c r="K5021" t="s">
        <v>8146</v>
      </c>
      <c r="L5021">
        <v>23</v>
      </c>
      <c r="O5021" t="s">
        <v>30</v>
      </c>
      <c r="P5021" t="s">
        <v>42</v>
      </c>
      <c r="S5021" t="s">
        <v>40</v>
      </c>
      <c r="T5021" t="s">
        <v>3277</v>
      </c>
      <c r="U5021">
        <v>960.3</v>
      </c>
      <c r="V5021" s="3">
        <v>40858</v>
      </c>
    </row>
    <row r="5022" spans="1:22" x14ac:dyDescent="0.35">
      <c r="A5022" s="1">
        <v>42307.567511574074</v>
      </c>
      <c r="B5022" s="2">
        <v>2.4421296296296296E-3</v>
      </c>
      <c r="C5022" t="s">
        <v>8135</v>
      </c>
      <c r="D5022" t="s">
        <v>23</v>
      </c>
      <c r="E5022" t="s">
        <v>24</v>
      </c>
      <c r="F5022" t="s">
        <v>8136</v>
      </c>
      <c r="G5022">
        <v>1190428</v>
      </c>
      <c r="H5022" t="s">
        <v>84</v>
      </c>
      <c r="I5022" t="s">
        <v>38</v>
      </c>
      <c r="J5022" t="str">
        <f>"9780520955066"</f>
        <v>9780520955066</v>
      </c>
      <c r="K5022" t="s">
        <v>8147</v>
      </c>
      <c r="L5022">
        <v>11</v>
      </c>
      <c r="O5022" t="s">
        <v>30</v>
      </c>
      <c r="P5022" t="s">
        <v>29</v>
      </c>
      <c r="Q5022" s="1">
        <v>42304.58326388889</v>
      </c>
      <c r="R5022">
        <v>7</v>
      </c>
      <c r="S5022" t="s">
        <v>31</v>
      </c>
      <c r="T5022" t="s">
        <v>8138</v>
      </c>
      <c r="U5022" t="s">
        <v>8139</v>
      </c>
      <c r="V5022" s="3">
        <v>41408</v>
      </c>
    </row>
    <row r="5023" spans="1:22" x14ac:dyDescent="0.35">
      <c r="A5023" s="1">
        <v>42307.565185185187</v>
      </c>
      <c r="B5023" s="2">
        <v>7.2337962962962963E-3</v>
      </c>
      <c r="C5023" t="s">
        <v>8148</v>
      </c>
      <c r="D5023" t="s">
        <v>335</v>
      </c>
      <c r="E5023" t="s">
        <v>336</v>
      </c>
      <c r="F5023" t="s">
        <v>8149</v>
      </c>
      <c r="G5023">
        <v>2039103</v>
      </c>
      <c r="H5023" t="s">
        <v>45</v>
      </c>
      <c r="I5023" t="s">
        <v>426</v>
      </c>
      <c r="J5023" t="str">
        <f>"9781472430151"</f>
        <v>9781472430151</v>
      </c>
      <c r="K5023" t="s">
        <v>8150</v>
      </c>
      <c r="L5023">
        <v>21</v>
      </c>
      <c r="O5023" t="s">
        <v>30</v>
      </c>
      <c r="P5023" t="s">
        <v>47</v>
      </c>
      <c r="Q5023" s="1">
        <v>42307.565185185187</v>
      </c>
      <c r="R5023">
        <v>1</v>
      </c>
      <c r="S5023" t="s">
        <v>340</v>
      </c>
      <c r="T5023" t="s">
        <v>8151</v>
      </c>
      <c r="U5023" t="s">
        <v>8152</v>
      </c>
      <c r="V5023" s="3">
        <v>42183</v>
      </c>
    </row>
    <row r="5024" spans="1:22" x14ac:dyDescent="0.35">
      <c r="A5024" s="1">
        <v>42307.561018518521</v>
      </c>
      <c r="B5024" s="2">
        <v>4.1666666666666666E-3</v>
      </c>
      <c r="C5024" t="s">
        <v>8148</v>
      </c>
      <c r="D5024" t="s">
        <v>335</v>
      </c>
      <c r="E5024" t="s">
        <v>336</v>
      </c>
      <c r="F5024" t="s">
        <v>8149</v>
      </c>
      <c r="G5024">
        <v>2039103</v>
      </c>
      <c r="H5024" t="s">
        <v>45</v>
      </c>
      <c r="I5024" t="s">
        <v>426</v>
      </c>
      <c r="J5024" t="str">
        <f>"9781472430151"</f>
        <v>9781472430151</v>
      </c>
      <c r="K5024" t="s">
        <v>8153</v>
      </c>
      <c r="L5024">
        <v>9</v>
      </c>
      <c r="O5024" t="s">
        <v>30</v>
      </c>
      <c r="P5024" t="s">
        <v>50</v>
      </c>
      <c r="S5024" t="s">
        <v>340</v>
      </c>
      <c r="T5024" t="s">
        <v>8151</v>
      </c>
      <c r="U5024" t="s">
        <v>8152</v>
      </c>
      <c r="V5024" s="3">
        <v>42183</v>
      </c>
    </row>
    <row r="5025" spans="1:22" x14ac:dyDescent="0.35">
      <c r="A5025" s="1">
        <v>42307.559837962966</v>
      </c>
      <c r="B5025" s="2">
        <v>2.0833333333333335E-4</v>
      </c>
      <c r="C5025" t="s">
        <v>8148</v>
      </c>
      <c r="D5025" t="s">
        <v>335</v>
      </c>
      <c r="E5025" t="s">
        <v>336</v>
      </c>
      <c r="F5025" t="s">
        <v>8154</v>
      </c>
      <c r="G5025">
        <v>1808791</v>
      </c>
      <c r="H5025" t="s">
        <v>45</v>
      </c>
      <c r="I5025" t="s">
        <v>247</v>
      </c>
      <c r="J5025" t="str">
        <f>"9781472418746"</f>
        <v>9781472418746</v>
      </c>
      <c r="K5025" t="s">
        <v>2179</v>
      </c>
      <c r="L5025">
        <v>9</v>
      </c>
      <c r="O5025" t="s">
        <v>30</v>
      </c>
      <c r="P5025" t="s">
        <v>50</v>
      </c>
      <c r="S5025" t="s">
        <v>340</v>
      </c>
      <c r="T5025" t="s">
        <v>8155</v>
      </c>
      <c r="U5025" t="s">
        <v>8156</v>
      </c>
      <c r="V5025" s="3">
        <v>41971</v>
      </c>
    </row>
    <row r="5026" spans="1:22" x14ac:dyDescent="0.35">
      <c r="A5026" s="1">
        <v>42307.559155092589</v>
      </c>
      <c r="B5026" s="2">
        <v>5.5555555555555556E-4</v>
      </c>
      <c r="C5026" t="s">
        <v>8148</v>
      </c>
      <c r="D5026" t="s">
        <v>335</v>
      </c>
      <c r="E5026" t="s">
        <v>336</v>
      </c>
      <c r="F5026" t="s">
        <v>8154</v>
      </c>
      <c r="G5026">
        <v>1808791</v>
      </c>
      <c r="H5026" t="s">
        <v>45</v>
      </c>
      <c r="I5026" t="s">
        <v>247</v>
      </c>
      <c r="J5026" t="str">
        <f>"9781472418746"</f>
        <v>9781472418746</v>
      </c>
      <c r="K5026" t="s">
        <v>8157</v>
      </c>
      <c r="L5026">
        <v>8</v>
      </c>
      <c r="O5026" t="s">
        <v>30</v>
      </c>
      <c r="P5026" t="s">
        <v>50</v>
      </c>
      <c r="S5026" t="s">
        <v>340</v>
      </c>
      <c r="T5026" t="s">
        <v>8155</v>
      </c>
      <c r="U5026" t="s">
        <v>8156</v>
      </c>
      <c r="V5026" s="3">
        <v>41971</v>
      </c>
    </row>
    <row r="5027" spans="1:22" x14ac:dyDescent="0.35">
      <c r="A5027" s="1">
        <v>42307.542974537035</v>
      </c>
      <c r="B5027" s="2">
        <v>0</v>
      </c>
      <c r="C5027" t="s">
        <v>2595</v>
      </c>
      <c r="D5027" t="s">
        <v>23</v>
      </c>
      <c r="E5027" t="s">
        <v>24</v>
      </c>
      <c r="F5027" t="s">
        <v>2596</v>
      </c>
      <c r="G5027">
        <v>1762797</v>
      </c>
      <c r="H5027" t="s">
        <v>26</v>
      </c>
      <c r="I5027" t="s">
        <v>120</v>
      </c>
      <c r="J5027" t="str">
        <f>"9781118921296"</f>
        <v>9781118921296</v>
      </c>
      <c r="L5027">
        <v>0</v>
      </c>
      <c r="O5027" t="s">
        <v>28</v>
      </c>
      <c r="P5027" t="s">
        <v>29</v>
      </c>
      <c r="Q5027" s="1">
        <v>42307.542974537035</v>
      </c>
      <c r="R5027">
        <v>7</v>
      </c>
      <c r="S5027" t="s">
        <v>31</v>
      </c>
      <c r="T5027" t="s">
        <v>2598</v>
      </c>
      <c r="U5027" t="s">
        <v>2599</v>
      </c>
      <c r="V5027" s="3">
        <v>41857</v>
      </c>
    </row>
    <row r="5028" spans="1:22" x14ac:dyDescent="0.35">
      <c r="A5028" s="1">
        <v>42307.542974537035</v>
      </c>
      <c r="B5028" s="2">
        <v>0</v>
      </c>
      <c r="C5028" t="s">
        <v>2595</v>
      </c>
      <c r="D5028" t="s">
        <v>23</v>
      </c>
      <c r="E5028" t="s">
        <v>24</v>
      </c>
      <c r="F5028" t="s">
        <v>2596</v>
      </c>
      <c r="G5028">
        <v>1762797</v>
      </c>
      <c r="H5028" t="s">
        <v>26</v>
      </c>
      <c r="I5028" t="s">
        <v>120</v>
      </c>
      <c r="J5028" t="str">
        <f>"9781118921296"</f>
        <v>9781118921296</v>
      </c>
      <c r="L5028">
        <v>0</v>
      </c>
      <c r="O5028" t="s">
        <v>30</v>
      </c>
      <c r="P5028" t="s">
        <v>29</v>
      </c>
      <c r="Q5028" s="1">
        <v>42307.542974537035</v>
      </c>
      <c r="R5028">
        <v>7</v>
      </c>
      <c r="S5028" t="s">
        <v>31</v>
      </c>
      <c r="T5028" t="s">
        <v>2598</v>
      </c>
      <c r="U5028" t="s">
        <v>2599</v>
      </c>
      <c r="V5028" s="3">
        <v>41857</v>
      </c>
    </row>
    <row r="5029" spans="1:22" x14ac:dyDescent="0.35">
      <c r="A5029" s="1">
        <v>42307.542766203704</v>
      </c>
      <c r="B5029" s="2">
        <v>1.9675925925925926E-4</v>
      </c>
      <c r="C5029" t="s">
        <v>2595</v>
      </c>
      <c r="D5029" t="s">
        <v>23</v>
      </c>
      <c r="E5029" t="s">
        <v>24</v>
      </c>
      <c r="F5029" t="s">
        <v>2596</v>
      </c>
      <c r="G5029">
        <v>1762797</v>
      </c>
      <c r="H5029" t="s">
        <v>26</v>
      </c>
      <c r="I5029" t="s">
        <v>120</v>
      </c>
      <c r="J5029" t="str">
        <f>"9781118921296"</f>
        <v>9781118921296</v>
      </c>
      <c r="K5029" t="s">
        <v>33</v>
      </c>
      <c r="L5029">
        <v>3</v>
      </c>
      <c r="O5029" t="s">
        <v>30</v>
      </c>
      <c r="P5029" t="s">
        <v>42</v>
      </c>
      <c r="S5029" t="s">
        <v>31</v>
      </c>
      <c r="T5029" t="s">
        <v>2598</v>
      </c>
      <c r="U5029" t="s">
        <v>2599</v>
      </c>
      <c r="V5029" s="3">
        <v>41857</v>
      </c>
    </row>
    <row r="5030" spans="1:22" x14ac:dyDescent="0.35">
      <c r="A5030" s="1">
        <v>42307.535381944443</v>
      </c>
      <c r="B5030" s="2">
        <v>4.2824074074074075E-4</v>
      </c>
      <c r="C5030" t="s">
        <v>106</v>
      </c>
      <c r="D5030" t="s">
        <v>23</v>
      </c>
      <c r="E5030" t="s">
        <v>24</v>
      </c>
      <c r="F5030" t="s">
        <v>486</v>
      </c>
      <c r="G5030">
        <v>1119505</v>
      </c>
      <c r="H5030" t="s">
        <v>26</v>
      </c>
      <c r="I5030" t="s">
        <v>450</v>
      </c>
      <c r="J5030" t="str">
        <f>"9781118355015"</f>
        <v>9781118355015</v>
      </c>
      <c r="K5030" t="s">
        <v>8158</v>
      </c>
      <c r="L5030">
        <v>10</v>
      </c>
      <c r="O5030" t="s">
        <v>30</v>
      </c>
      <c r="P5030" t="s">
        <v>29</v>
      </c>
      <c r="Q5030" s="1">
        <v>42306.770254629628</v>
      </c>
      <c r="R5030">
        <v>7</v>
      </c>
      <c r="S5030" t="s">
        <v>31</v>
      </c>
      <c r="T5030" t="s">
        <v>487</v>
      </c>
      <c r="U5030" t="s">
        <v>488</v>
      </c>
      <c r="V5030" s="3">
        <v>41302</v>
      </c>
    </row>
    <row r="5031" spans="1:22" x14ac:dyDescent="0.35">
      <c r="A5031" s="1">
        <v>42307.401388888888</v>
      </c>
      <c r="B5031" s="2">
        <v>0</v>
      </c>
      <c r="C5031" t="s">
        <v>7498</v>
      </c>
      <c r="D5031" t="s">
        <v>35</v>
      </c>
      <c r="E5031" t="s">
        <v>36</v>
      </c>
      <c r="F5031" t="s">
        <v>3275</v>
      </c>
      <c r="G5031">
        <v>822662</v>
      </c>
      <c r="H5031" t="s">
        <v>26</v>
      </c>
      <c r="I5031" t="s">
        <v>172</v>
      </c>
      <c r="J5031" t="str">
        <f>"9781444355130"</f>
        <v>9781444355130</v>
      </c>
      <c r="L5031">
        <v>0</v>
      </c>
      <c r="N5031" t="s">
        <v>8159</v>
      </c>
      <c r="O5031" t="s">
        <v>30</v>
      </c>
      <c r="P5031" t="s">
        <v>29</v>
      </c>
      <c r="Q5031" s="1">
        <v>42307.401377314818</v>
      </c>
      <c r="R5031">
        <v>7</v>
      </c>
      <c r="S5031" t="s">
        <v>40</v>
      </c>
      <c r="T5031" t="s">
        <v>3277</v>
      </c>
      <c r="U5031">
        <v>960.3</v>
      </c>
      <c r="V5031" s="3">
        <v>40858</v>
      </c>
    </row>
    <row r="5032" spans="1:22" x14ac:dyDescent="0.35">
      <c r="A5032" s="1">
        <v>42307.398796296293</v>
      </c>
      <c r="B5032" s="2">
        <v>2.5810185185185185E-3</v>
      </c>
      <c r="C5032" t="s">
        <v>7498</v>
      </c>
      <c r="D5032" t="s">
        <v>35</v>
      </c>
      <c r="E5032" t="s">
        <v>36</v>
      </c>
      <c r="F5032" t="s">
        <v>3275</v>
      </c>
      <c r="G5032">
        <v>822662</v>
      </c>
      <c r="H5032" t="s">
        <v>26</v>
      </c>
      <c r="I5032" t="s">
        <v>172</v>
      </c>
      <c r="J5032" t="str">
        <f>"9781444355130"</f>
        <v>9781444355130</v>
      </c>
      <c r="K5032" t="s">
        <v>8160</v>
      </c>
      <c r="L5032">
        <v>38</v>
      </c>
      <c r="O5032" t="s">
        <v>30</v>
      </c>
      <c r="P5032" t="s">
        <v>42</v>
      </c>
      <c r="S5032" t="s">
        <v>40</v>
      </c>
      <c r="T5032" t="s">
        <v>3277</v>
      </c>
      <c r="U5032">
        <v>960.3</v>
      </c>
      <c r="V5032" s="3">
        <v>40858</v>
      </c>
    </row>
    <row r="5033" spans="1:22" x14ac:dyDescent="0.35">
      <c r="A5033" s="1">
        <v>42307.323865740742</v>
      </c>
      <c r="B5033" s="2">
        <v>0</v>
      </c>
      <c r="C5033" t="s">
        <v>4813</v>
      </c>
      <c r="D5033" t="s">
        <v>23</v>
      </c>
      <c r="E5033" t="s">
        <v>24</v>
      </c>
      <c r="F5033" t="s">
        <v>8130</v>
      </c>
      <c r="G5033">
        <v>1784643</v>
      </c>
      <c r="H5033" t="s">
        <v>45</v>
      </c>
      <c r="I5033" t="s">
        <v>8131</v>
      </c>
      <c r="J5033" t="str">
        <f>"9781472425164"</f>
        <v>9781472425164</v>
      </c>
      <c r="L5033">
        <v>0</v>
      </c>
      <c r="O5033" t="s">
        <v>28</v>
      </c>
      <c r="P5033" t="s">
        <v>47</v>
      </c>
      <c r="Q5033" s="1">
        <v>42307.311342592591</v>
      </c>
      <c r="R5033">
        <v>1</v>
      </c>
      <c r="S5033" t="s">
        <v>31</v>
      </c>
      <c r="T5033" t="s">
        <v>8132</v>
      </c>
      <c r="U5033" t="s">
        <v>255</v>
      </c>
      <c r="V5033" s="3">
        <v>41971</v>
      </c>
    </row>
    <row r="5034" spans="1:22" x14ac:dyDescent="0.35">
      <c r="A5034" s="1">
        <v>42307.311354166668</v>
      </c>
      <c r="B5034" s="2">
        <v>1.247685185185185E-2</v>
      </c>
      <c r="C5034" t="s">
        <v>4813</v>
      </c>
      <c r="D5034" t="s">
        <v>23</v>
      </c>
      <c r="E5034" t="s">
        <v>24</v>
      </c>
      <c r="F5034" t="s">
        <v>8130</v>
      </c>
      <c r="G5034">
        <v>1784643</v>
      </c>
      <c r="H5034" t="s">
        <v>45</v>
      </c>
      <c r="I5034" t="s">
        <v>8131</v>
      </c>
      <c r="J5034" t="str">
        <f>"9781472425164"</f>
        <v>9781472425164</v>
      </c>
      <c r="K5034" t="s">
        <v>8161</v>
      </c>
      <c r="L5034">
        <v>8</v>
      </c>
      <c r="O5034" t="s">
        <v>30</v>
      </c>
      <c r="P5034" t="s">
        <v>47</v>
      </c>
      <c r="Q5034" s="1">
        <v>42307.311342592591</v>
      </c>
      <c r="R5034">
        <v>1</v>
      </c>
      <c r="S5034" t="s">
        <v>31</v>
      </c>
      <c r="T5034" t="s">
        <v>8132</v>
      </c>
      <c r="U5034" t="s">
        <v>255</v>
      </c>
      <c r="V5034" s="3">
        <v>41971</v>
      </c>
    </row>
    <row r="5035" spans="1:22" x14ac:dyDescent="0.35">
      <c r="A5035" s="1">
        <v>42307.303622685184</v>
      </c>
      <c r="B5035" s="2">
        <v>7.719907407407408E-3</v>
      </c>
      <c r="C5035" t="s">
        <v>4813</v>
      </c>
      <c r="D5035" t="s">
        <v>23</v>
      </c>
      <c r="E5035" t="s">
        <v>24</v>
      </c>
      <c r="F5035" t="s">
        <v>8130</v>
      </c>
      <c r="G5035">
        <v>1784643</v>
      </c>
      <c r="H5035" t="s">
        <v>45</v>
      </c>
      <c r="I5035" t="s">
        <v>8131</v>
      </c>
      <c r="J5035" t="str">
        <f>"9781472425164"</f>
        <v>9781472425164</v>
      </c>
      <c r="K5035" t="s">
        <v>8162</v>
      </c>
      <c r="L5035">
        <v>10</v>
      </c>
      <c r="O5035" t="s">
        <v>30</v>
      </c>
      <c r="P5035" t="s">
        <v>50</v>
      </c>
      <c r="S5035" t="s">
        <v>31</v>
      </c>
      <c r="T5035" t="s">
        <v>8132</v>
      </c>
      <c r="U5035" t="s">
        <v>255</v>
      </c>
      <c r="V5035" s="3">
        <v>41971</v>
      </c>
    </row>
    <row r="5036" spans="1:22" x14ac:dyDescent="0.35">
      <c r="A5036" s="1">
        <v>42307.282233796293</v>
      </c>
      <c r="B5036" s="2">
        <v>1.4884259259259259E-2</v>
      </c>
      <c r="C5036" t="s">
        <v>8163</v>
      </c>
      <c r="D5036" t="s">
        <v>23</v>
      </c>
      <c r="E5036" t="s">
        <v>24</v>
      </c>
      <c r="F5036" t="s">
        <v>8164</v>
      </c>
      <c r="G5036">
        <v>1869289</v>
      </c>
      <c r="H5036" t="s">
        <v>45</v>
      </c>
      <c r="I5036" t="s">
        <v>120</v>
      </c>
      <c r="J5036" t="str">
        <f>"9781409445227"</f>
        <v>9781409445227</v>
      </c>
      <c r="K5036" t="s">
        <v>8165</v>
      </c>
      <c r="L5036">
        <v>16</v>
      </c>
      <c r="N5036" t="s">
        <v>8166</v>
      </c>
      <c r="O5036" t="s">
        <v>30</v>
      </c>
      <c r="P5036" t="s">
        <v>47</v>
      </c>
      <c r="Q5036" s="1">
        <v>42307.282233796293</v>
      </c>
      <c r="R5036">
        <v>1</v>
      </c>
      <c r="S5036" t="s">
        <v>31</v>
      </c>
      <c r="T5036" t="s">
        <v>8167</v>
      </c>
      <c r="U5036" t="s">
        <v>8168</v>
      </c>
      <c r="V5036" s="3">
        <v>42032</v>
      </c>
    </row>
    <row r="5037" spans="1:22" x14ac:dyDescent="0.35">
      <c r="A5037" s="1">
        <v>42307.273912037039</v>
      </c>
      <c r="B5037" s="2">
        <v>8.3217592592592596E-3</v>
      </c>
      <c r="C5037" t="s">
        <v>8163</v>
      </c>
      <c r="D5037" t="s">
        <v>23</v>
      </c>
      <c r="E5037" t="s">
        <v>24</v>
      </c>
      <c r="F5037" t="s">
        <v>8164</v>
      </c>
      <c r="G5037">
        <v>1869289</v>
      </c>
      <c r="H5037" t="s">
        <v>45</v>
      </c>
      <c r="I5037" t="s">
        <v>120</v>
      </c>
      <c r="J5037" t="str">
        <f>"9781409445227"</f>
        <v>9781409445227</v>
      </c>
      <c r="K5037" t="s">
        <v>8169</v>
      </c>
      <c r="L5037">
        <v>20</v>
      </c>
      <c r="O5037" t="s">
        <v>30</v>
      </c>
      <c r="P5037" t="s">
        <v>50</v>
      </c>
      <c r="S5037" t="s">
        <v>31</v>
      </c>
      <c r="T5037" t="s">
        <v>8167</v>
      </c>
      <c r="U5037" t="s">
        <v>8168</v>
      </c>
      <c r="V5037" s="3">
        <v>42032</v>
      </c>
    </row>
    <row r="5038" spans="1:22" x14ac:dyDescent="0.35">
      <c r="A5038" s="1">
        <v>42307.204791666663</v>
      </c>
      <c r="B5038" s="2">
        <v>1.1574074074074073E-5</v>
      </c>
      <c r="C5038" t="s">
        <v>8170</v>
      </c>
      <c r="D5038" t="s">
        <v>23</v>
      </c>
      <c r="E5038" t="s">
        <v>24</v>
      </c>
      <c r="F5038" t="s">
        <v>8171</v>
      </c>
      <c r="G5038">
        <v>1604461</v>
      </c>
      <c r="H5038" t="s">
        <v>526</v>
      </c>
      <c r="I5038" t="s">
        <v>69</v>
      </c>
      <c r="J5038" t="str">
        <f>"9780226120355"</f>
        <v>9780226120355</v>
      </c>
      <c r="K5038" t="s">
        <v>8172</v>
      </c>
      <c r="L5038">
        <v>1</v>
      </c>
      <c r="O5038" t="s">
        <v>30</v>
      </c>
      <c r="P5038" t="s">
        <v>47</v>
      </c>
      <c r="Q5038" s="1">
        <v>42307.204791666663</v>
      </c>
      <c r="R5038">
        <v>1</v>
      </c>
      <c r="S5038" t="s">
        <v>31</v>
      </c>
      <c r="T5038" t="s">
        <v>8173</v>
      </c>
      <c r="U5038" t="s">
        <v>8174</v>
      </c>
      <c r="V5038" s="3">
        <v>41716</v>
      </c>
    </row>
    <row r="5039" spans="1:22" x14ac:dyDescent="0.35">
      <c r="A5039" s="1">
        <v>42307.182141203702</v>
      </c>
      <c r="B5039" s="2">
        <v>2.7662037037037034E-3</v>
      </c>
      <c r="C5039" t="s">
        <v>8175</v>
      </c>
      <c r="D5039" t="s">
        <v>23</v>
      </c>
      <c r="E5039" t="s">
        <v>24</v>
      </c>
      <c r="F5039" t="s">
        <v>4117</v>
      </c>
      <c r="G5039">
        <v>1724876</v>
      </c>
      <c r="H5039" t="s">
        <v>26</v>
      </c>
      <c r="I5039" t="s">
        <v>108</v>
      </c>
      <c r="J5039" t="str">
        <f>"9781118914113"</f>
        <v>9781118914113</v>
      </c>
      <c r="K5039" t="s">
        <v>8176</v>
      </c>
      <c r="L5039">
        <v>8</v>
      </c>
      <c r="O5039" t="s">
        <v>30</v>
      </c>
      <c r="P5039" t="s">
        <v>42</v>
      </c>
      <c r="S5039" t="s">
        <v>31</v>
      </c>
      <c r="T5039" t="s">
        <v>4120</v>
      </c>
      <c r="U5039">
        <v>332</v>
      </c>
      <c r="V5039" s="3">
        <v>41816</v>
      </c>
    </row>
    <row r="5040" spans="1:22" x14ac:dyDescent="0.35">
      <c r="A5040" s="1">
        <v>42307.181516203702</v>
      </c>
      <c r="B5040" s="2">
        <v>4.6296296296296293E-4</v>
      </c>
      <c r="C5040" t="s">
        <v>8175</v>
      </c>
      <c r="D5040" t="s">
        <v>23</v>
      </c>
      <c r="E5040" t="s">
        <v>24</v>
      </c>
      <c r="F5040" t="s">
        <v>2132</v>
      </c>
      <c r="G5040">
        <v>821801</v>
      </c>
      <c r="H5040" t="s">
        <v>26</v>
      </c>
      <c r="I5040" t="s">
        <v>2133</v>
      </c>
      <c r="J5040" t="str">
        <f>"9781118224144"</f>
        <v>9781118224144</v>
      </c>
      <c r="K5040" t="s">
        <v>8177</v>
      </c>
      <c r="L5040">
        <v>1</v>
      </c>
      <c r="O5040" t="s">
        <v>28</v>
      </c>
      <c r="P5040" t="s">
        <v>29</v>
      </c>
      <c r="Q5040" s="1">
        <v>42307.181192129632</v>
      </c>
      <c r="R5040">
        <v>7</v>
      </c>
      <c r="S5040" t="s">
        <v>31</v>
      </c>
      <c r="T5040" t="s">
        <v>2135</v>
      </c>
      <c r="U5040">
        <v>658.00760000000002</v>
      </c>
      <c r="V5040" s="3">
        <v>40974</v>
      </c>
    </row>
    <row r="5041" spans="1:22" x14ac:dyDescent="0.35">
      <c r="A5041" s="1">
        <v>42307.181192129632</v>
      </c>
      <c r="B5041" s="2">
        <v>0</v>
      </c>
      <c r="C5041" t="s">
        <v>8175</v>
      </c>
      <c r="D5041" t="s">
        <v>23</v>
      </c>
      <c r="E5041" t="s">
        <v>24</v>
      </c>
      <c r="F5041" t="s">
        <v>2132</v>
      </c>
      <c r="G5041">
        <v>821801</v>
      </c>
      <c r="H5041" t="s">
        <v>26</v>
      </c>
      <c r="I5041" t="s">
        <v>2133</v>
      </c>
      <c r="J5041" t="str">
        <f>"9781118224144"</f>
        <v>9781118224144</v>
      </c>
      <c r="L5041">
        <v>0</v>
      </c>
      <c r="M5041" t="s">
        <v>105</v>
      </c>
      <c r="O5041" t="s">
        <v>30</v>
      </c>
      <c r="P5041" t="s">
        <v>29</v>
      </c>
      <c r="Q5041" s="1">
        <v>42307.181192129632</v>
      </c>
      <c r="R5041">
        <v>7</v>
      </c>
      <c r="S5041" t="s">
        <v>31</v>
      </c>
      <c r="T5041" t="s">
        <v>2135</v>
      </c>
      <c r="U5041">
        <v>658.00760000000002</v>
      </c>
      <c r="V5041" s="3">
        <v>40974</v>
      </c>
    </row>
    <row r="5042" spans="1:22" x14ac:dyDescent="0.35">
      <c r="A5042" s="1">
        <v>42307.180925925924</v>
      </c>
      <c r="B5042" s="2">
        <v>2.6620370370370372E-4</v>
      </c>
      <c r="C5042" t="s">
        <v>8175</v>
      </c>
      <c r="D5042" t="s">
        <v>23</v>
      </c>
      <c r="E5042" t="s">
        <v>24</v>
      </c>
      <c r="F5042" t="s">
        <v>2132</v>
      </c>
      <c r="G5042">
        <v>821801</v>
      </c>
      <c r="H5042" t="s">
        <v>26</v>
      </c>
      <c r="I5042" t="s">
        <v>2133</v>
      </c>
      <c r="J5042" t="str">
        <f>"9781118224144"</f>
        <v>9781118224144</v>
      </c>
      <c r="K5042" t="s">
        <v>202</v>
      </c>
      <c r="L5042">
        <v>3</v>
      </c>
      <c r="O5042" t="s">
        <v>30</v>
      </c>
      <c r="P5042" t="s">
        <v>42</v>
      </c>
      <c r="S5042" t="s">
        <v>31</v>
      </c>
      <c r="T5042" t="s">
        <v>2135</v>
      </c>
      <c r="U5042">
        <v>658.00760000000002</v>
      </c>
      <c r="V5042" s="3">
        <v>40974</v>
      </c>
    </row>
    <row r="5043" spans="1:22" x14ac:dyDescent="0.35">
      <c r="A5043" s="1">
        <v>42307.126701388886</v>
      </c>
      <c r="B5043" s="2">
        <v>7.8090277777777786E-2</v>
      </c>
      <c r="C5043" t="s">
        <v>8170</v>
      </c>
      <c r="D5043" t="s">
        <v>23</v>
      </c>
      <c r="E5043" t="s">
        <v>24</v>
      </c>
      <c r="F5043" t="s">
        <v>8171</v>
      </c>
      <c r="G5043">
        <v>1604461</v>
      </c>
      <c r="H5043" t="s">
        <v>526</v>
      </c>
      <c r="I5043" t="s">
        <v>69</v>
      </c>
      <c r="J5043" t="str">
        <f>"9780226120355"</f>
        <v>9780226120355</v>
      </c>
      <c r="K5043" t="s">
        <v>8178</v>
      </c>
      <c r="L5043">
        <v>14</v>
      </c>
      <c r="O5043" t="s">
        <v>30</v>
      </c>
      <c r="P5043" t="s">
        <v>50</v>
      </c>
      <c r="S5043" t="s">
        <v>31</v>
      </c>
      <c r="T5043" t="s">
        <v>8173</v>
      </c>
      <c r="U5043" t="s">
        <v>8174</v>
      </c>
      <c r="V5043" s="3">
        <v>41716</v>
      </c>
    </row>
    <row r="5044" spans="1:22" x14ac:dyDescent="0.35">
      <c r="A5044" s="1">
        <v>42307.083518518521</v>
      </c>
      <c r="B5044" s="2">
        <v>2.7777777777777778E-4</v>
      </c>
      <c r="C5044" t="s">
        <v>8179</v>
      </c>
      <c r="D5044" t="s">
        <v>211</v>
      </c>
      <c r="E5044" t="s">
        <v>212</v>
      </c>
      <c r="F5044" t="s">
        <v>8180</v>
      </c>
      <c r="G5044">
        <v>1782535</v>
      </c>
      <c r="H5044" t="s">
        <v>26</v>
      </c>
      <c r="I5044" t="s">
        <v>8181</v>
      </c>
      <c r="J5044" t="str">
        <f>"9780745684550"</f>
        <v>9780745684550</v>
      </c>
      <c r="K5044" t="s">
        <v>8182</v>
      </c>
      <c r="L5044">
        <v>7</v>
      </c>
      <c r="O5044" t="s">
        <v>30</v>
      </c>
      <c r="P5044" t="s">
        <v>50</v>
      </c>
      <c r="S5044" t="s">
        <v>214</v>
      </c>
      <c r="T5044" t="s">
        <v>8183</v>
      </c>
      <c r="U5044">
        <v>302.23239999999998</v>
      </c>
      <c r="V5044" s="3">
        <v>41934</v>
      </c>
    </row>
    <row r="5045" spans="1:22" x14ac:dyDescent="0.35">
      <c r="A5045" s="1">
        <v>42307.0784375</v>
      </c>
      <c r="B5045" s="2">
        <v>1.636574074074074E-2</v>
      </c>
      <c r="C5045" t="s">
        <v>106</v>
      </c>
      <c r="D5045" t="s">
        <v>23</v>
      </c>
      <c r="E5045" t="s">
        <v>24</v>
      </c>
      <c r="F5045" t="s">
        <v>486</v>
      </c>
      <c r="G5045">
        <v>1119505</v>
      </c>
      <c r="H5045" t="s">
        <v>26</v>
      </c>
      <c r="I5045" t="s">
        <v>450</v>
      </c>
      <c r="J5045" t="str">
        <f>"9781118355015"</f>
        <v>9781118355015</v>
      </c>
      <c r="K5045" t="s">
        <v>8184</v>
      </c>
      <c r="L5045">
        <v>25</v>
      </c>
      <c r="O5045" t="s">
        <v>30</v>
      </c>
      <c r="P5045" t="s">
        <v>29</v>
      </c>
      <c r="Q5045" s="1">
        <v>42306.770254629628</v>
      </c>
      <c r="R5045">
        <v>7</v>
      </c>
      <c r="S5045" t="s">
        <v>31</v>
      </c>
      <c r="T5045" t="s">
        <v>487</v>
      </c>
      <c r="U5045" t="s">
        <v>488</v>
      </c>
      <c r="V5045" s="3">
        <v>41302</v>
      </c>
    </row>
    <row r="5046" spans="1:22" x14ac:dyDescent="0.35">
      <c r="A5046" s="1">
        <v>42307.0544212963</v>
      </c>
      <c r="B5046" s="2">
        <v>2.1122685185185185E-2</v>
      </c>
      <c r="C5046" t="s">
        <v>8135</v>
      </c>
      <c r="D5046" t="s">
        <v>23</v>
      </c>
      <c r="E5046" t="s">
        <v>24</v>
      </c>
      <c r="F5046" t="s">
        <v>8136</v>
      </c>
      <c r="G5046">
        <v>1190428</v>
      </c>
      <c r="H5046" t="s">
        <v>84</v>
      </c>
      <c r="I5046" t="s">
        <v>38</v>
      </c>
      <c r="J5046" t="str">
        <f>"9780520955066"</f>
        <v>9780520955066</v>
      </c>
      <c r="K5046" t="s">
        <v>8185</v>
      </c>
      <c r="L5046">
        <v>24</v>
      </c>
      <c r="O5046" t="s">
        <v>30</v>
      </c>
      <c r="P5046" t="s">
        <v>29</v>
      </c>
      <c r="Q5046" s="1">
        <v>42304.58326388889</v>
      </c>
      <c r="R5046">
        <v>7</v>
      </c>
      <c r="S5046" t="s">
        <v>31</v>
      </c>
      <c r="T5046" t="s">
        <v>8138</v>
      </c>
      <c r="U5046" t="s">
        <v>8139</v>
      </c>
      <c r="V5046" s="3">
        <v>41408</v>
      </c>
    </row>
    <row r="5047" spans="1:22" x14ac:dyDescent="0.35">
      <c r="A5047" s="1">
        <v>42307.008379629631</v>
      </c>
      <c r="B5047" s="2">
        <v>4.6296296296296294E-5</v>
      </c>
      <c r="C5047" t="s">
        <v>7630</v>
      </c>
      <c r="D5047" t="s">
        <v>1222</v>
      </c>
      <c r="E5047" t="s">
        <v>1223</v>
      </c>
      <c r="F5047" t="s">
        <v>7631</v>
      </c>
      <c r="G5047">
        <v>1825704</v>
      </c>
      <c r="H5047" t="s">
        <v>45</v>
      </c>
      <c r="I5047" t="s">
        <v>120</v>
      </c>
      <c r="J5047" t="str">
        <f>"9781409442943"</f>
        <v>9781409442943</v>
      </c>
      <c r="K5047" t="s">
        <v>33</v>
      </c>
      <c r="L5047">
        <v>3</v>
      </c>
      <c r="O5047" t="s">
        <v>30</v>
      </c>
      <c r="P5047" t="s">
        <v>50</v>
      </c>
      <c r="S5047" t="s">
        <v>1226</v>
      </c>
      <c r="T5047" t="s">
        <v>7633</v>
      </c>
      <c r="U5047">
        <v>307.76</v>
      </c>
      <c r="V5047" s="3">
        <v>42001</v>
      </c>
    </row>
    <row r="5048" spans="1:22" x14ac:dyDescent="0.35">
      <c r="A5048" s="1">
        <v>42306.978831018518</v>
      </c>
      <c r="B5048" s="2">
        <v>3.4722222222222222E-5</v>
      </c>
      <c r="C5048" t="s">
        <v>8186</v>
      </c>
      <c r="D5048" t="s">
        <v>261</v>
      </c>
      <c r="E5048" t="s">
        <v>262</v>
      </c>
      <c r="F5048" t="s">
        <v>8187</v>
      </c>
      <c r="G5048">
        <v>2073473</v>
      </c>
      <c r="H5048" t="s">
        <v>26</v>
      </c>
      <c r="I5048" t="s">
        <v>97</v>
      </c>
      <c r="J5048" t="str">
        <f>"9781119020608"</f>
        <v>9781119020608</v>
      </c>
      <c r="K5048" t="s">
        <v>33</v>
      </c>
      <c r="L5048">
        <v>3</v>
      </c>
      <c r="O5048" t="s">
        <v>30</v>
      </c>
      <c r="P5048" t="s">
        <v>50</v>
      </c>
      <c r="S5048" t="s">
        <v>264</v>
      </c>
      <c r="T5048" t="s">
        <v>8188</v>
      </c>
      <c r="U5048" t="s">
        <v>8189</v>
      </c>
      <c r="V5048" s="3">
        <v>42171</v>
      </c>
    </row>
    <row r="5049" spans="1:22" x14ac:dyDescent="0.35">
      <c r="A5049" s="1">
        <v>42306.934699074074</v>
      </c>
      <c r="B5049" s="2">
        <v>1.3321759259259261E-2</v>
      </c>
      <c r="C5049" t="s">
        <v>7954</v>
      </c>
      <c r="D5049" t="s">
        <v>623</v>
      </c>
      <c r="E5049" t="s">
        <v>624</v>
      </c>
      <c r="F5049" t="s">
        <v>7955</v>
      </c>
      <c r="G5049">
        <v>1882078</v>
      </c>
      <c r="H5049" t="s">
        <v>84</v>
      </c>
      <c r="I5049" t="s">
        <v>998</v>
      </c>
      <c r="J5049" t="str">
        <f>"9780520960480"</f>
        <v>9780520960480</v>
      </c>
      <c r="K5049" t="s">
        <v>8190</v>
      </c>
      <c r="L5049">
        <v>25</v>
      </c>
      <c r="O5049" t="s">
        <v>30</v>
      </c>
      <c r="P5049" t="s">
        <v>47</v>
      </c>
      <c r="Q5049" s="1">
        <v>42306.934699074074</v>
      </c>
      <c r="R5049">
        <v>1</v>
      </c>
      <c r="S5049" t="s">
        <v>627</v>
      </c>
      <c r="T5049" t="s">
        <v>7957</v>
      </c>
      <c r="U5049">
        <v>301.09199999999998</v>
      </c>
      <c r="V5049" s="3">
        <v>42243</v>
      </c>
    </row>
    <row r="5050" spans="1:22" x14ac:dyDescent="0.35">
      <c r="A5050" s="1">
        <v>42306.931041666663</v>
      </c>
      <c r="B5050" s="2">
        <v>3.6574074074074074E-3</v>
      </c>
      <c r="C5050" t="s">
        <v>7954</v>
      </c>
      <c r="D5050" t="s">
        <v>623</v>
      </c>
      <c r="E5050" t="s">
        <v>624</v>
      </c>
      <c r="F5050" t="s">
        <v>7955</v>
      </c>
      <c r="G5050">
        <v>1882078</v>
      </c>
      <c r="H5050" t="s">
        <v>84</v>
      </c>
      <c r="I5050" t="s">
        <v>998</v>
      </c>
      <c r="J5050" t="str">
        <f>"9780520960480"</f>
        <v>9780520960480</v>
      </c>
      <c r="K5050" t="s">
        <v>8191</v>
      </c>
      <c r="L5050">
        <v>29</v>
      </c>
      <c r="O5050" t="s">
        <v>30</v>
      </c>
      <c r="P5050" t="s">
        <v>50</v>
      </c>
      <c r="S5050" t="s">
        <v>627</v>
      </c>
      <c r="T5050" t="s">
        <v>7957</v>
      </c>
      <c r="U5050">
        <v>301.09199999999998</v>
      </c>
      <c r="V5050" s="3">
        <v>42243</v>
      </c>
    </row>
    <row r="5051" spans="1:22" x14ac:dyDescent="0.35">
      <c r="A5051" s="1">
        <v>42306.919687499998</v>
      </c>
      <c r="B5051" s="2">
        <v>0.12613425925925925</v>
      </c>
      <c r="C5051" t="s">
        <v>8192</v>
      </c>
      <c r="D5051" t="s">
        <v>261</v>
      </c>
      <c r="E5051" t="s">
        <v>262</v>
      </c>
      <c r="F5051" t="s">
        <v>6160</v>
      </c>
      <c r="G5051">
        <v>1584076</v>
      </c>
      <c r="H5051" t="s">
        <v>26</v>
      </c>
      <c r="I5051" t="s">
        <v>172</v>
      </c>
      <c r="J5051" t="str">
        <f>"9780745679679"</f>
        <v>9780745679679</v>
      </c>
      <c r="K5051" t="s">
        <v>8193</v>
      </c>
      <c r="L5051">
        <v>93</v>
      </c>
      <c r="O5051" t="s">
        <v>30</v>
      </c>
      <c r="P5051" t="s">
        <v>29</v>
      </c>
      <c r="Q5051" s="1">
        <v>42306.919687499998</v>
      </c>
      <c r="R5051">
        <v>7</v>
      </c>
      <c r="S5051" t="s">
        <v>264</v>
      </c>
      <c r="T5051" t="s">
        <v>6162</v>
      </c>
      <c r="U5051">
        <v>945.05</v>
      </c>
      <c r="V5051" s="3">
        <v>41626</v>
      </c>
    </row>
    <row r="5052" spans="1:22" x14ac:dyDescent="0.35">
      <c r="A5052" s="1">
        <v>42306.913483796299</v>
      </c>
      <c r="B5052" s="2">
        <v>1.3888888888888889E-4</v>
      </c>
      <c r="C5052" t="s">
        <v>3478</v>
      </c>
      <c r="D5052" t="s">
        <v>23</v>
      </c>
      <c r="E5052" t="s">
        <v>24</v>
      </c>
      <c r="F5052" t="s">
        <v>3479</v>
      </c>
      <c r="G5052">
        <v>1650800</v>
      </c>
      <c r="H5052" t="s">
        <v>84</v>
      </c>
      <c r="I5052" t="s">
        <v>776</v>
      </c>
      <c r="J5052" t="str">
        <f>"9780520958258"</f>
        <v>9780520958258</v>
      </c>
      <c r="K5052" t="s">
        <v>8194</v>
      </c>
      <c r="L5052">
        <v>9</v>
      </c>
      <c r="O5052" t="s">
        <v>30</v>
      </c>
      <c r="P5052" t="s">
        <v>50</v>
      </c>
      <c r="S5052" t="s">
        <v>31</v>
      </c>
      <c r="T5052" t="s">
        <v>3481</v>
      </c>
      <c r="U5052">
        <v>796.33409810000001</v>
      </c>
      <c r="V5052" s="3">
        <v>41802</v>
      </c>
    </row>
    <row r="5053" spans="1:22" x14ac:dyDescent="0.35">
      <c r="A5053" s="1">
        <v>42306.905601851853</v>
      </c>
      <c r="B5053" s="2">
        <v>1.4085648148148151E-2</v>
      </c>
      <c r="C5053" t="s">
        <v>8192</v>
      </c>
      <c r="D5053" t="s">
        <v>261</v>
      </c>
      <c r="E5053" t="s">
        <v>262</v>
      </c>
      <c r="F5053" t="s">
        <v>6160</v>
      </c>
      <c r="G5053">
        <v>1584076</v>
      </c>
      <c r="H5053" t="s">
        <v>26</v>
      </c>
      <c r="I5053" t="s">
        <v>172</v>
      </c>
      <c r="J5053" t="str">
        <f>"9780745679679"</f>
        <v>9780745679679</v>
      </c>
      <c r="K5053" t="s">
        <v>33</v>
      </c>
      <c r="L5053">
        <v>3</v>
      </c>
      <c r="O5053" t="s">
        <v>30</v>
      </c>
      <c r="P5053" t="s">
        <v>42</v>
      </c>
      <c r="S5053" t="s">
        <v>264</v>
      </c>
      <c r="T5053" t="s">
        <v>6162</v>
      </c>
      <c r="U5053">
        <v>945.05</v>
      </c>
      <c r="V5053" s="3">
        <v>41626</v>
      </c>
    </row>
    <row r="5054" spans="1:22" x14ac:dyDescent="0.35">
      <c r="A5054" s="1">
        <v>42306.891504629632</v>
      </c>
      <c r="B5054" s="2">
        <v>5.1331018518518519E-2</v>
      </c>
      <c r="C5054" t="s">
        <v>8135</v>
      </c>
      <c r="D5054" t="s">
        <v>23</v>
      </c>
      <c r="E5054" t="s">
        <v>24</v>
      </c>
      <c r="F5054" t="s">
        <v>8136</v>
      </c>
      <c r="G5054">
        <v>1190428</v>
      </c>
      <c r="H5054" t="s">
        <v>84</v>
      </c>
      <c r="I5054" t="s">
        <v>38</v>
      </c>
      <c r="J5054" t="str">
        <f>"9780520955066"</f>
        <v>9780520955066</v>
      </c>
      <c r="K5054" t="s">
        <v>8195</v>
      </c>
      <c r="L5054">
        <v>69</v>
      </c>
      <c r="O5054" t="s">
        <v>30</v>
      </c>
      <c r="P5054" t="s">
        <v>29</v>
      </c>
      <c r="Q5054" s="1">
        <v>42304.58326388889</v>
      </c>
      <c r="R5054">
        <v>7</v>
      </c>
      <c r="S5054" t="s">
        <v>31</v>
      </c>
      <c r="T5054" t="s">
        <v>8138</v>
      </c>
      <c r="U5054" t="s">
        <v>8139</v>
      </c>
      <c r="V5054" s="3">
        <v>41408</v>
      </c>
    </row>
    <row r="5055" spans="1:22" x14ac:dyDescent="0.35">
      <c r="A5055" s="1">
        <v>42306.883252314816</v>
      </c>
      <c r="B5055" s="2">
        <v>1.0416666666666667E-4</v>
      </c>
      <c r="C5055" t="s">
        <v>4545</v>
      </c>
      <c r="D5055" t="s">
        <v>23</v>
      </c>
      <c r="E5055" t="s">
        <v>24</v>
      </c>
      <c r="F5055" t="s">
        <v>2191</v>
      </c>
      <c r="G5055">
        <v>1691133</v>
      </c>
      <c r="H5055" t="s">
        <v>91</v>
      </c>
      <c r="I5055" t="s">
        <v>247</v>
      </c>
      <c r="J5055" t="str">
        <f>"9781462516278"</f>
        <v>9781462516278</v>
      </c>
      <c r="K5055" t="s">
        <v>98</v>
      </c>
      <c r="L5055">
        <v>7</v>
      </c>
      <c r="O5055" t="s">
        <v>30</v>
      </c>
      <c r="P5055" t="s">
        <v>29</v>
      </c>
      <c r="Q5055" s="1">
        <v>42306.033587962964</v>
      </c>
      <c r="R5055">
        <v>7</v>
      </c>
      <c r="S5055" t="s">
        <v>31</v>
      </c>
      <c r="T5055" t="s">
        <v>2194</v>
      </c>
      <c r="U5055" t="s">
        <v>2195</v>
      </c>
      <c r="V5055" s="3">
        <v>41774</v>
      </c>
    </row>
    <row r="5056" spans="1:22" x14ac:dyDescent="0.35">
      <c r="A5056" s="1">
        <v>42306.828680555554</v>
      </c>
      <c r="B5056" s="2">
        <v>2.8472222222222219E-3</v>
      </c>
      <c r="C5056" t="s">
        <v>5062</v>
      </c>
      <c r="D5056" t="s">
        <v>35</v>
      </c>
      <c r="E5056" t="s">
        <v>36</v>
      </c>
      <c r="F5056" t="s">
        <v>4230</v>
      </c>
      <c r="G5056">
        <v>1596089</v>
      </c>
      <c r="H5056" t="s">
        <v>91</v>
      </c>
      <c r="I5056" t="s">
        <v>247</v>
      </c>
      <c r="J5056" t="str">
        <f>"9781462513307"</f>
        <v>9781462513307</v>
      </c>
      <c r="K5056" t="s">
        <v>8196</v>
      </c>
      <c r="L5056">
        <v>14</v>
      </c>
      <c r="O5056" t="s">
        <v>30</v>
      </c>
      <c r="P5056" t="s">
        <v>50</v>
      </c>
      <c r="S5056" t="s">
        <v>40</v>
      </c>
      <c r="T5056" t="s">
        <v>4232</v>
      </c>
      <c r="U5056">
        <v>616.85209999999995</v>
      </c>
      <c r="V5056" s="3">
        <v>41773</v>
      </c>
    </row>
    <row r="5057" spans="1:22" x14ac:dyDescent="0.35">
      <c r="A5057" s="1">
        <v>42306.828530092593</v>
      </c>
      <c r="B5057" s="2">
        <v>2.2222222222222222E-3</v>
      </c>
      <c r="C5057" t="s">
        <v>8197</v>
      </c>
      <c r="D5057" t="s">
        <v>35</v>
      </c>
      <c r="E5057" t="s">
        <v>36</v>
      </c>
      <c r="F5057" t="s">
        <v>8198</v>
      </c>
      <c r="G5057">
        <v>1404696</v>
      </c>
      <c r="H5057" t="s">
        <v>139</v>
      </c>
      <c r="I5057" t="s">
        <v>120</v>
      </c>
      <c r="J5057" t="str">
        <f>"9781479829026"</f>
        <v>9781479829026</v>
      </c>
      <c r="K5057" t="s">
        <v>8199</v>
      </c>
      <c r="L5057">
        <v>53</v>
      </c>
      <c r="O5057" t="s">
        <v>30</v>
      </c>
      <c r="P5057" t="s">
        <v>50</v>
      </c>
      <c r="S5057" t="s">
        <v>40</v>
      </c>
      <c r="T5057" t="s">
        <v>8200</v>
      </c>
      <c r="U5057" t="s">
        <v>8201</v>
      </c>
      <c r="V5057" s="3">
        <v>41579</v>
      </c>
    </row>
    <row r="5058" spans="1:22" x14ac:dyDescent="0.35">
      <c r="A5058" s="1">
        <v>42306.827719907407</v>
      </c>
      <c r="B5058" s="2">
        <v>9.7685185185185184E-3</v>
      </c>
      <c r="C5058" t="s">
        <v>4545</v>
      </c>
      <c r="D5058" t="s">
        <v>23</v>
      </c>
      <c r="E5058" t="s">
        <v>24</v>
      </c>
      <c r="F5058" t="s">
        <v>2191</v>
      </c>
      <c r="G5058">
        <v>1691133</v>
      </c>
      <c r="H5058" t="s">
        <v>91</v>
      </c>
      <c r="I5058" t="s">
        <v>247</v>
      </c>
      <c r="J5058" t="str">
        <f>"9781462516278"</f>
        <v>9781462516278</v>
      </c>
      <c r="K5058" t="s">
        <v>7699</v>
      </c>
      <c r="L5058">
        <v>9</v>
      </c>
      <c r="O5058" t="s">
        <v>30</v>
      </c>
      <c r="P5058" t="s">
        <v>29</v>
      </c>
      <c r="Q5058" s="1">
        <v>42306.033587962964</v>
      </c>
      <c r="R5058">
        <v>7</v>
      </c>
      <c r="S5058" t="s">
        <v>31</v>
      </c>
      <c r="T5058" t="s">
        <v>2194</v>
      </c>
      <c r="U5058" t="s">
        <v>2195</v>
      </c>
      <c r="V5058" s="3">
        <v>41774</v>
      </c>
    </row>
    <row r="5059" spans="1:22" x14ac:dyDescent="0.35">
      <c r="A5059" s="1">
        <v>42306.819710648146</v>
      </c>
      <c r="B5059" s="2">
        <v>7.8125E-3</v>
      </c>
      <c r="C5059" t="s">
        <v>106</v>
      </c>
      <c r="D5059" t="s">
        <v>23</v>
      </c>
      <c r="E5059" t="s">
        <v>24</v>
      </c>
      <c r="F5059" t="s">
        <v>486</v>
      </c>
      <c r="G5059">
        <v>1119505</v>
      </c>
      <c r="H5059" t="s">
        <v>26</v>
      </c>
      <c r="I5059" t="s">
        <v>450</v>
      </c>
      <c r="J5059" t="str">
        <f>"9781118355015"</f>
        <v>9781118355015</v>
      </c>
      <c r="K5059" t="s">
        <v>8202</v>
      </c>
      <c r="L5059">
        <v>20</v>
      </c>
      <c r="O5059" t="s">
        <v>30</v>
      </c>
      <c r="P5059" t="s">
        <v>29</v>
      </c>
      <c r="Q5059" s="1">
        <v>42306.770254629628</v>
      </c>
      <c r="R5059">
        <v>7</v>
      </c>
      <c r="S5059" t="s">
        <v>31</v>
      </c>
      <c r="T5059" t="s">
        <v>487</v>
      </c>
      <c r="U5059" t="s">
        <v>488</v>
      </c>
      <c r="V5059" s="3">
        <v>41302</v>
      </c>
    </row>
    <row r="5060" spans="1:22" x14ac:dyDescent="0.35">
      <c r="A5060" s="1">
        <v>42306.809687499997</v>
      </c>
      <c r="B5060" s="2">
        <v>4.5138888888888892E-4</v>
      </c>
      <c r="C5060" t="s">
        <v>7898</v>
      </c>
      <c r="D5060" t="s">
        <v>158</v>
      </c>
      <c r="E5060" t="s">
        <v>159</v>
      </c>
      <c r="F5060" t="s">
        <v>5301</v>
      </c>
      <c r="G5060">
        <v>818121</v>
      </c>
      <c r="H5060" t="s">
        <v>26</v>
      </c>
      <c r="I5060" t="s">
        <v>5302</v>
      </c>
      <c r="J5060" t="str">
        <f>"9781118226339"</f>
        <v>9781118226339</v>
      </c>
      <c r="K5060" t="s">
        <v>8203</v>
      </c>
      <c r="L5060">
        <v>6</v>
      </c>
      <c r="O5060" t="s">
        <v>30</v>
      </c>
      <c r="P5060" t="s">
        <v>29</v>
      </c>
      <c r="Q5060" s="1">
        <v>42306.809675925928</v>
      </c>
      <c r="R5060">
        <v>7</v>
      </c>
      <c r="S5060" t="s">
        <v>163</v>
      </c>
      <c r="T5060" t="s">
        <v>5303</v>
      </c>
      <c r="U5060" t="s">
        <v>5304</v>
      </c>
      <c r="V5060" s="3">
        <v>40934</v>
      </c>
    </row>
    <row r="5061" spans="1:22" x14ac:dyDescent="0.35">
      <c r="A5061" s="1">
        <v>42306.796134259261</v>
      </c>
      <c r="B5061" s="2">
        <v>5.7870370370370366E-5</v>
      </c>
      <c r="C5061" t="s">
        <v>106</v>
      </c>
      <c r="D5061" t="s">
        <v>23</v>
      </c>
      <c r="E5061" t="s">
        <v>24</v>
      </c>
      <c r="F5061" t="s">
        <v>486</v>
      </c>
      <c r="G5061">
        <v>1119505</v>
      </c>
      <c r="H5061" t="s">
        <v>26</v>
      </c>
      <c r="I5061" t="s">
        <v>450</v>
      </c>
      <c r="J5061" t="str">
        <f>"9781118355015"</f>
        <v>9781118355015</v>
      </c>
      <c r="K5061" t="s">
        <v>33</v>
      </c>
      <c r="L5061">
        <v>3</v>
      </c>
      <c r="O5061" t="s">
        <v>30</v>
      </c>
      <c r="P5061" t="s">
        <v>29</v>
      </c>
      <c r="Q5061" s="1">
        <v>42306.770254629628</v>
      </c>
      <c r="R5061">
        <v>7</v>
      </c>
      <c r="S5061" t="s">
        <v>31</v>
      </c>
      <c r="T5061" t="s">
        <v>487</v>
      </c>
      <c r="U5061" t="s">
        <v>488</v>
      </c>
      <c r="V5061" s="3">
        <v>41302</v>
      </c>
    </row>
    <row r="5062" spans="1:22" x14ac:dyDescent="0.35">
      <c r="A5062" s="1">
        <v>42306.793587962966</v>
      </c>
      <c r="B5062" s="2">
        <v>1.6087962962962964E-2</v>
      </c>
      <c r="C5062" t="s">
        <v>7898</v>
      </c>
      <c r="D5062" t="s">
        <v>158</v>
      </c>
      <c r="E5062" t="s">
        <v>159</v>
      </c>
      <c r="F5062" t="s">
        <v>5301</v>
      </c>
      <c r="G5062">
        <v>818121</v>
      </c>
      <c r="H5062" t="s">
        <v>26</v>
      </c>
      <c r="I5062" t="s">
        <v>5302</v>
      </c>
      <c r="J5062" t="str">
        <f>"9781118226339"</f>
        <v>9781118226339</v>
      </c>
      <c r="K5062" t="s">
        <v>8204</v>
      </c>
      <c r="L5062">
        <v>14</v>
      </c>
      <c r="O5062" t="s">
        <v>30</v>
      </c>
      <c r="P5062" t="s">
        <v>42</v>
      </c>
      <c r="S5062" t="s">
        <v>163</v>
      </c>
      <c r="T5062" t="s">
        <v>5303</v>
      </c>
      <c r="U5062" t="s">
        <v>5304</v>
      </c>
      <c r="V5062" s="3">
        <v>40934</v>
      </c>
    </row>
    <row r="5063" spans="1:22" x14ac:dyDescent="0.35">
      <c r="A5063" s="1">
        <v>42306.777337962965</v>
      </c>
      <c r="B5063" s="2">
        <v>3.7731481481481483E-3</v>
      </c>
      <c r="C5063" t="s">
        <v>4667</v>
      </c>
      <c r="D5063" t="s">
        <v>35</v>
      </c>
      <c r="E5063" t="s">
        <v>36</v>
      </c>
      <c r="F5063" t="s">
        <v>4668</v>
      </c>
      <c r="G5063">
        <v>2110627</v>
      </c>
      <c r="H5063" t="s">
        <v>45</v>
      </c>
      <c r="I5063" t="s">
        <v>998</v>
      </c>
      <c r="J5063" t="str">
        <f>"9781472436481"</f>
        <v>9781472436481</v>
      </c>
      <c r="K5063" t="s">
        <v>8205</v>
      </c>
      <c r="L5063">
        <v>46</v>
      </c>
      <c r="O5063" t="s">
        <v>30</v>
      </c>
      <c r="P5063" t="s">
        <v>29</v>
      </c>
      <c r="Q5063" s="1">
        <v>42304.898356481484</v>
      </c>
      <c r="R5063">
        <v>7</v>
      </c>
      <c r="S5063" t="s">
        <v>40</v>
      </c>
      <c r="T5063" t="s">
        <v>4670</v>
      </c>
      <c r="U5063" t="s">
        <v>4671</v>
      </c>
      <c r="V5063" s="3">
        <v>42275</v>
      </c>
    </row>
    <row r="5064" spans="1:22" x14ac:dyDescent="0.35">
      <c r="A5064" s="1">
        <v>42306.770254629628</v>
      </c>
      <c r="B5064" s="2">
        <v>9.554398148148148E-2</v>
      </c>
      <c r="C5064" t="s">
        <v>106</v>
      </c>
      <c r="D5064" t="s">
        <v>23</v>
      </c>
      <c r="E5064" t="s">
        <v>24</v>
      </c>
      <c r="F5064" t="s">
        <v>486</v>
      </c>
      <c r="G5064">
        <v>1119505</v>
      </c>
      <c r="H5064" t="s">
        <v>26</v>
      </c>
      <c r="I5064" t="s">
        <v>450</v>
      </c>
      <c r="J5064" t="str">
        <f>"9781118355015"</f>
        <v>9781118355015</v>
      </c>
      <c r="K5064" t="s">
        <v>8206</v>
      </c>
      <c r="L5064">
        <v>44</v>
      </c>
      <c r="O5064" t="s">
        <v>30</v>
      </c>
      <c r="P5064" t="s">
        <v>29</v>
      </c>
      <c r="Q5064" s="1">
        <v>42306.770254629628</v>
      </c>
      <c r="R5064">
        <v>7</v>
      </c>
      <c r="S5064" t="s">
        <v>31</v>
      </c>
      <c r="T5064" t="s">
        <v>487</v>
      </c>
      <c r="U5064" t="s">
        <v>488</v>
      </c>
      <c r="V5064" s="3">
        <v>41302</v>
      </c>
    </row>
    <row r="5065" spans="1:22" x14ac:dyDescent="0.35">
      <c r="A5065" s="1">
        <v>42306.770243055558</v>
      </c>
      <c r="B5065" s="2">
        <v>1.1574074074074073E-5</v>
      </c>
      <c r="C5065" t="s">
        <v>106</v>
      </c>
      <c r="D5065" t="s">
        <v>23</v>
      </c>
      <c r="E5065" t="s">
        <v>24</v>
      </c>
      <c r="F5065" t="s">
        <v>486</v>
      </c>
      <c r="G5065">
        <v>1119505</v>
      </c>
      <c r="H5065" t="s">
        <v>26</v>
      </c>
      <c r="I5065" t="s">
        <v>450</v>
      </c>
      <c r="J5065" t="str">
        <f>"9781118355015"</f>
        <v>9781118355015</v>
      </c>
      <c r="L5065">
        <v>0</v>
      </c>
      <c r="O5065" t="s">
        <v>30</v>
      </c>
      <c r="P5065" t="s">
        <v>42</v>
      </c>
      <c r="S5065" t="s">
        <v>31</v>
      </c>
      <c r="T5065" t="s">
        <v>487</v>
      </c>
      <c r="U5065" t="s">
        <v>488</v>
      </c>
      <c r="V5065" s="3">
        <v>41302</v>
      </c>
    </row>
    <row r="5066" spans="1:22" x14ac:dyDescent="0.35">
      <c r="A5066" s="1">
        <v>42306.741793981484</v>
      </c>
      <c r="B5066" s="2">
        <v>1.4004629629629629E-3</v>
      </c>
      <c r="C5066" t="s">
        <v>5969</v>
      </c>
      <c r="D5066" t="s">
        <v>23</v>
      </c>
      <c r="E5066" t="s">
        <v>24</v>
      </c>
      <c r="F5066" t="s">
        <v>745</v>
      </c>
      <c r="G5066">
        <v>1166322</v>
      </c>
      <c r="H5066" t="s">
        <v>26</v>
      </c>
      <c r="I5066" t="s">
        <v>200</v>
      </c>
      <c r="J5066" t="str">
        <f>"9781118418512"</f>
        <v>9781118418512</v>
      </c>
      <c r="K5066" t="s">
        <v>8207</v>
      </c>
      <c r="L5066">
        <v>15</v>
      </c>
      <c r="O5066" t="s">
        <v>30</v>
      </c>
      <c r="P5066" t="s">
        <v>29</v>
      </c>
      <c r="Q5066" s="1">
        <v>42306.705405092594</v>
      </c>
      <c r="R5066">
        <v>7</v>
      </c>
      <c r="S5066" t="s">
        <v>31</v>
      </c>
      <c r="T5066" t="s">
        <v>747</v>
      </c>
      <c r="U5066">
        <v>720.072</v>
      </c>
      <c r="V5066" s="3">
        <v>41367</v>
      </c>
    </row>
    <row r="5067" spans="1:22" x14ac:dyDescent="0.35">
      <c r="A5067" s="1">
        <v>42306.729780092595</v>
      </c>
      <c r="B5067" s="2">
        <v>5.4398148148148144E-4</v>
      </c>
      <c r="C5067" t="s">
        <v>8208</v>
      </c>
      <c r="D5067" t="s">
        <v>23</v>
      </c>
      <c r="E5067" t="s">
        <v>24</v>
      </c>
      <c r="F5067" t="s">
        <v>2207</v>
      </c>
      <c r="G5067">
        <v>827065</v>
      </c>
      <c r="H5067" t="s">
        <v>26</v>
      </c>
      <c r="I5067" t="s">
        <v>310</v>
      </c>
      <c r="J5067" t="str">
        <f>"9781118306291"</f>
        <v>9781118306291</v>
      </c>
      <c r="K5067" t="s">
        <v>8209</v>
      </c>
      <c r="L5067">
        <v>15</v>
      </c>
      <c r="O5067" t="s">
        <v>30</v>
      </c>
      <c r="P5067" t="s">
        <v>42</v>
      </c>
      <c r="S5067" t="s">
        <v>31</v>
      </c>
      <c r="T5067" t="s">
        <v>2209</v>
      </c>
      <c r="U5067" t="s">
        <v>2210</v>
      </c>
      <c r="V5067" s="3">
        <v>40877</v>
      </c>
    </row>
    <row r="5068" spans="1:22" x14ac:dyDescent="0.35">
      <c r="A5068" s="1">
        <v>42306.725405092591</v>
      </c>
      <c r="B5068" s="2">
        <v>0</v>
      </c>
      <c r="C5068" t="s">
        <v>8210</v>
      </c>
      <c r="D5068" t="s">
        <v>23</v>
      </c>
      <c r="E5068" t="s">
        <v>24</v>
      </c>
      <c r="F5068" t="s">
        <v>8211</v>
      </c>
      <c r="G5068">
        <v>1887315</v>
      </c>
      <c r="H5068" t="s">
        <v>45</v>
      </c>
      <c r="I5068" t="s">
        <v>108</v>
      </c>
      <c r="J5068" t="str">
        <f>"9781472444462"</f>
        <v>9781472444462</v>
      </c>
      <c r="L5068">
        <v>0</v>
      </c>
      <c r="O5068" t="s">
        <v>28</v>
      </c>
      <c r="P5068" t="s">
        <v>47</v>
      </c>
      <c r="Q5068" s="1">
        <v>42306.179907407408</v>
      </c>
      <c r="R5068">
        <v>1</v>
      </c>
      <c r="S5068" t="s">
        <v>31</v>
      </c>
      <c r="T5068" t="s">
        <v>8212</v>
      </c>
      <c r="U5068" t="s">
        <v>8213</v>
      </c>
      <c r="V5068" s="3">
        <v>42063</v>
      </c>
    </row>
    <row r="5069" spans="1:22" x14ac:dyDescent="0.35">
      <c r="A5069" s="1">
        <v>42306.718333333331</v>
      </c>
      <c r="B5069" s="2">
        <v>2.6620370370370372E-4</v>
      </c>
      <c r="C5069" t="s">
        <v>8210</v>
      </c>
      <c r="D5069" t="s">
        <v>23</v>
      </c>
      <c r="E5069" t="s">
        <v>24</v>
      </c>
      <c r="F5069" t="s">
        <v>8211</v>
      </c>
      <c r="G5069">
        <v>1887315</v>
      </c>
      <c r="H5069" t="s">
        <v>45</v>
      </c>
      <c r="I5069" t="s">
        <v>108</v>
      </c>
      <c r="J5069" t="str">
        <f>"9781472444462"</f>
        <v>9781472444462</v>
      </c>
      <c r="K5069" t="s">
        <v>8214</v>
      </c>
      <c r="L5069">
        <v>3</v>
      </c>
      <c r="M5069" t="s">
        <v>105</v>
      </c>
      <c r="O5069" t="s">
        <v>30</v>
      </c>
      <c r="P5069" t="s">
        <v>47</v>
      </c>
      <c r="Q5069" s="1">
        <v>42306.179907407408</v>
      </c>
      <c r="R5069">
        <v>1</v>
      </c>
      <c r="S5069" t="s">
        <v>31</v>
      </c>
      <c r="T5069" t="s">
        <v>8212</v>
      </c>
      <c r="U5069" t="s">
        <v>8213</v>
      </c>
      <c r="V5069" s="3">
        <v>42063</v>
      </c>
    </row>
    <row r="5070" spans="1:22" x14ac:dyDescent="0.35">
      <c r="A5070" s="1">
        <v>42306.714675925927</v>
      </c>
      <c r="B5070" s="2">
        <v>2.0254629629629629E-3</v>
      </c>
      <c r="C5070" t="s">
        <v>8215</v>
      </c>
      <c r="D5070" t="s">
        <v>35</v>
      </c>
      <c r="E5070" t="s">
        <v>36</v>
      </c>
      <c r="F5070" t="s">
        <v>986</v>
      </c>
      <c r="G5070">
        <v>968030</v>
      </c>
      <c r="H5070" t="s">
        <v>26</v>
      </c>
      <c r="I5070" t="s">
        <v>219</v>
      </c>
      <c r="J5070" t="str">
        <f>"9781118285138"</f>
        <v>9781118285138</v>
      </c>
      <c r="K5070" t="s">
        <v>8216</v>
      </c>
      <c r="L5070">
        <v>13</v>
      </c>
      <c r="O5070" t="s">
        <v>30</v>
      </c>
      <c r="P5070" t="s">
        <v>42</v>
      </c>
      <c r="S5070" t="s">
        <v>40</v>
      </c>
      <c r="T5070" t="s">
        <v>987</v>
      </c>
      <c r="U5070">
        <v>158.30000000000001</v>
      </c>
      <c r="V5070" s="3">
        <v>41100</v>
      </c>
    </row>
    <row r="5071" spans="1:22" x14ac:dyDescent="0.35">
      <c r="A5071" s="1">
        <v>42306.712939814817</v>
      </c>
      <c r="B5071" s="2">
        <v>5.9837962962962961E-3</v>
      </c>
      <c r="C5071" t="s">
        <v>4545</v>
      </c>
      <c r="D5071" t="s">
        <v>23</v>
      </c>
      <c r="E5071" t="s">
        <v>24</v>
      </c>
      <c r="F5071" t="s">
        <v>2191</v>
      </c>
      <c r="G5071">
        <v>1691133</v>
      </c>
      <c r="H5071" t="s">
        <v>91</v>
      </c>
      <c r="I5071" t="s">
        <v>247</v>
      </c>
      <c r="J5071" t="str">
        <f>"9781462516278"</f>
        <v>9781462516278</v>
      </c>
      <c r="K5071" t="s">
        <v>8217</v>
      </c>
      <c r="L5071">
        <v>43</v>
      </c>
      <c r="O5071" t="s">
        <v>30</v>
      </c>
      <c r="P5071" t="s">
        <v>29</v>
      </c>
      <c r="Q5071" s="1">
        <v>42306.033587962964</v>
      </c>
      <c r="R5071">
        <v>7</v>
      </c>
      <c r="S5071" t="s">
        <v>31</v>
      </c>
      <c r="T5071" t="s">
        <v>2194</v>
      </c>
      <c r="U5071" t="s">
        <v>2195</v>
      </c>
      <c r="V5071" s="3">
        <v>41774</v>
      </c>
    </row>
    <row r="5072" spans="1:22" x14ac:dyDescent="0.35">
      <c r="A5072" s="1">
        <v>42306.708148148151</v>
      </c>
      <c r="B5072" s="2">
        <v>2.6620370370370372E-4</v>
      </c>
      <c r="C5072" t="s">
        <v>8218</v>
      </c>
      <c r="D5072" t="s">
        <v>261</v>
      </c>
      <c r="E5072" t="s">
        <v>262</v>
      </c>
      <c r="F5072" t="s">
        <v>8219</v>
      </c>
      <c r="G5072">
        <v>1584080</v>
      </c>
      <c r="H5072" t="s">
        <v>26</v>
      </c>
      <c r="I5072" t="s">
        <v>237</v>
      </c>
      <c r="J5072" t="str">
        <f>"9781118637890"</f>
        <v>9781118637890</v>
      </c>
      <c r="K5072" t="s">
        <v>8220</v>
      </c>
      <c r="L5072">
        <v>10</v>
      </c>
      <c r="O5072" t="s">
        <v>30</v>
      </c>
      <c r="P5072" t="s">
        <v>50</v>
      </c>
      <c r="S5072" t="s">
        <v>264</v>
      </c>
      <c r="T5072" t="s">
        <v>8221</v>
      </c>
      <c r="U5072">
        <v>551.22011199999997</v>
      </c>
      <c r="V5072" s="3">
        <v>41626</v>
      </c>
    </row>
    <row r="5073" spans="1:22" x14ac:dyDescent="0.35">
      <c r="A5073" s="1">
        <v>42306.705405092594</v>
      </c>
      <c r="B5073" s="2">
        <v>5.6712962962962956E-4</v>
      </c>
      <c r="C5073" t="s">
        <v>5969</v>
      </c>
      <c r="D5073" t="s">
        <v>23</v>
      </c>
      <c r="E5073" t="s">
        <v>24</v>
      </c>
      <c r="F5073" t="s">
        <v>745</v>
      </c>
      <c r="G5073">
        <v>1166322</v>
      </c>
      <c r="H5073" t="s">
        <v>26</v>
      </c>
      <c r="I5073" t="s">
        <v>200</v>
      </c>
      <c r="J5073" t="str">
        <f>"9781118418512"</f>
        <v>9781118418512</v>
      </c>
      <c r="K5073" t="s">
        <v>8222</v>
      </c>
      <c r="L5073">
        <v>19</v>
      </c>
      <c r="O5073" t="s">
        <v>30</v>
      </c>
      <c r="P5073" t="s">
        <v>29</v>
      </c>
      <c r="Q5073" s="1">
        <v>42306.705405092594</v>
      </c>
      <c r="R5073">
        <v>7</v>
      </c>
      <c r="S5073" t="s">
        <v>31</v>
      </c>
      <c r="T5073" t="s">
        <v>747</v>
      </c>
      <c r="U5073">
        <v>720.072</v>
      </c>
      <c r="V5073" s="3">
        <v>41367</v>
      </c>
    </row>
    <row r="5074" spans="1:22" x14ac:dyDescent="0.35">
      <c r="A5074" s="1">
        <v>42306.693715277775</v>
      </c>
      <c r="B5074" s="2">
        <v>1.7708333333333332E-3</v>
      </c>
      <c r="C5074" t="s">
        <v>6518</v>
      </c>
      <c r="D5074" t="s">
        <v>23</v>
      </c>
      <c r="E5074" t="s">
        <v>24</v>
      </c>
      <c r="F5074" t="s">
        <v>486</v>
      </c>
      <c r="G5074">
        <v>1119505</v>
      </c>
      <c r="H5074" t="s">
        <v>26</v>
      </c>
      <c r="I5074" t="s">
        <v>450</v>
      </c>
      <c r="J5074" t="str">
        <f>"9781118355015"</f>
        <v>9781118355015</v>
      </c>
      <c r="K5074" t="s">
        <v>8223</v>
      </c>
      <c r="L5074">
        <v>30</v>
      </c>
      <c r="N5074" t="s">
        <v>7917</v>
      </c>
      <c r="O5074" t="s">
        <v>30</v>
      </c>
      <c r="P5074" t="s">
        <v>29</v>
      </c>
      <c r="Q5074" s="1">
        <v>42306.693715277775</v>
      </c>
      <c r="R5074">
        <v>7</v>
      </c>
      <c r="S5074" t="s">
        <v>31</v>
      </c>
      <c r="T5074" t="s">
        <v>487</v>
      </c>
      <c r="U5074" t="s">
        <v>488</v>
      </c>
      <c r="V5074" s="3">
        <v>41302</v>
      </c>
    </row>
    <row r="5075" spans="1:22" x14ac:dyDescent="0.35">
      <c r="A5075" s="1">
        <v>42306.693425925929</v>
      </c>
      <c r="B5075" s="2">
        <v>2.8935185185185189E-4</v>
      </c>
      <c r="C5075" t="s">
        <v>6518</v>
      </c>
      <c r="D5075" t="s">
        <v>23</v>
      </c>
      <c r="E5075" t="s">
        <v>24</v>
      </c>
      <c r="F5075" t="s">
        <v>486</v>
      </c>
      <c r="G5075">
        <v>1119505</v>
      </c>
      <c r="H5075" t="s">
        <v>26</v>
      </c>
      <c r="I5075" t="s">
        <v>450</v>
      </c>
      <c r="J5075" t="str">
        <f>"9781118355015"</f>
        <v>9781118355015</v>
      </c>
      <c r="K5075" t="s">
        <v>8224</v>
      </c>
      <c r="L5075">
        <v>18</v>
      </c>
      <c r="O5075" t="s">
        <v>30</v>
      </c>
      <c r="P5075" t="s">
        <v>42</v>
      </c>
      <c r="S5075" t="s">
        <v>31</v>
      </c>
      <c r="T5075" t="s">
        <v>487</v>
      </c>
      <c r="U5075" t="s">
        <v>488</v>
      </c>
      <c r="V5075" s="3">
        <v>41302</v>
      </c>
    </row>
    <row r="5076" spans="1:22" x14ac:dyDescent="0.35">
      <c r="A5076" s="1">
        <v>42306.691168981481</v>
      </c>
      <c r="B5076" s="2">
        <v>2.0949074074074073E-3</v>
      </c>
      <c r="C5076" t="s">
        <v>106</v>
      </c>
      <c r="D5076" t="s">
        <v>23</v>
      </c>
      <c r="E5076" t="s">
        <v>24</v>
      </c>
      <c r="F5076" t="s">
        <v>745</v>
      </c>
      <c r="G5076">
        <v>1166322</v>
      </c>
      <c r="H5076" t="s">
        <v>26</v>
      </c>
      <c r="I5076" t="s">
        <v>200</v>
      </c>
      <c r="J5076" t="str">
        <f>"9781118418512"</f>
        <v>9781118418512</v>
      </c>
      <c r="K5076" t="s">
        <v>8225</v>
      </c>
      <c r="L5076">
        <v>16</v>
      </c>
      <c r="O5076" t="s">
        <v>30</v>
      </c>
      <c r="P5076" t="s">
        <v>29</v>
      </c>
      <c r="Q5076" s="1">
        <v>42306.691168981481</v>
      </c>
      <c r="R5076">
        <v>7</v>
      </c>
      <c r="S5076" t="s">
        <v>31</v>
      </c>
      <c r="T5076" t="s">
        <v>747</v>
      </c>
      <c r="U5076">
        <v>720.072</v>
      </c>
      <c r="V5076" s="3">
        <v>41367</v>
      </c>
    </row>
    <row r="5077" spans="1:22" x14ac:dyDescent="0.35">
      <c r="A5077" s="1">
        <v>42306.690694444442</v>
      </c>
      <c r="B5077" s="2">
        <v>1.1412037037037038E-2</v>
      </c>
      <c r="C5077" t="s">
        <v>106</v>
      </c>
      <c r="D5077" t="s">
        <v>23</v>
      </c>
      <c r="E5077" t="s">
        <v>24</v>
      </c>
      <c r="F5077" t="s">
        <v>745</v>
      </c>
      <c r="G5077">
        <v>1166322</v>
      </c>
      <c r="H5077" t="s">
        <v>26</v>
      </c>
      <c r="I5077" t="s">
        <v>200</v>
      </c>
      <c r="J5077" t="str">
        <f>"9781118418512"</f>
        <v>9781118418512</v>
      </c>
      <c r="K5077" t="s">
        <v>8226</v>
      </c>
      <c r="L5077">
        <v>48</v>
      </c>
      <c r="O5077" t="s">
        <v>30</v>
      </c>
      <c r="P5077" t="s">
        <v>29</v>
      </c>
      <c r="Q5077" s="1">
        <v>42306.690694444442</v>
      </c>
      <c r="R5077">
        <v>7</v>
      </c>
      <c r="S5077" t="s">
        <v>31</v>
      </c>
      <c r="T5077" t="s">
        <v>747</v>
      </c>
      <c r="U5077">
        <v>720.072</v>
      </c>
      <c r="V5077" s="3">
        <v>41367</v>
      </c>
    </row>
    <row r="5078" spans="1:22" x14ac:dyDescent="0.35">
      <c r="A5078" s="1">
        <v>42306.690069444441</v>
      </c>
      <c r="B5078" s="2">
        <v>1.5335648148148147E-2</v>
      </c>
      <c r="C5078" t="s">
        <v>5969</v>
      </c>
      <c r="D5078" t="s">
        <v>23</v>
      </c>
      <c r="E5078" t="s">
        <v>24</v>
      </c>
      <c r="F5078" t="s">
        <v>745</v>
      </c>
      <c r="G5078">
        <v>1166322</v>
      </c>
      <c r="H5078" t="s">
        <v>26</v>
      </c>
      <c r="I5078" t="s">
        <v>200</v>
      </c>
      <c r="J5078" t="str">
        <f>"9781118418512"</f>
        <v>9781118418512</v>
      </c>
      <c r="K5078" t="s">
        <v>33</v>
      </c>
      <c r="L5078">
        <v>3</v>
      </c>
      <c r="O5078" t="s">
        <v>30</v>
      </c>
      <c r="P5078" t="s">
        <v>42</v>
      </c>
      <c r="S5078" t="s">
        <v>31</v>
      </c>
      <c r="T5078" t="s">
        <v>747</v>
      </c>
      <c r="U5078">
        <v>720.072</v>
      </c>
      <c r="V5078" s="3">
        <v>41367</v>
      </c>
    </row>
    <row r="5079" spans="1:22" x14ac:dyDescent="0.35">
      <c r="A5079" s="1">
        <v>42306.688726851855</v>
      </c>
      <c r="B5079" s="2">
        <v>2.7199074074074074E-3</v>
      </c>
      <c r="C5079" t="s">
        <v>106</v>
      </c>
      <c r="D5079" t="s">
        <v>23</v>
      </c>
      <c r="E5079" t="s">
        <v>24</v>
      </c>
      <c r="F5079" t="s">
        <v>6837</v>
      </c>
      <c r="G5079">
        <v>1655862</v>
      </c>
      <c r="H5079" t="s">
        <v>613</v>
      </c>
      <c r="I5079" t="s">
        <v>5632</v>
      </c>
      <c r="J5079" t="str">
        <f>"9781469615493"</f>
        <v>9781469615493</v>
      </c>
      <c r="K5079" t="s">
        <v>8227</v>
      </c>
      <c r="L5079">
        <v>38</v>
      </c>
      <c r="O5079" t="s">
        <v>30</v>
      </c>
      <c r="P5079" t="s">
        <v>50</v>
      </c>
      <c r="S5079" t="s">
        <v>31</v>
      </c>
      <c r="T5079" t="s">
        <v>6839</v>
      </c>
      <c r="U5079" t="s">
        <v>6840</v>
      </c>
      <c r="V5079" s="3">
        <v>41744</v>
      </c>
    </row>
    <row r="5080" spans="1:22" x14ac:dyDescent="0.35">
      <c r="A5080" s="1">
        <v>42306.686238425929</v>
      </c>
      <c r="B5080" s="2">
        <v>4.9305555555555552E-3</v>
      </c>
      <c r="C5080" t="s">
        <v>106</v>
      </c>
      <c r="D5080" t="s">
        <v>23</v>
      </c>
      <c r="E5080" t="s">
        <v>24</v>
      </c>
      <c r="F5080" t="s">
        <v>745</v>
      </c>
      <c r="G5080">
        <v>1166322</v>
      </c>
      <c r="H5080" t="s">
        <v>26</v>
      </c>
      <c r="I5080" t="s">
        <v>200</v>
      </c>
      <c r="J5080" t="str">
        <f>"9781118418512"</f>
        <v>9781118418512</v>
      </c>
      <c r="K5080" t="s">
        <v>8228</v>
      </c>
      <c r="L5080">
        <v>25</v>
      </c>
      <c r="O5080" t="s">
        <v>30</v>
      </c>
      <c r="P5080" t="s">
        <v>42</v>
      </c>
      <c r="S5080" t="s">
        <v>31</v>
      </c>
      <c r="T5080" t="s">
        <v>747</v>
      </c>
      <c r="U5080">
        <v>720.072</v>
      </c>
      <c r="V5080" s="3">
        <v>41367</v>
      </c>
    </row>
    <row r="5081" spans="1:22" x14ac:dyDescent="0.35">
      <c r="A5081" s="1">
        <v>42306.656956018516</v>
      </c>
      <c r="B5081" s="2">
        <v>3.3738425925925929E-2</v>
      </c>
      <c r="C5081" t="s">
        <v>106</v>
      </c>
      <c r="D5081" t="s">
        <v>23</v>
      </c>
      <c r="E5081" t="s">
        <v>24</v>
      </c>
      <c r="F5081" t="s">
        <v>745</v>
      </c>
      <c r="G5081">
        <v>1166322</v>
      </c>
      <c r="H5081" t="s">
        <v>26</v>
      </c>
      <c r="I5081" t="s">
        <v>200</v>
      </c>
      <c r="J5081" t="str">
        <f>"9781118418512"</f>
        <v>9781118418512</v>
      </c>
      <c r="K5081" t="s">
        <v>33</v>
      </c>
      <c r="L5081">
        <v>3</v>
      </c>
      <c r="O5081" t="s">
        <v>30</v>
      </c>
      <c r="P5081" t="s">
        <v>42</v>
      </c>
      <c r="S5081" t="s">
        <v>31</v>
      </c>
      <c r="T5081" t="s">
        <v>747</v>
      </c>
      <c r="U5081">
        <v>720.072</v>
      </c>
      <c r="V5081" s="3">
        <v>41367</v>
      </c>
    </row>
    <row r="5082" spans="1:22" x14ac:dyDescent="0.35">
      <c r="A5082" s="1">
        <v>42306.599699074075</v>
      </c>
      <c r="B5082" s="2">
        <v>8.2986111111111108E-3</v>
      </c>
      <c r="C5082" t="s">
        <v>106</v>
      </c>
      <c r="D5082" t="s">
        <v>23</v>
      </c>
      <c r="E5082" t="s">
        <v>24</v>
      </c>
      <c r="F5082" t="s">
        <v>486</v>
      </c>
      <c r="G5082">
        <v>1119505</v>
      </c>
      <c r="H5082" t="s">
        <v>26</v>
      </c>
      <c r="I5082" t="s">
        <v>450</v>
      </c>
      <c r="J5082" t="str">
        <f>"9781118355015"</f>
        <v>9781118355015</v>
      </c>
      <c r="K5082" t="s">
        <v>8229</v>
      </c>
      <c r="L5082">
        <v>10</v>
      </c>
      <c r="O5082" t="s">
        <v>30</v>
      </c>
      <c r="P5082" t="s">
        <v>29</v>
      </c>
      <c r="Q5082" s="1">
        <v>42299.725706018522</v>
      </c>
      <c r="R5082">
        <v>7</v>
      </c>
      <c r="S5082" t="s">
        <v>31</v>
      </c>
      <c r="T5082" t="s">
        <v>487</v>
      </c>
      <c r="U5082" t="s">
        <v>488</v>
      </c>
      <c r="V5082" s="3">
        <v>41302</v>
      </c>
    </row>
    <row r="5083" spans="1:22" x14ac:dyDescent="0.35">
      <c r="A5083" s="1">
        <v>42306.599675925929</v>
      </c>
      <c r="B5083" s="2">
        <v>1.3425925925925924E-2</v>
      </c>
      <c r="C5083" t="s">
        <v>8230</v>
      </c>
      <c r="D5083" t="s">
        <v>261</v>
      </c>
      <c r="E5083" t="s">
        <v>262</v>
      </c>
      <c r="F5083" t="s">
        <v>6160</v>
      </c>
      <c r="G5083">
        <v>1584076</v>
      </c>
      <c r="H5083" t="s">
        <v>26</v>
      </c>
      <c r="I5083" t="s">
        <v>172</v>
      </c>
      <c r="J5083" t="str">
        <f>"9780745679679"</f>
        <v>9780745679679</v>
      </c>
      <c r="K5083" t="s">
        <v>8231</v>
      </c>
      <c r="L5083">
        <v>13</v>
      </c>
      <c r="O5083" t="s">
        <v>30</v>
      </c>
      <c r="P5083" t="s">
        <v>29</v>
      </c>
      <c r="Q5083" s="1">
        <v>42306.599675925929</v>
      </c>
      <c r="R5083">
        <v>7</v>
      </c>
      <c r="S5083" t="s">
        <v>264</v>
      </c>
      <c r="T5083" t="s">
        <v>6162</v>
      </c>
      <c r="U5083">
        <v>945.05</v>
      </c>
      <c r="V5083" s="3">
        <v>41626</v>
      </c>
    </row>
    <row r="5084" spans="1:22" x14ac:dyDescent="0.35">
      <c r="A5084" s="1">
        <v>42306.599652777775</v>
      </c>
      <c r="B5084" s="2">
        <v>2.3148148148148147E-5</v>
      </c>
      <c r="C5084" t="s">
        <v>8230</v>
      </c>
      <c r="D5084" t="s">
        <v>261</v>
      </c>
      <c r="E5084" t="s">
        <v>262</v>
      </c>
      <c r="F5084" t="s">
        <v>6160</v>
      </c>
      <c r="G5084">
        <v>1584076</v>
      </c>
      <c r="H5084" t="s">
        <v>26</v>
      </c>
      <c r="I5084" t="s">
        <v>172</v>
      </c>
      <c r="J5084" t="str">
        <f>"9780745679679"</f>
        <v>9780745679679</v>
      </c>
      <c r="L5084">
        <v>0</v>
      </c>
      <c r="O5084" t="s">
        <v>30</v>
      </c>
      <c r="P5084" t="s">
        <v>50</v>
      </c>
      <c r="S5084" t="s">
        <v>264</v>
      </c>
      <c r="T5084" t="s">
        <v>6162</v>
      </c>
      <c r="U5084">
        <v>945.05</v>
      </c>
      <c r="V5084" s="3">
        <v>41626</v>
      </c>
    </row>
    <row r="5085" spans="1:22" x14ac:dyDescent="0.35">
      <c r="A5085" s="1">
        <v>42306.585648148146</v>
      </c>
      <c r="B5085" s="2">
        <v>1.982638888888889E-2</v>
      </c>
      <c r="C5085" t="s">
        <v>4545</v>
      </c>
      <c r="D5085" t="s">
        <v>23</v>
      </c>
      <c r="E5085" t="s">
        <v>24</v>
      </c>
      <c r="F5085" t="s">
        <v>2191</v>
      </c>
      <c r="G5085">
        <v>1691133</v>
      </c>
      <c r="H5085" t="s">
        <v>91</v>
      </c>
      <c r="I5085" t="s">
        <v>247</v>
      </c>
      <c r="J5085" t="str">
        <f>"9781462516278"</f>
        <v>9781462516278</v>
      </c>
      <c r="K5085" t="s">
        <v>8232</v>
      </c>
      <c r="L5085">
        <v>29</v>
      </c>
      <c r="O5085" t="s">
        <v>30</v>
      </c>
      <c r="P5085" t="s">
        <v>29</v>
      </c>
      <c r="Q5085" s="1">
        <v>42306.033587962964</v>
      </c>
      <c r="R5085">
        <v>7</v>
      </c>
      <c r="S5085" t="s">
        <v>31</v>
      </c>
      <c r="T5085" t="s">
        <v>2194</v>
      </c>
      <c r="U5085" t="s">
        <v>2195</v>
      </c>
      <c r="V5085" s="3">
        <v>41774</v>
      </c>
    </row>
    <row r="5086" spans="1:22" x14ac:dyDescent="0.35">
      <c r="A5086" s="1">
        <v>42306.571736111109</v>
      </c>
      <c r="B5086" s="2">
        <v>5.3240740740740744E-4</v>
      </c>
      <c r="C5086" t="s">
        <v>485</v>
      </c>
      <c r="D5086" t="s">
        <v>158</v>
      </c>
      <c r="E5086" t="s">
        <v>159</v>
      </c>
      <c r="F5086" t="s">
        <v>8233</v>
      </c>
      <c r="G5086">
        <v>1810518</v>
      </c>
      <c r="H5086" t="s">
        <v>26</v>
      </c>
      <c r="I5086" t="s">
        <v>108</v>
      </c>
      <c r="J5086" t="str">
        <f>"9781118996560"</f>
        <v>9781118996560</v>
      </c>
      <c r="K5086" t="s">
        <v>2198</v>
      </c>
      <c r="L5086">
        <v>10</v>
      </c>
      <c r="O5086" t="s">
        <v>30</v>
      </c>
      <c r="P5086" t="s">
        <v>42</v>
      </c>
      <c r="S5086" t="s">
        <v>163</v>
      </c>
      <c r="T5086" t="s">
        <v>8234</v>
      </c>
      <c r="U5086">
        <v>332.6</v>
      </c>
      <c r="V5086" s="3">
        <v>41912</v>
      </c>
    </row>
    <row r="5087" spans="1:22" x14ac:dyDescent="0.35">
      <c r="A5087" s="1">
        <v>42306.553784722222</v>
      </c>
      <c r="B5087" s="2">
        <v>4.6296296296296294E-5</v>
      </c>
      <c r="C5087" t="s">
        <v>8235</v>
      </c>
      <c r="D5087" t="s">
        <v>261</v>
      </c>
      <c r="E5087" t="s">
        <v>262</v>
      </c>
      <c r="F5087" t="s">
        <v>5531</v>
      </c>
      <c r="G5087">
        <v>1107458</v>
      </c>
      <c r="H5087" t="s">
        <v>1286</v>
      </c>
      <c r="I5087" t="s">
        <v>291</v>
      </c>
      <c r="J5087" t="str">
        <f>"9781476600161"</f>
        <v>9781476600161</v>
      </c>
      <c r="K5087" t="s">
        <v>33</v>
      </c>
      <c r="L5087">
        <v>3</v>
      </c>
      <c r="O5087" t="s">
        <v>30</v>
      </c>
      <c r="P5087" t="s">
        <v>42</v>
      </c>
      <c r="S5087" t="s">
        <v>264</v>
      </c>
      <c r="T5087" t="s">
        <v>5533</v>
      </c>
      <c r="U5087" t="s">
        <v>5534</v>
      </c>
      <c r="V5087" s="3">
        <v>41287</v>
      </c>
    </row>
    <row r="5088" spans="1:22" x14ac:dyDescent="0.35">
      <c r="A5088" s="1">
        <v>42306.400868055556</v>
      </c>
      <c r="B5088" s="2">
        <v>1.1689814814814816E-3</v>
      </c>
      <c r="C5088" t="s">
        <v>8236</v>
      </c>
      <c r="D5088" t="s">
        <v>261</v>
      </c>
      <c r="E5088" t="s">
        <v>262</v>
      </c>
      <c r="F5088" t="s">
        <v>8237</v>
      </c>
      <c r="G5088">
        <v>1527435</v>
      </c>
      <c r="H5088" t="s">
        <v>26</v>
      </c>
      <c r="I5088" t="s">
        <v>276</v>
      </c>
      <c r="J5088" t="str">
        <f>"9781118750728"</f>
        <v>9781118750728</v>
      </c>
      <c r="K5088" t="s">
        <v>8238</v>
      </c>
      <c r="L5088">
        <v>6</v>
      </c>
      <c r="O5088" t="s">
        <v>30</v>
      </c>
      <c r="P5088" t="s">
        <v>50</v>
      </c>
      <c r="S5088" t="s">
        <v>264</v>
      </c>
      <c r="T5088" t="s">
        <v>8239</v>
      </c>
      <c r="U5088">
        <v>4.5599999999999996</v>
      </c>
      <c r="V5088" s="3">
        <v>41578</v>
      </c>
    </row>
    <row r="5089" spans="1:22" x14ac:dyDescent="0.35">
      <c r="A5089" s="1">
        <v>42306.296099537038</v>
      </c>
      <c r="B5089" s="2">
        <v>1.1458333333333333E-3</v>
      </c>
      <c r="C5089" t="s">
        <v>6735</v>
      </c>
      <c r="D5089" t="s">
        <v>623</v>
      </c>
      <c r="E5089" t="s">
        <v>624</v>
      </c>
      <c r="F5089" t="s">
        <v>6736</v>
      </c>
      <c r="G5089">
        <v>1983497</v>
      </c>
      <c r="H5089" t="s">
        <v>26</v>
      </c>
      <c r="I5089" t="s">
        <v>120</v>
      </c>
      <c r="J5089" t="str">
        <f>"9780745689395"</f>
        <v>9780745689395</v>
      </c>
      <c r="K5089" t="s">
        <v>8240</v>
      </c>
      <c r="L5089">
        <v>12</v>
      </c>
      <c r="O5089" t="s">
        <v>30</v>
      </c>
      <c r="P5089" t="s">
        <v>29</v>
      </c>
      <c r="Q5089" s="1">
        <v>42305.922453703701</v>
      </c>
      <c r="R5089">
        <v>7</v>
      </c>
      <c r="S5089" t="s">
        <v>627</v>
      </c>
      <c r="T5089" t="s">
        <v>6738</v>
      </c>
      <c r="U5089">
        <v>391.6</v>
      </c>
      <c r="V5089" s="3">
        <v>42066</v>
      </c>
    </row>
    <row r="5090" spans="1:22" x14ac:dyDescent="0.35">
      <c r="A5090" s="1">
        <v>42306.268912037034</v>
      </c>
      <c r="B5090" s="2">
        <v>3.8310185185185183E-3</v>
      </c>
      <c r="C5090" t="s">
        <v>8241</v>
      </c>
      <c r="D5090" t="s">
        <v>35</v>
      </c>
      <c r="E5090" t="s">
        <v>36</v>
      </c>
      <c r="F5090" t="s">
        <v>4770</v>
      </c>
      <c r="G5090">
        <v>2038643</v>
      </c>
      <c r="H5090" t="s">
        <v>45</v>
      </c>
      <c r="I5090" t="s">
        <v>120</v>
      </c>
      <c r="J5090" t="str">
        <f>"9781472427625"</f>
        <v>9781472427625</v>
      </c>
      <c r="L5090">
        <v>0</v>
      </c>
      <c r="O5090" t="s">
        <v>30</v>
      </c>
      <c r="P5090" t="s">
        <v>50</v>
      </c>
      <c r="S5090" t="s">
        <v>40</v>
      </c>
      <c r="T5090">
        <v>2013049432</v>
      </c>
      <c r="U5090">
        <v>306.46100000000001</v>
      </c>
      <c r="V5090" s="3">
        <v>42152</v>
      </c>
    </row>
    <row r="5091" spans="1:22" x14ac:dyDescent="0.35">
      <c r="A5091" s="1">
        <v>42306.24690972222</v>
      </c>
      <c r="B5091" s="2">
        <v>1.1458333333333333E-3</v>
      </c>
      <c r="C5091" t="s">
        <v>3820</v>
      </c>
      <c r="D5091" t="s">
        <v>2519</v>
      </c>
      <c r="E5091" t="s">
        <v>2520</v>
      </c>
      <c r="F5091" t="s">
        <v>8242</v>
      </c>
      <c r="G5091">
        <v>1663502</v>
      </c>
      <c r="H5091" t="s">
        <v>613</v>
      </c>
      <c r="I5091" t="s">
        <v>69</v>
      </c>
      <c r="J5091" t="str">
        <f>"9781469612744"</f>
        <v>9781469612744</v>
      </c>
      <c r="K5091" t="s">
        <v>8243</v>
      </c>
      <c r="L5091">
        <v>16</v>
      </c>
      <c r="O5091" t="s">
        <v>30</v>
      </c>
      <c r="P5091" t="s">
        <v>50</v>
      </c>
      <c r="S5091" t="s">
        <v>2523</v>
      </c>
      <c r="T5091" t="s">
        <v>8244</v>
      </c>
      <c r="U5091" t="s">
        <v>8245</v>
      </c>
      <c r="V5091" s="3">
        <v>41487</v>
      </c>
    </row>
    <row r="5092" spans="1:22" x14ac:dyDescent="0.35">
      <c r="A5092" s="1">
        <v>42306.221817129626</v>
      </c>
      <c r="B5092" s="2">
        <v>7.291666666666667E-4</v>
      </c>
      <c r="C5092" t="s">
        <v>8241</v>
      </c>
      <c r="D5092" t="s">
        <v>35</v>
      </c>
      <c r="E5092" t="s">
        <v>36</v>
      </c>
      <c r="F5092" t="s">
        <v>5631</v>
      </c>
      <c r="G5092">
        <v>1650364</v>
      </c>
      <c r="H5092" t="s">
        <v>84</v>
      </c>
      <c r="I5092" t="s">
        <v>5632</v>
      </c>
      <c r="J5092" t="str">
        <f>"9780520958272"</f>
        <v>9780520958272</v>
      </c>
      <c r="K5092" t="s">
        <v>8246</v>
      </c>
      <c r="L5092">
        <v>11</v>
      </c>
      <c r="O5092" t="s">
        <v>30</v>
      </c>
      <c r="P5092" t="s">
        <v>47</v>
      </c>
      <c r="Q5092" s="1">
        <v>42306.215914351851</v>
      </c>
      <c r="R5092">
        <v>1</v>
      </c>
      <c r="S5092" t="s">
        <v>40</v>
      </c>
      <c r="T5092" t="s">
        <v>5634</v>
      </c>
      <c r="U5092" t="s">
        <v>5635</v>
      </c>
      <c r="V5092" s="3">
        <v>41779</v>
      </c>
    </row>
    <row r="5093" spans="1:22" x14ac:dyDescent="0.35">
      <c r="A5093" s="1">
        <v>42306.215914351851</v>
      </c>
      <c r="B5093" s="2">
        <v>4.8611111111111112E-3</v>
      </c>
      <c r="C5093" t="s">
        <v>8241</v>
      </c>
      <c r="D5093" t="s">
        <v>35</v>
      </c>
      <c r="E5093" t="s">
        <v>36</v>
      </c>
      <c r="F5093" t="s">
        <v>5631</v>
      </c>
      <c r="G5093">
        <v>1650364</v>
      </c>
      <c r="H5093" t="s">
        <v>84</v>
      </c>
      <c r="I5093" t="s">
        <v>5632</v>
      </c>
      <c r="J5093" t="str">
        <f>"9780520958272"</f>
        <v>9780520958272</v>
      </c>
      <c r="K5093" t="s">
        <v>8247</v>
      </c>
      <c r="L5093">
        <v>7</v>
      </c>
      <c r="O5093" t="s">
        <v>30</v>
      </c>
      <c r="P5093" t="s">
        <v>47</v>
      </c>
      <c r="Q5093" s="1">
        <v>42306.215914351851</v>
      </c>
      <c r="R5093">
        <v>1</v>
      </c>
      <c r="S5093" t="s">
        <v>40</v>
      </c>
      <c r="T5093" t="s">
        <v>5634</v>
      </c>
      <c r="U5093" t="s">
        <v>5635</v>
      </c>
      <c r="V5093" s="3">
        <v>41779</v>
      </c>
    </row>
    <row r="5094" spans="1:22" x14ac:dyDescent="0.35">
      <c r="A5094" s="1">
        <v>42306.203333333331</v>
      </c>
      <c r="B5094" s="2">
        <v>1.2581018518518519E-2</v>
      </c>
      <c r="C5094" t="s">
        <v>8241</v>
      </c>
      <c r="D5094" t="s">
        <v>35</v>
      </c>
      <c r="E5094" t="s">
        <v>36</v>
      </c>
      <c r="F5094" t="s">
        <v>5631</v>
      </c>
      <c r="G5094">
        <v>1650364</v>
      </c>
      <c r="H5094" t="s">
        <v>84</v>
      </c>
      <c r="I5094" t="s">
        <v>5632</v>
      </c>
      <c r="J5094" t="str">
        <f>"9780520958272"</f>
        <v>9780520958272</v>
      </c>
      <c r="K5094" t="s">
        <v>33</v>
      </c>
      <c r="L5094">
        <v>3</v>
      </c>
      <c r="O5094" t="s">
        <v>30</v>
      </c>
      <c r="P5094" t="s">
        <v>50</v>
      </c>
      <c r="S5094" t="s">
        <v>40</v>
      </c>
      <c r="T5094" t="s">
        <v>5634</v>
      </c>
      <c r="U5094" t="s">
        <v>5635</v>
      </c>
      <c r="V5094" s="3">
        <v>41779</v>
      </c>
    </row>
    <row r="5095" spans="1:22" x14ac:dyDescent="0.35">
      <c r="A5095" s="1">
        <v>42306.184988425928</v>
      </c>
      <c r="B5095" s="2">
        <v>2.0949074074074073E-3</v>
      </c>
      <c r="C5095" t="s">
        <v>8210</v>
      </c>
      <c r="D5095" t="s">
        <v>23</v>
      </c>
      <c r="E5095" t="s">
        <v>24</v>
      </c>
      <c r="F5095" t="s">
        <v>8211</v>
      </c>
      <c r="G5095">
        <v>1887315</v>
      </c>
      <c r="H5095" t="s">
        <v>45</v>
      </c>
      <c r="I5095" t="s">
        <v>108</v>
      </c>
      <c r="J5095" t="str">
        <f>"9781472444462"</f>
        <v>9781472444462</v>
      </c>
      <c r="K5095" t="s">
        <v>8248</v>
      </c>
      <c r="L5095">
        <v>22</v>
      </c>
      <c r="N5095" t="s">
        <v>8249</v>
      </c>
      <c r="O5095" t="s">
        <v>28</v>
      </c>
      <c r="P5095" t="s">
        <v>47</v>
      </c>
      <c r="Q5095" s="1">
        <v>42306.179907407408</v>
      </c>
      <c r="R5095">
        <v>1</v>
      </c>
      <c r="S5095" t="s">
        <v>31</v>
      </c>
      <c r="T5095" t="s">
        <v>8212</v>
      </c>
      <c r="U5095" t="s">
        <v>8213</v>
      </c>
      <c r="V5095" s="3">
        <v>42063</v>
      </c>
    </row>
    <row r="5096" spans="1:22" x14ac:dyDescent="0.35">
      <c r="A5096" s="1">
        <v>42306.183611111112</v>
      </c>
      <c r="B5096" s="2">
        <v>0</v>
      </c>
      <c r="C5096" t="s">
        <v>8210</v>
      </c>
      <c r="D5096" t="s">
        <v>23</v>
      </c>
      <c r="E5096" t="s">
        <v>24</v>
      </c>
      <c r="F5096" t="s">
        <v>8211</v>
      </c>
      <c r="G5096">
        <v>1887315</v>
      </c>
      <c r="H5096" t="s">
        <v>45</v>
      </c>
      <c r="I5096" t="s">
        <v>108</v>
      </c>
      <c r="J5096" t="str">
        <f>"9781472444462"</f>
        <v>9781472444462</v>
      </c>
      <c r="L5096">
        <v>0</v>
      </c>
      <c r="M5096" t="s">
        <v>7735</v>
      </c>
      <c r="O5096" t="s">
        <v>28</v>
      </c>
      <c r="P5096" t="s">
        <v>47</v>
      </c>
      <c r="Q5096" s="1">
        <v>42306.179907407408</v>
      </c>
      <c r="R5096">
        <v>1</v>
      </c>
      <c r="S5096" t="s">
        <v>31</v>
      </c>
      <c r="T5096" t="s">
        <v>8212</v>
      </c>
      <c r="U5096" t="s">
        <v>8213</v>
      </c>
      <c r="V5096" s="3">
        <v>42063</v>
      </c>
    </row>
    <row r="5097" spans="1:22" x14ac:dyDescent="0.35">
      <c r="A5097" s="1">
        <v>42306.179907407408</v>
      </c>
      <c r="B5097" s="2">
        <v>3.0324074074074073E-3</v>
      </c>
      <c r="C5097" t="s">
        <v>8210</v>
      </c>
      <c r="D5097" t="s">
        <v>23</v>
      </c>
      <c r="E5097" t="s">
        <v>24</v>
      </c>
      <c r="F5097" t="s">
        <v>8211</v>
      </c>
      <c r="G5097">
        <v>1887315</v>
      </c>
      <c r="H5097" t="s">
        <v>45</v>
      </c>
      <c r="I5097" t="s">
        <v>108</v>
      </c>
      <c r="J5097" t="str">
        <f>"9781472444462"</f>
        <v>9781472444462</v>
      </c>
      <c r="K5097" t="s">
        <v>8250</v>
      </c>
      <c r="L5097">
        <v>4</v>
      </c>
      <c r="N5097" t="s">
        <v>8251</v>
      </c>
      <c r="O5097" t="s">
        <v>30</v>
      </c>
      <c r="P5097" t="s">
        <v>47</v>
      </c>
      <c r="Q5097" s="1">
        <v>42306.179907407408</v>
      </c>
      <c r="R5097">
        <v>1</v>
      </c>
      <c r="S5097" t="s">
        <v>31</v>
      </c>
      <c r="T5097" t="s">
        <v>8212</v>
      </c>
      <c r="U5097" t="s">
        <v>8213</v>
      </c>
      <c r="V5097" s="3">
        <v>42063</v>
      </c>
    </row>
    <row r="5098" spans="1:22" x14ac:dyDescent="0.35">
      <c r="A5098" s="1">
        <v>42306.1796412037</v>
      </c>
      <c r="B5098" s="2">
        <v>2.6620370370370372E-4</v>
      </c>
      <c r="C5098" t="s">
        <v>8210</v>
      </c>
      <c r="D5098" t="s">
        <v>23</v>
      </c>
      <c r="E5098" t="s">
        <v>24</v>
      </c>
      <c r="F5098" t="s">
        <v>8211</v>
      </c>
      <c r="G5098">
        <v>1887315</v>
      </c>
      <c r="H5098" t="s">
        <v>45</v>
      </c>
      <c r="I5098" t="s">
        <v>108</v>
      </c>
      <c r="J5098" t="str">
        <f>"9781472444462"</f>
        <v>9781472444462</v>
      </c>
      <c r="K5098" t="s">
        <v>86</v>
      </c>
      <c r="L5098">
        <v>5</v>
      </c>
      <c r="O5098" t="s">
        <v>30</v>
      </c>
      <c r="P5098" t="s">
        <v>50</v>
      </c>
      <c r="S5098" t="s">
        <v>31</v>
      </c>
      <c r="T5098" t="s">
        <v>8212</v>
      </c>
      <c r="U5098" t="s">
        <v>8213</v>
      </c>
      <c r="V5098" s="3">
        <v>42063</v>
      </c>
    </row>
    <row r="5099" spans="1:22" x14ac:dyDescent="0.35">
      <c r="A5099" s="1">
        <v>42306.161863425928</v>
      </c>
      <c r="B5099" s="2">
        <v>3.8194444444444446E-4</v>
      </c>
      <c r="C5099" t="s">
        <v>8252</v>
      </c>
      <c r="D5099" t="s">
        <v>1222</v>
      </c>
      <c r="E5099" t="s">
        <v>1223</v>
      </c>
      <c r="F5099" t="s">
        <v>8253</v>
      </c>
      <c r="G5099">
        <v>1760736</v>
      </c>
      <c r="H5099" t="s">
        <v>91</v>
      </c>
      <c r="I5099" t="s">
        <v>8254</v>
      </c>
      <c r="J5099" t="str">
        <f>"9781462518296"</f>
        <v>9781462518296</v>
      </c>
      <c r="K5099" t="s">
        <v>8255</v>
      </c>
      <c r="L5099">
        <v>18</v>
      </c>
      <c r="O5099" t="s">
        <v>30</v>
      </c>
      <c r="P5099" t="s">
        <v>47</v>
      </c>
      <c r="Q5099" s="1">
        <v>42306.161863425928</v>
      </c>
      <c r="R5099">
        <v>1</v>
      </c>
      <c r="S5099" t="s">
        <v>1226</v>
      </c>
      <c r="T5099" t="s">
        <v>8256</v>
      </c>
      <c r="U5099">
        <v>649.1</v>
      </c>
      <c r="V5099" s="3">
        <v>42019</v>
      </c>
    </row>
    <row r="5100" spans="1:22" x14ac:dyDescent="0.35">
      <c r="A5100" s="1">
        <v>42306.158472222225</v>
      </c>
      <c r="B5100" s="2">
        <v>7.1180555555555554E-3</v>
      </c>
      <c r="C5100" t="s">
        <v>8230</v>
      </c>
      <c r="D5100" t="s">
        <v>261</v>
      </c>
      <c r="E5100" t="s">
        <v>262</v>
      </c>
      <c r="F5100" t="s">
        <v>6160</v>
      </c>
      <c r="G5100">
        <v>1584076</v>
      </c>
      <c r="H5100" t="s">
        <v>26</v>
      </c>
      <c r="I5100" t="s">
        <v>172</v>
      </c>
      <c r="J5100" t="str">
        <f>"9780745679679"</f>
        <v>9780745679679</v>
      </c>
      <c r="K5100" t="s">
        <v>8257</v>
      </c>
      <c r="L5100">
        <v>18</v>
      </c>
      <c r="O5100" t="s">
        <v>30</v>
      </c>
      <c r="P5100" t="s">
        <v>47</v>
      </c>
      <c r="Q5100" s="1">
        <v>42305.585115740738</v>
      </c>
      <c r="R5100">
        <v>1</v>
      </c>
      <c r="S5100" t="s">
        <v>264</v>
      </c>
      <c r="T5100" t="s">
        <v>6162</v>
      </c>
      <c r="U5100">
        <v>945.05</v>
      </c>
      <c r="V5100" s="3">
        <v>41626</v>
      </c>
    </row>
    <row r="5101" spans="1:22" x14ac:dyDescent="0.35">
      <c r="A5101" s="1">
        <v>42306.148587962962</v>
      </c>
      <c r="B5101" s="2">
        <v>1.3275462962962963E-2</v>
      </c>
      <c r="C5101" t="s">
        <v>8252</v>
      </c>
      <c r="D5101" t="s">
        <v>1222</v>
      </c>
      <c r="E5101" t="s">
        <v>1223</v>
      </c>
      <c r="F5101" t="s">
        <v>8253</v>
      </c>
      <c r="G5101">
        <v>1760736</v>
      </c>
      <c r="H5101" t="s">
        <v>91</v>
      </c>
      <c r="I5101" t="s">
        <v>8254</v>
      </c>
      <c r="J5101" t="str">
        <f>"9781462518296"</f>
        <v>9781462518296</v>
      </c>
      <c r="K5101" t="s">
        <v>8258</v>
      </c>
      <c r="L5101">
        <v>21</v>
      </c>
      <c r="O5101" t="s">
        <v>30</v>
      </c>
      <c r="P5101" t="s">
        <v>50</v>
      </c>
      <c r="S5101" t="s">
        <v>1226</v>
      </c>
      <c r="T5101" t="s">
        <v>8256</v>
      </c>
      <c r="U5101">
        <v>649.1</v>
      </c>
      <c r="V5101" s="3">
        <v>42019</v>
      </c>
    </row>
    <row r="5102" spans="1:22" x14ac:dyDescent="0.35">
      <c r="A5102" s="1">
        <v>42306.148159722223</v>
      </c>
      <c r="B5102" s="2">
        <v>0</v>
      </c>
      <c r="C5102" t="s">
        <v>8252</v>
      </c>
      <c r="D5102" t="s">
        <v>1222</v>
      </c>
      <c r="E5102" t="s">
        <v>1223</v>
      </c>
      <c r="F5102" t="s">
        <v>8253</v>
      </c>
      <c r="G5102">
        <v>1760736</v>
      </c>
      <c r="H5102" t="s">
        <v>91</v>
      </c>
      <c r="I5102" t="s">
        <v>8254</v>
      </c>
      <c r="J5102" t="str">
        <f>"9781462518296"</f>
        <v>9781462518296</v>
      </c>
      <c r="L5102">
        <v>0</v>
      </c>
      <c r="O5102" t="s">
        <v>30</v>
      </c>
      <c r="P5102" t="s">
        <v>50</v>
      </c>
      <c r="S5102" t="s">
        <v>1226</v>
      </c>
      <c r="T5102" t="s">
        <v>8256</v>
      </c>
      <c r="U5102">
        <v>649.1</v>
      </c>
      <c r="V5102" s="3">
        <v>42019</v>
      </c>
    </row>
    <row r="5103" spans="1:22" x14ac:dyDescent="0.35">
      <c r="A5103" s="1">
        <v>42306.132418981484</v>
      </c>
      <c r="B5103" s="2">
        <v>1.25E-3</v>
      </c>
      <c r="C5103" t="s">
        <v>8259</v>
      </c>
      <c r="D5103" t="s">
        <v>623</v>
      </c>
      <c r="E5103" t="s">
        <v>624</v>
      </c>
      <c r="F5103" t="s">
        <v>8260</v>
      </c>
      <c r="G5103">
        <v>1663521</v>
      </c>
      <c r="H5103" t="s">
        <v>613</v>
      </c>
      <c r="I5103" t="s">
        <v>120</v>
      </c>
      <c r="J5103" t="str">
        <f>"9781469612614"</f>
        <v>9781469612614</v>
      </c>
      <c r="K5103" t="s">
        <v>8261</v>
      </c>
      <c r="L5103">
        <v>16</v>
      </c>
      <c r="O5103" t="s">
        <v>30</v>
      </c>
      <c r="P5103" t="s">
        <v>47</v>
      </c>
      <c r="Q5103" s="1">
        <v>42306.132407407407</v>
      </c>
      <c r="R5103">
        <v>1</v>
      </c>
      <c r="S5103" t="s">
        <v>627</v>
      </c>
      <c r="T5103" t="s">
        <v>8262</v>
      </c>
      <c r="U5103" t="s">
        <v>8263</v>
      </c>
      <c r="V5103" s="3">
        <v>41641</v>
      </c>
    </row>
    <row r="5104" spans="1:22" x14ac:dyDescent="0.35">
      <c r="A5104" s="1">
        <v>42306.127523148149</v>
      </c>
      <c r="B5104" s="2">
        <v>4.8611111111111112E-3</v>
      </c>
      <c r="C5104" t="s">
        <v>8259</v>
      </c>
      <c r="D5104" t="s">
        <v>623</v>
      </c>
      <c r="E5104" t="s">
        <v>624</v>
      </c>
      <c r="F5104" t="s">
        <v>8260</v>
      </c>
      <c r="G5104">
        <v>1663521</v>
      </c>
      <c r="H5104" t="s">
        <v>613</v>
      </c>
      <c r="I5104" t="s">
        <v>120</v>
      </c>
      <c r="J5104" t="str">
        <f>"9781469612614"</f>
        <v>9781469612614</v>
      </c>
      <c r="K5104" t="s">
        <v>8264</v>
      </c>
      <c r="L5104">
        <v>18</v>
      </c>
      <c r="O5104" t="s">
        <v>30</v>
      </c>
      <c r="P5104" t="s">
        <v>50</v>
      </c>
      <c r="S5104" t="s">
        <v>627</v>
      </c>
      <c r="T5104" t="s">
        <v>8262</v>
      </c>
      <c r="U5104" t="s">
        <v>8263</v>
      </c>
      <c r="V5104" s="3">
        <v>41641</v>
      </c>
    </row>
    <row r="5105" spans="1:22" x14ac:dyDescent="0.35">
      <c r="A5105" s="1">
        <v>42306.099143518521</v>
      </c>
      <c r="B5105" s="2">
        <v>6.2500000000000001E-4</v>
      </c>
      <c r="C5105" t="s">
        <v>8265</v>
      </c>
      <c r="D5105" t="s">
        <v>1222</v>
      </c>
      <c r="E5105" t="s">
        <v>1223</v>
      </c>
      <c r="F5105" t="s">
        <v>8266</v>
      </c>
      <c r="G5105">
        <v>1747545</v>
      </c>
      <c r="H5105" t="s">
        <v>84</v>
      </c>
      <c r="I5105" t="s">
        <v>776</v>
      </c>
      <c r="J5105" t="str">
        <f>"9780520959897"</f>
        <v>9780520959897</v>
      </c>
      <c r="K5105" t="s">
        <v>889</v>
      </c>
      <c r="L5105">
        <v>6</v>
      </c>
      <c r="O5105" t="s">
        <v>30</v>
      </c>
      <c r="P5105" t="s">
        <v>50</v>
      </c>
      <c r="S5105" t="s">
        <v>1226</v>
      </c>
      <c r="T5105" t="s">
        <v>8267</v>
      </c>
      <c r="U5105">
        <v>796.93</v>
      </c>
      <c r="V5105" s="3">
        <v>41969</v>
      </c>
    </row>
    <row r="5106" spans="1:22" x14ac:dyDescent="0.35">
      <c r="A5106" s="1">
        <v>42306.093263888892</v>
      </c>
      <c r="B5106" s="2">
        <v>7.0601851851851841E-3</v>
      </c>
      <c r="C5106" t="s">
        <v>4673</v>
      </c>
      <c r="D5106" t="s">
        <v>23</v>
      </c>
      <c r="E5106" t="s">
        <v>24</v>
      </c>
      <c r="F5106" t="s">
        <v>745</v>
      </c>
      <c r="G5106">
        <v>1166322</v>
      </c>
      <c r="H5106" t="s">
        <v>26</v>
      </c>
      <c r="I5106" t="s">
        <v>200</v>
      </c>
      <c r="J5106" t="str">
        <f>"9781118418512"</f>
        <v>9781118418512</v>
      </c>
      <c r="K5106" t="s">
        <v>8268</v>
      </c>
      <c r="L5106">
        <v>8</v>
      </c>
      <c r="N5106" t="s">
        <v>8269</v>
      </c>
      <c r="O5106" t="s">
        <v>30</v>
      </c>
      <c r="P5106" t="s">
        <v>29</v>
      </c>
      <c r="Q5106" s="1">
        <v>42306.093263888892</v>
      </c>
      <c r="R5106">
        <v>7</v>
      </c>
      <c r="S5106" t="s">
        <v>31</v>
      </c>
      <c r="T5106" t="s">
        <v>747</v>
      </c>
      <c r="U5106">
        <v>720.072</v>
      </c>
      <c r="V5106" s="3">
        <v>41367</v>
      </c>
    </row>
    <row r="5107" spans="1:22" x14ac:dyDescent="0.35">
      <c r="A5107" s="1">
        <v>42306.09070601852</v>
      </c>
      <c r="B5107" s="2">
        <v>2.3854166666666666E-2</v>
      </c>
      <c r="C5107" t="s">
        <v>6735</v>
      </c>
      <c r="D5107" t="s">
        <v>623</v>
      </c>
      <c r="E5107" t="s">
        <v>624</v>
      </c>
      <c r="F5107" t="s">
        <v>6736</v>
      </c>
      <c r="G5107">
        <v>1983497</v>
      </c>
      <c r="H5107" t="s">
        <v>26</v>
      </c>
      <c r="I5107" t="s">
        <v>120</v>
      </c>
      <c r="J5107" t="str">
        <f>"9780745689395"</f>
        <v>9780745689395</v>
      </c>
      <c r="K5107" t="s">
        <v>8270</v>
      </c>
      <c r="L5107">
        <v>18</v>
      </c>
      <c r="O5107" t="s">
        <v>30</v>
      </c>
      <c r="P5107" t="s">
        <v>29</v>
      </c>
      <c r="Q5107" s="1">
        <v>42305.922453703701</v>
      </c>
      <c r="R5107">
        <v>7</v>
      </c>
      <c r="S5107" t="s">
        <v>627</v>
      </c>
      <c r="T5107" t="s">
        <v>6738</v>
      </c>
      <c r="U5107">
        <v>391.6</v>
      </c>
      <c r="V5107" s="3">
        <v>42066</v>
      </c>
    </row>
    <row r="5108" spans="1:22" x14ac:dyDescent="0.35">
      <c r="A5108" s="1">
        <v>42306.086481481485</v>
      </c>
      <c r="B5108" s="2">
        <v>6.782407407407408E-3</v>
      </c>
      <c r="C5108" t="s">
        <v>4673</v>
      </c>
      <c r="D5108" t="s">
        <v>23</v>
      </c>
      <c r="E5108" t="s">
        <v>24</v>
      </c>
      <c r="F5108" t="s">
        <v>745</v>
      </c>
      <c r="G5108">
        <v>1166322</v>
      </c>
      <c r="H5108" t="s">
        <v>26</v>
      </c>
      <c r="I5108" t="s">
        <v>200</v>
      </c>
      <c r="J5108" t="str">
        <f>"9781118418512"</f>
        <v>9781118418512</v>
      </c>
      <c r="K5108" t="s">
        <v>8271</v>
      </c>
      <c r="L5108">
        <v>9</v>
      </c>
      <c r="O5108" t="s">
        <v>30</v>
      </c>
      <c r="P5108" t="s">
        <v>42</v>
      </c>
      <c r="S5108" t="s">
        <v>31</v>
      </c>
      <c r="T5108" t="s">
        <v>747</v>
      </c>
      <c r="U5108">
        <v>720.072</v>
      </c>
      <c r="V5108" s="3">
        <v>41367</v>
      </c>
    </row>
    <row r="5109" spans="1:22" x14ac:dyDescent="0.35">
      <c r="A5109" s="1">
        <v>42306.063101851854</v>
      </c>
      <c r="B5109" s="2">
        <v>1.6550925925925926E-3</v>
      </c>
      <c r="C5109" t="s">
        <v>4059</v>
      </c>
      <c r="D5109" t="s">
        <v>23</v>
      </c>
      <c r="E5109" t="s">
        <v>24</v>
      </c>
      <c r="F5109" t="s">
        <v>3186</v>
      </c>
      <c r="G5109">
        <v>699744</v>
      </c>
      <c r="H5109" t="s">
        <v>26</v>
      </c>
      <c r="I5109" t="s">
        <v>3187</v>
      </c>
      <c r="J5109" t="str">
        <f>"9781118585818"</f>
        <v>9781118585818</v>
      </c>
      <c r="K5109" t="s">
        <v>8272</v>
      </c>
      <c r="L5109">
        <v>41</v>
      </c>
      <c r="O5109" t="s">
        <v>30</v>
      </c>
      <c r="P5109" t="s">
        <v>42</v>
      </c>
      <c r="S5109" t="s">
        <v>31</v>
      </c>
      <c r="T5109" t="s">
        <v>3188</v>
      </c>
      <c r="U5109">
        <v>621.36</v>
      </c>
      <c r="V5109" s="3">
        <v>41310</v>
      </c>
    </row>
    <row r="5110" spans="1:22" x14ac:dyDescent="0.35">
      <c r="A5110" s="1">
        <v>42306.050173611111</v>
      </c>
      <c r="B5110" s="2">
        <v>2.3495370370370371E-3</v>
      </c>
      <c r="C5110" t="s">
        <v>8273</v>
      </c>
      <c r="D5110" t="s">
        <v>261</v>
      </c>
      <c r="E5110" t="s">
        <v>262</v>
      </c>
      <c r="F5110" t="s">
        <v>8274</v>
      </c>
      <c r="G5110">
        <v>943949</v>
      </c>
      <c r="H5110" t="s">
        <v>1286</v>
      </c>
      <c r="I5110" t="s">
        <v>4369</v>
      </c>
      <c r="J5110" t="str">
        <f>"9780786490868"</f>
        <v>9780786490868</v>
      </c>
      <c r="K5110" t="s">
        <v>2078</v>
      </c>
      <c r="L5110">
        <v>6</v>
      </c>
      <c r="O5110" t="s">
        <v>30</v>
      </c>
      <c r="P5110" t="s">
        <v>29</v>
      </c>
      <c r="Q5110" s="1">
        <v>42306.050162037034</v>
      </c>
      <c r="R5110">
        <v>7</v>
      </c>
      <c r="S5110" t="s">
        <v>264</v>
      </c>
      <c r="T5110" t="s">
        <v>8275</v>
      </c>
      <c r="U5110">
        <v>509</v>
      </c>
      <c r="V5110" s="3">
        <v>41060</v>
      </c>
    </row>
    <row r="5111" spans="1:22" x14ac:dyDescent="0.35">
      <c r="A5111" s="1">
        <v>42306.041944444441</v>
      </c>
      <c r="B5111" s="2">
        <v>8.217592592592594E-3</v>
      </c>
      <c r="C5111" t="s">
        <v>8273</v>
      </c>
      <c r="D5111" t="s">
        <v>261</v>
      </c>
      <c r="E5111" t="s">
        <v>262</v>
      </c>
      <c r="F5111" t="s">
        <v>8274</v>
      </c>
      <c r="G5111">
        <v>943949</v>
      </c>
      <c r="H5111" t="s">
        <v>1286</v>
      </c>
      <c r="I5111" t="s">
        <v>4369</v>
      </c>
      <c r="J5111" t="str">
        <f>"9780786490868"</f>
        <v>9780786490868</v>
      </c>
      <c r="K5111" t="s">
        <v>8276</v>
      </c>
      <c r="L5111">
        <v>9</v>
      </c>
      <c r="O5111" t="s">
        <v>30</v>
      </c>
      <c r="P5111" t="s">
        <v>42</v>
      </c>
      <c r="S5111" t="s">
        <v>264</v>
      </c>
      <c r="T5111" t="s">
        <v>8275</v>
      </c>
      <c r="U5111">
        <v>509</v>
      </c>
      <c r="V5111" s="3">
        <v>41060</v>
      </c>
    </row>
    <row r="5112" spans="1:22" x14ac:dyDescent="0.35">
      <c r="A5112" s="1">
        <v>42306.033587962964</v>
      </c>
      <c r="B5112" s="2">
        <v>1.8738425925925926E-2</v>
      </c>
      <c r="C5112" t="s">
        <v>4545</v>
      </c>
      <c r="D5112" t="s">
        <v>23</v>
      </c>
      <c r="E5112" t="s">
        <v>24</v>
      </c>
      <c r="F5112" t="s">
        <v>2191</v>
      </c>
      <c r="G5112">
        <v>1691133</v>
      </c>
      <c r="H5112" t="s">
        <v>91</v>
      </c>
      <c r="I5112" t="s">
        <v>247</v>
      </c>
      <c r="J5112" t="str">
        <f>"9781462516278"</f>
        <v>9781462516278</v>
      </c>
      <c r="K5112" t="s">
        <v>8277</v>
      </c>
      <c r="L5112">
        <v>44</v>
      </c>
      <c r="O5112" t="s">
        <v>30</v>
      </c>
      <c r="P5112" t="s">
        <v>29</v>
      </c>
      <c r="Q5112" s="1">
        <v>42306.033587962964</v>
      </c>
      <c r="R5112">
        <v>7</v>
      </c>
      <c r="S5112" t="s">
        <v>31</v>
      </c>
      <c r="T5112" t="s">
        <v>2194</v>
      </c>
      <c r="U5112" t="s">
        <v>2195</v>
      </c>
      <c r="V5112" s="3">
        <v>41774</v>
      </c>
    </row>
    <row r="5113" spans="1:22" x14ac:dyDescent="0.35">
      <c r="A5113" s="1">
        <v>42306.022523148145</v>
      </c>
      <c r="B5113" s="2">
        <v>1.1064814814814814E-2</v>
      </c>
      <c r="C5113" t="s">
        <v>4545</v>
      </c>
      <c r="D5113" t="s">
        <v>23</v>
      </c>
      <c r="E5113" t="s">
        <v>24</v>
      </c>
      <c r="F5113" t="s">
        <v>2191</v>
      </c>
      <c r="G5113">
        <v>1691133</v>
      </c>
      <c r="H5113" t="s">
        <v>91</v>
      </c>
      <c r="I5113" t="s">
        <v>247</v>
      </c>
      <c r="J5113" t="str">
        <f>"9781462516278"</f>
        <v>9781462516278</v>
      </c>
      <c r="K5113" t="s">
        <v>8278</v>
      </c>
      <c r="L5113">
        <v>11</v>
      </c>
      <c r="O5113" t="s">
        <v>30</v>
      </c>
      <c r="P5113" t="s">
        <v>42</v>
      </c>
      <c r="S5113" t="s">
        <v>31</v>
      </c>
      <c r="T5113" t="s">
        <v>2194</v>
      </c>
      <c r="U5113" t="s">
        <v>2195</v>
      </c>
      <c r="V5113" s="3">
        <v>41774</v>
      </c>
    </row>
    <row r="5114" spans="1:22" x14ac:dyDescent="0.35">
      <c r="A5114" s="1">
        <v>42305.995972222219</v>
      </c>
      <c r="B5114" s="2">
        <v>2.673611111111111E-3</v>
      </c>
      <c r="C5114" t="s">
        <v>8279</v>
      </c>
      <c r="D5114" t="s">
        <v>1222</v>
      </c>
      <c r="E5114" t="s">
        <v>1223</v>
      </c>
      <c r="F5114" t="s">
        <v>2807</v>
      </c>
      <c r="G5114">
        <v>1767915</v>
      </c>
      <c r="H5114" t="s">
        <v>26</v>
      </c>
      <c r="I5114" t="s">
        <v>120</v>
      </c>
      <c r="J5114" t="str">
        <f>"9780730315148"</f>
        <v>9780730315148</v>
      </c>
      <c r="K5114" t="s">
        <v>2945</v>
      </c>
      <c r="L5114">
        <v>9</v>
      </c>
      <c r="O5114" t="s">
        <v>30</v>
      </c>
      <c r="P5114" t="s">
        <v>42</v>
      </c>
      <c r="S5114" t="s">
        <v>1226</v>
      </c>
      <c r="T5114" t="s">
        <v>2809</v>
      </c>
      <c r="U5114">
        <v>302.23099999999999</v>
      </c>
      <c r="V5114" s="3">
        <v>41866</v>
      </c>
    </row>
    <row r="5115" spans="1:22" x14ac:dyDescent="0.35">
      <c r="A5115" s="1">
        <v>42305.979363425926</v>
      </c>
      <c r="B5115" s="2">
        <v>2.7314814814814819E-3</v>
      </c>
      <c r="C5115" t="s">
        <v>7442</v>
      </c>
      <c r="D5115" t="s">
        <v>623</v>
      </c>
      <c r="E5115" t="s">
        <v>624</v>
      </c>
      <c r="F5115" t="s">
        <v>7443</v>
      </c>
      <c r="G5115">
        <v>1887746</v>
      </c>
      <c r="H5115" t="s">
        <v>26</v>
      </c>
      <c r="I5115" t="s">
        <v>426</v>
      </c>
      <c r="J5115" t="str">
        <f>"9781118697559"</f>
        <v>9781118697559</v>
      </c>
      <c r="K5115" t="s">
        <v>8280</v>
      </c>
      <c r="L5115">
        <v>16</v>
      </c>
      <c r="O5115" t="s">
        <v>30</v>
      </c>
      <c r="P5115" t="s">
        <v>50</v>
      </c>
      <c r="S5115" t="s">
        <v>627</v>
      </c>
      <c r="T5115" t="s">
        <v>7444</v>
      </c>
      <c r="U5115">
        <v>248</v>
      </c>
      <c r="V5115" s="3">
        <v>41424</v>
      </c>
    </row>
    <row r="5116" spans="1:22" x14ac:dyDescent="0.35">
      <c r="A5116" s="1">
        <v>42305.961643518516</v>
      </c>
      <c r="B5116" s="2">
        <v>6.9444444444444447E-4</v>
      </c>
      <c r="C5116" t="s">
        <v>8281</v>
      </c>
      <c r="D5116" t="s">
        <v>623</v>
      </c>
      <c r="E5116" t="s">
        <v>624</v>
      </c>
      <c r="F5116" t="s">
        <v>8282</v>
      </c>
      <c r="G5116">
        <v>2040243</v>
      </c>
      <c r="H5116" t="s">
        <v>91</v>
      </c>
      <c r="I5116" t="s">
        <v>69</v>
      </c>
      <c r="J5116" t="str">
        <f>"9781462523863"</f>
        <v>9781462523863</v>
      </c>
      <c r="K5116" t="s">
        <v>8283</v>
      </c>
      <c r="L5116">
        <v>30</v>
      </c>
      <c r="O5116" t="s">
        <v>30</v>
      </c>
      <c r="P5116" t="s">
        <v>50</v>
      </c>
      <c r="S5116" t="s">
        <v>627</v>
      </c>
      <c r="T5116" t="s">
        <v>8284</v>
      </c>
      <c r="U5116">
        <v>372.46499999999997</v>
      </c>
      <c r="V5116" s="3">
        <v>42005</v>
      </c>
    </row>
    <row r="5117" spans="1:22" x14ac:dyDescent="0.35">
      <c r="A5117" s="1">
        <v>42305.956643518519</v>
      </c>
      <c r="B5117" s="2">
        <v>5.3240740740740744E-4</v>
      </c>
      <c r="C5117" t="s">
        <v>7442</v>
      </c>
      <c r="D5117" t="s">
        <v>623</v>
      </c>
      <c r="E5117" t="s">
        <v>624</v>
      </c>
      <c r="F5117" t="s">
        <v>7443</v>
      </c>
      <c r="G5117">
        <v>1887746</v>
      </c>
      <c r="H5117" t="s">
        <v>26</v>
      </c>
      <c r="I5117" t="s">
        <v>426</v>
      </c>
      <c r="J5117" t="str">
        <f>"9781118697559"</f>
        <v>9781118697559</v>
      </c>
      <c r="K5117" t="s">
        <v>176</v>
      </c>
      <c r="L5117">
        <v>8</v>
      </c>
      <c r="O5117" t="s">
        <v>30</v>
      </c>
      <c r="P5117" t="s">
        <v>50</v>
      </c>
      <c r="S5117" t="s">
        <v>627</v>
      </c>
      <c r="T5117" t="s">
        <v>7444</v>
      </c>
      <c r="U5117">
        <v>248</v>
      </c>
      <c r="V5117" s="3">
        <v>41424</v>
      </c>
    </row>
    <row r="5118" spans="1:22" x14ac:dyDescent="0.35">
      <c r="A5118" s="1">
        <v>42305.922453703701</v>
      </c>
      <c r="B5118" s="2">
        <v>1.1574074074074073E-5</v>
      </c>
      <c r="C5118" t="s">
        <v>6735</v>
      </c>
      <c r="D5118" t="s">
        <v>623</v>
      </c>
      <c r="E5118" t="s">
        <v>624</v>
      </c>
      <c r="F5118" t="s">
        <v>6837</v>
      </c>
      <c r="G5118">
        <v>1655862</v>
      </c>
      <c r="H5118" t="s">
        <v>613</v>
      </c>
      <c r="I5118" t="s">
        <v>5632</v>
      </c>
      <c r="J5118" t="str">
        <f>"9781469615493"</f>
        <v>9781469615493</v>
      </c>
      <c r="K5118" t="s">
        <v>2404</v>
      </c>
      <c r="L5118">
        <v>1</v>
      </c>
      <c r="O5118" t="s">
        <v>30</v>
      </c>
      <c r="P5118" t="s">
        <v>47</v>
      </c>
      <c r="Q5118" s="1">
        <v>42305.922453703701</v>
      </c>
      <c r="R5118">
        <v>1</v>
      </c>
      <c r="S5118" t="s">
        <v>627</v>
      </c>
      <c r="T5118" t="s">
        <v>6839</v>
      </c>
      <c r="U5118" t="s">
        <v>6840</v>
      </c>
      <c r="V5118" s="3">
        <v>41744</v>
      </c>
    </row>
    <row r="5119" spans="1:22" x14ac:dyDescent="0.35">
      <c r="A5119" s="1">
        <v>42305.922453703701</v>
      </c>
      <c r="B5119" s="2">
        <v>4.6898148148148154E-2</v>
      </c>
      <c r="C5119" t="s">
        <v>6735</v>
      </c>
      <c r="D5119" t="s">
        <v>623</v>
      </c>
      <c r="E5119" t="s">
        <v>624</v>
      </c>
      <c r="F5119" t="s">
        <v>6736</v>
      </c>
      <c r="G5119">
        <v>1983497</v>
      </c>
      <c r="H5119" t="s">
        <v>26</v>
      </c>
      <c r="I5119" t="s">
        <v>120</v>
      </c>
      <c r="J5119" t="str">
        <f>"9780745689395"</f>
        <v>9780745689395</v>
      </c>
      <c r="K5119" t="s">
        <v>8285</v>
      </c>
      <c r="L5119">
        <v>10</v>
      </c>
      <c r="O5119" t="s">
        <v>30</v>
      </c>
      <c r="P5119" t="s">
        <v>29</v>
      </c>
      <c r="Q5119" s="1">
        <v>42305.922453703701</v>
      </c>
      <c r="R5119">
        <v>7</v>
      </c>
      <c r="S5119" t="s">
        <v>627</v>
      </c>
      <c r="T5119" t="s">
        <v>6738</v>
      </c>
      <c r="U5119">
        <v>391.6</v>
      </c>
      <c r="V5119" s="3">
        <v>42066</v>
      </c>
    </row>
    <row r="5120" spans="1:22" x14ac:dyDescent="0.35">
      <c r="A5120" s="1">
        <v>42305.899293981478</v>
      </c>
      <c r="B5120" s="2">
        <v>8.1018518518518516E-5</v>
      </c>
      <c r="C5120" t="s">
        <v>7442</v>
      </c>
      <c r="D5120" t="s">
        <v>623</v>
      </c>
      <c r="E5120" t="s">
        <v>624</v>
      </c>
      <c r="F5120" t="s">
        <v>7443</v>
      </c>
      <c r="G5120">
        <v>1887746</v>
      </c>
      <c r="H5120" t="s">
        <v>26</v>
      </c>
      <c r="I5120" t="s">
        <v>426</v>
      </c>
      <c r="J5120" t="str">
        <f>"9781118697559"</f>
        <v>9781118697559</v>
      </c>
      <c r="K5120" t="s">
        <v>8286</v>
      </c>
      <c r="L5120">
        <v>5</v>
      </c>
      <c r="O5120" t="s">
        <v>30</v>
      </c>
      <c r="P5120" t="s">
        <v>50</v>
      </c>
      <c r="S5120" t="s">
        <v>627</v>
      </c>
      <c r="T5120" t="s">
        <v>7444</v>
      </c>
      <c r="U5120">
        <v>248</v>
      </c>
      <c r="V5120" s="3">
        <v>41424</v>
      </c>
    </row>
    <row r="5121" spans="1:22" x14ac:dyDescent="0.35">
      <c r="A5121" s="1">
        <v>42305.873148148145</v>
      </c>
      <c r="B5121" s="2">
        <v>1.0416666666666667E-4</v>
      </c>
      <c r="C5121" t="s">
        <v>5785</v>
      </c>
      <c r="D5121" t="s">
        <v>35</v>
      </c>
      <c r="E5121" t="s">
        <v>36</v>
      </c>
      <c r="F5121" t="s">
        <v>8287</v>
      </c>
      <c r="G5121">
        <v>284081</v>
      </c>
      <c r="H5121" t="s">
        <v>26</v>
      </c>
      <c r="I5121" t="s">
        <v>120</v>
      </c>
      <c r="J5121" t="str">
        <f>"9781405172776"</f>
        <v>9781405172776</v>
      </c>
      <c r="K5121" t="s">
        <v>209</v>
      </c>
      <c r="L5121">
        <v>4</v>
      </c>
      <c r="O5121" t="s">
        <v>30</v>
      </c>
      <c r="P5121" t="s">
        <v>50</v>
      </c>
      <c r="S5121" t="s">
        <v>40</v>
      </c>
      <c r="U5121">
        <v>301.09199999999998</v>
      </c>
      <c r="V5121" s="3">
        <v>42125</v>
      </c>
    </row>
    <row r="5122" spans="1:22" x14ac:dyDescent="0.35">
      <c r="A5122" s="1">
        <v>42305.865659722222</v>
      </c>
      <c r="B5122" s="2">
        <v>3.5879629629629629E-3</v>
      </c>
      <c r="C5122" t="s">
        <v>8230</v>
      </c>
      <c r="D5122" t="s">
        <v>261</v>
      </c>
      <c r="E5122" t="s">
        <v>262</v>
      </c>
      <c r="F5122" t="s">
        <v>6160</v>
      </c>
      <c r="G5122">
        <v>1584076</v>
      </c>
      <c r="H5122" t="s">
        <v>26</v>
      </c>
      <c r="I5122" t="s">
        <v>172</v>
      </c>
      <c r="J5122" t="str">
        <f>"9780745679679"</f>
        <v>9780745679679</v>
      </c>
      <c r="K5122" t="s">
        <v>8288</v>
      </c>
      <c r="L5122">
        <v>22</v>
      </c>
      <c r="O5122" t="s">
        <v>30</v>
      </c>
      <c r="P5122" t="s">
        <v>47</v>
      </c>
      <c r="Q5122" s="1">
        <v>42305.585115740738</v>
      </c>
      <c r="R5122">
        <v>1</v>
      </c>
      <c r="S5122" t="s">
        <v>264</v>
      </c>
      <c r="T5122" t="s">
        <v>6162</v>
      </c>
      <c r="U5122">
        <v>945.05</v>
      </c>
      <c r="V5122" s="3">
        <v>41626</v>
      </c>
    </row>
    <row r="5123" spans="1:22" x14ac:dyDescent="0.35">
      <c r="A5123" s="1">
        <v>42305.852106481485</v>
      </c>
      <c r="B5123" s="2">
        <v>7.0347222222222214E-2</v>
      </c>
      <c r="C5123" t="s">
        <v>6735</v>
      </c>
      <c r="D5123" t="s">
        <v>623</v>
      </c>
      <c r="E5123" t="s">
        <v>624</v>
      </c>
      <c r="F5123" t="s">
        <v>6736</v>
      </c>
      <c r="G5123">
        <v>1983497</v>
      </c>
      <c r="H5123" t="s">
        <v>26</v>
      </c>
      <c r="I5123" t="s">
        <v>120</v>
      </c>
      <c r="J5123" t="str">
        <f>"9780745689395"</f>
        <v>9780745689395</v>
      </c>
      <c r="K5123" t="s">
        <v>8289</v>
      </c>
      <c r="L5123">
        <v>14</v>
      </c>
      <c r="O5123" t="s">
        <v>30</v>
      </c>
      <c r="P5123" t="s">
        <v>50</v>
      </c>
      <c r="S5123" t="s">
        <v>627</v>
      </c>
      <c r="T5123" t="s">
        <v>6738</v>
      </c>
      <c r="U5123">
        <v>391.6</v>
      </c>
      <c r="V5123" s="3">
        <v>42066</v>
      </c>
    </row>
    <row r="5124" spans="1:22" x14ac:dyDescent="0.35">
      <c r="A5124" s="1">
        <v>42305.84542824074</v>
      </c>
      <c r="B5124" s="2">
        <v>7.7025462962962962E-2</v>
      </c>
      <c r="C5124" t="s">
        <v>6735</v>
      </c>
      <c r="D5124" t="s">
        <v>623</v>
      </c>
      <c r="E5124" t="s">
        <v>624</v>
      </c>
      <c r="F5124" t="s">
        <v>6837</v>
      </c>
      <c r="G5124">
        <v>1655862</v>
      </c>
      <c r="H5124" t="s">
        <v>613</v>
      </c>
      <c r="I5124" t="s">
        <v>5632</v>
      </c>
      <c r="J5124" t="str">
        <f>"9781469615493"</f>
        <v>9781469615493</v>
      </c>
      <c r="K5124" t="s">
        <v>8290</v>
      </c>
      <c r="L5124">
        <v>13</v>
      </c>
      <c r="O5124" t="s">
        <v>30</v>
      </c>
      <c r="P5124" t="s">
        <v>50</v>
      </c>
      <c r="S5124" t="s">
        <v>627</v>
      </c>
      <c r="T5124" t="s">
        <v>6839</v>
      </c>
      <c r="U5124" t="s">
        <v>6840</v>
      </c>
      <c r="V5124" s="3">
        <v>41744</v>
      </c>
    </row>
    <row r="5125" spans="1:22" x14ac:dyDescent="0.35">
      <c r="A5125" s="1">
        <v>42305.796863425923</v>
      </c>
      <c r="B5125" s="2">
        <v>3.6736111111111108E-2</v>
      </c>
      <c r="C5125" t="s">
        <v>106</v>
      </c>
      <c r="D5125" t="s">
        <v>23</v>
      </c>
      <c r="E5125" t="s">
        <v>24</v>
      </c>
      <c r="F5125" t="s">
        <v>486</v>
      </c>
      <c r="G5125">
        <v>1119505</v>
      </c>
      <c r="H5125" t="s">
        <v>26</v>
      </c>
      <c r="I5125" t="s">
        <v>450</v>
      </c>
      <c r="J5125" t="str">
        <f>"9781118355015"</f>
        <v>9781118355015</v>
      </c>
      <c r="K5125" t="s">
        <v>8291</v>
      </c>
      <c r="L5125">
        <v>33</v>
      </c>
      <c r="O5125" t="s">
        <v>30</v>
      </c>
      <c r="P5125" t="s">
        <v>29</v>
      </c>
      <c r="Q5125" s="1">
        <v>42299.725706018522</v>
      </c>
      <c r="R5125">
        <v>7</v>
      </c>
      <c r="S5125" t="s">
        <v>31</v>
      </c>
      <c r="T5125" t="s">
        <v>487</v>
      </c>
      <c r="U5125" t="s">
        <v>488</v>
      </c>
      <c r="V5125" s="3">
        <v>41302</v>
      </c>
    </row>
    <row r="5126" spans="1:22" x14ac:dyDescent="0.35">
      <c r="A5126" s="1">
        <v>42305.791446759256</v>
      </c>
      <c r="B5126" s="2">
        <v>3.4722222222222222E-5</v>
      </c>
      <c r="C5126" t="s">
        <v>3731</v>
      </c>
      <c r="D5126" t="s">
        <v>360</v>
      </c>
      <c r="E5126" t="s">
        <v>361</v>
      </c>
      <c r="F5126" t="s">
        <v>2603</v>
      </c>
      <c r="G5126">
        <v>822491</v>
      </c>
      <c r="H5126" t="s">
        <v>26</v>
      </c>
      <c r="I5126" t="s">
        <v>2604</v>
      </c>
      <c r="J5126" t="str">
        <f>"9781118276273"</f>
        <v>9781118276273</v>
      </c>
      <c r="K5126" t="s">
        <v>33</v>
      </c>
      <c r="L5126">
        <v>3</v>
      </c>
      <c r="O5126" t="s">
        <v>30</v>
      </c>
      <c r="P5126" t="s">
        <v>42</v>
      </c>
      <c r="S5126" t="s">
        <v>363</v>
      </c>
      <c r="T5126" t="s">
        <v>2607</v>
      </c>
      <c r="U5126">
        <v>612</v>
      </c>
      <c r="V5126" s="3">
        <v>40868</v>
      </c>
    </row>
    <row r="5127" spans="1:22" x14ac:dyDescent="0.35">
      <c r="A5127" s="1">
        <v>42305.773715277777</v>
      </c>
      <c r="B5127" s="2">
        <v>1.7939814814814815E-3</v>
      </c>
      <c r="C5127" t="s">
        <v>8292</v>
      </c>
      <c r="D5127" t="s">
        <v>23</v>
      </c>
      <c r="E5127" t="s">
        <v>24</v>
      </c>
      <c r="F5127" t="s">
        <v>8293</v>
      </c>
      <c r="G5127">
        <v>1104736</v>
      </c>
      <c r="H5127" t="s">
        <v>440</v>
      </c>
      <c r="I5127" t="s">
        <v>297</v>
      </c>
      <c r="J5127" t="str">
        <f>"9781118497579"</f>
        <v>9781118497579</v>
      </c>
      <c r="K5127" t="s">
        <v>8294</v>
      </c>
      <c r="L5127">
        <v>15</v>
      </c>
      <c r="O5127" t="s">
        <v>30</v>
      </c>
      <c r="P5127" t="s">
        <v>42</v>
      </c>
      <c r="S5127" t="s">
        <v>31</v>
      </c>
      <c r="T5127" t="s">
        <v>8295</v>
      </c>
      <c r="U5127" t="s">
        <v>8296</v>
      </c>
      <c r="V5127" s="3">
        <v>44317</v>
      </c>
    </row>
    <row r="5128" spans="1:22" x14ac:dyDescent="0.35">
      <c r="A5128" s="1">
        <v>42305.756215277775</v>
      </c>
      <c r="B5128" s="2">
        <v>2.4537037037037036E-3</v>
      </c>
      <c r="C5128" t="s">
        <v>5019</v>
      </c>
      <c r="D5128" t="s">
        <v>35</v>
      </c>
      <c r="E5128" t="s">
        <v>36</v>
      </c>
      <c r="F5128" t="s">
        <v>986</v>
      </c>
      <c r="G5128">
        <v>968030</v>
      </c>
      <c r="H5128" t="s">
        <v>26</v>
      </c>
      <c r="I5128" t="s">
        <v>219</v>
      </c>
      <c r="J5128" t="str">
        <f>"9781118285138"</f>
        <v>9781118285138</v>
      </c>
      <c r="K5128" t="s">
        <v>8297</v>
      </c>
      <c r="L5128">
        <v>13</v>
      </c>
      <c r="O5128" t="s">
        <v>30</v>
      </c>
      <c r="P5128" t="s">
        <v>29</v>
      </c>
      <c r="Q5128" s="1">
        <v>42305.756215277775</v>
      </c>
      <c r="R5128">
        <v>7</v>
      </c>
      <c r="S5128" t="s">
        <v>40</v>
      </c>
      <c r="T5128" t="s">
        <v>987</v>
      </c>
      <c r="U5128">
        <v>158.30000000000001</v>
      </c>
      <c r="V5128" s="3">
        <v>41100</v>
      </c>
    </row>
    <row r="5129" spans="1:22" x14ac:dyDescent="0.35">
      <c r="A5129" s="1">
        <v>42305.751180555555</v>
      </c>
      <c r="B5129" s="2">
        <v>5.6481481481481478E-3</v>
      </c>
      <c r="C5129" t="s">
        <v>106</v>
      </c>
      <c r="D5129" t="s">
        <v>23</v>
      </c>
      <c r="E5129" t="s">
        <v>24</v>
      </c>
      <c r="F5129" t="s">
        <v>6458</v>
      </c>
      <c r="G5129">
        <v>817384</v>
      </c>
      <c r="H5129" t="s">
        <v>26</v>
      </c>
      <c r="I5129" t="s">
        <v>6459</v>
      </c>
      <c r="J5129" t="str">
        <f>"9781118160114"</f>
        <v>9781118160114</v>
      </c>
      <c r="K5129" t="s">
        <v>8298</v>
      </c>
      <c r="L5129">
        <v>10</v>
      </c>
      <c r="O5129" t="s">
        <v>28</v>
      </c>
      <c r="P5129" t="s">
        <v>29</v>
      </c>
      <c r="Q5129" s="1">
        <v>42305.751180555555</v>
      </c>
      <c r="R5129">
        <v>7</v>
      </c>
      <c r="S5129" t="s">
        <v>31</v>
      </c>
      <c r="T5129" t="s">
        <v>6461</v>
      </c>
      <c r="U5129" t="s">
        <v>6462</v>
      </c>
      <c r="V5129" s="3">
        <v>40849</v>
      </c>
    </row>
    <row r="5130" spans="1:22" x14ac:dyDescent="0.35">
      <c r="A5130" s="1">
        <v>42305.751180555555</v>
      </c>
      <c r="B5130" s="2">
        <v>0</v>
      </c>
      <c r="C5130" t="s">
        <v>106</v>
      </c>
      <c r="D5130" t="s">
        <v>23</v>
      </c>
      <c r="E5130" t="s">
        <v>24</v>
      </c>
      <c r="F5130" t="s">
        <v>6458</v>
      </c>
      <c r="G5130">
        <v>817384</v>
      </c>
      <c r="H5130" t="s">
        <v>26</v>
      </c>
      <c r="I5130" t="s">
        <v>6459</v>
      </c>
      <c r="J5130" t="str">
        <f>"9781118160114"</f>
        <v>9781118160114</v>
      </c>
      <c r="L5130">
        <v>0</v>
      </c>
      <c r="O5130" t="s">
        <v>30</v>
      </c>
      <c r="P5130" t="s">
        <v>29</v>
      </c>
      <c r="Q5130" s="1">
        <v>42305.751180555555</v>
      </c>
      <c r="R5130">
        <v>7</v>
      </c>
      <c r="S5130" t="s">
        <v>31</v>
      </c>
      <c r="T5130" t="s">
        <v>6461</v>
      </c>
      <c r="U5130" t="s">
        <v>6462</v>
      </c>
      <c r="V5130" s="3">
        <v>40849</v>
      </c>
    </row>
    <row r="5131" spans="1:22" x14ac:dyDescent="0.35">
      <c r="A5131" s="1">
        <v>42305.750486111108</v>
      </c>
      <c r="B5131" s="2">
        <v>6.9444444444444447E-4</v>
      </c>
      <c r="C5131" t="s">
        <v>106</v>
      </c>
      <c r="D5131" t="s">
        <v>23</v>
      </c>
      <c r="E5131" t="s">
        <v>24</v>
      </c>
      <c r="F5131" t="s">
        <v>6458</v>
      </c>
      <c r="G5131">
        <v>817384</v>
      </c>
      <c r="H5131" t="s">
        <v>26</v>
      </c>
      <c r="I5131" t="s">
        <v>6459</v>
      </c>
      <c r="J5131" t="str">
        <f>"9781118160114"</f>
        <v>9781118160114</v>
      </c>
      <c r="K5131" t="s">
        <v>33</v>
      </c>
      <c r="L5131">
        <v>3</v>
      </c>
      <c r="O5131" t="s">
        <v>30</v>
      </c>
      <c r="P5131" t="s">
        <v>42</v>
      </c>
      <c r="S5131" t="s">
        <v>31</v>
      </c>
      <c r="T5131" t="s">
        <v>6461</v>
      </c>
      <c r="U5131" t="s">
        <v>6462</v>
      </c>
      <c r="V5131" s="3">
        <v>40849</v>
      </c>
    </row>
    <row r="5132" spans="1:22" x14ac:dyDescent="0.35">
      <c r="A5132" s="1">
        <v>42305.747083333335</v>
      </c>
      <c r="B5132" s="2">
        <v>9.1319444444444443E-3</v>
      </c>
      <c r="C5132" t="s">
        <v>5019</v>
      </c>
      <c r="D5132" t="s">
        <v>35</v>
      </c>
      <c r="E5132" t="s">
        <v>36</v>
      </c>
      <c r="F5132" t="s">
        <v>986</v>
      </c>
      <c r="G5132">
        <v>968030</v>
      </c>
      <c r="H5132" t="s">
        <v>26</v>
      </c>
      <c r="I5132" t="s">
        <v>219</v>
      </c>
      <c r="J5132" t="str">
        <f>"9781118285138"</f>
        <v>9781118285138</v>
      </c>
      <c r="K5132" t="s">
        <v>536</v>
      </c>
      <c r="L5132">
        <v>3</v>
      </c>
      <c r="O5132" t="s">
        <v>30</v>
      </c>
      <c r="P5132" t="s">
        <v>42</v>
      </c>
      <c r="S5132" t="s">
        <v>40</v>
      </c>
      <c r="T5132" t="s">
        <v>987</v>
      </c>
      <c r="U5132">
        <v>158.30000000000001</v>
      </c>
      <c r="V5132" s="3">
        <v>41100</v>
      </c>
    </row>
    <row r="5133" spans="1:22" x14ac:dyDescent="0.35">
      <c r="A5133" s="1">
        <v>42305.741493055553</v>
      </c>
      <c r="B5133" s="2">
        <v>1.9560185185185184E-3</v>
      </c>
      <c r="C5133" t="s">
        <v>8299</v>
      </c>
      <c r="D5133" t="s">
        <v>1222</v>
      </c>
      <c r="E5133" t="s">
        <v>1223</v>
      </c>
      <c r="F5133" t="s">
        <v>1477</v>
      </c>
      <c r="G5133">
        <v>822111</v>
      </c>
      <c r="H5133" t="s">
        <v>26</v>
      </c>
      <c r="I5133" t="s">
        <v>120</v>
      </c>
      <c r="J5133" t="str">
        <f>"9781444356922"</f>
        <v>9781444356922</v>
      </c>
      <c r="K5133" t="s">
        <v>8300</v>
      </c>
      <c r="L5133">
        <v>18</v>
      </c>
      <c r="O5133" t="s">
        <v>30</v>
      </c>
      <c r="P5133" t="s">
        <v>42</v>
      </c>
      <c r="S5133" t="s">
        <v>1226</v>
      </c>
      <c r="T5133" t="s">
        <v>1479</v>
      </c>
      <c r="U5133" t="s">
        <v>1480</v>
      </c>
      <c r="V5133" s="3">
        <v>40955</v>
      </c>
    </row>
    <row r="5134" spans="1:22" x14ac:dyDescent="0.35">
      <c r="A5134" s="1">
        <v>42305.696180555555</v>
      </c>
      <c r="B5134" s="2">
        <v>1.0416666666666667E-4</v>
      </c>
      <c r="C5134" t="s">
        <v>106</v>
      </c>
      <c r="D5134" t="s">
        <v>23</v>
      </c>
      <c r="E5134" t="s">
        <v>24</v>
      </c>
      <c r="F5134" t="s">
        <v>6635</v>
      </c>
      <c r="G5134">
        <v>817871</v>
      </c>
      <c r="H5134" t="s">
        <v>26</v>
      </c>
      <c r="I5134" t="s">
        <v>276</v>
      </c>
      <c r="J5134" t="str">
        <f>"9781118206911"</f>
        <v>9781118206911</v>
      </c>
      <c r="K5134" t="s">
        <v>33</v>
      </c>
      <c r="L5134">
        <v>3</v>
      </c>
      <c r="O5134" t="s">
        <v>30</v>
      </c>
      <c r="P5134" t="s">
        <v>29</v>
      </c>
      <c r="Q5134" s="1">
        <v>42299.804386574076</v>
      </c>
      <c r="R5134">
        <v>7</v>
      </c>
      <c r="S5134" t="s">
        <v>31</v>
      </c>
      <c r="T5134" t="s">
        <v>6637</v>
      </c>
      <c r="U5134">
        <v>6.74</v>
      </c>
      <c r="V5134" s="3">
        <v>40897</v>
      </c>
    </row>
    <row r="5135" spans="1:22" x14ac:dyDescent="0.35">
      <c r="A5135" s="1">
        <v>42305.668611111112</v>
      </c>
      <c r="B5135" s="2">
        <v>2.4305555555555552E-4</v>
      </c>
      <c r="C5135" t="s">
        <v>210</v>
      </c>
      <c r="D5135" t="s">
        <v>211</v>
      </c>
      <c r="E5135" t="s">
        <v>212</v>
      </c>
      <c r="F5135" t="s">
        <v>8180</v>
      </c>
      <c r="G5135">
        <v>1782535</v>
      </c>
      <c r="H5135" t="s">
        <v>26</v>
      </c>
      <c r="I5135" t="s">
        <v>8181</v>
      </c>
      <c r="J5135" t="str">
        <f>"9780745684550"</f>
        <v>9780745684550</v>
      </c>
      <c r="K5135" t="s">
        <v>3142</v>
      </c>
      <c r="L5135">
        <v>7</v>
      </c>
      <c r="O5135" t="s">
        <v>30</v>
      </c>
      <c r="P5135" t="s">
        <v>50</v>
      </c>
      <c r="S5135" t="s">
        <v>214</v>
      </c>
      <c r="T5135" t="s">
        <v>8183</v>
      </c>
      <c r="U5135">
        <v>302.23239999999998</v>
      </c>
      <c r="V5135" s="3">
        <v>41934</v>
      </c>
    </row>
    <row r="5136" spans="1:22" x14ac:dyDescent="0.35">
      <c r="A5136" s="1">
        <v>42305.667604166665</v>
      </c>
      <c r="B5136" s="2">
        <v>6.134259259259259E-4</v>
      </c>
      <c r="C5136" t="s">
        <v>210</v>
      </c>
      <c r="D5136" t="s">
        <v>211</v>
      </c>
      <c r="E5136" t="s">
        <v>212</v>
      </c>
      <c r="F5136" t="s">
        <v>8301</v>
      </c>
      <c r="G5136">
        <v>1996923</v>
      </c>
      <c r="H5136" t="s">
        <v>91</v>
      </c>
      <c r="I5136" t="s">
        <v>8302</v>
      </c>
      <c r="J5136" t="str">
        <f>"9781462521593"</f>
        <v>9781462521593</v>
      </c>
      <c r="K5136" t="s">
        <v>8303</v>
      </c>
      <c r="L5136">
        <v>20</v>
      </c>
      <c r="O5136" t="s">
        <v>30</v>
      </c>
      <c r="P5136" t="s">
        <v>50</v>
      </c>
      <c r="S5136" t="s">
        <v>214</v>
      </c>
      <c r="T5136" t="s">
        <v>8304</v>
      </c>
      <c r="U5136">
        <v>822.92</v>
      </c>
      <c r="V5136" s="3">
        <v>42164</v>
      </c>
    </row>
    <row r="5137" spans="1:22" x14ac:dyDescent="0.35">
      <c r="A5137" s="1">
        <v>42305.663356481484</v>
      </c>
      <c r="B5137" s="2">
        <v>3.2060185185185191E-3</v>
      </c>
      <c r="C5137" t="s">
        <v>8305</v>
      </c>
      <c r="D5137" t="s">
        <v>1222</v>
      </c>
      <c r="E5137" t="s">
        <v>1223</v>
      </c>
      <c r="F5137" t="s">
        <v>2369</v>
      </c>
      <c r="G5137">
        <v>877782</v>
      </c>
      <c r="H5137" t="s">
        <v>26</v>
      </c>
      <c r="I5137" t="s">
        <v>2370</v>
      </c>
      <c r="J5137" t="str">
        <f>"9781118255407"</f>
        <v>9781118255407</v>
      </c>
      <c r="K5137" t="s">
        <v>8306</v>
      </c>
      <c r="L5137">
        <v>18</v>
      </c>
      <c r="O5137" t="s">
        <v>30</v>
      </c>
      <c r="P5137" t="s">
        <v>42</v>
      </c>
      <c r="S5137" t="s">
        <v>1226</v>
      </c>
      <c r="T5137" t="s">
        <v>2372</v>
      </c>
      <c r="U5137">
        <v>599.9</v>
      </c>
      <c r="V5137" s="3">
        <v>40994</v>
      </c>
    </row>
    <row r="5138" spans="1:22" x14ac:dyDescent="0.35">
      <c r="A5138" s="1">
        <v>42305.660185185188</v>
      </c>
      <c r="B5138" s="2">
        <v>2.0833333333333333E-3</v>
      </c>
      <c r="C5138" t="s">
        <v>8307</v>
      </c>
      <c r="D5138" t="s">
        <v>623</v>
      </c>
      <c r="E5138" t="s">
        <v>624</v>
      </c>
      <c r="F5138" t="s">
        <v>8308</v>
      </c>
      <c r="G5138">
        <v>3038586</v>
      </c>
      <c r="H5138" t="s">
        <v>526</v>
      </c>
      <c r="I5138" t="s">
        <v>172</v>
      </c>
      <c r="J5138" t="str">
        <f>"9780226034478"</f>
        <v>9780226034478</v>
      </c>
      <c r="K5138" t="s">
        <v>8309</v>
      </c>
      <c r="L5138">
        <v>33</v>
      </c>
      <c r="O5138" t="s">
        <v>30</v>
      </c>
      <c r="P5138" t="s">
        <v>47</v>
      </c>
      <c r="Q5138" s="1">
        <v>42305.660185185188</v>
      </c>
      <c r="R5138">
        <v>1</v>
      </c>
      <c r="S5138" t="s">
        <v>627</v>
      </c>
      <c r="T5138" t="s">
        <v>8310</v>
      </c>
      <c r="U5138" t="s">
        <v>8311</v>
      </c>
      <c r="V5138" s="3">
        <v>41609</v>
      </c>
    </row>
    <row r="5139" spans="1:22" x14ac:dyDescent="0.35">
      <c r="A5139" s="1">
        <v>42305.634340277778</v>
      </c>
      <c r="B5139" s="2">
        <v>2.5347222222222221E-3</v>
      </c>
      <c r="C5139" t="s">
        <v>8312</v>
      </c>
      <c r="D5139" t="s">
        <v>35</v>
      </c>
      <c r="E5139" t="s">
        <v>36</v>
      </c>
      <c r="F5139" t="s">
        <v>4668</v>
      </c>
      <c r="G5139">
        <v>2110627</v>
      </c>
      <c r="H5139" t="s">
        <v>45</v>
      </c>
      <c r="I5139" t="s">
        <v>998</v>
      </c>
      <c r="J5139" t="str">
        <f>"9781472436481"</f>
        <v>9781472436481</v>
      </c>
      <c r="K5139" t="s">
        <v>8313</v>
      </c>
      <c r="L5139">
        <v>30</v>
      </c>
      <c r="O5139" t="s">
        <v>30</v>
      </c>
      <c r="P5139" t="s">
        <v>29</v>
      </c>
      <c r="Q5139" s="1">
        <v>42305.634328703702</v>
      </c>
      <c r="R5139">
        <v>7</v>
      </c>
      <c r="S5139" t="s">
        <v>40</v>
      </c>
      <c r="T5139" t="s">
        <v>4670</v>
      </c>
      <c r="U5139" t="s">
        <v>4671</v>
      </c>
      <c r="V5139" s="3">
        <v>42275</v>
      </c>
    </row>
    <row r="5140" spans="1:22" x14ac:dyDescent="0.35">
      <c r="A5140" s="1">
        <v>42305.633067129631</v>
      </c>
      <c r="B5140" s="2">
        <v>1.9178240740740742E-2</v>
      </c>
      <c r="C5140" t="s">
        <v>8314</v>
      </c>
      <c r="D5140" t="s">
        <v>158</v>
      </c>
      <c r="E5140" t="s">
        <v>159</v>
      </c>
      <c r="F5140" t="s">
        <v>3366</v>
      </c>
      <c r="G5140">
        <v>836166</v>
      </c>
      <c r="H5140" t="s">
        <v>149</v>
      </c>
      <c r="I5140" t="s">
        <v>3367</v>
      </c>
      <c r="J5140" t="str">
        <f>"9781438139470"</f>
        <v>9781438139470</v>
      </c>
      <c r="K5140" t="s">
        <v>8315</v>
      </c>
      <c r="L5140">
        <v>18</v>
      </c>
      <c r="O5140" t="s">
        <v>30</v>
      </c>
      <c r="P5140" t="s">
        <v>29</v>
      </c>
      <c r="Q5140" s="1">
        <v>42305.633067129631</v>
      </c>
      <c r="R5140">
        <v>7</v>
      </c>
      <c r="S5140" t="s">
        <v>163</v>
      </c>
      <c r="T5140" t="s">
        <v>3369</v>
      </c>
      <c r="U5140">
        <v>6.3</v>
      </c>
      <c r="V5140" s="3">
        <v>40848</v>
      </c>
    </row>
    <row r="5141" spans="1:22" x14ac:dyDescent="0.35">
      <c r="A5141" s="1">
        <v>42305.62903935185</v>
      </c>
      <c r="B5141" s="2">
        <v>5.2893518518518515E-3</v>
      </c>
      <c r="C5141" t="s">
        <v>8312</v>
      </c>
      <c r="D5141" t="s">
        <v>35</v>
      </c>
      <c r="E5141" t="s">
        <v>36</v>
      </c>
      <c r="F5141" t="s">
        <v>4668</v>
      </c>
      <c r="G5141">
        <v>2110627</v>
      </c>
      <c r="H5141" t="s">
        <v>45</v>
      </c>
      <c r="I5141" t="s">
        <v>998</v>
      </c>
      <c r="J5141" t="str">
        <f>"9781472436481"</f>
        <v>9781472436481</v>
      </c>
      <c r="K5141" t="s">
        <v>8316</v>
      </c>
      <c r="L5141">
        <v>26</v>
      </c>
      <c r="O5141" t="s">
        <v>30</v>
      </c>
      <c r="P5141" t="s">
        <v>42</v>
      </c>
      <c r="S5141" t="s">
        <v>40</v>
      </c>
      <c r="T5141" t="s">
        <v>4670</v>
      </c>
      <c r="U5141" t="s">
        <v>4671</v>
      </c>
      <c r="V5141" s="3">
        <v>42275</v>
      </c>
    </row>
    <row r="5142" spans="1:22" x14ac:dyDescent="0.35">
      <c r="A5142" s="1">
        <v>42305.625057870369</v>
      </c>
      <c r="B5142" s="2">
        <v>3.5127314814814813E-2</v>
      </c>
      <c r="C5142" t="s">
        <v>8307</v>
      </c>
      <c r="D5142" t="s">
        <v>623</v>
      </c>
      <c r="E5142" t="s">
        <v>624</v>
      </c>
      <c r="F5142" t="s">
        <v>8308</v>
      </c>
      <c r="G5142">
        <v>3038586</v>
      </c>
      <c r="H5142" t="s">
        <v>526</v>
      </c>
      <c r="I5142" t="s">
        <v>172</v>
      </c>
      <c r="J5142" t="str">
        <f>"9780226034478"</f>
        <v>9780226034478</v>
      </c>
      <c r="K5142" t="s">
        <v>240</v>
      </c>
      <c r="L5142">
        <v>14</v>
      </c>
      <c r="O5142" t="s">
        <v>30</v>
      </c>
      <c r="P5142" t="s">
        <v>50</v>
      </c>
      <c r="S5142" t="s">
        <v>627</v>
      </c>
      <c r="T5142" t="s">
        <v>8310</v>
      </c>
      <c r="U5142" t="s">
        <v>8311</v>
      </c>
      <c r="V5142" s="3">
        <v>41609</v>
      </c>
    </row>
    <row r="5143" spans="1:22" x14ac:dyDescent="0.35">
      <c r="A5143" s="1">
        <v>42305.618900462963</v>
      </c>
      <c r="B5143" s="2">
        <v>1.4166666666666666E-2</v>
      </c>
      <c r="C5143" t="s">
        <v>8314</v>
      </c>
      <c r="D5143" t="s">
        <v>158</v>
      </c>
      <c r="E5143" t="s">
        <v>159</v>
      </c>
      <c r="F5143" t="s">
        <v>3366</v>
      </c>
      <c r="G5143">
        <v>836166</v>
      </c>
      <c r="H5143" t="s">
        <v>149</v>
      </c>
      <c r="I5143" t="s">
        <v>3367</v>
      </c>
      <c r="J5143" t="str">
        <f>"9781438139470"</f>
        <v>9781438139470</v>
      </c>
      <c r="K5143" t="s">
        <v>8317</v>
      </c>
      <c r="L5143">
        <v>9</v>
      </c>
      <c r="O5143" t="s">
        <v>30</v>
      </c>
      <c r="P5143" t="s">
        <v>42</v>
      </c>
      <c r="S5143" t="s">
        <v>163</v>
      </c>
      <c r="T5143" t="s">
        <v>3369</v>
      </c>
      <c r="U5143">
        <v>6.3</v>
      </c>
      <c r="V5143" s="3">
        <v>40848</v>
      </c>
    </row>
    <row r="5144" spans="1:22" x14ac:dyDescent="0.35">
      <c r="A5144" s="1">
        <v>42305.618472222224</v>
      </c>
      <c r="B5144" s="2">
        <v>9.3321759259259271E-2</v>
      </c>
      <c r="C5144" t="s">
        <v>8318</v>
      </c>
      <c r="D5144" t="s">
        <v>23</v>
      </c>
      <c r="E5144" t="s">
        <v>24</v>
      </c>
      <c r="F5144" t="s">
        <v>4184</v>
      </c>
      <c r="G5144">
        <v>800610</v>
      </c>
      <c r="H5144" t="s">
        <v>91</v>
      </c>
      <c r="I5144" t="s">
        <v>247</v>
      </c>
      <c r="J5144" t="str">
        <f>"9781609186951"</f>
        <v>9781609186951</v>
      </c>
      <c r="K5144" t="s">
        <v>8319</v>
      </c>
      <c r="L5144">
        <v>66</v>
      </c>
      <c r="O5144" t="s">
        <v>30</v>
      </c>
      <c r="P5144" t="s">
        <v>29</v>
      </c>
      <c r="Q5144" s="1">
        <v>42304.739849537036</v>
      </c>
      <c r="R5144">
        <v>7</v>
      </c>
      <c r="S5144" t="s">
        <v>31</v>
      </c>
      <c r="T5144" t="s">
        <v>4187</v>
      </c>
      <c r="U5144">
        <v>616.89499999999998</v>
      </c>
      <c r="V5144" s="3">
        <v>40856</v>
      </c>
    </row>
    <row r="5145" spans="1:22" x14ac:dyDescent="0.35">
      <c r="A5145" s="1">
        <v>42305.614988425928</v>
      </c>
      <c r="B5145" s="2">
        <v>1.2384259259259258E-3</v>
      </c>
      <c r="C5145" t="s">
        <v>8279</v>
      </c>
      <c r="D5145" t="s">
        <v>1222</v>
      </c>
      <c r="E5145" t="s">
        <v>1223</v>
      </c>
      <c r="F5145" t="s">
        <v>2807</v>
      </c>
      <c r="G5145">
        <v>1767915</v>
      </c>
      <c r="H5145" t="s">
        <v>26</v>
      </c>
      <c r="I5145" t="s">
        <v>120</v>
      </c>
      <c r="J5145" t="str">
        <f>"9780730315148"</f>
        <v>9780730315148</v>
      </c>
      <c r="K5145" t="s">
        <v>8320</v>
      </c>
      <c r="L5145">
        <v>19</v>
      </c>
      <c r="O5145" t="s">
        <v>30</v>
      </c>
      <c r="P5145" t="s">
        <v>42</v>
      </c>
      <c r="S5145" t="s">
        <v>1226</v>
      </c>
      <c r="T5145" t="s">
        <v>2809</v>
      </c>
      <c r="U5145">
        <v>302.23099999999999</v>
      </c>
      <c r="V5145" s="3">
        <v>41866</v>
      </c>
    </row>
    <row r="5146" spans="1:22" x14ac:dyDescent="0.35">
      <c r="A5146" s="1">
        <v>42305.606817129628</v>
      </c>
      <c r="B5146" s="2">
        <v>4.6296296296296294E-5</v>
      </c>
      <c r="C5146" t="s">
        <v>4667</v>
      </c>
      <c r="D5146" t="s">
        <v>35</v>
      </c>
      <c r="E5146" t="s">
        <v>36</v>
      </c>
      <c r="F5146" t="s">
        <v>4668</v>
      </c>
      <c r="G5146">
        <v>2110627</v>
      </c>
      <c r="H5146" t="s">
        <v>45</v>
      </c>
      <c r="I5146" t="s">
        <v>998</v>
      </c>
      <c r="J5146" t="str">
        <f>"9781472436481"</f>
        <v>9781472436481</v>
      </c>
      <c r="K5146" t="s">
        <v>611</v>
      </c>
      <c r="L5146">
        <v>3</v>
      </c>
      <c r="O5146" t="s">
        <v>30</v>
      </c>
      <c r="P5146" t="s">
        <v>29</v>
      </c>
      <c r="Q5146" s="1">
        <v>42304.898356481484</v>
      </c>
      <c r="R5146">
        <v>7</v>
      </c>
      <c r="S5146" t="s">
        <v>40</v>
      </c>
      <c r="T5146" t="s">
        <v>4670</v>
      </c>
      <c r="U5146" t="s">
        <v>4671</v>
      </c>
      <c r="V5146" s="3">
        <v>42275</v>
      </c>
    </row>
    <row r="5147" spans="1:22" x14ac:dyDescent="0.35">
      <c r="A5147" s="1">
        <v>42305.598807870374</v>
      </c>
      <c r="B5147" s="2">
        <v>2.2303240740740738E-2</v>
      </c>
      <c r="C5147" t="s">
        <v>8135</v>
      </c>
      <c r="D5147" t="s">
        <v>23</v>
      </c>
      <c r="E5147" t="s">
        <v>24</v>
      </c>
      <c r="F5147" t="s">
        <v>8136</v>
      </c>
      <c r="G5147">
        <v>1190428</v>
      </c>
      <c r="H5147" t="s">
        <v>84</v>
      </c>
      <c r="I5147" t="s">
        <v>38</v>
      </c>
      <c r="J5147" t="str">
        <f>"9780520955066"</f>
        <v>9780520955066</v>
      </c>
      <c r="K5147" t="s">
        <v>8321</v>
      </c>
      <c r="L5147">
        <v>24</v>
      </c>
      <c r="O5147" t="s">
        <v>30</v>
      </c>
      <c r="P5147" t="s">
        <v>29</v>
      </c>
      <c r="Q5147" s="1">
        <v>42304.58326388889</v>
      </c>
      <c r="R5147">
        <v>7</v>
      </c>
      <c r="S5147" t="s">
        <v>31</v>
      </c>
      <c r="T5147" t="s">
        <v>8138</v>
      </c>
      <c r="U5147" t="s">
        <v>8139</v>
      </c>
      <c r="V5147" s="3">
        <v>41408</v>
      </c>
    </row>
    <row r="5148" spans="1:22" x14ac:dyDescent="0.35">
      <c r="A5148" s="1">
        <v>42305.595960648148</v>
      </c>
      <c r="B5148" s="2">
        <v>3.7037037037037035E-4</v>
      </c>
      <c r="C5148" t="s">
        <v>5227</v>
      </c>
      <c r="D5148" t="s">
        <v>211</v>
      </c>
      <c r="E5148" t="s">
        <v>212</v>
      </c>
      <c r="F5148" t="s">
        <v>5228</v>
      </c>
      <c r="G5148">
        <v>1034770</v>
      </c>
      <c r="H5148" t="s">
        <v>91</v>
      </c>
      <c r="I5148" t="s">
        <v>247</v>
      </c>
      <c r="J5148" t="str">
        <f>"9781462507566"</f>
        <v>9781462507566</v>
      </c>
      <c r="K5148" t="s">
        <v>5201</v>
      </c>
      <c r="L5148">
        <v>8</v>
      </c>
      <c r="O5148" t="s">
        <v>30</v>
      </c>
      <c r="P5148" t="s">
        <v>42</v>
      </c>
      <c r="S5148" t="s">
        <v>214</v>
      </c>
      <c r="T5148" t="s">
        <v>5230</v>
      </c>
      <c r="U5148">
        <v>616.85839999999996</v>
      </c>
      <c r="V5148" s="3">
        <v>41567</v>
      </c>
    </row>
    <row r="5149" spans="1:22" x14ac:dyDescent="0.35">
      <c r="A5149" s="1">
        <v>42305.585115740738</v>
      </c>
      <c r="B5149" s="2">
        <v>3.4722222222222224E-4</v>
      </c>
      <c r="C5149" t="s">
        <v>8230</v>
      </c>
      <c r="D5149" t="s">
        <v>261</v>
      </c>
      <c r="E5149" t="s">
        <v>262</v>
      </c>
      <c r="F5149" t="s">
        <v>6160</v>
      </c>
      <c r="G5149">
        <v>1584076</v>
      </c>
      <c r="H5149" t="s">
        <v>26</v>
      </c>
      <c r="I5149" t="s">
        <v>172</v>
      </c>
      <c r="J5149" t="str">
        <f>"9780745679679"</f>
        <v>9780745679679</v>
      </c>
      <c r="K5149" t="s">
        <v>8322</v>
      </c>
      <c r="L5149">
        <v>12</v>
      </c>
      <c r="O5149" t="s">
        <v>30</v>
      </c>
      <c r="P5149" t="s">
        <v>47</v>
      </c>
      <c r="Q5149" s="1">
        <v>42305.585115740738</v>
      </c>
      <c r="R5149">
        <v>1</v>
      </c>
      <c r="S5149" t="s">
        <v>264</v>
      </c>
      <c r="T5149" t="s">
        <v>6162</v>
      </c>
      <c r="U5149">
        <v>945.05</v>
      </c>
      <c r="V5149" s="3">
        <v>41626</v>
      </c>
    </row>
    <row r="5150" spans="1:22" x14ac:dyDescent="0.35">
      <c r="A5150" s="1">
        <v>42305.585092592592</v>
      </c>
      <c r="B5150" s="2">
        <v>1.1574074074074073E-5</v>
      </c>
      <c r="C5150" t="s">
        <v>8230</v>
      </c>
      <c r="D5150" t="s">
        <v>261</v>
      </c>
      <c r="E5150" t="s">
        <v>262</v>
      </c>
      <c r="F5150" t="s">
        <v>6160</v>
      </c>
      <c r="G5150">
        <v>1584076</v>
      </c>
      <c r="H5150" t="s">
        <v>26</v>
      </c>
      <c r="I5150" t="s">
        <v>172</v>
      </c>
      <c r="J5150" t="str">
        <f>"9780745679679"</f>
        <v>9780745679679</v>
      </c>
      <c r="L5150">
        <v>0</v>
      </c>
      <c r="O5150" t="s">
        <v>30</v>
      </c>
      <c r="P5150" t="s">
        <v>50</v>
      </c>
      <c r="S5150" t="s">
        <v>264</v>
      </c>
      <c r="T5150" t="s">
        <v>6162</v>
      </c>
      <c r="U5150">
        <v>945.05</v>
      </c>
      <c r="V5150" s="3">
        <v>41626</v>
      </c>
    </row>
    <row r="5151" spans="1:22" x14ac:dyDescent="0.35">
      <c r="A5151" s="1">
        <v>42305.578298611108</v>
      </c>
      <c r="B5151" s="2">
        <v>2.7893518518518519E-3</v>
      </c>
      <c r="C5151" t="s">
        <v>8323</v>
      </c>
      <c r="D5151" t="s">
        <v>23</v>
      </c>
      <c r="E5151" t="s">
        <v>24</v>
      </c>
      <c r="F5151" t="s">
        <v>8324</v>
      </c>
      <c r="G5151">
        <v>1539075</v>
      </c>
      <c r="H5151" t="s">
        <v>526</v>
      </c>
      <c r="I5151" t="s">
        <v>172</v>
      </c>
      <c r="J5151" t="str">
        <f>"9780226072869"</f>
        <v>9780226072869</v>
      </c>
      <c r="K5151" t="s">
        <v>6773</v>
      </c>
      <c r="L5151">
        <v>10</v>
      </c>
      <c r="O5151" t="s">
        <v>30</v>
      </c>
      <c r="P5151" t="s">
        <v>50</v>
      </c>
      <c r="S5151" t="s">
        <v>31</v>
      </c>
      <c r="T5151" t="s">
        <v>8325</v>
      </c>
      <c r="U5151" t="s">
        <v>8326</v>
      </c>
      <c r="V5151" s="3">
        <v>41593</v>
      </c>
    </row>
    <row r="5152" spans="1:22" x14ac:dyDescent="0.35">
      <c r="A5152" s="1">
        <v>42305.578148148146</v>
      </c>
      <c r="B5152" s="2">
        <v>8.7962962962962962E-4</v>
      </c>
      <c r="C5152" t="s">
        <v>4965</v>
      </c>
      <c r="D5152" t="s">
        <v>125</v>
      </c>
      <c r="E5152" t="s">
        <v>126</v>
      </c>
      <c r="F5152" t="s">
        <v>2262</v>
      </c>
      <c r="G5152">
        <v>843674</v>
      </c>
      <c r="H5152" t="s">
        <v>26</v>
      </c>
      <c r="I5152" t="s">
        <v>322</v>
      </c>
      <c r="J5152" t="str">
        <f>"9781118348444"</f>
        <v>9781118348444</v>
      </c>
      <c r="K5152" t="s">
        <v>8327</v>
      </c>
      <c r="L5152">
        <v>4</v>
      </c>
      <c r="O5152" t="s">
        <v>30</v>
      </c>
      <c r="P5152" t="s">
        <v>29</v>
      </c>
      <c r="Q5152" s="1">
        <v>42305.578148148146</v>
      </c>
      <c r="R5152">
        <v>7</v>
      </c>
      <c r="S5152" t="s">
        <v>128</v>
      </c>
      <c r="T5152" t="s">
        <v>2263</v>
      </c>
      <c r="U5152">
        <v>692.50972999999999</v>
      </c>
      <c r="V5152" s="3">
        <v>40960</v>
      </c>
    </row>
    <row r="5153" spans="1:22" x14ac:dyDescent="0.35">
      <c r="A5153" s="1">
        <v>42305.571168981478</v>
      </c>
      <c r="B5153" s="2">
        <v>6.9791666666666674E-3</v>
      </c>
      <c r="C5153" t="s">
        <v>4965</v>
      </c>
      <c r="D5153" t="s">
        <v>125</v>
      </c>
      <c r="E5153" t="s">
        <v>126</v>
      </c>
      <c r="F5153" t="s">
        <v>2262</v>
      </c>
      <c r="G5153">
        <v>843674</v>
      </c>
      <c r="H5153" t="s">
        <v>26</v>
      </c>
      <c r="I5153" t="s">
        <v>322</v>
      </c>
      <c r="J5153" t="str">
        <f>"9781118348444"</f>
        <v>9781118348444</v>
      </c>
      <c r="K5153" t="s">
        <v>8328</v>
      </c>
      <c r="L5153">
        <v>22</v>
      </c>
      <c r="O5153" t="s">
        <v>30</v>
      </c>
      <c r="P5153" t="s">
        <v>42</v>
      </c>
      <c r="S5153" t="s">
        <v>128</v>
      </c>
      <c r="T5153" t="s">
        <v>2263</v>
      </c>
      <c r="U5153">
        <v>692.50972999999999</v>
      </c>
      <c r="V5153" s="3">
        <v>40960</v>
      </c>
    </row>
    <row r="5154" spans="1:22" x14ac:dyDescent="0.35">
      <c r="A5154" s="1">
        <v>42305.555555555555</v>
      </c>
      <c r="B5154" s="2">
        <v>5.0925925925925921E-4</v>
      </c>
      <c r="C5154" t="s">
        <v>8329</v>
      </c>
      <c r="D5154" t="s">
        <v>1222</v>
      </c>
      <c r="E5154" t="s">
        <v>1223</v>
      </c>
      <c r="F5154" t="s">
        <v>3935</v>
      </c>
      <c r="G5154">
        <v>1725781</v>
      </c>
      <c r="H5154" t="s">
        <v>1474</v>
      </c>
      <c r="I5154" t="s">
        <v>3936</v>
      </c>
      <c r="J5154" t="str">
        <f>"9781137287021"</f>
        <v>9781137287021</v>
      </c>
      <c r="K5154" t="s">
        <v>339</v>
      </c>
      <c r="L5154">
        <v>18</v>
      </c>
      <c r="O5154" t="s">
        <v>30</v>
      </c>
      <c r="P5154" t="s">
        <v>42</v>
      </c>
      <c r="S5154" t="s">
        <v>1226</v>
      </c>
      <c r="T5154" t="s">
        <v>3937</v>
      </c>
      <c r="U5154">
        <v>4.6780834999999996</v>
      </c>
      <c r="V5154" s="3">
        <v>41806</v>
      </c>
    </row>
    <row r="5155" spans="1:22" x14ac:dyDescent="0.35">
      <c r="A5155" s="1">
        <v>42305.54179398148</v>
      </c>
      <c r="B5155" s="2">
        <v>4.7800925925925919E-3</v>
      </c>
      <c r="C5155" t="s">
        <v>5219</v>
      </c>
      <c r="D5155" t="s">
        <v>211</v>
      </c>
      <c r="E5155" t="s">
        <v>212</v>
      </c>
      <c r="F5155" t="s">
        <v>462</v>
      </c>
      <c r="G5155">
        <v>1822529</v>
      </c>
      <c r="H5155" t="s">
        <v>26</v>
      </c>
      <c r="I5155" t="s">
        <v>297</v>
      </c>
      <c r="J5155" t="str">
        <f>"9781118824344"</f>
        <v>9781118824344</v>
      </c>
      <c r="K5155" t="s">
        <v>8330</v>
      </c>
      <c r="L5155">
        <v>104</v>
      </c>
      <c r="O5155" t="s">
        <v>30</v>
      </c>
      <c r="P5155" t="s">
        <v>42</v>
      </c>
      <c r="S5155" t="s">
        <v>214</v>
      </c>
      <c r="T5155" t="s">
        <v>464</v>
      </c>
      <c r="U5155">
        <v>519.4</v>
      </c>
      <c r="V5155" s="3">
        <v>41932</v>
      </c>
    </row>
    <row r="5156" spans="1:22" x14ac:dyDescent="0.35">
      <c r="A5156" s="1">
        <v>42305.32953703704</v>
      </c>
      <c r="B5156" s="2">
        <v>2.3148148148148146E-4</v>
      </c>
      <c r="C5156" t="s">
        <v>8331</v>
      </c>
      <c r="D5156" t="s">
        <v>35</v>
      </c>
      <c r="E5156" t="s">
        <v>36</v>
      </c>
      <c r="F5156" t="s">
        <v>2649</v>
      </c>
      <c r="G5156">
        <v>1143522</v>
      </c>
      <c r="H5156" t="s">
        <v>26</v>
      </c>
      <c r="I5156" t="s">
        <v>172</v>
      </c>
      <c r="J5156" t="str">
        <f>"9781118257197"</f>
        <v>9781118257197</v>
      </c>
      <c r="K5156" t="s">
        <v>8332</v>
      </c>
      <c r="L5156">
        <v>7</v>
      </c>
      <c r="O5156" t="s">
        <v>30</v>
      </c>
      <c r="P5156" t="s">
        <v>29</v>
      </c>
      <c r="Q5156" s="1">
        <v>42305.32953703704</v>
      </c>
      <c r="R5156">
        <v>7</v>
      </c>
      <c r="S5156" t="s">
        <v>40</v>
      </c>
      <c r="T5156" t="s">
        <v>2651</v>
      </c>
      <c r="U5156">
        <v>972</v>
      </c>
      <c r="V5156" s="3">
        <v>41334</v>
      </c>
    </row>
    <row r="5157" spans="1:22" x14ac:dyDescent="0.35">
      <c r="A5157" s="1">
        <v>42305.251446759263</v>
      </c>
      <c r="B5157" s="2">
        <v>7.8090277777777786E-2</v>
      </c>
      <c r="C5157" t="s">
        <v>8331</v>
      </c>
      <c r="D5157" t="s">
        <v>35</v>
      </c>
      <c r="E5157" t="s">
        <v>36</v>
      </c>
      <c r="F5157" t="s">
        <v>2649</v>
      </c>
      <c r="G5157">
        <v>1143522</v>
      </c>
      <c r="H5157" t="s">
        <v>26</v>
      </c>
      <c r="I5157" t="s">
        <v>172</v>
      </c>
      <c r="J5157" t="str">
        <f>"9781118257197"</f>
        <v>9781118257197</v>
      </c>
      <c r="K5157" t="s">
        <v>8333</v>
      </c>
      <c r="L5157">
        <v>16</v>
      </c>
      <c r="O5157" t="s">
        <v>30</v>
      </c>
      <c r="P5157" t="s">
        <v>42</v>
      </c>
      <c r="S5157" t="s">
        <v>40</v>
      </c>
      <c r="T5157" t="s">
        <v>2651</v>
      </c>
      <c r="U5157">
        <v>972</v>
      </c>
      <c r="V5157" s="3">
        <v>41334</v>
      </c>
    </row>
    <row r="5158" spans="1:22" x14ac:dyDescent="0.35">
      <c r="A5158" s="1">
        <v>42305.23636574074</v>
      </c>
      <c r="B5158" s="2">
        <v>9.2592592592592588E-5</v>
      </c>
      <c r="C5158" t="s">
        <v>8331</v>
      </c>
      <c r="D5158" t="s">
        <v>35</v>
      </c>
      <c r="E5158" t="s">
        <v>36</v>
      </c>
      <c r="F5158" t="s">
        <v>2649</v>
      </c>
      <c r="G5158">
        <v>1143522</v>
      </c>
      <c r="H5158" t="s">
        <v>26</v>
      </c>
      <c r="I5158" t="s">
        <v>172</v>
      </c>
      <c r="J5158" t="str">
        <f>"9781118257197"</f>
        <v>9781118257197</v>
      </c>
      <c r="K5158" t="s">
        <v>33</v>
      </c>
      <c r="L5158">
        <v>3</v>
      </c>
      <c r="O5158" t="s">
        <v>30</v>
      </c>
      <c r="P5158" t="s">
        <v>42</v>
      </c>
      <c r="S5158" t="s">
        <v>40</v>
      </c>
      <c r="T5158" t="s">
        <v>2651</v>
      </c>
      <c r="U5158">
        <v>972</v>
      </c>
      <c r="V5158" s="3">
        <v>41334</v>
      </c>
    </row>
    <row r="5159" spans="1:22" x14ac:dyDescent="0.35">
      <c r="A5159" s="1">
        <v>42305.23165509259</v>
      </c>
      <c r="B5159" s="2">
        <v>5.9027777777777778E-4</v>
      </c>
      <c r="C5159" t="s">
        <v>8334</v>
      </c>
      <c r="D5159" t="s">
        <v>35</v>
      </c>
      <c r="E5159" t="s">
        <v>36</v>
      </c>
      <c r="F5159" t="s">
        <v>8335</v>
      </c>
      <c r="G5159">
        <v>1747357</v>
      </c>
      <c r="H5159" t="s">
        <v>139</v>
      </c>
      <c r="I5159" t="s">
        <v>8336</v>
      </c>
      <c r="J5159" t="str">
        <f>"9780814760420"</f>
        <v>9780814760420</v>
      </c>
      <c r="K5159" t="s">
        <v>8337</v>
      </c>
      <c r="L5159">
        <v>11</v>
      </c>
      <c r="O5159" t="s">
        <v>30</v>
      </c>
      <c r="P5159" t="s">
        <v>50</v>
      </c>
      <c r="S5159" t="s">
        <v>40</v>
      </c>
      <c r="T5159" t="s">
        <v>8338</v>
      </c>
      <c r="U5159" t="s">
        <v>8339</v>
      </c>
      <c r="V5159" s="3">
        <v>41852</v>
      </c>
    </row>
    <row r="5160" spans="1:22" x14ac:dyDescent="0.35">
      <c r="A5160" s="1">
        <v>42305.110567129632</v>
      </c>
      <c r="B5160" s="2">
        <v>8.2638888888888883E-3</v>
      </c>
      <c r="C5160" t="s">
        <v>6845</v>
      </c>
      <c r="D5160" t="s">
        <v>35</v>
      </c>
      <c r="E5160" t="s">
        <v>36</v>
      </c>
      <c r="F5160" t="s">
        <v>111</v>
      </c>
      <c r="G5160">
        <v>693176</v>
      </c>
      <c r="H5160" t="s">
        <v>26</v>
      </c>
      <c r="I5160" t="s">
        <v>112</v>
      </c>
      <c r="J5160" t="str">
        <f>"9781118017746"</f>
        <v>9781118017746</v>
      </c>
      <c r="K5160" t="s">
        <v>8340</v>
      </c>
      <c r="L5160">
        <v>7</v>
      </c>
      <c r="O5160" t="s">
        <v>30</v>
      </c>
      <c r="P5160" t="s">
        <v>29</v>
      </c>
      <c r="Q5160" s="1">
        <v>42305.110567129632</v>
      </c>
      <c r="R5160">
        <v>7</v>
      </c>
      <c r="S5160" t="s">
        <v>40</v>
      </c>
      <c r="T5160" t="s">
        <v>114</v>
      </c>
      <c r="U5160" t="s">
        <v>115</v>
      </c>
      <c r="V5160" s="3">
        <v>40835</v>
      </c>
    </row>
    <row r="5161" spans="1:22" x14ac:dyDescent="0.35">
      <c r="A5161" s="1">
        <v>42305.103865740741</v>
      </c>
      <c r="B5161" s="2">
        <v>5.4398148148148144E-4</v>
      </c>
      <c r="C5161" t="s">
        <v>106</v>
      </c>
      <c r="D5161" t="s">
        <v>23</v>
      </c>
      <c r="E5161" t="s">
        <v>24</v>
      </c>
      <c r="F5161" t="s">
        <v>3973</v>
      </c>
      <c r="G5161">
        <v>771049</v>
      </c>
      <c r="H5161" t="s">
        <v>3465</v>
      </c>
      <c r="I5161" t="s">
        <v>3974</v>
      </c>
      <c r="J5161" t="str">
        <f>"9781608706648"</f>
        <v>9781608706648</v>
      </c>
      <c r="K5161" t="s">
        <v>8341</v>
      </c>
      <c r="L5161">
        <v>28</v>
      </c>
      <c r="O5161" t="s">
        <v>30</v>
      </c>
      <c r="P5161" t="s">
        <v>42</v>
      </c>
      <c r="S5161" t="s">
        <v>31</v>
      </c>
      <c r="T5161" t="s">
        <v>3976</v>
      </c>
      <c r="U5161">
        <v>363.73874000000001</v>
      </c>
      <c r="V5161" s="3">
        <v>40909</v>
      </c>
    </row>
    <row r="5162" spans="1:22" x14ac:dyDescent="0.35">
      <c r="A5162" s="1">
        <v>42305.101990740739</v>
      </c>
      <c r="B5162" s="2">
        <v>8.5763888888888886E-3</v>
      </c>
      <c r="C5162" t="s">
        <v>6845</v>
      </c>
      <c r="D5162" t="s">
        <v>35</v>
      </c>
      <c r="E5162" t="s">
        <v>36</v>
      </c>
      <c r="F5162" t="s">
        <v>111</v>
      </c>
      <c r="G5162">
        <v>693176</v>
      </c>
      <c r="H5162" t="s">
        <v>26</v>
      </c>
      <c r="I5162" t="s">
        <v>112</v>
      </c>
      <c r="J5162" t="str">
        <f>"9781118017746"</f>
        <v>9781118017746</v>
      </c>
      <c r="K5162" t="s">
        <v>8342</v>
      </c>
      <c r="L5162">
        <v>28</v>
      </c>
      <c r="O5162" t="s">
        <v>30</v>
      </c>
      <c r="P5162" t="s">
        <v>42</v>
      </c>
      <c r="S5162" t="s">
        <v>40</v>
      </c>
      <c r="T5162" t="s">
        <v>114</v>
      </c>
      <c r="U5162" t="s">
        <v>115</v>
      </c>
      <c r="V5162" s="3">
        <v>40835</v>
      </c>
    </row>
    <row r="5163" spans="1:22" x14ac:dyDescent="0.35">
      <c r="A5163" s="1">
        <v>42305.098553240743</v>
      </c>
      <c r="B5163" s="2">
        <v>2.4305555555555552E-4</v>
      </c>
      <c r="C5163" t="s">
        <v>8343</v>
      </c>
      <c r="D5163" t="s">
        <v>1222</v>
      </c>
      <c r="E5163" t="s">
        <v>1223</v>
      </c>
      <c r="F5163" t="s">
        <v>1656</v>
      </c>
      <c r="G5163">
        <v>902995</v>
      </c>
      <c r="H5163" t="s">
        <v>149</v>
      </c>
      <c r="I5163" t="s">
        <v>247</v>
      </c>
      <c r="J5163" t="str">
        <f>"9781438139234"</f>
        <v>9781438139234</v>
      </c>
      <c r="K5163" t="s">
        <v>8344</v>
      </c>
      <c r="L5163">
        <v>8</v>
      </c>
      <c r="O5163" t="s">
        <v>30</v>
      </c>
      <c r="P5163" t="s">
        <v>42</v>
      </c>
      <c r="S5163" t="s">
        <v>1226</v>
      </c>
      <c r="T5163" t="s">
        <v>1657</v>
      </c>
      <c r="U5163" t="s">
        <v>1658</v>
      </c>
      <c r="V5163" s="3">
        <v>40969</v>
      </c>
    </row>
    <row r="5164" spans="1:22" x14ac:dyDescent="0.35">
      <c r="A5164" s="1">
        <v>42305.036504629628</v>
      </c>
      <c r="B5164" s="2">
        <v>7.5231481481481471E-4</v>
      </c>
      <c r="C5164" t="s">
        <v>8345</v>
      </c>
      <c r="D5164" t="s">
        <v>1222</v>
      </c>
      <c r="E5164" t="s">
        <v>1223</v>
      </c>
      <c r="F5164" t="s">
        <v>572</v>
      </c>
      <c r="G5164">
        <v>1597004</v>
      </c>
      <c r="H5164" t="s">
        <v>84</v>
      </c>
      <c r="I5164" t="s">
        <v>120</v>
      </c>
      <c r="J5164" t="str">
        <f>"9780520958173"</f>
        <v>9780520958173</v>
      </c>
      <c r="K5164" t="s">
        <v>8346</v>
      </c>
      <c r="L5164">
        <v>16</v>
      </c>
      <c r="O5164" t="s">
        <v>30</v>
      </c>
      <c r="P5164" t="s">
        <v>42</v>
      </c>
      <c r="S5164" t="s">
        <v>1226</v>
      </c>
      <c r="T5164" t="s">
        <v>574</v>
      </c>
      <c r="U5164" t="s">
        <v>575</v>
      </c>
      <c r="V5164" s="3">
        <v>41760</v>
      </c>
    </row>
    <row r="5165" spans="1:22" x14ac:dyDescent="0.35">
      <c r="A5165" s="1">
        <v>42305.025821759256</v>
      </c>
      <c r="B5165" s="2">
        <v>9.1435185185185185E-4</v>
      </c>
      <c r="C5165" t="s">
        <v>8347</v>
      </c>
      <c r="D5165" t="s">
        <v>623</v>
      </c>
      <c r="E5165" t="s">
        <v>624</v>
      </c>
      <c r="F5165" t="s">
        <v>8348</v>
      </c>
      <c r="G5165">
        <v>1820923</v>
      </c>
      <c r="H5165" t="s">
        <v>139</v>
      </c>
      <c r="I5165" t="s">
        <v>120</v>
      </c>
      <c r="J5165" t="str">
        <f>"9781479856558"</f>
        <v>9781479856558</v>
      </c>
      <c r="K5165" t="s">
        <v>8349</v>
      </c>
      <c r="L5165">
        <v>15</v>
      </c>
      <c r="O5165" t="s">
        <v>30</v>
      </c>
      <c r="P5165" t="s">
        <v>50</v>
      </c>
      <c r="S5165" t="s">
        <v>627</v>
      </c>
      <c r="T5165" t="s">
        <v>8350</v>
      </c>
      <c r="U5165">
        <v>305.23097300000001</v>
      </c>
      <c r="V5165" s="3">
        <v>41908</v>
      </c>
    </row>
    <row r="5166" spans="1:22" x14ac:dyDescent="0.35">
      <c r="A5166" s="1">
        <v>42304.996192129627</v>
      </c>
      <c r="B5166" s="2">
        <v>7.8750000000000001E-2</v>
      </c>
      <c r="C5166" t="s">
        <v>8230</v>
      </c>
      <c r="D5166" t="s">
        <v>261</v>
      </c>
      <c r="E5166" t="s">
        <v>262</v>
      </c>
      <c r="F5166" t="s">
        <v>6160</v>
      </c>
      <c r="G5166">
        <v>1584076</v>
      </c>
      <c r="H5166" t="s">
        <v>26</v>
      </c>
      <c r="I5166" t="s">
        <v>172</v>
      </c>
      <c r="J5166" t="str">
        <f>"9780745679679"</f>
        <v>9780745679679</v>
      </c>
      <c r="K5166" t="s">
        <v>8351</v>
      </c>
      <c r="L5166">
        <v>10</v>
      </c>
      <c r="O5166" t="s">
        <v>30</v>
      </c>
      <c r="P5166" t="s">
        <v>47</v>
      </c>
      <c r="Q5166" s="1">
        <v>42304.553576388891</v>
      </c>
      <c r="R5166">
        <v>1</v>
      </c>
      <c r="S5166" t="s">
        <v>264</v>
      </c>
      <c r="T5166" t="s">
        <v>6162</v>
      </c>
      <c r="U5166">
        <v>945.05</v>
      </c>
      <c r="V5166" s="3">
        <v>41626</v>
      </c>
    </row>
    <row r="5167" spans="1:22" x14ac:dyDescent="0.35">
      <c r="A5167" s="1">
        <v>42304.991886574076</v>
      </c>
      <c r="B5167" s="2">
        <v>4.3981481481481481E-4</v>
      </c>
      <c r="C5167" t="s">
        <v>8230</v>
      </c>
      <c r="D5167" t="s">
        <v>261</v>
      </c>
      <c r="E5167" t="s">
        <v>262</v>
      </c>
      <c r="F5167" t="s">
        <v>6160</v>
      </c>
      <c r="G5167">
        <v>1584076</v>
      </c>
      <c r="H5167" t="s">
        <v>26</v>
      </c>
      <c r="I5167" t="s">
        <v>172</v>
      </c>
      <c r="J5167" t="str">
        <f>"9780745679679"</f>
        <v>9780745679679</v>
      </c>
      <c r="K5167" t="s">
        <v>33</v>
      </c>
      <c r="L5167">
        <v>3</v>
      </c>
      <c r="O5167" t="s">
        <v>30</v>
      </c>
      <c r="P5167" t="s">
        <v>47</v>
      </c>
      <c r="Q5167" s="1">
        <v>42304.553576388891</v>
      </c>
      <c r="R5167">
        <v>1</v>
      </c>
      <c r="S5167" t="s">
        <v>264</v>
      </c>
      <c r="T5167" t="s">
        <v>6162</v>
      </c>
      <c r="U5167">
        <v>945.05</v>
      </c>
      <c r="V5167" s="3">
        <v>41626</v>
      </c>
    </row>
    <row r="5168" spans="1:22" x14ac:dyDescent="0.35">
      <c r="A5168" s="1">
        <v>42304.970127314817</v>
      </c>
      <c r="B5168" s="2">
        <v>2.3379629629629631E-3</v>
      </c>
      <c r="C5168" t="s">
        <v>8352</v>
      </c>
      <c r="D5168" t="s">
        <v>261</v>
      </c>
      <c r="E5168" t="s">
        <v>262</v>
      </c>
      <c r="F5168" t="s">
        <v>6069</v>
      </c>
      <c r="G5168">
        <v>836174</v>
      </c>
      <c r="H5168" t="s">
        <v>149</v>
      </c>
      <c r="I5168" t="s">
        <v>172</v>
      </c>
      <c r="J5168" t="str">
        <f>"9781438139685"</f>
        <v>9781438139685</v>
      </c>
      <c r="K5168" t="s">
        <v>8353</v>
      </c>
      <c r="L5168">
        <v>38</v>
      </c>
      <c r="O5168" t="s">
        <v>30</v>
      </c>
      <c r="P5168" t="s">
        <v>42</v>
      </c>
      <c r="S5168" t="s">
        <v>264</v>
      </c>
      <c r="T5168" t="s">
        <v>6071</v>
      </c>
      <c r="U5168">
        <v>941.50810000000001</v>
      </c>
      <c r="V5168" s="3">
        <v>40848</v>
      </c>
    </row>
    <row r="5169" spans="1:22" x14ac:dyDescent="0.35">
      <c r="A5169" s="1">
        <v>42304.926747685182</v>
      </c>
      <c r="B5169" s="2">
        <v>1.9328703703703704E-3</v>
      </c>
      <c r="C5169" t="s">
        <v>8354</v>
      </c>
      <c r="D5169" t="s">
        <v>1222</v>
      </c>
      <c r="E5169" t="s">
        <v>1223</v>
      </c>
      <c r="F5169" t="s">
        <v>3449</v>
      </c>
      <c r="G5169">
        <v>1809344</v>
      </c>
      <c r="H5169" t="s">
        <v>1474</v>
      </c>
      <c r="I5169" t="s">
        <v>120</v>
      </c>
      <c r="J5169" t="str">
        <f>"9781137356192"</f>
        <v>9781137356192</v>
      </c>
      <c r="K5169" t="s">
        <v>8355</v>
      </c>
      <c r="L5169">
        <v>8</v>
      </c>
      <c r="O5169" t="s">
        <v>30</v>
      </c>
      <c r="P5169" t="s">
        <v>42</v>
      </c>
      <c r="S5169" t="s">
        <v>1226</v>
      </c>
      <c r="T5169" t="s">
        <v>3451</v>
      </c>
      <c r="U5169">
        <v>364.4</v>
      </c>
      <c r="V5169" s="3">
        <v>41915</v>
      </c>
    </row>
    <row r="5170" spans="1:22" x14ac:dyDescent="0.35">
      <c r="A5170" s="1">
        <v>42304.916446759256</v>
      </c>
      <c r="B5170" s="2">
        <v>2.1990740740740742E-3</v>
      </c>
      <c r="C5170" t="s">
        <v>8356</v>
      </c>
      <c r="D5170" t="s">
        <v>211</v>
      </c>
      <c r="E5170" t="s">
        <v>212</v>
      </c>
      <c r="F5170" t="s">
        <v>8357</v>
      </c>
      <c r="G5170">
        <v>1378784</v>
      </c>
      <c r="H5170" t="s">
        <v>26</v>
      </c>
      <c r="I5170" t="s">
        <v>247</v>
      </c>
      <c r="J5170" t="str">
        <f>"9781118739655"</f>
        <v>9781118739655</v>
      </c>
      <c r="K5170" t="s">
        <v>8358</v>
      </c>
      <c r="L5170">
        <v>5</v>
      </c>
      <c r="O5170" t="s">
        <v>30</v>
      </c>
      <c r="P5170" t="s">
        <v>47</v>
      </c>
      <c r="Q5170" s="1">
        <v>42304.916446759256</v>
      </c>
      <c r="R5170">
        <v>1</v>
      </c>
      <c r="S5170" t="s">
        <v>214</v>
      </c>
      <c r="T5170" t="s">
        <v>8359</v>
      </c>
      <c r="U5170" t="s">
        <v>8360</v>
      </c>
      <c r="V5170" s="3">
        <v>41521</v>
      </c>
    </row>
    <row r="5171" spans="1:22" x14ac:dyDescent="0.35">
      <c r="A5171" s="1">
        <v>42304.912141203706</v>
      </c>
      <c r="B5171" s="2">
        <v>4.3055555555555555E-3</v>
      </c>
      <c r="C5171" t="s">
        <v>8356</v>
      </c>
      <c r="D5171" t="s">
        <v>211</v>
      </c>
      <c r="E5171" t="s">
        <v>212</v>
      </c>
      <c r="F5171" t="s">
        <v>8357</v>
      </c>
      <c r="G5171">
        <v>1378784</v>
      </c>
      <c r="H5171" t="s">
        <v>26</v>
      </c>
      <c r="I5171" t="s">
        <v>247</v>
      </c>
      <c r="J5171" t="str">
        <f>"9781118739655"</f>
        <v>9781118739655</v>
      </c>
      <c r="K5171" t="s">
        <v>1651</v>
      </c>
      <c r="L5171">
        <v>11</v>
      </c>
      <c r="O5171" t="s">
        <v>30</v>
      </c>
      <c r="P5171" t="s">
        <v>50</v>
      </c>
      <c r="S5171" t="s">
        <v>214</v>
      </c>
      <c r="T5171" t="s">
        <v>8359</v>
      </c>
      <c r="U5171" t="s">
        <v>8360</v>
      </c>
      <c r="V5171" s="3">
        <v>41521</v>
      </c>
    </row>
    <row r="5172" spans="1:22" x14ac:dyDescent="0.35">
      <c r="A5172" s="1">
        <v>42304.898368055554</v>
      </c>
      <c r="B5172" s="2">
        <v>2.3310185185185187E-2</v>
      </c>
      <c r="C5172" t="s">
        <v>4667</v>
      </c>
      <c r="D5172" t="s">
        <v>35</v>
      </c>
      <c r="E5172" t="s">
        <v>36</v>
      </c>
      <c r="F5172" t="s">
        <v>4668</v>
      </c>
      <c r="G5172">
        <v>2110627</v>
      </c>
      <c r="H5172" t="s">
        <v>45</v>
      </c>
      <c r="I5172" t="s">
        <v>998</v>
      </c>
      <c r="J5172" t="str">
        <f>"9781472436481"</f>
        <v>9781472436481</v>
      </c>
      <c r="K5172" t="s">
        <v>8361</v>
      </c>
      <c r="L5172">
        <v>60</v>
      </c>
      <c r="O5172" t="s">
        <v>30</v>
      </c>
      <c r="P5172" t="s">
        <v>29</v>
      </c>
      <c r="Q5172" s="1">
        <v>42304.898356481484</v>
      </c>
      <c r="R5172">
        <v>7</v>
      </c>
      <c r="S5172" t="s">
        <v>40</v>
      </c>
      <c r="T5172" t="s">
        <v>4670</v>
      </c>
      <c r="U5172" t="s">
        <v>4671</v>
      </c>
      <c r="V5172" s="3">
        <v>42275</v>
      </c>
    </row>
    <row r="5173" spans="1:22" x14ac:dyDescent="0.35">
      <c r="A5173" s="1">
        <v>42304.894687499997</v>
      </c>
      <c r="B5173" s="2">
        <v>4.3981481481481481E-4</v>
      </c>
      <c r="C5173" t="s">
        <v>8362</v>
      </c>
      <c r="D5173" t="s">
        <v>23</v>
      </c>
      <c r="E5173" t="s">
        <v>24</v>
      </c>
      <c r="F5173" t="s">
        <v>4126</v>
      </c>
      <c r="G5173">
        <v>1698594</v>
      </c>
      <c r="H5173" t="s">
        <v>2998</v>
      </c>
      <c r="I5173" t="s">
        <v>310</v>
      </c>
      <c r="J5173" t="str">
        <f>"9780748689774"</f>
        <v>9780748689774</v>
      </c>
      <c r="K5173" t="s">
        <v>8363</v>
      </c>
      <c r="L5173">
        <v>7</v>
      </c>
      <c r="O5173" t="s">
        <v>30</v>
      </c>
      <c r="P5173" t="s">
        <v>42</v>
      </c>
      <c r="S5173" t="s">
        <v>31</v>
      </c>
      <c r="T5173" t="s">
        <v>4128</v>
      </c>
      <c r="U5173">
        <v>808.02</v>
      </c>
      <c r="V5173" s="3">
        <v>41743</v>
      </c>
    </row>
    <row r="5174" spans="1:22" x14ac:dyDescent="0.35">
      <c r="A5174" s="1">
        <v>42304.888483796298</v>
      </c>
      <c r="B5174" s="2">
        <v>9.8726851851851857E-3</v>
      </c>
      <c r="C5174" t="s">
        <v>4667</v>
      </c>
      <c r="D5174" t="s">
        <v>35</v>
      </c>
      <c r="E5174" t="s">
        <v>36</v>
      </c>
      <c r="F5174" t="s">
        <v>4668</v>
      </c>
      <c r="G5174">
        <v>2110627</v>
      </c>
      <c r="H5174" t="s">
        <v>45</v>
      </c>
      <c r="I5174" t="s">
        <v>998</v>
      </c>
      <c r="J5174" t="str">
        <f>"9781472436481"</f>
        <v>9781472436481</v>
      </c>
      <c r="K5174" t="s">
        <v>8364</v>
      </c>
      <c r="L5174">
        <v>33</v>
      </c>
      <c r="O5174" t="s">
        <v>30</v>
      </c>
      <c r="P5174" t="s">
        <v>42</v>
      </c>
      <c r="S5174" t="s">
        <v>40</v>
      </c>
      <c r="T5174" t="s">
        <v>4670</v>
      </c>
      <c r="U5174" t="s">
        <v>4671</v>
      </c>
      <c r="V5174" s="3">
        <v>42275</v>
      </c>
    </row>
    <row r="5175" spans="1:22" x14ac:dyDescent="0.35">
      <c r="A5175" s="1">
        <v>42304.885613425926</v>
      </c>
      <c r="B5175" s="2">
        <v>4.0509259259259258E-4</v>
      </c>
      <c r="C5175" t="s">
        <v>106</v>
      </c>
      <c r="D5175" t="s">
        <v>23</v>
      </c>
      <c r="E5175" t="s">
        <v>24</v>
      </c>
      <c r="F5175" t="s">
        <v>486</v>
      </c>
      <c r="G5175">
        <v>1119505</v>
      </c>
      <c r="H5175" t="s">
        <v>26</v>
      </c>
      <c r="I5175" t="s">
        <v>450</v>
      </c>
      <c r="J5175" t="str">
        <f>"9781118355015"</f>
        <v>9781118355015</v>
      </c>
      <c r="K5175" t="s">
        <v>8365</v>
      </c>
      <c r="L5175">
        <v>15</v>
      </c>
      <c r="O5175" t="s">
        <v>30</v>
      </c>
      <c r="P5175" t="s">
        <v>29</v>
      </c>
      <c r="Q5175" s="1">
        <v>42299.725706018522</v>
      </c>
      <c r="R5175">
        <v>7</v>
      </c>
      <c r="S5175" t="s">
        <v>31</v>
      </c>
      <c r="T5175" t="s">
        <v>487</v>
      </c>
      <c r="U5175" t="s">
        <v>488</v>
      </c>
      <c r="V5175" s="3">
        <v>41302</v>
      </c>
    </row>
    <row r="5176" spans="1:22" x14ac:dyDescent="0.35">
      <c r="A5176" s="1">
        <v>42304.847083333334</v>
      </c>
      <c r="B5176" s="2">
        <v>2.6620370370370372E-4</v>
      </c>
      <c r="C5176" t="s">
        <v>8366</v>
      </c>
      <c r="D5176" t="s">
        <v>23</v>
      </c>
      <c r="E5176" t="s">
        <v>24</v>
      </c>
      <c r="F5176" t="s">
        <v>8367</v>
      </c>
      <c r="G5176">
        <v>1132737</v>
      </c>
      <c r="H5176" t="s">
        <v>526</v>
      </c>
      <c r="I5176" t="s">
        <v>348</v>
      </c>
      <c r="J5176" t="str">
        <f>"9780226016177"</f>
        <v>9780226016177</v>
      </c>
      <c r="K5176" t="s">
        <v>1326</v>
      </c>
      <c r="L5176">
        <v>3</v>
      </c>
      <c r="O5176" t="s">
        <v>30</v>
      </c>
      <c r="P5176" t="s">
        <v>50</v>
      </c>
      <c r="S5176" t="s">
        <v>31</v>
      </c>
      <c r="T5176" t="s">
        <v>8368</v>
      </c>
      <c r="U5176" t="s">
        <v>8369</v>
      </c>
      <c r="V5176" s="3">
        <v>41365</v>
      </c>
    </row>
    <row r="5177" spans="1:22" x14ac:dyDescent="0.35">
      <c r="A5177" s="1">
        <v>42304.836354166669</v>
      </c>
      <c r="B5177" s="2">
        <v>1.8402777777777777E-3</v>
      </c>
      <c r="C5177" t="s">
        <v>8312</v>
      </c>
      <c r="D5177" t="s">
        <v>35</v>
      </c>
      <c r="E5177" t="s">
        <v>36</v>
      </c>
      <c r="F5177" t="s">
        <v>4668</v>
      </c>
      <c r="G5177">
        <v>2110627</v>
      </c>
      <c r="H5177" t="s">
        <v>45</v>
      </c>
      <c r="I5177" t="s">
        <v>998</v>
      </c>
      <c r="J5177" t="str">
        <f>"9781472436481"</f>
        <v>9781472436481</v>
      </c>
      <c r="K5177" t="s">
        <v>8370</v>
      </c>
      <c r="L5177">
        <v>15</v>
      </c>
      <c r="O5177" t="s">
        <v>30</v>
      </c>
      <c r="P5177" t="s">
        <v>42</v>
      </c>
      <c r="S5177" t="s">
        <v>40</v>
      </c>
      <c r="T5177" t="s">
        <v>4670</v>
      </c>
      <c r="U5177" t="s">
        <v>4671</v>
      </c>
      <c r="V5177" s="3">
        <v>42275</v>
      </c>
    </row>
    <row r="5178" spans="1:22" x14ac:dyDescent="0.35">
      <c r="A5178" s="1">
        <v>42304.833321759259</v>
      </c>
      <c r="B5178" s="2">
        <v>2.5578703703703705E-3</v>
      </c>
      <c r="C5178" t="s">
        <v>8371</v>
      </c>
      <c r="D5178" t="s">
        <v>23</v>
      </c>
      <c r="E5178" t="s">
        <v>24</v>
      </c>
      <c r="F5178" t="s">
        <v>8367</v>
      </c>
      <c r="G5178">
        <v>1132737</v>
      </c>
      <c r="H5178" t="s">
        <v>526</v>
      </c>
      <c r="I5178" t="s">
        <v>348</v>
      </c>
      <c r="J5178" t="str">
        <f>"9780226016177"</f>
        <v>9780226016177</v>
      </c>
      <c r="K5178" t="s">
        <v>8372</v>
      </c>
      <c r="L5178">
        <v>12</v>
      </c>
      <c r="O5178" t="s">
        <v>28</v>
      </c>
      <c r="P5178" t="s">
        <v>47</v>
      </c>
      <c r="Q5178" s="1">
        <v>42304.833321759259</v>
      </c>
      <c r="R5178">
        <v>1</v>
      </c>
      <c r="S5178" t="s">
        <v>31</v>
      </c>
      <c r="T5178" t="s">
        <v>8368</v>
      </c>
      <c r="U5178" t="s">
        <v>8369</v>
      </c>
      <c r="V5178" s="3">
        <v>41365</v>
      </c>
    </row>
    <row r="5179" spans="1:22" x14ac:dyDescent="0.35">
      <c r="A5179" s="1">
        <v>42304.833321759259</v>
      </c>
      <c r="B5179" s="2">
        <v>0</v>
      </c>
      <c r="C5179" t="s">
        <v>8371</v>
      </c>
      <c r="D5179" t="s">
        <v>23</v>
      </c>
      <c r="E5179" t="s">
        <v>24</v>
      </c>
      <c r="F5179" t="s">
        <v>8367</v>
      </c>
      <c r="G5179">
        <v>1132737</v>
      </c>
      <c r="H5179" t="s">
        <v>526</v>
      </c>
      <c r="I5179" t="s">
        <v>348</v>
      </c>
      <c r="J5179" t="str">
        <f>"9780226016177"</f>
        <v>9780226016177</v>
      </c>
      <c r="L5179">
        <v>0</v>
      </c>
      <c r="O5179" t="s">
        <v>30</v>
      </c>
      <c r="P5179" t="s">
        <v>47</v>
      </c>
      <c r="Q5179" s="1">
        <v>42304.833321759259</v>
      </c>
      <c r="R5179">
        <v>1</v>
      </c>
      <c r="S5179" t="s">
        <v>31</v>
      </c>
      <c r="T5179" t="s">
        <v>8368</v>
      </c>
      <c r="U5179" t="s">
        <v>8369</v>
      </c>
      <c r="V5179" s="3">
        <v>41365</v>
      </c>
    </row>
    <row r="5180" spans="1:22" x14ac:dyDescent="0.35">
      <c r="A5180" s="1">
        <v>42304.830289351848</v>
      </c>
      <c r="B5180" s="2">
        <v>3.0324074074074073E-3</v>
      </c>
      <c r="C5180" t="s">
        <v>8371</v>
      </c>
      <c r="D5180" t="s">
        <v>23</v>
      </c>
      <c r="E5180" t="s">
        <v>24</v>
      </c>
      <c r="F5180" t="s">
        <v>8367</v>
      </c>
      <c r="G5180">
        <v>1132737</v>
      </c>
      <c r="H5180" t="s">
        <v>526</v>
      </c>
      <c r="I5180" t="s">
        <v>348</v>
      </c>
      <c r="J5180" t="str">
        <f>"9780226016177"</f>
        <v>9780226016177</v>
      </c>
      <c r="K5180" t="s">
        <v>8373</v>
      </c>
      <c r="L5180">
        <v>21</v>
      </c>
      <c r="O5180" t="s">
        <v>30</v>
      </c>
      <c r="P5180" t="s">
        <v>50</v>
      </c>
      <c r="S5180" t="s">
        <v>31</v>
      </c>
      <c r="T5180" t="s">
        <v>8368</v>
      </c>
      <c r="U5180" t="s">
        <v>8369</v>
      </c>
      <c r="V5180" s="3">
        <v>41365</v>
      </c>
    </row>
    <row r="5181" spans="1:22" x14ac:dyDescent="0.35">
      <c r="A5181" s="1">
        <v>42304.813923611109</v>
      </c>
      <c r="B5181" s="2">
        <v>1.1990740740740739E-2</v>
      </c>
      <c r="C5181" t="s">
        <v>8374</v>
      </c>
      <c r="D5181" t="s">
        <v>23</v>
      </c>
      <c r="E5181" t="s">
        <v>24</v>
      </c>
      <c r="F5181" t="s">
        <v>7698</v>
      </c>
      <c r="G5181">
        <v>1641469</v>
      </c>
      <c r="H5181" t="s">
        <v>91</v>
      </c>
      <c r="I5181" t="s">
        <v>247</v>
      </c>
      <c r="J5181" t="str">
        <f>"9781462513444"</f>
        <v>9781462513444</v>
      </c>
      <c r="K5181" t="s">
        <v>8375</v>
      </c>
      <c r="L5181">
        <v>76</v>
      </c>
      <c r="O5181" t="s">
        <v>30</v>
      </c>
      <c r="P5181" t="s">
        <v>29</v>
      </c>
      <c r="Q5181" s="1">
        <v>42304.813923611109</v>
      </c>
      <c r="R5181">
        <v>7</v>
      </c>
      <c r="S5181" t="s">
        <v>31</v>
      </c>
      <c r="T5181" t="s">
        <v>7700</v>
      </c>
      <c r="U5181">
        <v>616.89142000000004</v>
      </c>
      <c r="V5181" s="3">
        <v>41697</v>
      </c>
    </row>
    <row r="5182" spans="1:22" x14ac:dyDescent="0.35">
      <c r="A5182" s="1">
        <v>42304.806712962964</v>
      </c>
      <c r="B5182" s="2">
        <v>7.2106481481481475E-3</v>
      </c>
      <c r="C5182" t="s">
        <v>8374</v>
      </c>
      <c r="D5182" t="s">
        <v>23</v>
      </c>
      <c r="E5182" t="s">
        <v>24</v>
      </c>
      <c r="F5182" t="s">
        <v>7698</v>
      </c>
      <c r="G5182">
        <v>1641469</v>
      </c>
      <c r="H5182" t="s">
        <v>91</v>
      </c>
      <c r="I5182" t="s">
        <v>247</v>
      </c>
      <c r="J5182" t="str">
        <f>"9781462513444"</f>
        <v>9781462513444</v>
      </c>
      <c r="K5182" t="s">
        <v>8376</v>
      </c>
      <c r="L5182">
        <v>58</v>
      </c>
      <c r="O5182" t="s">
        <v>30</v>
      </c>
      <c r="P5182" t="s">
        <v>42</v>
      </c>
      <c r="S5182" t="s">
        <v>31</v>
      </c>
      <c r="T5182" t="s">
        <v>7700</v>
      </c>
      <c r="U5182">
        <v>616.89142000000004</v>
      </c>
      <c r="V5182" s="3">
        <v>41697</v>
      </c>
    </row>
    <row r="5183" spans="1:22" x14ac:dyDescent="0.35">
      <c r="A5183" s="1">
        <v>42304.793090277781</v>
      </c>
      <c r="B5183" s="2">
        <v>2.3842592592592596E-2</v>
      </c>
      <c r="C5183" t="s">
        <v>106</v>
      </c>
      <c r="D5183" t="s">
        <v>23</v>
      </c>
      <c r="E5183" t="s">
        <v>24</v>
      </c>
      <c r="F5183" t="s">
        <v>486</v>
      </c>
      <c r="G5183">
        <v>1119505</v>
      </c>
      <c r="H5183" t="s">
        <v>26</v>
      </c>
      <c r="I5183" t="s">
        <v>450</v>
      </c>
      <c r="J5183" t="str">
        <f>"9781118355015"</f>
        <v>9781118355015</v>
      </c>
      <c r="K5183" t="s">
        <v>8377</v>
      </c>
      <c r="L5183">
        <v>37</v>
      </c>
      <c r="O5183" t="s">
        <v>30</v>
      </c>
      <c r="P5183" t="s">
        <v>29</v>
      </c>
      <c r="Q5183" s="1">
        <v>42299.725706018522</v>
      </c>
      <c r="R5183">
        <v>7</v>
      </c>
      <c r="S5183" t="s">
        <v>31</v>
      </c>
      <c r="T5183" t="s">
        <v>487</v>
      </c>
      <c r="U5183" t="s">
        <v>488</v>
      </c>
      <c r="V5183" s="3">
        <v>41302</v>
      </c>
    </row>
    <row r="5184" spans="1:22" x14ac:dyDescent="0.35">
      <c r="A5184" s="1">
        <v>42304.753425925926</v>
      </c>
      <c r="B5184" s="2">
        <v>1.0995370370370371E-3</v>
      </c>
      <c r="C5184" t="s">
        <v>210</v>
      </c>
      <c r="D5184" t="s">
        <v>211</v>
      </c>
      <c r="E5184" t="s">
        <v>212</v>
      </c>
      <c r="F5184" t="s">
        <v>8378</v>
      </c>
      <c r="G5184">
        <v>1895496</v>
      </c>
      <c r="H5184" t="s">
        <v>26</v>
      </c>
      <c r="I5184" t="s">
        <v>2115</v>
      </c>
      <c r="J5184" t="str">
        <f>"9781118568392"</f>
        <v>9781118568392</v>
      </c>
      <c r="K5184" t="s">
        <v>8379</v>
      </c>
      <c r="L5184">
        <v>18</v>
      </c>
      <c r="O5184" t="s">
        <v>30</v>
      </c>
      <c r="P5184" t="s">
        <v>50</v>
      </c>
      <c r="S5184" t="s">
        <v>214</v>
      </c>
      <c r="T5184" t="s">
        <v>8380</v>
      </c>
      <c r="U5184">
        <v>612.82000000000005</v>
      </c>
      <c r="V5184" s="3">
        <v>42075</v>
      </c>
    </row>
    <row r="5185" spans="1:22" x14ac:dyDescent="0.35">
      <c r="A5185" s="1">
        <v>42304.739849537036</v>
      </c>
      <c r="B5185" s="2">
        <v>1.9027777777777779E-2</v>
      </c>
      <c r="C5185" t="s">
        <v>8318</v>
      </c>
      <c r="D5185" t="s">
        <v>23</v>
      </c>
      <c r="E5185" t="s">
        <v>24</v>
      </c>
      <c r="F5185" t="s">
        <v>4184</v>
      </c>
      <c r="G5185">
        <v>800610</v>
      </c>
      <c r="H5185" t="s">
        <v>91</v>
      </c>
      <c r="I5185" t="s">
        <v>247</v>
      </c>
      <c r="J5185" t="str">
        <f>"9781609186951"</f>
        <v>9781609186951</v>
      </c>
      <c r="K5185" t="s">
        <v>8381</v>
      </c>
      <c r="L5185">
        <v>27</v>
      </c>
      <c r="O5185" t="s">
        <v>30</v>
      </c>
      <c r="P5185" t="s">
        <v>29</v>
      </c>
      <c r="Q5185" s="1">
        <v>42304.739849537036</v>
      </c>
      <c r="R5185">
        <v>7</v>
      </c>
      <c r="S5185" t="s">
        <v>31</v>
      </c>
      <c r="T5185" t="s">
        <v>4187</v>
      </c>
      <c r="U5185">
        <v>616.89499999999998</v>
      </c>
      <c r="V5185" s="3">
        <v>40856</v>
      </c>
    </row>
    <row r="5186" spans="1:22" x14ac:dyDescent="0.35">
      <c r="A5186" s="1">
        <v>42304.731689814813</v>
      </c>
      <c r="B5186" s="2">
        <v>8.1597222222222227E-3</v>
      </c>
      <c r="C5186" t="s">
        <v>8318</v>
      </c>
      <c r="D5186" t="s">
        <v>23</v>
      </c>
      <c r="E5186" t="s">
        <v>24</v>
      </c>
      <c r="F5186" t="s">
        <v>4184</v>
      </c>
      <c r="G5186">
        <v>800610</v>
      </c>
      <c r="H5186" t="s">
        <v>91</v>
      </c>
      <c r="I5186" t="s">
        <v>247</v>
      </c>
      <c r="J5186" t="str">
        <f>"9781609186951"</f>
        <v>9781609186951</v>
      </c>
      <c r="K5186" t="s">
        <v>8382</v>
      </c>
      <c r="L5186">
        <v>21</v>
      </c>
      <c r="O5186" t="s">
        <v>30</v>
      </c>
      <c r="P5186" t="s">
        <v>42</v>
      </c>
      <c r="S5186" t="s">
        <v>31</v>
      </c>
      <c r="T5186" t="s">
        <v>4187</v>
      </c>
      <c r="U5186">
        <v>616.89499999999998</v>
      </c>
      <c r="V5186" s="3">
        <v>40856</v>
      </c>
    </row>
    <row r="5187" spans="1:22" x14ac:dyDescent="0.35">
      <c r="A5187" s="1">
        <v>42304.719699074078</v>
      </c>
      <c r="B5187" s="2">
        <v>2.627314814814815E-3</v>
      </c>
      <c r="C5187" t="s">
        <v>8383</v>
      </c>
      <c r="D5187" t="s">
        <v>1222</v>
      </c>
      <c r="E5187" t="s">
        <v>1223</v>
      </c>
      <c r="F5187" t="s">
        <v>1698</v>
      </c>
      <c r="G5187">
        <v>1637652</v>
      </c>
      <c r="H5187" t="s">
        <v>84</v>
      </c>
      <c r="I5187" t="s">
        <v>69</v>
      </c>
      <c r="J5187" t="str">
        <f>"9780520958449"</f>
        <v>9780520958449</v>
      </c>
      <c r="K5187" t="s">
        <v>8384</v>
      </c>
      <c r="L5187">
        <v>11</v>
      </c>
      <c r="O5187" t="s">
        <v>30</v>
      </c>
      <c r="P5187" t="s">
        <v>42</v>
      </c>
      <c r="S5187" t="s">
        <v>1226</v>
      </c>
      <c r="T5187" t="s">
        <v>1700</v>
      </c>
      <c r="U5187" t="s">
        <v>1701</v>
      </c>
      <c r="V5187" s="3">
        <v>41761</v>
      </c>
    </row>
    <row r="5188" spans="1:22" x14ac:dyDescent="0.35">
      <c r="A5188" s="1">
        <v>42304.718078703707</v>
      </c>
      <c r="B5188" s="2">
        <v>2.6388888888888885E-3</v>
      </c>
      <c r="C5188" t="s">
        <v>8385</v>
      </c>
      <c r="D5188" t="s">
        <v>35</v>
      </c>
      <c r="E5188" t="s">
        <v>36</v>
      </c>
      <c r="F5188" t="s">
        <v>8386</v>
      </c>
      <c r="G5188">
        <v>1895326</v>
      </c>
      <c r="H5188" t="s">
        <v>26</v>
      </c>
      <c r="I5188" t="s">
        <v>3665</v>
      </c>
      <c r="J5188" t="str">
        <f>"9781119057215"</f>
        <v>9781119057215</v>
      </c>
      <c r="K5188" t="s">
        <v>8387</v>
      </c>
      <c r="L5188">
        <v>48</v>
      </c>
      <c r="O5188" t="s">
        <v>30</v>
      </c>
      <c r="P5188" t="s">
        <v>50</v>
      </c>
      <c r="S5188" t="s">
        <v>40</v>
      </c>
      <c r="T5188" t="s">
        <v>8388</v>
      </c>
      <c r="U5188" t="s">
        <v>8389</v>
      </c>
      <c r="V5188" s="3">
        <v>42121</v>
      </c>
    </row>
    <row r="5189" spans="1:22" x14ac:dyDescent="0.35">
      <c r="A5189" s="1">
        <v>42304.716226851851</v>
      </c>
      <c r="B5189" s="2">
        <v>6.134259259259259E-4</v>
      </c>
      <c r="C5189" t="s">
        <v>4866</v>
      </c>
      <c r="D5189" t="s">
        <v>35</v>
      </c>
      <c r="E5189" t="s">
        <v>36</v>
      </c>
      <c r="F5189" t="s">
        <v>4668</v>
      </c>
      <c r="G5189">
        <v>2110627</v>
      </c>
      <c r="H5189" t="s">
        <v>45</v>
      </c>
      <c r="I5189" t="s">
        <v>998</v>
      </c>
      <c r="J5189" t="str">
        <f>"9781472436481"</f>
        <v>9781472436481</v>
      </c>
      <c r="K5189" t="s">
        <v>8390</v>
      </c>
      <c r="L5189">
        <v>8</v>
      </c>
      <c r="O5189" t="s">
        <v>30</v>
      </c>
      <c r="P5189" t="s">
        <v>42</v>
      </c>
      <c r="S5189" t="s">
        <v>40</v>
      </c>
      <c r="T5189" t="s">
        <v>4670</v>
      </c>
      <c r="U5189" t="s">
        <v>4671</v>
      </c>
      <c r="V5189" s="3">
        <v>42275</v>
      </c>
    </row>
    <row r="5190" spans="1:22" x14ac:dyDescent="0.35">
      <c r="A5190" s="1">
        <v>42304.714166666665</v>
      </c>
      <c r="B5190" s="2">
        <v>2.6620370370370372E-4</v>
      </c>
      <c r="C5190" t="s">
        <v>7461</v>
      </c>
      <c r="D5190" t="s">
        <v>623</v>
      </c>
      <c r="E5190" t="s">
        <v>624</v>
      </c>
      <c r="F5190" t="s">
        <v>8391</v>
      </c>
      <c r="G5190">
        <v>2051521</v>
      </c>
      <c r="H5190" t="s">
        <v>26</v>
      </c>
      <c r="I5190" t="s">
        <v>38</v>
      </c>
      <c r="J5190" t="str">
        <f>"9781118597392"</f>
        <v>9781118597392</v>
      </c>
      <c r="K5190" t="s">
        <v>536</v>
      </c>
      <c r="L5190">
        <v>3</v>
      </c>
      <c r="O5190" t="s">
        <v>30</v>
      </c>
      <c r="P5190" t="s">
        <v>50</v>
      </c>
      <c r="S5190" t="s">
        <v>627</v>
      </c>
      <c r="T5190" t="s">
        <v>8392</v>
      </c>
      <c r="U5190">
        <v>613.67999999999995</v>
      </c>
      <c r="V5190" s="3">
        <v>42136</v>
      </c>
    </row>
    <row r="5191" spans="1:22" x14ac:dyDescent="0.35">
      <c r="A5191" s="1">
        <v>42304.713263888887</v>
      </c>
      <c r="B5191" s="2">
        <v>2.7777777777777778E-4</v>
      </c>
      <c r="C5191" t="s">
        <v>7461</v>
      </c>
      <c r="D5191" t="s">
        <v>623</v>
      </c>
      <c r="E5191" t="s">
        <v>624</v>
      </c>
      <c r="F5191" t="s">
        <v>6937</v>
      </c>
      <c r="G5191">
        <v>834631</v>
      </c>
      <c r="H5191" t="s">
        <v>26</v>
      </c>
      <c r="I5191" t="s">
        <v>247</v>
      </c>
      <c r="J5191" t="str">
        <f>"9781444354669"</f>
        <v>9781444354669</v>
      </c>
      <c r="K5191" t="s">
        <v>8393</v>
      </c>
      <c r="L5191">
        <v>4</v>
      </c>
      <c r="O5191" t="s">
        <v>30</v>
      </c>
      <c r="P5191" t="s">
        <v>42</v>
      </c>
      <c r="S5191" t="s">
        <v>627</v>
      </c>
      <c r="T5191" t="s">
        <v>6940</v>
      </c>
      <c r="U5191" t="s">
        <v>6941</v>
      </c>
      <c r="V5191" s="3">
        <v>40911</v>
      </c>
    </row>
    <row r="5192" spans="1:22" x14ac:dyDescent="0.35">
      <c r="A5192" s="1">
        <v>42304.712627314817</v>
      </c>
      <c r="B5192" s="2">
        <v>9.2592592592592585E-4</v>
      </c>
      <c r="C5192" t="s">
        <v>8383</v>
      </c>
      <c r="D5192" t="s">
        <v>1222</v>
      </c>
      <c r="E5192" t="s">
        <v>1223</v>
      </c>
      <c r="F5192" t="s">
        <v>1698</v>
      </c>
      <c r="G5192">
        <v>1637652</v>
      </c>
      <c r="H5192" t="s">
        <v>84</v>
      </c>
      <c r="I5192" t="s">
        <v>69</v>
      </c>
      <c r="J5192" t="str">
        <f>"9780520958449"</f>
        <v>9780520958449</v>
      </c>
      <c r="K5192" t="s">
        <v>8394</v>
      </c>
      <c r="L5192">
        <v>31</v>
      </c>
      <c r="O5192" t="s">
        <v>30</v>
      </c>
      <c r="P5192" t="s">
        <v>42</v>
      </c>
      <c r="S5192" t="s">
        <v>1226</v>
      </c>
      <c r="T5192" t="s">
        <v>1700</v>
      </c>
      <c r="U5192" t="s">
        <v>1701</v>
      </c>
      <c r="V5192" s="3">
        <v>41761</v>
      </c>
    </row>
    <row r="5193" spans="1:22" x14ac:dyDescent="0.35">
      <c r="A5193" s="1">
        <v>42304.706331018519</v>
      </c>
      <c r="B5193" s="2">
        <v>1.1574074074074073E-4</v>
      </c>
      <c r="C5193" t="s">
        <v>6532</v>
      </c>
      <c r="D5193" t="s">
        <v>261</v>
      </c>
      <c r="E5193" t="s">
        <v>262</v>
      </c>
      <c r="F5193" t="s">
        <v>6533</v>
      </c>
      <c r="G5193">
        <v>1674208</v>
      </c>
      <c r="H5193" t="s">
        <v>26</v>
      </c>
      <c r="I5193" t="s">
        <v>6534</v>
      </c>
      <c r="J5193" t="str">
        <f>"9780745682785"</f>
        <v>9780745682785</v>
      </c>
      <c r="K5193" t="s">
        <v>176</v>
      </c>
      <c r="L5193">
        <v>8</v>
      </c>
      <c r="O5193" t="s">
        <v>30</v>
      </c>
      <c r="P5193" t="s">
        <v>50</v>
      </c>
      <c r="S5193" t="s">
        <v>264</v>
      </c>
      <c r="T5193" t="s">
        <v>6536</v>
      </c>
      <c r="U5193">
        <v>553.82000000000005</v>
      </c>
      <c r="V5193" s="3">
        <v>41739</v>
      </c>
    </row>
    <row r="5194" spans="1:22" x14ac:dyDescent="0.35">
      <c r="A5194" s="1">
        <v>42304.704814814817</v>
      </c>
      <c r="B5194" s="2">
        <v>2.5462962962962961E-4</v>
      </c>
      <c r="C5194" t="s">
        <v>6532</v>
      </c>
      <c r="D5194" t="s">
        <v>261</v>
      </c>
      <c r="E5194" t="s">
        <v>262</v>
      </c>
      <c r="F5194" t="s">
        <v>6533</v>
      </c>
      <c r="G5194">
        <v>1674208</v>
      </c>
      <c r="H5194" t="s">
        <v>26</v>
      </c>
      <c r="I5194" t="s">
        <v>6534</v>
      </c>
      <c r="J5194" t="str">
        <f>"9780745682785"</f>
        <v>9780745682785</v>
      </c>
      <c r="K5194" t="s">
        <v>8395</v>
      </c>
      <c r="L5194">
        <v>18</v>
      </c>
      <c r="O5194" t="s">
        <v>30</v>
      </c>
      <c r="P5194" t="s">
        <v>50</v>
      </c>
      <c r="S5194" t="s">
        <v>264</v>
      </c>
      <c r="T5194" t="s">
        <v>6536</v>
      </c>
      <c r="U5194">
        <v>553.82000000000005</v>
      </c>
      <c r="V5194" s="3">
        <v>41739</v>
      </c>
    </row>
    <row r="5195" spans="1:22" x14ac:dyDescent="0.35">
      <c r="A5195" s="1">
        <v>42304.702523148146</v>
      </c>
      <c r="B5195" s="2">
        <v>2.488425925925926E-3</v>
      </c>
      <c r="C5195" t="s">
        <v>8396</v>
      </c>
      <c r="D5195" t="s">
        <v>23</v>
      </c>
      <c r="E5195" t="s">
        <v>24</v>
      </c>
      <c r="F5195" t="s">
        <v>4230</v>
      </c>
      <c r="G5195">
        <v>1596089</v>
      </c>
      <c r="H5195" t="s">
        <v>91</v>
      </c>
      <c r="I5195" t="s">
        <v>247</v>
      </c>
      <c r="J5195" t="str">
        <f>"9781462513307"</f>
        <v>9781462513307</v>
      </c>
      <c r="K5195" t="s">
        <v>8397</v>
      </c>
      <c r="L5195">
        <v>12</v>
      </c>
      <c r="O5195" t="s">
        <v>30</v>
      </c>
      <c r="P5195" t="s">
        <v>50</v>
      </c>
      <c r="S5195" t="s">
        <v>31</v>
      </c>
      <c r="T5195" t="s">
        <v>4232</v>
      </c>
      <c r="U5195">
        <v>616.85209999999995</v>
      </c>
      <c r="V5195" s="3">
        <v>41773</v>
      </c>
    </row>
    <row r="5196" spans="1:22" x14ac:dyDescent="0.35">
      <c r="A5196" s="1">
        <v>42304.68886574074</v>
      </c>
      <c r="B5196" s="2">
        <v>4.6296296296296294E-5</v>
      </c>
      <c r="C5196" t="s">
        <v>4217</v>
      </c>
      <c r="D5196" t="s">
        <v>1222</v>
      </c>
      <c r="E5196" t="s">
        <v>1223</v>
      </c>
      <c r="F5196" t="s">
        <v>4218</v>
      </c>
      <c r="G5196">
        <v>1734072</v>
      </c>
      <c r="H5196" t="s">
        <v>45</v>
      </c>
      <c r="I5196" t="s">
        <v>426</v>
      </c>
      <c r="J5196" t="str">
        <f>"9781472421500"</f>
        <v>9781472421500</v>
      </c>
      <c r="K5196" t="s">
        <v>33</v>
      </c>
      <c r="L5196">
        <v>3</v>
      </c>
      <c r="O5196" t="s">
        <v>30</v>
      </c>
      <c r="P5196" t="s">
        <v>50</v>
      </c>
      <c r="S5196" t="s">
        <v>1226</v>
      </c>
      <c r="T5196" t="s">
        <v>4220</v>
      </c>
      <c r="U5196" t="s">
        <v>4221</v>
      </c>
      <c r="V5196" s="3">
        <v>41910</v>
      </c>
    </row>
    <row r="5197" spans="1:22" x14ac:dyDescent="0.35">
      <c r="A5197" s="1">
        <v>42304.676701388889</v>
      </c>
      <c r="B5197" s="2">
        <v>5.4398148148148144E-4</v>
      </c>
      <c r="C5197" t="s">
        <v>8398</v>
      </c>
      <c r="D5197" t="s">
        <v>261</v>
      </c>
      <c r="E5197" t="s">
        <v>262</v>
      </c>
      <c r="F5197" t="s">
        <v>8399</v>
      </c>
      <c r="G5197">
        <v>1184746</v>
      </c>
      <c r="H5197" t="s">
        <v>26</v>
      </c>
      <c r="I5197" t="s">
        <v>8400</v>
      </c>
      <c r="J5197" t="str">
        <f>"9781118327531"</f>
        <v>9781118327531</v>
      </c>
      <c r="K5197" t="s">
        <v>8401</v>
      </c>
      <c r="L5197">
        <v>18</v>
      </c>
      <c r="O5197" t="s">
        <v>30</v>
      </c>
      <c r="P5197" t="s">
        <v>42</v>
      </c>
      <c r="S5197" t="s">
        <v>264</v>
      </c>
      <c r="T5197" t="s">
        <v>8402</v>
      </c>
      <c r="U5197">
        <v>363.34089999999998</v>
      </c>
      <c r="V5197" s="3">
        <v>41397</v>
      </c>
    </row>
    <row r="5198" spans="1:22" x14ac:dyDescent="0.35">
      <c r="A5198" s="1">
        <v>42304.671770833331</v>
      </c>
      <c r="B5198" s="2">
        <v>5.6712962962962956E-4</v>
      </c>
      <c r="C5198" t="s">
        <v>8398</v>
      </c>
      <c r="D5198" t="s">
        <v>261</v>
      </c>
      <c r="E5198" t="s">
        <v>262</v>
      </c>
      <c r="F5198" t="s">
        <v>8399</v>
      </c>
      <c r="G5198">
        <v>1184746</v>
      </c>
      <c r="H5198" t="s">
        <v>26</v>
      </c>
      <c r="I5198" t="s">
        <v>8400</v>
      </c>
      <c r="J5198" t="str">
        <f>"9781118327531"</f>
        <v>9781118327531</v>
      </c>
      <c r="K5198" t="s">
        <v>8403</v>
      </c>
      <c r="L5198">
        <v>17</v>
      </c>
      <c r="O5198" t="s">
        <v>30</v>
      </c>
      <c r="P5198" t="s">
        <v>42</v>
      </c>
      <c r="S5198" t="s">
        <v>264</v>
      </c>
      <c r="T5198" t="s">
        <v>8402</v>
      </c>
      <c r="U5198">
        <v>363.34089999999998</v>
      </c>
      <c r="V5198" s="3">
        <v>41397</v>
      </c>
    </row>
    <row r="5199" spans="1:22" x14ac:dyDescent="0.35">
      <c r="A5199" s="1">
        <v>42304.636018518519</v>
      </c>
      <c r="B5199" s="2">
        <v>2.3148148148148147E-5</v>
      </c>
      <c r="C5199" t="s">
        <v>6271</v>
      </c>
      <c r="D5199" t="s">
        <v>23</v>
      </c>
      <c r="E5199" t="s">
        <v>24</v>
      </c>
      <c r="F5199" t="s">
        <v>1051</v>
      </c>
      <c r="G5199">
        <v>821663</v>
      </c>
      <c r="H5199" t="s">
        <v>26</v>
      </c>
      <c r="I5199" t="s">
        <v>200</v>
      </c>
      <c r="J5199" t="str">
        <f>"9781118168479"</f>
        <v>9781118168479</v>
      </c>
      <c r="K5199" t="s">
        <v>33</v>
      </c>
      <c r="L5199">
        <v>3</v>
      </c>
      <c r="O5199" t="s">
        <v>30</v>
      </c>
      <c r="P5199" t="s">
        <v>42</v>
      </c>
      <c r="S5199" t="s">
        <v>31</v>
      </c>
      <c r="T5199" t="s">
        <v>1053</v>
      </c>
      <c r="U5199">
        <v>729</v>
      </c>
      <c r="V5199" s="3">
        <v>40973</v>
      </c>
    </row>
    <row r="5200" spans="1:22" x14ac:dyDescent="0.35">
      <c r="A5200" s="1">
        <v>42304.624861111108</v>
      </c>
      <c r="B5200" s="2">
        <v>3.3564814814814811E-3</v>
      </c>
      <c r="C5200" t="s">
        <v>8404</v>
      </c>
      <c r="D5200" t="s">
        <v>1222</v>
      </c>
      <c r="E5200" t="s">
        <v>1223</v>
      </c>
      <c r="F5200" t="s">
        <v>8136</v>
      </c>
      <c r="G5200">
        <v>1190428</v>
      </c>
      <c r="H5200" t="s">
        <v>84</v>
      </c>
      <c r="I5200" t="s">
        <v>38</v>
      </c>
      <c r="J5200" t="str">
        <f>"9780520955066"</f>
        <v>9780520955066</v>
      </c>
      <c r="K5200" t="s">
        <v>8405</v>
      </c>
      <c r="L5200">
        <v>10</v>
      </c>
      <c r="O5200" t="s">
        <v>30</v>
      </c>
      <c r="P5200" t="s">
        <v>29</v>
      </c>
      <c r="Q5200" s="1">
        <v>42304.624861111108</v>
      </c>
      <c r="R5200">
        <v>7</v>
      </c>
      <c r="S5200" t="s">
        <v>1226</v>
      </c>
      <c r="T5200" t="s">
        <v>8138</v>
      </c>
      <c r="U5200" t="s">
        <v>8139</v>
      </c>
      <c r="V5200" s="3">
        <v>41408</v>
      </c>
    </row>
    <row r="5201" spans="1:22" x14ac:dyDescent="0.35">
      <c r="A5201" s="1">
        <v>42304.617638888885</v>
      </c>
      <c r="B5201" s="2">
        <v>7.2222222222222228E-3</v>
      </c>
      <c r="C5201" t="s">
        <v>8404</v>
      </c>
      <c r="D5201" t="s">
        <v>1222</v>
      </c>
      <c r="E5201" t="s">
        <v>1223</v>
      </c>
      <c r="F5201" t="s">
        <v>8136</v>
      </c>
      <c r="G5201">
        <v>1190428</v>
      </c>
      <c r="H5201" t="s">
        <v>84</v>
      </c>
      <c r="I5201" t="s">
        <v>38</v>
      </c>
      <c r="J5201" t="str">
        <f>"9780520955066"</f>
        <v>9780520955066</v>
      </c>
      <c r="K5201" t="s">
        <v>8406</v>
      </c>
      <c r="L5201">
        <v>24</v>
      </c>
      <c r="O5201" t="s">
        <v>30</v>
      </c>
      <c r="P5201" t="s">
        <v>42</v>
      </c>
      <c r="S5201" t="s">
        <v>1226</v>
      </c>
      <c r="T5201" t="s">
        <v>8138</v>
      </c>
      <c r="U5201" t="s">
        <v>8139</v>
      </c>
      <c r="V5201" s="3">
        <v>41408</v>
      </c>
    </row>
    <row r="5202" spans="1:22" x14ac:dyDescent="0.35">
      <c r="A5202" s="1">
        <v>42304.604317129626</v>
      </c>
      <c r="B5202" s="2">
        <v>2.9166666666666668E-3</v>
      </c>
      <c r="C5202" t="s">
        <v>8407</v>
      </c>
      <c r="D5202" t="s">
        <v>158</v>
      </c>
      <c r="E5202" t="s">
        <v>159</v>
      </c>
      <c r="F5202" t="s">
        <v>8408</v>
      </c>
      <c r="G5202">
        <v>2078737</v>
      </c>
      <c r="H5202" t="s">
        <v>26</v>
      </c>
      <c r="I5202" t="s">
        <v>8409</v>
      </c>
      <c r="J5202" t="str">
        <f>"9781118974346"</f>
        <v>9781118974346</v>
      </c>
      <c r="K5202" t="s">
        <v>8410</v>
      </c>
      <c r="L5202">
        <v>43</v>
      </c>
      <c r="O5202" t="s">
        <v>30</v>
      </c>
      <c r="P5202" t="s">
        <v>42</v>
      </c>
      <c r="S5202" t="s">
        <v>163</v>
      </c>
      <c r="T5202" t="s">
        <v>8411</v>
      </c>
      <c r="U5202" t="s">
        <v>8412</v>
      </c>
      <c r="V5202" s="3">
        <v>42181</v>
      </c>
    </row>
    <row r="5203" spans="1:22" x14ac:dyDescent="0.35">
      <c r="A5203" s="1">
        <v>42304.58326388889</v>
      </c>
      <c r="B5203" s="2">
        <v>1.2650462962962962E-2</v>
      </c>
      <c r="C5203" t="s">
        <v>8135</v>
      </c>
      <c r="D5203" t="s">
        <v>23</v>
      </c>
      <c r="E5203" t="s">
        <v>24</v>
      </c>
      <c r="F5203" t="s">
        <v>8136</v>
      </c>
      <c r="G5203">
        <v>1190428</v>
      </c>
      <c r="H5203" t="s">
        <v>84</v>
      </c>
      <c r="I5203" t="s">
        <v>38</v>
      </c>
      <c r="J5203" t="str">
        <f>"9780520955066"</f>
        <v>9780520955066</v>
      </c>
      <c r="K5203" t="s">
        <v>8413</v>
      </c>
      <c r="L5203">
        <v>9</v>
      </c>
      <c r="O5203" t="s">
        <v>30</v>
      </c>
      <c r="P5203" t="s">
        <v>29</v>
      </c>
      <c r="Q5203" s="1">
        <v>42304.58326388889</v>
      </c>
      <c r="R5203">
        <v>7</v>
      </c>
      <c r="S5203" t="s">
        <v>31</v>
      </c>
      <c r="T5203" t="s">
        <v>8138</v>
      </c>
      <c r="U5203" t="s">
        <v>8139</v>
      </c>
      <c r="V5203" s="3">
        <v>41408</v>
      </c>
    </row>
    <row r="5204" spans="1:22" x14ac:dyDescent="0.35">
      <c r="A5204" s="1">
        <v>42304.580659722225</v>
      </c>
      <c r="B5204" s="2">
        <v>4.5717592592592589E-3</v>
      </c>
      <c r="C5204" t="s">
        <v>8069</v>
      </c>
      <c r="D5204" t="s">
        <v>23</v>
      </c>
      <c r="E5204" t="s">
        <v>24</v>
      </c>
      <c r="F5204" t="s">
        <v>3186</v>
      </c>
      <c r="G5204">
        <v>699744</v>
      </c>
      <c r="H5204" t="s">
        <v>26</v>
      </c>
      <c r="I5204" t="s">
        <v>3187</v>
      </c>
      <c r="J5204" t="str">
        <f>"9781118585818"</f>
        <v>9781118585818</v>
      </c>
      <c r="K5204" t="s">
        <v>8414</v>
      </c>
      <c r="L5204">
        <v>14</v>
      </c>
      <c r="O5204" t="s">
        <v>30</v>
      </c>
      <c r="P5204" t="s">
        <v>29</v>
      </c>
      <c r="Q5204" s="1">
        <v>42304.580659722225</v>
      </c>
      <c r="R5204">
        <v>7</v>
      </c>
      <c r="S5204" t="s">
        <v>31</v>
      </c>
      <c r="T5204" t="s">
        <v>3188</v>
      </c>
      <c r="U5204">
        <v>621.36</v>
      </c>
      <c r="V5204" s="3">
        <v>41310</v>
      </c>
    </row>
    <row r="5205" spans="1:22" x14ac:dyDescent="0.35">
      <c r="A5205" s="1">
        <v>42304.574062500003</v>
      </c>
      <c r="B5205" s="2">
        <v>9.2013888888888892E-3</v>
      </c>
      <c r="C5205" t="s">
        <v>8135</v>
      </c>
      <c r="D5205" t="s">
        <v>23</v>
      </c>
      <c r="E5205" t="s">
        <v>24</v>
      </c>
      <c r="F5205" t="s">
        <v>8136</v>
      </c>
      <c r="G5205">
        <v>1190428</v>
      </c>
      <c r="H5205" t="s">
        <v>84</v>
      </c>
      <c r="I5205" t="s">
        <v>38</v>
      </c>
      <c r="J5205" t="str">
        <f>"9780520955066"</f>
        <v>9780520955066</v>
      </c>
      <c r="K5205" t="s">
        <v>8415</v>
      </c>
      <c r="L5205">
        <v>14</v>
      </c>
      <c r="O5205" t="s">
        <v>30</v>
      </c>
      <c r="P5205" t="s">
        <v>42</v>
      </c>
      <c r="S5205" t="s">
        <v>31</v>
      </c>
      <c r="T5205" t="s">
        <v>8138</v>
      </c>
      <c r="U5205" t="s">
        <v>8139</v>
      </c>
      <c r="V5205" s="3">
        <v>41408</v>
      </c>
    </row>
    <row r="5206" spans="1:22" x14ac:dyDescent="0.35">
      <c r="A5206" s="1">
        <v>42304.571620370371</v>
      </c>
      <c r="B5206" s="2">
        <v>9.0393518518518522E-3</v>
      </c>
      <c r="C5206" t="s">
        <v>8069</v>
      </c>
      <c r="D5206" t="s">
        <v>23</v>
      </c>
      <c r="E5206" t="s">
        <v>24</v>
      </c>
      <c r="F5206" t="s">
        <v>3186</v>
      </c>
      <c r="G5206">
        <v>699744</v>
      </c>
      <c r="H5206" t="s">
        <v>26</v>
      </c>
      <c r="I5206" t="s">
        <v>3187</v>
      </c>
      <c r="J5206" t="str">
        <f>"9781118585818"</f>
        <v>9781118585818</v>
      </c>
      <c r="K5206" t="s">
        <v>8416</v>
      </c>
      <c r="L5206">
        <v>27</v>
      </c>
      <c r="O5206" t="s">
        <v>30</v>
      </c>
      <c r="P5206" t="s">
        <v>42</v>
      </c>
      <c r="S5206" t="s">
        <v>31</v>
      </c>
      <c r="T5206" t="s">
        <v>3188</v>
      </c>
      <c r="U5206">
        <v>621.36</v>
      </c>
      <c r="V5206" s="3">
        <v>41310</v>
      </c>
    </row>
    <row r="5207" spans="1:22" x14ac:dyDescent="0.35">
      <c r="A5207" s="1">
        <v>42304.563923611109</v>
      </c>
      <c r="B5207" s="2">
        <v>6.7129629629629625E-4</v>
      </c>
      <c r="C5207" t="s">
        <v>7408</v>
      </c>
      <c r="D5207" t="s">
        <v>23</v>
      </c>
      <c r="E5207" t="s">
        <v>24</v>
      </c>
      <c r="F5207" t="s">
        <v>486</v>
      </c>
      <c r="G5207">
        <v>1119505</v>
      </c>
      <c r="H5207" t="s">
        <v>26</v>
      </c>
      <c r="I5207" t="s">
        <v>450</v>
      </c>
      <c r="J5207" t="str">
        <f>"9781118355015"</f>
        <v>9781118355015</v>
      </c>
      <c r="K5207" t="s">
        <v>8417</v>
      </c>
      <c r="L5207">
        <v>10</v>
      </c>
      <c r="N5207" t="s">
        <v>7917</v>
      </c>
      <c r="O5207" t="s">
        <v>30</v>
      </c>
      <c r="P5207" t="s">
        <v>29</v>
      </c>
      <c r="Q5207" s="1">
        <v>42304.563923611109</v>
      </c>
      <c r="R5207">
        <v>7</v>
      </c>
      <c r="S5207" t="s">
        <v>31</v>
      </c>
      <c r="T5207" t="s">
        <v>487</v>
      </c>
      <c r="U5207" t="s">
        <v>488</v>
      </c>
      <c r="V5207" s="3">
        <v>41302</v>
      </c>
    </row>
    <row r="5208" spans="1:22" x14ac:dyDescent="0.35">
      <c r="A5208" s="1">
        <v>42304.563680555555</v>
      </c>
      <c r="B5208" s="2">
        <v>2.3148148148148146E-4</v>
      </c>
      <c r="C5208" t="s">
        <v>7408</v>
      </c>
      <c r="D5208" t="s">
        <v>23</v>
      </c>
      <c r="E5208" t="s">
        <v>24</v>
      </c>
      <c r="F5208" t="s">
        <v>486</v>
      </c>
      <c r="G5208">
        <v>1119505</v>
      </c>
      <c r="H5208" t="s">
        <v>26</v>
      </c>
      <c r="I5208" t="s">
        <v>450</v>
      </c>
      <c r="J5208" t="str">
        <f>"9781118355015"</f>
        <v>9781118355015</v>
      </c>
      <c r="K5208" t="s">
        <v>7918</v>
      </c>
      <c r="L5208">
        <v>8</v>
      </c>
      <c r="O5208" t="s">
        <v>30</v>
      </c>
      <c r="P5208" t="s">
        <v>42</v>
      </c>
      <c r="S5208" t="s">
        <v>31</v>
      </c>
      <c r="T5208" t="s">
        <v>487</v>
      </c>
      <c r="U5208" t="s">
        <v>488</v>
      </c>
      <c r="V5208" s="3">
        <v>41302</v>
      </c>
    </row>
    <row r="5209" spans="1:22" x14ac:dyDescent="0.35">
      <c r="A5209" s="1">
        <v>42304.56046296296</v>
      </c>
      <c r="B5209" s="2">
        <v>6.8634259259259256E-3</v>
      </c>
      <c r="C5209" t="s">
        <v>320</v>
      </c>
      <c r="D5209" t="s">
        <v>23</v>
      </c>
      <c r="E5209" t="s">
        <v>24</v>
      </c>
      <c r="F5209" t="s">
        <v>1051</v>
      </c>
      <c r="G5209">
        <v>821663</v>
      </c>
      <c r="H5209" t="s">
        <v>26</v>
      </c>
      <c r="I5209" t="s">
        <v>200</v>
      </c>
      <c r="J5209" t="str">
        <f>"9781118168479"</f>
        <v>9781118168479</v>
      </c>
      <c r="K5209" t="s">
        <v>8418</v>
      </c>
      <c r="L5209">
        <v>28</v>
      </c>
      <c r="O5209" t="s">
        <v>30</v>
      </c>
      <c r="P5209" t="s">
        <v>29</v>
      </c>
      <c r="Q5209" s="1">
        <v>42304.56046296296</v>
      </c>
      <c r="R5209">
        <v>7</v>
      </c>
      <c r="S5209" t="s">
        <v>31</v>
      </c>
      <c r="T5209" t="s">
        <v>1053</v>
      </c>
      <c r="U5209">
        <v>729</v>
      </c>
      <c r="V5209" s="3">
        <v>40973</v>
      </c>
    </row>
    <row r="5210" spans="1:22" x14ac:dyDescent="0.35">
      <c r="A5210" s="1">
        <v>42304.553587962961</v>
      </c>
      <c r="B5210" s="2">
        <v>4.7789351851851847E-2</v>
      </c>
      <c r="C5210" t="s">
        <v>8230</v>
      </c>
      <c r="D5210" t="s">
        <v>261</v>
      </c>
      <c r="E5210" t="s">
        <v>262</v>
      </c>
      <c r="F5210" t="s">
        <v>6160</v>
      </c>
      <c r="G5210">
        <v>1584076</v>
      </c>
      <c r="H5210" t="s">
        <v>26</v>
      </c>
      <c r="I5210" t="s">
        <v>172</v>
      </c>
      <c r="J5210" t="str">
        <f>"9780745679679"</f>
        <v>9780745679679</v>
      </c>
      <c r="K5210" t="s">
        <v>8419</v>
      </c>
      <c r="L5210">
        <v>2</v>
      </c>
      <c r="O5210" t="s">
        <v>30</v>
      </c>
      <c r="P5210" t="s">
        <v>47</v>
      </c>
      <c r="Q5210" s="1">
        <v>42304.553576388891</v>
      </c>
      <c r="R5210">
        <v>1</v>
      </c>
      <c r="S5210" t="s">
        <v>264</v>
      </c>
      <c r="T5210" t="s">
        <v>6162</v>
      </c>
      <c r="U5210">
        <v>945.05</v>
      </c>
      <c r="V5210" s="3">
        <v>41626</v>
      </c>
    </row>
    <row r="5211" spans="1:22" x14ac:dyDescent="0.35">
      <c r="A5211" s="1">
        <v>42304.55259259259</v>
      </c>
      <c r="B5211" s="2">
        <v>7.8703703703703713E-3</v>
      </c>
      <c r="C5211" t="s">
        <v>320</v>
      </c>
      <c r="D5211" t="s">
        <v>23</v>
      </c>
      <c r="E5211" t="s">
        <v>24</v>
      </c>
      <c r="F5211" t="s">
        <v>1051</v>
      </c>
      <c r="G5211">
        <v>821663</v>
      </c>
      <c r="H5211" t="s">
        <v>26</v>
      </c>
      <c r="I5211" t="s">
        <v>200</v>
      </c>
      <c r="J5211" t="str">
        <f>"9781118168479"</f>
        <v>9781118168479</v>
      </c>
      <c r="K5211" t="s">
        <v>8420</v>
      </c>
      <c r="L5211">
        <v>9</v>
      </c>
      <c r="O5211" t="s">
        <v>30</v>
      </c>
      <c r="P5211" t="s">
        <v>42</v>
      </c>
      <c r="S5211" t="s">
        <v>31</v>
      </c>
      <c r="T5211" t="s">
        <v>1053</v>
      </c>
      <c r="U5211">
        <v>729</v>
      </c>
      <c r="V5211" s="3">
        <v>40973</v>
      </c>
    </row>
    <row r="5212" spans="1:22" x14ac:dyDescent="0.35">
      <c r="A5212" s="1">
        <v>42304.550486111111</v>
      </c>
      <c r="B5212" s="2">
        <v>3.0902777777777782E-3</v>
      </c>
      <c r="C5212" t="s">
        <v>8230</v>
      </c>
      <c r="D5212" t="s">
        <v>261</v>
      </c>
      <c r="E5212" t="s">
        <v>262</v>
      </c>
      <c r="F5212" t="s">
        <v>6160</v>
      </c>
      <c r="G5212">
        <v>1584076</v>
      </c>
      <c r="H5212" t="s">
        <v>26</v>
      </c>
      <c r="I5212" t="s">
        <v>172</v>
      </c>
      <c r="J5212" t="str">
        <f>"9780745679679"</f>
        <v>9780745679679</v>
      </c>
      <c r="K5212" t="s">
        <v>8421</v>
      </c>
      <c r="L5212">
        <v>9</v>
      </c>
      <c r="O5212" t="s">
        <v>30</v>
      </c>
      <c r="P5212" t="s">
        <v>50</v>
      </c>
      <c r="S5212" t="s">
        <v>264</v>
      </c>
      <c r="T5212" t="s">
        <v>6162</v>
      </c>
      <c r="U5212">
        <v>945.05</v>
      </c>
      <c r="V5212" s="3">
        <v>41626</v>
      </c>
    </row>
    <row r="5213" spans="1:22" x14ac:dyDescent="0.35">
      <c r="A5213" s="1">
        <v>42304.42690972222</v>
      </c>
      <c r="B5213" s="2">
        <v>0.12924768518518517</v>
      </c>
      <c r="C5213" t="s">
        <v>5411</v>
      </c>
      <c r="D5213" t="s">
        <v>23</v>
      </c>
      <c r="E5213" t="s">
        <v>24</v>
      </c>
      <c r="F5213" t="s">
        <v>1051</v>
      </c>
      <c r="G5213">
        <v>821663</v>
      </c>
      <c r="H5213" t="s">
        <v>26</v>
      </c>
      <c r="I5213" t="s">
        <v>200</v>
      </c>
      <c r="J5213" t="str">
        <f>"9781118168479"</f>
        <v>9781118168479</v>
      </c>
      <c r="K5213" t="s">
        <v>8422</v>
      </c>
      <c r="L5213">
        <v>38</v>
      </c>
      <c r="O5213" t="s">
        <v>30</v>
      </c>
      <c r="P5213" t="s">
        <v>29</v>
      </c>
      <c r="Q5213" s="1">
        <v>42304.42690972222</v>
      </c>
      <c r="R5213">
        <v>7</v>
      </c>
      <c r="S5213" t="s">
        <v>31</v>
      </c>
      <c r="T5213" t="s">
        <v>1053</v>
      </c>
      <c r="U5213">
        <v>729</v>
      </c>
      <c r="V5213" s="3">
        <v>40973</v>
      </c>
    </row>
    <row r="5214" spans="1:22" x14ac:dyDescent="0.35">
      <c r="A5214" s="1">
        <v>42304.413564814815</v>
      </c>
      <c r="B5214" s="2">
        <v>1.3344907407407408E-2</v>
      </c>
      <c r="C5214" t="s">
        <v>5411</v>
      </c>
      <c r="D5214" t="s">
        <v>23</v>
      </c>
      <c r="E5214" t="s">
        <v>24</v>
      </c>
      <c r="F5214" t="s">
        <v>1051</v>
      </c>
      <c r="G5214">
        <v>821663</v>
      </c>
      <c r="H5214" t="s">
        <v>26</v>
      </c>
      <c r="I5214" t="s">
        <v>200</v>
      </c>
      <c r="J5214" t="str">
        <f>"9781118168479"</f>
        <v>9781118168479</v>
      </c>
      <c r="K5214" t="s">
        <v>8423</v>
      </c>
      <c r="L5214">
        <v>9</v>
      </c>
      <c r="O5214" t="s">
        <v>30</v>
      </c>
      <c r="P5214" t="s">
        <v>42</v>
      </c>
      <c r="S5214" t="s">
        <v>31</v>
      </c>
      <c r="T5214" t="s">
        <v>1053</v>
      </c>
      <c r="U5214">
        <v>729</v>
      </c>
      <c r="V5214" s="3">
        <v>40973</v>
      </c>
    </row>
    <row r="5215" spans="1:22" x14ac:dyDescent="0.35">
      <c r="A5215" s="1">
        <v>42304.172569444447</v>
      </c>
      <c r="B5215" s="2">
        <v>4.3287037037037035E-3</v>
      </c>
      <c r="C5215" t="s">
        <v>106</v>
      </c>
      <c r="D5215" t="s">
        <v>23</v>
      </c>
      <c r="E5215" t="s">
        <v>24</v>
      </c>
      <c r="F5215" t="s">
        <v>1051</v>
      </c>
      <c r="G5215">
        <v>821663</v>
      </c>
      <c r="H5215" t="s">
        <v>26</v>
      </c>
      <c r="I5215" t="s">
        <v>200</v>
      </c>
      <c r="J5215" t="str">
        <f>"9781118168479"</f>
        <v>9781118168479</v>
      </c>
      <c r="K5215" t="s">
        <v>8424</v>
      </c>
      <c r="L5215">
        <v>26</v>
      </c>
      <c r="O5215" t="s">
        <v>30</v>
      </c>
      <c r="P5215" t="s">
        <v>42</v>
      </c>
      <c r="S5215" t="s">
        <v>31</v>
      </c>
      <c r="T5215" t="s">
        <v>1053</v>
      </c>
      <c r="U5215">
        <v>729</v>
      </c>
      <c r="V5215" s="3">
        <v>40973</v>
      </c>
    </row>
    <row r="5216" spans="1:22" x14ac:dyDescent="0.35">
      <c r="A5216" s="1">
        <v>42304.169363425928</v>
      </c>
      <c r="B5216" s="2">
        <v>2.2106481481481478E-3</v>
      </c>
      <c r="C5216" t="s">
        <v>8425</v>
      </c>
      <c r="D5216" t="s">
        <v>35</v>
      </c>
      <c r="E5216" t="s">
        <v>36</v>
      </c>
      <c r="F5216" t="s">
        <v>3344</v>
      </c>
      <c r="G5216">
        <v>1895927</v>
      </c>
      <c r="H5216" t="s">
        <v>26</v>
      </c>
      <c r="I5216" t="s">
        <v>3061</v>
      </c>
      <c r="J5216" t="str">
        <f>"9781119019794"</f>
        <v>9781119019794</v>
      </c>
      <c r="K5216" t="s">
        <v>8426</v>
      </c>
      <c r="L5216">
        <v>30</v>
      </c>
      <c r="O5216" t="s">
        <v>30</v>
      </c>
      <c r="P5216" t="s">
        <v>29</v>
      </c>
      <c r="Q5216" s="1">
        <v>42304.169363425928</v>
      </c>
      <c r="R5216">
        <v>7</v>
      </c>
      <c r="S5216" t="s">
        <v>40</v>
      </c>
      <c r="T5216" t="s">
        <v>3346</v>
      </c>
      <c r="U5216">
        <v>577.67999999999995</v>
      </c>
      <c r="V5216" s="3">
        <v>42061</v>
      </c>
    </row>
    <row r="5217" spans="1:22" x14ac:dyDescent="0.35">
      <c r="A5217" s="1">
        <v>42304.165798611109</v>
      </c>
      <c r="B5217" s="2">
        <v>3.5648148148148154E-3</v>
      </c>
      <c r="C5217" t="s">
        <v>8425</v>
      </c>
      <c r="D5217" t="s">
        <v>35</v>
      </c>
      <c r="E5217" t="s">
        <v>36</v>
      </c>
      <c r="F5217" t="s">
        <v>3344</v>
      </c>
      <c r="G5217">
        <v>1895927</v>
      </c>
      <c r="H5217" t="s">
        <v>26</v>
      </c>
      <c r="I5217" t="s">
        <v>3061</v>
      </c>
      <c r="J5217" t="str">
        <f>"9781119019794"</f>
        <v>9781119019794</v>
      </c>
      <c r="K5217" t="s">
        <v>8427</v>
      </c>
      <c r="L5217">
        <v>39</v>
      </c>
      <c r="O5217" t="s">
        <v>30</v>
      </c>
      <c r="P5217" t="s">
        <v>50</v>
      </c>
      <c r="S5217" t="s">
        <v>40</v>
      </c>
      <c r="T5217" t="s">
        <v>3346</v>
      </c>
      <c r="U5217">
        <v>577.67999999999995</v>
      </c>
      <c r="V5217" s="3">
        <v>42061</v>
      </c>
    </row>
    <row r="5218" spans="1:22" x14ac:dyDescent="0.35">
      <c r="A5218" s="1">
        <v>42304.135000000002</v>
      </c>
      <c r="B5218" s="2">
        <v>1.3773148148148147E-3</v>
      </c>
      <c r="C5218" t="s">
        <v>5411</v>
      </c>
      <c r="D5218" t="s">
        <v>23</v>
      </c>
      <c r="E5218" t="s">
        <v>24</v>
      </c>
      <c r="F5218" t="s">
        <v>1051</v>
      </c>
      <c r="G5218">
        <v>821663</v>
      </c>
      <c r="H5218" t="s">
        <v>26</v>
      </c>
      <c r="I5218" t="s">
        <v>200</v>
      </c>
      <c r="J5218" t="str">
        <f>"9781118168479"</f>
        <v>9781118168479</v>
      </c>
      <c r="K5218" t="s">
        <v>8428</v>
      </c>
      <c r="L5218">
        <v>20</v>
      </c>
      <c r="O5218" t="s">
        <v>30</v>
      </c>
      <c r="P5218" t="s">
        <v>42</v>
      </c>
      <c r="S5218" t="s">
        <v>31</v>
      </c>
      <c r="T5218" t="s">
        <v>1053</v>
      </c>
      <c r="U5218">
        <v>729</v>
      </c>
      <c r="V5218" s="3">
        <v>40973</v>
      </c>
    </row>
    <row r="5219" spans="1:22" x14ac:dyDescent="0.35">
      <c r="A5219" s="1">
        <v>42304.124409722222</v>
      </c>
      <c r="B5219" s="2">
        <v>2.4305555555555552E-4</v>
      </c>
      <c r="C5219" t="s">
        <v>3303</v>
      </c>
      <c r="D5219" t="s">
        <v>35</v>
      </c>
      <c r="E5219" t="s">
        <v>36</v>
      </c>
      <c r="F5219" t="s">
        <v>2354</v>
      </c>
      <c r="G5219">
        <v>3057725</v>
      </c>
      <c r="H5219" t="s">
        <v>26</v>
      </c>
      <c r="I5219" t="s">
        <v>150</v>
      </c>
      <c r="J5219" t="str">
        <f>"9780470099667"</f>
        <v>9780470099667</v>
      </c>
      <c r="K5219" t="s">
        <v>8429</v>
      </c>
      <c r="L5219">
        <v>9</v>
      </c>
      <c r="O5219" t="s">
        <v>30</v>
      </c>
      <c r="P5219" t="s">
        <v>50</v>
      </c>
      <c r="S5219" t="s">
        <v>40</v>
      </c>
      <c r="T5219" t="s">
        <v>2356</v>
      </c>
      <c r="U5219" t="s">
        <v>2357</v>
      </c>
      <c r="V5219" s="3">
        <v>38979</v>
      </c>
    </row>
    <row r="5220" spans="1:22" x14ac:dyDescent="0.35">
      <c r="A5220" s="1">
        <v>42304.061168981483</v>
      </c>
      <c r="B5220" s="2">
        <v>2.6979166666666669E-2</v>
      </c>
      <c r="C5220" t="s">
        <v>8430</v>
      </c>
      <c r="D5220" t="s">
        <v>261</v>
      </c>
      <c r="E5220" t="s">
        <v>262</v>
      </c>
      <c r="F5220" t="s">
        <v>8431</v>
      </c>
      <c r="G5220">
        <v>1895853</v>
      </c>
      <c r="H5220" t="s">
        <v>26</v>
      </c>
      <c r="I5220" t="s">
        <v>97</v>
      </c>
      <c r="J5220" t="str">
        <f>"9781118979617"</f>
        <v>9781118979617</v>
      </c>
      <c r="K5220" t="s">
        <v>8432</v>
      </c>
      <c r="L5220">
        <v>84</v>
      </c>
      <c r="O5220" t="s">
        <v>30</v>
      </c>
      <c r="P5220" t="s">
        <v>29</v>
      </c>
      <c r="Q5220" s="1">
        <v>42304.061168981483</v>
      </c>
      <c r="R5220">
        <v>7</v>
      </c>
      <c r="S5220" t="s">
        <v>264</v>
      </c>
      <c r="T5220" t="s">
        <v>8433</v>
      </c>
      <c r="U5220">
        <v>658.40920000000006</v>
      </c>
      <c r="V5220" s="3">
        <v>42073</v>
      </c>
    </row>
    <row r="5221" spans="1:22" x14ac:dyDescent="0.35">
      <c r="A5221" s="1">
        <v>42304.055381944447</v>
      </c>
      <c r="B5221" s="2">
        <v>5.7870370370370376E-3</v>
      </c>
      <c r="C5221" t="s">
        <v>8430</v>
      </c>
      <c r="D5221" t="s">
        <v>261</v>
      </c>
      <c r="E5221" t="s">
        <v>262</v>
      </c>
      <c r="F5221" t="s">
        <v>8431</v>
      </c>
      <c r="G5221">
        <v>1895853</v>
      </c>
      <c r="H5221" t="s">
        <v>26</v>
      </c>
      <c r="I5221" t="s">
        <v>97</v>
      </c>
      <c r="J5221" t="str">
        <f>"9781118979617"</f>
        <v>9781118979617</v>
      </c>
      <c r="K5221" t="s">
        <v>8434</v>
      </c>
      <c r="L5221">
        <v>28</v>
      </c>
      <c r="O5221" t="s">
        <v>30</v>
      </c>
      <c r="P5221" t="s">
        <v>50</v>
      </c>
      <c r="S5221" t="s">
        <v>264</v>
      </c>
      <c r="T5221" t="s">
        <v>8433</v>
      </c>
      <c r="U5221">
        <v>658.40920000000006</v>
      </c>
      <c r="V5221" s="3">
        <v>42073</v>
      </c>
    </row>
    <row r="5222" spans="1:22" x14ac:dyDescent="0.35">
      <c r="A5222" s="1">
        <v>42304.029432870368</v>
      </c>
      <c r="B5222" s="2">
        <v>1.4930555555555556E-3</v>
      </c>
      <c r="C5222" t="s">
        <v>8230</v>
      </c>
      <c r="D5222" t="s">
        <v>261</v>
      </c>
      <c r="E5222" t="s">
        <v>262</v>
      </c>
      <c r="F5222" t="s">
        <v>6160</v>
      </c>
      <c r="G5222">
        <v>1584076</v>
      </c>
      <c r="H5222" t="s">
        <v>26</v>
      </c>
      <c r="I5222" t="s">
        <v>172</v>
      </c>
      <c r="J5222" t="str">
        <f>"9780745679679"</f>
        <v>9780745679679</v>
      </c>
      <c r="K5222" t="s">
        <v>8435</v>
      </c>
      <c r="L5222">
        <v>14</v>
      </c>
      <c r="O5222" t="s">
        <v>30</v>
      </c>
      <c r="P5222" t="s">
        <v>50</v>
      </c>
      <c r="S5222" t="s">
        <v>264</v>
      </c>
      <c r="T5222" t="s">
        <v>6162</v>
      </c>
      <c r="U5222">
        <v>945.05</v>
      </c>
      <c r="V5222" s="3">
        <v>41626</v>
      </c>
    </row>
    <row r="5223" spans="1:22" x14ac:dyDescent="0.35">
      <c r="A5223" s="1">
        <v>42304.013136574074</v>
      </c>
      <c r="B5223" s="2">
        <v>4.8032407407407407E-3</v>
      </c>
      <c r="C5223" t="s">
        <v>8436</v>
      </c>
      <c r="D5223" t="s">
        <v>261</v>
      </c>
      <c r="E5223" t="s">
        <v>262</v>
      </c>
      <c r="F5223" t="s">
        <v>3762</v>
      </c>
      <c r="G5223">
        <v>943954</v>
      </c>
      <c r="H5223" t="s">
        <v>1286</v>
      </c>
      <c r="I5223" t="s">
        <v>172</v>
      </c>
      <c r="J5223" t="str">
        <f>"9780786492770"</f>
        <v>9780786492770</v>
      </c>
      <c r="K5223" t="s">
        <v>8437</v>
      </c>
      <c r="L5223">
        <v>25</v>
      </c>
      <c r="O5223" t="s">
        <v>30</v>
      </c>
      <c r="P5223" t="s">
        <v>29</v>
      </c>
      <c r="Q5223" s="1">
        <v>42304.013136574074</v>
      </c>
      <c r="R5223">
        <v>7</v>
      </c>
      <c r="S5223" t="s">
        <v>264</v>
      </c>
      <c r="T5223" t="s">
        <v>3764</v>
      </c>
      <c r="U5223" t="s">
        <v>3765</v>
      </c>
      <c r="V5223" s="3">
        <v>41061</v>
      </c>
    </row>
    <row r="5224" spans="1:22" x14ac:dyDescent="0.35">
      <c r="A5224" s="1">
        <v>42304.005995370368</v>
      </c>
      <c r="B5224" s="2">
        <v>7.1412037037037043E-3</v>
      </c>
      <c r="C5224" t="s">
        <v>8436</v>
      </c>
      <c r="D5224" t="s">
        <v>261</v>
      </c>
      <c r="E5224" t="s">
        <v>262</v>
      </c>
      <c r="F5224" t="s">
        <v>3762</v>
      </c>
      <c r="G5224">
        <v>943954</v>
      </c>
      <c r="H5224" t="s">
        <v>1286</v>
      </c>
      <c r="I5224" t="s">
        <v>172</v>
      </c>
      <c r="J5224" t="str">
        <f>"9780786492770"</f>
        <v>9780786492770</v>
      </c>
      <c r="K5224" t="s">
        <v>8438</v>
      </c>
      <c r="L5224">
        <v>35</v>
      </c>
      <c r="O5224" t="s">
        <v>30</v>
      </c>
      <c r="P5224" t="s">
        <v>42</v>
      </c>
      <c r="S5224" t="s">
        <v>264</v>
      </c>
      <c r="T5224" t="s">
        <v>3764</v>
      </c>
      <c r="U5224" t="s">
        <v>3765</v>
      </c>
      <c r="V5224" s="3">
        <v>41061</v>
      </c>
    </row>
    <row r="5225" spans="1:22" x14ac:dyDescent="0.35">
      <c r="A5225" s="1">
        <v>42303.996898148151</v>
      </c>
      <c r="B5225" s="2">
        <v>3.4722222222222222E-5</v>
      </c>
      <c r="C5225" t="s">
        <v>8439</v>
      </c>
      <c r="D5225" t="s">
        <v>623</v>
      </c>
      <c r="E5225" t="s">
        <v>624</v>
      </c>
      <c r="F5225" t="s">
        <v>8440</v>
      </c>
      <c r="G5225">
        <v>1337897</v>
      </c>
      <c r="H5225" t="s">
        <v>526</v>
      </c>
      <c r="I5225" t="s">
        <v>8441</v>
      </c>
      <c r="J5225" t="str">
        <f>"9780226067674"</f>
        <v>9780226067674</v>
      </c>
      <c r="K5225" t="s">
        <v>33</v>
      </c>
      <c r="L5225">
        <v>3</v>
      </c>
      <c r="O5225" t="s">
        <v>30</v>
      </c>
      <c r="P5225" t="s">
        <v>50</v>
      </c>
      <c r="S5225" t="s">
        <v>627</v>
      </c>
      <c r="T5225" t="s">
        <v>8442</v>
      </c>
      <c r="U5225" t="s">
        <v>8443</v>
      </c>
      <c r="V5225" s="3">
        <v>41548</v>
      </c>
    </row>
    <row r="5226" spans="1:22" x14ac:dyDescent="0.35">
      <c r="A5226" s="1">
        <v>42303.923750000002</v>
      </c>
      <c r="B5226" s="2">
        <v>1.273148148148148E-4</v>
      </c>
      <c r="C5226" t="s">
        <v>8444</v>
      </c>
      <c r="D5226" t="s">
        <v>211</v>
      </c>
      <c r="E5226" t="s">
        <v>212</v>
      </c>
      <c r="F5226" t="s">
        <v>2000</v>
      </c>
      <c r="G5226">
        <v>1765699</v>
      </c>
      <c r="H5226" t="s">
        <v>1474</v>
      </c>
      <c r="I5226" t="s">
        <v>120</v>
      </c>
      <c r="J5226" t="str">
        <f>"9781137388476"</f>
        <v>9781137388476</v>
      </c>
      <c r="K5226" t="s">
        <v>8445</v>
      </c>
      <c r="L5226">
        <v>5</v>
      </c>
      <c r="O5226" t="s">
        <v>30</v>
      </c>
      <c r="P5226" t="s">
        <v>29</v>
      </c>
      <c r="Q5226" s="1">
        <v>42303.923750000002</v>
      </c>
      <c r="R5226">
        <v>7</v>
      </c>
      <c r="S5226" t="s">
        <v>214</v>
      </c>
      <c r="T5226" t="s">
        <v>2002</v>
      </c>
      <c r="U5226" t="s">
        <v>2003</v>
      </c>
      <c r="V5226" s="3">
        <v>41788</v>
      </c>
    </row>
    <row r="5227" spans="1:22" x14ac:dyDescent="0.35">
      <c r="A5227" s="1">
        <v>42303.915694444448</v>
      </c>
      <c r="B5227" s="2">
        <v>5.3125000000000004E-3</v>
      </c>
      <c r="C5227" t="s">
        <v>8446</v>
      </c>
      <c r="D5227" t="s">
        <v>35</v>
      </c>
      <c r="E5227" t="s">
        <v>36</v>
      </c>
      <c r="F5227" t="s">
        <v>986</v>
      </c>
      <c r="G5227">
        <v>968030</v>
      </c>
      <c r="H5227" t="s">
        <v>26</v>
      </c>
      <c r="I5227" t="s">
        <v>219</v>
      </c>
      <c r="J5227" t="str">
        <f>"9781118285138"</f>
        <v>9781118285138</v>
      </c>
      <c r="K5227" t="s">
        <v>8447</v>
      </c>
      <c r="L5227">
        <v>37</v>
      </c>
      <c r="O5227" t="s">
        <v>30</v>
      </c>
      <c r="P5227" t="s">
        <v>29</v>
      </c>
      <c r="Q5227" s="1">
        <v>42299.735081018516</v>
      </c>
      <c r="R5227">
        <v>7</v>
      </c>
      <c r="S5227" t="s">
        <v>40</v>
      </c>
      <c r="T5227" t="s">
        <v>987</v>
      </c>
      <c r="U5227">
        <v>158.30000000000001</v>
      </c>
      <c r="V5227" s="3">
        <v>41100</v>
      </c>
    </row>
    <row r="5228" spans="1:22" x14ac:dyDescent="0.35">
      <c r="A5228" s="1">
        <v>42303.913541666669</v>
      </c>
      <c r="B5228" s="2">
        <v>1.0208333333333333E-2</v>
      </c>
      <c r="C5228" t="s">
        <v>8444</v>
      </c>
      <c r="D5228" t="s">
        <v>211</v>
      </c>
      <c r="E5228" t="s">
        <v>212</v>
      </c>
      <c r="F5228" t="s">
        <v>2000</v>
      </c>
      <c r="G5228">
        <v>1765699</v>
      </c>
      <c r="H5228" t="s">
        <v>1474</v>
      </c>
      <c r="I5228" t="s">
        <v>120</v>
      </c>
      <c r="J5228" t="str">
        <f>"9781137388476"</f>
        <v>9781137388476</v>
      </c>
      <c r="K5228" t="s">
        <v>8448</v>
      </c>
      <c r="L5228">
        <v>16</v>
      </c>
      <c r="O5228" t="s">
        <v>30</v>
      </c>
      <c r="P5228" t="s">
        <v>42</v>
      </c>
      <c r="S5228" t="s">
        <v>214</v>
      </c>
      <c r="T5228" t="s">
        <v>2002</v>
      </c>
      <c r="U5228" t="s">
        <v>2003</v>
      </c>
      <c r="V5228" s="3">
        <v>41788</v>
      </c>
    </row>
    <row r="5229" spans="1:22" x14ac:dyDescent="0.35">
      <c r="A5229" s="1">
        <v>42303.889513888891</v>
      </c>
      <c r="B5229" s="2">
        <v>1.8518518518518517E-3</v>
      </c>
      <c r="C5229" t="s">
        <v>8444</v>
      </c>
      <c r="D5229" t="s">
        <v>211</v>
      </c>
      <c r="E5229" t="s">
        <v>212</v>
      </c>
      <c r="F5229" t="s">
        <v>8449</v>
      </c>
      <c r="G5229">
        <v>1596090</v>
      </c>
      <c r="H5229" t="s">
        <v>91</v>
      </c>
      <c r="I5229" t="s">
        <v>69</v>
      </c>
      <c r="J5229" t="str">
        <f>"9781462513628"</f>
        <v>9781462513628</v>
      </c>
      <c r="K5229" t="s">
        <v>8450</v>
      </c>
      <c r="L5229">
        <v>18</v>
      </c>
      <c r="O5229" t="s">
        <v>30</v>
      </c>
      <c r="P5229" t="s">
        <v>50</v>
      </c>
      <c r="S5229" t="s">
        <v>214</v>
      </c>
      <c r="T5229" t="s">
        <v>8451</v>
      </c>
      <c r="U5229">
        <v>371.82</v>
      </c>
      <c r="V5229" s="3">
        <v>41773</v>
      </c>
    </row>
    <row r="5230" spans="1:22" x14ac:dyDescent="0.35">
      <c r="A5230" s="1">
        <v>42303.841145833336</v>
      </c>
      <c r="B5230" s="2">
        <v>2.7662037037037034E-3</v>
      </c>
      <c r="C5230" t="s">
        <v>8452</v>
      </c>
      <c r="D5230" t="s">
        <v>125</v>
      </c>
      <c r="E5230" t="s">
        <v>126</v>
      </c>
      <c r="F5230" t="s">
        <v>3070</v>
      </c>
      <c r="G5230">
        <v>1732137</v>
      </c>
      <c r="H5230" t="s">
        <v>84</v>
      </c>
      <c r="I5230" t="s">
        <v>120</v>
      </c>
      <c r="J5230" t="str">
        <f>"9780520959286"</f>
        <v>9780520959286</v>
      </c>
      <c r="K5230" t="s">
        <v>8453</v>
      </c>
      <c r="L5230">
        <v>12</v>
      </c>
      <c r="O5230" t="s">
        <v>30</v>
      </c>
      <c r="P5230" t="s">
        <v>47</v>
      </c>
      <c r="Q5230" s="1">
        <v>42303.840104166666</v>
      </c>
      <c r="R5230">
        <v>1</v>
      </c>
      <c r="S5230" t="s">
        <v>128</v>
      </c>
      <c r="T5230" t="s">
        <v>3073</v>
      </c>
      <c r="U5230">
        <v>306.87430000000001</v>
      </c>
      <c r="V5230" s="3">
        <v>42041</v>
      </c>
    </row>
    <row r="5231" spans="1:22" x14ac:dyDescent="0.35">
      <c r="A5231" s="1">
        <v>42303.840104166666</v>
      </c>
      <c r="B5231" s="2">
        <v>0</v>
      </c>
      <c r="C5231" t="s">
        <v>8452</v>
      </c>
      <c r="D5231" t="s">
        <v>125</v>
      </c>
      <c r="E5231" t="s">
        <v>126</v>
      </c>
      <c r="F5231" t="s">
        <v>3070</v>
      </c>
      <c r="G5231">
        <v>1732137</v>
      </c>
      <c r="H5231" t="s">
        <v>84</v>
      </c>
      <c r="I5231" t="s">
        <v>120</v>
      </c>
      <c r="J5231" t="str">
        <f>"9780520959286"</f>
        <v>9780520959286</v>
      </c>
      <c r="L5231">
        <v>0</v>
      </c>
      <c r="N5231" t="s">
        <v>8454</v>
      </c>
      <c r="O5231" t="s">
        <v>30</v>
      </c>
      <c r="P5231" t="s">
        <v>47</v>
      </c>
      <c r="Q5231" s="1">
        <v>42303.840104166666</v>
      </c>
      <c r="R5231">
        <v>1</v>
      </c>
      <c r="S5231" t="s">
        <v>128</v>
      </c>
      <c r="T5231" t="s">
        <v>3073</v>
      </c>
      <c r="U5231">
        <v>306.87430000000001</v>
      </c>
      <c r="V5231" s="3">
        <v>42041</v>
      </c>
    </row>
    <row r="5232" spans="1:22" x14ac:dyDescent="0.35">
      <c r="A5232" s="1">
        <v>42303.836759259262</v>
      </c>
      <c r="B5232" s="2">
        <v>3.3449074074074071E-3</v>
      </c>
      <c r="C5232" t="s">
        <v>8452</v>
      </c>
      <c r="D5232" t="s">
        <v>125</v>
      </c>
      <c r="E5232" t="s">
        <v>126</v>
      </c>
      <c r="F5232" t="s">
        <v>3070</v>
      </c>
      <c r="G5232">
        <v>1732137</v>
      </c>
      <c r="H5232" t="s">
        <v>84</v>
      </c>
      <c r="I5232" t="s">
        <v>120</v>
      </c>
      <c r="J5232" t="str">
        <f>"9780520959286"</f>
        <v>9780520959286</v>
      </c>
      <c r="K5232" t="s">
        <v>8455</v>
      </c>
      <c r="L5232">
        <v>45</v>
      </c>
      <c r="O5232" t="s">
        <v>30</v>
      </c>
      <c r="P5232" t="s">
        <v>50</v>
      </c>
      <c r="S5232" t="s">
        <v>128</v>
      </c>
      <c r="T5232" t="s">
        <v>3073</v>
      </c>
      <c r="U5232">
        <v>306.87430000000001</v>
      </c>
      <c r="V5232" s="3">
        <v>42041</v>
      </c>
    </row>
    <row r="5233" spans="1:22" x14ac:dyDescent="0.35">
      <c r="A5233" s="1">
        <v>42303.820983796293</v>
      </c>
      <c r="B5233" s="2">
        <v>4.0740740740740746E-3</v>
      </c>
      <c r="C5233" t="s">
        <v>4205</v>
      </c>
      <c r="D5233" t="s">
        <v>597</v>
      </c>
      <c r="E5233" t="s">
        <v>598</v>
      </c>
      <c r="F5233" t="s">
        <v>111</v>
      </c>
      <c r="G5233">
        <v>693176</v>
      </c>
      <c r="H5233" t="s">
        <v>26</v>
      </c>
      <c r="I5233" t="s">
        <v>112</v>
      </c>
      <c r="J5233" t="str">
        <f>"9781118017746"</f>
        <v>9781118017746</v>
      </c>
      <c r="K5233" t="s">
        <v>8456</v>
      </c>
      <c r="L5233">
        <v>23</v>
      </c>
      <c r="O5233" t="s">
        <v>30</v>
      </c>
      <c r="P5233" t="s">
        <v>29</v>
      </c>
      <c r="Q5233" s="1">
        <v>42303.820983796293</v>
      </c>
      <c r="R5233">
        <v>7</v>
      </c>
      <c r="S5233" t="s">
        <v>600</v>
      </c>
      <c r="T5233" t="s">
        <v>114</v>
      </c>
      <c r="U5233" t="s">
        <v>115</v>
      </c>
      <c r="V5233" s="3">
        <v>40835</v>
      </c>
    </row>
    <row r="5234" spans="1:22" x14ac:dyDescent="0.35">
      <c r="A5234" s="1">
        <v>42303.805694444447</v>
      </c>
      <c r="B5234" s="2">
        <v>7.8703703703703705E-4</v>
      </c>
      <c r="C5234" t="s">
        <v>8457</v>
      </c>
      <c r="D5234" t="s">
        <v>35</v>
      </c>
      <c r="E5234" t="s">
        <v>36</v>
      </c>
      <c r="F5234" t="s">
        <v>8458</v>
      </c>
      <c r="G5234">
        <v>1693156</v>
      </c>
      <c r="H5234" t="s">
        <v>84</v>
      </c>
      <c r="I5234" t="s">
        <v>426</v>
      </c>
      <c r="J5234" t="str">
        <f>"9780520957718"</f>
        <v>9780520957718</v>
      </c>
      <c r="K5234" t="s">
        <v>8459</v>
      </c>
      <c r="L5234">
        <v>11</v>
      </c>
      <c r="O5234" t="s">
        <v>30</v>
      </c>
      <c r="P5234" t="s">
        <v>50</v>
      </c>
      <c r="S5234" t="s">
        <v>40</v>
      </c>
      <c r="T5234" t="s">
        <v>8460</v>
      </c>
      <c r="U5234">
        <v>297.2</v>
      </c>
      <c r="V5234" s="3">
        <v>41790</v>
      </c>
    </row>
    <row r="5235" spans="1:22" x14ac:dyDescent="0.35">
      <c r="A5235" s="1">
        <v>42303.792939814812</v>
      </c>
      <c r="B5235" s="2">
        <v>2.8043981481481479E-2</v>
      </c>
      <c r="C5235" t="s">
        <v>4205</v>
      </c>
      <c r="D5235" t="s">
        <v>597</v>
      </c>
      <c r="E5235" t="s">
        <v>598</v>
      </c>
      <c r="F5235" t="s">
        <v>111</v>
      </c>
      <c r="G5235">
        <v>693176</v>
      </c>
      <c r="H5235" t="s">
        <v>26</v>
      </c>
      <c r="I5235" t="s">
        <v>112</v>
      </c>
      <c r="J5235" t="str">
        <f>"9781118017746"</f>
        <v>9781118017746</v>
      </c>
      <c r="K5235" t="s">
        <v>611</v>
      </c>
      <c r="L5235">
        <v>3</v>
      </c>
      <c r="O5235" t="s">
        <v>30</v>
      </c>
      <c r="P5235" t="s">
        <v>42</v>
      </c>
      <c r="S5235" t="s">
        <v>600</v>
      </c>
      <c r="T5235" t="s">
        <v>114</v>
      </c>
      <c r="U5235" t="s">
        <v>115</v>
      </c>
      <c r="V5235" s="3">
        <v>40835</v>
      </c>
    </row>
    <row r="5236" spans="1:22" x14ac:dyDescent="0.35">
      <c r="A5236" s="1">
        <v>42303.791631944441</v>
      </c>
      <c r="B5236" s="2">
        <v>3.4722222222222222E-5</v>
      </c>
      <c r="C5236" t="s">
        <v>8461</v>
      </c>
      <c r="D5236" t="s">
        <v>1222</v>
      </c>
      <c r="E5236" t="s">
        <v>1223</v>
      </c>
      <c r="F5236" t="s">
        <v>8462</v>
      </c>
      <c r="G5236">
        <v>1809270</v>
      </c>
      <c r="H5236" t="s">
        <v>1474</v>
      </c>
      <c r="I5236" t="s">
        <v>38</v>
      </c>
      <c r="J5236" t="str">
        <f>"9781137354785"</f>
        <v>9781137354785</v>
      </c>
      <c r="K5236" t="s">
        <v>33</v>
      </c>
      <c r="L5236">
        <v>3</v>
      </c>
      <c r="O5236" t="s">
        <v>30</v>
      </c>
      <c r="P5236" t="s">
        <v>42</v>
      </c>
      <c r="S5236" t="s">
        <v>1226</v>
      </c>
      <c r="T5236" t="s">
        <v>8463</v>
      </c>
      <c r="U5236" t="s">
        <v>8464</v>
      </c>
      <c r="V5236" s="3">
        <v>41918</v>
      </c>
    </row>
    <row r="5237" spans="1:22" x14ac:dyDescent="0.35">
      <c r="A5237" s="1">
        <v>42303.702916666669</v>
      </c>
      <c r="B5237" s="2">
        <v>0</v>
      </c>
      <c r="C5237" t="s">
        <v>7081</v>
      </c>
      <c r="D5237" t="s">
        <v>1222</v>
      </c>
      <c r="E5237" t="s">
        <v>1223</v>
      </c>
      <c r="F5237" t="s">
        <v>7029</v>
      </c>
      <c r="G5237">
        <v>1745058</v>
      </c>
      <c r="H5237" t="s">
        <v>26</v>
      </c>
      <c r="I5237" t="s">
        <v>69</v>
      </c>
      <c r="J5237" t="str">
        <f>"9781118761267"</f>
        <v>9781118761267</v>
      </c>
      <c r="L5237">
        <v>0</v>
      </c>
      <c r="O5237" t="s">
        <v>28</v>
      </c>
      <c r="P5237" t="s">
        <v>29</v>
      </c>
      <c r="Q5237" s="1">
        <v>42303.702916666669</v>
      </c>
      <c r="R5237">
        <v>7</v>
      </c>
      <c r="S5237" t="s">
        <v>1226</v>
      </c>
      <c r="T5237" t="s">
        <v>7031</v>
      </c>
      <c r="U5237" t="s">
        <v>7032</v>
      </c>
      <c r="V5237" s="3">
        <v>41838</v>
      </c>
    </row>
    <row r="5238" spans="1:22" x14ac:dyDescent="0.35">
      <c r="A5238" s="1">
        <v>42303.702916666669</v>
      </c>
      <c r="B5238" s="2">
        <v>0</v>
      </c>
      <c r="C5238" t="s">
        <v>7081</v>
      </c>
      <c r="D5238" t="s">
        <v>1222</v>
      </c>
      <c r="E5238" t="s">
        <v>1223</v>
      </c>
      <c r="F5238" t="s">
        <v>7029</v>
      </c>
      <c r="G5238">
        <v>1745058</v>
      </c>
      <c r="H5238" t="s">
        <v>26</v>
      </c>
      <c r="I5238" t="s">
        <v>69</v>
      </c>
      <c r="J5238" t="str">
        <f>"9781118761267"</f>
        <v>9781118761267</v>
      </c>
      <c r="L5238">
        <v>0</v>
      </c>
      <c r="O5238" t="s">
        <v>30</v>
      </c>
      <c r="P5238" t="s">
        <v>29</v>
      </c>
      <c r="Q5238" s="1">
        <v>42303.702916666669</v>
      </c>
      <c r="R5238">
        <v>7</v>
      </c>
      <c r="S5238" t="s">
        <v>1226</v>
      </c>
      <c r="T5238" t="s">
        <v>7031</v>
      </c>
      <c r="U5238" t="s">
        <v>7032</v>
      </c>
      <c r="V5238" s="3">
        <v>41838</v>
      </c>
    </row>
    <row r="5239" spans="1:22" x14ac:dyDescent="0.35">
      <c r="A5239" s="1">
        <v>42303.702361111114</v>
      </c>
      <c r="B5239" s="2">
        <v>5.5555555555555556E-4</v>
      </c>
      <c r="C5239" t="s">
        <v>7081</v>
      </c>
      <c r="D5239" t="s">
        <v>1222</v>
      </c>
      <c r="E5239" t="s">
        <v>1223</v>
      </c>
      <c r="F5239" t="s">
        <v>7029</v>
      </c>
      <c r="G5239">
        <v>1745058</v>
      </c>
      <c r="H5239" t="s">
        <v>26</v>
      </c>
      <c r="I5239" t="s">
        <v>69</v>
      </c>
      <c r="J5239" t="str">
        <f>"9781118761267"</f>
        <v>9781118761267</v>
      </c>
      <c r="K5239" t="s">
        <v>2353</v>
      </c>
      <c r="L5239">
        <v>13</v>
      </c>
      <c r="O5239" t="s">
        <v>30</v>
      </c>
      <c r="P5239" t="s">
        <v>42</v>
      </c>
      <c r="S5239" t="s">
        <v>1226</v>
      </c>
      <c r="T5239" t="s">
        <v>7031</v>
      </c>
      <c r="U5239" t="s">
        <v>7032</v>
      </c>
      <c r="V5239" s="3">
        <v>41838</v>
      </c>
    </row>
    <row r="5240" spans="1:22" x14ac:dyDescent="0.35">
      <c r="A5240" s="1">
        <v>42303.698148148149</v>
      </c>
      <c r="B5240" s="2">
        <v>3.7384259259259263E-2</v>
      </c>
      <c r="C5240" t="s">
        <v>8465</v>
      </c>
      <c r="D5240" t="s">
        <v>23</v>
      </c>
      <c r="E5240" t="s">
        <v>24</v>
      </c>
      <c r="F5240" t="s">
        <v>7503</v>
      </c>
      <c r="G5240">
        <v>2051171</v>
      </c>
      <c r="H5240" t="s">
        <v>84</v>
      </c>
      <c r="I5240" t="s">
        <v>120</v>
      </c>
      <c r="J5240" t="str">
        <f>"9780520964037"</f>
        <v>9780520964037</v>
      </c>
      <c r="K5240" t="s">
        <v>8466</v>
      </c>
      <c r="L5240">
        <v>82</v>
      </c>
      <c r="O5240" t="s">
        <v>30</v>
      </c>
      <c r="P5240" t="s">
        <v>47</v>
      </c>
      <c r="Q5240" s="1">
        <v>42303.698148148149</v>
      </c>
      <c r="R5240">
        <v>1</v>
      </c>
      <c r="S5240" t="s">
        <v>31</v>
      </c>
      <c r="T5240" t="s">
        <v>7504</v>
      </c>
      <c r="U5240">
        <v>363.32499999999999</v>
      </c>
      <c r="V5240" s="3">
        <v>42255</v>
      </c>
    </row>
    <row r="5241" spans="1:22" x14ac:dyDescent="0.35">
      <c r="A5241" s="1">
        <v>42303.693622685183</v>
      </c>
      <c r="B5241" s="2">
        <v>4.5254629629629629E-3</v>
      </c>
      <c r="C5241" t="s">
        <v>8465</v>
      </c>
      <c r="D5241" t="s">
        <v>23</v>
      </c>
      <c r="E5241" t="s">
        <v>24</v>
      </c>
      <c r="F5241" t="s">
        <v>7503</v>
      </c>
      <c r="G5241">
        <v>2051171</v>
      </c>
      <c r="H5241" t="s">
        <v>84</v>
      </c>
      <c r="I5241" t="s">
        <v>120</v>
      </c>
      <c r="J5241" t="str">
        <f>"9780520964037"</f>
        <v>9780520964037</v>
      </c>
      <c r="K5241" t="s">
        <v>8467</v>
      </c>
      <c r="L5241">
        <v>11</v>
      </c>
      <c r="O5241" t="s">
        <v>30</v>
      </c>
      <c r="P5241" t="s">
        <v>50</v>
      </c>
      <c r="S5241" t="s">
        <v>31</v>
      </c>
      <c r="T5241" t="s">
        <v>7504</v>
      </c>
      <c r="U5241">
        <v>363.32499999999999</v>
      </c>
      <c r="V5241" s="3">
        <v>42255</v>
      </c>
    </row>
    <row r="5242" spans="1:22" x14ac:dyDescent="0.35">
      <c r="A5242" s="1">
        <v>42303.692337962966</v>
      </c>
      <c r="B5242" s="2">
        <v>5.9027777777777778E-4</v>
      </c>
      <c r="C5242" t="s">
        <v>7103</v>
      </c>
      <c r="D5242" t="s">
        <v>23</v>
      </c>
      <c r="E5242" t="s">
        <v>24</v>
      </c>
      <c r="F5242" t="s">
        <v>4773</v>
      </c>
      <c r="G5242">
        <v>818332</v>
      </c>
      <c r="H5242" t="s">
        <v>26</v>
      </c>
      <c r="I5242" t="s">
        <v>120</v>
      </c>
      <c r="J5242" t="str">
        <f>"9781118252772"</f>
        <v>9781118252772</v>
      </c>
      <c r="K5242" t="s">
        <v>8468</v>
      </c>
      <c r="L5242">
        <v>21</v>
      </c>
      <c r="O5242" t="s">
        <v>30</v>
      </c>
      <c r="P5242" t="s">
        <v>42</v>
      </c>
      <c r="S5242" t="s">
        <v>31</v>
      </c>
      <c r="T5242" t="s">
        <v>4775</v>
      </c>
      <c r="U5242" t="s">
        <v>4776</v>
      </c>
      <c r="V5242" s="3">
        <v>40960</v>
      </c>
    </row>
    <row r="5243" spans="1:22" x14ac:dyDescent="0.35">
      <c r="A5243" s="1">
        <v>42303.667083333334</v>
      </c>
      <c r="B5243" s="2">
        <v>3.4722222222222224E-4</v>
      </c>
      <c r="C5243" t="s">
        <v>8469</v>
      </c>
      <c r="D5243" t="s">
        <v>35</v>
      </c>
      <c r="E5243" t="s">
        <v>36</v>
      </c>
      <c r="F5243" t="s">
        <v>8470</v>
      </c>
      <c r="G5243">
        <v>1566381</v>
      </c>
      <c r="H5243" t="s">
        <v>26</v>
      </c>
      <c r="I5243" t="s">
        <v>85</v>
      </c>
      <c r="J5243" t="str">
        <f>"9780745679778"</f>
        <v>9780745679778</v>
      </c>
      <c r="K5243" t="s">
        <v>8471</v>
      </c>
      <c r="L5243">
        <v>17</v>
      </c>
      <c r="O5243" t="s">
        <v>30</v>
      </c>
      <c r="P5243" t="s">
        <v>50</v>
      </c>
      <c r="S5243" t="s">
        <v>40</v>
      </c>
      <c r="T5243" t="s">
        <v>8472</v>
      </c>
      <c r="U5243">
        <v>305.800973</v>
      </c>
      <c r="V5243" s="3">
        <v>41596</v>
      </c>
    </row>
    <row r="5244" spans="1:22" x14ac:dyDescent="0.35">
      <c r="A5244" s="1">
        <v>42303.650717592594</v>
      </c>
      <c r="B5244" s="2">
        <v>8.564814814814815E-4</v>
      </c>
      <c r="C5244" t="s">
        <v>8352</v>
      </c>
      <c r="D5244" t="s">
        <v>261</v>
      </c>
      <c r="E5244" t="s">
        <v>262</v>
      </c>
      <c r="F5244" t="s">
        <v>6069</v>
      </c>
      <c r="G5244">
        <v>836174</v>
      </c>
      <c r="H5244" t="s">
        <v>149</v>
      </c>
      <c r="I5244" t="s">
        <v>172</v>
      </c>
      <c r="J5244" t="str">
        <f>"9781438139685"</f>
        <v>9781438139685</v>
      </c>
      <c r="K5244" t="s">
        <v>8473</v>
      </c>
      <c r="L5244">
        <v>14</v>
      </c>
      <c r="O5244" t="s">
        <v>30</v>
      </c>
      <c r="P5244" t="s">
        <v>42</v>
      </c>
      <c r="S5244" t="s">
        <v>264</v>
      </c>
      <c r="T5244" t="s">
        <v>6071</v>
      </c>
      <c r="U5244">
        <v>941.50810000000001</v>
      </c>
      <c r="V5244" s="3">
        <v>40848</v>
      </c>
    </row>
    <row r="5245" spans="1:22" x14ac:dyDescent="0.35">
      <c r="A5245" s="1">
        <v>42303.645486111112</v>
      </c>
      <c r="B5245" s="2">
        <v>3.4722222222222222E-5</v>
      </c>
      <c r="C5245" t="s">
        <v>106</v>
      </c>
      <c r="D5245" t="s">
        <v>23</v>
      </c>
      <c r="E5245" t="s">
        <v>24</v>
      </c>
      <c r="F5245" t="s">
        <v>486</v>
      </c>
      <c r="G5245">
        <v>1119505</v>
      </c>
      <c r="H5245" t="s">
        <v>26</v>
      </c>
      <c r="I5245" t="s">
        <v>450</v>
      </c>
      <c r="J5245" t="str">
        <f>"9781118355015"</f>
        <v>9781118355015</v>
      </c>
      <c r="K5245" t="s">
        <v>33</v>
      </c>
      <c r="L5245">
        <v>3</v>
      </c>
      <c r="O5245" t="s">
        <v>30</v>
      </c>
      <c r="P5245" t="s">
        <v>29</v>
      </c>
      <c r="Q5245" s="1">
        <v>42299.725706018522</v>
      </c>
      <c r="R5245">
        <v>7</v>
      </c>
      <c r="S5245" t="s">
        <v>31</v>
      </c>
      <c r="T5245" t="s">
        <v>487</v>
      </c>
      <c r="U5245" t="s">
        <v>488</v>
      </c>
      <c r="V5245" s="3">
        <v>41302</v>
      </c>
    </row>
    <row r="5246" spans="1:22" x14ac:dyDescent="0.35">
      <c r="A5246" s="1">
        <v>42303.640231481484</v>
      </c>
      <c r="B5246" s="2">
        <v>7.291666666666667E-4</v>
      </c>
      <c r="C5246" t="s">
        <v>8474</v>
      </c>
      <c r="D5246" t="s">
        <v>335</v>
      </c>
      <c r="E5246" t="s">
        <v>336</v>
      </c>
      <c r="F5246" t="s">
        <v>3117</v>
      </c>
      <c r="G5246">
        <v>1022416</v>
      </c>
      <c r="H5246" t="s">
        <v>26</v>
      </c>
      <c r="I5246" t="s">
        <v>2751</v>
      </c>
      <c r="J5246" t="str">
        <f>"9781118373811"</f>
        <v>9781118373811</v>
      </c>
      <c r="K5246" t="s">
        <v>611</v>
      </c>
      <c r="L5246">
        <v>3</v>
      </c>
      <c r="O5246" t="s">
        <v>30</v>
      </c>
      <c r="P5246" t="s">
        <v>42</v>
      </c>
      <c r="S5246" t="s">
        <v>340</v>
      </c>
      <c r="T5246" t="s">
        <v>3119</v>
      </c>
      <c r="U5246">
        <v>664</v>
      </c>
      <c r="V5246" s="3">
        <v>41157</v>
      </c>
    </row>
    <row r="5247" spans="1:22" x14ac:dyDescent="0.35">
      <c r="A5247" s="1">
        <v>42303.608541666668</v>
      </c>
      <c r="B5247" s="2">
        <v>1.7476851851851852E-3</v>
      </c>
      <c r="C5247" t="s">
        <v>8475</v>
      </c>
      <c r="D5247" t="s">
        <v>23</v>
      </c>
      <c r="E5247" t="s">
        <v>24</v>
      </c>
      <c r="F5247" t="s">
        <v>246</v>
      </c>
      <c r="G5247">
        <v>1682559</v>
      </c>
      <c r="H5247" t="s">
        <v>91</v>
      </c>
      <c r="I5247" t="s">
        <v>247</v>
      </c>
      <c r="J5247" t="str">
        <f>"9781462515431"</f>
        <v>9781462515431</v>
      </c>
      <c r="K5247" t="s">
        <v>8476</v>
      </c>
      <c r="L5247">
        <v>39</v>
      </c>
      <c r="O5247" t="s">
        <v>30</v>
      </c>
      <c r="P5247" t="s">
        <v>29</v>
      </c>
      <c r="Q5247" s="1">
        <v>42303.608541666668</v>
      </c>
      <c r="R5247">
        <v>7</v>
      </c>
      <c r="S5247" t="s">
        <v>31</v>
      </c>
      <c r="T5247" t="s">
        <v>249</v>
      </c>
      <c r="U5247">
        <v>616.89</v>
      </c>
      <c r="V5247" s="3">
        <v>41769</v>
      </c>
    </row>
    <row r="5248" spans="1:22" x14ac:dyDescent="0.35">
      <c r="A5248" s="1">
        <v>42303.606423611112</v>
      </c>
      <c r="B5248" s="2">
        <v>4.6064814814814814E-3</v>
      </c>
      <c r="C5248" t="s">
        <v>106</v>
      </c>
      <c r="D5248" t="s">
        <v>23</v>
      </c>
      <c r="E5248" t="s">
        <v>24</v>
      </c>
      <c r="F5248" t="s">
        <v>2649</v>
      </c>
      <c r="G5248">
        <v>1143522</v>
      </c>
      <c r="H5248" t="s">
        <v>26</v>
      </c>
      <c r="I5248" t="s">
        <v>172</v>
      </c>
      <c r="J5248" t="str">
        <f>"9781118257197"</f>
        <v>9781118257197</v>
      </c>
      <c r="K5248" t="s">
        <v>8477</v>
      </c>
      <c r="L5248">
        <v>23</v>
      </c>
      <c r="O5248" t="s">
        <v>30</v>
      </c>
      <c r="P5248" t="s">
        <v>42</v>
      </c>
      <c r="S5248" t="s">
        <v>31</v>
      </c>
      <c r="T5248" t="s">
        <v>2651</v>
      </c>
      <c r="U5248">
        <v>972</v>
      </c>
      <c r="V5248" s="3">
        <v>41334</v>
      </c>
    </row>
    <row r="5249" spans="1:22" x14ac:dyDescent="0.35">
      <c r="A5249" s="1">
        <v>42303.599004629628</v>
      </c>
      <c r="B5249" s="2">
        <v>9.3750000000000007E-4</v>
      </c>
      <c r="C5249" t="s">
        <v>8478</v>
      </c>
      <c r="D5249" t="s">
        <v>23</v>
      </c>
      <c r="E5249" t="s">
        <v>24</v>
      </c>
      <c r="F5249" t="s">
        <v>1841</v>
      </c>
      <c r="G5249">
        <v>1775471</v>
      </c>
      <c r="H5249" t="s">
        <v>26</v>
      </c>
      <c r="I5249" t="s">
        <v>276</v>
      </c>
      <c r="J5249" t="str">
        <f>"9781118891490"</f>
        <v>9781118891490</v>
      </c>
      <c r="K5249" t="s">
        <v>8479</v>
      </c>
      <c r="L5249">
        <v>29</v>
      </c>
      <c r="O5249" t="s">
        <v>30</v>
      </c>
      <c r="P5249" t="s">
        <v>42</v>
      </c>
      <c r="S5249" t="s">
        <v>31</v>
      </c>
      <c r="T5249" t="s">
        <v>1842</v>
      </c>
      <c r="U5249">
        <v>5.133</v>
      </c>
      <c r="V5249" s="3">
        <v>41877</v>
      </c>
    </row>
    <row r="5250" spans="1:22" x14ac:dyDescent="0.35">
      <c r="A5250" s="1">
        <v>42303.589618055557</v>
      </c>
      <c r="B5250" s="2">
        <v>5.6712962962962956E-4</v>
      </c>
      <c r="C5250" t="s">
        <v>210</v>
      </c>
      <c r="D5250" t="s">
        <v>211</v>
      </c>
      <c r="E5250" t="s">
        <v>212</v>
      </c>
      <c r="F5250" t="s">
        <v>5156</v>
      </c>
      <c r="G5250">
        <v>918813</v>
      </c>
      <c r="H5250" t="s">
        <v>3465</v>
      </c>
      <c r="I5250" t="s">
        <v>172</v>
      </c>
      <c r="J5250" t="str">
        <f>"9781608708086"</f>
        <v>9781608708086</v>
      </c>
      <c r="K5250" t="s">
        <v>8480</v>
      </c>
      <c r="L5250">
        <v>14</v>
      </c>
      <c r="O5250" t="s">
        <v>30</v>
      </c>
      <c r="P5250" t="s">
        <v>42</v>
      </c>
      <c r="S5250" t="s">
        <v>214</v>
      </c>
      <c r="T5250" t="s">
        <v>5158</v>
      </c>
      <c r="U5250">
        <v>986.1</v>
      </c>
      <c r="V5250" s="3">
        <v>40969</v>
      </c>
    </row>
    <row r="5251" spans="1:22" x14ac:dyDescent="0.35">
      <c r="A5251" s="1">
        <v>42303.586446759262</v>
      </c>
      <c r="B5251" s="2">
        <v>2.2094907407407407E-2</v>
      </c>
      <c r="C5251" t="s">
        <v>8475</v>
      </c>
      <c r="D5251" t="s">
        <v>23</v>
      </c>
      <c r="E5251" t="s">
        <v>24</v>
      </c>
      <c r="F5251" t="s">
        <v>246</v>
      </c>
      <c r="G5251">
        <v>1682559</v>
      </c>
      <c r="H5251" t="s">
        <v>91</v>
      </c>
      <c r="I5251" t="s">
        <v>247</v>
      </c>
      <c r="J5251" t="str">
        <f>"9781462515431"</f>
        <v>9781462515431</v>
      </c>
      <c r="K5251" t="s">
        <v>8481</v>
      </c>
      <c r="L5251">
        <v>42</v>
      </c>
      <c r="O5251" t="s">
        <v>30</v>
      </c>
      <c r="P5251" t="s">
        <v>42</v>
      </c>
      <c r="S5251" t="s">
        <v>31</v>
      </c>
      <c r="T5251" t="s">
        <v>249</v>
      </c>
      <c r="U5251">
        <v>616.89</v>
      </c>
      <c r="V5251" s="3">
        <v>41769</v>
      </c>
    </row>
    <row r="5252" spans="1:22" x14ac:dyDescent="0.35">
      <c r="A5252" s="1">
        <v>42303.58221064815</v>
      </c>
      <c r="B5252" s="2">
        <v>2.1759259259259259E-2</v>
      </c>
      <c r="C5252" t="s">
        <v>1760</v>
      </c>
      <c r="D5252" t="s">
        <v>23</v>
      </c>
      <c r="E5252" t="s">
        <v>24</v>
      </c>
      <c r="F5252" t="s">
        <v>6721</v>
      </c>
      <c r="G5252">
        <v>1638687</v>
      </c>
      <c r="H5252" t="s">
        <v>26</v>
      </c>
      <c r="I5252" t="s">
        <v>4527</v>
      </c>
      <c r="J5252" t="str">
        <f>"9781118850152"</f>
        <v>9781118850152</v>
      </c>
      <c r="K5252" t="s">
        <v>8482</v>
      </c>
      <c r="L5252">
        <v>17</v>
      </c>
      <c r="M5252" t="s">
        <v>8483</v>
      </c>
      <c r="O5252" t="s">
        <v>30</v>
      </c>
      <c r="P5252" t="s">
        <v>29</v>
      </c>
      <c r="Q5252" s="1">
        <v>42303.58221064815</v>
      </c>
      <c r="R5252">
        <v>7</v>
      </c>
      <c r="S5252" t="s">
        <v>31</v>
      </c>
      <c r="T5252" t="s">
        <v>6723</v>
      </c>
      <c r="U5252">
        <v>362.29</v>
      </c>
      <c r="V5252" s="3">
        <v>41691</v>
      </c>
    </row>
    <row r="5253" spans="1:22" x14ac:dyDescent="0.35">
      <c r="A5253" s="1">
        <v>42303.580277777779</v>
      </c>
      <c r="B5253" s="2">
        <v>1.9328703703703704E-3</v>
      </c>
      <c r="C5253" t="s">
        <v>1760</v>
      </c>
      <c r="D5253" t="s">
        <v>23</v>
      </c>
      <c r="E5253" t="s">
        <v>24</v>
      </c>
      <c r="F5253" t="s">
        <v>6721</v>
      </c>
      <c r="G5253">
        <v>1638687</v>
      </c>
      <c r="H5253" t="s">
        <v>26</v>
      </c>
      <c r="I5253" t="s">
        <v>4527</v>
      </c>
      <c r="J5253" t="str">
        <f>"9781118850152"</f>
        <v>9781118850152</v>
      </c>
      <c r="K5253" t="s">
        <v>8484</v>
      </c>
      <c r="L5253">
        <v>36</v>
      </c>
      <c r="O5253" t="s">
        <v>30</v>
      </c>
      <c r="P5253" t="s">
        <v>42</v>
      </c>
      <c r="S5253" t="s">
        <v>31</v>
      </c>
      <c r="T5253" t="s">
        <v>6723</v>
      </c>
      <c r="U5253">
        <v>362.29</v>
      </c>
      <c r="V5253" s="3">
        <v>41691</v>
      </c>
    </row>
    <row r="5254" spans="1:22" x14ac:dyDescent="0.35">
      <c r="A5254" s="1">
        <v>42303.575578703705</v>
      </c>
      <c r="B5254" s="2">
        <v>5.7870370370370378E-4</v>
      </c>
      <c r="C5254" t="s">
        <v>210</v>
      </c>
      <c r="D5254" t="s">
        <v>211</v>
      </c>
      <c r="E5254" t="s">
        <v>212</v>
      </c>
      <c r="F5254" t="s">
        <v>5156</v>
      </c>
      <c r="G5254">
        <v>918813</v>
      </c>
      <c r="H5254" t="s">
        <v>3465</v>
      </c>
      <c r="I5254" t="s">
        <v>172</v>
      </c>
      <c r="J5254" t="str">
        <f>"9781608708086"</f>
        <v>9781608708086</v>
      </c>
      <c r="K5254" t="s">
        <v>8485</v>
      </c>
      <c r="L5254">
        <v>12</v>
      </c>
      <c r="O5254" t="s">
        <v>30</v>
      </c>
      <c r="P5254" t="s">
        <v>42</v>
      </c>
      <c r="S5254" t="s">
        <v>214</v>
      </c>
      <c r="T5254" t="s">
        <v>5158</v>
      </c>
      <c r="U5254">
        <v>986.1</v>
      </c>
      <c r="V5254" s="3">
        <v>40969</v>
      </c>
    </row>
    <row r="5255" spans="1:22" x14ac:dyDescent="0.35">
      <c r="A5255" s="1">
        <v>42303.563831018517</v>
      </c>
      <c r="B5255" s="2">
        <v>1.7685185185185182E-2</v>
      </c>
      <c r="C5255" t="s">
        <v>5887</v>
      </c>
      <c r="D5255" t="s">
        <v>23</v>
      </c>
      <c r="E5255" t="s">
        <v>24</v>
      </c>
      <c r="F5255" t="s">
        <v>1051</v>
      </c>
      <c r="G5255">
        <v>821663</v>
      </c>
      <c r="H5255" t="s">
        <v>26</v>
      </c>
      <c r="I5255" t="s">
        <v>200</v>
      </c>
      <c r="J5255" t="str">
        <f>"9781118168479"</f>
        <v>9781118168479</v>
      </c>
      <c r="K5255" t="s">
        <v>8486</v>
      </c>
      <c r="L5255">
        <v>29</v>
      </c>
      <c r="O5255" t="s">
        <v>30</v>
      </c>
      <c r="P5255" t="s">
        <v>29</v>
      </c>
      <c r="Q5255" s="1">
        <v>42303.563831018517</v>
      </c>
      <c r="R5255">
        <v>7</v>
      </c>
      <c r="S5255" t="s">
        <v>31</v>
      </c>
      <c r="T5255" t="s">
        <v>1053</v>
      </c>
      <c r="U5255">
        <v>729</v>
      </c>
      <c r="V5255" s="3">
        <v>40973</v>
      </c>
    </row>
    <row r="5256" spans="1:22" x14ac:dyDescent="0.35">
      <c r="A5256" s="1">
        <v>42303.55841435185</v>
      </c>
      <c r="B5256" s="2">
        <v>8.971064814814815E-2</v>
      </c>
      <c r="C5256" t="s">
        <v>106</v>
      </c>
      <c r="D5256" t="s">
        <v>23</v>
      </c>
      <c r="E5256" t="s">
        <v>24</v>
      </c>
      <c r="F5256" t="s">
        <v>486</v>
      </c>
      <c r="G5256">
        <v>1119505</v>
      </c>
      <c r="H5256" t="s">
        <v>26</v>
      </c>
      <c r="I5256" t="s">
        <v>450</v>
      </c>
      <c r="J5256" t="str">
        <f>"9781118355015"</f>
        <v>9781118355015</v>
      </c>
      <c r="K5256" t="s">
        <v>8487</v>
      </c>
      <c r="L5256">
        <v>34</v>
      </c>
      <c r="O5256" t="s">
        <v>30</v>
      </c>
      <c r="P5256" t="s">
        <v>29</v>
      </c>
      <c r="Q5256" s="1">
        <v>42299.725706018522</v>
      </c>
      <c r="R5256">
        <v>7</v>
      </c>
      <c r="S5256" t="s">
        <v>31</v>
      </c>
      <c r="T5256" t="s">
        <v>487</v>
      </c>
      <c r="U5256" t="s">
        <v>488</v>
      </c>
      <c r="V5256" s="3">
        <v>41302</v>
      </c>
    </row>
    <row r="5257" spans="1:22" x14ac:dyDescent="0.35">
      <c r="A5257" s="1">
        <v>42303.555775462963</v>
      </c>
      <c r="B5257" s="2">
        <v>2.1527777777777778E-3</v>
      </c>
      <c r="C5257" t="s">
        <v>106</v>
      </c>
      <c r="D5257" t="s">
        <v>23</v>
      </c>
      <c r="E5257" t="s">
        <v>24</v>
      </c>
      <c r="F5257" t="s">
        <v>486</v>
      </c>
      <c r="G5257">
        <v>1119505</v>
      </c>
      <c r="H5257" t="s">
        <v>26</v>
      </c>
      <c r="I5257" t="s">
        <v>450</v>
      </c>
      <c r="J5257" t="str">
        <f>"9781118355015"</f>
        <v>9781118355015</v>
      </c>
      <c r="K5257" t="s">
        <v>8488</v>
      </c>
      <c r="L5257">
        <v>14</v>
      </c>
      <c r="O5257" t="s">
        <v>30</v>
      </c>
      <c r="P5257" t="s">
        <v>29</v>
      </c>
      <c r="Q5257" s="1">
        <v>42299.725706018522</v>
      </c>
      <c r="R5257">
        <v>7</v>
      </c>
      <c r="S5257" t="s">
        <v>31</v>
      </c>
      <c r="T5257" t="s">
        <v>487</v>
      </c>
      <c r="U5257" t="s">
        <v>488</v>
      </c>
      <c r="V5257" s="3">
        <v>41302</v>
      </c>
    </row>
    <row r="5258" spans="1:22" x14ac:dyDescent="0.35">
      <c r="A5258" s="1">
        <v>42303.547581018516</v>
      </c>
      <c r="B5258" s="2">
        <v>1.6249999999999997E-2</v>
      </c>
      <c r="C5258" t="s">
        <v>5887</v>
      </c>
      <c r="D5258" t="s">
        <v>23</v>
      </c>
      <c r="E5258" t="s">
        <v>24</v>
      </c>
      <c r="F5258" t="s">
        <v>1051</v>
      </c>
      <c r="G5258">
        <v>821663</v>
      </c>
      <c r="H5258" t="s">
        <v>26</v>
      </c>
      <c r="I5258" t="s">
        <v>200</v>
      </c>
      <c r="J5258" t="str">
        <f>"9781118168479"</f>
        <v>9781118168479</v>
      </c>
      <c r="K5258" t="s">
        <v>33</v>
      </c>
      <c r="L5258">
        <v>3</v>
      </c>
      <c r="O5258" t="s">
        <v>30</v>
      </c>
      <c r="P5258" t="s">
        <v>42</v>
      </c>
      <c r="S5258" t="s">
        <v>31</v>
      </c>
      <c r="T5258" t="s">
        <v>1053</v>
      </c>
      <c r="U5258">
        <v>729</v>
      </c>
      <c r="V5258" s="3">
        <v>40973</v>
      </c>
    </row>
    <row r="5259" spans="1:22" x14ac:dyDescent="0.35">
      <c r="A5259" s="1">
        <v>42303.231458333335</v>
      </c>
      <c r="B5259" s="2">
        <v>2.7777777777777778E-4</v>
      </c>
      <c r="C5259" t="s">
        <v>8489</v>
      </c>
      <c r="D5259" t="s">
        <v>23</v>
      </c>
      <c r="E5259" t="s">
        <v>24</v>
      </c>
      <c r="F5259" t="s">
        <v>2419</v>
      </c>
      <c r="G5259">
        <v>1110728</v>
      </c>
      <c r="H5259" t="s">
        <v>26</v>
      </c>
      <c r="I5259" t="s">
        <v>108</v>
      </c>
      <c r="J5259" t="str">
        <f>"9781118461204"</f>
        <v>9781118461204</v>
      </c>
      <c r="K5259" t="s">
        <v>240</v>
      </c>
      <c r="L5259">
        <v>14</v>
      </c>
      <c r="O5259" t="s">
        <v>30</v>
      </c>
      <c r="P5259" t="s">
        <v>42</v>
      </c>
      <c r="S5259" t="s">
        <v>31</v>
      </c>
      <c r="T5259" t="s">
        <v>2421</v>
      </c>
      <c r="U5259" t="s">
        <v>2422</v>
      </c>
      <c r="V5259" s="3">
        <v>41283</v>
      </c>
    </row>
    <row r="5260" spans="1:22" x14ac:dyDescent="0.35">
      <c r="A5260" s="1">
        <v>42303.064189814817</v>
      </c>
      <c r="B5260" s="2">
        <v>0</v>
      </c>
      <c r="C5260" t="s">
        <v>349</v>
      </c>
      <c r="D5260" t="s">
        <v>23</v>
      </c>
      <c r="E5260" t="s">
        <v>24</v>
      </c>
      <c r="F5260" t="s">
        <v>8490</v>
      </c>
      <c r="G5260">
        <v>2192203</v>
      </c>
      <c r="H5260" t="s">
        <v>45</v>
      </c>
      <c r="J5260" t="str">
        <f>"9781472433510"</f>
        <v>9781472433510</v>
      </c>
      <c r="L5260">
        <v>0</v>
      </c>
      <c r="O5260" t="s">
        <v>28</v>
      </c>
      <c r="P5260" t="s">
        <v>47</v>
      </c>
      <c r="Q5260" s="1">
        <v>42303.064189814817</v>
      </c>
      <c r="R5260">
        <v>1</v>
      </c>
      <c r="S5260" t="s">
        <v>31</v>
      </c>
      <c r="T5260">
        <v>2015015240</v>
      </c>
      <c r="U5260" t="s">
        <v>8491</v>
      </c>
      <c r="V5260" s="3">
        <v>42305</v>
      </c>
    </row>
    <row r="5261" spans="1:22" x14ac:dyDescent="0.35">
      <c r="A5261" s="1">
        <v>42303.064189814817</v>
      </c>
      <c r="B5261" s="2">
        <v>0</v>
      </c>
      <c r="C5261" t="s">
        <v>349</v>
      </c>
      <c r="D5261" t="s">
        <v>23</v>
      </c>
      <c r="E5261" t="s">
        <v>24</v>
      </c>
      <c r="F5261" t="s">
        <v>8490</v>
      </c>
      <c r="G5261">
        <v>2192203</v>
      </c>
      <c r="H5261" t="s">
        <v>45</v>
      </c>
      <c r="J5261" t="str">
        <f>"9781472433510"</f>
        <v>9781472433510</v>
      </c>
      <c r="L5261">
        <v>0</v>
      </c>
      <c r="O5261" t="s">
        <v>30</v>
      </c>
      <c r="P5261" t="s">
        <v>47</v>
      </c>
      <c r="Q5261" s="1">
        <v>42303.064189814817</v>
      </c>
      <c r="R5261">
        <v>1</v>
      </c>
      <c r="S5261" t="s">
        <v>31</v>
      </c>
      <c r="T5261">
        <v>2015015240</v>
      </c>
      <c r="U5261" t="s">
        <v>8491</v>
      </c>
      <c r="V5261" s="3">
        <v>42305</v>
      </c>
    </row>
    <row r="5262" spans="1:22" x14ac:dyDescent="0.35">
      <c r="A5262" s="1">
        <v>42303.063923611109</v>
      </c>
      <c r="B5262" s="2">
        <v>2.6620370370370372E-4</v>
      </c>
      <c r="C5262" t="s">
        <v>349</v>
      </c>
      <c r="D5262" t="s">
        <v>23</v>
      </c>
      <c r="E5262" t="s">
        <v>24</v>
      </c>
      <c r="F5262" t="s">
        <v>8490</v>
      </c>
      <c r="G5262">
        <v>2192203</v>
      </c>
      <c r="H5262" t="s">
        <v>45</v>
      </c>
      <c r="J5262" t="str">
        <f>"9781472433510"</f>
        <v>9781472433510</v>
      </c>
      <c r="K5262" t="s">
        <v>33</v>
      </c>
      <c r="L5262">
        <v>3</v>
      </c>
      <c r="O5262" t="s">
        <v>30</v>
      </c>
      <c r="P5262" t="s">
        <v>50</v>
      </c>
      <c r="S5262" t="s">
        <v>31</v>
      </c>
      <c r="T5262">
        <v>2015015240</v>
      </c>
      <c r="U5262" t="s">
        <v>8491</v>
      </c>
      <c r="V5262" s="3">
        <v>42305</v>
      </c>
    </row>
    <row r="5263" spans="1:22" x14ac:dyDescent="0.35">
      <c r="A5263" s="1">
        <v>42303.061979166669</v>
      </c>
      <c r="B5263" s="2">
        <v>0</v>
      </c>
      <c r="C5263" t="s">
        <v>349</v>
      </c>
      <c r="D5263" t="s">
        <v>23</v>
      </c>
      <c r="E5263" t="s">
        <v>24</v>
      </c>
      <c r="F5263" t="s">
        <v>8492</v>
      </c>
      <c r="G5263">
        <v>2192212</v>
      </c>
      <c r="H5263" t="s">
        <v>45</v>
      </c>
      <c r="J5263" t="str">
        <f>"9781472443960"</f>
        <v>9781472443960</v>
      </c>
      <c r="L5263">
        <v>0</v>
      </c>
      <c r="O5263" t="s">
        <v>28</v>
      </c>
      <c r="P5263" t="s">
        <v>47</v>
      </c>
      <c r="Q5263" s="1">
        <v>42303.061979166669</v>
      </c>
      <c r="R5263">
        <v>1</v>
      </c>
      <c r="S5263" t="s">
        <v>31</v>
      </c>
      <c r="T5263">
        <v>2015014509</v>
      </c>
      <c r="U5263" t="s">
        <v>8493</v>
      </c>
      <c r="V5263" s="3">
        <v>42305</v>
      </c>
    </row>
    <row r="5264" spans="1:22" x14ac:dyDescent="0.35">
      <c r="A5264" s="1">
        <v>42303.061979166669</v>
      </c>
      <c r="B5264" s="2">
        <v>0</v>
      </c>
      <c r="C5264" t="s">
        <v>349</v>
      </c>
      <c r="D5264" t="s">
        <v>23</v>
      </c>
      <c r="E5264" t="s">
        <v>24</v>
      </c>
      <c r="F5264" t="s">
        <v>8492</v>
      </c>
      <c r="G5264">
        <v>2192212</v>
      </c>
      <c r="H5264" t="s">
        <v>45</v>
      </c>
      <c r="J5264" t="str">
        <f>"9781472443960"</f>
        <v>9781472443960</v>
      </c>
      <c r="L5264">
        <v>0</v>
      </c>
      <c r="O5264" t="s">
        <v>30</v>
      </c>
      <c r="P5264" t="s">
        <v>47</v>
      </c>
      <c r="Q5264" s="1">
        <v>42303.061979166669</v>
      </c>
      <c r="R5264">
        <v>1</v>
      </c>
      <c r="S5264" t="s">
        <v>31</v>
      </c>
      <c r="T5264">
        <v>2015014509</v>
      </c>
      <c r="U5264" t="s">
        <v>8493</v>
      </c>
      <c r="V5264" s="3">
        <v>42305</v>
      </c>
    </row>
    <row r="5265" spans="1:22" x14ac:dyDescent="0.35">
      <c r="A5265" s="1">
        <v>42303.061805555553</v>
      </c>
      <c r="B5265" s="2">
        <v>1.7361111111111112E-4</v>
      </c>
      <c r="C5265" t="s">
        <v>349</v>
      </c>
      <c r="D5265" t="s">
        <v>23</v>
      </c>
      <c r="E5265" t="s">
        <v>24</v>
      </c>
      <c r="F5265" t="s">
        <v>8492</v>
      </c>
      <c r="G5265">
        <v>2192212</v>
      </c>
      <c r="H5265" t="s">
        <v>45</v>
      </c>
      <c r="J5265" t="str">
        <f>"9781472443960"</f>
        <v>9781472443960</v>
      </c>
      <c r="K5265" t="s">
        <v>33</v>
      </c>
      <c r="L5265">
        <v>3</v>
      </c>
      <c r="O5265" t="s">
        <v>30</v>
      </c>
      <c r="P5265" t="s">
        <v>50</v>
      </c>
      <c r="S5265" t="s">
        <v>31</v>
      </c>
      <c r="T5265">
        <v>2015014509</v>
      </c>
      <c r="U5265" t="s">
        <v>8493</v>
      </c>
      <c r="V5265" s="3">
        <v>42305</v>
      </c>
    </row>
    <row r="5266" spans="1:22" x14ac:dyDescent="0.35">
      <c r="A5266" s="1">
        <v>42303.061041666668</v>
      </c>
      <c r="B5266" s="2">
        <v>0</v>
      </c>
      <c r="C5266" t="s">
        <v>349</v>
      </c>
      <c r="D5266" t="s">
        <v>23</v>
      </c>
      <c r="E5266" t="s">
        <v>24</v>
      </c>
      <c r="F5266" t="s">
        <v>8494</v>
      </c>
      <c r="G5266">
        <v>2192222</v>
      </c>
      <c r="H5266" t="s">
        <v>45</v>
      </c>
      <c r="I5266" t="s">
        <v>1293</v>
      </c>
      <c r="J5266" t="str">
        <f>"9781472441843"</f>
        <v>9781472441843</v>
      </c>
      <c r="L5266">
        <v>0</v>
      </c>
      <c r="O5266" t="s">
        <v>28</v>
      </c>
      <c r="P5266" t="s">
        <v>47</v>
      </c>
      <c r="Q5266" s="1">
        <v>42303.061041666668</v>
      </c>
      <c r="R5266">
        <v>1</v>
      </c>
      <c r="S5266" t="s">
        <v>31</v>
      </c>
      <c r="T5266">
        <v>2015007109</v>
      </c>
      <c r="U5266">
        <v>664</v>
      </c>
      <c r="V5266" s="3">
        <v>42305</v>
      </c>
    </row>
    <row r="5267" spans="1:22" x14ac:dyDescent="0.35">
      <c r="A5267" s="1">
        <v>42303.061041666668</v>
      </c>
      <c r="B5267" s="2">
        <v>0</v>
      </c>
      <c r="C5267" t="s">
        <v>349</v>
      </c>
      <c r="D5267" t="s">
        <v>23</v>
      </c>
      <c r="E5267" t="s">
        <v>24</v>
      </c>
      <c r="F5267" t="s">
        <v>8494</v>
      </c>
      <c r="G5267">
        <v>2192222</v>
      </c>
      <c r="H5267" t="s">
        <v>45</v>
      </c>
      <c r="I5267" t="s">
        <v>1293</v>
      </c>
      <c r="J5267" t="str">
        <f>"9781472441843"</f>
        <v>9781472441843</v>
      </c>
      <c r="L5267">
        <v>0</v>
      </c>
      <c r="O5267" t="s">
        <v>30</v>
      </c>
      <c r="P5267" t="s">
        <v>47</v>
      </c>
      <c r="Q5267" s="1">
        <v>42303.061041666668</v>
      </c>
      <c r="R5267">
        <v>1</v>
      </c>
      <c r="S5267" t="s">
        <v>31</v>
      </c>
      <c r="T5267">
        <v>2015007109</v>
      </c>
      <c r="U5267">
        <v>664</v>
      </c>
      <c r="V5267" s="3">
        <v>42305</v>
      </c>
    </row>
    <row r="5268" spans="1:22" x14ac:dyDescent="0.35">
      <c r="A5268" s="1">
        <v>42303.060902777775</v>
      </c>
      <c r="B5268" s="2">
        <v>1.3888888888888889E-4</v>
      </c>
      <c r="C5268" t="s">
        <v>349</v>
      </c>
      <c r="D5268" t="s">
        <v>23</v>
      </c>
      <c r="E5268" t="s">
        <v>24</v>
      </c>
      <c r="F5268" t="s">
        <v>8494</v>
      </c>
      <c r="G5268">
        <v>2192222</v>
      </c>
      <c r="H5268" t="s">
        <v>45</v>
      </c>
      <c r="I5268" t="s">
        <v>1293</v>
      </c>
      <c r="J5268" t="str">
        <f>"9781472441843"</f>
        <v>9781472441843</v>
      </c>
      <c r="K5268" t="s">
        <v>33</v>
      </c>
      <c r="L5268">
        <v>3</v>
      </c>
      <c r="O5268" t="s">
        <v>30</v>
      </c>
      <c r="P5268" t="s">
        <v>50</v>
      </c>
      <c r="S5268" t="s">
        <v>31</v>
      </c>
      <c r="T5268">
        <v>2015007109</v>
      </c>
      <c r="U5268">
        <v>664</v>
      </c>
      <c r="V5268" s="3">
        <v>42305</v>
      </c>
    </row>
    <row r="5269" spans="1:22" x14ac:dyDescent="0.35">
      <c r="A5269" s="1">
        <v>42303.060011574074</v>
      </c>
      <c r="B5269" s="2">
        <v>0</v>
      </c>
      <c r="C5269" t="s">
        <v>349</v>
      </c>
      <c r="D5269" t="s">
        <v>23</v>
      </c>
      <c r="E5269" t="s">
        <v>24</v>
      </c>
      <c r="F5269" t="s">
        <v>8495</v>
      </c>
      <c r="G5269">
        <v>2192225</v>
      </c>
      <c r="H5269" t="s">
        <v>45</v>
      </c>
      <c r="J5269" t="str">
        <f>"9781472443717"</f>
        <v>9781472443717</v>
      </c>
      <c r="L5269">
        <v>0</v>
      </c>
      <c r="O5269" t="s">
        <v>28</v>
      </c>
      <c r="P5269" t="s">
        <v>47</v>
      </c>
      <c r="Q5269" s="1">
        <v>42303.060011574074</v>
      </c>
      <c r="R5269">
        <v>1</v>
      </c>
      <c r="S5269" t="s">
        <v>31</v>
      </c>
      <c r="T5269">
        <v>2015009330</v>
      </c>
      <c r="U5269" t="s">
        <v>8496</v>
      </c>
      <c r="V5269" s="3">
        <v>42305</v>
      </c>
    </row>
    <row r="5270" spans="1:22" x14ac:dyDescent="0.35">
      <c r="A5270" s="1">
        <v>42303.060011574074</v>
      </c>
      <c r="B5270" s="2">
        <v>0</v>
      </c>
      <c r="C5270" t="s">
        <v>349</v>
      </c>
      <c r="D5270" t="s">
        <v>23</v>
      </c>
      <c r="E5270" t="s">
        <v>24</v>
      </c>
      <c r="F5270" t="s">
        <v>8495</v>
      </c>
      <c r="G5270">
        <v>2192225</v>
      </c>
      <c r="H5270" t="s">
        <v>45</v>
      </c>
      <c r="J5270" t="str">
        <f>"9781472443717"</f>
        <v>9781472443717</v>
      </c>
      <c r="L5270">
        <v>0</v>
      </c>
      <c r="O5270" t="s">
        <v>30</v>
      </c>
      <c r="P5270" t="s">
        <v>47</v>
      </c>
      <c r="Q5270" s="1">
        <v>42303.060011574074</v>
      </c>
      <c r="R5270">
        <v>1</v>
      </c>
      <c r="S5270" t="s">
        <v>31</v>
      </c>
      <c r="T5270">
        <v>2015009330</v>
      </c>
      <c r="U5270" t="s">
        <v>8496</v>
      </c>
      <c r="V5270" s="3">
        <v>42305</v>
      </c>
    </row>
    <row r="5271" spans="1:22" x14ac:dyDescent="0.35">
      <c r="A5271" s="1">
        <v>42303.059756944444</v>
      </c>
      <c r="B5271" s="2">
        <v>2.5462962962962961E-4</v>
      </c>
      <c r="C5271" t="s">
        <v>349</v>
      </c>
      <c r="D5271" t="s">
        <v>23</v>
      </c>
      <c r="E5271" t="s">
        <v>24</v>
      </c>
      <c r="F5271" t="s">
        <v>8495</v>
      </c>
      <c r="G5271">
        <v>2192225</v>
      </c>
      <c r="H5271" t="s">
        <v>45</v>
      </c>
      <c r="J5271" t="str">
        <f>"9781472443717"</f>
        <v>9781472443717</v>
      </c>
      <c r="K5271" t="s">
        <v>33</v>
      </c>
      <c r="L5271">
        <v>3</v>
      </c>
      <c r="O5271" t="s">
        <v>30</v>
      </c>
      <c r="P5271" t="s">
        <v>50</v>
      </c>
      <c r="S5271" t="s">
        <v>31</v>
      </c>
      <c r="T5271">
        <v>2015009330</v>
      </c>
      <c r="U5271" t="s">
        <v>8496</v>
      </c>
      <c r="V5271" s="3">
        <v>42305</v>
      </c>
    </row>
    <row r="5272" spans="1:22" x14ac:dyDescent="0.35">
      <c r="A5272" s="1">
        <v>42303.058437500003</v>
      </c>
      <c r="B5272" s="2">
        <v>0</v>
      </c>
      <c r="C5272" t="s">
        <v>349</v>
      </c>
      <c r="D5272" t="s">
        <v>23</v>
      </c>
      <c r="E5272" t="s">
        <v>24</v>
      </c>
      <c r="F5272" t="s">
        <v>8497</v>
      </c>
      <c r="G5272">
        <v>2192232</v>
      </c>
      <c r="H5272" t="s">
        <v>45</v>
      </c>
      <c r="I5272" t="s">
        <v>120</v>
      </c>
      <c r="J5272" t="str">
        <f>"9781472452665"</f>
        <v>9781472452665</v>
      </c>
      <c r="L5272">
        <v>0</v>
      </c>
      <c r="O5272" t="s">
        <v>28</v>
      </c>
      <c r="P5272" t="s">
        <v>47</v>
      </c>
      <c r="Q5272" s="1">
        <v>42303.058437500003</v>
      </c>
      <c r="R5272">
        <v>1</v>
      </c>
      <c r="S5272" t="s">
        <v>31</v>
      </c>
      <c r="T5272">
        <v>2015008397</v>
      </c>
      <c r="U5272">
        <v>307.77</v>
      </c>
      <c r="V5272" s="3">
        <v>42305</v>
      </c>
    </row>
    <row r="5273" spans="1:22" x14ac:dyDescent="0.35">
      <c r="A5273" s="1">
        <v>42303.058437500003</v>
      </c>
      <c r="B5273" s="2">
        <v>0</v>
      </c>
      <c r="C5273" t="s">
        <v>349</v>
      </c>
      <c r="D5273" t="s">
        <v>23</v>
      </c>
      <c r="E5273" t="s">
        <v>24</v>
      </c>
      <c r="F5273" t="s">
        <v>8497</v>
      </c>
      <c r="G5273">
        <v>2192232</v>
      </c>
      <c r="H5273" t="s">
        <v>45</v>
      </c>
      <c r="I5273" t="s">
        <v>120</v>
      </c>
      <c r="J5273" t="str">
        <f>"9781472452665"</f>
        <v>9781472452665</v>
      </c>
      <c r="L5273">
        <v>0</v>
      </c>
      <c r="O5273" t="s">
        <v>30</v>
      </c>
      <c r="P5273" t="s">
        <v>47</v>
      </c>
      <c r="Q5273" s="1">
        <v>42303.058437500003</v>
      </c>
      <c r="R5273">
        <v>1</v>
      </c>
      <c r="S5273" t="s">
        <v>31</v>
      </c>
      <c r="T5273">
        <v>2015008397</v>
      </c>
      <c r="U5273">
        <v>307.77</v>
      </c>
      <c r="V5273" s="3">
        <v>42305</v>
      </c>
    </row>
    <row r="5274" spans="1:22" x14ac:dyDescent="0.35">
      <c r="A5274" s="1">
        <v>42303.058217592596</v>
      </c>
      <c r="B5274" s="2">
        <v>2.199074074074074E-4</v>
      </c>
      <c r="C5274" t="s">
        <v>349</v>
      </c>
      <c r="D5274" t="s">
        <v>23</v>
      </c>
      <c r="E5274" t="s">
        <v>24</v>
      </c>
      <c r="F5274" t="s">
        <v>8497</v>
      </c>
      <c r="G5274">
        <v>2192232</v>
      </c>
      <c r="H5274" t="s">
        <v>45</v>
      </c>
      <c r="I5274" t="s">
        <v>120</v>
      </c>
      <c r="J5274" t="str">
        <f>"9781472452665"</f>
        <v>9781472452665</v>
      </c>
      <c r="K5274" t="s">
        <v>33</v>
      </c>
      <c r="L5274">
        <v>3</v>
      </c>
      <c r="O5274" t="s">
        <v>30</v>
      </c>
      <c r="P5274" t="s">
        <v>50</v>
      </c>
      <c r="S5274" t="s">
        <v>31</v>
      </c>
      <c r="T5274">
        <v>2015008397</v>
      </c>
      <c r="U5274">
        <v>307.77</v>
      </c>
      <c r="V5274" s="3">
        <v>42305</v>
      </c>
    </row>
    <row r="5275" spans="1:22" x14ac:dyDescent="0.35">
      <c r="A5275" s="1">
        <v>42303.035000000003</v>
      </c>
      <c r="B5275" s="2">
        <v>4.311342592592593E-2</v>
      </c>
      <c r="C5275" t="s">
        <v>7138</v>
      </c>
      <c r="D5275" t="s">
        <v>360</v>
      </c>
      <c r="E5275" t="s">
        <v>361</v>
      </c>
      <c r="F5275" t="s">
        <v>7150</v>
      </c>
      <c r="G5275">
        <v>332602</v>
      </c>
      <c r="H5275" t="s">
        <v>26</v>
      </c>
      <c r="I5275" t="s">
        <v>69</v>
      </c>
      <c r="J5275" t="str">
        <f>"9780631227885"</f>
        <v>9780631227885</v>
      </c>
      <c r="K5275" t="s">
        <v>8498</v>
      </c>
      <c r="L5275">
        <v>18</v>
      </c>
      <c r="O5275" t="s">
        <v>30</v>
      </c>
      <c r="P5275" t="s">
        <v>29</v>
      </c>
      <c r="Q5275" s="1">
        <v>42302.998159722221</v>
      </c>
      <c r="R5275">
        <v>7</v>
      </c>
      <c r="S5275" t="s">
        <v>363</v>
      </c>
      <c r="T5275" t="s">
        <v>7151</v>
      </c>
      <c r="U5275" t="s">
        <v>7152</v>
      </c>
      <c r="V5275" s="3">
        <v>41424</v>
      </c>
    </row>
    <row r="5276" spans="1:22" x14ac:dyDescent="0.35">
      <c r="A5276" s="1">
        <v>42303.029247685183</v>
      </c>
      <c r="B5276" s="2">
        <v>3.3564814814814812E-4</v>
      </c>
      <c r="C5276" t="s">
        <v>8499</v>
      </c>
      <c r="D5276" t="s">
        <v>623</v>
      </c>
      <c r="E5276" t="s">
        <v>624</v>
      </c>
      <c r="F5276" t="s">
        <v>4821</v>
      </c>
      <c r="G5276">
        <v>943645</v>
      </c>
      <c r="H5276" t="s">
        <v>1365</v>
      </c>
      <c r="I5276" t="s">
        <v>172</v>
      </c>
      <c r="J5276" t="str">
        <f>"9781441104755"</f>
        <v>9781441104755</v>
      </c>
      <c r="K5276" t="s">
        <v>8500</v>
      </c>
      <c r="L5276">
        <v>8</v>
      </c>
      <c r="O5276" t="s">
        <v>30</v>
      </c>
      <c r="P5276" t="s">
        <v>42</v>
      </c>
      <c r="S5276" t="s">
        <v>627</v>
      </c>
      <c r="T5276" t="s">
        <v>4823</v>
      </c>
      <c r="U5276">
        <v>948.02200000000005</v>
      </c>
      <c r="V5276" s="3">
        <v>41060</v>
      </c>
    </row>
    <row r="5277" spans="1:22" x14ac:dyDescent="0.35">
      <c r="A5277" s="1">
        <v>42303.00608796296</v>
      </c>
      <c r="B5277" s="2">
        <v>9.2592592592592588E-5</v>
      </c>
      <c r="C5277" t="s">
        <v>8356</v>
      </c>
      <c r="D5277" t="s">
        <v>211</v>
      </c>
      <c r="E5277" t="s">
        <v>212</v>
      </c>
      <c r="F5277" t="s">
        <v>8357</v>
      </c>
      <c r="G5277">
        <v>1378784</v>
      </c>
      <c r="H5277" t="s">
        <v>26</v>
      </c>
      <c r="I5277" t="s">
        <v>247</v>
      </c>
      <c r="J5277" t="str">
        <f>"9781118739655"</f>
        <v>9781118739655</v>
      </c>
      <c r="K5277" t="s">
        <v>8501</v>
      </c>
      <c r="L5277">
        <v>4</v>
      </c>
      <c r="O5277" t="s">
        <v>30</v>
      </c>
      <c r="P5277" t="s">
        <v>50</v>
      </c>
      <c r="S5277" t="s">
        <v>214</v>
      </c>
      <c r="T5277" t="s">
        <v>8359</v>
      </c>
      <c r="U5277" t="s">
        <v>8360</v>
      </c>
      <c r="V5277" s="3">
        <v>41521</v>
      </c>
    </row>
    <row r="5278" spans="1:22" x14ac:dyDescent="0.35">
      <c r="A5278" s="1">
        <v>42303.001585648148</v>
      </c>
      <c r="B5278" s="2">
        <v>3.0150462962962962E-2</v>
      </c>
      <c r="C5278" t="s">
        <v>7138</v>
      </c>
      <c r="D5278" t="s">
        <v>360</v>
      </c>
      <c r="E5278" t="s">
        <v>361</v>
      </c>
      <c r="F5278" t="s">
        <v>1477</v>
      </c>
      <c r="G5278">
        <v>822111</v>
      </c>
      <c r="H5278" t="s">
        <v>26</v>
      </c>
      <c r="I5278" t="s">
        <v>120</v>
      </c>
      <c r="J5278" t="str">
        <f>"9781444356922"</f>
        <v>9781444356922</v>
      </c>
      <c r="K5278" t="s">
        <v>8502</v>
      </c>
      <c r="L5278">
        <v>37</v>
      </c>
      <c r="O5278" t="s">
        <v>30</v>
      </c>
      <c r="P5278" t="s">
        <v>29</v>
      </c>
      <c r="Q5278" s="1">
        <v>42303.001585648148</v>
      </c>
      <c r="R5278">
        <v>7</v>
      </c>
      <c r="S5278" t="s">
        <v>363</v>
      </c>
      <c r="T5278" t="s">
        <v>1479</v>
      </c>
      <c r="U5278" t="s">
        <v>1480</v>
      </c>
      <c r="V5278" s="3">
        <v>40955</v>
      </c>
    </row>
    <row r="5279" spans="1:22" x14ac:dyDescent="0.35">
      <c r="A5279" s="1">
        <v>42302.998159722221</v>
      </c>
      <c r="B5279" s="2">
        <v>2.0833333333333335E-4</v>
      </c>
      <c r="C5279" t="s">
        <v>7138</v>
      </c>
      <c r="D5279" t="s">
        <v>360</v>
      </c>
      <c r="E5279" t="s">
        <v>361</v>
      </c>
      <c r="F5279" t="s">
        <v>7150</v>
      </c>
      <c r="G5279">
        <v>332602</v>
      </c>
      <c r="H5279" t="s">
        <v>26</v>
      </c>
      <c r="I5279" t="s">
        <v>69</v>
      </c>
      <c r="J5279" t="str">
        <f>"9780631227885"</f>
        <v>9780631227885</v>
      </c>
      <c r="K5279" t="s">
        <v>8503</v>
      </c>
      <c r="L5279">
        <v>5</v>
      </c>
      <c r="O5279" t="s">
        <v>30</v>
      </c>
      <c r="P5279" t="s">
        <v>29</v>
      </c>
      <c r="Q5279" s="1">
        <v>42302.998159722221</v>
      </c>
      <c r="R5279">
        <v>7</v>
      </c>
      <c r="S5279" t="s">
        <v>363</v>
      </c>
      <c r="T5279" t="s">
        <v>7151</v>
      </c>
      <c r="U5279" t="s">
        <v>7152</v>
      </c>
      <c r="V5279" s="3">
        <v>41424</v>
      </c>
    </row>
    <row r="5280" spans="1:22" x14ac:dyDescent="0.35">
      <c r="A5280" s="1">
        <v>42302.997037037036</v>
      </c>
      <c r="B5280" s="2">
        <v>2.0833333333333335E-4</v>
      </c>
      <c r="C5280" t="s">
        <v>7138</v>
      </c>
      <c r="D5280" t="s">
        <v>360</v>
      </c>
      <c r="E5280" t="s">
        <v>361</v>
      </c>
      <c r="F5280" t="s">
        <v>4289</v>
      </c>
      <c r="G5280">
        <v>1120621</v>
      </c>
      <c r="H5280" t="s">
        <v>26</v>
      </c>
      <c r="I5280" t="s">
        <v>69</v>
      </c>
      <c r="J5280" t="str">
        <f>"9781118362679"</f>
        <v>9781118362679</v>
      </c>
      <c r="K5280" t="s">
        <v>1170</v>
      </c>
      <c r="L5280">
        <v>8</v>
      </c>
      <c r="O5280" t="s">
        <v>30</v>
      </c>
      <c r="P5280" t="s">
        <v>42</v>
      </c>
      <c r="S5280" t="s">
        <v>363</v>
      </c>
      <c r="T5280" t="s">
        <v>4290</v>
      </c>
      <c r="U5280" t="s">
        <v>4291</v>
      </c>
      <c r="V5280" s="3">
        <v>41136</v>
      </c>
    </row>
    <row r="5281" spans="1:22" x14ac:dyDescent="0.35">
      <c r="A5281" s="1">
        <v>42302.989062499997</v>
      </c>
      <c r="B5281" s="2">
        <v>1.252314814814815E-2</v>
      </c>
      <c r="C5281" t="s">
        <v>7138</v>
      </c>
      <c r="D5281" t="s">
        <v>360</v>
      </c>
      <c r="E5281" t="s">
        <v>361</v>
      </c>
      <c r="F5281" t="s">
        <v>1477</v>
      </c>
      <c r="G5281">
        <v>822111</v>
      </c>
      <c r="H5281" t="s">
        <v>26</v>
      </c>
      <c r="I5281" t="s">
        <v>120</v>
      </c>
      <c r="J5281" t="str">
        <f>"9781444356922"</f>
        <v>9781444356922</v>
      </c>
      <c r="K5281" t="s">
        <v>2931</v>
      </c>
      <c r="L5281">
        <v>8</v>
      </c>
      <c r="O5281" t="s">
        <v>30</v>
      </c>
      <c r="P5281" t="s">
        <v>42</v>
      </c>
      <c r="S5281" t="s">
        <v>363</v>
      </c>
      <c r="T5281" t="s">
        <v>1479</v>
      </c>
      <c r="U5281" t="s">
        <v>1480</v>
      </c>
      <c r="V5281" s="3">
        <v>40955</v>
      </c>
    </row>
    <row r="5282" spans="1:22" x14ac:dyDescent="0.35">
      <c r="A5282" s="1">
        <v>42302.983252314814</v>
      </c>
      <c r="B5282" s="2">
        <v>1.4907407407407406E-2</v>
      </c>
      <c r="C5282" t="s">
        <v>7138</v>
      </c>
      <c r="D5282" t="s">
        <v>360</v>
      </c>
      <c r="E5282" t="s">
        <v>361</v>
      </c>
      <c r="F5282" t="s">
        <v>7150</v>
      </c>
      <c r="G5282">
        <v>332602</v>
      </c>
      <c r="H5282" t="s">
        <v>26</v>
      </c>
      <c r="I5282" t="s">
        <v>69</v>
      </c>
      <c r="J5282" t="str">
        <f>"9780631227885"</f>
        <v>9780631227885</v>
      </c>
      <c r="K5282" t="s">
        <v>8504</v>
      </c>
      <c r="L5282">
        <v>15</v>
      </c>
      <c r="O5282" t="s">
        <v>30</v>
      </c>
      <c r="P5282" t="s">
        <v>42</v>
      </c>
      <c r="S5282" t="s">
        <v>363</v>
      </c>
      <c r="T5282" t="s">
        <v>7151</v>
      </c>
      <c r="U5282" t="s">
        <v>7152</v>
      </c>
      <c r="V5282" s="3">
        <v>41424</v>
      </c>
    </row>
    <row r="5283" spans="1:22" x14ac:dyDescent="0.35">
      <c r="A5283" s="1">
        <v>42302.963101851848</v>
      </c>
      <c r="B5283" s="2">
        <v>2.4305555555555552E-4</v>
      </c>
      <c r="C5283" t="s">
        <v>8505</v>
      </c>
      <c r="D5283" t="s">
        <v>35</v>
      </c>
      <c r="E5283" t="s">
        <v>36</v>
      </c>
      <c r="F5283" t="s">
        <v>7494</v>
      </c>
      <c r="G5283">
        <v>1725831</v>
      </c>
      <c r="H5283" t="s">
        <v>26</v>
      </c>
      <c r="I5283" t="s">
        <v>120</v>
      </c>
      <c r="J5283" t="str">
        <f>"9781118896334"</f>
        <v>9781118896334</v>
      </c>
      <c r="K5283" t="s">
        <v>2353</v>
      </c>
      <c r="L5283">
        <v>13</v>
      </c>
      <c r="O5283" t="s">
        <v>30</v>
      </c>
      <c r="P5283" t="s">
        <v>50</v>
      </c>
      <c r="S5283" t="s">
        <v>40</v>
      </c>
      <c r="T5283" t="s">
        <v>7496</v>
      </c>
      <c r="U5283">
        <v>305.8</v>
      </c>
      <c r="V5283" s="3">
        <v>41817</v>
      </c>
    </row>
    <row r="5284" spans="1:22" x14ac:dyDescent="0.35">
      <c r="A5284" s="1">
        <v>42302.943715277775</v>
      </c>
      <c r="B5284" s="2">
        <v>5.9027777777777778E-4</v>
      </c>
      <c r="C5284" t="s">
        <v>7385</v>
      </c>
      <c r="D5284" t="s">
        <v>23</v>
      </c>
      <c r="E5284" t="s">
        <v>24</v>
      </c>
      <c r="F5284" t="s">
        <v>1051</v>
      </c>
      <c r="G5284">
        <v>821663</v>
      </c>
      <c r="H5284" t="s">
        <v>26</v>
      </c>
      <c r="I5284" t="s">
        <v>200</v>
      </c>
      <c r="J5284" t="str">
        <f>"9781118168479"</f>
        <v>9781118168479</v>
      </c>
      <c r="K5284" t="s">
        <v>8506</v>
      </c>
      <c r="L5284">
        <v>2</v>
      </c>
      <c r="O5284" t="s">
        <v>28</v>
      </c>
      <c r="P5284" t="s">
        <v>29</v>
      </c>
      <c r="Q5284" s="1">
        <v>42302.943020833336</v>
      </c>
      <c r="R5284">
        <v>7</v>
      </c>
      <c r="S5284" t="s">
        <v>31</v>
      </c>
      <c r="T5284" t="s">
        <v>1053</v>
      </c>
      <c r="U5284">
        <v>729</v>
      </c>
      <c r="V5284" s="3">
        <v>40973</v>
      </c>
    </row>
    <row r="5285" spans="1:22" x14ac:dyDescent="0.35">
      <c r="A5285" s="1">
        <v>42302.943564814814</v>
      </c>
      <c r="B5285" s="2">
        <v>0</v>
      </c>
      <c r="C5285" t="s">
        <v>7385</v>
      </c>
      <c r="D5285" t="s">
        <v>23</v>
      </c>
      <c r="E5285" t="s">
        <v>24</v>
      </c>
      <c r="F5285" t="s">
        <v>1051</v>
      </c>
      <c r="G5285">
        <v>821663</v>
      </c>
      <c r="H5285" t="s">
        <v>26</v>
      </c>
      <c r="I5285" t="s">
        <v>200</v>
      </c>
      <c r="J5285" t="str">
        <f>"9781118168479"</f>
        <v>9781118168479</v>
      </c>
      <c r="L5285">
        <v>0</v>
      </c>
      <c r="O5285" t="s">
        <v>28</v>
      </c>
      <c r="P5285" t="s">
        <v>29</v>
      </c>
      <c r="Q5285" s="1">
        <v>42302.943020833336</v>
      </c>
      <c r="R5285">
        <v>7</v>
      </c>
      <c r="S5285" t="s">
        <v>31</v>
      </c>
      <c r="T5285" t="s">
        <v>1053</v>
      </c>
      <c r="U5285">
        <v>729</v>
      </c>
      <c r="V5285" s="3">
        <v>40973</v>
      </c>
    </row>
    <row r="5286" spans="1:22" x14ac:dyDescent="0.35">
      <c r="A5286" s="1">
        <v>42302.943020833336</v>
      </c>
      <c r="B5286" s="2">
        <v>4.9768518518518521E-4</v>
      </c>
      <c r="C5286" t="s">
        <v>7385</v>
      </c>
      <c r="D5286" t="s">
        <v>23</v>
      </c>
      <c r="E5286" t="s">
        <v>24</v>
      </c>
      <c r="F5286" t="s">
        <v>1051</v>
      </c>
      <c r="G5286">
        <v>821663</v>
      </c>
      <c r="H5286" t="s">
        <v>26</v>
      </c>
      <c r="I5286" t="s">
        <v>200</v>
      </c>
      <c r="J5286" t="str">
        <f>"9781118168479"</f>
        <v>9781118168479</v>
      </c>
      <c r="K5286" t="s">
        <v>414</v>
      </c>
      <c r="L5286">
        <v>2</v>
      </c>
      <c r="O5286" t="s">
        <v>28</v>
      </c>
      <c r="P5286" t="s">
        <v>29</v>
      </c>
      <c r="Q5286" s="1">
        <v>42302.943020833336</v>
      </c>
      <c r="R5286">
        <v>7</v>
      </c>
      <c r="S5286" t="s">
        <v>31</v>
      </c>
      <c r="T5286" t="s">
        <v>1053</v>
      </c>
      <c r="U5286">
        <v>729</v>
      </c>
      <c r="V5286" s="3">
        <v>40973</v>
      </c>
    </row>
    <row r="5287" spans="1:22" x14ac:dyDescent="0.35">
      <c r="A5287" s="1">
        <v>42302.943020833336</v>
      </c>
      <c r="B5287" s="2">
        <v>0</v>
      </c>
      <c r="C5287" t="s">
        <v>7385</v>
      </c>
      <c r="D5287" t="s">
        <v>23</v>
      </c>
      <c r="E5287" t="s">
        <v>24</v>
      </c>
      <c r="F5287" t="s">
        <v>1051</v>
      </c>
      <c r="G5287">
        <v>821663</v>
      </c>
      <c r="H5287" t="s">
        <v>26</v>
      </c>
      <c r="I5287" t="s">
        <v>200</v>
      </c>
      <c r="J5287" t="str">
        <f>"9781118168479"</f>
        <v>9781118168479</v>
      </c>
      <c r="L5287">
        <v>0</v>
      </c>
      <c r="O5287" t="s">
        <v>30</v>
      </c>
      <c r="P5287" t="s">
        <v>29</v>
      </c>
      <c r="Q5287" s="1">
        <v>42302.943020833336</v>
      </c>
      <c r="R5287">
        <v>7</v>
      </c>
      <c r="S5287" t="s">
        <v>31</v>
      </c>
      <c r="T5287" t="s">
        <v>1053</v>
      </c>
      <c r="U5287">
        <v>729</v>
      </c>
      <c r="V5287" s="3">
        <v>40973</v>
      </c>
    </row>
    <row r="5288" spans="1:22" x14ac:dyDescent="0.35">
      <c r="A5288" s="1">
        <v>42302.942627314813</v>
      </c>
      <c r="B5288" s="2">
        <v>3.9351851851851852E-4</v>
      </c>
      <c r="C5288" t="s">
        <v>7385</v>
      </c>
      <c r="D5288" t="s">
        <v>23</v>
      </c>
      <c r="E5288" t="s">
        <v>24</v>
      </c>
      <c r="F5288" t="s">
        <v>1051</v>
      </c>
      <c r="G5288">
        <v>821663</v>
      </c>
      <c r="H5288" t="s">
        <v>26</v>
      </c>
      <c r="I5288" t="s">
        <v>200</v>
      </c>
      <c r="J5288" t="str">
        <f>"9781118168479"</f>
        <v>9781118168479</v>
      </c>
      <c r="K5288" t="s">
        <v>8507</v>
      </c>
      <c r="L5288">
        <v>3</v>
      </c>
      <c r="O5288" t="s">
        <v>30</v>
      </c>
      <c r="P5288" t="s">
        <v>42</v>
      </c>
      <c r="S5288" t="s">
        <v>31</v>
      </c>
      <c r="T5288" t="s">
        <v>1053</v>
      </c>
      <c r="U5288">
        <v>729</v>
      </c>
      <c r="V5288" s="3">
        <v>40973</v>
      </c>
    </row>
    <row r="5289" spans="1:22" x14ac:dyDescent="0.35">
      <c r="A5289" s="1">
        <v>42302.901643518519</v>
      </c>
      <c r="B5289" s="2">
        <v>8.4837962962962966E-3</v>
      </c>
      <c r="C5289" t="s">
        <v>8508</v>
      </c>
      <c r="D5289" t="s">
        <v>23</v>
      </c>
      <c r="E5289" t="s">
        <v>24</v>
      </c>
      <c r="F5289" t="s">
        <v>5954</v>
      </c>
      <c r="G5289">
        <v>864784</v>
      </c>
      <c r="H5289" t="s">
        <v>492</v>
      </c>
      <c r="I5289" t="s">
        <v>69</v>
      </c>
      <c r="J5289" t="str">
        <f>"9781400841578"</f>
        <v>9781400841578</v>
      </c>
      <c r="K5289" t="s">
        <v>8509</v>
      </c>
      <c r="L5289">
        <v>33</v>
      </c>
      <c r="O5289" t="s">
        <v>30</v>
      </c>
      <c r="P5289" t="s">
        <v>42</v>
      </c>
      <c r="S5289" t="s">
        <v>31</v>
      </c>
      <c r="T5289" t="s">
        <v>5956</v>
      </c>
      <c r="U5289">
        <v>378.73</v>
      </c>
      <c r="V5289" s="3">
        <v>41786</v>
      </c>
    </row>
    <row r="5290" spans="1:22" x14ac:dyDescent="0.35">
      <c r="A5290" s="1">
        <v>42302.883090277777</v>
      </c>
      <c r="B5290" s="2">
        <v>5.5555555555555556E-4</v>
      </c>
      <c r="C5290" t="s">
        <v>8510</v>
      </c>
      <c r="D5290" t="s">
        <v>2519</v>
      </c>
      <c r="E5290" t="s">
        <v>2520</v>
      </c>
      <c r="F5290" t="s">
        <v>8511</v>
      </c>
      <c r="G5290">
        <v>1129665</v>
      </c>
      <c r="H5290" t="s">
        <v>26</v>
      </c>
      <c r="I5290" t="s">
        <v>8512</v>
      </c>
      <c r="J5290" t="str">
        <f>"9781118387443"</f>
        <v>9781118387443</v>
      </c>
      <c r="K5290" t="s">
        <v>8513</v>
      </c>
      <c r="L5290">
        <v>15</v>
      </c>
      <c r="O5290" t="s">
        <v>30</v>
      </c>
      <c r="P5290" t="s">
        <v>50</v>
      </c>
      <c r="S5290" t="s">
        <v>2523</v>
      </c>
      <c r="T5290" t="s">
        <v>8514</v>
      </c>
      <c r="U5290" t="s">
        <v>8515</v>
      </c>
      <c r="V5290" s="3">
        <v>41320</v>
      </c>
    </row>
    <row r="5291" spans="1:22" x14ac:dyDescent="0.35">
      <c r="A5291" s="1">
        <v>42302.868472222224</v>
      </c>
      <c r="B5291" s="2">
        <v>2.8009259259259259E-3</v>
      </c>
      <c r="C5291" t="s">
        <v>8516</v>
      </c>
      <c r="D5291" t="s">
        <v>623</v>
      </c>
      <c r="E5291" t="s">
        <v>624</v>
      </c>
      <c r="F5291" t="s">
        <v>8517</v>
      </c>
      <c r="G5291">
        <v>1733902</v>
      </c>
      <c r="H5291" t="s">
        <v>526</v>
      </c>
      <c r="I5291" t="s">
        <v>172</v>
      </c>
      <c r="J5291" t="str">
        <f>"9780226144672"</f>
        <v>9780226144672</v>
      </c>
      <c r="K5291" t="s">
        <v>8518</v>
      </c>
      <c r="L5291">
        <v>35</v>
      </c>
      <c r="O5291" t="s">
        <v>30</v>
      </c>
      <c r="P5291" t="s">
        <v>47</v>
      </c>
      <c r="Q5291" s="1">
        <v>42302.851793981485</v>
      </c>
      <c r="R5291">
        <v>1</v>
      </c>
      <c r="S5291" t="s">
        <v>627</v>
      </c>
      <c r="T5291" t="s">
        <v>8519</v>
      </c>
      <c r="U5291">
        <v>930</v>
      </c>
      <c r="V5291" s="3">
        <v>41453</v>
      </c>
    </row>
    <row r="5292" spans="1:22" x14ac:dyDescent="0.35">
      <c r="A5292" s="1">
        <v>42302.867812500001</v>
      </c>
      <c r="B5292" s="2">
        <v>2.3148148148148147E-5</v>
      </c>
      <c r="C5292" t="s">
        <v>1632</v>
      </c>
      <c r="D5292" t="s">
        <v>261</v>
      </c>
      <c r="E5292" t="s">
        <v>262</v>
      </c>
      <c r="F5292" t="s">
        <v>8520</v>
      </c>
      <c r="G5292">
        <v>1895267</v>
      </c>
      <c r="H5292" t="s">
        <v>26</v>
      </c>
      <c r="I5292" t="s">
        <v>2944</v>
      </c>
      <c r="J5292" t="str">
        <f>"9781119026471"</f>
        <v>9781119026471</v>
      </c>
      <c r="K5292" t="s">
        <v>33</v>
      </c>
      <c r="L5292">
        <v>3</v>
      </c>
      <c r="O5292" t="s">
        <v>30</v>
      </c>
      <c r="P5292" t="s">
        <v>29</v>
      </c>
      <c r="Q5292" s="1">
        <v>42302.867210648146</v>
      </c>
      <c r="R5292">
        <v>7</v>
      </c>
      <c r="S5292" t="s">
        <v>264</v>
      </c>
      <c r="T5292" t="s">
        <v>8521</v>
      </c>
      <c r="U5292" t="s">
        <v>7152</v>
      </c>
      <c r="V5292" s="3">
        <v>41990</v>
      </c>
    </row>
    <row r="5293" spans="1:22" x14ac:dyDescent="0.35">
      <c r="A5293" s="1">
        <v>42302.867800925924</v>
      </c>
      <c r="B5293" s="2">
        <v>0</v>
      </c>
      <c r="C5293" t="s">
        <v>8516</v>
      </c>
      <c r="D5293" t="s">
        <v>623</v>
      </c>
      <c r="E5293" t="s">
        <v>624</v>
      </c>
      <c r="F5293" t="s">
        <v>8517</v>
      </c>
      <c r="G5293">
        <v>1733902</v>
      </c>
      <c r="H5293" t="s">
        <v>526</v>
      </c>
      <c r="I5293" t="s">
        <v>172</v>
      </c>
      <c r="J5293" t="str">
        <f>"9780226144672"</f>
        <v>9780226144672</v>
      </c>
      <c r="L5293">
        <v>0</v>
      </c>
      <c r="O5293" t="s">
        <v>30</v>
      </c>
      <c r="P5293" t="s">
        <v>47</v>
      </c>
      <c r="Q5293" s="1">
        <v>42302.851793981485</v>
      </c>
      <c r="R5293">
        <v>1</v>
      </c>
      <c r="S5293" t="s">
        <v>627</v>
      </c>
      <c r="T5293" t="s">
        <v>8519</v>
      </c>
      <c r="U5293">
        <v>930</v>
      </c>
      <c r="V5293" s="3">
        <v>41453</v>
      </c>
    </row>
    <row r="5294" spans="1:22" x14ac:dyDescent="0.35">
      <c r="A5294" s="1">
        <v>42302.867210648146</v>
      </c>
      <c r="B5294" s="2">
        <v>0</v>
      </c>
      <c r="C5294" t="s">
        <v>1632</v>
      </c>
      <c r="D5294" t="s">
        <v>261</v>
      </c>
      <c r="E5294" t="s">
        <v>262</v>
      </c>
      <c r="F5294" t="s">
        <v>8520</v>
      </c>
      <c r="G5294">
        <v>1895267</v>
      </c>
      <c r="H5294" t="s">
        <v>26</v>
      </c>
      <c r="I5294" t="s">
        <v>2944</v>
      </c>
      <c r="J5294" t="str">
        <f>"9781119026471"</f>
        <v>9781119026471</v>
      </c>
      <c r="L5294">
        <v>0</v>
      </c>
      <c r="M5294" t="s">
        <v>105</v>
      </c>
      <c r="O5294" t="s">
        <v>30</v>
      </c>
      <c r="P5294" t="s">
        <v>29</v>
      </c>
      <c r="Q5294" s="1">
        <v>42302.867210648146</v>
      </c>
      <c r="R5294">
        <v>7</v>
      </c>
      <c r="S5294" t="s">
        <v>264</v>
      </c>
      <c r="T5294" t="s">
        <v>8521</v>
      </c>
      <c r="U5294" t="s">
        <v>7152</v>
      </c>
      <c r="V5294" s="3">
        <v>41990</v>
      </c>
    </row>
    <row r="5295" spans="1:22" x14ac:dyDescent="0.35">
      <c r="A5295" s="1">
        <v>42302.866932870369</v>
      </c>
      <c r="B5295" s="2">
        <v>2.7777777777777778E-4</v>
      </c>
      <c r="C5295" t="s">
        <v>1632</v>
      </c>
      <c r="D5295" t="s">
        <v>261</v>
      </c>
      <c r="E5295" t="s">
        <v>262</v>
      </c>
      <c r="F5295" t="s">
        <v>8520</v>
      </c>
      <c r="G5295">
        <v>1895267</v>
      </c>
      <c r="H5295" t="s">
        <v>26</v>
      </c>
      <c r="I5295" t="s">
        <v>2944</v>
      </c>
      <c r="J5295" t="str">
        <f>"9781119026471"</f>
        <v>9781119026471</v>
      </c>
      <c r="K5295" t="s">
        <v>33</v>
      </c>
      <c r="L5295">
        <v>3</v>
      </c>
      <c r="O5295" t="s">
        <v>30</v>
      </c>
      <c r="P5295" t="s">
        <v>42</v>
      </c>
      <c r="S5295" t="s">
        <v>264</v>
      </c>
      <c r="T5295" t="s">
        <v>8521</v>
      </c>
      <c r="U5295" t="s">
        <v>7152</v>
      </c>
      <c r="V5295" s="3">
        <v>41990</v>
      </c>
    </row>
    <row r="5296" spans="1:22" x14ac:dyDescent="0.35">
      <c r="A5296" s="1">
        <v>42302.861030092594</v>
      </c>
      <c r="B5296" s="2">
        <v>0</v>
      </c>
      <c r="C5296" t="s">
        <v>8522</v>
      </c>
      <c r="D5296" t="s">
        <v>261</v>
      </c>
      <c r="E5296" t="s">
        <v>262</v>
      </c>
      <c r="F5296" t="s">
        <v>1477</v>
      </c>
      <c r="G5296">
        <v>822111</v>
      </c>
      <c r="H5296" t="s">
        <v>26</v>
      </c>
      <c r="I5296" t="s">
        <v>120</v>
      </c>
      <c r="J5296" t="str">
        <f>"9781444356922"</f>
        <v>9781444356922</v>
      </c>
      <c r="L5296">
        <v>0</v>
      </c>
      <c r="O5296" t="s">
        <v>28</v>
      </c>
      <c r="P5296" t="s">
        <v>29</v>
      </c>
      <c r="Q5296" s="1">
        <v>42302.861030092594</v>
      </c>
      <c r="R5296">
        <v>7</v>
      </c>
      <c r="S5296" t="s">
        <v>264</v>
      </c>
      <c r="T5296" t="s">
        <v>1479</v>
      </c>
      <c r="U5296" t="s">
        <v>1480</v>
      </c>
      <c r="V5296" s="3">
        <v>40955</v>
      </c>
    </row>
    <row r="5297" spans="1:22" x14ac:dyDescent="0.35">
      <c r="A5297" s="1">
        <v>42302.861030092594</v>
      </c>
      <c r="B5297" s="2">
        <v>0</v>
      </c>
      <c r="C5297" t="s">
        <v>8522</v>
      </c>
      <c r="D5297" t="s">
        <v>261</v>
      </c>
      <c r="E5297" t="s">
        <v>262</v>
      </c>
      <c r="F5297" t="s">
        <v>1477</v>
      </c>
      <c r="G5297">
        <v>822111</v>
      </c>
      <c r="H5297" t="s">
        <v>26</v>
      </c>
      <c r="I5297" t="s">
        <v>120</v>
      </c>
      <c r="J5297" t="str">
        <f>"9781444356922"</f>
        <v>9781444356922</v>
      </c>
      <c r="L5297">
        <v>0</v>
      </c>
      <c r="O5297" t="s">
        <v>30</v>
      </c>
      <c r="P5297" t="s">
        <v>29</v>
      </c>
      <c r="Q5297" s="1">
        <v>42302.861030092594</v>
      </c>
      <c r="R5297">
        <v>7</v>
      </c>
      <c r="S5297" t="s">
        <v>264</v>
      </c>
      <c r="T5297" t="s">
        <v>1479</v>
      </c>
      <c r="U5297" t="s">
        <v>1480</v>
      </c>
      <c r="V5297" s="3">
        <v>40955</v>
      </c>
    </row>
    <row r="5298" spans="1:22" x14ac:dyDescent="0.35">
      <c r="A5298" s="1">
        <v>42302.860497685186</v>
      </c>
      <c r="B5298" s="2">
        <v>5.3240740740740744E-4</v>
      </c>
      <c r="C5298" t="s">
        <v>8522</v>
      </c>
      <c r="D5298" t="s">
        <v>261</v>
      </c>
      <c r="E5298" t="s">
        <v>262</v>
      </c>
      <c r="F5298" t="s">
        <v>1477</v>
      </c>
      <c r="G5298">
        <v>822111</v>
      </c>
      <c r="H5298" t="s">
        <v>26</v>
      </c>
      <c r="I5298" t="s">
        <v>120</v>
      </c>
      <c r="J5298" t="str">
        <f>"9781444356922"</f>
        <v>9781444356922</v>
      </c>
      <c r="K5298" t="s">
        <v>8523</v>
      </c>
      <c r="L5298">
        <v>10</v>
      </c>
      <c r="O5298" t="s">
        <v>30</v>
      </c>
      <c r="P5298" t="s">
        <v>42</v>
      </c>
      <c r="S5298" t="s">
        <v>264</v>
      </c>
      <c r="T5298" t="s">
        <v>1479</v>
      </c>
      <c r="U5298" t="s">
        <v>1480</v>
      </c>
      <c r="V5298" s="3">
        <v>40955</v>
      </c>
    </row>
    <row r="5299" spans="1:22" x14ac:dyDescent="0.35">
      <c r="A5299" s="1">
        <v>42302.854641203703</v>
      </c>
      <c r="B5299" s="2">
        <v>1.2037037037037038E-3</v>
      </c>
      <c r="C5299" t="s">
        <v>8522</v>
      </c>
      <c r="D5299" t="s">
        <v>261</v>
      </c>
      <c r="E5299" t="s">
        <v>262</v>
      </c>
      <c r="F5299" t="s">
        <v>8520</v>
      </c>
      <c r="G5299">
        <v>1895267</v>
      </c>
      <c r="H5299" t="s">
        <v>26</v>
      </c>
      <c r="I5299" t="s">
        <v>2944</v>
      </c>
      <c r="J5299" t="str">
        <f>"9781119026471"</f>
        <v>9781119026471</v>
      </c>
      <c r="K5299" t="s">
        <v>8524</v>
      </c>
      <c r="L5299">
        <v>10</v>
      </c>
      <c r="O5299" t="s">
        <v>28</v>
      </c>
      <c r="P5299" t="s">
        <v>29</v>
      </c>
      <c r="Q5299" s="1">
        <v>42302.840185185189</v>
      </c>
      <c r="R5299">
        <v>7</v>
      </c>
      <c r="S5299" t="s">
        <v>264</v>
      </c>
      <c r="T5299" t="s">
        <v>8521</v>
      </c>
      <c r="U5299" t="s">
        <v>7152</v>
      </c>
      <c r="V5299" s="3">
        <v>41990</v>
      </c>
    </row>
    <row r="5300" spans="1:22" x14ac:dyDescent="0.35">
      <c r="A5300" s="1">
        <v>42302.854328703703</v>
      </c>
      <c r="B5300" s="2">
        <v>3.4722222222222222E-5</v>
      </c>
      <c r="C5300" t="s">
        <v>8522</v>
      </c>
      <c r="D5300" t="s">
        <v>261</v>
      </c>
      <c r="E5300" t="s">
        <v>262</v>
      </c>
      <c r="F5300" t="s">
        <v>8520</v>
      </c>
      <c r="G5300">
        <v>1895267</v>
      </c>
      <c r="H5300" t="s">
        <v>26</v>
      </c>
      <c r="I5300" t="s">
        <v>2944</v>
      </c>
      <c r="J5300" t="str">
        <f>"9781119026471"</f>
        <v>9781119026471</v>
      </c>
      <c r="K5300" t="s">
        <v>33</v>
      </c>
      <c r="L5300">
        <v>3</v>
      </c>
      <c r="O5300" t="s">
        <v>30</v>
      </c>
      <c r="P5300" t="s">
        <v>29</v>
      </c>
      <c r="Q5300" s="1">
        <v>42302.840185185189</v>
      </c>
      <c r="R5300">
        <v>7</v>
      </c>
      <c r="S5300" t="s">
        <v>264</v>
      </c>
      <c r="T5300" t="s">
        <v>8521</v>
      </c>
      <c r="U5300" t="s">
        <v>7152</v>
      </c>
      <c r="V5300" s="3">
        <v>41990</v>
      </c>
    </row>
    <row r="5301" spans="1:22" x14ac:dyDescent="0.35">
      <c r="A5301" s="1">
        <v>42302.851898148147</v>
      </c>
      <c r="B5301" s="2">
        <v>0</v>
      </c>
      <c r="C5301" t="s">
        <v>8522</v>
      </c>
      <c r="D5301" t="s">
        <v>261</v>
      </c>
      <c r="E5301" t="s">
        <v>262</v>
      </c>
      <c r="F5301" t="s">
        <v>8520</v>
      </c>
      <c r="G5301">
        <v>1895267</v>
      </c>
      <c r="H5301" t="s">
        <v>26</v>
      </c>
      <c r="I5301" t="s">
        <v>2944</v>
      </c>
      <c r="J5301" t="str">
        <f>"9781119026471"</f>
        <v>9781119026471</v>
      </c>
      <c r="L5301">
        <v>0</v>
      </c>
      <c r="N5301" t="s">
        <v>8525</v>
      </c>
      <c r="O5301" t="s">
        <v>28</v>
      </c>
      <c r="P5301" t="s">
        <v>29</v>
      </c>
      <c r="Q5301" s="1">
        <v>42302.840185185189</v>
      </c>
      <c r="R5301">
        <v>7</v>
      </c>
      <c r="S5301" t="s">
        <v>264</v>
      </c>
      <c r="T5301" t="s">
        <v>8521</v>
      </c>
      <c r="U5301" t="s">
        <v>7152</v>
      </c>
      <c r="V5301" s="3">
        <v>41990</v>
      </c>
    </row>
    <row r="5302" spans="1:22" x14ac:dyDescent="0.35">
      <c r="A5302" s="1">
        <v>42302.851793981485</v>
      </c>
      <c r="B5302" s="2">
        <v>3.1018518518518522E-3</v>
      </c>
      <c r="C5302" t="s">
        <v>8516</v>
      </c>
      <c r="D5302" t="s">
        <v>623</v>
      </c>
      <c r="E5302" t="s">
        <v>624</v>
      </c>
      <c r="F5302" t="s">
        <v>8517</v>
      </c>
      <c r="G5302">
        <v>1733902</v>
      </c>
      <c r="H5302" t="s">
        <v>526</v>
      </c>
      <c r="I5302" t="s">
        <v>172</v>
      </c>
      <c r="J5302" t="str">
        <f>"9780226144672"</f>
        <v>9780226144672</v>
      </c>
      <c r="K5302" t="s">
        <v>8526</v>
      </c>
      <c r="L5302">
        <v>9</v>
      </c>
      <c r="N5302" t="s">
        <v>8527</v>
      </c>
      <c r="O5302" t="s">
        <v>30</v>
      </c>
      <c r="P5302" t="s">
        <v>47</v>
      </c>
      <c r="Q5302" s="1">
        <v>42302.851793981485</v>
      </c>
      <c r="R5302">
        <v>1</v>
      </c>
      <c r="S5302" t="s">
        <v>627</v>
      </c>
      <c r="T5302" t="s">
        <v>8519</v>
      </c>
      <c r="U5302">
        <v>930</v>
      </c>
      <c r="V5302" s="3">
        <v>41453</v>
      </c>
    </row>
    <row r="5303" spans="1:22" x14ac:dyDescent="0.35">
      <c r="A5303" s="1">
        <v>42302.851006944446</v>
      </c>
      <c r="B5303" s="2">
        <v>7.8703703703703705E-4</v>
      </c>
      <c r="C5303" t="s">
        <v>8516</v>
      </c>
      <c r="D5303" t="s">
        <v>623</v>
      </c>
      <c r="E5303" t="s">
        <v>624</v>
      </c>
      <c r="F5303" t="s">
        <v>8517</v>
      </c>
      <c r="G5303">
        <v>1733902</v>
      </c>
      <c r="H5303" t="s">
        <v>526</v>
      </c>
      <c r="I5303" t="s">
        <v>172</v>
      </c>
      <c r="J5303" t="str">
        <f>"9780226144672"</f>
        <v>9780226144672</v>
      </c>
      <c r="K5303" t="s">
        <v>8528</v>
      </c>
      <c r="L5303">
        <v>18</v>
      </c>
      <c r="O5303" t="s">
        <v>30</v>
      </c>
      <c r="P5303" t="s">
        <v>50</v>
      </c>
      <c r="S5303" t="s">
        <v>627</v>
      </c>
      <c r="T5303" t="s">
        <v>8519</v>
      </c>
      <c r="U5303">
        <v>930</v>
      </c>
      <c r="V5303" s="3">
        <v>41453</v>
      </c>
    </row>
    <row r="5304" spans="1:22" x14ac:dyDescent="0.35">
      <c r="A5304" s="1">
        <v>42302.849282407406</v>
      </c>
      <c r="B5304" s="2">
        <v>2.5925925925925925E-3</v>
      </c>
      <c r="C5304" t="s">
        <v>8522</v>
      </c>
      <c r="D5304" t="s">
        <v>261</v>
      </c>
      <c r="E5304" t="s">
        <v>262</v>
      </c>
      <c r="F5304" t="s">
        <v>8520</v>
      </c>
      <c r="G5304">
        <v>1895267</v>
      </c>
      <c r="H5304" t="s">
        <v>26</v>
      </c>
      <c r="I5304" t="s">
        <v>2944</v>
      </c>
      <c r="J5304" t="str">
        <f>"9781119026471"</f>
        <v>9781119026471</v>
      </c>
      <c r="K5304" t="s">
        <v>8529</v>
      </c>
      <c r="L5304">
        <v>7</v>
      </c>
      <c r="O5304" t="s">
        <v>28</v>
      </c>
      <c r="P5304" t="s">
        <v>29</v>
      </c>
      <c r="Q5304" s="1">
        <v>42302.840185185189</v>
      </c>
      <c r="R5304">
        <v>7</v>
      </c>
      <c r="S5304" t="s">
        <v>264</v>
      </c>
      <c r="T5304" t="s">
        <v>8521</v>
      </c>
      <c r="U5304" t="s">
        <v>7152</v>
      </c>
      <c r="V5304" s="3">
        <v>41990</v>
      </c>
    </row>
    <row r="5305" spans="1:22" x14ac:dyDescent="0.35">
      <c r="A5305" s="1">
        <v>42302.842256944445</v>
      </c>
      <c r="B5305" s="2">
        <v>1.3657407407407409E-3</v>
      </c>
      <c r="C5305" t="s">
        <v>106</v>
      </c>
      <c r="D5305" t="s">
        <v>23</v>
      </c>
      <c r="E5305" t="s">
        <v>24</v>
      </c>
      <c r="F5305" t="s">
        <v>8530</v>
      </c>
      <c r="G5305">
        <v>1698820</v>
      </c>
      <c r="H5305" t="s">
        <v>84</v>
      </c>
      <c r="I5305" t="s">
        <v>120</v>
      </c>
      <c r="J5305" t="str">
        <f>"9780520957350"</f>
        <v>9780520957350</v>
      </c>
      <c r="K5305" t="s">
        <v>8531</v>
      </c>
      <c r="L5305">
        <v>5</v>
      </c>
      <c r="O5305" t="s">
        <v>28</v>
      </c>
      <c r="P5305" t="s">
        <v>47</v>
      </c>
      <c r="Q5305" s="1">
        <v>42302.842256944445</v>
      </c>
      <c r="R5305">
        <v>1</v>
      </c>
      <c r="S5305" t="s">
        <v>31</v>
      </c>
      <c r="T5305" t="s">
        <v>8532</v>
      </c>
      <c r="U5305" t="s">
        <v>3856</v>
      </c>
      <c r="V5305" s="3">
        <v>41838</v>
      </c>
    </row>
    <row r="5306" spans="1:22" x14ac:dyDescent="0.35">
      <c r="A5306" s="1">
        <v>42302.842256944445</v>
      </c>
      <c r="B5306" s="2">
        <v>0</v>
      </c>
      <c r="C5306" t="s">
        <v>106</v>
      </c>
      <c r="D5306" t="s">
        <v>23</v>
      </c>
      <c r="E5306" t="s">
        <v>24</v>
      </c>
      <c r="F5306" t="s">
        <v>8530</v>
      </c>
      <c r="G5306">
        <v>1698820</v>
      </c>
      <c r="H5306" t="s">
        <v>84</v>
      </c>
      <c r="I5306" t="s">
        <v>120</v>
      </c>
      <c r="J5306" t="str">
        <f>"9780520957350"</f>
        <v>9780520957350</v>
      </c>
      <c r="L5306">
        <v>0</v>
      </c>
      <c r="O5306" t="s">
        <v>30</v>
      </c>
      <c r="P5306" t="s">
        <v>47</v>
      </c>
      <c r="Q5306" s="1">
        <v>42302.842256944445</v>
      </c>
      <c r="R5306">
        <v>1</v>
      </c>
      <c r="S5306" t="s">
        <v>31</v>
      </c>
      <c r="T5306" t="s">
        <v>8532</v>
      </c>
      <c r="U5306" t="s">
        <v>3856</v>
      </c>
      <c r="V5306" s="3">
        <v>41838</v>
      </c>
    </row>
    <row r="5307" spans="1:22" x14ac:dyDescent="0.35">
      <c r="A5307" s="1">
        <v>42302.842129629629</v>
      </c>
      <c r="B5307" s="2">
        <v>1.273148148148148E-4</v>
      </c>
      <c r="C5307" t="s">
        <v>106</v>
      </c>
      <c r="D5307" t="s">
        <v>23</v>
      </c>
      <c r="E5307" t="s">
        <v>24</v>
      </c>
      <c r="F5307" t="s">
        <v>8530</v>
      </c>
      <c r="G5307">
        <v>1698820</v>
      </c>
      <c r="H5307" t="s">
        <v>84</v>
      </c>
      <c r="I5307" t="s">
        <v>120</v>
      </c>
      <c r="J5307" t="str">
        <f>"9780520957350"</f>
        <v>9780520957350</v>
      </c>
      <c r="K5307" t="s">
        <v>33</v>
      </c>
      <c r="L5307">
        <v>3</v>
      </c>
      <c r="O5307" t="s">
        <v>30</v>
      </c>
      <c r="P5307" t="s">
        <v>50</v>
      </c>
      <c r="S5307" t="s">
        <v>31</v>
      </c>
      <c r="T5307" t="s">
        <v>8532</v>
      </c>
      <c r="U5307" t="s">
        <v>3856</v>
      </c>
      <c r="V5307" s="3">
        <v>41838</v>
      </c>
    </row>
    <row r="5308" spans="1:22" x14ac:dyDescent="0.35">
      <c r="A5308" s="1">
        <v>42302.840185185189</v>
      </c>
      <c r="B5308" s="2">
        <v>8.2986111111111108E-3</v>
      </c>
      <c r="C5308" t="s">
        <v>8522</v>
      </c>
      <c r="D5308" t="s">
        <v>261</v>
      </c>
      <c r="E5308" t="s">
        <v>262</v>
      </c>
      <c r="F5308" t="s">
        <v>8520</v>
      </c>
      <c r="G5308">
        <v>1895267</v>
      </c>
      <c r="H5308" t="s">
        <v>26</v>
      </c>
      <c r="I5308" t="s">
        <v>2944</v>
      </c>
      <c r="J5308" t="str">
        <f>"9781119026471"</f>
        <v>9781119026471</v>
      </c>
      <c r="K5308" t="s">
        <v>8533</v>
      </c>
      <c r="L5308">
        <v>13</v>
      </c>
      <c r="M5308" t="s">
        <v>105</v>
      </c>
      <c r="O5308" t="s">
        <v>28</v>
      </c>
      <c r="P5308" t="s">
        <v>29</v>
      </c>
      <c r="Q5308" s="1">
        <v>42302.840185185189</v>
      </c>
      <c r="R5308">
        <v>7</v>
      </c>
      <c r="S5308" t="s">
        <v>264</v>
      </c>
      <c r="T5308" t="s">
        <v>8521</v>
      </c>
      <c r="U5308" t="s">
        <v>7152</v>
      </c>
      <c r="V5308" s="3">
        <v>41990</v>
      </c>
    </row>
    <row r="5309" spans="1:22" x14ac:dyDescent="0.35">
      <c r="A5309" s="1">
        <v>42302.840185185189</v>
      </c>
      <c r="B5309" s="2">
        <v>0</v>
      </c>
      <c r="C5309" t="s">
        <v>8522</v>
      </c>
      <c r="D5309" t="s">
        <v>261</v>
      </c>
      <c r="E5309" t="s">
        <v>262</v>
      </c>
      <c r="F5309" t="s">
        <v>8520</v>
      </c>
      <c r="G5309">
        <v>1895267</v>
      </c>
      <c r="H5309" t="s">
        <v>26</v>
      </c>
      <c r="I5309" t="s">
        <v>2944</v>
      </c>
      <c r="J5309" t="str">
        <f>"9781119026471"</f>
        <v>9781119026471</v>
      </c>
      <c r="L5309">
        <v>0</v>
      </c>
      <c r="O5309" t="s">
        <v>30</v>
      </c>
      <c r="P5309" t="s">
        <v>29</v>
      </c>
      <c r="Q5309" s="1">
        <v>42302.840185185189</v>
      </c>
      <c r="R5309">
        <v>7</v>
      </c>
      <c r="S5309" t="s">
        <v>264</v>
      </c>
      <c r="T5309" t="s">
        <v>8521</v>
      </c>
      <c r="U5309" t="s">
        <v>7152</v>
      </c>
      <c r="V5309" s="3">
        <v>41990</v>
      </c>
    </row>
    <row r="5310" spans="1:22" x14ac:dyDescent="0.35">
      <c r="A5310" s="1">
        <v>42302.838437500002</v>
      </c>
      <c r="B5310" s="2">
        <v>1.7476851851851852E-3</v>
      </c>
      <c r="C5310" t="s">
        <v>8522</v>
      </c>
      <c r="D5310" t="s">
        <v>261</v>
      </c>
      <c r="E5310" t="s">
        <v>262</v>
      </c>
      <c r="F5310" t="s">
        <v>8520</v>
      </c>
      <c r="G5310">
        <v>1895267</v>
      </c>
      <c r="H5310" t="s">
        <v>26</v>
      </c>
      <c r="I5310" t="s">
        <v>2944</v>
      </c>
      <c r="J5310" t="str">
        <f>"9781119026471"</f>
        <v>9781119026471</v>
      </c>
      <c r="K5310" t="s">
        <v>8534</v>
      </c>
      <c r="L5310">
        <v>25</v>
      </c>
      <c r="O5310" t="s">
        <v>30</v>
      </c>
      <c r="P5310" t="s">
        <v>50</v>
      </c>
      <c r="S5310" t="s">
        <v>264</v>
      </c>
      <c r="T5310" t="s">
        <v>8521</v>
      </c>
      <c r="U5310" t="s">
        <v>7152</v>
      </c>
      <c r="V5310" s="3">
        <v>41990</v>
      </c>
    </row>
    <row r="5311" spans="1:22" x14ac:dyDescent="0.35">
      <c r="A5311" s="1">
        <v>42302.775266203702</v>
      </c>
      <c r="B5311" s="2">
        <v>2.8819444444444444E-3</v>
      </c>
      <c r="C5311" t="s">
        <v>8508</v>
      </c>
      <c r="D5311" t="s">
        <v>23</v>
      </c>
      <c r="E5311" t="s">
        <v>24</v>
      </c>
      <c r="F5311" t="s">
        <v>5954</v>
      </c>
      <c r="G5311">
        <v>864784</v>
      </c>
      <c r="H5311" t="s">
        <v>492</v>
      </c>
      <c r="I5311" t="s">
        <v>69</v>
      </c>
      <c r="J5311" t="str">
        <f>"9781400841578"</f>
        <v>9781400841578</v>
      </c>
      <c r="K5311" t="s">
        <v>8535</v>
      </c>
      <c r="L5311">
        <v>19</v>
      </c>
      <c r="O5311" t="s">
        <v>30</v>
      </c>
      <c r="P5311" t="s">
        <v>42</v>
      </c>
      <c r="S5311" t="s">
        <v>31</v>
      </c>
      <c r="T5311" t="s">
        <v>5956</v>
      </c>
      <c r="U5311">
        <v>378.73</v>
      </c>
      <c r="V5311" s="3">
        <v>41786</v>
      </c>
    </row>
    <row r="5312" spans="1:22" x14ac:dyDescent="0.35">
      <c r="A5312" s="1">
        <v>42302.75472222222</v>
      </c>
      <c r="B5312" s="2">
        <v>2.0023148148148148E-3</v>
      </c>
      <c r="C5312" t="s">
        <v>8536</v>
      </c>
      <c r="D5312" t="s">
        <v>623</v>
      </c>
      <c r="E5312" t="s">
        <v>624</v>
      </c>
      <c r="F5312" t="s">
        <v>6115</v>
      </c>
      <c r="G5312">
        <v>2008060</v>
      </c>
      <c r="H5312" t="s">
        <v>26</v>
      </c>
      <c r="I5312" t="s">
        <v>172</v>
      </c>
      <c r="J5312" t="str">
        <f>"9781118949016"</f>
        <v>9781118949016</v>
      </c>
      <c r="K5312" t="s">
        <v>8537</v>
      </c>
      <c r="L5312">
        <v>27</v>
      </c>
      <c r="O5312" t="s">
        <v>30</v>
      </c>
      <c r="P5312" t="s">
        <v>50</v>
      </c>
      <c r="S5312" t="s">
        <v>627</v>
      </c>
      <c r="T5312" t="s">
        <v>6117</v>
      </c>
      <c r="U5312" t="s">
        <v>6118</v>
      </c>
      <c r="V5312" s="3">
        <v>42088</v>
      </c>
    </row>
    <row r="5313" spans="1:22" x14ac:dyDescent="0.35">
      <c r="A5313" s="1">
        <v>42302.74454861111</v>
      </c>
      <c r="B5313" s="2">
        <v>2.5462962962962961E-4</v>
      </c>
      <c r="C5313" t="s">
        <v>8538</v>
      </c>
      <c r="D5313" t="s">
        <v>1222</v>
      </c>
      <c r="E5313" t="s">
        <v>1223</v>
      </c>
      <c r="F5313" t="s">
        <v>3495</v>
      </c>
      <c r="G5313">
        <v>1655861</v>
      </c>
      <c r="H5313" t="s">
        <v>613</v>
      </c>
      <c r="I5313" t="s">
        <v>291</v>
      </c>
      <c r="J5313" t="str">
        <f>"9781469615578"</f>
        <v>9781469615578</v>
      </c>
      <c r="K5313" t="s">
        <v>8539</v>
      </c>
      <c r="L5313">
        <v>10</v>
      </c>
      <c r="O5313" t="s">
        <v>30</v>
      </c>
      <c r="P5313" t="s">
        <v>50</v>
      </c>
      <c r="S5313" t="s">
        <v>1226</v>
      </c>
      <c r="T5313" t="s">
        <v>3497</v>
      </c>
      <c r="U5313" t="s">
        <v>3498</v>
      </c>
      <c r="V5313" s="3">
        <v>41715</v>
      </c>
    </row>
    <row r="5314" spans="1:22" x14ac:dyDescent="0.35">
      <c r="A5314" s="1">
        <v>42302.691261574073</v>
      </c>
      <c r="B5314" s="2">
        <v>4.6180555555555558E-3</v>
      </c>
      <c r="C5314" t="s">
        <v>8540</v>
      </c>
      <c r="D5314" t="s">
        <v>23</v>
      </c>
      <c r="E5314" t="s">
        <v>24</v>
      </c>
      <c r="F5314" t="s">
        <v>8541</v>
      </c>
      <c r="G5314">
        <v>875850</v>
      </c>
      <c r="H5314" t="s">
        <v>26</v>
      </c>
      <c r="I5314" t="s">
        <v>7821</v>
      </c>
      <c r="J5314" t="str">
        <f>"9781118333464"</f>
        <v>9781118333464</v>
      </c>
      <c r="K5314" t="s">
        <v>8542</v>
      </c>
      <c r="L5314">
        <v>15</v>
      </c>
      <c r="O5314" t="s">
        <v>30</v>
      </c>
      <c r="P5314" t="s">
        <v>42</v>
      </c>
      <c r="S5314" t="s">
        <v>31</v>
      </c>
      <c r="T5314" t="s">
        <v>8543</v>
      </c>
      <c r="U5314">
        <v>791.06875923999996</v>
      </c>
      <c r="V5314" s="3">
        <v>41152</v>
      </c>
    </row>
    <row r="5315" spans="1:22" x14ac:dyDescent="0.35">
      <c r="A5315" s="1">
        <v>42302.678923611114</v>
      </c>
      <c r="B5315" s="2">
        <v>3.0787037037037037E-3</v>
      </c>
      <c r="C5315" t="s">
        <v>7973</v>
      </c>
      <c r="D5315" t="s">
        <v>211</v>
      </c>
      <c r="E5315" t="s">
        <v>212</v>
      </c>
      <c r="F5315" t="s">
        <v>7682</v>
      </c>
      <c r="G5315">
        <v>1896037</v>
      </c>
      <c r="H5315" t="s">
        <v>26</v>
      </c>
      <c r="I5315" t="s">
        <v>7683</v>
      </c>
      <c r="J5315" t="str">
        <f>"9781119066262"</f>
        <v>9781119066262</v>
      </c>
      <c r="K5315" t="s">
        <v>8544</v>
      </c>
      <c r="L5315">
        <v>21</v>
      </c>
      <c r="O5315" t="s">
        <v>30</v>
      </c>
      <c r="P5315" t="s">
        <v>29</v>
      </c>
      <c r="Q5315" s="1">
        <v>42302.54310185185</v>
      </c>
      <c r="R5315">
        <v>7</v>
      </c>
      <c r="S5315" t="s">
        <v>214</v>
      </c>
      <c r="T5315" t="s">
        <v>7685</v>
      </c>
      <c r="U5315" t="s">
        <v>7686</v>
      </c>
      <c r="V5315" s="3">
        <v>41990</v>
      </c>
    </row>
    <row r="5316" spans="1:22" x14ac:dyDescent="0.35">
      <c r="A5316" s="1">
        <v>42302.585949074077</v>
      </c>
      <c r="B5316" s="2">
        <v>2.7777777777777778E-4</v>
      </c>
      <c r="C5316" t="s">
        <v>8545</v>
      </c>
      <c r="D5316" t="s">
        <v>35</v>
      </c>
      <c r="E5316" t="s">
        <v>36</v>
      </c>
      <c r="F5316" t="s">
        <v>8546</v>
      </c>
      <c r="G5316">
        <v>1882166</v>
      </c>
      <c r="H5316" t="s">
        <v>26</v>
      </c>
      <c r="I5316" t="s">
        <v>8547</v>
      </c>
      <c r="J5316" t="str">
        <f>"9781119026365"</f>
        <v>9781119026365</v>
      </c>
      <c r="K5316" t="s">
        <v>8548</v>
      </c>
      <c r="L5316">
        <v>9</v>
      </c>
      <c r="O5316" t="s">
        <v>30</v>
      </c>
      <c r="P5316" t="s">
        <v>50</v>
      </c>
      <c r="S5316" t="s">
        <v>40</v>
      </c>
      <c r="T5316" t="s">
        <v>8549</v>
      </c>
      <c r="U5316" t="s">
        <v>8550</v>
      </c>
      <c r="V5316" s="3">
        <v>41974</v>
      </c>
    </row>
    <row r="5317" spans="1:22" x14ac:dyDescent="0.35">
      <c r="A5317" s="1">
        <v>42302.54310185185</v>
      </c>
      <c r="B5317" s="2">
        <v>7.6736111111111111E-3</v>
      </c>
      <c r="C5317" t="s">
        <v>7973</v>
      </c>
      <c r="D5317" t="s">
        <v>211</v>
      </c>
      <c r="E5317" t="s">
        <v>212</v>
      </c>
      <c r="F5317" t="s">
        <v>7682</v>
      </c>
      <c r="G5317">
        <v>1896037</v>
      </c>
      <c r="H5317" t="s">
        <v>26</v>
      </c>
      <c r="I5317" t="s">
        <v>7683</v>
      </c>
      <c r="J5317" t="str">
        <f>"9781119066262"</f>
        <v>9781119066262</v>
      </c>
      <c r="K5317" t="s">
        <v>8551</v>
      </c>
      <c r="L5317">
        <v>9</v>
      </c>
      <c r="O5317" t="s">
        <v>30</v>
      </c>
      <c r="P5317" t="s">
        <v>29</v>
      </c>
      <c r="Q5317" s="1">
        <v>42302.54310185185</v>
      </c>
      <c r="R5317">
        <v>7</v>
      </c>
      <c r="S5317" t="s">
        <v>214</v>
      </c>
      <c r="T5317" t="s">
        <v>7685</v>
      </c>
      <c r="U5317" t="s">
        <v>7686</v>
      </c>
      <c r="V5317" s="3">
        <v>41990</v>
      </c>
    </row>
    <row r="5318" spans="1:22" x14ac:dyDescent="0.35">
      <c r="A5318" s="1">
        <v>42302.53297453704</v>
      </c>
      <c r="B5318" s="2">
        <v>1.0115740740740741E-2</v>
      </c>
      <c r="C5318" t="s">
        <v>7973</v>
      </c>
      <c r="D5318" t="s">
        <v>211</v>
      </c>
      <c r="E5318" t="s">
        <v>212</v>
      </c>
      <c r="F5318" t="s">
        <v>7682</v>
      </c>
      <c r="G5318">
        <v>1896037</v>
      </c>
      <c r="H5318" t="s">
        <v>26</v>
      </c>
      <c r="I5318" t="s">
        <v>7683</v>
      </c>
      <c r="J5318" t="str">
        <f>"9781119066262"</f>
        <v>9781119066262</v>
      </c>
      <c r="K5318" t="s">
        <v>8552</v>
      </c>
      <c r="L5318">
        <v>19</v>
      </c>
      <c r="O5318" t="s">
        <v>30</v>
      </c>
      <c r="P5318" t="s">
        <v>50</v>
      </c>
      <c r="S5318" t="s">
        <v>214</v>
      </c>
      <c r="T5318" t="s">
        <v>7685</v>
      </c>
      <c r="U5318" t="s">
        <v>7686</v>
      </c>
      <c r="V5318" s="3">
        <v>41990</v>
      </c>
    </row>
    <row r="5319" spans="1:22" x14ac:dyDescent="0.35">
      <c r="A5319" s="1">
        <v>42302.068668981483</v>
      </c>
      <c r="B5319" s="2">
        <v>7.1180555555555554E-3</v>
      </c>
      <c r="C5319" t="s">
        <v>5326</v>
      </c>
      <c r="D5319" t="s">
        <v>23</v>
      </c>
      <c r="E5319" t="s">
        <v>24</v>
      </c>
      <c r="F5319" t="s">
        <v>486</v>
      </c>
      <c r="G5319">
        <v>1119505</v>
      </c>
      <c r="H5319" t="s">
        <v>26</v>
      </c>
      <c r="I5319" t="s">
        <v>450</v>
      </c>
      <c r="J5319" t="str">
        <f>"9781118355015"</f>
        <v>9781118355015</v>
      </c>
      <c r="K5319" t="s">
        <v>8553</v>
      </c>
      <c r="L5319">
        <v>28</v>
      </c>
      <c r="O5319" t="s">
        <v>30</v>
      </c>
      <c r="P5319" t="s">
        <v>29</v>
      </c>
      <c r="Q5319" s="1">
        <v>42298.000509259262</v>
      </c>
      <c r="R5319">
        <v>7</v>
      </c>
      <c r="S5319" t="s">
        <v>31</v>
      </c>
      <c r="T5319" t="s">
        <v>487</v>
      </c>
      <c r="U5319" t="s">
        <v>488</v>
      </c>
      <c r="V5319" s="3">
        <v>41302</v>
      </c>
    </row>
    <row r="5320" spans="1:22" x14ac:dyDescent="0.35">
      <c r="A5320" s="1">
        <v>42302.055034722223</v>
      </c>
      <c r="B5320" s="2">
        <v>2.2453703703703702E-3</v>
      </c>
      <c r="C5320" t="s">
        <v>8063</v>
      </c>
      <c r="D5320" t="s">
        <v>623</v>
      </c>
      <c r="E5320" t="s">
        <v>624</v>
      </c>
      <c r="F5320" t="s">
        <v>8064</v>
      </c>
      <c r="G5320">
        <v>1763122</v>
      </c>
      <c r="H5320" t="s">
        <v>45</v>
      </c>
      <c r="I5320" t="s">
        <v>310</v>
      </c>
      <c r="J5320" t="str">
        <f>"9781472446848"</f>
        <v>9781472446848</v>
      </c>
      <c r="K5320" t="s">
        <v>8554</v>
      </c>
      <c r="L5320">
        <v>17</v>
      </c>
      <c r="O5320" t="s">
        <v>30</v>
      </c>
      <c r="P5320" t="s">
        <v>50</v>
      </c>
      <c r="S5320" t="s">
        <v>627</v>
      </c>
      <c r="T5320" t="s">
        <v>8066</v>
      </c>
      <c r="U5320" t="s">
        <v>8067</v>
      </c>
      <c r="V5320" s="3">
        <v>41940</v>
      </c>
    </row>
    <row r="5321" spans="1:22" x14ac:dyDescent="0.35">
      <c r="A5321" s="1">
        <v>42302.001770833333</v>
      </c>
      <c r="B5321" s="2">
        <v>2.6620370370370372E-4</v>
      </c>
      <c r="C5321" t="s">
        <v>8555</v>
      </c>
      <c r="D5321" t="s">
        <v>35</v>
      </c>
      <c r="E5321" t="s">
        <v>36</v>
      </c>
      <c r="F5321" t="s">
        <v>8556</v>
      </c>
      <c r="G5321">
        <v>1718749</v>
      </c>
      <c r="H5321" t="s">
        <v>26</v>
      </c>
      <c r="I5321" t="s">
        <v>450</v>
      </c>
      <c r="J5321" t="str">
        <f>"9781118829608"</f>
        <v>9781118829608</v>
      </c>
      <c r="K5321" t="s">
        <v>8557</v>
      </c>
      <c r="L5321">
        <v>6</v>
      </c>
      <c r="O5321" t="s">
        <v>30</v>
      </c>
      <c r="P5321" t="s">
        <v>50</v>
      </c>
      <c r="S5321" t="s">
        <v>40</v>
      </c>
      <c r="T5321" t="s">
        <v>8558</v>
      </c>
      <c r="U5321">
        <v>547</v>
      </c>
      <c r="V5321" s="3">
        <v>41810</v>
      </c>
    </row>
    <row r="5322" spans="1:22" x14ac:dyDescent="0.35">
      <c r="A5322" s="1">
        <v>42301.945219907408</v>
      </c>
      <c r="B5322" s="2">
        <v>1.736111111111111E-3</v>
      </c>
      <c r="C5322" t="s">
        <v>3938</v>
      </c>
      <c r="D5322" t="s">
        <v>623</v>
      </c>
      <c r="E5322" t="s">
        <v>624</v>
      </c>
      <c r="F5322" t="s">
        <v>3939</v>
      </c>
      <c r="G5322">
        <v>1132027</v>
      </c>
      <c r="H5322" t="s">
        <v>84</v>
      </c>
      <c r="I5322" t="s">
        <v>172</v>
      </c>
      <c r="J5322" t="str">
        <f>"9780520954694"</f>
        <v>9780520954694</v>
      </c>
      <c r="K5322" t="s">
        <v>8559</v>
      </c>
      <c r="L5322">
        <v>17</v>
      </c>
      <c r="O5322" t="s">
        <v>30</v>
      </c>
      <c r="P5322" t="s">
        <v>42</v>
      </c>
      <c r="S5322" t="s">
        <v>627</v>
      </c>
      <c r="T5322" t="s">
        <v>3940</v>
      </c>
      <c r="U5322">
        <v>938.07</v>
      </c>
      <c r="V5322" s="3">
        <v>41282</v>
      </c>
    </row>
    <row r="5323" spans="1:22" x14ac:dyDescent="0.35">
      <c r="A5323" s="1">
        <v>42301.93545138889</v>
      </c>
      <c r="B5323" s="2">
        <v>4.31712962962963E-3</v>
      </c>
      <c r="C5323" t="s">
        <v>8560</v>
      </c>
      <c r="D5323" t="s">
        <v>597</v>
      </c>
      <c r="E5323" t="s">
        <v>598</v>
      </c>
      <c r="F5323" t="s">
        <v>111</v>
      </c>
      <c r="G5323">
        <v>693176</v>
      </c>
      <c r="H5323" t="s">
        <v>26</v>
      </c>
      <c r="I5323" t="s">
        <v>112</v>
      </c>
      <c r="J5323" t="str">
        <f>"9781118017746"</f>
        <v>9781118017746</v>
      </c>
      <c r="K5323" t="s">
        <v>8561</v>
      </c>
      <c r="L5323">
        <v>14</v>
      </c>
      <c r="O5323" t="s">
        <v>30</v>
      </c>
      <c r="P5323" t="s">
        <v>42</v>
      </c>
      <c r="S5323" t="s">
        <v>600</v>
      </c>
      <c r="T5323" t="s">
        <v>114</v>
      </c>
      <c r="U5323" t="s">
        <v>115</v>
      </c>
      <c r="V5323" s="3">
        <v>40835</v>
      </c>
    </row>
    <row r="5324" spans="1:22" x14ac:dyDescent="0.35">
      <c r="A5324" s="1">
        <v>42301.918368055558</v>
      </c>
      <c r="B5324" s="2">
        <v>7.9606481481481486E-2</v>
      </c>
      <c r="C5324" t="s">
        <v>8465</v>
      </c>
      <c r="D5324" t="s">
        <v>23</v>
      </c>
      <c r="E5324" t="s">
        <v>24</v>
      </c>
      <c r="F5324" t="s">
        <v>7503</v>
      </c>
      <c r="G5324">
        <v>2051171</v>
      </c>
      <c r="H5324" t="s">
        <v>84</v>
      </c>
      <c r="I5324" t="s">
        <v>120</v>
      </c>
      <c r="J5324" t="str">
        <f>"9780520964037"</f>
        <v>9780520964037</v>
      </c>
      <c r="K5324" t="s">
        <v>8562</v>
      </c>
      <c r="L5324">
        <v>46</v>
      </c>
      <c r="O5324" t="s">
        <v>30</v>
      </c>
      <c r="P5324" t="s">
        <v>47</v>
      </c>
      <c r="Q5324" s="1">
        <v>42301.918368055558</v>
      </c>
      <c r="R5324">
        <v>1</v>
      </c>
      <c r="S5324" t="s">
        <v>31</v>
      </c>
      <c r="T5324" t="s">
        <v>7504</v>
      </c>
      <c r="U5324">
        <v>363.32499999999999</v>
      </c>
      <c r="V5324" s="3">
        <v>42255</v>
      </c>
    </row>
    <row r="5325" spans="1:22" x14ac:dyDescent="0.35">
      <c r="A5325" s="1">
        <v>42301.914837962962</v>
      </c>
      <c r="B5325" s="2">
        <v>3.530092592592592E-3</v>
      </c>
      <c r="C5325" t="s">
        <v>8465</v>
      </c>
      <c r="D5325" t="s">
        <v>23</v>
      </c>
      <c r="E5325" t="s">
        <v>24</v>
      </c>
      <c r="F5325" t="s">
        <v>7503</v>
      </c>
      <c r="G5325">
        <v>2051171</v>
      </c>
      <c r="H5325" t="s">
        <v>84</v>
      </c>
      <c r="I5325" t="s">
        <v>120</v>
      </c>
      <c r="J5325" t="str">
        <f>"9780520964037"</f>
        <v>9780520964037</v>
      </c>
      <c r="K5325" t="s">
        <v>8563</v>
      </c>
      <c r="L5325">
        <v>10</v>
      </c>
      <c r="O5325" t="s">
        <v>30</v>
      </c>
      <c r="P5325" t="s">
        <v>50</v>
      </c>
      <c r="S5325" t="s">
        <v>31</v>
      </c>
      <c r="T5325" t="s">
        <v>7504</v>
      </c>
      <c r="U5325">
        <v>363.32499999999999</v>
      </c>
      <c r="V5325" s="3">
        <v>42255</v>
      </c>
    </row>
    <row r="5326" spans="1:22" x14ac:dyDescent="0.35">
      <c r="A5326" s="1">
        <v>42301.908229166664</v>
      </c>
      <c r="B5326" s="2">
        <v>1.689814814814815E-3</v>
      </c>
      <c r="C5326" t="s">
        <v>8564</v>
      </c>
      <c r="D5326" t="s">
        <v>1482</v>
      </c>
      <c r="E5326" t="s">
        <v>1483</v>
      </c>
      <c r="F5326" t="s">
        <v>8274</v>
      </c>
      <c r="G5326">
        <v>943949</v>
      </c>
      <c r="H5326" t="s">
        <v>1286</v>
      </c>
      <c r="I5326" t="s">
        <v>4369</v>
      </c>
      <c r="J5326" t="str">
        <f>"9780786490868"</f>
        <v>9780786490868</v>
      </c>
      <c r="K5326" t="s">
        <v>8565</v>
      </c>
      <c r="L5326">
        <v>3</v>
      </c>
      <c r="O5326" t="s">
        <v>30</v>
      </c>
      <c r="P5326" t="s">
        <v>29</v>
      </c>
      <c r="Q5326" s="1">
        <v>42301.908229166664</v>
      </c>
      <c r="R5326">
        <v>7</v>
      </c>
      <c r="S5326" t="s">
        <v>1485</v>
      </c>
      <c r="T5326" t="s">
        <v>8275</v>
      </c>
      <c r="U5326">
        <v>509</v>
      </c>
      <c r="V5326" s="3">
        <v>41060</v>
      </c>
    </row>
    <row r="5327" spans="1:22" x14ac:dyDescent="0.35">
      <c r="A5327" s="1">
        <v>42301.898819444446</v>
      </c>
      <c r="B5327" s="2">
        <v>9.4097222222222238E-3</v>
      </c>
      <c r="C5327" t="s">
        <v>8564</v>
      </c>
      <c r="D5327" t="s">
        <v>1482</v>
      </c>
      <c r="E5327" t="s">
        <v>1483</v>
      </c>
      <c r="F5327" t="s">
        <v>8274</v>
      </c>
      <c r="G5327">
        <v>943949</v>
      </c>
      <c r="H5327" t="s">
        <v>1286</v>
      </c>
      <c r="I5327" t="s">
        <v>4369</v>
      </c>
      <c r="J5327" t="str">
        <f>"9780786490868"</f>
        <v>9780786490868</v>
      </c>
      <c r="K5327" t="s">
        <v>1992</v>
      </c>
      <c r="L5327">
        <v>9</v>
      </c>
      <c r="O5327" t="s">
        <v>30</v>
      </c>
      <c r="P5327" t="s">
        <v>42</v>
      </c>
      <c r="S5327" t="s">
        <v>1485</v>
      </c>
      <c r="T5327" t="s">
        <v>8275</v>
      </c>
      <c r="U5327">
        <v>509</v>
      </c>
      <c r="V5327" s="3">
        <v>41060</v>
      </c>
    </row>
    <row r="5328" spans="1:22" x14ac:dyDescent="0.35">
      <c r="A5328" s="1">
        <v>42301.835659722223</v>
      </c>
      <c r="B5328" s="2">
        <v>4.5254629629629629E-3</v>
      </c>
      <c r="C5328" t="s">
        <v>106</v>
      </c>
      <c r="D5328" t="s">
        <v>23</v>
      </c>
      <c r="E5328" t="s">
        <v>24</v>
      </c>
      <c r="F5328" t="s">
        <v>6635</v>
      </c>
      <c r="G5328">
        <v>817871</v>
      </c>
      <c r="H5328" t="s">
        <v>26</v>
      </c>
      <c r="I5328" t="s">
        <v>276</v>
      </c>
      <c r="J5328" t="str">
        <f>"9781118206911"</f>
        <v>9781118206911</v>
      </c>
      <c r="K5328" t="s">
        <v>8566</v>
      </c>
      <c r="L5328">
        <v>15</v>
      </c>
      <c r="O5328" t="s">
        <v>30</v>
      </c>
      <c r="P5328" t="s">
        <v>29</v>
      </c>
      <c r="Q5328" s="1">
        <v>42299.804386574076</v>
      </c>
      <c r="R5328">
        <v>7</v>
      </c>
      <c r="S5328" t="s">
        <v>31</v>
      </c>
      <c r="T5328" t="s">
        <v>6637</v>
      </c>
      <c r="U5328">
        <v>6.74</v>
      </c>
      <c r="V5328" s="3">
        <v>40897</v>
      </c>
    </row>
    <row r="5329" spans="1:22" x14ac:dyDescent="0.35">
      <c r="A5329" s="1">
        <v>42301.772407407407</v>
      </c>
      <c r="B5329" s="2">
        <v>1.0300925925925926E-3</v>
      </c>
      <c r="C5329" t="s">
        <v>8063</v>
      </c>
      <c r="D5329" t="s">
        <v>623</v>
      </c>
      <c r="E5329" t="s">
        <v>624</v>
      </c>
      <c r="F5329" t="s">
        <v>8064</v>
      </c>
      <c r="G5329">
        <v>1763122</v>
      </c>
      <c r="H5329" t="s">
        <v>45</v>
      </c>
      <c r="I5329" t="s">
        <v>310</v>
      </c>
      <c r="J5329" t="str">
        <f>"9781472446848"</f>
        <v>9781472446848</v>
      </c>
      <c r="K5329" t="s">
        <v>8567</v>
      </c>
      <c r="L5329">
        <v>31</v>
      </c>
      <c r="O5329" t="s">
        <v>30</v>
      </c>
      <c r="P5329" t="s">
        <v>50</v>
      </c>
      <c r="S5329" t="s">
        <v>627</v>
      </c>
      <c r="T5329" t="s">
        <v>8066</v>
      </c>
      <c r="U5329" t="s">
        <v>8067</v>
      </c>
      <c r="V5329" s="3">
        <v>41940</v>
      </c>
    </row>
    <row r="5330" spans="1:22" x14ac:dyDescent="0.35">
      <c r="A5330" s="1">
        <v>42301.753263888888</v>
      </c>
      <c r="B5330" s="2">
        <v>3.0902777777777782E-3</v>
      </c>
      <c r="C5330" t="s">
        <v>7754</v>
      </c>
      <c r="D5330" t="s">
        <v>35</v>
      </c>
      <c r="E5330" t="s">
        <v>36</v>
      </c>
      <c r="F5330" t="s">
        <v>8142</v>
      </c>
      <c r="G5330">
        <v>871516</v>
      </c>
      <c r="H5330" t="s">
        <v>26</v>
      </c>
      <c r="I5330" t="s">
        <v>3061</v>
      </c>
      <c r="J5330" t="str">
        <f>"9781444347210"</f>
        <v>9781444347210</v>
      </c>
      <c r="K5330" t="s">
        <v>8568</v>
      </c>
      <c r="L5330">
        <v>17</v>
      </c>
      <c r="O5330" t="s">
        <v>30</v>
      </c>
      <c r="P5330" t="s">
        <v>42</v>
      </c>
      <c r="S5330" t="s">
        <v>40</v>
      </c>
      <c r="T5330" t="s">
        <v>8144</v>
      </c>
      <c r="U5330" t="s">
        <v>8145</v>
      </c>
      <c r="V5330" s="3">
        <v>40967</v>
      </c>
    </row>
    <row r="5331" spans="1:22" x14ac:dyDescent="0.35">
      <c r="A5331" s="1">
        <v>42301.723993055559</v>
      </c>
      <c r="B5331" s="2">
        <v>1.5208333333333332E-2</v>
      </c>
      <c r="C5331" t="s">
        <v>7774</v>
      </c>
      <c r="D5331" t="s">
        <v>23</v>
      </c>
      <c r="E5331" t="s">
        <v>24</v>
      </c>
      <c r="F5331" t="s">
        <v>1051</v>
      </c>
      <c r="G5331">
        <v>821663</v>
      </c>
      <c r="H5331" t="s">
        <v>26</v>
      </c>
      <c r="I5331" t="s">
        <v>200</v>
      </c>
      <c r="J5331" t="str">
        <f>"9781118168479"</f>
        <v>9781118168479</v>
      </c>
      <c r="K5331" t="s">
        <v>8569</v>
      </c>
      <c r="L5331">
        <v>19</v>
      </c>
      <c r="O5331" t="s">
        <v>30</v>
      </c>
      <c r="P5331" t="s">
        <v>29</v>
      </c>
      <c r="Q5331" s="1">
        <v>42298.74962962963</v>
      </c>
      <c r="R5331">
        <v>7</v>
      </c>
      <c r="S5331" t="s">
        <v>31</v>
      </c>
      <c r="T5331" t="s">
        <v>1053</v>
      </c>
      <c r="U5331">
        <v>729</v>
      </c>
      <c r="V5331" s="3">
        <v>40973</v>
      </c>
    </row>
    <row r="5332" spans="1:22" x14ac:dyDescent="0.35">
      <c r="A5332" s="1">
        <v>42301.610069444447</v>
      </c>
      <c r="B5332" s="2">
        <v>1.1759259259259259E-2</v>
      </c>
      <c r="C5332" t="s">
        <v>7774</v>
      </c>
      <c r="D5332" t="s">
        <v>23</v>
      </c>
      <c r="E5332" t="s">
        <v>24</v>
      </c>
      <c r="F5332" t="s">
        <v>1051</v>
      </c>
      <c r="G5332">
        <v>821663</v>
      </c>
      <c r="H5332" t="s">
        <v>26</v>
      </c>
      <c r="I5332" t="s">
        <v>200</v>
      </c>
      <c r="J5332" t="str">
        <f>"9781118168479"</f>
        <v>9781118168479</v>
      </c>
      <c r="K5332" t="s">
        <v>8570</v>
      </c>
      <c r="L5332">
        <v>17</v>
      </c>
      <c r="O5332" t="s">
        <v>30</v>
      </c>
      <c r="P5332" t="s">
        <v>29</v>
      </c>
      <c r="Q5332" s="1">
        <v>42298.74962962963</v>
      </c>
      <c r="R5332">
        <v>7</v>
      </c>
      <c r="S5332" t="s">
        <v>31</v>
      </c>
      <c r="T5332" t="s">
        <v>1053</v>
      </c>
      <c r="U5332">
        <v>729</v>
      </c>
      <c r="V5332" s="3">
        <v>40973</v>
      </c>
    </row>
    <row r="5333" spans="1:22" x14ac:dyDescent="0.35">
      <c r="A5333" s="1">
        <v>42301.577627314815</v>
      </c>
      <c r="B5333" s="2">
        <v>7.4305555555555548E-3</v>
      </c>
      <c r="C5333" t="s">
        <v>8571</v>
      </c>
      <c r="D5333" t="s">
        <v>23</v>
      </c>
      <c r="E5333" t="s">
        <v>24</v>
      </c>
      <c r="F5333" t="s">
        <v>2419</v>
      </c>
      <c r="G5333">
        <v>1110728</v>
      </c>
      <c r="H5333" t="s">
        <v>26</v>
      </c>
      <c r="I5333" t="s">
        <v>108</v>
      </c>
      <c r="J5333" t="str">
        <f>"9781118461204"</f>
        <v>9781118461204</v>
      </c>
      <c r="K5333" t="s">
        <v>3260</v>
      </c>
      <c r="L5333">
        <v>11</v>
      </c>
      <c r="O5333" t="s">
        <v>30</v>
      </c>
      <c r="P5333" t="s">
        <v>29</v>
      </c>
      <c r="Q5333" s="1">
        <v>42295.659212962964</v>
      </c>
      <c r="R5333">
        <v>7</v>
      </c>
      <c r="S5333" t="s">
        <v>31</v>
      </c>
      <c r="T5333" t="s">
        <v>2421</v>
      </c>
      <c r="U5333" t="s">
        <v>2422</v>
      </c>
      <c r="V5333" s="3">
        <v>41283</v>
      </c>
    </row>
    <row r="5334" spans="1:22" x14ac:dyDescent="0.35">
      <c r="A5334" s="1">
        <v>42301.474953703706</v>
      </c>
      <c r="B5334" s="2">
        <v>2.7893518518518519E-3</v>
      </c>
      <c r="C5334" t="s">
        <v>8572</v>
      </c>
      <c r="D5334" t="s">
        <v>158</v>
      </c>
      <c r="E5334" t="s">
        <v>159</v>
      </c>
      <c r="F5334" t="s">
        <v>6215</v>
      </c>
      <c r="G5334">
        <v>1718748</v>
      </c>
      <c r="H5334" t="s">
        <v>26</v>
      </c>
      <c r="I5334" t="s">
        <v>297</v>
      </c>
      <c r="J5334" t="str">
        <f t="shared" ref="J5334:J5341" si="28">"9781118791080"</f>
        <v>9781118791080</v>
      </c>
      <c r="K5334" t="s">
        <v>8573</v>
      </c>
      <c r="L5334">
        <v>5</v>
      </c>
      <c r="O5334" t="s">
        <v>28</v>
      </c>
      <c r="P5334" t="s">
        <v>29</v>
      </c>
      <c r="Q5334" s="1">
        <v>42301.447638888887</v>
      </c>
      <c r="R5334">
        <v>7</v>
      </c>
      <c r="S5334" t="s">
        <v>163</v>
      </c>
      <c r="T5334" t="s">
        <v>6217</v>
      </c>
      <c r="U5334">
        <v>515</v>
      </c>
      <c r="V5334" s="3">
        <v>41813</v>
      </c>
    </row>
    <row r="5335" spans="1:22" x14ac:dyDescent="0.35">
      <c r="A5335" s="1">
        <v>42301.473136574074</v>
      </c>
      <c r="B5335" s="2">
        <v>0</v>
      </c>
      <c r="C5335" t="s">
        <v>8572</v>
      </c>
      <c r="D5335" t="s">
        <v>158</v>
      </c>
      <c r="E5335" t="s">
        <v>159</v>
      </c>
      <c r="F5335" t="s">
        <v>6215</v>
      </c>
      <c r="G5335">
        <v>1718748</v>
      </c>
      <c r="H5335" t="s">
        <v>26</v>
      </c>
      <c r="I5335" t="s">
        <v>297</v>
      </c>
      <c r="J5335" t="str">
        <f t="shared" si="28"/>
        <v>9781118791080</v>
      </c>
      <c r="L5335">
        <v>0</v>
      </c>
      <c r="O5335" t="s">
        <v>28</v>
      </c>
      <c r="P5335" t="s">
        <v>29</v>
      </c>
      <c r="Q5335" s="1">
        <v>42301.447638888887</v>
      </c>
      <c r="R5335">
        <v>7</v>
      </c>
      <c r="S5335" t="s">
        <v>163</v>
      </c>
      <c r="T5335" t="s">
        <v>6217</v>
      </c>
      <c r="U5335">
        <v>515</v>
      </c>
      <c r="V5335" s="3">
        <v>41813</v>
      </c>
    </row>
    <row r="5336" spans="1:22" x14ac:dyDescent="0.35">
      <c r="A5336" s="1">
        <v>42301.455185185187</v>
      </c>
      <c r="B5336" s="2">
        <v>2.6504629629629625E-3</v>
      </c>
      <c r="C5336" t="s">
        <v>8572</v>
      </c>
      <c r="D5336" t="s">
        <v>158</v>
      </c>
      <c r="E5336" t="s">
        <v>159</v>
      </c>
      <c r="F5336" t="s">
        <v>6215</v>
      </c>
      <c r="G5336">
        <v>1718748</v>
      </c>
      <c r="H5336" t="s">
        <v>26</v>
      </c>
      <c r="I5336" t="s">
        <v>297</v>
      </c>
      <c r="J5336" t="str">
        <f t="shared" si="28"/>
        <v>9781118791080</v>
      </c>
      <c r="K5336" t="s">
        <v>8574</v>
      </c>
      <c r="L5336">
        <v>17</v>
      </c>
      <c r="N5336" t="s">
        <v>8575</v>
      </c>
      <c r="O5336" t="s">
        <v>28</v>
      </c>
      <c r="P5336" t="s">
        <v>29</v>
      </c>
      <c r="Q5336" s="1">
        <v>42301.447638888887</v>
      </c>
      <c r="R5336">
        <v>7</v>
      </c>
      <c r="S5336" t="s">
        <v>163</v>
      </c>
      <c r="T5336" t="s">
        <v>6217</v>
      </c>
      <c r="U5336">
        <v>515</v>
      </c>
      <c r="V5336" s="3">
        <v>41813</v>
      </c>
    </row>
    <row r="5337" spans="1:22" x14ac:dyDescent="0.35">
      <c r="A5337" s="1">
        <v>42301.454236111109</v>
      </c>
      <c r="B5337" s="2">
        <v>5.9027777777777778E-4</v>
      </c>
      <c r="C5337" t="s">
        <v>8572</v>
      </c>
      <c r="D5337" t="s">
        <v>158</v>
      </c>
      <c r="E5337" t="s">
        <v>159</v>
      </c>
      <c r="F5337" t="s">
        <v>6215</v>
      </c>
      <c r="G5337">
        <v>1718748</v>
      </c>
      <c r="H5337" t="s">
        <v>26</v>
      </c>
      <c r="I5337" t="s">
        <v>297</v>
      </c>
      <c r="J5337" t="str">
        <f t="shared" si="28"/>
        <v>9781118791080</v>
      </c>
      <c r="K5337" t="s">
        <v>2235</v>
      </c>
      <c r="L5337">
        <v>1</v>
      </c>
      <c r="O5337" t="s">
        <v>28</v>
      </c>
      <c r="P5337" t="s">
        <v>29</v>
      </c>
      <c r="Q5337" s="1">
        <v>42301.447638888887</v>
      </c>
      <c r="R5337">
        <v>7</v>
      </c>
      <c r="S5337" t="s">
        <v>163</v>
      </c>
      <c r="T5337" t="s">
        <v>6217</v>
      </c>
      <c r="U5337">
        <v>515</v>
      </c>
      <c r="V5337" s="3">
        <v>41813</v>
      </c>
    </row>
    <row r="5338" spans="1:22" x14ac:dyDescent="0.35">
      <c r="A5338" s="1">
        <v>42301.450023148151</v>
      </c>
      <c r="B5338" s="2">
        <v>3.5763888888888894E-3</v>
      </c>
      <c r="C5338" t="s">
        <v>8572</v>
      </c>
      <c r="D5338" t="s">
        <v>158</v>
      </c>
      <c r="E5338" t="s">
        <v>159</v>
      </c>
      <c r="F5338" t="s">
        <v>6215</v>
      </c>
      <c r="G5338">
        <v>1718748</v>
      </c>
      <c r="H5338" t="s">
        <v>26</v>
      </c>
      <c r="I5338" t="s">
        <v>297</v>
      </c>
      <c r="J5338" t="str">
        <f t="shared" si="28"/>
        <v>9781118791080</v>
      </c>
      <c r="K5338" t="s">
        <v>8576</v>
      </c>
      <c r="L5338">
        <v>37</v>
      </c>
      <c r="O5338" t="s">
        <v>30</v>
      </c>
      <c r="P5338" t="s">
        <v>29</v>
      </c>
      <c r="Q5338" s="1">
        <v>42301.447638888887</v>
      </c>
      <c r="R5338">
        <v>7</v>
      </c>
      <c r="S5338" t="s">
        <v>163</v>
      </c>
      <c r="T5338" t="s">
        <v>6217</v>
      </c>
      <c r="U5338">
        <v>515</v>
      </c>
      <c r="V5338" s="3">
        <v>41813</v>
      </c>
    </row>
    <row r="5339" spans="1:22" x14ac:dyDescent="0.35">
      <c r="A5339" s="1">
        <v>42301.448645833334</v>
      </c>
      <c r="B5339" s="2">
        <v>2.4328703703703703E-2</v>
      </c>
      <c r="C5339" t="s">
        <v>8572</v>
      </c>
      <c r="D5339" t="s">
        <v>158</v>
      </c>
      <c r="E5339" t="s">
        <v>159</v>
      </c>
      <c r="F5339" t="s">
        <v>6215</v>
      </c>
      <c r="G5339">
        <v>1718748</v>
      </c>
      <c r="H5339" t="s">
        <v>26</v>
      </c>
      <c r="I5339" t="s">
        <v>297</v>
      </c>
      <c r="J5339" t="str">
        <f t="shared" si="28"/>
        <v>9781118791080</v>
      </c>
      <c r="K5339" t="s">
        <v>8577</v>
      </c>
      <c r="L5339">
        <v>40</v>
      </c>
      <c r="N5339" t="s">
        <v>8578</v>
      </c>
      <c r="O5339" t="s">
        <v>28</v>
      </c>
      <c r="P5339" t="s">
        <v>29</v>
      </c>
      <c r="Q5339" s="1">
        <v>42301.447638888887</v>
      </c>
      <c r="R5339">
        <v>7</v>
      </c>
      <c r="S5339" t="s">
        <v>163</v>
      </c>
      <c r="T5339" t="s">
        <v>6217</v>
      </c>
      <c r="U5339">
        <v>515</v>
      </c>
      <c r="V5339" s="3">
        <v>41813</v>
      </c>
    </row>
    <row r="5340" spans="1:22" x14ac:dyDescent="0.35">
      <c r="A5340" s="1">
        <v>42301.447638888887</v>
      </c>
      <c r="B5340" s="2">
        <v>1.0416666666666667E-4</v>
      </c>
      <c r="C5340" t="s">
        <v>8572</v>
      </c>
      <c r="D5340" t="s">
        <v>158</v>
      </c>
      <c r="E5340" t="s">
        <v>159</v>
      </c>
      <c r="F5340" t="s">
        <v>6215</v>
      </c>
      <c r="G5340">
        <v>1718748</v>
      </c>
      <c r="H5340" t="s">
        <v>26</v>
      </c>
      <c r="I5340" t="s">
        <v>297</v>
      </c>
      <c r="J5340" t="str">
        <f t="shared" si="28"/>
        <v>9781118791080</v>
      </c>
      <c r="K5340" t="s">
        <v>406</v>
      </c>
      <c r="L5340">
        <v>2</v>
      </c>
      <c r="M5340" t="s">
        <v>2541</v>
      </c>
      <c r="O5340" t="s">
        <v>30</v>
      </c>
      <c r="P5340" t="s">
        <v>29</v>
      </c>
      <c r="Q5340" s="1">
        <v>42301.447638888887</v>
      </c>
      <c r="R5340">
        <v>7</v>
      </c>
      <c r="S5340" t="s">
        <v>163</v>
      </c>
      <c r="T5340" t="s">
        <v>6217</v>
      </c>
      <c r="U5340">
        <v>515</v>
      </c>
      <c r="V5340" s="3">
        <v>41813</v>
      </c>
    </row>
    <row r="5341" spans="1:22" x14ac:dyDescent="0.35">
      <c r="A5341" s="1">
        <v>42301.446481481478</v>
      </c>
      <c r="B5341" s="2">
        <v>1.1574074074074073E-3</v>
      </c>
      <c r="C5341" t="s">
        <v>8572</v>
      </c>
      <c r="D5341" t="s">
        <v>158</v>
      </c>
      <c r="E5341" t="s">
        <v>159</v>
      </c>
      <c r="F5341" t="s">
        <v>6215</v>
      </c>
      <c r="G5341">
        <v>1718748</v>
      </c>
      <c r="H5341" t="s">
        <v>26</v>
      </c>
      <c r="I5341" t="s">
        <v>297</v>
      </c>
      <c r="J5341" t="str">
        <f t="shared" si="28"/>
        <v>9781118791080</v>
      </c>
      <c r="K5341" t="s">
        <v>8579</v>
      </c>
      <c r="L5341">
        <v>13</v>
      </c>
      <c r="O5341" t="s">
        <v>30</v>
      </c>
      <c r="P5341" t="s">
        <v>42</v>
      </c>
      <c r="S5341" t="s">
        <v>163</v>
      </c>
      <c r="T5341" t="s">
        <v>6217</v>
      </c>
      <c r="U5341">
        <v>515</v>
      </c>
      <c r="V5341" s="3">
        <v>41813</v>
      </c>
    </row>
    <row r="5342" spans="1:22" x14ac:dyDescent="0.35">
      <c r="A5342" s="1">
        <v>42301.105717592596</v>
      </c>
      <c r="B5342" s="2">
        <v>4.6296296296296294E-5</v>
      </c>
      <c r="C5342" t="s">
        <v>6390</v>
      </c>
      <c r="D5342" t="s">
        <v>23</v>
      </c>
      <c r="E5342" t="s">
        <v>24</v>
      </c>
      <c r="F5342" t="s">
        <v>486</v>
      </c>
      <c r="G5342">
        <v>1119505</v>
      </c>
      <c r="H5342" t="s">
        <v>26</v>
      </c>
      <c r="I5342" t="s">
        <v>450</v>
      </c>
      <c r="J5342" t="str">
        <f>"9781118355015"</f>
        <v>9781118355015</v>
      </c>
      <c r="K5342" t="s">
        <v>1339</v>
      </c>
      <c r="L5342">
        <v>5</v>
      </c>
      <c r="O5342" t="s">
        <v>30</v>
      </c>
      <c r="P5342" t="s">
        <v>29</v>
      </c>
      <c r="Q5342" s="1">
        <v>42301.105717592596</v>
      </c>
      <c r="R5342">
        <v>7</v>
      </c>
      <c r="S5342" t="s">
        <v>31</v>
      </c>
      <c r="T5342" t="s">
        <v>487</v>
      </c>
      <c r="U5342" t="s">
        <v>488</v>
      </c>
      <c r="V5342" s="3">
        <v>41302</v>
      </c>
    </row>
    <row r="5343" spans="1:22" x14ac:dyDescent="0.35">
      <c r="A5343" s="1">
        <v>42301.090532407405</v>
      </c>
      <c r="B5343" s="2">
        <v>1.5185185185185185E-2</v>
      </c>
      <c r="C5343" t="s">
        <v>6390</v>
      </c>
      <c r="D5343" t="s">
        <v>23</v>
      </c>
      <c r="E5343" t="s">
        <v>24</v>
      </c>
      <c r="F5343" t="s">
        <v>486</v>
      </c>
      <c r="G5343">
        <v>1119505</v>
      </c>
      <c r="H5343" t="s">
        <v>26</v>
      </c>
      <c r="I5343" t="s">
        <v>450</v>
      </c>
      <c r="J5343" t="str">
        <f>"9781118355015"</f>
        <v>9781118355015</v>
      </c>
      <c r="K5343" t="s">
        <v>2045</v>
      </c>
      <c r="L5343">
        <v>2</v>
      </c>
      <c r="O5343" t="s">
        <v>30</v>
      </c>
      <c r="P5343" t="s">
        <v>42</v>
      </c>
      <c r="S5343" t="s">
        <v>31</v>
      </c>
      <c r="T5343" t="s">
        <v>487</v>
      </c>
      <c r="U5343" t="s">
        <v>488</v>
      </c>
      <c r="V5343" s="3">
        <v>41302</v>
      </c>
    </row>
    <row r="5344" spans="1:22" x14ac:dyDescent="0.35">
      <c r="A5344" s="1">
        <v>42300.9375462963</v>
      </c>
      <c r="B5344" s="2">
        <v>8.3680555555555557E-3</v>
      </c>
      <c r="C5344" t="s">
        <v>8580</v>
      </c>
      <c r="D5344" t="s">
        <v>360</v>
      </c>
      <c r="E5344" t="s">
        <v>361</v>
      </c>
      <c r="F5344" t="s">
        <v>8581</v>
      </c>
      <c r="G5344">
        <v>1943363</v>
      </c>
      <c r="H5344" t="s">
        <v>26</v>
      </c>
      <c r="I5344" t="s">
        <v>247</v>
      </c>
      <c r="J5344" t="str">
        <f>"9781118746196"</f>
        <v>9781118746196</v>
      </c>
      <c r="K5344" t="s">
        <v>8582</v>
      </c>
      <c r="L5344">
        <v>12</v>
      </c>
      <c r="O5344" t="s">
        <v>30</v>
      </c>
      <c r="P5344" t="s">
        <v>29</v>
      </c>
      <c r="Q5344" s="1">
        <v>42297.771493055552</v>
      </c>
      <c r="R5344">
        <v>7</v>
      </c>
      <c r="S5344" t="s">
        <v>363</v>
      </c>
      <c r="T5344" t="s">
        <v>8583</v>
      </c>
      <c r="U5344" t="s">
        <v>8584</v>
      </c>
      <c r="V5344" s="3">
        <v>42040</v>
      </c>
    </row>
    <row r="5345" spans="1:22" x14ac:dyDescent="0.35">
      <c r="A5345" s="1">
        <v>42300.934421296297</v>
      </c>
      <c r="B5345" s="2">
        <v>2.5347222222222221E-3</v>
      </c>
      <c r="C5345" t="s">
        <v>8580</v>
      </c>
      <c r="D5345" t="s">
        <v>360</v>
      </c>
      <c r="E5345" t="s">
        <v>361</v>
      </c>
      <c r="F5345" t="s">
        <v>8581</v>
      </c>
      <c r="G5345">
        <v>1943363</v>
      </c>
      <c r="H5345" t="s">
        <v>26</v>
      </c>
      <c r="I5345" t="s">
        <v>247</v>
      </c>
      <c r="J5345" t="str">
        <f>"9781118746196"</f>
        <v>9781118746196</v>
      </c>
      <c r="K5345" t="s">
        <v>8585</v>
      </c>
      <c r="L5345">
        <v>11</v>
      </c>
      <c r="O5345" t="s">
        <v>30</v>
      </c>
      <c r="P5345" t="s">
        <v>29</v>
      </c>
      <c r="Q5345" s="1">
        <v>42297.771493055552</v>
      </c>
      <c r="R5345">
        <v>7</v>
      </c>
      <c r="S5345" t="s">
        <v>363</v>
      </c>
      <c r="T5345" t="s">
        <v>8583</v>
      </c>
      <c r="U5345" t="s">
        <v>8584</v>
      </c>
      <c r="V5345" s="3">
        <v>42040</v>
      </c>
    </row>
    <row r="5346" spans="1:22" x14ac:dyDescent="0.35">
      <c r="A5346" s="1">
        <v>42300.85361111111</v>
      </c>
      <c r="B5346" s="2">
        <v>4.108796296296297E-3</v>
      </c>
      <c r="C5346" t="s">
        <v>8586</v>
      </c>
      <c r="D5346" t="s">
        <v>623</v>
      </c>
      <c r="E5346" t="s">
        <v>624</v>
      </c>
      <c r="F5346" t="s">
        <v>8587</v>
      </c>
      <c r="G5346">
        <v>1323948</v>
      </c>
      <c r="H5346" t="s">
        <v>26</v>
      </c>
      <c r="I5346" t="s">
        <v>172</v>
      </c>
      <c r="J5346" t="str">
        <f>"9781118473443"</f>
        <v>9781118473443</v>
      </c>
      <c r="K5346" t="s">
        <v>8588</v>
      </c>
      <c r="L5346">
        <v>37</v>
      </c>
      <c r="O5346" t="s">
        <v>30</v>
      </c>
      <c r="P5346" t="s">
        <v>42</v>
      </c>
      <c r="S5346" t="s">
        <v>627</v>
      </c>
      <c r="T5346" t="s">
        <v>8589</v>
      </c>
      <c r="U5346">
        <v>951</v>
      </c>
      <c r="V5346" s="3">
        <v>41478</v>
      </c>
    </row>
    <row r="5347" spans="1:22" x14ac:dyDescent="0.35">
      <c r="A5347" s="1">
        <v>42300.850960648146</v>
      </c>
      <c r="B5347" s="2">
        <v>8.9120370370370362E-4</v>
      </c>
      <c r="C5347" t="s">
        <v>8590</v>
      </c>
      <c r="D5347" t="s">
        <v>261</v>
      </c>
      <c r="E5347" t="s">
        <v>262</v>
      </c>
      <c r="F5347" t="s">
        <v>6160</v>
      </c>
      <c r="G5347">
        <v>1584076</v>
      </c>
      <c r="H5347" t="s">
        <v>26</v>
      </c>
      <c r="I5347" t="s">
        <v>172</v>
      </c>
      <c r="J5347" t="str">
        <f>"9780745679679"</f>
        <v>9780745679679</v>
      </c>
      <c r="K5347" t="s">
        <v>8591</v>
      </c>
      <c r="L5347">
        <v>13</v>
      </c>
      <c r="O5347" t="s">
        <v>30</v>
      </c>
      <c r="P5347" t="s">
        <v>50</v>
      </c>
      <c r="S5347" t="s">
        <v>264</v>
      </c>
      <c r="T5347" t="s">
        <v>6162</v>
      </c>
      <c r="U5347">
        <v>945.05</v>
      </c>
      <c r="V5347" s="3">
        <v>41626</v>
      </c>
    </row>
    <row r="5348" spans="1:22" x14ac:dyDescent="0.35">
      <c r="A5348" s="1">
        <v>42300.798425925925</v>
      </c>
      <c r="B5348" s="2">
        <v>2.162037037037037E-2</v>
      </c>
      <c r="C5348" t="s">
        <v>106</v>
      </c>
      <c r="D5348" t="s">
        <v>23</v>
      </c>
      <c r="E5348" t="s">
        <v>24</v>
      </c>
      <c r="F5348" t="s">
        <v>6635</v>
      </c>
      <c r="G5348">
        <v>817871</v>
      </c>
      <c r="H5348" t="s">
        <v>26</v>
      </c>
      <c r="I5348" t="s">
        <v>276</v>
      </c>
      <c r="J5348" t="str">
        <f>"9781118206911"</f>
        <v>9781118206911</v>
      </c>
      <c r="K5348" t="s">
        <v>8592</v>
      </c>
      <c r="L5348">
        <v>22</v>
      </c>
      <c r="O5348" t="s">
        <v>30</v>
      </c>
      <c r="P5348" t="s">
        <v>29</v>
      </c>
      <c r="Q5348" s="1">
        <v>42299.804386574076</v>
      </c>
      <c r="R5348">
        <v>7</v>
      </c>
      <c r="S5348" t="s">
        <v>31</v>
      </c>
      <c r="T5348" t="s">
        <v>6637</v>
      </c>
      <c r="U5348">
        <v>6.74</v>
      </c>
      <c r="V5348" s="3">
        <v>40897</v>
      </c>
    </row>
    <row r="5349" spans="1:22" x14ac:dyDescent="0.35">
      <c r="A5349" s="1">
        <v>42300.784016203703</v>
      </c>
      <c r="B5349" s="2">
        <v>2.3148148148148147E-5</v>
      </c>
      <c r="C5349" t="s">
        <v>8593</v>
      </c>
      <c r="D5349" t="s">
        <v>158</v>
      </c>
      <c r="E5349" t="s">
        <v>159</v>
      </c>
      <c r="F5349" t="s">
        <v>4405</v>
      </c>
      <c r="G5349">
        <v>1187185</v>
      </c>
      <c r="H5349" t="s">
        <v>26</v>
      </c>
      <c r="I5349" t="s">
        <v>4406</v>
      </c>
      <c r="J5349" t="str">
        <f>"9781118748183"</f>
        <v>9781118748183</v>
      </c>
      <c r="K5349" t="s">
        <v>105</v>
      </c>
      <c r="L5349">
        <v>1</v>
      </c>
      <c r="O5349" t="s">
        <v>30</v>
      </c>
      <c r="P5349" t="s">
        <v>29</v>
      </c>
      <c r="Q5349" s="1">
        <v>42300.768819444442</v>
      </c>
      <c r="R5349">
        <v>7</v>
      </c>
      <c r="S5349" t="s">
        <v>163</v>
      </c>
      <c r="T5349" t="s">
        <v>4408</v>
      </c>
      <c r="U5349">
        <v>622.33799999999997</v>
      </c>
      <c r="V5349" s="3">
        <v>41400</v>
      </c>
    </row>
    <row r="5350" spans="1:22" x14ac:dyDescent="0.35">
      <c r="A5350" s="1">
        <v>42300.768819444442</v>
      </c>
      <c r="B5350" s="2">
        <v>1.3715277777777778E-2</v>
      </c>
      <c r="C5350" t="s">
        <v>8593</v>
      </c>
      <c r="D5350" t="s">
        <v>158</v>
      </c>
      <c r="E5350" t="s">
        <v>159</v>
      </c>
      <c r="F5350" t="s">
        <v>4405</v>
      </c>
      <c r="G5350">
        <v>1187185</v>
      </c>
      <c r="H5350" t="s">
        <v>26</v>
      </c>
      <c r="I5350" t="s">
        <v>4406</v>
      </c>
      <c r="J5350" t="str">
        <f>"9781118748183"</f>
        <v>9781118748183</v>
      </c>
      <c r="K5350" t="s">
        <v>8594</v>
      </c>
      <c r="L5350">
        <v>21</v>
      </c>
      <c r="N5350" t="s">
        <v>8595</v>
      </c>
      <c r="O5350" t="s">
        <v>28</v>
      </c>
      <c r="P5350" t="s">
        <v>29</v>
      </c>
      <c r="Q5350" s="1">
        <v>42300.768819444442</v>
      </c>
      <c r="R5350">
        <v>7</v>
      </c>
      <c r="S5350" t="s">
        <v>163</v>
      </c>
      <c r="T5350" t="s">
        <v>4408</v>
      </c>
      <c r="U5350">
        <v>622.33799999999997</v>
      </c>
      <c r="V5350" s="3">
        <v>41400</v>
      </c>
    </row>
    <row r="5351" spans="1:22" x14ac:dyDescent="0.35">
      <c r="A5351" s="1">
        <v>42300.768819444442</v>
      </c>
      <c r="B5351" s="2">
        <v>0</v>
      </c>
      <c r="C5351" t="s">
        <v>8593</v>
      </c>
      <c r="D5351" t="s">
        <v>158</v>
      </c>
      <c r="E5351" t="s">
        <v>159</v>
      </c>
      <c r="F5351" t="s">
        <v>4405</v>
      </c>
      <c r="G5351">
        <v>1187185</v>
      </c>
      <c r="H5351" t="s">
        <v>26</v>
      </c>
      <c r="I5351" t="s">
        <v>4406</v>
      </c>
      <c r="J5351" t="str">
        <f>"9781118748183"</f>
        <v>9781118748183</v>
      </c>
      <c r="L5351">
        <v>0</v>
      </c>
      <c r="O5351" t="s">
        <v>30</v>
      </c>
      <c r="P5351" t="s">
        <v>29</v>
      </c>
      <c r="Q5351" s="1">
        <v>42300.768819444442</v>
      </c>
      <c r="R5351">
        <v>7</v>
      </c>
      <c r="S5351" t="s">
        <v>163</v>
      </c>
      <c r="T5351" t="s">
        <v>4408</v>
      </c>
      <c r="U5351">
        <v>622.33799999999997</v>
      </c>
      <c r="V5351" s="3">
        <v>41400</v>
      </c>
    </row>
    <row r="5352" spans="1:22" x14ac:dyDescent="0.35">
      <c r="A5352" s="1">
        <v>42300.764004629629</v>
      </c>
      <c r="B5352" s="2">
        <v>4.8148148148148152E-3</v>
      </c>
      <c r="C5352" t="s">
        <v>8593</v>
      </c>
      <c r="D5352" t="s">
        <v>158</v>
      </c>
      <c r="E5352" t="s">
        <v>159</v>
      </c>
      <c r="F5352" t="s">
        <v>4405</v>
      </c>
      <c r="G5352">
        <v>1187185</v>
      </c>
      <c r="H5352" t="s">
        <v>26</v>
      </c>
      <c r="I5352" t="s">
        <v>4406</v>
      </c>
      <c r="J5352" t="str">
        <f>"9781118748183"</f>
        <v>9781118748183</v>
      </c>
      <c r="K5352" t="s">
        <v>8116</v>
      </c>
      <c r="L5352">
        <v>8</v>
      </c>
      <c r="O5352" t="s">
        <v>30</v>
      </c>
      <c r="P5352" t="s">
        <v>42</v>
      </c>
      <c r="S5352" t="s">
        <v>163</v>
      </c>
      <c r="T5352" t="s">
        <v>4408</v>
      </c>
      <c r="U5352">
        <v>622.33799999999997</v>
      </c>
      <c r="V5352" s="3">
        <v>41400</v>
      </c>
    </row>
    <row r="5353" spans="1:22" x14ac:dyDescent="0.35">
      <c r="A5353" s="1">
        <v>42300.656226851854</v>
      </c>
      <c r="B5353" s="2">
        <v>0</v>
      </c>
      <c r="C5353" t="s">
        <v>3590</v>
      </c>
      <c r="D5353" t="s">
        <v>158</v>
      </c>
      <c r="E5353" t="s">
        <v>159</v>
      </c>
      <c r="F5353" t="s">
        <v>8357</v>
      </c>
      <c r="G5353">
        <v>1378784</v>
      </c>
      <c r="H5353" t="s">
        <v>26</v>
      </c>
      <c r="I5353" t="s">
        <v>247</v>
      </c>
      <c r="J5353" t="str">
        <f>"9781118739655"</f>
        <v>9781118739655</v>
      </c>
      <c r="L5353">
        <v>0</v>
      </c>
      <c r="O5353" t="s">
        <v>30</v>
      </c>
      <c r="P5353" t="s">
        <v>47</v>
      </c>
      <c r="Q5353" s="1">
        <v>42300.656226851854</v>
      </c>
      <c r="R5353">
        <v>1</v>
      </c>
      <c r="S5353" t="s">
        <v>163</v>
      </c>
      <c r="T5353" t="s">
        <v>8359</v>
      </c>
      <c r="U5353" t="s">
        <v>8360</v>
      </c>
      <c r="V5353" s="3">
        <v>41521</v>
      </c>
    </row>
    <row r="5354" spans="1:22" x14ac:dyDescent="0.35">
      <c r="A5354" s="1">
        <v>42300.655995370369</v>
      </c>
      <c r="B5354" s="2">
        <v>2.3148148148148146E-4</v>
      </c>
      <c r="C5354" t="s">
        <v>3590</v>
      </c>
      <c r="D5354" t="s">
        <v>158</v>
      </c>
      <c r="E5354" t="s">
        <v>159</v>
      </c>
      <c r="F5354" t="s">
        <v>8357</v>
      </c>
      <c r="G5354">
        <v>1378784</v>
      </c>
      <c r="H5354" t="s">
        <v>26</v>
      </c>
      <c r="I5354" t="s">
        <v>247</v>
      </c>
      <c r="J5354" t="str">
        <f>"9781118739655"</f>
        <v>9781118739655</v>
      </c>
      <c r="K5354" t="s">
        <v>209</v>
      </c>
      <c r="L5354">
        <v>4</v>
      </c>
      <c r="O5354" t="s">
        <v>30</v>
      </c>
      <c r="P5354" t="s">
        <v>50</v>
      </c>
      <c r="S5354" t="s">
        <v>163</v>
      </c>
      <c r="T5354" t="s">
        <v>8359</v>
      </c>
      <c r="U5354" t="s">
        <v>8360</v>
      </c>
      <c r="V5354" s="3">
        <v>41521</v>
      </c>
    </row>
    <row r="5355" spans="1:22" x14ac:dyDescent="0.35">
      <c r="A5355" s="1">
        <v>42300.645821759259</v>
      </c>
      <c r="B5355" s="2">
        <v>6.3194444444444444E-3</v>
      </c>
      <c r="C5355" t="s">
        <v>8596</v>
      </c>
      <c r="D5355" t="s">
        <v>35</v>
      </c>
      <c r="E5355" t="s">
        <v>36</v>
      </c>
      <c r="F5355" t="s">
        <v>8597</v>
      </c>
      <c r="G5355">
        <v>1882086</v>
      </c>
      <c r="H5355" t="s">
        <v>84</v>
      </c>
      <c r="I5355" t="s">
        <v>120</v>
      </c>
      <c r="J5355" t="str">
        <f>"9780520961135"</f>
        <v>9780520961135</v>
      </c>
      <c r="K5355" t="s">
        <v>8598</v>
      </c>
      <c r="L5355">
        <v>72</v>
      </c>
      <c r="O5355" t="s">
        <v>30</v>
      </c>
      <c r="P5355" t="s">
        <v>47</v>
      </c>
      <c r="Q5355" s="1">
        <v>42300.645821759259</v>
      </c>
      <c r="R5355">
        <v>1</v>
      </c>
      <c r="S5355" t="s">
        <v>40</v>
      </c>
      <c r="T5355" t="s">
        <v>8599</v>
      </c>
      <c r="U5355" t="s">
        <v>8600</v>
      </c>
      <c r="V5355" s="3">
        <v>42084</v>
      </c>
    </row>
    <row r="5356" spans="1:22" x14ac:dyDescent="0.35">
      <c r="A5356" s="1">
        <v>42300.642245370371</v>
      </c>
      <c r="B5356" s="2">
        <v>3.5763888888888894E-3</v>
      </c>
      <c r="C5356" t="s">
        <v>8596</v>
      </c>
      <c r="D5356" t="s">
        <v>35</v>
      </c>
      <c r="E5356" t="s">
        <v>36</v>
      </c>
      <c r="F5356" t="s">
        <v>8597</v>
      </c>
      <c r="G5356">
        <v>1882086</v>
      </c>
      <c r="H5356" t="s">
        <v>84</v>
      </c>
      <c r="I5356" t="s">
        <v>120</v>
      </c>
      <c r="J5356" t="str">
        <f>"9780520961135"</f>
        <v>9780520961135</v>
      </c>
      <c r="K5356" t="s">
        <v>8601</v>
      </c>
      <c r="L5356">
        <v>43</v>
      </c>
      <c r="O5356" t="s">
        <v>30</v>
      </c>
      <c r="P5356" t="s">
        <v>50</v>
      </c>
      <c r="S5356" t="s">
        <v>40</v>
      </c>
      <c r="T5356" t="s">
        <v>8599</v>
      </c>
      <c r="U5356" t="s">
        <v>8600</v>
      </c>
      <c r="V5356" s="3">
        <v>42084</v>
      </c>
    </row>
    <row r="5357" spans="1:22" x14ac:dyDescent="0.35">
      <c r="A5357" s="1">
        <v>42300.626400462963</v>
      </c>
      <c r="B5357" s="2">
        <v>3.4722222222222222E-5</v>
      </c>
      <c r="C5357" t="s">
        <v>8104</v>
      </c>
      <c r="D5357" t="s">
        <v>158</v>
      </c>
      <c r="E5357" t="s">
        <v>159</v>
      </c>
      <c r="F5357" t="s">
        <v>8357</v>
      </c>
      <c r="G5357">
        <v>1378784</v>
      </c>
      <c r="H5357" t="s">
        <v>26</v>
      </c>
      <c r="I5357" t="s">
        <v>247</v>
      </c>
      <c r="J5357" t="str">
        <f>"9781118739655"</f>
        <v>9781118739655</v>
      </c>
      <c r="K5357" t="s">
        <v>33</v>
      </c>
      <c r="L5357">
        <v>3</v>
      </c>
      <c r="O5357" t="s">
        <v>30</v>
      </c>
      <c r="P5357" t="s">
        <v>50</v>
      </c>
      <c r="S5357" t="s">
        <v>163</v>
      </c>
      <c r="T5357" t="s">
        <v>8359</v>
      </c>
      <c r="U5357" t="s">
        <v>8360</v>
      </c>
      <c r="V5357" s="3">
        <v>41521</v>
      </c>
    </row>
    <row r="5358" spans="1:22" x14ac:dyDescent="0.35">
      <c r="A5358" s="1">
        <v>42300.586921296293</v>
      </c>
      <c r="B5358" s="2">
        <v>3.5879629629629635E-4</v>
      </c>
      <c r="C5358" t="s">
        <v>8602</v>
      </c>
      <c r="D5358" t="s">
        <v>1222</v>
      </c>
      <c r="E5358" t="s">
        <v>1223</v>
      </c>
      <c r="F5358" t="s">
        <v>1477</v>
      </c>
      <c r="G5358">
        <v>822111</v>
      </c>
      <c r="H5358" t="s">
        <v>26</v>
      </c>
      <c r="I5358" t="s">
        <v>120</v>
      </c>
      <c r="J5358" t="str">
        <f>"9781444356922"</f>
        <v>9781444356922</v>
      </c>
      <c r="K5358" t="s">
        <v>8603</v>
      </c>
      <c r="L5358">
        <v>12</v>
      </c>
      <c r="O5358" t="s">
        <v>30</v>
      </c>
      <c r="P5358" t="s">
        <v>42</v>
      </c>
      <c r="S5358" t="s">
        <v>1226</v>
      </c>
      <c r="T5358" t="s">
        <v>1479</v>
      </c>
      <c r="U5358" t="s">
        <v>1480</v>
      </c>
      <c r="V5358" s="3">
        <v>40955</v>
      </c>
    </row>
    <row r="5359" spans="1:22" x14ac:dyDescent="0.35">
      <c r="A5359" s="1">
        <v>42300.545682870368</v>
      </c>
      <c r="B5359" s="2">
        <v>6.9328703703703696E-3</v>
      </c>
      <c r="C5359" t="s">
        <v>6724</v>
      </c>
      <c r="D5359" t="s">
        <v>23</v>
      </c>
      <c r="E5359" t="s">
        <v>24</v>
      </c>
      <c r="F5359" t="s">
        <v>486</v>
      </c>
      <c r="G5359">
        <v>1119505</v>
      </c>
      <c r="H5359" t="s">
        <v>26</v>
      </c>
      <c r="I5359" t="s">
        <v>450</v>
      </c>
      <c r="J5359" t="str">
        <f>"9781118355015"</f>
        <v>9781118355015</v>
      </c>
      <c r="K5359" t="s">
        <v>8604</v>
      </c>
      <c r="L5359">
        <v>20</v>
      </c>
      <c r="O5359" t="s">
        <v>30</v>
      </c>
      <c r="P5359" t="s">
        <v>29</v>
      </c>
      <c r="Q5359" s="1">
        <v>42299.584097222221</v>
      </c>
      <c r="R5359">
        <v>7</v>
      </c>
      <c r="S5359" t="s">
        <v>31</v>
      </c>
      <c r="T5359" t="s">
        <v>487</v>
      </c>
      <c r="U5359" t="s">
        <v>488</v>
      </c>
      <c r="V5359" s="3">
        <v>41302</v>
      </c>
    </row>
    <row r="5360" spans="1:22" x14ac:dyDescent="0.35">
      <c r="A5360" s="1">
        <v>42300.539675925924</v>
      </c>
      <c r="B5360" s="2">
        <v>0</v>
      </c>
      <c r="C5360" t="s">
        <v>2595</v>
      </c>
      <c r="D5360" t="s">
        <v>23</v>
      </c>
      <c r="E5360" t="s">
        <v>24</v>
      </c>
      <c r="F5360" t="s">
        <v>2596</v>
      </c>
      <c r="G5360">
        <v>1762797</v>
      </c>
      <c r="H5360" t="s">
        <v>26</v>
      </c>
      <c r="I5360" t="s">
        <v>120</v>
      </c>
      <c r="J5360" t="str">
        <f>"9781118921296"</f>
        <v>9781118921296</v>
      </c>
      <c r="L5360">
        <v>0</v>
      </c>
      <c r="O5360" t="s">
        <v>28</v>
      </c>
      <c r="P5360" t="s">
        <v>29</v>
      </c>
      <c r="Q5360" s="1">
        <v>42300.539675925924</v>
      </c>
      <c r="R5360">
        <v>7</v>
      </c>
      <c r="S5360" t="s">
        <v>31</v>
      </c>
      <c r="T5360" t="s">
        <v>2598</v>
      </c>
      <c r="U5360" t="s">
        <v>2599</v>
      </c>
      <c r="V5360" s="3">
        <v>41857</v>
      </c>
    </row>
    <row r="5361" spans="1:22" x14ac:dyDescent="0.35">
      <c r="A5361" s="1">
        <v>42300.539675925924</v>
      </c>
      <c r="B5361" s="2">
        <v>0</v>
      </c>
      <c r="C5361" t="s">
        <v>2595</v>
      </c>
      <c r="D5361" t="s">
        <v>23</v>
      </c>
      <c r="E5361" t="s">
        <v>24</v>
      </c>
      <c r="F5361" t="s">
        <v>2596</v>
      </c>
      <c r="G5361">
        <v>1762797</v>
      </c>
      <c r="H5361" t="s">
        <v>26</v>
      </c>
      <c r="I5361" t="s">
        <v>120</v>
      </c>
      <c r="J5361" t="str">
        <f>"9781118921296"</f>
        <v>9781118921296</v>
      </c>
      <c r="L5361">
        <v>0</v>
      </c>
      <c r="O5361" t="s">
        <v>30</v>
      </c>
      <c r="P5361" t="s">
        <v>29</v>
      </c>
      <c r="Q5361" s="1">
        <v>42300.539675925924</v>
      </c>
      <c r="R5361">
        <v>7</v>
      </c>
      <c r="S5361" t="s">
        <v>31</v>
      </c>
      <c r="T5361" t="s">
        <v>2598</v>
      </c>
      <c r="U5361" t="s">
        <v>2599</v>
      </c>
      <c r="V5361" s="3">
        <v>41857</v>
      </c>
    </row>
    <row r="5362" spans="1:22" x14ac:dyDescent="0.35">
      <c r="A5362" s="1">
        <v>42300.539456018516</v>
      </c>
      <c r="B5362" s="2">
        <v>2.199074074074074E-4</v>
      </c>
      <c r="C5362" t="s">
        <v>2595</v>
      </c>
      <c r="D5362" t="s">
        <v>23</v>
      </c>
      <c r="E5362" t="s">
        <v>24</v>
      </c>
      <c r="F5362" t="s">
        <v>2596</v>
      </c>
      <c r="G5362">
        <v>1762797</v>
      </c>
      <c r="H5362" t="s">
        <v>26</v>
      </c>
      <c r="I5362" t="s">
        <v>120</v>
      </c>
      <c r="J5362" t="str">
        <f>"9781118921296"</f>
        <v>9781118921296</v>
      </c>
      <c r="K5362" t="s">
        <v>8605</v>
      </c>
      <c r="L5362">
        <v>9</v>
      </c>
      <c r="O5362" t="s">
        <v>30</v>
      </c>
      <c r="P5362" t="s">
        <v>42</v>
      </c>
      <c r="S5362" t="s">
        <v>31</v>
      </c>
      <c r="T5362" t="s">
        <v>2598</v>
      </c>
      <c r="U5362" t="s">
        <v>2599</v>
      </c>
      <c r="V5362" s="3">
        <v>41857</v>
      </c>
    </row>
    <row r="5363" spans="1:22" x14ac:dyDescent="0.35">
      <c r="A5363" s="1">
        <v>42300.519618055558</v>
      </c>
      <c r="B5363" s="2">
        <v>9.0509259259259258E-3</v>
      </c>
      <c r="C5363" t="s">
        <v>8606</v>
      </c>
      <c r="D5363" t="s">
        <v>23</v>
      </c>
      <c r="E5363" t="s">
        <v>24</v>
      </c>
      <c r="F5363" t="s">
        <v>8607</v>
      </c>
      <c r="G5363">
        <v>817864</v>
      </c>
      <c r="H5363" t="s">
        <v>26</v>
      </c>
      <c r="I5363" t="s">
        <v>8608</v>
      </c>
      <c r="J5363" t="str">
        <f>"9781118206485"</f>
        <v>9781118206485</v>
      </c>
      <c r="K5363" t="s">
        <v>8609</v>
      </c>
      <c r="L5363">
        <v>8</v>
      </c>
      <c r="O5363" t="s">
        <v>30</v>
      </c>
      <c r="P5363" t="s">
        <v>29</v>
      </c>
      <c r="Q5363" s="1">
        <v>42299.79210648148</v>
      </c>
      <c r="R5363">
        <v>7</v>
      </c>
      <c r="S5363" t="s">
        <v>31</v>
      </c>
      <c r="T5363" t="s">
        <v>8610</v>
      </c>
      <c r="U5363" t="s">
        <v>8611</v>
      </c>
      <c r="V5363" s="3">
        <v>40941</v>
      </c>
    </row>
    <row r="5364" spans="1:22" x14ac:dyDescent="0.35">
      <c r="A5364" s="1">
        <v>42300.48709490741</v>
      </c>
      <c r="B5364" s="2">
        <v>5.4398148148148144E-4</v>
      </c>
      <c r="C5364" t="s">
        <v>8612</v>
      </c>
      <c r="D5364" t="s">
        <v>23</v>
      </c>
      <c r="E5364" t="s">
        <v>24</v>
      </c>
      <c r="F5364" t="s">
        <v>2191</v>
      </c>
      <c r="G5364">
        <v>1691133</v>
      </c>
      <c r="H5364" t="s">
        <v>91</v>
      </c>
      <c r="I5364" t="s">
        <v>247</v>
      </c>
      <c r="J5364" t="str">
        <f>"9781462516278"</f>
        <v>9781462516278</v>
      </c>
      <c r="K5364" t="s">
        <v>33</v>
      </c>
      <c r="L5364">
        <v>3</v>
      </c>
      <c r="O5364" t="s">
        <v>30</v>
      </c>
      <c r="P5364" t="s">
        <v>42</v>
      </c>
      <c r="S5364" t="s">
        <v>31</v>
      </c>
      <c r="T5364" t="s">
        <v>2194</v>
      </c>
      <c r="U5364" t="s">
        <v>2195</v>
      </c>
      <c r="V5364" s="3">
        <v>41774</v>
      </c>
    </row>
    <row r="5365" spans="1:22" x14ac:dyDescent="0.35">
      <c r="A5365" s="1">
        <v>42300.484722222223</v>
      </c>
      <c r="B5365" s="2">
        <v>3.5798611111111107E-2</v>
      </c>
      <c r="C5365" t="s">
        <v>5552</v>
      </c>
      <c r="D5365" t="s">
        <v>23</v>
      </c>
      <c r="E5365" t="s">
        <v>24</v>
      </c>
      <c r="F5365" t="s">
        <v>3060</v>
      </c>
      <c r="G5365">
        <v>1120279</v>
      </c>
      <c r="H5365" t="s">
        <v>26</v>
      </c>
      <c r="I5365" t="s">
        <v>3061</v>
      </c>
      <c r="J5365" t="str">
        <f>"9781118537671"</f>
        <v>9781118537671</v>
      </c>
      <c r="K5365" t="s">
        <v>8613</v>
      </c>
      <c r="L5365">
        <v>82</v>
      </c>
      <c r="O5365" t="s">
        <v>30</v>
      </c>
      <c r="P5365" t="s">
        <v>29</v>
      </c>
      <c r="Q5365" s="1">
        <v>42299.851782407408</v>
      </c>
      <c r="R5365">
        <v>7</v>
      </c>
      <c r="S5365" t="s">
        <v>31</v>
      </c>
      <c r="T5365" t="s">
        <v>3063</v>
      </c>
      <c r="U5365">
        <v>599.93499999999995</v>
      </c>
      <c r="V5365" s="3">
        <v>41232</v>
      </c>
    </row>
    <row r="5366" spans="1:22" x14ac:dyDescent="0.35">
      <c r="A5366" s="1">
        <v>42300.275983796295</v>
      </c>
      <c r="B5366" s="2">
        <v>9.3287037037037036E-3</v>
      </c>
      <c r="C5366" t="s">
        <v>8614</v>
      </c>
      <c r="D5366" t="s">
        <v>623</v>
      </c>
      <c r="E5366" t="s">
        <v>624</v>
      </c>
      <c r="F5366" t="s">
        <v>7373</v>
      </c>
      <c r="G5366">
        <v>1823060</v>
      </c>
      <c r="H5366" t="s">
        <v>26</v>
      </c>
      <c r="I5366" t="s">
        <v>276</v>
      </c>
      <c r="J5366" t="str">
        <f>"9781119019152"</f>
        <v>9781119019152</v>
      </c>
      <c r="K5366" t="s">
        <v>4627</v>
      </c>
      <c r="L5366">
        <v>7</v>
      </c>
      <c r="O5366" t="s">
        <v>30</v>
      </c>
      <c r="P5366" t="s">
        <v>29</v>
      </c>
      <c r="Q5366" s="1">
        <v>42300.275983796295</v>
      </c>
      <c r="R5366">
        <v>7</v>
      </c>
      <c r="S5366" t="s">
        <v>627</v>
      </c>
      <c r="T5366" t="s">
        <v>7375</v>
      </c>
      <c r="U5366">
        <v>5.8</v>
      </c>
      <c r="V5366" s="3">
        <v>41932</v>
      </c>
    </row>
    <row r="5367" spans="1:22" x14ac:dyDescent="0.35">
      <c r="A5367" s="1">
        <v>42300.272418981483</v>
      </c>
      <c r="B5367" s="2">
        <v>1.1574074074074073E-5</v>
      </c>
      <c r="C5367" t="s">
        <v>8615</v>
      </c>
      <c r="D5367" t="s">
        <v>1222</v>
      </c>
      <c r="E5367" t="s">
        <v>1223</v>
      </c>
      <c r="F5367" t="s">
        <v>840</v>
      </c>
      <c r="G5367">
        <v>1166311</v>
      </c>
      <c r="H5367" t="s">
        <v>26</v>
      </c>
      <c r="I5367" t="s">
        <v>841</v>
      </c>
      <c r="J5367" t="str">
        <f>"9781118525616"</f>
        <v>9781118525616</v>
      </c>
      <c r="K5367" t="s">
        <v>1296</v>
      </c>
      <c r="L5367">
        <v>1</v>
      </c>
      <c r="O5367" t="s">
        <v>30</v>
      </c>
      <c r="P5367" t="s">
        <v>29</v>
      </c>
      <c r="Q5367" s="1">
        <v>42300.272418981483</v>
      </c>
      <c r="R5367">
        <v>7</v>
      </c>
      <c r="S5367" t="s">
        <v>1226</v>
      </c>
      <c r="T5367" t="s">
        <v>842</v>
      </c>
      <c r="U5367">
        <v>355.00700000000001</v>
      </c>
      <c r="V5367" s="3">
        <v>41366</v>
      </c>
    </row>
    <row r="5368" spans="1:22" x14ac:dyDescent="0.35">
      <c r="A5368" s="1">
        <v>42300.26358796296</v>
      </c>
      <c r="B5368" s="2">
        <v>1.2395833333333335E-2</v>
      </c>
      <c r="C5368" t="s">
        <v>8614</v>
      </c>
      <c r="D5368" t="s">
        <v>623</v>
      </c>
      <c r="E5368" t="s">
        <v>624</v>
      </c>
      <c r="F5368" t="s">
        <v>7373</v>
      </c>
      <c r="G5368">
        <v>1823060</v>
      </c>
      <c r="H5368" t="s">
        <v>26</v>
      </c>
      <c r="I5368" t="s">
        <v>276</v>
      </c>
      <c r="J5368" t="str">
        <f>"9781119019152"</f>
        <v>9781119019152</v>
      </c>
      <c r="K5368" t="s">
        <v>8616</v>
      </c>
      <c r="L5368">
        <v>29</v>
      </c>
      <c r="O5368" t="s">
        <v>30</v>
      </c>
      <c r="P5368" t="s">
        <v>42</v>
      </c>
      <c r="S5368" t="s">
        <v>627</v>
      </c>
      <c r="T5368" t="s">
        <v>7375</v>
      </c>
      <c r="U5368">
        <v>5.8</v>
      </c>
      <c r="V5368" s="3">
        <v>41932</v>
      </c>
    </row>
    <row r="5369" spans="1:22" x14ac:dyDescent="0.35">
      <c r="A5369" s="1">
        <v>42300.250671296293</v>
      </c>
      <c r="B5369" s="2">
        <v>2.1747685185185186E-2</v>
      </c>
      <c r="C5369" t="s">
        <v>8615</v>
      </c>
      <c r="D5369" t="s">
        <v>1222</v>
      </c>
      <c r="E5369" t="s">
        <v>1223</v>
      </c>
      <c r="F5369" t="s">
        <v>840</v>
      </c>
      <c r="G5369">
        <v>1166311</v>
      </c>
      <c r="H5369" t="s">
        <v>26</v>
      </c>
      <c r="I5369" t="s">
        <v>841</v>
      </c>
      <c r="J5369" t="str">
        <f>"9781118525616"</f>
        <v>9781118525616</v>
      </c>
      <c r="K5369" t="s">
        <v>8617</v>
      </c>
      <c r="L5369">
        <v>26</v>
      </c>
      <c r="O5369" t="s">
        <v>30</v>
      </c>
      <c r="P5369" t="s">
        <v>42</v>
      </c>
      <c r="S5369" t="s">
        <v>1226</v>
      </c>
      <c r="T5369" t="s">
        <v>842</v>
      </c>
      <c r="U5369">
        <v>355.00700000000001</v>
      </c>
      <c r="V5369" s="3">
        <v>41366</v>
      </c>
    </row>
    <row r="5370" spans="1:22" x14ac:dyDescent="0.35">
      <c r="A5370" s="1">
        <v>42300.137071759258</v>
      </c>
      <c r="B5370" s="2">
        <v>0.1228587962962963</v>
      </c>
      <c r="C5370" t="s">
        <v>8618</v>
      </c>
      <c r="D5370" t="s">
        <v>335</v>
      </c>
      <c r="E5370" t="s">
        <v>336</v>
      </c>
      <c r="F5370" t="s">
        <v>8619</v>
      </c>
      <c r="G5370">
        <v>1531052</v>
      </c>
      <c r="H5370" t="s">
        <v>26</v>
      </c>
      <c r="I5370" t="s">
        <v>79</v>
      </c>
      <c r="J5370" t="str">
        <f>"9781118807224"</f>
        <v>9781118807224</v>
      </c>
      <c r="K5370" t="s">
        <v>8620</v>
      </c>
      <c r="L5370">
        <v>161</v>
      </c>
      <c r="O5370" t="s">
        <v>30</v>
      </c>
      <c r="P5370" t="s">
        <v>47</v>
      </c>
      <c r="Q5370" s="1">
        <v>42300.137071759258</v>
      </c>
      <c r="R5370">
        <v>1</v>
      </c>
      <c r="S5370" t="s">
        <v>340</v>
      </c>
      <c r="T5370" t="s">
        <v>8621</v>
      </c>
      <c r="U5370">
        <v>341.01</v>
      </c>
      <c r="V5370" s="3">
        <v>41285</v>
      </c>
    </row>
    <row r="5371" spans="1:22" x14ac:dyDescent="0.35">
      <c r="A5371" s="1">
        <v>42300.133368055554</v>
      </c>
      <c r="B5371" s="2">
        <v>3.7037037037037034E-3</v>
      </c>
      <c r="C5371" t="s">
        <v>8618</v>
      </c>
      <c r="D5371" t="s">
        <v>335</v>
      </c>
      <c r="E5371" t="s">
        <v>336</v>
      </c>
      <c r="F5371" t="s">
        <v>8619</v>
      </c>
      <c r="G5371">
        <v>1531052</v>
      </c>
      <c r="H5371" t="s">
        <v>26</v>
      </c>
      <c r="I5371" t="s">
        <v>79</v>
      </c>
      <c r="J5371" t="str">
        <f>"9781118807224"</f>
        <v>9781118807224</v>
      </c>
      <c r="K5371" t="s">
        <v>8622</v>
      </c>
      <c r="L5371">
        <v>22</v>
      </c>
      <c r="O5371" t="s">
        <v>30</v>
      </c>
      <c r="P5371" t="s">
        <v>50</v>
      </c>
      <c r="S5371" t="s">
        <v>340</v>
      </c>
      <c r="T5371" t="s">
        <v>8621</v>
      </c>
      <c r="U5371">
        <v>341.01</v>
      </c>
      <c r="V5371" s="3">
        <v>41285</v>
      </c>
    </row>
    <row r="5372" spans="1:22" x14ac:dyDescent="0.35">
      <c r="A5372" s="1">
        <v>42300.112962962965</v>
      </c>
      <c r="B5372" s="2">
        <v>6.2500000000000001E-4</v>
      </c>
      <c r="C5372" t="s">
        <v>4644</v>
      </c>
      <c r="D5372" t="s">
        <v>23</v>
      </c>
      <c r="E5372" t="s">
        <v>24</v>
      </c>
      <c r="F5372" t="s">
        <v>4932</v>
      </c>
      <c r="G5372">
        <v>1681156</v>
      </c>
      <c r="H5372" t="s">
        <v>186</v>
      </c>
      <c r="I5372" t="s">
        <v>328</v>
      </c>
      <c r="J5372" t="str">
        <f>"9781845939205"</f>
        <v>9781845939205</v>
      </c>
      <c r="K5372" t="s">
        <v>2722</v>
      </c>
      <c r="L5372">
        <v>1</v>
      </c>
      <c r="O5372" t="s">
        <v>30</v>
      </c>
      <c r="P5372" t="s">
        <v>47</v>
      </c>
      <c r="Q5372" s="1">
        <v>42300.112962962965</v>
      </c>
      <c r="R5372">
        <v>1</v>
      </c>
      <c r="S5372" t="s">
        <v>31</v>
      </c>
      <c r="T5372" t="s">
        <v>4934</v>
      </c>
      <c r="U5372" t="s">
        <v>4935</v>
      </c>
      <c r="V5372" s="3">
        <v>41751</v>
      </c>
    </row>
    <row r="5373" spans="1:22" x14ac:dyDescent="0.35">
      <c r="A5373" s="1">
        <v>42300.112256944441</v>
      </c>
      <c r="B5373" s="2">
        <v>7.0601851851851847E-4</v>
      </c>
      <c r="C5373" t="s">
        <v>4644</v>
      </c>
      <c r="D5373" t="s">
        <v>23</v>
      </c>
      <c r="E5373" t="s">
        <v>24</v>
      </c>
      <c r="F5373" t="s">
        <v>4932</v>
      </c>
      <c r="G5373">
        <v>1681156</v>
      </c>
      <c r="H5373" t="s">
        <v>186</v>
      </c>
      <c r="I5373" t="s">
        <v>328</v>
      </c>
      <c r="J5373" t="str">
        <f>"9781845939205"</f>
        <v>9781845939205</v>
      </c>
      <c r="K5373" t="s">
        <v>8623</v>
      </c>
      <c r="L5373">
        <v>24</v>
      </c>
      <c r="O5373" t="s">
        <v>30</v>
      </c>
      <c r="P5373" t="s">
        <v>50</v>
      </c>
      <c r="S5373" t="s">
        <v>31</v>
      </c>
      <c r="T5373" t="s">
        <v>4934</v>
      </c>
      <c r="U5373" t="s">
        <v>4935</v>
      </c>
      <c r="V5373" s="3">
        <v>41751</v>
      </c>
    </row>
    <row r="5374" spans="1:22" x14ac:dyDescent="0.35">
      <c r="A5374" s="1">
        <v>42300.102650462963</v>
      </c>
      <c r="B5374" s="2">
        <v>4.3009259259259254E-2</v>
      </c>
      <c r="C5374" t="s">
        <v>106</v>
      </c>
      <c r="D5374" t="s">
        <v>23</v>
      </c>
      <c r="E5374" t="s">
        <v>24</v>
      </c>
      <c r="F5374" t="s">
        <v>3060</v>
      </c>
      <c r="G5374">
        <v>1120279</v>
      </c>
      <c r="H5374" t="s">
        <v>26</v>
      </c>
      <c r="I5374" t="s">
        <v>3061</v>
      </c>
      <c r="J5374" t="str">
        <f>"9781118537671"</f>
        <v>9781118537671</v>
      </c>
      <c r="K5374" t="s">
        <v>8624</v>
      </c>
      <c r="L5374">
        <v>50</v>
      </c>
      <c r="O5374" t="s">
        <v>30</v>
      </c>
      <c r="P5374" t="s">
        <v>29</v>
      </c>
      <c r="Q5374" s="1">
        <v>42298.175925925927</v>
      </c>
      <c r="R5374">
        <v>7</v>
      </c>
      <c r="S5374" t="s">
        <v>31</v>
      </c>
      <c r="T5374" t="s">
        <v>3063</v>
      </c>
      <c r="U5374">
        <v>599.93499999999995</v>
      </c>
      <c r="V5374" s="3">
        <v>41232</v>
      </c>
    </row>
    <row r="5375" spans="1:22" x14ac:dyDescent="0.35">
      <c r="A5375" s="1">
        <v>42300.06827546296</v>
      </c>
      <c r="B5375" s="2">
        <v>3.1041666666666665E-2</v>
      </c>
      <c r="C5375" t="s">
        <v>8625</v>
      </c>
      <c r="D5375" t="s">
        <v>1222</v>
      </c>
      <c r="E5375" t="s">
        <v>1223</v>
      </c>
      <c r="F5375" t="s">
        <v>8626</v>
      </c>
      <c r="G5375">
        <v>1318207</v>
      </c>
      <c r="H5375" t="s">
        <v>26</v>
      </c>
      <c r="I5375" t="s">
        <v>69</v>
      </c>
      <c r="J5375" t="str">
        <f>"9781118422083"</f>
        <v>9781118422083</v>
      </c>
      <c r="K5375" t="s">
        <v>8627</v>
      </c>
      <c r="L5375">
        <v>19</v>
      </c>
      <c r="O5375" t="s">
        <v>28</v>
      </c>
      <c r="P5375" t="s">
        <v>29</v>
      </c>
      <c r="Q5375" s="1">
        <v>42300.067893518521</v>
      </c>
      <c r="R5375">
        <v>7</v>
      </c>
      <c r="S5375" t="s">
        <v>1226</v>
      </c>
      <c r="T5375" t="s">
        <v>8628</v>
      </c>
      <c r="U5375" t="s">
        <v>8629</v>
      </c>
      <c r="V5375" s="3">
        <v>41470</v>
      </c>
    </row>
    <row r="5376" spans="1:22" x14ac:dyDescent="0.35">
      <c r="A5376" s="1">
        <v>42300.067893518521</v>
      </c>
      <c r="B5376" s="2">
        <v>1.1574074074074073E-5</v>
      </c>
      <c r="C5376" t="s">
        <v>8625</v>
      </c>
      <c r="D5376" t="s">
        <v>1222</v>
      </c>
      <c r="E5376" t="s">
        <v>1223</v>
      </c>
      <c r="F5376" t="s">
        <v>8626</v>
      </c>
      <c r="G5376">
        <v>1318207</v>
      </c>
      <c r="H5376" t="s">
        <v>26</v>
      </c>
      <c r="I5376" t="s">
        <v>69</v>
      </c>
      <c r="J5376" t="str">
        <f>"9781118422083"</f>
        <v>9781118422083</v>
      </c>
      <c r="K5376" t="s">
        <v>8630</v>
      </c>
      <c r="L5376">
        <v>1</v>
      </c>
      <c r="O5376" t="s">
        <v>30</v>
      </c>
      <c r="P5376" t="s">
        <v>29</v>
      </c>
      <c r="Q5376" s="1">
        <v>42300.067893518521</v>
      </c>
      <c r="R5376">
        <v>7</v>
      </c>
      <c r="S5376" t="s">
        <v>1226</v>
      </c>
      <c r="T5376" t="s">
        <v>8628</v>
      </c>
      <c r="U5376" t="s">
        <v>8629</v>
      </c>
      <c r="V5376" s="3">
        <v>41470</v>
      </c>
    </row>
    <row r="5377" spans="1:22" x14ac:dyDescent="0.35">
      <c r="A5377" s="1">
        <v>42300.060856481483</v>
      </c>
      <c r="B5377" s="2">
        <v>7.037037037037037E-3</v>
      </c>
      <c r="C5377" t="s">
        <v>8625</v>
      </c>
      <c r="D5377" t="s">
        <v>1222</v>
      </c>
      <c r="E5377" t="s">
        <v>1223</v>
      </c>
      <c r="F5377" t="s">
        <v>8626</v>
      </c>
      <c r="G5377">
        <v>1318207</v>
      </c>
      <c r="H5377" t="s">
        <v>26</v>
      </c>
      <c r="I5377" t="s">
        <v>69</v>
      </c>
      <c r="J5377" t="str">
        <f>"9781118422083"</f>
        <v>9781118422083</v>
      </c>
      <c r="K5377" t="s">
        <v>8631</v>
      </c>
      <c r="L5377">
        <v>34</v>
      </c>
      <c r="O5377" t="s">
        <v>30</v>
      </c>
      <c r="P5377" t="s">
        <v>42</v>
      </c>
      <c r="S5377" t="s">
        <v>1226</v>
      </c>
      <c r="T5377" t="s">
        <v>8628</v>
      </c>
      <c r="U5377" t="s">
        <v>8629</v>
      </c>
      <c r="V5377" s="3">
        <v>41470</v>
      </c>
    </row>
    <row r="5378" spans="1:22" x14ac:dyDescent="0.35">
      <c r="A5378" s="1">
        <v>42300.029351851852</v>
      </c>
      <c r="B5378" s="2">
        <v>4.3981481481481481E-4</v>
      </c>
      <c r="C5378" t="s">
        <v>106</v>
      </c>
      <c r="D5378" t="s">
        <v>23</v>
      </c>
      <c r="E5378" t="s">
        <v>24</v>
      </c>
      <c r="F5378" t="s">
        <v>90</v>
      </c>
      <c r="G5378">
        <v>1683360</v>
      </c>
      <c r="H5378" t="s">
        <v>91</v>
      </c>
      <c r="I5378" t="s">
        <v>92</v>
      </c>
      <c r="J5378" t="str">
        <f>"9781462516032"</f>
        <v>9781462516032</v>
      </c>
      <c r="K5378" t="s">
        <v>98</v>
      </c>
      <c r="L5378">
        <v>7</v>
      </c>
      <c r="O5378" t="s">
        <v>30</v>
      </c>
      <c r="P5378" t="s">
        <v>42</v>
      </c>
      <c r="S5378" t="s">
        <v>31</v>
      </c>
      <c r="T5378" t="s">
        <v>94</v>
      </c>
      <c r="U5378">
        <v>1.42</v>
      </c>
      <c r="V5378" s="3">
        <v>41823</v>
      </c>
    </row>
    <row r="5379" spans="1:22" x14ac:dyDescent="0.35">
      <c r="A5379" s="1">
        <v>42299.940844907411</v>
      </c>
      <c r="B5379" s="2">
        <v>7.8703703703703705E-4</v>
      </c>
      <c r="C5379" t="s">
        <v>8632</v>
      </c>
      <c r="D5379" t="s">
        <v>35</v>
      </c>
      <c r="E5379" t="s">
        <v>36</v>
      </c>
      <c r="F5379" t="s">
        <v>5954</v>
      </c>
      <c r="G5379">
        <v>864784</v>
      </c>
      <c r="H5379" t="s">
        <v>492</v>
      </c>
      <c r="I5379" t="s">
        <v>69</v>
      </c>
      <c r="J5379" t="str">
        <f>"9781400841578"</f>
        <v>9781400841578</v>
      </c>
      <c r="K5379" t="s">
        <v>8633</v>
      </c>
      <c r="L5379">
        <v>16</v>
      </c>
      <c r="O5379" t="s">
        <v>30</v>
      </c>
      <c r="P5379" t="s">
        <v>42</v>
      </c>
      <c r="S5379" t="s">
        <v>40</v>
      </c>
      <c r="T5379" t="s">
        <v>5956</v>
      </c>
      <c r="U5379">
        <v>378.73</v>
      </c>
      <c r="V5379" s="3">
        <v>41786</v>
      </c>
    </row>
    <row r="5380" spans="1:22" x14ac:dyDescent="0.35">
      <c r="A5380" s="1">
        <v>42299.933506944442</v>
      </c>
      <c r="B5380" s="2">
        <v>5.4976851851851853E-3</v>
      </c>
      <c r="C5380" t="s">
        <v>210</v>
      </c>
      <c r="D5380" t="s">
        <v>211</v>
      </c>
      <c r="E5380" t="s">
        <v>212</v>
      </c>
      <c r="F5380" t="s">
        <v>4494</v>
      </c>
      <c r="G5380">
        <v>565082</v>
      </c>
      <c r="H5380" t="s">
        <v>26</v>
      </c>
      <c r="I5380" t="s">
        <v>69</v>
      </c>
      <c r="J5380" t="str">
        <f>"9781118041567"</f>
        <v>9781118041567</v>
      </c>
      <c r="K5380" t="s">
        <v>8634</v>
      </c>
      <c r="L5380">
        <v>11</v>
      </c>
      <c r="O5380" t="s">
        <v>30</v>
      </c>
      <c r="P5380" t="s">
        <v>42</v>
      </c>
      <c r="S5380" t="s">
        <v>214</v>
      </c>
      <c r="T5380" t="s">
        <v>4496</v>
      </c>
      <c r="U5380" t="s">
        <v>4497</v>
      </c>
      <c r="V5380" s="3">
        <v>40337</v>
      </c>
    </row>
    <row r="5381" spans="1:22" x14ac:dyDescent="0.35">
      <c r="A5381" s="1">
        <v>42299.913217592592</v>
      </c>
      <c r="B5381" s="2">
        <v>7.6388888888888893E-4</v>
      </c>
      <c r="C5381" t="s">
        <v>8635</v>
      </c>
      <c r="D5381" t="s">
        <v>1222</v>
      </c>
      <c r="E5381" t="s">
        <v>1223</v>
      </c>
      <c r="F5381" t="s">
        <v>3993</v>
      </c>
      <c r="G5381">
        <v>1798778</v>
      </c>
      <c r="H5381" t="s">
        <v>26</v>
      </c>
      <c r="I5381" t="s">
        <v>247</v>
      </c>
      <c r="J5381" t="str">
        <f>"9781118760741"</f>
        <v>9781118760741</v>
      </c>
      <c r="K5381" t="s">
        <v>8636</v>
      </c>
      <c r="L5381">
        <v>11</v>
      </c>
      <c r="O5381" t="s">
        <v>28</v>
      </c>
      <c r="P5381" t="s">
        <v>29</v>
      </c>
      <c r="Q5381" s="1">
        <v>42299.8983912037</v>
      </c>
      <c r="R5381">
        <v>7</v>
      </c>
      <c r="S5381" t="s">
        <v>1226</v>
      </c>
      <c r="T5381" t="s">
        <v>3995</v>
      </c>
      <c r="U5381">
        <v>616.07500000000005</v>
      </c>
      <c r="V5381" s="3">
        <v>41906</v>
      </c>
    </row>
    <row r="5382" spans="1:22" x14ac:dyDescent="0.35">
      <c r="A5382" s="1">
        <v>42299.912812499999</v>
      </c>
      <c r="B5382" s="2">
        <v>0</v>
      </c>
      <c r="C5382" t="s">
        <v>8635</v>
      </c>
      <c r="D5382" t="s">
        <v>1222</v>
      </c>
      <c r="E5382" t="s">
        <v>1223</v>
      </c>
      <c r="F5382" t="s">
        <v>3993</v>
      </c>
      <c r="G5382">
        <v>1798778</v>
      </c>
      <c r="H5382" t="s">
        <v>26</v>
      </c>
      <c r="I5382" t="s">
        <v>247</v>
      </c>
      <c r="J5382" t="str">
        <f>"9781118760741"</f>
        <v>9781118760741</v>
      </c>
      <c r="L5382">
        <v>0</v>
      </c>
      <c r="O5382" t="s">
        <v>28</v>
      </c>
      <c r="P5382" t="s">
        <v>29</v>
      </c>
      <c r="Q5382" s="1">
        <v>42299.8983912037</v>
      </c>
      <c r="R5382">
        <v>7</v>
      </c>
      <c r="S5382" t="s">
        <v>1226</v>
      </c>
      <c r="T5382" t="s">
        <v>3995</v>
      </c>
      <c r="U5382">
        <v>616.07500000000005</v>
      </c>
      <c r="V5382" s="3">
        <v>41906</v>
      </c>
    </row>
    <row r="5383" spans="1:22" x14ac:dyDescent="0.35">
      <c r="A5383" s="1">
        <v>42299.912430555552</v>
      </c>
      <c r="B5383" s="2">
        <v>0</v>
      </c>
      <c r="C5383" t="s">
        <v>8635</v>
      </c>
      <c r="D5383" t="s">
        <v>1222</v>
      </c>
      <c r="E5383" t="s">
        <v>1223</v>
      </c>
      <c r="F5383" t="s">
        <v>3993</v>
      </c>
      <c r="G5383">
        <v>1798778</v>
      </c>
      <c r="H5383" t="s">
        <v>26</v>
      </c>
      <c r="I5383" t="s">
        <v>247</v>
      </c>
      <c r="J5383" t="str">
        <f>"9781118760741"</f>
        <v>9781118760741</v>
      </c>
      <c r="L5383">
        <v>0</v>
      </c>
      <c r="O5383" t="s">
        <v>28</v>
      </c>
      <c r="P5383" t="s">
        <v>29</v>
      </c>
      <c r="Q5383" s="1">
        <v>42299.8983912037</v>
      </c>
      <c r="R5383">
        <v>7</v>
      </c>
      <c r="S5383" t="s">
        <v>1226</v>
      </c>
      <c r="T5383" t="s">
        <v>3995</v>
      </c>
      <c r="U5383">
        <v>616.07500000000005</v>
      </c>
      <c r="V5383" s="3">
        <v>41906</v>
      </c>
    </row>
    <row r="5384" spans="1:22" x14ac:dyDescent="0.35">
      <c r="A5384" s="1">
        <v>42299.911030092589</v>
      </c>
      <c r="B5384" s="2">
        <v>0</v>
      </c>
      <c r="C5384" t="s">
        <v>8635</v>
      </c>
      <c r="D5384" t="s">
        <v>1222</v>
      </c>
      <c r="E5384" t="s">
        <v>1223</v>
      </c>
      <c r="F5384" t="s">
        <v>3993</v>
      </c>
      <c r="G5384">
        <v>1798778</v>
      </c>
      <c r="H5384" t="s">
        <v>26</v>
      </c>
      <c r="I5384" t="s">
        <v>247</v>
      </c>
      <c r="J5384" t="str">
        <f>"9781118760741"</f>
        <v>9781118760741</v>
      </c>
      <c r="L5384">
        <v>0</v>
      </c>
      <c r="O5384" t="s">
        <v>28</v>
      </c>
      <c r="P5384" t="s">
        <v>29</v>
      </c>
      <c r="Q5384" s="1">
        <v>42299.8983912037</v>
      </c>
      <c r="R5384">
        <v>7</v>
      </c>
      <c r="S5384" t="s">
        <v>1226</v>
      </c>
      <c r="T5384" t="s">
        <v>3995</v>
      </c>
      <c r="U5384">
        <v>616.07500000000005</v>
      </c>
      <c r="V5384" s="3">
        <v>41906</v>
      </c>
    </row>
    <row r="5385" spans="1:22" x14ac:dyDescent="0.35">
      <c r="A5385" s="1">
        <v>42299.909120370372</v>
      </c>
      <c r="B5385" s="2">
        <v>1.3773148148148147E-3</v>
      </c>
      <c r="C5385" t="s">
        <v>8635</v>
      </c>
      <c r="D5385" t="s">
        <v>1222</v>
      </c>
      <c r="E5385" t="s">
        <v>1223</v>
      </c>
      <c r="F5385" t="s">
        <v>3993</v>
      </c>
      <c r="G5385">
        <v>1798778</v>
      </c>
      <c r="H5385" t="s">
        <v>26</v>
      </c>
      <c r="I5385" t="s">
        <v>247</v>
      </c>
      <c r="J5385" t="str">
        <f>"9781118760741"</f>
        <v>9781118760741</v>
      </c>
      <c r="K5385" t="s">
        <v>8637</v>
      </c>
      <c r="L5385">
        <v>2</v>
      </c>
      <c r="O5385" t="s">
        <v>28</v>
      </c>
      <c r="P5385" t="s">
        <v>29</v>
      </c>
      <c r="Q5385" s="1">
        <v>42299.8983912037</v>
      </c>
      <c r="R5385">
        <v>7</v>
      </c>
      <c r="S5385" t="s">
        <v>1226</v>
      </c>
      <c r="T5385" t="s">
        <v>3995</v>
      </c>
      <c r="U5385">
        <v>616.07500000000005</v>
      </c>
      <c r="V5385" s="3">
        <v>41906</v>
      </c>
    </row>
    <row r="5386" spans="1:22" x14ac:dyDescent="0.35">
      <c r="A5386" s="1">
        <v>42299.902928240743</v>
      </c>
      <c r="B5386" s="2">
        <v>9.6365740740740738E-2</v>
      </c>
      <c r="C5386" t="s">
        <v>5326</v>
      </c>
      <c r="D5386" t="s">
        <v>23</v>
      </c>
      <c r="E5386" t="s">
        <v>24</v>
      </c>
      <c r="F5386" t="s">
        <v>486</v>
      </c>
      <c r="G5386">
        <v>1119505</v>
      </c>
      <c r="H5386" t="s">
        <v>26</v>
      </c>
      <c r="I5386" t="s">
        <v>450</v>
      </c>
      <c r="J5386" t="str">
        <f>"9781118355015"</f>
        <v>9781118355015</v>
      </c>
      <c r="K5386" t="s">
        <v>8638</v>
      </c>
      <c r="L5386">
        <v>45</v>
      </c>
      <c r="O5386" t="s">
        <v>30</v>
      </c>
      <c r="P5386" t="s">
        <v>29</v>
      </c>
      <c r="Q5386" s="1">
        <v>42298.000509259262</v>
      </c>
      <c r="R5386">
        <v>7</v>
      </c>
      <c r="S5386" t="s">
        <v>31</v>
      </c>
      <c r="T5386" t="s">
        <v>487</v>
      </c>
      <c r="U5386" t="s">
        <v>488</v>
      </c>
      <c r="V5386" s="3">
        <v>41302</v>
      </c>
    </row>
    <row r="5387" spans="1:22" x14ac:dyDescent="0.35">
      <c r="A5387" s="1">
        <v>42299.8983912037</v>
      </c>
      <c r="B5387" s="2">
        <v>1.0567129629629629E-2</v>
      </c>
      <c r="C5387" t="s">
        <v>8635</v>
      </c>
      <c r="D5387" t="s">
        <v>1222</v>
      </c>
      <c r="E5387" t="s">
        <v>1223</v>
      </c>
      <c r="F5387" t="s">
        <v>3993</v>
      </c>
      <c r="G5387">
        <v>1798778</v>
      </c>
      <c r="H5387" t="s">
        <v>26</v>
      </c>
      <c r="I5387" t="s">
        <v>247</v>
      </c>
      <c r="J5387" t="str">
        <f>"9781118760741"</f>
        <v>9781118760741</v>
      </c>
      <c r="K5387" t="s">
        <v>8639</v>
      </c>
      <c r="L5387">
        <v>117</v>
      </c>
      <c r="O5387" t="s">
        <v>30</v>
      </c>
      <c r="P5387" t="s">
        <v>29</v>
      </c>
      <c r="Q5387" s="1">
        <v>42299.8983912037</v>
      </c>
      <c r="R5387">
        <v>7</v>
      </c>
      <c r="S5387" t="s">
        <v>1226</v>
      </c>
      <c r="T5387" t="s">
        <v>3995</v>
      </c>
      <c r="U5387">
        <v>616.07500000000005</v>
      </c>
      <c r="V5387" s="3">
        <v>41906</v>
      </c>
    </row>
    <row r="5388" spans="1:22" x14ac:dyDescent="0.35">
      <c r="A5388" s="1">
        <v>42299.891250000001</v>
      </c>
      <c r="B5388" s="2">
        <v>7.1296296296296307E-3</v>
      </c>
      <c r="C5388" t="s">
        <v>8635</v>
      </c>
      <c r="D5388" t="s">
        <v>1222</v>
      </c>
      <c r="E5388" t="s">
        <v>1223</v>
      </c>
      <c r="F5388" t="s">
        <v>3993</v>
      </c>
      <c r="G5388">
        <v>1798778</v>
      </c>
      <c r="H5388" t="s">
        <v>26</v>
      </c>
      <c r="I5388" t="s">
        <v>247</v>
      </c>
      <c r="J5388" t="str">
        <f>"9781118760741"</f>
        <v>9781118760741</v>
      </c>
      <c r="K5388" t="s">
        <v>8640</v>
      </c>
      <c r="L5388">
        <v>47</v>
      </c>
      <c r="O5388" t="s">
        <v>30</v>
      </c>
      <c r="P5388" t="s">
        <v>42</v>
      </c>
      <c r="S5388" t="s">
        <v>1226</v>
      </c>
      <c r="T5388" t="s">
        <v>3995</v>
      </c>
      <c r="U5388">
        <v>616.07500000000005</v>
      </c>
      <c r="V5388" s="3">
        <v>41906</v>
      </c>
    </row>
    <row r="5389" spans="1:22" x14ac:dyDescent="0.35">
      <c r="A5389" s="1">
        <v>42299.851782407408</v>
      </c>
      <c r="B5389" s="2">
        <v>3.7627314814814815E-2</v>
      </c>
      <c r="C5389" t="s">
        <v>5552</v>
      </c>
      <c r="D5389" t="s">
        <v>23</v>
      </c>
      <c r="E5389" t="s">
        <v>24</v>
      </c>
      <c r="F5389" t="s">
        <v>3060</v>
      </c>
      <c r="G5389">
        <v>1120279</v>
      </c>
      <c r="H5389" t="s">
        <v>26</v>
      </c>
      <c r="I5389" t="s">
        <v>3061</v>
      </c>
      <c r="J5389" t="str">
        <f>"9781118537671"</f>
        <v>9781118537671</v>
      </c>
      <c r="K5389" t="s">
        <v>8641</v>
      </c>
      <c r="L5389">
        <v>17</v>
      </c>
      <c r="O5389" t="s">
        <v>30</v>
      </c>
      <c r="P5389" t="s">
        <v>29</v>
      </c>
      <c r="Q5389" s="1">
        <v>42299.851782407408</v>
      </c>
      <c r="R5389">
        <v>7</v>
      </c>
      <c r="S5389" t="s">
        <v>31</v>
      </c>
      <c r="T5389" t="s">
        <v>3063</v>
      </c>
      <c r="U5389">
        <v>599.93499999999995</v>
      </c>
      <c r="V5389" s="3">
        <v>41232</v>
      </c>
    </row>
    <row r="5390" spans="1:22" x14ac:dyDescent="0.35">
      <c r="A5390" s="1">
        <v>42299.844606481478</v>
      </c>
      <c r="B5390" s="2">
        <v>0.18688657407407408</v>
      </c>
      <c r="C5390" t="s">
        <v>3120</v>
      </c>
      <c r="D5390" t="s">
        <v>23</v>
      </c>
      <c r="E5390" t="s">
        <v>24</v>
      </c>
      <c r="F5390" t="s">
        <v>3060</v>
      </c>
      <c r="G5390">
        <v>1120279</v>
      </c>
      <c r="H5390" t="s">
        <v>26</v>
      </c>
      <c r="I5390" t="s">
        <v>3061</v>
      </c>
      <c r="J5390" t="str">
        <f>"9781118537671"</f>
        <v>9781118537671</v>
      </c>
      <c r="K5390" t="s">
        <v>8642</v>
      </c>
      <c r="L5390">
        <v>83</v>
      </c>
      <c r="O5390" t="s">
        <v>28</v>
      </c>
      <c r="P5390" t="s">
        <v>29</v>
      </c>
      <c r="Q5390" s="1">
        <v>42299.844594907408</v>
      </c>
      <c r="R5390">
        <v>7</v>
      </c>
      <c r="S5390" t="s">
        <v>31</v>
      </c>
      <c r="T5390" t="s">
        <v>3063</v>
      </c>
      <c r="U5390">
        <v>599.93499999999995</v>
      </c>
      <c r="V5390" s="3">
        <v>41232</v>
      </c>
    </row>
    <row r="5391" spans="1:22" x14ac:dyDescent="0.35">
      <c r="A5391" s="1">
        <v>42299.844594907408</v>
      </c>
      <c r="B5391" s="2">
        <v>0</v>
      </c>
      <c r="C5391" t="s">
        <v>3120</v>
      </c>
      <c r="D5391" t="s">
        <v>23</v>
      </c>
      <c r="E5391" t="s">
        <v>24</v>
      </c>
      <c r="F5391" t="s">
        <v>3060</v>
      </c>
      <c r="G5391">
        <v>1120279</v>
      </c>
      <c r="H5391" t="s">
        <v>26</v>
      </c>
      <c r="I5391" t="s">
        <v>3061</v>
      </c>
      <c r="J5391" t="str">
        <f>"9781118537671"</f>
        <v>9781118537671</v>
      </c>
      <c r="L5391">
        <v>0</v>
      </c>
      <c r="O5391" t="s">
        <v>30</v>
      </c>
      <c r="P5391" t="s">
        <v>29</v>
      </c>
      <c r="Q5391" s="1">
        <v>42299.844594907408</v>
      </c>
      <c r="R5391">
        <v>7</v>
      </c>
      <c r="S5391" t="s">
        <v>31</v>
      </c>
      <c r="T5391" t="s">
        <v>3063</v>
      </c>
      <c r="U5391">
        <v>599.93499999999995</v>
      </c>
      <c r="V5391" s="3">
        <v>41232</v>
      </c>
    </row>
    <row r="5392" spans="1:22" x14ac:dyDescent="0.35">
      <c r="A5392" s="1">
        <v>42299.843958333331</v>
      </c>
      <c r="B5392" s="2">
        <v>6.3657407407407402E-4</v>
      </c>
      <c r="C5392" t="s">
        <v>3120</v>
      </c>
      <c r="D5392" t="s">
        <v>23</v>
      </c>
      <c r="E5392" t="s">
        <v>24</v>
      </c>
      <c r="F5392" t="s">
        <v>3060</v>
      </c>
      <c r="G5392">
        <v>1120279</v>
      </c>
      <c r="H5392" t="s">
        <v>26</v>
      </c>
      <c r="I5392" t="s">
        <v>3061</v>
      </c>
      <c r="J5392" t="str">
        <f>"9781118537671"</f>
        <v>9781118537671</v>
      </c>
      <c r="K5392" t="s">
        <v>8643</v>
      </c>
      <c r="L5392">
        <v>14</v>
      </c>
      <c r="O5392" t="s">
        <v>30</v>
      </c>
      <c r="P5392" t="s">
        <v>42</v>
      </c>
      <c r="S5392" t="s">
        <v>31</v>
      </c>
      <c r="T5392" t="s">
        <v>3063</v>
      </c>
      <c r="U5392">
        <v>599.93499999999995</v>
      </c>
      <c r="V5392" s="3">
        <v>41232</v>
      </c>
    </row>
    <row r="5393" spans="1:22" x14ac:dyDescent="0.35">
      <c r="A5393" s="1">
        <v>42299.840509259258</v>
      </c>
      <c r="B5393" s="2">
        <v>3.7604166666666668E-2</v>
      </c>
      <c r="C5393" t="s">
        <v>5865</v>
      </c>
      <c r="D5393" t="s">
        <v>35</v>
      </c>
      <c r="E5393" t="s">
        <v>36</v>
      </c>
      <c r="F5393" t="s">
        <v>986</v>
      </c>
      <c r="G5393">
        <v>968030</v>
      </c>
      <c r="H5393" t="s">
        <v>26</v>
      </c>
      <c r="I5393" t="s">
        <v>219</v>
      </c>
      <c r="J5393" t="str">
        <f>"9781118285138"</f>
        <v>9781118285138</v>
      </c>
      <c r="K5393" t="s">
        <v>8644</v>
      </c>
      <c r="L5393">
        <v>13</v>
      </c>
      <c r="O5393" t="s">
        <v>30</v>
      </c>
      <c r="P5393" t="s">
        <v>29</v>
      </c>
      <c r="Q5393" s="1">
        <v>42299.19195601852</v>
      </c>
      <c r="R5393">
        <v>7</v>
      </c>
      <c r="S5393" t="s">
        <v>40</v>
      </c>
      <c r="T5393" t="s">
        <v>987</v>
      </c>
      <c r="U5393">
        <v>158.30000000000001</v>
      </c>
      <c r="V5393" s="3">
        <v>41100</v>
      </c>
    </row>
    <row r="5394" spans="1:22" x14ac:dyDescent="0.35">
      <c r="A5394" s="1">
        <v>42299.83803240741</v>
      </c>
      <c r="B5394" s="2">
        <v>1.375E-2</v>
      </c>
      <c r="C5394" t="s">
        <v>5552</v>
      </c>
      <c r="D5394" t="s">
        <v>23</v>
      </c>
      <c r="E5394" t="s">
        <v>24</v>
      </c>
      <c r="F5394" t="s">
        <v>3060</v>
      </c>
      <c r="G5394">
        <v>1120279</v>
      </c>
      <c r="H5394" t="s">
        <v>26</v>
      </c>
      <c r="I5394" t="s">
        <v>3061</v>
      </c>
      <c r="J5394" t="str">
        <f>"9781118537671"</f>
        <v>9781118537671</v>
      </c>
      <c r="K5394" t="s">
        <v>8645</v>
      </c>
      <c r="L5394">
        <v>9</v>
      </c>
      <c r="O5394" t="s">
        <v>30</v>
      </c>
      <c r="P5394" t="s">
        <v>42</v>
      </c>
      <c r="S5394" t="s">
        <v>31</v>
      </c>
      <c r="T5394" t="s">
        <v>3063</v>
      </c>
      <c r="U5394">
        <v>599.93499999999995</v>
      </c>
      <c r="V5394" s="3">
        <v>41232</v>
      </c>
    </row>
    <row r="5395" spans="1:22" x14ac:dyDescent="0.35">
      <c r="A5395" s="1">
        <v>42299.818645833337</v>
      </c>
      <c r="B5395" s="2">
        <v>6.4814814814814813E-3</v>
      </c>
      <c r="C5395" t="s">
        <v>5517</v>
      </c>
      <c r="D5395" t="s">
        <v>35</v>
      </c>
      <c r="E5395" t="s">
        <v>36</v>
      </c>
      <c r="F5395" t="s">
        <v>3275</v>
      </c>
      <c r="G5395">
        <v>822662</v>
      </c>
      <c r="H5395" t="s">
        <v>26</v>
      </c>
      <c r="I5395" t="s">
        <v>172</v>
      </c>
      <c r="J5395" t="str">
        <f>"9781444355130"</f>
        <v>9781444355130</v>
      </c>
      <c r="K5395" t="s">
        <v>8646</v>
      </c>
      <c r="L5395">
        <v>27</v>
      </c>
      <c r="O5395" t="s">
        <v>30</v>
      </c>
      <c r="P5395" t="s">
        <v>42</v>
      </c>
      <c r="S5395" t="s">
        <v>40</v>
      </c>
      <c r="T5395" t="s">
        <v>3277</v>
      </c>
      <c r="U5395">
        <v>960.3</v>
      </c>
      <c r="V5395" s="3">
        <v>40858</v>
      </c>
    </row>
    <row r="5396" spans="1:22" x14ac:dyDescent="0.35">
      <c r="A5396" s="1">
        <v>42299.816030092596</v>
      </c>
      <c r="B5396" s="2">
        <v>4.5254629629629629E-3</v>
      </c>
      <c r="C5396" t="s">
        <v>8374</v>
      </c>
      <c r="D5396" t="s">
        <v>23</v>
      </c>
      <c r="E5396" t="s">
        <v>24</v>
      </c>
      <c r="F5396" t="s">
        <v>246</v>
      </c>
      <c r="G5396">
        <v>1682559</v>
      </c>
      <c r="H5396" t="s">
        <v>91</v>
      </c>
      <c r="I5396" t="s">
        <v>247</v>
      </c>
      <c r="J5396" t="str">
        <f>"9781462515431"</f>
        <v>9781462515431</v>
      </c>
      <c r="K5396" t="s">
        <v>8647</v>
      </c>
      <c r="L5396">
        <v>43</v>
      </c>
      <c r="O5396" t="s">
        <v>30</v>
      </c>
      <c r="P5396" t="s">
        <v>42</v>
      </c>
      <c r="S5396" t="s">
        <v>31</v>
      </c>
      <c r="T5396" t="s">
        <v>249</v>
      </c>
      <c r="U5396">
        <v>616.89</v>
      </c>
      <c r="V5396" s="3">
        <v>41769</v>
      </c>
    </row>
    <row r="5397" spans="1:22" x14ac:dyDescent="0.35">
      <c r="A5397" s="1">
        <v>42299.814930555556</v>
      </c>
      <c r="B5397" s="2">
        <v>5.1562500000000004E-2</v>
      </c>
      <c r="C5397" t="s">
        <v>106</v>
      </c>
      <c r="D5397" t="s">
        <v>23</v>
      </c>
      <c r="E5397" t="s">
        <v>24</v>
      </c>
      <c r="F5397" t="s">
        <v>486</v>
      </c>
      <c r="G5397">
        <v>1119505</v>
      </c>
      <c r="H5397" t="s">
        <v>26</v>
      </c>
      <c r="I5397" t="s">
        <v>450</v>
      </c>
      <c r="J5397" t="str">
        <f>"9781118355015"</f>
        <v>9781118355015</v>
      </c>
      <c r="K5397" t="s">
        <v>8648</v>
      </c>
      <c r="L5397">
        <v>31</v>
      </c>
      <c r="O5397" t="s">
        <v>30</v>
      </c>
      <c r="P5397" t="s">
        <v>29</v>
      </c>
      <c r="Q5397" s="1">
        <v>42299.725706018522</v>
      </c>
      <c r="R5397">
        <v>7</v>
      </c>
      <c r="S5397" t="s">
        <v>31</v>
      </c>
      <c r="T5397" t="s">
        <v>487</v>
      </c>
      <c r="U5397" t="s">
        <v>488</v>
      </c>
      <c r="V5397" s="3">
        <v>41302</v>
      </c>
    </row>
    <row r="5398" spans="1:22" x14ac:dyDescent="0.35">
      <c r="A5398" s="1">
        <v>42299.804386574076</v>
      </c>
      <c r="B5398" s="2">
        <v>4.9143518518518524E-2</v>
      </c>
      <c r="C5398" t="s">
        <v>106</v>
      </c>
      <c r="D5398" t="s">
        <v>23</v>
      </c>
      <c r="E5398" t="s">
        <v>24</v>
      </c>
      <c r="F5398" t="s">
        <v>6635</v>
      </c>
      <c r="G5398">
        <v>817871</v>
      </c>
      <c r="H5398" t="s">
        <v>26</v>
      </c>
      <c r="I5398" t="s">
        <v>276</v>
      </c>
      <c r="J5398" t="str">
        <f>"9781118206911"</f>
        <v>9781118206911</v>
      </c>
      <c r="K5398" t="s">
        <v>8649</v>
      </c>
      <c r="L5398">
        <v>67</v>
      </c>
      <c r="O5398" t="s">
        <v>30</v>
      </c>
      <c r="P5398" t="s">
        <v>29</v>
      </c>
      <c r="Q5398" s="1">
        <v>42299.804386574076</v>
      </c>
      <c r="R5398">
        <v>7</v>
      </c>
      <c r="S5398" t="s">
        <v>31</v>
      </c>
      <c r="T5398" t="s">
        <v>6637</v>
      </c>
      <c r="U5398">
        <v>6.74</v>
      </c>
      <c r="V5398" s="3">
        <v>40897</v>
      </c>
    </row>
    <row r="5399" spans="1:22" x14ac:dyDescent="0.35">
      <c r="A5399" s="1">
        <v>42299.803912037038</v>
      </c>
      <c r="B5399" s="2">
        <v>3.0092592592592595E-4</v>
      </c>
      <c r="C5399" t="s">
        <v>106</v>
      </c>
      <c r="D5399" t="s">
        <v>23</v>
      </c>
      <c r="E5399" t="s">
        <v>24</v>
      </c>
      <c r="F5399" t="s">
        <v>8650</v>
      </c>
      <c r="G5399">
        <v>1120310</v>
      </c>
      <c r="H5399" t="s">
        <v>26</v>
      </c>
      <c r="I5399" t="s">
        <v>276</v>
      </c>
      <c r="J5399" t="str">
        <f>"9781118432693"</f>
        <v>9781118432693</v>
      </c>
      <c r="K5399" t="s">
        <v>8651</v>
      </c>
      <c r="L5399">
        <v>13</v>
      </c>
      <c r="O5399" t="s">
        <v>30</v>
      </c>
      <c r="P5399" t="s">
        <v>42</v>
      </c>
      <c r="S5399" t="s">
        <v>31</v>
      </c>
      <c r="T5399" t="s">
        <v>8652</v>
      </c>
      <c r="U5399">
        <v>6.74</v>
      </c>
      <c r="V5399" s="3">
        <v>41232</v>
      </c>
    </row>
    <row r="5400" spans="1:22" x14ac:dyDescent="0.35">
      <c r="A5400" s="1">
        <v>42299.802071759259</v>
      </c>
      <c r="B5400" s="2">
        <v>5.6712962962962956E-4</v>
      </c>
      <c r="C5400" t="s">
        <v>106</v>
      </c>
      <c r="D5400" t="s">
        <v>23</v>
      </c>
      <c r="E5400" t="s">
        <v>24</v>
      </c>
      <c r="F5400" t="s">
        <v>8650</v>
      </c>
      <c r="G5400">
        <v>1120310</v>
      </c>
      <c r="H5400" t="s">
        <v>26</v>
      </c>
      <c r="I5400" t="s">
        <v>276</v>
      </c>
      <c r="J5400" t="str">
        <f>"9781118432693"</f>
        <v>9781118432693</v>
      </c>
      <c r="K5400" t="s">
        <v>8653</v>
      </c>
      <c r="L5400">
        <v>16</v>
      </c>
      <c r="O5400" t="s">
        <v>30</v>
      </c>
      <c r="P5400" t="s">
        <v>42</v>
      </c>
      <c r="S5400" t="s">
        <v>31</v>
      </c>
      <c r="T5400" t="s">
        <v>8652</v>
      </c>
      <c r="U5400">
        <v>6.74</v>
      </c>
      <c r="V5400" s="3">
        <v>41232</v>
      </c>
    </row>
    <row r="5401" spans="1:22" x14ac:dyDescent="0.35">
      <c r="A5401" s="1">
        <v>42299.792604166665</v>
      </c>
      <c r="B5401" s="2">
        <v>4.880787037037037E-2</v>
      </c>
      <c r="C5401" t="s">
        <v>6000</v>
      </c>
      <c r="D5401" t="s">
        <v>35</v>
      </c>
      <c r="E5401" t="s">
        <v>36</v>
      </c>
      <c r="F5401" t="s">
        <v>986</v>
      </c>
      <c r="G5401">
        <v>968030</v>
      </c>
      <c r="H5401" t="s">
        <v>26</v>
      </c>
      <c r="I5401" t="s">
        <v>219</v>
      </c>
      <c r="J5401" t="str">
        <f>"9781118285138"</f>
        <v>9781118285138</v>
      </c>
      <c r="K5401" t="s">
        <v>8654</v>
      </c>
      <c r="L5401">
        <v>18</v>
      </c>
      <c r="O5401" t="s">
        <v>30</v>
      </c>
      <c r="P5401" t="s">
        <v>29</v>
      </c>
      <c r="Q5401" s="1">
        <v>42299.067418981482</v>
      </c>
      <c r="R5401">
        <v>7</v>
      </c>
      <c r="S5401" t="s">
        <v>40</v>
      </c>
      <c r="T5401" t="s">
        <v>987</v>
      </c>
      <c r="U5401">
        <v>158.30000000000001</v>
      </c>
      <c r="V5401" s="3">
        <v>41100</v>
      </c>
    </row>
    <row r="5402" spans="1:22" x14ac:dyDescent="0.35">
      <c r="A5402" s="1">
        <v>42299.79210648148</v>
      </c>
      <c r="B5402" s="2">
        <v>9.0277777777777787E-3</v>
      </c>
      <c r="C5402" t="s">
        <v>8606</v>
      </c>
      <c r="D5402" t="s">
        <v>23</v>
      </c>
      <c r="E5402" t="s">
        <v>24</v>
      </c>
      <c r="F5402" t="s">
        <v>8607</v>
      </c>
      <c r="G5402">
        <v>817864</v>
      </c>
      <c r="H5402" t="s">
        <v>26</v>
      </c>
      <c r="I5402" t="s">
        <v>8608</v>
      </c>
      <c r="J5402" t="str">
        <f>"9781118206485"</f>
        <v>9781118206485</v>
      </c>
      <c r="K5402" t="s">
        <v>8655</v>
      </c>
      <c r="L5402">
        <v>16</v>
      </c>
      <c r="M5402" t="s">
        <v>8656</v>
      </c>
      <c r="O5402" t="s">
        <v>30</v>
      </c>
      <c r="P5402" t="s">
        <v>29</v>
      </c>
      <c r="Q5402" s="1">
        <v>42299.79210648148</v>
      </c>
      <c r="R5402">
        <v>7</v>
      </c>
      <c r="S5402" t="s">
        <v>31</v>
      </c>
      <c r="T5402" t="s">
        <v>8610</v>
      </c>
      <c r="U5402" t="s">
        <v>8611</v>
      </c>
      <c r="V5402" s="3">
        <v>40941</v>
      </c>
    </row>
    <row r="5403" spans="1:22" x14ac:dyDescent="0.35">
      <c r="A5403" s="1">
        <v>42299.776296296295</v>
      </c>
      <c r="B5403" s="2">
        <v>2.809027777777778E-2</v>
      </c>
      <c r="C5403" t="s">
        <v>106</v>
      </c>
      <c r="D5403" t="s">
        <v>23</v>
      </c>
      <c r="E5403" t="s">
        <v>24</v>
      </c>
      <c r="F5403" t="s">
        <v>6635</v>
      </c>
      <c r="G5403">
        <v>817871</v>
      </c>
      <c r="H5403" t="s">
        <v>26</v>
      </c>
      <c r="I5403" t="s">
        <v>276</v>
      </c>
      <c r="J5403" t="str">
        <f>"9781118206911"</f>
        <v>9781118206911</v>
      </c>
      <c r="K5403" t="s">
        <v>8657</v>
      </c>
      <c r="L5403">
        <v>25</v>
      </c>
      <c r="O5403" t="s">
        <v>30</v>
      </c>
      <c r="P5403" t="s">
        <v>42</v>
      </c>
      <c r="S5403" t="s">
        <v>31</v>
      </c>
      <c r="T5403" t="s">
        <v>6637</v>
      </c>
      <c r="U5403">
        <v>6.74</v>
      </c>
      <c r="V5403" s="3">
        <v>40897</v>
      </c>
    </row>
    <row r="5404" spans="1:22" x14ac:dyDescent="0.35">
      <c r="A5404" s="1">
        <v>42299.774340277778</v>
      </c>
      <c r="B5404" s="2">
        <v>1.7766203703703704E-2</v>
      </c>
      <c r="C5404" t="s">
        <v>8606</v>
      </c>
      <c r="D5404" t="s">
        <v>23</v>
      </c>
      <c r="E5404" t="s">
        <v>24</v>
      </c>
      <c r="F5404" t="s">
        <v>8607</v>
      </c>
      <c r="G5404">
        <v>817864</v>
      </c>
      <c r="H5404" t="s">
        <v>26</v>
      </c>
      <c r="I5404" t="s">
        <v>8608</v>
      </c>
      <c r="J5404" t="str">
        <f>"9781118206485"</f>
        <v>9781118206485</v>
      </c>
      <c r="K5404" t="s">
        <v>8658</v>
      </c>
      <c r="L5404">
        <v>10</v>
      </c>
      <c r="O5404" t="s">
        <v>30</v>
      </c>
      <c r="P5404" t="s">
        <v>42</v>
      </c>
      <c r="S5404" t="s">
        <v>31</v>
      </c>
      <c r="T5404" t="s">
        <v>8610</v>
      </c>
      <c r="U5404" t="s">
        <v>8611</v>
      </c>
      <c r="V5404" s="3">
        <v>40941</v>
      </c>
    </row>
    <row r="5405" spans="1:22" x14ac:dyDescent="0.35">
      <c r="A5405" s="1">
        <v>42299.749513888892</v>
      </c>
      <c r="B5405" s="2">
        <v>2.193287037037037E-2</v>
      </c>
      <c r="C5405" t="s">
        <v>8659</v>
      </c>
      <c r="D5405" t="s">
        <v>35</v>
      </c>
      <c r="E5405" t="s">
        <v>36</v>
      </c>
      <c r="F5405" t="s">
        <v>4668</v>
      </c>
      <c r="G5405">
        <v>2110627</v>
      </c>
      <c r="H5405" t="s">
        <v>45</v>
      </c>
      <c r="I5405" t="s">
        <v>998</v>
      </c>
      <c r="J5405" t="str">
        <f>"9781472436481"</f>
        <v>9781472436481</v>
      </c>
      <c r="K5405" t="s">
        <v>8660</v>
      </c>
      <c r="L5405">
        <v>25</v>
      </c>
      <c r="O5405" t="s">
        <v>30</v>
      </c>
      <c r="P5405" t="s">
        <v>47</v>
      </c>
      <c r="Q5405" s="1">
        <v>42299.592499999999</v>
      </c>
      <c r="R5405">
        <v>1</v>
      </c>
      <c r="S5405" t="s">
        <v>40</v>
      </c>
      <c r="T5405" t="s">
        <v>4670</v>
      </c>
      <c r="U5405" t="s">
        <v>4671</v>
      </c>
      <c r="V5405" s="3">
        <v>42275</v>
      </c>
    </row>
    <row r="5406" spans="1:22" x14ac:dyDescent="0.35">
      <c r="A5406" s="1">
        <v>42299.735081018516</v>
      </c>
      <c r="B5406" s="2">
        <v>3.2662037037037038E-2</v>
      </c>
      <c r="C5406" t="s">
        <v>8446</v>
      </c>
      <c r="D5406" t="s">
        <v>35</v>
      </c>
      <c r="E5406" t="s">
        <v>36</v>
      </c>
      <c r="F5406" t="s">
        <v>986</v>
      </c>
      <c r="G5406">
        <v>968030</v>
      </c>
      <c r="H5406" t="s">
        <v>26</v>
      </c>
      <c r="I5406" t="s">
        <v>219</v>
      </c>
      <c r="J5406" t="str">
        <f>"9781118285138"</f>
        <v>9781118285138</v>
      </c>
      <c r="K5406" t="s">
        <v>8661</v>
      </c>
      <c r="L5406">
        <v>60</v>
      </c>
      <c r="O5406" t="s">
        <v>30</v>
      </c>
      <c r="P5406" t="s">
        <v>29</v>
      </c>
      <c r="Q5406" s="1">
        <v>42299.735081018516</v>
      </c>
      <c r="R5406">
        <v>7</v>
      </c>
      <c r="S5406" t="s">
        <v>40</v>
      </c>
      <c r="T5406" t="s">
        <v>987</v>
      </c>
      <c r="U5406">
        <v>158.30000000000001</v>
      </c>
      <c r="V5406" s="3">
        <v>41100</v>
      </c>
    </row>
    <row r="5407" spans="1:22" x14ac:dyDescent="0.35">
      <c r="A5407" s="1">
        <v>42299.734016203707</v>
      </c>
      <c r="B5407" s="2">
        <v>1.2025462962962962E-2</v>
      </c>
      <c r="C5407" t="s">
        <v>3429</v>
      </c>
      <c r="D5407" t="s">
        <v>35</v>
      </c>
      <c r="E5407" t="s">
        <v>36</v>
      </c>
      <c r="F5407" t="s">
        <v>4668</v>
      </c>
      <c r="G5407">
        <v>2110627</v>
      </c>
      <c r="H5407" t="s">
        <v>45</v>
      </c>
      <c r="I5407" t="s">
        <v>998</v>
      </c>
      <c r="J5407" t="str">
        <f>"9781472436481"</f>
        <v>9781472436481</v>
      </c>
      <c r="K5407" t="s">
        <v>8662</v>
      </c>
      <c r="L5407">
        <v>3</v>
      </c>
      <c r="O5407" t="s">
        <v>30</v>
      </c>
      <c r="P5407" t="s">
        <v>29</v>
      </c>
      <c r="Q5407" s="1">
        <v>42299.734016203707</v>
      </c>
      <c r="R5407">
        <v>7</v>
      </c>
      <c r="S5407" t="s">
        <v>40</v>
      </c>
      <c r="T5407" t="s">
        <v>4670</v>
      </c>
      <c r="U5407" t="s">
        <v>4671</v>
      </c>
      <c r="V5407" s="3">
        <v>42275</v>
      </c>
    </row>
    <row r="5408" spans="1:22" x14ac:dyDescent="0.35">
      <c r="A5408" s="1">
        <v>42299.731712962966</v>
      </c>
      <c r="B5408" s="2">
        <v>3.4722222222222224E-4</v>
      </c>
      <c r="C5408" t="s">
        <v>8663</v>
      </c>
      <c r="D5408" t="s">
        <v>35</v>
      </c>
      <c r="E5408" t="s">
        <v>36</v>
      </c>
      <c r="F5408" t="s">
        <v>4668</v>
      </c>
      <c r="G5408">
        <v>2110627</v>
      </c>
      <c r="H5408" t="s">
        <v>45</v>
      </c>
      <c r="I5408" t="s">
        <v>998</v>
      </c>
      <c r="J5408" t="str">
        <f>"9781472436481"</f>
        <v>9781472436481</v>
      </c>
      <c r="K5408" t="s">
        <v>8664</v>
      </c>
      <c r="L5408">
        <v>7</v>
      </c>
      <c r="O5408" t="s">
        <v>30</v>
      </c>
      <c r="P5408" t="s">
        <v>42</v>
      </c>
      <c r="S5408" t="s">
        <v>40</v>
      </c>
      <c r="T5408" t="s">
        <v>4670</v>
      </c>
      <c r="U5408" t="s">
        <v>4671</v>
      </c>
      <c r="V5408" s="3">
        <v>42275</v>
      </c>
    </row>
    <row r="5409" spans="1:22" x14ac:dyDescent="0.35">
      <c r="A5409" s="1">
        <v>42299.728125000001</v>
      </c>
      <c r="B5409" s="2">
        <v>6.9560185185185185E-3</v>
      </c>
      <c r="C5409" t="s">
        <v>8446</v>
      </c>
      <c r="D5409" t="s">
        <v>35</v>
      </c>
      <c r="E5409" t="s">
        <v>36</v>
      </c>
      <c r="F5409" t="s">
        <v>986</v>
      </c>
      <c r="G5409">
        <v>968030</v>
      </c>
      <c r="H5409" t="s">
        <v>26</v>
      </c>
      <c r="I5409" t="s">
        <v>219</v>
      </c>
      <c r="J5409" t="str">
        <f>"9781118285138"</f>
        <v>9781118285138</v>
      </c>
      <c r="K5409" t="s">
        <v>8665</v>
      </c>
      <c r="L5409">
        <v>46</v>
      </c>
      <c r="O5409" t="s">
        <v>30</v>
      </c>
      <c r="P5409" t="s">
        <v>42</v>
      </c>
      <c r="S5409" t="s">
        <v>40</v>
      </c>
      <c r="T5409" t="s">
        <v>987</v>
      </c>
      <c r="U5409">
        <v>158.30000000000001</v>
      </c>
      <c r="V5409" s="3">
        <v>41100</v>
      </c>
    </row>
    <row r="5410" spans="1:22" x14ac:dyDescent="0.35">
      <c r="A5410" s="1">
        <v>42299.725717592592</v>
      </c>
      <c r="B5410" s="2">
        <v>2.6354166666666668E-2</v>
      </c>
      <c r="C5410" t="s">
        <v>106</v>
      </c>
      <c r="D5410" t="s">
        <v>23</v>
      </c>
      <c r="E5410" t="s">
        <v>24</v>
      </c>
      <c r="F5410" t="s">
        <v>486</v>
      </c>
      <c r="G5410">
        <v>1119505</v>
      </c>
      <c r="H5410" t="s">
        <v>26</v>
      </c>
      <c r="I5410" t="s">
        <v>450</v>
      </c>
      <c r="J5410" t="str">
        <f>"9781118355015"</f>
        <v>9781118355015</v>
      </c>
      <c r="K5410" t="s">
        <v>8666</v>
      </c>
      <c r="L5410">
        <v>23</v>
      </c>
      <c r="O5410" t="s">
        <v>30</v>
      </c>
      <c r="P5410" t="s">
        <v>29</v>
      </c>
      <c r="Q5410" s="1">
        <v>42299.725706018522</v>
      </c>
      <c r="R5410">
        <v>7</v>
      </c>
      <c r="S5410" t="s">
        <v>31</v>
      </c>
      <c r="T5410" t="s">
        <v>487</v>
      </c>
      <c r="U5410" t="s">
        <v>488</v>
      </c>
      <c r="V5410" s="3">
        <v>41302</v>
      </c>
    </row>
    <row r="5411" spans="1:22" x14ac:dyDescent="0.35">
      <c r="A5411" s="1">
        <v>42299.712094907409</v>
      </c>
      <c r="B5411" s="2">
        <v>3.4722222222222224E-4</v>
      </c>
      <c r="C5411" t="s">
        <v>6645</v>
      </c>
      <c r="D5411" t="s">
        <v>146</v>
      </c>
      <c r="E5411" t="s">
        <v>147</v>
      </c>
      <c r="F5411" t="s">
        <v>7610</v>
      </c>
      <c r="G5411">
        <v>818250</v>
      </c>
      <c r="H5411" t="s">
        <v>26</v>
      </c>
      <c r="I5411" t="s">
        <v>38</v>
      </c>
      <c r="J5411" t="str">
        <f>"9781118244982"</f>
        <v>9781118244982</v>
      </c>
      <c r="K5411" t="s">
        <v>8667</v>
      </c>
      <c r="L5411">
        <v>16</v>
      </c>
      <c r="O5411" t="s">
        <v>30</v>
      </c>
      <c r="P5411" t="s">
        <v>42</v>
      </c>
      <c r="S5411" t="s">
        <v>6647</v>
      </c>
      <c r="T5411" t="s">
        <v>7611</v>
      </c>
      <c r="U5411" t="s">
        <v>7612</v>
      </c>
      <c r="V5411" s="3">
        <v>40855</v>
      </c>
    </row>
    <row r="5412" spans="1:22" x14ac:dyDescent="0.35">
      <c r="A5412" s="1">
        <v>42299.711099537039</v>
      </c>
      <c r="B5412" s="2">
        <v>1.4606481481481482E-2</v>
      </c>
      <c r="C5412" t="s">
        <v>106</v>
      </c>
      <c r="D5412" t="s">
        <v>23</v>
      </c>
      <c r="E5412" t="s">
        <v>24</v>
      </c>
      <c r="F5412" t="s">
        <v>486</v>
      </c>
      <c r="G5412">
        <v>1119505</v>
      </c>
      <c r="H5412" t="s">
        <v>26</v>
      </c>
      <c r="I5412" t="s">
        <v>450</v>
      </c>
      <c r="J5412" t="str">
        <f>"9781118355015"</f>
        <v>9781118355015</v>
      </c>
      <c r="K5412" t="s">
        <v>8668</v>
      </c>
      <c r="L5412">
        <v>15</v>
      </c>
      <c r="O5412" t="s">
        <v>30</v>
      </c>
      <c r="P5412" t="s">
        <v>42</v>
      </c>
      <c r="S5412" t="s">
        <v>31</v>
      </c>
      <c r="T5412" t="s">
        <v>487</v>
      </c>
      <c r="U5412" t="s">
        <v>488</v>
      </c>
      <c r="V5412" s="3">
        <v>41302</v>
      </c>
    </row>
    <row r="5413" spans="1:22" x14ac:dyDescent="0.35">
      <c r="A5413" s="1">
        <v>42299.711099537039</v>
      </c>
      <c r="B5413" s="2">
        <v>2.2905092592592591E-2</v>
      </c>
      <c r="C5413" t="s">
        <v>3429</v>
      </c>
      <c r="D5413" t="s">
        <v>35</v>
      </c>
      <c r="E5413" t="s">
        <v>36</v>
      </c>
      <c r="F5413" t="s">
        <v>4668</v>
      </c>
      <c r="G5413">
        <v>2110627</v>
      </c>
      <c r="H5413" t="s">
        <v>45</v>
      </c>
      <c r="I5413" t="s">
        <v>998</v>
      </c>
      <c r="J5413" t="str">
        <f>"9781472436481"</f>
        <v>9781472436481</v>
      </c>
      <c r="K5413" t="s">
        <v>8669</v>
      </c>
      <c r="L5413">
        <v>10</v>
      </c>
      <c r="O5413" t="s">
        <v>30</v>
      </c>
      <c r="P5413" t="s">
        <v>42</v>
      </c>
      <c r="S5413" t="s">
        <v>40</v>
      </c>
      <c r="T5413" t="s">
        <v>4670</v>
      </c>
      <c r="U5413" t="s">
        <v>4671</v>
      </c>
      <c r="V5413" s="3">
        <v>42275</v>
      </c>
    </row>
    <row r="5414" spans="1:22" x14ac:dyDescent="0.35">
      <c r="A5414" s="1">
        <v>42299.70685185185</v>
      </c>
      <c r="B5414" s="2">
        <v>1.4351851851851854E-3</v>
      </c>
      <c r="C5414" t="s">
        <v>7898</v>
      </c>
      <c r="D5414" t="s">
        <v>158</v>
      </c>
      <c r="E5414" t="s">
        <v>159</v>
      </c>
      <c r="F5414" t="s">
        <v>5301</v>
      </c>
      <c r="G5414">
        <v>818121</v>
      </c>
      <c r="H5414" t="s">
        <v>26</v>
      </c>
      <c r="I5414" t="s">
        <v>5302</v>
      </c>
      <c r="J5414" t="str">
        <f>"9781118226339"</f>
        <v>9781118226339</v>
      </c>
      <c r="K5414" t="s">
        <v>8670</v>
      </c>
      <c r="L5414">
        <v>16</v>
      </c>
      <c r="O5414" t="s">
        <v>30</v>
      </c>
      <c r="P5414" t="s">
        <v>42</v>
      </c>
      <c r="S5414" t="s">
        <v>163</v>
      </c>
      <c r="T5414" t="s">
        <v>5303</v>
      </c>
      <c r="U5414" t="s">
        <v>5304</v>
      </c>
      <c r="V5414" s="3">
        <v>40934</v>
      </c>
    </row>
    <row r="5415" spans="1:22" x14ac:dyDescent="0.35">
      <c r="A5415" s="1">
        <v>42299.698645833334</v>
      </c>
      <c r="B5415" s="2">
        <v>1.1296296296296296E-2</v>
      </c>
      <c r="C5415" t="s">
        <v>8671</v>
      </c>
      <c r="D5415" t="s">
        <v>35</v>
      </c>
      <c r="E5415" t="s">
        <v>36</v>
      </c>
      <c r="F5415" t="s">
        <v>4668</v>
      </c>
      <c r="G5415">
        <v>2110627</v>
      </c>
      <c r="H5415" t="s">
        <v>45</v>
      </c>
      <c r="I5415" t="s">
        <v>998</v>
      </c>
      <c r="J5415" t="str">
        <f>"9781472436481"</f>
        <v>9781472436481</v>
      </c>
      <c r="K5415" t="s">
        <v>8672</v>
      </c>
      <c r="L5415">
        <v>34</v>
      </c>
      <c r="O5415" t="s">
        <v>30</v>
      </c>
      <c r="P5415" t="s">
        <v>29</v>
      </c>
      <c r="Q5415" s="1">
        <v>42299.698645833334</v>
      </c>
      <c r="R5415">
        <v>7</v>
      </c>
      <c r="S5415" t="s">
        <v>40</v>
      </c>
      <c r="T5415" t="s">
        <v>4670</v>
      </c>
      <c r="U5415" t="s">
        <v>4671</v>
      </c>
      <c r="V5415" s="3">
        <v>42275</v>
      </c>
    </row>
    <row r="5416" spans="1:22" x14ac:dyDescent="0.35">
      <c r="A5416" s="1">
        <v>42299.687303240738</v>
      </c>
      <c r="B5416" s="2">
        <v>1.1331018518518518E-2</v>
      </c>
      <c r="C5416" t="s">
        <v>8671</v>
      </c>
      <c r="D5416" t="s">
        <v>35</v>
      </c>
      <c r="E5416" t="s">
        <v>36</v>
      </c>
      <c r="F5416" t="s">
        <v>4668</v>
      </c>
      <c r="G5416">
        <v>2110627</v>
      </c>
      <c r="H5416" t="s">
        <v>45</v>
      </c>
      <c r="I5416" t="s">
        <v>998</v>
      </c>
      <c r="J5416" t="str">
        <f>"9781472436481"</f>
        <v>9781472436481</v>
      </c>
      <c r="K5416" t="s">
        <v>8673</v>
      </c>
      <c r="L5416">
        <v>27</v>
      </c>
      <c r="O5416" t="s">
        <v>30</v>
      </c>
      <c r="P5416" t="s">
        <v>50</v>
      </c>
      <c r="S5416" t="s">
        <v>40</v>
      </c>
      <c r="T5416" t="s">
        <v>4670</v>
      </c>
      <c r="U5416" t="s">
        <v>4671</v>
      </c>
      <c r="V5416" s="3">
        <v>42275</v>
      </c>
    </row>
    <row r="5417" spans="1:22" x14ac:dyDescent="0.35">
      <c r="A5417" s="1">
        <v>42299.682314814818</v>
      </c>
      <c r="B5417" s="2">
        <v>1.8865740740740742E-3</v>
      </c>
      <c r="C5417" t="s">
        <v>6058</v>
      </c>
      <c r="D5417" t="s">
        <v>2519</v>
      </c>
      <c r="E5417" t="s">
        <v>2520</v>
      </c>
      <c r="F5417" t="s">
        <v>6918</v>
      </c>
      <c r="G5417">
        <v>1695066</v>
      </c>
      <c r="H5417" t="s">
        <v>26</v>
      </c>
      <c r="I5417" t="s">
        <v>97</v>
      </c>
      <c r="J5417" t="str">
        <f>"9780730312918"</f>
        <v>9780730312918</v>
      </c>
      <c r="K5417" t="s">
        <v>8674</v>
      </c>
      <c r="L5417">
        <v>15</v>
      </c>
      <c r="O5417" t="s">
        <v>30</v>
      </c>
      <c r="P5417" t="s">
        <v>47</v>
      </c>
      <c r="Q5417" s="1">
        <v>42299.558009259257</v>
      </c>
      <c r="R5417">
        <v>1</v>
      </c>
      <c r="S5417" t="s">
        <v>2523</v>
      </c>
      <c r="T5417" t="s">
        <v>6919</v>
      </c>
      <c r="U5417">
        <v>658.45</v>
      </c>
      <c r="V5417" s="3">
        <v>41782</v>
      </c>
    </row>
    <row r="5418" spans="1:22" x14ac:dyDescent="0.35">
      <c r="A5418" s="1">
        <v>42299.643692129626</v>
      </c>
      <c r="B5418" s="2">
        <v>3.2337962962962964E-2</v>
      </c>
      <c r="C5418" t="s">
        <v>8675</v>
      </c>
      <c r="D5418" t="s">
        <v>158</v>
      </c>
      <c r="E5418" t="s">
        <v>159</v>
      </c>
      <c r="F5418" t="s">
        <v>3875</v>
      </c>
      <c r="G5418">
        <v>917254</v>
      </c>
      <c r="H5418" t="s">
        <v>91</v>
      </c>
      <c r="I5418" t="s">
        <v>247</v>
      </c>
      <c r="J5418" t="str">
        <f>"9781462505067"</f>
        <v>9781462505067</v>
      </c>
      <c r="K5418" t="s">
        <v>8676</v>
      </c>
      <c r="L5418">
        <v>52</v>
      </c>
      <c r="N5418" t="s">
        <v>8677</v>
      </c>
      <c r="O5418" t="s">
        <v>30</v>
      </c>
      <c r="P5418" t="s">
        <v>29</v>
      </c>
      <c r="Q5418" s="1">
        <v>42299.643692129626</v>
      </c>
      <c r="R5418">
        <v>7</v>
      </c>
      <c r="S5418" t="s">
        <v>163</v>
      </c>
      <c r="T5418" t="s">
        <v>3877</v>
      </c>
      <c r="U5418">
        <v>618.92858820000004</v>
      </c>
      <c r="V5418" s="3">
        <v>41773</v>
      </c>
    </row>
    <row r="5419" spans="1:22" x14ac:dyDescent="0.35">
      <c r="A5419" s="1">
        <v>42299.643240740741</v>
      </c>
      <c r="B5419" s="2">
        <v>1.0300925925925926E-3</v>
      </c>
      <c r="C5419" t="s">
        <v>6271</v>
      </c>
      <c r="D5419" t="s">
        <v>23</v>
      </c>
      <c r="E5419" t="s">
        <v>24</v>
      </c>
      <c r="F5419" t="s">
        <v>1051</v>
      </c>
      <c r="G5419">
        <v>821663</v>
      </c>
      <c r="H5419" t="s">
        <v>26</v>
      </c>
      <c r="I5419" t="s">
        <v>200</v>
      </c>
      <c r="J5419" t="str">
        <f>"9781118168479"</f>
        <v>9781118168479</v>
      </c>
      <c r="K5419" t="s">
        <v>8678</v>
      </c>
      <c r="L5419">
        <v>12</v>
      </c>
      <c r="O5419" t="s">
        <v>30</v>
      </c>
      <c r="P5419" t="s">
        <v>29</v>
      </c>
      <c r="Q5419" s="1">
        <v>42295.797222222223</v>
      </c>
      <c r="R5419">
        <v>7</v>
      </c>
      <c r="S5419" t="s">
        <v>31</v>
      </c>
      <c r="T5419" t="s">
        <v>1053</v>
      </c>
      <c r="U5419">
        <v>729</v>
      </c>
      <c r="V5419" s="3">
        <v>40973</v>
      </c>
    </row>
    <row r="5420" spans="1:22" x14ac:dyDescent="0.35">
      <c r="A5420" s="1">
        <v>42299.638344907406</v>
      </c>
      <c r="B5420" s="2">
        <v>2.6967592592592594E-3</v>
      </c>
      <c r="C5420" t="s">
        <v>106</v>
      </c>
      <c r="D5420" t="s">
        <v>23</v>
      </c>
      <c r="E5420" t="s">
        <v>24</v>
      </c>
      <c r="F5420" t="s">
        <v>486</v>
      </c>
      <c r="G5420">
        <v>1119505</v>
      </c>
      <c r="H5420" t="s">
        <v>26</v>
      </c>
      <c r="I5420" t="s">
        <v>450</v>
      </c>
      <c r="J5420" t="str">
        <f>"9781118355015"</f>
        <v>9781118355015</v>
      </c>
      <c r="K5420" t="s">
        <v>8679</v>
      </c>
      <c r="L5420">
        <v>19</v>
      </c>
      <c r="O5420" t="s">
        <v>30</v>
      </c>
      <c r="P5420" t="s">
        <v>42</v>
      </c>
      <c r="S5420" t="s">
        <v>31</v>
      </c>
      <c r="T5420" t="s">
        <v>487</v>
      </c>
      <c r="U5420" t="s">
        <v>488</v>
      </c>
      <c r="V5420" s="3">
        <v>41302</v>
      </c>
    </row>
    <row r="5421" spans="1:22" x14ac:dyDescent="0.35">
      <c r="A5421" s="1">
        <v>42299.635868055557</v>
      </c>
      <c r="B5421" s="2">
        <v>1.0995370370370371E-3</v>
      </c>
      <c r="C5421" t="s">
        <v>8606</v>
      </c>
      <c r="D5421" t="s">
        <v>23</v>
      </c>
      <c r="E5421" t="s">
        <v>24</v>
      </c>
      <c r="F5421" t="s">
        <v>8607</v>
      </c>
      <c r="G5421">
        <v>817864</v>
      </c>
      <c r="H5421" t="s">
        <v>26</v>
      </c>
      <c r="I5421" t="s">
        <v>8608</v>
      </c>
      <c r="J5421" t="str">
        <f>"9781118206485"</f>
        <v>9781118206485</v>
      </c>
      <c r="K5421" t="s">
        <v>8680</v>
      </c>
      <c r="L5421">
        <v>24</v>
      </c>
      <c r="O5421" t="s">
        <v>30</v>
      </c>
      <c r="P5421" t="s">
        <v>42</v>
      </c>
      <c r="S5421" t="s">
        <v>31</v>
      </c>
      <c r="T5421" t="s">
        <v>8610</v>
      </c>
      <c r="U5421" t="s">
        <v>8611</v>
      </c>
      <c r="V5421" s="3">
        <v>40941</v>
      </c>
    </row>
    <row r="5422" spans="1:22" x14ac:dyDescent="0.35">
      <c r="A5422" s="1">
        <v>42299.635763888888</v>
      </c>
      <c r="B5422" s="2">
        <v>7.9282407407407409E-3</v>
      </c>
      <c r="C5422" t="s">
        <v>8675</v>
      </c>
      <c r="D5422" t="s">
        <v>158</v>
      </c>
      <c r="E5422" t="s">
        <v>159</v>
      </c>
      <c r="F5422" t="s">
        <v>3875</v>
      </c>
      <c r="G5422">
        <v>917254</v>
      </c>
      <c r="H5422" t="s">
        <v>91</v>
      </c>
      <c r="I5422" t="s">
        <v>247</v>
      </c>
      <c r="J5422" t="str">
        <f>"9781462505067"</f>
        <v>9781462505067</v>
      </c>
      <c r="K5422" t="s">
        <v>8681</v>
      </c>
      <c r="L5422">
        <v>18</v>
      </c>
      <c r="O5422" t="s">
        <v>30</v>
      </c>
      <c r="P5422" t="s">
        <v>42</v>
      </c>
      <c r="S5422" t="s">
        <v>163</v>
      </c>
      <c r="T5422" t="s">
        <v>3877</v>
      </c>
      <c r="U5422">
        <v>618.92858820000004</v>
      </c>
      <c r="V5422" s="3">
        <v>41773</v>
      </c>
    </row>
    <row r="5423" spans="1:22" x14ac:dyDescent="0.35">
      <c r="A5423" s="1">
        <v>42299.635324074072</v>
      </c>
      <c r="B5423" s="2">
        <v>2.3148148148148147E-5</v>
      </c>
      <c r="C5423" t="s">
        <v>8606</v>
      </c>
      <c r="D5423" t="s">
        <v>23</v>
      </c>
      <c r="E5423" t="s">
        <v>24</v>
      </c>
      <c r="F5423" t="s">
        <v>8607</v>
      </c>
      <c r="G5423">
        <v>817864</v>
      </c>
      <c r="H5423" t="s">
        <v>26</v>
      </c>
      <c r="I5423" t="s">
        <v>8608</v>
      </c>
      <c r="J5423" t="str">
        <f>"9781118206485"</f>
        <v>9781118206485</v>
      </c>
      <c r="K5423" t="s">
        <v>33</v>
      </c>
      <c r="L5423">
        <v>3</v>
      </c>
      <c r="O5423" t="s">
        <v>30</v>
      </c>
      <c r="P5423" t="s">
        <v>42</v>
      </c>
      <c r="S5423" t="s">
        <v>31</v>
      </c>
      <c r="T5423" t="s">
        <v>8610</v>
      </c>
      <c r="U5423" t="s">
        <v>8611</v>
      </c>
      <c r="V5423" s="3">
        <v>40941</v>
      </c>
    </row>
    <row r="5424" spans="1:22" x14ac:dyDescent="0.35">
      <c r="A5424" s="1">
        <v>42299.613888888889</v>
      </c>
      <c r="B5424" s="2">
        <v>8.564814814814815E-4</v>
      </c>
      <c r="C5424" t="s">
        <v>6390</v>
      </c>
      <c r="D5424" t="s">
        <v>23</v>
      </c>
      <c r="E5424" t="s">
        <v>24</v>
      </c>
      <c r="F5424" t="s">
        <v>486</v>
      </c>
      <c r="G5424">
        <v>1119505</v>
      </c>
      <c r="H5424" t="s">
        <v>26</v>
      </c>
      <c r="I5424" t="s">
        <v>450</v>
      </c>
      <c r="J5424" t="str">
        <f>"9781118355015"</f>
        <v>9781118355015</v>
      </c>
      <c r="K5424" t="s">
        <v>8682</v>
      </c>
      <c r="L5424">
        <v>9</v>
      </c>
      <c r="O5424" t="s">
        <v>30</v>
      </c>
      <c r="P5424" t="s">
        <v>42</v>
      </c>
      <c r="S5424" t="s">
        <v>31</v>
      </c>
      <c r="T5424" t="s">
        <v>487</v>
      </c>
      <c r="U5424" t="s">
        <v>488</v>
      </c>
      <c r="V5424" s="3">
        <v>41302</v>
      </c>
    </row>
    <row r="5425" spans="1:22" x14ac:dyDescent="0.35">
      <c r="A5425" s="1">
        <v>42299.60628472222</v>
      </c>
      <c r="B5425" s="2">
        <v>0</v>
      </c>
      <c r="C5425" t="s">
        <v>106</v>
      </c>
      <c r="D5425" t="s">
        <v>23</v>
      </c>
      <c r="E5425" t="s">
        <v>24</v>
      </c>
      <c r="F5425" t="s">
        <v>5449</v>
      </c>
      <c r="G5425">
        <v>1332527</v>
      </c>
      <c r="H5425" t="s">
        <v>26</v>
      </c>
      <c r="I5425" t="s">
        <v>97</v>
      </c>
      <c r="J5425" t="str">
        <f>"9781118720882"</f>
        <v>9781118720882</v>
      </c>
      <c r="K5425" t="s">
        <v>414</v>
      </c>
      <c r="L5425">
        <v>2</v>
      </c>
      <c r="O5425" t="s">
        <v>30</v>
      </c>
      <c r="P5425" t="s">
        <v>29</v>
      </c>
      <c r="Q5425" s="1">
        <v>42299.60628472222</v>
      </c>
      <c r="R5425">
        <v>7</v>
      </c>
      <c r="S5425" t="s">
        <v>31</v>
      </c>
      <c r="T5425" t="s">
        <v>5451</v>
      </c>
      <c r="U5425">
        <v>658.11</v>
      </c>
      <c r="V5425" s="3">
        <v>41486</v>
      </c>
    </row>
    <row r="5426" spans="1:22" x14ac:dyDescent="0.35">
      <c r="A5426" s="1">
        <v>42299.604513888888</v>
      </c>
      <c r="B5426" s="2">
        <v>4.6180555555555558E-3</v>
      </c>
      <c r="C5426" t="s">
        <v>8683</v>
      </c>
      <c r="D5426" t="s">
        <v>35</v>
      </c>
      <c r="E5426" t="s">
        <v>36</v>
      </c>
      <c r="F5426" t="s">
        <v>986</v>
      </c>
      <c r="G5426">
        <v>968030</v>
      </c>
      <c r="H5426" t="s">
        <v>26</v>
      </c>
      <c r="I5426" t="s">
        <v>219</v>
      </c>
      <c r="J5426" t="str">
        <f>"9781118285138"</f>
        <v>9781118285138</v>
      </c>
      <c r="K5426" t="s">
        <v>8684</v>
      </c>
      <c r="L5426">
        <v>14</v>
      </c>
      <c r="O5426" t="s">
        <v>30</v>
      </c>
      <c r="P5426" t="s">
        <v>29</v>
      </c>
      <c r="Q5426" s="1">
        <v>42298.760914351849</v>
      </c>
      <c r="R5426">
        <v>7</v>
      </c>
      <c r="S5426" t="s">
        <v>40</v>
      </c>
      <c r="T5426" t="s">
        <v>987</v>
      </c>
      <c r="U5426">
        <v>158.30000000000001</v>
      </c>
      <c r="V5426" s="3">
        <v>41100</v>
      </c>
    </row>
    <row r="5427" spans="1:22" x14ac:dyDescent="0.35">
      <c r="A5427" s="1">
        <v>42299.600081018521</v>
      </c>
      <c r="B5427" s="2">
        <v>4.3981481481481484E-3</v>
      </c>
      <c r="C5427" t="s">
        <v>8685</v>
      </c>
      <c r="D5427" t="s">
        <v>35</v>
      </c>
      <c r="E5427" t="s">
        <v>36</v>
      </c>
      <c r="F5427" t="s">
        <v>4668</v>
      </c>
      <c r="G5427">
        <v>2110627</v>
      </c>
      <c r="H5427" t="s">
        <v>45</v>
      </c>
      <c r="I5427" t="s">
        <v>998</v>
      </c>
      <c r="J5427" t="str">
        <f>"9781472436481"</f>
        <v>9781472436481</v>
      </c>
      <c r="K5427" t="s">
        <v>8686</v>
      </c>
      <c r="L5427">
        <v>8</v>
      </c>
      <c r="O5427" t="s">
        <v>30</v>
      </c>
      <c r="P5427" t="s">
        <v>47</v>
      </c>
      <c r="Q5427" s="1">
        <v>42299.600081018521</v>
      </c>
      <c r="R5427">
        <v>1</v>
      </c>
      <c r="S5427" t="s">
        <v>40</v>
      </c>
      <c r="T5427" t="s">
        <v>4670</v>
      </c>
      <c r="U5427" t="s">
        <v>4671</v>
      </c>
      <c r="V5427" s="3">
        <v>42275</v>
      </c>
    </row>
    <row r="5428" spans="1:22" x14ac:dyDescent="0.35">
      <c r="A5428" s="1">
        <v>42299.595960648148</v>
      </c>
      <c r="B5428" s="2">
        <v>4.108796296296297E-3</v>
      </c>
      <c r="C5428" t="s">
        <v>8685</v>
      </c>
      <c r="D5428" t="s">
        <v>35</v>
      </c>
      <c r="E5428" t="s">
        <v>36</v>
      </c>
      <c r="F5428" t="s">
        <v>4668</v>
      </c>
      <c r="G5428">
        <v>2110627</v>
      </c>
      <c r="H5428" t="s">
        <v>45</v>
      </c>
      <c r="I5428" t="s">
        <v>998</v>
      </c>
      <c r="J5428" t="str">
        <f>"9781472436481"</f>
        <v>9781472436481</v>
      </c>
      <c r="K5428" t="s">
        <v>8687</v>
      </c>
      <c r="L5428">
        <v>9</v>
      </c>
      <c r="O5428" t="s">
        <v>30</v>
      </c>
      <c r="P5428" t="s">
        <v>50</v>
      </c>
      <c r="S5428" t="s">
        <v>40</v>
      </c>
      <c r="T5428" t="s">
        <v>4670</v>
      </c>
      <c r="U5428" t="s">
        <v>4671</v>
      </c>
      <c r="V5428" s="3">
        <v>42275</v>
      </c>
    </row>
    <row r="5429" spans="1:22" x14ac:dyDescent="0.35">
      <c r="A5429" s="1">
        <v>42299.593993055554</v>
      </c>
      <c r="B5429" s="2">
        <v>1.2291666666666666E-2</v>
      </c>
      <c r="C5429" t="s">
        <v>106</v>
      </c>
      <c r="D5429" t="s">
        <v>23</v>
      </c>
      <c r="E5429" t="s">
        <v>24</v>
      </c>
      <c r="F5429" t="s">
        <v>5449</v>
      </c>
      <c r="G5429">
        <v>1332527</v>
      </c>
      <c r="H5429" t="s">
        <v>26</v>
      </c>
      <c r="I5429" t="s">
        <v>97</v>
      </c>
      <c r="J5429" t="str">
        <f>"9781118720882"</f>
        <v>9781118720882</v>
      </c>
      <c r="K5429" t="s">
        <v>8688</v>
      </c>
      <c r="L5429">
        <v>5</v>
      </c>
      <c r="O5429" t="s">
        <v>30</v>
      </c>
      <c r="P5429" t="s">
        <v>42</v>
      </c>
      <c r="S5429" t="s">
        <v>31</v>
      </c>
      <c r="T5429" t="s">
        <v>5451</v>
      </c>
      <c r="U5429">
        <v>658.11</v>
      </c>
      <c r="V5429" s="3">
        <v>41486</v>
      </c>
    </row>
    <row r="5430" spans="1:22" x14ac:dyDescent="0.35">
      <c r="A5430" s="1">
        <v>42299.592511574076</v>
      </c>
      <c r="B5430" s="2">
        <v>0.12517361111111111</v>
      </c>
      <c r="C5430" t="s">
        <v>8659</v>
      </c>
      <c r="D5430" t="s">
        <v>35</v>
      </c>
      <c r="E5430" t="s">
        <v>36</v>
      </c>
      <c r="F5430" t="s">
        <v>4668</v>
      </c>
      <c r="G5430">
        <v>2110627</v>
      </c>
      <c r="H5430" t="s">
        <v>45</v>
      </c>
      <c r="I5430" t="s">
        <v>998</v>
      </c>
      <c r="J5430" t="str">
        <f>"9781472436481"</f>
        <v>9781472436481</v>
      </c>
      <c r="K5430" t="s">
        <v>8689</v>
      </c>
      <c r="L5430">
        <v>36</v>
      </c>
      <c r="O5430" t="s">
        <v>30</v>
      </c>
      <c r="P5430" t="s">
        <v>47</v>
      </c>
      <c r="Q5430" s="1">
        <v>42299.592499999999</v>
      </c>
      <c r="R5430">
        <v>1</v>
      </c>
      <c r="S5430" t="s">
        <v>40</v>
      </c>
      <c r="T5430" t="s">
        <v>4670</v>
      </c>
      <c r="U5430" t="s">
        <v>4671</v>
      </c>
      <c r="V5430" s="3">
        <v>42275</v>
      </c>
    </row>
    <row r="5431" spans="1:22" x14ac:dyDescent="0.35">
      <c r="A5431" s="1">
        <v>42299.590405092589</v>
      </c>
      <c r="B5431" s="2">
        <v>6.9444444444444447E-4</v>
      </c>
      <c r="C5431" t="s">
        <v>3429</v>
      </c>
      <c r="D5431" t="s">
        <v>35</v>
      </c>
      <c r="E5431" t="s">
        <v>36</v>
      </c>
      <c r="F5431" t="s">
        <v>4668</v>
      </c>
      <c r="G5431">
        <v>2110627</v>
      </c>
      <c r="H5431" t="s">
        <v>45</v>
      </c>
      <c r="I5431" t="s">
        <v>998</v>
      </c>
      <c r="J5431" t="str">
        <f>"9781472436481"</f>
        <v>9781472436481</v>
      </c>
      <c r="K5431" t="s">
        <v>8690</v>
      </c>
      <c r="L5431">
        <v>12</v>
      </c>
      <c r="O5431" t="s">
        <v>30</v>
      </c>
      <c r="P5431" t="s">
        <v>50</v>
      </c>
      <c r="S5431" t="s">
        <v>40</v>
      </c>
      <c r="T5431" t="s">
        <v>4670</v>
      </c>
      <c r="U5431" t="s">
        <v>4671</v>
      </c>
      <c r="V5431" s="3">
        <v>42275</v>
      </c>
    </row>
    <row r="5432" spans="1:22" x14ac:dyDescent="0.35">
      <c r="A5432" s="1">
        <v>42299.58798611111</v>
      </c>
      <c r="B5432" s="2">
        <v>4.5138888888888893E-3</v>
      </c>
      <c r="C5432" t="s">
        <v>8659</v>
      </c>
      <c r="D5432" t="s">
        <v>35</v>
      </c>
      <c r="E5432" t="s">
        <v>36</v>
      </c>
      <c r="F5432" t="s">
        <v>4668</v>
      </c>
      <c r="G5432">
        <v>2110627</v>
      </c>
      <c r="H5432" t="s">
        <v>45</v>
      </c>
      <c r="I5432" t="s">
        <v>998</v>
      </c>
      <c r="J5432" t="str">
        <f>"9781472436481"</f>
        <v>9781472436481</v>
      </c>
      <c r="K5432" t="s">
        <v>8691</v>
      </c>
      <c r="L5432">
        <v>22</v>
      </c>
      <c r="O5432" t="s">
        <v>30</v>
      </c>
      <c r="P5432" t="s">
        <v>50</v>
      </c>
      <c r="S5432" t="s">
        <v>40</v>
      </c>
      <c r="T5432" t="s">
        <v>4670</v>
      </c>
      <c r="U5432" t="s">
        <v>4671</v>
      </c>
      <c r="V5432" s="3">
        <v>42275</v>
      </c>
    </row>
    <row r="5433" spans="1:22" x14ac:dyDescent="0.35">
      <c r="A5433" s="1">
        <v>42299.584108796298</v>
      </c>
      <c r="B5433" s="2">
        <v>2.9421296296296296E-2</v>
      </c>
      <c r="C5433" t="s">
        <v>6724</v>
      </c>
      <c r="D5433" t="s">
        <v>23</v>
      </c>
      <c r="E5433" t="s">
        <v>24</v>
      </c>
      <c r="F5433" t="s">
        <v>486</v>
      </c>
      <c r="G5433">
        <v>1119505</v>
      </c>
      <c r="H5433" t="s">
        <v>26</v>
      </c>
      <c r="I5433" t="s">
        <v>450</v>
      </c>
      <c r="J5433" t="str">
        <f>"9781118355015"</f>
        <v>9781118355015</v>
      </c>
      <c r="K5433" t="s">
        <v>8692</v>
      </c>
      <c r="L5433">
        <v>33</v>
      </c>
      <c r="O5433" t="s">
        <v>30</v>
      </c>
      <c r="P5433" t="s">
        <v>29</v>
      </c>
      <c r="Q5433" s="1">
        <v>42299.584097222221</v>
      </c>
      <c r="R5433">
        <v>7</v>
      </c>
      <c r="S5433" t="s">
        <v>31</v>
      </c>
      <c r="T5433" t="s">
        <v>487</v>
      </c>
      <c r="U5433" t="s">
        <v>488</v>
      </c>
      <c r="V5433" s="3">
        <v>41302</v>
      </c>
    </row>
    <row r="5434" spans="1:22" x14ac:dyDescent="0.35">
      <c r="A5434" s="1">
        <v>42299.569988425923</v>
      </c>
      <c r="B5434" s="2">
        <v>1.4108796296296295E-2</v>
      </c>
      <c r="C5434" t="s">
        <v>6724</v>
      </c>
      <c r="D5434" t="s">
        <v>23</v>
      </c>
      <c r="E5434" t="s">
        <v>24</v>
      </c>
      <c r="F5434" t="s">
        <v>486</v>
      </c>
      <c r="G5434">
        <v>1119505</v>
      </c>
      <c r="H5434" t="s">
        <v>26</v>
      </c>
      <c r="I5434" t="s">
        <v>450</v>
      </c>
      <c r="J5434" t="str">
        <f>"9781118355015"</f>
        <v>9781118355015</v>
      </c>
      <c r="K5434" t="s">
        <v>8693</v>
      </c>
      <c r="L5434">
        <v>10</v>
      </c>
      <c r="O5434" t="s">
        <v>30</v>
      </c>
      <c r="P5434" t="s">
        <v>42</v>
      </c>
      <c r="S5434" t="s">
        <v>31</v>
      </c>
      <c r="T5434" t="s">
        <v>487</v>
      </c>
      <c r="U5434" t="s">
        <v>488</v>
      </c>
      <c r="V5434" s="3">
        <v>41302</v>
      </c>
    </row>
    <row r="5435" spans="1:22" x14ac:dyDescent="0.35">
      <c r="A5435" s="1">
        <v>42299.565034722225</v>
      </c>
      <c r="B5435" s="2">
        <v>5.7870370370370366E-5</v>
      </c>
      <c r="C5435" t="s">
        <v>4866</v>
      </c>
      <c r="D5435" t="s">
        <v>35</v>
      </c>
      <c r="E5435" t="s">
        <v>36</v>
      </c>
      <c r="F5435" t="s">
        <v>4668</v>
      </c>
      <c r="G5435">
        <v>2110627</v>
      </c>
      <c r="H5435" t="s">
        <v>45</v>
      </c>
      <c r="I5435" t="s">
        <v>998</v>
      </c>
      <c r="J5435" t="str">
        <f>"9781472436481"</f>
        <v>9781472436481</v>
      </c>
      <c r="K5435" t="s">
        <v>33</v>
      </c>
      <c r="L5435">
        <v>3</v>
      </c>
      <c r="O5435" t="s">
        <v>30</v>
      </c>
      <c r="P5435" t="s">
        <v>47</v>
      </c>
      <c r="Q5435" s="1">
        <v>42299.554652777777</v>
      </c>
      <c r="R5435">
        <v>1</v>
      </c>
      <c r="S5435" t="s">
        <v>40</v>
      </c>
      <c r="T5435" t="s">
        <v>4670</v>
      </c>
      <c r="U5435" t="s">
        <v>4671</v>
      </c>
      <c r="V5435" s="3">
        <v>42275</v>
      </c>
    </row>
    <row r="5436" spans="1:22" x14ac:dyDescent="0.35">
      <c r="A5436" s="1">
        <v>42299.561006944445</v>
      </c>
      <c r="B5436" s="2">
        <v>1.1400462962962965E-2</v>
      </c>
      <c r="C5436" t="s">
        <v>8694</v>
      </c>
      <c r="D5436" t="s">
        <v>23</v>
      </c>
      <c r="E5436" t="s">
        <v>24</v>
      </c>
      <c r="F5436" t="s">
        <v>5954</v>
      </c>
      <c r="G5436">
        <v>864784</v>
      </c>
      <c r="H5436" t="s">
        <v>492</v>
      </c>
      <c r="I5436" t="s">
        <v>69</v>
      </c>
      <c r="J5436" t="str">
        <f>"9781400841578"</f>
        <v>9781400841578</v>
      </c>
      <c r="K5436" t="s">
        <v>8695</v>
      </c>
      <c r="L5436">
        <v>26</v>
      </c>
      <c r="O5436" t="s">
        <v>30</v>
      </c>
      <c r="P5436" t="s">
        <v>42</v>
      </c>
      <c r="S5436" t="s">
        <v>31</v>
      </c>
      <c r="T5436" t="s">
        <v>5956</v>
      </c>
      <c r="U5436">
        <v>378.73</v>
      </c>
      <c r="V5436" s="3">
        <v>41786</v>
      </c>
    </row>
    <row r="5437" spans="1:22" x14ac:dyDescent="0.35">
      <c r="A5437" s="1">
        <v>42299.558009259257</v>
      </c>
      <c r="B5437" s="2">
        <v>6.7129629629629625E-4</v>
      </c>
      <c r="C5437" t="s">
        <v>6058</v>
      </c>
      <c r="D5437" t="s">
        <v>2519</v>
      </c>
      <c r="E5437" t="s">
        <v>2520</v>
      </c>
      <c r="F5437" t="s">
        <v>6918</v>
      </c>
      <c r="G5437">
        <v>1695066</v>
      </c>
      <c r="H5437" t="s">
        <v>26</v>
      </c>
      <c r="I5437" t="s">
        <v>97</v>
      </c>
      <c r="J5437" t="str">
        <f>"9780730312918"</f>
        <v>9780730312918</v>
      </c>
      <c r="K5437" t="s">
        <v>8696</v>
      </c>
      <c r="L5437">
        <v>3</v>
      </c>
      <c r="M5437" t="s">
        <v>8697</v>
      </c>
      <c r="O5437" t="s">
        <v>30</v>
      </c>
      <c r="P5437" t="s">
        <v>47</v>
      </c>
      <c r="Q5437" s="1">
        <v>42299.558009259257</v>
      </c>
      <c r="R5437">
        <v>1</v>
      </c>
      <c r="S5437" t="s">
        <v>2523</v>
      </c>
      <c r="T5437" t="s">
        <v>6919</v>
      </c>
      <c r="U5437">
        <v>658.45</v>
      </c>
      <c r="V5437" s="3">
        <v>41782</v>
      </c>
    </row>
    <row r="5438" spans="1:22" x14ac:dyDescent="0.35">
      <c r="A5438" s="1">
        <v>42299.55709490741</v>
      </c>
      <c r="B5438" s="2">
        <v>9.1435185185185185E-4</v>
      </c>
      <c r="C5438" t="s">
        <v>6058</v>
      </c>
      <c r="D5438" t="s">
        <v>2519</v>
      </c>
      <c r="E5438" t="s">
        <v>2520</v>
      </c>
      <c r="F5438" t="s">
        <v>6918</v>
      </c>
      <c r="G5438">
        <v>1695066</v>
      </c>
      <c r="H5438" t="s">
        <v>26</v>
      </c>
      <c r="I5438" t="s">
        <v>97</v>
      </c>
      <c r="J5438" t="str">
        <f>"9780730312918"</f>
        <v>9780730312918</v>
      </c>
      <c r="K5438" t="s">
        <v>8698</v>
      </c>
      <c r="L5438">
        <v>11</v>
      </c>
      <c r="O5438" t="s">
        <v>30</v>
      </c>
      <c r="P5438" t="s">
        <v>50</v>
      </c>
      <c r="S5438" t="s">
        <v>2523</v>
      </c>
      <c r="T5438" t="s">
        <v>6919</v>
      </c>
      <c r="U5438">
        <v>658.45</v>
      </c>
      <c r="V5438" s="3">
        <v>41782</v>
      </c>
    </row>
    <row r="5439" spans="1:22" x14ac:dyDescent="0.35">
      <c r="A5439" s="1">
        <v>42299.554652777777</v>
      </c>
      <c r="B5439" s="2">
        <v>1.0590277777777777E-2</v>
      </c>
      <c r="C5439" t="s">
        <v>4866</v>
      </c>
      <c r="D5439" t="s">
        <v>35</v>
      </c>
      <c r="E5439" t="s">
        <v>36</v>
      </c>
      <c r="F5439" t="s">
        <v>4668</v>
      </c>
      <c r="G5439">
        <v>2110627</v>
      </c>
      <c r="H5439" t="s">
        <v>45</v>
      </c>
      <c r="I5439" t="s">
        <v>998</v>
      </c>
      <c r="J5439" t="str">
        <f>"9781472436481"</f>
        <v>9781472436481</v>
      </c>
      <c r="K5439" t="s">
        <v>8699</v>
      </c>
      <c r="L5439">
        <v>26</v>
      </c>
      <c r="O5439" t="s">
        <v>30</v>
      </c>
      <c r="P5439" t="s">
        <v>47</v>
      </c>
      <c r="Q5439" s="1">
        <v>42299.554652777777</v>
      </c>
      <c r="R5439">
        <v>1</v>
      </c>
      <c r="S5439" t="s">
        <v>40</v>
      </c>
      <c r="T5439" t="s">
        <v>4670</v>
      </c>
      <c r="U5439" t="s">
        <v>4671</v>
      </c>
      <c r="V5439" s="3">
        <v>42275</v>
      </c>
    </row>
    <row r="5440" spans="1:22" x14ac:dyDescent="0.35">
      <c r="A5440" s="1">
        <v>42299.550902777781</v>
      </c>
      <c r="B5440" s="2">
        <v>3.7500000000000003E-3</v>
      </c>
      <c r="C5440" t="s">
        <v>4866</v>
      </c>
      <c r="D5440" t="s">
        <v>35</v>
      </c>
      <c r="E5440" t="s">
        <v>36</v>
      </c>
      <c r="F5440" t="s">
        <v>4668</v>
      </c>
      <c r="G5440">
        <v>2110627</v>
      </c>
      <c r="H5440" t="s">
        <v>45</v>
      </c>
      <c r="I5440" t="s">
        <v>998</v>
      </c>
      <c r="J5440" t="str">
        <f>"9781472436481"</f>
        <v>9781472436481</v>
      </c>
      <c r="K5440" t="s">
        <v>8700</v>
      </c>
      <c r="L5440">
        <v>30</v>
      </c>
      <c r="O5440" t="s">
        <v>30</v>
      </c>
      <c r="P5440" t="s">
        <v>50</v>
      </c>
      <c r="S5440" t="s">
        <v>40</v>
      </c>
      <c r="T5440" t="s">
        <v>4670</v>
      </c>
      <c r="U5440" t="s">
        <v>4671</v>
      </c>
      <c r="V5440" s="3">
        <v>42275</v>
      </c>
    </row>
    <row r="5441" spans="1:22" x14ac:dyDescent="0.35">
      <c r="A5441" s="1">
        <v>42299.413819444446</v>
      </c>
      <c r="B5441" s="2">
        <v>9.9537037037037042E-3</v>
      </c>
      <c r="C5441" t="s">
        <v>106</v>
      </c>
      <c r="D5441" t="s">
        <v>23</v>
      </c>
      <c r="E5441" t="s">
        <v>24</v>
      </c>
      <c r="F5441" t="s">
        <v>8701</v>
      </c>
      <c r="G5441">
        <v>2025606</v>
      </c>
      <c r="H5441" t="s">
        <v>84</v>
      </c>
      <c r="I5441" t="s">
        <v>108</v>
      </c>
      <c r="J5441" t="str">
        <f>"9780520960374"</f>
        <v>9780520960374</v>
      </c>
      <c r="K5441" t="s">
        <v>8702</v>
      </c>
      <c r="L5441">
        <v>16</v>
      </c>
      <c r="O5441" t="s">
        <v>30</v>
      </c>
      <c r="P5441" t="s">
        <v>47</v>
      </c>
      <c r="Q5441" s="1">
        <v>42299.413807870369</v>
      </c>
      <c r="R5441">
        <v>1</v>
      </c>
      <c r="S5441" t="s">
        <v>31</v>
      </c>
      <c r="T5441" t="s">
        <v>8703</v>
      </c>
      <c r="U5441" t="s">
        <v>8704</v>
      </c>
      <c r="V5441" s="3">
        <v>42307</v>
      </c>
    </row>
    <row r="5442" spans="1:22" x14ac:dyDescent="0.35">
      <c r="A5442" s="1">
        <v>42299.407453703701</v>
      </c>
      <c r="B5442" s="2">
        <v>4.6296296296296294E-5</v>
      </c>
      <c r="C5442" t="s">
        <v>106</v>
      </c>
      <c r="D5442" t="s">
        <v>23</v>
      </c>
      <c r="E5442" t="s">
        <v>24</v>
      </c>
      <c r="F5442" t="s">
        <v>8701</v>
      </c>
      <c r="G5442">
        <v>2025606</v>
      </c>
      <c r="H5442" t="s">
        <v>84</v>
      </c>
      <c r="I5442" t="s">
        <v>108</v>
      </c>
      <c r="J5442" t="str">
        <f>"9780520960374"</f>
        <v>9780520960374</v>
      </c>
      <c r="K5442" t="s">
        <v>209</v>
      </c>
      <c r="L5442">
        <v>4</v>
      </c>
      <c r="O5442" t="s">
        <v>30</v>
      </c>
      <c r="P5442" t="s">
        <v>50</v>
      </c>
      <c r="S5442" t="s">
        <v>31</v>
      </c>
      <c r="T5442" t="s">
        <v>8703</v>
      </c>
      <c r="U5442" t="s">
        <v>8704</v>
      </c>
      <c r="V5442" s="3">
        <v>42307</v>
      </c>
    </row>
    <row r="5443" spans="1:22" x14ac:dyDescent="0.35">
      <c r="A5443" s="1">
        <v>42299.403090277781</v>
      </c>
      <c r="B5443" s="2">
        <v>1.0717592592592593E-2</v>
      </c>
      <c r="C5443" t="s">
        <v>106</v>
      </c>
      <c r="D5443" t="s">
        <v>23</v>
      </c>
      <c r="E5443" t="s">
        <v>24</v>
      </c>
      <c r="F5443" t="s">
        <v>8701</v>
      </c>
      <c r="G5443">
        <v>2025606</v>
      </c>
      <c r="H5443" t="s">
        <v>84</v>
      </c>
      <c r="I5443" t="s">
        <v>108</v>
      </c>
      <c r="J5443" t="str">
        <f>"9780520960374"</f>
        <v>9780520960374</v>
      </c>
      <c r="K5443" t="s">
        <v>8705</v>
      </c>
      <c r="L5443">
        <v>17</v>
      </c>
      <c r="O5443" t="s">
        <v>30</v>
      </c>
      <c r="P5443" t="s">
        <v>50</v>
      </c>
      <c r="S5443" t="s">
        <v>31</v>
      </c>
      <c r="T5443" t="s">
        <v>8703</v>
      </c>
      <c r="U5443" t="s">
        <v>8704</v>
      </c>
      <c r="V5443" s="3">
        <v>42307</v>
      </c>
    </row>
    <row r="5444" spans="1:22" x14ac:dyDescent="0.35">
      <c r="A5444" s="1">
        <v>42299.292534722219</v>
      </c>
      <c r="B5444" s="2">
        <v>7.8993055555555566E-2</v>
      </c>
      <c r="C5444" t="s">
        <v>8706</v>
      </c>
      <c r="D5444" t="s">
        <v>1222</v>
      </c>
      <c r="E5444" t="s">
        <v>1223</v>
      </c>
      <c r="F5444" t="s">
        <v>8707</v>
      </c>
      <c r="G5444">
        <v>1120525</v>
      </c>
      <c r="H5444" t="s">
        <v>613</v>
      </c>
      <c r="I5444" t="s">
        <v>998</v>
      </c>
      <c r="J5444" t="str">
        <f>"9781469608013"</f>
        <v>9781469608013</v>
      </c>
      <c r="K5444" t="s">
        <v>8708</v>
      </c>
      <c r="L5444">
        <v>42</v>
      </c>
      <c r="O5444" t="s">
        <v>30</v>
      </c>
      <c r="P5444" t="s">
        <v>47</v>
      </c>
      <c r="Q5444" s="1">
        <v>42298.96130787037</v>
      </c>
      <c r="R5444">
        <v>1</v>
      </c>
      <c r="S5444" t="s">
        <v>1226</v>
      </c>
      <c r="T5444" t="s">
        <v>8709</v>
      </c>
      <c r="U5444">
        <v>305.800973</v>
      </c>
      <c r="V5444" s="3">
        <v>41442</v>
      </c>
    </row>
    <row r="5445" spans="1:22" x14ac:dyDescent="0.35">
      <c r="A5445" s="1">
        <v>42299.19195601852</v>
      </c>
      <c r="B5445" s="2">
        <v>4.8379629629629632E-3</v>
      </c>
      <c r="C5445" t="s">
        <v>5865</v>
      </c>
      <c r="D5445" t="s">
        <v>35</v>
      </c>
      <c r="E5445" t="s">
        <v>36</v>
      </c>
      <c r="F5445" t="s">
        <v>986</v>
      </c>
      <c r="G5445">
        <v>968030</v>
      </c>
      <c r="H5445" t="s">
        <v>26</v>
      </c>
      <c r="I5445" t="s">
        <v>219</v>
      </c>
      <c r="J5445" t="str">
        <f>"9781118285138"</f>
        <v>9781118285138</v>
      </c>
      <c r="K5445" t="s">
        <v>8710</v>
      </c>
      <c r="L5445">
        <v>11</v>
      </c>
      <c r="O5445" t="s">
        <v>30</v>
      </c>
      <c r="P5445" t="s">
        <v>29</v>
      </c>
      <c r="Q5445" s="1">
        <v>42299.19195601852</v>
      </c>
      <c r="R5445">
        <v>7</v>
      </c>
      <c r="S5445" t="s">
        <v>40</v>
      </c>
      <c r="T5445" t="s">
        <v>987</v>
      </c>
      <c r="U5445">
        <v>158.30000000000001</v>
      </c>
      <c r="V5445" s="3">
        <v>41100</v>
      </c>
    </row>
    <row r="5446" spans="1:22" x14ac:dyDescent="0.35">
      <c r="A5446" s="1">
        <v>42299.182858796295</v>
      </c>
      <c r="B5446" s="2">
        <v>1.25E-3</v>
      </c>
      <c r="C5446" t="s">
        <v>8706</v>
      </c>
      <c r="D5446" t="s">
        <v>1222</v>
      </c>
      <c r="E5446" t="s">
        <v>1223</v>
      </c>
      <c r="F5446" t="s">
        <v>8707</v>
      </c>
      <c r="G5446">
        <v>1120525</v>
      </c>
      <c r="H5446" t="s">
        <v>613</v>
      </c>
      <c r="I5446" t="s">
        <v>998</v>
      </c>
      <c r="J5446" t="str">
        <f>"9781469608013"</f>
        <v>9781469608013</v>
      </c>
      <c r="K5446" t="s">
        <v>8711</v>
      </c>
      <c r="L5446">
        <v>27</v>
      </c>
      <c r="O5446" t="s">
        <v>30</v>
      </c>
      <c r="P5446" t="s">
        <v>47</v>
      </c>
      <c r="Q5446" s="1">
        <v>42298.96130787037</v>
      </c>
      <c r="R5446">
        <v>1</v>
      </c>
      <c r="S5446" t="s">
        <v>1226</v>
      </c>
      <c r="T5446" t="s">
        <v>8709</v>
      </c>
      <c r="U5446">
        <v>305.800973</v>
      </c>
      <c r="V5446" s="3">
        <v>41442</v>
      </c>
    </row>
    <row r="5447" spans="1:22" x14ac:dyDescent="0.35">
      <c r="A5447" s="1">
        <v>42299.180891203701</v>
      </c>
      <c r="B5447" s="2">
        <v>1.1064814814814814E-2</v>
      </c>
      <c r="C5447" t="s">
        <v>5865</v>
      </c>
      <c r="D5447" t="s">
        <v>35</v>
      </c>
      <c r="E5447" t="s">
        <v>36</v>
      </c>
      <c r="F5447" t="s">
        <v>986</v>
      </c>
      <c r="G5447">
        <v>968030</v>
      </c>
      <c r="H5447" t="s">
        <v>26</v>
      </c>
      <c r="I5447" t="s">
        <v>219</v>
      </c>
      <c r="J5447" t="str">
        <f>"9781118285138"</f>
        <v>9781118285138</v>
      </c>
      <c r="K5447" t="s">
        <v>8712</v>
      </c>
      <c r="L5447">
        <v>10</v>
      </c>
      <c r="O5447" t="s">
        <v>30</v>
      </c>
      <c r="P5447" t="s">
        <v>42</v>
      </c>
      <c r="S5447" t="s">
        <v>40</v>
      </c>
      <c r="T5447" t="s">
        <v>987</v>
      </c>
      <c r="U5447">
        <v>158.30000000000001</v>
      </c>
      <c r="V5447" s="3">
        <v>41100</v>
      </c>
    </row>
    <row r="5448" spans="1:22" x14ac:dyDescent="0.35">
      <c r="A5448" s="1">
        <v>42299.173333333332</v>
      </c>
      <c r="B5448" s="2">
        <v>2.3148148148148146E-4</v>
      </c>
      <c r="C5448" t="s">
        <v>8713</v>
      </c>
      <c r="D5448" t="s">
        <v>35</v>
      </c>
      <c r="E5448" t="s">
        <v>36</v>
      </c>
      <c r="F5448" t="s">
        <v>8714</v>
      </c>
      <c r="G5448">
        <v>817347</v>
      </c>
      <c r="H5448" t="s">
        <v>26</v>
      </c>
      <c r="I5448" t="s">
        <v>69</v>
      </c>
      <c r="J5448" t="str">
        <f>"9781118132241"</f>
        <v>9781118132241</v>
      </c>
      <c r="K5448" t="s">
        <v>8715</v>
      </c>
      <c r="L5448">
        <v>8</v>
      </c>
      <c r="O5448" t="s">
        <v>30</v>
      </c>
      <c r="P5448" t="s">
        <v>42</v>
      </c>
      <c r="S5448" t="s">
        <v>40</v>
      </c>
      <c r="T5448" t="s">
        <v>8716</v>
      </c>
      <c r="U5448">
        <v>371.20097299999998</v>
      </c>
      <c r="V5448" s="3">
        <v>40837</v>
      </c>
    </row>
    <row r="5449" spans="1:22" x14ac:dyDescent="0.35">
      <c r="A5449" s="1">
        <v>42299.172465277778</v>
      </c>
      <c r="B5449" s="2">
        <v>4.0509259259259258E-4</v>
      </c>
      <c r="C5449" t="s">
        <v>106</v>
      </c>
      <c r="D5449" t="s">
        <v>23</v>
      </c>
      <c r="E5449" t="s">
        <v>24</v>
      </c>
      <c r="F5449" t="s">
        <v>3232</v>
      </c>
      <c r="G5449">
        <v>1109590</v>
      </c>
      <c r="H5449" t="s">
        <v>1286</v>
      </c>
      <c r="I5449" t="s">
        <v>150</v>
      </c>
      <c r="J5449" t="str">
        <f>"9781476600093"</f>
        <v>9781476600093</v>
      </c>
      <c r="K5449" t="s">
        <v>8717</v>
      </c>
      <c r="L5449">
        <v>14</v>
      </c>
      <c r="O5449" t="s">
        <v>30</v>
      </c>
      <c r="P5449" t="s">
        <v>29</v>
      </c>
      <c r="Q5449" s="1">
        <v>42299.172453703701</v>
      </c>
      <c r="R5449">
        <v>7</v>
      </c>
      <c r="S5449" t="s">
        <v>31</v>
      </c>
      <c r="T5449" t="s">
        <v>3234</v>
      </c>
      <c r="U5449" t="s">
        <v>3235</v>
      </c>
      <c r="V5449" s="3">
        <v>41294</v>
      </c>
    </row>
    <row r="5450" spans="1:22" x14ac:dyDescent="0.35">
      <c r="A5450" s="1">
        <v>42299.164884259262</v>
      </c>
      <c r="B5450" s="2">
        <v>7.5694444444444446E-3</v>
      </c>
      <c r="C5450" t="s">
        <v>106</v>
      </c>
      <c r="D5450" t="s">
        <v>23</v>
      </c>
      <c r="E5450" t="s">
        <v>24</v>
      </c>
      <c r="F5450" t="s">
        <v>3232</v>
      </c>
      <c r="G5450">
        <v>1109590</v>
      </c>
      <c r="H5450" t="s">
        <v>1286</v>
      </c>
      <c r="I5450" t="s">
        <v>150</v>
      </c>
      <c r="J5450" t="str">
        <f>"9781476600093"</f>
        <v>9781476600093</v>
      </c>
      <c r="K5450" t="s">
        <v>8718</v>
      </c>
      <c r="L5450">
        <v>32</v>
      </c>
      <c r="O5450" t="s">
        <v>30</v>
      </c>
      <c r="P5450" t="s">
        <v>42</v>
      </c>
      <c r="S5450" t="s">
        <v>31</v>
      </c>
      <c r="T5450" t="s">
        <v>3234</v>
      </c>
      <c r="U5450" t="s">
        <v>3235</v>
      </c>
      <c r="V5450" s="3">
        <v>41294</v>
      </c>
    </row>
    <row r="5451" spans="1:22" x14ac:dyDescent="0.35">
      <c r="A5451" s="1">
        <v>42299.16269675926</v>
      </c>
      <c r="B5451" s="2">
        <v>5.2199074074074066E-3</v>
      </c>
      <c r="C5451" t="s">
        <v>8713</v>
      </c>
      <c r="D5451" t="s">
        <v>35</v>
      </c>
      <c r="E5451" t="s">
        <v>36</v>
      </c>
      <c r="F5451" t="s">
        <v>8714</v>
      </c>
      <c r="G5451">
        <v>817347</v>
      </c>
      <c r="H5451" t="s">
        <v>26</v>
      </c>
      <c r="I5451" t="s">
        <v>69</v>
      </c>
      <c r="J5451" t="str">
        <f>"9781118132241"</f>
        <v>9781118132241</v>
      </c>
      <c r="K5451" t="s">
        <v>8719</v>
      </c>
      <c r="L5451">
        <v>17</v>
      </c>
      <c r="O5451" t="s">
        <v>30</v>
      </c>
      <c r="P5451" t="s">
        <v>42</v>
      </c>
      <c r="S5451" t="s">
        <v>40</v>
      </c>
      <c r="T5451" t="s">
        <v>8716</v>
      </c>
      <c r="U5451">
        <v>371.20097299999998</v>
      </c>
      <c r="V5451" s="3">
        <v>40837</v>
      </c>
    </row>
    <row r="5452" spans="1:22" x14ac:dyDescent="0.35">
      <c r="A5452" s="1">
        <v>42299.14471064815</v>
      </c>
      <c r="B5452" s="2">
        <v>1.4699074074074074E-3</v>
      </c>
      <c r="C5452" t="s">
        <v>5969</v>
      </c>
      <c r="D5452" t="s">
        <v>23</v>
      </c>
      <c r="E5452" t="s">
        <v>24</v>
      </c>
      <c r="F5452" t="s">
        <v>745</v>
      </c>
      <c r="G5452">
        <v>1166322</v>
      </c>
      <c r="H5452" t="s">
        <v>26</v>
      </c>
      <c r="I5452" t="s">
        <v>200</v>
      </c>
      <c r="J5452" t="str">
        <f>"9781118418512"</f>
        <v>9781118418512</v>
      </c>
      <c r="K5452" t="s">
        <v>8720</v>
      </c>
      <c r="L5452">
        <v>6</v>
      </c>
      <c r="O5452" t="s">
        <v>30</v>
      </c>
      <c r="P5452" t="s">
        <v>29</v>
      </c>
      <c r="Q5452" s="1">
        <v>42299.14471064815</v>
      </c>
      <c r="R5452">
        <v>7</v>
      </c>
      <c r="S5452" t="s">
        <v>31</v>
      </c>
      <c r="T5452" t="s">
        <v>747</v>
      </c>
      <c r="U5452">
        <v>720.072</v>
      </c>
      <c r="V5452" s="3">
        <v>41367</v>
      </c>
    </row>
    <row r="5453" spans="1:22" x14ac:dyDescent="0.35">
      <c r="A5453" s="1">
        <v>42299.137719907405</v>
      </c>
      <c r="B5453" s="2">
        <v>6.9907407407407409E-3</v>
      </c>
      <c r="C5453" t="s">
        <v>5969</v>
      </c>
      <c r="D5453" t="s">
        <v>23</v>
      </c>
      <c r="E5453" t="s">
        <v>24</v>
      </c>
      <c r="F5453" t="s">
        <v>745</v>
      </c>
      <c r="G5453">
        <v>1166322</v>
      </c>
      <c r="H5453" t="s">
        <v>26</v>
      </c>
      <c r="I5453" t="s">
        <v>200</v>
      </c>
      <c r="J5453" t="str">
        <f>"9781118418512"</f>
        <v>9781118418512</v>
      </c>
      <c r="K5453" t="s">
        <v>8721</v>
      </c>
      <c r="L5453">
        <v>19</v>
      </c>
      <c r="O5453" t="s">
        <v>30</v>
      </c>
      <c r="P5453" t="s">
        <v>42</v>
      </c>
      <c r="S5453" t="s">
        <v>31</v>
      </c>
      <c r="T5453" t="s">
        <v>747</v>
      </c>
      <c r="U5453">
        <v>720.072</v>
      </c>
      <c r="V5453" s="3">
        <v>41367</v>
      </c>
    </row>
    <row r="5454" spans="1:22" x14ac:dyDescent="0.35">
      <c r="A5454" s="1">
        <v>42299.098333333335</v>
      </c>
      <c r="B5454" s="2">
        <v>2.0150462962962964E-2</v>
      </c>
      <c r="C5454" t="s">
        <v>106</v>
      </c>
      <c r="D5454" t="s">
        <v>23</v>
      </c>
      <c r="E5454" t="s">
        <v>24</v>
      </c>
      <c r="F5454" t="s">
        <v>3943</v>
      </c>
      <c r="G5454">
        <v>836167</v>
      </c>
      <c r="H5454" t="s">
        <v>149</v>
      </c>
      <c r="I5454" t="s">
        <v>3944</v>
      </c>
      <c r="J5454" t="str">
        <f>"9781438139487"</f>
        <v>9781438139487</v>
      </c>
      <c r="K5454" t="s">
        <v>8722</v>
      </c>
      <c r="L5454">
        <v>24</v>
      </c>
      <c r="O5454" t="s">
        <v>30</v>
      </c>
      <c r="P5454" t="s">
        <v>29</v>
      </c>
      <c r="Q5454" s="1">
        <v>42295.880509259259</v>
      </c>
      <c r="R5454">
        <v>7</v>
      </c>
      <c r="S5454" t="s">
        <v>31</v>
      </c>
      <c r="T5454" t="s">
        <v>3946</v>
      </c>
      <c r="U5454" t="s">
        <v>3947</v>
      </c>
      <c r="V5454" s="3">
        <v>40848</v>
      </c>
    </row>
    <row r="5455" spans="1:22" x14ac:dyDescent="0.35">
      <c r="A5455" s="1">
        <v>42299.098217592589</v>
      </c>
      <c r="B5455" s="2">
        <v>6.2500000000000001E-4</v>
      </c>
      <c r="C5455" t="s">
        <v>106</v>
      </c>
      <c r="D5455" t="s">
        <v>23</v>
      </c>
      <c r="E5455" t="s">
        <v>24</v>
      </c>
      <c r="F5455" t="s">
        <v>3973</v>
      </c>
      <c r="G5455">
        <v>771049</v>
      </c>
      <c r="H5455" t="s">
        <v>3465</v>
      </c>
      <c r="I5455" t="s">
        <v>3974</v>
      </c>
      <c r="J5455" t="str">
        <f>"9781608706648"</f>
        <v>9781608706648</v>
      </c>
      <c r="K5455" t="s">
        <v>8723</v>
      </c>
      <c r="L5455">
        <v>16</v>
      </c>
      <c r="O5455" t="s">
        <v>30</v>
      </c>
      <c r="P5455" t="s">
        <v>29</v>
      </c>
      <c r="Q5455" s="1">
        <v>42295.843055555553</v>
      </c>
      <c r="R5455">
        <v>7</v>
      </c>
      <c r="S5455" t="s">
        <v>31</v>
      </c>
      <c r="T5455" t="s">
        <v>3976</v>
      </c>
      <c r="U5455">
        <v>363.73874000000001</v>
      </c>
      <c r="V5455" s="3">
        <v>40909</v>
      </c>
    </row>
    <row r="5456" spans="1:22" x14ac:dyDescent="0.35">
      <c r="A5456" s="1">
        <v>42299.071111111109</v>
      </c>
      <c r="B5456" s="2">
        <v>3.4722222222222222E-5</v>
      </c>
      <c r="C5456" t="s">
        <v>3303</v>
      </c>
      <c r="D5456" t="s">
        <v>35</v>
      </c>
      <c r="E5456" t="s">
        <v>36</v>
      </c>
      <c r="F5456" t="s">
        <v>5308</v>
      </c>
      <c r="G5456">
        <v>1874136</v>
      </c>
      <c r="H5456" t="s">
        <v>26</v>
      </c>
      <c r="I5456" t="s">
        <v>120</v>
      </c>
      <c r="J5456" t="str">
        <f>"9781118859711"</f>
        <v>9781118859711</v>
      </c>
      <c r="K5456" t="s">
        <v>8724</v>
      </c>
      <c r="L5456">
        <v>4</v>
      </c>
      <c r="O5456" t="s">
        <v>30</v>
      </c>
      <c r="P5456" t="s">
        <v>29</v>
      </c>
      <c r="Q5456" s="1">
        <v>42299.071111111109</v>
      </c>
      <c r="R5456">
        <v>7</v>
      </c>
      <c r="S5456" t="s">
        <v>40</v>
      </c>
      <c r="T5456" t="s">
        <v>5310</v>
      </c>
      <c r="U5456" t="s">
        <v>5311</v>
      </c>
      <c r="V5456" s="3">
        <v>41968</v>
      </c>
    </row>
    <row r="5457" spans="1:22" x14ac:dyDescent="0.35">
      <c r="A5457" s="1">
        <v>42299.067418981482</v>
      </c>
      <c r="B5457" s="2">
        <v>1.2384259259259258E-3</v>
      </c>
      <c r="C5457" t="s">
        <v>6000</v>
      </c>
      <c r="D5457" t="s">
        <v>35</v>
      </c>
      <c r="E5457" t="s">
        <v>36</v>
      </c>
      <c r="F5457" t="s">
        <v>986</v>
      </c>
      <c r="G5457">
        <v>968030</v>
      </c>
      <c r="H5457" t="s">
        <v>26</v>
      </c>
      <c r="I5457" t="s">
        <v>219</v>
      </c>
      <c r="J5457" t="str">
        <f>"9781118285138"</f>
        <v>9781118285138</v>
      </c>
      <c r="K5457" t="s">
        <v>8725</v>
      </c>
      <c r="L5457">
        <v>7</v>
      </c>
      <c r="O5457" t="s">
        <v>30</v>
      </c>
      <c r="P5457" t="s">
        <v>29</v>
      </c>
      <c r="Q5457" s="1">
        <v>42299.067418981482</v>
      </c>
      <c r="R5457">
        <v>7</v>
      </c>
      <c r="S5457" t="s">
        <v>40</v>
      </c>
      <c r="T5457" t="s">
        <v>987</v>
      </c>
      <c r="U5457">
        <v>158.30000000000001</v>
      </c>
      <c r="V5457" s="3">
        <v>41100</v>
      </c>
    </row>
    <row r="5458" spans="1:22" x14ac:dyDescent="0.35">
      <c r="A5458" s="1">
        <v>42299.064444444448</v>
      </c>
      <c r="B5458" s="2">
        <v>3.4722222222222222E-5</v>
      </c>
      <c r="C5458" t="s">
        <v>5552</v>
      </c>
      <c r="D5458" t="s">
        <v>23</v>
      </c>
      <c r="E5458" t="s">
        <v>24</v>
      </c>
      <c r="F5458" t="s">
        <v>3060</v>
      </c>
      <c r="G5458">
        <v>1120279</v>
      </c>
      <c r="H5458" t="s">
        <v>26</v>
      </c>
      <c r="I5458" t="s">
        <v>3061</v>
      </c>
      <c r="J5458" t="str">
        <f>"9781118537671"</f>
        <v>9781118537671</v>
      </c>
      <c r="K5458" t="s">
        <v>1300</v>
      </c>
      <c r="L5458">
        <v>2</v>
      </c>
      <c r="O5458" t="s">
        <v>30</v>
      </c>
      <c r="P5458" t="s">
        <v>42</v>
      </c>
      <c r="S5458" t="s">
        <v>31</v>
      </c>
      <c r="T5458" t="s">
        <v>3063</v>
      </c>
      <c r="U5458">
        <v>599.93499999999995</v>
      </c>
      <c r="V5458" s="3">
        <v>41232</v>
      </c>
    </row>
    <row r="5459" spans="1:22" x14ac:dyDescent="0.35">
      <c r="A5459" s="1">
        <v>42299.064155092594</v>
      </c>
      <c r="B5459" s="2">
        <v>6.9560185185185185E-3</v>
      </c>
      <c r="C5459" t="s">
        <v>3303</v>
      </c>
      <c r="D5459" t="s">
        <v>35</v>
      </c>
      <c r="E5459" t="s">
        <v>36</v>
      </c>
      <c r="F5459" t="s">
        <v>5308</v>
      </c>
      <c r="G5459">
        <v>1874136</v>
      </c>
      <c r="H5459" t="s">
        <v>26</v>
      </c>
      <c r="I5459" t="s">
        <v>120</v>
      </c>
      <c r="J5459" t="str">
        <f>"9781118859711"</f>
        <v>9781118859711</v>
      </c>
      <c r="K5459" t="s">
        <v>8726</v>
      </c>
      <c r="L5459">
        <v>22</v>
      </c>
      <c r="O5459" t="s">
        <v>30</v>
      </c>
      <c r="P5459" t="s">
        <v>42</v>
      </c>
      <c r="S5459" t="s">
        <v>40</v>
      </c>
      <c r="T5459" t="s">
        <v>5310</v>
      </c>
      <c r="U5459" t="s">
        <v>5311</v>
      </c>
      <c r="V5459" s="3">
        <v>41968</v>
      </c>
    </row>
    <row r="5460" spans="1:22" x14ac:dyDescent="0.35">
      <c r="A5460" s="1">
        <v>42299.061921296299</v>
      </c>
      <c r="B5460" s="2">
        <v>2.1412037037037035E-2</v>
      </c>
      <c r="C5460" t="s">
        <v>3753</v>
      </c>
      <c r="D5460" t="s">
        <v>35</v>
      </c>
      <c r="E5460" t="s">
        <v>36</v>
      </c>
      <c r="F5460" t="s">
        <v>986</v>
      </c>
      <c r="G5460">
        <v>968030</v>
      </c>
      <c r="H5460" t="s">
        <v>26</v>
      </c>
      <c r="I5460" t="s">
        <v>219</v>
      </c>
      <c r="J5460" t="str">
        <f>"9781118285138"</f>
        <v>9781118285138</v>
      </c>
      <c r="K5460" t="s">
        <v>8727</v>
      </c>
      <c r="L5460">
        <v>19</v>
      </c>
      <c r="O5460" t="s">
        <v>30</v>
      </c>
      <c r="P5460" t="s">
        <v>29</v>
      </c>
      <c r="Q5460" s="1">
        <v>42299.061921296299</v>
      </c>
      <c r="R5460">
        <v>7</v>
      </c>
      <c r="S5460" t="s">
        <v>40</v>
      </c>
      <c r="T5460" t="s">
        <v>987</v>
      </c>
      <c r="U5460">
        <v>158.30000000000001</v>
      </c>
      <c r="V5460" s="3">
        <v>41100</v>
      </c>
    </row>
    <row r="5461" spans="1:22" x14ac:dyDescent="0.35">
      <c r="A5461" s="1">
        <v>42299.039421296293</v>
      </c>
      <c r="B5461" s="2">
        <v>3.6851851851851851E-2</v>
      </c>
      <c r="C5461" t="s">
        <v>8508</v>
      </c>
      <c r="D5461" t="s">
        <v>23</v>
      </c>
      <c r="E5461" t="s">
        <v>24</v>
      </c>
      <c r="F5461" t="s">
        <v>5954</v>
      </c>
      <c r="G5461">
        <v>864784</v>
      </c>
      <c r="H5461" t="s">
        <v>492</v>
      </c>
      <c r="I5461" t="s">
        <v>69</v>
      </c>
      <c r="J5461" t="str">
        <f>"9781400841578"</f>
        <v>9781400841578</v>
      </c>
      <c r="K5461" t="s">
        <v>8728</v>
      </c>
      <c r="L5461">
        <v>79</v>
      </c>
      <c r="O5461" t="s">
        <v>30</v>
      </c>
      <c r="P5461" t="s">
        <v>42</v>
      </c>
      <c r="S5461" t="s">
        <v>31</v>
      </c>
      <c r="T5461" t="s">
        <v>5956</v>
      </c>
      <c r="U5461">
        <v>378.73</v>
      </c>
      <c r="V5461" s="3">
        <v>41786</v>
      </c>
    </row>
    <row r="5462" spans="1:22" x14ac:dyDescent="0.35">
      <c r="A5462" s="1">
        <v>42299.039074074077</v>
      </c>
      <c r="B5462" s="2">
        <v>2.1643518518518518E-3</v>
      </c>
      <c r="C5462" t="s">
        <v>8729</v>
      </c>
      <c r="D5462" t="s">
        <v>335</v>
      </c>
      <c r="E5462" t="s">
        <v>336</v>
      </c>
      <c r="F5462" t="s">
        <v>515</v>
      </c>
      <c r="G5462">
        <v>1757960</v>
      </c>
      <c r="H5462" t="s">
        <v>26</v>
      </c>
      <c r="I5462" t="s">
        <v>247</v>
      </c>
      <c r="J5462" t="str">
        <f>"9781118780770"</f>
        <v>9781118780770</v>
      </c>
      <c r="K5462" t="s">
        <v>8730</v>
      </c>
      <c r="L5462">
        <v>4</v>
      </c>
      <c r="O5462" t="s">
        <v>28</v>
      </c>
      <c r="P5462" t="s">
        <v>29</v>
      </c>
      <c r="Q5462" s="1">
        <v>42299.037465277775</v>
      </c>
      <c r="R5462">
        <v>7</v>
      </c>
      <c r="S5462" t="s">
        <v>340</v>
      </c>
      <c r="T5462" t="s">
        <v>517</v>
      </c>
      <c r="U5462" t="s">
        <v>518</v>
      </c>
      <c r="V5462" s="3">
        <v>41850</v>
      </c>
    </row>
    <row r="5463" spans="1:22" x14ac:dyDescent="0.35">
      <c r="A5463" s="1">
        <v>42299.037465277775</v>
      </c>
      <c r="B5463" s="2">
        <v>1.3888888888888889E-3</v>
      </c>
      <c r="C5463" t="s">
        <v>8729</v>
      </c>
      <c r="D5463" t="s">
        <v>335</v>
      </c>
      <c r="E5463" t="s">
        <v>336</v>
      </c>
      <c r="F5463" t="s">
        <v>515</v>
      </c>
      <c r="G5463">
        <v>1757960</v>
      </c>
      <c r="H5463" t="s">
        <v>26</v>
      </c>
      <c r="I5463" t="s">
        <v>247</v>
      </c>
      <c r="J5463" t="str">
        <f>"9781118780770"</f>
        <v>9781118780770</v>
      </c>
      <c r="K5463" t="s">
        <v>6055</v>
      </c>
      <c r="L5463">
        <v>3</v>
      </c>
      <c r="O5463" t="s">
        <v>30</v>
      </c>
      <c r="P5463" t="s">
        <v>29</v>
      </c>
      <c r="Q5463" s="1">
        <v>42299.037465277775</v>
      </c>
      <c r="R5463">
        <v>7</v>
      </c>
      <c r="S5463" t="s">
        <v>340</v>
      </c>
      <c r="T5463" t="s">
        <v>517</v>
      </c>
      <c r="U5463" t="s">
        <v>518</v>
      </c>
      <c r="V5463" s="3">
        <v>41850</v>
      </c>
    </row>
    <row r="5464" spans="1:22" x14ac:dyDescent="0.35">
      <c r="A5464" s="1">
        <v>42299.03733796296</v>
      </c>
      <c r="B5464" s="2">
        <v>1.273148148148148E-4</v>
      </c>
      <c r="C5464" t="s">
        <v>8729</v>
      </c>
      <c r="D5464" t="s">
        <v>335</v>
      </c>
      <c r="E5464" t="s">
        <v>336</v>
      </c>
      <c r="F5464" t="s">
        <v>515</v>
      </c>
      <c r="G5464">
        <v>1757960</v>
      </c>
      <c r="H5464" t="s">
        <v>26</v>
      </c>
      <c r="I5464" t="s">
        <v>247</v>
      </c>
      <c r="J5464" t="str">
        <f>"9781118780770"</f>
        <v>9781118780770</v>
      </c>
      <c r="K5464" t="s">
        <v>33</v>
      </c>
      <c r="L5464">
        <v>3</v>
      </c>
      <c r="O5464" t="s">
        <v>30</v>
      </c>
      <c r="P5464" t="s">
        <v>42</v>
      </c>
      <c r="S5464" t="s">
        <v>340</v>
      </c>
      <c r="T5464" t="s">
        <v>517</v>
      </c>
      <c r="U5464" t="s">
        <v>518</v>
      </c>
      <c r="V5464" s="3">
        <v>41850</v>
      </c>
    </row>
    <row r="5465" spans="1:22" x14ac:dyDescent="0.35">
      <c r="A5465" s="1">
        <v>42299.025810185187</v>
      </c>
      <c r="B5465" s="2">
        <v>4.1608796296296297E-2</v>
      </c>
      <c r="C5465" t="s">
        <v>6000</v>
      </c>
      <c r="D5465" t="s">
        <v>35</v>
      </c>
      <c r="E5465" t="s">
        <v>36</v>
      </c>
      <c r="F5465" t="s">
        <v>986</v>
      </c>
      <c r="G5465">
        <v>968030</v>
      </c>
      <c r="H5465" t="s">
        <v>26</v>
      </c>
      <c r="I5465" t="s">
        <v>219</v>
      </c>
      <c r="J5465" t="str">
        <f>"9781118285138"</f>
        <v>9781118285138</v>
      </c>
      <c r="K5465" t="s">
        <v>8731</v>
      </c>
      <c r="L5465">
        <v>13</v>
      </c>
      <c r="O5465" t="s">
        <v>30</v>
      </c>
      <c r="P5465" t="s">
        <v>42</v>
      </c>
      <c r="S5465" t="s">
        <v>40</v>
      </c>
      <c r="T5465" t="s">
        <v>987</v>
      </c>
      <c r="U5465">
        <v>158.30000000000001</v>
      </c>
      <c r="V5465" s="3">
        <v>41100</v>
      </c>
    </row>
    <row r="5466" spans="1:22" x14ac:dyDescent="0.35">
      <c r="A5466" s="1">
        <v>42299.011643518519</v>
      </c>
      <c r="B5466" s="2">
        <v>2.5462962962962961E-4</v>
      </c>
      <c r="C5466" t="s">
        <v>3556</v>
      </c>
      <c r="D5466" t="s">
        <v>23</v>
      </c>
      <c r="E5466" t="s">
        <v>24</v>
      </c>
      <c r="F5466" t="s">
        <v>3060</v>
      </c>
      <c r="G5466">
        <v>1120279</v>
      </c>
      <c r="H5466" t="s">
        <v>26</v>
      </c>
      <c r="I5466" t="s">
        <v>3061</v>
      </c>
      <c r="J5466" t="str">
        <f>"9781118537671"</f>
        <v>9781118537671</v>
      </c>
      <c r="K5466" t="s">
        <v>8732</v>
      </c>
      <c r="L5466">
        <v>11</v>
      </c>
      <c r="O5466" t="s">
        <v>30</v>
      </c>
      <c r="P5466" t="s">
        <v>29</v>
      </c>
      <c r="Q5466" s="1">
        <v>42294.995358796295</v>
      </c>
      <c r="R5466">
        <v>7</v>
      </c>
      <c r="S5466" t="s">
        <v>31</v>
      </c>
      <c r="T5466" t="s">
        <v>3063</v>
      </c>
      <c r="U5466">
        <v>599.93499999999995</v>
      </c>
      <c r="V5466" s="3">
        <v>41232</v>
      </c>
    </row>
    <row r="5467" spans="1:22" x14ac:dyDescent="0.35">
      <c r="A5467" s="1">
        <v>42299.005937499998</v>
      </c>
      <c r="B5467" s="2">
        <v>5.5983796296296295E-2</v>
      </c>
      <c r="C5467" t="s">
        <v>3753</v>
      </c>
      <c r="D5467" t="s">
        <v>35</v>
      </c>
      <c r="E5467" t="s">
        <v>36</v>
      </c>
      <c r="F5467" t="s">
        <v>986</v>
      </c>
      <c r="G5467">
        <v>968030</v>
      </c>
      <c r="H5467" t="s">
        <v>26</v>
      </c>
      <c r="I5467" t="s">
        <v>219</v>
      </c>
      <c r="J5467" t="str">
        <f>"9781118285138"</f>
        <v>9781118285138</v>
      </c>
      <c r="K5467" t="s">
        <v>33</v>
      </c>
      <c r="L5467">
        <v>3</v>
      </c>
      <c r="O5467" t="s">
        <v>30</v>
      </c>
      <c r="P5467" t="s">
        <v>42</v>
      </c>
      <c r="S5467" t="s">
        <v>40</v>
      </c>
      <c r="T5467" t="s">
        <v>987</v>
      </c>
      <c r="U5467">
        <v>158.30000000000001</v>
      </c>
      <c r="V5467" s="3">
        <v>41100</v>
      </c>
    </row>
    <row r="5468" spans="1:22" x14ac:dyDescent="0.35">
      <c r="A5468" s="1">
        <v>42298.993842592594</v>
      </c>
      <c r="B5468" s="2">
        <v>9.3750000000000007E-4</v>
      </c>
      <c r="C5468" t="s">
        <v>210</v>
      </c>
      <c r="D5468" t="s">
        <v>211</v>
      </c>
      <c r="E5468" t="s">
        <v>212</v>
      </c>
      <c r="F5468" t="s">
        <v>7682</v>
      </c>
      <c r="G5468">
        <v>1896037</v>
      </c>
      <c r="H5468" t="s">
        <v>26</v>
      </c>
      <c r="I5468" t="s">
        <v>7683</v>
      </c>
      <c r="J5468" t="str">
        <f>"9781119066262"</f>
        <v>9781119066262</v>
      </c>
      <c r="K5468" t="s">
        <v>8733</v>
      </c>
      <c r="L5468">
        <v>7</v>
      </c>
      <c r="O5468" t="s">
        <v>30</v>
      </c>
      <c r="P5468" t="s">
        <v>50</v>
      </c>
      <c r="S5468" t="s">
        <v>214</v>
      </c>
      <c r="T5468" t="s">
        <v>7685</v>
      </c>
      <c r="U5468" t="s">
        <v>7686</v>
      </c>
      <c r="V5468" s="3">
        <v>41990</v>
      </c>
    </row>
    <row r="5469" spans="1:22" x14ac:dyDescent="0.35">
      <c r="A5469" s="1">
        <v>42298.993020833332</v>
      </c>
      <c r="B5469" s="2">
        <v>1.8518518518518518E-4</v>
      </c>
      <c r="C5469" t="s">
        <v>210</v>
      </c>
      <c r="D5469" t="s">
        <v>211</v>
      </c>
      <c r="E5469" t="s">
        <v>212</v>
      </c>
      <c r="F5469" t="s">
        <v>7682</v>
      </c>
      <c r="G5469">
        <v>1896037</v>
      </c>
      <c r="H5469" t="s">
        <v>26</v>
      </c>
      <c r="I5469" t="s">
        <v>7683</v>
      </c>
      <c r="J5469" t="str">
        <f>"9781119066262"</f>
        <v>9781119066262</v>
      </c>
      <c r="K5469" t="s">
        <v>8734</v>
      </c>
      <c r="L5469">
        <v>10</v>
      </c>
      <c r="O5469" t="s">
        <v>30</v>
      </c>
      <c r="P5469" t="s">
        <v>50</v>
      </c>
      <c r="S5469" t="s">
        <v>214</v>
      </c>
      <c r="T5469" t="s">
        <v>7685</v>
      </c>
      <c r="U5469" t="s">
        <v>7686</v>
      </c>
      <c r="V5469" s="3">
        <v>41990</v>
      </c>
    </row>
    <row r="5470" spans="1:22" x14ac:dyDescent="0.35">
      <c r="A5470" s="1">
        <v>42298.990856481483</v>
      </c>
      <c r="B5470" s="2">
        <v>2.6620370370370372E-4</v>
      </c>
      <c r="C5470" t="s">
        <v>7138</v>
      </c>
      <c r="D5470" t="s">
        <v>360</v>
      </c>
      <c r="E5470" t="s">
        <v>361</v>
      </c>
      <c r="F5470" t="s">
        <v>1477</v>
      </c>
      <c r="G5470">
        <v>822111</v>
      </c>
      <c r="H5470" t="s">
        <v>26</v>
      </c>
      <c r="I5470" t="s">
        <v>120</v>
      </c>
      <c r="J5470" t="str">
        <f>"9781444356922"</f>
        <v>9781444356922</v>
      </c>
      <c r="K5470" t="s">
        <v>1260</v>
      </c>
      <c r="L5470">
        <v>8</v>
      </c>
      <c r="O5470" t="s">
        <v>30</v>
      </c>
      <c r="P5470" t="s">
        <v>42</v>
      </c>
      <c r="S5470" t="s">
        <v>363</v>
      </c>
      <c r="T5470" t="s">
        <v>1479</v>
      </c>
      <c r="U5470" t="s">
        <v>1480</v>
      </c>
      <c r="V5470" s="3">
        <v>40955</v>
      </c>
    </row>
    <row r="5471" spans="1:22" x14ac:dyDescent="0.35">
      <c r="A5471" s="1">
        <v>42298.990451388891</v>
      </c>
      <c r="B5471" s="2">
        <v>1.3078703703703705E-3</v>
      </c>
      <c r="C5471" t="s">
        <v>6081</v>
      </c>
      <c r="D5471" t="s">
        <v>1222</v>
      </c>
      <c r="E5471" t="s">
        <v>1223</v>
      </c>
      <c r="F5471" t="s">
        <v>6082</v>
      </c>
      <c r="G5471">
        <v>1925073</v>
      </c>
      <c r="H5471" t="s">
        <v>91</v>
      </c>
      <c r="I5471" t="s">
        <v>69</v>
      </c>
      <c r="J5471" t="str">
        <f>"9781462521128"</f>
        <v>9781462521128</v>
      </c>
      <c r="K5471" t="s">
        <v>8735</v>
      </c>
      <c r="L5471">
        <v>24</v>
      </c>
      <c r="O5471" t="s">
        <v>30</v>
      </c>
      <c r="P5471" t="s">
        <v>29</v>
      </c>
      <c r="Q5471" s="1">
        <v>42298.186979166669</v>
      </c>
      <c r="R5471">
        <v>7</v>
      </c>
      <c r="S5471" t="s">
        <v>1226</v>
      </c>
      <c r="T5471" t="s">
        <v>6085</v>
      </c>
      <c r="U5471">
        <v>372.48</v>
      </c>
      <c r="V5471" s="3">
        <v>42178</v>
      </c>
    </row>
    <row r="5472" spans="1:22" x14ac:dyDescent="0.35">
      <c r="A5472" s="1">
        <v>42298.96130787037</v>
      </c>
      <c r="B5472" s="2">
        <v>0.20376157407407405</v>
      </c>
      <c r="C5472" t="s">
        <v>8706</v>
      </c>
      <c r="D5472" t="s">
        <v>1222</v>
      </c>
      <c r="E5472" t="s">
        <v>1223</v>
      </c>
      <c r="F5472" t="s">
        <v>8707</v>
      </c>
      <c r="G5472">
        <v>1120525</v>
      </c>
      <c r="H5472" t="s">
        <v>613</v>
      </c>
      <c r="I5472" t="s">
        <v>998</v>
      </c>
      <c r="J5472" t="str">
        <f>"9781469608013"</f>
        <v>9781469608013</v>
      </c>
      <c r="K5472" t="s">
        <v>8736</v>
      </c>
      <c r="L5472">
        <v>64</v>
      </c>
      <c r="O5472" t="s">
        <v>30</v>
      </c>
      <c r="P5472" t="s">
        <v>47</v>
      </c>
      <c r="Q5472" s="1">
        <v>42298.96130787037</v>
      </c>
      <c r="R5472">
        <v>1</v>
      </c>
      <c r="S5472" t="s">
        <v>1226</v>
      </c>
      <c r="T5472" t="s">
        <v>8709</v>
      </c>
      <c r="U5472">
        <v>305.800973</v>
      </c>
      <c r="V5472" s="3">
        <v>41442</v>
      </c>
    </row>
    <row r="5473" spans="1:22" x14ac:dyDescent="0.35">
      <c r="A5473" s="1">
        <v>42298.959131944444</v>
      </c>
      <c r="B5473" s="2">
        <v>5.8101851851851856E-3</v>
      </c>
      <c r="C5473" t="s">
        <v>4041</v>
      </c>
      <c r="D5473" t="s">
        <v>23</v>
      </c>
      <c r="E5473" t="s">
        <v>24</v>
      </c>
      <c r="F5473" t="s">
        <v>3060</v>
      </c>
      <c r="G5473">
        <v>1120279</v>
      </c>
      <c r="H5473" t="s">
        <v>26</v>
      </c>
      <c r="I5473" t="s">
        <v>3061</v>
      </c>
      <c r="J5473" t="str">
        <f>"9781118537671"</f>
        <v>9781118537671</v>
      </c>
      <c r="K5473" t="s">
        <v>8737</v>
      </c>
      <c r="L5473">
        <v>20</v>
      </c>
      <c r="O5473" t="s">
        <v>30</v>
      </c>
      <c r="P5473" t="s">
        <v>42</v>
      </c>
      <c r="S5473" t="s">
        <v>31</v>
      </c>
      <c r="T5473" t="s">
        <v>3063</v>
      </c>
      <c r="U5473">
        <v>599.93499999999995</v>
      </c>
      <c r="V5473" s="3">
        <v>41232</v>
      </c>
    </row>
    <row r="5474" spans="1:22" x14ac:dyDescent="0.35">
      <c r="A5474" s="1">
        <v>42298.95826388889</v>
      </c>
      <c r="B5474" s="2">
        <v>1.5046296296296297E-4</v>
      </c>
      <c r="C5474" t="s">
        <v>7898</v>
      </c>
      <c r="D5474" t="s">
        <v>158</v>
      </c>
      <c r="E5474" t="s">
        <v>159</v>
      </c>
      <c r="F5474" t="s">
        <v>5301</v>
      </c>
      <c r="G5474">
        <v>818121</v>
      </c>
      <c r="H5474" t="s">
        <v>26</v>
      </c>
      <c r="I5474" t="s">
        <v>5302</v>
      </c>
      <c r="J5474" t="str">
        <f>"9781118226339"</f>
        <v>9781118226339</v>
      </c>
      <c r="K5474" t="s">
        <v>8738</v>
      </c>
      <c r="L5474">
        <v>10</v>
      </c>
      <c r="O5474" t="s">
        <v>30</v>
      </c>
      <c r="P5474" t="s">
        <v>42</v>
      </c>
      <c r="S5474" t="s">
        <v>163</v>
      </c>
      <c r="T5474" t="s">
        <v>5303</v>
      </c>
      <c r="U5474" t="s">
        <v>5304</v>
      </c>
      <c r="V5474" s="3">
        <v>40934</v>
      </c>
    </row>
    <row r="5475" spans="1:22" x14ac:dyDescent="0.35">
      <c r="A5475" s="1">
        <v>42298.957465277781</v>
      </c>
      <c r="B5475" s="2">
        <v>1.0486111111111111E-2</v>
      </c>
      <c r="C5475" t="s">
        <v>4728</v>
      </c>
      <c r="D5475" t="s">
        <v>623</v>
      </c>
      <c r="E5475" t="s">
        <v>624</v>
      </c>
      <c r="F5475" t="s">
        <v>4494</v>
      </c>
      <c r="G5475">
        <v>565082</v>
      </c>
      <c r="H5475" t="s">
        <v>26</v>
      </c>
      <c r="I5475" t="s">
        <v>69</v>
      </c>
      <c r="J5475" t="str">
        <f>"9781118041567"</f>
        <v>9781118041567</v>
      </c>
      <c r="K5475" t="s">
        <v>8739</v>
      </c>
      <c r="L5475">
        <v>7</v>
      </c>
      <c r="O5475" t="s">
        <v>30</v>
      </c>
      <c r="P5475" t="s">
        <v>29</v>
      </c>
      <c r="Q5475" s="1">
        <v>42298.957465277781</v>
      </c>
      <c r="R5475">
        <v>7</v>
      </c>
      <c r="S5475" t="s">
        <v>627</v>
      </c>
      <c r="T5475" t="s">
        <v>4496</v>
      </c>
      <c r="U5475" t="s">
        <v>4497</v>
      </c>
      <c r="V5475" s="3">
        <v>40337</v>
      </c>
    </row>
    <row r="5476" spans="1:22" x14ac:dyDescent="0.35">
      <c r="A5476" s="1">
        <v>42298.946215277778</v>
      </c>
      <c r="B5476" s="2">
        <v>1.1249999999999998E-2</v>
      </c>
      <c r="C5476" t="s">
        <v>4728</v>
      </c>
      <c r="D5476" t="s">
        <v>623</v>
      </c>
      <c r="E5476" t="s">
        <v>624</v>
      </c>
      <c r="F5476" t="s">
        <v>4494</v>
      </c>
      <c r="G5476">
        <v>565082</v>
      </c>
      <c r="H5476" t="s">
        <v>26</v>
      </c>
      <c r="I5476" t="s">
        <v>69</v>
      </c>
      <c r="J5476" t="str">
        <f>"9781118041567"</f>
        <v>9781118041567</v>
      </c>
      <c r="K5476" t="s">
        <v>8740</v>
      </c>
      <c r="L5476">
        <v>16</v>
      </c>
      <c r="O5476" t="s">
        <v>30</v>
      </c>
      <c r="P5476" t="s">
        <v>42</v>
      </c>
      <c r="S5476" t="s">
        <v>627</v>
      </c>
      <c r="T5476" t="s">
        <v>4496</v>
      </c>
      <c r="U5476" t="s">
        <v>4497</v>
      </c>
      <c r="V5476" s="3">
        <v>40337</v>
      </c>
    </row>
    <row r="5477" spans="1:22" x14ac:dyDescent="0.35">
      <c r="A5477" s="1">
        <v>42298.945844907408</v>
      </c>
      <c r="B5477" s="2">
        <v>3.4722222222222222E-5</v>
      </c>
      <c r="C5477" t="s">
        <v>1306</v>
      </c>
      <c r="D5477" t="s">
        <v>158</v>
      </c>
      <c r="E5477" t="s">
        <v>159</v>
      </c>
      <c r="F5477" t="s">
        <v>5301</v>
      </c>
      <c r="G5477">
        <v>818121</v>
      </c>
      <c r="H5477" t="s">
        <v>26</v>
      </c>
      <c r="I5477" t="s">
        <v>5302</v>
      </c>
      <c r="J5477" t="str">
        <f>"9781118226339"</f>
        <v>9781118226339</v>
      </c>
      <c r="K5477" t="s">
        <v>33</v>
      </c>
      <c r="L5477">
        <v>3</v>
      </c>
      <c r="O5477" t="s">
        <v>30</v>
      </c>
      <c r="P5477" t="s">
        <v>42</v>
      </c>
      <c r="S5477" t="s">
        <v>163</v>
      </c>
      <c r="T5477" t="s">
        <v>5303</v>
      </c>
      <c r="U5477" t="s">
        <v>5304</v>
      </c>
      <c r="V5477" s="3">
        <v>40934</v>
      </c>
    </row>
    <row r="5478" spans="1:22" x14ac:dyDescent="0.35">
      <c r="A5478" s="1">
        <v>42298.938946759263</v>
      </c>
      <c r="B5478" s="2">
        <v>7.6504629629629631E-3</v>
      </c>
      <c r="C5478" t="s">
        <v>5995</v>
      </c>
      <c r="D5478" t="s">
        <v>335</v>
      </c>
      <c r="E5478" t="s">
        <v>336</v>
      </c>
      <c r="F5478" t="s">
        <v>3732</v>
      </c>
      <c r="G5478">
        <v>284109</v>
      </c>
      <c r="H5478" t="s">
        <v>26</v>
      </c>
      <c r="I5478" t="s">
        <v>338</v>
      </c>
      <c r="J5478" t="str">
        <f>"9781405173469"</f>
        <v>9781405173469</v>
      </c>
      <c r="K5478" t="s">
        <v>8741</v>
      </c>
      <c r="L5478">
        <v>24</v>
      </c>
      <c r="O5478" t="s">
        <v>30</v>
      </c>
      <c r="P5478" t="s">
        <v>47</v>
      </c>
      <c r="Q5478" s="1">
        <v>42298.765625</v>
      </c>
      <c r="R5478">
        <v>1</v>
      </c>
      <c r="S5478" t="s">
        <v>340</v>
      </c>
      <c r="T5478" t="s">
        <v>3734</v>
      </c>
      <c r="U5478" t="s">
        <v>3735</v>
      </c>
      <c r="V5478" s="3">
        <v>41409</v>
      </c>
    </row>
    <row r="5479" spans="1:22" x14ac:dyDescent="0.35">
      <c r="A5479" s="1">
        <v>42298.913310185184</v>
      </c>
      <c r="B5479" s="2">
        <v>8.9120370370370362E-4</v>
      </c>
      <c r="C5479" t="s">
        <v>3884</v>
      </c>
      <c r="D5479" t="s">
        <v>261</v>
      </c>
      <c r="E5479" t="s">
        <v>262</v>
      </c>
      <c r="F5479" t="s">
        <v>3885</v>
      </c>
      <c r="G5479">
        <v>1935791</v>
      </c>
      <c r="H5479" t="s">
        <v>26</v>
      </c>
      <c r="I5479" t="s">
        <v>108</v>
      </c>
      <c r="J5479" t="str">
        <f>"9781118909935"</f>
        <v>9781118909935</v>
      </c>
      <c r="K5479" t="s">
        <v>8742</v>
      </c>
      <c r="L5479">
        <v>37</v>
      </c>
      <c r="O5479" t="s">
        <v>30</v>
      </c>
      <c r="P5479" t="s">
        <v>50</v>
      </c>
      <c r="S5479" t="s">
        <v>264</v>
      </c>
      <c r="T5479" t="s">
        <v>3887</v>
      </c>
      <c r="U5479">
        <v>338.95100000000002</v>
      </c>
      <c r="V5479" s="3">
        <v>41995</v>
      </c>
    </row>
    <row r="5480" spans="1:22" x14ac:dyDescent="0.35">
      <c r="A5480" s="1">
        <v>42298.90519675926</v>
      </c>
      <c r="B5480" s="2">
        <v>5.6111111111111112E-2</v>
      </c>
      <c r="C5480" t="s">
        <v>8706</v>
      </c>
      <c r="D5480" t="s">
        <v>1222</v>
      </c>
      <c r="E5480" t="s">
        <v>1223</v>
      </c>
      <c r="F5480" t="s">
        <v>8707</v>
      </c>
      <c r="G5480">
        <v>1120525</v>
      </c>
      <c r="H5480" t="s">
        <v>613</v>
      </c>
      <c r="I5480" t="s">
        <v>998</v>
      </c>
      <c r="J5480" t="str">
        <f>"9781469608013"</f>
        <v>9781469608013</v>
      </c>
      <c r="K5480" t="s">
        <v>209</v>
      </c>
      <c r="L5480">
        <v>4</v>
      </c>
      <c r="O5480" t="s">
        <v>30</v>
      </c>
      <c r="P5480" t="s">
        <v>50</v>
      </c>
      <c r="S5480" t="s">
        <v>1226</v>
      </c>
      <c r="T5480" t="s">
        <v>8709</v>
      </c>
      <c r="U5480">
        <v>305.800973</v>
      </c>
      <c r="V5480" s="3">
        <v>41442</v>
      </c>
    </row>
    <row r="5481" spans="1:22" x14ac:dyDescent="0.35">
      <c r="A5481" s="1">
        <v>42298.895208333335</v>
      </c>
      <c r="B5481" s="2">
        <v>1.0648148148148147E-3</v>
      </c>
      <c r="C5481" t="s">
        <v>8743</v>
      </c>
      <c r="D5481" t="s">
        <v>1222</v>
      </c>
      <c r="E5481" t="s">
        <v>1223</v>
      </c>
      <c r="F5481" t="s">
        <v>8136</v>
      </c>
      <c r="G5481">
        <v>1190428</v>
      </c>
      <c r="H5481" t="s">
        <v>84</v>
      </c>
      <c r="I5481" t="s">
        <v>38</v>
      </c>
      <c r="J5481" t="str">
        <f>"9780520955066"</f>
        <v>9780520955066</v>
      </c>
      <c r="K5481" t="s">
        <v>8744</v>
      </c>
      <c r="L5481">
        <v>15</v>
      </c>
      <c r="O5481" t="s">
        <v>30</v>
      </c>
      <c r="P5481" t="s">
        <v>42</v>
      </c>
      <c r="S5481" t="s">
        <v>1226</v>
      </c>
      <c r="T5481" t="s">
        <v>8138</v>
      </c>
      <c r="U5481" t="s">
        <v>8139</v>
      </c>
      <c r="V5481" s="3">
        <v>41408</v>
      </c>
    </row>
    <row r="5482" spans="1:22" x14ac:dyDescent="0.35">
      <c r="A5482" s="1">
        <v>42298.890497685185</v>
      </c>
      <c r="B5482" s="2">
        <v>6.6435185185185182E-3</v>
      </c>
      <c r="C5482" t="s">
        <v>7825</v>
      </c>
      <c r="D5482" t="s">
        <v>261</v>
      </c>
      <c r="E5482" t="s">
        <v>262</v>
      </c>
      <c r="F5482" t="s">
        <v>7826</v>
      </c>
      <c r="G5482">
        <v>2039095</v>
      </c>
      <c r="H5482" t="s">
        <v>45</v>
      </c>
      <c r="I5482" t="s">
        <v>79</v>
      </c>
      <c r="J5482" t="str">
        <f>"9781472443007"</f>
        <v>9781472443007</v>
      </c>
      <c r="K5482" t="s">
        <v>8745</v>
      </c>
      <c r="L5482">
        <v>27</v>
      </c>
      <c r="O5482" t="s">
        <v>30</v>
      </c>
      <c r="P5482" t="s">
        <v>47</v>
      </c>
      <c r="Q5482" s="1">
        <v>42298.890486111108</v>
      </c>
      <c r="R5482">
        <v>1</v>
      </c>
      <c r="S5482" t="s">
        <v>264</v>
      </c>
      <c r="T5482" t="s">
        <v>7828</v>
      </c>
      <c r="U5482" t="s">
        <v>7829</v>
      </c>
      <c r="V5482" s="3">
        <v>42183</v>
      </c>
    </row>
    <row r="5483" spans="1:22" x14ac:dyDescent="0.35">
      <c r="A5483" s="1">
        <v>42298.886770833335</v>
      </c>
      <c r="B5483" s="2">
        <v>3.7152777777777774E-3</v>
      </c>
      <c r="C5483" t="s">
        <v>7825</v>
      </c>
      <c r="D5483" t="s">
        <v>261</v>
      </c>
      <c r="E5483" t="s">
        <v>262</v>
      </c>
      <c r="F5483" t="s">
        <v>7826</v>
      </c>
      <c r="G5483">
        <v>2039095</v>
      </c>
      <c r="H5483" t="s">
        <v>45</v>
      </c>
      <c r="I5483" t="s">
        <v>79</v>
      </c>
      <c r="J5483" t="str">
        <f>"9781472443007"</f>
        <v>9781472443007</v>
      </c>
      <c r="K5483" t="s">
        <v>8746</v>
      </c>
      <c r="L5483">
        <v>33</v>
      </c>
      <c r="O5483" t="s">
        <v>30</v>
      </c>
      <c r="P5483" t="s">
        <v>50</v>
      </c>
      <c r="S5483" t="s">
        <v>264</v>
      </c>
      <c r="T5483" t="s">
        <v>7828</v>
      </c>
      <c r="U5483" t="s">
        <v>7829</v>
      </c>
      <c r="V5483" s="3">
        <v>42183</v>
      </c>
    </row>
    <row r="5484" spans="1:22" x14ac:dyDescent="0.35">
      <c r="A5484" s="1">
        <v>42298.852905092594</v>
      </c>
      <c r="B5484" s="2">
        <v>1.0995370370370371E-3</v>
      </c>
      <c r="C5484" t="s">
        <v>5902</v>
      </c>
      <c r="D5484" t="s">
        <v>35</v>
      </c>
      <c r="E5484" t="s">
        <v>36</v>
      </c>
      <c r="F5484" t="s">
        <v>986</v>
      </c>
      <c r="G5484">
        <v>968030</v>
      </c>
      <c r="H5484" t="s">
        <v>26</v>
      </c>
      <c r="I5484" t="s">
        <v>219</v>
      </c>
      <c r="J5484" t="str">
        <f>"9781118285138"</f>
        <v>9781118285138</v>
      </c>
      <c r="K5484" t="s">
        <v>8747</v>
      </c>
      <c r="L5484">
        <v>13</v>
      </c>
      <c r="N5484" t="s">
        <v>8748</v>
      </c>
      <c r="O5484" t="s">
        <v>30</v>
      </c>
      <c r="P5484" t="s">
        <v>29</v>
      </c>
      <c r="Q5484" s="1">
        <v>42292.051099537035</v>
      </c>
      <c r="R5484">
        <v>7</v>
      </c>
      <c r="S5484" t="s">
        <v>40</v>
      </c>
      <c r="T5484" t="s">
        <v>987</v>
      </c>
      <c r="U5484">
        <v>158.30000000000001</v>
      </c>
      <c r="V5484" s="3">
        <v>41100</v>
      </c>
    </row>
    <row r="5485" spans="1:22" x14ac:dyDescent="0.35">
      <c r="A5485" s="1">
        <v>42298.851574074077</v>
      </c>
      <c r="B5485" s="2">
        <v>4.8611111111111104E-4</v>
      </c>
      <c r="C5485" t="s">
        <v>8749</v>
      </c>
      <c r="D5485" t="s">
        <v>261</v>
      </c>
      <c r="E5485" t="s">
        <v>262</v>
      </c>
      <c r="F5485" t="s">
        <v>4821</v>
      </c>
      <c r="G5485">
        <v>943645</v>
      </c>
      <c r="H5485" t="s">
        <v>1365</v>
      </c>
      <c r="I5485" t="s">
        <v>172</v>
      </c>
      <c r="J5485" t="str">
        <f>"9781441104755"</f>
        <v>9781441104755</v>
      </c>
      <c r="K5485" t="s">
        <v>8750</v>
      </c>
      <c r="L5485">
        <v>4</v>
      </c>
      <c r="O5485" t="s">
        <v>30</v>
      </c>
      <c r="P5485" t="s">
        <v>42</v>
      </c>
      <c r="S5485" t="s">
        <v>264</v>
      </c>
      <c r="T5485" t="s">
        <v>4823</v>
      </c>
      <c r="U5485">
        <v>948.02200000000005</v>
      </c>
      <c r="V5485" s="3">
        <v>41060</v>
      </c>
    </row>
    <row r="5486" spans="1:22" x14ac:dyDescent="0.35">
      <c r="A5486" s="1">
        <v>42298.848900462966</v>
      </c>
      <c r="B5486" s="2">
        <v>7.0995370370370361E-2</v>
      </c>
      <c r="C5486" t="s">
        <v>8751</v>
      </c>
      <c r="D5486" t="s">
        <v>6396</v>
      </c>
      <c r="E5486" t="s">
        <v>6397</v>
      </c>
      <c r="F5486" t="s">
        <v>8752</v>
      </c>
      <c r="G5486">
        <v>1956448</v>
      </c>
      <c r="H5486" t="s">
        <v>26</v>
      </c>
      <c r="I5486" t="s">
        <v>348</v>
      </c>
      <c r="J5486" t="str">
        <f>"9780745695136"</f>
        <v>9780745695136</v>
      </c>
      <c r="K5486" t="s">
        <v>8753</v>
      </c>
      <c r="L5486">
        <v>14</v>
      </c>
      <c r="O5486" t="s">
        <v>30</v>
      </c>
      <c r="P5486" t="s">
        <v>29</v>
      </c>
      <c r="Q5486" s="1">
        <v>42298.848900462966</v>
      </c>
      <c r="R5486">
        <v>7</v>
      </c>
      <c r="S5486" t="s">
        <v>6400</v>
      </c>
      <c r="T5486" t="s">
        <v>8754</v>
      </c>
      <c r="U5486">
        <v>327.101</v>
      </c>
      <c r="V5486" s="3">
        <v>42047</v>
      </c>
    </row>
    <row r="5487" spans="1:22" x14ac:dyDescent="0.35">
      <c r="A5487" s="1">
        <v>42298.8434837963</v>
      </c>
      <c r="B5487" s="2">
        <v>5.4050925925925924E-3</v>
      </c>
      <c r="C5487" t="s">
        <v>8751</v>
      </c>
      <c r="D5487" t="s">
        <v>6396</v>
      </c>
      <c r="E5487" t="s">
        <v>6397</v>
      </c>
      <c r="F5487" t="s">
        <v>8752</v>
      </c>
      <c r="G5487">
        <v>1956448</v>
      </c>
      <c r="H5487" t="s">
        <v>26</v>
      </c>
      <c r="I5487" t="s">
        <v>348</v>
      </c>
      <c r="J5487" t="str">
        <f>"9780745695136"</f>
        <v>9780745695136</v>
      </c>
      <c r="K5487" t="s">
        <v>33</v>
      </c>
      <c r="L5487">
        <v>3</v>
      </c>
      <c r="O5487" t="s">
        <v>30</v>
      </c>
      <c r="P5487" t="s">
        <v>50</v>
      </c>
      <c r="S5487" t="s">
        <v>6400</v>
      </c>
      <c r="T5487" t="s">
        <v>8754</v>
      </c>
      <c r="U5487">
        <v>327.101</v>
      </c>
      <c r="V5487" s="3">
        <v>42047</v>
      </c>
    </row>
    <row r="5488" spans="1:22" x14ac:dyDescent="0.35">
      <c r="A5488" s="1">
        <v>42298.837314814817</v>
      </c>
      <c r="B5488" s="2">
        <v>4.6296296296296294E-5</v>
      </c>
      <c r="C5488" t="s">
        <v>1554</v>
      </c>
      <c r="D5488" t="s">
        <v>23</v>
      </c>
      <c r="E5488" t="s">
        <v>24</v>
      </c>
      <c r="F5488" t="s">
        <v>698</v>
      </c>
      <c r="G5488">
        <v>865191</v>
      </c>
      <c r="H5488" t="s">
        <v>26</v>
      </c>
      <c r="I5488" t="s">
        <v>120</v>
      </c>
      <c r="J5488" t="str">
        <f>"9781118101681"</f>
        <v>9781118101681</v>
      </c>
      <c r="K5488" t="s">
        <v>33</v>
      </c>
      <c r="L5488">
        <v>3</v>
      </c>
      <c r="O5488" t="s">
        <v>30</v>
      </c>
      <c r="P5488" t="s">
        <v>42</v>
      </c>
      <c r="S5488" t="s">
        <v>31</v>
      </c>
      <c r="T5488" t="s">
        <v>699</v>
      </c>
      <c r="U5488" t="s">
        <v>700</v>
      </c>
      <c r="V5488" s="3">
        <v>40960</v>
      </c>
    </row>
    <row r="5489" spans="1:22" x14ac:dyDescent="0.35">
      <c r="A5489" s="1">
        <v>42298.831956018519</v>
      </c>
      <c r="B5489" s="2">
        <v>2.4305555555555552E-4</v>
      </c>
      <c r="C5489" t="s">
        <v>210</v>
      </c>
      <c r="D5489" t="s">
        <v>211</v>
      </c>
      <c r="E5489" t="s">
        <v>212</v>
      </c>
      <c r="F5489" t="s">
        <v>2807</v>
      </c>
      <c r="G5489">
        <v>1767915</v>
      </c>
      <c r="H5489" t="s">
        <v>26</v>
      </c>
      <c r="I5489" t="s">
        <v>120</v>
      </c>
      <c r="J5489" t="str">
        <f>"9780730315148"</f>
        <v>9780730315148</v>
      </c>
      <c r="K5489" t="s">
        <v>8755</v>
      </c>
      <c r="L5489">
        <v>7</v>
      </c>
      <c r="O5489" t="s">
        <v>30</v>
      </c>
      <c r="P5489" t="s">
        <v>42</v>
      </c>
      <c r="S5489" t="s">
        <v>214</v>
      </c>
      <c r="T5489" t="s">
        <v>2809</v>
      </c>
      <c r="U5489">
        <v>302.23099999999999</v>
      </c>
      <c r="V5489" s="3">
        <v>41866</v>
      </c>
    </row>
    <row r="5490" spans="1:22" x14ac:dyDescent="0.35">
      <c r="A5490" s="1">
        <v>42298.771874999999</v>
      </c>
      <c r="B5490" s="2">
        <v>5.9143518518518521E-3</v>
      </c>
      <c r="C5490" t="s">
        <v>8069</v>
      </c>
      <c r="D5490" t="s">
        <v>23</v>
      </c>
      <c r="E5490" t="s">
        <v>24</v>
      </c>
      <c r="F5490" t="s">
        <v>3186</v>
      </c>
      <c r="G5490">
        <v>699744</v>
      </c>
      <c r="H5490" t="s">
        <v>26</v>
      </c>
      <c r="I5490" t="s">
        <v>3187</v>
      </c>
      <c r="J5490" t="str">
        <f>"9781118585818"</f>
        <v>9781118585818</v>
      </c>
      <c r="K5490" t="s">
        <v>8756</v>
      </c>
      <c r="L5490">
        <v>20</v>
      </c>
      <c r="O5490" t="s">
        <v>30</v>
      </c>
      <c r="P5490" t="s">
        <v>29</v>
      </c>
      <c r="Q5490" s="1">
        <v>42296.808252314811</v>
      </c>
      <c r="R5490">
        <v>7</v>
      </c>
      <c r="S5490" t="s">
        <v>31</v>
      </c>
      <c r="T5490" t="s">
        <v>3188</v>
      </c>
      <c r="U5490">
        <v>621.36</v>
      </c>
      <c r="V5490" s="3">
        <v>41310</v>
      </c>
    </row>
    <row r="5491" spans="1:22" x14ac:dyDescent="0.35">
      <c r="A5491" s="1">
        <v>42298.765625</v>
      </c>
      <c r="B5491" s="2">
        <v>2.7777777777777779E-3</v>
      </c>
      <c r="C5491" t="s">
        <v>5995</v>
      </c>
      <c r="D5491" t="s">
        <v>335</v>
      </c>
      <c r="E5491" t="s">
        <v>336</v>
      </c>
      <c r="F5491" t="s">
        <v>3732</v>
      </c>
      <c r="G5491">
        <v>284109</v>
      </c>
      <c r="H5491" t="s">
        <v>26</v>
      </c>
      <c r="I5491" t="s">
        <v>338</v>
      </c>
      <c r="J5491" t="str">
        <f>"9781405173469"</f>
        <v>9781405173469</v>
      </c>
      <c r="K5491" t="s">
        <v>8757</v>
      </c>
      <c r="L5491">
        <v>8</v>
      </c>
      <c r="O5491" t="s">
        <v>30</v>
      </c>
      <c r="P5491" t="s">
        <v>47</v>
      </c>
      <c r="Q5491" s="1">
        <v>42298.765625</v>
      </c>
      <c r="R5491">
        <v>1</v>
      </c>
      <c r="S5491" t="s">
        <v>340</v>
      </c>
      <c r="T5491" t="s">
        <v>3734</v>
      </c>
      <c r="U5491" t="s">
        <v>3735</v>
      </c>
      <c r="V5491" s="3">
        <v>41409</v>
      </c>
    </row>
    <row r="5492" spans="1:22" x14ac:dyDescent="0.35">
      <c r="A5492" s="1">
        <v>42298.763923611114</v>
      </c>
      <c r="B5492" s="2">
        <v>5.7870370370370366E-5</v>
      </c>
      <c r="C5492" t="s">
        <v>5033</v>
      </c>
      <c r="D5492" t="s">
        <v>23</v>
      </c>
      <c r="E5492" t="s">
        <v>24</v>
      </c>
      <c r="F5492" t="s">
        <v>8758</v>
      </c>
      <c r="G5492">
        <v>2049503</v>
      </c>
      <c r="H5492" t="s">
        <v>45</v>
      </c>
      <c r="I5492" t="s">
        <v>108</v>
      </c>
      <c r="J5492" t="str">
        <f>"9781472429216"</f>
        <v>9781472429216</v>
      </c>
      <c r="K5492" t="s">
        <v>73</v>
      </c>
      <c r="L5492">
        <v>3</v>
      </c>
      <c r="O5492" t="s">
        <v>30</v>
      </c>
      <c r="P5492" t="s">
        <v>50</v>
      </c>
      <c r="S5492" t="s">
        <v>31</v>
      </c>
      <c r="T5492" t="s">
        <v>8759</v>
      </c>
      <c r="U5492">
        <v>332</v>
      </c>
      <c r="V5492" s="3">
        <v>42213</v>
      </c>
    </row>
    <row r="5493" spans="1:22" x14ac:dyDescent="0.35">
      <c r="A5493" s="1">
        <v>42298.761655092596</v>
      </c>
      <c r="B5493" s="2">
        <v>3.9699074074074072E-3</v>
      </c>
      <c r="C5493" t="s">
        <v>5995</v>
      </c>
      <c r="D5493" t="s">
        <v>335</v>
      </c>
      <c r="E5493" t="s">
        <v>336</v>
      </c>
      <c r="F5493" t="s">
        <v>3732</v>
      </c>
      <c r="G5493">
        <v>284109</v>
      </c>
      <c r="H5493" t="s">
        <v>26</v>
      </c>
      <c r="I5493" t="s">
        <v>338</v>
      </c>
      <c r="J5493" t="str">
        <f>"9781405173469"</f>
        <v>9781405173469</v>
      </c>
      <c r="K5493" t="s">
        <v>8760</v>
      </c>
      <c r="L5493">
        <v>22</v>
      </c>
      <c r="O5493" t="s">
        <v>30</v>
      </c>
      <c r="P5493" t="s">
        <v>50</v>
      </c>
      <c r="S5493" t="s">
        <v>340</v>
      </c>
      <c r="T5493" t="s">
        <v>3734</v>
      </c>
      <c r="U5493" t="s">
        <v>3735</v>
      </c>
      <c r="V5493" s="3">
        <v>41409</v>
      </c>
    </row>
    <row r="5494" spans="1:22" x14ac:dyDescent="0.35">
      <c r="A5494" s="1">
        <v>42298.760914351849</v>
      </c>
      <c r="B5494" s="2">
        <v>2.4340277777777777E-2</v>
      </c>
      <c r="C5494" t="s">
        <v>8683</v>
      </c>
      <c r="D5494" t="s">
        <v>35</v>
      </c>
      <c r="E5494" t="s">
        <v>36</v>
      </c>
      <c r="F5494" t="s">
        <v>986</v>
      </c>
      <c r="G5494">
        <v>968030</v>
      </c>
      <c r="H5494" t="s">
        <v>26</v>
      </c>
      <c r="I5494" t="s">
        <v>219</v>
      </c>
      <c r="J5494" t="str">
        <f>"9781118285138"</f>
        <v>9781118285138</v>
      </c>
      <c r="K5494" t="s">
        <v>8761</v>
      </c>
      <c r="L5494">
        <v>39</v>
      </c>
      <c r="O5494" t="s">
        <v>28</v>
      </c>
      <c r="P5494" t="s">
        <v>29</v>
      </c>
      <c r="Q5494" s="1">
        <v>42298.760914351849</v>
      </c>
      <c r="R5494">
        <v>7</v>
      </c>
      <c r="S5494" t="s">
        <v>40</v>
      </c>
      <c r="T5494" t="s">
        <v>987</v>
      </c>
      <c r="U5494">
        <v>158.30000000000001</v>
      </c>
      <c r="V5494" s="3">
        <v>41100</v>
      </c>
    </row>
    <row r="5495" spans="1:22" x14ac:dyDescent="0.35">
      <c r="A5495" s="1">
        <v>42298.760914351849</v>
      </c>
      <c r="B5495" s="2">
        <v>0</v>
      </c>
      <c r="C5495" t="s">
        <v>8683</v>
      </c>
      <c r="D5495" t="s">
        <v>35</v>
      </c>
      <c r="E5495" t="s">
        <v>36</v>
      </c>
      <c r="F5495" t="s">
        <v>986</v>
      </c>
      <c r="G5495">
        <v>968030</v>
      </c>
      <c r="H5495" t="s">
        <v>26</v>
      </c>
      <c r="I5495" t="s">
        <v>219</v>
      </c>
      <c r="J5495" t="str">
        <f>"9781118285138"</f>
        <v>9781118285138</v>
      </c>
      <c r="L5495">
        <v>0</v>
      </c>
      <c r="O5495" t="s">
        <v>30</v>
      </c>
      <c r="P5495" t="s">
        <v>29</v>
      </c>
      <c r="Q5495" s="1">
        <v>42298.760914351849</v>
      </c>
      <c r="R5495">
        <v>7</v>
      </c>
      <c r="S5495" t="s">
        <v>40</v>
      </c>
      <c r="T5495" t="s">
        <v>987</v>
      </c>
      <c r="U5495">
        <v>158.30000000000001</v>
      </c>
      <c r="V5495" s="3">
        <v>41100</v>
      </c>
    </row>
    <row r="5496" spans="1:22" x14ac:dyDescent="0.35">
      <c r="A5496" s="1">
        <v>42298.760462962964</v>
      </c>
      <c r="B5496" s="2">
        <v>4.5138888888888892E-4</v>
      </c>
      <c r="C5496" t="s">
        <v>8683</v>
      </c>
      <c r="D5496" t="s">
        <v>35</v>
      </c>
      <c r="E5496" t="s">
        <v>36</v>
      </c>
      <c r="F5496" t="s">
        <v>986</v>
      </c>
      <c r="G5496">
        <v>968030</v>
      </c>
      <c r="H5496" t="s">
        <v>26</v>
      </c>
      <c r="I5496" t="s">
        <v>219</v>
      </c>
      <c r="J5496" t="str">
        <f>"9781118285138"</f>
        <v>9781118285138</v>
      </c>
      <c r="K5496" t="s">
        <v>33</v>
      </c>
      <c r="L5496">
        <v>3</v>
      </c>
      <c r="O5496" t="s">
        <v>30</v>
      </c>
      <c r="P5496" t="s">
        <v>42</v>
      </c>
      <c r="S5496" t="s">
        <v>40</v>
      </c>
      <c r="T5496" t="s">
        <v>987</v>
      </c>
      <c r="U5496">
        <v>158.30000000000001</v>
      </c>
      <c r="V5496" s="3">
        <v>41100</v>
      </c>
    </row>
    <row r="5497" spans="1:22" x14ac:dyDescent="0.35">
      <c r="A5497" s="1">
        <v>42298.754571759258</v>
      </c>
      <c r="B5497" s="2">
        <v>6.7129629629629625E-4</v>
      </c>
      <c r="C5497" t="s">
        <v>8762</v>
      </c>
      <c r="D5497" t="s">
        <v>35</v>
      </c>
      <c r="E5497" t="s">
        <v>36</v>
      </c>
      <c r="F5497" t="s">
        <v>8763</v>
      </c>
      <c r="G5497">
        <v>1752698</v>
      </c>
      <c r="H5497" t="s">
        <v>26</v>
      </c>
      <c r="I5497" t="s">
        <v>297</v>
      </c>
      <c r="J5497" t="str">
        <f>"9781118496701"</f>
        <v>9781118496701</v>
      </c>
      <c r="K5497" t="s">
        <v>8764</v>
      </c>
      <c r="L5497">
        <v>8</v>
      </c>
      <c r="O5497" t="s">
        <v>28</v>
      </c>
      <c r="P5497" t="s">
        <v>29</v>
      </c>
      <c r="Q5497" s="1">
        <v>42298.753217592595</v>
      </c>
      <c r="R5497">
        <v>7</v>
      </c>
      <c r="S5497" t="s">
        <v>40</v>
      </c>
      <c r="T5497" t="s">
        <v>8765</v>
      </c>
      <c r="U5497">
        <v>515.07600000000002</v>
      </c>
      <c r="V5497" s="3">
        <v>41842</v>
      </c>
    </row>
    <row r="5498" spans="1:22" x14ac:dyDescent="0.35">
      <c r="A5498" s="1">
        <v>42298.753217592595</v>
      </c>
      <c r="B5498" s="2">
        <v>7.0601851851851847E-4</v>
      </c>
      <c r="C5498" t="s">
        <v>8762</v>
      </c>
      <c r="D5498" t="s">
        <v>35</v>
      </c>
      <c r="E5498" t="s">
        <v>36</v>
      </c>
      <c r="F5498" t="s">
        <v>8763</v>
      </c>
      <c r="G5498">
        <v>1752698</v>
      </c>
      <c r="H5498" t="s">
        <v>26</v>
      </c>
      <c r="I5498" t="s">
        <v>297</v>
      </c>
      <c r="J5498" t="str">
        <f>"9781118496701"</f>
        <v>9781118496701</v>
      </c>
      <c r="K5498" t="s">
        <v>8766</v>
      </c>
      <c r="L5498">
        <v>3</v>
      </c>
      <c r="M5498" t="s">
        <v>8767</v>
      </c>
      <c r="O5498" t="s">
        <v>30</v>
      </c>
      <c r="P5498" t="s">
        <v>29</v>
      </c>
      <c r="Q5498" s="1">
        <v>42298.753217592595</v>
      </c>
      <c r="R5498">
        <v>7</v>
      </c>
      <c r="S5498" t="s">
        <v>40</v>
      </c>
      <c r="T5498" t="s">
        <v>8765</v>
      </c>
      <c r="U5498">
        <v>515.07600000000002</v>
      </c>
      <c r="V5498" s="3">
        <v>41842</v>
      </c>
    </row>
    <row r="5499" spans="1:22" x14ac:dyDescent="0.35">
      <c r="A5499" s="1">
        <v>42298.753101851849</v>
      </c>
      <c r="B5499" s="2">
        <v>1.1574074074074073E-4</v>
      </c>
      <c r="C5499" t="s">
        <v>8762</v>
      </c>
      <c r="D5499" t="s">
        <v>35</v>
      </c>
      <c r="E5499" t="s">
        <v>36</v>
      </c>
      <c r="F5499" t="s">
        <v>8763</v>
      </c>
      <c r="G5499">
        <v>1752698</v>
      </c>
      <c r="H5499" t="s">
        <v>26</v>
      </c>
      <c r="I5499" t="s">
        <v>297</v>
      </c>
      <c r="J5499" t="str">
        <f>"9781118496701"</f>
        <v>9781118496701</v>
      </c>
      <c r="K5499" t="s">
        <v>889</v>
      </c>
      <c r="L5499">
        <v>6</v>
      </c>
      <c r="O5499" t="s">
        <v>30</v>
      </c>
      <c r="P5499" t="s">
        <v>42</v>
      </c>
      <c r="S5499" t="s">
        <v>40</v>
      </c>
      <c r="T5499" t="s">
        <v>8765</v>
      </c>
      <c r="U5499">
        <v>515.07600000000002</v>
      </c>
      <c r="V5499" s="3">
        <v>41842</v>
      </c>
    </row>
    <row r="5500" spans="1:22" x14ac:dyDescent="0.35">
      <c r="A5500" s="1">
        <v>42298.751655092594</v>
      </c>
      <c r="B5500" s="2">
        <v>7.1643518518518514E-3</v>
      </c>
      <c r="C5500" t="s">
        <v>6248</v>
      </c>
      <c r="D5500" t="s">
        <v>623</v>
      </c>
      <c r="E5500" t="s">
        <v>624</v>
      </c>
      <c r="F5500" t="s">
        <v>8768</v>
      </c>
      <c r="G5500">
        <v>1566391</v>
      </c>
      <c r="H5500" t="s">
        <v>26</v>
      </c>
      <c r="I5500" t="s">
        <v>150</v>
      </c>
      <c r="J5500" t="str">
        <f>"9781118598771"</f>
        <v>9781118598771</v>
      </c>
      <c r="K5500" t="s">
        <v>8769</v>
      </c>
      <c r="L5500">
        <v>4</v>
      </c>
      <c r="O5500" t="s">
        <v>30</v>
      </c>
      <c r="P5500" t="s">
        <v>47</v>
      </c>
      <c r="Q5500" s="1">
        <v>42298.751655092594</v>
      </c>
      <c r="R5500">
        <v>1</v>
      </c>
      <c r="S5500" t="s">
        <v>627</v>
      </c>
      <c r="T5500" t="s">
        <v>8770</v>
      </c>
      <c r="U5500">
        <v>709</v>
      </c>
      <c r="V5500" s="3">
        <v>41596</v>
      </c>
    </row>
    <row r="5501" spans="1:22" x14ac:dyDescent="0.35">
      <c r="A5501" s="1">
        <v>42298.74962962963</v>
      </c>
      <c r="B5501" s="2">
        <v>3.4317129629629628E-2</v>
      </c>
      <c r="C5501" t="s">
        <v>7774</v>
      </c>
      <c r="D5501" t="s">
        <v>23</v>
      </c>
      <c r="E5501" t="s">
        <v>24</v>
      </c>
      <c r="F5501" t="s">
        <v>1051</v>
      </c>
      <c r="G5501">
        <v>821663</v>
      </c>
      <c r="H5501" t="s">
        <v>26</v>
      </c>
      <c r="I5501" t="s">
        <v>200</v>
      </c>
      <c r="J5501" t="str">
        <f>"9781118168479"</f>
        <v>9781118168479</v>
      </c>
      <c r="K5501" t="s">
        <v>8771</v>
      </c>
      <c r="L5501">
        <v>29</v>
      </c>
      <c r="O5501" t="s">
        <v>30</v>
      </c>
      <c r="P5501" t="s">
        <v>29</v>
      </c>
      <c r="Q5501" s="1">
        <v>42298.74962962963</v>
      </c>
      <c r="R5501">
        <v>7</v>
      </c>
      <c r="S5501" t="s">
        <v>31</v>
      </c>
      <c r="T5501" t="s">
        <v>1053</v>
      </c>
      <c r="U5501">
        <v>729</v>
      </c>
      <c r="V5501" s="3">
        <v>40973</v>
      </c>
    </row>
    <row r="5502" spans="1:22" x14ac:dyDescent="0.35">
      <c r="A5502" s="1">
        <v>42298.743518518517</v>
      </c>
      <c r="B5502" s="2">
        <v>0.15416666666666667</v>
      </c>
      <c r="C5502" t="s">
        <v>5019</v>
      </c>
      <c r="D5502" t="s">
        <v>35</v>
      </c>
      <c r="E5502" t="s">
        <v>36</v>
      </c>
      <c r="F5502" t="s">
        <v>986</v>
      </c>
      <c r="G5502">
        <v>968030</v>
      </c>
      <c r="H5502" t="s">
        <v>26</v>
      </c>
      <c r="I5502" t="s">
        <v>219</v>
      </c>
      <c r="J5502" t="str">
        <f>"9781118285138"</f>
        <v>9781118285138</v>
      </c>
      <c r="K5502" t="s">
        <v>8772</v>
      </c>
      <c r="L5502">
        <v>17</v>
      </c>
      <c r="O5502" t="s">
        <v>30</v>
      </c>
      <c r="P5502" t="s">
        <v>29</v>
      </c>
      <c r="Q5502" s="1">
        <v>42298.743518518517</v>
      </c>
      <c r="R5502">
        <v>7</v>
      </c>
      <c r="S5502" t="s">
        <v>40</v>
      </c>
      <c r="T5502" t="s">
        <v>987</v>
      </c>
      <c r="U5502">
        <v>158.30000000000001</v>
      </c>
      <c r="V5502" s="3">
        <v>41100</v>
      </c>
    </row>
    <row r="5503" spans="1:22" x14ac:dyDescent="0.35">
      <c r="A5503" s="1">
        <v>42298.7424537037</v>
      </c>
      <c r="B5503" s="2">
        <v>7.1643518518518514E-3</v>
      </c>
      <c r="C5503" t="s">
        <v>7774</v>
      </c>
      <c r="D5503" t="s">
        <v>23</v>
      </c>
      <c r="E5503" t="s">
        <v>24</v>
      </c>
      <c r="F5503" t="s">
        <v>1051</v>
      </c>
      <c r="G5503">
        <v>821663</v>
      </c>
      <c r="H5503" t="s">
        <v>26</v>
      </c>
      <c r="I5503" t="s">
        <v>200</v>
      </c>
      <c r="J5503" t="str">
        <f>"9781118168479"</f>
        <v>9781118168479</v>
      </c>
      <c r="K5503" t="s">
        <v>8773</v>
      </c>
      <c r="L5503">
        <v>12</v>
      </c>
      <c r="O5503" t="s">
        <v>30</v>
      </c>
      <c r="P5503" t="s">
        <v>42</v>
      </c>
      <c r="S5503" t="s">
        <v>31</v>
      </c>
      <c r="T5503" t="s">
        <v>1053</v>
      </c>
      <c r="U5503">
        <v>729</v>
      </c>
      <c r="V5503" s="3">
        <v>40973</v>
      </c>
    </row>
    <row r="5504" spans="1:22" x14ac:dyDescent="0.35">
      <c r="A5504" s="1">
        <v>42298.73300925926</v>
      </c>
      <c r="B5504" s="2">
        <v>4.6874999999999998E-3</v>
      </c>
      <c r="C5504" t="s">
        <v>7774</v>
      </c>
      <c r="D5504" t="s">
        <v>23</v>
      </c>
      <c r="E5504" t="s">
        <v>24</v>
      </c>
      <c r="F5504" t="s">
        <v>1051</v>
      </c>
      <c r="G5504">
        <v>821663</v>
      </c>
      <c r="H5504" t="s">
        <v>26</v>
      </c>
      <c r="I5504" t="s">
        <v>200</v>
      </c>
      <c r="J5504" t="str">
        <f>"9781118168479"</f>
        <v>9781118168479</v>
      </c>
      <c r="K5504" t="s">
        <v>8774</v>
      </c>
      <c r="L5504">
        <v>12</v>
      </c>
      <c r="O5504" t="s">
        <v>30</v>
      </c>
      <c r="P5504" t="s">
        <v>42</v>
      </c>
      <c r="S5504" t="s">
        <v>31</v>
      </c>
      <c r="T5504" t="s">
        <v>1053</v>
      </c>
      <c r="U5504">
        <v>729</v>
      </c>
      <c r="V5504" s="3">
        <v>40973</v>
      </c>
    </row>
    <row r="5505" spans="1:22" x14ac:dyDescent="0.35">
      <c r="A5505" s="1">
        <v>42298.729444444441</v>
      </c>
      <c r="B5505" s="2">
        <v>2.2199074074074076E-2</v>
      </c>
      <c r="C5505" t="s">
        <v>6248</v>
      </c>
      <c r="D5505" t="s">
        <v>623</v>
      </c>
      <c r="E5505" t="s">
        <v>624</v>
      </c>
      <c r="F5505" t="s">
        <v>8768</v>
      </c>
      <c r="G5505">
        <v>1566391</v>
      </c>
      <c r="H5505" t="s">
        <v>26</v>
      </c>
      <c r="I5505" t="s">
        <v>150</v>
      </c>
      <c r="J5505" t="str">
        <f>"9781118598771"</f>
        <v>9781118598771</v>
      </c>
      <c r="K5505" t="s">
        <v>8775</v>
      </c>
      <c r="L5505">
        <v>8</v>
      </c>
      <c r="O5505" t="s">
        <v>30</v>
      </c>
      <c r="P5505" t="s">
        <v>50</v>
      </c>
      <c r="S5505" t="s">
        <v>627</v>
      </c>
      <c r="T5505" t="s">
        <v>8770</v>
      </c>
      <c r="U5505">
        <v>709</v>
      </c>
      <c r="V5505" s="3">
        <v>41596</v>
      </c>
    </row>
    <row r="5506" spans="1:22" x14ac:dyDescent="0.35">
      <c r="A5506" s="1">
        <v>42298.728136574071</v>
      </c>
      <c r="B5506" s="2">
        <v>3.2407407407407406E-4</v>
      </c>
      <c r="C5506" t="s">
        <v>2153</v>
      </c>
      <c r="D5506" t="s">
        <v>35</v>
      </c>
      <c r="E5506" t="s">
        <v>36</v>
      </c>
      <c r="F5506" t="s">
        <v>8776</v>
      </c>
      <c r="G5506">
        <v>1882157</v>
      </c>
      <c r="H5506" t="s">
        <v>26</v>
      </c>
      <c r="I5506" t="s">
        <v>8777</v>
      </c>
      <c r="J5506" t="str">
        <f>"9781118940761"</f>
        <v>9781118940761</v>
      </c>
      <c r="K5506" t="s">
        <v>8778</v>
      </c>
      <c r="L5506">
        <v>7</v>
      </c>
      <c r="O5506" t="s">
        <v>30</v>
      </c>
      <c r="P5506" t="s">
        <v>50</v>
      </c>
      <c r="S5506" t="s">
        <v>40</v>
      </c>
      <c r="T5506" t="s">
        <v>8779</v>
      </c>
      <c r="U5506">
        <v>338.91090000000003</v>
      </c>
      <c r="V5506" s="3">
        <v>41974</v>
      </c>
    </row>
    <row r="5507" spans="1:22" x14ac:dyDescent="0.35">
      <c r="A5507" s="1">
        <v>42298.723564814813</v>
      </c>
      <c r="B5507" s="2">
        <v>1.9953703703703706E-2</v>
      </c>
      <c r="C5507" t="s">
        <v>5019</v>
      </c>
      <c r="D5507" t="s">
        <v>35</v>
      </c>
      <c r="E5507" t="s">
        <v>36</v>
      </c>
      <c r="F5507" t="s">
        <v>986</v>
      </c>
      <c r="G5507">
        <v>968030</v>
      </c>
      <c r="H5507" t="s">
        <v>26</v>
      </c>
      <c r="I5507" t="s">
        <v>219</v>
      </c>
      <c r="J5507" t="str">
        <f>"9781118285138"</f>
        <v>9781118285138</v>
      </c>
      <c r="K5507" t="s">
        <v>8780</v>
      </c>
      <c r="L5507">
        <v>10</v>
      </c>
      <c r="O5507" t="s">
        <v>30</v>
      </c>
      <c r="P5507" t="s">
        <v>42</v>
      </c>
      <c r="S5507" t="s">
        <v>40</v>
      </c>
      <c r="T5507" t="s">
        <v>987</v>
      </c>
      <c r="U5507">
        <v>158.30000000000001</v>
      </c>
      <c r="V5507" s="3">
        <v>41100</v>
      </c>
    </row>
    <row r="5508" spans="1:22" x14ac:dyDescent="0.35">
      <c r="A5508" s="1">
        <v>42298.717245370368</v>
      </c>
      <c r="B5508" s="2">
        <v>1.8171296296296297E-3</v>
      </c>
      <c r="C5508" t="s">
        <v>6081</v>
      </c>
      <c r="D5508" t="s">
        <v>1222</v>
      </c>
      <c r="E5508" t="s">
        <v>1223</v>
      </c>
      <c r="F5508" t="s">
        <v>6082</v>
      </c>
      <c r="G5508">
        <v>1925073</v>
      </c>
      <c r="H5508" t="s">
        <v>91</v>
      </c>
      <c r="I5508" t="s">
        <v>69</v>
      </c>
      <c r="J5508" t="str">
        <f>"9781462521128"</f>
        <v>9781462521128</v>
      </c>
      <c r="K5508" t="s">
        <v>8781</v>
      </c>
      <c r="L5508">
        <v>54</v>
      </c>
      <c r="O5508" t="s">
        <v>30</v>
      </c>
      <c r="P5508" t="s">
        <v>29</v>
      </c>
      <c r="Q5508" s="1">
        <v>42298.186979166669</v>
      </c>
      <c r="R5508">
        <v>7</v>
      </c>
      <c r="S5508" t="s">
        <v>1226</v>
      </c>
      <c r="T5508" t="s">
        <v>6085</v>
      </c>
      <c r="U5508">
        <v>372.48</v>
      </c>
      <c r="V5508" s="3">
        <v>42178</v>
      </c>
    </row>
    <row r="5509" spans="1:22" x14ac:dyDescent="0.35">
      <c r="A5509" s="1">
        <v>42298.644988425927</v>
      </c>
      <c r="B5509" s="2">
        <v>1.3310185185185185E-3</v>
      </c>
      <c r="C5509" t="s">
        <v>8782</v>
      </c>
      <c r="D5509" t="s">
        <v>623</v>
      </c>
      <c r="E5509" t="s">
        <v>624</v>
      </c>
      <c r="F5509" t="s">
        <v>3013</v>
      </c>
      <c r="G5509">
        <v>1126720</v>
      </c>
      <c r="H5509" t="s">
        <v>139</v>
      </c>
      <c r="I5509" t="s">
        <v>1211</v>
      </c>
      <c r="J5509" t="str">
        <f>"9780814724460"</f>
        <v>9780814724460</v>
      </c>
      <c r="K5509" t="s">
        <v>8783</v>
      </c>
      <c r="L5509">
        <v>15</v>
      </c>
      <c r="O5509" t="s">
        <v>30</v>
      </c>
      <c r="P5509" t="s">
        <v>50</v>
      </c>
      <c r="S5509" t="s">
        <v>627</v>
      </c>
      <c r="T5509" t="s">
        <v>3015</v>
      </c>
      <c r="U5509" t="s">
        <v>3016</v>
      </c>
      <c r="V5509" s="3">
        <v>41351</v>
      </c>
    </row>
    <row r="5510" spans="1:22" x14ac:dyDescent="0.35">
      <c r="A5510" s="1">
        <v>42298.628067129626</v>
      </c>
      <c r="B5510" s="2">
        <v>2.8935185185185189E-4</v>
      </c>
      <c r="C5510" t="s">
        <v>8784</v>
      </c>
      <c r="D5510" t="s">
        <v>35</v>
      </c>
      <c r="E5510" t="s">
        <v>36</v>
      </c>
      <c r="F5510" t="s">
        <v>8785</v>
      </c>
      <c r="G5510">
        <v>1969440</v>
      </c>
      <c r="H5510" t="s">
        <v>45</v>
      </c>
      <c r="I5510" t="s">
        <v>348</v>
      </c>
      <c r="J5510" t="str">
        <f>"9781472414298"</f>
        <v>9781472414298</v>
      </c>
      <c r="K5510" t="s">
        <v>8786</v>
      </c>
      <c r="L5510">
        <v>9</v>
      </c>
      <c r="O5510" t="s">
        <v>30</v>
      </c>
      <c r="P5510" t="s">
        <v>50</v>
      </c>
      <c r="S5510" t="s">
        <v>40</v>
      </c>
      <c r="T5510" t="s">
        <v>8787</v>
      </c>
      <c r="U5510">
        <v>327.41000000000003</v>
      </c>
      <c r="V5510" s="3">
        <v>42091</v>
      </c>
    </row>
    <row r="5511" spans="1:22" x14ac:dyDescent="0.35">
      <c r="A5511" s="1">
        <v>42298.624178240738</v>
      </c>
      <c r="B5511" s="2">
        <v>1.5393518518518519E-3</v>
      </c>
      <c r="C5511" t="s">
        <v>8788</v>
      </c>
      <c r="D5511" t="s">
        <v>261</v>
      </c>
      <c r="E5511" t="s">
        <v>262</v>
      </c>
      <c r="F5511" t="s">
        <v>8789</v>
      </c>
      <c r="G5511">
        <v>1815569</v>
      </c>
      <c r="H5511" t="s">
        <v>45</v>
      </c>
      <c r="I5511" t="s">
        <v>578</v>
      </c>
      <c r="J5511" t="str">
        <f>"9781472413536"</f>
        <v>9781472413536</v>
      </c>
      <c r="K5511" t="s">
        <v>8790</v>
      </c>
      <c r="L5511">
        <v>5</v>
      </c>
      <c r="O5511" t="s">
        <v>30</v>
      </c>
      <c r="P5511" t="s">
        <v>47</v>
      </c>
      <c r="Q5511" s="1">
        <v>42298.624166666668</v>
      </c>
      <c r="R5511">
        <v>1</v>
      </c>
      <c r="S5511" t="s">
        <v>264</v>
      </c>
      <c r="T5511" t="s">
        <v>8791</v>
      </c>
      <c r="U5511">
        <v>320.60000000000002</v>
      </c>
      <c r="V5511" s="3">
        <v>42001</v>
      </c>
    </row>
    <row r="5512" spans="1:22" x14ac:dyDescent="0.35">
      <c r="A5512" s="1">
        <v>42298.620069444441</v>
      </c>
      <c r="B5512" s="2">
        <v>4.0972222222222226E-3</v>
      </c>
      <c r="C5512" t="s">
        <v>8788</v>
      </c>
      <c r="D5512" t="s">
        <v>261</v>
      </c>
      <c r="E5512" t="s">
        <v>262</v>
      </c>
      <c r="F5512" t="s">
        <v>8789</v>
      </c>
      <c r="G5512">
        <v>1815569</v>
      </c>
      <c r="H5512" t="s">
        <v>45</v>
      </c>
      <c r="I5512" t="s">
        <v>578</v>
      </c>
      <c r="J5512" t="str">
        <f>"9781472413536"</f>
        <v>9781472413536</v>
      </c>
      <c r="K5512" t="s">
        <v>8792</v>
      </c>
      <c r="L5512">
        <v>26</v>
      </c>
      <c r="O5512" t="s">
        <v>30</v>
      </c>
      <c r="P5512" t="s">
        <v>50</v>
      </c>
      <c r="S5512" t="s">
        <v>264</v>
      </c>
      <c r="T5512" t="s">
        <v>8791</v>
      </c>
      <c r="U5512">
        <v>320.60000000000002</v>
      </c>
      <c r="V5512" s="3">
        <v>42001</v>
      </c>
    </row>
    <row r="5513" spans="1:22" x14ac:dyDescent="0.35">
      <c r="A5513" s="1">
        <v>42298.584328703706</v>
      </c>
      <c r="B5513" s="2">
        <v>8.3333333333333339E-4</v>
      </c>
      <c r="C5513" t="s">
        <v>106</v>
      </c>
      <c r="D5513" t="s">
        <v>23</v>
      </c>
      <c r="E5513" t="s">
        <v>24</v>
      </c>
      <c r="F5513" t="s">
        <v>8793</v>
      </c>
      <c r="G5513">
        <v>1825718</v>
      </c>
      <c r="H5513" t="s">
        <v>45</v>
      </c>
      <c r="I5513" t="s">
        <v>6498</v>
      </c>
      <c r="J5513" t="str">
        <f>"9781409424086"</f>
        <v>9781409424086</v>
      </c>
      <c r="K5513" t="s">
        <v>8794</v>
      </c>
      <c r="L5513">
        <v>23</v>
      </c>
      <c r="O5513" t="s">
        <v>30</v>
      </c>
      <c r="P5513" t="s">
        <v>50</v>
      </c>
      <c r="S5513" t="s">
        <v>31</v>
      </c>
      <c r="T5513" t="s">
        <v>8795</v>
      </c>
      <c r="U5513" t="s">
        <v>8796</v>
      </c>
      <c r="V5513" s="3">
        <v>42001</v>
      </c>
    </row>
    <row r="5514" spans="1:22" x14ac:dyDescent="0.35">
      <c r="A5514" s="1">
        <v>42298.576990740738</v>
      </c>
      <c r="B5514" s="2">
        <v>1.0532407407407407E-3</v>
      </c>
      <c r="C5514" t="s">
        <v>106</v>
      </c>
      <c r="D5514" t="s">
        <v>23</v>
      </c>
      <c r="E5514" t="s">
        <v>24</v>
      </c>
      <c r="F5514" t="s">
        <v>8797</v>
      </c>
      <c r="G5514">
        <v>1173654</v>
      </c>
      <c r="H5514" t="s">
        <v>186</v>
      </c>
      <c r="I5514" t="s">
        <v>8798</v>
      </c>
      <c r="J5514" t="str">
        <f>"9781780642307"</f>
        <v>9781780642307</v>
      </c>
      <c r="K5514" t="s">
        <v>8799</v>
      </c>
      <c r="L5514">
        <v>22</v>
      </c>
      <c r="O5514" t="s">
        <v>30</v>
      </c>
      <c r="P5514" t="s">
        <v>50</v>
      </c>
      <c r="S5514" t="s">
        <v>31</v>
      </c>
      <c r="T5514" t="s">
        <v>8800</v>
      </c>
      <c r="U5514" t="s">
        <v>8801</v>
      </c>
      <c r="V5514" s="3">
        <v>41275</v>
      </c>
    </row>
    <row r="5515" spans="1:22" x14ac:dyDescent="0.35">
      <c r="A5515" s="1">
        <v>42298.568437499998</v>
      </c>
      <c r="B5515" s="2">
        <v>0</v>
      </c>
      <c r="C5515" t="s">
        <v>1098</v>
      </c>
      <c r="D5515" t="s">
        <v>360</v>
      </c>
      <c r="E5515" t="s">
        <v>361</v>
      </c>
      <c r="F5515" t="s">
        <v>1099</v>
      </c>
      <c r="G5515">
        <v>1636080</v>
      </c>
      <c r="H5515" t="s">
        <v>1100</v>
      </c>
      <c r="I5515" t="s">
        <v>276</v>
      </c>
      <c r="J5515" t="str">
        <f>"9781118600702"</f>
        <v>9781118600702</v>
      </c>
      <c r="L5515">
        <v>0</v>
      </c>
      <c r="O5515" t="s">
        <v>28</v>
      </c>
      <c r="P5515" t="s">
        <v>29</v>
      </c>
      <c r="Q5515" s="1">
        <v>42298.560312499998</v>
      </c>
      <c r="R5515">
        <v>7</v>
      </c>
      <c r="S5515" t="s">
        <v>363</v>
      </c>
      <c r="T5515" t="s">
        <v>1102</v>
      </c>
      <c r="U5515">
        <v>6.7519999999999998</v>
      </c>
      <c r="V5515" s="3">
        <v>41701</v>
      </c>
    </row>
    <row r="5516" spans="1:22" x14ac:dyDescent="0.35">
      <c r="A5516" s="1">
        <v>42298.568356481483</v>
      </c>
      <c r="B5516" s="2">
        <v>5.7870370370370366E-5</v>
      </c>
      <c r="C5516" t="s">
        <v>1098</v>
      </c>
      <c r="D5516" t="s">
        <v>360</v>
      </c>
      <c r="E5516" t="s">
        <v>361</v>
      </c>
      <c r="F5516" t="s">
        <v>1099</v>
      </c>
      <c r="G5516">
        <v>1636080</v>
      </c>
      <c r="H5516" t="s">
        <v>1100</v>
      </c>
      <c r="I5516" t="s">
        <v>276</v>
      </c>
      <c r="J5516" t="str">
        <f>"9781118600702"</f>
        <v>9781118600702</v>
      </c>
      <c r="K5516" t="s">
        <v>7111</v>
      </c>
      <c r="L5516">
        <v>3</v>
      </c>
      <c r="O5516" t="s">
        <v>30</v>
      </c>
      <c r="P5516" t="s">
        <v>29</v>
      </c>
      <c r="Q5516" s="1">
        <v>42298.560312499998</v>
      </c>
      <c r="R5516">
        <v>7</v>
      </c>
      <c r="S5516" t="s">
        <v>363</v>
      </c>
      <c r="T5516" t="s">
        <v>1102</v>
      </c>
      <c r="U5516">
        <v>6.7519999999999998</v>
      </c>
      <c r="V5516" s="3">
        <v>41701</v>
      </c>
    </row>
    <row r="5517" spans="1:22" x14ac:dyDescent="0.35">
      <c r="A5517" s="1">
        <v>42298.568344907406</v>
      </c>
      <c r="B5517" s="2">
        <v>0</v>
      </c>
      <c r="C5517" t="s">
        <v>1098</v>
      </c>
      <c r="D5517" t="s">
        <v>360</v>
      </c>
      <c r="E5517" t="s">
        <v>361</v>
      </c>
      <c r="F5517" t="s">
        <v>1099</v>
      </c>
      <c r="G5517">
        <v>1636080</v>
      </c>
      <c r="H5517" t="s">
        <v>1100</v>
      </c>
      <c r="I5517" t="s">
        <v>276</v>
      </c>
      <c r="J5517" t="str">
        <f>"9781118600702"</f>
        <v>9781118600702</v>
      </c>
      <c r="L5517">
        <v>0</v>
      </c>
      <c r="O5517" t="s">
        <v>30</v>
      </c>
      <c r="P5517" t="s">
        <v>29</v>
      </c>
      <c r="Q5517" s="1">
        <v>42298.560312499998</v>
      </c>
      <c r="R5517">
        <v>7</v>
      </c>
      <c r="S5517" t="s">
        <v>363</v>
      </c>
      <c r="T5517" t="s">
        <v>1102</v>
      </c>
      <c r="U5517">
        <v>6.7519999999999998</v>
      </c>
      <c r="V5517" s="3">
        <v>41701</v>
      </c>
    </row>
    <row r="5518" spans="1:22" x14ac:dyDescent="0.35">
      <c r="A5518" s="1">
        <v>42298.568333333336</v>
      </c>
      <c r="B5518" s="2">
        <v>0</v>
      </c>
      <c r="C5518" t="s">
        <v>1098</v>
      </c>
      <c r="D5518" t="s">
        <v>360</v>
      </c>
      <c r="E5518" t="s">
        <v>361</v>
      </c>
      <c r="F5518" t="s">
        <v>1099</v>
      </c>
      <c r="G5518">
        <v>1636080</v>
      </c>
      <c r="H5518" t="s">
        <v>1100</v>
      </c>
      <c r="I5518" t="s">
        <v>276</v>
      </c>
      <c r="J5518" t="str">
        <f>"9781118600702"</f>
        <v>9781118600702</v>
      </c>
      <c r="L5518">
        <v>0</v>
      </c>
      <c r="O5518" t="s">
        <v>30</v>
      </c>
      <c r="P5518" t="s">
        <v>29</v>
      </c>
      <c r="Q5518" s="1">
        <v>42298.560312499998</v>
      </c>
      <c r="R5518">
        <v>7</v>
      </c>
      <c r="S5518" t="s">
        <v>363</v>
      </c>
      <c r="T5518" t="s">
        <v>1102</v>
      </c>
      <c r="U5518">
        <v>6.7519999999999998</v>
      </c>
      <c r="V5518" s="3">
        <v>41701</v>
      </c>
    </row>
    <row r="5519" spans="1:22" x14ac:dyDescent="0.35">
      <c r="A5519" s="1">
        <v>42298.567731481482</v>
      </c>
      <c r="B5519" s="2">
        <v>5.0925925925925921E-4</v>
      </c>
      <c r="C5519" t="s">
        <v>1098</v>
      </c>
      <c r="D5519" t="s">
        <v>360</v>
      </c>
      <c r="E5519" t="s">
        <v>361</v>
      </c>
      <c r="F5519" t="s">
        <v>8802</v>
      </c>
      <c r="G5519">
        <v>1895305</v>
      </c>
      <c r="H5519" t="s">
        <v>26</v>
      </c>
      <c r="I5519" t="s">
        <v>276</v>
      </c>
      <c r="J5519" t="str">
        <f>"9781119047650"</f>
        <v>9781119047650</v>
      </c>
      <c r="K5519" t="s">
        <v>8803</v>
      </c>
      <c r="L5519">
        <v>2</v>
      </c>
      <c r="O5519" t="s">
        <v>28</v>
      </c>
      <c r="P5519" t="s">
        <v>29</v>
      </c>
      <c r="Q5519" s="1">
        <v>42294.183495370373</v>
      </c>
      <c r="R5519">
        <v>7</v>
      </c>
      <c r="S5519" t="s">
        <v>363</v>
      </c>
      <c r="T5519" t="s">
        <v>8804</v>
      </c>
      <c r="U5519">
        <v>6.7519999999999998</v>
      </c>
      <c r="V5519" s="3">
        <v>42151</v>
      </c>
    </row>
    <row r="5520" spans="1:22" x14ac:dyDescent="0.35">
      <c r="A5520" s="1">
        <v>42298.567569444444</v>
      </c>
      <c r="B5520" s="2">
        <v>4.6296296296296294E-5</v>
      </c>
      <c r="C5520" t="s">
        <v>1098</v>
      </c>
      <c r="D5520" t="s">
        <v>360</v>
      </c>
      <c r="E5520" t="s">
        <v>361</v>
      </c>
      <c r="F5520" t="s">
        <v>8802</v>
      </c>
      <c r="G5520">
        <v>1895305</v>
      </c>
      <c r="H5520" t="s">
        <v>26</v>
      </c>
      <c r="I5520" t="s">
        <v>276</v>
      </c>
      <c r="J5520" t="str">
        <f>"9781119047650"</f>
        <v>9781119047650</v>
      </c>
      <c r="K5520" t="s">
        <v>7982</v>
      </c>
      <c r="L5520">
        <v>3</v>
      </c>
      <c r="O5520" t="s">
        <v>30</v>
      </c>
      <c r="P5520" t="s">
        <v>29</v>
      </c>
      <c r="Q5520" s="1">
        <v>42294.183495370373</v>
      </c>
      <c r="R5520">
        <v>7</v>
      </c>
      <c r="S5520" t="s">
        <v>363</v>
      </c>
      <c r="T5520" t="s">
        <v>8804</v>
      </c>
      <c r="U5520">
        <v>6.7519999999999998</v>
      </c>
      <c r="V5520" s="3">
        <v>42151</v>
      </c>
    </row>
    <row r="5521" spans="1:22" x14ac:dyDescent="0.35">
      <c r="A5521" s="1">
        <v>42298.560312499998</v>
      </c>
      <c r="B5521" s="2">
        <v>0</v>
      </c>
      <c r="C5521" t="s">
        <v>1098</v>
      </c>
      <c r="D5521" t="s">
        <v>360</v>
      </c>
      <c r="E5521" t="s">
        <v>361</v>
      </c>
      <c r="F5521" t="s">
        <v>1099</v>
      </c>
      <c r="G5521">
        <v>1636080</v>
      </c>
      <c r="H5521" t="s">
        <v>1100</v>
      </c>
      <c r="I5521" t="s">
        <v>276</v>
      </c>
      <c r="J5521" t="str">
        <f>"9781118600702"</f>
        <v>9781118600702</v>
      </c>
      <c r="L5521">
        <v>0</v>
      </c>
      <c r="O5521" t="s">
        <v>28</v>
      </c>
      <c r="P5521" t="s">
        <v>29</v>
      </c>
      <c r="Q5521" s="1">
        <v>42298.560312499998</v>
      </c>
      <c r="R5521">
        <v>7</v>
      </c>
      <c r="S5521" t="s">
        <v>363</v>
      </c>
      <c r="T5521" t="s">
        <v>1102</v>
      </c>
      <c r="U5521">
        <v>6.7519999999999998</v>
      </c>
      <c r="V5521" s="3">
        <v>41701</v>
      </c>
    </row>
    <row r="5522" spans="1:22" x14ac:dyDescent="0.35">
      <c r="A5522" s="1">
        <v>42298.560312499998</v>
      </c>
      <c r="B5522" s="2">
        <v>0</v>
      </c>
      <c r="C5522" t="s">
        <v>1098</v>
      </c>
      <c r="D5522" t="s">
        <v>360</v>
      </c>
      <c r="E5522" t="s">
        <v>361</v>
      </c>
      <c r="F5522" t="s">
        <v>1099</v>
      </c>
      <c r="G5522">
        <v>1636080</v>
      </c>
      <c r="H5522" t="s">
        <v>1100</v>
      </c>
      <c r="I5522" t="s">
        <v>276</v>
      </c>
      <c r="J5522" t="str">
        <f>"9781118600702"</f>
        <v>9781118600702</v>
      </c>
      <c r="L5522">
        <v>0</v>
      </c>
      <c r="O5522" t="s">
        <v>30</v>
      </c>
      <c r="P5522" t="s">
        <v>29</v>
      </c>
      <c r="Q5522" s="1">
        <v>42298.560312499998</v>
      </c>
      <c r="R5522">
        <v>7</v>
      </c>
      <c r="S5522" t="s">
        <v>363</v>
      </c>
      <c r="T5522" t="s">
        <v>1102</v>
      </c>
      <c r="U5522">
        <v>6.7519999999999998</v>
      </c>
      <c r="V5522" s="3">
        <v>41701</v>
      </c>
    </row>
    <row r="5523" spans="1:22" x14ac:dyDescent="0.35">
      <c r="A5523" s="1">
        <v>42298.560150462959</v>
      </c>
      <c r="B5523" s="2">
        <v>1.6203703703703703E-4</v>
      </c>
      <c r="C5523" t="s">
        <v>1098</v>
      </c>
      <c r="D5523" t="s">
        <v>360</v>
      </c>
      <c r="E5523" t="s">
        <v>361</v>
      </c>
      <c r="F5523" t="s">
        <v>1099</v>
      </c>
      <c r="G5523">
        <v>1636080</v>
      </c>
      <c r="H5523" t="s">
        <v>1100</v>
      </c>
      <c r="I5523" t="s">
        <v>276</v>
      </c>
      <c r="J5523" t="str">
        <f>"9781118600702"</f>
        <v>9781118600702</v>
      </c>
      <c r="K5523" t="s">
        <v>33</v>
      </c>
      <c r="L5523">
        <v>3</v>
      </c>
      <c r="O5523" t="s">
        <v>30</v>
      </c>
      <c r="P5523" t="s">
        <v>42</v>
      </c>
      <c r="S5523" t="s">
        <v>363</v>
      </c>
      <c r="T5523" t="s">
        <v>1102</v>
      </c>
      <c r="U5523">
        <v>6.7519999999999998</v>
      </c>
      <c r="V5523" s="3">
        <v>41701</v>
      </c>
    </row>
    <row r="5524" spans="1:22" x14ac:dyDescent="0.35">
      <c r="A5524" s="1">
        <v>42298.552685185183</v>
      </c>
      <c r="B5524" s="2">
        <v>1.3425925925925925E-3</v>
      </c>
      <c r="C5524" t="s">
        <v>8729</v>
      </c>
      <c r="D5524" t="s">
        <v>335</v>
      </c>
      <c r="E5524" t="s">
        <v>336</v>
      </c>
      <c r="F5524" t="s">
        <v>515</v>
      </c>
      <c r="G5524">
        <v>1757960</v>
      </c>
      <c r="H5524" t="s">
        <v>26</v>
      </c>
      <c r="I5524" t="s">
        <v>247</v>
      </c>
      <c r="J5524" t="str">
        <f>"9781118780770"</f>
        <v>9781118780770</v>
      </c>
      <c r="K5524" t="s">
        <v>443</v>
      </c>
      <c r="L5524">
        <v>19</v>
      </c>
      <c r="O5524" t="s">
        <v>30</v>
      </c>
      <c r="P5524" t="s">
        <v>42</v>
      </c>
      <c r="S5524" t="s">
        <v>340</v>
      </c>
      <c r="T5524" t="s">
        <v>517</v>
      </c>
      <c r="U5524" t="s">
        <v>518</v>
      </c>
      <c r="V5524" s="3">
        <v>41850</v>
      </c>
    </row>
    <row r="5525" spans="1:22" x14ac:dyDescent="0.35">
      <c r="A5525" s="1">
        <v>42298.551307870373</v>
      </c>
      <c r="B5525" s="2">
        <v>1.273148148148148E-4</v>
      </c>
      <c r="C5525" t="s">
        <v>8805</v>
      </c>
      <c r="D5525" t="s">
        <v>335</v>
      </c>
      <c r="E5525" t="s">
        <v>336</v>
      </c>
      <c r="F5525" t="s">
        <v>8806</v>
      </c>
      <c r="G5525">
        <v>1747361</v>
      </c>
      <c r="H5525" t="s">
        <v>139</v>
      </c>
      <c r="I5525" t="s">
        <v>1211</v>
      </c>
      <c r="J5525" t="str">
        <f>"9780814789254"</f>
        <v>9780814789254</v>
      </c>
      <c r="K5525" t="s">
        <v>8807</v>
      </c>
      <c r="L5525">
        <v>10</v>
      </c>
      <c r="O5525" t="s">
        <v>30</v>
      </c>
      <c r="P5525" t="s">
        <v>42</v>
      </c>
      <c r="S5525" t="s">
        <v>340</v>
      </c>
      <c r="T5525" t="s">
        <v>8808</v>
      </c>
      <c r="U5525" t="s">
        <v>8809</v>
      </c>
      <c r="V5525" s="3">
        <v>41880</v>
      </c>
    </row>
    <row r="5526" spans="1:22" x14ac:dyDescent="0.35">
      <c r="A5526" s="1">
        <v>42298.513749999998</v>
      </c>
      <c r="B5526" s="2">
        <v>9.7453703703703713E-3</v>
      </c>
      <c r="C5526" t="s">
        <v>7710</v>
      </c>
      <c r="D5526" t="s">
        <v>35</v>
      </c>
      <c r="E5526" t="s">
        <v>36</v>
      </c>
      <c r="F5526" t="s">
        <v>7711</v>
      </c>
      <c r="G5526">
        <v>1171793</v>
      </c>
      <c r="H5526" t="s">
        <v>26</v>
      </c>
      <c r="I5526" t="s">
        <v>120</v>
      </c>
      <c r="J5526" t="str">
        <f>"9780745676654"</f>
        <v>9780745676654</v>
      </c>
      <c r="K5526" t="s">
        <v>8810</v>
      </c>
      <c r="L5526">
        <v>24</v>
      </c>
      <c r="O5526" t="s">
        <v>30</v>
      </c>
      <c r="P5526" t="s">
        <v>29</v>
      </c>
      <c r="Q5526" s="1">
        <v>42298.513749999998</v>
      </c>
      <c r="R5526">
        <v>7</v>
      </c>
      <c r="S5526" t="s">
        <v>40</v>
      </c>
      <c r="T5526" t="s">
        <v>7713</v>
      </c>
      <c r="U5526">
        <v>307.76</v>
      </c>
      <c r="V5526" s="3">
        <v>41506</v>
      </c>
    </row>
    <row r="5527" spans="1:22" x14ac:dyDescent="0.35">
      <c r="A5527" s="1">
        <v>42298.507372685184</v>
      </c>
      <c r="B5527" s="2">
        <v>6.3773148148148148E-3</v>
      </c>
      <c r="C5527" t="s">
        <v>7710</v>
      </c>
      <c r="D5527" t="s">
        <v>35</v>
      </c>
      <c r="E5527" t="s">
        <v>36</v>
      </c>
      <c r="F5527" t="s">
        <v>7711</v>
      </c>
      <c r="G5527">
        <v>1171793</v>
      </c>
      <c r="H5527" t="s">
        <v>26</v>
      </c>
      <c r="I5527" t="s">
        <v>120</v>
      </c>
      <c r="J5527" t="str">
        <f>"9780745676654"</f>
        <v>9780745676654</v>
      </c>
      <c r="K5527" t="s">
        <v>8811</v>
      </c>
      <c r="L5527">
        <v>29</v>
      </c>
      <c r="O5527" t="s">
        <v>30</v>
      </c>
      <c r="P5527" t="s">
        <v>50</v>
      </c>
      <c r="S5527" t="s">
        <v>40</v>
      </c>
      <c r="T5527" t="s">
        <v>7713</v>
      </c>
      <c r="U5527">
        <v>307.76</v>
      </c>
      <c r="V5527" s="3">
        <v>41506</v>
      </c>
    </row>
    <row r="5528" spans="1:22" x14ac:dyDescent="0.35">
      <c r="A5528" s="1">
        <v>42298.186979166669</v>
      </c>
      <c r="B5528" s="2">
        <v>2.199074074074074E-4</v>
      </c>
      <c r="C5528" t="s">
        <v>6081</v>
      </c>
      <c r="D5528" t="s">
        <v>1222</v>
      </c>
      <c r="E5528" t="s">
        <v>1223</v>
      </c>
      <c r="F5528" t="s">
        <v>6082</v>
      </c>
      <c r="G5528">
        <v>1925073</v>
      </c>
      <c r="H5528" t="s">
        <v>91</v>
      </c>
      <c r="I5528" t="s">
        <v>69</v>
      </c>
      <c r="J5528" t="str">
        <f>"9781462521128"</f>
        <v>9781462521128</v>
      </c>
      <c r="K5528" t="s">
        <v>8812</v>
      </c>
      <c r="L5528">
        <v>5</v>
      </c>
      <c r="O5528" t="s">
        <v>30</v>
      </c>
      <c r="P5528" t="s">
        <v>29</v>
      </c>
      <c r="Q5528" s="1">
        <v>42298.186979166669</v>
      </c>
      <c r="R5528">
        <v>7</v>
      </c>
      <c r="S5528" t="s">
        <v>1226</v>
      </c>
      <c r="T5528" t="s">
        <v>6085</v>
      </c>
      <c r="U5528">
        <v>372.48</v>
      </c>
      <c r="V5528" s="3">
        <v>42178</v>
      </c>
    </row>
    <row r="5529" spans="1:22" x14ac:dyDescent="0.35">
      <c r="A5529" s="1">
        <v>42298.185636574075</v>
      </c>
      <c r="B5529" s="2">
        <v>7.9861111111111105E-4</v>
      </c>
      <c r="C5529" t="s">
        <v>8813</v>
      </c>
      <c r="D5529" t="s">
        <v>35</v>
      </c>
      <c r="E5529" t="s">
        <v>36</v>
      </c>
      <c r="F5529" t="s">
        <v>3268</v>
      </c>
      <c r="G5529">
        <v>1645679</v>
      </c>
      <c r="H5529" t="s">
        <v>45</v>
      </c>
      <c r="I5529" t="s">
        <v>2879</v>
      </c>
      <c r="J5529" t="str">
        <f>"9781472413079"</f>
        <v>9781472413079</v>
      </c>
      <c r="K5529" t="s">
        <v>1203</v>
      </c>
      <c r="L5529">
        <v>17</v>
      </c>
      <c r="O5529" t="s">
        <v>30</v>
      </c>
      <c r="P5529" t="s">
        <v>42</v>
      </c>
      <c r="S5529" t="s">
        <v>40</v>
      </c>
      <c r="T5529" t="s">
        <v>3269</v>
      </c>
      <c r="U5529" t="s">
        <v>3270</v>
      </c>
      <c r="V5529" s="3">
        <v>41726</v>
      </c>
    </row>
    <row r="5530" spans="1:22" x14ac:dyDescent="0.35">
      <c r="A5530" s="1">
        <v>42298.184861111113</v>
      </c>
      <c r="B5530" s="2">
        <v>8.2175925925925917E-4</v>
      </c>
      <c r="C5530" t="s">
        <v>8354</v>
      </c>
      <c r="D5530" t="s">
        <v>1222</v>
      </c>
      <c r="E5530" t="s">
        <v>1223</v>
      </c>
      <c r="F5530" t="s">
        <v>3449</v>
      </c>
      <c r="G5530">
        <v>1809344</v>
      </c>
      <c r="H5530" t="s">
        <v>1474</v>
      </c>
      <c r="I5530" t="s">
        <v>120</v>
      </c>
      <c r="J5530" t="str">
        <f>"9781137356192"</f>
        <v>9781137356192</v>
      </c>
      <c r="K5530" t="s">
        <v>8814</v>
      </c>
      <c r="L5530">
        <v>9</v>
      </c>
      <c r="O5530" t="s">
        <v>30</v>
      </c>
      <c r="P5530" t="s">
        <v>42</v>
      </c>
      <c r="S5530" t="s">
        <v>1226</v>
      </c>
      <c r="T5530" t="s">
        <v>3451</v>
      </c>
      <c r="U5530">
        <v>364.4</v>
      </c>
      <c r="V5530" s="3">
        <v>41915</v>
      </c>
    </row>
    <row r="5531" spans="1:22" x14ac:dyDescent="0.35">
      <c r="A5531" s="1">
        <v>42298.180949074071</v>
      </c>
      <c r="B5531" s="2">
        <v>6.030092592592593E-3</v>
      </c>
      <c r="C5531" t="s">
        <v>6081</v>
      </c>
      <c r="D5531" t="s">
        <v>1222</v>
      </c>
      <c r="E5531" t="s">
        <v>1223</v>
      </c>
      <c r="F5531" t="s">
        <v>6082</v>
      </c>
      <c r="G5531">
        <v>1925073</v>
      </c>
      <c r="H5531" t="s">
        <v>91</v>
      </c>
      <c r="I5531" t="s">
        <v>69</v>
      </c>
      <c r="J5531" t="str">
        <f>"9781462521128"</f>
        <v>9781462521128</v>
      </c>
      <c r="K5531" t="s">
        <v>8815</v>
      </c>
      <c r="L5531">
        <v>28</v>
      </c>
      <c r="O5531" t="s">
        <v>30</v>
      </c>
      <c r="P5531" t="s">
        <v>50</v>
      </c>
      <c r="S5531" t="s">
        <v>1226</v>
      </c>
      <c r="T5531" t="s">
        <v>6085</v>
      </c>
      <c r="U5531">
        <v>372.48</v>
      </c>
      <c r="V5531" s="3">
        <v>42178</v>
      </c>
    </row>
    <row r="5532" spans="1:22" x14ac:dyDescent="0.35">
      <c r="A5532" s="1">
        <v>42298.175937499997</v>
      </c>
      <c r="B5532" s="2">
        <v>0.1055787037037037</v>
      </c>
      <c r="C5532" t="s">
        <v>106</v>
      </c>
      <c r="D5532" t="s">
        <v>23</v>
      </c>
      <c r="E5532" t="s">
        <v>24</v>
      </c>
      <c r="F5532" t="s">
        <v>3060</v>
      </c>
      <c r="G5532">
        <v>1120279</v>
      </c>
      <c r="H5532" t="s">
        <v>26</v>
      </c>
      <c r="I5532" t="s">
        <v>3061</v>
      </c>
      <c r="J5532" t="str">
        <f>"9781118537671"</f>
        <v>9781118537671</v>
      </c>
      <c r="K5532" t="s">
        <v>8816</v>
      </c>
      <c r="L5532">
        <v>20</v>
      </c>
      <c r="O5532" t="s">
        <v>30</v>
      </c>
      <c r="P5532" t="s">
        <v>29</v>
      </c>
      <c r="Q5532" s="1">
        <v>42298.175925925927</v>
      </c>
      <c r="R5532">
        <v>7</v>
      </c>
      <c r="S5532" t="s">
        <v>31</v>
      </c>
      <c r="T5532" t="s">
        <v>3063</v>
      </c>
      <c r="U5532">
        <v>599.93499999999995</v>
      </c>
      <c r="V5532" s="3">
        <v>41232</v>
      </c>
    </row>
    <row r="5533" spans="1:22" x14ac:dyDescent="0.35">
      <c r="A5533" s="1">
        <v>42298.168958333335</v>
      </c>
      <c r="B5533" s="2">
        <v>6.9675925925925921E-3</v>
      </c>
      <c r="C5533" t="s">
        <v>106</v>
      </c>
      <c r="D5533" t="s">
        <v>23</v>
      </c>
      <c r="E5533" t="s">
        <v>24</v>
      </c>
      <c r="F5533" t="s">
        <v>3060</v>
      </c>
      <c r="G5533">
        <v>1120279</v>
      </c>
      <c r="H5533" t="s">
        <v>26</v>
      </c>
      <c r="I5533" t="s">
        <v>3061</v>
      </c>
      <c r="J5533" t="str">
        <f>"9781118537671"</f>
        <v>9781118537671</v>
      </c>
      <c r="K5533" t="s">
        <v>8817</v>
      </c>
      <c r="L5533">
        <v>9</v>
      </c>
      <c r="O5533" t="s">
        <v>30</v>
      </c>
      <c r="P5533" t="s">
        <v>42</v>
      </c>
      <c r="S5533" t="s">
        <v>31</v>
      </c>
      <c r="T5533" t="s">
        <v>3063</v>
      </c>
      <c r="U5533">
        <v>599.93499999999995</v>
      </c>
      <c r="V5533" s="3">
        <v>41232</v>
      </c>
    </row>
    <row r="5534" spans="1:22" x14ac:dyDescent="0.35">
      <c r="A5534" s="1">
        <v>42298.165752314817</v>
      </c>
      <c r="B5534" s="2">
        <v>6.134259259259259E-4</v>
      </c>
      <c r="C5534" t="s">
        <v>8818</v>
      </c>
      <c r="D5534" t="s">
        <v>35</v>
      </c>
      <c r="E5534" t="s">
        <v>36</v>
      </c>
      <c r="F5534" t="s">
        <v>5171</v>
      </c>
      <c r="G5534">
        <v>1657766</v>
      </c>
      <c r="H5534" t="s">
        <v>139</v>
      </c>
      <c r="I5534" t="s">
        <v>120</v>
      </c>
      <c r="J5534" t="str">
        <f>"9781479863402"</f>
        <v>9781479863402</v>
      </c>
      <c r="K5534" t="s">
        <v>8819</v>
      </c>
      <c r="L5534">
        <v>12</v>
      </c>
      <c r="O5534" t="s">
        <v>30</v>
      </c>
      <c r="P5534" t="s">
        <v>29</v>
      </c>
      <c r="Q5534" s="1">
        <v>42298.165752314817</v>
      </c>
      <c r="R5534">
        <v>7</v>
      </c>
      <c r="S5534" t="s">
        <v>40</v>
      </c>
      <c r="T5534" t="s">
        <v>5173</v>
      </c>
      <c r="U5534">
        <v>364.360973</v>
      </c>
      <c r="V5534" s="3">
        <v>41761</v>
      </c>
    </row>
    <row r="5535" spans="1:22" x14ac:dyDescent="0.35">
      <c r="A5535" s="1">
        <v>42298.158032407409</v>
      </c>
      <c r="B5535" s="2">
        <v>7.719907407407408E-3</v>
      </c>
      <c r="C5535" t="s">
        <v>8818</v>
      </c>
      <c r="D5535" t="s">
        <v>35</v>
      </c>
      <c r="E5535" t="s">
        <v>36</v>
      </c>
      <c r="F5535" t="s">
        <v>5171</v>
      </c>
      <c r="G5535">
        <v>1657766</v>
      </c>
      <c r="H5535" t="s">
        <v>139</v>
      </c>
      <c r="I5535" t="s">
        <v>120</v>
      </c>
      <c r="J5535" t="str">
        <f>"9781479863402"</f>
        <v>9781479863402</v>
      </c>
      <c r="K5535" t="s">
        <v>33</v>
      </c>
      <c r="L5535">
        <v>3</v>
      </c>
      <c r="O5535" t="s">
        <v>30</v>
      </c>
      <c r="P5535" t="s">
        <v>50</v>
      </c>
      <c r="S5535" t="s">
        <v>40</v>
      </c>
      <c r="T5535" t="s">
        <v>5173</v>
      </c>
      <c r="U5535">
        <v>364.360973</v>
      </c>
      <c r="V5535" s="3">
        <v>41761</v>
      </c>
    </row>
    <row r="5536" spans="1:22" x14ac:dyDescent="0.35">
      <c r="A5536" s="1">
        <v>42298.107615740744</v>
      </c>
      <c r="B5536" s="2">
        <v>3.4490740740740745E-3</v>
      </c>
      <c r="C5536" t="s">
        <v>8820</v>
      </c>
      <c r="D5536" t="s">
        <v>623</v>
      </c>
      <c r="E5536" t="s">
        <v>624</v>
      </c>
      <c r="F5536" t="s">
        <v>8821</v>
      </c>
      <c r="G5536">
        <v>1727283</v>
      </c>
      <c r="H5536" t="s">
        <v>526</v>
      </c>
      <c r="I5536" t="s">
        <v>445</v>
      </c>
      <c r="J5536" t="str">
        <f>"9780226138169"</f>
        <v>9780226138169</v>
      </c>
      <c r="K5536" t="s">
        <v>8822</v>
      </c>
      <c r="L5536">
        <v>22</v>
      </c>
      <c r="O5536" t="s">
        <v>30</v>
      </c>
      <c r="P5536" t="s">
        <v>50</v>
      </c>
      <c r="S5536" t="s">
        <v>627</v>
      </c>
      <c r="T5536" t="s">
        <v>8823</v>
      </c>
      <c r="U5536">
        <v>338.09730000000002</v>
      </c>
      <c r="V5536" s="3">
        <v>41880</v>
      </c>
    </row>
    <row r="5537" spans="1:22" x14ac:dyDescent="0.35">
      <c r="A5537" s="1">
        <v>42298.026261574072</v>
      </c>
      <c r="B5537" s="2">
        <v>0.11203703703703705</v>
      </c>
      <c r="C5537" t="s">
        <v>8508</v>
      </c>
      <c r="D5537" t="s">
        <v>23</v>
      </c>
      <c r="E5537" t="s">
        <v>24</v>
      </c>
      <c r="F5537" t="s">
        <v>5954</v>
      </c>
      <c r="G5537">
        <v>864784</v>
      </c>
      <c r="H5537" t="s">
        <v>492</v>
      </c>
      <c r="I5537" t="s">
        <v>69</v>
      </c>
      <c r="J5537" t="str">
        <f>"9781400841578"</f>
        <v>9781400841578</v>
      </c>
      <c r="K5537" t="s">
        <v>8824</v>
      </c>
      <c r="L5537">
        <v>129</v>
      </c>
      <c r="O5537" t="s">
        <v>30</v>
      </c>
      <c r="P5537" t="s">
        <v>42</v>
      </c>
      <c r="S5537" t="s">
        <v>31</v>
      </c>
      <c r="T5537" t="s">
        <v>5956</v>
      </c>
      <c r="U5537">
        <v>378.73</v>
      </c>
      <c r="V5537" s="3">
        <v>41786</v>
      </c>
    </row>
    <row r="5538" spans="1:22" x14ac:dyDescent="0.35">
      <c r="A5538" s="1">
        <v>42298.01425925926</v>
      </c>
      <c r="B5538" s="2">
        <v>2.0833333333333335E-4</v>
      </c>
      <c r="C5538" t="s">
        <v>210</v>
      </c>
      <c r="D5538" t="s">
        <v>211</v>
      </c>
      <c r="E5538" t="s">
        <v>212</v>
      </c>
      <c r="F5538" t="s">
        <v>8825</v>
      </c>
      <c r="G5538">
        <v>2166476</v>
      </c>
      <c r="H5538" t="s">
        <v>26</v>
      </c>
      <c r="I5538" t="s">
        <v>27</v>
      </c>
      <c r="J5538" t="str">
        <f>"9781119063483"</f>
        <v>9781119063483</v>
      </c>
      <c r="K5538" t="s">
        <v>3927</v>
      </c>
      <c r="L5538">
        <v>7</v>
      </c>
      <c r="O5538" t="s">
        <v>30</v>
      </c>
      <c r="P5538" t="s">
        <v>50</v>
      </c>
      <c r="S5538" t="s">
        <v>214</v>
      </c>
      <c r="T5538" t="s">
        <v>8826</v>
      </c>
      <c r="U5538">
        <v>428.3</v>
      </c>
      <c r="V5538" s="3">
        <v>42230</v>
      </c>
    </row>
    <row r="5539" spans="1:22" x14ac:dyDescent="0.35">
      <c r="A5539" s="1">
        <v>42298.000509259262</v>
      </c>
      <c r="B5539" s="2">
        <v>5.0833333333333335E-2</v>
      </c>
      <c r="C5539" t="s">
        <v>5326</v>
      </c>
      <c r="D5539" t="s">
        <v>23</v>
      </c>
      <c r="E5539" t="s">
        <v>24</v>
      </c>
      <c r="F5539" t="s">
        <v>486</v>
      </c>
      <c r="G5539">
        <v>1119505</v>
      </c>
      <c r="H5539" t="s">
        <v>26</v>
      </c>
      <c r="I5539" t="s">
        <v>450</v>
      </c>
      <c r="J5539" t="str">
        <f>"9781118355015"</f>
        <v>9781118355015</v>
      </c>
      <c r="K5539" t="s">
        <v>8827</v>
      </c>
      <c r="L5539">
        <v>34</v>
      </c>
      <c r="O5539" t="s">
        <v>30</v>
      </c>
      <c r="P5539" t="s">
        <v>29</v>
      </c>
      <c r="Q5539" s="1">
        <v>42298.000509259262</v>
      </c>
      <c r="R5539">
        <v>7</v>
      </c>
      <c r="S5539" t="s">
        <v>31</v>
      </c>
      <c r="T5539" t="s">
        <v>487</v>
      </c>
      <c r="U5539" t="s">
        <v>488</v>
      </c>
      <c r="V5539" s="3">
        <v>41302</v>
      </c>
    </row>
    <row r="5540" spans="1:22" x14ac:dyDescent="0.35">
      <c r="A5540" s="1">
        <v>42297.998703703706</v>
      </c>
      <c r="B5540" s="2">
        <v>2.2569444444444447E-3</v>
      </c>
      <c r="C5540" t="s">
        <v>1103</v>
      </c>
      <c r="D5540" t="s">
        <v>23</v>
      </c>
      <c r="E5540" t="s">
        <v>24</v>
      </c>
      <c r="F5540" t="s">
        <v>4959</v>
      </c>
      <c r="G5540">
        <v>1570482</v>
      </c>
      <c r="H5540" t="s">
        <v>45</v>
      </c>
      <c r="I5540" t="s">
        <v>120</v>
      </c>
      <c r="J5540" t="str">
        <f>"9781409440529"</f>
        <v>9781409440529</v>
      </c>
      <c r="K5540" t="s">
        <v>8828</v>
      </c>
      <c r="L5540">
        <v>27</v>
      </c>
      <c r="O5540" t="s">
        <v>30</v>
      </c>
      <c r="P5540" t="s">
        <v>29</v>
      </c>
      <c r="Q5540" s="1">
        <v>42297.998703703706</v>
      </c>
      <c r="R5540">
        <v>7</v>
      </c>
      <c r="S5540" t="s">
        <v>31</v>
      </c>
      <c r="T5540" t="s">
        <v>4962</v>
      </c>
      <c r="U5540" t="s">
        <v>4963</v>
      </c>
      <c r="V5540" s="3">
        <v>41698</v>
      </c>
    </row>
    <row r="5541" spans="1:22" x14ac:dyDescent="0.35">
      <c r="A5541" s="1">
        <v>42297.977627314816</v>
      </c>
      <c r="B5541" s="2">
        <v>2.2870370370370371E-2</v>
      </c>
      <c r="C5541" t="s">
        <v>5326</v>
      </c>
      <c r="D5541" t="s">
        <v>23</v>
      </c>
      <c r="E5541" t="s">
        <v>24</v>
      </c>
      <c r="F5541" t="s">
        <v>486</v>
      </c>
      <c r="G5541">
        <v>1119505</v>
      </c>
      <c r="H5541" t="s">
        <v>26</v>
      </c>
      <c r="I5541" t="s">
        <v>450</v>
      </c>
      <c r="J5541" t="str">
        <f>"9781118355015"</f>
        <v>9781118355015</v>
      </c>
      <c r="K5541" t="s">
        <v>8829</v>
      </c>
      <c r="L5541">
        <v>10</v>
      </c>
      <c r="O5541" t="s">
        <v>30</v>
      </c>
      <c r="P5541" t="s">
        <v>42</v>
      </c>
      <c r="S5541" t="s">
        <v>31</v>
      </c>
      <c r="T5541" t="s">
        <v>487</v>
      </c>
      <c r="U5541" t="s">
        <v>488</v>
      </c>
      <c r="V5541" s="3">
        <v>41302</v>
      </c>
    </row>
    <row r="5542" spans="1:22" x14ac:dyDescent="0.35">
      <c r="A5542" s="1">
        <v>42297.972731481481</v>
      </c>
      <c r="B5542" s="2">
        <v>2.5972222222222219E-2</v>
      </c>
      <c r="C5542" t="s">
        <v>1103</v>
      </c>
      <c r="D5542" t="s">
        <v>23</v>
      </c>
      <c r="E5542" t="s">
        <v>24</v>
      </c>
      <c r="F5542" t="s">
        <v>4959</v>
      </c>
      <c r="G5542">
        <v>1570482</v>
      </c>
      <c r="H5542" t="s">
        <v>45</v>
      </c>
      <c r="I5542" t="s">
        <v>120</v>
      </c>
      <c r="J5542" t="str">
        <f>"9781409440529"</f>
        <v>9781409440529</v>
      </c>
      <c r="K5542" t="s">
        <v>33</v>
      </c>
      <c r="L5542">
        <v>3</v>
      </c>
      <c r="O5542" t="s">
        <v>30</v>
      </c>
      <c r="P5542" t="s">
        <v>42</v>
      </c>
      <c r="S5542" t="s">
        <v>31</v>
      </c>
      <c r="T5542" t="s">
        <v>4962</v>
      </c>
      <c r="U5542" t="s">
        <v>4963</v>
      </c>
      <c r="V5542" s="3">
        <v>41698</v>
      </c>
    </row>
    <row r="5543" spans="1:22" x14ac:dyDescent="0.35">
      <c r="A5543" s="1">
        <v>42297.957465277781</v>
      </c>
      <c r="B5543" s="2">
        <v>5.4398148148148144E-4</v>
      </c>
      <c r="C5543" t="s">
        <v>5196</v>
      </c>
      <c r="D5543" t="s">
        <v>360</v>
      </c>
      <c r="E5543" t="s">
        <v>361</v>
      </c>
      <c r="F5543" t="s">
        <v>8830</v>
      </c>
      <c r="G5543">
        <v>1732138</v>
      </c>
      <c r="H5543" t="s">
        <v>84</v>
      </c>
      <c r="I5543" t="s">
        <v>120</v>
      </c>
      <c r="J5543" t="str">
        <f>"9780520958746"</f>
        <v>9780520958746</v>
      </c>
      <c r="K5543" t="s">
        <v>8831</v>
      </c>
      <c r="L5543">
        <v>16</v>
      </c>
      <c r="O5543" t="s">
        <v>30</v>
      </c>
      <c r="P5543" t="s">
        <v>50</v>
      </c>
      <c r="S5543" t="s">
        <v>363</v>
      </c>
      <c r="T5543" t="s">
        <v>8832</v>
      </c>
      <c r="U5543">
        <v>364.15230000000003</v>
      </c>
      <c r="V5543" s="3">
        <v>42075</v>
      </c>
    </row>
    <row r="5544" spans="1:22" x14ac:dyDescent="0.35">
      <c r="A5544" s="1">
        <v>42297.946342592593</v>
      </c>
      <c r="B5544" s="2">
        <v>7.6388888888888893E-4</v>
      </c>
      <c r="C5544" t="s">
        <v>106</v>
      </c>
      <c r="D5544" t="s">
        <v>23</v>
      </c>
      <c r="E5544" t="s">
        <v>24</v>
      </c>
      <c r="F5544" t="s">
        <v>1051</v>
      </c>
      <c r="G5544">
        <v>821663</v>
      </c>
      <c r="H5544" t="s">
        <v>26</v>
      </c>
      <c r="I5544" t="s">
        <v>200</v>
      </c>
      <c r="J5544" t="str">
        <f>"9781118168479"</f>
        <v>9781118168479</v>
      </c>
      <c r="K5544" t="s">
        <v>8833</v>
      </c>
      <c r="L5544">
        <v>18</v>
      </c>
      <c r="O5544" t="s">
        <v>30</v>
      </c>
      <c r="P5544" t="s">
        <v>29</v>
      </c>
      <c r="Q5544" s="1">
        <v>42297.009629629632</v>
      </c>
      <c r="R5544">
        <v>7</v>
      </c>
      <c r="S5544" t="s">
        <v>31</v>
      </c>
      <c r="T5544" t="s">
        <v>1053</v>
      </c>
      <c r="U5544">
        <v>729</v>
      </c>
      <c r="V5544" s="3">
        <v>40973</v>
      </c>
    </row>
    <row r="5545" spans="1:22" x14ac:dyDescent="0.35">
      <c r="A5545" s="1">
        <v>42297.933333333334</v>
      </c>
      <c r="B5545" s="2">
        <v>0</v>
      </c>
      <c r="C5545" t="s">
        <v>6058</v>
      </c>
      <c r="D5545" t="s">
        <v>2519</v>
      </c>
      <c r="E5545" t="s">
        <v>2520</v>
      </c>
      <c r="F5545" t="s">
        <v>8834</v>
      </c>
      <c r="G5545">
        <v>2025603</v>
      </c>
      <c r="H5545" t="s">
        <v>84</v>
      </c>
      <c r="I5545" t="s">
        <v>120</v>
      </c>
      <c r="J5545" t="str">
        <f>"9780520960602"</f>
        <v>9780520960602</v>
      </c>
      <c r="L5545">
        <v>0</v>
      </c>
      <c r="O5545" t="s">
        <v>30</v>
      </c>
      <c r="P5545" t="s">
        <v>47</v>
      </c>
      <c r="Q5545" s="1">
        <v>42297.933333333334</v>
      </c>
      <c r="R5545">
        <v>1</v>
      </c>
      <c r="S5545" t="s">
        <v>2523</v>
      </c>
      <c r="T5545" t="s">
        <v>8835</v>
      </c>
      <c r="U5545">
        <v>394.12097299999999</v>
      </c>
      <c r="V5545" s="3">
        <v>42279</v>
      </c>
    </row>
    <row r="5546" spans="1:22" x14ac:dyDescent="0.35">
      <c r="A5546" s="1">
        <v>42297.932754629626</v>
      </c>
      <c r="B5546" s="2">
        <v>5.7870370370370378E-4</v>
      </c>
      <c r="C5546" t="s">
        <v>6058</v>
      </c>
      <c r="D5546" t="s">
        <v>2519</v>
      </c>
      <c r="E5546" t="s">
        <v>2520</v>
      </c>
      <c r="F5546" t="s">
        <v>8834</v>
      </c>
      <c r="G5546">
        <v>2025603</v>
      </c>
      <c r="H5546" t="s">
        <v>84</v>
      </c>
      <c r="I5546" t="s">
        <v>120</v>
      </c>
      <c r="J5546" t="str">
        <f>"9780520960602"</f>
        <v>9780520960602</v>
      </c>
      <c r="K5546" t="s">
        <v>8836</v>
      </c>
      <c r="L5546">
        <v>15</v>
      </c>
      <c r="O5546" t="s">
        <v>30</v>
      </c>
      <c r="P5546" t="s">
        <v>50</v>
      </c>
      <c r="S5546" t="s">
        <v>2523</v>
      </c>
      <c r="T5546" t="s">
        <v>8835</v>
      </c>
      <c r="U5546">
        <v>394.12097299999999</v>
      </c>
      <c r="V5546" s="3">
        <v>42279</v>
      </c>
    </row>
    <row r="5547" spans="1:22" x14ac:dyDescent="0.35">
      <c r="A5547" s="1">
        <v>42297.920972222222</v>
      </c>
      <c r="B5547" s="2">
        <v>4.0509259259259258E-4</v>
      </c>
      <c r="C5547" t="s">
        <v>210</v>
      </c>
      <c r="D5547" t="s">
        <v>211</v>
      </c>
      <c r="E5547" t="s">
        <v>212</v>
      </c>
      <c r="F5547" t="s">
        <v>8837</v>
      </c>
      <c r="G5547">
        <v>888149</v>
      </c>
      <c r="H5547" t="s">
        <v>26</v>
      </c>
      <c r="I5547" t="s">
        <v>219</v>
      </c>
      <c r="J5547" t="str">
        <f>"9781119943204"</f>
        <v>9781119943204</v>
      </c>
      <c r="K5547" t="s">
        <v>8838</v>
      </c>
      <c r="L5547">
        <v>8</v>
      </c>
      <c r="N5547" t="s">
        <v>8839</v>
      </c>
      <c r="O5547" t="s">
        <v>30</v>
      </c>
      <c r="P5547" t="s">
        <v>29</v>
      </c>
      <c r="Q5547" s="1">
        <v>42297.843206018515</v>
      </c>
      <c r="R5547">
        <v>7</v>
      </c>
      <c r="S5547" t="s">
        <v>214</v>
      </c>
      <c r="T5547" t="s">
        <v>8840</v>
      </c>
      <c r="U5547">
        <v>155.9</v>
      </c>
      <c r="V5547" s="3">
        <v>41003</v>
      </c>
    </row>
    <row r="5548" spans="1:22" x14ac:dyDescent="0.35">
      <c r="A5548" s="1">
        <v>42297.919490740744</v>
      </c>
      <c r="B5548" s="2">
        <v>1.3888888888888889E-4</v>
      </c>
      <c r="C5548" t="s">
        <v>8841</v>
      </c>
      <c r="D5548" t="s">
        <v>158</v>
      </c>
      <c r="E5548" t="s">
        <v>159</v>
      </c>
      <c r="F5548" t="s">
        <v>1698</v>
      </c>
      <c r="G5548">
        <v>1637652</v>
      </c>
      <c r="H5548" t="s">
        <v>84</v>
      </c>
      <c r="I5548" t="s">
        <v>69</v>
      </c>
      <c r="J5548" t="str">
        <f>"9780520958449"</f>
        <v>9780520958449</v>
      </c>
      <c r="K5548" t="s">
        <v>8842</v>
      </c>
      <c r="L5548">
        <v>17</v>
      </c>
      <c r="O5548" t="s">
        <v>30</v>
      </c>
      <c r="P5548" t="s">
        <v>42</v>
      </c>
      <c r="S5548" t="s">
        <v>163</v>
      </c>
      <c r="T5548" t="s">
        <v>1700</v>
      </c>
      <c r="U5548" t="s">
        <v>1701</v>
      </c>
      <c r="V5548" s="3">
        <v>41761</v>
      </c>
    </row>
    <row r="5549" spans="1:22" x14ac:dyDescent="0.35">
      <c r="A5549" s="1">
        <v>42297.891087962962</v>
      </c>
      <c r="B5549" s="2">
        <v>3.2407407407407406E-4</v>
      </c>
      <c r="C5549" t="s">
        <v>8843</v>
      </c>
      <c r="D5549" t="s">
        <v>623</v>
      </c>
      <c r="E5549" t="s">
        <v>624</v>
      </c>
      <c r="F5549" t="s">
        <v>8844</v>
      </c>
      <c r="G5549">
        <v>1986938</v>
      </c>
      <c r="H5549" t="s">
        <v>26</v>
      </c>
      <c r="I5549" t="s">
        <v>247</v>
      </c>
      <c r="J5549" t="str">
        <f>"9781118777503"</f>
        <v>9781118777503</v>
      </c>
      <c r="K5549" t="s">
        <v>2638</v>
      </c>
      <c r="L5549">
        <v>8</v>
      </c>
      <c r="O5549" t="s">
        <v>30</v>
      </c>
      <c r="P5549" t="s">
        <v>50</v>
      </c>
      <c r="S5549" t="s">
        <v>627</v>
      </c>
      <c r="T5549" t="s">
        <v>8845</v>
      </c>
      <c r="U5549">
        <v>617.10270000000003</v>
      </c>
      <c r="V5549" s="3">
        <v>42212</v>
      </c>
    </row>
    <row r="5550" spans="1:22" x14ac:dyDescent="0.35">
      <c r="A5550" s="1">
        <v>42297.877395833333</v>
      </c>
      <c r="B5550" s="2">
        <v>4.6296296296296294E-5</v>
      </c>
      <c r="C5550" t="s">
        <v>210</v>
      </c>
      <c r="D5550" t="s">
        <v>211</v>
      </c>
      <c r="E5550" t="s">
        <v>212</v>
      </c>
      <c r="F5550" t="s">
        <v>8837</v>
      </c>
      <c r="G5550">
        <v>888149</v>
      </c>
      <c r="H5550" t="s">
        <v>26</v>
      </c>
      <c r="I5550" t="s">
        <v>219</v>
      </c>
      <c r="J5550" t="str">
        <f>"9781119943204"</f>
        <v>9781119943204</v>
      </c>
      <c r="K5550" t="s">
        <v>8846</v>
      </c>
      <c r="L5550">
        <v>4</v>
      </c>
      <c r="O5550" t="s">
        <v>30</v>
      </c>
      <c r="P5550" t="s">
        <v>29</v>
      </c>
      <c r="Q5550" s="1">
        <v>42297.843206018515</v>
      </c>
      <c r="R5550">
        <v>7</v>
      </c>
      <c r="S5550" t="s">
        <v>214</v>
      </c>
      <c r="T5550" t="s">
        <v>8840</v>
      </c>
      <c r="U5550">
        <v>155.9</v>
      </c>
      <c r="V5550" s="3">
        <v>41003</v>
      </c>
    </row>
    <row r="5551" spans="1:22" x14ac:dyDescent="0.35">
      <c r="A5551" s="1">
        <v>42297.876851851855</v>
      </c>
      <c r="B5551" s="2">
        <v>3.5879629629629635E-4</v>
      </c>
      <c r="C5551" t="s">
        <v>210</v>
      </c>
      <c r="D5551" t="s">
        <v>211</v>
      </c>
      <c r="E5551" t="s">
        <v>212</v>
      </c>
      <c r="F5551" t="s">
        <v>8837</v>
      </c>
      <c r="G5551">
        <v>888149</v>
      </c>
      <c r="H5551" t="s">
        <v>26</v>
      </c>
      <c r="I5551" t="s">
        <v>219</v>
      </c>
      <c r="J5551" t="str">
        <f>"9781119943204"</f>
        <v>9781119943204</v>
      </c>
      <c r="K5551" t="s">
        <v>4725</v>
      </c>
      <c r="L5551">
        <v>1</v>
      </c>
      <c r="O5551" t="s">
        <v>28</v>
      </c>
      <c r="P5551" t="s">
        <v>29</v>
      </c>
      <c r="Q5551" s="1">
        <v>42297.843206018515</v>
      </c>
      <c r="R5551">
        <v>7</v>
      </c>
      <c r="S5551" t="s">
        <v>214</v>
      </c>
      <c r="T5551" t="s">
        <v>8840</v>
      </c>
      <c r="U5551">
        <v>155.9</v>
      </c>
      <c r="V5551" s="3">
        <v>41003</v>
      </c>
    </row>
    <row r="5552" spans="1:22" x14ac:dyDescent="0.35">
      <c r="A5552" s="1">
        <v>42297.843935185185</v>
      </c>
      <c r="B5552" s="2">
        <v>4.1666666666666669E-4</v>
      </c>
      <c r="C5552" t="s">
        <v>8847</v>
      </c>
      <c r="D5552" t="s">
        <v>623</v>
      </c>
      <c r="E5552" t="s">
        <v>624</v>
      </c>
      <c r="F5552" t="s">
        <v>5723</v>
      </c>
      <c r="G5552">
        <v>1813815</v>
      </c>
      <c r="H5552" t="s">
        <v>26</v>
      </c>
      <c r="I5552" t="s">
        <v>219</v>
      </c>
      <c r="J5552" t="str">
        <f>"9781118314739"</f>
        <v>9781118314739</v>
      </c>
      <c r="K5552" t="s">
        <v>355</v>
      </c>
      <c r="L5552">
        <v>8</v>
      </c>
      <c r="O5552" t="s">
        <v>30</v>
      </c>
      <c r="P5552" t="s">
        <v>50</v>
      </c>
      <c r="S5552" t="s">
        <v>627</v>
      </c>
      <c r="T5552" t="s">
        <v>5725</v>
      </c>
      <c r="U5552" t="s">
        <v>5726</v>
      </c>
      <c r="V5552" s="3">
        <v>41920</v>
      </c>
    </row>
    <row r="5553" spans="1:22" x14ac:dyDescent="0.35">
      <c r="A5553" s="1">
        <v>42297.843206018515</v>
      </c>
      <c r="B5553" s="2">
        <v>3.3541666666666664E-2</v>
      </c>
      <c r="C5553" t="s">
        <v>210</v>
      </c>
      <c r="D5553" t="s">
        <v>211</v>
      </c>
      <c r="E5553" t="s">
        <v>212</v>
      </c>
      <c r="F5553" t="s">
        <v>8837</v>
      </c>
      <c r="G5553">
        <v>888149</v>
      </c>
      <c r="H5553" t="s">
        <v>26</v>
      </c>
      <c r="I5553" t="s">
        <v>219</v>
      </c>
      <c r="J5553" t="str">
        <f>"9781119943204"</f>
        <v>9781119943204</v>
      </c>
      <c r="K5553" t="s">
        <v>8848</v>
      </c>
      <c r="L5553">
        <v>2</v>
      </c>
      <c r="M5553" t="s">
        <v>8849</v>
      </c>
      <c r="O5553" t="s">
        <v>30</v>
      </c>
      <c r="P5553" t="s">
        <v>29</v>
      </c>
      <c r="Q5553" s="1">
        <v>42297.843206018515</v>
      </c>
      <c r="R5553">
        <v>7</v>
      </c>
      <c r="S5553" t="s">
        <v>214</v>
      </c>
      <c r="T5553" t="s">
        <v>8840</v>
      </c>
      <c r="U5553">
        <v>155.9</v>
      </c>
      <c r="V5553" s="3">
        <v>41003</v>
      </c>
    </row>
    <row r="5554" spans="1:22" x14ac:dyDescent="0.35">
      <c r="A5554" s="1">
        <v>42297.833703703705</v>
      </c>
      <c r="B5554" s="2">
        <v>9.5023148148148159E-3</v>
      </c>
      <c r="C5554" t="s">
        <v>210</v>
      </c>
      <c r="D5554" t="s">
        <v>211</v>
      </c>
      <c r="E5554" t="s">
        <v>212</v>
      </c>
      <c r="F5554" t="s">
        <v>8837</v>
      </c>
      <c r="G5554">
        <v>888149</v>
      </c>
      <c r="H5554" t="s">
        <v>26</v>
      </c>
      <c r="I5554" t="s">
        <v>219</v>
      </c>
      <c r="J5554" t="str">
        <f>"9781119943204"</f>
        <v>9781119943204</v>
      </c>
      <c r="K5554" t="s">
        <v>8850</v>
      </c>
      <c r="L5554">
        <v>16</v>
      </c>
      <c r="O5554" t="s">
        <v>30</v>
      </c>
      <c r="P5554" t="s">
        <v>42</v>
      </c>
      <c r="S5554" t="s">
        <v>214</v>
      </c>
      <c r="T5554" t="s">
        <v>8840</v>
      </c>
      <c r="U5554">
        <v>155.9</v>
      </c>
      <c r="V5554" s="3">
        <v>41003</v>
      </c>
    </row>
    <row r="5555" spans="1:22" x14ac:dyDescent="0.35">
      <c r="A5555" s="1">
        <v>42297.826493055552</v>
      </c>
      <c r="B5555" s="2">
        <v>6.7129629629629625E-4</v>
      </c>
      <c r="C5555" t="s">
        <v>8847</v>
      </c>
      <c r="D5555" t="s">
        <v>623</v>
      </c>
      <c r="E5555" t="s">
        <v>624</v>
      </c>
      <c r="F5555" t="s">
        <v>5723</v>
      </c>
      <c r="G5555">
        <v>1813815</v>
      </c>
      <c r="H5555" t="s">
        <v>26</v>
      </c>
      <c r="I5555" t="s">
        <v>219</v>
      </c>
      <c r="J5555" t="str">
        <f>"9781118314739"</f>
        <v>9781118314739</v>
      </c>
      <c r="K5555" t="s">
        <v>8851</v>
      </c>
      <c r="L5555">
        <v>11</v>
      </c>
      <c r="O5555" t="s">
        <v>30</v>
      </c>
      <c r="P5555" t="s">
        <v>50</v>
      </c>
      <c r="S5555" t="s">
        <v>627</v>
      </c>
      <c r="T5555" t="s">
        <v>5725</v>
      </c>
      <c r="U5555" t="s">
        <v>5726</v>
      </c>
      <c r="V5555" s="3">
        <v>41920</v>
      </c>
    </row>
    <row r="5556" spans="1:22" x14ac:dyDescent="0.35">
      <c r="A5556" s="1">
        <v>42297.790497685186</v>
      </c>
      <c r="B5556" s="2">
        <v>8.449074074074075E-4</v>
      </c>
      <c r="C5556" t="s">
        <v>8852</v>
      </c>
      <c r="D5556" t="s">
        <v>158</v>
      </c>
      <c r="E5556" t="s">
        <v>159</v>
      </c>
      <c r="F5556" t="s">
        <v>3973</v>
      </c>
      <c r="G5556">
        <v>771049</v>
      </c>
      <c r="H5556" t="s">
        <v>3465</v>
      </c>
      <c r="I5556" t="s">
        <v>3974</v>
      </c>
      <c r="J5556" t="str">
        <f>"9781608706648"</f>
        <v>9781608706648</v>
      </c>
      <c r="K5556" t="s">
        <v>4737</v>
      </c>
      <c r="L5556">
        <v>13</v>
      </c>
      <c r="O5556" t="s">
        <v>30</v>
      </c>
      <c r="P5556" t="s">
        <v>42</v>
      </c>
      <c r="S5556" t="s">
        <v>163</v>
      </c>
      <c r="T5556" t="s">
        <v>3976</v>
      </c>
      <c r="U5556">
        <v>363.73874000000001</v>
      </c>
      <c r="V5556" s="3">
        <v>40909</v>
      </c>
    </row>
    <row r="5557" spans="1:22" x14ac:dyDescent="0.35">
      <c r="A5557" s="1">
        <v>42297.781030092592</v>
      </c>
      <c r="B5557" s="2">
        <v>1.1574074074074073E-5</v>
      </c>
      <c r="C5557" t="s">
        <v>8383</v>
      </c>
      <c r="D5557" t="s">
        <v>1222</v>
      </c>
      <c r="E5557" t="s">
        <v>1223</v>
      </c>
      <c r="F5557" t="s">
        <v>3943</v>
      </c>
      <c r="G5557">
        <v>836167</v>
      </c>
      <c r="H5557" t="s">
        <v>149</v>
      </c>
      <c r="I5557" t="s">
        <v>3944</v>
      </c>
      <c r="J5557" t="str">
        <f>"9781438139487"</f>
        <v>9781438139487</v>
      </c>
      <c r="K5557" t="s">
        <v>33</v>
      </c>
      <c r="L5557">
        <v>3</v>
      </c>
      <c r="O5557" t="s">
        <v>30</v>
      </c>
      <c r="P5557" t="s">
        <v>29</v>
      </c>
      <c r="Q5557" s="1">
        <v>42297.781030092592</v>
      </c>
      <c r="R5557">
        <v>7</v>
      </c>
      <c r="S5557" t="s">
        <v>1226</v>
      </c>
      <c r="T5557" t="s">
        <v>3946</v>
      </c>
      <c r="U5557" t="s">
        <v>3947</v>
      </c>
      <c r="V5557" s="3">
        <v>40848</v>
      </c>
    </row>
    <row r="5558" spans="1:22" x14ac:dyDescent="0.35">
      <c r="A5558" s="1">
        <v>42297.771493055552</v>
      </c>
      <c r="B5558" s="2">
        <v>0</v>
      </c>
      <c r="C5558" t="s">
        <v>8580</v>
      </c>
      <c r="D5558" t="s">
        <v>360</v>
      </c>
      <c r="E5558" t="s">
        <v>361</v>
      </c>
      <c r="F5558" t="s">
        <v>8581</v>
      </c>
      <c r="G5558">
        <v>1943363</v>
      </c>
      <c r="H5558" t="s">
        <v>26</v>
      </c>
      <c r="I5558" t="s">
        <v>247</v>
      </c>
      <c r="J5558" t="str">
        <f>"9781118746196"</f>
        <v>9781118746196</v>
      </c>
      <c r="L5558">
        <v>0</v>
      </c>
      <c r="M5558" t="s">
        <v>8853</v>
      </c>
      <c r="O5558" t="s">
        <v>30</v>
      </c>
      <c r="P5558" t="s">
        <v>29</v>
      </c>
      <c r="Q5558" s="1">
        <v>42297.771493055552</v>
      </c>
      <c r="R5558">
        <v>7</v>
      </c>
      <c r="S5558" t="s">
        <v>363</v>
      </c>
      <c r="T5558" t="s">
        <v>8583</v>
      </c>
      <c r="U5558" t="s">
        <v>8584</v>
      </c>
      <c r="V5558" s="3">
        <v>42040</v>
      </c>
    </row>
    <row r="5559" spans="1:22" x14ac:dyDescent="0.35">
      <c r="A5559" s="1">
        <v>42297.769803240742</v>
      </c>
      <c r="B5559" s="2">
        <v>1.1226851851851854E-2</v>
      </c>
      <c r="C5559" t="s">
        <v>8383</v>
      </c>
      <c r="D5559" t="s">
        <v>1222</v>
      </c>
      <c r="E5559" t="s">
        <v>1223</v>
      </c>
      <c r="F5559" t="s">
        <v>3943</v>
      </c>
      <c r="G5559">
        <v>836167</v>
      </c>
      <c r="H5559" t="s">
        <v>149</v>
      </c>
      <c r="I5559" t="s">
        <v>3944</v>
      </c>
      <c r="J5559" t="str">
        <f>"9781438139487"</f>
        <v>9781438139487</v>
      </c>
      <c r="K5559" t="s">
        <v>8854</v>
      </c>
      <c r="L5559">
        <v>11</v>
      </c>
      <c r="O5559" t="s">
        <v>30</v>
      </c>
      <c r="P5559" t="s">
        <v>42</v>
      </c>
      <c r="S5559" t="s">
        <v>1226</v>
      </c>
      <c r="T5559" t="s">
        <v>3946</v>
      </c>
      <c r="U5559" t="s">
        <v>3947</v>
      </c>
      <c r="V5559" s="3">
        <v>40848</v>
      </c>
    </row>
    <row r="5560" spans="1:22" x14ac:dyDescent="0.35">
      <c r="A5560" s="1">
        <v>42297.769062500003</v>
      </c>
      <c r="B5560" s="2">
        <v>2.4189814814814816E-3</v>
      </c>
      <c r="C5560" t="s">
        <v>8580</v>
      </c>
      <c r="D5560" t="s">
        <v>360</v>
      </c>
      <c r="E5560" t="s">
        <v>361</v>
      </c>
      <c r="F5560" t="s">
        <v>8581</v>
      </c>
      <c r="G5560">
        <v>1943363</v>
      </c>
      <c r="H5560" t="s">
        <v>26</v>
      </c>
      <c r="I5560" t="s">
        <v>247</v>
      </c>
      <c r="J5560" t="str">
        <f>"9781118746196"</f>
        <v>9781118746196</v>
      </c>
      <c r="K5560" t="s">
        <v>8855</v>
      </c>
      <c r="L5560">
        <v>29</v>
      </c>
      <c r="O5560" t="s">
        <v>30</v>
      </c>
      <c r="P5560" t="s">
        <v>50</v>
      </c>
      <c r="S5560" t="s">
        <v>363</v>
      </c>
      <c r="T5560" t="s">
        <v>8583</v>
      </c>
      <c r="U5560" t="s">
        <v>8584</v>
      </c>
      <c r="V5560" s="3">
        <v>42040</v>
      </c>
    </row>
    <row r="5561" spans="1:22" x14ac:dyDescent="0.35">
      <c r="A5561" s="1">
        <v>42297.768495370372</v>
      </c>
      <c r="B5561" s="2">
        <v>6.9444444444444444E-5</v>
      </c>
      <c r="C5561" t="s">
        <v>8580</v>
      </c>
      <c r="D5561" t="s">
        <v>360</v>
      </c>
      <c r="E5561" t="s">
        <v>361</v>
      </c>
      <c r="F5561" t="s">
        <v>8581</v>
      </c>
      <c r="G5561">
        <v>1943363</v>
      </c>
      <c r="H5561" t="s">
        <v>26</v>
      </c>
      <c r="I5561" t="s">
        <v>247</v>
      </c>
      <c r="J5561" t="str">
        <f>"9781118746196"</f>
        <v>9781118746196</v>
      </c>
      <c r="K5561" t="s">
        <v>8856</v>
      </c>
      <c r="L5561">
        <v>6</v>
      </c>
      <c r="O5561" t="s">
        <v>30</v>
      </c>
      <c r="P5561" t="s">
        <v>50</v>
      </c>
      <c r="S5561" t="s">
        <v>363</v>
      </c>
      <c r="T5561" t="s">
        <v>8583</v>
      </c>
      <c r="U5561" t="s">
        <v>8584</v>
      </c>
      <c r="V5561" s="3">
        <v>42040</v>
      </c>
    </row>
    <row r="5562" spans="1:22" x14ac:dyDescent="0.35">
      <c r="A5562" s="1">
        <v>42297.76840277778</v>
      </c>
      <c r="B5562" s="2">
        <v>2.6967592592592594E-3</v>
      </c>
      <c r="C5562" t="s">
        <v>5380</v>
      </c>
      <c r="D5562" t="s">
        <v>261</v>
      </c>
      <c r="E5562" t="s">
        <v>262</v>
      </c>
      <c r="F5562" t="s">
        <v>1639</v>
      </c>
      <c r="G5562">
        <v>821827</v>
      </c>
      <c r="H5562" t="s">
        <v>26</v>
      </c>
      <c r="I5562" t="s">
        <v>120</v>
      </c>
      <c r="J5562" t="str">
        <f>"9781118225349"</f>
        <v>9781118225349</v>
      </c>
      <c r="K5562" t="s">
        <v>8857</v>
      </c>
      <c r="L5562">
        <v>13</v>
      </c>
      <c r="O5562" t="s">
        <v>30</v>
      </c>
      <c r="P5562" t="s">
        <v>42</v>
      </c>
      <c r="S5562" t="s">
        <v>264</v>
      </c>
      <c r="T5562" t="s">
        <v>1641</v>
      </c>
      <c r="U5562">
        <v>302</v>
      </c>
      <c r="V5562" s="3">
        <v>41029</v>
      </c>
    </row>
    <row r="5563" spans="1:22" x14ac:dyDescent="0.35">
      <c r="A5563" s="1">
        <v>42297.725451388891</v>
      </c>
      <c r="B5563" s="2">
        <v>5.8865740740740739E-2</v>
      </c>
      <c r="C5563" t="s">
        <v>8858</v>
      </c>
      <c r="D5563" t="s">
        <v>23</v>
      </c>
      <c r="E5563" t="s">
        <v>24</v>
      </c>
      <c r="F5563" t="s">
        <v>6635</v>
      </c>
      <c r="G5563">
        <v>817871</v>
      </c>
      <c r="H5563" t="s">
        <v>26</v>
      </c>
      <c r="I5563" t="s">
        <v>276</v>
      </c>
      <c r="J5563" t="str">
        <f>"9781118206911"</f>
        <v>9781118206911</v>
      </c>
      <c r="K5563" t="s">
        <v>8859</v>
      </c>
      <c r="L5563">
        <v>71</v>
      </c>
      <c r="O5563" t="s">
        <v>30</v>
      </c>
      <c r="P5563" t="s">
        <v>29</v>
      </c>
      <c r="Q5563" s="1">
        <v>42297.135462962964</v>
      </c>
      <c r="R5563">
        <v>7</v>
      </c>
      <c r="S5563" t="s">
        <v>31</v>
      </c>
      <c r="T5563" t="s">
        <v>6637</v>
      </c>
      <c r="U5563">
        <v>6.74</v>
      </c>
      <c r="V5563" s="3">
        <v>40897</v>
      </c>
    </row>
    <row r="5564" spans="1:22" x14ac:dyDescent="0.35">
      <c r="A5564" s="1">
        <v>42297.709965277776</v>
      </c>
      <c r="B5564" s="2">
        <v>2.5462962962962961E-4</v>
      </c>
      <c r="C5564" t="s">
        <v>8860</v>
      </c>
      <c r="D5564" t="s">
        <v>35</v>
      </c>
      <c r="E5564" t="s">
        <v>36</v>
      </c>
      <c r="F5564" t="s">
        <v>5171</v>
      </c>
      <c r="G5564">
        <v>1657766</v>
      </c>
      <c r="H5564" t="s">
        <v>139</v>
      </c>
      <c r="I5564" t="s">
        <v>120</v>
      </c>
      <c r="J5564" t="str">
        <f>"9781479863402"</f>
        <v>9781479863402</v>
      </c>
      <c r="K5564" t="s">
        <v>8861</v>
      </c>
      <c r="L5564">
        <v>6</v>
      </c>
      <c r="O5564" t="s">
        <v>30</v>
      </c>
      <c r="P5564" t="s">
        <v>50</v>
      </c>
      <c r="S5564" t="s">
        <v>40</v>
      </c>
      <c r="T5564" t="s">
        <v>5173</v>
      </c>
      <c r="U5564">
        <v>364.360973</v>
      </c>
      <c r="V5564" s="3">
        <v>41761</v>
      </c>
    </row>
    <row r="5565" spans="1:22" x14ac:dyDescent="0.35">
      <c r="A5565" s="1">
        <v>42297.708657407406</v>
      </c>
      <c r="B5565" s="2">
        <v>1.1574074074074073E-4</v>
      </c>
      <c r="C5565" t="s">
        <v>8404</v>
      </c>
      <c r="D5565" t="s">
        <v>1222</v>
      </c>
      <c r="E5565" t="s">
        <v>1223</v>
      </c>
      <c r="F5565" t="s">
        <v>8136</v>
      </c>
      <c r="G5565">
        <v>1190428</v>
      </c>
      <c r="H5565" t="s">
        <v>84</v>
      </c>
      <c r="I5565" t="s">
        <v>38</v>
      </c>
      <c r="J5565" t="str">
        <f>"9780520955066"</f>
        <v>9780520955066</v>
      </c>
      <c r="K5565" t="s">
        <v>8862</v>
      </c>
      <c r="L5565">
        <v>8</v>
      </c>
      <c r="O5565" t="s">
        <v>30</v>
      </c>
      <c r="P5565" t="s">
        <v>42</v>
      </c>
      <c r="S5565" t="s">
        <v>1226</v>
      </c>
      <c r="T5565" t="s">
        <v>8138</v>
      </c>
      <c r="U5565" t="s">
        <v>8139</v>
      </c>
      <c r="V5565" s="3">
        <v>41408</v>
      </c>
    </row>
    <row r="5566" spans="1:22" x14ac:dyDescent="0.35">
      <c r="A5566" s="1">
        <v>42297.694641203707</v>
      </c>
      <c r="B5566" s="2">
        <v>7.9861111111111105E-4</v>
      </c>
      <c r="C5566" t="s">
        <v>8404</v>
      </c>
      <c r="D5566" t="s">
        <v>1222</v>
      </c>
      <c r="E5566" t="s">
        <v>1223</v>
      </c>
      <c r="F5566" t="s">
        <v>8136</v>
      </c>
      <c r="G5566">
        <v>1190428</v>
      </c>
      <c r="H5566" t="s">
        <v>84</v>
      </c>
      <c r="I5566" t="s">
        <v>38</v>
      </c>
      <c r="J5566" t="str">
        <f>"9780520955066"</f>
        <v>9780520955066</v>
      </c>
      <c r="K5566" t="s">
        <v>8863</v>
      </c>
      <c r="L5566">
        <v>11</v>
      </c>
      <c r="O5566" t="s">
        <v>30</v>
      </c>
      <c r="P5566" t="s">
        <v>42</v>
      </c>
      <c r="S5566" t="s">
        <v>1226</v>
      </c>
      <c r="T5566" t="s">
        <v>8138</v>
      </c>
      <c r="U5566" t="s">
        <v>8139</v>
      </c>
      <c r="V5566" s="3">
        <v>41408</v>
      </c>
    </row>
    <row r="5567" spans="1:22" x14ac:dyDescent="0.35">
      <c r="A5567" s="1">
        <v>42297.683298611111</v>
      </c>
      <c r="B5567" s="2">
        <v>0.13076388888888887</v>
      </c>
      <c r="C5567" t="s">
        <v>8864</v>
      </c>
      <c r="D5567" t="s">
        <v>35</v>
      </c>
      <c r="E5567" t="s">
        <v>36</v>
      </c>
      <c r="F5567" t="s">
        <v>8865</v>
      </c>
      <c r="G5567">
        <v>1780032</v>
      </c>
      <c r="H5567" t="s">
        <v>26</v>
      </c>
      <c r="I5567" t="s">
        <v>8866</v>
      </c>
      <c r="J5567" t="str">
        <f>"9781118521502"</f>
        <v>9781118521502</v>
      </c>
      <c r="K5567" t="s">
        <v>8867</v>
      </c>
      <c r="L5567">
        <v>81</v>
      </c>
      <c r="O5567" t="s">
        <v>30</v>
      </c>
      <c r="P5567" t="s">
        <v>47</v>
      </c>
      <c r="Q5567" s="1">
        <v>42297.683298611111</v>
      </c>
      <c r="R5567">
        <v>1</v>
      </c>
      <c r="S5567" t="s">
        <v>40</v>
      </c>
      <c r="T5567" t="s">
        <v>8868</v>
      </c>
      <c r="U5567">
        <v>612.66999999999996</v>
      </c>
      <c r="V5567" s="3">
        <v>41884</v>
      </c>
    </row>
    <row r="5568" spans="1:22" x14ac:dyDescent="0.35">
      <c r="A5568" s="1">
        <v>42297.677256944444</v>
      </c>
      <c r="B5568" s="2">
        <v>6.030092592592593E-3</v>
      </c>
      <c r="C5568" t="s">
        <v>8864</v>
      </c>
      <c r="D5568" t="s">
        <v>35</v>
      </c>
      <c r="E5568" t="s">
        <v>36</v>
      </c>
      <c r="F5568" t="s">
        <v>8865</v>
      </c>
      <c r="G5568">
        <v>1780032</v>
      </c>
      <c r="H5568" t="s">
        <v>26</v>
      </c>
      <c r="I5568" t="s">
        <v>8866</v>
      </c>
      <c r="J5568" t="str">
        <f>"9781118521502"</f>
        <v>9781118521502</v>
      </c>
      <c r="K5568" t="s">
        <v>8869</v>
      </c>
      <c r="L5568">
        <v>8</v>
      </c>
      <c r="O5568" t="s">
        <v>30</v>
      </c>
      <c r="P5568" t="s">
        <v>50</v>
      </c>
      <c r="S5568" t="s">
        <v>40</v>
      </c>
      <c r="T5568" t="s">
        <v>8868</v>
      </c>
      <c r="U5568">
        <v>612.66999999999996</v>
      </c>
      <c r="V5568" s="3">
        <v>41884</v>
      </c>
    </row>
    <row r="5569" spans="1:22" x14ac:dyDescent="0.35">
      <c r="A5569" s="1">
        <v>42297.675844907404</v>
      </c>
      <c r="B5569" s="2">
        <v>2.7627314814814813E-2</v>
      </c>
      <c r="C5569" t="s">
        <v>8870</v>
      </c>
      <c r="D5569" t="s">
        <v>335</v>
      </c>
      <c r="E5569" t="s">
        <v>336</v>
      </c>
      <c r="F5569" t="s">
        <v>7698</v>
      </c>
      <c r="G5569">
        <v>1641469</v>
      </c>
      <c r="H5569" t="s">
        <v>91</v>
      </c>
      <c r="I5569" t="s">
        <v>247</v>
      </c>
      <c r="J5569" t="str">
        <f>"9781462513444"</f>
        <v>9781462513444</v>
      </c>
      <c r="K5569" t="s">
        <v>8871</v>
      </c>
      <c r="L5569">
        <v>10</v>
      </c>
      <c r="O5569" t="s">
        <v>30</v>
      </c>
      <c r="P5569" t="s">
        <v>29</v>
      </c>
      <c r="Q5569" s="1">
        <v>42297.675844907404</v>
      </c>
      <c r="R5569">
        <v>7</v>
      </c>
      <c r="S5569" t="s">
        <v>340</v>
      </c>
      <c r="T5569" t="s">
        <v>7700</v>
      </c>
      <c r="U5569">
        <v>616.89142000000004</v>
      </c>
      <c r="V5569" s="3">
        <v>41697</v>
      </c>
    </row>
    <row r="5570" spans="1:22" x14ac:dyDescent="0.35">
      <c r="A5570" s="1">
        <v>42297.674421296295</v>
      </c>
      <c r="B5570" s="2">
        <v>0</v>
      </c>
      <c r="C5570" t="s">
        <v>106</v>
      </c>
      <c r="D5570" t="s">
        <v>23</v>
      </c>
      <c r="E5570" t="s">
        <v>24</v>
      </c>
      <c r="F5570" t="s">
        <v>83</v>
      </c>
      <c r="G5570">
        <v>1711065</v>
      </c>
      <c r="H5570" t="s">
        <v>84</v>
      </c>
      <c r="I5570" t="s">
        <v>85</v>
      </c>
      <c r="J5570" t="str">
        <f>"9780520959156"</f>
        <v>9780520959156</v>
      </c>
      <c r="L5570">
        <v>0</v>
      </c>
      <c r="N5570" t="s">
        <v>8872</v>
      </c>
      <c r="O5570" t="s">
        <v>30</v>
      </c>
      <c r="P5570" t="s">
        <v>29</v>
      </c>
      <c r="Q5570" s="1">
        <v>42297.674421296295</v>
      </c>
      <c r="R5570">
        <v>7</v>
      </c>
      <c r="S5570" t="s">
        <v>31</v>
      </c>
      <c r="T5570" t="s">
        <v>87</v>
      </c>
      <c r="U5570" t="s">
        <v>88</v>
      </c>
      <c r="V5570" s="3">
        <v>41881</v>
      </c>
    </row>
    <row r="5571" spans="1:22" x14ac:dyDescent="0.35">
      <c r="A5571" s="1">
        <v>42297.673738425925</v>
      </c>
      <c r="B5571" s="2">
        <v>3.0555555555555557E-3</v>
      </c>
      <c r="C5571" t="s">
        <v>8873</v>
      </c>
      <c r="D5571" t="s">
        <v>623</v>
      </c>
      <c r="E5571" t="s">
        <v>624</v>
      </c>
      <c r="F5571" t="s">
        <v>8874</v>
      </c>
      <c r="G5571">
        <v>1575273</v>
      </c>
      <c r="H5571" t="s">
        <v>526</v>
      </c>
      <c r="I5571" t="s">
        <v>85</v>
      </c>
      <c r="J5571" t="str">
        <f>"9780226923154"</f>
        <v>9780226923154</v>
      </c>
      <c r="K5571" t="s">
        <v>8875</v>
      </c>
      <c r="L5571">
        <v>19</v>
      </c>
      <c r="O5571" t="s">
        <v>30</v>
      </c>
      <c r="P5571" t="s">
        <v>47</v>
      </c>
      <c r="Q5571" s="1">
        <v>42297.673738425925</v>
      </c>
      <c r="R5571">
        <v>1</v>
      </c>
      <c r="S5571" t="s">
        <v>627</v>
      </c>
      <c r="T5571" t="s">
        <v>8876</v>
      </c>
      <c r="U5571" t="s">
        <v>8877</v>
      </c>
      <c r="V5571" s="3">
        <v>41649</v>
      </c>
    </row>
    <row r="5572" spans="1:22" x14ac:dyDescent="0.35">
      <c r="A5572" s="1">
        <v>42297.670763888891</v>
      </c>
      <c r="B5572" s="2">
        <v>3.6574074074074074E-3</v>
      </c>
      <c r="C5572" t="s">
        <v>106</v>
      </c>
      <c r="D5572" t="s">
        <v>23</v>
      </c>
      <c r="E5572" t="s">
        <v>24</v>
      </c>
      <c r="F5572" t="s">
        <v>83</v>
      </c>
      <c r="G5572">
        <v>1711065</v>
      </c>
      <c r="H5572" t="s">
        <v>84</v>
      </c>
      <c r="I5572" t="s">
        <v>85</v>
      </c>
      <c r="J5572" t="str">
        <f>"9780520959156"</f>
        <v>9780520959156</v>
      </c>
      <c r="K5572" t="s">
        <v>8878</v>
      </c>
      <c r="L5572">
        <v>77</v>
      </c>
      <c r="O5572" t="s">
        <v>30</v>
      </c>
      <c r="P5572" t="s">
        <v>42</v>
      </c>
      <c r="S5572" t="s">
        <v>31</v>
      </c>
      <c r="T5572" t="s">
        <v>87</v>
      </c>
      <c r="U5572" t="s">
        <v>88</v>
      </c>
      <c r="V5572" s="3">
        <v>41881</v>
      </c>
    </row>
    <row r="5573" spans="1:22" x14ac:dyDescent="0.35">
      <c r="A5573" s="1">
        <v>42297.669282407405</v>
      </c>
      <c r="B5573" s="2">
        <v>4.4560185185185189E-3</v>
      </c>
      <c r="C5573" t="s">
        <v>8873</v>
      </c>
      <c r="D5573" t="s">
        <v>623</v>
      </c>
      <c r="E5573" t="s">
        <v>624</v>
      </c>
      <c r="F5573" t="s">
        <v>8874</v>
      </c>
      <c r="G5573">
        <v>1575273</v>
      </c>
      <c r="H5573" t="s">
        <v>526</v>
      </c>
      <c r="I5573" t="s">
        <v>85</v>
      </c>
      <c r="J5573" t="str">
        <f>"9780226923154"</f>
        <v>9780226923154</v>
      </c>
      <c r="K5573" t="s">
        <v>8879</v>
      </c>
      <c r="L5573">
        <v>32</v>
      </c>
      <c r="O5573" t="s">
        <v>30</v>
      </c>
      <c r="P5573" t="s">
        <v>50</v>
      </c>
      <c r="S5573" t="s">
        <v>627</v>
      </c>
      <c r="T5573" t="s">
        <v>8876</v>
      </c>
      <c r="U5573" t="s">
        <v>8877</v>
      </c>
      <c r="V5573" s="3">
        <v>41649</v>
      </c>
    </row>
    <row r="5574" spans="1:22" x14ac:dyDescent="0.35">
      <c r="A5574" s="1">
        <v>42297.666921296295</v>
      </c>
      <c r="B5574" s="2">
        <v>8.9236111111111113E-3</v>
      </c>
      <c r="C5574" t="s">
        <v>8870</v>
      </c>
      <c r="D5574" t="s">
        <v>335</v>
      </c>
      <c r="E5574" t="s">
        <v>336</v>
      </c>
      <c r="F5574" t="s">
        <v>7698</v>
      </c>
      <c r="G5574">
        <v>1641469</v>
      </c>
      <c r="H5574" t="s">
        <v>91</v>
      </c>
      <c r="I5574" t="s">
        <v>247</v>
      </c>
      <c r="J5574" t="str">
        <f>"9781462513444"</f>
        <v>9781462513444</v>
      </c>
      <c r="K5574" t="s">
        <v>8880</v>
      </c>
      <c r="L5574">
        <v>15</v>
      </c>
      <c r="O5574" t="s">
        <v>30</v>
      </c>
      <c r="P5574" t="s">
        <v>42</v>
      </c>
      <c r="S5574" t="s">
        <v>340</v>
      </c>
      <c r="T5574" t="s">
        <v>7700</v>
      </c>
      <c r="U5574">
        <v>616.89142000000004</v>
      </c>
      <c r="V5574" s="3">
        <v>41697</v>
      </c>
    </row>
    <row r="5575" spans="1:22" x14ac:dyDescent="0.35">
      <c r="A5575" s="1">
        <v>42297.646608796298</v>
      </c>
      <c r="B5575" s="2">
        <v>4.6296296296296294E-5</v>
      </c>
      <c r="C5575" t="s">
        <v>260</v>
      </c>
      <c r="D5575" t="s">
        <v>261</v>
      </c>
      <c r="E5575" t="s">
        <v>262</v>
      </c>
      <c r="F5575" t="s">
        <v>2935</v>
      </c>
      <c r="G5575">
        <v>1895384</v>
      </c>
      <c r="H5575" t="s">
        <v>26</v>
      </c>
      <c r="I5575" t="s">
        <v>2936</v>
      </c>
      <c r="J5575" t="str">
        <f>"9781119085836"</f>
        <v>9781119085836</v>
      </c>
      <c r="K5575" t="s">
        <v>33</v>
      </c>
      <c r="L5575">
        <v>3</v>
      </c>
      <c r="O5575" t="s">
        <v>30</v>
      </c>
      <c r="P5575" t="s">
        <v>50</v>
      </c>
      <c r="S5575" t="s">
        <v>264</v>
      </c>
      <c r="T5575" t="s">
        <v>2938</v>
      </c>
      <c r="U5575">
        <v>741.6</v>
      </c>
      <c r="V5575" s="3">
        <v>42157</v>
      </c>
    </row>
    <row r="5576" spans="1:22" x14ac:dyDescent="0.35">
      <c r="A5576" s="1">
        <v>42297.642939814818</v>
      </c>
      <c r="B5576" s="2">
        <v>6.5972222222222213E-4</v>
      </c>
      <c r="C5576" t="s">
        <v>8881</v>
      </c>
      <c r="D5576" t="s">
        <v>1222</v>
      </c>
      <c r="E5576" t="s">
        <v>1223</v>
      </c>
      <c r="F5576" t="s">
        <v>6641</v>
      </c>
      <c r="G5576">
        <v>967750</v>
      </c>
      <c r="H5576" t="s">
        <v>1365</v>
      </c>
      <c r="I5576" t="s">
        <v>172</v>
      </c>
      <c r="J5576" t="str">
        <f>"9781441116635"</f>
        <v>9781441116635</v>
      </c>
      <c r="K5576" t="s">
        <v>8882</v>
      </c>
      <c r="L5576">
        <v>6</v>
      </c>
      <c r="O5576" t="s">
        <v>30</v>
      </c>
      <c r="P5576" t="s">
        <v>42</v>
      </c>
      <c r="S5576" t="s">
        <v>1226</v>
      </c>
      <c r="T5576" t="s">
        <v>6643</v>
      </c>
      <c r="U5576">
        <v>937</v>
      </c>
      <c r="V5576" s="3">
        <v>41081</v>
      </c>
    </row>
    <row r="5577" spans="1:22" x14ac:dyDescent="0.35">
      <c r="A5577" s="1">
        <v>42297.619606481479</v>
      </c>
      <c r="B5577" s="2">
        <v>4.5833333333333334E-3</v>
      </c>
      <c r="C5577" t="s">
        <v>8883</v>
      </c>
      <c r="D5577" t="s">
        <v>23</v>
      </c>
      <c r="E5577" t="s">
        <v>24</v>
      </c>
      <c r="F5577" t="s">
        <v>5015</v>
      </c>
      <c r="G5577">
        <v>2025589</v>
      </c>
      <c r="H5577" t="s">
        <v>84</v>
      </c>
      <c r="I5577" t="s">
        <v>1724</v>
      </c>
      <c r="J5577" t="str">
        <f>"9780520962224"</f>
        <v>9780520962224</v>
      </c>
      <c r="K5577" t="s">
        <v>8884</v>
      </c>
      <c r="L5577">
        <v>32</v>
      </c>
      <c r="M5577" t="s">
        <v>8885</v>
      </c>
      <c r="N5577" t="s">
        <v>8886</v>
      </c>
      <c r="O5577" t="s">
        <v>30</v>
      </c>
      <c r="P5577" t="s">
        <v>47</v>
      </c>
      <c r="Q5577" s="1">
        <v>42297.619606481479</v>
      </c>
      <c r="R5577">
        <v>1</v>
      </c>
      <c r="S5577" t="s">
        <v>31</v>
      </c>
      <c r="T5577" t="s">
        <v>5017</v>
      </c>
      <c r="U5577">
        <v>362.19689008900002</v>
      </c>
      <c r="V5577" s="3">
        <v>42262</v>
      </c>
    </row>
    <row r="5578" spans="1:22" x14ac:dyDescent="0.35">
      <c r="A5578" s="1">
        <v>42297.617268518516</v>
      </c>
      <c r="B5578" s="2">
        <v>2.3379629629629631E-3</v>
      </c>
      <c r="C5578" t="s">
        <v>8883</v>
      </c>
      <c r="D5578" t="s">
        <v>23</v>
      </c>
      <c r="E5578" t="s">
        <v>24</v>
      </c>
      <c r="F5578" t="s">
        <v>5015</v>
      </c>
      <c r="G5578">
        <v>2025589</v>
      </c>
      <c r="H5578" t="s">
        <v>84</v>
      </c>
      <c r="I5578" t="s">
        <v>1724</v>
      </c>
      <c r="J5578" t="str">
        <f>"9780520962224"</f>
        <v>9780520962224</v>
      </c>
      <c r="K5578" t="s">
        <v>8887</v>
      </c>
      <c r="L5578">
        <v>17</v>
      </c>
      <c r="O5578" t="s">
        <v>30</v>
      </c>
      <c r="P5578" t="s">
        <v>50</v>
      </c>
      <c r="S5578" t="s">
        <v>31</v>
      </c>
      <c r="T5578" t="s">
        <v>5017</v>
      </c>
      <c r="U5578">
        <v>362.19689008900002</v>
      </c>
      <c r="V5578" s="3">
        <v>42262</v>
      </c>
    </row>
    <row r="5579" spans="1:22" x14ac:dyDescent="0.35">
      <c r="A5579" s="1">
        <v>42297.573287037034</v>
      </c>
      <c r="B5579" s="2">
        <v>1.6319444444444445E-3</v>
      </c>
      <c r="C5579" t="s">
        <v>8888</v>
      </c>
      <c r="D5579" t="s">
        <v>23</v>
      </c>
      <c r="E5579" t="s">
        <v>24</v>
      </c>
      <c r="F5579" t="s">
        <v>8714</v>
      </c>
      <c r="G5579">
        <v>817347</v>
      </c>
      <c r="H5579" t="s">
        <v>26</v>
      </c>
      <c r="I5579" t="s">
        <v>69</v>
      </c>
      <c r="J5579" t="str">
        <f>"9781118132241"</f>
        <v>9781118132241</v>
      </c>
      <c r="K5579" t="s">
        <v>8889</v>
      </c>
      <c r="L5579">
        <v>63</v>
      </c>
      <c r="O5579" t="s">
        <v>30</v>
      </c>
      <c r="P5579" t="s">
        <v>42</v>
      </c>
      <c r="S5579" t="s">
        <v>31</v>
      </c>
      <c r="T5579" t="s">
        <v>8716</v>
      </c>
      <c r="U5579">
        <v>371.20097299999998</v>
      </c>
      <c r="V5579" s="3">
        <v>40837</v>
      </c>
    </row>
    <row r="5580" spans="1:22" x14ac:dyDescent="0.35">
      <c r="A5580" s="1">
        <v>42297.564074074071</v>
      </c>
      <c r="B5580" s="2">
        <v>9.525462962962963E-3</v>
      </c>
      <c r="C5580" t="s">
        <v>8069</v>
      </c>
      <c r="D5580" t="s">
        <v>23</v>
      </c>
      <c r="E5580" t="s">
        <v>24</v>
      </c>
      <c r="F5580" t="s">
        <v>3186</v>
      </c>
      <c r="G5580">
        <v>699744</v>
      </c>
      <c r="H5580" t="s">
        <v>26</v>
      </c>
      <c r="I5580" t="s">
        <v>3187</v>
      </c>
      <c r="J5580" t="str">
        <f>"9781118585818"</f>
        <v>9781118585818</v>
      </c>
      <c r="K5580" t="s">
        <v>8890</v>
      </c>
      <c r="L5580">
        <v>20</v>
      </c>
      <c r="O5580" t="s">
        <v>30</v>
      </c>
      <c r="P5580" t="s">
        <v>29</v>
      </c>
      <c r="Q5580" s="1">
        <v>42296.808252314811</v>
      </c>
      <c r="R5580">
        <v>7</v>
      </c>
      <c r="S5580" t="s">
        <v>31</v>
      </c>
      <c r="T5580" t="s">
        <v>3188</v>
      </c>
      <c r="U5580">
        <v>621.36</v>
      </c>
      <c r="V5580" s="3">
        <v>41310</v>
      </c>
    </row>
    <row r="5581" spans="1:22" x14ac:dyDescent="0.35">
      <c r="A5581" s="1">
        <v>42297.518518518518</v>
      </c>
      <c r="B5581" s="2">
        <v>3.4722222222222222E-5</v>
      </c>
      <c r="C5581" t="s">
        <v>6275</v>
      </c>
      <c r="D5581" t="s">
        <v>23</v>
      </c>
      <c r="E5581" t="s">
        <v>24</v>
      </c>
      <c r="F5581" t="s">
        <v>1051</v>
      </c>
      <c r="G5581">
        <v>821663</v>
      </c>
      <c r="H5581" t="s">
        <v>26</v>
      </c>
      <c r="I5581" t="s">
        <v>200</v>
      </c>
      <c r="J5581" t="str">
        <f>"9781118168479"</f>
        <v>9781118168479</v>
      </c>
      <c r="K5581" t="s">
        <v>33</v>
      </c>
      <c r="L5581">
        <v>3</v>
      </c>
      <c r="O5581" t="s">
        <v>30</v>
      </c>
      <c r="P5581" t="s">
        <v>42</v>
      </c>
      <c r="S5581" t="s">
        <v>31</v>
      </c>
      <c r="T5581" t="s">
        <v>1053</v>
      </c>
      <c r="U5581">
        <v>729</v>
      </c>
      <c r="V5581" s="3">
        <v>40973</v>
      </c>
    </row>
    <row r="5582" spans="1:22" x14ac:dyDescent="0.35">
      <c r="A5582" s="1">
        <v>42297.455810185187</v>
      </c>
      <c r="B5582" s="2">
        <v>5.0694444444444452E-2</v>
      </c>
      <c r="C5582" t="s">
        <v>4681</v>
      </c>
      <c r="D5582" t="s">
        <v>1222</v>
      </c>
      <c r="E5582" t="s">
        <v>1223</v>
      </c>
      <c r="F5582" t="s">
        <v>3263</v>
      </c>
      <c r="G5582">
        <v>1840835</v>
      </c>
      <c r="H5582" t="s">
        <v>26</v>
      </c>
      <c r="I5582" t="s">
        <v>108</v>
      </c>
      <c r="J5582" t="str">
        <f>"9781118950166"</f>
        <v>9781118950166</v>
      </c>
      <c r="K5582" t="s">
        <v>8891</v>
      </c>
      <c r="L5582">
        <v>53</v>
      </c>
      <c r="O5582" t="s">
        <v>30</v>
      </c>
      <c r="P5582" t="s">
        <v>29</v>
      </c>
      <c r="Q5582" s="1">
        <v>42296.786134259259</v>
      </c>
      <c r="R5582">
        <v>7</v>
      </c>
      <c r="S5582" t="s">
        <v>1226</v>
      </c>
      <c r="T5582" t="s">
        <v>3264</v>
      </c>
      <c r="U5582">
        <v>338.10923789999998</v>
      </c>
      <c r="V5582" s="3">
        <v>41953</v>
      </c>
    </row>
    <row r="5583" spans="1:22" x14ac:dyDescent="0.35">
      <c r="A5583" s="1">
        <v>42297.45517361111</v>
      </c>
      <c r="B5583" s="2">
        <v>7.0115740740740742E-2</v>
      </c>
      <c r="C5583" t="s">
        <v>4717</v>
      </c>
      <c r="D5583" t="s">
        <v>1222</v>
      </c>
      <c r="E5583" t="s">
        <v>1223</v>
      </c>
      <c r="F5583" t="s">
        <v>3263</v>
      </c>
      <c r="G5583">
        <v>1840835</v>
      </c>
      <c r="H5583" t="s">
        <v>26</v>
      </c>
      <c r="I5583" t="s">
        <v>108</v>
      </c>
      <c r="J5583" t="str">
        <f>"9781118950166"</f>
        <v>9781118950166</v>
      </c>
      <c r="K5583" t="s">
        <v>8892</v>
      </c>
      <c r="L5583">
        <v>36</v>
      </c>
      <c r="O5583" t="s">
        <v>30</v>
      </c>
      <c r="P5583" t="s">
        <v>29</v>
      </c>
      <c r="Q5583" s="1">
        <v>42297.45517361111</v>
      </c>
      <c r="R5583">
        <v>7</v>
      </c>
      <c r="S5583" t="s">
        <v>1226</v>
      </c>
      <c r="T5583" t="s">
        <v>3264</v>
      </c>
      <c r="U5583">
        <v>338.10923789999998</v>
      </c>
      <c r="V5583" s="3">
        <v>41953</v>
      </c>
    </row>
    <row r="5584" spans="1:22" x14ac:dyDescent="0.35">
      <c r="A5584" s="1">
        <v>42297.455138888887</v>
      </c>
      <c r="B5584" s="2">
        <v>0</v>
      </c>
      <c r="C5584" t="s">
        <v>4717</v>
      </c>
      <c r="D5584" t="s">
        <v>1222</v>
      </c>
      <c r="E5584" t="s">
        <v>1223</v>
      </c>
      <c r="F5584" t="s">
        <v>3263</v>
      </c>
      <c r="G5584">
        <v>1840835</v>
      </c>
      <c r="H5584" t="s">
        <v>26</v>
      </c>
      <c r="I5584" t="s">
        <v>108</v>
      </c>
      <c r="J5584" t="str">
        <f>"9781118950166"</f>
        <v>9781118950166</v>
      </c>
      <c r="L5584">
        <v>0</v>
      </c>
      <c r="O5584" t="s">
        <v>30</v>
      </c>
      <c r="P5584" t="s">
        <v>29</v>
      </c>
      <c r="Q5584" s="1">
        <v>42297.455138888887</v>
      </c>
      <c r="R5584">
        <v>7</v>
      </c>
      <c r="S5584" t="s">
        <v>1226</v>
      </c>
      <c r="T5584" t="s">
        <v>3264</v>
      </c>
      <c r="U5584">
        <v>338.10923789999998</v>
      </c>
      <c r="V5584" s="3">
        <v>41953</v>
      </c>
    </row>
    <row r="5585" spans="1:22" x14ac:dyDescent="0.35">
      <c r="A5585" s="1">
        <v>42297.455011574071</v>
      </c>
      <c r="B5585" s="2">
        <v>0</v>
      </c>
      <c r="C5585" t="s">
        <v>4717</v>
      </c>
      <c r="D5585" t="s">
        <v>1222</v>
      </c>
      <c r="E5585" t="s">
        <v>1223</v>
      </c>
      <c r="F5585" t="s">
        <v>3263</v>
      </c>
      <c r="G5585">
        <v>1840835</v>
      </c>
      <c r="H5585" t="s">
        <v>26</v>
      </c>
      <c r="I5585" t="s">
        <v>108</v>
      </c>
      <c r="J5585" t="str">
        <f>"9781118950166"</f>
        <v>9781118950166</v>
      </c>
      <c r="L5585">
        <v>0</v>
      </c>
      <c r="O5585" t="s">
        <v>30</v>
      </c>
      <c r="P5585" t="s">
        <v>29</v>
      </c>
      <c r="Q5585" s="1">
        <v>42297.455011574071</v>
      </c>
      <c r="R5585">
        <v>7</v>
      </c>
      <c r="S5585" t="s">
        <v>1226</v>
      </c>
      <c r="T5585" t="s">
        <v>3264</v>
      </c>
      <c r="U5585">
        <v>338.10923789999998</v>
      </c>
      <c r="V5585" s="3">
        <v>41953</v>
      </c>
    </row>
    <row r="5586" spans="1:22" x14ac:dyDescent="0.35">
      <c r="A5586" s="1">
        <v>42297.447858796295</v>
      </c>
      <c r="B5586" s="2">
        <v>7.3148148148148148E-3</v>
      </c>
      <c r="C5586" t="s">
        <v>4717</v>
      </c>
      <c r="D5586" t="s">
        <v>1222</v>
      </c>
      <c r="E5586" t="s">
        <v>1223</v>
      </c>
      <c r="F5586" t="s">
        <v>3263</v>
      </c>
      <c r="G5586">
        <v>1840835</v>
      </c>
      <c r="H5586" t="s">
        <v>26</v>
      </c>
      <c r="I5586" t="s">
        <v>108</v>
      </c>
      <c r="J5586" t="str">
        <f>"9781118950166"</f>
        <v>9781118950166</v>
      </c>
      <c r="K5586" t="s">
        <v>8893</v>
      </c>
      <c r="L5586">
        <v>44</v>
      </c>
      <c r="O5586" t="s">
        <v>30</v>
      </c>
      <c r="P5586" t="s">
        <v>42</v>
      </c>
      <c r="S5586" t="s">
        <v>1226</v>
      </c>
      <c r="T5586" t="s">
        <v>3264</v>
      </c>
      <c r="U5586">
        <v>338.10923789999998</v>
      </c>
      <c r="V5586" s="3">
        <v>41953</v>
      </c>
    </row>
    <row r="5587" spans="1:22" x14ac:dyDescent="0.35">
      <c r="A5587" s="1">
        <v>42297.332812499997</v>
      </c>
      <c r="B5587" s="2">
        <v>7.6388888888888893E-4</v>
      </c>
      <c r="C5587" t="s">
        <v>8894</v>
      </c>
      <c r="D5587" t="s">
        <v>23</v>
      </c>
      <c r="E5587" t="s">
        <v>24</v>
      </c>
      <c r="F5587" t="s">
        <v>3186</v>
      </c>
      <c r="G5587">
        <v>699744</v>
      </c>
      <c r="H5587" t="s">
        <v>26</v>
      </c>
      <c r="I5587" t="s">
        <v>3187</v>
      </c>
      <c r="J5587" t="str">
        <f>"9781118585818"</f>
        <v>9781118585818</v>
      </c>
      <c r="K5587" t="s">
        <v>8895</v>
      </c>
      <c r="L5587">
        <v>36</v>
      </c>
      <c r="O5587" t="s">
        <v>30</v>
      </c>
      <c r="P5587" t="s">
        <v>42</v>
      </c>
      <c r="S5587" t="s">
        <v>31</v>
      </c>
      <c r="T5587" t="s">
        <v>3188</v>
      </c>
      <c r="U5587">
        <v>621.36</v>
      </c>
      <c r="V5587" s="3">
        <v>41310</v>
      </c>
    </row>
    <row r="5588" spans="1:22" x14ac:dyDescent="0.35">
      <c r="A5588" s="1">
        <v>42297.277881944443</v>
      </c>
      <c r="B5588" s="2">
        <v>9.4560185185185181E-3</v>
      </c>
      <c r="C5588" t="s">
        <v>106</v>
      </c>
      <c r="D5588" t="s">
        <v>23</v>
      </c>
      <c r="E5588" t="s">
        <v>24</v>
      </c>
      <c r="F5588" t="s">
        <v>796</v>
      </c>
      <c r="G5588">
        <v>947579</v>
      </c>
      <c r="H5588" t="s">
        <v>26</v>
      </c>
      <c r="I5588" t="s">
        <v>97</v>
      </c>
      <c r="J5588" t="str">
        <f>"9781118419632"</f>
        <v>9781118419632</v>
      </c>
      <c r="K5588" t="s">
        <v>8896</v>
      </c>
      <c r="L5588">
        <v>49</v>
      </c>
      <c r="O5588" t="s">
        <v>30</v>
      </c>
      <c r="P5588" t="s">
        <v>29</v>
      </c>
      <c r="Q5588" s="1">
        <v>42297.277881944443</v>
      </c>
      <c r="R5588">
        <v>7</v>
      </c>
      <c r="S5588" t="s">
        <v>31</v>
      </c>
      <c r="T5588" t="s">
        <v>797</v>
      </c>
      <c r="U5588">
        <v>657.45</v>
      </c>
      <c r="V5588" s="3">
        <v>41241</v>
      </c>
    </row>
    <row r="5589" spans="1:22" x14ac:dyDescent="0.35">
      <c r="A5589" s="1">
        <v>42297.264814814815</v>
      </c>
      <c r="B5589" s="2">
        <v>1.306712962962963E-2</v>
      </c>
      <c r="C5589" t="s">
        <v>106</v>
      </c>
      <c r="D5589" t="s">
        <v>23</v>
      </c>
      <c r="E5589" t="s">
        <v>24</v>
      </c>
      <c r="F5589" t="s">
        <v>796</v>
      </c>
      <c r="G5589">
        <v>947579</v>
      </c>
      <c r="H5589" t="s">
        <v>26</v>
      </c>
      <c r="I5589" t="s">
        <v>97</v>
      </c>
      <c r="J5589" t="str">
        <f>"9781118419632"</f>
        <v>9781118419632</v>
      </c>
      <c r="K5589" t="s">
        <v>8897</v>
      </c>
      <c r="L5589">
        <v>8</v>
      </c>
      <c r="O5589" t="s">
        <v>30</v>
      </c>
      <c r="P5589" t="s">
        <v>42</v>
      </c>
      <c r="S5589" t="s">
        <v>31</v>
      </c>
      <c r="T5589" t="s">
        <v>797</v>
      </c>
      <c r="U5589">
        <v>657.45</v>
      </c>
      <c r="V5589" s="3">
        <v>41241</v>
      </c>
    </row>
    <row r="5590" spans="1:22" x14ac:dyDescent="0.35">
      <c r="A5590" s="1">
        <v>42297.210405092592</v>
      </c>
      <c r="B5590" s="2">
        <v>6.5393518518518517E-3</v>
      </c>
      <c r="C5590" t="s">
        <v>4059</v>
      </c>
      <c r="D5590" t="s">
        <v>23</v>
      </c>
      <c r="E5590" t="s">
        <v>24</v>
      </c>
      <c r="F5590" t="s">
        <v>3186</v>
      </c>
      <c r="G5590">
        <v>699744</v>
      </c>
      <c r="H5590" t="s">
        <v>26</v>
      </c>
      <c r="I5590" t="s">
        <v>3187</v>
      </c>
      <c r="J5590" t="str">
        <f>"9781118585818"</f>
        <v>9781118585818</v>
      </c>
      <c r="K5590" t="s">
        <v>8898</v>
      </c>
      <c r="L5590">
        <v>22</v>
      </c>
      <c r="O5590" t="s">
        <v>30</v>
      </c>
      <c r="P5590" t="s">
        <v>42</v>
      </c>
      <c r="S5590" t="s">
        <v>31</v>
      </c>
      <c r="T5590" t="s">
        <v>3188</v>
      </c>
      <c r="U5590">
        <v>621.36</v>
      </c>
      <c r="V5590" s="3">
        <v>41310</v>
      </c>
    </row>
    <row r="5591" spans="1:22" x14ac:dyDescent="0.35">
      <c r="A5591" s="1">
        <v>42297.135474537034</v>
      </c>
      <c r="B5591" s="2">
        <v>1.6979166666666667E-2</v>
      </c>
      <c r="C5591" t="s">
        <v>8858</v>
      </c>
      <c r="D5591" t="s">
        <v>23</v>
      </c>
      <c r="E5591" t="s">
        <v>24</v>
      </c>
      <c r="F5591" t="s">
        <v>6635</v>
      </c>
      <c r="G5591">
        <v>817871</v>
      </c>
      <c r="H5591" t="s">
        <v>26</v>
      </c>
      <c r="I5591" t="s">
        <v>276</v>
      </c>
      <c r="J5591" t="str">
        <f>"9781118206911"</f>
        <v>9781118206911</v>
      </c>
      <c r="K5591" t="s">
        <v>8899</v>
      </c>
      <c r="L5591">
        <v>35</v>
      </c>
      <c r="O5591" t="s">
        <v>30</v>
      </c>
      <c r="P5591" t="s">
        <v>29</v>
      </c>
      <c r="Q5591" s="1">
        <v>42297.135462962964</v>
      </c>
      <c r="R5591">
        <v>7</v>
      </c>
      <c r="S5591" t="s">
        <v>31</v>
      </c>
      <c r="T5591" t="s">
        <v>6637</v>
      </c>
      <c r="U5591">
        <v>6.74</v>
      </c>
      <c r="V5591" s="3">
        <v>40897</v>
      </c>
    </row>
    <row r="5592" spans="1:22" x14ac:dyDescent="0.35">
      <c r="A5592" s="1">
        <v>42297.12841435185</v>
      </c>
      <c r="B5592" s="2">
        <v>7.0486111111111105E-3</v>
      </c>
      <c r="C5592" t="s">
        <v>8858</v>
      </c>
      <c r="D5592" t="s">
        <v>23</v>
      </c>
      <c r="E5592" t="s">
        <v>24</v>
      </c>
      <c r="F5592" t="s">
        <v>6635</v>
      </c>
      <c r="G5592">
        <v>817871</v>
      </c>
      <c r="H5592" t="s">
        <v>26</v>
      </c>
      <c r="I5592" t="s">
        <v>276</v>
      </c>
      <c r="J5592" t="str">
        <f>"9781118206911"</f>
        <v>9781118206911</v>
      </c>
      <c r="K5592" t="s">
        <v>8900</v>
      </c>
      <c r="L5592">
        <v>57</v>
      </c>
      <c r="O5592" t="s">
        <v>30</v>
      </c>
      <c r="P5592" t="s">
        <v>42</v>
      </c>
      <c r="S5592" t="s">
        <v>31</v>
      </c>
      <c r="T5592" t="s">
        <v>6637</v>
      </c>
      <c r="U5592">
        <v>6.74</v>
      </c>
      <c r="V5592" s="3">
        <v>40897</v>
      </c>
    </row>
    <row r="5593" spans="1:22" x14ac:dyDescent="0.35">
      <c r="A5593" s="1">
        <v>42297.112986111111</v>
      </c>
      <c r="B5593" s="2">
        <v>1.1550925925925925E-2</v>
      </c>
      <c r="C5593" t="s">
        <v>4741</v>
      </c>
      <c r="D5593" t="s">
        <v>1222</v>
      </c>
      <c r="E5593" t="s">
        <v>1223</v>
      </c>
      <c r="F5593" t="s">
        <v>3263</v>
      </c>
      <c r="G5593">
        <v>1840835</v>
      </c>
      <c r="H5593" t="s">
        <v>26</v>
      </c>
      <c r="I5593" t="s">
        <v>108</v>
      </c>
      <c r="J5593" t="str">
        <f>"9781118950166"</f>
        <v>9781118950166</v>
      </c>
      <c r="K5593" t="s">
        <v>8901</v>
      </c>
      <c r="L5593">
        <v>48</v>
      </c>
      <c r="O5593" t="s">
        <v>30</v>
      </c>
      <c r="P5593" t="s">
        <v>29</v>
      </c>
      <c r="Q5593" s="1">
        <v>42293.086006944446</v>
      </c>
      <c r="R5593">
        <v>7</v>
      </c>
      <c r="S5593" t="s">
        <v>1226</v>
      </c>
      <c r="T5593" t="s">
        <v>3264</v>
      </c>
      <c r="U5593">
        <v>338.10923789999998</v>
      </c>
      <c r="V5593" s="3">
        <v>41953</v>
      </c>
    </row>
    <row r="5594" spans="1:22" x14ac:dyDescent="0.35">
      <c r="A5594" s="1">
        <v>42297.090520833335</v>
      </c>
      <c r="B5594" s="2">
        <v>0</v>
      </c>
      <c r="C5594" t="s">
        <v>8902</v>
      </c>
      <c r="D5594" t="s">
        <v>2519</v>
      </c>
      <c r="E5594" t="s">
        <v>2520</v>
      </c>
      <c r="F5594" t="s">
        <v>8903</v>
      </c>
      <c r="G5594">
        <v>1869097</v>
      </c>
      <c r="H5594" t="s">
        <v>26</v>
      </c>
      <c r="I5594" t="s">
        <v>8904</v>
      </c>
      <c r="J5594" t="str">
        <f>"9781118663295"</f>
        <v>9781118663295</v>
      </c>
      <c r="L5594">
        <v>0</v>
      </c>
      <c r="O5594" t="s">
        <v>28</v>
      </c>
      <c r="P5594" t="s">
        <v>29</v>
      </c>
      <c r="Q5594" s="1">
        <v>42297.090509259258</v>
      </c>
      <c r="R5594">
        <v>7</v>
      </c>
      <c r="S5594" t="s">
        <v>3786</v>
      </c>
      <c r="T5594" t="s">
        <v>8905</v>
      </c>
      <c r="U5594">
        <v>725</v>
      </c>
      <c r="V5594" s="3">
        <v>41964</v>
      </c>
    </row>
    <row r="5595" spans="1:22" x14ac:dyDescent="0.35">
      <c r="A5595" s="1">
        <v>42297.090509259258</v>
      </c>
      <c r="B5595" s="2">
        <v>0</v>
      </c>
      <c r="C5595" t="s">
        <v>8902</v>
      </c>
      <c r="D5595" t="s">
        <v>2519</v>
      </c>
      <c r="E5595" t="s">
        <v>2520</v>
      </c>
      <c r="F5595" t="s">
        <v>8903</v>
      </c>
      <c r="G5595">
        <v>1869097</v>
      </c>
      <c r="H5595" t="s">
        <v>26</v>
      </c>
      <c r="I5595" t="s">
        <v>8904</v>
      </c>
      <c r="J5595" t="str">
        <f>"9781118663295"</f>
        <v>9781118663295</v>
      </c>
      <c r="L5595">
        <v>0</v>
      </c>
      <c r="O5595" t="s">
        <v>30</v>
      </c>
      <c r="P5595" t="s">
        <v>29</v>
      </c>
      <c r="Q5595" s="1">
        <v>42297.090509259258</v>
      </c>
      <c r="R5595">
        <v>7</v>
      </c>
      <c r="S5595" t="s">
        <v>3786</v>
      </c>
      <c r="T5595" t="s">
        <v>8905</v>
      </c>
      <c r="U5595">
        <v>725</v>
      </c>
      <c r="V5595" s="3">
        <v>41964</v>
      </c>
    </row>
    <row r="5596" spans="1:22" x14ac:dyDescent="0.35">
      <c r="A5596" s="1">
        <v>42297.088587962964</v>
      </c>
      <c r="B5596" s="2">
        <v>1.9212962962962962E-3</v>
      </c>
      <c r="C5596" t="s">
        <v>8902</v>
      </c>
      <c r="D5596" t="s">
        <v>2519</v>
      </c>
      <c r="E5596" t="s">
        <v>2520</v>
      </c>
      <c r="F5596" t="s">
        <v>8903</v>
      </c>
      <c r="G5596">
        <v>1869097</v>
      </c>
      <c r="H5596" t="s">
        <v>26</v>
      </c>
      <c r="I5596" t="s">
        <v>8904</v>
      </c>
      <c r="J5596" t="str">
        <f>"9781118663295"</f>
        <v>9781118663295</v>
      </c>
      <c r="K5596" t="s">
        <v>8906</v>
      </c>
      <c r="L5596">
        <v>15</v>
      </c>
      <c r="O5596" t="s">
        <v>30</v>
      </c>
      <c r="P5596" t="s">
        <v>50</v>
      </c>
      <c r="S5596" t="s">
        <v>3786</v>
      </c>
      <c r="T5596" t="s">
        <v>8905</v>
      </c>
      <c r="U5596">
        <v>725</v>
      </c>
      <c r="V5596" s="3">
        <v>41964</v>
      </c>
    </row>
    <row r="5597" spans="1:22" x14ac:dyDescent="0.35">
      <c r="A5597" s="1">
        <v>42297.064004629632</v>
      </c>
      <c r="B5597" s="2">
        <v>5.347222222222222E-3</v>
      </c>
      <c r="C5597" t="s">
        <v>8571</v>
      </c>
      <c r="D5597" t="s">
        <v>23</v>
      </c>
      <c r="E5597" t="s">
        <v>24</v>
      </c>
      <c r="F5597" t="s">
        <v>2419</v>
      </c>
      <c r="G5597">
        <v>1110728</v>
      </c>
      <c r="H5597" t="s">
        <v>26</v>
      </c>
      <c r="I5597" t="s">
        <v>108</v>
      </c>
      <c r="J5597" t="str">
        <f>"9781118461204"</f>
        <v>9781118461204</v>
      </c>
      <c r="K5597" t="s">
        <v>8907</v>
      </c>
      <c r="L5597">
        <v>13</v>
      </c>
      <c r="O5597" t="s">
        <v>28</v>
      </c>
      <c r="P5597" t="s">
        <v>29</v>
      </c>
      <c r="Q5597" s="1">
        <v>42295.659212962964</v>
      </c>
      <c r="R5597">
        <v>7</v>
      </c>
      <c r="S5597" t="s">
        <v>31</v>
      </c>
      <c r="T5597" t="s">
        <v>2421</v>
      </c>
      <c r="U5597" t="s">
        <v>2422</v>
      </c>
      <c r="V5597" s="3">
        <v>41283</v>
      </c>
    </row>
    <row r="5598" spans="1:22" x14ac:dyDescent="0.35">
      <c r="A5598" s="1">
        <v>42297.061423611114</v>
      </c>
      <c r="B5598" s="2">
        <v>2.1643518518518518E-3</v>
      </c>
      <c r="C5598" t="s">
        <v>8571</v>
      </c>
      <c r="D5598" t="s">
        <v>23</v>
      </c>
      <c r="E5598" t="s">
        <v>24</v>
      </c>
      <c r="F5598" t="s">
        <v>2419</v>
      </c>
      <c r="G5598">
        <v>1110728</v>
      </c>
      <c r="H5598" t="s">
        <v>26</v>
      </c>
      <c r="I5598" t="s">
        <v>108</v>
      </c>
      <c r="J5598" t="str">
        <f>"9781118461204"</f>
        <v>9781118461204</v>
      </c>
      <c r="K5598" t="s">
        <v>8908</v>
      </c>
      <c r="L5598">
        <v>25</v>
      </c>
      <c r="O5598" t="s">
        <v>30</v>
      </c>
      <c r="P5598" t="s">
        <v>29</v>
      </c>
      <c r="Q5598" s="1">
        <v>42295.659212962964</v>
      </c>
      <c r="R5598">
        <v>7</v>
      </c>
      <c r="S5598" t="s">
        <v>31</v>
      </c>
      <c r="T5598" t="s">
        <v>2421</v>
      </c>
      <c r="U5598" t="s">
        <v>2422</v>
      </c>
      <c r="V5598" s="3">
        <v>41283</v>
      </c>
    </row>
    <row r="5599" spans="1:22" x14ac:dyDescent="0.35">
      <c r="A5599" s="1">
        <v>42297.054050925923</v>
      </c>
      <c r="B5599" s="2">
        <v>8.4444444444444447E-2</v>
      </c>
      <c r="C5599" t="s">
        <v>2468</v>
      </c>
      <c r="D5599" t="s">
        <v>35</v>
      </c>
      <c r="E5599" t="s">
        <v>36</v>
      </c>
      <c r="F5599" t="s">
        <v>327</v>
      </c>
      <c r="G5599">
        <v>1691426</v>
      </c>
      <c r="H5599" t="s">
        <v>26</v>
      </c>
      <c r="I5599" t="s">
        <v>328</v>
      </c>
      <c r="J5599" t="str">
        <f>"9781118839492"</f>
        <v>9781118839492</v>
      </c>
      <c r="K5599" t="s">
        <v>8909</v>
      </c>
      <c r="L5599">
        <v>387</v>
      </c>
      <c r="O5599" t="s">
        <v>30</v>
      </c>
      <c r="P5599" t="s">
        <v>47</v>
      </c>
      <c r="Q5599" s="1">
        <v>42297.054050925923</v>
      </c>
      <c r="R5599">
        <v>1</v>
      </c>
      <c r="S5599" t="s">
        <v>40</v>
      </c>
      <c r="T5599" t="s">
        <v>331</v>
      </c>
      <c r="U5599">
        <v>613.70460000000003</v>
      </c>
      <c r="V5599" s="3">
        <v>41772</v>
      </c>
    </row>
    <row r="5600" spans="1:22" x14ac:dyDescent="0.35">
      <c r="A5600" s="1">
        <v>42297.049386574072</v>
      </c>
      <c r="B5600" s="2">
        <v>4.6643518518518518E-3</v>
      </c>
      <c r="C5600" t="s">
        <v>2468</v>
      </c>
      <c r="D5600" t="s">
        <v>35</v>
      </c>
      <c r="E5600" t="s">
        <v>36</v>
      </c>
      <c r="F5600" t="s">
        <v>327</v>
      </c>
      <c r="G5600">
        <v>1691426</v>
      </c>
      <c r="H5600" t="s">
        <v>26</v>
      </c>
      <c r="I5600" t="s">
        <v>328</v>
      </c>
      <c r="J5600" t="str">
        <f>"9781118839492"</f>
        <v>9781118839492</v>
      </c>
      <c r="K5600" t="s">
        <v>8910</v>
      </c>
      <c r="L5600">
        <v>13</v>
      </c>
      <c r="O5600" t="s">
        <v>30</v>
      </c>
      <c r="P5600" t="s">
        <v>50</v>
      </c>
      <c r="S5600" t="s">
        <v>40</v>
      </c>
      <c r="T5600" t="s">
        <v>331</v>
      </c>
      <c r="U5600">
        <v>613.70460000000003</v>
      </c>
      <c r="V5600" s="3">
        <v>41772</v>
      </c>
    </row>
    <row r="5601" spans="1:22" x14ac:dyDescent="0.35">
      <c r="A5601" s="1">
        <v>42297.046261574076</v>
      </c>
      <c r="B5601" s="2">
        <v>4.6296296296296294E-5</v>
      </c>
      <c r="C5601" t="s">
        <v>5552</v>
      </c>
      <c r="D5601" t="s">
        <v>23</v>
      </c>
      <c r="E5601" t="s">
        <v>24</v>
      </c>
      <c r="F5601" t="s">
        <v>3060</v>
      </c>
      <c r="G5601">
        <v>1120279</v>
      </c>
      <c r="H5601" t="s">
        <v>26</v>
      </c>
      <c r="I5601" t="s">
        <v>3061</v>
      </c>
      <c r="J5601" t="str">
        <f>"9781118537671"</f>
        <v>9781118537671</v>
      </c>
      <c r="K5601" t="s">
        <v>33</v>
      </c>
      <c r="L5601">
        <v>3</v>
      </c>
      <c r="O5601" t="s">
        <v>30</v>
      </c>
      <c r="P5601" t="s">
        <v>42</v>
      </c>
      <c r="S5601" t="s">
        <v>31</v>
      </c>
      <c r="T5601" t="s">
        <v>3063</v>
      </c>
      <c r="U5601">
        <v>599.93499999999995</v>
      </c>
      <c r="V5601" s="3">
        <v>41232</v>
      </c>
    </row>
    <row r="5602" spans="1:22" x14ac:dyDescent="0.35">
      <c r="A5602" s="1">
        <v>42297.009629629632</v>
      </c>
      <c r="B5602" s="2">
        <v>1.7858796296296296E-2</v>
      </c>
      <c r="C5602" t="s">
        <v>106</v>
      </c>
      <c r="D5602" t="s">
        <v>23</v>
      </c>
      <c r="E5602" t="s">
        <v>24</v>
      </c>
      <c r="F5602" t="s">
        <v>1051</v>
      </c>
      <c r="G5602">
        <v>821663</v>
      </c>
      <c r="H5602" t="s">
        <v>26</v>
      </c>
      <c r="I5602" t="s">
        <v>200</v>
      </c>
      <c r="J5602" t="str">
        <f>"9781118168479"</f>
        <v>9781118168479</v>
      </c>
      <c r="K5602" t="s">
        <v>8911</v>
      </c>
      <c r="L5602">
        <v>11</v>
      </c>
      <c r="O5602" t="s">
        <v>30</v>
      </c>
      <c r="P5602" t="s">
        <v>29</v>
      </c>
      <c r="Q5602" s="1">
        <v>42297.009629629632</v>
      </c>
      <c r="R5602">
        <v>7</v>
      </c>
      <c r="S5602" t="s">
        <v>31</v>
      </c>
      <c r="T5602" t="s">
        <v>1053</v>
      </c>
      <c r="U5602">
        <v>729</v>
      </c>
      <c r="V5602" s="3">
        <v>40973</v>
      </c>
    </row>
    <row r="5603" spans="1:22" x14ac:dyDescent="0.35">
      <c r="A5603" s="1">
        <v>42297.002858796295</v>
      </c>
      <c r="B5603" s="2">
        <v>0</v>
      </c>
      <c r="C5603" t="s">
        <v>8912</v>
      </c>
      <c r="D5603" t="s">
        <v>23</v>
      </c>
      <c r="E5603" t="s">
        <v>24</v>
      </c>
      <c r="F5603" t="s">
        <v>3186</v>
      </c>
      <c r="G5603">
        <v>699744</v>
      </c>
      <c r="H5603" t="s">
        <v>26</v>
      </c>
      <c r="I5603" t="s">
        <v>3187</v>
      </c>
      <c r="J5603" t="str">
        <f>"9781118585818"</f>
        <v>9781118585818</v>
      </c>
      <c r="L5603">
        <v>0</v>
      </c>
      <c r="M5603" t="s">
        <v>105</v>
      </c>
      <c r="O5603" t="s">
        <v>30</v>
      </c>
      <c r="P5603" t="s">
        <v>29</v>
      </c>
      <c r="Q5603" s="1">
        <v>42297.002858796295</v>
      </c>
      <c r="R5603">
        <v>7</v>
      </c>
      <c r="S5603" t="s">
        <v>31</v>
      </c>
      <c r="T5603" t="s">
        <v>3188</v>
      </c>
      <c r="U5603">
        <v>621.36</v>
      </c>
      <c r="V5603" s="3">
        <v>41310</v>
      </c>
    </row>
    <row r="5604" spans="1:22" x14ac:dyDescent="0.35">
      <c r="A5604" s="1">
        <v>42297.002523148149</v>
      </c>
      <c r="B5604" s="2">
        <v>3.3564814814814812E-4</v>
      </c>
      <c r="C5604" t="s">
        <v>8912</v>
      </c>
      <c r="D5604" t="s">
        <v>23</v>
      </c>
      <c r="E5604" t="s">
        <v>24</v>
      </c>
      <c r="F5604" t="s">
        <v>3186</v>
      </c>
      <c r="G5604">
        <v>699744</v>
      </c>
      <c r="H5604" t="s">
        <v>26</v>
      </c>
      <c r="I5604" t="s">
        <v>3187</v>
      </c>
      <c r="J5604" t="str">
        <f>"9781118585818"</f>
        <v>9781118585818</v>
      </c>
      <c r="K5604" t="s">
        <v>935</v>
      </c>
      <c r="L5604">
        <v>3</v>
      </c>
      <c r="O5604" t="s">
        <v>30</v>
      </c>
      <c r="P5604" t="s">
        <v>42</v>
      </c>
      <c r="S5604" t="s">
        <v>31</v>
      </c>
      <c r="T5604" t="s">
        <v>3188</v>
      </c>
      <c r="U5604">
        <v>621.36</v>
      </c>
      <c r="V5604" s="3">
        <v>41310</v>
      </c>
    </row>
    <row r="5605" spans="1:22" x14ac:dyDescent="0.35">
      <c r="A5605" s="1">
        <v>42296.997812499998</v>
      </c>
      <c r="B5605" s="2">
        <v>5.9027777777777778E-4</v>
      </c>
      <c r="C5605" t="s">
        <v>106</v>
      </c>
      <c r="D5605" t="s">
        <v>23</v>
      </c>
      <c r="E5605" t="s">
        <v>24</v>
      </c>
      <c r="F5605" t="s">
        <v>8913</v>
      </c>
      <c r="G5605">
        <v>2039139</v>
      </c>
      <c r="H5605" t="s">
        <v>45</v>
      </c>
      <c r="I5605" t="s">
        <v>841</v>
      </c>
      <c r="J5605" t="str">
        <f>"9781472441072"</f>
        <v>9781472441072</v>
      </c>
      <c r="K5605" t="s">
        <v>889</v>
      </c>
      <c r="L5605">
        <v>6</v>
      </c>
      <c r="O5605" t="s">
        <v>30</v>
      </c>
      <c r="P5605" t="s">
        <v>50</v>
      </c>
      <c r="S5605" t="s">
        <v>31</v>
      </c>
      <c r="T5605" t="s">
        <v>8914</v>
      </c>
      <c r="U5605" t="s">
        <v>8915</v>
      </c>
      <c r="V5605" s="3">
        <v>42183</v>
      </c>
    </row>
    <row r="5606" spans="1:22" x14ac:dyDescent="0.35">
      <c r="A5606" s="1">
        <v>42296.996412037035</v>
      </c>
      <c r="B5606" s="2">
        <v>3.7731481481481483E-3</v>
      </c>
      <c r="C5606" t="s">
        <v>6171</v>
      </c>
      <c r="D5606" t="s">
        <v>35</v>
      </c>
      <c r="E5606" t="s">
        <v>36</v>
      </c>
      <c r="F5606" t="s">
        <v>986</v>
      </c>
      <c r="G5606">
        <v>968030</v>
      </c>
      <c r="H5606" t="s">
        <v>26</v>
      </c>
      <c r="I5606" t="s">
        <v>219</v>
      </c>
      <c r="J5606" t="str">
        <f>"9781118285138"</f>
        <v>9781118285138</v>
      </c>
      <c r="K5606" t="s">
        <v>8916</v>
      </c>
      <c r="L5606">
        <v>13</v>
      </c>
      <c r="O5606" t="s">
        <v>30</v>
      </c>
      <c r="P5606" t="s">
        <v>29</v>
      </c>
      <c r="Q5606" s="1">
        <v>42296.996412037035</v>
      </c>
      <c r="R5606">
        <v>7</v>
      </c>
      <c r="S5606" t="s">
        <v>40</v>
      </c>
      <c r="T5606" t="s">
        <v>987</v>
      </c>
      <c r="U5606">
        <v>158.30000000000001</v>
      </c>
      <c r="V5606" s="3">
        <v>41100</v>
      </c>
    </row>
    <row r="5607" spans="1:22" x14ac:dyDescent="0.35">
      <c r="A5607" s="1">
        <v>42296.988171296296</v>
      </c>
      <c r="B5607" s="2">
        <v>2.1458333333333333E-2</v>
      </c>
      <c r="C5607" t="s">
        <v>106</v>
      </c>
      <c r="D5607" t="s">
        <v>23</v>
      </c>
      <c r="E5607" t="s">
        <v>24</v>
      </c>
      <c r="F5607" t="s">
        <v>1051</v>
      </c>
      <c r="G5607">
        <v>821663</v>
      </c>
      <c r="H5607" t="s">
        <v>26</v>
      </c>
      <c r="I5607" t="s">
        <v>200</v>
      </c>
      <c r="J5607" t="str">
        <f>"9781118168479"</f>
        <v>9781118168479</v>
      </c>
      <c r="K5607" t="s">
        <v>8917</v>
      </c>
      <c r="L5607">
        <v>63</v>
      </c>
      <c r="O5607" t="s">
        <v>30</v>
      </c>
      <c r="P5607" t="s">
        <v>42</v>
      </c>
      <c r="S5607" t="s">
        <v>31</v>
      </c>
      <c r="T5607" t="s">
        <v>1053</v>
      </c>
      <c r="U5607">
        <v>729</v>
      </c>
      <c r="V5607" s="3">
        <v>40973</v>
      </c>
    </row>
    <row r="5608" spans="1:22" x14ac:dyDescent="0.35">
      <c r="A5608" s="1">
        <v>42296.980856481481</v>
      </c>
      <c r="B5608" s="2">
        <v>1.5555555555555553E-2</v>
      </c>
      <c r="C5608" t="s">
        <v>6171</v>
      </c>
      <c r="D5608" t="s">
        <v>35</v>
      </c>
      <c r="E5608" t="s">
        <v>36</v>
      </c>
      <c r="F5608" t="s">
        <v>986</v>
      </c>
      <c r="G5608">
        <v>968030</v>
      </c>
      <c r="H5608" t="s">
        <v>26</v>
      </c>
      <c r="I5608" t="s">
        <v>219</v>
      </c>
      <c r="J5608" t="str">
        <f>"9781118285138"</f>
        <v>9781118285138</v>
      </c>
      <c r="K5608" t="s">
        <v>8918</v>
      </c>
      <c r="L5608">
        <v>12</v>
      </c>
      <c r="O5608" t="s">
        <v>30</v>
      </c>
      <c r="P5608" t="s">
        <v>42</v>
      </c>
      <c r="S5608" t="s">
        <v>40</v>
      </c>
      <c r="T5608" t="s">
        <v>987</v>
      </c>
      <c r="U5608">
        <v>158.30000000000001</v>
      </c>
      <c r="V5608" s="3">
        <v>41100</v>
      </c>
    </row>
    <row r="5609" spans="1:22" x14ac:dyDescent="0.35">
      <c r="A5609" s="1">
        <v>42296.978946759256</v>
      </c>
      <c r="B5609" s="2">
        <v>1.0416666666666667E-3</v>
      </c>
      <c r="C5609" t="s">
        <v>5995</v>
      </c>
      <c r="D5609" t="s">
        <v>335</v>
      </c>
      <c r="E5609" t="s">
        <v>336</v>
      </c>
      <c r="F5609" t="s">
        <v>3732</v>
      </c>
      <c r="G5609">
        <v>284109</v>
      </c>
      <c r="H5609" t="s">
        <v>26</v>
      </c>
      <c r="I5609" t="s">
        <v>338</v>
      </c>
      <c r="J5609" t="str">
        <f>"9781405173469"</f>
        <v>9781405173469</v>
      </c>
      <c r="K5609" t="s">
        <v>634</v>
      </c>
      <c r="L5609">
        <v>24</v>
      </c>
      <c r="O5609" t="s">
        <v>30</v>
      </c>
      <c r="P5609" t="s">
        <v>47</v>
      </c>
      <c r="Q5609" s="1">
        <v>42296.610081018516</v>
      </c>
      <c r="R5609">
        <v>1</v>
      </c>
      <c r="S5609" t="s">
        <v>340</v>
      </c>
      <c r="T5609" t="s">
        <v>3734</v>
      </c>
      <c r="U5609" t="s">
        <v>3735</v>
      </c>
      <c r="V5609" s="3">
        <v>41409</v>
      </c>
    </row>
    <row r="5610" spans="1:22" x14ac:dyDescent="0.35">
      <c r="A5610" s="1">
        <v>42296.954444444447</v>
      </c>
      <c r="B5610" s="2">
        <v>3.5879629629629635E-4</v>
      </c>
      <c r="C5610" t="s">
        <v>8919</v>
      </c>
      <c r="D5610" t="s">
        <v>2519</v>
      </c>
      <c r="E5610" t="s">
        <v>2520</v>
      </c>
      <c r="F5610" t="s">
        <v>3317</v>
      </c>
      <c r="G5610">
        <v>1895554</v>
      </c>
      <c r="H5610" t="s">
        <v>26</v>
      </c>
      <c r="I5610" t="s">
        <v>3318</v>
      </c>
      <c r="J5610" t="str">
        <f>"9781118708507"</f>
        <v>9781118708507</v>
      </c>
      <c r="K5610" t="s">
        <v>867</v>
      </c>
      <c r="L5610">
        <v>10</v>
      </c>
      <c r="O5610" t="s">
        <v>30</v>
      </c>
      <c r="P5610" t="s">
        <v>50</v>
      </c>
      <c r="S5610" t="s">
        <v>3786</v>
      </c>
      <c r="T5610" t="s">
        <v>3319</v>
      </c>
      <c r="U5610">
        <v>551.6</v>
      </c>
      <c r="V5610" s="3">
        <v>42039</v>
      </c>
    </row>
    <row r="5611" spans="1:22" x14ac:dyDescent="0.35">
      <c r="A5611" s="1">
        <v>42296.944537037038</v>
      </c>
      <c r="B5611" s="2">
        <v>1.2152777777777778E-3</v>
      </c>
      <c r="C5611" t="s">
        <v>7960</v>
      </c>
      <c r="D5611" t="s">
        <v>35</v>
      </c>
      <c r="E5611" t="s">
        <v>36</v>
      </c>
      <c r="F5611" t="s">
        <v>986</v>
      </c>
      <c r="G5611">
        <v>968030</v>
      </c>
      <c r="H5611" t="s">
        <v>26</v>
      </c>
      <c r="I5611" t="s">
        <v>219</v>
      </c>
      <c r="J5611" t="str">
        <f>"9781118285138"</f>
        <v>9781118285138</v>
      </c>
      <c r="K5611" t="s">
        <v>8920</v>
      </c>
      <c r="L5611">
        <v>10</v>
      </c>
      <c r="M5611" t="s">
        <v>8921</v>
      </c>
      <c r="O5611" t="s">
        <v>30</v>
      </c>
      <c r="P5611" t="s">
        <v>29</v>
      </c>
      <c r="Q5611" s="1">
        <v>42290.774594907409</v>
      </c>
      <c r="R5611">
        <v>7</v>
      </c>
      <c r="S5611" t="s">
        <v>40</v>
      </c>
      <c r="T5611" t="s">
        <v>987</v>
      </c>
      <c r="U5611">
        <v>158.30000000000001</v>
      </c>
      <c r="V5611" s="3">
        <v>41100</v>
      </c>
    </row>
    <row r="5612" spans="1:22" x14ac:dyDescent="0.35">
      <c r="A5612" s="1">
        <v>42296.920868055553</v>
      </c>
      <c r="B5612" s="2">
        <v>1.5046296296296297E-4</v>
      </c>
      <c r="C5612" t="s">
        <v>8922</v>
      </c>
      <c r="D5612" t="s">
        <v>23</v>
      </c>
      <c r="E5612" t="s">
        <v>24</v>
      </c>
      <c r="F5612" t="s">
        <v>8923</v>
      </c>
      <c r="G5612">
        <v>1574372</v>
      </c>
      <c r="H5612" t="s">
        <v>26</v>
      </c>
      <c r="I5612" t="s">
        <v>108</v>
      </c>
      <c r="J5612" t="str">
        <f>"9781118844670"</f>
        <v>9781118844670</v>
      </c>
      <c r="K5612" t="s">
        <v>8924</v>
      </c>
      <c r="L5612">
        <v>5</v>
      </c>
      <c r="O5612" t="s">
        <v>30</v>
      </c>
      <c r="P5612" t="s">
        <v>50</v>
      </c>
      <c r="S5612" t="s">
        <v>31</v>
      </c>
      <c r="T5612" t="s">
        <v>8925</v>
      </c>
      <c r="U5612">
        <v>332.63220760000002</v>
      </c>
      <c r="V5612" s="3">
        <v>41604</v>
      </c>
    </row>
    <row r="5613" spans="1:22" x14ac:dyDescent="0.35">
      <c r="A5613" s="1">
        <v>42296.919687499998</v>
      </c>
      <c r="B5613" s="2">
        <v>7.407407407407407E-4</v>
      </c>
      <c r="C5613" t="s">
        <v>8922</v>
      </c>
      <c r="D5613" t="s">
        <v>23</v>
      </c>
      <c r="E5613" t="s">
        <v>24</v>
      </c>
      <c r="F5613" t="s">
        <v>472</v>
      </c>
      <c r="G5613">
        <v>1222131</v>
      </c>
      <c r="H5613" t="s">
        <v>26</v>
      </c>
      <c r="I5613" t="s">
        <v>97</v>
      </c>
      <c r="J5613" t="str">
        <f>"9781118760048"</f>
        <v>9781118760048</v>
      </c>
      <c r="K5613" t="s">
        <v>8926</v>
      </c>
      <c r="L5613">
        <v>18</v>
      </c>
      <c r="O5613" t="s">
        <v>30</v>
      </c>
      <c r="P5613" t="s">
        <v>42</v>
      </c>
      <c r="S5613" t="s">
        <v>31</v>
      </c>
      <c r="T5613" t="s">
        <v>473</v>
      </c>
      <c r="U5613">
        <v>657</v>
      </c>
      <c r="V5613" s="3">
        <v>41446</v>
      </c>
    </row>
    <row r="5614" spans="1:22" x14ac:dyDescent="0.35">
      <c r="A5614" s="1">
        <v>42296.918819444443</v>
      </c>
      <c r="B5614" s="2">
        <v>9.8506944444444453E-2</v>
      </c>
      <c r="C5614" t="s">
        <v>4713</v>
      </c>
      <c r="D5614" t="s">
        <v>1222</v>
      </c>
      <c r="E5614" t="s">
        <v>1223</v>
      </c>
      <c r="F5614" t="s">
        <v>3263</v>
      </c>
      <c r="G5614">
        <v>1840835</v>
      </c>
      <c r="H5614" t="s">
        <v>26</v>
      </c>
      <c r="I5614" t="s">
        <v>108</v>
      </c>
      <c r="J5614" t="str">
        <f>"9781118950166"</f>
        <v>9781118950166</v>
      </c>
      <c r="K5614" t="s">
        <v>8927</v>
      </c>
      <c r="L5614">
        <v>46</v>
      </c>
      <c r="O5614" t="s">
        <v>30</v>
      </c>
      <c r="P5614" t="s">
        <v>29</v>
      </c>
      <c r="Q5614" s="1">
        <v>42296.869027777779</v>
      </c>
      <c r="R5614">
        <v>7</v>
      </c>
      <c r="S5614" t="s">
        <v>1226</v>
      </c>
      <c r="T5614" t="s">
        <v>3264</v>
      </c>
      <c r="U5614">
        <v>338.10923789999998</v>
      </c>
      <c r="V5614" s="3">
        <v>41953</v>
      </c>
    </row>
    <row r="5615" spans="1:22" x14ac:dyDescent="0.35">
      <c r="A5615" s="1">
        <v>42296.914456018516</v>
      </c>
      <c r="B5615" s="2">
        <v>0.17747685185185183</v>
      </c>
      <c r="C5615" t="s">
        <v>8508</v>
      </c>
      <c r="D5615" t="s">
        <v>23</v>
      </c>
      <c r="E5615" t="s">
        <v>24</v>
      </c>
      <c r="F5615" t="s">
        <v>5954</v>
      </c>
      <c r="G5615">
        <v>864784</v>
      </c>
      <c r="H5615" t="s">
        <v>492</v>
      </c>
      <c r="I5615" t="s">
        <v>69</v>
      </c>
      <c r="J5615" t="str">
        <f>"9781400841578"</f>
        <v>9781400841578</v>
      </c>
      <c r="K5615" t="s">
        <v>8928</v>
      </c>
      <c r="L5615">
        <v>31</v>
      </c>
      <c r="O5615" t="s">
        <v>30</v>
      </c>
      <c r="P5615" t="s">
        <v>42</v>
      </c>
      <c r="S5615" t="s">
        <v>31</v>
      </c>
      <c r="T5615" t="s">
        <v>5956</v>
      </c>
      <c r="U5615">
        <v>378.73</v>
      </c>
      <c r="V5615" s="3">
        <v>41786</v>
      </c>
    </row>
    <row r="5616" spans="1:22" x14ac:dyDescent="0.35">
      <c r="A5616" s="1">
        <v>42296.911666666667</v>
      </c>
      <c r="B5616" s="2">
        <v>3.9236111111111112E-3</v>
      </c>
      <c r="C5616" t="s">
        <v>210</v>
      </c>
      <c r="D5616" t="s">
        <v>211</v>
      </c>
      <c r="E5616" t="s">
        <v>212</v>
      </c>
      <c r="F5616" t="s">
        <v>4500</v>
      </c>
      <c r="G5616">
        <v>1652090</v>
      </c>
      <c r="H5616" t="s">
        <v>26</v>
      </c>
      <c r="I5616" t="s">
        <v>27</v>
      </c>
      <c r="J5616" t="str">
        <f>"9781118744819"</f>
        <v>9781118744819</v>
      </c>
      <c r="K5616" t="s">
        <v>8929</v>
      </c>
      <c r="L5616">
        <v>79</v>
      </c>
      <c r="N5616" t="s">
        <v>8930</v>
      </c>
      <c r="O5616" t="s">
        <v>30</v>
      </c>
      <c r="P5616" t="s">
        <v>29</v>
      </c>
      <c r="Q5616" s="1">
        <v>42296.911666666667</v>
      </c>
      <c r="R5616">
        <v>7</v>
      </c>
      <c r="S5616" t="s">
        <v>214</v>
      </c>
      <c r="T5616" t="s">
        <v>4503</v>
      </c>
      <c r="U5616">
        <v>407.1</v>
      </c>
      <c r="V5616" s="3">
        <v>41711</v>
      </c>
    </row>
    <row r="5617" spans="1:22" x14ac:dyDescent="0.35">
      <c r="A5617" s="1">
        <v>42296.904548611114</v>
      </c>
      <c r="B5617" s="2">
        <v>7.1180555555555554E-3</v>
      </c>
      <c r="C5617" t="s">
        <v>210</v>
      </c>
      <c r="D5617" t="s">
        <v>211</v>
      </c>
      <c r="E5617" t="s">
        <v>212</v>
      </c>
      <c r="F5617" t="s">
        <v>4500</v>
      </c>
      <c r="G5617">
        <v>1652090</v>
      </c>
      <c r="H5617" t="s">
        <v>26</v>
      </c>
      <c r="I5617" t="s">
        <v>27</v>
      </c>
      <c r="J5617" t="str">
        <f>"9781118744819"</f>
        <v>9781118744819</v>
      </c>
      <c r="K5617" t="s">
        <v>8931</v>
      </c>
      <c r="L5617">
        <v>91</v>
      </c>
      <c r="O5617" t="s">
        <v>30</v>
      </c>
      <c r="P5617" t="s">
        <v>42</v>
      </c>
      <c r="S5617" t="s">
        <v>214</v>
      </c>
      <c r="T5617" t="s">
        <v>4503</v>
      </c>
      <c r="U5617">
        <v>407.1</v>
      </c>
      <c r="V5617" s="3">
        <v>41711</v>
      </c>
    </row>
    <row r="5618" spans="1:22" x14ac:dyDescent="0.35">
      <c r="A5618" s="1">
        <v>42296.898680555554</v>
      </c>
      <c r="B5618" s="2">
        <v>3.7037037037037035E-4</v>
      </c>
      <c r="C5618" t="s">
        <v>3185</v>
      </c>
      <c r="D5618" t="s">
        <v>23</v>
      </c>
      <c r="E5618" t="s">
        <v>24</v>
      </c>
      <c r="F5618" t="s">
        <v>3186</v>
      </c>
      <c r="G5618">
        <v>699744</v>
      </c>
      <c r="H5618" t="s">
        <v>26</v>
      </c>
      <c r="I5618" t="s">
        <v>3187</v>
      </c>
      <c r="J5618" t="str">
        <f>"9781118585818"</f>
        <v>9781118585818</v>
      </c>
      <c r="K5618" t="s">
        <v>105</v>
      </c>
      <c r="L5618">
        <v>1</v>
      </c>
      <c r="O5618" t="s">
        <v>28</v>
      </c>
      <c r="P5618" t="s">
        <v>29</v>
      </c>
      <c r="Q5618" s="1">
        <v>42296.898680555554</v>
      </c>
      <c r="R5618">
        <v>7</v>
      </c>
      <c r="S5618" t="s">
        <v>31</v>
      </c>
      <c r="T5618" t="s">
        <v>3188</v>
      </c>
      <c r="U5618">
        <v>621.36</v>
      </c>
      <c r="V5618" s="3">
        <v>41310</v>
      </c>
    </row>
    <row r="5619" spans="1:22" x14ac:dyDescent="0.35">
      <c r="A5619" s="1">
        <v>42296.898680555554</v>
      </c>
      <c r="B5619" s="2">
        <v>0</v>
      </c>
      <c r="C5619" t="s">
        <v>3185</v>
      </c>
      <c r="D5619" t="s">
        <v>23</v>
      </c>
      <c r="E5619" t="s">
        <v>24</v>
      </c>
      <c r="F5619" t="s">
        <v>3186</v>
      </c>
      <c r="G5619">
        <v>699744</v>
      </c>
      <c r="H5619" t="s">
        <v>26</v>
      </c>
      <c r="I5619" t="s">
        <v>3187</v>
      </c>
      <c r="J5619" t="str">
        <f>"9781118585818"</f>
        <v>9781118585818</v>
      </c>
      <c r="L5619">
        <v>0</v>
      </c>
      <c r="O5619" t="s">
        <v>30</v>
      </c>
      <c r="P5619" t="s">
        <v>29</v>
      </c>
      <c r="Q5619" s="1">
        <v>42296.898680555554</v>
      </c>
      <c r="R5619">
        <v>7</v>
      </c>
      <c r="S5619" t="s">
        <v>31</v>
      </c>
      <c r="T5619" t="s">
        <v>3188</v>
      </c>
      <c r="U5619">
        <v>621.36</v>
      </c>
      <c r="V5619" s="3">
        <v>41310</v>
      </c>
    </row>
    <row r="5620" spans="1:22" x14ac:dyDescent="0.35">
      <c r="A5620" s="1">
        <v>42296.898506944446</v>
      </c>
      <c r="B5620" s="2">
        <v>1.7361111111111112E-4</v>
      </c>
      <c r="C5620" t="s">
        <v>3185</v>
      </c>
      <c r="D5620" t="s">
        <v>23</v>
      </c>
      <c r="E5620" t="s">
        <v>24</v>
      </c>
      <c r="F5620" t="s">
        <v>3186</v>
      </c>
      <c r="G5620">
        <v>699744</v>
      </c>
      <c r="H5620" t="s">
        <v>26</v>
      </c>
      <c r="I5620" t="s">
        <v>3187</v>
      </c>
      <c r="J5620" t="str">
        <f>"9781118585818"</f>
        <v>9781118585818</v>
      </c>
      <c r="K5620" t="s">
        <v>3050</v>
      </c>
      <c r="L5620">
        <v>3</v>
      </c>
      <c r="O5620" t="s">
        <v>30</v>
      </c>
      <c r="P5620" t="s">
        <v>42</v>
      </c>
      <c r="S5620" t="s">
        <v>31</v>
      </c>
      <c r="T5620" t="s">
        <v>3188</v>
      </c>
      <c r="U5620">
        <v>621.36</v>
      </c>
      <c r="V5620" s="3">
        <v>41310</v>
      </c>
    </row>
    <row r="5621" spans="1:22" x14ac:dyDescent="0.35">
      <c r="A5621" s="1">
        <v>42296.891782407409</v>
      </c>
      <c r="B5621" s="2">
        <v>1.3599537037037037E-2</v>
      </c>
      <c r="C5621" t="s">
        <v>4681</v>
      </c>
      <c r="D5621" t="s">
        <v>1222</v>
      </c>
      <c r="E5621" t="s">
        <v>1223</v>
      </c>
      <c r="F5621" t="s">
        <v>3263</v>
      </c>
      <c r="G5621">
        <v>1840835</v>
      </c>
      <c r="H5621" t="s">
        <v>26</v>
      </c>
      <c r="I5621" t="s">
        <v>108</v>
      </c>
      <c r="J5621" t="str">
        <f>"9781118950166"</f>
        <v>9781118950166</v>
      </c>
      <c r="K5621" t="s">
        <v>8932</v>
      </c>
      <c r="L5621">
        <v>22</v>
      </c>
      <c r="O5621" t="s">
        <v>30</v>
      </c>
      <c r="P5621" t="s">
        <v>29</v>
      </c>
      <c r="Q5621" s="1">
        <v>42296.786134259259</v>
      </c>
      <c r="R5621">
        <v>7</v>
      </c>
      <c r="S5621" t="s">
        <v>1226</v>
      </c>
      <c r="T5621" t="s">
        <v>3264</v>
      </c>
      <c r="U5621">
        <v>338.10923789999998</v>
      </c>
      <c r="V5621" s="3">
        <v>41953</v>
      </c>
    </row>
    <row r="5622" spans="1:22" x14ac:dyDescent="0.35">
      <c r="A5622" s="1">
        <v>42296.869027777779</v>
      </c>
      <c r="B5622" s="2">
        <v>5.1585648148148144E-2</v>
      </c>
      <c r="C5622" t="s">
        <v>4713</v>
      </c>
      <c r="D5622" t="s">
        <v>1222</v>
      </c>
      <c r="E5622" t="s">
        <v>1223</v>
      </c>
      <c r="F5622" t="s">
        <v>3263</v>
      </c>
      <c r="G5622">
        <v>1840835</v>
      </c>
      <c r="H5622" t="s">
        <v>26</v>
      </c>
      <c r="I5622" t="s">
        <v>108</v>
      </c>
      <c r="J5622" t="str">
        <f>"9781118950166"</f>
        <v>9781118950166</v>
      </c>
      <c r="K5622" t="s">
        <v>8933</v>
      </c>
      <c r="L5622">
        <v>63</v>
      </c>
      <c r="O5622" t="s">
        <v>30</v>
      </c>
      <c r="P5622" t="s">
        <v>29</v>
      </c>
      <c r="Q5622" s="1">
        <v>42296.869027777779</v>
      </c>
      <c r="R5622">
        <v>7</v>
      </c>
      <c r="S5622" t="s">
        <v>1226</v>
      </c>
      <c r="T5622" t="s">
        <v>3264</v>
      </c>
      <c r="U5622">
        <v>338.10923789999998</v>
      </c>
      <c r="V5622" s="3">
        <v>41953</v>
      </c>
    </row>
    <row r="5623" spans="1:22" x14ac:dyDescent="0.35">
      <c r="A5623" s="1">
        <v>42296.861666666664</v>
      </c>
      <c r="B5623" s="2">
        <v>7.3611111111111108E-3</v>
      </c>
      <c r="C5623" t="s">
        <v>4713</v>
      </c>
      <c r="D5623" t="s">
        <v>1222</v>
      </c>
      <c r="E5623" t="s">
        <v>1223</v>
      </c>
      <c r="F5623" t="s">
        <v>3263</v>
      </c>
      <c r="G5623">
        <v>1840835</v>
      </c>
      <c r="H5623" t="s">
        <v>26</v>
      </c>
      <c r="I5623" t="s">
        <v>108</v>
      </c>
      <c r="J5623" t="str">
        <f>"9781118950166"</f>
        <v>9781118950166</v>
      </c>
      <c r="K5623" t="s">
        <v>8934</v>
      </c>
      <c r="L5623">
        <v>14</v>
      </c>
      <c r="O5623" t="s">
        <v>30</v>
      </c>
      <c r="P5623" t="s">
        <v>42</v>
      </c>
      <c r="S5623" t="s">
        <v>1226</v>
      </c>
      <c r="T5623" t="s">
        <v>3264</v>
      </c>
      <c r="U5623">
        <v>338.10923789999998</v>
      </c>
      <c r="V5623" s="3">
        <v>41953</v>
      </c>
    </row>
    <row r="5624" spans="1:22" x14ac:dyDescent="0.35">
      <c r="A5624" s="1">
        <v>42296.836099537039</v>
      </c>
      <c r="B5624" s="2">
        <v>2.9398148148148148E-3</v>
      </c>
      <c r="C5624" t="s">
        <v>5728</v>
      </c>
      <c r="D5624" t="s">
        <v>2519</v>
      </c>
      <c r="E5624" t="s">
        <v>2520</v>
      </c>
      <c r="F5624" t="s">
        <v>7052</v>
      </c>
      <c r="G5624">
        <v>1895734</v>
      </c>
      <c r="H5624" t="s">
        <v>26</v>
      </c>
      <c r="I5624" t="s">
        <v>970</v>
      </c>
      <c r="J5624" t="str">
        <f>"9781118907221"</f>
        <v>9781118907221</v>
      </c>
      <c r="K5624" t="s">
        <v>8935</v>
      </c>
      <c r="L5624">
        <v>20</v>
      </c>
      <c r="O5624" t="s">
        <v>30</v>
      </c>
      <c r="P5624" t="s">
        <v>50</v>
      </c>
      <c r="S5624" t="s">
        <v>3786</v>
      </c>
      <c r="T5624" t="s">
        <v>7054</v>
      </c>
      <c r="U5624">
        <v>615.19000000000005</v>
      </c>
      <c r="V5624" s="3">
        <v>42107</v>
      </c>
    </row>
    <row r="5625" spans="1:22" x14ac:dyDescent="0.35">
      <c r="A5625" s="1">
        <v>42296.809270833335</v>
      </c>
      <c r="B5625" s="2">
        <v>6.076388888888889E-3</v>
      </c>
      <c r="C5625" t="s">
        <v>8069</v>
      </c>
      <c r="D5625" t="s">
        <v>23</v>
      </c>
      <c r="E5625" t="s">
        <v>24</v>
      </c>
      <c r="F5625" t="s">
        <v>3186</v>
      </c>
      <c r="G5625">
        <v>699744</v>
      </c>
      <c r="H5625" t="s">
        <v>26</v>
      </c>
      <c r="I5625" t="s">
        <v>3187</v>
      </c>
      <c r="J5625" t="str">
        <f>"9781118585818"</f>
        <v>9781118585818</v>
      </c>
      <c r="K5625" t="s">
        <v>8936</v>
      </c>
      <c r="L5625">
        <v>45</v>
      </c>
      <c r="N5625" t="s">
        <v>8937</v>
      </c>
      <c r="O5625" t="s">
        <v>28</v>
      </c>
      <c r="P5625" t="s">
        <v>29</v>
      </c>
      <c r="Q5625" s="1">
        <v>42296.808252314811</v>
      </c>
      <c r="R5625">
        <v>7</v>
      </c>
      <c r="S5625" t="s">
        <v>31</v>
      </c>
      <c r="T5625" t="s">
        <v>3188</v>
      </c>
      <c r="U5625">
        <v>621.36</v>
      </c>
      <c r="V5625" s="3">
        <v>41310</v>
      </c>
    </row>
    <row r="5626" spans="1:22" x14ac:dyDescent="0.35">
      <c r="A5626" s="1">
        <v>42296.808958333335</v>
      </c>
      <c r="B5626" s="2">
        <v>0</v>
      </c>
      <c r="C5626" t="s">
        <v>8069</v>
      </c>
      <c r="D5626" t="s">
        <v>23</v>
      </c>
      <c r="E5626" t="s">
        <v>24</v>
      </c>
      <c r="F5626" t="s">
        <v>3186</v>
      </c>
      <c r="G5626">
        <v>699744</v>
      </c>
      <c r="H5626" t="s">
        <v>26</v>
      </c>
      <c r="I5626" t="s">
        <v>3187</v>
      </c>
      <c r="J5626" t="str">
        <f>"9781118585818"</f>
        <v>9781118585818</v>
      </c>
      <c r="L5626">
        <v>0</v>
      </c>
      <c r="O5626" t="s">
        <v>28</v>
      </c>
      <c r="P5626" t="s">
        <v>29</v>
      </c>
      <c r="Q5626" s="1">
        <v>42296.808252314811</v>
      </c>
      <c r="R5626">
        <v>7</v>
      </c>
      <c r="S5626" t="s">
        <v>31</v>
      </c>
      <c r="T5626" t="s">
        <v>3188</v>
      </c>
      <c r="U5626">
        <v>621.36</v>
      </c>
      <c r="V5626" s="3">
        <v>41310</v>
      </c>
    </row>
    <row r="5627" spans="1:22" x14ac:dyDescent="0.35">
      <c r="A5627" s="1">
        <v>42296.808252314811</v>
      </c>
      <c r="B5627" s="2">
        <v>0</v>
      </c>
      <c r="C5627" t="s">
        <v>8069</v>
      </c>
      <c r="D5627" t="s">
        <v>23</v>
      </c>
      <c r="E5627" t="s">
        <v>24</v>
      </c>
      <c r="F5627" t="s">
        <v>3186</v>
      </c>
      <c r="G5627">
        <v>699744</v>
      </c>
      <c r="H5627" t="s">
        <v>26</v>
      </c>
      <c r="I5627" t="s">
        <v>3187</v>
      </c>
      <c r="J5627" t="str">
        <f>"9781118585818"</f>
        <v>9781118585818</v>
      </c>
      <c r="L5627">
        <v>0</v>
      </c>
      <c r="M5627" t="s">
        <v>8938</v>
      </c>
      <c r="O5627" t="s">
        <v>30</v>
      </c>
      <c r="P5627" t="s">
        <v>29</v>
      </c>
      <c r="Q5627" s="1">
        <v>42296.808252314811</v>
      </c>
      <c r="R5627">
        <v>7</v>
      </c>
      <c r="S5627" t="s">
        <v>31</v>
      </c>
      <c r="T5627" t="s">
        <v>3188</v>
      </c>
      <c r="U5627">
        <v>621.36</v>
      </c>
      <c r="V5627" s="3">
        <v>41310</v>
      </c>
    </row>
    <row r="5628" spans="1:22" x14ac:dyDescent="0.35">
      <c r="A5628" s="1">
        <v>42296.806296296294</v>
      </c>
      <c r="B5628" s="2">
        <v>1.9560185185185184E-3</v>
      </c>
      <c r="C5628" t="s">
        <v>8069</v>
      </c>
      <c r="D5628" t="s">
        <v>23</v>
      </c>
      <c r="E5628" t="s">
        <v>24</v>
      </c>
      <c r="F5628" t="s">
        <v>3186</v>
      </c>
      <c r="G5628">
        <v>699744</v>
      </c>
      <c r="H5628" t="s">
        <v>26</v>
      </c>
      <c r="I5628" t="s">
        <v>3187</v>
      </c>
      <c r="J5628" t="str">
        <f>"9781118585818"</f>
        <v>9781118585818</v>
      </c>
      <c r="K5628" t="s">
        <v>8939</v>
      </c>
      <c r="L5628">
        <v>75</v>
      </c>
      <c r="O5628" t="s">
        <v>30</v>
      </c>
      <c r="P5628" t="s">
        <v>42</v>
      </c>
      <c r="S5628" t="s">
        <v>31</v>
      </c>
      <c r="T5628" t="s">
        <v>3188</v>
      </c>
      <c r="U5628">
        <v>621.36</v>
      </c>
      <c r="V5628" s="3">
        <v>41310</v>
      </c>
    </row>
    <row r="5629" spans="1:22" x14ac:dyDescent="0.35">
      <c r="A5629" s="1">
        <v>42296.789456018516</v>
      </c>
      <c r="B5629" s="2">
        <v>0.10054398148148148</v>
      </c>
      <c r="C5629" t="s">
        <v>5271</v>
      </c>
      <c r="D5629" t="s">
        <v>23</v>
      </c>
      <c r="E5629" t="s">
        <v>24</v>
      </c>
      <c r="F5629" t="s">
        <v>1051</v>
      </c>
      <c r="G5629">
        <v>821663</v>
      </c>
      <c r="H5629" t="s">
        <v>26</v>
      </c>
      <c r="I5629" t="s">
        <v>200</v>
      </c>
      <c r="J5629" t="str">
        <f>"9781118168479"</f>
        <v>9781118168479</v>
      </c>
      <c r="K5629" t="s">
        <v>8940</v>
      </c>
      <c r="L5629">
        <v>18</v>
      </c>
      <c r="O5629" t="s">
        <v>30</v>
      </c>
      <c r="P5629" t="s">
        <v>29</v>
      </c>
      <c r="Q5629" s="1">
        <v>42296.789456018516</v>
      </c>
      <c r="R5629">
        <v>7</v>
      </c>
      <c r="S5629" t="s">
        <v>31</v>
      </c>
      <c r="T5629" t="s">
        <v>1053</v>
      </c>
      <c r="U5629">
        <v>729</v>
      </c>
      <c r="V5629" s="3">
        <v>40973</v>
      </c>
    </row>
    <row r="5630" spans="1:22" x14ac:dyDescent="0.35">
      <c r="A5630" s="1">
        <v>42296.786134259259</v>
      </c>
      <c r="B5630" s="2">
        <v>1.6597222222222222E-2</v>
      </c>
      <c r="C5630" t="s">
        <v>4681</v>
      </c>
      <c r="D5630" t="s">
        <v>1222</v>
      </c>
      <c r="E5630" t="s">
        <v>1223</v>
      </c>
      <c r="F5630" t="s">
        <v>3263</v>
      </c>
      <c r="G5630">
        <v>1840835</v>
      </c>
      <c r="H5630" t="s">
        <v>26</v>
      </c>
      <c r="I5630" t="s">
        <v>108</v>
      </c>
      <c r="J5630" t="str">
        <f>"9781118950166"</f>
        <v>9781118950166</v>
      </c>
      <c r="K5630" t="s">
        <v>8941</v>
      </c>
      <c r="L5630">
        <v>36</v>
      </c>
      <c r="O5630" t="s">
        <v>30</v>
      </c>
      <c r="P5630" t="s">
        <v>29</v>
      </c>
      <c r="Q5630" s="1">
        <v>42296.786134259259</v>
      </c>
      <c r="R5630">
        <v>7</v>
      </c>
      <c r="S5630" t="s">
        <v>1226</v>
      </c>
      <c r="T5630" t="s">
        <v>3264</v>
      </c>
      <c r="U5630">
        <v>338.10923789999998</v>
      </c>
      <c r="V5630" s="3">
        <v>41953</v>
      </c>
    </row>
    <row r="5631" spans="1:22" x14ac:dyDescent="0.35">
      <c r="A5631" s="1">
        <v>42296.777800925927</v>
      </c>
      <c r="B5631" s="2">
        <v>8.3333333333333332E-3</v>
      </c>
      <c r="C5631" t="s">
        <v>4681</v>
      </c>
      <c r="D5631" t="s">
        <v>1222</v>
      </c>
      <c r="E5631" t="s">
        <v>1223</v>
      </c>
      <c r="F5631" t="s">
        <v>3263</v>
      </c>
      <c r="G5631">
        <v>1840835</v>
      </c>
      <c r="H5631" t="s">
        <v>26</v>
      </c>
      <c r="I5631" t="s">
        <v>108</v>
      </c>
      <c r="J5631" t="str">
        <f>"9781118950166"</f>
        <v>9781118950166</v>
      </c>
      <c r="K5631" t="s">
        <v>8942</v>
      </c>
      <c r="L5631">
        <v>25</v>
      </c>
      <c r="O5631" t="s">
        <v>30</v>
      </c>
      <c r="P5631" t="s">
        <v>42</v>
      </c>
      <c r="S5631" t="s">
        <v>1226</v>
      </c>
      <c r="T5631" t="s">
        <v>3264</v>
      </c>
      <c r="U5631">
        <v>338.10923789999998</v>
      </c>
      <c r="V5631" s="3">
        <v>41953</v>
      </c>
    </row>
    <row r="5632" spans="1:22" x14ac:dyDescent="0.35">
      <c r="A5632" s="1">
        <v>42296.776770833334</v>
      </c>
      <c r="B5632" s="2">
        <v>1.2685185185185183E-2</v>
      </c>
      <c r="C5632" t="s">
        <v>5271</v>
      </c>
      <c r="D5632" t="s">
        <v>23</v>
      </c>
      <c r="E5632" t="s">
        <v>24</v>
      </c>
      <c r="F5632" t="s">
        <v>1051</v>
      </c>
      <c r="G5632">
        <v>821663</v>
      </c>
      <c r="H5632" t="s">
        <v>26</v>
      </c>
      <c r="I5632" t="s">
        <v>200</v>
      </c>
      <c r="J5632" t="str">
        <f>"9781118168479"</f>
        <v>9781118168479</v>
      </c>
      <c r="K5632" t="s">
        <v>8943</v>
      </c>
      <c r="L5632">
        <v>8</v>
      </c>
      <c r="O5632" t="s">
        <v>30</v>
      </c>
      <c r="P5632" t="s">
        <v>42</v>
      </c>
      <c r="S5632" t="s">
        <v>31</v>
      </c>
      <c r="T5632" t="s">
        <v>1053</v>
      </c>
      <c r="U5632">
        <v>729</v>
      </c>
      <c r="V5632" s="3">
        <v>40973</v>
      </c>
    </row>
    <row r="5633" spans="1:22" x14ac:dyDescent="0.35">
      <c r="A5633" s="1">
        <v>42296.685763888891</v>
      </c>
      <c r="B5633" s="2">
        <v>0</v>
      </c>
      <c r="C5633" t="s">
        <v>8944</v>
      </c>
      <c r="D5633" t="s">
        <v>23</v>
      </c>
      <c r="E5633" t="s">
        <v>24</v>
      </c>
      <c r="F5633" t="s">
        <v>3875</v>
      </c>
      <c r="G5633">
        <v>917254</v>
      </c>
      <c r="H5633" t="s">
        <v>91</v>
      </c>
      <c r="I5633" t="s">
        <v>247</v>
      </c>
      <c r="J5633" t="str">
        <f>"9781462505067"</f>
        <v>9781462505067</v>
      </c>
      <c r="L5633">
        <v>0</v>
      </c>
      <c r="O5633" t="s">
        <v>28</v>
      </c>
      <c r="P5633" t="s">
        <v>29</v>
      </c>
      <c r="Q5633" s="1">
        <v>42296.685763888891</v>
      </c>
      <c r="R5633">
        <v>7</v>
      </c>
      <c r="S5633" t="s">
        <v>31</v>
      </c>
      <c r="T5633" t="s">
        <v>3877</v>
      </c>
      <c r="U5633">
        <v>618.92858820000004</v>
      </c>
      <c r="V5633" s="3">
        <v>41773</v>
      </c>
    </row>
    <row r="5634" spans="1:22" x14ac:dyDescent="0.35">
      <c r="A5634" s="1">
        <v>42296.685763888891</v>
      </c>
      <c r="B5634" s="2">
        <v>0</v>
      </c>
      <c r="C5634" t="s">
        <v>8944</v>
      </c>
      <c r="D5634" t="s">
        <v>23</v>
      </c>
      <c r="E5634" t="s">
        <v>24</v>
      </c>
      <c r="F5634" t="s">
        <v>3875</v>
      </c>
      <c r="G5634">
        <v>917254</v>
      </c>
      <c r="H5634" t="s">
        <v>91</v>
      </c>
      <c r="I5634" t="s">
        <v>247</v>
      </c>
      <c r="J5634" t="str">
        <f>"9781462505067"</f>
        <v>9781462505067</v>
      </c>
      <c r="L5634">
        <v>0</v>
      </c>
      <c r="O5634" t="s">
        <v>30</v>
      </c>
      <c r="P5634" t="s">
        <v>29</v>
      </c>
      <c r="Q5634" s="1">
        <v>42296.685763888891</v>
      </c>
      <c r="R5634">
        <v>7</v>
      </c>
      <c r="S5634" t="s">
        <v>31</v>
      </c>
      <c r="T5634" t="s">
        <v>3877</v>
      </c>
      <c r="U5634">
        <v>618.92858820000004</v>
      </c>
      <c r="V5634" s="3">
        <v>41773</v>
      </c>
    </row>
    <row r="5635" spans="1:22" x14ac:dyDescent="0.35">
      <c r="A5635" s="1">
        <v>42296.685682870368</v>
      </c>
      <c r="B5635" s="2">
        <v>6.3773148148148148E-3</v>
      </c>
      <c r="C5635" t="s">
        <v>8945</v>
      </c>
      <c r="D5635" t="s">
        <v>23</v>
      </c>
      <c r="E5635" t="s">
        <v>24</v>
      </c>
      <c r="F5635" t="s">
        <v>3442</v>
      </c>
      <c r="G5635">
        <v>1873238</v>
      </c>
      <c r="H5635" t="s">
        <v>84</v>
      </c>
      <c r="I5635" t="s">
        <v>27</v>
      </c>
      <c r="J5635" t="str">
        <f>"9780520961647"</f>
        <v>9780520961647</v>
      </c>
      <c r="K5635" t="s">
        <v>8946</v>
      </c>
      <c r="L5635">
        <v>27</v>
      </c>
      <c r="N5635" t="s">
        <v>8947</v>
      </c>
      <c r="O5635" t="s">
        <v>30</v>
      </c>
      <c r="P5635" t="s">
        <v>29</v>
      </c>
      <c r="Q5635" s="1">
        <v>42296.685682870368</v>
      </c>
      <c r="R5635">
        <v>7</v>
      </c>
      <c r="S5635" t="s">
        <v>31</v>
      </c>
      <c r="T5635" t="s">
        <v>3444</v>
      </c>
      <c r="U5635">
        <v>497.9</v>
      </c>
      <c r="V5635" s="3">
        <v>42005</v>
      </c>
    </row>
    <row r="5636" spans="1:22" x14ac:dyDescent="0.35">
      <c r="A5636" s="1">
        <v>42296.685578703706</v>
      </c>
      <c r="B5636" s="2">
        <v>1.8518518518518518E-4</v>
      </c>
      <c r="C5636" t="s">
        <v>8944</v>
      </c>
      <c r="D5636" t="s">
        <v>23</v>
      </c>
      <c r="E5636" t="s">
        <v>24</v>
      </c>
      <c r="F5636" t="s">
        <v>3875</v>
      </c>
      <c r="G5636">
        <v>917254</v>
      </c>
      <c r="H5636" t="s">
        <v>91</v>
      </c>
      <c r="I5636" t="s">
        <v>247</v>
      </c>
      <c r="J5636" t="str">
        <f>"9781462505067"</f>
        <v>9781462505067</v>
      </c>
      <c r="K5636" t="s">
        <v>33</v>
      </c>
      <c r="L5636">
        <v>3</v>
      </c>
      <c r="O5636" t="s">
        <v>30</v>
      </c>
      <c r="P5636" t="s">
        <v>42</v>
      </c>
      <c r="S5636" t="s">
        <v>31</v>
      </c>
      <c r="T5636" t="s">
        <v>3877</v>
      </c>
      <c r="U5636">
        <v>618.92858820000004</v>
      </c>
      <c r="V5636" s="3">
        <v>41773</v>
      </c>
    </row>
    <row r="5637" spans="1:22" x14ac:dyDescent="0.35">
      <c r="A5637" s="1">
        <v>42296.685243055559</v>
      </c>
      <c r="B5637" s="2">
        <v>1.7361111111111112E-4</v>
      </c>
      <c r="C5637" t="s">
        <v>8944</v>
      </c>
      <c r="D5637" t="s">
        <v>23</v>
      </c>
      <c r="E5637" t="s">
        <v>24</v>
      </c>
      <c r="F5637" t="s">
        <v>3875</v>
      </c>
      <c r="G5637">
        <v>917254</v>
      </c>
      <c r="H5637" t="s">
        <v>91</v>
      </c>
      <c r="I5637" t="s">
        <v>247</v>
      </c>
      <c r="J5637" t="str">
        <f>"9781462505067"</f>
        <v>9781462505067</v>
      </c>
      <c r="K5637" t="s">
        <v>8948</v>
      </c>
      <c r="L5637">
        <v>4</v>
      </c>
      <c r="O5637" t="s">
        <v>30</v>
      </c>
      <c r="P5637" t="s">
        <v>42</v>
      </c>
      <c r="S5637" t="s">
        <v>31</v>
      </c>
      <c r="T5637" t="s">
        <v>3877</v>
      </c>
      <c r="U5637">
        <v>618.92858820000004</v>
      </c>
      <c r="V5637" s="3">
        <v>41773</v>
      </c>
    </row>
    <row r="5638" spans="1:22" x14ac:dyDescent="0.35">
      <c r="A5638" s="1">
        <v>42296.683263888888</v>
      </c>
      <c r="B5638" s="2">
        <v>2.4189814814814816E-3</v>
      </c>
      <c r="C5638" t="s">
        <v>8945</v>
      </c>
      <c r="D5638" t="s">
        <v>23</v>
      </c>
      <c r="E5638" t="s">
        <v>24</v>
      </c>
      <c r="F5638" t="s">
        <v>3442</v>
      </c>
      <c r="G5638">
        <v>1873238</v>
      </c>
      <c r="H5638" t="s">
        <v>84</v>
      </c>
      <c r="I5638" t="s">
        <v>27</v>
      </c>
      <c r="J5638" t="str">
        <f>"9780520961647"</f>
        <v>9780520961647</v>
      </c>
      <c r="K5638" t="s">
        <v>8949</v>
      </c>
      <c r="L5638">
        <v>44</v>
      </c>
      <c r="O5638" t="s">
        <v>30</v>
      </c>
      <c r="P5638" t="s">
        <v>42</v>
      </c>
      <c r="S5638" t="s">
        <v>31</v>
      </c>
      <c r="T5638" t="s">
        <v>3444</v>
      </c>
      <c r="U5638">
        <v>497.9</v>
      </c>
      <c r="V5638" s="3">
        <v>42005</v>
      </c>
    </row>
    <row r="5639" spans="1:22" x14ac:dyDescent="0.35">
      <c r="A5639" s="1">
        <v>42296.681817129633</v>
      </c>
      <c r="B5639" s="2">
        <v>1.2384259259259258E-3</v>
      </c>
      <c r="C5639" t="s">
        <v>8945</v>
      </c>
      <c r="D5639" t="s">
        <v>23</v>
      </c>
      <c r="E5639" t="s">
        <v>24</v>
      </c>
      <c r="F5639" t="s">
        <v>3442</v>
      </c>
      <c r="G5639">
        <v>1873238</v>
      </c>
      <c r="H5639" t="s">
        <v>84</v>
      </c>
      <c r="I5639" t="s">
        <v>27</v>
      </c>
      <c r="J5639" t="str">
        <f>"9780520961647"</f>
        <v>9780520961647</v>
      </c>
      <c r="K5639" t="s">
        <v>8950</v>
      </c>
      <c r="L5639">
        <v>11</v>
      </c>
      <c r="O5639" t="s">
        <v>30</v>
      </c>
      <c r="P5639" t="s">
        <v>42</v>
      </c>
      <c r="S5639" t="s">
        <v>31</v>
      </c>
      <c r="T5639" t="s">
        <v>3444</v>
      </c>
      <c r="U5639">
        <v>497.9</v>
      </c>
      <c r="V5639" s="3">
        <v>42005</v>
      </c>
    </row>
    <row r="5640" spans="1:22" x14ac:dyDescent="0.35">
      <c r="A5640" s="1">
        <v>42296.680590277778</v>
      </c>
      <c r="B5640" s="2">
        <v>6.2500000000000001E-4</v>
      </c>
      <c r="C5640" t="s">
        <v>8951</v>
      </c>
      <c r="D5640" t="s">
        <v>623</v>
      </c>
      <c r="E5640" t="s">
        <v>624</v>
      </c>
      <c r="F5640" t="s">
        <v>8952</v>
      </c>
      <c r="G5640">
        <v>2095093</v>
      </c>
      <c r="H5640" t="s">
        <v>45</v>
      </c>
      <c r="I5640" t="s">
        <v>79</v>
      </c>
      <c r="J5640" t="str">
        <f>"9781472446763"</f>
        <v>9781472446763</v>
      </c>
      <c r="K5640" t="s">
        <v>8953</v>
      </c>
      <c r="L5640">
        <v>16</v>
      </c>
      <c r="O5640" t="s">
        <v>30</v>
      </c>
      <c r="P5640" t="s">
        <v>50</v>
      </c>
      <c r="S5640" t="s">
        <v>627</v>
      </c>
      <c r="T5640" t="s">
        <v>8954</v>
      </c>
      <c r="U5640" t="s">
        <v>8955</v>
      </c>
      <c r="V5640" s="3">
        <v>42275</v>
      </c>
    </row>
    <row r="5641" spans="1:22" x14ac:dyDescent="0.35">
      <c r="A5641" s="1">
        <v>42296.655416666668</v>
      </c>
      <c r="B5641" s="2">
        <v>2.7546296296296294E-3</v>
      </c>
      <c r="C5641" t="s">
        <v>5995</v>
      </c>
      <c r="D5641" t="s">
        <v>335</v>
      </c>
      <c r="E5641" t="s">
        <v>336</v>
      </c>
      <c r="F5641" t="s">
        <v>3732</v>
      </c>
      <c r="G5641">
        <v>284109</v>
      </c>
      <c r="H5641" t="s">
        <v>26</v>
      </c>
      <c r="I5641" t="s">
        <v>338</v>
      </c>
      <c r="J5641" t="str">
        <f>"9781405173469"</f>
        <v>9781405173469</v>
      </c>
      <c r="K5641" t="s">
        <v>8956</v>
      </c>
      <c r="L5641">
        <v>13</v>
      </c>
      <c r="O5641" t="s">
        <v>30</v>
      </c>
      <c r="P5641" t="s">
        <v>47</v>
      </c>
      <c r="Q5641" s="1">
        <v>42296.610081018516</v>
      </c>
      <c r="R5641">
        <v>1</v>
      </c>
      <c r="S5641" t="s">
        <v>340</v>
      </c>
      <c r="T5641" t="s">
        <v>3734</v>
      </c>
      <c r="U5641" t="s">
        <v>3735</v>
      </c>
      <c r="V5641" s="3">
        <v>41409</v>
      </c>
    </row>
    <row r="5642" spans="1:22" x14ac:dyDescent="0.35">
      <c r="A5642" s="1">
        <v>42296.652488425927</v>
      </c>
      <c r="B5642" s="2">
        <v>1.273148148148148E-4</v>
      </c>
      <c r="C5642" t="s">
        <v>3938</v>
      </c>
      <c r="D5642" t="s">
        <v>623</v>
      </c>
      <c r="E5642" t="s">
        <v>624</v>
      </c>
      <c r="F5642" t="s">
        <v>3939</v>
      </c>
      <c r="G5642">
        <v>1132027</v>
      </c>
      <c r="H5642" t="s">
        <v>84</v>
      </c>
      <c r="I5642" t="s">
        <v>172</v>
      </c>
      <c r="J5642" t="str">
        <f>"9780520954694"</f>
        <v>9780520954694</v>
      </c>
      <c r="K5642" t="s">
        <v>209</v>
      </c>
      <c r="L5642">
        <v>4</v>
      </c>
      <c r="O5642" t="s">
        <v>30</v>
      </c>
      <c r="P5642" t="s">
        <v>42</v>
      </c>
      <c r="S5642" t="s">
        <v>627</v>
      </c>
      <c r="T5642" t="s">
        <v>3940</v>
      </c>
      <c r="U5642">
        <v>938.07</v>
      </c>
      <c r="V5642" s="3">
        <v>41282</v>
      </c>
    </row>
    <row r="5643" spans="1:22" x14ac:dyDescent="0.35">
      <c r="A5643" s="1">
        <v>42296.650393518517</v>
      </c>
      <c r="B5643" s="2">
        <v>4.6296296296296293E-4</v>
      </c>
      <c r="C5643" t="s">
        <v>4681</v>
      </c>
      <c r="D5643" t="s">
        <v>1222</v>
      </c>
      <c r="E5643" t="s">
        <v>1223</v>
      </c>
      <c r="F5643" t="s">
        <v>3263</v>
      </c>
      <c r="G5643">
        <v>1840835</v>
      </c>
      <c r="H5643" t="s">
        <v>26</v>
      </c>
      <c r="I5643" t="s">
        <v>108</v>
      </c>
      <c r="J5643" t="str">
        <f>"9781118950166"</f>
        <v>9781118950166</v>
      </c>
      <c r="K5643" t="s">
        <v>8957</v>
      </c>
      <c r="L5643">
        <v>15</v>
      </c>
      <c r="O5643" t="s">
        <v>30</v>
      </c>
      <c r="P5643" t="s">
        <v>42</v>
      </c>
      <c r="S5643" t="s">
        <v>1226</v>
      </c>
      <c r="T5643" t="s">
        <v>3264</v>
      </c>
      <c r="U5643">
        <v>338.10923789999998</v>
      </c>
      <c r="V5643" s="3">
        <v>41953</v>
      </c>
    </row>
    <row r="5644" spans="1:22" x14ac:dyDescent="0.35">
      <c r="A5644" s="1">
        <v>42296.613877314812</v>
      </c>
      <c r="B5644" s="2">
        <v>4.6296296296296294E-5</v>
      </c>
      <c r="C5644" t="s">
        <v>4205</v>
      </c>
      <c r="D5644" t="s">
        <v>597</v>
      </c>
      <c r="E5644" t="s">
        <v>598</v>
      </c>
      <c r="F5644" t="s">
        <v>111</v>
      </c>
      <c r="G5644">
        <v>693176</v>
      </c>
      <c r="H5644" t="s">
        <v>26</v>
      </c>
      <c r="I5644" t="s">
        <v>112</v>
      </c>
      <c r="J5644" t="str">
        <f>"9781118017746"</f>
        <v>9781118017746</v>
      </c>
      <c r="K5644" t="s">
        <v>33</v>
      </c>
      <c r="L5644">
        <v>3</v>
      </c>
      <c r="O5644" t="s">
        <v>30</v>
      </c>
      <c r="P5644" t="s">
        <v>42</v>
      </c>
      <c r="S5644" t="s">
        <v>600</v>
      </c>
      <c r="T5644" t="s">
        <v>114</v>
      </c>
      <c r="U5644" t="s">
        <v>115</v>
      </c>
      <c r="V5644" s="3">
        <v>40835</v>
      </c>
    </row>
    <row r="5645" spans="1:22" x14ac:dyDescent="0.35">
      <c r="A5645" s="1">
        <v>42296.610081018516</v>
      </c>
      <c r="B5645" s="2">
        <v>9.6493055555555554E-2</v>
      </c>
      <c r="C5645" t="s">
        <v>5995</v>
      </c>
      <c r="D5645" t="s">
        <v>335</v>
      </c>
      <c r="E5645" t="s">
        <v>336</v>
      </c>
      <c r="F5645" t="s">
        <v>3732</v>
      </c>
      <c r="G5645">
        <v>284109</v>
      </c>
      <c r="H5645" t="s">
        <v>26</v>
      </c>
      <c r="I5645" t="s">
        <v>338</v>
      </c>
      <c r="J5645" t="str">
        <f>"9781405173469"</f>
        <v>9781405173469</v>
      </c>
      <c r="K5645" t="s">
        <v>8958</v>
      </c>
      <c r="L5645">
        <v>89</v>
      </c>
      <c r="O5645" t="s">
        <v>30</v>
      </c>
      <c r="P5645" t="s">
        <v>47</v>
      </c>
      <c r="Q5645" s="1">
        <v>42296.610081018516</v>
      </c>
      <c r="R5645">
        <v>1</v>
      </c>
      <c r="S5645" t="s">
        <v>340</v>
      </c>
      <c r="T5645" t="s">
        <v>3734</v>
      </c>
      <c r="U5645" t="s">
        <v>3735</v>
      </c>
      <c r="V5645" s="3">
        <v>41409</v>
      </c>
    </row>
    <row r="5646" spans="1:22" x14ac:dyDescent="0.35">
      <c r="A5646" s="1">
        <v>42296.609988425924</v>
      </c>
      <c r="B5646" s="2">
        <v>9.2592592592592588E-5</v>
      </c>
      <c r="C5646" t="s">
        <v>5995</v>
      </c>
      <c r="D5646" t="s">
        <v>335</v>
      </c>
      <c r="E5646" t="s">
        <v>336</v>
      </c>
      <c r="F5646" t="s">
        <v>3732</v>
      </c>
      <c r="G5646">
        <v>284109</v>
      </c>
      <c r="H5646" t="s">
        <v>26</v>
      </c>
      <c r="I5646" t="s">
        <v>338</v>
      </c>
      <c r="J5646" t="str">
        <f>"9781405173469"</f>
        <v>9781405173469</v>
      </c>
      <c r="K5646" t="s">
        <v>33</v>
      </c>
      <c r="L5646">
        <v>3</v>
      </c>
      <c r="O5646" t="s">
        <v>30</v>
      </c>
      <c r="P5646" t="s">
        <v>50</v>
      </c>
      <c r="S5646" t="s">
        <v>340</v>
      </c>
      <c r="T5646" t="s">
        <v>3734</v>
      </c>
      <c r="U5646" t="s">
        <v>3735</v>
      </c>
      <c r="V5646" s="3">
        <v>41409</v>
      </c>
    </row>
    <row r="5647" spans="1:22" x14ac:dyDescent="0.35">
      <c r="A5647" s="1">
        <v>42296.606203703705</v>
      </c>
      <c r="B5647" s="2">
        <v>3.4027777777777784E-3</v>
      </c>
      <c r="C5647" t="s">
        <v>5995</v>
      </c>
      <c r="D5647" t="s">
        <v>335</v>
      </c>
      <c r="E5647" t="s">
        <v>336</v>
      </c>
      <c r="F5647" t="s">
        <v>3732</v>
      </c>
      <c r="G5647">
        <v>284109</v>
      </c>
      <c r="H5647" t="s">
        <v>26</v>
      </c>
      <c r="I5647" t="s">
        <v>338</v>
      </c>
      <c r="J5647" t="str">
        <f>"9781405173469"</f>
        <v>9781405173469</v>
      </c>
      <c r="K5647" t="s">
        <v>8959</v>
      </c>
      <c r="L5647">
        <v>26</v>
      </c>
      <c r="O5647" t="s">
        <v>30</v>
      </c>
      <c r="P5647" t="s">
        <v>50</v>
      </c>
      <c r="S5647" t="s">
        <v>340</v>
      </c>
      <c r="T5647" t="s">
        <v>3734</v>
      </c>
      <c r="U5647" t="s">
        <v>3735</v>
      </c>
      <c r="V5647" s="3">
        <v>41409</v>
      </c>
    </row>
    <row r="5648" spans="1:22" x14ac:dyDescent="0.35">
      <c r="A5648" s="1">
        <v>42296.60260416667</v>
      </c>
      <c r="B5648" s="2">
        <v>0</v>
      </c>
      <c r="C5648" t="s">
        <v>1098</v>
      </c>
      <c r="D5648" t="s">
        <v>360</v>
      </c>
      <c r="E5648" t="s">
        <v>361</v>
      </c>
      <c r="F5648" t="s">
        <v>8802</v>
      </c>
      <c r="G5648">
        <v>1895305</v>
      </c>
      <c r="H5648" t="s">
        <v>26</v>
      </c>
      <c r="I5648" t="s">
        <v>276</v>
      </c>
      <c r="J5648" t="str">
        <f>"9781119047650"</f>
        <v>9781119047650</v>
      </c>
      <c r="L5648">
        <v>0</v>
      </c>
      <c r="O5648" t="s">
        <v>28</v>
      </c>
      <c r="P5648" t="s">
        <v>29</v>
      </c>
      <c r="Q5648" s="1">
        <v>42294.183495370373</v>
      </c>
      <c r="R5648">
        <v>7</v>
      </c>
      <c r="S5648" t="s">
        <v>363</v>
      </c>
      <c r="T5648" t="s">
        <v>8804</v>
      </c>
      <c r="U5648">
        <v>6.7519999999999998</v>
      </c>
      <c r="V5648" s="3">
        <v>42151</v>
      </c>
    </row>
    <row r="5649" spans="1:22" x14ac:dyDescent="0.35">
      <c r="A5649" s="1">
        <v>42296.602349537039</v>
      </c>
      <c r="B5649" s="2">
        <v>8.1018518518518516E-5</v>
      </c>
      <c r="C5649" t="s">
        <v>1098</v>
      </c>
      <c r="D5649" t="s">
        <v>360</v>
      </c>
      <c r="E5649" t="s">
        <v>361</v>
      </c>
      <c r="F5649" t="s">
        <v>8802</v>
      </c>
      <c r="G5649">
        <v>1895305</v>
      </c>
      <c r="H5649" t="s">
        <v>26</v>
      </c>
      <c r="I5649" t="s">
        <v>276</v>
      </c>
      <c r="J5649" t="str">
        <f>"9781119047650"</f>
        <v>9781119047650</v>
      </c>
      <c r="K5649" t="s">
        <v>777</v>
      </c>
      <c r="L5649">
        <v>3</v>
      </c>
      <c r="O5649" t="s">
        <v>30</v>
      </c>
      <c r="P5649" t="s">
        <v>29</v>
      </c>
      <c r="Q5649" s="1">
        <v>42294.183495370373</v>
      </c>
      <c r="R5649">
        <v>7</v>
      </c>
      <c r="S5649" t="s">
        <v>363</v>
      </c>
      <c r="T5649" t="s">
        <v>8804</v>
      </c>
      <c r="U5649">
        <v>6.7519999999999998</v>
      </c>
      <c r="V5649" s="3">
        <v>42151</v>
      </c>
    </row>
    <row r="5650" spans="1:22" x14ac:dyDescent="0.35">
      <c r="A5650" s="1">
        <v>42296.602222222224</v>
      </c>
      <c r="B5650" s="2">
        <v>2.3379629629629631E-3</v>
      </c>
      <c r="C5650" t="s">
        <v>5995</v>
      </c>
      <c r="D5650" t="s">
        <v>335</v>
      </c>
      <c r="E5650" t="s">
        <v>336</v>
      </c>
      <c r="F5650" t="s">
        <v>8960</v>
      </c>
      <c r="G5650">
        <v>1220625</v>
      </c>
      <c r="H5650" t="s">
        <v>613</v>
      </c>
      <c r="I5650" t="s">
        <v>328</v>
      </c>
      <c r="J5650" t="str">
        <f>"9781469612751"</f>
        <v>9781469612751</v>
      </c>
      <c r="K5650" t="s">
        <v>8961</v>
      </c>
      <c r="L5650">
        <v>33</v>
      </c>
      <c r="O5650" t="s">
        <v>30</v>
      </c>
      <c r="P5650" t="s">
        <v>50</v>
      </c>
      <c r="S5650" t="s">
        <v>340</v>
      </c>
      <c r="T5650" t="s">
        <v>8962</v>
      </c>
      <c r="U5650">
        <v>362.1</v>
      </c>
      <c r="V5650" s="3">
        <v>41487</v>
      </c>
    </row>
    <row r="5651" spans="1:22" x14ac:dyDescent="0.35">
      <c r="A5651" s="1">
        <v>42296.533831018518</v>
      </c>
      <c r="B5651" s="2">
        <v>2.7777777777777778E-4</v>
      </c>
      <c r="C5651" t="s">
        <v>3731</v>
      </c>
      <c r="D5651" t="s">
        <v>360</v>
      </c>
      <c r="E5651" t="s">
        <v>361</v>
      </c>
      <c r="F5651" t="s">
        <v>8963</v>
      </c>
      <c r="G5651">
        <v>1829441</v>
      </c>
      <c r="H5651" t="s">
        <v>26</v>
      </c>
      <c r="I5651" t="s">
        <v>97</v>
      </c>
      <c r="J5651" t="str">
        <f>"9781118756218"</f>
        <v>9781118756218</v>
      </c>
      <c r="K5651" t="s">
        <v>8964</v>
      </c>
      <c r="L5651">
        <v>14</v>
      </c>
      <c r="O5651" t="s">
        <v>30</v>
      </c>
      <c r="P5651" t="s">
        <v>50</v>
      </c>
      <c r="S5651" t="s">
        <v>363</v>
      </c>
      <c r="T5651" t="s">
        <v>8965</v>
      </c>
      <c r="U5651" t="s">
        <v>8966</v>
      </c>
      <c r="V5651" s="3">
        <v>41941</v>
      </c>
    </row>
    <row r="5652" spans="1:22" x14ac:dyDescent="0.35">
      <c r="A5652" s="1">
        <v>42296.254618055558</v>
      </c>
      <c r="B5652" s="2">
        <v>2.2106481481481478E-3</v>
      </c>
      <c r="C5652" t="s">
        <v>5411</v>
      </c>
      <c r="D5652" t="s">
        <v>23</v>
      </c>
      <c r="E5652" t="s">
        <v>24</v>
      </c>
      <c r="F5652" t="s">
        <v>1051</v>
      </c>
      <c r="G5652">
        <v>821663</v>
      </c>
      <c r="H5652" t="s">
        <v>26</v>
      </c>
      <c r="I5652" t="s">
        <v>200</v>
      </c>
      <c r="J5652" t="str">
        <f>"9781118168479"</f>
        <v>9781118168479</v>
      </c>
      <c r="K5652" t="s">
        <v>8967</v>
      </c>
      <c r="L5652">
        <v>12</v>
      </c>
      <c r="O5652" t="s">
        <v>30</v>
      </c>
      <c r="P5652" t="s">
        <v>29</v>
      </c>
      <c r="Q5652" s="1">
        <v>42296.254618055558</v>
      </c>
      <c r="R5652">
        <v>7</v>
      </c>
      <c r="S5652" t="s">
        <v>31</v>
      </c>
      <c r="T5652" t="s">
        <v>1053</v>
      </c>
      <c r="U5652">
        <v>729</v>
      </c>
      <c r="V5652" s="3">
        <v>40973</v>
      </c>
    </row>
    <row r="5653" spans="1:22" x14ac:dyDescent="0.35">
      <c r="A5653" s="1">
        <v>42296.213055555556</v>
      </c>
      <c r="B5653" s="2">
        <v>4.1562500000000002E-2</v>
      </c>
      <c r="C5653" t="s">
        <v>5411</v>
      </c>
      <c r="D5653" t="s">
        <v>23</v>
      </c>
      <c r="E5653" t="s">
        <v>24</v>
      </c>
      <c r="F5653" t="s">
        <v>1051</v>
      </c>
      <c r="G5653">
        <v>821663</v>
      </c>
      <c r="H5653" t="s">
        <v>26</v>
      </c>
      <c r="I5653" t="s">
        <v>200</v>
      </c>
      <c r="J5653" t="str">
        <f>"9781118168479"</f>
        <v>9781118168479</v>
      </c>
      <c r="K5653" t="s">
        <v>8968</v>
      </c>
      <c r="L5653">
        <v>12</v>
      </c>
      <c r="O5653" t="s">
        <v>30</v>
      </c>
      <c r="P5653" t="s">
        <v>42</v>
      </c>
      <c r="S5653" t="s">
        <v>31</v>
      </c>
      <c r="T5653" t="s">
        <v>1053</v>
      </c>
      <c r="U5653">
        <v>729</v>
      </c>
      <c r="V5653" s="3">
        <v>40973</v>
      </c>
    </row>
    <row r="5654" spans="1:22" x14ac:dyDescent="0.35">
      <c r="A5654" s="1">
        <v>42296.119120370371</v>
      </c>
      <c r="B5654" s="2">
        <v>1.7361111111111112E-4</v>
      </c>
      <c r="C5654" t="s">
        <v>8969</v>
      </c>
      <c r="D5654" t="s">
        <v>1222</v>
      </c>
      <c r="E5654" t="s">
        <v>1223</v>
      </c>
      <c r="F5654" t="s">
        <v>8970</v>
      </c>
      <c r="G5654">
        <v>1686847</v>
      </c>
      <c r="H5654" t="s">
        <v>84</v>
      </c>
      <c r="I5654" t="s">
        <v>97</v>
      </c>
      <c r="J5654" t="str">
        <f>"9780520957909"</f>
        <v>9780520957909</v>
      </c>
      <c r="K5654" t="s">
        <v>8971</v>
      </c>
      <c r="L5654">
        <v>8</v>
      </c>
      <c r="O5654" t="s">
        <v>30</v>
      </c>
      <c r="P5654" t="s">
        <v>42</v>
      </c>
      <c r="S5654" t="s">
        <v>1226</v>
      </c>
      <c r="T5654" t="s">
        <v>8972</v>
      </c>
      <c r="U5654" t="s">
        <v>8973</v>
      </c>
      <c r="V5654" s="3">
        <v>41765</v>
      </c>
    </row>
    <row r="5655" spans="1:22" x14ac:dyDescent="0.35">
      <c r="A5655" s="1">
        <v>42296.074583333335</v>
      </c>
      <c r="B5655" s="2">
        <v>3.9988425925925927E-2</v>
      </c>
      <c r="C5655" t="s">
        <v>4741</v>
      </c>
      <c r="D5655" t="s">
        <v>1222</v>
      </c>
      <c r="E5655" t="s">
        <v>1223</v>
      </c>
      <c r="F5655" t="s">
        <v>3263</v>
      </c>
      <c r="G5655">
        <v>1840835</v>
      </c>
      <c r="H5655" t="s">
        <v>26</v>
      </c>
      <c r="I5655" t="s">
        <v>108</v>
      </c>
      <c r="J5655" t="str">
        <f>"9781118950166"</f>
        <v>9781118950166</v>
      </c>
      <c r="K5655" t="s">
        <v>8974</v>
      </c>
      <c r="L5655">
        <v>29</v>
      </c>
      <c r="O5655" t="s">
        <v>30</v>
      </c>
      <c r="P5655" t="s">
        <v>29</v>
      </c>
      <c r="Q5655" s="1">
        <v>42293.086006944446</v>
      </c>
      <c r="R5655">
        <v>7</v>
      </c>
      <c r="S5655" t="s">
        <v>1226</v>
      </c>
      <c r="T5655" t="s">
        <v>3264</v>
      </c>
      <c r="U5655">
        <v>338.10923789999998</v>
      </c>
      <c r="V5655" s="3">
        <v>41953</v>
      </c>
    </row>
    <row r="5656" spans="1:22" x14ac:dyDescent="0.35">
      <c r="A5656" s="1">
        <v>42296.047905092593</v>
      </c>
      <c r="B5656" s="2">
        <v>2.4652777777777776E-3</v>
      </c>
      <c r="C5656" t="s">
        <v>8975</v>
      </c>
      <c r="D5656" t="s">
        <v>23</v>
      </c>
      <c r="E5656" t="s">
        <v>24</v>
      </c>
      <c r="F5656" t="s">
        <v>246</v>
      </c>
      <c r="G5656">
        <v>1682559</v>
      </c>
      <c r="H5656" t="s">
        <v>91</v>
      </c>
      <c r="I5656" t="s">
        <v>247</v>
      </c>
      <c r="J5656" t="str">
        <f>"9781462515431"</f>
        <v>9781462515431</v>
      </c>
      <c r="K5656" t="s">
        <v>8976</v>
      </c>
      <c r="L5656">
        <v>18</v>
      </c>
      <c r="O5656" t="s">
        <v>30</v>
      </c>
      <c r="P5656" t="s">
        <v>29</v>
      </c>
      <c r="Q5656" s="1">
        <v>42296.009930555556</v>
      </c>
      <c r="R5656">
        <v>7</v>
      </c>
      <c r="S5656" t="s">
        <v>31</v>
      </c>
      <c r="T5656" t="s">
        <v>249</v>
      </c>
      <c r="U5656">
        <v>616.89</v>
      </c>
      <c r="V5656" s="3">
        <v>41769</v>
      </c>
    </row>
    <row r="5657" spans="1:22" x14ac:dyDescent="0.35">
      <c r="A5657" s="1">
        <v>42296.043564814812</v>
      </c>
      <c r="B5657" s="2">
        <v>3.3472222222222223E-2</v>
      </c>
      <c r="C5657" t="s">
        <v>106</v>
      </c>
      <c r="D5657" t="s">
        <v>23</v>
      </c>
      <c r="E5657" t="s">
        <v>24</v>
      </c>
      <c r="F5657" t="s">
        <v>3943</v>
      </c>
      <c r="G5657">
        <v>836167</v>
      </c>
      <c r="H5657" t="s">
        <v>149</v>
      </c>
      <c r="I5657" t="s">
        <v>3944</v>
      </c>
      <c r="J5657" t="str">
        <f>"9781438139487"</f>
        <v>9781438139487</v>
      </c>
      <c r="K5657" t="s">
        <v>8977</v>
      </c>
      <c r="L5657">
        <v>18</v>
      </c>
      <c r="O5657" t="s">
        <v>30</v>
      </c>
      <c r="P5657" t="s">
        <v>29</v>
      </c>
      <c r="Q5657" s="1">
        <v>42295.880509259259</v>
      </c>
      <c r="R5657">
        <v>7</v>
      </c>
      <c r="S5657" t="s">
        <v>31</v>
      </c>
      <c r="T5657" t="s">
        <v>3946</v>
      </c>
      <c r="U5657" t="s">
        <v>3947</v>
      </c>
      <c r="V5657" s="3">
        <v>40848</v>
      </c>
    </row>
    <row r="5658" spans="1:22" x14ac:dyDescent="0.35">
      <c r="A5658" s="1">
        <v>42296.04283564815</v>
      </c>
      <c r="B5658" s="2">
        <v>1.6134259259259261E-2</v>
      </c>
      <c r="C5658" t="s">
        <v>106</v>
      </c>
      <c r="D5658" t="s">
        <v>23</v>
      </c>
      <c r="E5658" t="s">
        <v>24</v>
      </c>
      <c r="F5658" t="s">
        <v>3973</v>
      </c>
      <c r="G5658">
        <v>771049</v>
      </c>
      <c r="H5658" t="s">
        <v>3465</v>
      </c>
      <c r="I5658" t="s">
        <v>3974</v>
      </c>
      <c r="J5658" t="str">
        <f>"9781608706648"</f>
        <v>9781608706648</v>
      </c>
      <c r="K5658" t="s">
        <v>8978</v>
      </c>
      <c r="L5658">
        <v>18</v>
      </c>
      <c r="O5658" t="s">
        <v>30</v>
      </c>
      <c r="P5658" t="s">
        <v>29</v>
      </c>
      <c r="Q5658" s="1">
        <v>42295.843055555553</v>
      </c>
      <c r="R5658">
        <v>7</v>
      </c>
      <c r="S5658" t="s">
        <v>31</v>
      </c>
      <c r="T5658" t="s">
        <v>3976</v>
      </c>
      <c r="U5658">
        <v>363.73874000000001</v>
      </c>
      <c r="V5658" s="3">
        <v>40909</v>
      </c>
    </row>
    <row r="5659" spans="1:22" x14ac:dyDescent="0.35">
      <c r="A5659" s="1">
        <v>42296.038518518515</v>
      </c>
      <c r="B5659" s="2">
        <v>7.1238425925925927E-2</v>
      </c>
      <c r="C5659" t="s">
        <v>8979</v>
      </c>
      <c r="D5659" t="s">
        <v>23</v>
      </c>
      <c r="E5659" t="s">
        <v>24</v>
      </c>
      <c r="F5659" t="s">
        <v>4624</v>
      </c>
      <c r="G5659">
        <v>1909817</v>
      </c>
      <c r="H5659" t="s">
        <v>91</v>
      </c>
      <c r="I5659" t="s">
        <v>247</v>
      </c>
      <c r="J5659" t="str">
        <f>"9781462520602"</f>
        <v>9781462520602</v>
      </c>
      <c r="K5659" t="s">
        <v>8980</v>
      </c>
      <c r="L5659">
        <v>51</v>
      </c>
      <c r="O5659" t="s">
        <v>30</v>
      </c>
      <c r="P5659" t="s">
        <v>47</v>
      </c>
      <c r="Q5659" s="1">
        <v>42296.03837962963</v>
      </c>
      <c r="R5659">
        <v>1</v>
      </c>
      <c r="S5659" t="s">
        <v>31</v>
      </c>
      <c r="T5659" t="s">
        <v>4626</v>
      </c>
      <c r="U5659">
        <v>616</v>
      </c>
      <c r="V5659" s="3">
        <v>42165</v>
      </c>
    </row>
    <row r="5660" spans="1:22" x14ac:dyDescent="0.35">
      <c r="A5660" s="1">
        <v>42296.03837962963</v>
      </c>
      <c r="B5660" s="2">
        <v>6.9444444444444444E-5</v>
      </c>
      <c r="C5660" t="s">
        <v>8979</v>
      </c>
      <c r="D5660" t="s">
        <v>23</v>
      </c>
      <c r="E5660" t="s">
        <v>24</v>
      </c>
      <c r="F5660" t="s">
        <v>4624</v>
      </c>
      <c r="G5660">
        <v>1909817</v>
      </c>
      <c r="H5660" t="s">
        <v>91</v>
      </c>
      <c r="I5660" t="s">
        <v>247</v>
      </c>
      <c r="J5660" t="str">
        <f>"9781462520602"</f>
        <v>9781462520602</v>
      </c>
      <c r="K5660" t="s">
        <v>8981</v>
      </c>
      <c r="L5660">
        <v>5</v>
      </c>
      <c r="O5660" t="s">
        <v>30</v>
      </c>
      <c r="P5660" t="s">
        <v>47</v>
      </c>
      <c r="Q5660" s="1">
        <v>42296.03837962963</v>
      </c>
      <c r="R5660">
        <v>1</v>
      </c>
      <c r="S5660" t="s">
        <v>31</v>
      </c>
      <c r="T5660" t="s">
        <v>4626</v>
      </c>
      <c r="U5660">
        <v>616</v>
      </c>
      <c r="V5660" s="3">
        <v>42165</v>
      </c>
    </row>
    <row r="5661" spans="1:22" x14ac:dyDescent="0.35">
      <c r="A5661" s="1">
        <v>42296.028020833335</v>
      </c>
      <c r="B5661" s="2">
        <v>3.1504629629629625E-2</v>
      </c>
      <c r="C5661" t="s">
        <v>4741</v>
      </c>
      <c r="D5661" t="s">
        <v>1222</v>
      </c>
      <c r="E5661" t="s">
        <v>1223</v>
      </c>
      <c r="F5661" t="s">
        <v>3263</v>
      </c>
      <c r="G5661">
        <v>1840835</v>
      </c>
      <c r="H5661" t="s">
        <v>26</v>
      </c>
      <c r="I5661" t="s">
        <v>108</v>
      </c>
      <c r="J5661" t="str">
        <f>"9781118950166"</f>
        <v>9781118950166</v>
      </c>
      <c r="K5661" t="s">
        <v>8982</v>
      </c>
      <c r="L5661">
        <v>25</v>
      </c>
      <c r="O5661" t="s">
        <v>30</v>
      </c>
      <c r="P5661" t="s">
        <v>29</v>
      </c>
      <c r="Q5661" s="1">
        <v>42293.086006944446</v>
      </c>
      <c r="R5661">
        <v>7</v>
      </c>
      <c r="S5661" t="s">
        <v>1226</v>
      </c>
      <c r="T5661" t="s">
        <v>3264</v>
      </c>
      <c r="U5661">
        <v>338.10923789999998</v>
      </c>
      <c r="V5661" s="3">
        <v>41953</v>
      </c>
    </row>
    <row r="5662" spans="1:22" x14ac:dyDescent="0.35">
      <c r="A5662" s="1">
        <v>42296.021041666667</v>
      </c>
      <c r="B5662" s="2">
        <v>4.0150462962962964E-2</v>
      </c>
      <c r="C5662" t="s">
        <v>7960</v>
      </c>
      <c r="D5662" t="s">
        <v>35</v>
      </c>
      <c r="E5662" t="s">
        <v>36</v>
      </c>
      <c r="F5662" t="s">
        <v>986</v>
      </c>
      <c r="G5662">
        <v>968030</v>
      </c>
      <c r="H5662" t="s">
        <v>26</v>
      </c>
      <c r="I5662" t="s">
        <v>219</v>
      </c>
      <c r="J5662" t="str">
        <f>"9781118285138"</f>
        <v>9781118285138</v>
      </c>
      <c r="K5662" t="s">
        <v>8983</v>
      </c>
      <c r="L5662">
        <v>27</v>
      </c>
      <c r="M5662" t="s">
        <v>8984</v>
      </c>
      <c r="O5662" t="s">
        <v>30</v>
      </c>
      <c r="P5662" t="s">
        <v>29</v>
      </c>
      <c r="Q5662" s="1">
        <v>42290.774594907409</v>
      </c>
      <c r="R5662">
        <v>7</v>
      </c>
      <c r="S5662" t="s">
        <v>40</v>
      </c>
      <c r="T5662" t="s">
        <v>987</v>
      </c>
      <c r="U5662">
        <v>158.30000000000001</v>
      </c>
      <c r="V5662" s="3">
        <v>41100</v>
      </c>
    </row>
    <row r="5663" spans="1:22" x14ac:dyDescent="0.35">
      <c r="A5663" s="1">
        <v>42296.009930555556</v>
      </c>
      <c r="B5663" s="2">
        <v>2.2916666666666667E-3</v>
      </c>
      <c r="C5663" t="s">
        <v>8975</v>
      </c>
      <c r="D5663" t="s">
        <v>23</v>
      </c>
      <c r="E5663" t="s">
        <v>24</v>
      </c>
      <c r="F5663" t="s">
        <v>246</v>
      </c>
      <c r="G5663">
        <v>1682559</v>
      </c>
      <c r="H5663" t="s">
        <v>91</v>
      </c>
      <c r="I5663" t="s">
        <v>247</v>
      </c>
      <c r="J5663" t="str">
        <f>"9781462515431"</f>
        <v>9781462515431</v>
      </c>
      <c r="K5663" t="s">
        <v>8985</v>
      </c>
      <c r="L5663">
        <v>5</v>
      </c>
      <c r="O5663" t="s">
        <v>30</v>
      </c>
      <c r="P5663" t="s">
        <v>29</v>
      </c>
      <c r="Q5663" s="1">
        <v>42296.009930555556</v>
      </c>
      <c r="R5663">
        <v>7</v>
      </c>
      <c r="S5663" t="s">
        <v>31</v>
      </c>
      <c r="T5663" t="s">
        <v>249</v>
      </c>
      <c r="U5663">
        <v>616.89</v>
      </c>
      <c r="V5663" s="3">
        <v>41769</v>
      </c>
    </row>
    <row r="5664" spans="1:22" x14ac:dyDescent="0.35">
      <c r="A5664" s="1">
        <v>42296.002511574072</v>
      </c>
      <c r="B5664" s="2">
        <v>7.4189814814814813E-3</v>
      </c>
      <c r="C5664" t="s">
        <v>8975</v>
      </c>
      <c r="D5664" t="s">
        <v>23</v>
      </c>
      <c r="E5664" t="s">
        <v>24</v>
      </c>
      <c r="F5664" t="s">
        <v>246</v>
      </c>
      <c r="G5664">
        <v>1682559</v>
      </c>
      <c r="H5664" t="s">
        <v>91</v>
      </c>
      <c r="I5664" t="s">
        <v>247</v>
      </c>
      <c r="J5664" t="str">
        <f>"9781462515431"</f>
        <v>9781462515431</v>
      </c>
      <c r="K5664" t="s">
        <v>8986</v>
      </c>
      <c r="L5664">
        <v>20</v>
      </c>
      <c r="O5664" t="s">
        <v>30</v>
      </c>
      <c r="P5664" t="s">
        <v>42</v>
      </c>
      <c r="S5664" t="s">
        <v>31</v>
      </c>
      <c r="T5664" t="s">
        <v>249</v>
      </c>
      <c r="U5664">
        <v>616.89</v>
      </c>
      <c r="V5664" s="3">
        <v>41769</v>
      </c>
    </row>
    <row r="5665" spans="1:22" x14ac:dyDescent="0.35">
      <c r="A5665" s="1">
        <v>42295.979756944442</v>
      </c>
      <c r="B5665" s="2">
        <v>3.3125000000000002E-2</v>
      </c>
      <c r="C5665" t="s">
        <v>8987</v>
      </c>
      <c r="D5665" t="s">
        <v>35</v>
      </c>
      <c r="E5665" t="s">
        <v>36</v>
      </c>
      <c r="F5665" t="s">
        <v>5297</v>
      </c>
      <c r="G5665">
        <v>821834</v>
      </c>
      <c r="H5665" t="s">
        <v>26</v>
      </c>
      <c r="I5665" t="s">
        <v>97</v>
      </c>
      <c r="J5665" t="str">
        <f>"9781118225868"</f>
        <v>9781118225868</v>
      </c>
      <c r="K5665" t="s">
        <v>8988</v>
      </c>
      <c r="L5665">
        <v>10</v>
      </c>
      <c r="O5665" t="s">
        <v>30</v>
      </c>
      <c r="P5665" t="s">
        <v>29</v>
      </c>
      <c r="Q5665" s="1">
        <v>42295.979756944442</v>
      </c>
      <c r="R5665">
        <v>7</v>
      </c>
      <c r="S5665" t="s">
        <v>40</v>
      </c>
      <c r="T5665" t="s">
        <v>5299</v>
      </c>
      <c r="U5665" t="s">
        <v>5200</v>
      </c>
      <c r="V5665" s="3">
        <v>41009</v>
      </c>
    </row>
    <row r="5666" spans="1:22" x14ac:dyDescent="0.35">
      <c r="A5666" s="1">
        <v>42295.964074074072</v>
      </c>
      <c r="B5666" s="2">
        <v>4.4814814814814814E-2</v>
      </c>
      <c r="C5666" t="s">
        <v>8987</v>
      </c>
      <c r="D5666" t="s">
        <v>35</v>
      </c>
      <c r="E5666" t="s">
        <v>36</v>
      </c>
      <c r="F5666" t="s">
        <v>8989</v>
      </c>
      <c r="G5666">
        <v>1192861</v>
      </c>
      <c r="H5666" t="s">
        <v>26</v>
      </c>
      <c r="I5666" t="s">
        <v>97</v>
      </c>
      <c r="J5666" t="str">
        <f>"9781118530269"</f>
        <v>9781118530269</v>
      </c>
      <c r="K5666" t="s">
        <v>8990</v>
      </c>
      <c r="L5666">
        <v>8</v>
      </c>
      <c r="O5666" t="s">
        <v>30</v>
      </c>
      <c r="P5666" t="s">
        <v>47</v>
      </c>
      <c r="Q5666" s="1">
        <v>42295.964074074072</v>
      </c>
      <c r="R5666">
        <v>1</v>
      </c>
      <c r="S5666" t="s">
        <v>40</v>
      </c>
      <c r="T5666" t="s">
        <v>8991</v>
      </c>
      <c r="U5666">
        <v>658.87202856754004</v>
      </c>
      <c r="V5666" s="3">
        <v>41411</v>
      </c>
    </row>
    <row r="5667" spans="1:22" x14ac:dyDescent="0.35">
      <c r="A5667" s="1">
        <v>42295.959791666668</v>
      </c>
      <c r="B5667" s="2">
        <v>7.8587962962962957E-2</v>
      </c>
      <c r="C5667" t="s">
        <v>8979</v>
      </c>
      <c r="D5667" t="s">
        <v>23</v>
      </c>
      <c r="E5667" t="s">
        <v>24</v>
      </c>
      <c r="F5667" t="s">
        <v>4624</v>
      </c>
      <c r="G5667">
        <v>1909817</v>
      </c>
      <c r="H5667" t="s">
        <v>91</v>
      </c>
      <c r="I5667" t="s">
        <v>247</v>
      </c>
      <c r="J5667" t="str">
        <f>"9781462520602"</f>
        <v>9781462520602</v>
      </c>
      <c r="K5667" t="s">
        <v>33</v>
      </c>
      <c r="L5667">
        <v>3</v>
      </c>
      <c r="O5667" t="s">
        <v>30</v>
      </c>
      <c r="P5667" t="s">
        <v>50</v>
      </c>
      <c r="S5667" t="s">
        <v>31</v>
      </c>
      <c r="T5667" t="s">
        <v>4626</v>
      </c>
      <c r="U5667">
        <v>616</v>
      </c>
      <c r="V5667" s="3">
        <v>42165</v>
      </c>
    </row>
    <row r="5668" spans="1:22" x14ac:dyDescent="0.35">
      <c r="A5668" s="1">
        <v>42295.942719907405</v>
      </c>
      <c r="B5668" s="2">
        <v>4.4212962962962956E-3</v>
      </c>
      <c r="C5668" t="s">
        <v>8992</v>
      </c>
      <c r="D5668" t="s">
        <v>2519</v>
      </c>
      <c r="E5668" t="s">
        <v>2520</v>
      </c>
      <c r="F5668" t="s">
        <v>8993</v>
      </c>
      <c r="G5668">
        <v>1708798</v>
      </c>
      <c r="H5668" t="s">
        <v>26</v>
      </c>
      <c r="I5668" t="s">
        <v>8994</v>
      </c>
      <c r="J5668" t="str">
        <f>"9781118828014"</f>
        <v>9781118828014</v>
      </c>
      <c r="K5668" t="s">
        <v>8995</v>
      </c>
      <c r="L5668">
        <v>21</v>
      </c>
      <c r="M5668" t="s">
        <v>8996</v>
      </c>
      <c r="O5668" t="s">
        <v>30</v>
      </c>
      <c r="P5668" t="s">
        <v>47</v>
      </c>
      <c r="Q5668" s="1">
        <v>42295.942719907405</v>
      </c>
      <c r="R5668">
        <v>1</v>
      </c>
      <c r="S5668" t="s">
        <v>3786</v>
      </c>
      <c r="T5668" t="s">
        <v>8997</v>
      </c>
      <c r="U5668">
        <v>612.02800000000002</v>
      </c>
      <c r="V5668" s="3">
        <v>41795</v>
      </c>
    </row>
    <row r="5669" spans="1:22" x14ac:dyDescent="0.35">
      <c r="A5669" s="1">
        <v>42295.940393518518</v>
      </c>
      <c r="B5669" s="2">
        <v>2.3263888888888887E-3</v>
      </c>
      <c r="C5669" t="s">
        <v>8992</v>
      </c>
      <c r="D5669" t="s">
        <v>2519</v>
      </c>
      <c r="E5669" t="s">
        <v>2520</v>
      </c>
      <c r="F5669" t="s">
        <v>8993</v>
      </c>
      <c r="G5669">
        <v>1708798</v>
      </c>
      <c r="H5669" t="s">
        <v>26</v>
      </c>
      <c r="I5669" t="s">
        <v>8994</v>
      </c>
      <c r="J5669" t="str">
        <f>"9781118828014"</f>
        <v>9781118828014</v>
      </c>
      <c r="K5669" t="s">
        <v>8998</v>
      </c>
      <c r="L5669">
        <v>17</v>
      </c>
      <c r="O5669" t="s">
        <v>30</v>
      </c>
      <c r="P5669" t="s">
        <v>50</v>
      </c>
      <c r="S5669" t="s">
        <v>3786</v>
      </c>
      <c r="T5669" t="s">
        <v>8997</v>
      </c>
      <c r="U5669">
        <v>612.02800000000002</v>
      </c>
      <c r="V5669" s="3">
        <v>41795</v>
      </c>
    </row>
    <row r="5670" spans="1:22" x14ac:dyDescent="0.35">
      <c r="A5670" s="1">
        <v>42295.927499999998</v>
      </c>
      <c r="B5670" s="2">
        <v>8.68287037037037E-2</v>
      </c>
      <c r="C5670" t="s">
        <v>8987</v>
      </c>
      <c r="D5670" t="s">
        <v>35</v>
      </c>
      <c r="E5670" t="s">
        <v>36</v>
      </c>
      <c r="F5670" t="s">
        <v>3930</v>
      </c>
      <c r="G5670">
        <v>1887759</v>
      </c>
      <c r="H5670" t="s">
        <v>26</v>
      </c>
      <c r="I5670" t="s">
        <v>267</v>
      </c>
      <c r="J5670" t="str">
        <f>"9781118951347"</f>
        <v>9781118951347</v>
      </c>
      <c r="K5670" t="s">
        <v>8999</v>
      </c>
      <c r="L5670">
        <v>18</v>
      </c>
      <c r="O5670" t="s">
        <v>30</v>
      </c>
      <c r="P5670" t="s">
        <v>29</v>
      </c>
      <c r="Q5670" s="1">
        <v>42295.927499999998</v>
      </c>
      <c r="R5670">
        <v>7</v>
      </c>
      <c r="S5670" t="s">
        <v>40</v>
      </c>
      <c r="T5670" t="s">
        <v>3931</v>
      </c>
      <c r="U5670">
        <v>658.87199999999996</v>
      </c>
      <c r="V5670" s="3">
        <v>41981</v>
      </c>
    </row>
    <row r="5671" spans="1:22" x14ac:dyDescent="0.35">
      <c r="A5671" s="1">
        <v>42295.901759259257</v>
      </c>
      <c r="B5671" s="2">
        <v>6.2314814814814816E-2</v>
      </c>
      <c r="C5671" t="s">
        <v>8987</v>
      </c>
      <c r="D5671" t="s">
        <v>35</v>
      </c>
      <c r="E5671" t="s">
        <v>36</v>
      </c>
      <c r="F5671" t="s">
        <v>8989</v>
      </c>
      <c r="G5671">
        <v>1192861</v>
      </c>
      <c r="H5671" t="s">
        <v>26</v>
      </c>
      <c r="I5671" t="s">
        <v>97</v>
      </c>
      <c r="J5671" t="str">
        <f>"9781118530269"</f>
        <v>9781118530269</v>
      </c>
      <c r="K5671" t="s">
        <v>9000</v>
      </c>
      <c r="L5671">
        <v>12</v>
      </c>
      <c r="O5671" t="s">
        <v>30</v>
      </c>
      <c r="P5671" t="s">
        <v>50</v>
      </c>
      <c r="S5671" t="s">
        <v>40</v>
      </c>
      <c r="T5671" t="s">
        <v>8991</v>
      </c>
      <c r="U5671">
        <v>658.87202856754004</v>
      </c>
      <c r="V5671" s="3">
        <v>41411</v>
      </c>
    </row>
    <row r="5672" spans="1:22" x14ac:dyDescent="0.35">
      <c r="A5672" s="1">
        <v>42295.89770833333</v>
      </c>
      <c r="B5672" s="2">
        <v>8.2048611111111114E-2</v>
      </c>
      <c r="C5672" t="s">
        <v>8987</v>
      </c>
      <c r="D5672" t="s">
        <v>35</v>
      </c>
      <c r="E5672" t="s">
        <v>36</v>
      </c>
      <c r="F5672" t="s">
        <v>5297</v>
      </c>
      <c r="G5672">
        <v>821834</v>
      </c>
      <c r="H5672" t="s">
        <v>26</v>
      </c>
      <c r="I5672" t="s">
        <v>97</v>
      </c>
      <c r="J5672" t="str">
        <f>"9781118225868"</f>
        <v>9781118225868</v>
      </c>
      <c r="K5672" t="s">
        <v>9001</v>
      </c>
      <c r="L5672">
        <v>8</v>
      </c>
      <c r="O5672" t="s">
        <v>30</v>
      </c>
      <c r="P5672" t="s">
        <v>42</v>
      </c>
      <c r="S5672" t="s">
        <v>40</v>
      </c>
      <c r="T5672" t="s">
        <v>5299</v>
      </c>
      <c r="U5672" t="s">
        <v>5200</v>
      </c>
      <c r="V5672" s="3">
        <v>41009</v>
      </c>
    </row>
    <row r="5673" spans="1:22" x14ac:dyDescent="0.35">
      <c r="A5673" s="1">
        <v>42295.896805555552</v>
      </c>
      <c r="B5673" s="2">
        <v>3.0694444444444444E-2</v>
      </c>
      <c r="C5673" t="s">
        <v>8987</v>
      </c>
      <c r="D5673" t="s">
        <v>35</v>
      </c>
      <c r="E5673" t="s">
        <v>36</v>
      </c>
      <c r="F5673" t="s">
        <v>3930</v>
      </c>
      <c r="G5673">
        <v>1887759</v>
      </c>
      <c r="H5673" t="s">
        <v>26</v>
      </c>
      <c r="I5673" t="s">
        <v>267</v>
      </c>
      <c r="J5673" t="str">
        <f>"9781118951347"</f>
        <v>9781118951347</v>
      </c>
      <c r="K5673" t="s">
        <v>9002</v>
      </c>
      <c r="L5673">
        <v>8</v>
      </c>
      <c r="O5673" t="s">
        <v>30</v>
      </c>
      <c r="P5673" t="s">
        <v>50</v>
      </c>
      <c r="S5673" t="s">
        <v>40</v>
      </c>
      <c r="T5673" t="s">
        <v>3931</v>
      </c>
      <c r="U5673">
        <v>658.87199999999996</v>
      </c>
      <c r="V5673" s="3">
        <v>41981</v>
      </c>
    </row>
    <row r="5674" spans="1:22" x14ac:dyDescent="0.35">
      <c r="A5674" s="1">
        <v>42295.887187499997</v>
      </c>
      <c r="B5674" s="2">
        <v>9.7222222222222209E-4</v>
      </c>
      <c r="C5674" t="s">
        <v>8987</v>
      </c>
      <c r="D5674" t="s">
        <v>35</v>
      </c>
      <c r="E5674" t="s">
        <v>36</v>
      </c>
      <c r="F5674" t="s">
        <v>3930</v>
      </c>
      <c r="G5674">
        <v>1887759</v>
      </c>
      <c r="H5674" t="s">
        <v>26</v>
      </c>
      <c r="I5674" t="s">
        <v>267</v>
      </c>
      <c r="J5674" t="str">
        <f>"9781118951347"</f>
        <v>9781118951347</v>
      </c>
      <c r="K5674" t="s">
        <v>9002</v>
      </c>
      <c r="L5674">
        <v>8</v>
      </c>
      <c r="O5674" t="s">
        <v>30</v>
      </c>
      <c r="P5674" t="s">
        <v>50</v>
      </c>
      <c r="S5674" t="s">
        <v>40</v>
      </c>
      <c r="T5674" t="s">
        <v>3931</v>
      </c>
      <c r="U5674">
        <v>658.87199999999996</v>
      </c>
      <c r="V5674" s="3">
        <v>41981</v>
      </c>
    </row>
    <row r="5675" spans="1:22" x14ac:dyDescent="0.35">
      <c r="A5675" s="1">
        <v>42295.880509259259</v>
      </c>
      <c r="B5675" s="2">
        <v>4.5335648148148146E-2</v>
      </c>
      <c r="C5675" t="s">
        <v>106</v>
      </c>
      <c r="D5675" t="s">
        <v>23</v>
      </c>
      <c r="E5675" t="s">
        <v>24</v>
      </c>
      <c r="F5675" t="s">
        <v>3943</v>
      </c>
      <c r="G5675">
        <v>836167</v>
      </c>
      <c r="H5675" t="s">
        <v>149</v>
      </c>
      <c r="I5675" t="s">
        <v>3944</v>
      </c>
      <c r="J5675" t="str">
        <f>"9781438139487"</f>
        <v>9781438139487</v>
      </c>
      <c r="K5675" t="s">
        <v>9003</v>
      </c>
      <c r="L5675">
        <v>67</v>
      </c>
      <c r="O5675" t="s">
        <v>30</v>
      </c>
      <c r="P5675" t="s">
        <v>29</v>
      </c>
      <c r="Q5675" s="1">
        <v>42295.880509259259</v>
      </c>
      <c r="R5675">
        <v>7</v>
      </c>
      <c r="S5675" t="s">
        <v>31</v>
      </c>
      <c r="T5675" t="s">
        <v>3946</v>
      </c>
      <c r="U5675" t="s">
        <v>3947</v>
      </c>
      <c r="V5675" s="3">
        <v>40848</v>
      </c>
    </row>
    <row r="5676" spans="1:22" x14ac:dyDescent="0.35">
      <c r="A5676" s="1">
        <v>42295.878101851849</v>
      </c>
      <c r="B5676" s="2">
        <v>1.8287037037037037E-3</v>
      </c>
      <c r="C5676" t="s">
        <v>8987</v>
      </c>
      <c r="D5676" t="s">
        <v>35</v>
      </c>
      <c r="E5676" t="s">
        <v>36</v>
      </c>
      <c r="F5676" t="s">
        <v>5297</v>
      </c>
      <c r="G5676">
        <v>821834</v>
      </c>
      <c r="H5676" t="s">
        <v>26</v>
      </c>
      <c r="I5676" t="s">
        <v>97</v>
      </c>
      <c r="J5676" t="str">
        <f>"9781118225868"</f>
        <v>9781118225868</v>
      </c>
      <c r="K5676" t="s">
        <v>9004</v>
      </c>
      <c r="L5676">
        <v>15</v>
      </c>
      <c r="O5676" t="s">
        <v>30</v>
      </c>
      <c r="P5676" t="s">
        <v>42</v>
      </c>
      <c r="S5676" t="s">
        <v>40</v>
      </c>
      <c r="T5676" t="s">
        <v>5299</v>
      </c>
      <c r="U5676" t="s">
        <v>5200</v>
      </c>
      <c r="V5676" s="3">
        <v>41009</v>
      </c>
    </row>
    <row r="5677" spans="1:22" x14ac:dyDescent="0.35">
      <c r="A5677" s="1">
        <v>42295.864571759259</v>
      </c>
      <c r="B5677" s="2">
        <v>9.2592592592592585E-4</v>
      </c>
      <c r="C5677" t="s">
        <v>3556</v>
      </c>
      <c r="D5677" t="s">
        <v>23</v>
      </c>
      <c r="E5677" t="s">
        <v>24</v>
      </c>
      <c r="F5677" t="s">
        <v>3060</v>
      </c>
      <c r="G5677">
        <v>1120279</v>
      </c>
      <c r="H5677" t="s">
        <v>26</v>
      </c>
      <c r="I5677" t="s">
        <v>3061</v>
      </c>
      <c r="J5677" t="str">
        <f>"9781118537671"</f>
        <v>9781118537671</v>
      </c>
      <c r="K5677" t="s">
        <v>9005</v>
      </c>
      <c r="L5677">
        <v>10</v>
      </c>
      <c r="O5677" t="s">
        <v>30</v>
      </c>
      <c r="P5677" t="s">
        <v>29</v>
      </c>
      <c r="Q5677" s="1">
        <v>42294.995358796295</v>
      </c>
      <c r="R5677">
        <v>7</v>
      </c>
      <c r="S5677" t="s">
        <v>31</v>
      </c>
      <c r="T5677" t="s">
        <v>3063</v>
      </c>
      <c r="U5677">
        <v>599.93499999999995</v>
      </c>
      <c r="V5677" s="3">
        <v>41232</v>
      </c>
    </row>
    <row r="5678" spans="1:22" x14ac:dyDescent="0.35">
      <c r="A5678" s="1">
        <v>42295.864328703705</v>
      </c>
      <c r="B5678" s="2">
        <v>1.6180555555555556E-2</v>
      </c>
      <c r="C5678" t="s">
        <v>106</v>
      </c>
      <c r="D5678" t="s">
        <v>23</v>
      </c>
      <c r="E5678" t="s">
        <v>24</v>
      </c>
      <c r="F5678" t="s">
        <v>3943</v>
      </c>
      <c r="G5678">
        <v>836167</v>
      </c>
      <c r="H5678" t="s">
        <v>149</v>
      </c>
      <c r="I5678" t="s">
        <v>3944</v>
      </c>
      <c r="J5678" t="str">
        <f>"9781438139487"</f>
        <v>9781438139487</v>
      </c>
      <c r="K5678" t="s">
        <v>9006</v>
      </c>
      <c r="L5678">
        <v>10</v>
      </c>
      <c r="O5678" t="s">
        <v>30</v>
      </c>
      <c r="P5678" t="s">
        <v>42</v>
      </c>
      <c r="S5678" t="s">
        <v>31</v>
      </c>
      <c r="T5678" t="s">
        <v>3946</v>
      </c>
      <c r="U5678" t="s">
        <v>3947</v>
      </c>
      <c r="V5678" s="3">
        <v>40848</v>
      </c>
    </row>
    <row r="5679" spans="1:22" x14ac:dyDescent="0.35">
      <c r="A5679" s="1">
        <v>42295.843055555553</v>
      </c>
      <c r="B5679" s="2">
        <v>8.627314814814814E-2</v>
      </c>
      <c r="C5679" t="s">
        <v>106</v>
      </c>
      <c r="D5679" t="s">
        <v>23</v>
      </c>
      <c r="E5679" t="s">
        <v>24</v>
      </c>
      <c r="F5679" t="s">
        <v>3973</v>
      </c>
      <c r="G5679">
        <v>771049</v>
      </c>
      <c r="H5679" t="s">
        <v>3465</v>
      </c>
      <c r="I5679" t="s">
        <v>3974</v>
      </c>
      <c r="J5679" t="str">
        <f>"9781608706648"</f>
        <v>9781608706648</v>
      </c>
      <c r="K5679" t="s">
        <v>9007</v>
      </c>
      <c r="L5679">
        <v>26</v>
      </c>
      <c r="O5679" t="s">
        <v>30</v>
      </c>
      <c r="P5679" t="s">
        <v>29</v>
      </c>
      <c r="Q5679" s="1">
        <v>42295.843055555553</v>
      </c>
      <c r="R5679">
        <v>7</v>
      </c>
      <c r="S5679" t="s">
        <v>31</v>
      </c>
      <c r="T5679" t="s">
        <v>3976</v>
      </c>
      <c r="U5679">
        <v>363.73874000000001</v>
      </c>
      <c r="V5679" s="3">
        <v>40909</v>
      </c>
    </row>
    <row r="5680" spans="1:22" x14ac:dyDescent="0.35">
      <c r="A5680" s="1">
        <v>42295.826307870368</v>
      </c>
      <c r="B5680" s="2">
        <v>1.6076388888888887E-2</v>
      </c>
      <c r="C5680" t="s">
        <v>106</v>
      </c>
      <c r="D5680" t="s">
        <v>23</v>
      </c>
      <c r="E5680" t="s">
        <v>24</v>
      </c>
      <c r="F5680" t="s">
        <v>3186</v>
      </c>
      <c r="G5680">
        <v>699744</v>
      </c>
      <c r="H5680" t="s">
        <v>26</v>
      </c>
      <c r="I5680" t="s">
        <v>3187</v>
      </c>
      <c r="J5680" t="str">
        <f>"9781118585818"</f>
        <v>9781118585818</v>
      </c>
      <c r="K5680" t="s">
        <v>9008</v>
      </c>
      <c r="L5680">
        <v>52</v>
      </c>
      <c r="O5680" t="s">
        <v>30</v>
      </c>
      <c r="P5680" t="s">
        <v>29</v>
      </c>
      <c r="Q5680" s="1">
        <v>42290.74150462963</v>
      </c>
      <c r="R5680">
        <v>7</v>
      </c>
      <c r="S5680" t="s">
        <v>31</v>
      </c>
      <c r="T5680" t="s">
        <v>3188</v>
      </c>
      <c r="U5680">
        <v>621.36</v>
      </c>
      <c r="V5680" s="3">
        <v>41310</v>
      </c>
    </row>
    <row r="5681" spans="1:22" x14ac:dyDescent="0.35">
      <c r="A5681" s="1">
        <v>42295.81795138889</v>
      </c>
      <c r="B5681" s="2">
        <v>6.2962962962962964E-3</v>
      </c>
      <c r="C5681" t="s">
        <v>4728</v>
      </c>
      <c r="D5681" t="s">
        <v>623</v>
      </c>
      <c r="E5681" t="s">
        <v>624</v>
      </c>
      <c r="F5681" t="s">
        <v>4494</v>
      </c>
      <c r="G5681">
        <v>565082</v>
      </c>
      <c r="H5681" t="s">
        <v>26</v>
      </c>
      <c r="I5681" t="s">
        <v>69</v>
      </c>
      <c r="J5681" t="str">
        <f>"9781118041567"</f>
        <v>9781118041567</v>
      </c>
      <c r="K5681" t="s">
        <v>9009</v>
      </c>
      <c r="L5681">
        <v>23</v>
      </c>
      <c r="O5681" t="s">
        <v>30</v>
      </c>
      <c r="P5681" t="s">
        <v>29</v>
      </c>
      <c r="Q5681" s="1">
        <v>42289.913587962961</v>
      </c>
      <c r="R5681">
        <v>7</v>
      </c>
      <c r="S5681" t="s">
        <v>627</v>
      </c>
      <c r="T5681" t="s">
        <v>4496</v>
      </c>
      <c r="U5681" t="s">
        <v>4497</v>
      </c>
      <c r="V5681" s="3">
        <v>40337</v>
      </c>
    </row>
    <row r="5682" spans="1:22" x14ac:dyDescent="0.35">
      <c r="A5682" s="1">
        <v>42295.817939814813</v>
      </c>
      <c r="B5682" s="2">
        <v>2.5115740740740741E-2</v>
      </c>
      <c r="C5682" t="s">
        <v>106</v>
      </c>
      <c r="D5682" t="s">
        <v>23</v>
      </c>
      <c r="E5682" t="s">
        <v>24</v>
      </c>
      <c r="F5682" t="s">
        <v>3973</v>
      </c>
      <c r="G5682">
        <v>771049</v>
      </c>
      <c r="H5682" t="s">
        <v>3465</v>
      </c>
      <c r="I5682" t="s">
        <v>3974</v>
      </c>
      <c r="J5682" t="str">
        <f>"9781608706648"</f>
        <v>9781608706648</v>
      </c>
      <c r="K5682" t="s">
        <v>1651</v>
      </c>
      <c r="L5682">
        <v>11</v>
      </c>
      <c r="O5682" t="s">
        <v>30</v>
      </c>
      <c r="P5682" t="s">
        <v>42</v>
      </c>
      <c r="S5682" t="s">
        <v>31</v>
      </c>
      <c r="T5682" t="s">
        <v>3976</v>
      </c>
      <c r="U5682">
        <v>363.73874000000001</v>
      </c>
      <c r="V5682" s="3">
        <v>40909</v>
      </c>
    </row>
    <row r="5683" spans="1:22" x14ac:dyDescent="0.35">
      <c r="A5683" s="1">
        <v>42295.797222222223</v>
      </c>
      <c r="B5683" s="2">
        <v>4.2858796296296298E-2</v>
      </c>
      <c r="C5683" t="s">
        <v>6271</v>
      </c>
      <c r="D5683" t="s">
        <v>23</v>
      </c>
      <c r="E5683" t="s">
        <v>24</v>
      </c>
      <c r="F5683" t="s">
        <v>1051</v>
      </c>
      <c r="G5683">
        <v>821663</v>
      </c>
      <c r="H5683" t="s">
        <v>26</v>
      </c>
      <c r="I5683" t="s">
        <v>200</v>
      </c>
      <c r="J5683" t="str">
        <f>"9781118168479"</f>
        <v>9781118168479</v>
      </c>
      <c r="K5683" t="s">
        <v>9010</v>
      </c>
      <c r="L5683">
        <v>20</v>
      </c>
      <c r="O5683" t="s">
        <v>30</v>
      </c>
      <c r="P5683" t="s">
        <v>29</v>
      </c>
      <c r="Q5683" s="1">
        <v>42295.797222222223</v>
      </c>
      <c r="R5683">
        <v>7</v>
      </c>
      <c r="S5683" t="s">
        <v>31</v>
      </c>
      <c r="T5683" t="s">
        <v>1053</v>
      </c>
      <c r="U5683">
        <v>729</v>
      </c>
      <c r="V5683" s="3">
        <v>40973</v>
      </c>
    </row>
    <row r="5684" spans="1:22" x14ac:dyDescent="0.35">
      <c r="A5684" s="1">
        <v>42295.781076388892</v>
      </c>
      <c r="B5684" s="2">
        <v>1.6145833333333335E-2</v>
      </c>
      <c r="C5684" t="s">
        <v>6271</v>
      </c>
      <c r="D5684" t="s">
        <v>23</v>
      </c>
      <c r="E5684" t="s">
        <v>24</v>
      </c>
      <c r="F5684" t="s">
        <v>1051</v>
      </c>
      <c r="G5684">
        <v>821663</v>
      </c>
      <c r="H5684" t="s">
        <v>26</v>
      </c>
      <c r="I5684" t="s">
        <v>200</v>
      </c>
      <c r="J5684" t="str">
        <f>"9781118168479"</f>
        <v>9781118168479</v>
      </c>
      <c r="K5684" t="s">
        <v>9011</v>
      </c>
      <c r="L5684">
        <v>14</v>
      </c>
      <c r="O5684" t="s">
        <v>30</v>
      </c>
      <c r="P5684" t="s">
        <v>42</v>
      </c>
      <c r="S5684" t="s">
        <v>31</v>
      </c>
      <c r="T5684" t="s">
        <v>1053</v>
      </c>
      <c r="U5684">
        <v>729</v>
      </c>
      <c r="V5684" s="3">
        <v>40973</v>
      </c>
    </row>
    <row r="5685" spans="1:22" x14ac:dyDescent="0.35">
      <c r="A5685" s="1">
        <v>42295.763969907406</v>
      </c>
      <c r="B5685" s="2">
        <v>1.0879629629629629E-3</v>
      </c>
      <c r="C5685" t="s">
        <v>5227</v>
      </c>
      <c r="D5685" t="s">
        <v>211</v>
      </c>
      <c r="E5685" t="s">
        <v>212</v>
      </c>
      <c r="F5685" t="s">
        <v>5228</v>
      </c>
      <c r="G5685">
        <v>1034770</v>
      </c>
      <c r="H5685" t="s">
        <v>91</v>
      </c>
      <c r="I5685" t="s">
        <v>247</v>
      </c>
      <c r="J5685" t="str">
        <f>"9781462507566"</f>
        <v>9781462507566</v>
      </c>
      <c r="K5685" t="s">
        <v>9012</v>
      </c>
      <c r="L5685">
        <v>6</v>
      </c>
      <c r="O5685" t="s">
        <v>30</v>
      </c>
      <c r="P5685" t="s">
        <v>42</v>
      </c>
      <c r="S5685" t="s">
        <v>214</v>
      </c>
      <c r="T5685" t="s">
        <v>5230</v>
      </c>
      <c r="U5685">
        <v>616.85839999999996</v>
      </c>
      <c r="V5685" s="3">
        <v>41567</v>
      </c>
    </row>
    <row r="5686" spans="1:22" x14ac:dyDescent="0.35">
      <c r="A5686" s="1">
        <v>42295.743252314816</v>
      </c>
      <c r="B5686" s="2">
        <v>1.0995370370370371E-3</v>
      </c>
      <c r="C5686" t="s">
        <v>9013</v>
      </c>
      <c r="D5686" t="s">
        <v>1222</v>
      </c>
      <c r="E5686" t="s">
        <v>1223</v>
      </c>
      <c r="F5686" t="s">
        <v>9014</v>
      </c>
      <c r="G5686">
        <v>827043</v>
      </c>
      <c r="H5686" t="s">
        <v>26</v>
      </c>
      <c r="I5686" t="s">
        <v>276</v>
      </c>
      <c r="J5686" t="str">
        <f>"9781118228746"</f>
        <v>9781118228746</v>
      </c>
      <c r="K5686" t="s">
        <v>9015</v>
      </c>
      <c r="L5686">
        <v>24</v>
      </c>
      <c r="O5686" t="s">
        <v>30</v>
      </c>
      <c r="P5686" t="s">
        <v>42</v>
      </c>
      <c r="S5686" t="s">
        <v>1226</v>
      </c>
      <c r="T5686" t="s">
        <v>9016</v>
      </c>
      <c r="U5686">
        <v>5.2762000000000002</v>
      </c>
      <c r="V5686" s="3">
        <v>41341</v>
      </c>
    </row>
    <row r="5687" spans="1:22" x14ac:dyDescent="0.35">
      <c r="A5687" s="1">
        <v>42295.734305555554</v>
      </c>
      <c r="B5687" s="2">
        <v>1.7939814814814815E-3</v>
      </c>
      <c r="C5687" t="s">
        <v>8241</v>
      </c>
      <c r="D5687" t="s">
        <v>35</v>
      </c>
      <c r="E5687" t="s">
        <v>36</v>
      </c>
      <c r="F5687" t="s">
        <v>4770</v>
      </c>
      <c r="G5687">
        <v>2038643</v>
      </c>
      <c r="H5687" t="s">
        <v>45</v>
      </c>
      <c r="I5687" t="s">
        <v>120</v>
      </c>
      <c r="J5687" t="str">
        <f>"9781472427625"</f>
        <v>9781472427625</v>
      </c>
      <c r="K5687" t="s">
        <v>9017</v>
      </c>
      <c r="L5687">
        <v>6</v>
      </c>
      <c r="O5687" t="s">
        <v>30</v>
      </c>
      <c r="P5687" t="s">
        <v>47</v>
      </c>
      <c r="Q5687" s="1">
        <v>42295.734305555554</v>
      </c>
      <c r="R5687">
        <v>1</v>
      </c>
      <c r="S5687" t="s">
        <v>40</v>
      </c>
      <c r="T5687">
        <v>2013049432</v>
      </c>
      <c r="U5687">
        <v>306.46100000000001</v>
      </c>
      <c r="V5687" s="3">
        <v>42152</v>
      </c>
    </row>
    <row r="5688" spans="1:22" x14ac:dyDescent="0.35">
      <c r="A5688" s="1">
        <v>42295.730057870373</v>
      </c>
      <c r="B5688" s="2">
        <v>4.2476851851851851E-3</v>
      </c>
      <c r="C5688" t="s">
        <v>8241</v>
      </c>
      <c r="D5688" t="s">
        <v>35</v>
      </c>
      <c r="E5688" t="s">
        <v>36</v>
      </c>
      <c r="F5688" t="s">
        <v>4770</v>
      </c>
      <c r="G5688">
        <v>2038643</v>
      </c>
      <c r="H5688" t="s">
        <v>45</v>
      </c>
      <c r="I5688" t="s">
        <v>120</v>
      </c>
      <c r="J5688" t="str">
        <f>"9781472427625"</f>
        <v>9781472427625</v>
      </c>
      <c r="K5688" t="s">
        <v>9018</v>
      </c>
      <c r="L5688">
        <v>10</v>
      </c>
      <c r="O5688" t="s">
        <v>30</v>
      </c>
      <c r="P5688" t="s">
        <v>50</v>
      </c>
      <c r="S5688" t="s">
        <v>40</v>
      </c>
      <c r="T5688">
        <v>2013049432</v>
      </c>
      <c r="U5688">
        <v>306.46100000000001</v>
      </c>
      <c r="V5688" s="3">
        <v>42152</v>
      </c>
    </row>
    <row r="5689" spans="1:22" x14ac:dyDescent="0.35">
      <c r="A5689" s="1">
        <v>42295.685416666667</v>
      </c>
      <c r="B5689" s="2">
        <v>4.8379629629629632E-3</v>
      </c>
      <c r="C5689" t="s">
        <v>3670</v>
      </c>
      <c r="D5689" t="s">
        <v>35</v>
      </c>
      <c r="E5689" t="s">
        <v>36</v>
      </c>
      <c r="F5689" t="s">
        <v>37</v>
      </c>
      <c r="G5689">
        <v>1684620</v>
      </c>
      <c r="H5689" t="s">
        <v>26</v>
      </c>
      <c r="I5689" t="s">
        <v>38</v>
      </c>
      <c r="J5689" t="str">
        <f>"9781118418925"</f>
        <v>9781118418925</v>
      </c>
      <c r="K5689" t="s">
        <v>9019</v>
      </c>
      <c r="L5689">
        <v>40</v>
      </c>
      <c r="O5689" t="s">
        <v>30</v>
      </c>
      <c r="P5689" t="s">
        <v>42</v>
      </c>
      <c r="S5689" t="s">
        <v>40</v>
      </c>
      <c r="T5689" t="s">
        <v>41</v>
      </c>
      <c r="U5689">
        <v>362.10680000000002</v>
      </c>
      <c r="V5689" s="3">
        <v>41759</v>
      </c>
    </row>
    <row r="5690" spans="1:22" x14ac:dyDescent="0.35">
      <c r="A5690" s="1">
        <v>42295.659212962964</v>
      </c>
      <c r="B5690" s="2">
        <v>1.2037037037037038E-3</v>
      </c>
      <c r="C5690" t="s">
        <v>8571</v>
      </c>
      <c r="D5690" t="s">
        <v>23</v>
      </c>
      <c r="E5690" t="s">
        <v>24</v>
      </c>
      <c r="F5690" t="s">
        <v>2419</v>
      </c>
      <c r="G5690">
        <v>1110728</v>
      </c>
      <c r="H5690" t="s">
        <v>26</v>
      </c>
      <c r="I5690" t="s">
        <v>108</v>
      </c>
      <c r="J5690" t="str">
        <f>"9781118461204"</f>
        <v>9781118461204</v>
      </c>
      <c r="K5690" t="s">
        <v>9020</v>
      </c>
      <c r="L5690">
        <v>23</v>
      </c>
      <c r="O5690" t="s">
        <v>28</v>
      </c>
      <c r="P5690" t="s">
        <v>29</v>
      </c>
      <c r="Q5690" s="1">
        <v>42295.659212962964</v>
      </c>
      <c r="R5690">
        <v>7</v>
      </c>
      <c r="S5690" t="s">
        <v>31</v>
      </c>
      <c r="T5690" t="s">
        <v>2421</v>
      </c>
      <c r="U5690" t="s">
        <v>2422</v>
      </c>
      <c r="V5690" s="3">
        <v>41283</v>
      </c>
    </row>
    <row r="5691" spans="1:22" x14ac:dyDescent="0.35">
      <c r="A5691" s="1">
        <v>42295.659212962964</v>
      </c>
      <c r="B5691" s="2">
        <v>0</v>
      </c>
      <c r="C5691" t="s">
        <v>8571</v>
      </c>
      <c r="D5691" t="s">
        <v>23</v>
      </c>
      <c r="E5691" t="s">
        <v>24</v>
      </c>
      <c r="F5691" t="s">
        <v>2419</v>
      </c>
      <c r="G5691">
        <v>1110728</v>
      </c>
      <c r="H5691" t="s">
        <v>26</v>
      </c>
      <c r="I5691" t="s">
        <v>108</v>
      </c>
      <c r="J5691" t="str">
        <f>"9781118461204"</f>
        <v>9781118461204</v>
      </c>
      <c r="L5691">
        <v>0</v>
      </c>
      <c r="O5691" t="s">
        <v>30</v>
      </c>
      <c r="P5691" t="s">
        <v>29</v>
      </c>
      <c r="Q5691" s="1">
        <v>42295.659212962964</v>
      </c>
      <c r="R5691">
        <v>7</v>
      </c>
      <c r="S5691" t="s">
        <v>31</v>
      </c>
      <c r="T5691" t="s">
        <v>2421</v>
      </c>
      <c r="U5691" t="s">
        <v>2422</v>
      </c>
      <c r="V5691" s="3">
        <v>41283</v>
      </c>
    </row>
    <row r="5692" spans="1:22" x14ac:dyDescent="0.35">
      <c r="A5692" s="1">
        <v>42295.65902777778</v>
      </c>
      <c r="B5692" s="2">
        <v>1.8518518518518518E-4</v>
      </c>
      <c r="C5692" t="s">
        <v>8571</v>
      </c>
      <c r="D5692" t="s">
        <v>23</v>
      </c>
      <c r="E5692" t="s">
        <v>24</v>
      </c>
      <c r="F5692" t="s">
        <v>2419</v>
      </c>
      <c r="G5692">
        <v>1110728</v>
      </c>
      <c r="H5692" t="s">
        <v>26</v>
      </c>
      <c r="I5692" t="s">
        <v>108</v>
      </c>
      <c r="J5692" t="str">
        <f>"9781118461204"</f>
        <v>9781118461204</v>
      </c>
      <c r="K5692" t="s">
        <v>33</v>
      </c>
      <c r="L5692">
        <v>3</v>
      </c>
      <c r="O5692" t="s">
        <v>30</v>
      </c>
      <c r="P5692" t="s">
        <v>42</v>
      </c>
      <c r="S5692" t="s">
        <v>31</v>
      </c>
      <c r="T5692" t="s">
        <v>2421</v>
      </c>
      <c r="U5692" t="s">
        <v>2422</v>
      </c>
      <c r="V5692" s="3">
        <v>41283</v>
      </c>
    </row>
    <row r="5693" spans="1:22" x14ac:dyDescent="0.35">
      <c r="A5693" s="1">
        <v>42295.653032407405</v>
      </c>
      <c r="B5693" s="2">
        <v>3.7500000000000003E-3</v>
      </c>
      <c r="C5693" t="s">
        <v>8894</v>
      </c>
      <c r="D5693" t="s">
        <v>23</v>
      </c>
      <c r="E5693" t="s">
        <v>24</v>
      </c>
      <c r="F5693" t="s">
        <v>3186</v>
      </c>
      <c r="G5693">
        <v>699744</v>
      </c>
      <c r="H5693" t="s">
        <v>26</v>
      </c>
      <c r="I5693" t="s">
        <v>3187</v>
      </c>
      <c r="J5693" t="str">
        <f>"9781118585818"</f>
        <v>9781118585818</v>
      </c>
      <c r="K5693" t="s">
        <v>9021</v>
      </c>
      <c r="L5693">
        <v>45</v>
      </c>
      <c r="O5693" t="s">
        <v>30</v>
      </c>
      <c r="P5693" t="s">
        <v>42</v>
      </c>
      <c r="S5693" t="s">
        <v>31</v>
      </c>
      <c r="T5693" t="s">
        <v>3188</v>
      </c>
      <c r="U5693">
        <v>621.36</v>
      </c>
      <c r="V5693" s="3">
        <v>41310</v>
      </c>
    </row>
    <row r="5694" spans="1:22" x14ac:dyDescent="0.35">
      <c r="A5694" s="1">
        <v>42295.649768518517</v>
      </c>
      <c r="B5694" s="2">
        <v>1.7361111111111112E-4</v>
      </c>
      <c r="C5694" t="s">
        <v>9022</v>
      </c>
      <c r="D5694" t="s">
        <v>35</v>
      </c>
      <c r="E5694" t="s">
        <v>36</v>
      </c>
      <c r="F5694" t="s">
        <v>9023</v>
      </c>
      <c r="G5694">
        <v>1791963</v>
      </c>
      <c r="H5694" t="s">
        <v>26</v>
      </c>
      <c r="I5694" t="s">
        <v>1293</v>
      </c>
      <c r="J5694" t="str">
        <f>"9781118899496"</f>
        <v>9781118899496</v>
      </c>
      <c r="K5694" t="s">
        <v>33</v>
      </c>
      <c r="L5694">
        <v>3</v>
      </c>
      <c r="O5694" t="s">
        <v>30</v>
      </c>
      <c r="P5694" t="s">
        <v>50</v>
      </c>
      <c r="S5694" t="s">
        <v>40</v>
      </c>
      <c r="T5694" t="s">
        <v>9024</v>
      </c>
      <c r="U5694">
        <v>668.4</v>
      </c>
      <c r="V5694" s="3">
        <v>41901</v>
      </c>
    </row>
    <row r="5695" spans="1:22" x14ac:dyDescent="0.35">
      <c r="A5695" s="1">
        <v>42295.637499999997</v>
      </c>
      <c r="B5695" s="2">
        <v>1.667824074074074E-2</v>
      </c>
      <c r="C5695" t="s">
        <v>4728</v>
      </c>
      <c r="D5695" t="s">
        <v>623</v>
      </c>
      <c r="E5695" t="s">
        <v>624</v>
      </c>
      <c r="F5695" t="s">
        <v>4494</v>
      </c>
      <c r="G5695">
        <v>565082</v>
      </c>
      <c r="H5695" t="s">
        <v>26</v>
      </c>
      <c r="I5695" t="s">
        <v>69</v>
      </c>
      <c r="J5695" t="str">
        <f>"9781118041567"</f>
        <v>9781118041567</v>
      </c>
      <c r="K5695" t="s">
        <v>9025</v>
      </c>
      <c r="L5695">
        <v>17</v>
      </c>
      <c r="O5695" t="s">
        <v>30</v>
      </c>
      <c r="P5695" t="s">
        <v>29</v>
      </c>
      <c r="Q5695" s="1">
        <v>42289.913587962961</v>
      </c>
      <c r="R5695">
        <v>7</v>
      </c>
      <c r="S5695" t="s">
        <v>627</v>
      </c>
      <c r="T5695" t="s">
        <v>4496</v>
      </c>
      <c r="U5695" t="s">
        <v>4497</v>
      </c>
      <c r="V5695" s="3">
        <v>40337</v>
      </c>
    </row>
    <row r="5696" spans="1:22" x14ac:dyDescent="0.35">
      <c r="A5696" s="1">
        <v>42295.570972222224</v>
      </c>
      <c r="B5696" s="2">
        <v>6.7476851851851856E-3</v>
      </c>
      <c r="C5696" t="s">
        <v>4205</v>
      </c>
      <c r="D5696" t="s">
        <v>597</v>
      </c>
      <c r="E5696" t="s">
        <v>598</v>
      </c>
      <c r="F5696" t="s">
        <v>111</v>
      </c>
      <c r="G5696">
        <v>693176</v>
      </c>
      <c r="H5696" t="s">
        <v>26</v>
      </c>
      <c r="I5696" t="s">
        <v>112</v>
      </c>
      <c r="J5696" t="str">
        <f>"9781118017746"</f>
        <v>9781118017746</v>
      </c>
      <c r="K5696" t="s">
        <v>9026</v>
      </c>
      <c r="L5696">
        <v>22</v>
      </c>
      <c r="O5696" t="s">
        <v>30</v>
      </c>
      <c r="P5696" t="s">
        <v>42</v>
      </c>
      <c r="S5696" t="s">
        <v>600</v>
      </c>
      <c r="T5696" t="s">
        <v>114</v>
      </c>
      <c r="U5696" t="s">
        <v>115</v>
      </c>
      <c r="V5696" s="3">
        <v>40835</v>
      </c>
    </row>
    <row r="5697" spans="1:22" x14ac:dyDescent="0.35">
      <c r="A5697" s="1">
        <v>42295.191643518519</v>
      </c>
      <c r="B5697" s="2">
        <v>1.1793981481481482E-2</v>
      </c>
      <c r="C5697" t="s">
        <v>4741</v>
      </c>
      <c r="D5697" t="s">
        <v>1222</v>
      </c>
      <c r="E5697" t="s">
        <v>1223</v>
      </c>
      <c r="F5697" t="s">
        <v>3263</v>
      </c>
      <c r="G5697">
        <v>1840835</v>
      </c>
      <c r="H5697" t="s">
        <v>26</v>
      </c>
      <c r="I5697" t="s">
        <v>108</v>
      </c>
      <c r="J5697" t="str">
        <f>"9781118950166"</f>
        <v>9781118950166</v>
      </c>
      <c r="K5697" t="s">
        <v>9027</v>
      </c>
      <c r="L5697">
        <v>29</v>
      </c>
      <c r="O5697" t="s">
        <v>30</v>
      </c>
      <c r="P5697" t="s">
        <v>29</v>
      </c>
      <c r="Q5697" s="1">
        <v>42293.086006944446</v>
      </c>
      <c r="R5697">
        <v>7</v>
      </c>
      <c r="S5697" t="s">
        <v>1226</v>
      </c>
      <c r="T5697" t="s">
        <v>3264</v>
      </c>
      <c r="U5697">
        <v>338.10923789999998</v>
      </c>
      <c r="V5697" s="3">
        <v>41953</v>
      </c>
    </row>
    <row r="5698" spans="1:22" x14ac:dyDescent="0.35">
      <c r="A5698" s="1">
        <v>42295.021122685182</v>
      </c>
      <c r="B5698" s="2">
        <v>0</v>
      </c>
      <c r="C5698" t="s">
        <v>9028</v>
      </c>
      <c r="D5698" t="s">
        <v>23</v>
      </c>
      <c r="E5698" t="s">
        <v>24</v>
      </c>
      <c r="F5698" t="s">
        <v>3640</v>
      </c>
      <c r="G5698">
        <v>1662670</v>
      </c>
      <c r="H5698" t="s">
        <v>26</v>
      </c>
      <c r="I5698" t="s">
        <v>3641</v>
      </c>
      <c r="J5698" t="str">
        <f>"9781118821251"</f>
        <v>9781118821251</v>
      </c>
      <c r="L5698">
        <v>0</v>
      </c>
      <c r="O5698" t="s">
        <v>28</v>
      </c>
      <c r="P5698" t="s">
        <v>29</v>
      </c>
      <c r="Q5698" s="1">
        <v>42295.021122685182</v>
      </c>
      <c r="R5698">
        <v>7</v>
      </c>
      <c r="S5698" t="s">
        <v>31</v>
      </c>
      <c r="T5698" t="s">
        <v>3642</v>
      </c>
      <c r="U5698" t="s">
        <v>3643</v>
      </c>
      <c r="V5698" s="3">
        <v>41724</v>
      </c>
    </row>
    <row r="5699" spans="1:22" x14ac:dyDescent="0.35">
      <c r="A5699" s="1">
        <v>42295.021122685182</v>
      </c>
      <c r="B5699" s="2">
        <v>0</v>
      </c>
      <c r="C5699" t="s">
        <v>9028</v>
      </c>
      <c r="D5699" t="s">
        <v>23</v>
      </c>
      <c r="E5699" t="s">
        <v>24</v>
      </c>
      <c r="F5699" t="s">
        <v>3640</v>
      </c>
      <c r="G5699">
        <v>1662670</v>
      </c>
      <c r="H5699" t="s">
        <v>26</v>
      </c>
      <c r="I5699" t="s">
        <v>3641</v>
      </c>
      <c r="J5699" t="str">
        <f>"9781118821251"</f>
        <v>9781118821251</v>
      </c>
      <c r="L5699">
        <v>0</v>
      </c>
      <c r="O5699" t="s">
        <v>30</v>
      </c>
      <c r="P5699" t="s">
        <v>29</v>
      </c>
      <c r="Q5699" s="1">
        <v>42295.021122685182</v>
      </c>
      <c r="R5699">
        <v>7</v>
      </c>
      <c r="S5699" t="s">
        <v>31</v>
      </c>
      <c r="T5699" t="s">
        <v>3642</v>
      </c>
      <c r="U5699" t="s">
        <v>3643</v>
      </c>
      <c r="V5699" s="3">
        <v>41724</v>
      </c>
    </row>
    <row r="5700" spans="1:22" x14ac:dyDescent="0.35">
      <c r="A5700" s="1">
        <v>42295.020983796298</v>
      </c>
      <c r="B5700" s="2">
        <v>1.3888888888888889E-4</v>
      </c>
      <c r="C5700" t="s">
        <v>9028</v>
      </c>
      <c r="D5700" t="s">
        <v>23</v>
      </c>
      <c r="E5700" t="s">
        <v>24</v>
      </c>
      <c r="F5700" t="s">
        <v>3640</v>
      </c>
      <c r="G5700">
        <v>1662670</v>
      </c>
      <c r="H5700" t="s">
        <v>26</v>
      </c>
      <c r="I5700" t="s">
        <v>3641</v>
      </c>
      <c r="J5700" t="str">
        <f>"9781118821251"</f>
        <v>9781118821251</v>
      </c>
      <c r="K5700" t="s">
        <v>33</v>
      </c>
      <c r="L5700">
        <v>3</v>
      </c>
      <c r="O5700" t="s">
        <v>30</v>
      </c>
      <c r="P5700" t="s">
        <v>42</v>
      </c>
      <c r="S5700" t="s">
        <v>31</v>
      </c>
      <c r="T5700" t="s">
        <v>3642</v>
      </c>
      <c r="U5700" t="s">
        <v>3643</v>
      </c>
      <c r="V5700" s="3">
        <v>41724</v>
      </c>
    </row>
    <row r="5701" spans="1:22" x14ac:dyDescent="0.35">
      <c r="A5701" s="1">
        <v>42294.995358796295</v>
      </c>
      <c r="B5701" s="2">
        <v>6.9687499999999999E-2</v>
      </c>
      <c r="C5701" t="s">
        <v>3556</v>
      </c>
      <c r="D5701" t="s">
        <v>23</v>
      </c>
      <c r="E5701" t="s">
        <v>24</v>
      </c>
      <c r="F5701" t="s">
        <v>3060</v>
      </c>
      <c r="G5701">
        <v>1120279</v>
      </c>
      <c r="H5701" t="s">
        <v>26</v>
      </c>
      <c r="I5701" t="s">
        <v>3061</v>
      </c>
      <c r="J5701" t="str">
        <f>"9781118537671"</f>
        <v>9781118537671</v>
      </c>
      <c r="K5701" t="s">
        <v>9029</v>
      </c>
      <c r="L5701">
        <v>13</v>
      </c>
      <c r="O5701" t="s">
        <v>30</v>
      </c>
      <c r="P5701" t="s">
        <v>29</v>
      </c>
      <c r="Q5701" s="1">
        <v>42294.995358796295</v>
      </c>
      <c r="R5701">
        <v>7</v>
      </c>
      <c r="S5701" t="s">
        <v>31</v>
      </c>
      <c r="T5701" t="s">
        <v>3063</v>
      </c>
      <c r="U5701">
        <v>599.93499999999995</v>
      </c>
      <c r="V5701" s="3">
        <v>41232</v>
      </c>
    </row>
    <row r="5702" spans="1:22" x14ac:dyDescent="0.35">
      <c r="A5702" s="1">
        <v>42294.992615740739</v>
      </c>
      <c r="B5702" s="2">
        <v>5.4942129629629632E-2</v>
      </c>
      <c r="C5702" t="s">
        <v>9030</v>
      </c>
      <c r="D5702" t="s">
        <v>335</v>
      </c>
      <c r="E5702" t="s">
        <v>336</v>
      </c>
      <c r="F5702" t="s">
        <v>2596</v>
      </c>
      <c r="G5702">
        <v>1762797</v>
      </c>
      <c r="H5702" t="s">
        <v>26</v>
      </c>
      <c r="I5702" t="s">
        <v>120</v>
      </c>
      <c r="J5702" t="str">
        <f>"9781118921296"</f>
        <v>9781118921296</v>
      </c>
      <c r="K5702" t="s">
        <v>9031</v>
      </c>
      <c r="L5702">
        <v>92</v>
      </c>
      <c r="O5702" t="s">
        <v>30</v>
      </c>
      <c r="P5702" t="s">
        <v>29</v>
      </c>
      <c r="Q5702" s="1">
        <v>42294.992615740739</v>
      </c>
      <c r="R5702">
        <v>7</v>
      </c>
      <c r="S5702" t="s">
        <v>340</v>
      </c>
      <c r="T5702" t="s">
        <v>2598</v>
      </c>
      <c r="U5702" t="s">
        <v>2599</v>
      </c>
      <c r="V5702" s="3">
        <v>41857</v>
      </c>
    </row>
    <row r="5703" spans="1:22" x14ac:dyDescent="0.35">
      <c r="A5703" s="1">
        <v>42294.985092592593</v>
      </c>
      <c r="B5703" s="2">
        <v>7.5231481481481477E-3</v>
      </c>
      <c r="C5703" t="s">
        <v>9030</v>
      </c>
      <c r="D5703" t="s">
        <v>335</v>
      </c>
      <c r="E5703" t="s">
        <v>336</v>
      </c>
      <c r="F5703" t="s">
        <v>2596</v>
      </c>
      <c r="G5703">
        <v>1762797</v>
      </c>
      <c r="H5703" t="s">
        <v>26</v>
      </c>
      <c r="I5703" t="s">
        <v>120</v>
      </c>
      <c r="J5703" t="str">
        <f>"9781118921296"</f>
        <v>9781118921296</v>
      </c>
      <c r="K5703" t="s">
        <v>9032</v>
      </c>
      <c r="L5703">
        <v>89</v>
      </c>
      <c r="O5703" t="s">
        <v>30</v>
      </c>
      <c r="P5703" t="s">
        <v>42</v>
      </c>
      <c r="S5703" t="s">
        <v>340</v>
      </c>
      <c r="T5703" t="s">
        <v>2598</v>
      </c>
      <c r="U5703" t="s">
        <v>2599</v>
      </c>
      <c r="V5703" s="3">
        <v>41857</v>
      </c>
    </row>
    <row r="5704" spans="1:22" x14ac:dyDescent="0.35">
      <c r="A5704" s="1">
        <v>42294.972569444442</v>
      </c>
      <c r="B5704" s="2">
        <v>2.2789351851851852E-2</v>
      </c>
      <c r="C5704" t="s">
        <v>3556</v>
      </c>
      <c r="D5704" t="s">
        <v>23</v>
      </c>
      <c r="E5704" t="s">
        <v>24</v>
      </c>
      <c r="F5704" t="s">
        <v>3060</v>
      </c>
      <c r="G5704">
        <v>1120279</v>
      </c>
      <c r="H5704" t="s">
        <v>26</v>
      </c>
      <c r="I5704" t="s">
        <v>3061</v>
      </c>
      <c r="J5704" t="str">
        <f>"9781118537671"</f>
        <v>9781118537671</v>
      </c>
      <c r="K5704" t="s">
        <v>9033</v>
      </c>
      <c r="L5704">
        <v>13</v>
      </c>
      <c r="O5704" t="s">
        <v>30</v>
      </c>
      <c r="P5704" t="s">
        <v>42</v>
      </c>
      <c r="S5704" t="s">
        <v>31</v>
      </c>
      <c r="T5704" t="s">
        <v>3063</v>
      </c>
      <c r="U5704">
        <v>599.93499999999995</v>
      </c>
      <c r="V5704" s="3">
        <v>41232</v>
      </c>
    </row>
    <row r="5705" spans="1:22" x14ac:dyDescent="0.35">
      <c r="A5705" s="1">
        <v>42294.963761574072</v>
      </c>
      <c r="B5705" s="2">
        <v>1.0416666666666667E-4</v>
      </c>
      <c r="C5705" t="s">
        <v>8508</v>
      </c>
      <c r="D5705" t="s">
        <v>23</v>
      </c>
      <c r="E5705" t="s">
        <v>24</v>
      </c>
      <c r="F5705" t="s">
        <v>5954</v>
      </c>
      <c r="G5705">
        <v>864784</v>
      </c>
      <c r="H5705" t="s">
        <v>492</v>
      </c>
      <c r="I5705" t="s">
        <v>69</v>
      </c>
      <c r="J5705" t="str">
        <f>"9781400841578"</f>
        <v>9781400841578</v>
      </c>
      <c r="K5705" t="s">
        <v>9034</v>
      </c>
      <c r="L5705">
        <v>8</v>
      </c>
      <c r="O5705" t="s">
        <v>30</v>
      </c>
      <c r="P5705" t="s">
        <v>42</v>
      </c>
      <c r="S5705" t="s">
        <v>31</v>
      </c>
      <c r="T5705" t="s">
        <v>5956</v>
      </c>
      <c r="U5705">
        <v>378.73</v>
      </c>
      <c r="V5705" s="3">
        <v>41786</v>
      </c>
    </row>
    <row r="5706" spans="1:22" x14ac:dyDescent="0.35">
      <c r="A5706" s="1">
        <v>42294.859016203707</v>
      </c>
      <c r="B5706" s="2">
        <v>4.6296296296296294E-5</v>
      </c>
      <c r="C5706" t="s">
        <v>9035</v>
      </c>
      <c r="D5706" t="s">
        <v>23</v>
      </c>
      <c r="E5706" t="s">
        <v>24</v>
      </c>
      <c r="F5706" t="s">
        <v>2191</v>
      </c>
      <c r="G5706">
        <v>1691133</v>
      </c>
      <c r="H5706" t="s">
        <v>91</v>
      </c>
      <c r="I5706" t="s">
        <v>247</v>
      </c>
      <c r="J5706" t="str">
        <f>"9781462516278"</f>
        <v>9781462516278</v>
      </c>
      <c r="K5706" t="s">
        <v>33</v>
      </c>
      <c r="L5706">
        <v>3</v>
      </c>
      <c r="O5706" t="s">
        <v>30</v>
      </c>
      <c r="P5706" t="s">
        <v>42</v>
      </c>
      <c r="S5706" t="s">
        <v>31</v>
      </c>
      <c r="T5706" t="s">
        <v>2194</v>
      </c>
      <c r="U5706" t="s">
        <v>2195</v>
      </c>
      <c r="V5706" s="3">
        <v>41774</v>
      </c>
    </row>
    <row r="5707" spans="1:22" x14ac:dyDescent="0.35">
      <c r="A5707" s="1">
        <v>42294.793993055559</v>
      </c>
      <c r="B5707" s="2">
        <v>1.1226851851851851E-3</v>
      </c>
      <c r="C5707" t="s">
        <v>210</v>
      </c>
      <c r="D5707" t="s">
        <v>211</v>
      </c>
      <c r="E5707" t="s">
        <v>212</v>
      </c>
      <c r="F5707" t="s">
        <v>9036</v>
      </c>
      <c r="G5707">
        <v>1372261</v>
      </c>
      <c r="H5707" t="s">
        <v>26</v>
      </c>
      <c r="I5707" t="s">
        <v>9037</v>
      </c>
      <c r="J5707" t="str">
        <f>"9781118505106"</f>
        <v>9781118505106</v>
      </c>
      <c r="K5707" t="s">
        <v>9038</v>
      </c>
      <c r="L5707">
        <v>17</v>
      </c>
      <c r="O5707" t="s">
        <v>30</v>
      </c>
      <c r="P5707" t="s">
        <v>50</v>
      </c>
      <c r="S5707" t="s">
        <v>214</v>
      </c>
      <c r="T5707" t="s">
        <v>9039</v>
      </c>
      <c r="U5707">
        <v>387</v>
      </c>
      <c r="V5707" s="3">
        <v>41526</v>
      </c>
    </row>
    <row r="5708" spans="1:22" x14ac:dyDescent="0.35">
      <c r="A5708" s="1">
        <v>42294.755196759259</v>
      </c>
      <c r="B5708" s="2">
        <v>2.7777777777777778E-4</v>
      </c>
      <c r="C5708" t="s">
        <v>9040</v>
      </c>
      <c r="D5708" t="s">
        <v>35</v>
      </c>
      <c r="E5708" t="s">
        <v>36</v>
      </c>
      <c r="F5708" t="s">
        <v>6918</v>
      </c>
      <c r="G5708">
        <v>1695066</v>
      </c>
      <c r="H5708" t="s">
        <v>26</v>
      </c>
      <c r="I5708" t="s">
        <v>97</v>
      </c>
      <c r="J5708" t="str">
        <f>"9780730312918"</f>
        <v>9780730312918</v>
      </c>
      <c r="K5708" t="s">
        <v>9041</v>
      </c>
      <c r="L5708">
        <v>7</v>
      </c>
      <c r="O5708" t="s">
        <v>30</v>
      </c>
      <c r="P5708" t="s">
        <v>50</v>
      </c>
      <c r="S5708" t="s">
        <v>40</v>
      </c>
      <c r="T5708" t="s">
        <v>6919</v>
      </c>
      <c r="U5708">
        <v>658.45</v>
      </c>
      <c r="V5708" s="3">
        <v>41782</v>
      </c>
    </row>
    <row r="5709" spans="1:22" x14ac:dyDescent="0.35">
      <c r="A5709" s="1">
        <v>42294.629432870373</v>
      </c>
      <c r="B5709" s="2">
        <v>0.28107638888888892</v>
      </c>
      <c r="C5709" t="s">
        <v>106</v>
      </c>
      <c r="D5709" t="s">
        <v>23</v>
      </c>
      <c r="E5709" t="s">
        <v>24</v>
      </c>
      <c r="F5709" t="s">
        <v>5954</v>
      </c>
      <c r="G5709">
        <v>864784</v>
      </c>
      <c r="H5709" t="s">
        <v>492</v>
      </c>
      <c r="I5709" t="s">
        <v>69</v>
      </c>
      <c r="J5709" t="str">
        <f>"9781400841578"</f>
        <v>9781400841578</v>
      </c>
      <c r="K5709" t="s">
        <v>9042</v>
      </c>
      <c r="L5709">
        <v>100</v>
      </c>
      <c r="O5709" t="s">
        <v>30</v>
      </c>
      <c r="P5709" t="s">
        <v>42</v>
      </c>
      <c r="S5709" t="s">
        <v>31</v>
      </c>
      <c r="T5709" t="s">
        <v>5956</v>
      </c>
      <c r="U5709">
        <v>378.73</v>
      </c>
      <c r="V5709" s="3">
        <v>41786</v>
      </c>
    </row>
    <row r="5710" spans="1:22" x14ac:dyDescent="0.35">
      <c r="A5710" s="1">
        <v>42294.622615740744</v>
      </c>
      <c r="B5710" s="2">
        <v>1.1226851851851851E-3</v>
      </c>
      <c r="C5710" t="s">
        <v>9043</v>
      </c>
      <c r="D5710" t="s">
        <v>158</v>
      </c>
      <c r="E5710" t="s">
        <v>159</v>
      </c>
      <c r="F5710" t="s">
        <v>9044</v>
      </c>
      <c r="G5710">
        <v>1274383</v>
      </c>
      <c r="H5710" t="s">
        <v>139</v>
      </c>
      <c r="I5710" t="s">
        <v>120</v>
      </c>
      <c r="J5710" t="str">
        <f>"9780814760239"</f>
        <v>9780814760239</v>
      </c>
      <c r="K5710" t="s">
        <v>9045</v>
      </c>
      <c r="L5710">
        <v>22</v>
      </c>
      <c r="O5710" t="s">
        <v>30</v>
      </c>
      <c r="P5710" t="s">
        <v>42</v>
      </c>
      <c r="S5710" t="s">
        <v>163</v>
      </c>
      <c r="T5710" t="s">
        <v>9046</v>
      </c>
      <c r="U5710">
        <v>303.60834999999997</v>
      </c>
      <c r="V5710" s="3">
        <v>41505</v>
      </c>
    </row>
    <row r="5711" spans="1:22" x14ac:dyDescent="0.35">
      <c r="A5711" s="1">
        <v>42294.598240740743</v>
      </c>
      <c r="B5711" s="2">
        <v>1.5104166666666667E-2</v>
      </c>
      <c r="C5711" t="s">
        <v>7471</v>
      </c>
      <c r="D5711" t="s">
        <v>360</v>
      </c>
      <c r="E5711" t="s">
        <v>361</v>
      </c>
      <c r="F5711" t="s">
        <v>9047</v>
      </c>
      <c r="G5711">
        <v>1582383</v>
      </c>
      <c r="H5711" t="s">
        <v>26</v>
      </c>
      <c r="I5711" t="s">
        <v>69</v>
      </c>
      <c r="J5711" t="str">
        <f>"9781118791394"</f>
        <v>9781118791394</v>
      </c>
      <c r="K5711" t="s">
        <v>63</v>
      </c>
      <c r="L5711">
        <v>1</v>
      </c>
      <c r="O5711" t="s">
        <v>28</v>
      </c>
      <c r="P5711" t="s">
        <v>47</v>
      </c>
      <c r="Q5711" s="1">
        <v>42294.588877314818</v>
      </c>
      <c r="R5711">
        <v>1</v>
      </c>
      <c r="S5711" t="s">
        <v>363</v>
      </c>
      <c r="T5711" t="s">
        <v>9048</v>
      </c>
      <c r="U5711" t="s">
        <v>9049</v>
      </c>
      <c r="V5711" s="3">
        <v>41624</v>
      </c>
    </row>
    <row r="5712" spans="1:22" x14ac:dyDescent="0.35">
      <c r="A5712" s="1">
        <v>42294.59815972222</v>
      </c>
      <c r="B5712" s="2">
        <v>4.6296296296296294E-5</v>
      </c>
      <c r="C5712" t="s">
        <v>7471</v>
      </c>
      <c r="D5712" t="s">
        <v>360</v>
      </c>
      <c r="E5712" t="s">
        <v>361</v>
      </c>
      <c r="F5712" t="s">
        <v>9047</v>
      </c>
      <c r="G5712">
        <v>1582383</v>
      </c>
      <c r="H5712" t="s">
        <v>26</v>
      </c>
      <c r="I5712" t="s">
        <v>69</v>
      </c>
      <c r="J5712" t="str">
        <f>"9781118791394"</f>
        <v>9781118791394</v>
      </c>
      <c r="K5712" t="s">
        <v>777</v>
      </c>
      <c r="L5712">
        <v>3</v>
      </c>
      <c r="O5712" t="s">
        <v>30</v>
      </c>
      <c r="P5712" t="s">
        <v>47</v>
      </c>
      <c r="Q5712" s="1">
        <v>42294.588877314818</v>
      </c>
      <c r="R5712">
        <v>1</v>
      </c>
      <c r="S5712" t="s">
        <v>363</v>
      </c>
      <c r="T5712" t="s">
        <v>9048</v>
      </c>
      <c r="U5712" t="s">
        <v>9049</v>
      </c>
      <c r="V5712" s="3">
        <v>41624</v>
      </c>
    </row>
    <row r="5713" spans="1:22" x14ac:dyDescent="0.35">
      <c r="A5713" s="1">
        <v>42294.597916666666</v>
      </c>
      <c r="B5713" s="2">
        <v>1.7361111111111112E-4</v>
      </c>
      <c r="C5713" t="s">
        <v>7471</v>
      </c>
      <c r="D5713" t="s">
        <v>360</v>
      </c>
      <c r="E5713" t="s">
        <v>361</v>
      </c>
      <c r="F5713" t="s">
        <v>9047</v>
      </c>
      <c r="G5713">
        <v>1582383</v>
      </c>
      <c r="H5713" t="s">
        <v>26</v>
      </c>
      <c r="I5713" t="s">
        <v>69</v>
      </c>
      <c r="J5713" t="str">
        <f>"9781118791394"</f>
        <v>9781118791394</v>
      </c>
      <c r="K5713" t="s">
        <v>63</v>
      </c>
      <c r="L5713">
        <v>1</v>
      </c>
      <c r="O5713" t="s">
        <v>28</v>
      </c>
      <c r="P5713" t="s">
        <v>47</v>
      </c>
      <c r="Q5713" s="1">
        <v>42294.588877314818</v>
      </c>
      <c r="R5713">
        <v>1</v>
      </c>
      <c r="S5713" t="s">
        <v>363</v>
      </c>
      <c r="T5713" t="s">
        <v>9048</v>
      </c>
      <c r="U5713" t="s">
        <v>9049</v>
      </c>
      <c r="V5713" s="3">
        <v>41624</v>
      </c>
    </row>
    <row r="5714" spans="1:22" x14ac:dyDescent="0.35">
      <c r="A5714" s="1">
        <v>42294.59783564815</v>
      </c>
      <c r="B5714" s="2">
        <v>4.6296296296296294E-5</v>
      </c>
      <c r="C5714" t="s">
        <v>7471</v>
      </c>
      <c r="D5714" t="s">
        <v>360</v>
      </c>
      <c r="E5714" t="s">
        <v>361</v>
      </c>
      <c r="F5714" t="s">
        <v>9047</v>
      </c>
      <c r="G5714">
        <v>1582383</v>
      </c>
      <c r="H5714" t="s">
        <v>26</v>
      </c>
      <c r="I5714" t="s">
        <v>69</v>
      </c>
      <c r="J5714" t="str">
        <f>"9781118791394"</f>
        <v>9781118791394</v>
      </c>
      <c r="K5714" t="s">
        <v>777</v>
      </c>
      <c r="L5714">
        <v>3</v>
      </c>
      <c r="O5714" t="s">
        <v>30</v>
      </c>
      <c r="P5714" t="s">
        <v>47</v>
      </c>
      <c r="Q5714" s="1">
        <v>42294.588877314818</v>
      </c>
      <c r="R5714">
        <v>1</v>
      </c>
      <c r="S5714" t="s">
        <v>363</v>
      </c>
      <c r="T5714" t="s">
        <v>9048</v>
      </c>
      <c r="U5714" t="s">
        <v>9049</v>
      </c>
      <c r="V5714" s="3">
        <v>41624</v>
      </c>
    </row>
    <row r="5715" spans="1:22" x14ac:dyDescent="0.35">
      <c r="A5715" s="1">
        <v>42294.597650462965</v>
      </c>
      <c r="B5715" s="2">
        <v>3.4722222222222222E-5</v>
      </c>
      <c r="C5715" t="s">
        <v>7471</v>
      </c>
      <c r="D5715" t="s">
        <v>360</v>
      </c>
      <c r="E5715" t="s">
        <v>361</v>
      </c>
      <c r="F5715" t="s">
        <v>9047</v>
      </c>
      <c r="G5715">
        <v>1582383</v>
      </c>
      <c r="H5715" t="s">
        <v>26</v>
      </c>
      <c r="I5715" t="s">
        <v>69</v>
      </c>
      <c r="J5715" t="str">
        <f>"9781118791394"</f>
        <v>9781118791394</v>
      </c>
      <c r="K5715" t="s">
        <v>33</v>
      </c>
      <c r="L5715">
        <v>3</v>
      </c>
      <c r="O5715" t="s">
        <v>30</v>
      </c>
      <c r="P5715" t="s">
        <v>47</v>
      </c>
      <c r="Q5715" s="1">
        <v>42294.588877314818</v>
      </c>
      <c r="R5715">
        <v>1</v>
      </c>
      <c r="S5715" t="s">
        <v>363</v>
      </c>
      <c r="T5715" t="s">
        <v>9048</v>
      </c>
      <c r="U5715" t="s">
        <v>9049</v>
      </c>
      <c r="V5715" s="3">
        <v>41624</v>
      </c>
    </row>
    <row r="5716" spans="1:22" x14ac:dyDescent="0.35">
      <c r="A5716" s="1">
        <v>42294.595833333333</v>
      </c>
      <c r="B5716" s="2">
        <v>9.3750000000000007E-4</v>
      </c>
      <c r="C5716" t="s">
        <v>9050</v>
      </c>
      <c r="D5716" t="s">
        <v>158</v>
      </c>
      <c r="E5716" t="s">
        <v>159</v>
      </c>
      <c r="F5716" t="s">
        <v>9051</v>
      </c>
      <c r="G5716">
        <v>821656</v>
      </c>
      <c r="H5716" t="s">
        <v>26</v>
      </c>
      <c r="I5716" t="s">
        <v>247</v>
      </c>
      <c r="J5716" t="str">
        <f>"9780470963272"</f>
        <v>9780470963272</v>
      </c>
      <c r="K5716" t="s">
        <v>9052</v>
      </c>
      <c r="L5716">
        <v>11</v>
      </c>
      <c r="O5716" t="s">
        <v>30</v>
      </c>
      <c r="P5716" t="s">
        <v>42</v>
      </c>
      <c r="S5716" t="s">
        <v>163</v>
      </c>
      <c r="T5716" t="s">
        <v>9053</v>
      </c>
      <c r="U5716">
        <v>618.91999999999996</v>
      </c>
      <c r="V5716" s="3">
        <v>40919</v>
      </c>
    </row>
    <row r="5717" spans="1:22" x14ac:dyDescent="0.35">
      <c r="A5717" s="1">
        <v>42294.595821759256</v>
      </c>
      <c r="B5717" s="2">
        <v>3.3564814814814812E-4</v>
      </c>
      <c r="C5717" t="s">
        <v>485</v>
      </c>
      <c r="D5717" t="s">
        <v>158</v>
      </c>
      <c r="E5717" t="s">
        <v>159</v>
      </c>
      <c r="F5717" t="s">
        <v>7292</v>
      </c>
      <c r="G5717">
        <v>1185074</v>
      </c>
      <c r="H5717" t="s">
        <v>91</v>
      </c>
      <c r="I5717" t="s">
        <v>1827</v>
      </c>
      <c r="J5717" t="str">
        <f>"9781462510122"</f>
        <v>9781462510122</v>
      </c>
      <c r="K5717" t="s">
        <v>9054</v>
      </c>
      <c r="L5717">
        <v>8</v>
      </c>
      <c r="O5717" t="s">
        <v>30</v>
      </c>
      <c r="P5717" t="s">
        <v>42</v>
      </c>
      <c r="S5717" t="s">
        <v>163</v>
      </c>
      <c r="T5717" t="s">
        <v>7295</v>
      </c>
      <c r="U5717">
        <v>428.00709999999998</v>
      </c>
      <c r="V5717" s="3">
        <v>41773</v>
      </c>
    </row>
    <row r="5718" spans="1:22" x14ac:dyDescent="0.35">
      <c r="A5718" s="1">
        <v>42294.588877314818</v>
      </c>
      <c r="B5718" s="2">
        <v>4.9768518518518521E-3</v>
      </c>
      <c r="C5718" t="s">
        <v>7471</v>
      </c>
      <c r="D5718" t="s">
        <v>360</v>
      </c>
      <c r="E5718" t="s">
        <v>361</v>
      </c>
      <c r="F5718" t="s">
        <v>9047</v>
      </c>
      <c r="G5718">
        <v>1582383</v>
      </c>
      <c r="H5718" t="s">
        <v>26</v>
      </c>
      <c r="I5718" t="s">
        <v>69</v>
      </c>
      <c r="J5718" t="str">
        <f>"9781118791394"</f>
        <v>9781118791394</v>
      </c>
      <c r="K5718" t="s">
        <v>63</v>
      </c>
      <c r="L5718">
        <v>1</v>
      </c>
      <c r="O5718" t="s">
        <v>28</v>
      </c>
      <c r="P5718" t="s">
        <v>47</v>
      </c>
      <c r="Q5718" s="1">
        <v>42294.588877314818</v>
      </c>
      <c r="R5718">
        <v>1</v>
      </c>
      <c r="S5718" t="s">
        <v>363</v>
      </c>
      <c r="T5718" t="s">
        <v>9048</v>
      </c>
      <c r="U5718" t="s">
        <v>9049</v>
      </c>
      <c r="V5718" s="3">
        <v>41624</v>
      </c>
    </row>
    <row r="5719" spans="1:22" x14ac:dyDescent="0.35">
      <c r="A5719" s="1">
        <v>42294.588877314818</v>
      </c>
      <c r="B5719" s="2">
        <v>0</v>
      </c>
      <c r="C5719" t="s">
        <v>7471</v>
      </c>
      <c r="D5719" t="s">
        <v>360</v>
      </c>
      <c r="E5719" t="s">
        <v>361</v>
      </c>
      <c r="F5719" t="s">
        <v>9047</v>
      </c>
      <c r="G5719">
        <v>1582383</v>
      </c>
      <c r="H5719" t="s">
        <v>26</v>
      </c>
      <c r="I5719" t="s">
        <v>69</v>
      </c>
      <c r="J5719" t="str">
        <f>"9781118791394"</f>
        <v>9781118791394</v>
      </c>
      <c r="L5719">
        <v>0</v>
      </c>
      <c r="O5719" t="s">
        <v>30</v>
      </c>
      <c r="P5719" t="s">
        <v>47</v>
      </c>
      <c r="Q5719" s="1">
        <v>42294.588877314818</v>
      </c>
      <c r="R5719">
        <v>1</v>
      </c>
      <c r="S5719" t="s">
        <v>363</v>
      </c>
      <c r="T5719" t="s">
        <v>9048</v>
      </c>
      <c r="U5719" t="s">
        <v>9049</v>
      </c>
      <c r="V5719" s="3">
        <v>41624</v>
      </c>
    </row>
    <row r="5720" spans="1:22" x14ac:dyDescent="0.35">
      <c r="A5720" s="1">
        <v>42294.588784722226</v>
      </c>
      <c r="B5720" s="2">
        <v>9.2592592592592588E-5</v>
      </c>
      <c r="C5720" t="s">
        <v>7471</v>
      </c>
      <c r="D5720" t="s">
        <v>360</v>
      </c>
      <c r="E5720" t="s">
        <v>361</v>
      </c>
      <c r="F5720" t="s">
        <v>9047</v>
      </c>
      <c r="G5720">
        <v>1582383</v>
      </c>
      <c r="H5720" t="s">
        <v>26</v>
      </c>
      <c r="I5720" t="s">
        <v>69</v>
      </c>
      <c r="J5720" t="str">
        <f>"9781118791394"</f>
        <v>9781118791394</v>
      </c>
      <c r="K5720" t="s">
        <v>7982</v>
      </c>
      <c r="L5720">
        <v>3</v>
      </c>
      <c r="O5720" t="s">
        <v>30</v>
      </c>
      <c r="P5720" t="s">
        <v>50</v>
      </c>
      <c r="S5720" t="s">
        <v>363</v>
      </c>
      <c r="T5720" t="s">
        <v>9048</v>
      </c>
      <c r="U5720" t="s">
        <v>9049</v>
      </c>
      <c r="V5720" s="3">
        <v>41624</v>
      </c>
    </row>
    <row r="5721" spans="1:22" x14ac:dyDescent="0.35">
      <c r="A5721" s="1">
        <v>42294.579340277778</v>
      </c>
      <c r="B5721" s="2">
        <v>0</v>
      </c>
      <c r="C5721" t="s">
        <v>7471</v>
      </c>
      <c r="D5721" t="s">
        <v>360</v>
      </c>
      <c r="E5721" t="s">
        <v>361</v>
      </c>
      <c r="F5721" t="s">
        <v>9055</v>
      </c>
      <c r="G5721">
        <v>1895845</v>
      </c>
      <c r="H5721" t="s">
        <v>26</v>
      </c>
      <c r="I5721" t="s">
        <v>69</v>
      </c>
      <c r="J5721" t="str">
        <f>"9781118974148"</f>
        <v>9781118974148</v>
      </c>
      <c r="L5721">
        <v>0</v>
      </c>
      <c r="O5721" t="s">
        <v>28</v>
      </c>
      <c r="P5721" t="s">
        <v>29</v>
      </c>
      <c r="Q5721" s="1">
        <v>42294.579340277778</v>
      </c>
      <c r="R5721">
        <v>7</v>
      </c>
      <c r="S5721" t="s">
        <v>363</v>
      </c>
      <c r="T5721" t="s">
        <v>9056</v>
      </c>
      <c r="U5721">
        <v>371.33</v>
      </c>
      <c r="V5721" s="3">
        <v>42010</v>
      </c>
    </row>
    <row r="5722" spans="1:22" x14ac:dyDescent="0.35">
      <c r="A5722" s="1">
        <v>42294.579340277778</v>
      </c>
      <c r="B5722" s="2">
        <v>0</v>
      </c>
      <c r="C5722" t="s">
        <v>7471</v>
      </c>
      <c r="D5722" t="s">
        <v>360</v>
      </c>
      <c r="E5722" t="s">
        <v>361</v>
      </c>
      <c r="F5722" t="s">
        <v>9055</v>
      </c>
      <c r="G5722">
        <v>1895845</v>
      </c>
      <c r="H5722" t="s">
        <v>26</v>
      </c>
      <c r="I5722" t="s">
        <v>69</v>
      </c>
      <c r="J5722" t="str">
        <f>"9781118974148"</f>
        <v>9781118974148</v>
      </c>
      <c r="L5722">
        <v>0</v>
      </c>
      <c r="O5722" t="s">
        <v>30</v>
      </c>
      <c r="P5722" t="s">
        <v>29</v>
      </c>
      <c r="Q5722" s="1">
        <v>42294.579340277778</v>
      </c>
      <c r="R5722">
        <v>7</v>
      </c>
      <c r="S5722" t="s">
        <v>363</v>
      </c>
      <c r="T5722" t="s">
        <v>9056</v>
      </c>
      <c r="U5722">
        <v>371.33</v>
      </c>
      <c r="V5722" s="3">
        <v>42010</v>
      </c>
    </row>
    <row r="5723" spans="1:22" x14ac:dyDescent="0.35">
      <c r="A5723" s="1">
        <v>42294.578263888892</v>
      </c>
      <c r="B5723" s="2">
        <v>1.0763888888888889E-3</v>
      </c>
      <c r="C5723" t="s">
        <v>7471</v>
      </c>
      <c r="D5723" t="s">
        <v>360</v>
      </c>
      <c r="E5723" t="s">
        <v>361</v>
      </c>
      <c r="F5723" t="s">
        <v>9055</v>
      </c>
      <c r="G5723">
        <v>1895845</v>
      </c>
      <c r="H5723" t="s">
        <v>26</v>
      </c>
      <c r="I5723" t="s">
        <v>69</v>
      </c>
      <c r="J5723" t="str">
        <f>"9781118974148"</f>
        <v>9781118974148</v>
      </c>
      <c r="K5723" t="s">
        <v>2800</v>
      </c>
      <c r="L5723">
        <v>3</v>
      </c>
      <c r="O5723" t="s">
        <v>30</v>
      </c>
      <c r="P5723" t="s">
        <v>50</v>
      </c>
      <c r="S5723" t="s">
        <v>363</v>
      </c>
      <c r="T5723" t="s">
        <v>9056</v>
      </c>
      <c r="U5723">
        <v>371.33</v>
      </c>
      <c r="V5723" s="3">
        <v>42010</v>
      </c>
    </row>
    <row r="5724" spans="1:22" x14ac:dyDescent="0.35">
      <c r="A5724" s="1">
        <v>42294.514062499999</v>
      </c>
      <c r="B5724" s="2">
        <v>1.5046296296296297E-4</v>
      </c>
      <c r="C5724" t="s">
        <v>6693</v>
      </c>
      <c r="D5724" t="s">
        <v>6396</v>
      </c>
      <c r="E5724" t="s">
        <v>6397</v>
      </c>
      <c r="F5724" t="s">
        <v>9057</v>
      </c>
      <c r="G5724">
        <v>3058695</v>
      </c>
      <c r="H5724" t="s">
        <v>440</v>
      </c>
      <c r="I5724" t="s">
        <v>150</v>
      </c>
      <c r="J5724" t="str">
        <f>"9781118430040"</f>
        <v>9781118430040</v>
      </c>
      <c r="K5724" t="s">
        <v>9058</v>
      </c>
      <c r="L5724">
        <v>5</v>
      </c>
      <c r="O5724" t="s">
        <v>30</v>
      </c>
      <c r="P5724" t="s">
        <v>47</v>
      </c>
      <c r="Q5724" s="1">
        <v>42294.514062499999</v>
      </c>
      <c r="R5724">
        <v>1</v>
      </c>
      <c r="S5724" t="s">
        <v>6400</v>
      </c>
      <c r="T5724" t="s">
        <v>9059</v>
      </c>
      <c r="U5724">
        <v>747</v>
      </c>
      <c r="V5724" s="3">
        <v>52963</v>
      </c>
    </row>
    <row r="5725" spans="1:22" x14ac:dyDescent="0.35">
      <c r="A5725" s="1">
        <v>42294.513969907406</v>
      </c>
      <c r="B5725" s="2">
        <v>5.7870370370370366E-5</v>
      </c>
      <c r="C5725" t="s">
        <v>6693</v>
      </c>
      <c r="D5725" t="s">
        <v>6396</v>
      </c>
      <c r="E5725" t="s">
        <v>6397</v>
      </c>
      <c r="F5725" t="s">
        <v>9060</v>
      </c>
      <c r="G5725">
        <v>3058693</v>
      </c>
      <c r="H5725" t="s">
        <v>440</v>
      </c>
      <c r="I5725" t="s">
        <v>200</v>
      </c>
      <c r="J5725" t="str">
        <f>"9781118182307"</f>
        <v>9781118182307</v>
      </c>
      <c r="K5725" t="s">
        <v>9061</v>
      </c>
      <c r="L5725">
        <v>1</v>
      </c>
      <c r="O5725" t="s">
        <v>30</v>
      </c>
      <c r="P5725" t="s">
        <v>47</v>
      </c>
      <c r="Q5725" s="1">
        <v>42294.513969907406</v>
      </c>
      <c r="R5725">
        <v>1</v>
      </c>
      <c r="S5725" t="s">
        <v>6400</v>
      </c>
      <c r="T5725" t="s">
        <v>9062</v>
      </c>
      <c r="V5725" s="3">
        <v>52963</v>
      </c>
    </row>
    <row r="5726" spans="1:22" x14ac:dyDescent="0.35">
      <c r="A5726" s="1">
        <v>42294.512928240743</v>
      </c>
      <c r="B5726" s="2">
        <v>6.7129629629629625E-4</v>
      </c>
      <c r="C5726" t="s">
        <v>6693</v>
      </c>
      <c r="D5726" t="s">
        <v>6396</v>
      </c>
      <c r="E5726" t="s">
        <v>6397</v>
      </c>
      <c r="F5726" t="s">
        <v>9063</v>
      </c>
      <c r="G5726">
        <v>3058325</v>
      </c>
      <c r="H5726" t="s">
        <v>440</v>
      </c>
      <c r="I5726" t="s">
        <v>150</v>
      </c>
      <c r="J5726" t="str">
        <f>"9780470881309"</f>
        <v>9780470881309</v>
      </c>
      <c r="K5726" t="s">
        <v>9064</v>
      </c>
      <c r="L5726">
        <v>4</v>
      </c>
      <c r="O5726" t="s">
        <v>30</v>
      </c>
      <c r="P5726" t="s">
        <v>47</v>
      </c>
      <c r="Q5726" s="1">
        <v>42294.512928240743</v>
      </c>
      <c r="R5726">
        <v>1</v>
      </c>
      <c r="S5726" t="s">
        <v>6400</v>
      </c>
      <c r="T5726" t="s">
        <v>9065</v>
      </c>
      <c r="U5726">
        <v>747</v>
      </c>
      <c r="V5726" s="3">
        <v>70495</v>
      </c>
    </row>
    <row r="5727" spans="1:22" x14ac:dyDescent="0.35">
      <c r="A5727" s="1">
        <v>42294.512164351851</v>
      </c>
      <c r="B5727" s="2">
        <v>0</v>
      </c>
      <c r="C5727" t="s">
        <v>6693</v>
      </c>
      <c r="D5727" t="s">
        <v>6396</v>
      </c>
      <c r="E5727" t="s">
        <v>6397</v>
      </c>
      <c r="F5727" t="s">
        <v>7175</v>
      </c>
      <c r="G5727">
        <v>1895713</v>
      </c>
      <c r="H5727" t="s">
        <v>26</v>
      </c>
      <c r="I5727" t="s">
        <v>69</v>
      </c>
      <c r="J5727" t="str">
        <f>"9781118938959"</f>
        <v>9781118938959</v>
      </c>
      <c r="L5727">
        <v>0</v>
      </c>
      <c r="O5727" t="s">
        <v>28</v>
      </c>
      <c r="P5727" t="s">
        <v>29</v>
      </c>
      <c r="Q5727" s="1">
        <v>42294.512164351851</v>
      </c>
      <c r="R5727">
        <v>7</v>
      </c>
      <c r="S5727" t="s">
        <v>6400</v>
      </c>
      <c r="T5727" t="s">
        <v>7177</v>
      </c>
      <c r="U5727">
        <v>371.33</v>
      </c>
      <c r="V5727" s="3">
        <v>42067</v>
      </c>
    </row>
    <row r="5728" spans="1:22" x14ac:dyDescent="0.35">
      <c r="A5728" s="1">
        <v>42294.512164351851</v>
      </c>
      <c r="B5728" s="2">
        <v>0</v>
      </c>
      <c r="C5728" t="s">
        <v>6693</v>
      </c>
      <c r="D5728" t="s">
        <v>6396</v>
      </c>
      <c r="E5728" t="s">
        <v>6397</v>
      </c>
      <c r="F5728" t="s">
        <v>7175</v>
      </c>
      <c r="G5728">
        <v>1895713</v>
      </c>
      <c r="H5728" t="s">
        <v>26</v>
      </c>
      <c r="I5728" t="s">
        <v>69</v>
      </c>
      <c r="J5728" t="str">
        <f>"9781118938959"</f>
        <v>9781118938959</v>
      </c>
      <c r="L5728">
        <v>0</v>
      </c>
      <c r="O5728" t="s">
        <v>30</v>
      </c>
      <c r="P5728" t="s">
        <v>29</v>
      </c>
      <c r="Q5728" s="1">
        <v>42294.512164351851</v>
      </c>
      <c r="R5728">
        <v>7</v>
      </c>
      <c r="S5728" t="s">
        <v>6400</v>
      </c>
      <c r="T5728" t="s">
        <v>7177</v>
      </c>
      <c r="U5728">
        <v>371.33</v>
      </c>
      <c r="V5728" s="3">
        <v>42067</v>
      </c>
    </row>
    <row r="5729" spans="1:22" x14ac:dyDescent="0.35">
      <c r="A5729" s="1">
        <v>42294.51153935185</v>
      </c>
      <c r="B5729" s="2">
        <v>0</v>
      </c>
      <c r="C5729" t="s">
        <v>6693</v>
      </c>
      <c r="D5729" t="s">
        <v>6396</v>
      </c>
      <c r="E5729" t="s">
        <v>6397</v>
      </c>
      <c r="F5729" t="s">
        <v>9066</v>
      </c>
      <c r="G5729">
        <v>3057142</v>
      </c>
      <c r="H5729" t="s">
        <v>26</v>
      </c>
      <c r="I5729" t="s">
        <v>150</v>
      </c>
      <c r="J5729" t="str">
        <f>"9780470406410"</f>
        <v>9780470406410</v>
      </c>
      <c r="L5729">
        <v>0</v>
      </c>
      <c r="O5729" t="s">
        <v>28</v>
      </c>
      <c r="P5729" t="s">
        <v>47</v>
      </c>
      <c r="Q5729" s="1">
        <v>42294.51153935185</v>
      </c>
      <c r="R5729">
        <v>1</v>
      </c>
      <c r="S5729" t="s">
        <v>6400</v>
      </c>
      <c r="T5729" t="s">
        <v>9067</v>
      </c>
      <c r="U5729">
        <v>746</v>
      </c>
      <c r="V5729" s="3">
        <v>45658</v>
      </c>
    </row>
    <row r="5730" spans="1:22" x14ac:dyDescent="0.35">
      <c r="A5730" s="1">
        <v>42294.51153935185</v>
      </c>
      <c r="B5730" s="2">
        <v>0</v>
      </c>
      <c r="C5730" t="s">
        <v>6693</v>
      </c>
      <c r="D5730" t="s">
        <v>6396</v>
      </c>
      <c r="E5730" t="s">
        <v>6397</v>
      </c>
      <c r="F5730" t="s">
        <v>9066</v>
      </c>
      <c r="G5730">
        <v>3057142</v>
      </c>
      <c r="H5730" t="s">
        <v>26</v>
      </c>
      <c r="I5730" t="s">
        <v>150</v>
      </c>
      <c r="J5730" t="str">
        <f>"9780470406410"</f>
        <v>9780470406410</v>
      </c>
      <c r="L5730">
        <v>0</v>
      </c>
      <c r="O5730" t="s">
        <v>30</v>
      </c>
      <c r="P5730" t="s">
        <v>47</v>
      </c>
      <c r="Q5730" s="1">
        <v>42294.51153935185</v>
      </c>
      <c r="R5730">
        <v>1</v>
      </c>
      <c r="S5730" t="s">
        <v>6400</v>
      </c>
      <c r="T5730" t="s">
        <v>9067</v>
      </c>
      <c r="U5730">
        <v>746</v>
      </c>
      <c r="V5730" s="3">
        <v>45658</v>
      </c>
    </row>
    <row r="5731" spans="1:22" x14ac:dyDescent="0.35">
      <c r="A5731" s="1">
        <v>42294.509872685187</v>
      </c>
      <c r="B5731" s="2">
        <v>1.6666666666666668E-3</v>
      </c>
      <c r="C5731" t="s">
        <v>6693</v>
      </c>
      <c r="D5731" t="s">
        <v>6396</v>
      </c>
      <c r="E5731" t="s">
        <v>6397</v>
      </c>
      <c r="F5731" t="s">
        <v>9066</v>
      </c>
      <c r="G5731">
        <v>3057142</v>
      </c>
      <c r="H5731" t="s">
        <v>26</v>
      </c>
      <c r="I5731" t="s">
        <v>150</v>
      </c>
      <c r="J5731" t="str">
        <f>"9780470406410"</f>
        <v>9780470406410</v>
      </c>
      <c r="K5731" t="s">
        <v>536</v>
      </c>
      <c r="L5731">
        <v>3</v>
      </c>
      <c r="O5731" t="s">
        <v>30</v>
      </c>
      <c r="P5731" t="s">
        <v>50</v>
      </c>
      <c r="S5731" t="s">
        <v>6400</v>
      </c>
      <c r="T5731" t="s">
        <v>9067</v>
      </c>
      <c r="U5731">
        <v>746</v>
      </c>
      <c r="V5731" s="3">
        <v>45658</v>
      </c>
    </row>
    <row r="5732" spans="1:22" x14ac:dyDescent="0.35">
      <c r="A5732" s="1">
        <v>42294.509814814817</v>
      </c>
      <c r="B5732" s="2">
        <v>2.3495370370370371E-3</v>
      </c>
      <c r="C5732" t="s">
        <v>6693</v>
      </c>
      <c r="D5732" t="s">
        <v>6396</v>
      </c>
      <c r="E5732" t="s">
        <v>6397</v>
      </c>
      <c r="F5732" t="s">
        <v>7175</v>
      </c>
      <c r="G5732">
        <v>1895713</v>
      </c>
      <c r="H5732" t="s">
        <v>26</v>
      </c>
      <c r="I5732" t="s">
        <v>69</v>
      </c>
      <c r="J5732" t="str">
        <f>"9781118938959"</f>
        <v>9781118938959</v>
      </c>
      <c r="K5732" t="s">
        <v>536</v>
      </c>
      <c r="L5732">
        <v>3</v>
      </c>
      <c r="O5732" t="s">
        <v>30</v>
      </c>
      <c r="P5732" t="s">
        <v>50</v>
      </c>
      <c r="S5732" t="s">
        <v>6400</v>
      </c>
      <c r="T5732" t="s">
        <v>7177</v>
      </c>
      <c r="U5732">
        <v>371.33</v>
      </c>
      <c r="V5732" s="3">
        <v>42067</v>
      </c>
    </row>
    <row r="5733" spans="1:22" x14ac:dyDescent="0.35">
      <c r="A5733" s="1">
        <v>42294.509722222225</v>
      </c>
      <c r="B5733" s="2">
        <v>2.8587962962962963E-3</v>
      </c>
      <c r="C5733" t="s">
        <v>6693</v>
      </c>
      <c r="D5733" t="s">
        <v>6396</v>
      </c>
      <c r="E5733" t="s">
        <v>6397</v>
      </c>
      <c r="F5733" t="s">
        <v>9068</v>
      </c>
      <c r="G5733">
        <v>3058423</v>
      </c>
      <c r="H5733" t="s">
        <v>26</v>
      </c>
      <c r="I5733" t="s">
        <v>150</v>
      </c>
      <c r="J5733" t="str">
        <f>"9781118088777"</f>
        <v>9781118088777</v>
      </c>
      <c r="K5733" t="s">
        <v>536</v>
      </c>
      <c r="L5733">
        <v>3</v>
      </c>
      <c r="O5733" t="s">
        <v>30</v>
      </c>
      <c r="P5733" t="s">
        <v>50</v>
      </c>
      <c r="S5733" t="s">
        <v>6400</v>
      </c>
      <c r="T5733" t="s">
        <v>9069</v>
      </c>
      <c r="U5733">
        <v>745.5</v>
      </c>
      <c r="V5733" s="3">
        <v>55519</v>
      </c>
    </row>
    <row r="5734" spans="1:22" x14ac:dyDescent="0.35">
      <c r="A5734" s="1">
        <v>42294.509652777779</v>
      </c>
      <c r="B5734" s="2">
        <v>2.9861111111111113E-3</v>
      </c>
      <c r="C5734" t="s">
        <v>6693</v>
      </c>
      <c r="D5734" t="s">
        <v>6396</v>
      </c>
      <c r="E5734" t="s">
        <v>6397</v>
      </c>
      <c r="F5734" t="s">
        <v>9070</v>
      </c>
      <c r="G5734">
        <v>3058492</v>
      </c>
      <c r="H5734" t="s">
        <v>440</v>
      </c>
      <c r="I5734" t="s">
        <v>9071</v>
      </c>
      <c r="J5734" t="str">
        <f>"9781118159927"</f>
        <v>9781118159927</v>
      </c>
      <c r="K5734" t="s">
        <v>536</v>
      </c>
      <c r="L5734">
        <v>3</v>
      </c>
      <c r="O5734" t="s">
        <v>30</v>
      </c>
      <c r="P5734" t="s">
        <v>50</v>
      </c>
      <c r="S5734" t="s">
        <v>6400</v>
      </c>
      <c r="T5734" t="s">
        <v>9072</v>
      </c>
      <c r="U5734">
        <v>650.10820000000001</v>
      </c>
      <c r="V5734" s="3">
        <v>40856</v>
      </c>
    </row>
    <row r="5735" spans="1:22" x14ac:dyDescent="0.35">
      <c r="A5735" s="1">
        <v>42294.50953703704</v>
      </c>
      <c r="B5735" s="2">
        <v>3.1250000000000001E-4</v>
      </c>
      <c r="C5735" t="s">
        <v>6693</v>
      </c>
      <c r="D5735" t="s">
        <v>6396</v>
      </c>
      <c r="E5735" t="s">
        <v>6397</v>
      </c>
      <c r="F5735" t="s">
        <v>9073</v>
      </c>
      <c r="G5735">
        <v>3058588</v>
      </c>
      <c r="H5735" t="s">
        <v>440</v>
      </c>
      <c r="I5735" t="s">
        <v>150</v>
      </c>
      <c r="J5735" t="str">
        <f>"9781118087589"</f>
        <v>9781118087589</v>
      </c>
      <c r="K5735" t="s">
        <v>1109</v>
      </c>
      <c r="L5735">
        <v>3</v>
      </c>
      <c r="O5735" t="s">
        <v>30</v>
      </c>
      <c r="P5735" t="s">
        <v>50</v>
      </c>
      <c r="S5735" t="s">
        <v>6400</v>
      </c>
      <c r="T5735" t="s">
        <v>9074</v>
      </c>
      <c r="U5735">
        <v>775.06799999999998</v>
      </c>
      <c r="V5735" s="3">
        <v>52597</v>
      </c>
    </row>
    <row r="5736" spans="1:22" x14ac:dyDescent="0.35">
      <c r="A5736" s="1">
        <v>42294.50949074074</v>
      </c>
      <c r="B5736" s="2">
        <v>2.7777777777777778E-4</v>
      </c>
      <c r="C5736" t="s">
        <v>6693</v>
      </c>
      <c r="D5736" t="s">
        <v>6396</v>
      </c>
      <c r="E5736" t="s">
        <v>6397</v>
      </c>
      <c r="F5736" t="s">
        <v>9075</v>
      </c>
      <c r="G5736">
        <v>3057997</v>
      </c>
      <c r="H5736" t="s">
        <v>440</v>
      </c>
      <c r="I5736" t="s">
        <v>38</v>
      </c>
      <c r="J5736" t="str">
        <f>"9780470161081"</f>
        <v>9780470161081</v>
      </c>
      <c r="K5736" t="s">
        <v>1326</v>
      </c>
      <c r="L5736">
        <v>3</v>
      </c>
      <c r="O5736" t="s">
        <v>30</v>
      </c>
      <c r="P5736" t="s">
        <v>50</v>
      </c>
      <c r="S5736" t="s">
        <v>6400</v>
      </c>
      <c r="T5736" t="s">
        <v>9076</v>
      </c>
      <c r="V5736" s="3">
        <v>39857</v>
      </c>
    </row>
    <row r="5737" spans="1:22" x14ac:dyDescent="0.35">
      <c r="A5737" s="1">
        <v>42294.509409722225</v>
      </c>
      <c r="B5737" s="2">
        <v>2.7777777777777778E-4</v>
      </c>
      <c r="C5737" t="s">
        <v>6693</v>
      </c>
      <c r="D5737" t="s">
        <v>6396</v>
      </c>
      <c r="E5737" t="s">
        <v>6397</v>
      </c>
      <c r="F5737" t="s">
        <v>9077</v>
      </c>
      <c r="G5737">
        <v>3057477</v>
      </c>
      <c r="H5737" t="s">
        <v>26</v>
      </c>
      <c r="I5737" t="s">
        <v>247</v>
      </c>
      <c r="J5737" t="str">
        <f>"9780470431573"</f>
        <v>9780470431573</v>
      </c>
      <c r="K5737" t="s">
        <v>536</v>
      </c>
      <c r="L5737">
        <v>3</v>
      </c>
      <c r="O5737" t="s">
        <v>30</v>
      </c>
      <c r="P5737" t="s">
        <v>50</v>
      </c>
      <c r="S5737" t="s">
        <v>6400</v>
      </c>
      <c r="T5737" t="s">
        <v>9078</v>
      </c>
      <c r="U5737">
        <v>618.4</v>
      </c>
      <c r="V5737" s="3">
        <v>48945</v>
      </c>
    </row>
    <row r="5738" spans="1:22" x14ac:dyDescent="0.35">
      <c r="A5738" s="1">
        <v>42294.509317129632</v>
      </c>
      <c r="B5738" s="2">
        <v>3.6111111111111114E-3</v>
      </c>
      <c r="C5738" t="s">
        <v>6693</v>
      </c>
      <c r="D5738" t="s">
        <v>6396</v>
      </c>
      <c r="E5738" t="s">
        <v>6397</v>
      </c>
      <c r="F5738" t="s">
        <v>9063</v>
      </c>
      <c r="G5738">
        <v>3058325</v>
      </c>
      <c r="H5738" t="s">
        <v>440</v>
      </c>
      <c r="I5738" t="s">
        <v>150</v>
      </c>
      <c r="J5738" t="str">
        <f>"9780470881309"</f>
        <v>9780470881309</v>
      </c>
      <c r="K5738" t="s">
        <v>536</v>
      </c>
      <c r="L5738">
        <v>3</v>
      </c>
      <c r="O5738" t="s">
        <v>30</v>
      </c>
      <c r="P5738" t="s">
        <v>50</v>
      </c>
      <c r="S5738" t="s">
        <v>6400</v>
      </c>
      <c r="T5738" t="s">
        <v>9065</v>
      </c>
      <c r="U5738">
        <v>747</v>
      </c>
      <c r="V5738" s="3">
        <v>70495</v>
      </c>
    </row>
    <row r="5739" spans="1:22" x14ac:dyDescent="0.35">
      <c r="A5739" s="1">
        <v>42294.509270833332</v>
      </c>
      <c r="B5739" s="2">
        <v>4.6990740740740743E-3</v>
      </c>
      <c r="C5739" t="s">
        <v>6693</v>
      </c>
      <c r="D5739" t="s">
        <v>6396</v>
      </c>
      <c r="E5739" t="s">
        <v>6397</v>
      </c>
      <c r="F5739" t="s">
        <v>9060</v>
      </c>
      <c r="G5739">
        <v>3058693</v>
      </c>
      <c r="H5739" t="s">
        <v>440</v>
      </c>
      <c r="I5739" t="s">
        <v>200</v>
      </c>
      <c r="J5739" t="str">
        <f>"9781118182307"</f>
        <v>9781118182307</v>
      </c>
      <c r="K5739" t="s">
        <v>536</v>
      </c>
      <c r="L5739">
        <v>3</v>
      </c>
      <c r="O5739" t="s">
        <v>30</v>
      </c>
      <c r="P5739" t="s">
        <v>50</v>
      </c>
      <c r="S5739" t="s">
        <v>6400</v>
      </c>
      <c r="T5739" t="s">
        <v>9062</v>
      </c>
      <c r="V5739" s="3">
        <v>52963</v>
      </c>
    </row>
    <row r="5740" spans="1:22" x14ac:dyDescent="0.35">
      <c r="A5740" s="1">
        <v>42294.509155092594</v>
      </c>
      <c r="B5740" s="2">
        <v>4.9074074074074072E-3</v>
      </c>
      <c r="C5740" t="s">
        <v>6693</v>
      </c>
      <c r="D5740" t="s">
        <v>6396</v>
      </c>
      <c r="E5740" t="s">
        <v>6397</v>
      </c>
      <c r="F5740" t="s">
        <v>9057</v>
      </c>
      <c r="G5740">
        <v>3058695</v>
      </c>
      <c r="H5740" t="s">
        <v>440</v>
      </c>
      <c r="I5740" t="s">
        <v>150</v>
      </c>
      <c r="J5740" t="str">
        <f>"9781118430040"</f>
        <v>9781118430040</v>
      </c>
      <c r="K5740" t="s">
        <v>6097</v>
      </c>
      <c r="L5740">
        <v>3</v>
      </c>
      <c r="O5740" t="s">
        <v>30</v>
      </c>
      <c r="P5740" t="s">
        <v>50</v>
      </c>
      <c r="S5740" t="s">
        <v>6400</v>
      </c>
      <c r="T5740" t="s">
        <v>9059</v>
      </c>
      <c r="U5740">
        <v>747</v>
      </c>
      <c r="V5740" s="3">
        <v>52963</v>
      </c>
    </row>
    <row r="5741" spans="1:22" x14ac:dyDescent="0.35">
      <c r="A5741" s="1">
        <v>42294.500671296293</v>
      </c>
      <c r="B5741" s="2">
        <v>6.2500000000000001E-4</v>
      </c>
      <c r="C5741" t="s">
        <v>6693</v>
      </c>
      <c r="D5741" t="s">
        <v>6396</v>
      </c>
      <c r="E5741" t="s">
        <v>6397</v>
      </c>
      <c r="F5741" t="s">
        <v>9079</v>
      </c>
      <c r="G5741">
        <v>3058229</v>
      </c>
      <c r="H5741" t="s">
        <v>440</v>
      </c>
      <c r="I5741" t="s">
        <v>8254</v>
      </c>
      <c r="J5741" t="str">
        <f>"9780470681435"</f>
        <v>9780470681435</v>
      </c>
      <c r="K5741" t="s">
        <v>9080</v>
      </c>
      <c r="L5741">
        <v>7</v>
      </c>
      <c r="O5741" t="s">
        <v>30</v>
      </c>
      <c r="P5741" t="s">
        <v>50</v>
      </c>
      <c r="S5741" t="s">
        <v>6400</v>
      </c>
      <c r="T5741" t="s">
        <v>9081</v>
      </c>
      <c r="U5741" t="s">
        <v>9082</v>
      </c>
      <c r="V5741" s="3">
        <v>61363</v>
      </c>
    </row>
    <row r="5742" spans="1:22" x14ac:dyDescent="0.35">
      <c r="A5742" s="1">
        <v>42294.183495370373</v>
      </c>
      <c r="B5742" s="2">
        <v>5.7986111111111112E-3</v>
      </c>
      <c r="C5742" t="s">
        <v>1098</v>
      </c>
      <c r="D5742" t="s">
        <v>360</v>
      </c>
      <c r="E5742" t="s">
        <v>361</v>
      </c>
      <c r="F5742" t="s">
        <v>8802</v>
      </c>
      <c r="G5742">
        <v>1895305</v>
      </c>
      <c r="H5742" t="s">
        <v>26</v>
      </c>
      <c r="I5742" t="s">
        <v>276</v>
      </c>
      <c r="J5742" t="str">
        <f>"9781119047650"</f>
        <v>9781119047650</v>
      </c>
      <c r="K5742" t="s">
        <v>33</v>
      </c>
      <c r="L5742">
        <v>3</v>
      </c>
      <c r="O5742" t="s">
        <v>28</v>
      </c>
      <c r="P5742" t="s">
        <v>29</v>
      </c>
      <c r="Q5742" s="1">
        <v>42294.183495370373</v>
      </c>
      <c r="R5742">
        <v>7</v>
      </c>
      <c r="S5742" t="s">
        <v>363</v>
      </c>
      <c r="T5742" t="s">
        <v>8804</v>
      </c>
      <c r="U5742">
        <v>6.7519999999999998</v>
      </c>
      <c r="V5742" s="3">
        <v>42151</v>
      </c>
    </row>
    <row r="5743" spans="1:22" x14ac:dyDescent="0.35">
      <c r="A5743" s="1">
        <v>42294.183495370373</v>
      </c>
      <c r="B5743" s="2">
        <v>0</v>
      </c>
      <c r="C5743" t="s">
        <v>1098</v>
      </c>
      <c r="D5743" t="s">
        <v>360</v>
      </c>
      <c r="E5743" t="s">
        <v>361</v>
      </c>
      <c r="F5743" t="s">
        <v>8802</v>
      </c>
      <c r="G5743">
        <v>1895305</v>
      </c>
      <c r="H5743" t="s">
        <v>26</v>
      </c>
      <c r="I5743" t="s">
        <v>276</v>
      </c>
      <c r="J5743" t="str">
        <f>"9781119047650"</f>
        <v>9781119047650</v>
      </c>
      <c r="L5743">
        <v>0</v>
      </c>
      <c r="O5743" t="s">
        <v>30</v>
      </c>
      <c r="P5743" t="s">
        <v>29</v>
      </c>
      <c r="Q5743" s="1">
        <v>42294.183495370373</v>
      </c>
      <c r="R5743">
        <v>7</v>
      </c>
      <c r="S5743" t="s">
        <v>363</v>
      </c>
      <c r="T5743" t="s">
        <v>8804</v>
      </c>
      <c r="U5743">
        <v>6.7519999999999998</v>
      </c>
      <c r="V5743" s="3">
        <v>42151</v>
      </c>
    </row>
    <row r="5744" spans="1:22" x14ac:dyDescent="0.35">
      <c r="A5744" s="1">
        <v>42294.182881944442</v>
      </c>
      <c r="B5744" s="2">
        <v>6.018518518518519E-4</v>
      </c>
      <c r="C5744" t="s">
        <v>1098</v>
      </c>
      <c r="D5744" t="s">
        <v>360</v>
      </c>
      <c r="E5744" t="s">
        <v>361</v>
      </c>
      <c r="F5744" t="s">
        <v>8802</v>
      </c>
      <c r="G5744">
        <v>1895305</v>
      </c>
      <c r="H5744" t="s">
        <v>26</v>
      </c>
      <c r="I5744" t="s">
        <v>276</v>
      </c>
      <c r="J5744" t="str">
        <f>"9781119047650"</f>
        <v>9781119047650</v>
      </c>
      <c r="K5744" t="s">
        <v>33</v>
      </c>
      <c r="L5744">
        <v>3</v>
      </c>
      <c r="O5744" t="s">
        <v>30</v>
      </c>
      <c r="P5744" t="s">
        <v>50</v>
      </c>
      <c r="S5744" t="s">
        <v>363</v>
      </c>
      <c r="T5744" t="s">
        <v>8804</v>
      </c>
      <c r="U5744">
        <v>6.7519999999999998</v>
      </c>
      <c r="V5744" s="3">
        <v>42151</v>
      </c>
    </row>
    <row r="5745" spans="1:22" x14ac:dyDescent="0.35">
      <c r="A5745" s="1">
        <v>42294.175752314812</v>
      </c>
      <c r="B5745" s="2">
        <v>1.7476851851851852E-3</v>
      </c>
      <c r="C5745" t="s">
        <v>4205</v>
      </c>
      <c r="D5745" t="s">
        <v>597</v>
      </c>
      <c r="E5745" t="s">
        <v>598</v>
      </c>
      <c r="F5745" t="s">
        <v>111</v>
      </c>
      <c r="G5745">
        <v>693176</v>
      </c>
      <c r="H5745" t="s">
        <v>26</v>
      </c>
      <c r="I5745" t="s">
        <v>112</v>
      </c>
      <c r="J5745" t="str">
        <f>"9781118017746"</f>
        <v>9781118017746</v>
      </c>
      <c r="K5745" t="s">
        <v>9083</v>
      </c>
      <c r="L5745">
        <v>17</v>
      </c>
      <c r="O5745" t="s">
        <v>30</v>
      </c>
      <c r="P5745" t="s">
        <v>42</v>
      </c>
      <c r="S5745" t="s">
        <v>600</v>
      </c>
      <c r="T5745" t="s">
        <v>114</v>
      </c>
      <c r="U5745" t="s">
        <v>115</v>
      </c>
      <c r="V5745" s="3">
        <v>40835</v>
      </c>
    </row>
    <row r="5746" spans="1:22" x14ac:dyDescent="0.35">
      <c r="A5746" s="1">
        <v>42294.060057870367</v>
      </c>
      <c r="B5746" s="2">
        <v>1.0416666666666667E-4</v>
      </c>
      <c r="C5746" t="s">
        <v>8241</v>
      </c>
      <c r="D5746" t="s">
        <v>35</v>
      </c>
      <c r="E5746" t="s">
        <v>36</v>
      </c>
      <c r="F5746" t="s">
        <v>4770</v>
      </c>
      <c r="G5746">
        <v>2038643</v>
      </c>
      <c r="H5746" t="s">
        <v>45</v>
      </c>
      <c r="I5746" t="s">
        <v>120</v>
      </c>
      <c r="J5746" t="str">
        <f>"9781472427625"</f>
        <v>9781472427625</v>
      </c>
      <c r="K5746" t="s">
        <v>33</v>
      </c>
      <c r="L5746">
        <v>3</v>
      </c>
      <c r="O5746" t="s">
        <v>30</v>
      </c>
      <c r="P5746" t="s">
        <v>47</v>
      </c>
      <c r="Q5746" s="1">
        <v>42293.254386574074</v>
      </c>
      <c r="R5746">
        <v>1</v>
      </c>
      <c r="S5746" t="s">
        <v>40</v>
      </c>
      <c r="T5746">
        <v>2013049432</v>
      </c>
      <c r="U5746">
        <v>306.46100000000001</v>
      </c>
      <c r="V5746" s="3">
        <v>42152</v>
      </c>
    </row>
    <row r="5747" spans="1:22" x14ac:dyDescent="0.35">
      <c r="A5747" s="1">
        <v>42293.952881944446</v>
      </c>
      <c r="B5747" s="2">
        <v>1.5624999999999999E-3</v>
      </c>
      <c r="C5747" t="s">
        <v>6693</v>
      </c>
      <c r="D5747" t="s">
        <v>6396</v>
      </c>
      <c r="E5747" t="s">
        <v>6397</v>
      </c>
      <c r="F5747" t="s">
        <v>9084</v>
      </c>
      <c r="G5747">
        <v>3058154</v>
      </c>
      <c r="H5747" t="s">
        <v>440</v>
      </c>
      <c r="I5747" t="s">
        <v>9085</v>
      </c>
      <c r="J5747" t="str">
        <f>"9780470638712"</f>
        <v>9780470638712</v>
      </c>
      <c r="K5747" t="s">
        <v>9086</v>
      </c>
      <c r="L5747">
        <v>7</v>
      </c>
      <c r="O5747" t="s">
        <v>30</v>
      </c>
      <c r="P5747" t="s">
        <v>50</v>
      </c>
      <c r="S5747" t="s">
        <v>6400</v>
      </c>
      <c r="T5747" t="s">
        <v>9087</v>
      </c>
      <c r="U5747">
        <v>646.20000000000005</v>
      </c>
      <c r="V5747" s="3">
        <v>49310</v>
      </c>
    </row>
    <row r="5748" spans="1:22" x14ac:dyDescent="0.35">
      <c r="A5748" s="1">
        <v>42293.952662037038</v>
      </c>
      <c r="B5748" s="2">
        <v>4.6296296296296293E-4</v>
      </c>
      <c r="C5748" t="s">
        <v>6693</v>
      </c>
      <c r="D5748" t="s">
        <v>6396</v>
      </c>
      <c r="E5748" t="s">
        <v>6397</v>
      </c>
      <c r="F5748" t="s">
        <v>9088</v>
      </c>
      <c r="G5748">
        <v>3058458</v>
      </c>
      <c r="H5748" t="s">
        <v>440</v>
      </c>
      <c r="I5748" t="s">
        <v>9085</v>
      </c>
      <c r="J5748" t="str">
        <f>"9781118088814"</f>
        <v>9781118088814</v>
      </c>
      <c r="K5748" t="s">
        <v>536</v>
      </c>
      <c r="L5748">
        <v>3</v>
      </c>
      <c r="O5748" t="s">
        <v>30</v>
      </c>
      <c r="P5748" t="s">
        <v>50</v>
      </c>
      <c r="S5748" t="s">
        <v>6400</v>
      </c>
      <c r="T5748" t="s">
        <v>9089</v>
      </c>
      <c r="U5748">
        <v>646.20000000000005</v>
      </c>
      <c r="V5748" s="3">
        <v>61729</v>
      </c>
    </row>
    <row r="5749" spans="1:22" x14ac:dyDescent="0.35">
      <c r="A5749" s="1">
        <v>42293.952557870369</v>
      </c>
      <c r="B5749" s="2">
        <v>2.6620370370370372E-4</v>
      </c>
      <c r="C5749" t="s">
        <v>6693</v>
      </c>
      <c r="D5749" t="s">
        <v>6396</v>
      </c>
      <c r="E5749" t="s">
        <v>6397</v>
      </c>
      <c r="F5749" t="s">
        <v>9090</v>
      </c>
      <c r="G5749">
        <v>3058059</v>
      </c>
      <c r="H5749" t="s">
        <v>440</v>
      </c>
      <c r="I5749" t="s">
        <v>3926</v>
      </c>
      <c r="J5749" t="str">
        <f>"9780470623879"</f>
        <v>9780470623879</v>
      </c>
      <c r="K5749" t="s">
        <v>536</v>
      </c>
      <c r="L5749">
        <v>3</v>
      </c>
      <c r="O5749" t="s">
        <v>30</v>
      </c>
      <c r="P5749" t="s">
        <v>50</v>
      </c>
      <c r="S5749" t="s">
        <v>6400</v>
      </c>
      <c r="T5749" t="s">
        <v>9091</v>
      </c>
      <c r="U5749" t="s">
        <v>3929</v>
      </c>
      <c r="V5749" s="3">
        <v>76338</v>
      </c>
    </row>
    <row r="5750" spans="1:22" x14ac:dyDescent="0.35">
      <c r="A5750" s="1">
        <v>42293.932615740741</v>
      </c>
      <c r="B5750" s="2">
        <v>0</v>
      </c>
      <c r="C5750" t="s">
        <v>6693</v>
      </c>
      <c r="D5750" t="s">
        <v>6396</v>
      </c>
      <c r="E5750" t="s">
        <v>6397</v>
      </c>
      <c r="F5750" t="s">
        <v>9092</v>
      </c>
      <c r="G5750">
        <v>3058831</v>
      </c>
      <c r="H5750" t="s">
        <v>440</v>
      </c>
      <c r="I5750" t="s">
        <v>3665</v>
      </c>
      <c r="J5750" t="str">
        <f>"9780471714132"</f>
        <v>9780471714132</v>
      </c>
      <c r="L5750">
        <v>0</v>
      </c>
      <c r="O5750" t="s">
        <v>28</v>
      </c>
      <c r="P5750" t="s">
        <v>47</v>
      </c>
      <c r="Q5750" s="1">
        <v>42293.932615740741</v>
      </c>
      <c r="R5750">
        <v>1</v>
      </c>
      <c r="S5750" t="s">
        <v>6400</v>
      </c>
      <c r="T5750" t="s">
        <v>9093</v>
      </c>
      <c r="U5750">
        <v>640</v>
      </c>
      <c r="V5750" s="3">
        <v>50406</v>
      </c>
    </row>
    <row r="5751" spans="1:22" x14ac:dyDescent="0.35">
      <c r="A5751" s="1">
        <v>42293.932615740741</v>
      </c>
      <c r="B5751" s="2">
        <v>0</v>
      </c>
      <c r="C5751" t="s">
        <v>6693</v>
      </c>
      <c r="D5751" t="s">
        <v>6396</v>
      </c>
      <c r="E5751" t="s">
        <v>6397</v>
      </c>
      <c r="F5751" t="s">
        <v>9092</v>
      </c>
      <c r="G5751">
        <v>3058831</v>
      </c>
      <c r="H5751" t="s">
        <v>440</v>
      </c>
      <c r="I5751" t="s">
        <v>3665</v>
      </c>
      <c r="J5751" t="str">
        <f>"9780471714132"</f>
        <v>9780471714132</v>
      </c>
      <c r="L5751">
        <v>0</v>
      </c>
      <c r="O5751" t="s">
        <v>30</v>
      </c>
      <c r="P5751" t="s">
        <v>47</v>
      </c>
      <c r="Q5751" s="1">
        <v>42293.932615740741</v>
      </c>
      <c r="R5751">
        <v>1</v>
      </c>
      <c r="S5751" t="s">
        <v>6400</v>
      </c>
      <c r="T5751" t="s">
        <v>9093</v>
      </c>
      <c r="U5751">
        <v>640</v>
      </c>
      <c r="V5751" s="3">
        <v>50406</v>
      </c>
    </row>
    <row r="5752" spans="1:22" x14ac:dyDescent="0.35">
      <c r="A5752" s="1">
        <v>42293.931631944448</v>
      </c>
      <c r="B5752" s="2">
        <v>9.8379629629629642E-4</v>
      </c>
      <c r="C5752" t="s">
        <v>6693</v>
      </c>
      <c r="D5752" t="s">
        <v>6396</v>
      </c>
      <c r="E5752" t="s">
        <v>6397</v>
      </c>
      <c r="F5752" t="s">
        <v>9092</v>
      </c>
      <c r="G5752">
        <v>3058831</v>
      </c>
      <c r="H5752" t="s">
        <v>440</v>
      </c>
      <c r="I5752" t="s">
        <v>3665</v>
      </c>
      <c r="J5752" t="str">
        <f>"9780471714132"</f>
        <v>9780471714132</v>
      </c>
      <c r="K5752" t="s">
        <v>1117</v>
      </c>
      <c r="L5752">
        <v>3</v>
      </c>
      <c r="O5752" t="s">
        <v>30</v>
      </c>
      <c r="P5752" t="s">
        <v>50</v>
      </c>
      <c r="S5752" t="s">
        <v>6400</v>
      </c>
      <c r="T5752" t="s">
        <v>9093</v>
      </c>
      <c r="U5752">
        <v>640</v>
      </c>
      <c r="V5752" s="3">
        <v>50406</v>
      </c>
    </row>
    <row r="5753" spans="1:22" x14ac:dyDescent="0.35">
      <c r="A5753" s="1">
        <v>42293.931469907409</v>
      </c>
      <c r="B5753" s="2">
        <v>6.9444444444444444E-5</v>
      </c>
      <c r="C5753" t="s">
        <v>6693</v>
      </c>
      <c r="D5753" t="s">
        <v>6396</v>
      </c>
      <c r="E5753" t="s">
        <v>6397</v>
      </c>
      <c r="F5753" t="s">
        <v>9094</v>
      </c>
      <c r="G5753">
        <v>3058691</v>
      </c>
      <c r="H5753" t="s">
        <v>440</v>
      </c>
      <c r="I5753" t="s">
        <v>3665</v>
      </c>
      <c r="J5753" t="str">
        <f>"9781118430088"</f>
        <v>9781118430088</v>
      </c>
      <c r="K5753" t="s">
        <v>63</v>
      </c>
      <c r="L5753">
        <v>1</v>
      </c>
      <c r="O5753" t="s">
        <v>28</v>
      </c>
      <c r="P5753" t="s">
        <v>47</v>
      </c>
      <c r="Q5753" s="1">
        <v>42293.931469907409</v>
      </c>
      <c r="R5753">
        <v>1</v>
      </c>
      <c r="S5753" t="s">
        <v>6400</v>
      </c>
      <c r="T5753" t="s">
        <v>9095</v>
      </c>
      <c r="U5753">
        <v>648.79999999999995</v>
      </c>
      <c r="V5753" s="3">
        <v>52963</v>
      </c>
    </row>
    <row r="5754" spans="1:22" x14ac:dyDescent="0.35">
      <c r="A5754" s="1">
        <v>42293.931469907409</v>
      </c>
      <c r="B5754" s="2">
        <v>0</v>
      </c>
      <c r="C5754" t="s">
        <v>6693</v>
      </c>
      <c r="D5754" t="s">
        <v>6396</v>
      </c>
      <c r="E5754" t="s">
        <v>6397</v>
      </c>
      <c r="F5754" t="s">
        <v>9094</v>
      </c>
      <c r="G5754">
        <v>3058691</v>
      </c>
      <c r="H5754" t="s">
        <v>440</v>
      </c>
      <c r="I5754" t="s">
        <v>3665</v>
      </c>
      <c r="J5754" t="str">
        <f>"9781118430088"</f>
        <v>9781118430088</v>
      </c>
      <c r="L5754">
        <v>0</v>
      </c>
      <c r="O5754" t="s">
        <v>30</v>
      </c>
      <c r="P5754" t="s">
        <v>47</v>
      </c>
      <c r="Q5754" s="1">
        <v>42293.931469907409</v>
      </c>
      <c r="R5754">
        <v>1</v>
      </c>
      <c r="S5754" t="s">
        <v>6400</v>
      </c>
      <c r="T5754" t="s">
        <v>9095</v>
      </c>
      <c r="U5754">
        <v>648.79999999999995</v>
      </c>
      <c r="V5754" s="3">
        <v>52963</v>
      </c>
    </row>
    <row r="5755" spans="1:22" x14ac:dyDescent="0.35">
      <c r="A5755" s="1">
        <v>42293.931226851855</v>
      </c>
      <c r="B5755" s="2">
        <v>2.4305555555555552E-4</v>
      </c>
      <c r="C5755" t="s">
        <v>6693</v>
      </c>
      <c r="D5755" t="s">
        <v>6396</v>
      </c>
      <c r="E5755" t="s">
        <v>6397</v>
      </c>
      <c r="F5755" t="s">
        <v>9094</v>
      </c>
      <c r="G5755">
        <v>3058691</v>
      </c>
      <c r="H5755" t="s">
        <v>440</v>
      </c>
      <c r="I5755" t="s">
        <v>3665</v>
      </c>
      <c r="J5755" t="str">
        <f>"9781118430088"</f>
        <v>9781118430088</v>
      </c>
      <c r="K5755" t="s">
        <v>65</v>
      </c>
      <c r="L5755">
        <v>3</v>
      </c>
      <c r="O5755" t="s">
        <v>30</v>
      </c>
      <c r="P5755" t="s">
        <v>50</v>
      </c>
      <c r="S5755" t="s">
        <v>6400</v>
      </c>
      <c r="T5755" t="s">
        <v>9095</v>
      </c>
      <c r="U5755">
        <v>648.79999999999995</v>
      </c>
      <c r="V5755" s="3">
        <v>52963</v>
      </c>
    </row>
    <row r="5756" spans="1:22" x14ac:dyDescent="0.35">
      <c r="A5756" s="1">
        <v>42293.930995370371</v>
      </c>
      <c r="B5756" s="2">
        <v>0</v>
      </c>
      <c r="C5756" t="s">
        <v>6693</v>
      </c>
      <c r="D5756" t="s">
        <v>6396</v>
      </c>
      <c r="E5756" t="s">
        <v>6397</v>
      </c>
      <c r="F5756" t="s">
        <v>9096</v>
      </c>
      <c r="G5756">
        <v>3058643</v>
      </c>
      <c r="H5756" t="s">
        <v>440</v>
      </c>
      <c r="I5756" t="s">
        <v>9097</v>
      </c>
      <c r="J5756" t="str">
        <f>"9781118182314"</f>
        <v>9781118182314</v>
      </c>
      <c r="L5756">
        <v>0</v>
      </c>
      <c r="O5756" t="s">
        <v>28</v>
      </c>
      <c r="P5756" t="s">
        <v>47</v>
      </c>
      <c r="Q5756" s="1">
        <v>42293.930995370371</v>
      </c>
      <c r="R5756">
        <v>1</v>
      </c>
      <c r="S5756" t="s">
        <v>6400</v>
      </c>
      <c r="T5756" t="s">
        <v>9098</v>
      </c>
      <c r="U5756">
        <v>640.97299999999996</v>
      </c>
      <c r="V5756" s="3">
        <v>46753</v>
      </c>
    </row>
    <row r="5757" spans="1:22" x14ac:dyDescent="0.35">
      <c r="A5757" s="1">
        <v>42293.930995370371</v>
      </c>
      <c r="B5757" s="2">
        <v>0</v>
      </c>
      <c r="C5757" t="s">
        <v>6693</v>
      </c>
      <c r="D5757" t="s">
        <v>6396</v>
      </c>
      <c r="E5757" t="s">
        <v>6397</v>
      </c>
      <c r="F5757" t="s">
        <v>9096</v>
      </c>
      <c r="G5757">
        <v>3058643</v>
      </c>
      <c r="H5757" t="s">
        <v>440</v>
      </c>
      <c r="I5757" t="s">
        <v>9097</v>
      </c>
      <c r="J5757" t="str">
        <f>"9781118182314"</f>
        <v>9781118182314</v>
      </c>
      <c r="L5757">
        <v>0</v>
      </c>
      <c r="O5757" t="s">
        <v>30</v>
      </c>
      <c r="P5757" t="s">
        <v>47</v>
      </c>
      <c r="Q5757" s="1">
        <v>42293.930995370371</v>
      </c>
      <c r="R5757">
        <v>1</v>
      </c>
      <c r="S5757" t="s">
        <v>6400</v>
      </c>
      <c r="T5757" t="s">
        <v>9098</v>
      </c>
      <c r="U5757">
        <v>640.97299999999996</v>
      </c>
      <c r="V5757" s="3">
        <v>46753</v>
      </c>
    </row>
    <row r="5758" spans="1:22" x14ac:dyDescent="0.35">
      <c r="A5758" s="1">
        <v>42293.929270833331</v>
      </c>
      <c r="B5758" s="2">
        <v>1.7245370370370372E-3</v>
      </c>
      <c r="C5758" t="s">
        <v>6693</v>
      </c>
      <c r="D5758" t="s">
        <v>6396</v>
      </c>
      <c r="E5758" t="s">
        <v>6397</v>
      </c>
      <c r="F5758" t="s">
        <v>9096</v>
      </c>
      <c r="G5758">
        <v>3058643</v>
      </c>
      <c r="H5758" t="s">
        <v>440</v>
      </c>
      <c r="I5758" t="s">
        <v>9097</v>
      </c>
      <c r="J5758" t="str">
        <f>"9781118182314"</f>
        <v>9781118182314</v>
      </c>
      <c r="K5758" t="s">
        <v>536</v>
      </c>
      <c r="L5758">
        <v>3</v>
      </c>
      <c r="O5758" t="s">
        <v>30</v>
      </c>
      <c r="P5758" t="s">
        <v>50</v>
      </c>
      <c r="S5758" t="s">
        <v>6400</v>
      </c>
      <c r="T5758" t="s">
        <v>9098</v>
      </c>
      <c r="U5758">
        <v>640.97299999999996</v>
      </c>
      <c r="V5758" s="3">
        <v>46753</v>
      </c>
    </row>
    <row r="5759" spans="1:22" x14ac:dyDescent="0.35">
      <c r="A5759" s="1">
        <v>42293.928622685184</v>
      </c>
      <c r="B5759" s="2">
        <v>6.9444444444444444E-5</v>
      </c>
      <c r="C5759" t="s">
        <v>6693</v>
      </c>
      <c r="D5759" t="s">
        <v>6396</v>
      </c>
      <c r="E5759" t="s">
        <v>6397</v>
      </c>
      <c r="F5759" t="s">
        <v>7086</v>
      </c>
      <c r="G5759">
        <v>487698</v>
      </c>
      <c r="H5759" t="s">
        <v>26</v>
      </c>
      <c r="I5759" t="s">
        <v>3665</v>
      </c>
      <c r="J5759" t="str">
        <f>"9780470606490"</f>
        <v>9780470606490</v>
      </c>
      <c r="K5759" t="s">
        <v>63</v>
      </c>
      <c r="L5759">
        <v>1</v>
      </c>
      <c r="O5759" t="s">
        <v>28</v>
      </c>
      <c r="P5759" t="s">
        <v>47</v>
      </c>
      <c r="Q5759" s="1">
        <v>42293.928622685184</v>
      </c>
      <c r="R5759">
        <v>1</v>
      </c>
      <c r="S5759" t="s">
        <v>6400</v>
      </c>
      <c r="T5759" t="s">
        <v>7088</v>
      </c>
      <c r="U5759">
        <v>648.79999999999995</v>
      </c>
      <c r="V5759" s="3">
        <v>41773</v>
      </c>
    </row>
    <row r="5760" spans="1:22" x14ac:dyDescent="0.35">
      <c r="A5760" s="1">
        <v>42293.928622685184</v>
      </c>
      <c r="B5760" s="2">
        <v>0</v>
      </c>
      <c r="C5760" t="s">
        <v>6693</v>
      </c>
      <c r="D5760" t="s">
        <v>6396</v>
      </c>
      <c r="E5760" t="s">
        <v>6397</v>
      </c>
      <c r="F5760" t="s">
        <v>7086</v>
      </c>
      <c r="G5760">
        <v>487698</v>
      </c>
      <c r="H5760" t="s">
        <v>26</v>
      </c>
      <c r="I5760" t="s">
        <v>3665</v>
      </c>
      <c r="J5760" t="str">
        <f>"9780470606490"</f>
        <v>9780470606490</v>
      </c>
      <c r="L5760">
        <v>0</v>
      </c>
      <c r="O5760" t="s">
        <v>30</v>
      </c>
      <c r="P5760" t="s">
        <v>47</v>
      </c>
      <c r="Q5760" s="1">
        <v>42293.928622685184</v>
      </c>
      <c r="R5760">
        <v>1</v>
      </c>
      <c r="S5760" t="s">
        <v>6400</v>
      </c>
      <c r="T5760" t="s">
        <v>7088</v>
      </c>
      <c r="U5760">
        <v>648.79999999999995</v>
      </c>
      <c r="V5760" s="3">
        <v>41773</v>
      </c>
    </row>
    <row r="5761" spans="1:22" x14ac:dyDescent="0.35">
      <c r="A5761" s="1">
        <v>42293.928425925929</v>
      </c>
      <c r="B5761" s="2">
        <v>1.8518518518518518E-4</v>
      </c>
      <c r="C5761" t="s">
        <v>6693</v>
      </c>
      <c r="D5761" t="s">
        <v>6396</v>
      </c>
      <c r="E5761" t="s">
        <v>6397</v>
      </c>
      <c r="F5761" t="s">
        <v>7086</v>
      </c>
      <c r="G5761">
        <v>487698</v>
      </c>
      <c r="H5761" t="s">
        <v>26</v>
      </c>
      <c r="I5761" t="s">
        <v>3665</v>
      </c>
      <c r="J5761" t="str">
        <f>"9780470606490"</f>
        <v>9780470606490</v>
      </c>
      <c r="K5761" t="s">
        <v>2787</v>
      </c>
      <c r="L5761">
        <v>3</v>
      </c>
      <c r="O5761" t="s">
        <v>30</v>
      </c>
      <c r="P5761" t="s">
        <v>50</v>
      </c>
      <c r="S5761" t="s">
        <v>6400</v>
      </c>
      <c r="T5761" t="s">
        <v>7088</v>
      </c>
      <c r="U5761">
        <v>648.79999999999995</v>
      </c>
      <c r="V5761" s="3">
        <v>41773</v>
      </c>
    </row>
    <row r="5762" spans="1:22" x14ac:dyDescent="0.35">
      <c r="A5762" s="1">
        <v>42293.901643518519</v>
      </c>
      <c r="B5762" s="2">
        <v>1.6203703703703703E-4</v>
      </c>
      <c r="C5762" t="s">
        <v>6693</v>
      </c>
      <c r="D5762" t="s">
        <v>6396</v>
      </c>
      <c r="E5762" t="s">
        <v>6397</v>
      </c>
      <c r="F5762" t="s">
        <v>9099</v>
      </c>
      <c r="G5762">
        <v>1882484</v>
      </c>
      <c r="H5762" t="s">
        <v>26</v>
      </c>
      <c r="I5762" t="s">
        <v>9100</v>
      </c>
      <c r="J5762" t="str">
        <f>"9780730319658"</f>
        <v>9780730319658</v>
      </c>
      <c r="K5762" t="s">
        <v>63</v>
      </c>
      <c r="L5762">
        <v>1</v>
      </c>
      <c r="O5762" t="s">
        <v>28</v>
      </c>
      <c r="P5762" t="s">
        <v>29</v>
      </c>
      <c r="Q5762" s="1">
        <v>42293.901643518519</v>
      </c>
      <c r="R5762">
        <v>7</v>
      </c>
      <c r="S5762" t="s">
        <v>6400</v>
      </c>
      <c r="T5762" t="s">
        <v>9101</v>
      </c>
      <c r="U5762">
        <v>372.35</v>
      </c>
      <c r="V5762" s="3">
        <v>41974</v>
      </c>
    </row>
    <row r="5763" spans="1:22" x14ac:dyDescent="0.35">
      <c r="A5763" s="1">
        <v>42293.901643518519</v>
      </c>
      <c r="B5763" s="2">
        <v>0</v>
      </c>
      <c r="C5763" t="s">
        <v>6693</v>
      </c>
      <c r="D5763" t="s">
        <v>6396</v>
      </c>
      <c r="E5763" t="s">
        <v>6397</v>
      </c>
      <c r="F5763" t="s">
        <v>9099</v>
      </c>
      <c r="G5763">
        <v>1882484</v>
      </c>
      <c r="H5763" t="s">
        <v>26</v>
      </c>
      <c r="I5763" t="s">
        <v>9100</v>
      </c>
      <c r="J5763" t="str">
        <f>"9780730319658"</f>
        <v>9780730319658</v>
      </c>
      <c r="L5763">
        <v>0</v>
      </c>
      <c r="O5763" t="s">
        <v>30</v>
      </c>
      <c r="P5763" t="s">
        <v>29</v>
      </c>
      <c r="Q5763" s="1">
        <v>42293.901643518519</v>
      </c>
      <c r="R5763">
        <v>7</v>
      </c>
      <c r="S5763" t="s">
        <v>6400</v>
      </c>
      <c r="T5763" t="s">
        <v>9101</v>
      </c>
      <c r="U5763">
        <v>372.35</v>
      </c>
      <c r="V5763" s="3">
        <v>41974</v>
      </c>
    </row>
    <row r="5764" spans="1:22" x14ac:dyDescent="0.35">
      <c r="A5764" s="1">
        <v>42293.901550925926</v>
      </c>
      <c r="B5764" s="2">
        <v>9.2592592592592588E-5</v>
      </c>
      <c r="C5764" t="s">
        <v>6693</v>
      </c>
      <c r="D5764" t="s">
        <v>6396</v>
      </c>
      <c r="E5764" t="s">
        <v>6397</v>
      </c>
      <c r="F5764" t="s">
        <v>9099</v>
      </c>
      <c r="G5764">
        <v>1882484</v>
      </c>
      <c r="H5764" t="s">
        <v>26</v>
      </c>
      <c r="I5764" t="s">
        <v>9100</v>
      </c>
      <c r="J5764" t="str">
        <f>"9780730319658"</f>
        <v>9780730319658</v>
      </c>
      <c r="K5764" t="s">
        <v>786</v>
      </c>
      <c r="L5764">
        <v>3</v>
      </c>
      <c r="O5764" t="s">
        <v>30</v>
      </c>
      <c r="P5764" t="s">
        <v>50</v>
      </c>
      <c r="S5764" t="s">
        <v>6400</v>
      </c>
      <c r="T5764" t="s">
        <v>9101</v>
      </c>
      <c r="U5764">
        <v>372.35</v>
      </c>
      <c r="V5764" s="3">
        <v>41974</v>
      </c>
    </row>
    <row r="5765" spans="1:22" x14ac:dyDescent="0.35">
      <c r="A5765" s="1">
        <v>42293.899895833332</v>
      </c>
      <c r="B5765" s="2">
        <v>0</v>
      </c>
      <c r="C5765" t="s">
        <v>6693</v>
      </c>
      <c r="D5765" t="s">
        <v>6396</v>
      </c>
      <c r="E5765" t="s">
        <v>6397</v>
      </c>
      <c r="F5765" t="s">
        <v>9102</v>
      </c>
      <c r="G5765">
        <v>1895134</v>
      </c>
      <c r="H5765" t="s">
        <v>26</v>
      </c>
      <c r="I5765" t="s">
        <v>276</v>
      </c>
      <c r="J5765" t="str">
        <f>"9781118903742"</f>
        <v>9781118903742</v>
      </c>
      <c r="L5765">
        <v>0</v>
      </c>
      <c r="O5765" t="s">
        <v>28</v>
      </c>
      <c r="P5765" t="s">
        <v>29</v>
      </c>
      <c r="Q5765" s="1">
        <v>42293.899895833332</v>
      </c>
      <c r="R5765">
        <v>7</v>
      </c>
      <c r="S5765" t="s">
        <v>6400</v>
      </c>
      <c r="T5765" t="s">
        <v>9103</v>
      </c>
      <c r="U5765">
        <v>6.74</v>
      </c>
      <c r="V5765" s="3">
        <v>42053</v>
      </c>
    </row>
    <row r="5766" spans="1:22" x14ac:dyDescent="0.35">
      <c r="A5766" s="1">
        <v>42293.899895833332</v>
      </c>
      <c r="B5766" s="2">
        <v>0</v>
      </c>
      <c r="C5766" t="s">
        <v>6693</v>
      </c>
      <c r="D5766" t="s">
        <v>6396</v>
      </c>
      <c r="E5766" t="s">
        <v>6397</v>
      </c>
      <c r="F5766" t="s">
        <v>9102</v>
      </c>
      <c r="G5766">
        <v>1895134</v>
      </c>
      <c r="H5766" t="s">
        <v>26</v>
      </c>
      <c r="I5766" t="s">
        <v>276</v>
      </c>
      <c r="J5766" t="str">
        <f>"9781118903742"</f>
        <v>9781118903742</v>
      </c>
      <c r="L5766">
        <v>0</v>
      </c>
      <c r="O5766" t="s">
        <v>30</v>
      </c>
      <c r="P5766" t="s">
        <v>29</v>
      </c>
      <c r="Q5766" s="1">
        <v>42293.899895833332</v>
      </c>
      <c r="R5766">
        <v>7</v>
      </c>
      <c r="S5766" t="s">
        <v>6400</v>
      </c>
      <c r="T5766" t="s">
        <v>9103</v>
      </c>
      <c r="U5766">
        <v>6.74</v>
      </c>
      <c r="V5766" s="3">
        <v>42053</v>
      </c>
    </row>
    <row r="5767" spans="1:22" x14ac:dyDescent="0.35">
      <c r="A5767" s="1">
        <v>42293.899652777778</v>
      </c>
      <c r="B5767" s="2">
        <v>2.4305555555555552E-4</v>
      </c>
      <c r="C5767" t="s">
        <v>6693</v>
      </c>
      <c r="D5767" t="s">
        <v>6396</v>
      </c>
      <c r="E5767" t="s">
        <v>6397</v>
      </c>
      <c r="F5767" t="s">
        <v>9102</v>
      </c>
      <c r="G5767">
        <v>1895134</v>
      </c>
      <c r="H5767" t="s">
        <v>26</v>
      </c>
      <c r="I5767" t="s">
        <v>276</v>
      </c>
      <c r="J5767" t="str">
        <f>"9781118903742"</f>
        <v>9781118903742</v>
      </c>
      <c r="K5767" t="s">
        <v>73</v>
      </c>
      <c r="L5767">
        <v>3</v>
      </c>
      <c r="O5767" t="s">
        <v>30</v>
      </c>
      <c r="P5767" t="s">
        <v>50</v>
      </c>
      <c r="S5767" t="s">
        <v>6400</v>
      </c>
      <c r="T5767" t="s">
        <v>9103</v>
      </c>
      <c r="U5767">
        <v>6.74</v>
      </c>
      <c r="V5767" s="3">
        <v>42053</v>
      </c>
    </row>
    <row r="5768" spans="1:22" x14ac:dyDescent="0.35">
      <c r="A5768" s="1">
        <v>42293.89943287037</v>
      </c>
      <c r="B5768" s="2">
        <v>5.5115740740740743E-2</v>
      </c>
      <c r="C5768" t="s">
        <v>4741</v>
      </c>
      <c r="D5768" t="s">
        <v>1222</v>
      </c>
      <c r="E5768" t="s">
        <v>1223</v>
      </c>
      <c r="F5768" t="s">
        <v>3263</v>
      </c>
      <c r="G5768">
        <v>1840835</v>
      </c>
      <c r="H5768" t="s">
        <v>26</v>
      </c>
      <c r="I5768" t="s">
        <v>108</v>
      </c>
      <c r="J5768" t="str">
        <f>"9781118950166"</f>
        <v>9781118950166</v>
      </c>
      <c r="K5768" t="s">
        <v>9104</v>
      </c>
      <c r="L5768">
        <v>13</v>
      </c>
      <c r="O5768" t="s">
        <v>30</v>
      </c>
      <c r="P5768" t="s">
        <v>29</v>
      </c>
      <c r="Q5768" s="1">
        <v>42293.086006944446</v>
      </c>
      <c r="R5768">
        <v>7</v>
      </c>
      <c r="S5768" t="s">
        <v>1226</v>
      </c>
      <c r="T5768" t="s">
        <v>3264</v>
      </c>
      <c r="U5768">
        <v>338.10923789999998</v>
      </c>
      <c r="V5768" s="3">
        <v>41953</v>
      </c>
    </row>
    <row r="5769" spans="1:22" x14ac:dyDescent="0.35">
      <c r="A5769" s="1">
        <v>42293.896249999998</v>
      </c>
      <c r="B5769" s="2">
        <v>1.3888888888888889E-4</v>
      </c>
      <c r="C5769" t="s">
        <v>6693</v>
      </c>
      <c r="D5769" t="s">
        <v>6396</v>
      </c>
      <c r="E5769" t="s">
        <v>6397</v>
      </c>
      <c r="F5769" t="s">
        <v>9105</v>
      </c>
      <c r="G5769">
        <v>1760715</v>
      </c>
      <c r="H5769" t="s">
        <v>91</v>
      </c>
      <c r="I5769" t="s">
        <v>382</v>
      </c>
      <c r="J5769" t="str">
        <f>"9781462517381"</f>
        <v>9781462517381</v>
      </c>
      <c r="K5769" t="s">
        <v>63</v>
      </c>
      <c r="L5769">
        <v>1</v>
      </c>
      <c r="O5769" t="s">
        <v>28</v>
      </c>
      <c r="P5769" t="s">
        <v>47</v>
      </c>
      <c r="Q5769" s="1">
        <v>42293.896249999998</v>
      </c>
      <c r="R5769">
        <v>1</v>
      </c>
      <c r="S5769" t="s">
        <v>6400</v>
      </c>
      <c r="T5769" t="s">
        <v>9106</v>
      </c>
      <c r="U5769">
        <v>912</v>
      </c>
      <c r="V5769" s="3">
        <v>41950</v>
      </c>
    </row>
    <row r="5770" spans="1:22" x14ac:dyDescent="0.35">
      <c r="A5770" s="1">
        <v>42293.896249999998</v>
      </c>
      <c r="B5770" s="2">
        <v>0</v>
      </c>
      <c r="C5770" t="s">
        <v>6693</v>
      </c>
      <c r="D5770" t="s">
        <v>6396</v>
      </c>
      <c r="E5770" t="s">
        <v>6397</v>
      </c>
      <c r="F5770" t="s">
        <v>9105</v>
      </c>
      <c r="G5770">
        <v>1760715</v>
      </c>
      <c r="H5770" t="s">
        <v>91</v>
      </c>
      <c r="I5770" t="s">
        <v>382</v>
      </c>
      <c r="J5770" t="str">
        <f>"9781462517381"</f>
        <v>9781462517381</v>
      </c>
      <c r="L5770">
        <v>0</v>
      </c>
      <c r="O5770" t="s">
        <v>30</v>
      </c>
      <c r="P5770" t="s">
        <v>47</v>
      </c>
      <c r="Q5770" s="1">
        <v>42293.896249999998</v>
      </c>
      <c r="R5770">
        <v>1</v>
      </c>
      <c r="S5770" t="s">
        <v>6400</v>
      </c>
      <c r="T5770" t="s">
        <v>9106</v>
      </c>
      <c r="U5770">
        <v>912</v>
      </c>
      <c r="V5770" s="3">
        <v>41950</v>
      </c>
    </row>
    <row r="5771" spans="1:22" x14ac:dyDescent="0.35">
      <c r="A5771" s="1">
        <v>42293.896122685182</v>
      </c>
      <c r="B5771" s="2">
        <v>1.273148148148148E-4</v>
      </c>
      <c r="C5771" t="s">
        <v>6693</v>
      </c>
      <c r="D5771" t="s">
        <v>6396</v>
      </c>
      <c r="E5771" t="s">
        <v>6397</v>
      </c>
      <c r="F5771" t="s">
        <v>9105</v>
      </c>
      <c r="G5771">
        <v>1760715</v>
      </c>
      <c r="H5771" t="s">
        <v>91</v>
      </c>
      <c r="I5771" t="s">
        <v>382</v>
      </c>
      <c r="J5771" t="str">
        <f>"9781462517381"</f>
        <v>9781462517381</v>
      </c>
      <c r="K5771" t="s">
        <v>621</v>
      </c>
      <c r="L5771">
        <v>3</v>
      </c>
      <c r="O5771" t="s">
        <v>30</v>
      </c>
      <c r="P5771" t="s">
        <v>50</v>
      </c>
      <c r="S5771" t="s">
        <v>6400</v>
      </c>
      <c r="T5771" t="s">
        <v>9106</v>
      </c>
      <c r="U5771">
        <v>912</v>
      </c>
      <c r="V5771" s="3">
        <v>41950</v>
      </c>
    </row>
    <row r="5772" spans="1:22" x14ac:dyDescent="0.35">
      <c r="A5772" s="1">
        <v>42293.895636574074</v>
      </c>
      <c r="B5772" s="2">
        <v>1.273148148148148E-4</v>
      </c>
      <c r="C5772" t="s">
        <v>6693</v>
      </c>
      <c r="D5772" t="s">
        <v>6396</v>
      </c>
      <c r="E5772" t="s">
        <v>6397</v>
      </c>
      <c r="F5772" t="s">
        <v>9107</v>
      </c>
      <c r="G5772">
        <v>1780724</v>
      </c>
      <c r="H5772" t="s">
        <v>26</v>
      </c>
      <c r="I5772" t="s">
        <v>9100</v>
      </c>
      <c r="J5772" t="str">
        <f>"9781118710166"</f>
        <v>9781118710166</v>
      </c>
      <c r="K5772" t="s">
        <v>63</v>
      </c>
      <c r="L5772">
        <v>1</v>
      </c>
      <c r="O5772" t="s">
        <v>28</v>
      </c>
      <c r="P5772" t="s">
        <v>29</v>
      </c>
      <c r="Q5772" s="1">
        <v>42293.895636574074</v>
      </c>
      <c r="R5772">
        <v>7</v>
      </c>
      <c r="S5772" t="s">
        <v>6400</v>
      </c>
      <c r="T5772" t="s">
        <v>9108</v>
      </c>
      <c r="U5772" t="s">
        <v>9109</v>
      </c>
      <c r="V5772" s="3">
        <v>41887</v>
      </c>
    </row>
    <row r="5773" spans="1:22" x14ac:dyDescent="0.35">
      <c r="A5773" s="1">
        <v>42293.895636574074</v>
      </c>
      <c r="B5773" s="2">
        <v>0</v>
      </c>
      <c r="C5773" t="s">
        <v>6693</v>
      </c>
      <c r="D5773" t="s">
        <v>6396</v>
      </c>
      <c r="E5773" t="s">
        <v>6397</v>
      </c>
      <c r="F5773" t="s">
        <v>9107</v>
      </c>
      <c r="G5773">
        <v>1780724</v>
      </c>
      <c r="H5773" t="s">
        <v>26</v>
      </c>
      <c r="I5773" t="s">
        <v>9100</v>
      </c>
      <c r="J5773" t="str">
        <f>"9781118710166"</f>
        <v>9781118710166</v>
      </c>
      <c r="L5773">
        <v>0</v>
      </c>
      <c r="O5773" t="s">
        <v>30</v>
      </c>
      <c r="P5773" t="s">
        <v>29</v>
      </c>
      <c r="Q5773" s="1">
        <v>42293.895636574074</v>
      </c>
      <c r="R5773">
        <v>7</v>
      </c>
      <c r="S5773" t="s">
        <v>6400</v>
      </c>
      <c r="T5773" t="s">
        <v>9108</v>
      </c>
      <c r="U5773" t="s">
        <v>9109</v>
      </c>
      <c r="V5773" s="3">
        <v>41887</v>
      </c>
    </row>
    <row r="5774" spans="1:22" x14ac:dyDescent="0.35">
      <c r="A5774" s="1">
        <v>42293.895486111112</v>
      </c>
      <c r="B5774" s="2">
        <v>1.5046296296296297E-4</v>
      </c>
      <c r="C5774" t="s">
        <v>6693</v>
      </c>
      <c r="D5774" t="s">
        <v>6396</v>
      </c>
      <c r="E5774" t="s">
        <v>6397</v>
      </c>
      <c r="F5774" t="s">
        <v>9107</v>
      </c>
      <c r="G5774">
        <v>1780724</v>
      </c>
      <c r="H5774" t="s">
        <v>26</v>
      </c>
      <c r="I5774" t="s">
        <v>9100</v>
      </c>
      <c r="J5774" t="str">
        <f>"9781118710166"</f>
        <v>9781118710166</v>
      </c>
      <c r="K5774" t="s">
        <v>2787</v>
      </c>
      <c r="L5774">
        <v>3</v>
      </c>
      <c r="O5774" t="s">
        <v>30</v>
      </c>
      <c r="P5774" t="s">
        <v>50</v>
      </c>
      <c r="S5774" t="s">
        <v>6400</v>
      </c>
      <c r="T5774" t="s">
        <v>9108</v>
      </c>
      <c r="U5774" t="s">
        <v>9109</v>
      </c>
      <c r="V5774" s="3">
        <v>41887</v>
      </c>
    </row>
    <row r="5775" spans="1:22" x14ac:dyDescent="0.35">
      <c r="A5775" s="1">
        <v>42293.755011574074</v>
      </c>
      <c r="B5775" s="2">
        <v>3.7615740740740739E-3</v>
      </c>
      <c r="C5775" t="s">
        <v>9110</v>
      </c>
      <c r="D5775" t="s">
        <v>23</v>
      </c>
      <c r="E5775" t="s">
        <v>24</v>
      </c>
      <c r="F5775" t="s">
        <v>246</v>
      </c>
      <c r="G5775">
        <v>1682559</v>
      </c>
      <c r="H5775" t="s">
        <v>91</v>
      </c>
      <c r="I5775" t="s">
        <v>247</v>
      </c>
      <c r="J5775" t="str">
        <f>"9781462515431"</f>
        <v>9781462515431</v>
      </c>
      <c r="K5775" t="s">
        <v>9111</v>
      </c>
      <c r="L5775">
        <v>36</v>
      </c>
      <c r="O5775" t="s">
        <v>30</v>
      </c>
      <c r="P5775" t="s">
        <v>42</v>
      </c>
      <c r="S5775" t="s">
        <v>31</v>
      </c>
      <c r="T5775" t="s">
        <v>249</v>
      </c>
      <c r="U5775">
        <v>616.89</v>
      </c>
      <c r="V5775" s="3">
        <v>41769</v>
      </c>
    </row>
    <row r="5776" spans="1:22" x14ac:dyDescent="0.35">
      <c r="A5776" s="1">
        <v>42293.742465277777</v>
      </c>
      <c r="B5776" s="2">
        <v>7.7546296296296304E-4</v>
      </c>
      <c r="C5776" t="s">
        <v>145</v>
      </c>
      <c r="D5776" t="s">
        <v>146</v>
      </c>
      <c r="E5776" t="s">
        <v>147</v>
      </c>
      <c r="F5776" t="s">
        <v>6325</v>
      </c>
      <c r="G5776">
        <v>871519</v>
      </c>
      <c r="H5776" t="s">
        <v>26</v>
      </c>
      <c r="I5776" t="s">
        <v>1532</v>
      </c>
      <c r="J5776" t="str">
        <f>"9781444398359"</f>
        <v>9781444398359</v>
      </c>
      <c r="K5776" t="s">
        <v>9112</v>
      </c>
      <c r="L5776">
        <v>14</v>
      </c>
      <c r="O5776" t="s">
        <v>30</v>
      </c>
      <c r="P5776" t="s">
        <v>42</v>
      </c>
      <c r="S5776" t="s">
        <v>1297</v>
      </c>
      <c r="T5776" t="s">
        <v>6327</v>
      </c>
      <c r="U5776">
        <v>523.20000000000005</v>
      </c>
      <c r="V5776" s="3">
        <v>40968</v>
      </c>
    </row>
    <row r="5777" spans="1:22" x14ac:dyDescent="0.35">
      <c r="A5777" s="1">
        <v>42293.679490740738</v>
      </c>
      <c r="B5777" s="2">
        <v>3.4722222222222222E-5</v>
      </c>
      <c r="C5777" t="s">
        <v>8230</v>
      </c>
      <c r="D5777" t="s">
        <v>261</v>
      </c>
      <c r="E5777" t="s">
        <v>262</v>
      </c>
      <c r="F5777" t="s">
        <v>6160</v>
      </c>
      <c r="G5777">
        <v>1584076</v>
      </c>
      <c r="H5777" t="s">
        <v>26</v>
      </c>
      <c r="I5777" t="s">
        <v>172</v>
      </c>
      <c r="J5777" t="str">
        <f>"9780745679679"</f>
        <v>9780745679679</v>
      </c>
      <c r="K5777" t="s">
        <v>9113</v>
      </c>
      <c r="L5777">
        <v>5</v>
      </c>
      <c r="O5777" t="s">
        <v>30</v>
      </c>
      <c r="P5777" t="s">
        <v>47</v>
      </c>
      <c r="Q5777" s="1">
        <v>42293.679490740738</v>
      </c>
      <c r="R5777">
        <v>1</v>
      </c>
      <c r="S5777" t="s">
        <v>264</v>
      </c>
      <c r="T5777" t="s">
        <v>6162</v>
      </c>
      <c r="U5777">
        <v>945.05</v>
      </c>
      <c r="V5777" s="3">
        <v>41626</v>
      </c>
    </row>
    <row r="5778" spans="1:22" x14ac:dyDescent="0.35">
      <c r="A5778" s="1">
        <v>42293.668981481482</v>
      </c>
      <c r="B5778" s="2">
        <v>1.050925925925926E-2</v>
      </c>
      <c r="C5778" t="s">
        <v>8230</v>
      </c>
      <c r="D5778" t="s">
        <v>261</v>
      </c>
      <c r="E5778" t="s">
        <v>262</v>
      </c>
      <c r="F5778" t="s">
        <v>6160</v>
      </c>
      <c r="G5778">
        <v>1584076</v>
      </c>
      <c r="H5778" t="s">
        <v>26</v>
      </c>
      <c r="I5778" t="s">
        <v>172</v>
      </c>
      <c r="J5778" t="str">
        <f>"9780745679679"</f>
        <v>9780745679679</v>
      </c>
      <c r="K5778" t="s">
        <v>33</v>
      </c>
      <c r="L5778">
        <v>3</v>
      </c>
      <c r="O5778" t="s">
        <v>30</v>
      </c>
      <c r="P5778" t="s">
        <v>50</v>
      </c>
      <c r="S5778" t="s">
        <v>264</v>
      </c>
      <c r="T5778" t="s">
        <v>6162</v>
      </c>
      <c r="U5778">
        <v>945.05</v>
      </c>
      <c r="V5778" s="3">
        <v>41626</v>
      </c>
    </row>
    <row r="5779" spans="1:22" x14ac:dyDescent="0.35">
      <c r="A5779" s="1">
        <v>42293.634467592594</v>
      </c>
      <c r="B5779" s="2">
        <v>4.8611111111111104E-4</v>
      </c>
      <c r="C5779" t="s">
        <v>9114</v>
      </c>
      <c r="D5779" t="s">
        <v>261</v>
      </c>
      <c r="E5779" t="s">
        <v>262</v>
      </c>
      <c r="F5779" t="s">
        <v>6187</v>
      </c>
      <c r="G5779">
        <v>1663554</v>
      </c>
      <c r="H5779" t="s">
        <v>613</v>
      </c>
      <c r="I5779" t="s">
        <v>172</v>
      </c>
      <c r="J5779" t="str">
        <f>"9781469615585"</f>
        <v>9781469615585</v>
      </c>
      <c r="K5779" t="s">
        <v>9115</v>
      </c>
      <c r="L5779">
        <v>14</v>
      </c>
      <c r="O5779" t="s">
        <v>30</v>
      </c>
      <c r="P5779" t="s">
        <v>50</v>
      </c>
      <c r="S5779" t="s">
        <v>264</v>
      </c>
      <c r="U5779">
        <v>974.71</v>
      </c>
      <c r="V5779" s="3">
        <v>41900</v>
      </c>
    </row>
    <row r="5780" spans="1:22" x14ac:dyDescent="0.35">
      <c r="A5780" s="1">
        <v>42293.631550925929</v>
      </c>
      <c r="B5780" s="2">
        <v>3.2407407407407406E-4</v>
      </c>
      <c r="C5780" t="s">
        <v>9116</v>
      </c>
      <c r="D5780" t="s">
        <v>35</v>
      </c>
      <c r="E5780" t="s">
        <v>36</v>
      </c>
      <c r="F5780" t="s">
        <v>7258</v>
      </c>
      <c r="G5780">
        <v>1847931</v>
      </c>
      <c r="H5780" t="s">
        <v>26</v>
      </c>
      <c r="I5780" t="s">
        <v>247</v>
      </c>
      <c r="J5780" t="str">
        <f>"9781118850978"</f>
        <v>9781118850978</v>
      </c>
      <c r="K5780" t="s">
        <v>463</v>
      </c>
      <c r="L5780">
        <v>9</v>
      </c>
      <c r="O5780" t="s">
        <v>30</v>
      </c>
      <c r="P5780" t="s">
        <v>50</v>
      </c>
      <c r="S5780" t="s">
        <v>40</v>
      </c>
      <c r="T5780" t="s">
        <v>7260</v>
      </c>
      <c r="U5780">
        <v>616.5</v>
      </c>
      <c r="V5780" s="3">
        <v>41954</v>
      </c>
    </row>
    <row r="5781" spans="1:22" x14ac:dyDescent="0.35">
      <c r="A5781" s="1">
        <v>42293.60050925926</v>
      </c>
      <c r="B5781" s="2">
        <v>7.0601851851851847E-4</v>
      </c>
      <c r="C5781" t="s">
        <v>8230</v>
      </c>
      <c r="D5781" t="s">
        <v>261</v>
      </c>
      <c r="E5781" t="s">
        <v>262</v>
      </c>
      <c r="F5781" t="s">
        <v>6160</v>
      </c>
      <c r="G5781">
        <v>1584076</v>
      </c>
      <c r="H5781" t="s">
        <v>26</v>
      </c>
      <c r="I5781" t="s">
        <v>172</v>
      </c>
      <c r="J5781" t="str">
        <f>"9780745679679"</f>
        <v>9780745679679</v>
      </c>
      <c r="K5781" t="s">
        <v>9117</v>
      </c>
      <c r="L5781">
        <v>21</v>
      </c>
      <c r="O5781" t="s">
        <v>30</v>
      </c>
      <c r="P5781" t="s">
        <v>50</v>
      </c>
      <c r="S5781" t="s">
        <v>264</v>
      </c>
      <c r="T5781" t="s">
        <v>6162</v>
      </c>
      <c r="U5781">
        <v>945.05</v>
      </c>
      <c r="V5781" s="3">
        <v>41626</v>
      </c>
    </row>
    <row r="5782" spans="1:22" x14ac:dyDescent="0.35">
      <c r="A5782" s="1">
        <v>42293.553414351853</v>
      </c>
      <c r="B5782" s="2">
        <v>1.25E-3</v>
      </c>
      <c r="C5782" t="s">
        <v>9118</v>
      </c>
      <c r="D5782" t="s">
        <v>35</v>
      </c>
      <c r="E5782" t="s">
        <v>36</v>
      </c>
      <c r="F5782" t="s">
        <v>1082</v>
      </c>
      <c r="G5782">
        <v>1746990</v>
      </c>
      <c r="H5782" t="s">
        <v>45</v>
      </c>
      <c r="I5782" t="s">
        <v>97</v>
      </c>
      <c r="J5782" t="str">
        <f>"9781472432100"</f>
        <v>9781472432100</v>
      </c>
      <c r="K5782" t="s">
        <v>9119</v>
      </c>
      <c r="L5782">
        <v>9</v>
      </c>
      <c r="O5782" t="s">
        <v>30</v>
      </c>
      <c r="P5782" t="s">
        <v>47</v>
      </c>
      <c r="Q5782" s="1">
        <v>42293.553414351853</v>
      </c>
      <c r="R5782">
        <v>1</v>
      </c>
      <c r="S5782" t="s">
        <v>40</v>
      </c>
      <c r="T5782" t="s">
        <v>1084</v>
      </c>
      <c r="U5782" t="s">
        <v>1085</v>
      </c>
      <c r="V5782" s="3">
        <v>41910</v>
      </c>
    </row>
    <row r="5783" spans="1:22" x14ac:dyDescent="0.35">
      <c r="A5783" s="1">
        <v>42293.552627314813</v>
      </c>
      <c r="B5783" s="2">
        <v>7.8703703703703705E-4</v>
      </c>
      <c r="C5783" t="s">
        <v>9118</v>
      </c>
      <c r="D5783" t="s">
        <v>35</v>
      </c>
      <c r="E5783" t="s">
        <v>36</v>
      </c>
      <c r="F5783" t="s">
        <v>1082</v>
      </c>
      <c r="G5783">
        <v>1746990</v>
      </c>
      <c r="H5783" t="s">
        <v>45</v>
      </c>
      <c r="I5783" t="s">
        <v>97</v>
      </c>
      <c r="J5783" t="str">
        <f>"9781472432100"</f>
        <v>9781472432100</v>
      </c>
      <c r="K5783" t="s">
        <v>9120</v>
      </c>
      <c r="L5783">
        <v>21</v>
      </c>
      <c r="O5783" t="s">
        <v>30</v>
      </c>
      <c r="P5783" t="s">
        <v>50</v>
      </c>
      <c r="S5783" t="s">
        <v>40</v>
      </c>
      <c r="T5783" t="s">
        <v>1084</v>
      </c>
      <c r="U5783" t="s">
        <v>1085</v>
      </c>
      <c r="V5783" s="3">
        <v>41910</v>
      </c>
    </row>
    <row r="5784" spans="1:22" x14ac:dyDescent="0.35">
      <c r="A5784" s="1">
        <v>42293.526446759257</v>
      </c>
      <c r="B5784" s="2">
        <v>4.3981481481481481E-4</v>
      </c>
      <c r="C5784" t="s">
        <v>4129</v>
      </c>
      <c r="D5784" t="s">
        <v>23</v>
      </c>
      <c r="E5784" t="s">
        <v>24</v>
      </c>
      <c r="F5784" t="s">
        <v>4463</v>
      </c>
      <c r="G5784">
        <v>1778696</v>
      </c>
      <c r="H5784" t="s">
        <v>84</v>
      </c>
      <c r="I5784" t="s">
        <v>172</v>
      </c>
      <c r="J5784" t="str">
        <f>"9780520959576"</f>
        <v>9780520959576</v>
      </c>
      <c r="K5784" t="s">
        <v>9121</v>
      </c>
      <c r="L5784">
        <v>9</v>
      </c>
      <c r="O5784" t="s">
        <v>30</v>
      </c>
      <c r="P5784" t="s">
        <v>50</v>
      </c>
      <c r="S5784" t="s">
        <v>31</v>
      </c>
      <c r="T5784" t="s">
        <v>4465</v>
      </c>
      <c r="U5784">
        <v>973.7</v>
      </c>
      <c r="V5784" s="3">
        <v>42070</v>
      </c>
    </row>
    <row r="5785" spans="1:22" x14ac:dyDescent="0.35">
      <c r="A5785" s="1">
        <v>42293.511365740742</v>
      </c>
      <c r="B5785" s="2">
        <v>3.9004629629629632E-3</v>
      </c>
      <c r="C5785" t="s">
        <v>4205</v>
      </c>
      <c r="D5785" t="s">
        <v>597</v>
      </c>
      <c r="E5785" t="s">
        <v>598</v>
      </c>
      <c r="F5785" t="s">
        <v>111</v>
      </c>
      <c r="G5785">
        <v>693176</v>
      </c>
      <c r="H5785" t="s">
        <v>26</v>
      </c>
      <c r="I5785" t="s">
        <v>112</v>
      </c>
      <c r="J5785" t="str">
        <f>"9781118017746"</f>
        <v>9781118017746</v>
      </c>
      <c r="K5785" t="s">
        <v>9122</v>
      </c>
      <c r="L5785">
        <v>25</v>
      </c>
      <c r="O5785" t="s">
        <v>30</v>
      </c>
      <c r="P5785" t="s">
        <v>42</v>
      </c>
      <c r="S5785" t="s">
        <v>600</v>
      </c>
      <c r="T5785" t="s">
        <v>114</v>
      </c>
      <c r="U5785" t="s">
        <v>115</v>
      </c>
      <c r="V5785" s="3">
        <v>40835</v>
      </c>
    </row>
    <row r="5786" spans="1:22" x14ac:dyDescent="0.35">
      <c r="A5786" s="1">
        <v>42293.254386574074</v>
      </c>
      <c r="B5786" s="2">
        <v>1.1574074074074073E-4</v>
      </c>
      <c r="C5786" t="s">
        <v>8241</v>
      </c>
      <c r="D5786" t="s">
        <v>35</v>
      </c>
      <c r="E5786" t="s">
        <v>36</v>
      </c>
      <c r="F5786" t="s">
        <v>4770</v>
      </c>
      <c r="G5786">
        <v>2038643</v>
      </c>
      <c r="H5786" t="s">
        <v>45</v>
      </c>
      <c r="I5786" t="s">
        <v>120</v>
      </c>
      <c r="J5786" t="str">
        <f>"9781472427625"</f>
        <v>9781472427625</v>
      </c>
      <c r="K5786" t="s">
        <v>9123</v>
      </c>
      <c r="L5786">
        <v>8</v>
      </c>
      <c r="O5786" t="s">
        <v>30</v>
      </c>
      <c r="P5786" t="s">
        <v>47</v>
      </c>
      <c r="Q5786" s="1">
        <v>42293.254386574074</v>
      </c>
      <c r="R5786">
        <v>1</v>
      </c>
      <c r="S5786" t="s">
        <v>40</v>
      </c>
      <c r="T5786">
        <v>2013049432</v>
      </c>
      <c r="U5786">
        <v>306.46100000000001</v>
      </c>
      <c r="V5786" s="3">
        <v>42152</v>
      </c>
    </row>
    <row r="5787" spans="1:22" x14ac:dyDescent="0.35">
      <c r="A5787" s="1">
        <v>42293.242418981485</v>
      </c>
      <c r="B5787" s="2">
        <v>1.1967592592592592E-2</v>
      </c>
      <c r="C5787" t="s">
        <v>8241</v>
      </c>
      <c r="D5787" t="s">
        <v>35</v>
      </c>
      <c r="E5787" t="s">
        <v>36</v>
      </c>
      <c r="F5787" t="s">
        <v>4770</v>
      </c>
      <c r="G5787">
        <v>2038643</v>
      </c>
      <c r="H5787" t="s">
        <v>45</v>
      </c>
      <c r="I5787" t="s">
        <v>120</v>
      </c>
      <c r="J5787" t="str">
        <f>"9781472427625"</f>
        <v>9781472427625</v>
      </c>
      <c r="K5787" t="s">
        <v>33</v>
      </c>
      <c r="L5787">
        <v>3</v>
      </c>
      <c r="O5787" t="s">
        <v>30</v>
      </c>
      <c r="P5787" t="s">
        <v>50</v>
      </c>
      <c r="S5787" t="s">
        <v>40</v>
      </c>
      <c r="T5787">
        <v>2013049432</v>
      </c>
      <c r="U5787">
        <v>306.46100000000001</v>
      </c>
      <c r="V5787" s="3">
        <v>42152</v>
      </c>
    </row>
    <row r="5788" spans="1:22" x14ac:dyDescent="0.35">
      <c r="A5788" s="1">
        <v>42293.086006944446</v>
      </c>
      <c r="B5788" s="2">
        <v>6.3518518518518516E-2</v>
      </c>
      <c r="C5788" t="s">
        <v>4741</v>
      </c>
      <c r="D5788" t="s">
        <v>1222</v>
      </c>
      <c r="E5788" t="s">
        <v>1223</v>
      </c>
      <c r="F5788" t="s">
        <v>3263</v>
      </c>
      <c r="G5788">
        <v>1840835</v>
      </c>
      <c r="H5788" t="s">
        <v>26</v>
      </c>
      <c r="I5788" t="s">
        <v>108</v>
      </c>
      <c r="J5788" t="str">
        <f>"9781118950166"</f>
        <v>9781118950166</v>
      </c>
      <c r="K5788" t="s">
        <v>9124</v>
      </c>
      <c r="L5788">
        <v>42</v>
      </c>
      <c r="O5788" t="s">
        <v>30</v>
      </c>
      <c r="P5788" t="s">
        <v>29</v>
      </c>
      <c r="Q5788" s="1">
        <v>42293.086006944446</v>
      </c>
      <c r="R5788">
        <v>7</v>
      </c>
      <c r="S5788" t="s">
        <v>1226</v>
      </c>
      <c r="T5788" t="s">
        <v>3264</v>
      </c>
      <c r="U5788">
        <v>338.10923789999998</v>
      </c>
      <c r="V5788" s="3">
        <v>41953</v>
      </c>
    </row>
    <row r="5789" spans="1:22" x14ac:dyDescent="0.35">
      <c r="A5789" s="1">
        <v>42293.085821759261</v>
      </c>
      <c r="B5789" s="2">
        <v>0</v>
      </c>
      <c r="C5789" t="s">
        <v>6693</v>
      </c>
      <c r="D5789" t="s">
        <v>6396</v>
      </c>
      <c r="E5789" t="s">
        <v>6397</v>
      </c>
      <c r="F5789" t="s">
        <v>3925</v>
      </c>
      <c r="G5789">
        <v>3057792</v>
      </c>
      <c r="H5789" t="s">
        <v>26</v>
      </c>
      <c r="I5789" t="s">
        <v>3926</v>
      </c>
      <c r="J5789" t="str">
        <f>"9780470466223"</f>
        <v>9780470466223</v>
      </c>
      <c r="L5789">
        <v>0</v>
      </c>
      <c r="O5789" t="s">
        <v>28</v>
      </c>
      <c r="P5789" t="s">
        <v>29</v>
      </c>
      <c r="Q5789" s="1">
        <v>42293.085821759261</v>
      </c>
      <c r="R5789">
        <v>7</v>
      </c>
      <c r="S5789" t="s">
        <v>6400</v>
      </c>
      <c r="T5789" t="s">
        <v>3928</v>
      </c>
      <c r="U5789" t="s">
        <v>3929</v>
      </c>
      <c r="V5789" s="3">
        <v>39762</v>
      </c>
    </row>
    <row r="5790" spans="1:22" x14ac:dyDescent="0.35">
      <c r="A5790" s="1">
        <v>42293.085821759261</v>
      </c>
      <c r="B5790" s="2">
        <v>0</v>
      </c>
      <c r="C5790" t="s">
        <v>6693</v>
      </c>
      <c r="D5790" t="s">
        <v>6396</v>
      </c>
      <c r="E5790" t="s">
        <v>6397</v>
      </c>
      <c r="F5790" t="s">
        <v>3925</v>
      </c>
      <c r="G5790">
        <v>3057792</v>
      </c>
      <c r="H5790" t="s">
        <v>26</v>
      </c>
      <c r="I5790" t="s">
        <v>3926</v>
      </c>
      <c r="J5790" t="str">
        <f>"9780470466223"</f>
        <v>9780470466223</v>
      </c>
      <c r="L5790">
        <v>0</v>
      </c>
      <c r="O5790" t="s">
        <v>30</v>
      </c>
      <c r="P5790" t="s">
        <v>29</v>
      </c>
      <c r="Q5790" s="1">
        <v>42293.085821759261</v>
      </c>
      <c r="R5790">
        <v>7</v>
      </c>
      <c r="S5790" t="s">
        <v>6400</v>
      </c>
      <c r="T5790" t="s">
        <v>3928</v>
      </c>
      <c r="U5790" t="s">
        <v>3929</v>
      </c>
      <c r="V5790" s="3">
        <v>39762</v>
      </c>
    </row>
    <row r="5791" spans="1:22" x14ac:dyDescent="0.35">
      <c r="A5791" s="1">
        <v>42293.084143518521</v>
      </c>
      <c r="B5791" s="2">
        <v>0</v>
      </c>
      <c r="C5791" t="s">
        <v>6693</v>
      </c>
      <c r="D5791" t="s">
        <v>6396</v>
      </c>
      <c r="E5791" t="s">
        <v>6397</v>
      </c>
      <c r="F5791" t="s">
        <v>9125</v>
      </c>
      <c r="G5791">
        <v>1895721</v>
      </c>
      <c r="H5791" t="s">
        <v>26</v>
      </c>
      <c r="I5791" t="s">
        <v>297</v>
      </c>
      <c r="J5791" t="str">
        <f>"9781118898833"</f>
        <v>9781118898833</v>
      </c>
      <c r="L5791">
        <v>0</v>
      </c>
      <c r="O5791" t="s">
        <v>28</v>
      </c>
      <c r="P5791" t="s">
        <v>29</v>
      </c>
      <c r="Q5791" s="1">
        <v>42293.084143518521</v>
      </c>
      <c r="R5791">
        <v>7</v>
      </c>
      <c r="S5791" t="s">
        <v>6400</v>
      </c>
      <c r="T5791" t="s">
        <v>9126</v>
      </c>
      <c r="U5791">
        <v>519.20000000000005</v>
      </c>
      <c r="V5791" s="3">
        <v>42002</v>
      </c>
    </row>
    <row r="5792" spans="1:22" x14ac:dyDescent="0.35">
      <c r="A5792" s="1">
        <v>42293.084143518521</v>
      </c>
      <c r="B5792" s="2">
        <v>0</v>
      </c>
      <c r="C5792" t="s">
        <v>6693</v>
      </c>
      <c r="D5792" t="s">
        <v>6396</v>
      </c>
      <c r="E5792" t="s">
        <v>6397</v>
      </c>
      <c r="F5792" t="s">
        <v>9125</v>
      </c>
      <c r="G5792">
        <v>1895721</v>
      </c>
      <c r="H5792" t="s">
        <v>26</v>
      </c>
      <c r="I5792" t="s">
        <v>297</v>
      </c>
      <c r="J5792" t="str">
        <f>"9781118898833"</f>
        <v>9781118898833</v>
      </c>
      <c r="L5792">
        <v>0</v>
      </c>
      <c r="O5792" t="s">
        <v>30</v>
      </c>
      <c r="P5792" t="s">
        <v>29</v>
      </c>
      <c r="Q5792" s="1">
        <v>42293.084143518521</v>
      </c>
      <c r="R5792">
        <v>7</v>
      </c>
      <c r="S5792" t="s">
        <v>6400</v>
      </c>
      <c r="T5792" t="s">
        <v>9126</v>
      </c>
      <c r="U5792">
        <v>519.20000000000005</v>
      </c>
      <c r="V5792" s="3">
        <v>42002</v>
      </c>
    </row>
    <row r="5793" spans="1:22" x14ac:dyDescent="0.35">
      <c r="A5793" s="1">
        <v>42293.084004629629</v>
      </c>
      <c r="B5793" s="2">
        <v>1.3888888888888889E-4</v>
      </c>
      <c r="C5793" t="s">
        <v>6693</v>
      </c>
      <c r="D5793" t="s">
        <v>6396</v>
      </c>
      <c r="E5793" t="s">
        <v>6397</v>
      </c>
      <c r="F5793" t="s">
        <v>9125</v>
      </c>
      <c r="G5793">
        <v>1895721</v>
      </c>
      <c r="H5793" t="s">
        <v>26</v>
      </c>
      <c r="I5793" t="s">
        <v>297</v>
      </c>
      <c r="J5793" t="str">
        <f>"9781118898833"</f>
        <v>9781118898833</v>
      </c>
      <c r="K5793" t="s">
        <v>33</v>
      </c>
      <c r="L5793">
        <v>3</v>
      </c>
      <c r="O5793" t="s">
        <v>30</v>
      </c>
      <c r="P5793" t="s">
        <v>50</v>
      </c>
      <c r="S5793" t="s">
        <v>6400</v>
      </c>
      <c r="T5793" t="s">
        <v>9126</v>
      </c>
      <c r="U5793">
        <v>519.20000000000005</v>
      </c>
      <c r="V5793" s="3">
        <v>42002</v>
      </c>
    </row>
    <row r="5794" spans="1:22" x14ac:dyDescent="0.35">
      <c r="A5794" s="1">
        <v>42293.082962962966</v>
      </c>
      <c r="B5794" s="2">
        <v>0</v>
      </c>
      <c r="C5794" t="s">
        <v>6693</v>
      </c>
      <c r="D5794" t="s">
        <v>6396</v>
      </c>
      <c r="E5794" t="s">
        <v>6397</v>
      </c>
      <c r="F5794" t="s">
        <v>6960</v>
      </c>
      <c r="G5794">
        <v>2050967</v>
      </c>
      <c r="H5794" t="s">
        <v>26</v>
      </c>
      <c r="I5794" t="s">
        <v>27</v>
      </c>
      <c r="J5794" t="str">
        <f>"9781119099215"</f>
        <v>9781119099215</v>
      </c>
      <c r="L5794">
        <v>0</v>
      </c>
      <c r="O5794" t="s">
        <v>28</v>
      </c>
      <c r="P5794" t="s">
        <v>29</v>
      </c>
      <c r="Q5794" s="1">
        <v>42293.082962962966</v>
      </c>
      <c r="R5794">
        <v>7</v>
      </c>
      <c r="S5794" t="s">
        <v>6400</v>
      </c>
      <c r="T5794" t="s">
        <v>6961</v>
      </c>
      <c r="U5794">
        <v>415</v>
      </c>
      <c r="V5794" s="3">
        <v>42178</v>
      </c>
    </row>
    <row r="5795" spans="1:22" x14ac:dyDescent="0.35">
      <c r="A5795" s="1">
        <v>42293.082962962966</v>
      </c>
      <c r="B5795" s="2">
        <v>0</v>
      </c>
      <c r="C5795" t="s">
        <v>6693</v>
      </c>
      <c r="D5795" t="s">
        <v>6396</v>
      </c>
      <c r="E5795" t="s">
        <v>6397</v>
      </c>
      <c r="F5795" t="s">
        <v>6960</v>
      </c>
      <c r="G5795">
        <v>2050967</v>
      </c>
      <c r="H5795" t="s">
        <v>26</v>
      </c>
      <c r="I5795" t="s">
        <v>27</v>
      </c>
      <c r="J5795" t="str">
        <f>"9781119099215"</f>
        <v>9781119099215</v>
      </c>
      <c r="L5795">
        <v>0</v>
      </c>
      <c r="O5795" t="s">
        <v>30</v>
      </c>
      <c r="P5795" t="s">
        <v>29</v>
      </c>
      <c r="Q5795" s="1">
        <v>42293.082962962966</v>
      </c>
      <c r="R5795">
        <v>7</v>
      </c>
      <c r="S5795" t="s">
        <v>6400</v>
      </c>
      <c r="T5795" t="s">
        <v>6961</v>
      </c>
      <c r="U5795">
        <v>415</v>
      </c>
      <c r="V5795" s="3">
        <v>42178</v>
      </c>
    </row>
    <row r="5796" spans="1:22" x14ac:dyDescent="0.35">
      <c r="A5796" s="1">
        <v>42293.082812499997</v>
      </c>
      <c r="B5796" s="2">
        <v>1.5046296296296297E-4</v>
      </c>
      <c r="C5796" t="s">
        <v>6693</v>
      </c>
      <c r="D5796" t="s">
        <v>6396</v>
      </c>
      <c r="E5796" t="s">
        <v>6397</v>
      </c>
      <c r="F5796" t="s">
        <v>6960</v>
      </c>
      <c r="G5796">
        <v>2050967</v>
      </c>
      <c r="H5796" t="s">
        <v>26</v>
      </c>
      <c r="I5796" t="s">
        <v>27</v>
      </c>
      <c r="J5796" t="str">
        <f>"9781119099215"</f>
        <v>9781119099215</v>
      </c>
      <c r="K5796" t="s">
        <v>33</v>
      </c>
      <c r="L5796">
        <v>3</v>
      </c>
      <c r="O5796" t="s">
        <v>30</v>
      </c>
      <c r="P5796" t="s">
        <v>50</v>
      </c>
      <c r="S5796" t="s">
        <v>6400</v>
      </c>
      <c r="T5796" t="s">
        <v>6961</v>
      </c>
      <c r="U5796">
        <v>415</v>
      </c>
      <c r="V5796" s="3">
        <v>42178</v>
      </c>
    </row>
    <row r="5797" spans="1:22" x14ac:dyDescent="0.35">
      <c r="A5797" s="1">
        <v>42293.082673611112</v>
      </c>
      <c r="B5797" s="2">
        <v>3.1481481481481482E-3</v>
      </c>
      <c r="C5797" t="s">
        <v>6693</v>
      </c>
      <c r="D5797" t="s">
        <v>6396</v>
      </c>
      <c r="E5797" t="s">
        <v>6397</v>
      </c>
      <c r="F5797" t="s">
        <v>3925</v>
      </c>
      <c r="G5797">
        <v>3057792</v>
      </c>
      <c r="H5797" t="s">
        <v>26</v>
      </c>
      <c r="I5797" t="s">
        <v>3926</v>
      </c>
      <c r="J5797" t="str">
        <f>"9780470466223"</f>
        <v>9780470466223</v>
      </c>
      <c r="K5797" t="s">
        <v>33</v>
      </c>
      <c r="L5797">
        <v>3</v>
      </c>
      <c r="O5797" t="s">
        <v>30</v>
      </c>
      <c r="P5797" t="s">
        <v>50</v>
      </c>
      <c r="S5797" t="s">
        <v>6400</v>
      </c>
      <c r="T5797" t="s">
        <v>3928</v>
      </c>
      <c r="U5797" t="s">
        <v>3929</v>
      </c>
      <c r="V5797" s="3">
        <v>39762</v>
      </c>
    </row>
    <row r="5798" spans="1:22" x14ac:dyDescent="0.35">
      <c r="A5798" s="1">
        <v>42293.082476851851</v>
      </c>
      <c r="B5798" s="2">
        <v>0</v>
      </c>
      <c r="C5798" t="s">
        <v>6693</v>
      </c>
      <c r="D5798" t="s">
        <v>6396</v>
      </c>
      <c r="E5798" t="s">
        <v>6397</v>
      </c>
      <c r="F5798" t="s">
        <v>9127</v>
      </c>
      <c r="G5798">
        <v>1680799</v>
      </c>
      <c r="H5798" t="s">
        <v>26</v>
      </c>
      <c r="I5798" t="s">
        <v>445</v>
      </c>
      <c r="J5798" t="str">
        <f>"9781118790380"</f>
        <v>9781118790380</v>
      </c>
      <c r="L5798">
        <v>0</v>
      </c>
      <c r="O5798" t="s">
        <v>28</v>
      </c>
      <c r="P5798" t="s">
        <v>47</v>
      </c>
      <c r="Q5798" s="1">
        <v>42293.082476851851</v>
      </c>
      <c r="R5798">
        <v>1</v>
      </c>
      <c r="S5798" t="s">
        <v>6400</v>
      </c>
      <c r="T5798" t="s">
        <v>9128</v>
      </c>
      <c r="U5798">
        <v>332.6327</v>
      </c>
      <c r="V5798" s="3">
        <v>41759</v>
      </c>
    </row>
    <row r="5799" spans="1:22" x14ac:dyDescent="0.35">
      <c r="A5799" s="1">
        <v>42293.082476851851</v>
      </c>
      <c r="B5799" s="2">
        <v>0</v>
      </c>
      <c r="C5799" t="s">
        <v>6693</v>
      </c>
      <c r="D5799" t="s">
        <v>6396</v>
      </c>
      <c r="E5799" t="s">
        <v>6397</v>
      </c>
      <c r="F5799" t="s">
        <v>9127</v>
      </c>
      <c r="G5799">
        <v>1680799</v>
      </c>
      <c r="H5799" t="s">
        <v>26</v>
      </c>
      <c r="I5799" t="s">
        <v>445</v>
      </c>
      <c r="J5799" t="str">
        <f>"9781118790380"</f>
        <v>9781118790380</v>
      </c>
      <c r="L5799">
        <v>0</v>
      </c>
      <c r="O5799" t="s">
        <v>30</v>
      </c>
      <c r="P5799" t="s">
        <v>47</v>
      </c>
      <c r="Q5799" s="1">
        <v>42293.082476851851</v>
      </c>
      <c r="R5799">
        <v>1</v>
      </c>
      <c r="S5799" t="s">
        <v>6400</v>
      </c>
      <c r="T5799" t="s">
        <v>9128</v>
      </c>
      <c r="U5799">
        <v>332.6327</v>
      </c>
      <c r="V5799" s="3">
        <v>41759</v>
      </c>
    </row>
    <row r="5800" spans="1:22" x14ac:dyDescent="0.35">
      <c r="A5800" s="1">
        <v>42293.082291666666</v>
      </c>
      <c r="B5800" s="2">
        <v>1.8518518518518518E-4</v>
      </c>
      <c r="C5800" t="s">
        <v>6693</v>
      </c>
      <c r="D5800" t="s">
        <v>6396</v>
      </c>
      <c r="E5800" t="s">
        <v>6397</v>
      </c>
      <c r="F5800" t="s">
        <v>9127</v>
      </c>
      <c r="G5800">
        <v>1680799</v>
      </c>
      <c r="H5800" t="s">
        <v>26</v>
      </c>
      <c r="I5800" t="s">
        <v>445</v>
      </c>
      <c r="J5800" t="str">
        <f>"9781118790380"</f>
        <v>9781118790380</v>
      </c>
      <c r="K5800" t="s">
        <v>33</v>
      </c>
      <c r="L5800">
        <v>3</v>
      </c>
      <c r="O5800" t="s">
        <v>30</v>
      </c>
      <c r="P5800" t="s">
        <v>50</v>
      </c>
      <c r="S5800" t="s">
        <v>6400</v>
      </c>
      <c r="T5800" t="s">
        <v>9128</v>
      </c>
      <c r="U5800">
        <v>332.6327</v>
      </c>
      <c r="V5800" s="3">
        <v>41759</v>
      </c>
    </row>
    <row r="5801" spans="1:22" x14ac:dyDescent="0.35">
      <c r="A5801" s="1">
        <v>42293.073935185188</v>
      </c>
      <c r="B5801" s="2">
        <v>0</v>
      </c>
      <c r="C5801" t="s">
        <v>6693</v>
      </c>
      <c r="D5801" t="s">
        <v>6396</v>
      </c>
      <c r="E5801" t="s">
        <v>6397</v>
      </c>
      <c r="F5801" t="s">
        <v>9129</v>
      </c>
      <c r="G5801">
        <v>3057369</v>
      </c>
      <c r="H5801" t="s">
        <v>440</v>
      </c>
      <c r="I5801" t="s">
        <v>27</v>
      </c>
      <c r="J5801" t="str">
        <f>"9780471677758"</f>
        <v>9780471677758</v>
      </c>
      <c r="L5801">
        <v>0</v>
      </c>
      <c r="O5801" t="s">
        <v>28</v>
      </c>
      <c r="P5801" t="s">
        <v>47</v>
      </c>
      <c r="Q5801" s="1">
        <v>42293.073935185188</v>
      </c>
      <c r="R5801">
        <v>1</v>
      </c>
      <c r="S5801" t="s">
        <v>6400</v>
      </c>
      <c r="T5801" t="s">
        <v>9130</v>
      </c>
      <c r="U5801" t="s">
        <v>2465</v>
      </c>
      <c r="V5801" s="3">
        <v>56615</v>
      </c>
    </row>
    <row r="5802" spans="1:22" x14ac:dyDescent="0.35">
      <c r="A5802" s="1">
        <v>42293.073935185188</v>
      </c>
      <c r="B5802" s="2">
        <v>0</v>
      </c>
      <c r="C5802" t="s">
        <v>6693</v>
      </c>
      <c r="D5802" t="s">
        <v>6396</v>
      </c>
      <c r="E5802" t="s">
        <v>6397</v>
      </c>
      <c r="F5802" t="s">
        <v>9129</v>
      </c>
      <c r="G5802">
        <v>3057369</v>
      </c>
      <c r="H5802" t="s">
        <v>440</v>
      </c>
      <c r="I5802" t="s">
        <v>27</v>
      </c>
      <c r="J5802" t="str">
        <f>"9780471677758"</f>
        <v>9780471677758</v>
      </c>
      <c r="L5802">
        <v>0</v>
      </c>
      <c r="O5802" t="s">
        <v>30</v>
      </c>
      <c r="P5802" t="s">
        <v>47</v>
      </c>
      <c r="Q5802" s="1">
        <v>42293.073935185188</v>
      </c>
      <c r="R5802">
        <v>1</v>
      </c>
      <c r="S5802" t="s">
        <v>6400</v>
      </c>
      <c r="T5802" t="s">
        <v>9130</v>
      </c>
      <c r="U5802" t="s">
        <v>2465</v>
      </c>
      <c r="V5802" s="3">
        <v>56615</v>
      </c>
    </row>
    <row r="5803" spans="1:22" x14ac:dyDescent="0.35">
      <c r="A5803" s="1">
        <v>42293.073842592596</v>
      </c>
      <c r="B5803" s="2">
        <v>9.2592592592592588E-5</v>
      </c>
      <c r="C5803" t="s">
        <v>6693</v>
      </c>
      <c r="D5803" t="s">
        <v>6396</v>
      </c>
      <c r="E5803" t="s">
        <v>6397</v>
      </c>
      <c r="F5803" t="s">
        <v>9129</v>
      </c>
      <c r="G5803">
        <v>3057369</v>
      </c>
      <c r="H5803" t="s">
        <v>440</v>
      </c>
      <c r="I5803" t="s">
        <v>27</v>
      </c>
      <c r="J5803" t="str">
        <f>"9780471677758"</f>
        <v>9780471677758</v>
      </c>
      <c r="K5803" t="s">
        <v>33</v>
      </c>
      <c r="L5803">
        <v>3</v>
      </c>
      <c r="O5803" t="s">
        <v>30</v>
      </c>
      <c r="P5803" t="s">
        <v>50</v>
      </c>
      <c r="S5803" t="s">
        <v>6400</v>
      </c>
      <c r="T5803" t="s">
        <v>9130</v>
      </c>
      <c r="U5803" t="s">
        <v>2465</v>
      </c>
      <c r="V5803" s="3">
        <v>56615</v>
      </c>
    </row>
    <row r="5804" spans="1:22" x14ac:dyDescent="0.35">
      <c r="A5804" s="1">
        <v>42293.064131944448</v>
      </c>
      <c r="B5804" s="2">
        <v>1.4120370370370368E-2</v>
      </c>
      <c r="C5804" t="s">
        <v>3556</v>
      </c>
      <c r="D5804" t="s">
        <v>23</v>
      </c>
      <c r="E5804" t="s">
        <v>24</v>
      </c>
      <c r="F5804" t="s">
        <v>3060</v>
      </c>
      <c r="G5804">
        <v>1120279</v>
      </c>
      <c r="H5804" t="s">
        <v>26</v>
      </c>
      <c r="I5804" t="s">
        <v>3061</v>
      </c>
      <c r="J5804" t="str">
        <f>"9781118537671"</f>
        <v>9781118537671</v>
      </c>
      <c r="K5804" t="s">
        <v>9131</v>
      </c>
      <c r="L5804">
        <v>13</v>
      </c>
      <c r="O5804" t="s">
        <v>30</v>
      </c>
      <c r="P5804" t="s">
        <v>29</v>
      </c>
      <c r="Q5804" s="1">
        <v>42287.179791666669</v>
      </c>
      <c r="R5804">
        <v>7</v>
      </c>
      <c r="S5804" t="s">
        <v>31</v>
      </c>
      <c r="T5804" t="s">
        <v>3063</v>
      </c>
      <c r="U5804">
        <v>599.93499999999995</v>
      </c>
      <c r="V5804" s="3">
        <v>41232</v>
      </c>
    </row>
    <row r="5805" spans="1:22" x14ac:dyDescent="0.35">
      <c r="A5805" s="1">
        <v>42293.059224537035</v>
      </c>
      <c r="B5805" s="2">
        <v>8.2175925925925917E-4</v>
      </c>
      <c r="C5805" t="s">
        <v>9132</v>
      </c>
      <c r="D5805" t="s">
        <v>211</v>
      </c>
      <c r="E5805" t="s">
        <v>212</v>
      </c>
      <c r="F5805" t="s">
        <v>9133</v>
      </c>
      <c r="G5805">
        <v>1824109</v>
      </c>
      <c r="H5805" t="s">
        <v>526</v>
      </c>
      <c r="I5805" t="s">
        <v>69</v>
      </c>
      <c r="J5805" t="str">
        <f>"9780226200712"</f>
        <v>9780226200712</v>
      </c>
      <c r="K5805" t="s">
        <v>9134</v>
      </c>
      <c r="L5805">
        <v>11</v>
      </c>
      <c r="O5805" t="s">
        <v>28</v>
      </c>
      <c r="P5805" t="s">
        <v>47</v>
      </c>
      <c r="Q5805" s="1">
        <v>42293.059224537035</v>
      </c>
      <c r="R5805">
        <v>7</v>
      </c>
      <c r="S5805" t="s">
        <v>214</v>
      </c>
      <c r="T5805" t="s">
        <v>9135</v>
      </c>
      <c r="U5805">
        <v>379.73</v>
      </c>
      <c r="V5805" s="3">
        <v>41971</v>
      </c>
    </row>
    <row r="5806" spans="1:22" x14ac:dyDescent="0.35">
      <c r="A5806" s="1">
        <v>42293.059224537035</v>
      </c>
      <c r="B5806" s="2">
        <v>0</v>
      </c>
      <c r="C5806" t="s">
        <v>9132</v>
      </c>
      <c r="D5806" t="s">
        <v>211</v>
      </c>
      <c r="E5806" t="s">
        <v>212</v>
      </c>
      <c r="F5806" t="s">
        <v>9133</v>
      </c>
      <c r="G5806">
        <v>1824109</v>
      </c>
      <c r="H5806" t="s">
        <v>526</v>
      </c>
      <c r="I5806" t="s">
        <v>69</v>
      </c>
      <c r="J5806" t="str">
        <f>"9780226200712"</f>
        <v>9780226200712</v>
      </c>
      <c r="L5806">
        <v>0</v>
      </c>
      <c r="O5806" t="s">
        <v>30</v>
      </c>
      <c r="P5806" t="s">
        <v>47</v>
      </c>
      <c r="Q5806" s="1">
        <v>42293.059224537035</v>
      </c>
      <c r="R5806">
        <v>7</v>
      </c>
      <c r="S5806" t="s">
        <v>214</v>
      </c>
      <c r="T5806" t="s">
        <v>9135</v>
      </c>
      <c r="U5806">
        <v>379.73</v>
      </c>
      <c r="V5806" s="3">
        <v>41971</v>
      </c>
    </row>
    <row r="5807" spans="1:22" x14ac:dyDescent="0.35">
      <c r="A5807" s="1">
        <v>42293.058275462965</v>
      </c>
      <c r="B5807" s="2">
        <v>9.3750000000000007E-4</v>
      </c>
      <c r="C5807" t="s">
        <v>9132</v>
      </c>
      <c r="D5807" t="s">
        <v>211</v>
      </c>
      <c r="E5807" t="s">
        <v>212</v>
      </c>
      <c r="F5807" t="s">
        <v>9133</v>
      </c>
      <c r="G5807">
        <v>1824109</v>
      </c>
      <c r="H5807" t="s">
        <v>526</v>
      </c>
      <c r="I5807" t="s">
        <v>69</v>
      </c>
      <c r="J5807" t="str">
        <f>"9780226200712"</f>
        <v>9780226200712</v>
      </c>
      <c r="K5807" t="s">
        <v>9136</v>
      </c>
      <c r="L5807">
        <v>12</v>
      </c>
      <c r="O5807" t="s">
        <v>30</v>
      </c>
      <c r="P5807" t="s">
        <v>50</v>
      </c>
      <c r="S5807" t="s">
        <v>214</v>
      </c>
      <c r="T5807" t="s">
        <v>9135</v>
      </c>
      <c r="U5807">
        <v>379.73</v>
      </c>
      <c r="V5807" s="3">
        <v>41971</v>
      </c>
    </row>
    <row r="5808" spans="1:22" x14ac:dyDescent="0.35">
      <c r="A5808" s="1">
        <v>42293.053842592592</v>
      </c>
      <c r="B5808" s="2">
        <v>5.28587962962963E-2</v>
      </c>
      <c r="C5808" t="s">
        <v>9137</v>
      </c>
      <c r="D5808" t="s">
        <v>35</v>
      </c>
      <c r="E5808" t="s">
        <v>36</v>
      </c>
      <c r="F5808" t="s">
        <v>9138</v>
      </c>
      <c r="G5808">
        <v>1663517</v>
      </c>
      <c r="H5808" t="s">
        <v>613</v>
      </c>
      <c r="I5808" t="s">
        <v>998</v>
      </c>
      <c r="J5808" t="str">
        <f>"9781469612546"</f>
        <v>9781469612546</v>
      </c>
      <c r="K5808" t="s">
        <v>9139</v>
      </c>
      <c r="L5808">
        <v>34</v>
      </c>
      <c r="N5808" t="s">
        <v>9140</v>
      </c>
      <c r="O5808" t="s">
        <v>30</v>
      </c>
      <c r="P5808" t="s">
        <v>47</v>
      </c>
      <c r="Q5808" s="1">
        <v>42293.053842592592</v>
      </c>
      <c r="R5808">
        <v>1</v>
      </c>
      <c r="S5808" t="s">
        <v>40</v>
      </c>
      <c r="T5808" t="s">
        <v>9141</v>
      </c>
      <c r="U5808" t="s">
        <v>3016</v>
      </c>
      <c r="V5808" s="3">
        <v>41562</v>
      </c>
    </row>
    <row r="5809" spans="1:22" x14ac:dyDescent="0.35">
      <c r="A5809" s="1">
        <v>42293.049733796295</v>
      </c>
      <c r="B5809" s="2">
        <v>4.108796296296297E-3</v>
      </c>
      <c r="C5809" t="s">
        <v>9137</v>
      </c>
      <c r="D5809" t="s">
        <v>35</v>
      </c>
      <c r="E5809" t="s">
        <v>36</v>
      </c>
      <c r="F5809" t="s">
        <v>9138</v>
      </c>
      <c r="G5809">
        <v>1663517</v>
      </c>
      <c r="H5809" t="s">
        <v>613</v>
      </c>
      <c r="I5809" t="s">
        <v>998</v>
      </c>
      <c r="J5809" t="str">
        <f>"9781469612546"</f>
        <v>9781469612546</v>
      </c>
      <c r="K5809" t="s">
        <v>9142</v>
      </c>
      <c r="L5809">
        <v>48</v>
      </c>
      <c r="O5809" t="s">
        <v>30</v>
      </c>
      <c r="P5809" t="s">
        <v>50</v>
      </c>
      <c r="S5809" t="s">
        <v>40</v>
      </c>
      <c r="T5809" t="s">
        <v>9141</v>
      </c>
      <c r="U5809" t="s">
        <v>3016</v>
      </c>
      <c r="V5809" s="3">
        <v>41562</v>
      </c>
    </row>
    <row r="5810" spans="1:22" x14ac:dyDescent="0.35">
      <c r="A5810" s="1">
        <v>42293.042094907411</v>
      </c>
      <c r="B5810" s="2">
        <v>2.8935185185185188E-3</v>
      </c>
      <c r="C5810" t="s">
        <v>9143</v>
      </c>
      <c r="D5810" t="s">
        <v>23</v>
      </c>
      <c r="E5810" t="s">
        <v>24</v>
      </c>
      <c r="F5810" t="s">
        <v>3449</v>
      </c>
      <c r="G5810">
        <v>1809344</v>
      </c>
      <c r="H5810" t="s">
        <v>1474</v>
      </c>
      <c r="I5810" t="s">
        <v>120</v>
      </c>
      <c r="J5810" t="str">
        <f>"9781137356192"</f>
        <v>9781137356192</v>
      </c>
      <c r="K5810" t="s">
        <v>9144</v>
      </c>
      <c r="L5810">
        <v>40</v>
      </c>
      <c r="M5810" t="s">
        <v>9145</v>
      </c>
      <c r="O5810" t="s">
        <v>30</v>
      </c>
      <c r="P5810" t="s">
        <v>29</v>
      </c>
      <c r="Q5810" s="1">
        <v>42291.691967592589</v>
      </c>
      <c r="R5810">
        <v>7</v>
      </c>
      <c r="S5810" t="s">
        <v>31</v>
      </c>
      <c r="T5810" t="s">
        <v>3451</v>
      </c>
      <c r="U5810">
        <v>364.4</v>
      </c>
      <c r="V5810" s="3">
        <v>41915</v>
      </c>
    </row>
    <row r="5811" spans="1:22" x14ac:dyDescent="0.35">
      <c r="A5811" s="1">
        <v>42293.040706018517</v>
      </c>
      <c r="B5811" s="2">
        <v>0</v>
      </c>
      <c r="C5811" t="s">
        <v>9143</v>
      </c>
      <c r="D5811" t="s">
        <v>23</v>
      </c>
      <c r="E5811" t="s">
        <v>24</v>
      </c>
      <c r="F5811" t="s">
        <v>3449</v>
      </c>
      <c r="G5811">
        <v>1809344</v>
      </c>
      <c r="H5811" t="s">
        <v>1474</v>
      </c>
      <c r="I5811" t="s">
        <v>120</v>
      </c>
      <c r="J5811" t="str">
        <f>"9781137356192"</f>
        <v>9781137356192</v>
      </c>
      <c r="L5811">
        <v>0</v>
      </c>
      <c r="N5811" t="s">
        <v>9146</v>
      </c>
      <c r="O5811" t="s">
        <v>28</v>
      </c>
      <c r="P5811" t="s">
        <v>29</v>
      </c>
      <c r="Q5811" s="1">
        <v>42291.691967592589</v>
      </c>
      <c r="R5811">
        <v>7</v>
      </c>
      <c r="S5811" t="s">
        <v>31</v>
      </c>
      <c r="T5811" t="s">
        <v>3451</v>
      </c>
      <c r="U5811">
        <v>364.4</v>
      </c>
      <c r="V5811" s="3">
        <v>41915</v>
      </c>
    </row>
    <row r="5812" spans="1:22" x14ac:dyDescent="0.35">
      <c r="A5812" s="1">
        <v>42293.039803240739</v>
      </c>
      <c r="B5812" s="2">
        <v>0</v>
      </c>
      <c r="C5812" t="s">
        <v>9143</v>
      </c>
      <c r="D5812" t="s">
        <v>23</v>
      </c>
      <c r="E5812" t="s">
        <v>24</v>
      </c>
      <c r="F5812" t="s">
        <v>3449</v>
      </c>
      <c r="G5812">
        <v>1809344</v>
      </c>
      <c r="H5812" t="s">
        <v>1474</v>
      </c>
      <c r="I5812" t="s">
        <v>120</v>
      </c>
      <c r="J5812" t="str">
        <f>"9781137356192"</f>
        <v>9781137356192</v>
      </c>
      <c r="L5812">
        <v>0</v>
      </c>
      <c r="O5812" t="s">
        <v>28</v>
      </c>
      <c r="P5812" t="s">
        <v>29</v>
      </c>
      <c r="Q5812" s="1">
        <v>42291.691967592589</v>
      </c>
      <c r="R5812">
        <v>7</v>
      </c>
      <c r="S5812" t="s">
        <v>31</v>
      </c>
      <c r="T5812" t="s">
        <v>3451</v>
      </c>
      <c r="U5812">
        <v>364.4</v>
      </c>
      <c r="V5812" s="3">
        <v>41915</v>
      </c>
    </row>
    <row r="5813" spans="1:22" x14ac:dyDescent="0.35">
      <c r="A5813" s="1">
        <v>42293.032881944448</v>
      </c>
      <c r="B5813" s="2">
        <v>2.7314814814814819E-3</v>
      </c>
      <c r="C5813" t="s">
        <v>9143</v>
      </c>
      <c r="D5813" t="s">
        <v>23</v>
      </c>
      <c r="E5813" t="s">
        <v>24</v>
      </c>
      <c r="F5813" t="s">
        <v>3449</v>
      </c>
      <c r="G5813">
        <v>1809344</v>
      </c>
      <c r="H5813" t="s">
        <v>1474</v>
      </c>
      <c r="I5813" t="s">
        <v>120</v>
      </c>
      <c r="J5813" t="str">
        <f>"9781137356192"</f>
        <v>9781137356192</v>
      </c>
      <c r="K5813" t="s">
        <v>9147</v>
      </c>
      <c r="L5813">
        <v>39</v>
      </c>
      <c r="N5813" t="s">
        <v>9148</v>
      </c>
      <c r="O5813" t="s">
        <v>30</v>
      </c>
      <c r="P5813" t="s">
        <v>29</v>
      </c>
      <c r="Q5813" s="1">
        <v>42291.691967592589</v>
      </c>
      <c r="R5813">
        <v>7</v>
      </c>
      <c r="S5813" t="s">
        <v>31</v>
      </c>
      <c r="T5813" t="s">
        <v>3451</v>
      </c>
      <c r="U5813">
        <v>364.4</v>
      </c>
      <c r="V5813" s="3">
        <v>41915</v>
      </c>
    </row>
    <row r="5814" spans="1:22" x14ac:dyDescent="0.35">
      <c r="A5814" s="1">
        <v>42293.03162037037</v>
      </c>
      <c r="B5814" s="2">
        <v>2.4305555555555552E-4</v>
      </c>
      <c r="C5814" t="s">
        <v>9143</v>
      </c>
      <c r="D5814" t="s">
        <v>23</v>
      </c>
      <c r="E5814" t="s">
        <v>24</v>
      </c>
      <c r="F5814" t="s">
        <v>3449</v>
      </c>
      <c r="G5814">
        <v>1809344</v>
      </c>
      <c r="H5814" t="s">
        <v>1474</v>
      </c>
      <c r="I5814" t="s">
        <v>120</v>
      </c>
      <c r="J5814" t="str">
        <f>"9781137356192"</f>
        <v>9781137356192</v>
      </c>
      <c r="K5814" t="s">
        <v>9149</v>
      </c>
      <c r="L5814">
        <v>7</v>
      </c>
      <c r="O5814" t="s">
        <v>30</v>
      </c>
      <c r="P5814" t="s">
        <v>29</v>
      </c>
      <c r="Q5814" s="1">
        <v>42291.691967592589</v>
      </c>
      <c r="R5814">
        <v>7</v>
      </c>
      <c r="S5814" t="s">
        <v>31</v>
      </c>
      <c r="T5814" t="s">
        <v>3451</v>
      </c>
      <c r="U5814">
        <v>364.4</v>
      </c>
      <c r="V5814" s="3">
        <v>41915</v>
      </c>
    </row>
    <row r="5815" spans="1:22" x14ac:dyDescent="0.35">
      <c r="A5815" s="1">
        <v>42293.014861111114</v>
      </c>
      <c r="B5815" s="2">
        <v>4.7094907407407405E-2</v>
      </c>
      <c r="C5815" t="s">
        <v>3556</v>
      </c>
      <c r="D5815" t="s">
        <v>23</v>
      </c>
      <c r="E5815" t="s">
        <v>24</v>
      </c>
      <c r="F5815" t="s">
        <v>3060</v>
      </c>
      <c r="G5815">
        <v>1120279</v>
      </c>
      <c r="H5815" t="s">
        <v>26</v>
      </c>
      <c r="I5815" t="s">
        <v>3061</v>
      </c>
      <c r="J5815" t="str">
        <f>"9781118537671"</f>
        <v>9781118537671</v>
      </c>
      <c r="K5815" t="s">
        <v>9150</v>
      </c>
      <c r="L5815">
        <v>59</v>
      </c>
      <c r="O5815" t="s">
        <v>30</v>
      </c>
      <c r="P5815" t="s">
        <v>29</v>
      </c>
      <c r="Q5815" s="1">
        <v>42287.179791666669</v>
      </c>
      <c r="R5815">
        <v>7</v>
      </c>
      <c r="S5815" t="s">
        <v>31</v>
      </c>
      <c r="T5815" t="s">
        <v>3063</v>
      </c>
      <c r="U5815">
        <v>599.93499999999995</v>
      </c>
      <c r="V5815" s="3">
        <v>41232</v>
      </c>
    </row>
    <row r="5816" spans="1:22" x14ac:dyDescent="0.35">
      <c r="A5816" s="1">
        <v>42292.997164351851</v>
      </c>
      <c r="B5816" s="2">
        <v>8.8842592592592584E-2</v>
      </c>
      <c r="C5816" t="s">
        <v>4741</v>
      </c>
      <c r="D5816" t="s">
        <v>1222</v>
      </c>
      <c r="E5816" t="s">
        <v>1223</v>
      </c>
      <c r="F5816" t="s">
        <v>3263</v>
      </c>
      <c r="G5816">
        <v>1840835</v>
      </c>
      <c r="H5816" t="s">
        <v>26</v>
      </c>
      <c r="I5816" t="s">
        <v>108</v>
      </c>
      <c r="J5816" t="str">
        <f>"9781118950166"</f>
        <v>9781118950166</v>
      </c>
      <c r="K5816" t="s">
        <v>9151</v>
      </c>
      <c r="L5816">
        <v>11</v>
      </c>
      <c r="O5816" t="s">
        <v>30</v>
      </c>
      <c r="P5816" t="s">
        <v>42</v>
      </c>
      <c r="S5816" t="s">
        <v>1226</v>
      </c>
      <c r="T5816" t="s">
        <v>3264</v>
      </c>
      <c r="U5816">
        <v>338.10923789999998</v>
      </c>
      <c r="V5816" s="3">
        <v>41953</v>
      </c>
    </row>
    <row r="5817" spans="1:22" x14ac:dyDescent="0.35">
      <c r="A5817" s="1">
        <v>42292.979027777779</v>
      </c>
      <c r="B5817" s="2">
        <v>3.1134259259259257E-3</v>
      </c>
      <c r="C5817" t="s">
        <v>9152</v>
      </c>
      <c r="D5817" t="s">
        <v>35</v>
      </c>
      <c r="E5817" t="s">
        <v>36</v>
      </c>
      <c r="F5817" t="s">
        <v>6635</v>
      </c>
      <c r="G5817">
        <v>817871</v>
      </c>
      <c r="H5817" t="s">
        <v>26</v>
      </c>
      <c r="I5817" t="s">
        <v>276</v>
      </c>
      <c r="J5817" t="str">
        <f>"9781118206911"</f>
        <v>9781118206911</v>
      </c>
      <c r="K5817" t="s">
        <v>9153</v>
      </c>
      <c r="L5817">
        <v>39</v>
      </c>
      <c r="O5817" t="s">
        <v>30</v>
      </c>
      <c r="P5817" t="s">
        <v>29</v>
      </c>
      <c r="Q5817" s="1">
        <v>42292.954687500001</v>
      </c>
      <c r="R5817">
        <v>7</v>
      </c>
      <c r="S5817" t="s">
        <v>40</v>
      </c>
      <c r="T5817" t="s">
        <v>6637</v>
      </c>
      <c r="U5817">
        <v>6.74</v>
      </c>
      <c r="V5817" s="3">
        <v>40897</v>
      </c>
    </row>
    <row r="5818" spans="1:22" x14ac:dyDescent="0.35">
      <c r="A5818" s="1">
        <v>42292.954687500001</v>
      </c>
      <c r="B5818" s="2">
        <v>2.0682870370370372E-2</v>
      </c>
      <c r="C5818" t="s">
        <v>9152</v>
      </c>
      <c r="D5818" t="s">
        <v>35</v>
      </c>
      <c r="E5818" t="s">
        <v>36</v>
      </c>
      <c r="F5818" t="s">
        <v>6635</v>
      </c>
      <c r="G5818">
        <v>817871</v>
      </c>
      <c r="H5818" t="s">
        <v>26</v>
      </c>
      <c r="I5818" t="s">
        <v>276</v>
      </c>
      <c r="J5818" t="str">
        <f>"9781118206911"</f>
        <v>9781118206911</v>
      </c>
      <c r="K5818" t="s">
        <v>9154</v>
      </c>
      <c r="L5818">
        <v>134</v>
      </c>
      <c r="O5818" t="s">
        <v>30</v>
      </c>
      <c r="P5818" t="s">
        <v>29</v>
      </c>
      <c r="Q5818" s="1">
        <v>42292.954687500001</v>
      </c>
      <c r="R5818">
        <v>7</v>
      </c>
      <c r="S5818" t="s">
        <v>40</v>
      </c>
      <c r="T5818" t="s">
        <v>6637</v>
      </c>
      <c r="U5818">
        <v>6.74</v>
      </c>
      <c r="V5818" s="3">
        <v>40897</v>
      </c>
    </row>
    <row r="5819" spans="1:22" x14ac:dyDescent="0.35">
      <c r="A5819" s="1">
        <v>42292.947511574072</v>
      </c>
      <c r="B5819" s="2">
        <v>1.5393518518518519E-3</v>
      </c>
      <c r="C5819" t="s">
        <v>9155</v>
      </c>
      <c r="D5819" t="s">
        <v>35</v>
      </c>
      <c r="E5819" t="s">
        <v>36</v>
      </c>
      <c r="F5819" t="s">
        <v>9156</v>
      </c>
      <c r="G5819">
        <v>1211620</v>
      </c>
      <c r="H5819" t="s">
        <v>26</v>
      </c>
      <c r="I5819" t="s">
        <v>200</v>
      </c>
      <c r="J5819" t="str">
        <f>"9781118332900"</f>
        <v>9781118332900</v>
      </c>
      <c r="K5819" t="s">
        <v>9157</v>
      </c>
      <c r="L5819">
        <v>18</v>
      </c>
      <c r="O5819" t="s">
        <v>30</v>
      </c>
      <c r="P5819" t="s">
        <v>50</v>
      </c>
      <c r="S5819" t="s">
        <v>40</v>
      </c>
      <c r="T5819" t="s">
        <v>9158</v>
      </c>
      <c r="U5819" t="s">
        <v>9159</v>
      </c>
      <c r="V5819" s="3">
        <v>41429</v>
      </c>
    </row>
    <row r="5820" spans="1:22" x14ac:dyDescent="0.35">
      <c r="A5820" s="1">
        <v>42292.946550925924</v>
      </c>
      <c r="B5820" s="2">
        <v>3.4722222222222222E-5</v>
      </c>
      <c r="C5820" t="s">
        <v>9155</v>
      </c>
      <c r="D5820" t="s">
        <v>35</v>
      </c>
      <c r="E5820" t="s">
        <v>36</v>
      </c>
      <c r="F5820" t="s">
        <v>5048</v>
      </c>
      <c r="G5820">
        <v>2038622</v>
      </c>
      <c r="H5820" t="s">
        <v>45</v>
      </c>
      <c r="I5820" t="s">
        <v>200</v>
      </c>
      <c r="J5820" t="str">
        <f>"9781472437808"</f>
        <v>9781472437808</v>
      </c>
      <c r="K5820" t="s">
        <v>9160</v>
      </c>
      <c r="L5820">
        <v>2</v>
      </c>
      <c r="O5820" t="s">
        <v>30</v>
      </c>
      <c r="P5820" t="s">
        <v>47</v>
      </c>
      <c r="Q5820" s="1">
        <v>42292.946539351855</v>
      </c>
      <c r="R5820">
        <v>1</v>
      </c>
      <c r="S5820" t="s">
        <v>40</v>
      </c>
      <c r="T5820">
        <v>2014042391</v>
      </c>
      <c r="U5820">
        <v>728.10940000000005</v>
      </c>
      <c r="V5820" s="3">
        <v>42153</v>
      </c>
    </row>
    <row r="5821" spans="1:22" x14ac:dyDescent="0.35">
      <c r="A5821" s="1">
        <v>42292.945972222224</v>
      </c>
      <c r="B5821" s="2">
        <v>8.7152777777777784E-3</v>
      </c>
      <c r="C5821" t="s">
        <v>9152</v>
      </c>
      <c r="D5821" t="s">
        <v>35</v>
      </c>
      <c r="E5821" t="s">
        <v>36</v>
      </c>
      <c r="F5821" t="s">
        <v>6635</v>
      </c>
      <c r="G5821">
        <v>817871</v>
      </c>
      <c r="H5821" t="s">
        <v>26</v>
      </c>
      <c r="I5821" t="s">
        <v>276</v>
      </c>
      <c r="J5821" t="str">
        <f>"9781118206911"</f>
        <v>9781118206911</v>
      </c>
      <c r="K5821" t="s">
        <v>9161</v>
      </c>
      <c r="L5821">
        <v>61</v>
      </c>
      <c r="O5821" t="s">
        <v>30</v>
      </c>
      <c r="P5821" t="s">
        <v>42</v>
      </c>
      <c r="S5821" t="s">
        <v>40</v>
      </c>
      <c r="T5821" t="s">
        <v>6637</v>
      </c>
      <c r="U5821">
        <v>6.74</v>
      </c>
      <c r="V5821" s="3">
        <v>40897</v>
      </c>
    </row>
    <row r="5822" spans="1:22" x14ac:dyDescent="0.35">
      <c r="A5822" s="1">
        <v>42292.937777777777</v>
      </c>
      <c r="B5822" s="2">
        <v>1.273148148148148E-4</v>
      </c>
      <c r="C5822" t="s">
        <v>9152</v>
      </c>
      <c r="D5822" t="s">
        <v>35</v>
      </c>
      <c r="E5822" t="s">
        <v>36</v>
      </c>
      <c r="F5822" t="s">
        <v>6635</v>
      </c>
      <c r="G5822">
        <v>817871</v>
      </c>
      <c r="H5822" t="s">
        <v>26</v>
      </c>
      <c r="I5822" t="s">
        <v>276</v>
      </c>
      <c r="J5822" t="str">
        <f>"9781118206911"</f>
        <v>9781118206911</v>
      </c>
      <c r="K5822" t="s">
        <v>463</v>
      </c>
      <c r="L5822">
        <v>9</v>
      </c>
      <c r="O5822" t="s">
        <v>30</v>
      </c>
      <c r="P5822" t="s">
        <v>42</v>
      </c>
      <c r="S5822" t="s">
        <v>40</v>
      </c>
      <c r="T5822" t="s">
        <v>6637</v>
      </c>
      <c r="U5822">
        <v>6.74</v>
      </c>
      <c r="V5822" s="3">
        <v>40897</v>
      </c>
    </row>
    <row r="5823" spans="1:22" x14ac:dyDescent="0.35">
      <c r="A5823" s="1">
        <v>42292.907037037039</v>
      </c>
      <c r="B5823" s="2">
        <v>3.9502314814814816E-2</v>
      </c>
      <c r="C5823" t="s">
        <v>9155</v>
      </c>
      <c r="D5823" t="s">
        <v>35</v>
      </c>
      <c r="E5823" t="s">
        <v>36</v>
      </c>
      <c r="F5823" t="s">
        <v>5048</v>
      </c>
      <c r="G5823">
        <v>2038622</v>
      </c>
      <c r="H5823" t="s">
        <v>45</v>
      </c>
      <c r="I5823" t="s">
        <v>200</v>
      </c>
      <c r="J5823" t="str">
        <f>"9781472437808"</f>
        <v>9781472437808</v>
      </c>
      <c r="K5823" t="s">
        <v>9162</v>
      </c>
      <c r="L5823">
        <v>9</v>
      </c>
      <c r="O5823" t="s">
        <v>30</v>
      </c>
      <c r="P5823" t="s">
        <v>50</v>
      </c>
      <c r="S5823" t="s">
        <v>40</v>
      </c>
      <c r="T5823">
        <v>2014042391</v>
      </c>
      <c r="U5823">
        <v>728.10940000000005</v>
      </c>
      <c r="V5823" s="3">
        <v>42153</v>
      </c>
    </row>
    <row r="5824" spans="1:22" x14ac:dyDescent="0.35">
      <c r="A5824" s="1">
        <v>42292.873159722221</v>
      </c>
      <c r="B5824" s="2">
        <v>1.8518518518518518E-4</v>
      </c>
      <c r="C5824" t="s">
        <v>9163</v>
      </c>
      <c r="D5824" t="s">
        <v>23</v>
      </c>
      <c r="E5824" t="s">
        <v>24</v>
      </c>
      <c r="F5824" t="s">
        <v>9164</v>
      </c>
      <c r="G5824">
        <v>1663561</v>
      </c>
      <c r="H5824" t="s">
        <v>613</v>
      </c>
      <c r="I5824" t="s">
        <v>120</v>
      </c>
      <c r="J5824" t="str">
        <f>"9781469617626"</f>
        <v>9781469617626</v>
      </c>
      <c r="K5824" t="s">
        <v>355</v>
      </c>
      <c r="L5824">
        <v>8</v>
      </c>
      <c r="O5824" t="s">
        <v>30</v>
      </c>
      <c r="P5824" t="s">
        <v>42</v>
      </c>
      <c r="S5824" t="s">
        <v>31</v>
      </c>
      <c r="T5824" t="s">
        <v>9165</v>
      </c>
      <c r="U5824" t="s">
        <v>575</v>
      </c>
      <c r="V5824" s="3">
        <v>41925</v>
      </c>
    </row>
    <row r="5825" spans="1:22" x14ac:dyDescent="0.35">
      <c r="A5825" s="1">
        <v>42292.850023148145</v>
      </c>
      <c r="B5825" s="2">
        <v>3.2407407407407406E-4</v>
      </c>
      <c r="C5825" t="s">
        <v>9166</v>
      </c>
      <c r="D5825" t="s">
        <v>211</v>
      </c>
      <c r="E5825" t="s">
        <v>212</v>
      </c>
      <c r="F5825" t="s">
        <v>4494</v>
      </c>
      <c r="G5825">
        <v>565082</v>
      </c>
      <c r="H5825" t="s">
        <v>26</v>
      </c>
      <c r="I5825" t="s">
        <v>69</v>
      </c>
      <c r="J5825" t="str">
        <f>"9781118041567"</f>
        <v>9781118041567</v>
      </c>
      <c r="K5825" t="s">
        <v>9167</v>
      </c>
      <c r="L5825">
        <v>8</v>
      </c>
      <c r="N5825" t="s">
        <v>9168</v>
      </c>
      <c r="O5825" t="s">
        <v>30</v>
      </c>
      <c r="P5825" t="s">
        <v>29</v>
      </c>
      <c r="Q5825" s="1">
        <v>42290.699745370373</v>
      </c>
      <c r="R5825">
        <v>7</v>
      </c>
      <c r="S5825" t="s">
        <v>214</v>
      </c>
      <c r="T5825" t="s">
        <v>4496</v>
      </c>
      <c r="U5825" t="s">
        <v>4497</v>
      </c>
      <c r="V5825" s="3">
        <v>40337</v>
      </c>
    </row>
    <row r="5826" spans="1:22" x14ac:dyDescent="0.35">
      <c r="A5826" s="1">
        <v>42292.849733796298</v>
      </c>
      <c r="B5826" s="2">
        <v>2.9548611111111109E-2</v>
      </c>
      <c r="C5826" t="s">
        <v>210</v>
      </c>
      <c r="D5826" t="s">
        <v>211</v>
      </c>
      <c r="E5826" t="s">
        <v>212</v>
      </c>
      <c r="F5826" t="s">
        <v>4494</v>
      </c>
      <c r="G5826">
        <v>565082</v>
      </c>
      <c r="H5826" t="s">
        <v>26</v>
      </c>
      <c r="I5826" t="s">
        <v>69</v>
      </c>
      <c r="J5826" t="str">
        <f>"9781118041567"</f>
        <v>9781118041567</v>
      </c>
      <c r="K5826" t="s">
        <v>9169</v>
      </c>
      <c r="L5826">
        <v>34</v>
      </c>
      <c r="O5826" t="s">
        <v>30</v>
      </c>
      <c r="P5826" t="s">
        <v>29</v>
      </c>
      <c r="Q5826" s="1">
        <v>42292.830254629633</v>
      </c>
      <c r="R5826">
        <v>7</v>
      </c>
      <c r="S5826" t="s">
        <v>214</v>
      </c>
      <c r="T5826" t="s">
        <v>4496</v>
      </c>
      <c r="U5826" t="s">
        <v>4497</v>
      </c>
      <c r="V5826" s="3">
        <v>40337</v>
      </c>
    </row>
    <row r="5827" spans="1:22" x14ac:dyDescent="0.35">
      <c r="A5827" s="1">
        <v>42292.838796296295</v>
      </c>
      <c r="B5827" s="2">
        <v>2.5011574074074075E-2</v>
      </c>
      <c r="C5827" t="s">
        <v>9170</v>
      </c>
      <c r="D5827" t="s">
        <v>211</v>
      </c>
      <c r="E5827" t="s">
        <v>212</v>
      </c>
      <c r="F5827" t="s">
        <v>4494</v>
      </c>
      <c r="G5827">
        <v>565082</v>
      </c>
      <c r="H5827" t="s">
        <v>26</v>
      </c>
      <c r="I5827" t="s">
        <v>69</v>
      </c>
      <c r="J5827" t="str">
        <f>"9781118041567"</f>
        <v>9781118041567</v>
      </c>
      <c r="K5827" t="s">
        <v>9171</v>
      </c>
      <c r="L5827">
        <v>35</v>
      </c>
      <c r="O5827" t="s">
        <v>30</v>
      </c>
      <c r="P5827" t="s">
        <v>29</v>
      </c>
      <c r="Q5827" s="1">
        <v>42292.059432870374</v>
      </c>
      <c r="R5827">
        <v>7</v>
      </c>
      <c r="S5827" t="s">
        <v>214</v>
      </c>
      <c r="T5827" t="s">
        <v>4496</v>
      </c>
      <c r="U5827" t="s">
        <v>4497</v>
      </c>
      <c r="V5827" s="3">
        <v>40337</v>
      </c>
    </row>
    <row r="5828" spans="1:22" x14ac:dyDescent="0.35">
      <c r="A5828" s="1">
        <v>42292.835659722223</v>
      </c>
      <c r="B5828" s="2">
        <v>0</v>
      </c>
      <c r="C5828" t="s">
        <v>106</v>
      </c>
      <c r="D5828" t="s">
        <v>23</v>
      </c>
      <c r="E5828" t="s">
        <v>24</v>
      </c>
      <c r="F5828" t="s">
        <v>2596</v>
      </c>
      <c r="G5828">
        <v>1762797</v>
      </c>
      <c r="H5828" t="s">
        <v>26</v>
      </c>
      <c r="I5828" t="s">
        <v>120</v>
      </c>
      <c r="J5828" t="str">
        <f>"9781118921296"</f>
        <v>9781118921296</v>
      </c>
      <c r="L5828">
        <v>0</v>
      </c>
      <c r="O5828" t="s">
        <v>28</v>
      </c>
      <c r="P5828" t="s">
        <v>29</v>
      </c>
      <c r="Q5828" s="1">
        <v>42292.817974537036</v>
      </c>
      <c r="R5828">
        <v>7</v>
      </c>
      <c r="S5828" t="s">
        <v>31</v>
      </c>
      <c r="T5828" t="s">
        <v>2598</v>
      </c>
      <c r="U5828" t="s">
        <v>2599</v>
      </c>
      <c r="V5828" s="3">
        <v>41857</v>
      </c>
    </row>
    <row r="5829" spans="1:22" x14ac:dyDescent="0.35">
      <c r="A5829" s="1">
        <v>42292.831817129627</v>
      </c>
      <c r="B5829" s="2">
        <v>0</v>
      </c>
      <c r="C5829" t="s">
        <v>106</v>
      </c>
      <c r="D5829" t="s">
        <v>23</v>
      </c>
      <c r="E5829" t="s">
        <v>24</v>
      </c>
      <c r="F5829" t="s">
        <v>2596</v>
      </c>
      <c r="G5829">
        <v>1762797</v>
      </c>
      <c r="H5829" t="s">
        <v>26</v>
      </c>
      <c r="I5829" t="s">
        <v>120</v>
      </c>
      <c r="J5829" t="str">
        <f>"9781118921296"</f>
        <v>9781118921296</v>
      </c>
      <c r="L5829">
        <v>0</v>
      </c>
      <c r="O5829" t="s">
        <v>28</v>
      </c>
      <c r="P5829" t="s">
        <v>29</v>
      </c>
      <c r="Q5829" s="1">
        <v>42292.817974537036</v>
      </c>
      <c r="R5829">
        <v>7</v>
      </c>
      <c r="S5829" t="s">
        <v>31</v>
      </c>
      <c r="T5829" t="s">
        <v>2598</v>
      </c>
      <c r="U5829" t="s">
        <v>2599</v>
      </c>
      <c r="V5829" s="3">
        <v>41857</v>
      </c>
    </row>
    <row r="5830" spans="1:22" x14ac:dyDescent="0.35">
      <c r="A5830" s="1">
        <v>42292.830254629633</v>
      </c>
      <c r="B5830" s="2">
        <v>0</v>
      </c>
      <c r="C5830" t="s">
        <v>210</v>
      </c>
      <c r="D5830" t="s">
        <v>211</v>
      </c>
      <c r="E5830" t="s">
        <v>212</v>
      </c>
      <c r="F5830" t="s">
        <v>4494</v>
      </c>
      <c r="G5830">
        <v>565082</v>
      </c>
      <c r="H5830" t="s">
        <v>26</v>
      </c>
      <c r="I5830" t="s">
        <v>69</v>
      </c>
      <c r="J5830" t="str">
        <f>"9781118041567"</f>
        <v>9781118041567</v>
      </c>
      <c r="L5830">
        <v>0</v>
      </c>
      <c r="N5830" t="s">
        <v>9172</v>
      </c>
      <c r="O5830" t="s">
        <v>30</v>
      </c>
      <c r="P5830" t="s">
        <v>29</v>
      </c>
      <c r="Q5830" s="1">
        <v>42292.830254629633</v>
      </c>
      <c r="R5830">
        <v>7</v>
      </c>
      <c r="S5830" t="s">
        <v>214</v>
      </c>
      <c r="T5830" t="s">
        <v>4496</v>
      </c>
      <c r="U5830" t="s">
        <v>4497</v>
      </c>
      <c r="V5830" s="3">
        <v>40337</v>
      </c>
    </row>
    <row r="5831" spans="1:22" x14ac:dyDescent="0.35">
      <c r="A5831" s="1">
        <v>42292.829895833333</v>
      </c>
      <c r="B5831" s="2">
        <v>0</v>
      </c>
      <c r="C5831" t="s">
        <v>106</v>
      </c>
      <c r="D5831" t="s">
        <v>23</v>
      </c>
      <c r="E5831" t="s">
        <v>24</v>
      </c>
      <c r="F5831" t="s">
        <v>2596</v>
      </c>
      <c r="G5831">
        <v>1762797</v>
      </c>
      <c r="H5831" t="s">
        <v>26</v>
      </c>
      <c r="I5831" t="s">
        <v>120</v>
      </c>
      <c r="J5831" t="str">
        <f>"9781118921296"</f>
        <v>9781118921296</v>
      </c>
      <c r="L5831">
        <v>0</v>
      </c>
      <c r="O5831" t="s">
        <v>28</v>
      </c>
      <c r="P5831" t="s">
        <v>29</v>
      </c>
      <c r="Q5831" s="1">
        <v>42292.817974537036</v>
      </c>
      <c r="R5831">
        <v>7</v>
      </c>
      <c r="S5831" t="s">
        <v>31</v>
      </c>
      <c r="T5831" t="s">
        <v>2598</v>
      </c>
      <c r="U5831" t="s">
        <v>2599</v>
      </c>
      <c r="V5831" s="3">
        <v>41857</v>
      </c>
    </row>
    <row r="5832" spans="1:22" x14ac:dyDescent="0.35">
      <c r="A5832" s="1">
        <v>42292.829317129632</v>
      </c>
      <c r="B5832" s="2">
        <v>1.3888888888888889E-4</v>
      </c>
      <c r="C5832" t="s">
        <v>9173</v>
      </c>
      <c r="D5832" t="s">
        <v>211</v>
      </c>
      <c r="E5832" t="s">
        <v>212</v>
      </c>
      <c r="F5832" t="s">
        <v>4494</v>
      </c>
      <c r="G5832">
        <v>565082</v>
      </c>
      <c r="H5832" t="s">
        <v>26</v>
      </c>
      <c r="I5832" t="s">
        <v>69</v>
      </c>
      <c r="J5832" t="str">
        <f>"9781118041567"</f>
        <v>9781118041567</v>
      </c>
      <c r="K5832" t="s">
        <v>9174</v>
      </c>
      <c r="L5832">
        <v>6</v>
      </c>
      <c r="N5832" t="s">
        <v>9175</v>
      </c>
      <c r="O5832" t="s">
        <v>30</v>
      </c>
      <c r="P5832" t="s">
        <v>29</v>
      </c>
      <c r="Q5832" s="1">
        <v>42292.542569444442</v>
      </c>
      <c r="R5832">
        <v>7</v>
      </c>
      <c r="S5832" t="s">
        <v>214</v>
      </c>
      <c r="T5832" t="s">
        <v>4496</v>
      </c>
      <c r="U5832" t="s">
        <v>4497</v>
      </c>
      <c r="V5832" s="3">
        <v>40337</v>
      </c>
    </row>
    <row r="5833" spans="1:22" x14ac:dyDescent="0.35">
      <c r="A5833" s="1">
        <v>42292.829270833332</v>
      </c>
      <c r="B5833" s="2">
        <v>2.3148148148148147E-5</v>
      </c>
      <c r="C5833" t="s">
        <v>9173</v>
      </c>
      <c r="D5833" t="s">
        <v>211</v>
      </c>
      <c r="E5833" t="s">
        <v>212</v>
      </c>
      <c r="F5833" t="s">
        <v>4494</v>
      </c>
      <c r="G5833">
        <v>565082</v>
      </c>
      <c r="H5833" t="s">
        <v>26</v>
      </c>
      <c r="I5833" t="s">
        <v>69</v>
      </c>
      <c r="J5833" t="str">
        <f>"9781118041567"</f>
        <v>9781118041567</v>
      </c>
      <c r="K5833" t="s">
        <v>1300</v>
      </c>
      <c r="L5833">
        <v>2</v>
      </c>
      <c r="O5833" t="s">
        <v>30</v>
      </c>
      <c r="P5833" t="s">
        <v>29</v>
      </c>
      <c r="Q5833" s="1">
        <v>42292.542569444442</v>
      </c>
      <c r="R5833">
        <v>7</v>
      </c>
      <c r="S5833" t="s">
        <v>214</v>
      </c>
      <c r="T5833" t="s">
        <v>4496</v>
      </c>
      <c r="U5833" t="s">
        <v>4497</v>
      </c>
      <c r="V5833" s="3">
        <v>40337</v>
      </c>
    </row>
    <row r="5834" spans="1:22" x14ac:dyDescent="0.35">
      <c r="A5834" s="1">
        <v>42292.829050925924</v>
      </c>
      <c r="B5834" s="2">
        <v>1.2037037037037038E-3</v>
      </c>
      <c r="C5834" t="s">
        <v>210</v>
      </c>
      <c r="D5834" t="s">
        <v>211</v>
      </c>
      <c r="E5834" t="s">
        <v>212</v>
      </c>
      <c r="F5834" t="s">
        <v>4494</v>
      </c>
      <c r="G5834">
        <v>565082</v>
      </c>
      <c r="H5834" t="s">
        <v>26</v>
      </c>
      <c r="I5834" t="s">
        <v>69</v>
      </c>
      <c r="J5834" t="str">
        <f>"9781118041567"</f>
        <v>9781118041567</v>
      </c>
      <c r="K5834" t="s">
        <v>9176</v>
      </c>
      <c r="L5834">
        <v>50</v>
      </c>
      <c r="O5834" t="s">
        <v>30</v>
      </c>
      <c r="P5834" t="s">
        <v>42</v>
      </c>
      <c r="S5834" t="s">
        <v>214</v>
      </c>
      <c r="T5834" t="s">
        <v>4496</v>
      </c>
      <c r="U5834" t="s">
        <v>4497</v>
      </c>
      <c r="V5834" s="3">
        <v>40337</v>
      </c>
    </row>
    <row r="5835" spans="1:22" x14ac:dyDescent="0.35">
      <c r="A5835" s="1">
        <v>42292.826469907406</v>
      </c>
      <c r="B5835" s="2">
        <v>1.273148148148148E-4</v>
      </c>
      <c r="C5835" t="s">
        <v>9177</v>
      </c>
      <c r="D5835" t="s">
        <v>23</v>
      </c>
      <c r="E5835" t="s">
        <v>24</v>
      </c>
      <c r="F5835" t="s">
        <v>2596</v>
      </c>
      <c r="G5835">
        <v>1762797</v>
      </c>
      <c r="H5835" t="s">
        <v>26</v>
      </c>
      <c r="I5835" t="s">
        <v>120</v>
      </c>
      <c r="J5835" t="str">
        <f>"9781118921296"</f>
        <v>9781118921296</v>
      </c>
      <c r="K5835" t="s">
        <v>33</v>
      </c>
      <c r="L5835">
        <v>3</v>
      </c>
      <c r="O5835" t="s">
        <v>30</v>
      </c>
      <c r="P5835" t="s">
        <v>42</v>
      </c>
      <c r="S5835" t="s">
        <v>31</v>
      </c>
      <c r="T5835" t="s">
        <v>2598</v>
      </c>
      <c r="U5835" t="s">
        <v>2599</v>
      </c>
      <c r="V5835" s="3">
        <v>41857</v>
      </c>
    </row>
    <row r="5836" spans="1:22" x14ac:dyDescent="0.35">
      <c r="A5836" s="1">
        <v>42292.826122685183</v>
      </c>
      <c r="B5836" s="2">
        <v>1.689814814814815E-3</v>
      </c>
      <c r="C5836" t="s">
        <v>9178</v>
      </c>
      <c r="D5836" t="s">
        <v>211</v>
      </c>
      <c r="E5836" t="s">
        <v>212</v>
      </c>
      <c r="F5836" t="s">
        <v>9179</v>
      </c>
      <c r="G5836">
        <v>1132869</v>
      </c>
      <c r="H5836" t="s">
        <v>26</v>
      </c>
      <c r="I5836" t="s">
        <v>97</v>
      </c>
      <c r="J5836" t="str">
        <f>"9781118502631"</f>
        <v>9781118502631</v>
      </c>
      <c r="K5836" t="s">
        <v>9180</v>
      </c>
      <c r="L5836">
        <v>14</v>
      </c>
      <c r="O5836" t="s">
        <v>30</v>
      </c>
      <c r="P5836" t="s">
        <v>29</v>
      </c>
      <c r="Q5836" s="1">
        <v>42292.826122685183</v>
      </c>
      <c r="R5836">
        <v>7</v>
      </c>
      <c r="S5836" t="s">
        <v>214</v>
      </c>
      <c r="T5836" t="s">
        <v>9181</v>
      </c>
      <c r="U5836">
        <v>657</v>
      </c>
      <c r="V5836" s="3">
        <v>41327</v>
      </c>
    </row>
    <row r="5837" spans="1:22" x14ac:dyDescent="0.35">
      <c r="A5837" s="1">
        <v>42292.820300925923</v>
      </c>
      <c r="B5837" s="2">
        <v>0</v>
      </c>
      <c r="C5837" t="s">
        <v>106</v>
      </c>
      <c r="D5837" t="s">
        <v>23</v>
      </c>
      <c r="E5837" t="s">
        <v>24</v>
      </c>
      <c r="F5837" t="s">
        <v>2596</v>
      </c>
      <c r="G5837">
        <v>1762797</v>
      </c>
      <c r="H5837" t="s">
        <v>26</v>
      </c>
      <c r="I5837" t="s">
        <v>120</v>
      </c>
      <c r="J5837" t="str">
        <f>"9781118921296"</f>
        <v>9781118921296</v>
      </c>
      <c r="L5837">
        <v>0</v>
      </c>
      <c r="O5837" t="s">
        <v>28</v>
      </c>
      <c r="P5837" t="s">
        <v>29</v>
      </c>
      <c r="Q5837" s="1">
        <v>42292.817974537036</v>
      </c>
      <c r="R5837">
        <v>7</v>
      </c>
      <c r="S5837" t="s">
        <v>31</v>
      </c>
      <c r="T5837" t="s">
        <v>2598</v>
      </c>
      <c r="U5837" t="s">
        <v>2599</v>
      </c>
      <c r="V5837" s="3">
        <v>41857</v>
      </c>
    </row>
    <row r="5838" spans="1:22" x14ac:dyDescent="0.35">
      <c r="A5838" s="1">
        <v>42292.820069444446</v>
      </c>
      <c r="B5838" s="2">
        <v>0</v>
      </c>
      <c r="C5838" t="s">
        <v>106</v>
      </c>
      <c r="D5838" t="s">
        <v>23</v>
      </c>
      <c r="E5838" t="s">
        <v>24</v>
      </c>
      <c r="F5838" t="s">
        <v>2596</v>
      </c>
      <c r="G5838">
        <v>1762797</v>
      </c>
      <c r="H5838" t="s">
        <v>26</v>
      </c>
      <c r="I5838" t="s">
        <v>120</v>
      </c>
      <c r="J5838" t="str">
        <f>"9781118921296"</f>
        <v>9781118921296</v>
      </c>
      <c r="L5838">
        <v>0</v>
      </c>
      <c r="O5838" t="s">
        <v>28</v>
      </c>
      <c r="P5838" t="s">
        <v>29</v>
      </c>
      <c r="Q5838" s="1">
        <v>42292.817974537036</v>
      </c>
      <c r="R5838">
        <v>7</v>
      </c>
      <c r="S5838" t="s">
        <v>31</v>
      </c>
      <c r="T5838" t="s">
        <v>2598</v>
      </c>
      <c r="U5838" t="s">
        <v>2599</v>
      </c>
      <c r="V5838" s="3">
        <v>41857</v>
      </c>
    </row>
    <row r="5839" spans="1:22" x14ac:dyDescent="0.35">
      <c r="A5839" s="1">
        <v>42292.819247685184</v>
      </c>
      <c r="B5839" s="2">
        <v>3.7037037037037035E-4</v>
      </c>
      <c r="C5839" t="s">
        <v>106</v>
      </c>
      <c r="D5839" t="s">
        <v>23</v>
      </c>
      <c r="E5839" t="s">
        <v>24</v>
      </c>
      <c r="F5839" t="s">
        <v>2596</v>
      </c>
      <c r="G5839">
        <v>1762797</v>
      </c>
      <c r="H5839" t="s">
        <v>26</v>
      </c>
      <c r="I5839" t="s">
        <v>120</v>
      </c>
      <c r="J5839" t="str">
        <f>"9781118921296"</f>
        <v>9781118921296</v>
      </c>
      <c r="K5839" t="s">
        <v>33</v>
      </c>
      <c r="L5839">
        <v>3</v>
      </c>
      <c r="O5839" t="s">
        <v>28</v>
      </c>
      <c r="P5839" t="s">
        <v>29</v>
      </c>
      <c r="Q5839" s="1">
        <v>42292.817974537036</v>
      </c>
      <c r="R5839">
        <v>7</v>
      </c>
      <c r="S5839" t="s">
        <v>31</v>
      </c>
      <c r="T5839" t="s">
        <v>2598</v>
      </c>
      <c r="U5839" t="s">
        <v>2599</v>
      </c>
      <c r="V5839" s="3">
        <v>41857</v>
      </c>
    </row>
    <row r="5840" spans="1:22" x14ac:dyDescent="0.35">
      <c r="A5840" s="1">
        <v>42292.818981481483</v>
      </c>
      <c r="B5840" s="2">
        <v>0</v>
      </c>
      <c r="C5840" t="s">
        <v>106</v>
      </c>
      <c r="D5840" t="s">
        <v>23</v>
      </c>
      <c r="E5840" t="s">
        <v>24</v>
      </c>
      <c r="F5840" t="s">
        <v>2596</v>
      </c>
      <c r="G5840">
        <v>1762797</v>
      </c>
      <c r="H5840" t="s">
        <v>26</v>
      </c>
      <c r="I5840" t="s">
        <v>120</v>
      </c>
      <c r="J5840" t="str">
        <f>"9781118921296"</f>
        <v>9781118921296</v>
      </c>
      <c r="L5840">
        <v>0</v>
      </c>
      <c r="O5840" t="s">
        <v>28</v>
      </c>
      <c r="P5840" t="s">
        <v>29</v>
      </c>
      <c r="Q5840" s="1">
        <v>42292.817974537036</v>
      </c>
      <c r="R5840">
        <v>7</v>
      </c>
      <c r="S5840" t="s">
        <v>31</v>
      </c>
      <c r="T5840" t="s">
        <v>2598</v>
      </c>
      <c r="U5840" t="s">
        <v>2599</v>
      </c>
      <c r="V5840" s="3">
        <v>41857</v>
      </c>
    </row>
    <row r="5841" spans="1:22" x14ac:dyDescent="0.35">
      <c r="A5841" s="1">
        <v>42292.818460648145</v>
      </c>
      <c r="B5841" s="2">
        <v>0</v>
      </c>
      <c r="C5841" t="s">
        <v>106</v>
      </c>
      <c r="D5841" t="s">
        <v>23</v>
      </c>
      <c r="E5841" t="s">
        <v>24</v>
      </c>
      <c r="F5841" t="s">
        <v>2596</v>
      </c>
      <c r="G5841">
        <v>1762797</v>
      </c>
      <c r="H5841" t="s">
        <v>26</v>
      </c>
      <c r="I5841" t="s">
        <v>120</v>
      </c>
      <c r="J5841" t="str">
        <f>"9781118921296"</f>
        <v>9781118921296</v>
      </c>
      <c r="L5841">
        <v>0</v>
      </c>
      <c r="O5841" t="s">
        <v>28</v>
      </c>
      <c r="P5841" t="s">
        <v>29</v>
      </c>
      <c r="Q5841" s="1">
        <v>42292.817974537036</v>
      </c>
      <c r="R5841">
        <v>7</v>
      </c>
      <c r="S5841" t="s">
        <v>31</v>
      </c>
      <c r="T5841" t="s">
        <v>2598</v>
      </c>
      <c r="U5841" t="s">
        <v>2599</v>
      </c>
      <c r="V5841" s="3">
        <v>41857</v>
      </c>
    </row>
    <row r="5842" spans="1:22" x14ac:dyDescent="0.35">
      <c r="A5842" s="1">
        <v>42292.818402777775</v>
      </c>
      <c r="B5842" s="2">
        <v>7.719907407407408E-3</v>
      </c>
      <c r="C5842" t="s">
        <v>9178</v>
      </c>
      <c r="D5842" t="s">
        <v>211</v>
      </c>
      <c r="E5842" t="s">
        <v>212</v>
      </c>
      <c r="F5842" t="s">
        <v>9179</v>
      </c>
      <c r="G5842">
        <v>1132869</v>
      </c>
      <c r="H5842" t="s">
        <v>26</v>
      </c>
      <c r="I5842" t="s">
        <v>97</v>
      </c>
      <c r="J5842" t="str">
        <f>"9781118502631"</f>
        <v>9781118502631</v>
      </c>
      <c r="K5842" t="s">
        <v>9182</v>
      </c>
      <c r="L5842">
        <v>21</v>
      </c>
      <c r="O5842" t="s">
        <v>30</v>
      </c>
      <c r="P5842" t="s">
        <v>42</v>
      </c>
      <c r="S5842" t="s">
        <v>214</v>
      </c>
      <c r="T5842" t="s">
        <v>9181</v>
      </c>
      <c r="U5842">
        <v>657</v>
      </c>
      <c r="V5842" s="3">
        <v>41327</v>
      </c>
    </row>
    <row r="5843" spans="1:22" x14ac:dyDescent="0.35">
      <c r="A5843" s="1">
        <v>42292.817974537036</v>
      </c>
      <c r="B5843" s="2">
        <v>3.8194444444444446E-4</v>
      </c>
      <c r="C5843" t="s">
        <v>106</v>
      </c>
      <c r="D5843" t="s">
        <v>23</v>
      </c>
      <c r="E5843" t="s">
        <v>24</v>
      </c>
      <c r="F5843" t="s">
        <v>2596</v>
      </c>
      <c r="G5843">
        <v>1762797</v>
      </c>
      <c r="H5843" t="s">
        <v>26</v>
      </c>
      <c r="I5843" t="s">
        <v>120</v>
      </c>
      <c r="J5843" t="str">
        <f>"9781118921296"</f>
        <v>9781118921296</v>
      </c>
      <c r="K5843" t="s">
        <v>9183</v>
      </c>
      <c r="L5843">
        <v>3</v>
      </c>
      <c r="M5843" t="s">
        <v>2111</v>
      </c>
      <c r="O5843" t="s">
        <v>30</v>
      </c>
      <c r="P5843" t="s">
        <v>29</v>
      </c>
      <c r="Q5843" s="1">
        <v>42292.817974537036</v>
      </c>
      <c r="R5843">
        <v>7</v>
      </c>
      <c r="S5843" t="s">
        <v>31</v>
      </c>
      <c r="T5843" t="s">
        <v>2598</v>
      </c>
      <c r="U5843" t="s">
        <v>2599</v>
      </c>
      <c r="V5843" s="3">
        <v>41857</v>
      </c>
    </row>
    <row r="5844" spans="1:22" x14ac:dyDescent="0.35">
      <c r="A5844" s="1">
        <v>42292.815717592595</v>
      </c>
      <c r="B5844" s="2">
        <v>2.2569444444444447E-3</v>
      </c>
      <c r="C5844" t="s">
        <v>106</v>
      </c>
      <c r="D5844" t="s">
        <v>23</v>
      </c>
      <c r="E5844" t="s">
        <v>24</v>
      </c>
      <c r="F5844" t="s">
        <v>2596</v>
      </c>
      <c r="G5844">
        <v>1762797</v>
      </c>
      <c r="H5844" t="s">
        <v>26</v>
      </c>
      <c r="I5844" t="s">
        <v>120</v>
      </c>
      <c r="J5844" t="str">
        <f>"9781118921296"</f>
        <v>9781118921296</v>
      </c>
      <c r="K5844" t="s">
        <v>2353</v>
      </c>
      <c r="L5844">
        <v>13</v>
      </c>
      <c r="O5844" t="s">
        <v>30</v>
      </c>
      <c r="P5844" t="s">
        <v>42</v>
      </c>
      <c r="S5844" t="s">
        <v>31</v>
      </c>
      <c r="T5844" t="s">
        <v>2598</v>
      </c>
      <c r="U5844" t="s">
        <v>2599</v>
      </c>
      <c r="V5844" s="3">
        <v>41857</v>
      </c>
    </row>
    <row r="5845" spans="1:22" x14ac:dyDescent="0.35">
      <c r="A5845" s="1">
        <v>42292.780659722222</v>
      </c>
      <c r="B5845" s="2">
        <v>2.8587962962962963E-3</v>
      </c>
      <c r="C5845" t="s">
        <v>4442</v>
      </c>
      <c r="D5845" t="s">
        <v>23</v>
      </c>
      <c r="E5845" t="s">
        <v>24</v>
      </c>
      <c r="F5845" t="s">
        <v>9184</v>
      </c>
      <c r="G5845">
        <v>1124085</v>
      </c>
      <c r="H5845" t="s">
        <v>26</v>
      </c>
      <c r="I5845" t="s">
        <v>120</v>
      </c>
      <c r="J5845" t="str">
        <f>"9781118420621"</f>
        <v>9781118420621</v>
      </c>
      <c r="K5845" t="s">
        <v>9185</v>
      </c>
      <c r="L5845">
        <v>7</v>
      </c>
      <c r="M5845" t="s">
        <v>9186</v>
      </c>
      <c r="O5845" t="s">
        <v>28</v>
      </c>
      <c r="P5845" t="s">
        <v>29</v>
      </c>
      <c r="Q5845" s="1">
        <v>42292.77244212963</v>
      </c>
      <c r="R5845">
        <v>7</v>
      </c>
      <c r="S5845" t="s">
        <v>31</v>
      </c>
      <c r="T5845" t="s">
        <v>9187</v>
      </c>
      <c r="U5845">
        <v>303.49</v>
      </c>
      <c r="V5845" s="3">
        <v>41310</v>
      </c>
    </row>
    <row r="5846" spans="1:22" x14ac:dyDescent="0.35">
      <c r="A5846" s="1">
        <v>42292.779895833337</v>
      </c>
      <c r="B5846" s="2">
        <v>5.7870370370370378E-4</v>
      </c>
      <c r="C5846" t="s">
        <v>4442</v>
      </c>
      <c r="D5846" t="s">
        <v>23</v>
      </c>
      <c r="E5846" t="s">
        <v>24</v>
      </c>
      <c r="F5846" t="s">
        <v>9184</v>
      </c>
      <c r="G5846">
        <v>1124085</v>
      </c>
      <c r="H5846" t="s">
        <v>26</v>
      </c>
      <c r="I5846" t="s">
        <v>120</v>
      </c>
      <c r="J5846" t="str">
        <f>"9781118420621"</f>
        <v>9781118420621</v>
      </c>
      <c r="K5846" t="s">
        <v>9188</v>
      </c>
      <c r="L5846">
        <v>24</v>
      </c>
      <c r="O5846" t="s">
        <v>30</v>
      </c>
      <c r="P5846" t="s">
        <v>29</v>
      </c>
      <c r="Q5846" s="1">
        <v>42292.77244212963</v>
      </c>
      <c r="R5846">
        <v>7</v>
      </c>
      <c r="S5846" t="s">
        <v>31</v>
      </c>
      <c r="T5846" t="s">
        <v>9187</v>
      </c>
      <c r="U5846">
        <v>303.49</v>
      </c>
      <c r="V5846" s="3">
        <v>41310</v>
      </c>
    </row>
    <row r="5847" spans="1:22" x14ac:dyDescent="0.35">
      <c r="A5847" s="1">
        <v>42292.77853009259</v>
      </c>
      <c r="B5847" s="2">
        <v>1.6203703703703703E-3</v>
      </c>
      <c r="C5847" t="s">
        <v>9189</v>
      </c>
      <c r="D5847" t="s">
        <v>125</v>
      </c>
      <c r="E5847" t="s">
        <v>126</v>
      </c>
      <c r="F5847" t="s">
        <v>5228</v>
      </c>
      <c r="G5847">
        <v>1034770</v>
      </c>
      <c r="H5847" t="s">
        <v>91</v>
      </c>
      <c r="I5847" t="s">
        <v>247</v>
      </c>
      <c r="J5847" t="str">
        <f>"9781462507566"</f>
        <v>9781462507566</v>
      </c>
      <c r="K5847" t="s">
        <v>9190</v>
      </c>
      <c r="L5847">
        <v>11</v>
      </c>
      <c r="O5847" t="s">
        <v>30</v>
      </c>
      <c r="P5847" t="s">
        <v>42</v>
      </c>
      <c r="S5847" t="s">
        <v>128</v>
      </c>
      <c r="T5847" t="s">
        <v>5230</v>
      </c>
      <c r="U5847">
        <v>616.85839999999996</v>
      </c>
      <c r="V5847" s="3">
        <v>41567</v>
      </c>
    </row>
    <row r="5848" spans="1:22" x14ac:dyDescent="0.35">
      <c r="A5848" s="1">
        <v>42292.774178240739</v>
      </c>
      <c r="B5848" s="2">
        <v>0</v>
      </c>
      <c r="C5848" t="s">
        <v>4442</v>
      </c>
      <c r="D5848" t="s">
        <v>23</v>
      </c>
      <c r="E5848" t="s">
        <v>24</v>
      </c>
      <c r="F5848" t="s">
        <v>9184</v>
      </c>
      <c r="G5848">
        <v>1124085</v>
      </c>
      <c r="H5848" t="s">
        <v>26</v>
      </c>
      <c r="I5848" t="s">
        <v>120</v>
      </c>
      <c r="J5848" t="str">
        <f>"9781118420621"</f>
        <v>9781118420621</v>
      </c>
      <c r="L5848">
        <v>0</v>
      </c>
      <c r="O5848" t="s">
        <v>28</v>
      </c>
      <c r="P5848" t="s">
        <v>29</v>
      </c>
      <c r="Q5848" s="1">
        <v>42292.77244212963</v>
      </c>
      <c r="R5848">
        <v>7</v>
      </c>
      <c r="S5848" t="s">
        <v>31</v>
      </c>
      <c r="T5848" t="s">
        <v>9187</v>
      </c>
      <c r="U5848">
        <v>303.49</v>
      </c>
      <c r="V5848" s="3">
        <v>41310</v>
      </c>
    </row>
    <row r="5849" spans="1:22" x14ac:dyDescent="0.35">
      <c r="A5849" s="1">
        <v>42292.773726851854</v>
      </c>
      <c r="B5849" s="2">
        <v>9.6064814814814808E-4</v>
      </c>
      <c r="C5849" t="s">
        <v>5438</v>
      </c>
      <c r="D5849" t="s">
        <v>360</v>
      </c>
      <c r="E5849" t="s">
        <v>361</v>
      </c>
      <c r="F5849" t="s">
        <v>1547</v>
      </c>
      <c r="G5849">
        <v>848510</v>
      </c>
      <c r="H5849" t="s">
        <v>26</v>
      </c>
      <c r="I5849" t="s">
        <v>247</v>
      </c>
      <c r="J5849" t="str">
        <f>"9781118220481"</f>
        <v>9781118220481</v>
      </c>
      <c r="K5849" t="s">
        <v>9191</v>
      </c>
      <c r="L5849">
        <v>16</v>
      </c>
      <c r="O5849" t="s">
        <v>30</v>
      </c>
      <c r="P5849" t="s">
        <v>42</v>
      </c>
      <c r="S5849" t="s">
        <v>363</v>
      </c>
      <c r="T5849" t="s">
        <v>1548</v>
      </c>
      <c r="U5849" t="s">
        <v>1549</v>
      </c>
      <c r="V5849" s="3">
        <v>41066</v>
      </c>
    </row>
    <row r="5850" spans="1:22" x14ac:dyDescent="0.35">
      <c r="A5850" s="1">
        <v>42292.77244212963</v>
      </c>
      <c r="B5850" s="2">
        <v>0</v>
      </c>
      <c r="C5850" t="s">
        <v>4442</v>
      </c>
      <c r="D5850" t="s">
        <v>23</v>
      </c>
      <c r="E5850" t="s">
        <v>24</v>
      </c>
      <c r="F5850" t="s">
        <v>9184</v>
      </c>
      <c r="G5850">
        <v>1124085</v>
      </c>
      <c r="H5850" t="s">
        <v>26</v>
      </c>
      <c r="I5850" t="s">
        <v>120</v>
      </c>
      <c r="J5850" t="str">
        <f>"9781118420621"</f>
        <v>9781118420621</v>
      </c>
      <c r="L5850">
        <v>0</v>
      </c>
      <c r="M5850" t="s">
        <v>5982</v>
      </c>
      <c r="O5850" t="s">
        <v>30</v>
      </c>
      <c r="P5850" t="s">
        <v>29</v>
      </c>
      <c r="Q5850" s="1">
        <v>42292.77244212963</v>
      </c>
      <c r="R5850">
        <v>7</v>
      </c>
      <c r="S5850" t="s">
        <v>31</v>
      </c>
      <c r="T5850" t="s">
        <v>9187</v>
      </c>
      <c r="U5850">
        <v>303.49</v>
      </c>
      <c r="V5850" s="3">
        <v>41310</v>
      </c>
    </row>
    <row r="5851" spans="1:22" x14ac:dyDescent="0.35">
      <c r="A5851" s="1">
        <v>42292.771932870368</v>
      </c>
      <c r="B5851" s="2">
        <v>5.0925925925925921E-4</v>
      </c>
      <c r="C5851" t="s">
        <v>4442</v>
      </c>
      <c r="D5851" t="s">
        <v>23</v>
      </c>
      <c r="E5851" t="s">
        <v>24</v>
      </c>
      <c r="F5851" t="s">
        <v>9184</v>
      </c>
      <c r="G5851">
        <v>1124085</v>
      </c>
      <c r="H5851" t="s">
        <v>26</v>
      </c>
      <c r="I5851" t="s">
        <v>120</v>
      </c>
      <c r="J5851" t="str">
        <f>"9781118420621"</f>
        <v>9781118420621</v>
      </c>
      <c r="K5851" t="s">
        <v>1651</v>
      </c>
      <c r="L5851">
        <v>11</v>
      </c>
      <c r="O5851" t="s">
        <v>30</v>
      </c>
      <c r="P5851" t="s">
        <v>42</v>
      </c>
      <c r="S5851" t="s">
        <v>31</v>
      </c>
      <c r="T5851" t="s">
        <v>9187</v>
      </c>
      <c r="U5851">
        <v>303.49</v>
      </c>
      <c r="V5851" s="3">
        <v>41310</v>
      </c>
    </row>
    <row r="5852" spans="1:22" x14ac:dyDescent="0.35">
      <c r="A5852" s="1">
        <v>42292.765439814815</v>
      </c>
      <c r="B5852" s="2">
        <v>2.4305555555555552E-4</v>
      </c>
      <c r="C5852" t="s">
        <v>9192</v>
      </c>
      <c r="D5852" t="s">
        <v>623</v>
      </c>
      <c r="E5852" t="s">
        <v>624</v>
      </c>
      <c r="F5852" t="s">
        <v>9193</v>
      </c>
      <c r="G5852">
        <v>1895593</v>
      </c>
      <c r="H5852" t="s">
        <v>26</v>
      </c>
      <c r="I5852" t="s">
        <v>8131</v>
      </c>
      <c r="J5852" t="str">
        <f>"9781118770634"</f>
        <v>9781118770634</v>
      </c>
      <c r="K5852" t="s">
        <v>1197</v>
      </c>
      <c r="L5852">
        <v>3</v>
      </c>
      <c r="O5852" t="s">
        <v>30</v>
      </c>
      <c r="P5852" t="s">
        <v>50</v>
      </c>
      <c r="S5852" t="s">
        <v>627</v>
      </c>
      <c r="T5852" t="s">
        <v>9194</v>
      </c>
      <c r="U5852" t="s">
        <v>9195</v>
      </c>
      <c r="V5852" s="3">
        <v>42118</v>
      </c>
    </row>
    <row r="5853" spans="1:22" x14ac:dyDescent="0.35">
      <c r="A5853" s="1">
        <v>42292.763414351852</v>
      </c>
      <c r="B5853" s="2">
        <v>1.1111111111111111E-3</v>
      </c>
      <c r="C5853" t="s">
        <v>9192</v>
      </c>
      <c r="D5853" t="s">
        <v>623</v>
      </c>
      <c r="E5853" t="s">
        <v>624</v>
      </c>
      <c r="F5853" t="s">
        <v>9196</v>
      </c>
      <c r="G5853">
        <v>1776319</v>
      </c>
      <c r="H5853" t="s">
        <v>26</v>
      </c>
      <c r="I5853" t="s">
        <v>297</v>
      </c>
      <c r="J5853" t="str">
        <f>"9781118789384"</f>
        <v>9781118789384</v>
      </c>
      <c r="K5853" t="s">
        <v>9197</v>
      </c>
      <c r="L5853">
        <v>14</v>
      </c>
      <c r="O5853" t="s">
        <v>30</v>
      </c>
      <c r="P5853" t="s">
        <v>50</v>
      </c>
      <c r="S5853" t="s">
        <v>627</v>
      </c>
      <c r="T5853" t="s">
        <v>9198</v>
      </c>
      <c r="U5853">
        <v>518</v>
      </c>
      <c r="V5853" s="3">
        <v>41879</v>
      </c>
    </row>
    <row r="5854" spans="1:22" x14ac:dyDescent="0.35">
      <c r="A5854" s="1">
        <v>42292.761111111111</v>
      </c>
      <c r="B5854" s="2">
        <v>2.0138888888888888E-3</v>
      </c>
      <c r="C5854" t="s">
        <v>9192</v>
      </c>
      <c r="D5854" t="s">
        <v>623</v>
      </c>
      <c r="E5854" t="s">
        <v>624</v>
      </c>
      <c r="F5854" t="s">
        <v>9199</v>
      </c>
      <c r="G5854">
        <v>1443883</v>
      </c>
      <c r="H5854" t="s">
        <v>26</v>
      </c>
      <c r="I5854" t="s">
        <v>297</v>
      </c>
      <c r="J5854" t="str">
        <f>"9781118552032"</f>
        <v>9781118552032</v>
      </c>
      <c r="K5854" t="s">
        <v>9200</v>
      </c>
      <c r="L5854">
        <v>27</v>
      </c>
      <c r="O5854" t="s">
        <v>30</v>
      </c>
      <c r="P5854" t="s">
        <v>42</v>
      </c>
      <c r="S5854" t="s">
        <v>627</v>
      </c>
      <c r="T5854" t="s">
        <v>9201</v>
      </c>
      <c r="U5854">
        <v>512</v>
      </c>
      <c r="V5854" s="3">
        <v>41547</v>
      </c>
    </row>
    <row r="5855" spans="1:22" x14ac:dyDescent="0.35">
      <c r="A5855" s="1">
        <v>42292.760300925926</v>
      </c>
      <c r="B5855" s="2">
        <v>2.5462962962962961E-4</v>
      </c>
      <c r="C5855" t="s">
        <v>9192</v>
      </c>
      <c r="D5855" t="s">
        <v>623</v>
      </c>
      <c r="E5855" t="s">
        <v>624</v>
      </c>
      <c r="F5855" t="s">
        <v>9202</v>
      </c>
      <c r="G5855">
        <v>1895918</v>
      </c>
      <c r="H5855" t="s">
        <v>26</v>
      </c>
      <c r="I5855" t="s">
        <v>297</v>
      </c>
      <c r="J5855" t="str">
        <f>"9781119015314"</f>
        <v>9781119015314</v>
      </c>
      <c r="K5855" t="s">
        <v>536</v>
      </c>
      <c r="L5855">
        <v>3</v>
      </c>
      <c r="O5855" t="s">
        <v>30</v>
      </c>
      <c r="P5855" t="s">
        <v>42</v>
      </c>
      <c r="S5855" t="s">
        <v>627</v>
      </c>
      <c r="T5855" t="s">
        <v>9203</v>
      </c>
      <c r="U5855">
        <v>515</v>
      </c>
      <c r="V5855" s="3">
        <v>42213</v>
      </c>
    </row>
    <row r="5856" spans="1:22" x14ac:dyDescent="0.35">
      <c r="A5856" s="1">
        <v>42292.754062499997</v>
      </c>
      <c r="B5856" s="2">
        <v>3.9351851851851857E-3</v>
      </c>
      <c r="C5856" t="s">
        <v>9204</v>
      </c>
      <c r="D5856" t="s">
        <v>35</v>
      </c>
      <c r="E5856" t="s">
        <v>36</v>
      </c>
      <c r="F5856" t="s">
        <v>9205</v>
      </c>
      <c r="G5856">
        <v>1875898</v>
      </c>
      <c r="H5856" t="s">
        <v>26</v>
      </c>
      <c r="I5856" t="s">
        <v>276</v>
      </c>
      <c r="J5856" t="str">
        <f>"9781118908891"</f>
        <v>9781118908891</v>
      </c>
      <c r="K5856" t="s">
        <v>9206</v>
      </c>
      <c r="L5856">
        <v>7</v>
      </c>
      <c r="M5856" t="s">
        <v>173</v>
      </c>
      <c r="O5856" t="s">
        <v>30</v>
      </c>
      <c r="P5856" t="s">
        <v>29</v>
      </c>
      <c r="Q5856" s="1">
        <v>42292.754062499997</v>
      </c>
      <c r="R5856">
        <v>7</v>
      </c>
      <c r="S5856" t="s">
        <v>40</v>
      </c>
      <c r="T5856" t="s">
        <v>9207</v>
      </c>
      <c r="U5856">
        <v>5.133</v>
      </c>
      <c r="V5856" s="3">
        <v>41967</v>
      </c>
    </row>
    <row r="5857" spans="1:22" x14ac:dyDescent="0.35">
      <c r="A5857" s="1">
        <v>42292.752291666664</v>
      </c>
      <c r="B5857" s="2">
        <v>1.7708333333333332E-3</v>
      </c>
      <c r="C5857" t="s">
        <v>9204</v>
      </c>
      <c r="D5857" t="s">
        <v>35</v>
      </c>
      <c r="E5857" t="s">
        <v>36</v>
      </c>
      <c r="F5857" t="s">
        <v>9205</v>
      </c>
      <c r="G5857">
        <v>1875898</v>
      </c>
      <c r="H5857" t="s">
        <v>26</v>
      </c>
      <c r="I5857" t="s">
        <v>276</v>
      </c>
      <c r="J5857" t="str">
        <f>"9781118908891"</f>
        <v>9781118908891</v>
      </c>
      <c r="K5857" t="s">
        <v>9208</v>
      </c>
      <c r="L5857">
        <v>21</v>
      </c>
      <c r="O5857" t="s">
        <v>30</v>
      </c>
      <c r="P5857" t="s">
        <v>42</v>
      </c>
      <c r="S5857" t="s">
        <v>40</v>
      </c>
      <c r="T5857" t="s">
        <v>9207</v>
      </c>
      <c r="U5857">
        <v>5.133</v>
      </c>
      <c r="V5857" s="3">
        <v>41967</v>
      </c>
    </row>
    <row r="5858" spans="1:22" x14ac:dyDescent="0.35">
      <c r="A5858" s="1">
        <v>42292.751331018517</v>
      </c>
      <c r="B5858" s="2">
        <v>3.4722222222222222E-5</v>
      </c>
      <c r="C5858" t="s">
        <v>9209</v>
      </c>
      <c r="D5858" t="s">
        <v>158</v>
      </c>
      <c r="E5858" t="s">
        <v>159</v>
      </c>
      <c r="F5858" t="s">
        <v>3973</v>
      </c>
      <c r="G5858">
        <v>771049</v>
      </c>
      <c r="H5858" t="s">
        <v>3465</v>
      </c>
      <c r="I5858" t="s">
        <v>3974</v>
      </c>
      <c r="J5858" t="str">
        <f>"9781608706648"</f>
        <v>9781608706648</v>
      </c>
      <c r="K5858" t="s">
        <v>105</v>
      </c>
      <c r="L5858">
        <v>1</v>
      </c>
      <c r="O5858" t="s">
        <v>30</v>
      </c>
      <c r="P5858" t="s">
        <v>42</v>
      </c>
      <c r="S5858" t="s">
        <v>163</v>
      </c>
      <c r="T5858" t="s">
        <v>3976</v>
      </c>
      <c r="U5858">
        <v>363.73874000000001</v>
      </c>
      <c r="V5858" s="3">
        <v>40909</v>
      </c>
    </row>
    <row r="5859" spans="1:22" x14ac:dyDescent="0.35">
      <c r="A5859" s="1">
        <v>42292.750335648147</v>
      </c>
      <c r="B5859" s="2">
        <v>5.6597222222222222E-3</v>
      </c>
      <c r="C5859" t="s">
        <v>9192</v>
      </c>
      <c r="D5859" t="s">
        <v>623</v>
      </c>
      <c r="E5859" t="s">
        <v>624</v>
      </c>
      <c r="F5859" t="s">
        <v>9210</v>
      </c>
      <c r="G5859">
        <v>1896027</v>
      </c>
      <c r="H5859" t="s">
        <v>26</v>
      </c>
      <c r="I5859" t="s">
        <v>297</v>
      </c>
      <c r="J5859" t="str">
        <f>"9781119062790"</f>
        <v>9781119062790</v>
      </c>
      <c r="K5859" t="s">
        <v>9211</v>
      </c>
      <c r="L5859">
        <v>17</v>
      </c>
      <c r="O5859" t="s">
        <v>30</v>
      </c>
      <c r="P5859" t="s">
        <v>47</v>
      </c>
      <c r="Q5859" s="1">
        <v>42291.869826388887</v>
      </c>
      <c r="R5859">
        <v>1</v>
      </c>
      <c r="S5859" t="s">
        <v>627</v>
      </c>
      <c r="T5859" t="s">
        <v>9212</v>
      </c>
      <c r="U5859">
        <v>512.70000000000005</v>
      </c>
      <c r="V5859" s="3">
        <v>42130</v>
      </c>
    </row>
    <row r="5860" spans="1:22" x14ac:dyDescent="0.35">
      <c r="A5860" s="1">
        <v>42292.749456018515</v>
      </c>
      <c r="B5860" s="2">
        <v>4.8611111111111112E-3</v>
      </c>
      <c r="C5860" t="s">
        <v>9213</v>
      </c>
      <c r="D5860" t="s">
        <v>211</v>
      </c>
      <c r="E5860" t="s">
        <v>212</v>
      </c>
      <c r="F5860" t="s">
        <v>4494</v>
      </c>
      <c r="G5860">
        <v>565082</v>
      </c>
      <c r="H5860" t="s">
        <v>26</v>
      </c>
      <c r="I5860" t="s">
        <v>69</v>
      </c>
      <c r="J5860" t="str">
        <f>"9781118041567"</f>
        <v>9781118041567</v>
      </c>
      <c r="K5860" t="s">
        <v>9214</v>
      </c>
      <c r="L5860">
        <v>25</v>
      </c>
      <c r="O5860" t="s">
        <v>28</v>
      </c>
      <c r="P5860" t="s">
        <v>29</v>
      </c>
      <c r="Q5860" s="1">
        <v>42292.749456018515</v>
      </c>
      <c r="R5860">
        <v>7</v>
      </c>
      <c r="S5860" t="s">
        <v>214</v>
      </c>
      <c r="T5860" t="s">
        <v>4496</v>
      </c>
      <c r="U5860" t="s">
        <v>4497</v>
      </c>
      <c r="V5860" s="3">
        <v>40337</v>
      </c>
    </row>
    <row r="5861" spans="1:22" x14ac:dyDescent="0.35">
      <c r="A5861" s="1">
        <v>42292.749456018515</v>
      </c>
      <c r="B5861" s="2">
        <v>0</v>
      </c>
      <c r="C5861" t="s">
        <v>9213</v>
      </c>
      <c r="D5861" t="s">
        <v>211</v>
      </c>
      <c r="E5861" t="s">
        <v>212</v>
      </c>
      <c r="F5861" t="s">
        <v>4494</v>
      </c>
      <c r="G5861">
        <v>565082</v>
      </c>
      <c r="H5861" t="s">
        <v>26</v>
      </c>
      <c r="I5861" t="s">
        <v>69</v>
      </c>
      <c r="J5861" t="str">
        <f>"9781118041567"</f>
        <v>9781118041567</v>
      </c>
      <c r="L5861">
        <v>0</v>
      </c>
      <c r="O5861" t="s">
        <v>30</v>
      </c>
      <c r="P5861" t="s">
        <v>29</v>
      </c>
      <c r="Q5861" s="1">
        <v>42292.749456018515</v>
      </c>
      <c r="R5861">
        <v>7</v>
      </c>
      <c r="S5861" t="s">
        <v>214</v>
      </c>
      <c r="T5861" t="s">
        <v>4496</v>
      </c>
      <c r="U5861" t="s">
        <v>4497</v>
      </c>
      <c r="V5861" s="3">
        <v>40337</v>
      </c>
    </row>
    <row r="5862" spans="1:22" x14ac:dyDescent="0.35">
      <c r="A5862" s="1">
        <v>42292.744895833333</v>
      </c>
      <c r="B5862" s="2">
        <v>0</v>
      </c>
      <c r="C5862" t="s">
        <v>3132</v>
      </c>
      <c r="D5862" t="s">
        <v>158</v>
      </c>
      <c r="E5862" t="s">
        <v>159</v>
      </c>
      <c r="F5862" t="s">
        <v>2426</v>
      </c>
      <c r="G5862">
        <v>1165085</v>
      </c>
      <c r="H5862" t="s">
        <v>26</v>
      </c>
      <c r="I5862" t="s">
        <v>2427</v>
      </c>
      <c r="J5862" t="str">
        <f>"9781118578254"</f>
        <v>9781118578254</v>
      </c>
      <c r="L5862">
        <v>0</v>
      </c>
      <c r="N5862" t="s">
        <v>9215</v>
      </c>
      <c r="O5862" t="s">
        <v>30</v>
      </c>
      <c r="P5862" t="s">
        <v>47</v>
      </c>
      <c r="Q5862" s="1">
        <v>42292.744895833333</v>
      </c>
      <c r="R5862">
        <v>1</v>
      </c>
      <c r="S5862" t="s">
        <v>163</v>
      </c>
      <c r="T5862" t="s">
        <v>2430</v>
      </c>
      <c r="U5862">
        <v>304.2</v>
      </c>
      <c r="V5862" s="3">
        <v>41366</v>
      </c>
    </row>
    <row r="5863" spans="1:22" x14ac:dyDescent="0.35">
      <c r="A5863" s="1">
        <v>42292.744074074071</v>
      </c>
      <c r="B5863" s="2">
        <v>8.2175925925925917E-4</v>
      </c>
      <c r="C5863" t="s">
        <v>3132</v>
      </c>
      <c r="D5863" t="s">
        <v>158</v>
      </c>
      <c r="E5863" t="s">
        <v>159</v>
      </c>
      <c r="F5863" t="s">
        <v>2426</v>
      </c>
      <c r="G5863">
        <v>1165085</v>
      </c>
      <c r="H5863" t="s">
        <v>26</v>
      </c>
      <c r="I5863" t="s">
        <v>2427</v>
      </c>
      <c r="J5863" t="str">
        <f>"9781118578254"</f>
        <v>9781118578254</v>
      </c>
      <c r="K5863" t="s">
        <v>1377</v>
      </c>
      <c r="L5863">
        <v>8</v>
      </c>
      <c r="O5863" t="s">
        <v>30</v>
      </c>
      <c r="P5863" t="s">
        <v>50</v>
      </c>
      <c r="S5863" t="s">
        <v>163</v>
      </c>
      <c r="T5863" t="s">
        <v>2430</v>
      </c>
      <c r="U5863">
        <v>304.2</v>
      </c>
      <c r="V5863" s="3">
        <v>41366</v>
      </c>
    </row>
    <row r="5864" spans="1:22" x14ac:dyDescent="0.35">
      <c r="A5864" s="1">
        <v>42292.740949074076</v>
      </c>
      <c r="B5864" s="2">
        <v>8.5069444444444437E-3</v>
      </c>
      <c r="C5864" t="s">
        <v>9213</v>
      </c>
      <c r="D5864" t="s">
        <v>211</v>
      </c>
      <c r="E5864" t="s">
        <v>212</v>
      </c>
      <c r="F5864" t="s">
        <v>4494</v>
      </c>
      <c r="G5864">
        <v>565082</v>
      </c>
      <c r="H5864" t="s">
        <v>26</v>
      </c>
      <c r="I5864" t="s">
        <v>69</v>
      </c>
      <c r="J5864" t="str">
        <f>"9781118041567"</f>
        <v>9781118041567</v>
      </c>
      <c r="K5864" t="s">
        <v>9216</v>
      </c>
      <c r="L5864">
        <v>6</v>
      </c>
      <c r="O5864" t="s">
        <v>30</v>
      </c>
      <c r="P5864" t="s">
        <v>42</v>
      </c>
      <c r="S5864" t="s">
        <v>214</v>
      </c>
      <c r="T5864" t="s">
        <v>4496</v>
      </c>
      <c r="U5864" t="s">
        <v>4497</v>
      </c>
      <c r="V5864" s="3">
        <v>40337</v>
      </c>
    </row>
    <row r="5865" spans="1:22" x14ac:dyDescent="0.35">
      <c r="A5865" s="1">
        <v>42292.727488425924</v>
      </c>
      <c r="B5865" s="2">
        <v>6.0879629629629643E-3</v>
      </c>
      <c r="C5865" t="s">
        <v>9217</v>
      </c>
      <c r="D5865" t="s">
        <v>1222</v>
      </c>
      <c r="E5865" t="s">
        <v>1223</v>
      </c>
      <c r="F5865" t="s">
        <v>8763</v>
      </c>
      <c r="G5865">
        <v>1752698</v>
      </c>
      <c r="H5865" t="s">
        <v>26</v>
      </c>
      <c r="I5865" t="s">
        <v>297</v>
      </c>
      <c r="J5865" t="str">
        <f>"9781118496701"</f>
        <v>9781118496701</v>
      </c>
      <c r="K5865" t="s">
        <v>9218</v>
      </c>
      <c r="L5865">
        <v>44</v>
      </c>
      <c r="O5865" t="s">
        <v>30</v>
      </c>
      <c r="P5865" t="s">
        <v>42</v>
      </c>
      <c r="S5865" t="s">
        <v>1226</v>
      </c>
      <c r="T5865" t="s">
        <v>8765</v>
      </c>
      <c r="U5865">
        <v>515.07600000000002</v>
      </c>
      <c r="V5865" s="3">
        <v>41842</v>
      </c>
    </row>
    <row r="5866" spans="1:22" x14ac:dyDescent="0.35">
      <c r="A5866" s="1">
        <v>42292.707002314812</v>
      </c>
      <c r="B5866" s="2">
        <v>0</v>
      </c>
      <c r="C5866" t="s">
        <v>1098</v>
      </c>
      <c r="D5866" t="s">
        <v>360</v>
      </c>
      <c r="E5866" t="s">
        <v>361</v>
      </c>
      <c r="F5866" t="s">
        <v>3830</v>
      </c>
      <c r="G5866">
        <v>832297</v>
      </c>
      <c r="H5866" t="s">
        <v>26</v>
      </c>
      <c r="I5866" t="s">
        <v>172</v>
      </c>
      <c r="J5866" t="str">
        <f>"9781118300947"</f>
        <v>9781118300947</v>
      </c>
      <c r="L5866">
        <v>0</v>
      </c>
      <c r="O5866" t="s">
        <v>28</v>
      </c>
      <c r="P5866" t="s">
        <v>29</v>
      </c>
      <c r="Q5866" s="1">
        <v>42292.707002314812</v>
      </c>
      <c r="R5866">
        <v>7</v>
      </c>
      <c r="S5866" t="s">
        <v>363</v>
      </c>
      <c r="T5866" t="s">
        <v>3831</v>
      </c>
      <c r="U5866">
        <v>938</v>
      </c>
      <c r="V5866" s="3">
        <v>40896</v>
      </c>
    </row>
    <row r="5867" spans="1:22" x14ac:dyDescent="0.35">
      <c r="A5867" s="1">
        <v>42292.707002314812</v>
      </c>
      <c r="B5867" s="2">
        <v>0</v>
      </c>
      <c r="C5867" t="s">
        <v>1098</v>
      </c>
      <c r="D5867" t="s">
        <v>360</v>
      </c>
      <c r="E5867" t="s">
        <v>361</v>
      </c>
      <c r="F5867" t="s">
        <v>3830</v>
      </c>
      <c r="G5867">
        <v>832297</v>
      </c>
      <c r="H5867" t="s">
        <v>26</v>
      </c>
      <c r="I5867" t="s">
        <v>172</v>
      </c>
      <c r="J5867" t="str">
        <f>"9781118300947"</f>
        <v>9781118300947</v>
      </c>
      <c r="L5867">
        <v>0</v>
      </c>
      <c r="O5867" t="s">
        <v>30</v>
      </c>
      <c r="P5867" t="s">
        <v>29</v>
      </c>
      <c r="Q5867" s="1">
        <v>42292.707002314812</v>
      </c>
      <c r="R5867">
        <v>7</v>
      </c>
      <c r="S5867" t="s">
        <v>363</v>
      </c>
      <c r="T5867" t="s">
        <v>3831</v>
      </c>
      <c r="U5867">
        <v>938</v>
      </c>
      <c r="V5867" s="3">
        <v>40896</v>
      </c>
    </row>
    <row r="5868" spans="1:22" x14ac:dyDescent="0.35">
      <c r="A5868" s="1">
        <v>42292.706701388888</v>
      </c>
      <c r="B5868" s="2">
        <v>3.0092592592592595E-4</v>
      </c>
      <c r="C5868" t="s">
        <v>1098</v>
      </c>
      <c r="D5868" t="s">
        <v>360</v>
      </c>
      <c r="E5868" t="s">
        <v>361</v>
      </c>
      <c r="F5868" t="s">
        <v>3830</v>
      </c>
      <c r="G5868">
        <v>832297</v>
      </c>
      <c r="H5868" t="s">
        <v>26</v>
      </c>
      <c r="I5868" t="s">
        <v>172</v>
      </c>
      <c r="J5868" t="str">
        <f>"9781118300947"</f>
        <v>9781118300947</v>
      </c>
      <c r="K5868" t="s">
        <v>2800</v>
      </c>
      <c r="L5868">
        <v>3</v>
      </c>
      <c r="O5868" t="s">
        <v>30</v>
      </c>
      <c r="P5868" t="s">
        <v>42</v>
      </c>
      <c r="S5868" t="s">
        <v>363</v>
      </c>
      <c r="T5868" t="s">
        <v>3831</v>
      </c>
      <c r="U5868">
        <v>938</v>
      </c>
      <c r="V5868" s="3">
        <v>40896</v>
      </c>
    </row>
    <row r="5869" spans="1:22" x14ac:dyDescent="0.35">
      <c r="A5869" s="1">
        <v>42292.706226851849</v>
      </c>
      <c r="B5869" s="2">
        <v>1.6296296296296295E-2</v>
      </c>
      <c r="C5869" t="s">
        <v>9219</v>
      </c>
      <c r="D5869" t="s">
        <v>1222</v>
      </c>
      <c r="E5869" t="s">
        <v>1223</v>
      </c>
      <c r="F5869" t="s">
        <v>3263</v>
      </c>
      <c r="G5869">
        <v>1840835</v>
      </c>
      <c r="H5869" t="s">
        <v>26</v>
      </c>
      <c r="I5869" t="s">
        <v>108</v>
      </c>
      <c r="J5869" t="str">
        <f>"9781118950166"</f>
        <v>9781118950166</v>
      </c>
      <c r="K5869" t="s">
        <v>9220</v>
      </c>
      <c r="L5869">
        <v>29</v>
      </c>
      <c r="M5869" t="s">
        <v>9221</v>
      </c>
      <c r="O5869" t="s">
        <v>28</v>
      </c>
      <c r="P5869" t="s">
        <v>29</v>
      </c>
      <c r="Q5869" s="1">
        <v>42292.701550925929</v>
      </c>
      <c r="R5869">
        <v>7</v>
      </c>
      <c r="S5869" t="s">
        <v>1226</v>
      </c>
      <c r="T5869" t="s">
        <v>3264</v>
      </c>
      <c r="U5869">
        <v>338.10923789999998</v>
      </c>
      <c r="V5869" s="3">
        <v>41953</v>
      </c>
    </row>
    <row r="5870" spans="1:22" x14ac:dyDescent="0.35">
      <c r="A5870" s="1">
        <v>42292.704791666663</v>
      </c>
      <c r="B5870" s="2">
        <v>3.5879629629629635E-4</v>
      </c>
      <c r="C5870" t="s">
        <v>1098</v>
      </c>
      <c r="D5870" t="s">
        <v>360</v>
      </c>
      <c r="E5870" t="s">
        <v>361</v>
      </c>
      <c r="F5870" t="s">
        <v>4180</v>
      </c>
      <c r="G5870">
        <v>817932</v>
      </c>
      <c r="H5870" t="s">
        <v>26</v>
      </c>
      <c r="I5870" t="s">
        <v>276</v>
      </c>
      <c r="J5870" t="str">
        <f>"9781118220146"</f>
        <v>9781118220146</v>
      </c>
      <c r="K5870" t="s">
        <v>9222</v>
      </c>
      <c r="L5870">
        <v>3</v>
      </c>
      <c r="O5870" t="s">
        <v>30</v>
      </c>
      <c r="P5870" t="s">
        <v>42</v>
      </c>
      <c r="S5870" t="s">
        <v>363</v>
      </c>
      <c r="T5870" t="s">
        <v>4182</v>
      </c>
      <c r="U5870">
        <v>5.133</v>
      </c>
      <c r="V5870" s="3">
        <v>40981</v>
      </c>
    </row>
    <row r="5871" spans="1:22" x14ac:dyDescent="0.35">
      <c r="A5871" s="1">
        <v>42292.702476851853</v>
      </c>
      <c r="B5871" s="2">
        <v>0</v>
      </c>
      <c r="C5871" t="s">
        <v>1098</v>
      </c>
      <c r="D5871" t="s">
        <v>360</v>
      </c>
      <c r="E5871" t="s">
        <v>361</v>
      </c>
      <c r="F5871" t="s">
        <v>9223</v>
      </c>
      <c r="G5871">
        <v>832577</v>
      </c>
      <c r="H5871" t="s">
        <v>26</v>
      </c>
      <c r="I5871" t="s">
        <v>3802</v>
      </c>
      <c r="J5871" t="str">
        <f>"9781118226360"</f>
        <v>9781118226360</v>
      </c>
      <c r="L5871">
        <v>0</v>
      </c>
      <c r="O5871" t="s">
        <v>28</v>
      </c>
      <c r="P5871" t="s">
        <v>29</v>
      </c>
      <c r="Q5871" s="1">
        <v>42292.465740740743</v>
      </c>
      <c r="R5871">
        <v>7</v>
      </c>
      <c r="S5871" t="s">
        <v>363</v>
      </c>
      <c r="T5871" t="s">
        <v>9224</v>
      </c>
      <c r="U5871" t="s">
        <v>9225</v>
      </c>
      <c r="V5871" s="3">
        <v>41051</v>
      </c>
    </row>
    <row r="5872" spans="1:22" x14ac:dyDescent="0.35">
      <c r="A5872" s="1">
        <v>42292.702337962961</v>
      </c>
      <c r="B5872" s="2">
        <v>3.4722222222222222E-5</v>
      </c>
      <c r="C5872" t="s">
        <v>1098</v>
      </c>
      <c r="D5872" t="s">
        <v>360</v>
      </c>
      <c r="E5872" t="s">
        <v>361</v>
      </c>
      <c r="F5872" t="s">
        <v>9223</v>
      </c>
      <c r="G5872">
        <v>832577</v>
      </c>
      <c r="H5872" t="s">
        <v>26</v>
      </c>
      <c r="I5872" t="s">
        <v>3802</v>
      </c>
      <c r="J5872" t="str">
        <f>"9781118226360"</f>
        <v>9781118226360</v>
      </c>
      <c r="K5872" t="s">
        <v>33</v>
      </c>
      <c r="L5872">
        <v>3</v>
      </c>
      <c r="O5872" t="s">
        <v>30</v>
      </c>
      <c r="P5872" t="s">
        <v>29</v>
      </c>
      <c r="Q5872" s="1">
        <v>42292.465740740743</v>
      </c>
      <c r="R5872">
        <v>7</v>
      </c>
      <c r="S5872" t="s">
        <v>363</v>
      </c>
      <c r="T5872" t="s">
        <v>9224</v>
      </c>
      <c r="U5872" t="s">
        <v>9225</v>
      </c>
      <c r="V5872" s="3">
        <v>41051</v>
      </c>
    </row>
    <row r="5873" spans="1:22" x14ac:dyDescent="0.35">
      <c r="A5873" s="1">
        <v>42292.701550925929</v>
      </c>
      <c r="B5873" s="2">
        <v>2.627314814814815E-3</v>
      </c>
      <c r="C5873" t="s">
        <v>9219</v>
      </c>
      <c r="D5873" t="s">
        <v>1222</v>
      </c>
      <c r="E5873" t="s">
        <v>1223</v>
      </c>
      <c r="F5873" t="s">
        <v>3263</v>
      </c>
      <c r="G5873">
        <v>1840835</v>
      </c>
      <c r="H5873" t="s">
        <v>26</v>
      </c>
      <c r="I5873" t="s">
        <v>108</v>
      </c>
      <c r="J5873" t="str">
        <f>"9781118950166"</f>
        <v>9781118950166</v>
      </c>
      <c r="K5873" t="s">
        <v>9226</v>
      </c>
      <c r="L5873">
        <v>30</v>
      </c>
      <c r="O5873" t="s">
        <v>30</v>
      </c>
      <c r="P5873" t="s">
        <v>29</v>
      </c>
      <c r="Q5873" s="1">
        <v>42292.701550925929</v>
      </c>
      <c r="R5873">
        <v>7</v>
      </c>
      <c r="S5873" t="s">
        <v>1226</v>
      </c>
      <c r="T5873" t="s">
        <v>3264</v>
      </c>
      <c r="U5873">
        <v>338.10923789999998</v>
      </c>
      <c r="V5873" s="3">
        <v>41953</v>
      </c>
    </row>
    <row r="5874" spans="1:22" x14ac:dyDescent="0.35">
      <c r="A5874" s="1">
        <v>42292.696250000001</v>
      </c>
      <c r="B5874" s="2">
        <v>2.488425925925926E-3</v>
      </c>
      <c r="C5874" t="s">
        <v>9227</v>
      </c>
      <c r="D5874" t="s">
        <v>35</v>
      </c>
      <c r="E5874" t="s">
        <v>36</v>
      </c>
      <c r="F5874" t="s">
        <v>1787</v>
      </c>
      <c r="G5874">
        <v>1815426</v>
      </c>
      <c r="H5874" t="s">
        <v>91</v>
      </c>
      <c r="I5874" t="s">
        <v>69</v>
      </c>
      <c r="J5874" t="str">
        <f>"9781462519781"</f>
        <v>9781462519781</v>
      </c>
      <c r="K5874" t="s">
        <v>9228</v>
      </c>
      <c r="L5874">
        <v>8</v>
      </c>
      <c r="O5874" t="s">
        <v>30</v>
      </c>
      <c r="P5874" t="s">
        <v>50</v>
      </c>
      <c r="S5874" t="s">
        <v>40</v>
      </c>
      <c r="T5874" t="s">
        <v>1789</v>
      </c>
      <c r="U5874">
        <v>372.47</v>
      </c>
      <c r="V5874" s="3">
        <v>42039</v>
      </c>
    </row>
    <row r="5875" spans="1:22" x14ac:dyDescent="0.35">
      <c r="A5875" s="1">
        <v>42292.691944444443</v>
      </c>
      <c r="B5875" s="2">
        <v>0</v>
      </c>
      <c r="C5875" t="s">
        <v>4673</v>
      </c>
      <c r="D5875" t="s">
        <v>23</v>
      </c>
      <c r="E5875" t="s">
        <v>24</v>
      </c>
      <c r="F5875" t="s">
        <v>745</v>
      </c>
      <c r="G5875">
        <v>1166322</v>
      </c>
      <c r="H5875" t="s">
        <v>26</v>
      </c>
      <c r="I5875" t="s">
        <v>200</v>
      </c>
      <c r="J5875" t="str">
        <f>"9781118418512"</f>
        <v>9781118418512</v>
      </c>
      <c r="L5875">
        <v>0</v>
      </c>
      <c r="N5875" t="s">
        <v>9229</v>
      </c>
      <c r="O5875" t="s">
        <v>30</v>
      </c>
      <c r="P5875" t="s">
        <v>29</v>
      </c>
      <c r="Q5875" s="1">
        <v>42292.691944444443</v>
      </c>
      <c r="R5875">
        <v>7</v>
      </c>
      <c r="S5875" t="s">
        <v>31</v>
      </c>
      <c r="T5875" t="s">
        <v>747</v>
      </c>
      <c r="U5875">
        <v>720.072</v>
      </c>
      <c r="V5875" s="3">
        <v>41367</v>
      </c>
    </row>
    <row r="5876" spans="1:22" x14ac:dyDescent="0.35">
      <c r="A5876" s="1">
        <v>42292.691296296296</v>
      </c>
      <c r="B5876" s="2">
        <v>6.4814814814814813E-4</v>
      </c>
      <c r="C5876" t="s">
        <v>4673</v>
      </c>
      <c r="D5876" t="s">
        <v>23</v>
      </c>
      <c r="E5876" t="s">
        <v>24</v>
      </c>
      <c r="F5876" t="s">
        <v>745</v>
      </c>
      <c r="G5876">
        <v>1166322</v>
      </c>
      <c r="H5876" t="s">
        <v>26</v>
      </c>
      <c r="I5876" t="s">
        <v>200</v>
      </c>
      <c r="J5876" t="str">
        <f>"9781118418512"</f>
        <v>9781118418512</v>
      </c>
      <c r="K5876" t="s">
        <v>9230</v>
      </c>
      <c r="L5876">
        <v>13</v>
      </c>
      <c r="O5876" t="s">
        <v>30</v>
      </c>
      <c r="P5876" t="s">
        <v>42</v>
      </c>
      <c r="S5876" t="s">
        <v>31</v>
      </c>
      <c r="T5876" t="s">
        <v>747</v>
      </c>
      <c r="U5876">
        <v>720.072</v>
      </c>
      <c r="V5876" s="3">
        <v>41367</v>
      </c>
    </row>
    <row r="5877" spans="1:22" x14ac:dyDescent="0.35">
      <c r="A5877" s="1">
        <v>42292.68681712963</v>
      </c>
      <c r="B5877" s="2">
        <v>3.2407407407407406E-4</v>
      </c>
      <c r="C5877" t="s">
        <v>2890</v>
      </c>
      <c r="D5877" t="s">
        <v>117</v>
      </c>
      <c r="E5877" t="s">
        <v>118</v>
      </c>
      <c r="F5877" t="s">
        <v>9231</v>
      </c>
      <c r="G5877">
        <v>2038594</v>
      </c>
      <c r="H5877" t="s">
        <v>26</v>
      </c>
      <c r="J5877" t="str">
        <f>"9781119157861"</f>
        <v>9781119157861</v>
      </c>
      <c r="K5877" t="s">
        <v>9232</v>
      </c>
      <c r="L5877">
        <v>11</v>
      </c>
      <c r="O5877" t="s">
        <v>30</v>
      </c>
      <c r="P5877" t="s">
        <v>50</v>
      </c>
      <c r="S5877" t="s">
        <v>121</v>
      </c>
      <c r="V5877" s="3">
        <v>42247</v>
      </c>
    </row>
    <row r="5878" spans="1:22" x14ac:dyDescent="0.35">
      <c r="A5878" s="1">
        <v>42292.675069444442</v>
      </c>
      <c r="B5878" s="2">
        <v>4.2129629629629626E-3</v>
      </c>
      <c r="C5878" t="s">
        <v>8407</v>
      </c>
      <c r="D5878" t="s">
        <v>158</v>
      </c>
      <c r="E5878" t="s">
        <v>159</v>
      </c>
      <c r="F5878" t="s">
        <v>8408</v>
      </c>
      <c r="G5878">
        <v>2078737</v>
      </c>
      <c r="H5878" t="s">
        <v>26</v>
      </c>
      <c r="I5878" t="s">
        <v>8409</v>
      </c>
      <c r="J5878" t="str">
        <f>"9781118974346"</f>
        <v>9781118974346</v>
      </c>
      <c r="K5878" t="s">
        <v>9233</v>
      </c>
      <c r="L5878">
        <v>74</v>
      </c>
      <c r="O5878" t="s">
        <v>30</v>
      </c>
      <c r="P5878" t="s">
        <v>42</v>
      </c>
      <c r="S5878" t="s">
        <v>163</v>
      </c>
      <c r="T5878" t="s">
        <v>8411</v>
      </c>
      <c r="U5878" t="s">
        <v>8412</v>
      </c>
      <c r="V5878" s="3">
        <v>42181</v>
      </c>
    </row>
    <row r="5879" spans="1:22" x14ac:dyDescent="0.35">
      <c r="A5879" s="1">
        <v>42292.672974537039</v>
      </c>
      <c r="B5879" s="2">
        <v>2.8576388888888887E-2</v>
      </c>
      <c r="C5879" t="s">
        <v>9219</v>
      </c>
      <c r="D5879" t="s">
        <v>1222</v>
      </c>
      <c r="E5879" t="s">
        <v>1223</v>
      </c>
      <c r="F5879" t="s">
        <v>3263</v>
      </c>
      <c r="G5879">
        <v>1840835</v>
      </c>
      <c r="H5879" t="s">
        <v>26</v>
      </c>
      <c r="I5879" t="s">
        <v>108</v>
      </c>
      <c r="J5879" t="str">
        <f>"9781118950166"</f>
        <v>9781118950166</v>
      </c>
      <c r="K5879" t="s">
        <v>9234</v>
      </c>
      <c r="L5879">
        <v>18</v>
      </c>
      <c r="O5879" t="s">
        <v>30</v>
      </c>
      <c r="P5879" t="s">
        <v>42</v>
      </c>
      <c r="S5879" t="s">
        <v>1226</v>
      </c>
      <c r="T5879" t="s">
        <v>3264</v>
      </c>
      <c r="U5879">
        <v>338.10923789999998</v>
      </c>
      <c r="V5879" s="3">
        <v>41953</v>
      </c>
    </row>
    <row r="5880" spans="1:22" x14ac:dyDescent="0.35">
      <c r="A5880" s="1">
        <v>42292.647488425922</v>
      </c>
      <c r="B5880" s="2">
        <v>1.1574074074074073E-4</v>
      </c>
      <c r="C5880" t="s">
        <v>210</v>
      </c>
      <c r="D5880" t="s">
        <v>211</v>
      </c>
      <c r="E5880" t="s">
        <v>212</v>
      </c>
      <c r="F5880" t="s">
        <v>9235</v>
      </c>
      <c r="G5880">
        <v>1895420</v>
      </c>
      <c r="H5880" t="s">
        <v>26</v>
      </c>
      <c r="I5880" t="s">
        <v>97</v>
      </c>
      <c r="J5880" t="str">
        <f>"9780857086075"</f>
        <v>9780857086075</v>
      </c>
      <c r="K5880" t="s">
        <v>9236</v>
      </c>
      <c r="L5880">
        <v>8</v>
      </c>
      <c r="O5880" t="s">
        <v>30</v>
      </c>
      <c r="P5880" t="s">
        <v>50</v>
      </c>
      <c r="S5880" t="s">
        <v>214</v>
      </c>
      <c r="T5880" t="s">
        <v>9237</v>
      </c>
      <c r="U5880" t="s">
        <v>9238</v>
      </c>
      <c r="V5880" s="3">
        <v>42033</v>
      </c>
    </row>
    <row r="5881" spans="1:22" x14ac:dyDescent="0.35">
      <c r="A5881" s="1">
        <v>42292.646296296298</v>
      </c>
      <c r="B5881" s="2">
        <v>3.3564814814814812E-4</v>
      </c>
      <c r="C5881" t="s">
        <v>210</v>
      </c>
      <c r="D5881" t="s">
        <v>211</v>
      </c>
      <c r="E5881" t="s">
        <v>212</v>
      </c>
      <c r="F5881" t="s">
        <v>9235</v>
      </c>
      <c r="G5881">
        <v>1895420</v>
      </c>
      <c r="H5881" t="s">
        <v>26</v>
      </c>
      <c r="I5881" t="s">
        <v>97</v>
      </c>
      <c r="J5881" t="str">
        <f>"9780857086075"</f>
        <v>9780857086075</v>
      </c>
      <c r="K5881" t="s">
        <v>9239</v>
      </c>
      <c r="L5881">
        <v>5</v>
      </c>
      <c r="O5881" t="s">
        <v>30</v>
      </c>
      <c r="P5881" t="s">
        <v>50</v>
      </c>
      <c r="S5881" t="s">
        <v>214</v>
      </c>
      <c r="T5881" t="s">
        <v>9237</v>
      </c>
      <c r="U5881" t="s">
        <v>9238</v>
      </c>
      <c r="V5881" s="3">
        <v>42033</v>
      </c>
    </row>
    <row r="5882" spans="1:22" x14ac:dyDescent="0.35">
      <c r="A5882" s="1">
        <v>42292.645428240743</v>
      </c>
      <c r="B5882" s="2">
        <v>1.7592592592592592E-3</v>
      </c>
      <c r="C5882" t="s">
        <v>210</v>
      </c>
      <c r="D5882" t="s">
        <v>211</v>
      </c>
      <c r="E5882" t="s">
        <v>212</v>
      </c>
      <c r="F5882" t="s">
        <v>9235</v>
      </c>
      <c r="G5882">
        <v>1895420</v>
      </c>
      <c r="H5882" t="s">
        <v>26</v>
      </c>
      <c r="I5882" t="s">
        <v>97</v>
      </c>
      <c r="J5882" t="str">
        <f>"9780857086075"</f>
        <v>9780857086075</v>
      </c>
      <c r="K5882" t="s">
        <v>9240</v>
      </c>
      <c r="L5882">
        <v>31</v>
      </c>
      <c r="O5882" t="s">
        <v>30</v>
      </c>
      <c r="P5882" t="s">
        <v>50</v>
      </c>
      <c r="S5882" t="s">
        <v>214</v>
      </c>
      <c r="T5882" t="s">
        <v>9237</v>
      </c>
      <c r="U5882" t="s">
        <v>9238</v>
      </c>
      <c r="V5882" s="3">
        <v>42033</v>
      </c>
    </row>
    <row r="5883" spans="1:22" x14ac:dyDescent="0.35">
      <c r="A5883" s="1">
        <v>42292.615324074075</v>
      </c>
      <c r="B5883" s="2">
        <v>7.8703703703703705E-4</v>
      </c>
      <c r="C5883" t="s">
        <v>9241</v>
      </c>
      <c r="D5883" t="s">
        <v>23</v>
      </c>
      <c r="E5883" t="s">
        <v>24</v>
      </c>
      <c r="F5883" t="s">
        <v>7993</v>
      </c>
      <c r="G5883">
        <v>836860</v>
      </c>
      <c r="H5883" t="s">
        <v>91</v>
      </c>
      <c r="I5883" t="s">
        <v>219</v>
      </c>
      <c r="J5883" t="str">
        <f>"9781462503117"</f>
        <v>9781462503117</v>
      </c>
      <c r="K5883" t="s">
        <v>9242</v>
      </c>
      <c r="L5883">
        <v>3</v>
      </c>
      <c r="O5883" t="s">
        <v>28</v>
      </c>
      <c r="P5883" t="s">
        <v>29</v>
      </c>
      <c r="Q5883" s="1">
        <v>42292.615324074075</v>
      </c>
      <c r="R5883">
        <v>7</v>
      </c>
      <c r="S5883" t="s">
        <v>31</v>
      </c>
      <c r="T5883" t="s">
        <v>7994</v>
      </c>
      <c r="U5883">
        <v>155.19999999999999</v>
      </c>
      <c r="V5883" s="3">
        <v>41773</v>
      </c>
    </row>
    <row r="5884" spans="1:22" x14ac:dyDescent="0.35">
      <c r="A5884" s="1">
        <v>42292.615324074075</v>
      </c>
      <c r="B5884" s="2">
        <v>0</v>
      </c>
      <c r="C5884" t="s">
        <v>9241</v>
      </c>
      <c r="D5884" t="s">
        <v>23</v>
      </c>
      <c r="E5884" t="s">
        <v>24</v>
      </c>
      <c r="F5884" t="s">
        <v>7993</v>
      </c>
      <c r="G5884">
        <v>836860</v>
      </c>
      <c r="H5884" t="s">
        <v>91</v>
      </c>
      <c r="I5884" t="s">
        <v>219</v>
      </c>
      <c r="J5884" t="str">
        <f>"9781462503117"</f>
        <v>9781462503117</v>
      </c>
      <c r="L5884">
        <v>0</v>
      </c>
      <c r="O5884" t="s">
        <v>30</v>
      </c>
      <c r="P5884" t="s">
        <v>29</v>
      </c>
      <c r="Q5884" s="1">
        <v>42292.615324074075</v>
      </c>
      <c r="R5884">
        <v>7</v>
      </c>
      <c r="S5884" t="s">
        <v>31</v>
      </c>
      <c r="T5884" t="s">
        <v>7994</v>
      </c>
      <c r="U5884">
        <v>155.19999999999999</v>
      </c>
      <c r="V5884" s="3">
        <v>41773</v>
      </c>
    </row>
    <row r="5885" spans="1:22" x14ac:dyDescent="0.35">
      <c r="A5885" s="1">
        <v>42292.615173611113</v>
      </c>
      <c r="B5885" s="2">
        <v>1.5046296296296297E-4</v>
      </c>
      <c r="C5885" t="s">
        <v>9241</v>
      </c>
      <c r="D5885" t="s">
        <v>23</v>
      </c>
      <c r="E5885" t="s">
        <v>24</v>
      </c>
      <c r="F5885" t="s">
        <v>7993</v>
      </c>
      <c r="G5885">
        <v>836860</v>
      </c>
      <c r="H5885" t="s">
        <v>91</v>
      </c>
      <c r="I5885" t="s">
        <v>219</v>
      </c>
      <c r="J5885" t="str">
        <f>"9781462503117"</f>
        <v>9781462503117</v>
      </c>
      <c r="K5885" t="s">
        <v>2752</v>
      </c>
      <c r="L5885">
        <v>3</v>
      </c>
      <c r="O5885" t="s">
        <v>30</v>
      </c>
      <c r="P5885" t="s">
        <v>42</v>
      </c>
      <c r="S5885" t="s">
        <v>31</v>
      </c>
      <c r="T5885" t="s">
        <v>7994</v>
      </c>
      <c r="U5885">
        <v>155.19999999999999</v>
      </c>
      <c r="V5885" s="3">
        <v>41773</v>
      </c>
    </row>
    <row r="5886" spans="1:22" x14ac:dyDescent="0.35">
      <c r="A5886" s="1">
        <v>42292.606608796297</v>
      </c>
      <c r="B5886" s="2">
        <v>2.3148148148148147E-5</v>
      </c>
      <c r="C5886" t="s">
        <v>106</v>
      </c>
      <c r="D5886" t="s">
        <v>23</v>
      </c>
      <c r="E5886" t="s">
        <v>24</v>
      </c>
      <c r="F5886" t="s">
        <v>9243</v>
      </c>
      <c r="G5886">
        <v>1120515</v>
      </c>
      <c r="H5886" t="s">
        <v>613</v>
      </c>
      <c r="I5886" t="s">
        <v>9244</v>
      </c>
      <c r="J5886" t="str">
        <f>"9781469608242"</f>
        <v>9781469608242</v>
      </c>
      <c r="K5886" t="s">
        <v>105</v>
      </c>
      <c r="L5886">
        <v>1</v>
      </c>
      <c r="O5886" t="s">
        <v>30</v>
      </c>
      <c r="P5886" t="s">
        <v>50</v>
      </c>
      <c r="S5886" t="s">
        <v>31</v>
      </c>
      <c r="T5886" t="s">
        <v>9245</v>
      </c>
      <c r="U5886" t="s">
        <v>9246</v>
      </c>
      <c r="V5886" s="3">
        <v>41354</v>
      </c>
    </row>
    <row r="5887" spans="1:22" x14ac:dyDescent="0.35">
      <c r="A5887" s="1">
        <v>42292.606203703705</v>
      </c>
      <c r="B5887" s="2">
        <v>9.2592592592592588E-5</v>
      </c>
      <c r="C5887" t="s">
        <v>106</v>
      </c>
      <c r="D5887" t="s">
        <v>23</v>
      </c>
      <c r="E5887" t="s">
        <v>24</v>
      </c>
      <c r="F5887" t="s">
        <v>9243</v>
      </c>
      <c r="G5887">
        <v>1120515</v>
      </c>
      <c r="H5887" t="s">
        <v>613</v>
      </c>
      <c r="I5887" t="s">
        <v>9244</v>
      </c>
      <c r="J5887" t="str">
        <f>"9781469608242"</f>
        <v>9781469608242</v>
      </c>
      <c r="K5887" t="s">
        <v>9247</v>
      </c>
      <c r="L5887">
        <v>5</v>
      </c>
      <c r="O5887" t="s">
        <v>30</v>
      </c>
      <c r="P5887" t="s">
        <v>50</v>
      </c>
      <c r="S5887" t="s">
        <v>31</v>
      </c>
      <c r="T5887" t="s">
        <v>9245</v>
      </c>
      <c r="U5887" t="s">
        <v>9246</v>
      </c>
      <c r="V5887" s="3">
        <v>41354</v>
      </c>
    </row>
    <row r="5888" spans="1:22" x14ac:dyDescent="0.35">
      <c r="A5888" s="1">
        <v>42292.596620370372</v>
      </c>
      <c r="B5888" s="2">
        <v>3.2407407407407406E-4</v>
      </c>
      <c r="C5888" t="s">
        <v>9248</v>
      </c>
      <c r="D5888" t="s">
        <v>23</v>
      </c>
      <c r="E5888" t="s">
        <v>24</v>
      </c>
      <c r="F5888" t="s">
        <v>6268</v>
      </c>
      <c r="G5888">
        <v>2009965</v>
      </c>
      <c r="H5888" t="s">
        <v>84</v>
      </c>
      <c r="J5888" t="str">
        <f>"9780520961869"</f>
        <v>9780520961869</v>
      </c>
      <c r="K5888" t="s">
        <v>1377</v>
      </c>
      <c r="L5888">
        <v>8</v>
      </c>
      <c r="O5888" t="s">
        <v>30</v>
      </c>
      <c r="P5888" t="s">
        <v>50</v>
      </c>
      <c r="S5888" t="s">
        <v>31</v>
      </c>
      <c r="V5888" s="3">
        <v>42292</v>
      </c>
    </row>
    <row r="5889" spans="1:22" x14ac:dyDescent="0.35">
      <c r="A5889" s="1">
        <v>42292.582719907405</v>
      </c>
      <c r="B5889" s="2">
        <v>1.1574074074074073E-5</v>
      </c>
      <c r="C5889" t="s">
        <v>4644</v>
      </c>
      <c r="D5889" t="s">
        <v>23</v>
      </c>
      <c r="E5889" t="s">
        <v>24</v>
      </c>
      <c r="F5889" t="s">
        <v>745</v>
      </c>
      <c r="G5889">
        <v>1166322</v>
      </c>
      <c r="H5889" t="s">
        <v>26</v>
      </c>
      <c r="I5889" t="s">
        <v>200</v>
      </c>
      <c r="J5889" t="str">
        <f>"9781118418512"</f>
        <v>9781118418512</v>
      </c>
      <c r="K5889" t="s">
        <v>1309</v>
      </c>
      <c r="L5889">
        <v>1</v>
      </c>
      <c r="O5889" t="s">
        <v>30</v>
      </c>
      <c r="P5889" t="s">
        <v>29</v>
      </c>
      <c r="Q5889" s="1">
        <v>42292.582719907405</v>
      </c>
      <c r="R5889">
        <v>7</v>
      </c>
      <c r="S5889" t="s">
        <v>31</v>
      </c>
      <c r="T5889" t="s">
        <v>747</v>
      </c>
      <c r="U5889">
        <v>720.072</v>
      </c>
      <c r="V5889" s="3">
        <v>41367</v>
      </c>
    </row>
    <row r="5890" spans="1:22" x14ac:dyDescent="0.35">
      <c r="A5890" s="1">
        <v>42292.582476851851</v>
      </c>
      <c r="B5890" s="2">
        <v>2.4305555555555552E-4</v>
      </c>
      <c r="C5890" t="s">
        <v>4644</v>
      </c>
      <c r="D5890" t="s">
        <v>23</v>
      </c>
      <c r="E5890" t="s">
        <v>24</v>
      </c>
      <c r="F5890" t="s">
        <v>745</v>
      </c>
      <c r="G5890">
        <v>1166322</v>
      </c>
      <c r="H5890" t="s">
        <v>26</v>
      </c>
      <c r="I5890" t="s">
        <v>200</v>
      </c>
      <c r="J5890" t="str">
        <f>"9781118418512"</f>
        <v>9781118418512</v>
      </c>
      <c r="K5890" t="s">
        <v>9249</v>
      </c>
      <c r="L5890">
        <v>8</v>
      </c>
      <c r="O5890" t="s">
        <v>30</v>
      </c>
      <c r="P5890" t="s">
        <v>42</v>
      </c>
      <c r="S5890" t="s">
        <v>31</v>
      </c>
      <c r="T5890" t="s">
        <v>747</v>
      </c>
      <c r="U5890">
        <v>720.072</v>
      </c>
      <c r="V5890" s="3">
        <v>41367</v>
      </c>
    </row>
    <row r="5891" spans="1:22" x14ac:dyDescent="0.35">
      <c r="A5891" s="1">
        <v>42292.579641203702</v>
      </c>
      <c r="B5891" s="2">
        <v>3.0092592592592595E-4</v>
      </c>
      <c r="C5891" t="s">
        <v>9250</v>
      </c>
      <c r="D5891" t="s">
        <v>125</v>
      </c>
      <c r="E5891" t="s">
        <v>126</v>
      </c>
      <c r="F5891" t="s">
        <v>9251</v>
      </c>
      <c r="G5891">
        <v>2031464</v>
      </c>
      <c r="H5891" t="s">
        <v>84</v>
      </c>
      <c r="I5891" t="s">
        <v>120</v>
      </c>
      <c r="J5891" t="str">
        <f>"9780520958081"</f>
        <v>9780520958081</v>
      </c>
      <c r="K5891" t="s">
        <v>9252</v>
      </c>
      <c r="L5891">
        <v>7</v>
      </c>
      <c r="O5891" t="s">
        <v>30</v>
      </c>
      <c r="P5891" t="s">
        <v>47</v>
      </c>
      <c r="Q5891" s="1">
        <v>42292.579641203702</v>
      </c>
      <c r="R5891">
        <v>1</v>
      </c>
      <c r="S5891" t="s">
        <v>128</v>
      </c>
      <c r="T5891" t="s">
        <v>9253</v>
      </c>
      <c r="U5891" t="s">
        <v>9254</v>
      </c>
      <c r="V5891" s="3">
        <v>42217</v>
      </c>
    </row>
    <row r="5892" spans="1:22" x14ac:dyDescent="0.35">
      <c r="A5892" s="1">
        <v>42292.576157407406</v>
      </c>
      <c r="B5892" s="2">
        <v>3.483796296296296E-3</v>
      </c>
      <c r="C5892" t="s">
        <v>9250</v>
      </c>
      <c r="D5892" t="s">
        <v>125</v>
      </c>
      <c r="E5892" t="s">
        <v>126</v>
      </c>
      <c r="F5892" t="s">
        <v>9251</v>
      </c>
      <c r="G5892">
        <v>2031464</v>
      </c>
      <c r="H5892" t="s">
        <v>84</v>
      </c>
      <c r="I5892" t="s">
        <v>120</v>
      </c>
      <c r="J5892" t="str">
        <f>"9780520958081"</f>
        <v>9780520958081</v>
      </c>
      <c r="K5892" t="s">
        <v>9255</v>
      </c>
      <c r="L5892">
        <v>16</v>
      </c>
      <c r="O5892" t="s">
        <v>30</v>
      </c>
      <c r="P5892" t="s">
        <v>50</v>
      </c>
      <c r="S5892" t="s">
        <v>128</v>
      </c>
      <c r="T5892" t="s">
        <v>9253</v>
      </c>
      <c r="U5892" t="s">
        <v>9254</v>
      </c>
      <c r="V5892" s="3">
        <v>42217</v>
      </c>
    </row>
    <row r="5893" spans="1:22" x14ac:dyDescent="0.35">
      <c r="A5893" s="1">
        <v>42292.572627314818</v>
      </c>
      <c r="B5893" s="2">
        <v>1.1921296296296296E-3</v>
      </c>
      <c r="C5893" t="s">
        <v>4041</v>
      </c>
      <c r="D5893" t="s">
        <v>23</v>
      </c>
      <c r="E5893" t="s">
        <v>24</v>
      </c>
      <c r="F5893" t="s">
        <v>3060</v>
      </c>
      <c r="G5893">
        <v>1120279</v>
      </c>
      <c r="H5893" t="s">
        <v>26</v>
      </c>
      <c r="I5893" t="s">
        <v>3061</v>
      </c>
      <c r="J5893" t="str">
        <f>"9781118537671"</f>
        <v>9781118537671</v>
      </c>
      <c r="K5893" t="s">
        <v>6495</v>
      </c>
      <c r="L5893">
        <v>11</v>
      </c>
      <c r="O5893" t="s">
        <v>30</v>
      </c>
      <c r="P5893" t="s">
        <v>42</v>
      </c>
      <c r="S5893" t="s">
        <v>31</v>
      </c>
      <c r="T5893" t="s">
        <v>3063</v>
      </c>
      <c r="U5893">
        <v>599.93499999999995</v>
      </c>
      <c r="V5893" s="3">
        <v>41232</v>
      </c>
    </row>
    <row r="5894" spans="1:22" x14ac:dyDescent="0.35">
      <c r="A5894" s="1">
        <v>42292.56145833333</v>
      </c>
      <c r="B5894" s="2">
        <v>5.5555555555555556E-4</v>
      </c>
      <c r="C5894" t="s">
        <v>210</v>
      </c>
      <c r="D5894" t="s">
        <v>211</v>
      </c>
      <c r="E5894" t="s">
        <v>212</v>
      </c>
      <c r="F5894" t="s">
        <v>9256</v>
      </c>
      <c r="G5894">
        <v>1753760</v>
      </c>
      <c r="H5894" t="s">
        <v>26</v>
      </c>
      <c r="I5894" t="s">
        <v>97</v>
      </c>
      <c r="J5894" t="str">
        <f>"9781118898505"</f>
        <v>9781118898505</v>
      </c>
      <c r="K5894" t="s">
        <v>9257</v>
      </c>
      <c r="L5894">
        <v>10</v>
      </c>
      <c r="O5894" t="s">
        <v>30</v>
      </c>
      <c r="P5894" t="s">
        <v>50</v>
      </c>
      <c r="S5894" t="s">
        <v>214</v>
      </c>
      <c r="T5894" t="s">
        <v>9258</v>
      </c>
      <c r="U5894" t="s">
        <v>9259</v>
      </c>
      <c r="V5894" s="3">
        <v>41845</v>
      </c>
    </row>
    <row r="5895" spans="1:22" x14ac:dyDescent="0.35">
      <c r="A5895" s="1">
        <v>42292.542569444442</v>
      </c>
      <c r="B5895" s="2">
        <v>0</v>
      </c>
      <c r="C5895" t="s">
        <v>9173</v>
      </c>
      <c r="D5895" t="s">
        <v>211</v>
      </c>
      <c r="E5895" t="s">
        <v>212</v>
      </c>
      <c r="F5895" t="s">
        <v>4494</v>
      </c>
      <c r="G5895">
        <v>565082</v>
      </c>
      <c r="H5895" t="s">
        <v>26</v>
      </c>
      <c r="I5895" t="s">
        <v>69</v>
      </c>
      <c r="J5895" t="str">
        <f>"9781118041567"</f>
        <v>9781118041567</v>
      </c>
      <c r="K5895" t="s">
        <v>2723</v>
      </c>
      <c r="L5895">
        <v>1</v>
      </c>
      <c r="O5895" t="s">
        <v>30</v>
      </c>
      <c r="P5895" t="s">
        <v>29</v>
      </c>
      <c r="Q5895" s="1">
        <v>42292.542569444442</v>
      </c>
      <c r="R5895">
        <v>7</v>
      </c>
      <c r="S5895" t="s">
        <v>214</v>
      </c>
      <c r="T5895" t="s">
        <v>4496</v>
      </c>
      <c r="U5895" t="s">
        <v>4497</v>
      </c>
      <c r="V5895" s="3">
        <v>40337</v>
      </c>
    </row>
    <row r="5896" spans="1:22" x14ac:dyDescent="0.35">
      <c r="A5896" s="1">
        <v>42292.530219907407</v>
      </c>
      <c r="B5896" s="2">
        <v>1.2349537037037039E-2</v>
      </c>
      <c r="C5896" t="s">
        <v>9173</v>
      </c>
      <c r="D5896" t="s">
        <v>211</v>
      </c>
      <c r="E5896" t="s">
        <v>212</v>
      </c>
      <c r="F5896" t="s">
        <v>4494</v>
      </c>
      <c r="G5896">
        <v>565082</v>
      </c>
      <c r="H5896" t="s">
        <v>26</v>
      </c>
      <c r="I5896" t="s">
        <v>69</v>
      </c>
      <c r="J5896" t="str">
        <f>"9781118041567"</f>
        <v>9781118041567</v>
      </c>
      <c r="K5896" t="s">
        <v>9260</v>
      </c>
      <c r="L5896">
        <v>10</v>
      </c>
      <c r="O5896" t="s">
        <v>30</v>
      </c>
      <c r="P5896" t="s">
        <v>42</v>
      </c>
      <c r="S5896" t="s">
        <v>214</v>
      </c>
      <c r="T5896" t="s">
        <v>4496</v>
      </c>
      <c r="U5896" t="s">
        <v>4497</v>
      </c>
      <c r="V5896" s="3">
        <v>40337</v>
      </c>
    </row>
    <row r="5897" spans="1:22" x14ac:dyDescent="0.35">
      <c r="A5897" s="1">
        <v>42292.465740740743</v>
      </c>
      <c r="B5897" s="2">
        <v>0</v>
      </c>
      <c r="C5897" t="s">
        <v>1098</v>
      </c>
      <c r="D5897" t="s">
        <v>360</v>
      </c>
      <c r="E5897" t="s">
        <v>361</v>
      </c>
      <c r="F5897" t="s">
        <v>9223</v>
      </c>
      <c r="G5897">
        <v>832577</v>
      </c>
      <c r="H5897" t="s">
        <v>26</v>
      </c>
      <c r="I5897" t="s">
        <v>3802</v>
      </c>
      <c r="J5897" t="str">
        <f>"9781118226360"</f>
        <v>9781118226360</v>
      </c>
      <c r="L5897">
        <v>0</v>
      </c>
      <c r="O5897" t="s">
        <v>28</v>
      </c>
      <c r="P5897" t="s">
        <v>29</v>
      </c>
      <c r="Q5897" s="1">
        <v>42292.465740740743</v>
      </c>
      <c r="R5897">
        <v>7</v>
      </c>
      <c r="S5897" t="s">
        <v>363</v>
      </c>
      <c r="T5897" t="s">
        <v>9224</v>
      </c>
      <c r="U5897" t="s">
        <v>9225</v>
      </c>
      <c r="V5897" s="3">
        <v>41051</v>
      </c>
    </row>
    <row r="5898" spans="1:22" x14ac:dyDescent="0.35">
      <c r="A5898" s="1">
        <v>42292.465740740743</v>
      </c>
      <c r="B5898" s="2">
        <v>0</v>
      </c>
      <c r="C5898" t="s">
        <v>1098</v>
      </c>
      <c r="D5898" t="s">
        <v>360</v>
      </c>
      <c r="E5898" t="s">
        <v>361</v>
      </c>
      <c r="F5898" t="s">
        <v>9223</v>
      </c>
      <c r="G5898">
        <v>832577</v>
      </c>
      <c r="H5898" t="s">
        <v>26</v>
      </c>
      <c r="I5898" t="s">
        <v>3802</v>
      </c>
      <c r="J5898" t="str">
        <f>"9781118226360"</f>
        <v>9781118226360</v>
      </c>
      <c r="L5898">
        <v>0</v>
      </c>
      <c r="O5898" t="s">
        <v>30</v>
      </c>
      <c r="P5898" t="s">
        <v>29</v>
      </c>
      <c r="Q5898" s="1">
        <v>42292.465740740743</v>
      </c>
      <c r="R5898">
        <v>7</v>
      </c>
      <c r="S5898" t="s">
        <v>363</v>
      </c>
      <c r="T5898" t="s">
        <v>9224</v>
      </c>
      <c r="U5898" t="s">
        <v>9225</v>
      </c>
      <c r="V5898" s="3">
        <v>41051</v>
      </c>
    </row>
    <row r="5899" spans="1:22" x14ac:dyDescent="0.35">
      <c r="A5899" s="1">
        <v>42292.465636574074</v>
      </c>
      <c r="B5899" s="2">
        <v>1.0416666666666667E-4</v>
      </c>
      <c r="C5899" t="s">
        <v>1098</v>
      </c>
      <c r="D5899" t="s">
        <v>360</v>
      </c>
      <c r="E5899" t="s">
        <v>361</v>
      </c>
      <c r="F5899" t="s">
        <v>9223</v>
      </c>
      <c r="G5899">
        <v>832577</v>
      </c>
      <c r="H5899" t="s">
        <v>26</v>
      </c>
      <c r="I5899" t="s">
        <v>3802</v>
      </c>
      <c r="J5899" t="str">
        <f>"9781118226360"</f>
        <v>9781118226360</v>
      </c>
      <c r="K5899" t="s">
        <v>33</v>
      </c>
      <c r="L5899">
        <v>3</v>
      </c>
      <c r="O5899" t="s">
        <v>30</v>
      </c>
      <c r="P5899" t="s">
        <v>42</v>
      </c>
      <c r="S5899" t="s">
        <v>363</v>
      </c>
      <c r="T5899" t="s">
        <v>9224</v>
      </c>
      <c r="U5899" t="s">
        <v>9225</v>
      </c>
      <c r="V5899" s="3">
        <v>41051</v>
      </c>
    </row>
    <row r="5900" spans="1:22" x14ac:dyDescent="0.35">
      <c r="A5900" s="1">
        <v>42292.125</v>
      </c>
      <c r="B5900" s="2">
        <v>5.5555555555555556E-4</v>
      </c>
      <c r="C5900" t="s">
        <v>106</v>
      </c>
      <c r="D5900" t="s">
        <v>23</v>
      </c>
      <c r="E5900" t="s">
        <v>24</v>
      </c>
      <c r="F5900" t="s">
        <v>2433</v>
      </c>
      <c r="G5900">
        <v>1138225</v>
      </c>
      <c r="H5900" t="s">
        <v>26</v>
      </c>
      <c r="I5900" t="s">
        <v>297</v>
      </c>
      <c r="J5900" t="str">
        <f>"9781118548356"</f>
        <v>9781118548356</v>
      </c>
      <c r="K5900" t="s">
        <v>9261</v>
      </c>
      <c r="L5900">
        <v>17</v>
      </c>
      <c r="O5900" t="s">
        <v>30</v>
      </c>
      <c r="P5900" t="s">
        <v>42</v>
      </c>
      <c r="S5900" t="s">
        <v>31</v>
      </c>
      <c r="T5900" t="s">
        <v>2436</v>
      </c>
      <c r="U5900">
        <v>519.53599999999994</v>
      </c>
      <c r="V5900" s="3">
        <v>41331</v>
      </c>
    </row>
    <row r="5901" spans="1:22" x14ac:dyDescent="0.35">
      <c r="A5901" s="1">
        <v>42292.118101851855</v>
      </c>
      <c r="B5901" s="2">
        <v>0</v>
      </c>
      <c r="C5901" t="s">
        <v>1098</v>
      </c>
      <c r="D5901" t="s">
        <v>360</v>
      </c>
      <c r="E5901" t="s">
        <v>361</v>
      </c>
      <c r="F5901" t="s">
        <v>9262</v>
      </c>
      <c r="G5901">
        <v>3058555</v>
      </c>
      <c r="H5901" t="s">
        <v>440</v>
      </c>
      <c r="I5901" t="s">
        <v>276</v>
      </c>
      <c r="J5901" t="str">
        <f>"9781119998808"</f>
        <v>9781119998808</v>
      </c>
      <c r="L5901">
        <v>0</v>
      </c>
      <c r="O5901" t="s">
        <v>28</v>
      </c>
      <c r="P5901" t="s">
        <v>47</v>
      </c>
      <c r="Q5901" s="1">
        <v>42292.066666666666</v>
      </c>
      <c r="R5901">
        <v>1</v>
      </c>
      <c r="S5901" t="s">
        <v>363</v>
      </c>
      <c r="T5901" t="s">
        <v>9263</v>
      </c>
      <c r="U5901" t="s">
        <v>9264</v>
      </c>
      <c r="V5901" s="3">
        <v>49675</v>
      </c>
    </row>
    <row r="5902" spans="1:22" x14ac:dyDescent="0.35">
      <c r="A5902" s="1">
        <v>42292.117997685185</v>
      </c>
      <c r="B5902" s="2">
        <v>4.6296296296296294E-5</v>
      </c>
      <c r="C5902" t="s">
        <v>1098</v>
      </c>
      <c r="D5902" t="s">
        <v>360</v>
      </c>
      <c r="E5902" t="s">
        <v>361</v>
      </c>
      <c r="F5902" t="s">
        <v>9262</v>
      </c>
      <c r="G5902">
        <v>3058555</v>
      </c>
      <c r="H5902" t="s">
        <v>440</v>
      </c>
      <c r="I5902" t="s">
        <v>276</v>
      </c>
      <c r="J5902" t="str">
        <f>"9781119998808"</f>
        <v>9781119998808</v>
      </c>
      <c r="K5902" t="s">
        <v>33</v>
      </c>
      <c r="L5902">
        <v>3</v>
      </c>
      <c r="O5902" t="s">
        <v>30</v>
      </c>
      <c r="P5902" t="s">
        <v>47</v>
      </c>
      <c r="Q5902" s="1">
        <v>42292.066666666666</v>
      </c>
      <c r="R5902">
        <v>1</v>
      </c>
      <c r="S5902" t="s">
        <v>363</v>
      </c>
      <c r="T5902" t="s">
        <v>9263</v>
      </c>
      <c r="U5902" t="s">
        <v>9264</v>
      </c>
      <c r="V5902" s="3">
        <v>49675</v>
      </c>
    </row>
    <row r="5903" spans="1:22" x14ac:dyDescent="0.35">
      <c r="A5903" s="1">
        <v>42292.117546296293</v>
      </c>
      <c r="B5903" s="2">
        <v>4.6296296296296294E-5</v>
      </c>
      <c r="C5903" t="s">
        <v>1098</v>
      </c>
      <c r="D5903" t="s">
        <v>360</v>
      </c>
      <c r="E5903" t="s">
        <v>361</v>
      </c>
      <c r="F5903" t="s">
        <v>9262</v>
      </c>
      <c r="G5903">
        <v>3058555</v>
      </c>
      <c r="H5903" t="s">
        <v>440</v>
      </c>
      <c r="I5903" t="s">
        <v>276</v>
      </c>
      <c r="J5903" t="str">
        <f>"9781119998808"</f>
        <v>9781119998808</v>
      </c>
      <c r="K5903" t="s">
        <v>33</v>
      </c>
      <c r="L5903">
        <v>3</v>
      </c>
      <c r="O5903" t="s">
        <v>30</v>
      </c>
      <c r="P5903" t="s">
        <v>47</v>
      </c>
      <c r="Q5903" s="1">
        <v>42292.066666666666</v>
      </c>
      <c r="R5903">
        <v>1</v>
      </c>
      <c r="S5903" t="s">
        <v>363</v>
      </c>
      <c r="T5903" t="s">
        <v>9263</v>
      </c>
      <c r="U5903" t="s">
        <v>9264</v>
      </c>
      <c r="V5903" s="3">
        <v>49675</v>
      </c>
    </row>
    <row r="5904" spans="1:22" x14ac:dyDescent="0.35">
      <c r="A5904" s="1">
        <v>42292.11519675926</v>
      </c>
      <c r="B5904" s="2">
        <v>0</v>
      </c>
      <c r="C5904" t="s">
        <v>5485</v>
      </c>
      <c r="D5904" t="s">
        <v>23</v>
      </c>
      <c r="E5904" t="s">
        <v>24</v>
      </c>
      <c r="F5904" t="s">
        <v>2191</v>
      </c>
      <c r="G5904">
        <v>1691133</v>
      </c>
      <c r="H5904" t="s">
        <v>91</v>
      </c>
      <c r="I5904" t="s">
        <v>247</v>
      </c>
      <c r="J5904" t="str">
        <f>"9781462516278"</f>
        <v>9781462516278</v>
      </c>
      <c r="L5904">
        <v>0</v>
      </c>
      <c r="M5904" t="s">
        <v>105</v>
      </c>
      <c r="O5904" t="s">
        <v>30</v>
      </c>
      <c r="P5904" t="s">
        <v>29</v>
      </c>
      <c r="Q5904" s="1">
        <v>42292.11519675926</v>
      </c>
      <c r="R5904">
        <v>7</v>
      </c>
      <c r="S5904" t="s">
        <v>31</v>
      </c>
      <c r="T5904" t="s">
        <v>2194</v>
      </c>
      <c r="U5904" t="s">
        <v>2195</v>
      </c>
      <c r="V5904" s="3">
        <v>41774</v>
      </c>
    </row>
    <row r="5905" spans="1:22" x14ac:dyDescent="0.35">
      <c r="A5905" s="1">
        <v>42292.114652777775</v>
      </c>
      <c r="B5905" s="2">
        <v>5.4398148148148144E-4</v>
      </c>
      <c r="C5905" t="s">
        <v>5485</v>
      </c>
      <c r="D5905" t="s">
        <v>23</v>
      </c>
      <c r="E5905" t="s">
        <v>24</v>
      </c>
      <c r="F5905" t="s">
        <v>2191</v>
      </c>
      <c r="G5905">
        <v>1691133</v>
      </c>
      <c r="H5905" t="s">
        <v>91</v>
      </c>
      <c r="I5905" t="s">
        <v>247</v>
      </c>
      <c r="J5905" t="str">
        <f>"9781462516278"</f>
        <v>9781462516278</v>
      </c>
      <c r="K5905" t="s">
        <v>867</v>
      </c>
      <c r="L5905">
        <v>10</v>
      </c>
      <c r="O5905" t="s">
        <v>30</v>
      </c>
      <c r="P5905" t="s">
        <v>42</v>
      </c>
      <c r="S5905" t="s">
        <v>31</v>
      </c>
      <c r="T5905" t="s">
        <v>2194</v>
      </c>
      <c r="U5905" t="s">
        <v>2195</v>
      </c>
      <c r="V5905" s="3">
        <v>41774</v>
      </c>
    </row>
    <row r="5906" spans="1:22" x14ac:dyDescent="0.35">
      <c r="A5906" s="1">
        <v>42292.099537037036</v>
      </c>
      <c r="B5906" s="2">
        <v>2.8344907407407412E-2</v>
      </c>
      <c r="C5906" t="s">
        <v>9265</v>
      </c>
      <c r="D5906" t="s">
        <v>211</v>
      </c>
      <c r="E5906" t="s">
        <v>212</v>
      </c>
      <c r="F5906" t="s">
        <v>4494</v>
      </c>
      <c r="G5906">
        <v>565082</v>
      </c>
      <c r="H5906" t="s">
        <v>26</v>
      </c>
      <c r="I5906" t="s">
        <v>69</v>
      </c>
      <c r="J5906" t="str">
        <f>"9781118041567"</f>
        <v>9781118041567</v>
      </c>
      <c r="K5906" t="s">
        <v>9266</v>
      </c>
      <c r="L5906">
        <v>31</v>
      </c>
      <c r="O5906" t="s">
        <v>28</v>
      </c>
      <c r="P5906" t="s">
        <v>29</v>
      </c>
      <c r="Q5906" s="1">
        <v>42290.704884259256</v>
      </c>
      <c r="R5906">
        <v>7</v>
      </c>
      <c r="S5906" t="s">
        <v>214</v>
      </c>
      <c r="T5906" t="s">
        <v>4496</v>
      </c>
      <c r="U5906" t="s">
        <v>4497</v>
      </c>
      <c r="V5906" s="3">
        <v>40337</v>
      </c>
    </row>
    <row r="5907" spans="1:22" x14ac:dyDescent="0.35">
      <c r="A5907" s="1">
        <v>42292.098946759259</v>
      </c>
      <c r="B5907" s="2">
        <v>0</v>
      </c>
      <c r="C5907" t="s">
        <v>9265</v>
      </c>
      <c r="D5907" t="s">
        <v>211</v>
      </c>
      <c r="E5907" t="s">
        <v>212</v>
      </c>
      <c r="F5907" t="s">
        <v>4494</v>
      </c>
      <c r="G5907">
        <v>565082</v>
      </c>
      <c r="H5907" t="s">
        <v>26</v>
      </c>
      <c r="I5907" t="s">
        <v>69</v>
      </c>
      <c r="J5907" t="str">
        <f>"9781118041567"</f>
        <v>9781118041567</v>
      </c>
      <c r="L5907">
        <v>0</v>
      </c>
      <c r="O5907" t="s">
        <v>28</v>
      </c>
      <c r="P5907" t="s">
        <v>29</v>
      </c>
      <c r="Q5907" s="1">
        <v>42290.704884259256</v>
      </c>
      <c r="R5907">
        <v>7</v>
      </c>
      <c r="S5907" t="s">
        <v>214</v>
      </c>
      <c r="T5907" t="s">
        <v>4496</v>
      </c>
      <c r="U5907" t="s">
        <v>4497</v>
      </c>
      <c r="V5907" s="3">
        <v>40337</v>
      </c>
    </row>
    <row r="5908" spans="1:22" x14ac:dyDescent="0.35">
      <c r="A5908" s="1">
        <v>42292.09611111111</v>
      </c>
      <c r="B5908" s="2">
        <v>2.0370370370370373E-3</v>
      </c>
      <c r="C5908" t="s">
        <v>9267</v>
      </c>
      <c r="D5908" t="s">
        <v>35</v>
      </c>
      <c r="E5908" t="s">
        <v>36</v>
      </c>
      <c r="F5908" t="s">
        <v>9268</v>
      </c>
      <c r="G5908">
        <v>1129662</v>
      </c>
      <c r="H5908" t="s">
        <v>26</v>
      </c>
      <c r="I5908" t="s">
        <v>97</v>
      </c>
      <c r="J5908" t="str">
        <f>"9781118333792"</f>
        <v>9781118333792</v>
      </c>
      <c r="K5908" t="s">
        <v>9269</v>
      </c>
      <c r="L5908">
        <v>32</v>
      </c>
      <c r="O5908" t="s">
        <v>30</v>
      </c>
      <c r="P5908" t="s">
        <v>50</v>
      </c>
      <c r="S5908" t="s">
        <v>40</v>
      </c>
      <c r="T5908" t="s">
        <v>9270</v>
      </c>
      <c r="U5908" t="s">
        <v>9271</v>
      </c>
      <c r="V5908" s="3">
        <v>41284</v>
      </c>
    </row>
    <row r="5909" spans="1:22" x14ac:dyDescent="0.35">
      <c r="A5909" s="1">
        <v>42292.094282407408</v>
      </c>
      <c r="B5909" s="2">
        <v>7.5520833333333329E-2</v>
      </c>
      <c r="C5909" t="s">
        <v>106</v>
      </c>
      <c r="D5909" t="s">
        <v>23</v>
      </c>
      <c r="E5909" t="s">
        <v>24</v>
      </c>
      <c r="F5909" t="s">
        <v>3186</v>
      </c>
      <c r="G5909">
        <v>699744</v>
      </c>
      <c r="H5909" t="s">
        <v>26</v>
      </c>
      <c r="I5909" t="s">
        <v>3187</v>
      </c>
      <c r="J5909" t="str">
        <f>"9781118585818"</f>
        <v>9781118585818</v>
      </c>
      <c r="K5909" t="s">
        <v>9272</v>
      </c>
      <c r="L5909">
        <v>73</v>
      </c>
      <c r="O5909" t="s">
        <v>28</v>
      </c>
      <c r="P5909" t="s">
        <v>29</v>
      </c>
      <c r="Q5909" s="1">
        <v>42290.74150462963</v>
      </c>
      <c r="R5909">
        <v>7</v>
      </c>
      <c r="S5909" t="s">
        <v>31</v>
      </c>
      <c r="T5909" t="s">
        <v>3188</v>
      </c>
      <c r="U5909">
        <v>621.36</v>
      </c>
      <c r="V5909" s="3">
        <v>41310</v>
      </c>
    </row>
    <row r="5910" spans="1:22" x14ac:dyDescent="0.35">
      <c r="A5910" s="1">
        <v>42292.08084490741</v>
      </c>
      <c r="B5910" s="2">
        <v>3.5486111111111114E-2</v>
      </c>
      <c r="C5910" t="s">
        <v>1098</v>
      </c>
      <c r="D5910" t="s">
        <v>360</v>
      </c>
      <c r="E5910" t="s">
        <v>361</v>
      </c>
      <c r="F5910" t="s">
        <v>9262</v>
      </c>
      <c r="G5910">
        <v>3058555</v>
      </c>
      <c r="H5910" t="s">
        <v>440</v>
      </c>
      <c r="I5910" t="s">
        <v>276</v>
      </c>
      <c r="J5910" t="str">
        <f>"9781119998808"</f>
        <v>9781119998808</v>
      </c>
      <c r="K5910" t="s">
        <v>9273</v>
      </c>
      <c r="L5910">
        <v>10</v>
      </c>
      <c r="O5910" t="s">
        <v>28</v>
      </c>
      <c r="P5910" t="s">
        <v>47</v>
      </c>
      <c r="Q5910" s="1">
        <v>42292.066666666666</v>
      </c>
      <c r="R5910">
        <v>1</v>
      </c>
      <c r="S5910" t="s">
        <v>363</v>
      </c>
      <c r="T5910" t="s">
        <v>9263</v>
      </c>
      <c r="U5910" t="s">
        <v>9264</v>
      </c>
      <c r="V5910" s="3">
        <v>49675</v>
      </c>
    </row>
    <row r="5911" spans="1:22" x14ac:dyDescent="0.35">
      <c r="A5911" s="1">
        <v>42292.080034722225</v>
      </c>
      <c r="B5911" s="2">
        <v>5.9027777777777778E-4</v>
      </c>
      <c r="C5911" t="s">
        <v>1098</v>
      </c>
      <c r="D5911" t="s">
        <v>360</v>
      </c>
      <c r="E5911" t="s">
        <v>361</v>
      </c>
      <c r="F5911" t="s">
        <v>9262</v>
      </c>
      <c r="G5911">
        <v>3058555</v>
      </c>
      <c r="H5911" t="s">
        <v>440</v>
      </c>
      <c r="I5911" t="s">
        <v>276</v>
      </c>
      <c r="J5911" t="str">
        <f>"9781119998808"</f>
        <v>9781119998808</v>
      </c>
      <c r="K5911" t="s">
        <v>33</v>
      </c>
      <c r="L5911">
        <v>3</v>
      </c>
      <c r="O5911" t="s">
        <v>28</v>
      </c>
      <c r="P5911" t="s">
        <v>47</v>
      </c>
      <c r="Q5911" s="1">
        <v>42292.066666666666</v>
      </c>
      <c r="R5911">
        <v>1</v>
      </c>
      <c r="S5911" t="s">
        <v>363</v>
      </c>
      <c r="T5911" t="s">
        <v>9263</v>
      </c>
      <c r="U5911" t="s">
        <v>9264</v>
      </c>
      <c r="V5911" s="3">
        <v>49675</v>
      </c>
    </row>
    <row r="5912" spans="1:22" x14ac:dyDescent="0.35">
      <c r="A5912" s="1">
        <v>42292.075925925928</v>
      </c>
      <c r="B5912" s="2">
        <v>2.2858796296296294E-2</v>
      </c>
      <c r="C5912" t="s">
        <v>9265</v>
      </c>
      <c r="D5912" t="s">
        <v>211</v>
      </c>
      <c r="E5912" t="s">
        <v>212</v>
      </c>
      <c r="F5912" t="s">
        <v>4494</v>
      </c>
      <c r="G5912">
        <v>565082</v>
      </c>
      <c r="H5912" t="s">
        <v>26</v>
      </c>
      <c r="I5912" t="s">
        <v>69</v>
      </c>
      <c r="J5912" t="str">
        <f>"9781118041567"</f>
        <v>9781118041567</v>
      </c>
      <c r="K5912" t="s">
        <v>9274</v>
      </c>
      <c r="L5912">
        <v>19</v>
      </c>
      <c r="N5912" t="s">
        <v>9275</v>
      </c>
      <c r="O5912" t="s">
        <v>30</v>
      </c>
      <c r="P5912" t="s">
        <v>29</v>
      </c>
      <c r="Q5912" s="1">
        <v>42290.704884259256</v>
      </c>
      <c r="R5912">
        <v>7</v>
      </c>
      <c r="S5912" t="s">
        <v>214</v>
      </c>
      <c r="T5912" t="s">
        <v>4496</v>
      </c>
      <c r="U5912" t="s">
        <v>4497</v>
      </c>
      <c r="V5912" s="3">
        <v>40337</v>
      </c>
    </row>
    <row r="5913" spans="1:22" x14ac:dyDescent="0.35">
      <c r="A5913" s="1">
        <v>42292.075127314813</v>
      </c>
      <c r="B5913" s="2">
        <v>1.8842592592592591E-2</v>
      </c>
      <c r="C5913" t="s">
        <v>106</v>
      </c>
      <c r="D5913" t="s">
        <v>23</v>
      </c>
      <c r="E5913" t="s">
        <v>24</v>
      </c>
      <c r="F5913" t="s">
        <v>3186</v>
      </c>
      <c r="G5913">
        <v>699744</v>
      </c>
      <c r="H5913" t="s">
        <v>26</v>
      </c>
      <c r="I5913" t="s">
        <v>3187</v>
      </c>
      <c r="J5913" t="str">
        <f>"9781118585818"</f>
        <v>9781118585818</v>
      </c>
      <c r="K5913" t="s">
        <v>9276</v>
      </c>
      <c r="L5913">
        <v>42</v>
      </c>
      <c r="O5913" t="s">
        <v>30</v>
      </c>
      <c r="P5913" t="s">
        <v>29</v>
      </c>
      <c r="Q5913" s="1">
        <v>42290.74150462963</v>
      </c>
      <c r="R5913">
        <v>7</v>
      </c>
      <c r="S5913" t="s">
        <v>31</v>
      </c>
      <c r="T5913" t="s">
        <v>3188</v>
      </c>
      <c r="U5913">
        <v>621.36</v>
      </c>
      <c r="V5913" s="3">
        <v>41310</v>
      </c>
    </row>
    <row r="5914" spans="1:22" x14ac:dyDescent="0.35">
      <c r="A5914" s="1">
        <v>42292.066666666666</v>
      </c>
      <c r="B5914" s="2">
        <v>1.3263888888888889E-2</v>
      </c>
      <c r="C5914" t="s">
        <v>1098</v>
      </c>
      <c r="D5914" t="s">
        <v>360</v>
      </c>
      <c r="E5914" t="s">
        <v>361</v>
      </c>
      <c r="F5914" t="s">
        <v>9262</v>
      </c>
      <c r="G5914">
        <v>3058555</v>
      </c>
      <c r="H5914" t="s">
        <v>440</v>
      </c>
      <c r="I5914" t="s">
        <v>276</v>
      </c>
      <c r="J5914" t="str">
        <f>"9781119998808"</f>
        <v>9781119998808</v>
      </c>
      <c r="K5914" t="s">
        <v>224</v>
      </c>
      <c r="L5914">
        <v>1</v>
      </c>
      <c r="O5914" t="s">
        <v>28</v>
      </c>
      <c r="P5914" t="s">
        <v>47</v>
      </c>
      <c r="Q5914" s="1">
        <v>42292.066666666666</v>
      </c>
      <c r="R5914">
        <v>1</v>
      </c>
      <c r="S5914" t="s">
        <v>363</v>
      </c>
      <c r="T5914" t="s">
        <v>9263</v>
      </c>
      <c r="U5914" t="s">
        <v>9264</v>
      </c>
      <c r="V5914" s="3">
        <v>49675</v>
      </c>
    </row>
    <row r="5915" spans="1:22" x14ac:dyDescent="0.35">
      <c r="A5915" s="1">
        <v>42292.066666666666</v>
      </c>
      <c r="B5915" s="2">
        <v>0</v>
      </c>
      <c r="C5915" t="s">
        <v>1098</v>
      </c>
      <c r="D5915" t="s">
        <v>360</v>
      </c>
      <c r="E5915" t="s">
        <v>361</v>
      </c>
      <c r="F5915" t="s">
        <v>9262</v>
      </c>
      <c r="G5915">
        <v>3058555</v>
      </c>
      <c r="H5915" t="s">
        <v>440</v>
      </c>
      <c r="I5915" t="s">
        <v>276</v>
      </c>
      <c r="J5915" t="str">
        <f>"9781119998808"</f>
        <v>9781119998808</v>
      </c>
      <c r="L5915">
        <v>0</v>
      </c>
      <c r="O5915" t="s">
        <v>30</v>
      </c>
      <c r="P5915" t="s">
        <v>47</v>
      </c>
      <c r="Q5915" s="1">
        <v>42292.066666666666</v>
      </c>
      <c r="R5915">
        <v>1</v>
      </c>
      <c r="S5915" t="s">
        <v>363</v>
      </c>
      <c r="T5915" t="s">
        <v>9263</v>
      </c>
      <c r="U5915" t="s">
        <v>9264</v>
      </c>
      <c r="V5915" s="3">
        <v>49675</v>
      </c>
    </row>
    <row r="5916" spans="1:22" x14ac:dyDescent="0.35">
      <c r="A5916" s="1">
        <v>42292.066030092596</v>
      </c>
      <c r="B5916" s="2">
        <v>6.3657407407407402E-4</v>
      </c>
      <c r="C5916" t="s">
        <v>1098</v>
      </c>
      <c r="D5916" t="s">
        <v>360</v>
      </c>
      <c r="E5916" t="s">
        <v>361</v>
      </c>
      <c r="F5916" t="s">
        <v>9262</v>
      </c>
      <c r="G5916">
        <v>3058555</v>
      </c>
      <c r="H5916" t="s">
        <v>440</v>
      </c>
      <c r="I5916" t="s">
        <v>276</v>
      </c>
      <c r="J5916" t="str">
        <f>"9781119998808"</f>
        <v>9781119998808</v>
      </c>
      <c r="K5916" t="s">
        <v>33</v>
      </c>
      <c r="L5916">
        <v>3</v>
      </c>
      <c r="O5916" t="s">
        <v>30</v>
      </c>
      <c r="P5916" t="s">
        <v>50</v>
      </c>
      <c r="S5916" t="s">
        <v>363</v>
      </c>
      <c r="T5916" t="s">
        <v>9263</v>
      </c>
      <c r="U5916" t="s">
        <v>9264</v>
      </c>
      <c r="V5916" s="3">
        <v>49675</v>
      </c>
    </row>
    <row r="5917" spans="1:22" x14ac:dyDescent="0.35">
      <c r="A5917" s="1">
        <v>42292.059432870374</v>
      </c>
      <c r="B5917" s="2">
        <v>2.4745370370370372E-2</v>
      </c>
      <c r="C5917" t="s">
        <v>9170</v>
      </c>
      <c r="D5917" t="s">
        <v>211</v>
      </c>
      <c r="E5917" t="s">
        <v>212</v>
      </c>
      <c r="F5917" t="s">
        <v>4494</v>
      </c>
      <c r="G5917">
        <v>565082</v>
      </c>
      <c r="H5917" t="s">
        <v>26</v>
      </c>
      <c r="I5917" t="s">
        <v>69</v>
      </c>
      <c r="J5917" t="str">
        <f>"9781118041567"</f>
        <v>9781118041567</v>
      </c>
      <c r="K5917" t="s">
        <v>9277</v>
      </c>
      <c r="L5917">
        <v>22</v>
      </c>
      <c r="O5917" t="s">
        <v>30</v>
      </c>
      <c r="P5917" t="s">
        <v>29</v>
      </c>
      <c r="Q5917" s="1">
        <v>42292.059432870374</v>
      </c>
      <c r="R5917">
        <v>7</v>
      </c>
      <c r="S5917" t="s">
        <v>214</v>
      </c>
      <c r="T5917" t="s">
        <v>4496</v>
      </c>
      <c r="U5917" t="s">
        <v>4497</v>
      </c>
      <c r="V5917" s="3">
        <v>40337</v>
      </c>
    </row>
    <row r="5918" spans="1:22" x14ac:dyDescent="0.35">
      <c r="A5918" s="1">
        <v>42292.051759259259</v>
      </c>
      <c r="B5918" s="2">
        <v>7.6736111111111111E-3</v>
      </c>
      <c r="C5918" t="s">
        <v>9170</v>
      </c>
      <c r="D5918" t="s">
        <v>211</v>
      </c>
      <c r="E5918" t="s">
        <v>212</v>
      </c>
      <c r="F5918" t="s">
        <v>4494</v>
      </c>
      <c r="G5918">
        <v>565082</v>
      </c>
      <c r="H5918" t="s">
        <v>26</v>
      </c>
      <c r="I5918" t="s">
        <v>69</v>
      </c>
      <c r="J5918" t="str">
        <f>"9781118041567"</f>
        <v>9781118041567</v>
      </c>
      <c r="K5918" t="s">
        <v>9278</v>
      </c>
      <c r="L5918">
        <v>12</v>
      </c>
      <c r="O5918" t="s">
        <v>30</v>
      </c>
      <c r="P5918" t="s">
        <v>42</v>
      </c>
      <c r="S5918" t="s">
        <v>214</v>
      </c>
      <c r="T5918" t="s">
        <v>4496</v>
      </c>
      <c r="U5918" t="s">
        <v>4497</v>
      </c>
      <c r="V5918" s="3">
        <v>40337</v>
      </c>
    </row>
    <row r="5919" spans="1:22" x14ac:dyDescent="0.35">
      <c r="A5919" s="1">
        <v>42292.051099537035</v>
      </c>
      <c r="B5919" s="2">
        <v>2.3148148148148147E-5</v>
      </c>
      <c r="C5919" t="s">
        <v>5902</v>
      </c>
      <c r="D5919" t="s">
        <v>35</v>
      </c>
      <c r="E5919" t="s">
        <v>36</v>
      </c>
      <c r="F5919" t="s">
        <v>986</v>
      </c>
      <c r="G5919">
        <v>968030</v>
      </c>
      <c r="H5919" t="s">
        <v>26</v>
      </c>
      <c r="I5919" t="s">
        <v>219</v>
      </c>
      <c r="J5919" t="str">
        <f>"9781118285138"</f>
        <v>9781118285138</v>
      </c>
      <c r="K5919" t="s">
        <v>9279</v>
      </c>
      <c r="L5919">
        <v>6</v>
      </c>
      <c r="O5919" t="s">
        <v>30</v>
      </c>
      <c r="P5919" t="s">
        <v>29</v>
      </c>
      <c r="Q5919" s="1">
        <v>42292.051099537035</v>
      </c>
      <c r="R5919">
        <v>7</v>
      </c>
      <c r="S5919" t="s">
        <v>40</v>
      </c>
      <c r="T5919" t="s">
        <v>987</v>
      </c>
      <c r="U5919">
        <v>158.30000000000001</v>
      </c>
      <c r="V5919" s="3">
        <v>41100</v>
      </c>
    </row>
    <row r="5920" spans="1:22" x14ac:dyDescent="0.35">
      <c r="A5920" s="1">
        <v>42292.039826388886</v>
      </c>
      <c r="B5920" s="2">
        <v>1.1273148148148148E-2</v>
      </c>
      <c r="C5920" t="s">
        <v>5902</v>
      </c>
      <c r="D5920" t="s">
        <v>35</v>
      </c>
      <c r="E5920" t="s">
        <v>36</v>
      </c>
      <c r="F5920" t="s">
        <v>986</v>
      </c>
      <c r="G5920">
        <v>968030</v>
      </c>
      <c r="H5920" t="s">
        <v>26</v>
      </c>
      <c r="I5920" t="s">
        <v>219</v>
      </c>
      <c r="J5920" t="str">
        <f>"9781118285138"</f>
        <v>9781118285138</v>
      </c>
      <c r="K5920" t="s">
        <v>9280</v>
      </c>
      <c r="L5920">
        <v>7</v>
      </c>
      <c r="O5920" t="s">
        <v>30</v>
      </c>
      <c r="P5920" t="s">
        <v>42</v>
      </c>
      <c r="S5920" t="s">
        <v>40</v>
      </c>
      <c r="T5920" t="s">
        <v>987</v>
      </c>
      <c r="U5920">
        <v>158.30000000000001</v>
      </c>
      <c r="V5920" s="3">
        <v>41100</v>
      </c>
    </row>
    <row r="5921" spans="1:22" x14ac:dyDescent="0.35">
      <c r="A5921" s="1">
        <v>42292.032696759263</v>
      </c>
      <c r="B5921" s="2">
        <v>1.25E-3</v>
      </c>
      <c r="C5921" t="s">
        <v>5902</v>
      </c>
      <c r="D5921" t="s">
        <v>35</v>
      </c>
      <c r="E5921" t="s">
        <v>36</v>
      </c>
      <c r="F5921" t="s">
        <v>986</v>
      </c>
      <c r="G5921">
        <v>968030</v>
      </c>
      <c r="H5921" t="s">
        <v>26</v>
      </c>
      <c r="I5921" t="s">
        <v>219</v>
      </c>
      <c r="J5921" t="str">
        <f>"9781118285138"</f>
        <v>9781118285138</v>
      </c>
      <c r="K5921" t="s">
        <v>9281</v>
      </c>
      <c r="L5921">
        <v>13</v>
      </c>
      <c r="O5921" t="s">
        <v>30</v>
      </c>
      <c r="P5921" t="s">
        <v>42</v>
      </c>
      <c r="S5921" t="s">
        <v>40</v>
      </c>
      <c r="T5921" t="s">
        <v>987</v>
      </c>
      <c r="U5921">
        <v>158.30000000000001</v>
      </c>
      <c r="V5921" s="3">
        <v>41100</v>
      </c>
    </row>
    <row r="5922" spans="1:22" x14ac:dyDescent="0.35">
      <c r="A5922" s="1">
        <v>42291.968298611115</v>
      </c>
      <c r="B5922" s="2">
        <v>1.1226851851851851E-3</v>
      </c>
      <c r="C5922" t="s">
        <v>9282</v>
      </c>
      <c r="D5922" t="s">
        <v>35</v>
      </c>
      <c r="E5922" t="s">
        <v>36</v>
      </c>
      <c r="F5922" t="s">
        <v>9283</v>
      </c>
      <c r="G5922">
        <v>1762074</v>
      </c>
      <c r="H5922" t="s">
        <v>26</v>
      </c>
      <c r="I5922" t="s">
        <v>69</v>
      </c>
      <c r="J5922" t="str">
        <f>"9781118885901"</f>
        <v>9781118885901</v>
      </c>
      <c r="K5922" t="s">
        <v>9284</v>
      </c>
      <c r="L5922">
        <v>14</v>
      </c>
      <c r="O5922" t="s">
        <v>30</v>
      </c>
      <c r="P5922" t="s">
        <v>50</v>
      </c>
      <c r="S5922" t="s">
        <v>40</v>
      </c>
      <c r="T5922" t="s">
        <v>9285</v>
      </c>
      <c r="U5922">
        <v>372.6</v>
      </c>
      <c r="V5922" s="3">
        <v>41852</v>
      </c>
    </row>
    <row r="5923" spans="1:22" x14ac:dyDescent="0.35">
      <c r="A5923" s="1">
        <v>42291.940439814818</v>
      </c>
      <c r="B5923" s="2">
        <v>1.3541666666666667E-2</v>
      </c>
      <c r="C5923" t="s">
        <v>5969</v>
      </c>
      <c r="D5923" t="s">
        <v>23</v>
      </c>
      <c r="E5923" t="s">
        <v>24</v>
      </c>
      <c r="F5923" t="s">
        <v>745</v>
      </c>
      <c r="G5923">
        <v>1166322</v>
      </c>
      <c r="H5923" t="s">
        <v>26</v>
      </c>
      <c r="I5923" t="s">
        <v>200</v>
      </c>
      <c r="J5923" t="str">
        <f>"9781118418512"</f>
        <v>9781118418512</v>
      </c>
      <c r="K5923" t="s">
        <v>9286</v>
      </c>
      <c r="L5923">
        <v>8</v>
      </c>
      <c r="O5923" t="s">
        <v>30</v>
      </c>
      <c r="P5923" t="s">
        <v>29</v>
      </c>
      <c r="Q5923" s="1">
        <v>42291.940439814818</v>
      </c>
      <c r="R5923">
        <v>7</v>
      </c>
      <c r="S5923" t="s">
        <v>31</v>
      </c>
      <c r="T5923" t="s">
        <v>747</v>
      </c>
      <c r="U5923">
        <v>720.072</v>
      </c>
      <c r="V5923" s="3">
        <v>41367</v>
      </c>
    </row>
    <row r="5924" spans="1:22" x14ac:dyDescent="0.35">
      <c r="A5924" s="1">
        <v>42291.926238425927</v>
      </c>
      <c r="B5924" s="2">
        <v>1.4201388888888888E-2</v>
      </c>
      <c r="C5924" t="s">
        <v>5969</v>
      </c>
      <c r="D5924" t="s">
        <v>23</v>
      </c>
      <c r="E5924" t="s">
        <v>24</v>
      </c>
      <c r="F5924" t="s">
        <v>745</v>
      </c>
      <c r="G5924">
        <v>1166322</v>
      </c>
      <c r="H5924" t="s">
        <v>26</v>
      </c>
      <c r="I5924" t="s">
        <v>200</v>
      </c>
      <c r="J5924" t="str">
        <f>"9781118418512"</f>
        <v>9781118418512</v>
      </c>
      <c r="K5924" t="s">
        <v>9287</v>
      </c>
      <c r="L5924">
        <v>20</v>
      </c>
      <c r="O5924" t="s">
        <v>30</v>
      </c>
      <c r="P5924" t="s">
        <v>42</v>
      </c>
      <c r="S5924" t="s">
        <v>31</v>
      </c>
      <c r="T5924" t="s">
        <v>747</v>
      </c>
      <c r="U5924">
        <v>720.072</v>
      </c>
      <c r="V5924" s="3">
        <v>41367</v>
      </c>
    </row>
    <row r="5925" spans="1:22" x14ac:dyDescent="0.35">
      <c r="A5925" s="1">
        <v>42291.922361111108</v>
      </c>
      <c r="B5925" s="2">
        <v>0</v>
      </c>
      <c r="C5925" t="s">
        <v>210</v>
      </c>
      <c r="D5925" t="s">
        <v>211</v>
      </c>
      <c r="E5925" t="s">
        <v>212</v>
      </c>
      <c r="F5925" t="s">
        <v>9288</v>
      </c>
      <c r="G5925">
        <v>1770687</v>
      </c>
      <c r="H5925" t="s">
        <v>26</v>
      </c>
      <c r="I5925" t="s">
        <v>9289</v>
      </c>
      <c r="J5925" t="str">
        <f>"9781118877692"</f>
        <v>9781118877692</v>
      </c>
      <c r="K5925" t="s">
        <v>837</v>
      </c>
      <c r="L5925">
        <v>1</v>
      </c>
      <c r="O5925" t="s">
        <v>30</v>
      </c>
      <c r="P5925" t="s">
        <v>29</v>
      </c>
      <c r="Q5925" s="1">
        <v>42291.922361111108</v>
      </c>
      <c r="R5925">
        <v>7</v>
      </c>
      <c r="S5925" t="s">
        <v>214</v>
      </c>
      <c r="T5925" t="s">
        <v>9290</v>
      </c>
      <c r="U5925">
        <v>613.20190000000002</v>
      </c>
      <c r="V5925" s="3">
        <v>41870</v>
      </c>
    </row>
    <row r="5926" spans="1:22" x14ac:dyDescent="0.35">
      <c r="A5926" s="1">
        <v>42291.908495370371</v>
      </c>
      <c r="B5926" s="2">
        <v>1.3865740740740739E-2</v>
      </c>
      <c r="C5926" t="s">
        <v>210</v>
      </c>
      <c r="D5926" t="s">
        <v>211</v>
      </c>
      <c r="E5926" t="s">
        <v>212</v>
      </c>
      <c r="F5926" t="s">
        <v>9288</v>
      </c>
      <c r="G5926">
        <v>1770687</v>
      </c>
      <c r="H5926" t="s">
        <v>26</v>
      </c>
      <c r="I5926" t="s">
        <v>9289</v>
      </c>
      <c r="J5926" t="str">
        <f>"9781118877692"</f>
        <v>9781118877692</v>
      </c>
      <c r="K5926" t="s">
        <v>9291</v>
      </c>
      <c r="L5926">
        <v>17</v>
      </c>
      <c r="O5926" t="s">
        <v>30</v>
      </c>
      <c r="P5926" t="s">
        <v>50</v>
      </c>
      <c r="S5926" t="s">
        <v>214</v>
      </c>
      <c r="T5926" t="s">
        <v>9290</v>
      </c>
      <c r="U5926">
        <v>613.20190000000002</v>
      </c>
      <c r="V5926" s="3">
        <v>41870</v>
      </c>
    </row>
    <row r="5927" spans="1:22" x14ac:dyDescent="0.35">
      <c r="A5927" s="1">
        <v>42291.893807870372</v>
      </c>
      <c r="B5927" s="2">
        <v>3.4722222222222222E-5</v>
      </c>
      <c r="C5927" t="s">
        <v>8743</v>
      </c>
      <c r="D5927" t="s">
        <v>1222</v>
      </c>
      <c r="E5927" t="s">
        <v>1223</v>
      </c>
      <c r="F5927" t="s">
        <v>9292</v>
      </c>
      <c r="G5927">
        <v>1574614</v>
      </c>
      <c r="H5927" t="s">
        <v>84</v>
      </c>
      <c r="I5927" t="s">
        <v>120</v>
      </c>
      <c r="J5927" t="str">
        <f>"9780520957619"</f>
        <v>9780520957619</v>
      </c>
      <c r="K5927" t="s">
        <v>9293</v>
      </c>
      <c r="L5927">
        <v>4</v>
      </c>
      <c r="O5927" t="s">
        <v>30</v>
      </c>
      <c r="P5927" t="s">
        <v>47</v>
      </c>
      <c r="Q5927" s="1">
        <v>42291.893807870372</v>
      </c>
      <c r="R5927">
        <v>1</v>
      </c>
      <c r="S5927" t="s">
        <v>1226</v>
      </c>
      <c r="T5927" t="s">
        <v>9294</v>
      </c>
      <c r="U5927">
        <v>394.12</v>
      </c>
      <c r="V5927" s="3">
        <v>41649</v>
      </c>
    </row>
    <row r="5928" spans="1:22" x14ac:dyDescent="0.35">
      <c r="A5928" s="1">
        <v>42291.892754629633</v>
      </c>
      <c r="B5928" s="2">
        <v>3.4722222222222222E-5</v>
      </c>
      <c r="C5928" t="s">
        <v>1098</v>
      </c>
      <c r="D5928" t="s">
        <v>360</v>
      </c>
      <c r="E5928" t="s">
        <v>361</v>
      </c>
      <c r="F5928" t="s">
        <v>1115</v>
      </c>
      <c r="G5928">
        <v>1895867</v>
      </c>
      <c r="H5928" t="s">
        <v>26</v>
      </c>
      <c r="I5928" t="s">
        <v>276</v>
      </c>
      <c r="J5928" t="str">
        <f>"9781118987186"</f>
        <v>9781118987186</v>
      </c>
      <c r="K5928" t="s">
        <v>33</v>
      </c>
      <c r="L5928">
        <v>3</v>
      </c>
      <c r="O5928" t="s">
        <v>30</v>
      </c>
      <c r="P5928" t="s">
        <v>50</v>
      </c>
      <c r="S5928" t="s">
        <v>363</v>
      </c>
      <c r="T5928" t="s">
        <v>1116</v>
      </c>
      <c r="U5928">
        <v>6.7519999999999998</v>
      </c>
      <c r="V5928" s="3">
        <v>41990</v>
      </c>
    </row>
    <row r="5929" spans="1:22" x14ac:dyDescent="0.35">
      <c r="A5929" s="1">
        <v>42291.891122685185</v>
      </c>
      <c r="B5929" s="2">
        <v>1.1458333333333333E-3</v>
      </c>
      <c r="C5929" t="s">
        <v>1098</v>
      </c>
      <c r="D5929" t="s">
        <v>360</v>
      </c>
      <c r="E5929" t="s">
        <v>361</v>
      </c>
      <c r="F5929" t="s">
        <v>8802</v>
      </c>
      <c r="G5929">
        <v>1895305</v>
      </c>
      <c r="H5929" t="s">
        <v>26</v>
      </c>
      <c r="I5929" t="s">
        <v>276</v>
      </c>
      <c r="J5929" t="str">
        <f>"9781119047650"</f>
        <v>9781119047650</v>
      </c>
      <c r="K5929" t="s">
        <v>9295</v>
      </c>
      <c r="L5929">
        <v>15</v>
      </c>
      <c r="O5929" t="s">
        <v>30</v>
      </c>
      <c r="P5929" t="s">
        <v>50</v>
      </c>
      <c r="S5929" t="s">
        <v>363</v>
      </c>
      <c r="T5929" t="s">
        <v>8804</v>
      </c>
      <c r="U5929">
        <v>6.7519999999999998</v>
      </c>
      <c r="V5929" s="3">
        <v>42151</v>
      </c>
    </row>
    <row r="5930" spans="1:22" x14ac:dyDescent="0.35">
      <c r="A5930" s="1">
        <v>42291.889050925929</v>
      </c>
      <c r="B5930" s="2">
        <v>3.4722222222222222E-5</v>
      </c>
      <c r="C5930" t="s">
        <v>1098</v>
      </c>
      <c r="D5930" t="s">
        <v>360</v>
      </c>
      <c r="E5930" t="s">
        <v>361</v>
      </c>
      <c r="F5930" t="s">
        <v>1099</v>
      </c>
      <c r="G5930">
        <v>1636080</v>
      </c>
      <c r="H5930" t="s">
        <v>1100</v>
      </c>
      <c r="I5930" t="s">
        <v>276</v>
      </c>
      <c r="J5930" t="str">
        <f>"9781118600702"</f>
        <v>9781118600702</v>
      </c>
      <c r="K5930" t="s">
        <v>33</v>
      </c>
      <c r="L5930">
        <v>3</v>
      </c>
      <c r="O5930" t="s">
        <v>30</v>
      </c>
      <c r="P5930" t="s">
        <v>42</v>
      </c>
      <c r="S5930" t="s">
        <v>363</v>
      </c>
      <c r="T5930" t="s">
        <v>1102</v>
      </c>
      <c r="U5930">
        <v>6.7519999999999998</v>
      </c>
      <c r="V5930" s="3">
        <v>41701</v>
      </c>
    </row>
    <row r="5931" spans="1:22" x14ac:dyDescent="0.35">
      <c r="A5931" s="1">
        <v>42291.887523148151</v>
      </c>
      <c r="B5931" s="2">
        <v>6.2847222222222228E-3</v>
      </c>
      <c r="C5931" t="s">
        <v>8743</v>
      </c>
      <c r="D5931" t="s">
        <v>1222</v>
      </c>
      <c r="E5931" t="s">
        <v>1223</v>
      </c>
      <c r="F5931" t="s">
        <v>9292</v>
      </c>
      <c r="G5931">
        <v>1574614</v>
      </c>
      <c r="H5931" t="s">
        <v>84</v>
      </c>
      <c r="I5931" t="s">
        <v>120</v>
      </c>
      <c r="J5931" t="str">
        <f>"9780520957619"</f>
        <v>9780520957619</v>
      </c>
      <c r="K5931" t="s">
        <v>9296</v>
      </c>
      <c r="L5931">
        <v>26</v>
      </c>
      <c r="O5931" t="s">
        <v>30</v>
      </c>
      <c r="P5931" t="s">
        <v>50</v>
      </c>
      <c r="S5931" t="s">
        <v>1226</v>
      </c>
      <c r="T5931" t="s">
        <v>9294</v>
      </c>
      <c r="U5931">
        <v>394.12</v>
      </c>
      <c r="V5931" s="3">
        <v>41649</v>
      </c>
    </row>
    <row r="5932" spans="1:22" x14ac:dyDescent="0.35">
      <c r="A5932" s="1">
        <v>42291.886493055557</v>
      </c>
      <c r="B5932" s="2">
        <v>2.1412037037037038E-3</v>
      </c>
      <c r="C5932" t="s">
        <v>8743</v>
      </c>
      <c r="D5932" t="s">
        <v>1222</v>
      </c>
      <c r="E5932" t="s">
        <v>1223</v>
      </c>
      <c r="F5932" t="s">
        <v>8136</v>
      </c>
      <c r="G5932">
        <v>1190428</v>
      </c>
      <c r="H5932" t="s">
        <v>84</v>
      </c>
      <c r="I5932" t="s">
        <v>38</v>
      </c>
      <c r="J5932" t="str">
        <f>"9780520955066"</f>
        <v>9780520955066</v>
      </c>
      <c r="K5932" t="s">
        <v>9297</v>
      </c>
      <c r="L5932">
        <v>13</v>
      </c>
      <c r="O5932" t="s">
        <v>30</v>
      </c>
      <c r="P5932" t="s">
        <v>42</v>
      </c>
      <c r="S5932" t="s">
        <v>1226</v>
      </c>
      <c r="T5932" t="s">
        <v>8138</v>
      </c>
      <c r="U5932" t="s">
        <v>8139</v>
      </c>
      <c r="V5932" s="3">
        <v>41408</v>
      </c>
    </row>
    <row r="5933" spans="1:22" x14ac:dyDescent="0.35">
      <c r="A5933" s="1">
        <v>42291.879108796296</v>
      </c>
      <c r="B5933" s="2">
        <v>3.6805555555555554E-3</v>
      </c>
      <c r="C5933" t="s">
        <v>9298</v>
      </c>
      <c r="D5933" t="s">
        <v>261</v>
      </c>
      <c r="E5933" t="s">
        <v>262</v>
      </c>
      <c r="F5933" t="s">
        <v>9299</v>
      </c>
      <c r="G5933">
        <v>818552</v>
      </c>
      <c r="H5933" t="s">
        <v>26</v>
      </c>
      <c r="I5933" t="s">
        <v>237</v>
      </c>
      <c r="J5933" t="str">
        <f>"9781119951896"</f>
        <v>9781119951896</v>
      </c>
      <c r="K5933" t="s">
        <v>9300</v>
      </c>
      <c r="L5933">
        <v>4</v>
      </c>
      <c r="O5933" t="s">
        <v>30</v>
      </c>
      <c r="P5933" t="s">
        <v>42</v>
      </c>
      <c r="S5933" t="s">
        <v>264</v>
      </c>
      <c r="T5933" t="s">
        <v>9301</v>
      </c>
      <c r="U5933">
        <v>551.57000000000005</v>
      </c>
      <c r="V5933" s="3">
        <v>40956</v>
      </c>
    </row>
    <row r="5934" spans="1:22" x14ac:dyDescent="0.35">
      <c r="A5934" s="1">
        <v>42291.876168981478</v>
      </c>
      <c r="B5934" s="2">
        <v>1.0694444444444444E-2</v>
      </c>
      <c r="C5934" t="s">
        <v>8979</v>
      </c>
      <c r="D5934" t="s">
        <v>23</v>
      </c>
      <c r="E5934" t="s">
        <v>24</v>
      </c>
      <c r="F5934" t="s">
        <v>4624</v>
      </c>
      <c r="G5934">
        <v>1909817</v>
      </c>
      <c r="H5934" t="s">
        <v>91</v>
      </c>
      <c r="I5934" t="s">
        <v>247</v>
      </c>
      <c r="J5934" t="str">
        <f>"9781462520602"</f>
        <v>9781462520602</v>
      </c>
      <c r="K5934" t="s">
        <v>9302</v>
      </c>
      <c r="L5934">
        <v>25</v>
      </c>
      <c r="O5934" t="s">
        <v>30</v>
      </c>
      <c r="P5934" t="s">
        <v>47</v>
      </c>
      <c r="Q5934" s="1">
        <v>42291.876168981478</v>
      </c>
      <c r="R5934">
        <v>1</v>
      </c>
      <c r="S5934" t="s">
        <v>31</v>
      </c>
      <c r="T5934" t="s">
        <v>4626</v>
      </c>
      <c r="U5934">
        <v>616</v>
      </c>
      <c r="V5934" s="3">
        <v>42165</v>
      </c>
    </row>
    <row r="5935" spans="1:22" x14ac:dyDescent="0.35">
      <c r="A5935" s="1">
        <v>42291.869826388887</v>
      </c>
      <c r="B5935" s="2">
        <v>2.8356481481481479E-3</v>
      </c>
      <c r="C5935" t="s">
        <v>9192</v>
      </c>
      <c r="D5935" t="s">
        <v>623</v>
      </c>
      <c r="E5935" t="s">
        <v>624</v>
      </c>
      <c r="F5935" t="s">
        <v>9210</v>
      </c>
      <c r="G5935">
        <v>1896027</v>
      </c>
      <c r="H5935" t="s">
        <v>26</v>
      </c>
      <c r="I5935" t="s">
        <v>297</v>
      </c>
      <c r="J5935" t="str">
        <f>"9781119062790"</f>
        <v>9781119062790</v>
      </c>
      <c r="K5935" t="s">
        <v>9303</v>
      </c>
      <c r="L5935">
        <v>6</v>
      </c>
      <c r="O5935" t="s">
        <v>30</v>
      </c>
      <c r="P5935" t="s">
        <v>47</v>
      </c>
      <c r="Q5935" s="1">
        <v>42291.869826388887</v>
      </c>
      <c r="R5935">
        <v>1</v>
      </c>
      <c r="S5935" t="s">
        <v>627</v>
      </c>
      <c r="T5935" t="s">
        <v>9212</v>
      </c>
      <c r="U5935">
        <v>512.70000000000005</v>
      </c>
      <c r="V5935" s="3">
        <v>42130</v>
      </c>
    </row>
    <row r="5936" spans="1:22" x14ac:dyDescent="0.35">
      <c r="A5936" s="1">
        <v>42291.865937499999</v>
      </c>
      <c r="B5936" s="2">
        <v>3.8888888888888883E-3</v>
      </c>
      <c r="C5936" t="s">
        <v>9192</v>
      </c>
      <c r="D5936" t="s">
        <v>623</v>
      </c>
      <c r="E5936" t="s">
        <v>624</v>
      </c>
      <c r="F5936" t="s">
        <v>9210</v>
      </c>
      <c r="G5936">
        <v>1896027</v>
      </c>
      <c r="H5936" t="s">
        <v>26</v>
      </c>
      <c r="I5936" t="s">
        <v>297</v>
      </c>
      <c r="J5936" t="str">
        <f>"9781119062790"</f>
        <v>9781119062790</v>
      </c>
      <c r="K5936" t="s">
        <v>9304</v>
      </c>
      <c r="L5936">
        <v>42</v>
      </c>
      <c r="O5936" t="s">
        <v>30</v>
      </c>
      <c r="P5936" t="s">
        <v>50</v>
      </c>
      <c r="S5936" t="s">
        <v>627</v>
      </c>
      <c r="T5936" t="s">
        <v>9212</v>
      </c>
      <c r="U5936">
        <v>512.70000000000005</v>
      </c>
      <c r="V5936" s="3">
        <v>42130</v>
      </c>
    </row>
    <row r="5937" spans="1:22" x14ac:dyDescent="0.35">
      <c r="A5937" s="1">
        <v>42291.856388888889</v>
      </c>
      <c r="B5937" s="2">
        <v>5.6712962962962956E-4</v>
      </c>
      <c r="C5937" t="s">
        <v>9305</v>
      </c>
      <c r="D5937" t="s">
        <v>23</v>
      </c>
      <c r="E5937" t="s">
        <v>24</v>
      </c>
      <c r="F5937" t="s">
        <v>7653</v>
      </c>
      <c r="G5937">
        <v>2025594</v>
      </c>
      <c r="H5937" t="s">
        <v>84</v>
      </c>
      <c r="I5937" t="s">
        <v>187</v>
      </c>
      <c r="J5937" t="str">
        <f>"9780520961838"</f>
        <v>9780520961838</v>
      </c>
      <c r="K5937" t="s">
        <v>2663</v>
      </c>
      <c r="L5937">
        <v>15</v>
      </c>
      <c r="O5937" t="s">
        <v>30</v>
      </c>
      <c r="P5937" t="s">
        <v>50</v>
      </c>
      <c r="S5937" t="s">
        <v>31</v>
      </c>
      <c r="T5937" t="s">
        <v>7654</v>
      </c>
      <c r="U5937" t="s">
        <v>7655</v>
      </c>
      <c r="V5937" s="3">
        <v>42185</v>
      </c>
    </row>
    <row r="5938" spans="1:22" x14ac:dyDescent="0.35">
      <c r="A5938" s="1">
        <v>42291.855185185188</v>
      </c>
      <c r="B5938" s="2">
        <v>2.0983796296296296E-2</v>
      </c>
      <c r="C5938" t="s">
        <v>8979</v>
      </c>
      <c r="D5938" t="s">
        <v>23</v>
      </c>
      <c r="E5938" t="s">
        <v>24</v>
      </c>
      <c r="F5938" t="s">
        <v>4624</v>
      </c>
      <c r="G5938">
        <v>1909817</v>
      </c>
      <c r="H5938" t="s">
        <v>91</v>
      </c>
      <c r="I5938" t="s">
        <v>247</v>
      </c>
      <c r="J5938" t="str">
        <f>"9781462520602"</f>
        <v>9781462520602</v>
      </c>
      <c r="K5938" t="s">
        <v>9306</v>
      </c>
      <c r="L5938">
        <v>9</v>
      </c>
      <c r="O5938" t="s">
        <v>30</v>
      </c>
      <c r="P5938" t="s">
        <v>50</v>
      </c>
      <c r="S5938" t="s">
        <v>31</v>
      </c>
      <c r="T5938" t="s">
        <v>4626</v>
      </c>
      <c r="U5938">
        <v>616</v>
      </c>
      <c r="V5938" s="3">
        <v>42165</v>
      </c>
    </row>
    <row r="5939" spans="1:22" x14ac:dyDescent="0.35">
      <c r="A5939" s="1">
        <v>42291.833298611113</v>
      </c>
      <c r="B5939" s="2">
        <v>1.0879629629629629E-3</v>
      </c>
      <c r="C5939" t="s">
        <v>1054</v>
      </c>
      <c r="D5939" t="s">
        <v>35</v>
      </c>
      <c r="E5939" t="s">
        <v>36</v>
      </c>
      <c r="F5939" t="s">
        <v>9307</v>
      </c>
      <c r="G5939">
        <v>1866583</v>
      </c>
      <c r="H5939" t="s">
        <v>26</v>
      </c>
      <c r="I5939" t="s">
        <v>108</v>
      </c>
      <c r="J5939" t="str">
        <f>"9781119966074"</f>
        <v>9781119966074</v>
      </c>
      <c r="K5939" t="s">
        <v>9308</v>
      </c>
      <c r="L5939">
        <v>11</v>
      </c>
      <c r="O5939" t="s">
        <v>30</v>
      </c>
      <c r="P5939" t="s">
        <v>29</v>
      </c>
      <c r="Q5939" s="1">
        <v>42291.833298611113</v>
      </c>
      <c r="R5939">
        <v>7</v>
      </c>
      <c r="S5939" t="s">
        <v>40</v>
      </c>
      <c r="T5939" t="s">
        <v>9309</v>
      </c>
      <c r="U5939" t="s">
        <v>9310</v>
      </c>
      <c r="V5939" s="3">
        <v>41963</v>
      </c>
    </row>
    <row r="5940" spans="1:22" x14ac:dyDescent="0.35">
      <c r="A5940" s="1">
        <v>42291.832395833335</v>
      </c>
      <c r="B5940" s="2">
        <v>3.2407407407407406E-4</v>
      </c>
      <c r="C5940" t="s">
        <v>8446</v>
      </c>
      <c r="D5940" t="s">
        <v>35</v>
      </c>
      <c r="E5940" t="s">
        <v>36</v>
      </c>
      <c r="F5940" t="s">
        <v>986</v>
      </c>
      <c r="G5940">
        <v>968030</v>
      </c>
      <c r="H5940" t="s">
        <v>26</v>
      </c>
      <c r="I5940" t="s">
        <v>219</v>
      </c>
      <c r="J5940" t="str">
        <f>"9781118285138"</f>
        <v>9781118285138</v>
      </c>
      <c r="K5940" t="s">
        <v>835</v>
      </c>
      <c r="L5940">
        <v>5</v>
      </c>
      <c r="O5940" t="s">
        <v>30</v>
      </c>
      <c r="P5940" t="s">
        <v>42</v>
      </c>
      <c r="S5940" t="s">
        <v>40</v>
      </c>
      <c r="T5940" t="s">
        <v>987</v>
      </c>
      <c r="U5940">
        <v>158.30000000000001</v>
      </c>
      <c r="V5940" s="3">
        <v>41100</v>
      </c>
    </row>
    <row r="5941" spans="1:22" x14ac:dyDescent="0.35">
      <c r="A5941" s="1">
        <v>42291.82980324074</v>
      </c>
      <c r="B5941" s="2">
        <v>3.4953703703703705E-3</v>
      </c>
      <c r="C5941" t="s">
        <v>1054</v>
      </c>
      <c r="D5941" t="s">
        <v>35</v>
      </c>
      <c r="E5941" t="s">
        <v>36</v>
      </c>
      <c r="F5941" t="s">
        <v>9307</v>
      </c>
      <c r="G5941">
        <v>1866583</v>
      </c>
      <c r="H5941" t="s">
        <v>26</v>
      </c>
      <c r="I5941" t="s">
        <v>108</v>
      </c>
      <c r="J5941" t="str">
        <f>"9781119966074"</f>
        <v>9781119966074</v>
      </c>
      <c r="K5941" t="s">
        <v>9311</v>
      </c>
      <c r="L5941">
        <v>49</v>
      </c>
      <c r="O5941" t="s">
        <v>30</v>
      </c>
      <c r="P5941" t="s">
        <v>50</v>
      </c>
      <c r="S5941" t="s">
        <v>40</v>
      </c>
      <c r="T5941" t="s">
        <v>9309</v>
      </c>
      <c r="U5941" t="s">
        <v>9310</v>
      </c>
      <c r="V5941" s="3">
        <v>41963</v>
      </c>
    </row>
    <row r="5942" spans="1:22" x14ac:dyDescent="0.35">
      <c r="A5942" s="1">
        <v>42291.807442129626</v>
      </c>
      <c r="B5942" s="2">
        <v>0</v>
      </c>
      <c r="C5942" t="s">
        <v>9312</v>
      </c>
      <c r="D5942" t="s">
        <v>23</v>
      </c>
      <c r="E5942" t="s">
        <v>24</v>
      </c>
      <c r="F5942" t="s">
        <v>2698</v>
      </c>
      <c r="G5942">
        <v>818049</v>
      </c>
      <c r="H5942" t="s">
        <v>26</v>
      </c>
      <c r="I5942" t="s">
        <v>108</v>
      </c>
      <c r="J5942" t="str">
        <f>"9781118224274"</f>
        <v>9781118224274</v>
      </c>
      <c r="L5942">
        <v>0</v>
      </c>
      <c r="O5942" t="s">
        <v>28</v>
      </c>
      <c r="P5942" t="s">
        <v>29</v>
      </c>
      <c r="Q5942" s="1">
        <v>42291.80064814815</v>
      </c>
      <c r="R5942">
        <v>7</v>
      </c>
      <c r="S5942" t="s">
        <v>31</v>
      </c>
      <c r="T5942" t="s">
        <v>2699</v>
      </c>
      <c r="U5942" t="s">
        <v>2700</v>
      </c>
      <c r="V5942" s="3">
        <v>41035</v>
      </c>
    </row>
    <row r="5943" spans="1:22" x14ac:dyDescent="0.35">
      <c r="A5943" s="1">
        <v>42291.803935185184</v>
      </c>
      <c r="B5943" s="2">
        <v>0</v>
      </c>
      <c r="C5943" t="s">
        <v>1306</v>
      </c>
      <c r="D5943" t="s">
        <v>158</v>
      </c>
      <c r="E5943" t="s">
        <v>159</v>
      </c>
      <c r="F5943" t="s">
        <v>9313</v>
      </c>
      <c r="G5943">
        <v>523734</v>
      </c>
      <c r="H5943" t="s">
        <v>9314</v>
      </c>
      <c r="I5943" t="s">
        <v>310</v>
      </c>
      <c r="J5943" t="str">
        <f>"9781597345910"</f>
        <v>9781597345910</v>
      </c>
      <c r="L5943">
        <v>0</v>
      </c>
      <c r="O5943" t="s">
        <v>30</v>
      </c>
      <c r="P5943" t="s">
        <v>50</v>
      </c>
      <c r="S5943" t="s">
        <v>163</v>
      </c>
      <c r="T5943" t="s">
        <v>9315</v>
      </c>
      <c r="U5943">
        <v>823.8</v>
      </c>
      <c r="V5943" t="s">
        <v>9316</v>
      </c>
    </row>
    <row r="5944" spans="1:22" x14ac:dyDescent="0.35">
      <c r="A5944" s="1">
        <v>42291.803298611114</v>
      </c>
      <c r="B5944" s="2">
        <v>0</v>
      </c>
      <c r="C5944" t="s">
        <v>9312</v>
      </c>
      <c r="D5944" t="s">
        <v>23</v>
      </c>
      <c r="E5944" t="s">
        <v>24</v>
      </c>
      <c r="F5944" t="s">
        <v>2698</v>
      </c>
      <c r="G5944">
        <v>818049</v>
      </c>
      <c r="H5944" t="s">
        <v>26</v>
      </c>
      <c r="I5944" t="s">
        <v>108</v>
      </c>
      <c r="J5944" t="str">
        <f>"9781118224274"</f>
        <v>9781118224274</v>
      </c>
      <c r="L5944">
        <v>0</v>
      </c>
      <c r="O5944" t="s">
        <v>28</v>
      </c>
      <c r="P5944" t="s">
        <v>29</v>
      </c>
      <c r="Q5944" s="1">
        <v>42291.80064814815</v>
      </c>
      <c r="R5944">
        <v>7</v>
      </c>
      <c r="S5944" t="s">
        <v>31</v>
      </c>
      <c r="T5944" t="s">
        <v>2699</v>
      </c>
      <c r="U5944" t="s">
        <v>2700</v>
      </c>
      <c r="V5944" s="3">
        <v>41035</v>
      </c>
    </row>
    <row r="5945" spans="1:22" x14ac:dyDescent="0.35">
      <c r="A5945" s="1">
        <v>42291.803240740737</v>
      </c>
      <c r="B5945" s="2">
        <v>9.2592592592592588E-5</v>
      </c>
      <c r="C5945" t="s">
        <v>9317</v>
      </c>
      <c r="D5945" t="s">
        <v>335</v>
      </c>
      <c r="E5945" t="s">
        <v>336</v>
      </c>
      <c r="F5945" t="s">
        <v>7150</v>
      </c>
      <c r="G5945">
        <v>332602</v>
      </c>
      <c r="H5945" t="s">
        <v>26</v>
      </c>
      <c r="I5945" t="s">
        <v>69</v>
      </c>
      <c r="J5945" t="str">
        <f>"9780631227885"</f>
        <v>9780631227885</v>
      </c>
      <c r="K5945" t="s">
        <v>209</v>
      </c>
      <c r="L5945">
        <v>4</v>
      </c>
      <c r="O5945" t="s">
        <v>30</v>
      </c>
      <c r="P5945" t="s">
        <v>42</v>
      </c>
      <c r="S5945" t="s">
        <v>340</v>
      </c>
      <c r="T5945" t="s">
        <v>7151</v>
      </c>
      <c r="U5945" t="s">
        <v>7152</v>
      </c>
      <c r="V5945" s="3">
        <v>41424</v>
      </c>
    </row>
    <row r="5946" spans="1:22" x14ac:dyDescent="0.35">
      <c r="A5946" s="1">
        <v>42291.80064814815</v>
      </c>
      <c r="B5946" s="2">
        <v>0</v>
      </c>
      <c r="C5946" t="s">
        <v>9312</v>
      </c>
      <c r="D5946" t="s">
        <v>23</v>
      </c>
      <c r="E5946" t="s">
        <v>24</v>
      </c>
      <c r="F5946" t="s">
        <v>2698</v>
      </c>
      <c r="G5946">
        <v>818049</v>
      </c>
      <c r="H5946" t="s">
        <v>26</v>
      </c>
      <c r="I5946" t="s">
        <v>108</v>
      </c>
      <c r="J5946" t="str">
        <f>"9781118224274"</f>
        <v>9781118224274</v>
      </c>
      <c r="L5946">
        <v>0</v>
      </c>
      <c r="O5946" t="s">
        <v>28</v>
      </c>
      <c r="P5946" t="s">
        <v>29</v>
      </c>
      <c r="Q5946" s="1">
        <v>42291.80064814815</v>
      </c>
      <c r="R5946">
        <v>7</v>
      </c>
      <c r="S5946" t="s">
        <v>31</v>
      </c>
      <c r="T5946" t="s">
        <v>2699</v>
      </c>
      <c r="U5946" t="s">
        <v>2700</v>
      </c>
      <c r="V5946" s="3">
        <v>41035</v>
      </c>
    </row>
    <row r="5947" spans="1:22" x14ac:dyDescent="0.35">
      <c r="A5947" s="1">
        <v>42291.80064814815</v>
      </c>
      <c r="B5947" s="2">
        <v>0</v>
      </c>
      <c r="C5947" t="s">
        <v>9312</v>
      </c>
      <c r="D5947" t="s">
        <v>23</v>
      </c>
      <c r="E5947" t="s">
        <v>24</v>
      </c>
      <c r="F5947" t="s">
        <v>2698</v>
      </c>
      <c r="G5947">
        <v>818049</v>
      </c>
      <c r="H5947" t="s">
        <v>26</v>
      </c>
      <c r="I5947" t="s">
        <v>108</v>
      </c>
      <c r="J5947" t="str">
        <f>"9781118224274"</f>
        <v>9781118224274</v>
      </c>
      <c r="L5947">
        <v>0</v>
      </c>
      <c r="O5947" t="s">
        <v>30</v>
      </c>
      <c r="P5947" t="s">
        <v>29</v>
      </c>
      <c r="Q5947" s="1">
        <v>42291.80064814815</v>
      </c>
      <c r="R5947">
        <v>7</v>
      </c>
      <c r="S5947" t="s">
        <v>31</v>
      </c>
      <c r="T5947" t="s">
        <v>2699</v>
      </c>
      <c r="U5947" t="s">
        <v>2700</v>
      </c>
      <c r="V5947" s="3">
        <v>41035</v>
      </c>
    </row>
    <row r="5948" spans="1:22" x14ac:dyDescent="0.35">
      <c r="A5948" s="1">
        <v>42291.794189814813</v>
      </c>
      <c r="B5948" s="2">
        <v>6.4583333333333333E-3</v>
      </c>
      <c r="C5948" t="s">
        <v>9312</v>
      </c>
      <c r="D5948" t="s">
        <v>23</v>
      </c>
      <c r="E5948" t="s">
        <v>24</v>
      </c>
      <c r="F5948" t="s">
        <v>2698</v>
      </c>
      <c r="G5948">
        <v>818049</v>
      </c>
      <c r="H5948" t="s">
        <v>26</v>
      </c>
      <c r="I5948" t="s">
        <v>108</v>
      </c>
      <c r="J5948" t="str">
        <f>"9781118224274"</f>
        <v>9781118224274</v>
      </c>
      <c r="K5948" t="s">
        <v>9318</v>
      </c>
      <c r="L5948">
        <v>4</v>
      </c>
      <c r="O5948" t="s">
        <v>30</v>
      </c>
      <c r="P5948" t="s">
        <v>42</v>
      </c>
      <c r="S5948" t="s">
        <v>31</v>
      </c>
      <c r="T5948" t="s">
        <v>2699</v>
      </c>
      <c r="U5948" t="s">
        <v>2700</v>
      </c>
      <c r="V5948" s="3">
        <v>41035</v>
      </c>
    </row>
    <row r="5949" spans="1:22" x14ac:dyDescent="0.35">
      <c r="A5949" s="1">
        <v>42291.740798611114</v>
      </c>
      <c r="B5949" s="2">
        <v>1.8518518518518518E-4</v>
      </c>
      <c r="C5949" t="s">
        <v>9319</v>
      </c>
      <c r="D5949" t="s">
        <v>335</v>
      </c>
      <c r="E5949" t="s">
        <v>336</v>
      </c>
      <c r="F5949" t="s">
        <v>3117</v>
      </c>
      <c r="G5949">
        <v>1022416</v>
      </c>
      <c r="H5949" t="s">
        <v>26</v>
      </c>
      <c r="I5949" t="s">
        <v>2751</v>
      </c>
      <c r="J5949" t="str">
        <f>"9781118373811"</f>
        <v>9781118373811</v>
      </c>
      <c r="K5949" t="s">
        <v>9320</v>
      </c>
      <c r="L5949">
        <v>9</v>
      </c>
      <c r="O5949" t="s">
        <v>30</v>
      </c>
      <c r="P5949" t="s">
        <v>42</v>
      </c>
      <c r="S5949" t="s">
        <v>340</v>
      </c>
      <c r="T5949" t="s">
        <v>3119</v>
      </c>
      <c r="U5949">
        <v>664</v>
      </c>
      <c r="V5949" s="3">
        <v>41157</v>
      </c>
    </row>
    <row r="5950" spans="1:22" x14ac:dyDescent="0.35">
      <c r="A5950" s="1">
        <v>42291.734189814815</v>
      </c>
      <c r="B5950" s="2">
        <v>6.986111111111111E-2</v>
      </c>
      <c r="C5950" t="s">
        <v>3556</v>
      </c>
      <c r="D5950" t="s">
        <v>23</v>
      </c>
      <c r="E5950" t="s">
        <v>24</v>
      </c>
      <c r="F5950" t="s">
        <v>3060</v>
      </c>
      <c r="G5950">
        <v>1120279</v>
      </c>
      <c r="H5950" t="s">
        <v>26</v>
      </c>
      <c r="I5950" t="s">
        <v>3061</v>
      </c>
      <c r="J5950" t="str">
        <f>"9781118537671"</f>
        <v>9781118537671</v>
      </c>
      <c r="K5950" t="s">
        <v>9321</v>
      </c>
      <c r="L5950">
        <v>28</v>
      </c>
      <c r="O5950" t="s">
        <v>30</v>
      </c>
      <c r="P5950" t="s">
        <v>29</v>
      </c>
      <c r="Q5950" s="1">
        <v>42287.179791666669</v>
      </c>
      <c r="R5950">
        <v>7</v>
      </c>
      <c r="S5950" t="s">
        <v>31</v>
      </c>
      <c r="T5950" t="s">
        <v>3063</v>
      </c>
      <c r="U5950">
        <v>599.93499999999995</v>
      </c>
      <c r="V5950" s="3">
        <v>41232</v>
      </c>
    </row>
    <row r="5951" spans="1:22" x14ac:dyDescent="0.35">
      <c r="A5951" s="1">
        <v>42291.728067129632</v>
      </c>
      <c r="B5951" s="2">
        <v>0</v>
      </c>
      <c r="C5951" t="s">
        <v>4311</v>
      </c>
      <c r="D5951" t="s">
        <v>23</v>
      </c>
      <c r="E5951" t="s">
        <v>24</v>
      </c>
      <c r="F5951" t="s">
        <v>745</v>
      </c>
      <c r="G5951">
        <v>1166322</v>
      </c>
      <c r="H5951" t="s">
        <v>26</v>
      </c>
      <c r="I5951" t="s">
        <v>200</v>
      </c>
      <c r="J5951" t="str">
        <f>"9781118418512"</f>
        <v>9781118418512</v>
      </c>
      <c r="L5951">
        <v>0</v>
      </c>
      <c r="O5951" t="s">
        <v>28</v>
      </c>
      <c r="P5951" t="s">
        <v>29</v>
      </c>
      <c r="Q5951" s="1">
        <v>42290.726053240738</v>
      </c>
      <c r="R5951">
        <v>7</v>
      </c>
      <c r="S5951" t="s">
        <v>31</v>
      </c>
      <c r="T5951" t="s">
        <v>747</v>
      </c>
      <c r="U5951">
        <v>720.072</v>
      </c>
      <c r="V5951" s="3">
        <v>41367</v>
      </c>
    </row>
    <row r="5952" spans="1:22" x14ac:dyDescent="0.35">
      <c r="A5952" s="1">
        <v>42291.726712962962</v>
      </c>
      <c r="B5952" s="2">
        <v>4.6296296296296294E-5</v>
      </c>
      <c r="C5952" t="s">
        <v>4311</v>
      </c>
      <c r="D5952" t="s">
        <v>23</v>
      </c>
      <c r="E5952" t="s">
        <v>24</v>
      </c>
      <c r="F5952" t="s">
        <v>745</v>
      </c>
      <c r="G5952">
        <v>1166322</v>
      </c>
      <c r="H5952" t="s">
        <v>26</v>
      </c>
      <c r="I5952" t="s">
        <v>200</v>
      </c>
      <c r="J5952" t="str">
        <f>"9781118418512"</f>
        <v>9781118418512</v>
      </c>
      <c r="K5952" t="s">
        <v>33</v>
      </c>
      <c r="L5952">
        <v>3</v>
      </c>
      <c r="O5952" t="s">
        <v>30</v>
      </c>
      <c r="P5952" t="s">
        <v>29</v>
      </c>
      <c r="Q5952" s="1">
        <v>42290.726053240738</v>
      </c>
      <c r="R5952">
        <v>7</v>
      </c>
      <c r="S5952" t="s">
        <v>31</v>
      </c>
      <c r="T5952" t="s">
        <v>747</v>
      </c>
      <c r="U5952">
        <v>720.072</v>
      </c>
      <c r="V5952" s="3">
        <v>41367</v>
      </c>
    </row>
    <row r="5953" spans="1:22" x14ac:dyDescent="0.35">
      <c r="A5953" s="1">
        <v>42291.717256944445</v>
      </c>
      <c r="B5953" s="2">
        <v>8.1018518518518516E-4</v>
      </c>
      <c r="C5953" t="s">
        <v>4849</v>
      </c>
      <c r="D5953" t="s">
        <v>623</v>
      </c>
      <c r="E5953" t="s">
        <v>624</v>
      </c>
      <c r="F5953" t="s">
        <v>9322</v>
      </c>
      <c r="G5953">
        <v>2028566</v>
      </c>
      <c r="H5953" t="s">
        <v>26</v>
      </c>
      <c r="I5953" t="s">
        <v>120</v>
      </c>
      <c r="J5953" t="str">
        <f>"9780745690711"</f>
        <v>9780745690711</v>
      </c>
      <c r="K5953" t="s">
        <v>9323</v>
      </c>
      <c r="L5953">
        <v>12</v>
      </c>
      <c r="O5953" t="s">
        <v>30</v>
      </c>
      <c r="P5953" t="s">
        <v>50</v>
      </c>
      <c r="S5953" t="s">
        <v>627</v>
      </c>
      <c r="T5953" t="s">
        <v>9324</v>
      </c>
      <c r="U5953" t="s">
        <v>4160</v>
      </c>
      <c r="V5953" s="3">
        <v>42108</v>
      </c>
    </row>
    <row r="5954" spans="1:22" x14ac:dyDescent="0.35">
      <c r="A5954" s="1">
        <v>42291.694513888891</v>
      </c>
      <c r="B5954" s="2">
        <v>1.9444444444444442E-3</v>
      </c>
      <c r="C5954" t="s">
        <v>9143</v>
      </c>
      <c r="D5954" t="s">
        <v>23</v>
      </c>
      <c r="E5954" t="s">
        <v>24</v>
      </c>
      <c r="F5954" t="s">
        <v>3449</v>
      </c>
      <c r="G5954">
        <v>1809344</v>
      </c>
      <c r="H5954" t="s">
        <v>1474</v>
      </c>
      <c r="I5954" t="s">
        <v>120</v>
      </c>
      <c r="J5954" t="str">
        <f>"9781137356192"</f>
        <v>9781137356192</v>
      </c>
      <c r="K5954" t="s">
        <v>9325</v>
      </c>
      <c r="L5954">
        <v>24</v>
      </c>
      <c r="M5954" t="s">
        <v>756</v>
      </c>
      <c r="O5954" t="s">
        <v>30</v>
      </c>
      <c r="P5954" t="s">
        <v>29</v>
      </c>
      <c r="Q5954" s="1">
        <v>42291.691967592589</v>
      </c>
      <c r="R5954">
        <v>7</v>
      </c>
      <c r="S5954" t="s">
        <v>31</v>
      </c>
      <c r="T5954" t="s">
        <v>3451</v>
      </c>
      <c r="U5954">
        <v>364.4</v>
      </c>
      <c r="V5954" s="3">
        <v>41915</v>
      </c>
    </row>
    <row r="5955" spans="1:22" x14ac:dyDescent="0.35">
      <c r="A5955" s="1">
        <v>42291.691967592589</v>
      </c>
      <c r="B5955" s="2">
        <v>2.2569444444444447E-3</v>
      </c>
      <c r="C5955" t="s">
        <v>9143</v>
      </c>
      <c r="D5955" t="s">
        <v>23</v>
      </c>
      <c r="E5955" t="s">
        <v>24</v>
      </c>
      <c r="F5955" t="s">
        <v>3449</v>
      </c>
      <c r="G5955">
        <v>1809344</v>
      </c>
      <c r="H5955" t="s">
        <v>1474</v>
      </c>
      <c r="I5955" t="s">
        <v>120</v>
      </c>
      <c r="J5955" t="str">
        <f>"9781137356192"</f>
        <v>9781137356192</v>
      </c>
      <c r="K5955" t="s">
        <v>9326</v>
      </c>
      <c r="L5955">
        <v>22</v>
      </c>
      <c r="M5955" t="s">
        <v>9327</v>
      </c>
      <c r="N5955" t="s">
        <v>9328</v>
      </c>
      <c r="O5955" t="s">
        <v>30</v>
      </c>
      <c r="P5955" t="s">
        <v>29</v>
      </c>
      <c r="Q5955" s="1">
        <v>42291.691967592589</v>
      </c>
      <c r="R5955">
        <v>7</v>
      </c>
      <c r="S5955" t="s">
        <v>31</v>
      </c>
      <c r="T5955" t="s">
        <v>3451</v>
      </c>
      <c r="U5955">
        <v>364.4</v>
      </c>
      <c r="V5955" s="3">
        <v>41915</v>
      </c>
    </row>
    <row r="5956" spans="1:22" x14ac:dyDescent="0.35">
      <c r="A5956" s="1">
        <v>42291.683541666665</v>
      </c>
      <c r="B5956" s="2">
        <v>8.4259259259259253E-3</v>
      </c>
      <c r="C5956" t="s">
        <v>9143</v>
      </c>
      <c r="D5956" t="s">
        <v>23</v>
      </c>
      <c r="E5956" t="s">
        <v>24</v>
      </c>
      <c r="F5956" t="s">
        <v>3449</v>
      </c>
      <c r="G5956">
        <v>1809344</v>
      </c>
      <c r="H5956" t="s">
        <v>1474</v>
      </c>
      <c r="I5956" t="s">
        <v>120</v>
      </c>
      <c r="J5956" t="str">
        <f>"9781137356192"</f>
        <v>9781137356192</v>
      </c>
      <c r="K5956" t="s">
        <v>33</v>
      </c>
      <c r="L5956">
        <v>3</v>
      </c>
      <c r="O5956" t="s">
        <v>30</v>
      </c>
      <c r="P5956" t="s">
        <v>42</v>
      </c>
      <c r="S5956" t="s">
        <v>31</v>
      </c>
      <c r="T5956" t="s">
        <v>3451</v>
      </c>
      <c r="U5956">
        <v>364.4</v>
      </c>
      <c r="V5956" s="3">
        <v>41915</v>
      </c>
    </row>
    <row r="5957" spans="1:22" x14ac:dyDescent="0.35">
      <c r="A5957" s="1">
        <v>42291.680266203701</v>
      </c>
      <c r="B5957" s="2">
        <v>2.0034722222222221E-2</v>
      </c>
      <c r="C5957" t="s">
        <v>9329</v>
      </c>
      <c r="D5957" t="s">
        <v>1222</v>
      </c>
      <c r="E5957" t="s">
        <v>1223</v>
      </c>
      <c r="F5957" t="s">
        <v>3488</v>
      </c>
      <c r="G5957">
        <v>1294909</v>
      </c>
      <c r="H5957" t="s">
        <v>84</v>
      </c>
      <c r="I5957" t="s">
        <v>445</v>
      </c>
      <c r="J5957" t="str">
        <f>"9780520956797"</f>
        <v>9780520956797</v>
      </c>
      <c r="K5957" t="s">
        <v>9330</v>
      </c>
      <c r="L5957">
        <v>52</v>
      </c>
      <c r="O5957" t="s">
        <v>28</v>
      </c>
      <c r="P5957" t="s">
        <v>29</v>
      </c>
      <c r="Q5957" s="1">
        <v>42291.662928240738</v>
      </c>
      <c r="R5957">
        <v>7</v>
      </c>
      <c r="S5957" t="s">
        <v>1226</v>
      </c>
      <c r="T5957" t="s">
        <v>3490</v>
      </c>
      <c r="U5957" t="s">
        <v>3491</v>
      </c>
      <c r="V5957" s="3">
        <v>41487</v>
      </c>
    </row>
    <row r="5958" spans="1:22" x14ac:dyDescent="0.35">
      <c r="A5958" s="1">
        <v>42291.662928240738</v>
      </c>
      <c r="B5958" s="2">
        <v>1.486111111111111E-2</v>
      </c>
      <c r="C5958" t="s">
        <v>9329</v>
      </c>
      <c r="D5958" t="s">
        <v>1222</v>
      </c>
      <c r="E5958" t="s">
        <v>1223</v>
      </c>
      <c r="F5958" t="s">
        <v>3488</v>
      </c>
      <c r="G5958">
        <v>1294909</v>
      </c>
      <c r="H5958" t="s">
        <v>84</v>
      </c>
      <c r="I5958" t="s">
        <v>445</v>
      </c>
      <c r="J5958" t="str">
        <f>"9780520956797"</f>
        <v>9780520956797</v>
      </c>
      <c r="K5958" t="s">
        <v>9331</v>
      </c>
      <c r="L5958">
        <v>16</v>
      </c>
      <c r="M5958" t="s">
        <v>9332</v>
      </c>
      <c r="O5958" t="s">
        <v>30</v>
      </c>
      <c r="P5958" t="s">
        <v>29</v>
      </c>
      <c r="Q5958" s="1">
        <v>42291.662928240738</v>
      </c>
      <c r="R5958">
        <v>7</v>
      </c>
      <c r="S5958" t="s">
        <v>1226</v>
      </c>
      <c r="T5958" t="s">
        <v>3490</v>
      </c>
      <c r="U5958" t="s">
        <v>3491</v>
      </c>
      <c r="V5958" s="3">
        <v>41487</v>
      </c>
    </row>
    <row r="5959" spans="1:22" x14ac:dyDescent="0.35">
      <c r="A5959" s="1">
        <v>42291.659513888888</v>
      </c>
      <c r="B5959" s="2">
        <v>3.414351851851852E-3</v>
      </c>
      <c r="C5959" t="s">
        <v>9329</v>
      </c>
      <c r="D5959" t="s">
        <v>1222</v>
      </c>
      <c r="E5959" t="s">
        <v>1223</v>
      </c>
      <c r="F5959" t="s">
        <v>3488</v>
      </c>
      <c r="G5959">
        <v>1294909</v>
      </c>
      <c r="H5959" t="s">
        <v>84</v>
      </c>
      <c r="I5959" t="s">
        <v>445</v>
      </c>
      <c r="J5959" t="str">
        <f>"9780520956797"</f>
        <v>9780520956797</v>
      </c>
      <c r="K5959" t="s">
        <v>33</v>
      </c>
      <c r="L5959">
        <v>3</v>
      </c>
      <c r="O5959" t="s">
        <v>30</v>
      </c>
      <c r="P5959" t="s">
        <v>42</v>
      </c>
      <c r="S5959" t="s">
        <v>1226</v>
      </c>
      <c r="T5959" t="s">
        <v>3490</v>
      </c>
      <c r="U5959" t="s">
        <v>3491</v>
      </c>
      <c r="V5959" s="3">
        <v>41487</v>
      </c>
    </row>
    <row r="5960" spans="1:22" x14ac:dyDescent="0.35">
      <c r="A5960" s="1">
        <v>42291.65148148148</v>
      </c>
      <c r="B5960" s="2">
        <v>3.4722222222222222E-5</v>
      </c>
      <c r="C5960" t="s">
        <v>9333</v>
      </c>
      <c r="D5960" t="s">
        <v>623</v>
      </c>
      <c r="E5960" t="s">
        <v>624</v>
      </c>
      <c r="F5960" t="s">
        <v>1547</v>
      </c>
      <c r="G5960">
        <v>848510</v>
      </c>
      <c r="H5960" t="s">
        <v>26</v>
      </c>
      <c r="I5960" t="s">
        <v>247</v>
      </c>
      <c r="J5960" t="str">
        <f>"9781118220481"</f>
        <v>9781118220481</v>
      </c>
      <c r="K5960" t="s">
        <v>33</v>
      </c>
      <c r="L5960">
        <v>3</v>
      </c>
      <c r="O5960" t="s">
        <v>30</v>
      </c>
      <c r="P5960" t="s">
        <v>42</v>
      </c>
      <c r="S5960" t="s">
        <v>627</v>
      </c>
      <c r="T5960" t="s">
        <v>1548</v>
      </c>
      <c r="U5960" t="s">
        <v>1549</v>
      </c>
      <c r="V5960" s="3">
        <v>41066</v>
      </c>
    </row>
    <row r="5961" spans="1:22" x14ac:dyDescent="0.35">
      <c r="A5961" s="1">
        <v>42291.644432870373</v>
      </c>
      <c r="B5961" s="2">
        <v>2.1099537037037038E-2</v>
      </c>
      <c r="C5961" t="s">
        <v>9334</v>
      </c>
      <c r="D5961" t="s">
        <v>23</v>
      </c>
      <c r="E5961" t="s">
        <v>24</v>
      </c>
      <c r="F5961" t="s">
        <v>6418</v>
      </c>
      <c r="G5961">
        <v>1168529</v>
      </c>
      <c r="H5961" t="s">
        <v>26</v>
      </c>
      <c r="I5961" t="s">
        <v>297</v>
      </c>
      <c r="J5961" t="str">
        <f>"9781118710944"</f>
        <v>9781118710944</v>
      </c>
      <c r="K5961" t="s">
        <v>9335</v>
      </c>
      <c r="L5961">
        <v>58</v>
      </c>
      <c r="N5961" t="s">
        <v>9336</v>
      </c>
      <c r="O5961" t="s">
        <v>30</v>
      </c>
      <c r="P5961" t="s">
        <v>29</v>
      </c>
      <c r="Q5961" s="1">
        <v>42286.625300925924</v>
      </c>
      <c r="R5961">
        <v>7</v>
      </c>
      <c r="S5961" t="s">
        <v>31</v>
      </c>
      <c r="T5961" t="s">
        <v>6419</v>
      </c>
      <c r="U5961" t="s">
        <v>6420</v>
      </c>
      <c r="V5961" s="3">
        <v>41372</v>
      </c>
    </row>
    <row r="5962" spans="1:22" x14ac:dyDescent="0.35">
      <c r="A5962" s="1">
        <v>42291.620763888888</v>
      </c>
      <c r="B5962" s="2">
        <v>2.9398148148148148E-3</v>
      </c>
      <c r="C5962" t="s">
        <v>3595</v>
      </c>
      <c r="D5962" t="s">
        <v>23</v>
      </c>
      <c r="E5962" t="s">
        <v>24</v>
      </c>
      <c r="F5962" t="s">
        <v>3559</v>
      </c>
      <c r="G5962">
        <v>1217954</v>
      </c>
      <c r="H5962" t="s">
        <v>45</v>
      </c>
      <c r="I5962" t="s">
        <v>3560</v>
      </c>
      <c r="J5962" t="str">
        <f>"9781409457558"</f>
        <v>9781409457558</v>
      </c>
      <c r="K5962" t="s">
        <v>9337</v>
      </c>
      <c r="L5962">
        <v>7</v>
      </c>
      <c r="O5962" t="s">
        <v>30</v>
      </c>
      <c r="P5962" t="s">
        <v>29</v>
      </c>
      <c r="Q5962" s="1">
        <v>42291.620763888888</v>
      </c>
      <c r="R5962">
        <v>7</v>
      </c>
      <c r="S5962" t="s">
        <v>31</v>
      </c>
      <c r="T5962" t="s">
        <v>3562</v>
      </c>
      <c r="U5962" t="s">
        <v>3563</v>
      </c>
      <c r="V5962" s="3">
        <v>41575</v>
      </c>
    </row>
    <row r="5963" spans="1:22" x14ac:dyDescent="0.35">
      <c r="A5963" s="1">
        <v>42291.611203703702</v>
      </c>
      <c r="B5963" s="2">
        <v>9.5601851851851855E-3</v>
      </c>
      <c r="C5963" t="s">
        <v>3595</v>
      </c>
      <c r="D5963" t="s">
        <v>23</v>
      </c>
      <c r="E5963" t="s">
        <v>24</v>
      </c>
      <c r="F5963" t="s">
        <v>3559</v>
      </c>
      <c r="G5963">
        <v>1217954</v>
      </c>
      <c r="H5963" t="s">
        <v>45</v>
      </c>
      <c r="I5963" t="s">
        <v>3560</v>
      </c>
      <c r="J5963" t="str">
        <f>"9781409457558"</f>
        <v>9781409457558</v>
      </c>
      <c r="K5963" t="s">
        <v>33</v>
      </c>
      <c r="L5963">
        <v>3</v>
      </c>
      <c r="O5963" t="s">
        <v>30</v>
      </c>
      <c r="P5963" t="s">
        <v>42</v>
      </c>
      <c r="S5963" t="s">
        <v>31</v>
      </c>
      <c r="T5963" t="s">
        <v>3562</v>
      </c>
      <c r="U5963" t="s">
        <v>3563</v>
      </c>
      <c r="V5963" s="3">
        <v>41575</v>
      </c>
    </row>
    <row r="5964" spans="1:22" x14ac:dyDescent="0.35">
      <c r="A5964" s="1">
        <v>42291.599212962959</v>
      </c>
      <c r="B5964" s="2">
        <v>2.6620370370370372E-4</v>
      </c>
      <c r="C5964" t="s">
        <v>9338</v>
      </c>
      <c r="D5964" t="s">
        <v>261</v>
      </c>
      <c r="E5964" t="s">
        <v>262</v>
      </c>
      <c r="F5964" t="s">
        <v>3949</v>
      </c>
      <c r="G5964">
        <v>877713</v>
      </c>
      <c r="H5964" t="s">
        <v>149</v>
      </c>
      <c r="I5964" t="s">
        <v>172</v>
      </c>
      <c r="J5964" t="str">
        <f>"9781438138596"</f>
        <v>9781438138596</v>
      </c>
      <c r="K5964" t="s">
        <v>2295</v>
      </c>
      <c r="L5964">
        <v>8</v>
      </c>
      <c r="O5964" t="s">
        <v>30</v>
      </c>
      <c r="P5964" t="s">
        <v>42</v>
      </c>
      <c r="S5964" t="s">
        <v>264</v>
      </c>
      <c r="T5964" t="s">
        <v>3951</v>
      </c>
      <c r="U5964">
        <v>932.00300000000004</v>
      </c>
      <c r="V5964" s="3">
        <v>40909</v>
      </c>
    </row>
    <row r="5965" spans="1:22" x14ac:dyDescent="0.35">
      <c r="A5965" s="1">
        <v>42291.545520833337</v>
      </c>
      <c r="B5965" s="2">
        <v>5.1273148148148146E-3</v>
      </c>
      <c r="C5965" t="s">
        <v>9143</v>
      </c>
      <c r="D5965" t="s">
        <v>23</v>
      </c>
      <c r="E5965" t="s">
        <v>24</v>
      </c>
      <c r="F5965" t="s">
        <v>3449</v>
      </c>
      <c r="G5965">
        <v>1809344</v>
      </c>
      <c r="H5965" t="s">
        <v>1474</v>
      </c>
      <c r="I5965" t="s">
        <v>120</v>
      </c>
      <c r="J5965" t="str">
        <f>"9781137356192"</f>
        <v>9781137356192</v>
      </c>
      <c r="K5965" t="s">
        <v>9339</v>
      </c>
      <c r="L5965">
        <v>94</v>
      </c>
      <c r="O5965" t="s">
        <v>30</v>
      </c>
      <c r="P5965" t="s">
        <v>42</v>
      </c>
      <c r="S5965" t="s">
        <v>31</v>
      </c>
      <c r="T5965" t="s">
        <v>3451</v>
      </c>
      <c r="U5965">
        <v>364.4</v>
      </c>
      <c r="V5965" s="3">
        <v>41915</v>
      </c>
    </row>
    <row r="5966" spans="1:22" x14ac:dyDescent="0.35">
      <c r="A5966" s="1">
        <v>42291.343321759261</v>
      </c>
      <c r="B5966" s="2">
        <v>9.1435185185185185E-4</v>
      </c>
      <c r="C5966" t="s">
        <v>8241</v>
      </c>
      <c r="D5966" t="s">
        <v>35</v>
      </c>
      <c r="E5966" t="s">
        <v>36</v>
      </c>
      <c r="F5966" t="s">
        <v>4770</v>
      </c>
      <c r="G5966">
        <v>2038643</v>
      </c>
      <c r="H5966" t="s">
        <v>45</v>
      </c>
      <c r="I5966" t="s">
        <v>120</v>
      </c>
      <c r="J5966" t="str">
        <f>"9781472427625"</f>
        <v>9781472427625</v>
      </c>
      <c r="K5966" t="s">
        <v>9340</v>
      </c>
      <c r="L5966">
        <v>9</v>
      </c>
      <c r="O5966" t="s">
        <v>30</v>
      </c>
      <c r="P5966" t="s">
        <v>47</v>
      </c>
      <c r="Q5966" s="1">
        <v>42290.666631944441</v>
      </c>
      <c r="R5966">
        <v>1</v>
      </c>
      <c r="S5966" t="s">
        <v>40</v>
      </c>
      <c r="T5966">
        <v>2013049432</v>
      </c>
      <c r="U5966">
        <v>306.46100000000001</v>
      </c>
      <c r="V5966" s="3">
        <v>42152</v>
      </c>
    </row>
    <row r="5967" spans="1:22" x14ac:dyDescent="0.35">
      <c r="A5967" s="1">
        <v>42291.26421296296</v>
      </c>
      <c r="B5967" s="2">
        <v>2.1527777777777778E-3</v>
      </c>
      <c r="C5967" t="s">
        <v>3595</v>
      </c>
      <c r="D5967" t="s">
        <v>23</v>
      </c>
      <c r="E5967" t="s">
        <v>24</v>
      </c>
      <c r="F5967" t="s">
        <v>3559</v>
      </c>
      <c r="G5967">
        <v>1217954</v>
      </c>
      <c r="H5967" t="s">
        <v>45</v>
      </c>
      <c r="I5967" t="s">
        <v>3560</v>
      </c>
      <c r="J5967" t="str">
        <f>"9781409457558"</f>
        <v>9781409457558</v>
      </c>
      <c r="K5967" t="s">
        <v>9341</v>
      </c>
      <c r="L5967">
        <v>12</v>
      </c>
      <c r="O5967" t="s">
        <v>30</v>
      </c>
      <c r="P5967" t="s">
        <v>42</v>
      </c>
      <c r="S5967" t="s">
        <v>31</v>
      </c>
      <c r="T5967" t="s">
        <v>3562</v>
      </c>
      <c r="U5967" t="s">
        <v>3563</v>
      </c>
      <c r="V5967" s="3">
        <v>41575</v>
      </c>
    </row>
    <row r="5968" spans="1:22" x14ac:dyDescent="0.35">
      <c r="A5968" s="1">
        <v>42291.112291666665</v>
      </c>
      <c r="B5968" s="2">
        <v>3.8888888888888883E-3</v>
      </c>
      <c r="C5968" t="s">
        <v>9329</v>
      </c>
      <c r="D5968" t="s">
        <v>1222</v>
      </c>
      <c r="E5968" t="s">
        <v>1223</v>
      </c>
      <c r="F5968" t="s">
        <v>3488</v>
      </c>
      <c r="G5968">
        <v>1294909</v>
      </c>
      <c r="H5968" t="s">
        <v>84</v>
      </c>
      <c r="I5968" t="s">
        <v>445</v>
      </c>
      <c r="J5968" t="str">
        <f>"9780520956797"</f>
        <v>9780520956797</v>
      </c>
      <c r="K5968" t="s">
        <v>2663</v>
      </c>
      <c r="L5968">
        <v>15</v>
      </c>
      <c r="O5968" t="s">
        <v>30</v>
      </c>
      <c r="P5968" t="s">
        <v>42</v>
      </c>
      <c r="S5968" t="s">
        <v>1226</v>
      </c>
      <c r="T5968" t="s">
        <v>3490</v>
      </c>
      <c r="U5968" t="s">
        <v>3491</v>
      </c>
      <c r="V5968" s="3">
        <v>41487</v>
      </c>
    </row>
    <row r="5969" spans="1:22" x14ac:dyDescent="0.35">
      <c r="A5969" s="1">
        <v>42291.11037037037</v>
      </c>
      <c r="B5969" s="2">
        <v>1.0694444444444444E-2</v>
      </c>
      <c r="C5969" t="s">
        <v>2468</v>
      </c>
      <c r="D5969" t="s">
        <v>35</v>
      </c>
      <c r="E5969" t="s">
        <v>36</v>
      </c>
      <c r="F5969" t="s">
        <v>327</v>
      </c>
      <c r="G5969">
        <v>1691426</v>
      </c>
      <c r="H5969" t="s">
        <v>26</v>
      </c>
      <c r="I5969" t="s">
        <v>328</v>
      </c>
      <c r="J5969" t="str">
        <f>"9781118839492"</f>
        <v>9781118839492</v>
      </c>
      <c r="K5969" t="s">
        <v>9342</v>
      </c>
      <c r="L5969">
        <v>85</v>
      </c>
      <c r="O5969" t="s">
        <v>30</v>
      </c>
      <c r="P5969" t="s">
        <v>47</v>
      </c>
      <c r="Q5969" s="1">
        <v>42291.109131944446</v>
      </c>
      <c r="R5969">
        <v>1</v>
      </c>
      <c r="S5969" t="s">
        <v>40</v>
      </c>
      <c r="T5969" t="s">
        <v>331</v>
      </c>
      <c r="U5969">
        <v>613.70460000000003</v>
      </c>
      <c r="V5969" s="3">
        <v>41772</v>
      </c>
    </row>
    <row r="5970" spans="1:22" x14ac:dyDescent="0.35">
      <c r="A5970" s="1">
        <v>42291.109131944446</v>
      </c>
      <c r="B5970" s="2">
        <v>9.2592592592592588E-5</v>
      </c>
      <c r="C5970" t="s">
        <v>2468</v>
      </c>
      <c r="D5970" t="s">
        <v>35</v>
      </c>
      <c r="E5970" t="s">
        <v>36</v>
      </c>
      <c r="F5970" t="s">
        <v>327</v>
      </c>
      <c r="G5970">
        <v>1691426</v>
      </c>
      <c r="H5970" t="s">
        <v>26</v>
      </c>
      <c r="I5970" t="s">
        <v>328</v>
      </c>
      <c r="J5970" t="str">
        <f>"9781118839492"</f>
        <v>9781118839492</v>
      </c>
      <c r="K5970" t="s">
        <v>8996</v>
      </c>
      <c r="L5970">
        <v>2</v>
      </c>
      <c r="O5970" t="s">
        <v>30</v>
      </c>
      <c r="P5970" t="s">
        <v>47</v>
      </c>
      <c r="Q5970" s="1">
        <v>42291.109131944446</v>
      </c>
      <c r="R5970">
        <v>1</v>
      </c>
      <c r="S5970" t="s">
        <v>40</v>
      </c>
      <c r="T5970" t="s">
        <v>331</v>
      </c>
      <c r="U5970">
        <v>613.70460000000003</v>
      </c>
      <c r="V5970" s="3">
        <v>41772</v>
      </c>
    </row>
    <row r="5971" spans="1:22" x14ac:dyDescent="0.35">
      <c r="A5971" s="1">
        <v>42291.105775462966</v>
      </c>
      <c r="B5971" s="2">
        <v>3.3564814814814811E-3</v>
      </c>
      <c r="C5971" t="s">
        <v>2468</v>
      </c>
      <c r="D5971" t="s">
        <v>35</v>
      </c>
      <c r="E5971" t="s">
        <v>36</v>
      </c>
      <c r="F5971" t="s">
        <v>327</v>
      </c>
      <c r="G5971">
        <v>1691426</v>
      </c>
      <c r="H5971" t="s">
        <v>26</v>
      </c>
      <c r="I5971" t="s">
        <v>328</v>
      </c>
      <c r="J5971" t="str">
        <f>"9781118839492"</f>
        <v>9781118839492</v>
      </c>
      <c r="K5971" t="s">
        <v>9343</v>
      </c>
      <c r="L5971">
        <v>30</v>
      </c>
      <c r="O5971" t="s">
        <v>30</v>
      </c>
      <c r="P5971" t="s">
        <v>50</v>
      </c>
      <c r="S5971" t="s">
        <v>40</v>
      </c>
      <c r="T5971" t="s">
        <v>331</v>
      </c>
      <c r="U5971">
        <v>613.70460000000003</v>
      </c>
      <c r="V5971" s="3">
        <v>41772</v>
      </c>
    </row>
    <row r="5972" spans="1:22" x14ac:dyDescent="0.35">
      <c r="A5972" s="1">
        <v>42291.104849537034</v>
      </c>
      <c r="B5972" s="2">
        <v>1.3888888888888889E-4</v>
      </c>
      <c r="C5972" t="s">
        <v>2468</v>
      </c>
      <c r="D5972" t="s">
        <v>35</v>
      </c>
      <c r="E5972" t="s">
        <v>36</v>
      </c>
      <c r="F5972" t="s">
        <v>1659</v>
      </c>
      <c r="G5972">
        <v>1895936</v>
      </c>
      <c r="H5972" t="s">
        <v>26</v>
      </c>
      <c r="I5972" t="s">
        <v>328</v>
      </c>
      <c r="J5972" t="str">
        <f>"9781119022763"</f>
        <v>9781119022763</v>
      </c>
      <c r="K5972" t="s">
        <v>209</v>
      </c>
      <c r="L5972">
        <v>4</v>
      </c>
      <c r="O5972" t="s">
        <v>30</v>
      </c>
      <c r="P5972" t="s">
        <v>50</v>
      </c>
      <c r="S5972" t="s">
        <v>40</v>
      </c>
      <c r="T5972" t="s">
        <v>1660</v>
      </c>
      <c r="U5972">
        <v>613.70460000000003</v>
      </c>
      <c r="V5972" s="3">
        <v>42053</v>
      </c>
    </row>
    <row r="5973" spans="1:22" x14ac:dyDescent="0.35">
      <c r="A5973" s="1">
        <v>42291.103946759256</v>
      </c>
      <c r="B5973" s="2">
        <v>4.0509259259259258E-4</v>
      </c>
      <c r="C5973" t="s">
        <v>2468</v>
      </c>
      <c r="D5973" t="s">
        <v>35</v>
      </c>
      <c r="E5973" t="s">
        <v>36</v>
      </c>
      <c r="F5973" t="s">
        <v>1659</v>
      </c>
      <c r="G5973">
        <v>1895936</v>
      </c>
      <c r="H5973" t="s">
        <v>26</v>
      </c>
      <c r="I5973" t="s">
        <v>328</v>
      </c>
      <c r="J5973" t="str">
        <f>"9781119022763"</f>
        <v>9781119022763</v>
      </c>
      <c r="K5973" t="s">
        <v>9344</v>
      </c>
      <c r="L5973">
        <v>8</v>
      </c>
      <c r="O5973" t="s">
        <v>30</v>
      </c>
      <c r="P5973" t="s">
        <v>50</v>
      </c>
      <c r="S5973" t="s">
        <v>40</v>
      </c>
      <c r="T5973" t="s">
        <v>1660</v>
      </c>
      <c r="U5973">
        <v>613.70460000000003</v>
      </c>
      <c r="V5973" s="3">
        <v>42053</v>
      </c>
    </row>
    <row r="5974" spans="1:22" x14ac:dyDescent="0.35">
      <c r="A5974" s="1">
        <v>42291.085393518515</v>
      </c>
      <c r="B5974" s="2">
        <v>4.9537037037037041E-3</v>
      </c>
      <c r="C5974" t="s">
        <v>9345</v>
      </c>
      <c r="D5974" t="s">
        <v>23</v>
      </c>
      <c r="E5974" t="s">
        <v>24</v>
      </c>
      <c r="F5974" t="s">
        <v>3442</v>
      </c>
      <c r="G5974">
        <v>1873238</v>
      </c>
      <c r="H5974" t="s">
        <v>84</v>
      </c>
      <c r="I5974" t="s">
        <v>27</v>
      </c>
      <c r="J5974" t="str">
        <f>"9780520961647"</f>
        <v>9780520961647</v>
      </c>
      <c r="K5974" t="s">
        <v>9346</v>
      </c>
      <c r="L5974">
        <v>10</v>
      </c>
      <c r="O5974" t="s">
        <v>30</v>
      </c>
      <c r="P5974" t="s">
        <v>42</v>
      </c>
      <c r="S5974" t="s">
        <v>31</v>
      </c>
      <c r="T5974" t="s">
        <v>3444</v>
      </c>
      <c r="U5974">
        <v>497.9</v>
      </c>
      <c r="V5974" s="3">
        <v>42005</v>
      </c>
    </row>
    <row r="5975" spans="1:22" x14ac:dyDescent="0.35">
      <c r="A5975" s="1">
        <v>42291.040451388886</v>
      </c>
      <c r="B5975" s="2">
        <v>4.4699074074074079E-2</v>
      </c>
      <c r="C5975" t="s">
        <v>9347</v>
      </c>
      <c r="D5975" t="s">
        <v>261</v>
      </c>
      <c r="E5975" t="s">
        <v>262</v>
      </c>
      <c r="F5975" t="s">
        <v>223</v>
      </c>
      <c r="G5975">
        <v>1895140</v>
      </c>
      <c r="H5975" t="s">
        <v>26</v>
      </c>
      <c r="I5975" t="s">
        <v>69</v>
      </c>
      <c r="J5975" t="str">
        <f>"9781118911488"</f>
        <v>9781118911488</v>
      </c>
      <c r="K5975" t="s">
        <v>9348</v>
      </c>
      <c r="L5975">
        <v>108</v>
      </c>
      <c r="O5975" t="s">
        <v>30</v>
      </c>
      <c r="P5975" t="s">
        <v>47</v>
      </c>
      <c r="Q5975" s="1">
        <v>42291.040451388886</v>
      </c>
      <c r="R5975">
        <v>1</v>
      </c>
      <c r="S5975" t="s">
        <v>264</v>
      </c>
      <c r="T5975" t="s">
        <v>225</v>
      </c>
      <c r="U5975">
        <v>378.1662</v>
      </c>
      <c r="V5975" s="3">
        <v>42086</v>
      </c>
    </row>
    <row r="5976" spans="1:22" x14ac:dyDescent="0.35">
      <c r="A5976" s="1">
        <v>42291.037824074076</v>
      </c>
      <c r="B5976" s="2">
        <v>1.8518518518518518E-4</v>
      </c>
      <c r="C5976" t="s">
        <v>9349</v>
      </c>
      <c r="D5976" t="s">
        <v>35</v>
      </c>
      <c r="E5976" t="s">
        <v>36</v>
      </c>
      <c r="F5976" t="s">
        <v>9350</v>
      </c>
      <c r="G5976">
        <v>1895938</v>
      </c>
      <c r="H5976" t="s">
        <v>26</v>
      </c>
      <c r="I5976" t="s">
        <v>69</v>
      </c>
      <c r="J5976" t="str">
        <f>"9781119023999"</f>
        <v>9781119023999</v>
      </c>
      <c r="K5976" t="s">
        <v>33</v>
      </c>
      <c r="L5976">
        <v>3</v>
      </c>
      <c r="O5976" t="s">
        <v>30</v>
      </c>
      <c r="P5976" t="s">
        <v>29</v>
      </c>
      <c r="Q5976" s="1">
        <v>42291.022615740738</v>
      </c>
      <c r="R5976">
        <v>7</v>
      </c>
      <c r="S5976" t="s">
        <v>40</v>
      </c>
      <c r="T5976" t="s">
        <v>9351</v>
      </c>
      <c r="U5976">
        <v>378.19425000000001</v>
      </c>
      <c r="V5976" s="3">
        <v>41995</v>
      </c>
    </row>
    <row r="5977" spans="1:22" x14ac:dyDescent="0.35">
      <c r="A5977" s="1">
        <v>42291.036828703705</v>
      </c>
      <c r="B5977" s="2">
        <v>3.6226851851851854E-3</v>
      </c>
      <c r="C5977" t="s">
        <v>9347</v>
      </c>
      <c r="D5977" t="s">
        <v>261</v>
      </c>
      <c r="E5977" t="s">
        <v>262</v>
      </c>
      <c r="F5977" t="s">
        <v>223</v>
      </c>
      <c r="G5977">
        <v>1895140</v>
      </c>
      <c r="H5977" t="s">
        <v>26</v>
      </c>
      <c r="I5977" t="s">
        <v>69</v>
      </c>
      <c r="J5977" t="str">
        <f>"9781118911488"</f>
        <v>9781118911488</v>
      </c>
      <c r="K5977" t="s">
        <v>9352</v>
      </c>
      <c r="L5977">
        <v>66</v>
      </c>
      <c r="O5977" t="s">
        <v>30</v>
      </c>
      <c r="P5977" t="s">
        <v>50</v>
      </c>
      <c r="S5977" t="s">
        <v>264</v>
      </c>
      <c r="T5977" t="s">
        <v>225</v>
      </c>
      <c r="U5977">
        <v>378.1662</v>
      </c>
      <c r="V5977" s="3">
        <v>42086</v>
      </c>
    </row>
    <row r="5978" spans="1:22" x14ac:dyDescent="0.35">
      <c r="A5978" s="1">
        <v>42291.022615740738</v>
      </c>
      <c r="B5978" s="2">
        <v>0.14440972222222223</v>
      </c>
      <c r="C5978" t="s">
        <v>9349</v>
      </c>
      <c r="D5978" t="s">
        <v>35</v>
      </c>
      <c r="E5978" t="s">
        <v>36</v>
      </c>
      <c r="F5978" t="s">
        <v>9350</v>
      </c>
      <c r="G5978">
        <v>1895938</v>
      </c>
      <c r="H5978" t="s">
        <v>26</v>
      </c>
      <c r="I5978" t="s">
        <v>69</v>
      </c>
      <c r="J5978" t="str">
        <f>"9781119023999"</f>
        <v>9781119023999</v>
      </c>
      <c r="K5978" t="s">
        <v>9353</v>
      </c>
      <c r="L5978">
        <v>114</v>
      </c>
      <c r="M5978" t="s">
        <v>9354</v>
      </c>
      <c r="O5978" t="s">
        <v>28</v>
      </c>
      <c r="P5978" t="s">
        <v>29</v>
      </c>
      <c r="Q5978" s="1">
        <v>42291.022615740738</v>
      </c>
      <c r="R5978">
        <v>7</v>
      </c>
      <c r="S5978" t="s">
        <v>40</v>
      </c>
      <c r="T5978" t="s">
        <v>9351</v>
      </c>
      <c r="U5978">
        <v>378.19425000000001</v>
      </c>
      <c r="V5978" s="3">
        <v>41995</v>
      </c>
    </row>
    <row r="5979" spans="1:22" x14ac:dyDescent="0.35">
      <c r="A5979" s="1">
        <v>42291.022615740738</v>
      </c>
      <c r="B5979" s="2">
        <v>0</v>
      </c>
      <c r="C5979" t="s">
        <v>9349</v>
      </c>
      <c r="D5979" t="s">
        <v>35</v>
      </c>
      <c r="E5979" t="s">
        <v>36</v>
      </c>
      <c r="F5979" t="s">
        <v>9350</v>
      </c>
      <c r="G5979">
        <v>1895938</v>
      </c>
      <c r="H5979" t="s">
        <v>26</v>
      </c>
      <c r="I5979" t="s">
        <v>69</v>
      </c>
      <c r="J5979" t="str">
        <f>"9781119023999"</f>
        <v>9781119023999</v>
      </c>
      <c r="L5979">
        <v>0</v>
      </c>
      <c r="O5979" t="s">
        <v>30</v>
      </c>
      <c r="P5979" t="s">
        <v>29</v>
      </c>
      <c r="Q5979" s="1">
        <v>42291.022615740738</v>
      </c>
      <c r="R5979">
        <v>7</v>
      </c>
      <c r="S5979" t="s">
        <v>40</v>
      </c>
      <c r="T5979" t="s">
        <v>9351</v>
      </c>
      <c r="U5979">
        <v>378.19425000000001</v>
      </c>
      <c r="V5979" s="3">
        <v>41995</v>
      </c>
    </row>
    <row r="5980" spans="1:22" x14ac:dyDescent="0.35">
      <c r="A5980" s="1">
        <v>42291.022303240738</v>
      </c>
      <c r="B5980" s="2">
        <v>3.1250000000000001E-4</v>
      </c>
      <c r="C5980" t="s">
        <v>9349</v>
      </c>
      <c r="D5980" t="s">
        <v>35</v>
      </c>
      <c r="E5980" t="s">
        <v>36</v>
      </c>
      <c r="F5980" t="s">
        <v>9350</v>
      </c>
      <c r="G5980">
        <v>1895938</v>
      </c>
      <c r="H5980" t="s">
        <v>26</v>
      </c>
      <c r="I5980" t="s">
        <v>69</v>
      </c>
      <c r="J5980" t="str">
        <f>"9781119023999"</f>
        <v>9781119023999</v>
      </c>
      <c r="K5980" t="s">
        <v>33</v>
      </c>
      <c r="L5980">
        <v>3</v>
      </c>
      <c r="O5980" t="s">
        <v>30</v>
      </c>
      <c r="P5980" t="s">
        <v>50</v>
      </c>
      <c r="S5980" t="s">
        <v>40</v>
      </c>
      <c r="T5980" t="s">
        <v>9351</v>
      </c>
      <c r="U5980">
        <v>378.19425000000001</v>
      </c>
      <c r="V5980" s="3">
        <v>41995</v>
      </c>
    </row>
    <row r="5981" spans="1:22" x14ac:dyDescent="0.35">
      <c r="A5981" s="1">
        <v>42290.992418981485</v>
      </c>
      <c r="B5981" s="2">
        <v>2.2581018518518518E-2</v>
      </c>
      <c r="C5981" t="s">
        <v>3556</v>
      </c>
      <c r="D5981" t="s">
        <v>23</v>
      </c>
      <c r="E5981" t="s">
        <v>24</v>
      </c>
      <c r="F5981" t="s">
        <v>3060</v>
      </c>
      <c r="G5981">
        <v>1120279</v>
      </c>
      <c r="H5981" t="s">
        <v>26</v>
      </c>
      <c r="I5981" t="s">
        <v>3061</v>
      </c>
      <c r="J5981" t="str">
        <f>"9781118537671"</f>
        <v>9781118537671</v>
      </c>
      <c r="K5981" t="s">
        <v>9355</v>
      </c>
      <c r="L5981">
        <v>28</v>
      </c>
      <c r="O5981" t="s">
        <v>30</v>
      </c>
      <c r="P5981" t="s">
        <v>29</v>
      </c>
      <c r="Q5981" s="1">
        <v>42287.179791666669</v>
      </c>
      <c r="R5981">
        <v>7</v>
      </c>
      <c r="S5981" t="s">
        <v>31</v>
      </c>
      <c r="T5981" t="s">
        <v>3063</v>
      </c>
      <c r="U5981">
        <v>599.93499999999995</v>
      </c>
      <c r="V5981" s="3">
        <v>41232</v>
      </c>
    </row>
    <row r="5982" spans="1:22" x14ac:dyDescent="0.35">
      <c r="A5982" s="1">
        <v>42290.944641203707</v>
      </c>
      <c r="B5982" s="2">
        <v>2.0023148148148148E-3</v>
      </c>
      <c r="C5982" t="s">
        <v>9356</v>
      </c>
      <c r="D5982" t="s">
        <v>158</v>
      </c>
      <c r="E5982" t="s">
        <v>159</v>
      </c>
      <c r="F5982" t="s">
        <v>6325</v>
      </c>
      <c r="G5982">
        <v>871519</v>
      </c>
      <c r="H5982" t="s">
        <v>26</v>
      </c>
      <c r="I5982" t="s">
        <v>1532</v>
      </c>
      <c r="J5982" t="str">
        <f>"9781444398359"</f>
        <v>9781444398359</v>
      </c>
      <c r="K5982" t="s">
        <v>9357</v>
      </c>
      <c r="L5982">
        <v>11</v>
      </c>
      <c r="O5982" t="s">
        <v>30</v>
      </c>
      <c r="P5982" t="s">
        <v>42</v>
      </c>
      <c r="S5982" t="s">
        <v>163</v>
      </c>
      <c r="T5982" t="s">
        <v>6327</v>
      </c>
      <c r="U5982">
        <v>523.20000000000005</v>
      </c>
      <c r="V5982" s="3">
        <v>40968</v>
      </c>
    </row>
    <row r="5983" spans="1:22" x14ac:dyDescent="0.35">
      <c r="A5983" s="1">
        <v>42290.930659722224</v>
      </c>
      <c r="B5983" s="2">
        <v>1.5624999999999999E-3</v>
      </c>
      <c r="C5983" t="s">
        <v>9358</v>
      </c>
      <c r="D5983" t="s">
        <v>35</v>
      </c>
      <c r="E5983" t="s">
        <v>36</v>
      </c>
      <c r="F5983" t="s">
        <v>9359</v>
      </c>
      <c r="G5983">
        <v>1781839</v>
      </c>
      <c r="H5983" t="s">
        <v>26</v>
      </c>
      <c r="I5983" t="s">
        <v>1724</v>
      </c>
      <c r="J5983" t="str">
        <f>"9781118721452"</f>
        <v>9781118721452</v>
      </c>
      <c r="K5983" t="s">
        <v>9360</v>
      </c>
      <c r="L5983">
        <v>2</v>
      </c>
      <c r="O5983" t="s">
        <v>28</v>
      </c>
      <c r="P5983" t="s">
        <v>47</v>
      </c>
      <c r="Q5983" s="1">
        <v>42290.930659722224</v>
      </c>
      <c r="R5983">
        <v>7</v>
      </c>
      <c r="S5983" t="s">
        <v>40</v>
      </c>
      <c r="T5983" t="s">
        <v>9361</v>
      </c>
      <c r="U5983" t="s">
        <v>3739</v>
      </c>
      <c r="V5983" s="3">
        <v>41890</v>
      </c>
    </row>
    <row r="5984" spans="1:22" x14ac:dyDescent="0.35">
      <c r="A5984" s="1">
        <v>42290.930659722224</v>
      </c>
      <c r="B5984" s="2">
        <v>0</v>
      </c>
      <c r="C5984" t="s">
        <v>9358</v>
      </c>
      <c r="D5984" t="s">
        <v>35</v>
      </c>
      <c r="E5984" t="s">
        <v>36</v>
      </c>
      <c r="F5984" t="s">
        <v>9359</v>
      </c>
      <c r="G5984">
        <v>1781839</v>
      </c>
      <c r="H5984" t="s">
        <v>26</v>
      </c>
      <c r="I5984" t="s">
        <v>1724</v>
      </c>
      <c r="J5984" t="str">
        <f>"9781118721452"</f>
        <v>9781118721452</v>
      </c>
      <c r="L5984">
        <v>0</v>
      </c>
      <c r="O5984" t="s">
        <v>30</v>
      </c>
      <c r="P5984" t="s">
        <v>47</v>
      </c>
      <c r="Q5984" s="1">
        <v>42290.930659722224</v>
      </c>
      <c r="R5984">
        <v>7</v>
      </c>
      <c r="S5984" t="s">
        <v>40</v>
      </c>
      <c r="T5984" t="s">
        <v>9361</v>
      </c>
      <c r="U5984" t="s">
        <v>3739</v>
      </c>
      <c r="V5984" s="3">
        <v>41890</v>
      </c>
    </row>
    <row r="5985" spans="1:22" x14ac:dyDescent="0.35">
      <c r="A5985" s="1">
        <v>42290.928784722222</v>
      </c>
      <c r="B5985" s="2">
        <v>1.8750000000000001E-3</v>
      </c>
      <c r="C5985" t="s">
        <v>9358</v>
      </c>
      <c r="D5985" t="s">
        <v>35</v>
      </c>
      <c r="E5985" t="s">
        <v>36</v>
      </c>
      <c r="F5985" t="s">
        <v>9359</v>
      </c>
      <c r="G5985">
        <v>1781839</v>
      </c>
      <c r="H5985" t="s">
        <v>26</v>
      </c>
      <c r="I5985" t="s">
        <v>1724</v>
      </c>
      <c r="J5985" t="str">
        <f>"9781118721452"</f>
        <v>9781118721452</v>
      </c>
      <c r="K5985" t="s">
        <v>9362</v>
      </c>
      <c r="L5985">
        <v>17</v>
      </c>
      <c r="O5985" t="s">
        <v>30</v>
      </c>
      <c r="P5985" t="s">
        <v>50</v>
      </c>
      <c r="S5985" t="s">
        <v>40</v>
      </c>
      <c r="T5985" t="s">
        <v>9361</v>
      </c>
      <c r="U5985" t="s">
        <v>3739</v>
      </c>
      <c r="V5985" s="3">
        <v>41890</v>
      </c>
    </row>
    <row r="5986" spans="1:22" x14ac:dyDescent="0.35">
      <c r="A5986" s="1">
        <v>42290.912372685183</v>
      </c>
      <c r="B5986" s="2">
        <v>1.6597222222222222E-2</v>
      </c>
      <c r="C5986" t="s">
        <v>5019</v>
      </c>
      <c r="D5986" t="s">
        <v>35</v>
      </c>
      <c r="E5986" t="s">
        <v>36</v>
      </c>
      <c r="F5986" t="s">
        <v>986</v>
      </c>
      <c r="G5986">
        <v>968030</v>
      </c>
      <c r="H5986" t="s">
        <v>26</v>
      </c>
      <c r="I5986" t="s">
        <v>219</v>
      </c>
      <c r="J5986" t="str">
        <f>"9781118285138"</f>
        <v>9781118285138</v>
      </c>
      <c r="K5986" t="s">
        <v>9363</v>
      </c>
      <c r="L5986">
        <v>43</v>
      </c>
      <c r="O5986" t="s">
        <v>30</v>
      </c>
      <c r="P5986" t="s">
        <v>29</v>
      </c>
      <c r="Q5986" s="1">
        <v>42290.912372685183</v>
      </c>
      <c r="R5986">
        <v>7</v>
      </c>
      <c r="S5986" t="s">
        <v>40</v>
      </c>
      <c r="T5986" t="s">
        <v>987</v>
      </c>
      <c r="U5986">
        <v>158.30000000000001</v>
      </c>
      <c r="V5986" s="3">
        <v>41100</v>
      </c>
    </row>
    <row r="5987" spans="1:22" x14ac:dyDescent="0.35">
      <c r="A5987" s="1">
        <v>42290.907939814817</v>
      </c>
      <c r="B5987" s="2">
        <v>1.273148148148148E-4</v>
      </c>
      <c r="C5987" t="s">
        <v>3274</v>
      </c>
      <c r="D5987" t="s">
        <v>35</v>
      </c>
      <c r="E5987" t="s">
        <v>36</v>
      </c>
      <c r="F5987" t="s">
        <v>3275</v>
      </c>
      <c r="G5987">
        <v>822662</v>
      </c>
      <c r="H5987" t="s">
        <v>26</v>
      </c>
      <c r="I5987" t="s">
        <v>172</v>
      </c>
      <c r="J5987" t="str">
        <f>"9781444355130"</f>
        <v>9781444355130</v>
      </c>
      <c r="K5987" t="s">
        <v>9364</v>
      </c>
      <c r="L5987">
        <v>4</v>
      </c>
      <c r="O5987" t="s">
        <v>30</v>
      </c>
      <c r="P5987" t="s">
        <v>42</v>
      </c>
      <c r="S5987" t="s">
        <v>40</v>
      </c>
      <c r="T5987" t="s">
        <v>3277</v>
      </c>
      <c r="U5987">
        <v>960.3</v>
      </c>
      <c r="V5987" s="3">
        <v>40858</v>
      </c>
    </row>
    <row r="5988" spans="1:22" x14ac:dyDescent="0.35">
      <c r="A5988" s="1">
        <v>42290.901539351849</v>
      </c>
      <c r="B5988" s="2">
        <v>4.6296296296296293E-4</v>
      </c>
      <c r="C5988" t="s">
        <v>738</v>
      </c>
      <c r="D5988" t="s">
        <v>23</v>
      </c>
      <c r="E5988" t="s">
        <v>24</v>
      </c>
      <c r="F5988" t="s">
        <v>9365</v>
      </c>
      <c r="G5988">
        <v>817838</v>
      </c>
      <c r="H5988" t="s">
        <v>26</v>
      </c>
      <c r="I5988" t="s">
        <v>297</v>
      </c>
      <c r="J5988" t="str">
        <f>"9781118204245"</f>
        <v>9781118204245</v>
      </c>
      <c r="K5988" t="s">
        <v>9366</v>
      </c>
      <c r="L5988">
        <v>37</v>
      </c>
      <c r="O5988" t="s">
        <v>30</v>
      </c>
      <c r="P5988" t="s">
        <v>42</v>
      </c>
      <c r="S5988" t="s">
        <v>31</v>
      </c>
      <c r="T5988" t="s">
        <v>9367</v>
      </c>
      <c r="U5988">
        <v>515</v>
      </c>
      <c r="V5988" s="3">
        <v>40892</v>
      </c>
    </row>
    <row r="5989" spans="1:22" x14ac:dyDescent="0.35">
      <c r="A5989" s="1">
        <v>42290.900104166663</v>
      </c>
      <c r="B5989" s="2">
        <v>1.1458333333333333E-3</v>
      </c>
      <c r="C5989" t="s">
        <v>9368</v>
      </c>
      <c r="D5989" t="s">
        <v>2519</v>
      </c>
      <c r="E5989" t="s">
        <v>2520</v>
      </c>
      <c r="F5989" t="s">
        <v>9369</v>
      </c>
      <c r="G5989">
        <v>1998813</v>
      </c>
      <c r="H5989" t="s">
        <v>26</v>
      </c>
      <c r="I5989" t="s">
        <v>179</v>
      </c>
      <c r="J5989" t="str">
        <f>"9783527693511"</f>
        <v>9783527693511</v>
      </c>
      <c r="K5989" t="s">
        <v>9370</v>
      </c>
      <c r="L5989">
        <v>25</v>
      </c>
      <c r="O5989" t="s">
        <v>30</v>
      </c>
      <c r="P5989" t="s">
        <v>29</v>
      </c>
      <c r="Q5989" s="1">
        <v>42289.383981481478</v>
      </c>
      <c r="R5989">
        <v>7</v>
      </c>
      <c r="S5989" t="s">
        <v>3786</v>
      </c>
      <c r="T5989" t="s">
        <v>9371</v>
      </c>
      <c r="U5989">
        <v>541.36099999999999</v>
      </c>
      <c r="V5989" s="3">
        <v>42117</v>
      </c>
    </row>
    <row r="5990" spans="1:22" x14ac:dyDescent="0.35">
      <c r="A5990" s="1">
        <v>42290.895833333336</v>
      </c>
      <c r="B5990" s="2">
        <v>1.653935185185185E-2</v>
      </c>
      <c r="C5990" t="s">
        <v>5019</v>
      </c>
      <c r="D5990" t="s">
        <v>35</v>
      </c>
      <c r="E5990" t="s">
        <v>36</v>
      </c>
      <c r="F5990" t="s">
        <v>986</v>
      </c>
      <c r="G5990">
        <v>968030</v>
      </c>
      <c r="H5990" t="s">
        <v>26</v>
      </c>
      <c r="I5990" t="s">
        <v>219</v>
      </c>
      <c r="J5990" t="str">
        <f>"9781118285138"</f>
        <v>9781118285138</v>
      </c>
      <c r="K5990" t="s">
        <v>9372</v>
      </c>
      <c r="L5990">
        <v>57</v>
      </c>
      <c r="O5990" t="s">
        <v>30</v>
      </c>
      <c r="P5990" t="s">
        <v>42</v>
      </c>
      <c r="S5990" t="s">
        <v>40</v>
      </c>
      <c r="T5990" t="s">
        <v>987</v>
      </c>
      <c r="U5990">
        <v>158.30000000000001</v>
      </c>
      <c r="V5990" s="3">
        <v>41100</v>
      </c>
    </row>
    <row r="5991" spans="1:22" x14ac:dyDescent="0.35">
      <c r="A5991" s="1">
        <v>42290.891840277778</v>
      </c>
      <c r="B5991" s="2">
        <v>5.7870370370370366E-5</v>
      </c>
      <c r="C5991" t="s">
        <v>5019</v>
      </c>
      <c r="D5991" t="s">
        <v>35</v>
      </c>
      <c r="E5991" t="s">
        <v>36</v>
      </c>
      <c r="F5991" t="s">
        <v>986</v>
      </c>
      <c r="G5991">
        <v>968030</v>
      </c>
      <c r="H5991" t="s">
        <v>26</v>
      </c>
      <c r="I5991" t="s">
        <v>219</v>
      </c>
      <c r="J5991" t="str">
        <f>"9781118285138"</f>
        <v>9781118285138</v>
      </c>
      <c r="K5991" t="s">
        <v>611</v>
      </c>
      <c r="L5991">
        <v>3</v>
      </c>
      <c r="O5991" t="s">
        <v>30</v>
      </c>
      <c r="P5991" t="s">
        <v>42</v>
      </c>
      <c r="S5991" t="s">
        <v>40</v>
      </c>
      <c r="T5991" t="s">
        <v>987</v>
      </c>
      <c r="U5991">
        <v>158.30000000000001</v>
      </c>
      <c r="V5991" s="3">
        <v>41100</v>
      </c>
    </row>
    <row r="5992" spans="1:22" x14ac:dyDescent="0.35">
      <c r="A5992" s="1">
        <v>42290.807141203702</v>
      </c>
      <c r="B5992" s="2">
        <v>5.9837962962962961E-3</v>
      </c>
      <c r="C5992" t="s">
        <v>106</v>
      </c>
      <c r="D5992" t="s">
        <v>23</v>
      </c>
      <c r="E5992" t="s">
        <v>24</v>
      </c>
      <c r="F5992" t="s">
        <v>982</v>
      </c>
      <c r="G5992">
        <v>1882108</v>
      </c>
      <c r="H5992" t="s">
        <v>84</v>
      </c>
      <c r="I5992" t="s">
        <v>310</v>
      </c>
      <c r="J5992" t="str">
        <f>"9780520961326"</f>
        <v>9780520961326</v>
      </c>
      <c r="K5992" t="s">
        <v>867</v>
      </c>
      <c r="L5992">
        <v>10</v>
      </c>
      <c r="O5992" t="s">
        <v>30</v>
      </c>
      <c r="P5992" t="s">
        <v>42</v>
      </c>
      <c r="S5992" t="s">
        <v>31</v>
      </c>
      <c r="T5992" t="s">
        <v>983</v>
      </c>
      <c r="U5992">
        <v>883</v>
      </c>
      <c r="V5992" s="3">
        <v>42138</v>
      </c>
    </row>
    <row r="5993" spans="1:22" x14ac:dyDescent="0.35">
      <c r="A5993" s="1">
        <v>42290.795648148145</v>
      </c>
      <c r="B5993" s="2">
        <v>7.1180555555555566E-2</v>
      </c>
      <c r="C5993" t="s">
        <v>4311</v>
      </c>
      <c r="D5993" t="s">
        <v>23</v>
      </c>
      <c r="E5993" t="s">
        <v>24</v>
      </c>
      <c r="F5993" t="s">
        <v>745</v>
      </c>
      <c r="G5993">
        <v>1166322</v>
      </c>
      <c r="H5993" t="s">
        <v>26</v>
      </c>
      <c r="I5993" t="s">
        <v>200</v>
      </c>
      <c r="J5993" t="str">
        <f>"9781118418512"</f>
        <v>9781118418512</v>
      </c>
      <c r="K5993" t="s">
        <v>9373</v>
      </c>
      <c r="L5993">
        <v>34</v>
      </c>
      <c r="O5993" t="s">
        <v>30</v>
      </c>
      <c r="P5993" t="s">
        <v>29</v>
      </c>
      <c r="Q5993" s="1">
        <v>42290.726053240738</v>
      </c>
      <c r="R5993">
        <v>7</v>
      </c>
      <c r="S5993" t="s">
        <v>31</v>
      </c>
      <c r="T5993" t="s">
        <v>747</v>
      </c>
      <c r="U5993">
        <v>720.072</v>
      </c>
      <c r="V5993" s="3">
        <v>41367</v>
      </c>
    </row>
    <row r="5994" spans="1:22" x14ac:dyDescent="0.35">
      <c r="A5994" s="1">
        <v>42290.79478009259</v>
      </c>
      <c r="B5994" s="2">
        <v>0</v>
      </c>
      <c r="C5994" t="s">
        <v>4311</v>
      </c>
      <c r="D5994" t="s">
        <v>23</v>
      </c>
      <c r="E5994" t="s">
        <v>24</v>
      </c>
      <c r="F5994" t="s">
        <v>745</v>
      </c>
      <c r="G5994">
        <v>1166322</v>
      </c>
      <c r="H5994" t="s">
        <v>26</v>
      </c>
      <c r="I5994" t="s">
        <v>200</v>
      </c>
      <c r="J5994" t="str">
        <f>"9781118418512"</f>
        <v>9781118418512</v>
      </c>
      <c r="L5994">
        <v>0</v>
      </c>
      <c r="O5994" t="s">
        <v>28</v>
      </c>
      <c r="P5994" t="s">
        <v>29</v>
      </c>
      <c r="Q5994" s="1">
        <v>42290.726053240738</v>
      </c>
      <c r="R5994">
        <v>7</v>
      </c>
      <c r="S5994" t="s">
        <v>31</v>
      </c>
      <c r="T5994" t="s">
        <v>747</v>
      </c>
      <c r="U5994">
        <v>720.072</v>
      </c>
      <c r="V5994" s="3">
        <v>41367</v>
      </c>
    </row>
    <row r="5995" spans="1:22" x14ac:dyDescent="0.35">
      <c r="A5995" s="1">
        <v>42290.774594907409</v>
      </c>
      <c r="B5995" s="2">
        <v>7.2337962962962963E-3</v>
      </c>
      <c r="C5995" t="s">
        <v>7960</v>
      </c>
      <c r="D5995" t="s">
        <v>35</v>
      </c>
      <c r="E5995" t="s">
        <v>36</v>
      </c>
      <c r="F5995" t="s">
        <v>986</v>
      </c>
      <c r="G5995">
        <v>968030</v>
      </c>
      <c r="H5995" t="s">
        <v>26</v>
      </c>
      <c r="I5995" t="s">
        <v>219</v>
      </c>
      <c r="J5995" t="str">
        <f>"9781118285138"</f>
        <v>9781118285138</v>
      </c>
      <c r="K5995" t="s">
        <v>9374</v>
      </c>
      <c r="L5995">
        <v>3</v>
      </c>
      <c r="M5995" t="s">
        <v>9375</v>
      </c>
      <c r="O5995" t="s">
        <v>30</v>
      </c>
      <c r="P5995" t="s">
        <v>29</v>
      </c>
      <c r="Q5995" s="1">
        <v>42290.774594907409</v>
      </c>
      <c r="R5995">
        <v>7</v>
      </c>
      <c r="S5995" t="s">
        <v>40</v>
      </c>
      <c r="T5995" t="s">
        <v>987</v>
      </c>
      <c r="U5995">
        <v>158.30000000000001</v>
      </c>
      <c r="V5995" s="3">
        <v>41100</v>
      </c>
    </row>
    <row r="5996" spans="1:22" x14ac:dyDescent="0.35">
      <c r="A5996" s="1">
        <v>42290.762638888889</v>
      </c>
      <c r="B5996" s="2">
        <v>1.7361111111111112E-4</v>
      </c>
      <c r="C5996" t="s">
        <v>2468</v>
      </c>
      <c r="D5996" t="s">
        <v>35</v>
      </c>
      <c r="E5996" t="s">
        <v>36</v>
      </c>
      <c r="F5996" t="s">
        <v>327</v>
      </c>
      <c r="G5996">
        <v>1691426</v>
      </c>
      <c r="H5996" t="s">
        <v>26</v>
      </c>
      <c r="I5996" t="s">
        <v>328</v>
      </c>
      <c r="J5996" t="str">
        <f>"9781118839492"</f>
        <v>9781118839492</v>
      </c>
      <c r="K5996" t="s">
        <v>9376</v>
      </c>
      <c r="L5996">
        <v>6</v>
      </c>
      <c r="O5996" t="s">
        <v>30</v>
      </c>
      <c r="P5996" t="s">
        <v>50</v>
      </c>
      <c r="S5996" t="s">
        <v>40</v>
      </c>
      <c r="T5996" t="s">
        <v>331</v>
      </c>
      <c r="U5996">
        <v>613.70460000000003</v>
      </c>
      <c r="V5996" s="3">
        <v>41772</v>
      </c>
    </row>
    <row r="5997" spans="1:22" x14ac:dyDescent="0.35">
      <c r="A5997" s="1">
        <v>42290.757939814815</v>
      </c>
      <c r="B5997" s="2">
        <v>2.4074074074074076E-3</v>
      </c>
      <c r="C5997" t="s">
        <v>106</v>
      </c>
      <c r="D5997" t="s">
        <v>23</v>
      </c>
      <c r="E5997" t="s">
        <v>24</v>
      </c>
      <c r="F5997" t="s">
        <v>9377</v>
      </c>
      <c r="G5997">
        <v>1894288</v>
      </c>
      <c r="H5997" t="s">
        <v>91</v>
      </c>
      <c r="I5997" t="s">
        <v>247</v>
      </c>
      <c r="J5997" t="str">
        <f>"9781462520480"</f>
        <v>9781462520480</v>
      </c>
      <c r="K5997" t="s">
        <v>9378</v>
      </c>
      <c r="L5997">
        <v>13</v>
      </c>
      <c r="O5997" t="s">
        <v>30</v>
      </c>
      <c r="P5997" t="s">
        <v>50</v>
      </c>
      <c r="S5997" t="s">
        <v>31</v>
      </c>
      <c r="T5997" t="s">
        <v>957</v>
      </c>
      <c r="U5997">
        <v>618.9289</v>
      </c>
      <c r="V5997" s="3">
        <v>42005</v>
      </c>
    </row>
    <row r="5998" spans="1:22" x14ac:dyDescent="0.35">
      <c r="A5998" s="1">
        <v>42290.755682870367</v>
      </c>
      <c r="B5998" s="2">
        <v>1.8912037037037036E-2</v>
      </c>
      <c r="C5998" t="s">
        <v>7960</v>
      </c>
      <c r="D5998" t="s">
        <v>35</v>
      </c>
      <c r="E5998" t="s">
        <v>36</v>
      </c>
      <c r="F5998" t="s">
        <v>986</v>
      </c>
      <c r="G5998">
        <v>968030</v>
      </c>
      <c r="H5998" t="s">
        <v>26</v>
      </c>
      <c r="I5998" t="s">
        <v>219</v>
      </c>
      <c r="J5998" t="str">
        <f>"9781118285138"</f>
        <v>9781118285138</v>
      </c>
      <c r="K5998" t="s">
        <v>9379</v>
      </c>
      <c r="L5998">
        <v>11</v>
      </c>
      <c r="O5998" t="s">
        <v>30</v>
      </c>
      <c r="P5998" t="s">
        <v>42</v>
      </c>
      <c r="S5998" t="s">
        <v>40</v>
      </c>
      <c r="T5998" t="s">
        <v>987</v>
      </c>
      <c r="U5998">
        <v>158.30000000000001</v>
      </c>
      <c r="V5998" s="3">
        <v>41100</v>
      </c>
    </row>
    <row r="5999" spans="1:22" x14ac:dyDescent="0.35">
      <c r="A5999" s="1">
        <v>42290.748657407406</v>
      </c>
      <c r="B5999" s="2">
        <v>1.1574074074074073E-4</v>
      </c>
      <c r="C5999" t="s">
        <v>9380</v>
      </c>
      <c r="D5999" t="s">
        <v>158</v>
      </c>
      <c r="E5999" t="s">
        <v>159</v>
      </c>
      <c r="F5999" t="s">
        <v>1584</v>
      </c>
      <c r="G5999">
        <v>817836</v>
      </c>
      <c r="H5999" t="s">
        <v>26</v>
      </c>
      <c r="I5999" t="s">
        <v>276</v>
      </c>
      <c r="J5999" t="str">
        <f>"9781118203835"</f>
        <v>9781118203835</v>
      </c>
      <c r="K5999" t="s">
        <v>6399</v>
      </c>
      <c r="L5999">
        <v>8</v>
      </c>
      <c r="O5999" t="s">
        <v>30</v>
      </c>
      <c r="P5999" t="s">
        <v>42</v>
      </c>
      <c r="S5999" t="s">
        <v>163</v>
      </c>
      <c r="T5999" t="s">
        <v>1585</v>
      </c>
      <c r="U5999">
        <v>4.6500000000000004</v>
      </c>
      <c r="V5999" s="3">
        <v>40834</v>
      </c>
    </row>
    <row r="6000" spans="1:22" x14ac:dyDescent="0.35">
      <c r="A6000" s="1">
        <v>42290.741747685184</v>
      </c>
      <c r="B6000" s="2">
        <v>0</v>
      </c>
      <c r="C6000" t="s">
        <v>106</v>
      </c>
      <c r="D6000" t="s">
        <v>23</v>
      </c>
      <c r="E6000" t="s">
        <v>24</v>
      </c>
      <c r="F6000" t="s">
        <v>3186</v>
      </c>
      <c r="G6000">
        <v>699744</v>
      </c>
      <c r="H6000" t="s">
        <v>26</v>
      </c>
      <c r="I6000" t="s">
        <v>3187</v>
      </c>
      <c r="J6000" t="str">
        <f>"9781118585818"</f>
        <v>9781118585818</v>
      </c>
      <c r="L6000">
        <v>0</v>
      </c>
      <c r="O6000" t="s">
        <v>28</v>
      </c>
      <c r="P6000" t="s">
        <v>29</v>
      </c>
      <c r="Q6000" s="1">
        <v>42290.74150462963</v>
      </c>
      <c r="R6000">
        <v>7</v>
      </c>
      <c r="S6000" t="s">
        <v>31</v>
      </c>
      <c r="T6000" t="s">
        <v>3188</v>
      </c>
      <c r="U6000">
        <v>621.36</v>
      </c>
      <c r="V6000" s="3">
        <v>41310</v>
      </c>
    </row>
    <row r="6001" spans="1:22" x14ac:dyDescent="0.35">
      <c r="A6001" s="1">
        <v>42290.74150462963</v>
      </c>
      <c r="B6001" s="2">
        <v>0</v>
      </c>
      <c r="C6001" t="s">
        <v>106</v>
      </c>
      <c r="D6001" t="s">
        <v>23</v>
      </c>
      <c r="E6001" t="s">
        <v>24</v>
      </c>
      <c r="F6001" t="s">
        <v>3186</v>
      </c>
      <c r="G6001">
        <v>699744</v>
      </c>
      <c r="H6001" t="s">
        <v>26</v>
      </c>
      <c r="I6001" t="s">
        <v>3187</v>
      </c>
      <c r="J6001" t="str">
        <f>"9781118585818"</f>
        <v>9781118585818</v>
      </c>
      <c r="L6001">
        <v>0</v>
      </c>
      <c r="O6001" t="s">
        <v>28</v>
      </c>
      <c r="P6001" t="s">
        <v>29</v>
      </c>
      <c r="Q6001" s="1">
        <v>42290.74150462963</v>
      </c>
      <c r="R6001">
        <v>7</v>
      </c>
      <c r="S6001" t="s">
        <v>31</v>
      </c>
      <c r="T6001" t="s">
        <v>3188</v>
      </c>
      <c r="U6001">
        <v>621.36</v>
      </c>
      <c r="V6001" s="3">
        <v>41310</v>
      </c>
    </row>
    <row r="6002" spans="1:22" x14ac:dyDescent="0.35">
      <c r="A6002" s="1">
        <v>42290.74150462963</v>
      </c>
      <c r="B6002" s="2">
        <v>0</v>
      </c>
      <c r="C6002" t="s">
        <v>106</v>
      </c>
      <c r="D6002" t="s">
        <v>23</v>
      </c>
      <c r="E6002" t="s">
        <v>24</v>
      </c>
      <c r="F6002" t="s">
        <v>3186</v>
      </c>
      <c r="G6002">
        <v>699744</v>
      </c>
      <c r="H6002" t="s">
        <v>26</v>
      </c>
      <c r="I6002" t="s">
        <v>3187</v>
      </c>
      <c r="J6002" t="str">
        <f>"9781118585818"</f>
        <v>9781118585818</v>
      </c>
      <c r="L6002">
        <v>0</v>
      </c>
      <c r="O6002" t="s">
        <v>30</v>
      </c>
      <c r="P6002" t="s">
        <v>29</v>
      </c>
      <c r="Q6002" s="1">
        <v>42290.74150462963</v>
      </c>
      <c r="R6002">
        <v>7</v>
      </c>
      <c r="S6002" t="s">
        <v>31</v>
      </c>
      <c r="T6002" t="s">
        <v>3188</v>
      </c>
      <c r="U6002">
        <v>621.36</v>
      </c>
      <c r="V6002" s="3">
        <v>41310</v>
      </c>
    </row>
    <row r="6003" spans="1:22" x14ac:dyDescent="0.35">
      <c r="A6003" s="1">
        <v>42290.740925925929</v>
      </c>
      <c r="B6003" s="2">
        <v>5.7870370370370378E-4</v>
      </c>
      <c r="C6003" t="s">
        <v>106</v>
      </c>
      <c r="D6003" t="s">
        <v>23</v>
      </c>
      <c r="E6003" t="s">
        <v>24</v>
      </c>
      <c r="F6003" t="s">
        <v>3186</v>
      </c>
      <c r="G6003">
        <v>699744</v>
      </c>
      <c r="H6003" t="s">
        <v>26</v>
      </c>
      <c r="I6003" t="s">
        <v>3187</v>
      </c>
      <c r="J6003" t="str">
        <f>"9781118585818"</f>
        <v>9781118585818</v>
      </c>
      <c r="K6003" t="s">
        <v>202</v>
      </c>
      <c r="L6003">
        <v>3</v>
      </c>
      <c r="O6003" t="s">
        <v>30</v>
      </c>
      <c r="P6003" t="s">
        <v>42</v>
      </c>
      <c r="S6003" t="s">
        <v>31</v>
      </c>
      <c r="T6003" t="s">
        <v>3188</v>
      </c>
      <c r="U6003">
        <v>621.36</v>
      </c>
      <c r="V6003" s="3">
        <v>41310</v>
      </c>
    </row>
    <row r="6004" spans="1:22" x14ac:dyDescent="0.35">
      <c r="A6004" s="1">
        <v>42290.729305555556</v>
      </c>
      <c r="B6004" s="2">
        <v>1.0995370370370371E-3</v>
      </c>
      <c r="C6004" t="s">
        <v>4311</v>
      </c>
      <c r="D6004" t="s">
        <v>23</v>
      </c>
      <c r="E6004" t="s">
        <v>24</v>
      </c>
      <c r="F6004" t="s">
        <v>745</v>
      </c>
      <c r="G6004">
        <v>1166322</v>
      </c>
      <c r="H6004" t="s">
        <v>26</v>
      </c>
      <c r="I6004" t="s">
        <v>200</v>
      </c>
      <c r="J6004" t="str">
        <f t="shared" ref="J6004:J6009" si="29">"9781118418512"</f>
        <v>9781118418512</v>
      </c>
      <c r="K6004" t="s">
        <v>9381</v>
      </c>
      <c r="L6004">
        <v>6</v>
      </c>
      <c r="O6004" t="s">
        <v>28</v>
      </c>
      <c r="P6004" t="s">
        <v>29</v>
      </c>
      <c r="Q6004" s="1">
        <v>42290.726053240738</v>
      </c>
      <c r="R6004">
        <v>7</v>
      </c>
      <c r="S6004" t="s">
        <v>31</v>
      </c>
      <c r="T6004" t="s">
        <v>747</v>
      </c>
      <c r="U6004">
        <v>720.072</v>
      </c>
      <c r="V6004" s="3">
        <v>41367</v>
      </c>
    </row>
    <row r="6005" spans="1:22" x14ac:dyDescent="0.35">
      <c r="A6005" s="1">
        <v>42290.72855324074</v>
      </c>
      <c r="B6005" s="2">
        <v>4.6296296296296294E-5</v>
      </c>
      <c r="C6005" t="s">
        <v>4311</v>
      </c>
      <c r="D6005" t="s">
        <v>23</v>
      </c>
      <c r="E6005" t="s">
        <v>24</v>
      </c>
      <c r="F6005" t="s">
        <v>745</v>
      </c>
      <c r="G6005">
        <v>1166322</v>
      </c>
      <c r="H6005" t="s">
        <v>26</v>
      </c>
      <c r="I6005" t="s">
        <v>200</v>
      </c>
      <c r="J6005" t="str">
        <f t="shared" si="29"/>
        <v>9781118418512</v>
      </c>
      <c r="K6005" t="s">
        <v>33</v>
      </c>
      <c r="L6005">
        <v>3</v>
      </c>
      <c r="O6005" t="s">
        <v>30</v>
      </c>
      <c r="P6005" t="s">
        <v>29</v>
      </c>
      <c r="Q6005" s="1">
        <v>42290.726053240738</v>
      </c>
      <c r="R6005">
        <v>7</v>
      </c>
      <c r="S6005" t="s">
        <v>31</v>
      </c>
      <c r="T6005" t="s">
        <v>747</v>
      </c>
      <c r="U6005">
        <v>720.072</v>
      </c>
      <c r="V6005" s="3">
        <v>41367</v>
      </c>
    </row>
    <row r="6006" spans="1:22" x14ac:dyDescent="0.35">
      <c r="A6006" s="1">
        <v>42290.728425925925</v>
      </c>
      <c r="B6006" s="2">
        <v>0</v>
      </c>
      <c r="C6006" t="s">
        <v>4311</v>
      </c>
      <c r="D6006" t="s">
        <v>23</v>
      </c>
      <c r="E6006" t="s">
        <v>24</v>
      </c>
      <c r="F6006" t="s">
        <v>745</v>
      </c>
      <c r="G6006">
        <v>1166322</v>
      </c>
      <c r="H6006" t="s">
        <v>26</v>
      </c>
      <c r="I6006" t="s">
        <v>200</v>
      </c>
      <c r="J6006" t="str">
        <f t="shared" si="29"/>
        <v>9781118418512</v>
      </c>
      <c r="L6006">
        <v>0</v>
      </c>
      <c r="O6006" t="s">
        <v>28</v>
      </c>
      <c r="P6006" t="s">
        <v>29</v>
      </c>
      <c r="Q6006" s="1">
        <v>42290.726053240738</v>
      </c>
      <c r="R6006">
        <v>7</v>
      </c>
      <c r="S6006" t="s">
        <v>31</v>
      </c>
      <c r="T6006" t="s">
        <v>747</v>
      </c>
      <c r="U6006">
        <v>720.072</v>
      </c>
      <c r="V6006" s="3">
        <v>41367</v>
      </c>
    </row>
    <row r="6007" spans="1:22" x14ac:dyDescent="0.35">
      <c r="A6007" s="1">
        <v>42290.726053240738</v>
      </c>
      <c r="B6007" s="2">
        <v>0</v>
      </c>
      <c r="C6007" t="s">
        <v>4311</v>
      </c>
      <c r="D6007" t="s">
        <v>23</v>
      </c>
      <c r="E6007" t="s">
        <v>24</v>
      </c>
      <c r="F6007" t="s">
        <v>745</v>
      </c>
      <c r="G6007">
        <v>1166322</v>
      </c>
      <c r="H6007" t="s">
        <v>26</v>
      </c>
      <c r="I6007" t="s">
        <v>200</v>
      </c>
      <c r="J6007" t="str">
        <f t="shared" si="29"/>
        <v>9781118418512</v>
      </c>
      <c r="L6007">
        <v>0</v>
      </c>
      <c r="O6007" t="s">
        <v>28</v>
      </c>
      <c r="P6007" t="s">
        <v>29</v>
      </c>
      <c r="Q6007" s="1">
        <v>42290.726053240738</v>
      </c>
      <c r="R6007">
        <v>7</v>
      </c>
      <c r="S6007" t="s">
        <v>31</v>
      </c>
      <c r="T6007" t="s">
        <v>747</v>
      </c>
      <c r="U6007">
        <v>720.072</v>
      </c>
      <c r="V6007" s="3">
        <v>41367</v>
      </c>
    </row>
    <row r="6008" spans="1:22" x14ac:dyDescent="0.35">
      <c r="A6008" s="1">
        <v>42290.726053240738</v>
      </c>
      <c r="B6008" s="2">
        <v>0</v>
      </c>
      <c r="C6008" t="s">
        <v>4311</v>
      </c>
      <c r="D6008" t="s">
        <v>23</v>
      </c>
      <c r="E6008" t="s">
        <v>24</v>
      </c>
      <c r="F6008" t="s">
        <v>745</v>
      </c>
      <c r="G6008">
        <v>1166322</v>
      </c>
      <c r="H6008" t="s">
        <v>26</v>
      </c>
      <c r="I6008" t="s">
        <v>200</v>
      </c>
      <c r="J6008" t="str">
        <f t="shared" si="29"/>
        <v>9781118418512</v>
      </c>
      <c r="L6008">
        <v>0</v>
      </c>
      <c r="O6008" t="s">
        <v>30</v>
      </c>
      <c r="P6008" t="s">
        <v>29</v>
      </c>
      <c r="Q6008" s="1">
        <v>42290.726053240738</v>
      </c>
      <c r="R6008">
        <v>7</v>
      </c>
      <c r="S6008" t="s">
        <v>31</v>
      </c>
      <c r="T6008" t="s">
        <v>747</v>
      </c>
      <c r="U6008">
        <v>720.072</v>
      </c>
      <c r="V6008" s="3">
        <v>41367</v>
      </c>
    </row>
    <row r="6009" spans="1:22" x14ac:dyDescent="0.35">
      <c r="A6009" s="1">
        <v>42290.724259259259</v>
      </c>
      <c r="B6009" s="2">
        <v>1.7939814814814815E-3</v>
      </c>
      <c r="C6009" t="s">
        <v>4311</v>
      </c>
      <c r="D6009" t="s">
        <v>23</v>
      </c>
      <c r="E6009" t="s">
        <v>24</v>
      </c>
      <c r="F6009" t="s">
        <v>745</v>
      </c>
      <c r="G6009">
        <v>1166322</v>
      </c>
      <c r="H6009" t="s">
        <v>26</v>
      </c>
      <c r="I6009" t="s">
        <v>200</v>
      </c>
      <c r="J6009" t="str">
        <f t="shared" si="29"/>
        <v>9781118418512</v>
      </c>
      <c r="K6009" t="s">
        <v>9382</v>
      </c>
      <c r="L6009">
        <v>11</v>
      </c>
      <c r="O6009" t="s">
        <v>30</v>
      </c>
      <c r="P6009" t="s">
        <v>42</v>
      </c>
      <c r="S6009" t="s">
        <v>31</v>
      </c>
      <c r="T6009" t="s">
        <v>747</v>
      </c>
      <c r="U6009">
        <v>720.072</v>
      </c>
      <c r="V6009" s="3">
        <v>41367</v>
      </c>
    </row>
    <row r="6010" spans="1:22" x14ac:dyDescent="0.35">
      <c r="A6010" s="1">
        <v>42290.704884259256</v>
      </c>
      <c r="B6010" s="2">
        <v>0</v>
      </c>
      <c r="C6010" t="s">
        <v>9265</v>
      </c>
      <c r="D6010" t="s">
        <v>211</v>
      </c>
      <c r="E6010" t="s">
        <v>212</v>
      </c>
      <c r="F6010" t="s">
        <v>4494</v>
      </c>
      <c r="G6010">
        <v>565082</v>
      </c>
      <c r="H6010" t="s">
        <v>26</v>
      </c>
      <c r="I6010" t="s">
        <v>69</v>
      </c>
      <c r="J6010" t="str">
        <f>"9781118041567"</f>
        <v>9781118041567</v>
      </c>
      <c r="L6010">
        <v>0</v>
      </c>
      <c r="N6010" t="s">
        <v>9383</v>
      </c>
      <c r="O6010" t="s">
        <v>30</v>
      </c>
      <c r="P6010" t="s">
        <v>29</v>
      </c>
      <c r="Q6010" s="1">
        <v>42290.704884259256</v>
      </c>
      <c r="R6010">
        <v>7</v>
      </c>
      <c r="S6010" t="s">
        <v>214</v>
      </c>
      <c r="T6010" t="s">
        <v>4496</v>
      </c>
      <c r="U6010" t="s">
        <v>4497</v>
      </c>
      <c r="V6010" s="3">
        <v>40337</v>
      </c>
    </row>
    <row r="6011" spans="1:22" x14ac:dyDescent="0.35">
      <c r="A6011" s="1">
        <v>42290.703101851854</v>
      </c>
      <c r="B6011" s="2">
        <v>1.7708333333333332E-3</v>
      </c>
      <c r="C6011" t="s">
        <v>1050</v>
      </c>
      <c r="D6011" t="s">
        <v>23</v>
      </c>
      <c r="E6011" t="s">
        <v>24</v>
      </c>
      <c r="F6011" t="s">
        <v>1051</v>
      </c>
      <c r="G6011">
        <v>821663</v>
      </c>
      <c r="H6011" t="s">
        <v>26</v>
      </c>
      <c r="I6011" t="s">
        <v>200</v>
      </c>
      <c r="J6011" t="str">
        <f>"9781118168479"</f>
        <v>9781118168479</v>
      </c>
      <c r="K6011" t="s">
        <v>9384</v>
      </c>
      <c r="L6011">
        <v>10</v>
      </c>
      <c r="O6011" t="s">
        <v>30</v>
      </c>
      <c r="P6011" t="s">
        <v>42</v>
      </c>
      <c r="S6011" t="s">
        <v>31</v>
      </c>
      <c r="T6011" t="s">
        <v>1053</v>
      </c>
      <c r="U6011">
        <v>729</v>
      </c>
      <c r="V6011" s="3">
        <v>40973</v>
      </c>
    </row>
    <row r="6012" spans="1:22" x14ac:dyDescent="0.35">
      <c r="A6012" s="1">
        <v>42290.699745370373</v>
      </c>
      <c r="B6012" s="2">
        <v>3.3680555555555551E-3</v>
      </c>
      <c r="C6012" t="s">
        <v>9166</v>
      </c>
      <c r="D6012" t="s">
        <v>211</v>
      </c>
      <c r="E6012" t="s">
        <v>212</v>
      </c>
      <c r="F6012" t="s">
        <v>4494</v>
      </c>
      <c r="G6012">
        <v>565082</v>
      </c>
      <c r="H6012" t="s">
        <v>26</v>
      </c>
      <c r="I6012" t="s">
        <v>69</v>
      </c>
      <c r="J6012" t="str">
        <f>"9781118041567"</f>
        <v>9781118041567</v>
      </c>
      <c r="K6012" t="s">
        <v>9385</v>
      </c>
      <c r="L6012">
        <v>24</v>
      </c>
      <c r="N6012" t="s">
        <v>9386</v>
      </c>
      <c r="O6012" t="s">
        <v>30</v>
      </c>
      <c r="P6012" t="s">
        <v>29</v>
      </c>
      <c r="Q6012" s="1">
        <v>42290.699745370373</v>
      </c>
      <c r="R6012">
        <v>7</v>
      </c>
      <c r="S6012" t="s">
        <v>214</v>
      </c>
      <c r="T6012" t="s">
        <v>4496</v>
      </c>
      <c r="U6012" t="s">
        <v>4497</v>
      </c>
      <c r="V6012" s="3">
        <v>40337</v>
      </c>
    </row>
    <row r="6013" spans="1:22" x14ac:dyDescent="0.35">
      <c r="A6013" s="1">
        <v>42290.699074074073</v>
      </c>
      <c r="B6013" s="2">
        <v>6.7129629629629625E-4</v>
      </c>
      <c r="C6013" t="s">
        <v>9166</v>
      </c>
      <c r="D6013" t="s">
        <v>211</v>
      </c>
      <c r="E6013" t="s">
        <v>212</v>
      </c>
      <c r="F6013" t="s">
        <v>4494</v>
      </c>
      <c r="G6013">
        <v>565082</v>
      </c>
      <c r="H6013" t="s">
        <v>26</v>
      </c>
      <c r="I6013" t="s">
        <v>69</v>
      </c>
      <c r="J6013" t="str">
        <f>"9781118041567"</f>
        <v>9781118041567</v>
      </c>
      <c r="K6013" t="s">
        <v>9387</v>
      </c>
      <c r="L6013">
        <v>19</v>
      </c>
      <c r="O6013" t="s">
        <v>30</v>
      </c>
      <c r="P6013" t="s">
        <v>42</v>
      </c>
      <c r="S6013" t="s">
        <v>214</v>
      </c>
      <c r="T6013" t="s">
        <v>4496</v>
      </c>
      <c r="U6013" t="s">
        <v>4497</v>
      </c>
      <c r="V6013" s="3">
        <v>40337</v>
      </c>
    </row>
    <row r="6014" spans="1:22" x14ac:dyDescent="0.35">
      <c r="A6014" s="1">
        <v>42290.698437500003</v>
      </c>
      <c r="B6014" s="2">
        <v>4.6296296296296294E-5</v>
      </c>
      <c r="C6014" t="s">
        <v>9388</v>
      </c>
      <c r="D6014" t="s">
        <v>146</v>
      </c>
      <c r="E6014" t="s">
        <v>147</v>
      </c>
      <c r="F6014" t="s">
        <v>9223</v>
      </c>
      <c r="G6014">
        <v>832577</v>
      </c>
      <c r="H6014" t="s">
        <v>26</v>
      </c>
      <c r="I6014" t="s">
        <v>3802</v>
      </c>
      <c r="J6014" t="str">
        <f>"9781118226360"</f>
        <v>9781118226360</v>
      </c>
      <c r="K6014" t="s">
        <v>9389</v>
      </c>
      <c r="L6014">
        <v>4</v>
      </c>
      <c r="O6014" t="s">
        <v>30</v>
      </c>
      <c r="P6014" t="s">
        <v>29</v>
      </c>
      <c r="Q6014" s="1">
        <v>42290.698437500003</v>
      </c>
      <c r="R6014">
        <v>7</v>
      </c>
      <c r="S6014" t="s">
        <v>9390</v>
      </c>
      <c r="T6014" t="s">
        <v>9224</v>
      </c>
      <c r="U6014" t="s">
        <v>9225</v>
      </c>
      <c r="V6014" s="3">
        <v>41051</v>
      </c>
    </row>
    <row r="6015" spans="1:22" x14ac:dyDescent="0.35">
      <c r="A6015" s="1">
        <v>42290.69740740741</v>
      </c>
      <c r="B6015" s="2">
        <v>7.4768518518518526E-3</v>
      </c>
      <c r="C6015" t="s">
        <v>9265</v>
      </c>
      <c r="D6015" t="s">
        <v>211</v>
      </c>
      <c r="E6015" t="s">
        <v>212</v>
      </c>
      <c r="F6015" t="s">
        <v>4494</v>
      </c>
      <c r="G6015">
        <v>565082</v>
      </c>
      <c r="H6015" t="s">
        <v>26</v>
      </c>
      <c r="I6015" t="s">
        <v>69</v>
      </c>
      <c r="J6015" t="str">
        <f>"9781118041567"</f>
        <v>9781118041567</v>
      </c>
      <c r="K6015" t="s">
        <v>9391</v>
      </c>
      <c r="L6015">
        <v>13</v>
      </c>
      <c r="O6015" t="s">
        <v>30</v>
      </c>
      <c r="P6015" t="s">
        <v>42</v>
      </c>
      <c r="S6015" t="s">
        <v>214</v>
      </c>
      <c r="T6015" t="s">
        <v>4496</v>
      </c>
      <c r="U6015" t="s">
        <v>4497</v>
      </c>
      <c r="V6015" s="3">
        <v>40337</v>
      </c>
    </row>
    <row r="6016" spans="1:22" x14ac:dyDescent="0.35">
      <c r="A6016" s="1">
        <v>42290.69021990741</v>
      </c>
      <c r="B6016" s="2">
        <v>8.217592592592594E-3</v>
      </c>
      <c r="C6016" t="s">
        <v>9388</v>
      </c>
      <c r="D6016" t="s">
        <v>146</v>
      </c>
      <c r="E6016" t="s">
        <v>147</v>
      </c>
      <c r="F6016" t="s">
        <v>9223</v>
      </c>
      <c r="G6016">
        <v>832577</v>
      </c>
      <c r="H6016" t="s">
        <v>26</v>
      </c>
      <c r="I6016" t="s">
        <v>3802</v>
      </c>
      <c r="J6016" t="str">
        <f>"9781118226360"</f>
        <v>9781118226360</v>
      </c>
      <c r="K6016" t="s">
        <v>9392</v>
      </c>
      <c r="L6016">
        <v>9</v>
      </c>
      <c r="O6016" t="s">
        <v>30</v>
      </c>
      <c r="P6016" t="s">
        <v>42</v>
      </c>
      <c r="S6016" t="s">
        <v>9390</v>
      </c>
      <c r="T6016" t="s">
        <v>9224</v>
      </c>
      <c r="U6016" t="s">
        <v>9225</v>
      </c>
      <c r="V6016" s="3">
        <v>41051</v>
      </c>
    </row>
    <row r="6017" spans="1:22" x14ac:dyDescent="0.35">
      <c r="A6017" s="1">
        <v>42290.685590277775</v>
      </c>
      <c r="B6017" s="2">
        <v>9.2592592592592588E-5</v>
      </c>
      <c r="C6017" t="s">
        <v>1050</v>
      </c>
      <c r="D6017" t="s">
        <v>23</v>
      </c>
      <c r="E6017" t="s">
        <v>24</v>
      </c>
      <c r="F6017" t="s">
        <v>1051</v>
      </c>
      <c r="G6017">
        <v>821663</v>
      </c>
      <c r="H6017" t="s">
        <v>26</v>
      </c>
      <c r="I6017" t="s">
        <v>200</v>
      </c>
      <c r="J6017" t="str">
        <f>"9781118168479"</f>
        <v>9781118168479</v>
      </c>
      <c r="K6017" t="s">
        <v>33</v>
      </c>
      <c r="L6017">
        <v>3</v>
      </c>
      <c r="O6017" t="s">
        <v>30</v>
      </c>
      <c r="P6017" t="s">
        <v>42</v>
      </c>
      <c r="S6017" t="s">
        <v>31</v>
      </c>
      <c r="T6017" t="s">
        <v>1053</v>
      </c>
      <c r="U6017">
        <v>729</v>
      </c>
      <c r="V6017" s="3">
        <v>40973</v>
      </c>
    </row>
    <row r="6018" spans="1:22" x14ac:dyDescent="0.35">
      <c r="A6018" s="1">
        <v>42290.683715277781</v>
      </c>
      <c r="B6018" s="2">
        <v>1.6967592592592593E-2</v>
      </c>
      <c r="C6018" t="s">
        <v>4728</v>
      </c>
      <c r="D6018" t="s">
        <v>623</v>
      </c>
      <c r="E6018" t="s">
        <v>624</v>
      </c>
      <c r="F6018" t="s">
        <v>4494</v>
      </c>
      <c r="G6018">
        <v>565082</v>
      </c>
      <c r="H6018" t="s">
        <v>26</v>
      </c>
      <c r="I6018" t="s">
        <v>69</v>
      </c>
      <c r="J6018" t="str">
        <f>"9781118041567"</f>
        <v>9781118041567</v>
      </c>
      <c r="K6018" t="s">
        <v>9393</v>
      </c>
      <c r="L6018">
        <v>24</v>
      </c>
      <c r="O6018" t="s">
        <v>30</v>
      </c>
      <c r="P6018" t="s">
        <v>29</v>
      </c>
      <c r="Q6018" s="1">
        <v>42289.913587962961</v>
      </c>
      <c r="R6018">
        <v>7</v>
      </c>
      <c r="S6018" t="s">
        <v>627</v>
      </c>
      <c r="T6018" t="s">
        <v>4496</v>
      </c>
      <c r="U6018" t="s">
        <v>4497</v>
      </c>
      <c r="V6018" s="3">
        <v>40337</v>
      </c>
    </row>
    <row r="6019" spans="1:22" x14ac:dyDescent="0.35">
      <c r="A6019" s="1">
        <v>42290.670902777776</v>
      </c>
      <c r="B6019" s="2">
        <v>3.4722222222222222E-5</v>
      </c>
      <c r="C6019" t="s">
        <v>210</v>
      </c>
      <c r="D6019" t="s">
        <v>211</v>
      </c>
      <c r="E6019" t="s">
        <v>212</v>
      </c>
      <c r="F6019" t="s">
        <v>3961</v>
      </c>
      <c r="G6019">
        <v>1610008</v>
      </c>
      <c r="H6019" t="s">
        <v>45</v>
      </c>
      <c r="I6019" t="s">
        <v>3962</v>
      </c>
      <c r="J6019" t="str">
        <f>"9781409457206"</f>
        <v>9781409457206</v>
      </c>
      <c r="K6019" t="s">
        <v>9394</v>
      </c>
      <c r="L6019">
        <v>4</v>
      </c>
      <c r="O6019" t="s">
        <v>30</v>
      </c>
      <c r="P6019" t="s">
        <v>29</v>
      </c>
      <c r="Q6019" s="1">
        <v>42290.670902777776</v>
      </c>
      <c r="R6019">
        <v>7</v>
      </c>
      <c r="S6019" t="s">
        <v>214</v>
      </c>
      <c r="T6019" t="s">
        <v>3964</v>
      </c>
      <c r="U6019">
        <v>364.66</v>
      </c>
      <c r="V6019" s="3">
        <v>41726</v>
      </c>
    </row>
    <row r="6020" spans="1:22" x14ac:dyDescent="0.35">
      <c r="A6020" s="1">
        <v>42290.666631944441</v>
      </c>
      <c r="B6020" s="2">
        <v>4.5486111111111109E-3</v>
      </c>
      <c r="C6020" t="s">
        <v>8241</v>
      </c>
      <c r="D6020" t="s">
        <v>35</v>
      </c>
      <c r="E6020" t="s">
        <v>36</v>
      </c>
      <c r="F6020" t="s">
        <v>4770</v>
      </c>
      <c r="G6020">
        <v>2038643</v>
      </c>
      <c r="H6020" t="s">
        <v>45</v>
      </c>
      <c r="I6020" t="s">
        <v>120</v>
      </c>
      <c r="J6020" t="str">
        <f>"9781472427625"</f>
        <v>9781472427625</v>
      </c>
      <c r="K6020" t="s">
        <v>9395</v>
      </c>
      <c r="L6020">
        <v>7</v>
      </c>
      <c r="O6020" t="s">
        <v>30</v>
      </c>
      <c r="P6020" t="s">
        <v>47</v>
      </c>
      <c r="Q6020" s="1">
        <v>42290.666631944441</v>
      </c>
      <c r="R6020">
        <v>1</v>
      </c>
      <c r="S6020" t="s">
        <v>40</v>
      </c>
      <c r="T6020">
        <v>2013049432</v>
      </c>
      <c r="U6020">
        <v>306.46100000000001</v>
      </c>
      <c r="V6020" s="3">
        <v>42152</v>
      </c>
    </row>
    <row r="6021" spans="1:22" x14ac:dyDescent="0.35">
      <c r="A6021" s="1">
        <v>42290.661793981482</v>
      </c>
      <c r="B6021" s="2">
        <v>4.8379629629629632E-3</v>
      </c>
      <c r="C6021" t="s">
        <v>8241</v>
      </c>
      <c r="D6021" t="s">
        <v>35</v>
      </c>
      <c r="E6021" t="s">
        <v>36</v>
      </c>
      <c r="F6021" t="s">
        <v>4770</v>
      </c>
      <c r="G6021">
        <v>2038643</v>
      </c>
      <c r="H6021" t="s">
        <v>45</v>
      </c>
      <c r="I6021" t="s">
        <v>120</v>
      </c>
      <c r="J6021" t="str">
        <f>"9781472427625"</f>
        <v>9781472427625</v>
      </c>
      <c r="K6021" t="s">
        <v>9396</v>
      </c>
      <c r="L6021">
        <v>15</v>
      </c>
      <c r="O6021" t="s">
        <v>30</v>
      </c>
      <c r="P6021" t="s">
        <v>50</v>
      </c>
      <c r="S6021" t="s">
        <v>40</v>
      </c>
      <c r="T6021">
        <v>2013049432</v>
      </c>
      <c r="U6021">
        <v>306.46100000000001</v>
      </c>
      <c r="V6021" s="3">
        <v>42152</v>
      </c>
    </row>
    <row r="6022" spans="1:22" x14ac:dyDescent="0.35">
      <c r="A6022" s="1">
        <v>42290.650046296294</v>
      </c>
      <c r="B6022" s="2">
        <v>2.199074074074074E-4</v>
      </c>
      <c r="C6022" t="s">
        <v>210</v>
      </c>
      <c r="D6022" t="s">
        <v>211</v>
      </c>
      <c r="E6022" t="s">
        <v>212</v>
      </c>
      <c r="F6022" t="s">
        <v>3961</v>
      </c>
      <c r="G6022">
        <v>1610008</v>
      </c>
      <c r="H6022" t="s">
        <v>45</v>
      </c>
      <c r="I6022" t="s">
        <v>3962</v>
      </c>
      <c r="J6022" t="str">
        <f>"9781409457206"</f>
        <v>9781409457206</v>
      </c>
      <c r="K6022" t="s">
        <v>9397</v>
      </c>
      <c r="L6022">
        <v>8</v>
      </c>
      <c r="O6022" t="s">
        <v>30</v>
      </c>
      <c r="P6022" t="s">
        <v>42</v>
      </c>
      <c r="S6022" t="s">
        <v>214</v>
      </c>
      <c r="T6022" t="s">
        <v>3964</v>
      </c>
      <c r="U6022">
        <v>364.66</v>
      </c>
      <c r="V6022" s="3">
        <v>41726</v>
      </c>
    </row>
    <row r="6023" spans="1:22" x14ac:dyDescent="0.35">
      <c r="A6023" s="1">
        <v>42290.648506944446</v>
      </c>
      <c r="B6023" s="2">
        <v>6.4814814814814813E-4</v>
      </c>
      <c r="C6023" t="s">
        <v>210</v>
      </c>
      <c r="D6023" t="s">
        <v>211</v>
      </c>
      <c r="E6023" t="s">
        <v>212</v>
      </c>
      <c r="F6023" t="s">
        <v>9398</v>
      </c>
      <c r="G6023">
        <v>3038507</v>
      </c>
      <c r="H6023" t="s">
        <v>526</v>
      </c>
      <c r="I6023" t="s">
        <v>120</v>
      </c>
      <c r="J6023" t="str">
        <f>"9780226090689"</f>
        <v>9780226090689</v>
      </c>
      <c r="K6023" t="s">
        <v>9399</v>
      </c>
      <c r="L6023">
        <v>10</v>
      </c>
      <c r="O6023" t="s">
        <v>30</v>
      </c>
      <c r="P6023" t="s">
        <v>50</v>
      </c>
      <c r="S6023" t="s">
        <v>214</v>
      </c>
      <c r="T6023" t="s">
        <v>9400</v>
      </c>
      <c r="U6023">
        <v>364.6601</v>
      </c>
      <c r="V6023" s="3">
        <v>41609</v>
      </c>
    </row>
    <row r="6024" spans="1:22" x14ac:dyDescent="0.35">
      <c r="A6024" s="1">
        <v>42290.648310185185</v>
      </c>
      <c r="B6024" s="2">
        <v>1.8518518518518518E-4</v>
      </c>
      <c r="C6024" t="s">
        <v>210</v>
      </c>
      <c r="D6024" t="s">
        <v>211</v>
      </c>
      <c r="E6024" t="s">
        <v>212</v>
      </c>
      <c r="F6024" t="s">
        <v>9398</v>
      </c>
      <c r="G6024">
        <v>3038507</v>
      </c>
      <c r="H6024" t="s">
        <v>526</v>
      </c>
      <c r="I6024" t="s">
        <v>120</v>
      </c>
      <c r="J6024" t="str">
        <f>"9780226090689"</f>
        <v>9780226090689</v>
      </c>
      <c r="K6024" t="s">
        <v>9401</v>
      </c>
      <c r="L6024">
        <v>8</v>
      </c>
      <c r="O6024" t="s">
        <v>30</v>
      </c>
      <c r="P6024" t="s">
        <v>50</v>
      </c>
      <c r="S6024" t="s">
        <v>214</v>
      </c>
      <c r="T6024" t="s">
        <v>9400</v>
      </c>
      <c r="U6024">
        <v>364.6601</v>
      </c>
      <c r="V6024" s="3">
        <v>41609</v>
      </c>
    </row>
    <row r="6025" spans="1:22" x14ac:dyDescent="0.35">
      <c r="A6025" s="1">
        <v>42290.647824074076</v>
      </c>
      <c r="B6025" s="2">
        <v>5.6712962962962956E-4</v>
      </c>
      <c r="C6025" t="s">
        <v>210</v>
      </c>
      <c r="D6025" t="s">
        <v>211</v>
      </c>
      <c r="E6025" t="s">
        <v>212</v>
      </c>
      <c r="F6025" t="s">
        <v>9398</v>
      </c>
      <c r="G6025">
        <v>3038507</v>
      </c>
      <c r="H6025" t="s">
        <v>526</v>
      </c>
      <c r="I6025" t="s">
        <v>120</v>
      </c>
      <c r="J6025" t="str">
        <f>"9780226090689"</f>
        <v>9780226090689</v>
      </c>
      <c r="K6025" t="s">
        <v>9402</v>
      </c>
      <c r="L6025">
        <v>22</v>
      </c>
      <c r="O6025" t="s">
        <v>30</v>
      </c>
      <c r="P6025" t="s">
        <v>50</v>
      </c>
      <c r="S6025" t="s">
        <v>214</v>
      </c>
      <c r="T6025" t="s">
        <v>9400</v>
      </c>
      <c r="U6025">
        <v>364.6601</v>
      </c>
      <c r="V6025" s="3">
        <v>41609</v>
      </c>
    </row>
    <row r="6026" spans="1:22" x14ac:dyDescent="0.35">
      <c r="A6026" s="1">
        <v>42290.647696759261</v>
      </c>
      <c r="B6026" s="2">
        <v>2.3206018518518515E-2</v>
      </c>
      <c r="C6026" t="s">
        <v>210</v>
      </c>
      <c r="D6026" t="s">
        <v>211</v>
      </c>
      <c r="E6026" t="s">
        <v>212</v>
      </c>
      <c r="F6026" t="s">
        <v>3961</v>
      </c>
      <c r="G6026">
        <v>1610008</v>
      </c>
      <c r="H6026" t="s">
        <v>45</v>
      </c>
      <c r="I6026" t="s">
        <v>3962</v>
      </c>
      <c r="J6026" t="str">
        <f>"9781409457206"</f>
        <v>9781409457206</v>
      </c>
      <c r="K6026" t="s">
        <v>9403</v>
      </c>
      <c r="L6026">
        <v>15</v>
      </c>
      <c r="O6026" t="s">
        <v>30</v>
      </c>
      <c r="P6026" t="s">
        <v>42</v>
      </c>
      <c r="S6026" t="s">
        <v>214</v>
      </c>
      <c r="T6026" t="s">
        <v>3964</v>
      </c>
      <c r="U6026">
        <v>364.66</v>
      </c>
      <c r="V6026" s="3">
        <v>41726</v>
      </c>
    </row>
    <row r="6027" spans="1:22" x14ac:dyDescent="0.35">
      <c r="A6027" s="1">
        <v>42290.647557870368</v>
      </c>
      <c r="B6027" s="2">
        <v>3.3564814814814812E-4</v>
      </c>
      <c r="C6027" t="s">
        <v>210</v>
      </c>
      <c r="D6027" t="s">
        <v>211</v>
      </c>
      <c r="E6027" t="s">
        <v>212</v>
      </c>
      <c r="F6027" t="s">
        <v>9398</v>
      </c>
      <c r="G6027">
        <v>3038507</v>
      </c>
      <c r="H6027" t="s">
        <v>526</v>
      </c>
      <c r="I6027" t="s">
        <v>120</v>
      </c>
      <c r="J6027" t="str">
        <f>"9780226090689"</f>
        <v>9780226090689</v>
      </c>
      <c r="K6027" t="s">
        <v>9404</v>
      </c>
      <c r="L6027">
        <v>14</v>
      </c>
      <c r="O6027" t="s">
        <v>30</v>
      </c>
      <c r="P6027" t="s">
        <v>50</v>
      </c>
      <c r="S6027" t="s">
        <v>214</v>
      </c>
      <c r="T6027" t="s">
        <v>9400</v>
      </c>
      <c r="U6027">
        <v>364.6601</v>
      </c>
      <c r="V6027" s="3">
        <v>41609</v>
      </c>
    </row>
    <row r="6028" spans="1:22" x14ac:dyDescent="0.35">
      <c r="A6028" s="1">
        <v>42290.646921296298</v>
      </c>
      <c r="B6028" s="2">
        <v>4.9768518518518521E-4</v>
      </c>
      <c r="C6028" t="s">
        <v>210</v>
      </c>
      <c r="D6028" t="s">
        <v>211</v>
      </c>
      <c r="E6028" t="s">
        <v>212</v>
      </c>
      <c r="F6028" t="s">
        <v>3961</v>
      </c>
      <c r="G6028">
        <v>1610008</v>
      </c>
      <c r="H6028" t="s">
        <v>45</v>
      </c>
      <c r="I6028" t="s">
        <v>3962</v>
      </c>
      <c r="J6028" t="str">
        <f>"9781409457206"</f>
        <v>9781409457206</v>
      </c>
      <c r="K6028" t="s">
        <v>9405</v>
      </c>
      <c r="L6028">
        <v>10</v>
      </c>
      <c r="O6028" t="s">
        <v>30</v>
      </c>
      <c r="P6028" t="s">
        <v>42</v>
      </c>
      <c r="S6028" t="s">
        <v>214</v>
      </c>
      <c r="T6028" t="s">
        <v>3964</v>
      </c>
      <c r="U6028">
        <v>364.66</v>
      </c>
      <c r="V6028" s="3">
        <v>41726</v>
      </c>
    </row>
    <row r="6029" spans="1:22" x14ac:dyDescent="0.35">
      <c r="A6029" s="1">
        <v>42290.64675925926</v>
      </c>
      <c r="B6029" s="2">
        <v>3.4722222222222222E-5</v>
      </c>
      <c r="C6029" t="s">
        <v>210</v>
      </c>
      <c r="D6029" t="s">
        <v>211</v>
      </c>
      <c r="E6029" t="s">
        <v>212</v>
      </c>
      <c r="F6029" t="s">
        <v>3961</v>
      </c>
      <c r="G6029">
        <v>1610008</v>
      </c>
      <c r="H6029" t="s">
        <v>45</v>
      </c>
      <c r="I6029" t="s">
        <v>3962</v>
      </c>
      <c r="J6029" t="str">
        <f>"9781409457206"</f>
        <v>9781409457206</v>
      </c>
      <c r="K6029" t="s">
        <v>105</v>
      </c>
      <c r="L6029">
        <v>1</v>
      </c>
      <c r="O6029" t="s">
        <v>30</v>
      </c>
      <c r="P6029" t="s">
        <v>42</v>
      </c>
      <c r="S6029" t="s">
        <v>214</v>
      </c>
      <c r="T6029" t="s">
        <v>3964</v>
      </c>
      <c r="U6029">
        <v>364.66</v>
      </c>
      <c r="V6029" s="3">
        <v>41726</v>
      </c>
    </row>
    <row r="6030" spans="1:22" x14ac:dyDescent="0.35">
      <c r="A6030" s="1">
        <v>42290.608240740738</v>
      </c>
      <c r="B6030" s="2">
        <v>1.5972222222222221E-3</v>
      </c>
      <c r="C6030" t="s">
        <v>9406</v>
      </c>
      <c r="D6030" t="s">
        <v>23</v>
      </c>
      <c r="E6030" t="s">
        <v>24</v>
      </c>
      <c r="F6030" t="s">
        <v>9407</v>
      </c>
      <c r="G6030">
        <v>2040251</v>
      </c>
      <c r="H6030" t="s">
        <v>91</v>
      </c>
      <c r="I6030" t="s">
        <v>247</v>
      </c>
      <c r="J6030" t="str">
        <f>"9781462522255"</f>
        <v>9781462522255</v>
      </c>
      <c r="K6030" t="s">
        <v>9408</v>
      </c>
      <c r="L6030">
        <v>17</v>
      </c>
      <c r="O6030" t="s">
        <v>30</v>
      </c>
      <c r="P6030" t="s">
        <v>50</v>
      </c>
      <c r="S6030" t="s">
        <v>31</v>
      </c>
      <c r="T6030" t="s">
        <v>9409</v>
      </c>
      <c r="U6030" t="s">
        <v>9410</v>
      </c>
      <c r="V6030" s="3">
        <v>42236</v>
      </c>
    </row>
    <row r="6031" spans="1:22" x14ac:dyDescent="0.35">
      <c r="A6031" s="1">
        <v>42290.534953703704</v>
      </c>
      <c r="B6031" s="2">
        <v>9.2592592592592585E-4</v>
      </c>
      <c r="C6031" t="s">
        <v>5887</v>
      </c>
      <c r="D6031" t="s">
        <v>23</v>
      </c>
      <c r="E6031" t="s">
        <v>24</v>
      </c>
      <c r="F6031" t="s">
        <v>1051</v>
      </c>
      <c r="G6031">
        <v>821663</v>
      </c>
      <c r="H6031" t="s">
        <v>26</v>
      </c>
      <c r="I6031" t="s">
        <v>200</v>
      </c>
      <c r="J6031" t="str">
        <f>"9781118168479"</f>
        <v>9781118168479</v>
      </c>
      <c r="K6031" t="s">
        <v>9411</v>
      </c>
      <c r="L6031">
        <v>15</v>
      </c>
      <c r="O6031" t="s">
        <v>30</v>
      </c>
      <c r="P6031" t="s">
        <v>29</v>
      </c>
      <c r="Q6031" s="1">
        <v>42290.534953703704</v>
      </c>
      <c r="R6031">
        <v>7</v>
      </c>
      <c r="S6031" t="s">
        <v>31</v>
      </c>
      <c r="T6031" t="s">
        <v>1053</v>
      </c>
      <c r="U6031">
        <v>729</v>
      </c>
      <c r="V6031" s="3">
        <v>40973</v>
      </c>
    </row>
    <row r="6032" spans="1:22" x14ac:dyDescent="0.35">
      <c r="A6032" s="1">
        <v>42290.527731481481</v>
      </c>
      <c r="B6032" s="2">
        <v>7.2222222222222228E-3</v>
      </c>
      <c r="C6032" t="s">
        <v>5887</v>
      </c>
      <c r="D6032" t="s">
        <v>23</v>
      </c>
      <c r="E6032" t="s">
        <v>24</v>
      </c>
      <c r="F6032" t="s">
        <v>1051</v>
      </c>
      <c r="G6032">
        <v>821663</v>
      </c>
      <c r="H6032" t="s">
        <v>26</v>
      </c>
      <c r="I6032" t="s">
        <v>200</v>
      </c>
      <c r="J6032" t="str">
        <f>"9781118168479"</f>
        <v>9781118168479</v>
      </c>
      <c r="K6032" t="s">
        <v>9412</v>
      </c>
      <c r="L6032">
        <v>31</v>
      </c>
      <c r="O6032" t="s">
        <v>30</v>
      </c>
      <c r="P6032" t="s">
        <v>42</v>
      </c>
      <c r="S6032" t="s">
        <v>31</v>
      </c>
      <c r="T6032" t="s">
        <v>1053</v>
      </c>
      <c r="U6032">
        <v>729</v>
      </c>
      <c r="V6032" s="3">
        <v>40973</v>
      </c>
    </row>
    <row r="6033" spans="1:22" x14ac:dyDescent="0.35">
      <c r="A6033" s="1">
        <v>42290.523587962962</v>
      </c>
      <c r="B6033" s="2">
        <v>1.5046296296296294E-3</v>
      </c>
      <c r="C6033" t="s">
        <v>5411</v>
      </c>
      <c r="D6033" t="s">
        <v>23</v>
      </c>
      <c r="E6033" t="s">
        <v>24</v>
      </c>
      <c r="F6033" t="s">
        <v>1051</v>
      </c>
      <c r="G6033">
        <v>821663</v>
      </c>
      <c r="H6033" t="s">
        <v>26</v>
      </c>
      <c r="I6033" t="s">
        <v>200</v>
      </c>
      <c r="J6033" t="str">
        <f>"9781118168479"</f>
        <v>9781118168479</v>
      </c>
      <c r="K6033" t="s">
        <v>9413</v>
      </c>
      <c r="L6033">
        <v>18</v>
      </c>
      <c r="M6033" t="s">
        <v>9414</v>
      </c>
      <c r="O6033" t="s">
        <v>30</v>
      </c>
      <c r="P6033" t="s">
        <v>29</v>
      </c>
      <c r="Q6033" s="1">
        <v>42286.947534722225</v>
      </c>
      <c r="R6033">
        <v>7</v>
      </c>
      <c r="S6033" t="s">
        <v>31</v>
      </c>
      <c r="T6033" t="s">
        <v>1053</v>
      </c>
      <c r="U6033">
        <v>729</v>
      </c>
      <c r="V6033" s="3">
        <v>40973</v>
      </c>
    </row>
    <row r="6034" spans="1:22" x14ac:dyDescent="0.35">
      <c r="A6034" s="1">
        <v>42290.522349537037</v>
      </c>
      <c r="B6034" s="2">
        <v>2.4409722222222222E-2</v>
      </c>
      <c r="C6034" t="s">
        <v>9415</v>
      </c>
      <c r="D6034" t="s">
        <v>23</v>
      </c>
      <c r="E6034" t="s">
        <v>24</v>
      </c>
      <c r="F6034" t="s">
        <v>486</v>
      </c>
      <c r="G6034">
        <v>1119505</v>
      </c>
      <c r="H6034" t="s">
        <v>26</v>
      </c>
      <c r="I6034" t="s">
        <v>450</v>
      </c>
      <c r="J6034" t="str">
        <f>"9781118355015"</f>
        <v>9781118355015</v>
      </c>
      <c r="K6034" t="s">
        <v>9416</v>
      </c>
      <c r="L6034">
        <v>61</v>
      </c>
      <c r="O6034" t="s">
        <v>30</v>
      </c>
      <c r="P6034" t="s">
        <v>29</v>
      </c>
      <c r="Q6034" s="1">
        <v>42289.927615740744</v>
      </c>
      <c r="R6034">
        <v>7</v>
      </c>
      <c r="S6034" t="s">
        <v>31</v>
      </c>
      <c r="T6034" t="s">
        <v>487</v>
      </c>
      <c r="U6034" t="s">
        <v>488</v>
      </c>
      <c r="V6034" s="3">
        <v>41302</v>
      </c>
    </row>
    <row r="6035" spans="1:22" x14ac:dyDescent="0.35">
      <c r="A6035" s="1">
        <v>42290.505428240744</v>
      </c>
      <c r="B6035" s="2">
        <v>7.7291666666666661E-2</v>
      </c>
      <c r="C6035" t="s">
        <v>9417</v>
      </c>
      <c r="D6035" t="s">
        <v>211</v>
      </c>
      <c r="E6035" t="s">
        <v>212</v>
      </c>
      <c r="F6035" t="s">
        <v>4494</v>
      </c>
      <c r="G6035">
        <v>565082</v>
      </c>
      <c r="H6035" t="s">
        <v>26</v>
      </c>
      <c r="I6035" t="s">
        <v>69</v>
      </c>
      <c r="J6035" t="str">
        <f>"9781118041567"</f>
        <v>9781118041567</v>
      </c>
      <c r="K6035" t="s">
        <v>9418</v>
      </c>
      <c r="L6035">
        <v>22</v>
      </c>
      <c r="N6035" t="s">
        <v>9383</v>
      </c>
      <c r="O6035" t="s">
        <v>30</v>
      </c>
      <c r="P6035" t="s">
        <v>29</v>
      </c>
      <c r="Q6035" s="1">
        <v>42290.505428240744</v>
      </c>
      <c r="R6035">
        <v>7</v>
      </c>
      <c r="S6035" t="s">
        <v>214</v>
      </c>
      <c r="T6035" t="s">
        <v>4496</v>
      </c>
      <c r="U6035" t="s">
        <v>4497</v>
      </c>
      <c r="V6035" s="3">
        <v>40337</v>
      </c>
    </row>
    <row r="6036" spans="1:22" x14ac:dyDescent="0.35">
      <c r="A6036" s="1">
        <v>42290.502175925925</v>
      </c>
      <c r="B6036" s="2">
        <v>9.1087962962962971E-3</v>
      </c>
      <c r="C6036" t="s">
        <v>5411</v>
      </c>
      <c r="D6036" t="s">
        <v>23</v>
      </c>
      <c r="E6036" t="s">
        <v>24</v>
      </c>
      <c r="F6036" t="s">
        <v>1051</v>
      </c>
      <c r="G6036">
        <v>821663</v>
      </c>
      <c r="H6036" t="s">
        <v>26</v>
      </c>
      <c r="I6036" t="s">
        <v>200</v>
      </c>
      <c r="J6036" t="str">
        <f>"9781118168479"</f>
        <v>9781118168479</v>
      </c>
      <c r="K6036" t="s">
        <v>9419</v>
      </c>
      <c r="L6036">
        <v>41</v>
      </c>
      <c r="O6036" t="s">
        <v>30</v>
      </c>
      <c r="P6036" t="s">
        <v>29</v>
      </c>
      <c r="Q6036" s="1">
        <v>42286.947534722225</v>
      </c>
      <c r="R6036">
        <v>7</v>
      </c>
      <c r="S6036" t="s">
        <v>31</v>
      </c>
      <c r="T6036" t="s">
        <v>1053</v>
      </c>
      <c r="U6036">
        <v>729</v>
      </c>
      <c r="V6036" s="3">
        <v>40973</v>
      </c>
    </row>
    <row r="6037" spans="1:22" x14ac:dyDescent="0.35">
      <c r="A6037" s="1">
        <v>42290.497569444444</v>
      </c>
      <c r="B6037" s="2">
        <v>3.9930555555555561E-3</v>
      </c>
      <c r="C6037" t="s">
        <v>5411</v>
      </c>
      <c r="D6037" t="s">
        <v>23</v>
      </c>
      <c r="E6037" t="s">
        <v>24</v>
      </c>
      <c r="F6037" t="s">
        <v>1051</v>
      </c>
      <c r="G6037">
        <v>821663</v>
      </c>
      <c r="H6037" t="s">
        <v>26</v>
      </c>
      <c r="I6037" t="s">
        <v>200</v>
      </c>
      <c r="J6037" t="str">
        <f>"9781118168479"</f>
        <v>9781118168479</v>
      </c>
      <c r="K6037" t="s">
        <v>9420</v>
      </c>
      <c r="L6037">
        <v>33</v>
      </c>
      <c r="O6037" t="s">
        <v>30</v>
      </c>
      <c r="P6037" t="s">
        <v>29</v>
      </c>
      <c r="Q6037" s="1">
        <v>42286.947534722225</v>
      </c>
      <c r="R6037">
        <v>7</v>
      </c>
      <c r="S6037" t="s">
        <v>31</v>
      </c>
      <c r="T6037" t="s">
        <v>1053</v>
      </c>
      <c r="U6037">
        <v>729</v>
      </c>
      <c r="V6037" s="3">
        <v>40973</v>
      </c>
    </row>
    <row r="6038" spans="1:22" x14ac:dyDescent="0.35">
      <c r="A6038" s="1">
        <v>42290.495717592596</v>
      </c>
      <c r="B6038" s="2">
        <v>9.7106481481481471E-3</v>
      </c>
      <c r="C6038" t="s">
        <v>9417</v>
      </c>
      <c r="D6038" t="s">
        <v>211</v>
      </c>
      <c r="E6038" t="s">
        <v>212</v>
      </c>
      <c r="F6038" t="s">
        <v>4494</v>
      </c>
      <c r="G6038">
        <v>565082</v>
      </c>
      <c r="H6038" t="s">
        <v>26</v>
      </c>
      <c r="I6038" t="s">
        <v>69</v>
      </c>
      <c r="J6038" t="str">
        <f>"9781118041567"</f>
        <v>9781118041567</v>
      </c>
      <c r="K6038" t="s">
        <v>9421</v>
      </c>
      <c r="L6038">
        <v>26</v>
      </c>
      <c r="O6038" t="s">
        <v>30</v>
      </c>
      <c r="P6038" t="s">
        <v>42</v>
      </c>
      <c r="S6038" t="s">
        <v>214</v>
      </c>
      <c r="T6038" t="s">
        <v>4496</v>
      </c>
      <c r="U6038" t="s">
        <v>4497</v>
      </c>
      <c r="V6038" s="3">
        <v>40337</v>
      </c>
    </row>
    <row r="6039" spans="1:22" x14ac:dyDescent="0.35">
      <c r="A6039" s="1">
        <v>42290.483043981483</v>
      </c>
      <c r="B6039" s="2">
        <v>4.6064814814814815E-2</v>
      </c>
      <c r="C6039" t="s">
        <v>6288</v>
      </c>
      <c r="D6039" t="s">
        <v>23</v>
      </c>
      <c r="E6039" t="s">
        <v>24</v>
      </c>
      <c r="F6039" t="s">
        <v>486</v>
      </c>
      <c r="G6039">
        <v>1119505</v>
      </c>
      <c r="H6039" t="s">
        <v>26</v>
      </c>
      <c r="I6039" t="s">
        <v>450</v>
      </c>
      <c r="J6039" t="str">
        <f>"9781118355015"</f>
        <v>9781118355015</v>
      </c>
      <c r="K6039" t="s">
        <v>9422</v>
      </c>
      <c r="L6039">
        <v>50</v>
      </c>
      <c r="O6039" t="s">
        <v>30</v>
      </c>
      <c r="P6039" t="s">
        <v>29</v>
      </c>
      <c r="Q6039" s="1">
        <v>42287.767233796294</v>
      </c>
      <c r="R6039">
        <v>7</v>
      </c>
      <c r="S6039" t="s">
        <v>31</v>
      </c>
      <c r="T6039" t="s">
        <v>487</v>
      </c>
      <c r="U6039" t="s">
        <v>488</v>
      </c>
      <c r="V6039" s="3">
        <v>41302</v>
      </c>
    </row>
    <row r="6040" spans="1:22" x14ac:dyDescent="0.35">
      <c r="A6040" s="1">
        <v>42290.31554398148</v>
      </c>
      <c r="B6040" s="2">
        <v>9.0972222222222218E-3</v>
      </c>
      <c r="C6040" t="s">
        <v>7498</v>
      </c>
      <c r="D6040" t="s">
        <v>35</v>
      </c>
      <c r="E6040" t="s">
        <v>36</v>
      </c>
      <c r="F6040" t="s">
        <v>3275</v>
      </c>
      <c r="G6040">
        <v>822662</v>
      </c>
      <c r="H6040" t="s">
        <v>26</v>
      </c>
      <c r="I6040" t="s">
        <v>172</v>
      </c>
      <c r="J6040" t="str">
        <f>"9781444355130"</f>
        <v>9781444355130</v>
      </c>
      <c r="K6040" t="s">
        <v>9423</v>
      </c>
      <c r="L6040">
        <v>45</v>
      </c>
      <c r="M6040" t="s">
        <v>9424</v>
      </c>
      <c r="O6040" t="s">
        <v>30</v>
      </c>
      <c r="P6040" t="s">
        <v>29</v>
      </c>
      <c r="Q6040" s="1">
        <v>42289.668217592596</v>
      </c>
      <c r="R6040">
        <v>7</v>
      </c>
      <c r="S6040" t="s">
        <v>40</v>
      </c>
      <c r="T6040" t="s">
        <v>3277</v>
      </c>
      <c r="U6040">
        <v>960.3</v>
      </c>
      <c r="V6040" s="3">
        <v>40858</v>
      </c>
    </row>
    <row r="6041" spans="1:22" x14ac:dyDescent="0.35">
      <c r="A6041" s="1">
        <v>42290.153356481482</v>
      </c>
      <c r="B6041" s="2">
        <v>1.9560185185185184E-3</v>
      </c>
      <c r="C6041" t="s">
        <v>3558</v>
      </c>
      <c r="D6041" t="s">
        <v>23</v>
      </c>
      <c r="E6041" t="s">
        <v>24</v>
      </c>
      <c r="F6041" t="s">
        <v>3559</v>
      </c>
      <c r="G6041">
        <v>1217954</v>
      </c>
      <c r="H6041" t="s">
        <v>45</v>
      </c>
      <c r="I6041" t="s">
        <v>3560</v>
      </c>
      <c r="J6041" t="str">
        <f>"9781409457558"</f>
        <v>9781409457558</v>
      </c>
      <c r="K6041" t="s">
        <v>9425</v>
      </c>
      <c r="L6041">
        <v>26</v>
      </c>
      <c r="O6041" t="s">
        <v>30</v>
      </c>
      <c r="P6041" t="s">
        <v>42</v>
      </c>
      <c r="S6041" t="s">
        <v>31</v>
      </c>
      <c r="T6041" t="s">
        <v>3562</v>
      </c>
      <c r="U6041" t="s">
        <v>3563</v>
      </c>
      <c r="V6041" s="3">
        <v>41575</v>
      </c>
    </row>
    <row r="6042" spans="1:22" x14ac:dyDescent="0.35">
      <c r="A6042" s="1">
        <v>42290.122071759259</v>
      </c>
      <c r="B6042" s="2">
        <v>9.4907407407407408E-4</v>
      </c>
      <c r="C6042" t="s">
        <v>9426</v>
      </c>
      <c r="D6042" t="s">
        <v>623</v>
      </c>
      <c r="E6042" t="s">
        <v>624</v>
      </c>
      <c r="F6042" t="s">
        <v>7153</v>
      </c>
      <c r="G6042">
        <v>2073211</v>
      </c>
      <c r="H6042" t="s">
        <v>139</v>
      </c>
      <c r="I6042" t="s">
        <v>120</v>
      </c>
      <c r="J6042" t="str">
        <f>"9780814785997"</f>
        <v>9780814785997</v>
      </c>
      <c r="K6042" t="s">
        <v>9427</v>
      </c>
      <c r="L6042">
        <v>15</v>
      </c>
      <c r="O6042" t="s">
        <v>30</v>
      </c>
      <c r="P6042" t="s">
        <v>50</v>
      </c>
      <c r="S6042" t="s">
        <v>627</v>
      </c>
      <c r="T6042" t="s">
        <v>7154</v>
      </c>
      <c r="U6042" t="s">
        <v>3270</v>
      </c>
      <c r="V6042" s="3">
        <v>42209</v>
      </c>
    </row>
    <row r="6043" spans="1:22" x14ac:dyDescent="0.35">
      <c r="A6043" s="1">
        <v>42290.120925925927</v>
      </c>
      <c r="B6043" s="2">
        <v>6.0648148148148145E-3</v>
      </c>
      <c r="C6043" t="s">
        <v>5326</v>
      </c>
      <c r="D6043" t="s">
        <v>23</v>
      </c>
      <c r="E6043" t="s">
        <v>24</v>
      </c>
      <c r="F6043" t="s">
        <v>486</v>
      </c>
      <c r="G6043">
        <v>1119505</v>
      </c>
      <c r="H6043" t="s">
        <v>26</v>
      </c>
      <c r="I6043" t="s">
        <v>450</v>
      </c>
      <c r="J6043" t="str">
        <f>"9781118355015"</f>
        <v>9781118355015</v>
      </c>
      <c r="K6043" t="s">
        <v>9428</v>
      </c>
      <c r="L6043">
        <v>78</v>
      </c>
      <c r="O6043" t="s">
        <v>30</v>
      </c>
      <c r="P6043" t="s">
        <v>42</v>
      </c>
      <c r="S6043" t="s">
        <v>31</v>
      </c>
      <c r="T6043" t="s">
        <v>487</v>
      </c>
      <c r="U6043" t="s">
        <v>488</v>
      </c>
      <c r="V6043" s="3">
        <v>41302</v>
      </c>
    </row>
    <row r="6044" spans="1:22" x14ac:dyDescent="0.35">
      <c r="A6044" s="1">
        <v>42290.117997685185</v>
      </c>
      <c r="B6044" s="2">
        <v>0.11377314814814815</v>
      </c>
      <c r="C6044" t="s">
        <v>106</v>
      </c>
      <c r="D6044" t="s">
        <v>23</v>
      </c>
      <c r="E6044" t="s">
        <v>24</v>
      </c>
      <c r="F6044" t="s">
        <v>1051</v>
      </c>
      <c r="G6044">
        <v>821663</v>
      </c>
      <c r="H6044" t="s">
        <v>26</v>
      </c>
      <c r="I6044" t="s">
        <v>200</v>
      </c>
      <c r="J6044" t="str">
        <f>"9781118168479"</f>
        <v>9781118168479</v>
      </c>
      <c r="K6044" t="s">
        <v>9429</v>
      </c>
      <c r="L6044">
        <v>27</v>
      </c>
      <c r="O6044" t="s">
        <v>30</v>
      </c>
      <c r="P6044" t="s">
        <v>29</v>
      </c>
      <c r="Q6044" s="1">
        <v>42287.786365740743</v>
      </c>
      <c r="R6044">
        <v>7</v>
      </c>
      <c r="S6044" t="s">
        <v>31</v>
      </c>
      <c r="T6044" t="s">
        <v>1053</v>
      </c>
      <c r="U6044">
        <v>729</v>
      </c>
      <c r="V6044" s="3">
        <v>40973</v>
      </c>
    </row>
    <row r="6045" spans="1:22" x14ac:dyDescent="0.35">
      <c r="A6045" s="1">
        <v>42290.088958333334</v>
      </c>
      <c r="B6045" s="2">
        <v>2.6620370370370372E-4</v>
      </c>
      <c r="C6045" t="s">
        <v>9430</v>
      </c>
      <c r="D6045" t="s">
        <v>35</v>
      </c>
      <c r="E6045" t="s">
        <v>36</v>
      </c>
      <c r="F6045" t="s">
        <v>9431</v>
      </c>
      <c r="G6045">
        <v>1843634</v>
      </c>
      <c r="H6045" t="s">
        <v>26</v>
      </c>
      <c r="I6045" t="s">
        <v>426</v>
      </c>
      <c r="J6045" t="str">
        <f>"9781118963999"</f>
        <v>9781118963999</v>
      </c>
      <c r="K6045" t="s">
        <v>1438</v>
      </c>
      <c r="L6045">
        <v>16</v>
      </c>
      <c r="O6045" t="s">
        <v>30</v>
      </c>
      <c r="P6045" t="s">
        <v>50</v>
      </c>
      <c r="S6045" t="s">
        <v>40</v>
      </c>
      <c r="T6045" t="s">
        <v>9432</v>
      </c>
      <c r="U6045" t="s">
        <v>9433</v>
      </c>
      <c r="V6045" s="3">
        <v>41954</v>
      </c>
    </row>
    <row r="6046" spans="1:22" x14ac:dyDescent="0.35">
      <c r="A6046" s="1">
        <v>42290.083518518521</v>
      </c>
      <c r="B6046" s="2">
        <v>2.7777777777777778E-4</v>
      </c>
      <c r="C6046" t="s">
        <v>5326</v>
      </c>
      <c r="D6046" t="s">
        <v>23</v>
      </c>
      <c r="E6046" t="s">
        <v>24</v>
      </c>
      <c r="F6046" t="s">
        <v>486</v>
      </c>
      <c r="G6046">
        <v>1119505</v>
      </c>
      <c r="H6046" t="s">
        <v>26</v>
      </c>
      <c r="I6046" t="s">
        <v>450</v>
      </c>
      <c r="J6046" t="str">
        <f>"9781118355015"</f>
        <v>9781118355015</v>
      </c>
      <c r="K6046" t="s">
        <v>9434</v>
      </c>
      <c r="L6046">
        <v>9</v>
      </c>
      <c r="O6046" t="s">
        <v>30</v>
      </c>
      <c r="P6046" t="s">
        <v>42</v>
      </c>
      <c r="S6046" t="s">
        <v>31</v>
      </c>
      <c r="T6046" t="s">
        <v>487</v>
      </c>
      <c r="U6046" t="s">
        <v>488</v>
      </c>
      <c r="V6046" s="3">
        <v>41302</v>
      </c>
    </row>
    <row r="6047" spans="1:22" x14ac:dyDescent="0.35">
      <c r="A6047" s="1">
        <v>42290.066030092596</v>
      </c>
      <c r="B6047" s="2">
        <v>5.37037037037037E-3</v>
      </c>
      <c r="C6047" t="s">
        <v>3948</v>
      </c>
      <c r="D6047" t="s">
        <v>1482</v>
      </c>
      <c r="E6047" t="s">
        <v>1483</v>
      </c>
      <c r="F6047" t="s">
        <v>9435</v>
      </c>
      <c r="G6047">
        <v>982925</v>
      </c>
      <c r="H6047" t="s">
        <v>492</v>
      </c>
      <c r="I6047" t="s">
        <v>120</v>
      </c>
      <c r="J6047" t="str">
        <f>"9781400845057"</f>
        <v>9781400845057</v>
      </c>
      <c r="K6047" t="s">
        <v>9436</v>
      </c>
      <c r="L6047">
        <v>9</v>
      </c>
      <c r="O6047" t="s">
        <v>30</v>
      </c>
      <c r="P6047" t="s">
        <v>42</v>
      </c>
      <c r="S6047" t="s">
        <v>1485</v>
      </c>
      <c r="T6047" t="s">
        <v>9437</v>
      </c>
      <c r="U6047">
        <v>305.40956</v>
      </c>
      <c r="V6047" s="3">
        <v>41130</v>
      </c>
    </row>
    <row r="6048" spans="1:22" x14ac:dyDescent="0.35">
      <c r="A6048" s="1">
        <v>42290.047476851854</v>
      </c>
      <c r="B6048" s="2">
        <v>9.6793981481481481E-2</v>
      </c>
      <c r="C6048" t="s">
        <v>106</v>
      </c>
      <c r="D6048" t="s">
        <v>23</v>
      </c>
      <c r="E6048" t="s">
        <v>24</v>
      </c>
      <c r="F6048" t="s">
        <v>1051</v>
      </c>
      <c r="G6048">
        <v>821663</v>
      </c>
      <c r="H6048" t="s">
        <v>26</v>
      </c>
      <c r="I6048" t="s">
        <v>200</v>
      </c>
      <c r="J6048" t="str">
        <f>"9781118168479"</f>
        <v>9781118168479</v>
      </c>
      <c r="K6048" t="s">
        <v>9438</v>
      </c>
      <c r="L6048">
        <v>44</v>
      </c>
      <c r="M6048" t="s">
        <v>9439</v>
      </c>
      <c r="O6048" t="s">
        <v>30</v>
      </c>
      <c r="P6048" t="s">
        <v>29</v>
      </c>
      <c r="Q6048" s="1">
        <v>42287.786365740743</v>
      </c>
      <c r="R6048">
        <v>7</v>
      </c>
      <c r="S6048" t="s">
        <v>31</v>
      </c>
      <c r="T6048" t="s">
        <v>1053</v>
      </c>
      <c r="U6048">
        <v>729</v>
      </c>
      <c r="V6048" s="3">
        <v>40973</v>
      </c>
    </row>
    <row r="6049" spans="1:22" x14ac:dyDescent="0.35">
      <c r="A6049" s="1">
        <v>42290.013391203705</v>
      </c>
      <c r="B6049" s="2">
        <v>6.9814814814814816E-2</v>
      </c>
      <c r="C6049" t="s">
        <v>106</v>
      </c>
      <c r="D6049" t="s">
        <v>23</v>
      </c>
      <c r="E6049" t="s">
        <v>24</v>
      </c>
      <c r="F6049" t="s">
        <v>486</v>
      </c>
      <c r="G6049">
        <v>1119505</v>
      </c>
      <c r="H6049" t="s">
        <v>26</v>
      </c>
      <c r="I6049" t="s">
        <v>450</v>
      </c>
      <c r="J6049" t="str">
        <f>"9781118355015"</f>
        <v>9781118355015</v>
      </c>
      <c r="K6049" t="s">
        <v>9440</v>
      </c>
      <c r="L6049">
        <v>41</v>
      </c>
      <c r="O6049" t="s">
        <v>30</v>
      </c>
      <c r="P6049" t="s">
        <v>29</v>
      </c>
      <c r="Q6049" s="1">
        <v>42287.190775462965</v>
      </c>
      <c r="R6049">
        <v>7</v>
      </c>
      <c r="S6049" t="s">
        <v>31</v>
      </c>
      <c r="T6049" t="s">
        <v>487</v>
      </c>
      <c r="U6049" t="s">
        <v>488</v>
      </c>
      <c r="V6049" s="3">
        <v>41302</v>
      </c>
    </row>
    <row r="6050" spans="1:22" x14ac:dyDescent="0.35">
      <c r="A6050" s="1">
        <v>42290.00818287037</v>
      </c>
      <c r="B6050" s="2">
        <v>9.8067129629629643E-2</v>
      </c>
      <c r="C6050" t="s">
        <v>6288</v>
      </c>
      <c r="D6050" t="s">
        <v>23</v>
      </c>
      <c r="E6050" t="s">
        <v>24</v>
      </c>
      <c r="F6050" t="s">
        <v>486</v>
      </c>
      <c r="G6050">
        <v>1119505</v>
      </c>
      <c r="H6050" t="s">
        <v>26</v>
      </c>
      <c r="I6050" t="s">
        <v>450</v>
      </c>
      <c r="J6050" t="str">
        <f>"9781118355015"</f>
        <v>9781118355015</v>
      </c>
      <c r="K6050" t="s">
        <v>9441</v>
      </c>
      <c r="L6050">
        <v>57</v>
      </c>
      <c r="O6050" t="s">
        <v>30</v>
      </c>
      <c r="P6050" t="s">
        <v>29</v>
      </c>
      <c r="Q6050" s="1">
        <v>42287.767233796294</v>
      </c>
      <c r="R6050">
        <v>7</v>
      </c>
      <c r="S6050" t="s">
        <v>31</v>
      </c>
      <c r="T6050" t="s">
        <v>487</v>
      </c>
      <c r="U6050" t="s">
        <v>488</v>
      </c>
      <c r="V6050" s="3">
        <v>41302</v>
      </c>
    </row>
    <row r="6051" spans="1:22" x14ac:dyDescent="0.35">
      <c r="A6051" s="1">
        <v>42289.992048611108</v>
      </c>
      <c r="B6051" s="2">
        <v>4.6296296296296294E-5</v>
      </c>
      <c r="C6051" t="s">
        <v>9442</v>
      </c>
      <c r="D6051" t="s">
        <v>23</v>
      </c>
      <c r="E6051" t="s">
        <v>24</v>
      </c>
      <c r="F6051" t="s">
        <v>3088</v>
      </c>
      <c r="G6051">
        <v>1650828</v>
      </c>
      <c r="H6051" t="s">
        <v>26</v>
      </c>
      <c r="I6051" t="s">
        <v>97</v>
      </c>
      <c r="J6051" t="str">
        <f>"9781118729205"</f>
        <v>9781118729205</v>
      </c>
      <c r="K6051" t="s">
        <v>33</v>
      </c>
      <c r="L6051">
        <v>3</v>
      </c>
      <c r="O6051" t="s">
        <v>30</v>
      </c>
      <c r="P6051" t="s">
        <v>29</v>
      </c>
      <c r="Q6051" s="1">
        <v>42288.759039351855</v>
      </c>
      <c r="R6051">
        <v>7</v>
      </c>
      <c r="S6051" t="s">
        <v>31</v>
      </c>
      <c r="T6051" t="s">
        <v>3090</v>
      </c>
      <c r="U6051">
        <v>658.05631200000005</v>
      </c>
      <c r="V6051" s="3">
        <v>41704</v>
      </c>
    </row>
    <row r="6052" spans="1:22" x14ac:dyDescent="0.35">
      <c r="A6052" s="1">
        <v>42289.959953703707</v>
      </c>
      <c r="B6052" s="2">
        <v>2.1412037037037038E-3</v>
      </c>
      <c r="C6052" t="s">
        <v>9442</v>
      </c>
      <c r="D6052" t="s">
        <v>23</v>
      </c>
      <c r="E6052" t="s">
        <v>24</v>
      </c>
      <c r="F6052" t="s">
        <v>3088</v>
      </c>
      <c r="G6052">
        <v>1650828</v>
      </c>
      <c r="H6052" t="s">
        <v>26</v>
      </c>
      <c r="I6052" t="s">
        <v>97</v>
      </c>
      <c r="J6052" t="str">
        <f>"9781118729205"</f>
        <v>9781118729205</v>
      </c>
      <c r="K6052" t="s">
        <v>9443</v>
      </c>
      <c r="L6052">
        <v>34</v>
      </c>
      <c r="O6052" t="s">
        <v>30</v>
      </c>
      <c r="P6052" t="s">
        <v>29</v>
      </c>
      <c r="Q6052" s="1">
        <v>42288.759039351855</v>
      </c>
      <c r="R6052">
        <v>7</v>
      </c>
      <c r="S6052" t="s">
        <v>31</v>
      </c>
      <c r="T6052" t="s">
        <v>3090</v>
      </c>
      <c r="U6052">
        <v>658.05631200000005</v>
      </c>
      <c r="V6052" s="3">
        <v>41704</v>
      </c>
    </row>
    <row r="6053" spans="1:22" x14ac:dyDescent="0.35">
      <c r="A6053" s="1">
        <v>42289.958831018521</v>
      </c>
      <c r="B6053" s="2">
        <v>0.10730324074074075</v>
      </c>
      <c r="C6053" t="s">
        <v>9442</v>
      </c>
      <c r="D6053" t="s">
        <v>23</v>
      </c>
      <c r="E6053" t="s">
        <v>24</v>
      </c>
      <c r="F6053" t="s">
        <v>3088</v>
      </c>
      <c r="G6053">
        <v>1650828</v>
      </c>
      <c r="H6053" t="s">
        <v>26</v>
      </c>
      <c r="I6053" t="s">
        <v>97</v>
      </c>
      <c r="J6053" t="str">
        <f>"9781118729205"</f>
        <v>9781118729205</v>
      </c>
      <c r="K6053" t="s">
        <v>9444</v>
      </c>
      <c r="L6053">
        <v>160</v>
      </c>
      <c r="O6053" t="s">
        <v>30</v>
      </c>
      <c r="P6053" t="s">
        <v>29</v>
      </c>
      <c r="Q6053" s="1">
        <v>42288.759039351855</v>
      </c>
      <c r="R6053">
        <v>7</v>
      </c>
      <c r="S6053" t="s">
        <v>31</v>
      </c>
      <c r="T6053" t="s">
        <v>3090</v>
      </c>
      <c r="U6053">
        <v>658.05631200000005</v>
      </c>
      <c r="V6053" s="3">
        <v>41704</v>
      </c>
    </row>
    <row r="6054" spans="1:22" x14ac:dyDescent="0.35">
      <c r="A6054" s="1">
        <v>42289.927615740744</v>
      </c>
      <c r="B6054" s="2">
        <v>0.14592592592592593</v>
      </c>
      <c r="C6054" t="s">
        <v>9415</v>
      </c>
      <c r="D6054" t="s">
        <v>23</v>
      </c>
      <c r="E6054" t="s">
        <v>24</v>
      </c>
      <c r="F6054" t="s">
        <v>486</v>
      </c>
      <c r="G6054">
        <v>1119505</v>
      </c>
      <c r="H6054" t="s">
        <v>26</v>
      </c>
      <c r="I6054" t="s">
        <v>450</v>
      </c>
      <c r="J6054" t="str">
        <f>"9781118355015"</f>
        <v>9781118355015</v>
      </c>
      <c r="K6054" t="s">
        <v>9445</v>
      </c>
      <c r="L6054">
        <v>128</v>
      </c>
      <c r="O6054" t="s">
        <v>30</v>
      </c>
      <c r="P6054" t="s">
        <v>29</v>
      </c>
      <c r="Q6054" s="1">
        <v>42289.927615740744</v>
      </c>
      <c r="R6054">
        <v>7</v>
      </c>
      <c r="S6054" t="s">
        <v>31</v>
      </c>
      <c r="T6054" t="s">
        <v>487</v>
      </c>
      <c r="U6054" t="s">
        <v>488</v>
      </c>
      <c r="V6054" s="3">
        <v>41302</v>
      </c>
    </row>
    <row r="6055" spans="1:22" x14ac:dyDescent="0.35">
      <c r="A6055" s="1">
        <v>42289.919849537036</v>
      </c>
      <c r="B6055" s="2">
        <v>7.7662037037037031E-3</v>
      </c>
      <c r="C6055" t="s">
        <v>9415</v>
      </c>
      <c r="D6055" t="s">
        <v>23</v>
      </c>
      <c r="E6055" t="s">
        <v>24</v>
      </c>
      <c r="F6055" t="s">
        <v>486</v>
      </c>
      <c r="G6055">
        <v>1119505</v>
      </c>
      <c r="H6055" t="s">
        <v>26</v>
      </c>
      <c r="I6055" t="s">
        <v>450</v>
      </c>
      <c r="J6055" t="str">
        <f>"9781118355015"</f>
        <v>9781118355015</v>
      </c>
      <c r="K6055" t="s">
        <v>9446</v>
      </c>
      <c r="L6055">
        <v>22</v>
      </c>
      <c r="O6055" t="s">
        <v>30</v>
      </c>
      <c r="P6055" t="s">
        <v>42</v>
      </c>
      <c r="S6055" t="s">
        <v>31</v>
      </c>
      <c r="T6055" t="s">
        <v>487</v>
      </c>
      <c r="U6055" t="s">
        <v>488</v>
      </c>
      <c r="V6055" s="3">
        <v>41302</v>
      </c>
    </row>
    <row r="6056" spans="1:22" x14ac:dyDescent="0.35">
      <c r="A6056" s="1">
        <v>42289.913587962961</v>
      </c>
      <c r="B6056" s="2">
        <v>1.045138888888889E-2</v>
      </c>
      <c r="C6056" t="s">
        <v>4728</v>
      </c>
      <c r="D6056" t="s">
        <v>623</v>
      </c>
      <c r="E6056" t="s">
        <v>624</v>
      </c>
      <c r="F6056" t="s">
        <v>4494</v>
      </c>
      <c r="G6056">
        <v>565082</v>
      </c>
      <c r="H6056" t="s">
        <v>26</v>
      </c>
      <c r="I6056" t="s">
        <v>69</v>
      </c>
      <c r="J6056" t="str">
        <f>"9781118041567"</f>
        <v>9781118041567</v>
      </c>
      <c r="K6056" t="s">
        <v>9447</v>
      </c>
      <c r="L6056">
        <v>16</v>
      </c>
      <c r="O6056" t="s">
        <v>30</v>
      </c>
      <c r="P6056" t="s">
        <v>29</v>
      </c>
      <c r="Q6056" s="1">
        <v>42289.913587962961</v>
      </c>
      <c r="R6056">
        <v>7</v>
      </c>
      <c r="S6056" t="s">
        <v>627</v>
      </c>
      <c r="T6056" t="s">
        <v>4496</v>
      </c>
      <c r="U6056" t="s">
        <v>4497</v>
      </c>
      <c r="V6056" s="3">
        <v>40337</v>
      </c>
    </row>
    <row r="6057" spans="1:22" x14ac:dyDescent="0.35">
      <c r="A6057" s="1">
        <v>42289.905729166669</v>
      </c>
      <c r="B6057" s="2">
        <v>7.858796296296296E-3</v>
      </c>
      <c r="C6057" t="s">
        <v>4728</v>
      </c>
      <c r="D6057" t="s">
        <v>623</v>
      </c>
      <c r="E6057" t="s">
        <v>624</v>
      </c>
      <c r="F6057" t="s">
        <v>4494</v>
      </c>
      <c r="G6057">
        <v>565082</v>
      </c>
      <c r="H6057" t="s">
        <v>26</v>
      </c>
      <c r="I6057" t="s">
        <v>69</v>
      </c>
      <c r="J6057" t="str">
        <f>"9781118041567"</f>
        <v>9781118041567</v>
      </c>
      <c r="K6057" t="s">
        <v>9448</v>
      </c>
      <c r="L6057">
        <v>12</v>
      </c>
      <c r="O6057" t="s">
        <v>30</v>
      </c>
      <c r="P6057" t="s">
        <v>42</v>
      </c>
      <c r="S6057" t="s">
        <v>627</v>
      </c>
      <c r="T6057" t="s">
        <v>4496</v>
      </c>
      <c r="U6057" t="s">
        <v>4497</v>
      </c>
      <c r="V6057" s="3">
        <v>40337</v>
      </c>
    </row>
    <row r="6058" spans="1:22" x14ac:dyDescent="0.35">
      <c r="A6058" s="1">
        <v>42289.881458333337</v>
      </c>
      <c r="B6058" s="2">
        <v>3.4722222222222222E-5</v>
      </c>
      <c r="C6058" t="s">
        <v>210</v>
      </c>
      <c r="D6058" t="s">
        <v>211</v>
      </c>
      <c r="E6058" t="s">
        <v>212</v>
      </c>
      <c r="F6058" t="s">
        <v>7850</v>
      </c>
      <c r="G6058">
        <v>1527427</v>
      </c>
      <c r="H6058" t="s">
        <v>26</v>
      </c>
      <c r="I6058" t="s">
        <v>7851</v>
      </c>
      <c r="J6058" t="str">
        <f>"9780745671901"</f>
        <v>9780745671901</v>
      </c>
      <c r="K6058" t="s">
        <v>33</v>
      </c>
      <c r="L6058">
        <v>3</v>
      </c>
      <c r="O6058" t="s">
        <v>30</v>
      </c>
      <c r="P6058" t="s">
        <v>50</v>
      </c>
      <c r="S6058" t="s">
        <v>214</v>
      </c>
      <c r="T6058" t="s">
        <v>7852</v>
      </c>
      <c r="U6058">
        <v>306.48700000000002</v>
      </c>
      <c r="V6058" s="3">
        <v>41577</v>
      </c>
    </row>
    <row r="6059" spans="1:22" x14ac:dyDescent="0.35">
      <c r="A6059" s="1">
        <v>42289.829664351855</v>
      </c>
      <c r="B6059" s="2">
        <v>6.9444444444444444E-5</v>
      </c>
      <c r="C6059" t="s">
        <v>9449</v>
      </c>
      <c r="D6059" t="s">
        <v>35</v>
      </c>
      <c r="E6059" t="s">
        <v>36</v>
      </c>
      <c r="F6059" t="s">
        <v>2249</v>
      </c>
      <c r="G6059">
        <v>981495</v>
      </c>
      <c r="H6059" t="s">
        <v>91</v>
      </c>
      <c r="I6059" t="s">
        <v>69</v>
      </c>
      <c r="J6059" t="str">
        <f>"9781462506361"</f>
        <v>9781462506361</v>
      </c>
      <c r="K6059" t="s">
        <v>611</v>
      </c>
      <c r="L6059">
        <v>3</v>
      </c>
      <c r="O6059" t="s">
        <v>30</v>
      </c>
      <c r="P6059" t="s">
        <v>29</v>
      </c>
      <c r="Q6059" s="1">
        <v>42289.793958333335</v>
      </c>
      <c r="R6059">
        <v>7</v>
      </c>
      <c r="S6059" t="s">
        <v>40</v>
      </c>
      <c r="T6059" t="s">
        <v>2252</v>
      </c>
      <c r="U6059">
        <v>371.39429999999999</v>
      </c>
      <c r="V6059" s="3">
        <v>42107</v>
      </c>
    </row>
    <row r="6060" spans="1:22" x14ac:dyDescent="0.35">
      <c r="A6060" s="1">
        <v>42289.793958333335</v>
      </c>
      <c r="B6060" s="2">
        <v>1.2592592592592593E-2</v>
      </c>
      <c r="C6060" t="s">
        <v>9449</v>
      </c>
      <c r="D6060" t="s">
        <v>35</v>
      </c>
      <c r="E6060" t="s">
        <v>36</v>
      </c>
      <c r="F6060" t="s">
        <v>2249</v>
      </c>
      <c r="G6060">
        <v>981495</v>
      </c>
      <c r="H6060" t="s">
        <v>91</v>
      </c>
      <c r="I6060" t="s">
        <v>69</v>
      </c>
      <c r="J6060" t="str">
        <f>"9781462506361"</f>
        <v>9781462506361</v>
      </c>
      <c r="K6060" t="s">
        <v>9450</v>
      </c>
      <c r="L6060">
        <v>41</v>
      </c>
      <c r="O6060" t="s">
        <v>30</v>
      </c>
      <c r="P6060" t="s">
        <v>29</v>
      </c>
      <c r="Q6060" s="1">
        <v>42289.793958333335</v>
      </c>
      <c r="R6060">
        <v>7</v>
      </c>
      <c r="S6060" t="s">
        <v>40</v>
      </c>
      <c r="T6060" t="s">
        <v>2252</v>
      </c>
      <c r="U6060">
        <v>371.39429999999999</v>
      </c>
      <c r="V6060" s="3">
        <v>42107</v>
      </c>
    </row>
    <row r="6061" spans="1:22" x14ac:dyDescent="0.35">
      <c r="A6061" s="1">
        <v>42289.774780092594</v>
      </c>
      <c r="B6061" s="2">
        <v>0</v>
      </c>
      <c r="C6061" t="s">
        <v>9451</v>
      </c>
      <c r="D6061" t="s">
        <v>211</v>
      </c>
      <c r="E6061" t="s">
        <v>212</v>
      </c>
      <c r="F6061" t="s">
        <v>4494</v>
      </c>
      <c r="G6061">
        <v>565082</v>
      </c>
      <c r="H6061" t="s">
        <v>26</v>
      </c>
      <c r="I6061" t="s">
        <v>69</v>
      </c>
      <c r="J6061" t="str">
        <f>"9781118041567"</f>
        <v>9781118041567</v>
      </c>
      <c r="L6061">
        <v>0</v>
      </c>
      <c r="N6061" t="s">
        <v>9452</v>
      </c>
      <c r="O6061" t="s">
        <v>30</v>
      </c>
      <c r="P6061" t="s">
        <v>29</v>
      </c>
      <c r="Q6061" s="1">
        <v>42289.774780092594</v>
      </c>
      <c r="R6061">
        <v>7</v>
      </c>
      <c r="S6061" t="s">
        <v>214</v>
      </c>
      <c r="T6061" t="s">
        <v>4496</v>
      </c>
      <c r="U6061" t="s">
        <v>4497</v>
      </c>
      <c r="V6061" s="3">
        <v>40337</v>
      </c>
    </row>
    <row r="6062" spans="1:22" x14ac:dyDescent="0.35">
      <c r="A6062" s="1">
        <v>42289.772731481484</v>
      </c>
      <c r="B6062" s="2">
        <v>2.0486111111111113E-3</v>
      </c>
      <c r="C6062" t="s">
        <v>9451</v>
      </c>
      <c r="D6062" t="s">
        <v>211</v>
      </c>
      <c r="E6062" t="s">
        <v>212</v>
      </c>
      <c r="F6062" t="s">
        <v>4494</v>
      </c>
      <c r="G6062">
        <v>565082</v>
      </c>
      <c r="H6062" t="s">
        <v>26</v>
      </c>
      <c r="I6062" t="s">
        <v>69</v>
      </c>
      <c r="J6062" t="str">
        <f>"9781118041567"</f>
        <v>9781118041567</v>
      </c>
      <c r="K6062" t="s">
        <v>9453</v>
      </c>
      <c r="L6062">
        <v>88</v>
      </c>
      <c r="O6062" t="s">
        <v>30</v>
      </c>
      <c r="P6062" t="s">
        <v>42</v>
      </c>
      <c r="S6062" t="s">
        <v>214</v>
      </c>
      <c r="T6062" t="s">
        <v>4496</v>
      </c>
      <c r="U6062" t="s">
        <v>4497</v>
      </c>
      <c r="V6062" s="3">
        <v>40337</v>
      </c>
    </row>
    <row r="6063" spans="1:22" x14ac:dyDescent="0.35">
      <c r="A6063" s="1">
        <v>42289.76122685185</v>
      </c>
      <c r="B6063" s="2">
        <v>3.2731481481481479E-2</v>
      </c>
      <c r="C6063" t="s">
        <v>9449</v>
      </c>
      <c r="D6063" t="s">
        <v>35</v>
      </c>
      <c r="E6063" t="s">
        <v>36</v>
      </c>
      <c r="F6063" t="s">
        <v>2249</v>
      </c>
      <c r="G6063">
        <v>981495</v>
      </c>
      <c r="H6063" t="s">
        <v>91</v>
      </c>
      <c r="I6063" t="s">
        <v>69</v>
      </c>
      <c r="J6063" t="str">
        <f>"9781462506361"</f>
        <v>9781462506361</v>
      </c>
      <c r="K6063" t="s">
        <v>9454</v>
      </c>
      <c r="L6063">
        <v>4</v>
      </c>
      <c r="O6063" t="s">
        <v>30</v>
      </c>
      <c r="P6063" t="s">
        <v>42</v>
      </c>
      <c r="S6063" t="s">
        <v>40</v>
      </c>
      <c r="T6063" t="s">
        <v>2252</v>
      </c>
      <c r="U6063">
        <v>371.39429999999999</v>
      </c>
      <c r="V6063" s="3">
        <v>42107</v>
      </c>
    </row>
    <row r="6064" spans="1:22" x14ac:dyDescent="0.35">
      <c r="A6064" s="1">
        <v>42289.756053240744</v>
      </c>
      <c r="B6064" s="2">
        <v>5.0578703703703706E-3</v>
      </c>
      <c r="C6064" t="s">
        <v>9455</v>
      </c>
      <c r="D6064" t="s">
        <v>158</v>
      </c>
      <c r="E6064" t="s">
        <v>159</v>
      </c>
      <c r="F6064" t="s">
        <v>3774</v>
      </c>
      <c r="G6064">
        <v>894289</v>
      </c>
      <c r="H6064" t="s">
        <v>26</v>
      </c>
      <c r="I6064" t="s">
        <v>247</v>
      </c>
      <c r="J6064" t="str">
        <f>"9781118404430"</f>
        <v>9781118404430</v>
      </c>
      <c r="K6064" t="s">
        <v>9456</v>
      </c>
      <c r="L6064">
        <v>41</v>
      </c>
      <c r="O6064" t="s">
        <v>30</v>
      </c>
      <c r="P6064" t="s">
        <v>42</v>
      </c>
      <c r="S6064" t="s">
        <v>163</v>
      </c>
      <c r="T6064" t="s">
        <v>3776</v>
      </c>
      <c r="U6064">
        <v>616.89</v>
      </c>
      <c r="V6064" s="3">
        <v>41192</v>
      </c>
    </row>
    <row r="6065" spans="1:22" x14ac:dyDescent="0.35">
      <c r="A6065" s="1">
        <v>42289.726134259261</v>
      </c>
      <c r="B6065" s="2">
        <v>5.7870370370370366E-5</v>
      </c>
      <c r="C6065" t="s">
        <v>5411</v>
      </c>
      <c r="D6065" t="s">
        <v>23</v>
      </c>
      <c r="E6065" t="s">
        <v>24</v>
      </c>
      <c r="F6065" t="s">
        <v>1051</v>
      </c>
      <c r="G6065">
        <v>821663</v>
      </c>
      <c r="H6065" t="s">
        <v>26</v>
      </c>
      <c r="I6065" t="s">
        <v>200</v>
      </c>
      <c r="J6065" t="str">
        <f>"9781118168479"</f>
        <v>9781118168479</v>
      </c>
      <c r="K6065" t="s">
        <v>33</v>
      </c>
      <c r="L6065">
        <v>3</v>
      </c>
      <c r="O6065" t="s">
        <v>30</v>
      </c>
      <c r="P6065" t="s">
        <v>29</v>
      </c>
      <c r="Q6065" s="1">
        <v>42286.947534722225</v>
      </c>
      <c r="R6065">
        <v>7</v>
      </c>
      <c r="S6065" t="s">
        <v>31</v>
      </c>
      <c r="T6065" t="s">
        <v>1053</v>
      </c>
      <c r="U6065">
        <v>729</v>
      </c>
      <c r="V6065" s="3">
        <v>40973</v>
      </c>
    </row>
    <row r="6066" spans="1:22" x14ac:dyDescent="0.35">
      <c r="A6066" s="1">
        <v>42289.719166666669</v>
      </c>
      <c r="B6066" s="2">
        <v>4.6296296296296294E-5</v>
      </c>
      <c r="C6066" t="s">
        <v>9457</v>
      </c>
      <c r="D6066" t="s">
        <v>125</v>
      </c>
      <c r="E6066" t="s">
        <v>126</v>
      </c>
      <c r="F6066" t="s">
        <v>8830</v>
      </c>
      <c r="G6066">
        <v>1732138</v>
      </c>
      <c r="H6066" t="s">
        <v>84</v>
      </c>
      <c r="I6066" t="s">
        <v>120</v>
      </c>
      <c r="J6066" t="str">
        <f t="shared" ref="J6066:J6071" si="30">"9780520958746"</f>
        <v>9780520958746</v>
      </c>
      <c r="K6066" t="s">
        <v>33</v>
      </c>
      <c r="L6066">
        <v>3</v>
      </c>
      <c r="O6066" t="s">
        <v>30</v>
      </c>
      <c r="P6066" t="s">
        <v>47</v>
      </c>
      <c r="Q6066" s="1">
        <v>42289.706053240741</v>
      </c>
      <c r="R6066">
        <v>1</v>
      </c>
      <c r="S6066" t="s">
        <v>128</v>
      </c>
      <c r="T6066" t="s">
        <v>8832</v>
      </c>
      <c r="U6066">
        <v>364.15230000000003</v>
      </c>
      <c r="V6066" s="3">
        <v>42075</v>
      </c>
    </row>
    <row r="6067" spans="1:22" x14ac:dyDescent="0.35">
      <c r="A6067" s="1">
        <v>42289.718923611108</v>
      </c>
      <c r="B6067" s="2">
        <v>4.6296296296296294E-5</v>
      </c>
      <c r="C6067" t="s">
        <v>9457</v>
      </c>
      <c r="D6067" t="s">
        <v>125</v>
      </c>
      <c r="E6067" t="s">
        <v>126</v>
      </c>
      <c r="F6067" t="s">
        <v>8830</v>
      </c>
      <c r="G6067">
        <v>1732138</v>
      </c>
      <c r="H6067" t="s">
        <v>84</v>
      </c>
      <c r="I6067" t="s">
        <v>120</v>
      </c>
      <c r="J6067" t="str">
        <f t="shared" si="30"/>
        <v>9780520958746</v>
      </c>
      <c r="K6067" t="s">
        <v>611</v>
      </c>
      <c r="L6067">
        <v>3</v>
      </c>
      <c r="O6067" t="s">
        <v>30</v>
      </c>
      <c r="P6067" t="s">
        <v>47</v>
      </c>
      <c r="Q6067" s="1">
        <v>42289.706053240741</v>
      </c>
      <c r="R6067">
        <v>1</v>
      </c>
      <c r="S6067" t="s">
        <v>128</v>
      </c>
      <c r="T6067" t="s">
        <v>8832</v>
      </c>
      <c r="U6067">
        <v>364.15230000000003</v>
      </c>
      <c r="V6067" s="3">
        <v>42075</v>
      </c>
    </row>
    <row r="6068" spans="1:22" x14ac:dyDescent="0.35">
      <c r="A6068" s="1">
        <v>42289.717905092592</v>
      </c>
      <c r="B6068" s="2">
        <v>8.1018518518518516E-5</v>
      </c>
      <c r="C6068" t="s">
        <v>9457</v>
      </c>
      <c r="D6068" t="s">
        <v>125</v>
      </c>
      <c r="E6068" t="s">
        <v>126</v>
      </c>
      <c r="F6068" t="s">
        <v>8830</v>
      </c>
      <c r="G6068">
        <v>1732138</v>
      </c>
      <c r="H6068" t="s">
        <v>84</v>
      </c>
      <c r="I6068" t="s">
        <v>120</v>
      </c>
      <c r="J6068" t="str">
        <f t="shared" si="30"/>
        <v>9780520958746</v>
      </c>
      <c r="K6068" t="s">
        <v>202</v>
      </c>
      <c r="L6068">
        <v>3</v>
      </c>
      <c r="O6068" t="s">
        <v>30</v>
      </c>
      <c r="P6068" t="s">
        <v>47</v>
      </c>
      <c r="Q6068" s="1">
        <v>42289.706053240741</v>
      </c>
      <c r="R6068">
        <v>1</v>
      </c>
      <c r="S6068" t="s">
        <v>128</v>
      </c>
      <c r="T6068" t="s">
        <v>8832</v>
      </c>
      <c r="U6068">
        <v>364.15230000000003</v>
      </c>
      <c r="V6068" s="3">
        <v>42075</v>
      </c>
    </row>
    <row r="6069" spans="1:22" x14ac:dyDescent="0.35">
      <c r="A6069" s="1">
        <v>42289.717893518522</v>
      </c>
      <c r="B6069" s="2">
        <v>0</v>
      </c>
      <c r="C6069" t="s">
        <v>9457</v>
      </c>
      <c r="D6069" t="s">
        <v>125</v>
      </c>
      <c r="E6069" t="s">
        <v>126</v>
      </c>
      <c r="F6069" t="s">
        <v>8830</v>
      </c>
      <c r="G6069">
        <v>1732138</v>
      </c>
      <c r="H6069" t="s">
        <v>84</v>
      </c>
      <c r="I6069" t="s">
        <v>120</v>
      </c>
      <c r="J6069" t="str">
        <f t="shared" si="30"/>
        <v>9780520958746</v>
      </c>
      <c r="L6069">
        <v>0</v>
      </c>
      <c r="O6069" t="s">
        <v>30</v>
      </c>
      <c r="P6069" t="s">
        <v>47</v>
      </c>
      <c r="Q6069" s="1">
        <v>42289.706053240741</v>
      </c>
      <c r="R6069">
        <v>1</v>
      </c>
      <c r="S6069" t="s">
        <v>128</v>
      </c>
      <c r="T6069" t="s">
        <v>8832</v>
      </c>
      <c r="U6069">
        <v>364.15230000000003</v>
      </c>
      <c r="V6069" s="3">
        <v>42075</v>
      </c>
    </row>
    <row r="6070" spans="1:22" x14ac:dyDescent="0.35">
      <c r="A6070" s="1">
        <v>42289.716956018521</v>
      </c>
      <c r="B6070" s="2">
        <v>4.6296296296296294E-5</v>
      </c>
      <c r="C6070" t="s">
        <v>9457</v>
      </c>
      <c r="D6070" t="s">
        <v>125</v>
      </c>
      <c r="E6070" t="s">
        <v>126</v>
      </c>
      <c r="F6070" t="s">
        <v>8830</v>
      </c>
      <c r="G6070">
        <v>1732138</v>
      </c>
      <c r="H6070" t="s">
        <v>84</v>
      </c>
      <c r="I6070" t="s">
        <v>120</v>
      </c>
      <c r="J6070" t="str">
        <f t="shared" si="30"/>
        <v>9780520958746</v>
      </c>
      <c r="K6070" t="s">
        <v>202</v>
      </c>
      <c r="L6070">
        <v>3</v>
      </c>
      <c r="O6070" t="s">
        <v>30</v>
      </c>
      <c r="P6070" t="s">
        <v>47</v>
      </c>
      <c r="Q6070" s="1">
        <v>42289.706053240741</v>
      </c>
      <c r="R6070">
        <v>1</v>
      </c>
      <c r="S6070" t="s">
        <v>128</v>
      </c>
      <c r="T6070" t="s">
        <v>8832</v>
      </c>
      <c r="U6070">
        <v>364.15230000000003</v>
      </c>
      <c r="V6070" s="3">
        <v>42075</v>
      </c>
    </row>
    <row r="6071" spans="1:22" x14ac:dyDescent="0.35">
      <c r="A6071" s="1">
        <v>42289.716574074075</v>
      </c>
      <c r="B6071" s="2">
        <v>4.6296296296296294E-5</v>
      </c>
      <c r="C6071" t="s">
        <v>9457</v>
      </c>
      <c r="D6071" t="s">
        <v>125</v>
      </c>
      <c r="E6071" t="s">
        <v>126</v>
      </c>
      <c r="F6071" t="s">
        <v>8830</v>
      </c>
      <c r="G6071">
        <v>1732138</v>
      </c>
      <c r="H6071" t="s">
        <v>84</v>
      </c>
      <c r="I6071" t="s">
        <v>120</v>
      </c>
      <c r="J6071" t="str">
        <f t="shared" si="30"/>
        <v>9780520958746</v>
      </c>
      <c r="K6071" t="s">
        <v>33</v>
      </c>
      <c r="L6071">
        <v>3</v>
      </c>
      <c r="O6071" t="s">
        <v>30</v>
      </c>
      <c r="P6071" t="s">
        <v>47</v>
      </c>
      <c r="Q6071" s="1">
        <v>42289.706053240741</v>
      </c>
      <c r="R6071">
        <v>1</v>
      </c>
      <c r="S6071" t="s">
        <v>128</v>
      </c>
      <c r="T6071" t="s">
        <v>8832</v>
      </c>
      <c r="U6071">
        <v>364.15230000000003</v>
      </c>
      <c r="V6071" s="3">
        <v>42075</v>
      </c>
    </row>
    <row r="6072" spans="1:22" x14ac:dyDescent="0.35">
      <c r="A6072" s="1">
        <v>42289.710405092592</v>
      </c>
      <c r="B6072" s="2">
        <v>1.1574074074074073E-4</v>
      </c>
      <c r="C6072" t="s">
        <v>9458</v>
      </c>
      <c r="D6072" t="s">
        <v>125</v>
      </c>
      <c r="E6072" t="s">
        <v>126</v>
      </c>
      <c r="F6072" t="s">
        <v>9459</v>
      </c>
      <c r="G6072">
        <v>1711064</v>
      </c>
      <c r="H6072" t="s">
        <v>84</v>
      </c>
      <c r="I6072" t="s">
        <v>120</v>
      </c>
      <c r="J6072" t="str">
        <f>"9780520960329"</f>
        <v>9780520960329</v>
      </c>
      <c r="K6072" t="s">
        <v>33</v>
      </c>
      <c r="L6072">
        <v>3</v>
      </c>
      <c r="O6072" t="s">
        <v>30</v>
      </c>
      <c r="P6072" t="s">
        <v>50</v>
      </c>
      <c r="S6072" t="s">
        <v>128</v>
      </c>
      <c r="T6072" t="s">
        <v>9460</v>
      </c>
      <c r="U6072">
        <v>364.6</v>
      </c>
      <c r="V6072" s="3">
        <v>42041</v>
      </c>
    </row>
    <row r="6073" spans="1:22" x14ac:dyDescent="0.35">
      <c r="A6073" s="1">
        <v>42289.709733796299</v>
      </c>
      <c r="B6073" s="2">
        <v>0</v>
      </c>
      <c r="C6073" t="s">
        <v>9461</v>
      </c>
      <c r="D6073" t="s">
        <v>211</v>
      </c>
      <c r="E6073" t="s">
        <v>212</v>
      </c>
      <c r="F6073" t="s">
        <v>4494</v>
      </c>
      <c r="G6073">
        <v>565082</v>
      </c>
      <c r="H6073" t="s">
        <v>26</v>
      </c>
      <c r="I6073" t="s">
        <v>69</v>
      </c>
      <c r="J6073" t="str">
        <f>"9781118041567"</f>
        <v>9781118041567</v>
      </c>
      <c r="L6073">
        <v>0</v>
      </c>
      <c r="N6073" t="s">
        <v>9383</v>
      </c>
      <c r="O6073" t="s">
        <v>30</v>
      </c>
      <c r="P6073" t="s">
        <v>29</v>
      </c>
      <c r="Q6073" s="1">
        <v>42289.709733796299</v>
      </c>
      <c r="R6073">
        <v>7</v>
      </c>
      <c r="S6073" t="s">
        <v>214</v>
      </c>
      <c r="T6073" t="s">
        <v>4496</v>
      </c>
      <c r="U6073" t="s">
        <v>4497</v>
      </c>
      <c r="V6073" s="3">
        <v>40337</v>
      </c>
    </row>
    <row r="6074" spans="1:22" x14ac:dyDescent="0.35">
      <c r="A6074" s="1">
        <v>42289.709282407406</v>
      </c>
      <c r="B6074" s="2">
        <v>4.5138888888888892E-4</v>
      </c>
      <c r="C6074" t="s">
        <v>9461</v>
      </c>
      <c r="D6074" t="s">
        <v>211</v>
      </c>
      <c r="E6074" t="s">
        <v>212</v>
      </c>
      <c r="F6074" t="s">
        <v>4494</v>
      </c>
      <c r="G6074">
        <v>565082</v>
      </c>
      <c r="H6074" t="s">
        <v>26</v>
      </c>
      <c r="I6074" t="s">
        <v>69</v>
      </c>
      <c r="J6074" t="str">
        <f>"9781118041567"</f>
        <v>9781118041567</v>
      </c>
      <c r="K6074" t="s">
        <v>9462</v>
      </c>
      <c r="L6074">
        <v>27</v>
      </c>
      <c r="O6074" t="s">
        <v>30</v>
      </c>
      <c r="P6074" t="s">
        <v>42</v>
      </c>
      <c r="S6074" t="s">
        <v>214</v>
      </c>
      <c r="T6074" t="s">
        <v>4496</v>
      </c>
      <c r="U6074" t="s">
        <v>4497</v>
      </c>
      <c r="V6074" s="3">
        <v>40337</v>
      </c>
    </row>
    <row r="6075" spans="1:22" x14ac:dyDescent="0.35">
      <c r="A6075" s="1">
        <v>42289.706064814818</v>
      </c>
      <c r="B6075" s="2">
        <v>0</v>
      </c>
      <c r="C6075" t="s">
        <v>9457</v>
      </c>
      <c r="D6075" t="s">
        <v>125</v>
      </c>
      <c r="E6075" t="s">
        <v>126</v>
      </c>
      <c r="F6075" t="s">
        <v>8830</v>
      </c>
      <c r="G6075">
        <v>1732138</v>
      </c>
      <c r="H6075" t="s">
        <v>84</v>
      </c>
      <c r="I6075" t="s">
        <v>120</v>
      </c>
      <c r="J6075" t="str">
        <f>"9780520958746"</f>
        <v>9780520958746</v>
      </c>
      <c r="L6075">
        <v>0</v>
      </c>
      <c r="N6075" t="s">
        <v>9463</v>
      </c>
      <c r="O6075" t="s">
        <v>30</v>
      </c>
      <c r="P6075" t="s">
        <v>47</v>
      </c>
      <c r="Q6075" s="1">
        <v>42289.706053240741</v>
      </c>
      <c r="R6075">
        <v>1</v>
      </c>
      <c r="S6075" t="s">
        <v>128</v>
      </c>
      <c r="T6075" t="s">
        <v>8832</v>
      </c>
      <c r="U6075">
        <v>364.15230000000003</v>
      </c>
      <c r="V6075" s="3">
        <v>42075</v>
      </c>
    </row>
    <row r="6076" spans="1:22" x14ac:dyDescent="0.35">
      <c r="A6076" s="1">
        <v>42289.705625000002</v>
      </c>
      <c r="B6076" s="2">
        <v>4.2824074074074075E-4</v>
      </c>
      <c r="C6076" t="s">
        <v>9457</v>
      </c>
      <c r="D6076" t="s">
        <v>125</v>
      </c>
      <c r="E6076" t="s">
        <v>126</v>
      </c>
      <c r="F6076" t="s">
        <v>8830</v>
      </c>
      <c r="G6076">
        <v>1732138</v>
      </c>
      <c r="H6076" t="s">
        <v>84</v>
      </c>
      <c r="I6076" t="s">
        <v>120</v>
      </c>
      <c r="J6076" t="str">
        <f>"9780520958746"</f>
        <v>9780520958746</v>
      </c>
      <c r="K6076" t="s">
        <v>33</v>
      </c>
      <c r="L6076">
        <v>3</v>
      </c>
      <c r="O6076" t="s">
        <v>30</v>
      </c>
      <c r="P6076" t="s">
        <v>50</v>
      </c>
      <c r="S6076" t="s">
        <v>128</v>
      </c>
      <c r="T6076" t="s">
        <v>8832</v>
      </c>
      <c r="U6076">
        <v>364.15230000000003</v>
      </c>
      <c r="V6076" s="3">
        <v>42075</v>
      </c>
    </row>
    <row r="6077" spans="1:22" x14ac:dyDescent="0.35">
      <c r="A6077" s="1">
        <v>42289.677662037036</v>
      </c>
      <c r="B6077" s="2">
        <v>3.4722222222222222E-5</v>
      </c>
      <c r="C6077" t="s">
        <v>9457</v>
      </c>
      <c r="D6077" t="s">
        <v>125</v>
      </c>
      <c r="E6077" t="s">
        <v>126</v>
      </c>
      <c r="F6077" t="s">
        <v>8830</v>
      </c>
      <c r="G6077">
        <v>1732138</v>
      </c>
      <c r="H6077" t="s">
        <v>84</v>
      </c>
      <c r="I6077" t="s">
        <v>120</v>
      </c>
      <c r="J6077" t="str">
        <f>"9780520958746"</f>
        <v>9780520958746</v>
      </c>
      <c r="K6077" t="s">
        <v>33</v>
      </c>
      <c r="L6077">
        <v>3</v>
      </c>
      <c r="O6077" t="s">
        <v>30</v>
      </c>
      <c r="P6077" t="s">
        <v>50</v>
      </c>
      <c r="S6077" t="s">
        <v>128</v>
      </c>
      <c r="T6077" t="s">
        <v>8832</v>
      </c>
      <c r="U6077">
        <v>364.15230000000003</v>
      </c>
      <c r="V6077" s="3">
        <v>42075</v>
      </c>
    </row>
    <row r="6078" spans="1:22" x14ac:dyDescent="0.35">
      <c r="A6078" s="1">
        <v>42289.671319444446</v>
      </c>
      <c r="B6078" s="2">
        <v>2.4305555555555552E-4</v>
      </c>
      <c r="C6078" t="s">
        <v>9457</v>
      </c>
      <c r="D6078" t="s">
        <v>125</v>
      </c>
      <c r="E6078" t="s">
        <v>126</v>
      </c>
      <c r="F6078" t="s">
        <v>8830</v>
      </c>
      <c r="G6078">
        <v>1732138</v>
      </c>
      <c r="H6078" t="s">
        <v>84</v>
      </c>
      <c r="I6078" t="s">
        <v>120</v>
      </c>
      <c r="J6078" t="str">
        <f>"9780520958746"</f>
        <v>9780520958746</v>
      </c>
      <c r="K6078" t="s">
        <v>2663</v>
      </c>
      <c r="L6078">
        <v>15</v>
      </c>
      <c r="O6078" t="s">
        <v>30</v>
      </c>
      <c r="P6078" t="s">
        <v>50</v>
      </c>
      <c r="S6078" t="s">
        <v>128</v>
      </c>
      <c r="T6078" t="s">
        <v>8832</v>
      </c>
      <c r="U6078">
        <v>364.15230000000003</v>
      </c>
      <c r="V6078" s="3">
        <v>42075</v>
      </c>
    </row>
    <row r="6079" spans="1:22" x14ac:dyDescent="0.35">
      <c r="A6079" s="1">
        <v>42289.668217592596</v>
      </c>
      <c r="B6079" s="2">
        <v>1.0775462962962964E-2</v>
      </c>
      <c r="C6079" t="s">
        <v>7498</v>
      </c>
      <c r="D6079" t="s">
        <v>35</v>
      </c>
      <c r="E6079" t="s">
        <v>36</v>
      </c>
      <c r="F6079" t="s">
        <v>3275</v>
      </c>
      <c r="G6079">
        <v>822662</v>
      </c>
      <c r="H6079" t="s">
        <v>26</v>
      </c>
      <c r="I6079" t="s">
        <v>172</v>
      </c>
      <c r="J6079" t="str">
        <f>"9781444355130"</f>
        <v>9781444355130</v>
      </c>
      <c r="K6079" t="s">
        <v>9464</v>
      </c>
      <c r="L6079">
        <v>28</v>
      </c>
      <c r="O6079" t="s">
        <v>30</v>
      </c>
      <c r="P6079" t="s">
        <v>29</v>
      </c>
      <c r="Q6079" s="1">
        <v>42289.668217592596</v>
      </c>
      <c r="R6079">
        <v>7</v>
      </c>
      <c r="S6079" t="s">
        <v>40</v>
      </c>
      <c r="T6079" t="s">
        <v>3277</v>
      </c>
      <c r="U6079">
        <v>960.3</v>
      </c>
      <c r="V6079" s="3">
        <v>40858</v>
      </c>
    </row>
    <row r="6080" spans="1:22" x14ac:dyDescent="0.35">
      <c r="A6080" s="1">
        <v>42289.662615740737</v>
      </c>
      <c r="B6080" s="2">
        <v>7.175925925925927E-4</v>
      </c>
      <c r="C6080" t="s">
        <v>6408</v>
      </c>
      <c r="D6080" t="s">
        <v>35</v>
      </c>
      <c r="E6080" t="s">
        <v>36</v>
      </c>
      <c r="F6080" t="s">
        <v>3275</v>
      </c>
      <c r="G6080">
        <v>822662</v>
      </c>
      <c r="H6080" t="s">
        <v>26</v>
      </c>
      <c r="I6080" t="s">
        <v>172</v>
      </c>
      <c r="J6080" t="str">
        <f>"9781444355130"</f>
        <v>9781444355130</v>
      </c>
      <c r="K6080" t="s">
        <v>9465</v>
      </c>
      <c r="L6080">
        <v>21</v>
      </c>
      <c r="O6080" t="s">
        <v>30</v>
      </c>
      <c r="P6080" t="s">
        <v>42</v>
      </c>
      <c r="S6080" t="s">
        <v>40</v>
      </c>
      <c r="T6080" t="s">
        <v>3277</v>
      </c>
      <c r="U6080">
        <v>960.3</v>
      </c>
      <c r="V6080" s="3">
        <v>40858</v>
      </c>
    </row>
    <row r="6081" spans="1:22" x14ac:dyDescent="0.35">
      <c r="A6081" s="1">
        <v>42289.655474537038</v>
      </c>
      <c r="B6081" s="2">
        <v>3.0092592592592595E-4</v>
      </c>
      <c r="C6081" t="s">
        <v>106</v>
      </c>
      <c r="D6081" t="s">
        <v>23</v>
      </c>
      <c r="E6081" t="s">
        <v>24</v>
      </c>
      <c r="F6081" t="s">
        <v>796</v>
      </c>
      <c r="G6081">
        <v>947579</v>
      </c>
      <c r="H6081" t="s">
        <v>26</v>
      </c>
      <c r="I6081" t="s">
        <v>97</v>
      </c>
      <c r="J6081" t="str">
        <f>"9781118419632"</f>
        <v>9781118419632</v>
      </c>
      <c r="K6081" t="s">
        <v>9466</v>
      </c>
      <c r="L6081">
        <v>5</v>
      </c>
      <c r="M6081" t="s">
        <v>105</v>
      </c>
      <c r="O6081" t="s">
        <v>30</v>
      </c>
      <c r="P6081" t="s">
        <v>29</v>
      </c>
      <c r="Q6081" s="1">
        <v>42289.655474537038</v>
      </c>
      <c r="R6081">
        <v>7</v>
      </c>
      <c r="S6081" t="s">
        <v>31</v>
      </c>
      <c r="T6081" t="s">
        <v>797</v>
      </c>
      <c r="U6081">
        <v>657.45</v>
      </c>
      <c r="V6081" s="3">
        <v>41241</v>
      </c>
    </row>
    <row r="6082" spans="1:22" x14ac:dyDescent="0.35">
      <c r="A6082" s="1">
        <v>42289.655115740738</v>
      </c>
      <c r="B6082" s="2">
        <v>3.5879629629629635E-4</v>
      </c>
      <c r="C6082" t="s">
        <v>106</v>
      </c>
      <c r="D6082" t="s">
        <v>23</v>
      </c>
      <c r="E6082" t="s">
        <v>24</v>
      </c>
      <c r="F6082" t="s">
        <v>796</v>
      </c>
      <c r="G6082">
        <v>947579</v>
      </c>
      <c r="H6082" t="s">
        <v>26</v>
      </c>
      <c r="I6082" t="s">
        <v>97</v>
      </c>
      <c r="J6082" t="str">
        <f>"9781118419632"</f>
        <v>9781118419632</v>
      </c>
      <c r="K6082" t="s">
        <v>9467</v>
      </c>
      <c r="L6082">
        <v>7</v>
      </c>
      <c r="O6082" t="s">
        <v>30</v>
      </c>
      <c r="P6082" t="s">
        <v>42</v>
      </c>
      <c r="S6082" t="s">
        <v>31</v>
      </c>
      <c r="T6082" t="s">
        <v>797</v>
      </c>
      <c r="U6082">
        <v>657.45</v>
      </c>
      <c r="V6082" s="3">
        <v>41241</v>
      </c>
    </row>
    <row r="6083" spans="1:22" x14ac:dyDescent="0.35">
      <c r="A6083" s="1">
        <v>42289.649467592593</v>
      </c>
      <c r="B6083" s="2">
        <v>3.1805555555555552E-2</v>
      </c>
      <c r="C6083" t="s">
        <v>106</v>
      </c>
      <c r="D6083" t="s">
        <v>23</v>
      </c>
      <c r="E6083" t="s">
        <v>24</v>
      </c>
      <c r="F6083" t="s">
        <v>486</v>
      </c>
      <c r="G6083">
        <v>1119505</v>
      </c>
      <c r="H6083" t="s">
        <v>26</v>
      </c>
      <c r="I6083" t="s">
        <v>450</v>
      </c>
      <c r="J6083" t="str">
        <f>"9781118355015"</f>
        <v>9781118355015</v>
      </c>
      <c r="K6083" t="s">
        <v>9468</v>
      </c>
      <c r="L6083">
        <v>11</v>
      </c>
      <c r="O6083" t="s">
        <v>30</v>
      </c>
      <c r="P6083" t="s">
        <v>29</v>
      </c>
      <c r="Q6083" s="1">
        <v>42287.190775462965</v>
      </c>
      <c r="R6083">
        <v>7</v>
      </c>
      <c r="S6083" t="s">
        <v>31</v>
      </c>
      <c r="T6083" t="s">
        <v>487</v>
      </c>
      <c r="U6083" t="s">
        <v>488</v>
      </c>
      <c r="V6083" s="3">
        <v>41302</v>
      </c>
    </row>
    <row r="6084" spans="1:22" x14ac:dyDescent="0.35">
      <c r="A6084" s="1">
        <v>42289.64340277778</v>
      </c>
      <c r="B6084" s="2">
        <v>2.4814814814814817E-2</v>
      </c>
      <c r="C6084" t="s">
        <v>7498</v>
      </c>
      <c r="D6084" t="s">
        <v>35</v>
      </c>
      <c r="E6084" t="s">
        <v>36</v>
      </c>
      <c r="F6084" t="s">
        <v>3275</v>
      </c>
      <c r="G6084">
        <v>822662</v>
      </c>
      <c r="H6084" t="s">
        <v>26</v>
      </c>
      <c r="I6084" t="s">
        <v>172</v>
      </c>
      <c r="J6084" t="str">
        <f>"9781444355130"</f>
        <v>9781444355130</v>
      </c>
      <c r="K6084" t="s">
        <v>9469</v>
      </c>
      <c r="L6084">
        <v>47</v>
      </c>
      <c r="O6084" t="s">
        <v>30</v>
      </c>
      <c r="P6084" t="s">
        <v>42</v>
      </c>
      <c r="S6084" t="s">
        <v>40</v>
      </c>
      <c r="T6084" t="s">
        <v>3277</v>
      </c>
      <c r="U6084">
        <v>960.3</v>
      </c>
      <c r="V6084" s="3">
        <v>40858</v>
      </c>
    </row>
    <row r="6085" spans="1:22" x14ac:dyDescent="0.35">
      <c r="A6085" s="1">
        <v>42289.640185185184</v>
      </c>
      <c r="B6085" s="2">
        <v>5.7870370370370378E-4</v>
      </c>
      <c r="C6085" t="s">
        <v>9442</v>
      </c>
      <c r="D6085" t="s">
        <v>23</v>
      </c>
      <c r="E6085" t="s">
        <v>24</v>
      </c>
      <c r="F6085" t="s">
        <v>3088</v>
      </c>
      <c r="G6085">
        <v>1650828</v>
      </c>
      <c r="H6085" t="s">
        <v>26</v>
      </c>
      <c r="I6085" t="s">
        <v>97</v>
      </c>
      <c r="J6085" t="str">
        <f>"9781118729205"</f>
        <v>9781118729205</v>
      </c>
      <c r="K6085" t="s">
        <v>1203</v>
      </c>
      <c r="L6085">
        <v>17</v>
      </c>
      <c r="O6085" t="s">
        <v>30</v>
      </c>
      <c r="P6085" t="s">
        <v>29</v>
      </c>
      <c r="Q6085" s="1">
        <v>42288.759039351855</v>
      </c>
      <c r="R6085">
        <v>7</v>
      </c>
      <c r="S6085" t="s">
        <v>31</v>
      </c>
      <c r="T6085" t="s">
        <v>3090</v>
      </c>
      <c r="U6085">
        <v>658.05631200000005</v>
      </c>
      <c r="V6085" s="3">
        <v>41704</v>
      </c>
    </row>
    <row r="6086" spans="1:22" x14ac:dyDescent="0.35">
      <c r="A6086" s="1">
        <v>42289.623298611114</v>
      </c>
      <c r="B6086" s="2">
        <v>3.9351851851851852E-4</v>
      </c>
      <c r="C6086" t="s">
        <v>210</v>
      </c>
      <c r="D6086" t="s">
        <v>211</v>
      </c>
      <c r="E6086" t="s">
        <v>212</v>
      </c>
      <c r="F6086" t="s">
        <v>5954</v>
      </c>
      <c r="G6086">
        <v>864784</v>
      </c>
      <c r="H6086" t="s">
        <v>492</v>
      </c>
      <c r="I6086" t="s">
        <v>69</v>
      </c>
      <c r="J6086" t="str">
        <f>"9781400841578"</f>
        <v>9781400841578</v>
      </c>
      <c r="K6086" t="s">
        <v>9470</v>
      </c>
      <c r="L6086">
        <v>22</v>
      </c>
      <c r="O6086" t="s">
        <v>30</v>
      </c>
      <c r="P6086" t="s">
        <v>42</v>
      </c>
      <c r="S6086" t="s">
        <v>214</v>
      </c>
      <c r="T6086" t="s">
        <v>5956</v>
      </c>
      <c r="U6086">
        <v>378.73</v>
      </c>
      <c r="V6086" s="3">
        <v>41786</v>
      </c>
    </row>
    <row r="6087" spans="1:22" x14ac:dyDescent="0.35">
      <c r="A6087" s="1">
        <v>42289.62054398148</v>
      </c>
      <c r="B6087" s="2">
        <v>4.2708333333333327E-2</v>
      </c>
      <c r="C6087" t="s">
        <v>9471</v>
      </c>
      <c r="D6087" t="s">
        <v>6396</v>
      </c>
      <c r="E6087" t="s">
        <v>6397</v>
      </c>
      <c r="F6087" t="s">
        <v>9472</v>
      </c>
      <c r="G6087">
        <v>1630976</v>
      </c>
      <c r="H6087" t="s">
        <v>26</v>
      </c>
      <c r="I6087" t="s">
        <v>9473</v>
      </c>
      <c r="J6087" t="str">
        <f>"9781118418666"</f>
        <v>9781118418666</v>
      </c>
      <c r="K6087" t="s">
        <v>9474</v>
      </c>
      <c r="L6087">
        <v>137</v>
      </c>
      <c r="O6087" t="s">
        <v>30</v>
      </c>
      <c r="P6087" t="s">
        <v>29</v>
      </c>
      <c r="Q6087" s="1">
        <v>42284.694363425922</v>
      </c>
      <c r="R6087">
        <v>7</v>
      </c>
      <c r="S6087" t="s">
        <v>6400</v>
      </c>
      <c r="T6087" t="s">
        <v>9475</v>
      </c>
      <c r="U6087">
        <v>729</v>
      </c>
      <c r="V6087" s="3">
        <v>41677</v>
      </c>
    </row>
    <row r="6088" spans="1:22" x14ac:dyDescent="0.35">
      <c r="A6088" s="1">
        <v>42289.556550925925</v>
      </c>
      <c r="B6088" s="2">
        <v>1.2372685185185186E-2</v>
      </c>
      <c r="C6088" t="s">
        <v>9347</v>
      </c>
      <c r="D6088" t="s">
        <v>261</v>
      </c>
      <c r="E6088" t="s">
        <v>262</v>
      </c>
      <c r="F6088" t="s">
        <v>223</v>
      </c>
      <c r="G6088">
        <v>1895140</v>
      </c>
      <c r="H6088" t="s">
        <v>26</v>
      </c>
      <c r="I6088" t="s">
        <v>69</v>
      </c>
      <c r="J6088" t="str">
        <f>"9781118911488"</f>
        <v>9781118911488</v>
      </c>
      <c r="K6088" t="s">
        <v>9476</v>
      </c>
      <c r="L6088">
        <v>31</v>
      </c>
      <c r="O6088" t="s">
        <v>30</v>
      </c>
      <c r="P6088" t="s">
        <v>47</v>
      </c>
      <c r="Q6088" s="1">
        <v>42289.556550925925</v>
      </c>
      <c r="R6088">
        <v>1</v>
      </c>
      <c r="S6088" t="s">
        <v>264</v>
      </c>
      <c r="T6088" t="s">
        <v>225</v>
      </c>
      <c r="U6088">
        <v>378.1662</v>
      </c>
      <c r="V6088" s="3">
        <v>42086</v>
      </c>
    </row>
    <row r="6089" spans="1:22" x14ac:dyDescent="0.35">
      <c r="A6089" s="1">
        <v>42289.552002314813</v>
      </c>
      <c r="B6089" s="2">
        <v>4.5486111111111109E-3</v>
      </c>
      <c r="C6089" t="s">
        <v>9347</v>
      </c>
      <c r="D6089" t="s">
        <v>261</v>
      </c>
      <c r="E6089" t="s">
        <v>262</v>
      </c>
      <c r="F6089" t="s">
        <v>223</v>
      </c>
      <c r="G6089">
        <v>1895140</v>
      </c>
      <c r="H6089" t="s">
        <v>26</v>
      </c>
      <c r="I6089" t="s">
        <v>69</v>
      </c>
      <c r="J6089" t="str">
        <f>"9781118911488"</f>
        <v>9781118911488</v>
      </c>
      <c r="K6089" t="s">
        <v>9477</v>
      </c>
      <c r="L6089">
        <v>38</v>
      </c>
      <c r="O6089" t="s">
        <v>30</v>
      </c>
      <c r="P6089" t="s">
        <v>50</v>
      </c>
      <c r="S6089" t="s">
        <v>264</v>
      </c>
      <c r="T6089" t="s">
        <v>225</v>
      </c>
      <c r="U6089">
        <v>378.1662</v>
      </c>
      <c r="V6089" s="3">
        <v>42086</v>
      </c>
    </row>
    <row r="6090" spans="1:22" x14ac:dyDescent="0.35">
      <c r="A6090" s="1">
        <v>42289.515104166669</v>
      </c>
      <c r="B6090" s="2">
        <v>4.6296296296296294E-5</v>
      </c>
      <c r="C6090" t="s">
        <v>106</v>
      </c>
      <c r="D6090" t="s">
        <v>23</v>
      </c>
      <c r="E6090" t="s">
        <v>24</v>
      </c>
      <c r="F6090" t="s">
        <v>2132</v>
      </c>
      <c r="G6090">
        <v>821801</v>
      </c>
      <c r="H6090" t="s">
        <v>26</v>
      </c>
      <c r="I6090" t="s">
        <v>2133</v>
      </c>
      <c r="J6090" t="str">
        <f>"9781118224144"</f>
        <v>9781118224144</v>
      </c>
      <c r="K6090" t="s">
        <v>33</v>
      </c>
      <c r="L6090">
        <v>3</v>
      </c>
      <c r="O6090" t="s">
        <v>30</v>
      </c>
      <c r="P6090" t="s">
        <v>42</v>
      </c>
      <c r="S6090" t="s">
        <v>31</v>
      </c>
      <c r="T6090" t="s">
        <v>2135</v>
      </c>
      <c r="U6090">
        <v>658.00760000000002</v>
      </c>
      <c r="V6090" s="3">
        <v>40974</v>
      </c>
    </row>
    <row r="6091" spans="1:22" x14ac:dyDescent="0.35">
      <c r="A6091" s="1">
        <v>42289.512002314812</v>
      </c>
      <c r="B6091" s="2">
        <v>5.7974537037037033E-2</v>
      </c>
      <c r="C6091" t="s">
        <v>106</v>
      </c>
      <c r="D6091" t="s">
        <v>23</v>
      </c>
      <c r="E6091" t="s">
        <v>24</v>
      </c>
      <c r="F6091" t="s">
        <v>1051</v>
      </c>
      <c r="G6091">
        <v>821663</v>
      </c>
      <c r="H6091" t="s">
        <v>26</v>
      </c>
      <c r="I6091" t="s">
        <v>200</v>
      </c>
      <c r="J6091" t="str">
        <f>"9781118168479"</f>
        <v>9781118168479</v>
      </c>
      <c r="K6091" t="s">
        <v>9478</v>
      </c>
      <c r="L6091">
        <v>25</v>
      </c>
      <c r="O6091" t="s">
        <v>30</v>
      </c>
      <c r="P6091" t="s">
        <v>29</v>
      </c>
      <c r="Q6091" s="1">
        <v>42287.786365740743</v>
      </c>
      <c r="R6091">
        <v>7</v>
      </c>
      <c r="S6091" t="s">
        <v>31</v>
      </c>
      <c r="T6091" t="s">
        <v>1053</v>
      </c>
      <c r="U6091">
        <v>729</v>
      </c>
      <c r="V6091" s="3">
        <v>40973</v>
      </c>
    </row>
    <row r="6092" spans="1:22" x14ac:dyDescent="0.35">
      <c r="A6092" s="1">
        <v>42289.461400462962</v>
      </c>
      <c r="B6092" s="2">
        <v>0</v>
      </c>
      <c r="C6092" t="s">
        <v>6693</v>
      </c>
      <c r="D6092" t="s">
        <v>6396</v>
      </c>
      <c r="E6092" t="s">
        <v>6397</v>
      </c>
      <c r="F6092" t="s">
        <v>3912</v>
      </c>
      <c r="G6092">
        <v>1823054</v>
      </c>
      <c r="H6092" t="s">
        <v>26</v>
      </c>
      <c r="I6092" t="s">
        <v>3913</v>
      </c>
      <c r="J6092" t="str">
        <f>"9781118690314"</f>
        <v>9781118690314</v>
      </c>
      <c r="L6092">
        <v>0</v>
      </c>
      <c r="O6092" t="s">
        <v>28</v>
      </c>
      <c r="P6092" t="s">
        <v>29</v>
      </c>
      <c r="Q6092" s="1">
        <v>42289.461400462962</v>
      </c>
      <c r="R6092">
        <v>7</v>
      </c>
      <c r="S6092" t="s">
        <v>6400</v>
      </c>
      <c r="T6092" t="s">
        <v>3915</v>
      </c>
      <c r="U6092">
        <v>610.73649999999998</v>
      </c>
      <c r="V6092" s="3">
        <v>41932</v>
      </c>
    </row>
    <row r="6093" spans="1:22" x14ac:dyDescent="0.35">
      <c r="A6093" s="1">
        <v>42289.461400462962</v>
      </c>
      <c r="B6093" s="2">
        <v>0</v>
      </c>
      <c r="C6093" t="s">
        <v>6693</v>
      </c>
      <c r="D6093" t="s">
        <v>6396</v>
      </c>
      <c r="E6093" t="s">
        <v>6397</v>
      </c>
      <c r="F6093" t="s">
        <v>3912</v>
      </c>
      <c r="G6093">
        <v>1823054</v>
      </c>
      <c r="H6093" t="s">
        <v>26</v>
      </c>
      <c r="I6093" t="s">
        <v>3913</v>
      </c>
      <c r="J6093" t="str">
        <f>"9781118690314"</f>
        <v>9781118690314</v>
      </c>
      <c r="L6093">
        <v>0</v>
      </c>
      <c r="O6093" t="s">
        <v>30</v>
      </c>
      <c r="P6093" t="s">
        <v>29</v>
      </c>
      <c r="Q6093" s="1">
        <v>42289.461400462962</v>
      </c>
      <c r="R6093">
        <v>7</v>
      </c>
      <c r="S6093" t="s">
        <v>6400</v>
      </c>
      <c r="T6093" t="s">
        <v>3915</v>
      </c>
      <c r="U6093">
        <v>610.73649999999998</v>
      </c>
      <c r="V6093" s="3">
        <v>41932</v>
      </c>
    </row>
    <row r="6094" spans="1:22" x14ac:dyDescent="0.35">
      <c r="A6094" s="1">
        <v>42289.461238425924</v>
      </c>
      <c r="B6094" s="2">
        <v>1.6203703703703703E-4</v>
      </c>
      <c r="C6094" t="s">
        <v>6693</v>
      </c>
      <c r="D6094" t="s">
        <v>6396</v>
      </c>
      <c r="E6094" t="s">
        <v>6397</v>
      </c>
      <c r="F6094" t="s">
        <v>3912</v>
      </c>
      <c r="G6094">
        <v>1823054</v>
      </c>
      <c r="H6094" t="s">
        <v>26</v>
      </c>
      <c r="I6094" t="s">
        <v>3913</v>
      </c>
      <c r="J6094" t="str">
        <f>"9781118690314"</f>
        <v>9781118690314</v>
      </c>
      <c r="K6094" t="s">
        <v>33</v>
      </c>
      <c r="L6094">
        <v>3</v>
      </c>
      <c r="O6094" t="s">
        <v>30</v>
      </c>
      <c r="P6094" t="s">
        <v>50</v>
      </c>
      <c r="S6094" t="s">
        <v>6400</v>
      </c>
      <c r="T6094" t="s">
        <v>3915</v>
      </c>
      <c r="U6094">
        <v>610.73649999999998</v>
      </c>
      <c r="V6094" s="3">
        <v>41932</v>
      </c>
    </row>
    <row r="6095" spans="1:22" x14ac:dyDescent="0.35">
      <c r="A6095" s="1">
        <v>42289.457546296297</v>
      </c>
      <c r="B6095" s="2">
        <v>0</v>
      </c>
      <c r="C6095" t="s">
        <v>6693</v>
      </c>
      <c r="D6095" t="s">
        <v>6396</v>
      </c>
      <c r="E6095" t="s">
        <v>6397</v>
      </c>
      <c r="F6095" t="s">
        <v>9479</v>
      </c>
      <c r="G6095">
        <v>3057415</v>
      </c>
      <c r="H6095" t="s">
        <v>26</v>
      </c>
      <c r="I6095" t="s">
        <v>38</v>
      </c>
      <c r="J6095" t="str">
        <f>"9780471217626"</f>
        <v>9780471217626</v>
      </c>
      <c r="L6095">
        <v>0</v>
      </c>
      <c r="O6095" t="s">
        <v>28</v>
      </c>
      <c r="P6095" t="s">
        <v>47</v>
      </c>
      <c r="Q6095" s="1">
        <v>42289.457546296297</v>
      </c>
      <c r="R6095">
        <v>1</v>
      </c>
      <c r="S6095" t="s">
        <v>6400</v>
      </c>
      <c r="T6095" t="s">
        <v>9480</v>
      </c>
      <c r="U6095" t="s">
        <v>9481</v>
      </c>
      <c r="V6095" s="3">
        <v>49310</v>
      </c>
    </row>
    <row r="6096" spans="1:22" x14ac:dyDescent="0.35">
      <c r="A6096" s="1">
        <v>42289.457546296297</v>
      </c>
      <c r="B6096" s="2">
        <v>0</v>
      </c>
      <c r="C6096" t="s">
        <v>6693</v>
      </c>
      <c r="D6096" t="s">
        <v>6396</v>
      </c>
      <c r="E6096" t="s">
        <v>6397</v>
      </c>
      <c r="F6096" t="s">
        <v>9479</v>
      </c>
      <c r="G6096">
        <v>3057415</v>
      </c>
      <c r="H6096" t="s">
        <v>26</v>
      </c>
      <c r="I6096" t="s">
        <v>38</v>
      </c>
      <c r="J6096" t="str">
        <f>"9780471217626"</f>
        <v>9780471217626</v>
      </c>
      <c r="L6096">
        <v>0</v>
      </c>
      <c r="O6096" t="s">
        <v>30</v>
      </c>
      <c r="P6096" t="s">
        <v>47</v>
      </c>
      <c r="Q6096" s="1">
        <v>42289.457546296297</v>
      </c>
      <c r="R6096">
        <v>1</v>
      </c>
      <c r="S6096" t="s">
        <v>6400</v>
      </c>
      <c r="T6096" t="s">
        <v>9480</v>
      </c>
      <c r="U6096" t="s">
        <v>9481</v>
      </c>
      <c r="V6096" s="3">
        <v>49310</v>
      </c>
    </row>
    <row r="6097" spans="1:22" x14ac:dyDescent="0.35">
      <c r="A6097" s="1">
        <v>42289.457395833335</v>
      </c>
      <c r="B6097" s="2">
        <v>1.5046296296296297E-4</v>
      </c>
      <c r="C6097" t="s">
        <v>6693</v>
      </c>
      <c r="D6097" t="s">
        <v>6396</v>
      </c>
      <c r="E6097" t="s">
        <v>6397</v>
      </c>
      <c r="F6097" t="s">
        <v>9479</v>
      </c>
      <c r="G6097">
        <v>3057415</v>
      </c>
      <c r="H6097" t="s">
        <v>26</v>
      </c>
      <c r="I6097" t="s">
        <v>38</v>
      </c>
      <c r="J6097" t="str">
        <f>"9780471217626"</f>
        <v>9780471217626</v>
      </c>
      <c r="K6097" t="s">
        <v>33</v>
      </c>
      <c r="L6097">
        <v>3</v>
      </c>
      <c r="O6097" t="s">
        <v>30</v>
      </c>
      <c r="P6097" t="s">
        <v>50</v>
      </c>
      <c r="S6097" t="s">
        <v>6400</v>
      </c>
      <c r="T6097" t="s">
        <v>9480</v>
      </c>
      <c r="U6097" t="s">
        <v>9481</v>
      </c>
      <c r="V6097" s="3">
        <v>49310</v>
      </c>
    </row>
    <row r="6098" spans="1:22" x14ac:dyDescent="0.35">
      <c r="A6098" s="1">
        <v>42289.383981481478</v>
      </c>
      <c r="B6098" s="2">
        <v>7.0601851851851847E-4</v>
      </c>
      <c r="C6098" t="s">
        <v>9368</v>
      </c>
      <c r="D6098" t="s">
        <v>2519</v>
      </c>
      <c r="E6098" t="s">
        <v>2520</v>
      </c>
      <c r="F6098" t="s">
        <v>9369</v>
      </c>
      <c r="G6098">
        <v>1998813</v>
      </c>
      <c r="H6098" t="s">
        <v>26</v>
      </c>
      <c r="I6098" t="s">
        <v>179</v>
      </c>
      <c r="J6098" t="str">
        <f>"9783527693511"</f>
        <v>9783527693511</v>
      </c>
      <c r="K6098" t="s">
        <v>9482</v>
      </c>
      <c r="L6098">
        <v>12</v>
      </c>
      <c r="O6098" t="s">
        <v>30</v>
      </c>
      <c r="P6098" t="s">
        <v>29</v>
      </c>
      <c r="Q6098" s="1">
        <v>42289.383981481478</v>
      </c>
      <c r="R6098">
        <v>7</v>
      </c>
      <c r="S6098" t="s">
        <v>3786</v>
      </c>
      <c r="T6098" t="s">
        <v>9371</v>
      </c>
      <c r="U6098">
        <v>541.36099999999999</v>
      </c>
      <c r="V6098" s="3">
        <v>42117</v>
      </c>
    </row>
    <row r="6099" spans="1:22" x14ac:dyDescent="0.35">
      <c r="A6099" s="1">
        <v>42289.374085648145</v>
      </c>
      <c r="B6099" s="2">
        <v>9.8958333333333329E-3</v>
      </c>
      <c r="C6099" t="s">
        <v>9368</v>
      </c>
      <c r="D6099" t="s">
        <v>2519</v>
      </c>
      <c r="E6099" t="s">
        <v>2520</v>
      </c>
      <c r="F6099" t="s">
        <v>9369</v>
      </c>
      <c r="G6099">
        <v>1998813</v>
      </c>
      <c r="H6099" t="s">
        <v>26</v>
      </c>
      <c r="I6099" t="s">
        <v>179</v>
      </c>
      <c r="J6099" t="str">
        <f>"9783527693511"</f>
        <v>9783527693511</v>
      </c>
      <c r="K6099" t="s">
        <v>611</v>
      </c>
      <c r="L6099">
        <v>3</v>
      </c>
      <c r="O6099" t="s">
        <v>30</v>
      </c>
      <c r="P6099" t="s">
        <v>50</v>
      </c>
      <c r="S6099" t="s">
        <v>3786</v>
      </c>
      <c r="T6099" t="s">
        <v>9371</v>
      </c>
      <c r="U6099">
        <v>541.36099999999999</v>
      </c>
      <c r="V6099" s="3">
        <v>42117</v>
      </c>
    </row>
    <row r="6100" spans="1:22" x14ac:dyDescent="0.35">
      <c r="A6100" s="1">
        <v>42289.323738425926</v>
      </c>
      <c r="B6100" s="2">
        <v>5.4745370370370373E-3</v>
      </c>
      <c r="C6100" t="s">
        <v>9483</v>
      </c>
      <c r="D6100" t="s">
        <v>6396</v>
      </c>
      <c r="E6100" t="s">
        <v>6397</v>
      </c>
      <c r="F6100" t="s">
        <v>9484</v>
      </c>
      <c r="G6100">
        <v>1638160</v>
      </c>
      <c r="H6100" t="s">
        <v>26</v>
      </c>
      <c r="I6100" t="s">
        <v>120</v>
      </c>
      <c r="J6100" t="str">
        <f>"9781118898956"</f>
        <v>9781118898956</v>
      </c>
      <c r="K6100" t="s">
        <v>9485</v>
      </c>
      <c r="L6100">
        <v>12</v>
      </c>
      <c r="O6100" t="s">
        <v>30</v>
      </c>
      <c r="P6100" t="s">
        <v>47</v>
      </c>
      <c r="Q6100" s="1">
        <v>42289.034131944441</v>
      </c>
      <c r="R6100">
        <v>1</v>
      </c>
      <c r="S6100" t="s">
        <v>6400</v>
      </c>
      <c r="T6100" t="s">
        <v>9486</v>
      </c>
      <c r="U6100">
        <v>364.16800000000001</v>
      </c>
      <c r="V6100" s="3">
        <v>41689</v>
      </c>
    </row>
    <row r="6101" spans="1:22" x14ac:dyDescent="0.35">
      <c r="A6101" s="1">
        <v>42289.283229166664</v>
      </c>
      <c r="B6101" s="2">
        <v>0</v>
      </c>
      <c r="C6101" t="s">
        <v>6693</v>
      </c>
      <c r="D6101" t="s">
        <v>6396</v>
      </c>
      <c r="E6101" t="s">
        <v>6397</v>
      </c>
      <c r="F6101" t="s">
        <v>9487</v>
      </c>
      <c r="G6101">
        <v>1120740</v>
      </c>
      <c r="H6101" t="s">
        <v>26</v>
      </c>
      <c r="I6101" t="s">
        <v>7189</v>
      </c>
      <c r="J6101" t="str">
        <f>"9781118596890"</f>
        <v>9781118596890</v>
      </c>
      <c r="L6101">
        <v>0</v>
      </c>
      <c r="O6101" t="s">
        <v>28</v>
      </c>
      <c r="P6101" t="s">
        <v>47</v>
      </c>
      <c r="Q6101" s="1">
        <v>42289.283229166664</v>
      </c>
      <c r="R6101">
        <v>1</v>
      </c>
      <c r="S6101" t="s">
        <v>6400</v>
      </c>
      <c r="T6101" t="s">
        <v>9488</v>
      </c>
      <c r="U6101">
        <v>174.2</v>
      </c>
      <c r="V6101" s="3">
        <v>41281</v>
      </c>
    </row>
    <row r="6102" spans="1:22" x14ac:dyDescent="0.35">
      <c r="A6102" s="1">
        <v>42289.283229166664</v>
      </c>
      <c r="B6102" s="2">
        <v>0</v>
      </c>
      <c r="C6102" t="s">
        <v>6693</v>
      </c>
      <c r="D6102" t="s">
        <v>6396</v>
      </c>
      <c r="E6102" t="s">
        <v>6397</v>
      </c>
      <c r="F6102" t="s">
        <v>9487</v>
      </c>
      <c r="G6102">
        <v>1120740</v>
      </c>
      <c r="H6102" t="s">
        <v>26</v>
      </c>
      <c r="I6102" t="s">
        <v>7189</v>
      </c>
      <c r="J6102" t="str">
        <f>"9781118596890"</f>
        <v>9781118596890</v>
      </c>
      <c r="L6102">
        <v>0</v>
      </c>
      <c r="O6102" t="s">
        <v>30</v>
      </c>
      <c r="P6102" t="s">
        <v>47</v>
      </c>
      <c r="Q6102" s="1">
        <v>42289.283229166664</v>
      </c>
      <c r="R6102">
        <v>1</v>
      </c>
      <c r="S6102" t="s">
        <v>6400</v>
      </c>
      <c r="T6102" t="s">
        <v>9488</v>
      </c>
      <c r="U6102">
        <v>174.2</v>
      </c>
      <c r="V6102" s="3">
        <v>41281</v>
      </c>
    </row>
    <row r="6103" spans="1:22" x14ac:dyDescent="0.35">
      <c r="A6103" s="1">
        <v>42289.283043981479</v>
      </c>
      <c r="B6103" s="2">
        <v>1.8518518518518518E-4</v>
      </c>
      <c r="C6103" t="s">
        <v>6693</v>
      </c>
      <c r="D6103" t="s">
        <v>6396</v>
      </c>
      <c r="E6103" t="s">
        <v>6397</v>
      </c>
      <c r="F6103" t="s">
        <v>9487</v>
      </c>
      <c r="G6103">
        <v>1120740</v>
      </c>
      <c r="H6103" t="s">
        <v>26</v>
      </c>
      <c r="I6103" t="s">
        <v>7189</v>
      </c>
      <c r="J6103" t="str">
        <f>"9781118596890"</f>
        <v>9781118596890</v>
      </c>
      <c r="K6103" t="s">
        <v>33</v>
      </c>
      <c r="L6103">
        <v>3</v>
      </c>
      <c r="O6103" t="s">
        <v>30</v>
      </c>
      <c r="P6103" t="s">
        <v>50</v>
      </c>
      <c r="S6103" t="s">
        <v>6400</v>
      </c>
      <c r="T6103" t="s">
        <v>9488</v>
      </c>
      <c r="U6103">
        <v>174.2</v>
      </c>
      <c r="V6103" s="3">
        <v>41281</v>
      </c>
    </row>
    <row r="6104" spans="1:22" x14ac:dyDescent="0.35">
      <c r="A6104" s="1">
        <v>42289.282997685186</v>
      </c>
      <c r="B6104" s="2">
        <v>0</v>
      </c>
      <c r="C6104" t="s">
        <v>6693</v>
      </c>
      <c r="D6104" t="s">
        <v>6396</v>
      </c>
      <c r="E6104" t="s">
        <v>6397</v>
      </c>
      <c r="F6104" t="s">
        <v>9489</v>
      </c>
      <c r="G6104">
        <v>1895635</v>
      </c>
      <c r="H6104" t="s">
        <v>26</v>
      </c>
      <c r="I6104" t="s">
        <v>247</v>
      </c>
      <c r="J6104" t="str">
        <f>"9781118828625"</f>
        <v>9781118828625</v>
      </c>
      <c r="L6104">
        <v>0</v>
      </c>
      <c r="O6104" t="s">
        <v>28</v>
      </c>
      <c r="P6104" t="s">
        <v>29</v>
      </c>
      <c r="Q6104" s="1">
        <v>42289.282997685186</v>
      </c>
      <c r="R6104">
        <v>7</v>
      </c>
      <c r="S6104" t="s">
        <v>6400</v>
      </c>
      <c r="T6104" t="s">
        <v>9490</v>
      </c>
      <c r="U6104" t="s">
        <v>9491</v>
      </c>
      <c r="V6104" s="3">
        <v>42163</v>
      </c>
    </row>
    <row r="6105" spans="1:22" x14ac:dyDescent="0.35">
      <c r="A6105" s="1">
        <v>42289.282997685186</v>
      </c>
      <c r="B6105" s="2">
        <v>0</v>
      </c>
      <c r="C6105" t="s">
        <v>6693</v>
      </c>
      <c r="D6105" t="s">
        <v>6396</v>
      </c>
      <c r="E6105" t="s">
        <v>6397</v>
      </c>
      <c r="F6105" t="s">
        <v>9489</v>
      </c>
      <c r="G6105">
        <v>1895635</v>
      </c>
      <c r="H6105" t="s">
        <v>26</v>
      </c>
      <c r="I6105" t="s">
        <v>247</v>
      </c>
      <c r="J6105" t="str">
        <f>"9781118828625"</f>
        <v>9781118828625</v>
      </c>
      <c r="L6105">
        <v>0</v>
      </c>
      <c r="O6105" t="s">
        <v>30</v>
      </c>
      <c r="P6105" t="s">
        <v>29</v>
      </c>
      <c r="Q6105" s="1">
        <v>42289.282997685186</v>
      </c>
      <c r="R6105">
        <v>7</v>
      </c>
      <c r="S6105" t="s">
        <v>6400</v>
      </c>
      <c r="T6105" t="s">
        <v>9490</v>
      </c>
      <c r="U6105" t="s">
        <v>9491</v>
      </c>
      <c r="V6105" s="3">
        <v>42163</v>
      </c>
    </row>
    <row r="6106" spans="1:22" x14ac:dyDescent="0.35">
      <c r="A6106" s="1">
        <v>42289.282152777778</v>
      </c>
      <c r="B6106" s="2">
        <v>8.449074074074075E-4</v>
      </c>
      <c r="C6106" t="s">
        <v>6693</v>
      </c>
      <c r="D6106" t="s">
        <v>6396</v>
      </c>
      <c r="E6106" t="s">
        <v>6397</v>
      </c>
      <c r="F6106" t="s">
        <v>9489</v>
      </c>
      <c r="G6106">
        <v>1895635</v>
      </c>
      <c r="H6106" t="s">
        <v>26</v>
      </c>
      <c r="I6106" t="s">
        <v>247</v>
      </c>
      <c r="J6106" t="str">
        <f>"9781118828625"</f>
        <v>9781118828625</v>
      </c>
      <c r="K6106" t="s">
        <v>33</v>
      </c>
      <c r="L6106">
        <v>3</v>
      </c>
      <c r="O6106" t="s">
        <v>30</v>
      </c>
      <c r="P6106" t="s">
        <v>50</v>
      </c>
      <c r="S6106" t="s">
        <v>6400</v>
      </c>
      <c r="T6106" t="s">
        <v>9490</v>
      </c>
      <c r="U6106" t="s">
        <v>9491</v>
      </c>
      <c r="V6106" s="3">
        <v>42163</v>
      </c>
    </row>
    <row r="6107" spans="1:22" x14ac:dyDescent="0.35">
      <c r="A6107" s="1">
        <v>42289.279074074075</v>
      </c>
      <c r="B6107" s="2">
        <v>0</v>
      </c>
      <c r="C6107" t="s">
        <v>6693</v>
      </c>
      <c r="D6107" t="s">
        <v>6396</v>
      </c>
      <c r="E6107" t="s">
        <v>6397</v>
      </c>
      <c r="F6107" t="s">
        <v>3909</v>
      </c>
      <c r="G6107">
        <v>1890993</v>
      </c>
      <c r="H6107" t="s">
        <v>26</v>
      </c>
      <c r="I6107" t="s">
        <v>247</v>
      </c>
      <c r="J6107" t="str">
        <f>"9781118939161"</f>
        <v>9781118939161</v>
      </c>
      <c r="L6107">
        <v>0</v>
      </c>
      <c r="O6107" t="s">
        <v>28</v>
      </c>
      <c r="P6107" t="s">
        <v>29</v>
      </c>
      <c r="Q6107" s="1">
        <v>42289.279074074075</v>
      </c>
      <c r="R6107">
        <v>7</v>
      </c>
      <c r="S6107" t="s">
        <v>6400</v>
      </c>
      <c r="T6107" t="s">
        <v>3911</v>
      </c>
      <c r="U6107">
        <v>616.02800000000002</v>
      </c>
      <c r="V6107" s="3">
        <v>41984</v>
      </c>
    </row>
    <row r="6108" spans="1:22" x14ac:dyDescent="0.35">
      <c r="A6108" s="1">
        <v>42289.279074074075</v>
      </c>
      <c r="B6108" s="2">
        <v>0</v>
      </c>
      <c r="C6108" t="s">
        <v>6693</v>
      </c>
      <c r="D6108" t="s">
        <v>6396</v>
      </c>
      <c r="E6108" t="s">
        <v>6397</v>
      </c>
      <c r="F6108" t="s">
        <v>3909</v>
      </c>
      <c r="G6108">
        <v>1890993</v>
      </c>
      <c r="H6108" t="s">
        <v>26</v>
      </c>
      <c r="I6108" t="s">
        <v>247</v>
      </c>
      <c r="J6108" t="str">
        <f>"9781118939161"</f>
        <v>9781118939161</v>
      </c>
      <c r="L6108">
        <v>0</v>
      </c>
      <c r="O6108" t="s">
        <v>30</v>
      </c>
      <c r="P6108" t="s">
        <v>29</v>
      </c>
      <c r="Q6108" s="1">
        <v>42289.279074074075</v>
      </c>
      <c r="R6108">
        <v>7</v>
      </c>
      <c r="S6108" t="s">
        <v>6400</v>
      </c>
      <c r="T6108" t="s">
        <v>3911</v>
      </c>
      <c r="U6108">
        <v>616.02800000000002</v>
      </c>
      <c r="V6108" s="3">
        <v>41984</v>
      </c>
    </row>
    <row r="6109" spans="1:22" x14ac:dyDescent="0.35">
      <c r="A6109" s="1">
        <v>42289.278425925928</v>
      </c>
      <c r="B6109" s="2">
        <v>0</v>
      </c>
      <c r="C6109" t="s">
        <v>6693</v>
      </c>
      <c r="D6109" t="s">
        <v>6396</v>
      </c>
      <c r="E6109" t="s">
        <v>6397</v>
      </c>
      <c r="F6109" t="s">
        <v>9492</v>
      </c>
      <c r="G6109">
        <v>1880169</v>
      </c>
      <c r="H6109" t="s">
        <v>26</v>
      </c>
      <c r="I6109" t="s">
        <v>247</v>
      </c>
      <c r="J6109" t="str">
        <f>"9781118772591"</f>
        <v>9781118772591</v>
      </c>
      <c r="L6109">
        <v>0</v>
      </c>
      <c r="O6109" t="s">
        <v>28</v>
      </c>
      <c r="P6109" t="s">
        <v>29</v>
      </c>
      <c r="Q6109" s="1">
        <v>42289.278425925928</v>
      </c>
      <c r="R6109">
        <v>7</v>
      </c>
      <c r="S6109" t="s">
        <v>6400</v>
      </c>
      <c r="T6109" t="s">
        <v>9493</v>
      </c>
      <c r="U6109" t="s">
        <v>9494</v>
      </c>
      <c r="V6109" s="3">
        <v>41974</v>
      </c>
    </row>
    <row r="6110" spans="1:22" x14ac:dyDescent="0.35">
      <c r="A6110" s="1">
        <v>42289.278425925928</v>
      </c>
      <c r="B6110" s="2">
        <v>0</v>
      </c>
      <c r="C6110" t="s">
        <v>6693</v>
      </c>
      <c r="D6110" t="s">
        <v>6396</v>
      </c>
      <c r="E6110" t="s">
        <v>6397</v>
      </c>
      <c r="F6110" t="s">
        <v>9492</v>
      </c>
      <c r="G6110">
        <v>1880169</v>
      </c>
      <c r="H6110" t="s">
        <v>26</v>
      </c>
      <c r="I6110" t="s">
        <v>247</v>
      </c>
      <c r="J6110" t="str">
        <f>"9781118772591"</f>
        <v>9781118772591</v>
      </c>
      <c r="L6110">
        <v>0</v>
      </c>
      <c r="O6110" t="s">
        <v>30</v>
      </c>
      <c r="P6110" t="s">
        <v>29</v>
      </c>
      <c r="Q6110" s="1">
        <v>42289.278425925928</v>
      </c>
      <c r="R6110">
        <v>7</v>
      </c>
      <c r="S6110" t="s">
        <v>6400</v>
      </c>
      <c r="T6110" t="s">
        <v>9493</v>
      </c>
      <c r="U6110" t="s">
        <v>9494</v>
      </c>
      <c r="V6110" s="3">
        <v>41974</v>
      </c>
    </row>
    <row r="6111" spans="1:22" x14ac:dyDescent="0.35">
      <c r="A6111" s="1">
        <v>42289.276087962964</v>
      </c>
      <c r="B6111" s="2">
        <v>5.7870370370370366E-5</v>
      </c>
      <c r="C6111" t="s">
        <v>6693</v>
      </c>
      <c r="D6111" t="s">
        <v>6396</v>
      </c>
      <c r="E6111" t="s">
        <v>6397</v>
      </c>
      <c r="F6111" t="s">
        <v>8581</v>
      </c>
      <c r="G6111">
        <v>1943363</v>
      </c>
      <c r="H6111" t="s">
        <v>26</v>
      </c>
      <c r="I6111" t="s">
        <v>247</v>
      </c>
      <c r="J6111" t="str">
        <f>"9781118746196"</f>
        <v>9781118746196</v>
      </c>
      <c r="K6111" t="s">
        <v>33</v>
      </c>
      <c r="L6111">
        <v>3</v>
      </c>
      <c r="O6111" t="s">
        <v>30</v>
      </c>
      <c r="P6111" t="s">
        <v>50</v>
      </c>
      <c r="S6111" t="s">
        <v>6400</v>
      </c>
      <c r="T6111" t="s">
        <v>8583</v>
      </c>
      <c r="U6111" t="s">
        <v>8584</v>
      </c>
      <c r="V6111" s="3">
        <v>42040</v>
      </c>
    </row>
    <row r="6112" spans="1:22" x14ac:dyDescent="0.35">
      <c r="A6112" s="1">
        <v>42289.276018518518</v>
      </c>
      <c r="B6112" s="2">
        <v>2.4074074074074076E-3</v>
      </c>
      <c r="C6112" t="s">
        <v>6693</v>
      </c>
      <c r="D6112" t="s">
        <v>6396</v>
      </c>
      <c r="E6112" t="s">
        <v>6397</v>
      </c>
      <c r="F6112" t="s">
        <v>9492</v>
      </c>
      <c r="G6112">
        <v>1880169</v>
      </c>
      <c r="H6112" t="s">
        <v>26</v>
      </c>
      <c r="I6112" t="s">
        <v>247</v>
      </c>
      <c r="J6112" t="str">
        <f>"9781118772591"</f>
        <v>9781118772591</v>
      </c>
      <c r="K6112" t="s">
        <v>33</v>
      </c>
      <c r="L6112">
        <v>3</v>
      </c>
      <c r="O6112" t="s">
        <v>30</v>
      </c>
      <c r="P6112" t="s">
        <v>50</v>
      </c>
      <c r="S6112" t="s">
        <v>6400</v>
      </c>
      <c r="T6112" t="s">
        <v>9493</v>
      </c>
      <c r="U6112" t="s">
        <v>9494</v>
      </c>
      <c r="V6112" s="3">
        <v>41974</v>
      </c>
    </row>
    <row r="6113" spans="1:22" x14ac:dyDescent="0.35">
      <c r="A6113" s="1">
        <v>42289.275925925926</v>
      </c>
      <c r="B6113" s="2">
        <v>3.1481481481481482E-3</v>
      </c>
      <c r="C6113" t="s">
        <v>6693</v>
      </c>
      <c r="D6113" t="s">
        <v>6396</v>
      </c>
      <c r="E6113" t="s">
        <v>6397</v>
      </c>
      <c r="F6113" t="s">
        <v>3909</v>
      </c>
      <c r="G6113">
        <v>1890993</v>
      </c>
      <c r="H6113" t="s">
        <v>26</v>
      </c>
      <c r="I6113" t="s">
        <v>247</v>
      </c>
      <c r="J6113" t="str">
        <f>"9781118939161"</f>
        <v>9781118939161</v>
      </c>
      <c r="K6113" t="s">
        <v>33</v>
      </c>
      <c r="L6113">
        <v>3</v>
      </c>
      <c r="O6113" t="s">
        <v>30</v>
      </c>
      <c r="P6113" t="s">
        <v>50</v>
      </c>
      <c r="S6113" t="s">
        <v>6400</v>
      </c>
      <c r="T6113" t="s">
        <v>3911</v>
      </c>
      <c r="U6113">
        <v>616.02800000000002</v>
      </c>
      <c r="V6113" s="3">
        <v>41984</v>
      </c>
    </row>
    <row r="6114" spans="1:22" x14ac:dyDescent="0.35">
      <c r="A6114" s="1">
        <v>42289.275648148148</v>
      </c>
      <c r="B6114" s="2">
        <v>0</v>
      </c>
      <c r="C6114" t="s">
        <v>6693</v>
      </c>
      <c r="D6114" t="s">
        <v>6396</v>
      </c>
      <c r="E6114" t="s">
        <v>6397</v>
      </c>
      <c r="F6114" t="s">
        <v>9495</v>
      </c>
      <c r="G6114">
        <v>1895517</v>
      </c>
      <c r="H6114" t="s">
        <v>26</v>
      </c>
      <c r="I6114" t="s">
        <v>247</v>
      </c>
      <c r="J6114" t="str">
        <f>"9781118632833"</f>
        <v>9781118632833</v>
      </c>
      <c r="L6114">
        <v>0</v>
      </c>
      <c r="O6114" t="s">
        <v>28</v>
      </c>
      <c r="P6114" t="s">
        <v>29</v>
      </c>
      <c r="Q6114" s="1">
        <v>42289.275648148148</v>
      </c>
      <c r="R6114">
        <v>7</v>
      </c>
      <c r="S6114" t="s">
        <v>6400</v>
      </c>
      <c r="T6114" t="s">
        <v>9496</v>
      </c>
      <c r="U6114">
        <v>616</v>
      </c>
      <c r="V6114" s="3">
        <v>42059</v>
      </c>
    </row>
    <row r="6115" spans="1:22" x14ac:dyDescent="0.35">
      <c r="A6115" s="1">
        <v>42289.275648148148</v>
      </c>
      <c r="B6115" s="2">
        <v>0</v>
      </c>
      <c r="C6115" t="s">
        <v>6693</v>
      </c>
      <c r="D6115" t="s">
        <v>6396</v>
      </c>
      <c r="E6115" t="s">
        <v>6397</v>
      </c>
      <c r="F6115" t="s">
        <v>9495</v>
      </c>
      <c r="G6115">
        <v>1895517</v>
      </c>
      <c r="H6115" t="s">
        <v>26</v>
      </c>
      <c r="I6115" t="s">
        <v>247</v>
      </c>
      <c r="J6115" t="str">
        <f>"9781118632833"</f>
        <v>9781118632833</v>
      </c>
      <c r="L6115">
        <v>0</v>
      </c>
      <c r="O6115" t="s">
        <v>30</v>
      </c>
      <c r="P6115" t="s">
        <v>29</v>
      </c>
      <c r="Q6115" s="1">
        <v>42289.275648148148</v>
      </c>
      <c r="R6115">
        <v>7</v>
      </c>
      <c r="S6115" t="s">
        <v>6400</v>
      </c>
      <c r="T6115" t="s">
        <v>9496</v>
      </c>
      <c r="U6115">
        <v>616</v>
      </c>
      <c r="V6115" s="3">
        <v>42059</v>
      </c>
    </row>
    <row r="6116" spans="1:22" x14ac:dyDescent="0.35">
      <c r="A6116" s="1">
        <v>42289.275046296294</v>
      </c>
      <c r="B6116" s="2">
        <v>6.018518518518519E-4</v>
      </c>
      <c r="C6116" t="s">
        <v>6693</v>
      </c>
      <c r="D6116" t="s">
        <v>6396</v>
      </c>
      <c r="E6116" t="s">
        <v>6397</v>
      </c>
      <c r="F6116" t="s">
        <v>9495</v>
      </c>
      <c r="G6116">
        <v>1895517</v>
      </c>
      <c r="H6116" t="s">
        <v>26</v>
      </c>
      <c r="I6116" t="s">
        <v>247</v>
      </c>
      <c r="J6116" t="str">
        <f>"9781118632833"</f>
        <v>9781118632833</v>
      </c>
      <c r="K6116" t="s">
        <v>33</v>
      </c>
      <c r="L6116">
        <v>3</v>
      </c>
      <c r="O6116" t="s">
        <v>30</v>
      </c>
      <c r="P6116" t="s">
        <v>50</v>
      </c>
      <c r="S6116" t="s">
        <v>6400</v>
      </c>
      <c r="T6116" t="s">
        <v>9496</v>
      </c>
      <c r="U6116">
        <v>616</v>
      </c>
      <c r="V6116" s="3">
        <v>42059</v>
      </c>
    </row>
    <row r="6117" spans="1:22" x14ac:dyDescent="0.35">
      <c r="A6117" s="1">
        <v>42289.2737037037</v>
      </c>
      <c r="B6117" s="2">
        <v>0</v>
      </c>
      <c r="C6117" t="s">
        <v>6693</v>
      </c>
      <c r="D6117" t="s">
        <v>6396</v>
      </c>
      <c r="E6117" t="s">
        <v>6397</v>
      </c>
      <c r="F6117" t="s">
        <v>3133</v>
      </c>
      <c r="G6117">
        <v>1767439</v>
      </c>
      <c r="H6117" t="s">
        <v>26</v>
      </c>
      <c r="I6117" t="s">
        <v>247</v>
      </c>
      <c r="J6117" t="str">
        <f>"9781118437780"</f>
        <v>9781118437780</v>
      </c>
      <c r="L6117">
        <v>0</v>
      </c>
      <c r="O6117" t="s">
        <v>28</v>
      </c>
      <c r="P6117" t="s">
        <v>47</v>
      </c>
      <c r="Q6117" s="1">
        <v>42289.2737037037</v>
      </c>
      <c r="R6117">
        <v>1</v>
      </c>
      <c r="S6117" t="s">
        <v>6400</v>
      </c>
      <c r="T6117" t="s">
        <v>3135</v>
      </c>
      <c r="U6117">
        <v>616.029</v>
      </c>
      <c r="V6117" s="3">
        <v>41864</v>
      </c>
    </row>
    <row r="6118" spans="1:22" x14ac:dyDescent="0.35">
      <c r="A6118" s="1">
        <v>42289.2737037037</v>
      </c>
      <c r="B6118" s="2">
        <v>0</v>
      </c>
      <c r="C6118" t="s">
        <v>6693</v>
      </c>
      <c r="D6118" t="s">
        <v>6396</v>
      </c>
      <c r="E6118" t="s">
        <v>6397</v>
      </c>
      <c r="F6118" t="s">
        <v>3133</v>
      </c>
      <c r="G6118">
        <v>1767439</v>
      </c>
      <c r="H6118" t="s">
        <v>26</v>
      </c>
      <c r="I6118" t="s">
        <v>247</v>
      </c>
      <c r="J6118" t="str">
        <f>"9781118437780"</f>
        <v>9781118437780</v>
      </c>
      <c r="L6118">
        <v>0</v>
      </c>
      <c r="O6118" t="s">
        <v>30</v>
      </c>
      <c r="P6118" t="s">
        <v>47</v>
      </c>
      <c r="Q6118" s="1">
        <v>42289.2737037037</v>
      </c>
      <c r="R6118">
        <v>1</v>
      </c>
      <c r="S6118" t="s">
        <v>6400</v>
      </c>
      <c r="T6118" t="s">
        <v>3135</v>
      </c>
      <c r="U6118">
        <v>616.029</v>
      </c>
      <c r="V6118" s="3">
        <v>41864</v>
      </c>
    </row>
    <row r="6119" spans="1:22" x14ac:dyDescent="0.35">
      <c r="A6119" s="1">
        <v>42289.273518518516</v>
      </c>
      <c r="B6119" s="2">
        <v>1.8518518518518518E-4</v>
      </c>
      <c r="C6119" t="s">
        <v>6693</v>
      </c>
      <c r="D6119" t="s">
        <v>6396</v>
      </c>
      <c r="E6119" t="s">
        <v>6397</v>
      </c>
      <c r="F6119" t="s">
        <v>3133</v>
      </c>
      <c r="G6119">
        <v>1767439</v>
      </c>
      <c r="H6119" t="s">
        <v>26</v>
      </c>
      <c r="I6119" t="s">
        <v>247</v>
      </c>
      <c r="J6119" t="str">
        <f>"9781118437780"</f>
        <v>9781118437780</v>
      </c>
      <c r="K6119" t="s">
        <v>33</v>
      </c>
      <c r="L6119">
        <v>3</v>
      </c>
      <c r="O6119" t="s">
        <v>30</v>
      </c>
      <c r="P6119" t="s">
        <v>50</v>
      </c>
      <c r="S6119" t="s">
        <v>6400</v>
      </c>
      <c r="T6119" t="s">
        <v>3135</v>
      </c>
      <c r="U6119">
        <v>616.029</v>
      </c>
      <c r="V6119" s="3">
        <v>41864</v>
      </c>
    </row>
    <row r="6120" spans="1:22" x14ac:dyDescent="0.35">
      <c r="A6120" s="1">
        <v>42289.193009259259</v>
      </c>
      <c r="B6120" s="2">
        <v>2.2453703703703702E-3</v>
      </c>
      <c r="C6120" t="s">
        <v>9497</v>
      </c>
      <c r="D6120" t="s">
        <v>623</v>
      </c>
      <c r="E6120" t="s">
        <v>624</v>
      </c>
      <c r="F6120" t="s">
        <v>3973</v>
      </c>
      <c r="G6120">
        <v>771049</v>
      </c>
      <c r="H6120" t="s">
        <v>3465</v>
      </c>
      <c r="I6120" t="s">
        <v>3974</v>
      </c>
      <c r="J6120" t="str">
        <f>"9781608706648"</f>
        <v>9781608706648</v>
      </c>
      <c r="K6120" t="s">
        <v>9498</v>
      </c>
      <c r="L6120">
        <v>23</v>
      </c>
      <c r="O6120" t="s">
        <v>30</v>
      </c>
      <c r="P6120" t="s">
        <v>42</v>
      </c>
      <c r="S6120" t="s">
        <v>627</v>
      </c>
      <c r="T6120" t="s">
        <v>3976</v>
      </c>
      <c r="U6120">
        <v>363.73874000000001</v>
      </c>
      <c r="V6120" s="3">
        <v>40909</v>
      </c>
    </row>
    <row r="6121" spans="1:22" x14ac:dyDescent="0.35">
      <c r="A6121" s="1">
        <v>42289.175219907411</v>
      </c>
      <c r="B6121" s="2">
        <v>0</v>
      </c>
      <c r="C6121" t="s">
        <v>5851</v>
      </c>
      <c r="D6121" t="s">
        <v>23</v>
      </c>
      <c r="E6121" t="s">
        <v>24</v>
      </c>
      <c r="F6121" t="s">
        <v>3088</v>
      </c>
      <c r="G6121">
        <v>1650828</v>
      </c>
      <c r="H6121" t="s">
        <v>26</v>
      </c>
      <c r="I6121" t="s">
        <v>97</v>
      </c>
      <c r="J6121" t="str">
        <f>"9781118729205"</f>
        <v>9781118729205</v>
      </c>
      <c r="L6121">
        <v>0</v>
      </c>
      <c r="O6121" t="s">
        <v>28</v>
      </c>
      <c r="P6121" t="s">
        <v>29</v>
      </c>
      <c r="Q6121" s="1">
        <v>42289.175219907411</v>
      </c>
      <c r="R6121">
        <v>7</v>
      </c>
      <c r="S6121" t="s">
        <v>31</v>
      </c>
      <c r="T6121" t="s">
        <v>3090</v>
      </c>
      <c r="U6121">
        <v>658.05631200000005</v>
      </c>
      <c r="V6121" s="3">
        <v>41704</v>
      </c>
    </row>
    <row r="6122" spans="1:22" x14ac:dyDescent="0.35">
      <c r="A6122" s="1">
        <v>42289.175219907411</v>
      </c>
      <c r="B6122" s="2">
        <v>0</v>
      </c>
      <c r="C6122" t="s">
        <v>5851</v>
      </c>
      <c r="D6122" t="s">
        <v>23</v>
      </c>
      <c r="E6122" t="s">
        <v>24</v>
      </c>
      <c r="F6122" t="s">
        <v>3088</v>
      </c>
      <c r="G6122">
        <v>1650828</v>
      </c>
      <c r="H6122" t="s">
        <v>26</v>
      </c>
      <c r="I6122" t="s">
        <v>97</v>
      </c>
      <c r="J6122" t="str">
        <f>"9781118729205"</f>
        <v>9781118729205</v>
      </c>
      <c r="L6122">
        <v>0</v>
      </c>
      <c r="O6122" t="s">
        <v>30</v>
      </c>
      <c r="P6122" t="s">
        <v>29</v>
      </c>
      <c r="Q6122" s="1">
        <v>42289.175219907411</v>
      </c>
      <c r="R6122">
        <v>7</v>
      </c>
      <c r="S6122" t="s">
        <v>31</v>
      </c>
      <c r="T6122" t="s">
        <v>3090</v>
      </c>
      <c r="U6122">
        <v>658.05631200000005</v>
      </c>
      <c r="V6122" s="3">
        <v>41704</v>
      </c>
    </row>
    <row r="6123" spans="1:22" x14ac:dyDescent="0.35">
      <c r="A6123" s="1">
        <v>42289.17386574074</v>
      </c>
      <c r="B6123" s="2">
        <v>1.3541666666666667E-3</v>
      </c>
      <c r="C6123" t="s">
        <v>5851</v>
      </c>
      <c r="D6123" t="s">
        <v>23</v>
      </c>
      <c r="E6123" t="s">
        <v>24</v>
      </c>
      <c r="F6123" t="s">
        <v>3088</v>
      </c>
      <c r="G6123">
        <v>1650828</v>
      </c>
      <c r="H6123" t="s">
        <v>26</v>
      </c>
      <c r="I6123" t="s">
        <v>97</v>
      </c>
      <c r="J6123" t="str">
        <f>"9781118729205"</f>
        <v>9781118729205</v>
      </c>
      <c r="K6123" t="s">
        <v>202</v>
      </c>
      <c r="L6123">
        <v>3</v>
      </c>
      <c r="O6123" t="s">
        <v>30</v>
      </c>
      <c r="P6123" t="s">
        <v>42</v>
      </c>
      <c r="S6123" t="s">
        <v>31</v>
      </c>
      <c r="T6123" t="s">
        <v>3090</v>
      </c>
      <c r="U6123">
        <v>658.05631200000005</v>
      </c>
      <c r="V6123" s="3">
        <v>41704</v>
      </c>
    </row>
    <row r="6124" spans="1:22" x14ac:dyDescent="0.35">
      <c r="A6124" s="1">
        <v>42289.121087962965</v>
      </c>
      <c r="B6124" s="2">
        <v>4.0509259259259258E-4</v>
      </c>
      <c r="C6124" t="s">
        <v>106</v>
      </c>
      <c r="D6124" t="s">
        <v>23</v>
      </c>
      <c r="E6124" t="s">
        <v>24</v>
      </c>
      <c r="F6124" t="s">
        <v>486</v>
      </c>
      <c r="G6124">
        <v>1119505</v>
      </c>
      <c r="H6124" t="s">
        <v>26</v>
      </c>
      <c r="I6124" t="s">
        <v>450</v>
      </c>
      <c r="J6124" t="str">
        <f>"9781118355015"</f>
        <v>9781118355015</v>
      </c>
      <c r="K6124" t="s">
        <v>9499</v>
      </c>
      <c r="L6124">
        <v>15</v>
      </c>
      <c r="O6124" t="s">
        <v>30</v>
      </c>
      <c r="P6124" t="s">
        <v>29</v>
      </c>
      <c r="Q6124" s="1">
        <v>42287.190775462965</v>
      </c>
      <c r="R6124">
        <v>7</v>
      </c>
      <c r="S6124" t="s">
        <v>31</v>
      </c>
      <c r="T6124" t="s">
        <v>487</v>
      </c>
      <c r="U6124" t="s">
        <v>488</v>
      </c>
      <c r="V6124" s="3">
        <v>41302</v>
      </c>
    </row>
    <row r="6125" spans="1:22" x14ac:dyDescent="0.35">
      <c r="A6125" s="1">
        <v>42289.060254629629</v>
      </c>
      <c r="B6125" s="2">
        <v>9.2592592592592588E-5</v>
      </c>
      <c r="C6125" t="s">
        <v>9500</v>
      </c>
      <c r="D6125" t="s">
        <v>23</v>
      </c>
      <c r="E6125" t="s">
        <v>24</v>
      </c>
      <c r="F6125" t="s">
        <v>486</v>
      </c>
      <c r="G6125">
        <v>1119505</v>
      </c>
      <c r="H6125" t="s">
        <v>26</v>
      </c>
      <c r="I6125" t="s">
        <v>450</v>
      </c>
      <c r="J6125" t="str">
        <f>"9781118355015"</f>
        <v>9781118355015</v>
      </c>
      <c r="K6125" t="s">
        <v>33</v>
      </c>
      <c r="L6125">
        <v>3</v>
      </c>
      <c r="O6125" t="s">
        <v>30</v>
      </c>
      <c r="P6125" t="s">
        <v>42</v>
      </c>
      <c r="S6125" t="s">
        <v>31</v>
      </c>
      <c r="T6125" t="s">
        <v>487</v>
      </c>
      <c r="U6125" t="s">
        <v>488</v>
      </c>
      <c r="V6125" s="3">
        <v>41302</v>
      </c>
    </row>
    <row r="6126" spans="1:22" x14ac:dyDescent="0.35">
      <c r="A6126" s="1">
        <v>42289.052893518521</v>
      </c>
      <c r="B6126" s="2">
        <v>0</v>
      </c>
      <c r="C6126" t="s">
        <v>4813</v>
      </c>
      <c r="D6126" t="s">
        <v>23</v>
      </c>
      <c r="E6126" t="s">
        <v>24</v>
      </c>
      <c r="F6126" t="s">
        <v>9501</v>
      </c>
      <c r="G6126">
        <v>1680598</v>
      </c>
      <c r="H6126" t="s">
        <v>26</v>
      </c>
      <c r="I6126" t="s">
        <v>108</v>
      </c>
      <c r="J6126" t="str">
        <f>"9781118843048"</f>
        <v>9781118843048</v>
      </c>
      <c r="L6126">
        <v>0</v>
      </c>
      <c r="O6126" t="s">
        <v>28</v>
      </c>
      <c r="P6126" t="s">
        <v>29</v>
      </c>
      <c r="Q6126" s="1">
        <v>42289.052893518521</v>
      </c>
      <c r="R6126">
        <v>7</v>
      </c>
      <c r="S6126" t="s">
        <v>31</v>
      </c>
      <c r="T6126" t="s">
        <v>9502</v>
      </c>
      <c r="U6126">
        <v>332.6</v>
      </c>
      <c r="V6126" s="3">
        <v>41752</v>
      </c>
    </row>
    <row r="6127" spans="1:22" x14ac:dyDescent="0.35">
      <c r="A6127" s="1">
        <v>42289.052893518521</v>
      </c>
      <c r="B6127" s="2">
        <v>0</v>
      </c>
      <c r="C6127" t="s">
        <v>4813</v>
      </c>
      <c r="D6127" t="s">
        <v>23</v>
      </c>
      <c r="E6127" t="s">
        <v>24</v>
      </c>
      <c r="F6127" t="s">
        <v>9501</v>
      </c>
      <c r="G6127">
        <v>1680598</v>
      </c>
      <c r="H6127" t="s">
        <v>26</v>
      </c>
      <c r="I6127" t="s">
        <v>108</v>
      </c>
      <c r="J6127" t="str">
        <f>"9781118843048"</f>
        <v>9781118843048</v>
      </c>
      <c r="L6127">
        <v>0</v>
      </c>
      <c r="O6127" t="s">
        <v>30</v>
      </c>
      <c r="P6127" t="s">
        <v>29</v>
      </c>
      <c r="Q6127" s="1">
        <v>42289.052893518521</v>
      </c>
      <c r="R6127">
        <v>7</v>
      </c>
      <c r="S6127" t="s">
        <v>31</v>
      </c>
      <c r="T6127" t="s">
        <v>9502</v>
      </c>
      <c r="U6127">
        <v>332.6</v>
      </c>
      <c r="V6127" s="3">
        <v>41752</v>
      </c>
    </row>
    <row r="6128" spans="1:22" x14ac:dyDescent="0.35">
      <c r="A6128" s="1">
        <v>42289.052812499998</v>
      </c>
      <c r="B6128" s="2">
        <v>2.2187499999999999E-2</v>
      </c>
      <c r="C6128" t="s">
        <v>9483</v>
      </c>
      <c r="D6128" t="s">
        <v>6396</v>
      </c>
      <c r="E6128" t="s">
        <v>6397</v>
      </c>
      <c r="F6128" t="s">
        <v>9484</v>
      </c>
      <c r="G6128">
        <v>1638160</v>
      </c>
      <c r="H6128" t="s">
        <v>26</v>
      </c>
      <c r="I6128" t="s">
        <v>120</v>
      </c>
      <c r="J6128" t="str">
        <f>"9781118898956"</f>
        <v>9781118898956</v>
      </c>
      <c r="K6128" t="s">
        <v>9503</v>
      </c>
      <c r="L6128">
        <v>26</v>
      </c>
      <c r="N6128" t="s">
        <v>9504</v>
      </c>
      <c r="O6128" t="s">
        <v>30</v>
      </c>
      <c r="P6128" t="s">
        <v>47</v>
      </c>
      <c r="Q6128" s="1">
        <v>42289.034131944441</v>
      </c>
      <c r="R6128">
        <v>1</v>
      </c>
      <c r="S6128" t="s">
        <v>6400</v>
      </c>
      <c r="T6128" t="s">
        <v>9486</v>
      </c>
      <c r="U6128">
        <v>364.16800000000001</v>
      </c>
      <c r="V6128" s="3">
        <v>41689</v>
      </c>
    </row>
    <row r="6129" spans="1:22" x14ac:dyDescent="0.35">
      <c r="A6129" s="1">
        <v>42289.046365740738</v>
      </c>
      <c r="B6129" s="2">
        <v>6.5277777777777782E-3</v>
      </c>
      <c r="C6129" t="s">
        <v>4813</v>
      </c>
      <c r="D6129" t="s">
        <v>23</v>
      </c>
      <c r="E6129" t="s">
        <v>24</v>
      </c>
      <c r="F6129" t="s">
        <v>9501</v>
      </c>
      <c r="G6129">
        <v>1680598</v>
      </c>
      <c r="H6129" t="s">
        <v>26</v>
      </c>
      <c r="I6129" t="s">
        <v>108</v>
      </c>
      <c r="J6129" t="str">
        <f>"9781118843048"</f>
        <v>9781118843048</v>
      </c>
      <c r="K6129" t="s">
        <v>9505</v>
      </c>
      <c r="L6129">
        <v>22</v>
      </c>
      <c r="O6129" t="s">
        <v>30</v>
      </c>
      <c r="P6129" t="s">
        <v>42</v>
      </c>
      <c r="S6129" t="s">
        <v>31</v>
      </c>
      <c r="T6129" t="s">
        <v>9502</v>
      </c>
      <c r="U6129">
        <v>332.6</v>
      </c>
      <c r="V6129" s="3">
        <v>41752</v>
      </c>
    </row>
    <row r="6130" spans="1:22" x14ac:dyDescent="0.35">
      <c r="A6130" s="1">
        <v>42289.034131944441</v>
      </c>
      <c r="B6130" s="2">
        <v>7.4652777777777781E-3</v>
      </c>
      <c r="C6130" t="s">
        <v>9483</v>
      </c>
      <c r="D6130" t="s">
        <v>6396</v>
      </c>
      <c r="E6130" t="s">
        <v>6397</v>
      </c>
      <c r="F6130" t="s">
        <v>9484</v>
      </c>
      <c r="G6130">
        <v>1638160</v>
      </c>
      <c r="H6130" t="s">
        <v>26</v>
      </c>
      <c r="I6130" t="s">
        <v>120</v>
      </c>
      <c r="J6130" t="str">
        <f>"9781118898956"</f>
        <v>9781118898956</v>
      </c>
      <c r="K6130" t="s">
        <v>9506</v>
      </c>
      <c r="L6130">
        <v>7</v>
      </c>
      <c r="O6130" t="s">
        <v>30</v>
      </c>
      <c r="P6130" t="s">
        <v>47</v>
      </c>
      <c r="Q6130" s="1">
        <v>42289.034131944441</v>
      </c>
      <c r="R6130">
        <v>1</v>
      </c>
      <c r="S6130" t="s">
        <v>6400</v>
      </c>
      <c r="T6130" t="s">
        <v>9486</v>
      </c>
      <c r="U6130">
        <v>364.16800000000001</v>
      </c>
      <c r="V6130" s="3">
        <v>41689</v>
      </c>
    </row>
    <row r="6131" spans="1:22" x14ac:dyDescent="0.35">
      <c r="A6131" s="1">
        <v>42289.024699074071</v>
      </c>
      <c r="B6131" s="2">
        <v>9.432870370370371E-3</v>
      </c>
      <c r="C6131" t="s">
        <v>9483</v>
      </c>
      <c r="D6131" t="s">
        <v>6396</v>
      </c>
      <c r="E6131" t="s">
        <v>6397</v>
      </c>
      <c r="F6131" t="s">
        <v>9484</v>
      </c>
      <c r="G6131">
        <v>1638160</v>
      </c>
      <c r="H6131" t="s">
        <v>26</v>
      </c>
      <c r="I6131" t="s">
        <v>120</v>
      </c>
      <c r="J6131" t="str">
        <f>"9781118898956"</f>
        <v>9781118898956</v>
      </c>
      <c r="K6131" t="s">
        <v>9507</v>
      </c>
      <c r="L6131">
        <v>13</v>
      </c>
      <c r="O6131" t="s">
        <v>30</v>
      </c>
      <c r="P6131" t="s">
        <v>50</v>
      </c>
      <c r="S6131" t="s">
        <v>6400</v>
      </c>
      <c r="T6131" t="s">
        <v>9486</v>
      </c>
      <c r="U6131">
        <v>364.16800000000001</v>
      </c>
      <c r="V6131" s="3">
        <v>41689</v>
      </c>
    </row>
    <row r="6132" spans="1:22" x14ac:dyDescent="0.35">
      <c r="A6132" s="1">
        <v>42288.933969907404</v>
      </c>
      <c r="B6132" s="2">
        <v>2.9398148148148148E-3</v>
      </c>
      <c r="C6132" t="s">
        <v>5520</v>
      </c>
      <c r="D6132" t="s">
        <v>23</v>
      </c>
      <c r="E6132" t="s">
        <v>24</v>
      </c>
      <c r="F6132" t="s">
        <v>3559</v>
      </c>
      <c r="G6132">
        <v>1217954</v>
      </c>
      <c r="H6132" t="s">
        <v>45</v>
      </c>
      <c r="I6132" t="s">
        <v>3560</v>
      </c>
      <c r="J6132" t="str">
        <f>"9781409457558"</f>
        <v>9781409457558</v>
      </c>
      <c r="K6132" t="s">
        <v>9508</v>
      </c>
      <c r="L6132">
        <v>14</v>
      </c>
      <c r="O6132" t="s">
        <v>30</v>
      </c>
      <c r="P6132" t="s">
        <v>42</v>
      </c>
      <c r="S6132" t="s">
        <v>31</v>
      </c>
      <c r="T6132" t="s">
        <v>3562</v>
      </c>
      <c r="U6132" t="s">
        <v>3563</v>
      </c>
      <c r="V6132" s="3">
        <v>41575</v>
      </c>
    </row>
    <row r="6133" spans="1:22" x14ac:dyDescent="0.35">
      <c r="A6133" s="1">
        <v>42288.924699074072</v>
      </c>
      <c r="B6133" s="2">
        <v>1.7615740740740741E-2</v>
      </c>
      <c r="C6133" t="s">
        <v>106</v>
      </c>
      <c r="D6133" t="s">
        <v>23</v>
      </c>
      <c r="E6133" t="s">
        <v>24</v>
      </c>
      <c r="F6133" t="s">
        <v>4526</v>
      </c>
      <c r="G6133">
        <v>771074</v>
      </c>
      <c r="H6133" t="s">
        <v>3465</v>
      </c>
      <c r="I6133" t="s">
        <v>4527</v>
      </c>
      <c r="J6133" t="str">
        <f>"9780761499732"</f>
        <v>9780761499732</v>
      </c>
      <c r="K6133" t="s">
        <v>9509</v>
      </c>
      <c r="L6133">
        <v>6</v>
      </c>
      <c r="O6133" t="s">
        <v>30</v>
      </c>
      <c r="P6133" t="s">
        <v>29</v>
      </c>
      <c r="Q6133" s="1">
        <v>42288.924699074072</v>
      </c>
      <c r="R6133">
        <v>7</v>
      </c>
      <c r="S6133" t="s">
        <v>31</v>
      </c>
      <c r="T6133" t="s">
        <v>4528</v>
      </c>
      <c r="U6133" t="s">
        <v>4529</v>
      </c>
      <c r="V6133" s="3">
        <v>40909</v>
      </c>
    </row>
    <row r="6134" spans="1:22" x14ac:dyDescent="0.35">
      <c r="A6134" s="1">
        <v>42288.91333333333</v>
      </c>
      <c r="B6134" s="2">
        <v>1.136574074074074E-2</v>
      </c>
      <c r="C6134" t="s">
        <v>106</v>
      </c>
      <c r="D6134" t="s">
        <v>23</v>
      </c>
      <c r="E6134" t="s">
        <v>24</v>
      </c>
      <c r="F6134" t="s">
        <v>4526</v>
      </c>
      <c r="G6134">
        <v>771074</v>
      </c>
      <c r="H6134" t="s">
        <v>3465</v>
      </c>
      <c r="I6134" t="s">
        <v>4527</v>
      </c>
      <c r="J6134" t="str">
        <f>"9780761499732"</f>
        <v>9780761499732</v>
      </c>
      <c r="K6134" t="s">
        <v>9510</v>
      </c>
      <c r="L6134">
        <v>44</v>
      </c>
      <c r="O6134" t="s">
        <v>30</v>
      </c>
      <c r="P6134" t="s">
        <v>42</v>
      </c>
      <c r="S6134" t="s">
        <v>31</v>
      </c>
      <c r="T6134" t="s">
        <v>4528</v>
      </c>
      <c r="U6134" t="s">
        <v>4529</v>
      </c>
      <c r="V6134" s="3">
        <v>40909</v>
      </c>
    </row>
    <row r="6135" spans="1:22" x14ac:dyDescent="0.35">
      <c r="A6135" s="1">
        <v>42288.865300925929</v>
      </c>
      <c r="B6135" s="2">
        <v>1.7708333333333332E-3</v>
      </c>
      <c r="C6135" t="s">
        <v>106</v>
      </c>
      <c r="D6135" t="s">
        <v>23</v>
      </c>
      <c r="E6135" t="s">
        <v>24</v>
      </c>
      <c r="F6135" t="s">
        <v>486</v>
      </c>
      <c r="G6135">
        <v>1119505</v>
      </c>
      <c r="H6135" t="s">
        <v>26</v>
      </c>
      <c r="I6135" t="s">
        <v>450</v>
      </c>
      <c r="J6135" t="str">
        <f>"9781118355015"</f>
        <v>9781118355015</v>
      </c>
      <c r="K6135" t="s">
        <v>9511</v>
      </c>
      <c r="L6135">
        <v>13</v>
      </c>
      <c r="O6135" t="s">
        <v>30</v>
      </c>
      <c r="P6135" t="s">
        <v>29</v>
      </c>
      <c r="Q6135" s="1">
        <v>42287.190775462965</v>
      </c>
      <c r="R6135">
        <v>7</v>
      </c>
      <c r="S6135" t="s">
        <v>31</v>
      </c>
      <c r="T6135" t="s">
        <v>487</v>
      </c>
      <c r="U6135" t="s">
        <v>488</v>
      </c>
      <c r="V6135" s="3">
        <v>41302</v>
      </c>
    </row>
    <row r="6136" spans="1:22" x14ac:dyDescent="0.35">
      <c r="A6136" s="1">
        <v>42288.844004629631</v>
      </c>
      <c r="B6136" s="2">
        <v>2.1990740740740742E-3</v>
      </c>
      <c r="C6136" t="s">
        <v>8683</v>
      </c>
      <c r="D6136" t="s">
        <v>35</v>
      </c>
      <c r="E6136" t="s">
        <v>36</v>
      </c>
      <c r="F6136" t="s">
        <v>986</v>
      </c>
      <c r="G6136">
        <v>968030</v>
      </c>
      <c r="H6136" t="s">
        <v>26</v>
      </c>
      <c r="I6136" t="s">
        <v>219</v>
      </c>
      <c r="J6136" t="str">
        <f>"9781118285138"</f>
        <v>9781118285138</v>
      </c>
      <c r="K6136" t="s">
        <v>9512</v>
      </c>
      <c r="L6136">
        <v>47</v>
      </c>
      <c r="O6136" t="s">
        <v>30</v>
      </c>
      <c r="P6136" t="s">
        <v>42</v>
      </c>
      <c r="S6136" t="s">
        <v>40</v>
      </c>
      <c r="T6136" t="s">
        <v>987</v>
      </c>
      <c r="U6136">
        <v>158.30000000000001</v>
      </c>
      <c r="V6136" s="3">
        <v>41100</v>
      </c>
    </row>
    <row r="6137" spans="1:22" x14ac:dyDescent="0.35">
      <c r="A6137" s="1">
        <v>42288.835925925923</v>
      </c>
      <c r="B6137" s="2">
        <v>7.542824074074074E-2</v>
      </c>
      <c r="C6137" t="s">
        <v>5210</v>
      </c>
      <c r="D6137" t="s">
        <v>35</v>
      </c>
      <c r="E6137" t="s">
        <v>36</v>
      </c>
      <c r="F6137" t="s">
        <v>986</v>
      </c>
      <c r="G6137">
        <v>968030</v>
      </c>
      <c r="H6137" t="s">
        <v>26</v>
      </c>
      <c r="I6137" t="s">
        <v>219</v>
      </c>
      <c r="J6137" t="str">
        <f>"9781118285138"</f>
        <v>9781118285138</v>
      </c>
      <c r="K6137" t="s">
        <v>9513</v>
      </c>
      <c r="L6137">
        <v>16</v>
      </c>
      <c r="M6137" t="s">
        <v>9514</v>
      </c>
      <c r="O6137" t="s">
        <v>30</v>
      </c>
      <c r="P6137" t="s">
        <v>29</v>
      </c>
      <c r="Q6137" s="1">
        <v>42288.835925925923</v>
      </c>
      <c r="R6137">
        <v>7</v>
      </c>
      <c r="S6137" t="s">
        <v>40</v>
      </c>
      <c r="T6137" t="s">
        <v>987</v>
      </c>
      <c r="U6137">
        <v>158.30000000000001</v>
      </c>
      <c r="V6137" s="3">
        <v>41100</v>
      </c>
    </row>
    <row r="6138" spans="1:22" x14ac:dyDescent="0.35">
      <c r="A6138" s="1">
        <v>42288.817800925928</v>
      </c>
      <c r="B6138" s="2">
        <v>1.8124999999999999E-2</v>
      </c>
      <c r="C6138" t="s">
        <v>5210</v>
      </c>
      <c r="D6138" t="s">
        <v>35</v>
      </c>
      <c r="E6138" t="s">
        <v>36</v>
      </c>
      <c r="F6138" t="s">
        <v>986</v>
      </c>
      <c r="G6138">
        <v>968030</v>
      </c>
      <c r="H6138" t="s">
        <v>26</v>
      </c>
      <c r="I6138" t="s">
        <v>219</v>
      </c>
      <c r="J6138" t="str">
        <f>"9781118285138"</f>
        <v>9781118285138</v>
      </c>
      <c r="K6138" t="s">
        <v>9515</v>
      </c>
      <c r="L6138">
        <v>21</v>
      </c>
      <c r="O6138" t="s">
        <v>30</v>
      </c>
      <c r="P6138" t="s">
        <v>42</v>
      </c>
      <c r="S6138" t="s">
        <v>40</v>
      </c>
      <c r="T6138" t="s">
        <v>987</v>
      </c>
      <c r="U6138">
        <v>158.30000000000001</v>
      </c>
      <c r="V6138" s="3">
        <v>41100</v>
      </c>
    </row>
    <row r="6139" spans="1:22" x14ac:dyDescent="0.35">
      <c r="A6139" s="1">
        <v>42288.794282407405</v>
      </c>
      <c r="B6139" s="2">
        <v>0</v>
      </c>
      <c r="C6139" t="s">
        <v>349</v>
      </c>
      <c r="D6139" t="s">
        <v>23</v>
      </c>
      <c r="E6139" t="s">
        <v>24</v>
      </c>
      <c r="F6139" t="s">
        <v>9516</v>
      </c>
      <c r="G6139">
        <v>2110625</v>
      </c>
      <c r="H6139" t="s">
        <v>45</v>
      </c>
      <c r="I6139" t="s">
        <v>200</v>
      </c>
      <c r="J6139" t="str">
        <f>"9781472414441"</f>
        <v>9781472414441</v>
      </c>
      <c r="L6139">
        <v>0</v>
      </c>
      <c r="O6139" t="s">
        <v>28</v>
      </c>
      <c r="P6139" t="s">
        <v>47</v>
      </c>
      <c r="Q6139" s="1">
        <v>42288.794282407405</v>
      </c>
      <c r="R6139">
        <v>1</v>
      </c>
      <c r="S6139" t="s">
        <v>31</v>
      </c>
      <c r="T6139" t="s">
        <v>9517</v>
      </c>
      <c r="U6139">
        <v>720.1</v>
      </c>
      <c r="V6139" s="3">
        <v>42275</v>
      </c>
    </row>
    <row r="6140" spans="1:22" x14ac:dyDescent="0.35">
      <c r="A6140" s="1">
        <v>42288.794282407405</v>
      </c>
      <c r="B6140" s="2">
        <v>0</v>
      </c>
      <c r="C6140" t="s">
        <v>349</v>
      </c>
      <c r="D6140" t="s">
        <v>23</v>
      </c>
      <c r="E6140" t="s">
        <v>24</v>
      </c>
      <c r="F6140" t="s">
        <v>9516</v>
      </c>
      <c r="G6140">
        <v>2110625</v>
      </c>
      <c r="H6140" t="s">
        <v>45</v>
      </c>
      <c r="I6140" t="s">
        <v>200</v>
      </c>
      <c r="J6140" t="str">
        <f>"9781472414441"</f>
        <v>9781472414441</v>
      </c>
      <c r="L6140">
        <v>0</v>
      </c>
      <c r="O6140" t="s">
        <v>30</v>
      </c>
      <c r="P6140" t="s">
        <v>47</v>
      </c>
      <c r="Q6140" s="1">
        <v>42288.794282407405</v>
      </c>
      <c r="R6140">
        <v>1</v>
      </c>
      <c r="S6140" t="s">
        <v>31</v>
      </c>
      <c r="T6140" t="s">
        <v>9517</v>
      </c>
      <c r="U6140">
        <v>720.1</v>
      </c>
      <c r="V6140" s="3">
        <v>42275</v>
      </c>
    </row>
    <row r="6141" spans="1:22" x14ac:dyDescent="0.35">
      <c r="A6141" s="1">
        <v>42288.794108796297</v>
      </c>
      <c r="B6141" s="2">
        <v>1.7361111111111112E-4</v>
      </c>
      <c r="C6141" t="s">
        <v>349</v>
      </c>
      <c r="D6141" t="s">
        <v>23</v>
      </c>
      <c r="E6141" t="s">
        <v>24</v>
      </c>
      <c r="F6141" t="s">
        <v>9516</v>
      </c>
      <c r="G6141">
        <v>2110625</v>
      </c>
      <c r="H6141" t="s">
        <v>45</v>
      </c>
      <c r="I6141" t="s">
        <v>200</v>
      </c>
      <c r="J6141" t="str">
        <f>"9781472414441"</f>
        <v>9781472414441</v>
      </c>
      <c r="K6141" t="s">
        <v>33</v>
      </c>
      <c r="L6141">
        <v>3</v>
      </c>
      <c r="O6141" t="s">
        <v>30</v>
      </c>
      <c r="P6141" t="s">
        <v>50</v>
      </c>
      <c r="S6141" t="s">
        <v>31</v>
      </c>
      <c r="T6141" t="s">
        <v>9517</v>
      </c>
      <c r="U6141">
        <v>720.1</v>
      </c>
      <c r="V6141" s="3">
        <v>42275</v>
      </c>
    </row>
    <row r="6142" spans="1:22" x14ac:dyDescent="0.35">
      <c r="A6142" s="1">
        <v>42288.793136574073</v>
      </c>
      <c r="B6142" s="2">
        <v>0</v>
      </c>
      <c r="C6142" t="s">
        <v>349</v>
      </c>
      <c r="D6142" t="s">
        <v>23</v>
      </c>
      <c r="E6142" t="s">
        <v>24</v>
      </c>
      <c r="F6142" t="s">
        <v>9518</v>
      </c>
      <c r="G6142">
        <v>2110623</v>
      </c>
      <c r="H6142" t="s">
        <v>45</v>
      </c>
      <c r="I6142" t="s">
        <v>200</v>
      </c>
      <c r="J6142" t="str">
        <f>"9781472459923"</f>
        <v>9781472459923</v>
      </c>
      <c r="L6142">
        <v>0</v>
      </c>
      <c r="O6142" t="s">
        <v>28</v>
      </c>
      <c r="P6142" t="s">
        <v>47</v>
      </c>
      <c r="Q6142" s="1">
        <v>42288.793136574073</v>
      </c>
      <c r="R6142">
        <v>1</v>
      </c>
      <c r="S6142" t="s">
        <v>31</v>
      </c>
      <c r="T6142" t="s">
        <v>9519</v>
      </c>
      <c r="U6142" t="s">
        <v>9520</v>
      </c>
      <c r="V6142" s="3">
        <v>42275</v>
      </c>
    </row>
    <row r="6143" spans="1:22" x14ac:dyDescent="0.35">
      <c r="A6143" s="1">
        <v>42288.793136574073</v>
      </c>
      <c r="B6143" s="2">
        <v>0</v>
      </c>
      <c r="C6143" t="s">
        <v>349</v>
      </c>
      <c r="D6143" t="s">
        <v>23</v>
      </c>
      <c r="E6143" t="s">
        <v>24</v>
      </c>
      <c r="F6143" t="s">
        <v>9518</v>
      </c>
      <c r="G6143">
        <v>2110623</v>
      </c>
      <c r="H6143" t="s">
        <v>45</v>
      </c>
      <c r="I6143" t="s">
        <v>200</v>
      </c>
      <c r="J6143" t="str">
        <f>"9781472459923"</f>
        <v>9781472459923</v>
      </c>
      <c r="L6143">
        <v>0</v>
      </c>
      <c r="O6143" t="s">
        <v>30</v>
      </c>
      <c r="P6143" t="s">
        <v>47</v>
      </c>
      <c r="Q6143" s="1">
        <v>42288.793136574073</v>
      </c>
      <c r="R6143">
        <v>1</v>
      </c>
      <c r="S6143" t="s">
        <v>31</v>
      </c>
      <c r="T6143" t="s">
        <v>9519</v>
      </c>
      <c r="U6143" t="s">
        <v>9520</v>
      </c>
      <c r="V6143" s="3">
        <v>42275</v>
      </c>
    </row>
    <row r="6144" spans="1:22" x14ac:dyDescent="0.35">
      <c r="A6144" s="1">
        <v>42288.792673611111</v>
      </c>
      <c r="B6144" s="2">
        <v>4.6296296296296293E-4</v>
      </c>
      <c r="C6144" t="s">
        <v>349</v>
      </c>
      <c r="D6144" t="s">
        <v>23</v>
      </c>
      <c r="E6144" t="s">
        <v>24</v>
      </c>
      <c r="F6144" t="s">
        <v>9518</v>
      </c>
      <c r="G6144">
        <v>2110623</v>
      </c>
      <c r="H6144" t="s">
        <v>45</v>
      </c>
      <c r="I6144" t="s">
        <v>200</v>
      </c>
      <c r="J6144" t="str">
        <f>"9781472459923"</f>
        <v>9781472459923</v>
      </c>
      <c r="K6144" t="s">
        <v>33</v>
      </c>
      <c r="L6144">
        <v>3</v>
      </c>
      <c r="O6144" t="s">
        <v>30</v>
      </c>
      <c r="P6144" t="s">
        <v>50</v>
      </c>
      <c r="S6144" t="s">
        <v>31</v>
      </c>
      <c r="T6144" t="s">
        <v>9519</v>
      </c>
      <c r="U6144" t="s">
        <v>9520</v>
      </c>
      <c r="V6144" s="3">
        <v>42275</v>
      </c>
    </row>
    <row r="6145" spans="1:22" x14ac:dyDescent="0.35">
      <c r="A6145" s="1">
        <v>42288.791875000003</v>
      </c>
      <c r="B6145" s="2">
        <v>0</v>
      </c>
      <c r="C6145" t="s">
        <v>349</v>
      </c>
      <c r="D6145" t="s">
        <v>23</v>
      </c>
      <c r="E6145" t="s">
        <v>24</v>
      </c>
      <c r="F6145" t="s">
        <v>9521</v>
      </c>
      <c r="G6145">
        <v>2095097</v>
      </c>
      <c r="H6145" t="s">
        <v>45</v>
      </c>
      <c r="I6145" t="s">
        <v>200</v>
      </c>
      <c r="J6145" t="str">
        <f>"9781472463425"</f>
        <v>9781472463425</v>
      </c>
      <c r="L6145">
        <v>0</v>
      </c>
      <c r="O6145" t="s">
        <v>28</v>
      </c>
      <c r="P6145" t="s">
        <v>47</v>
      </c>
      <c r="Q6145" s="1">
        <v>42288.791875000003</v>
      </c>
      <c r="R6145">
        <v>1</v>
      </c>
      <c r="S6145" t="s">
        <v>31</v>
      </c>
      <c r="T6145" t="s">
        <v>9522</v>
      </c>
      <c r="U6145" t="s">
        <v>9523</v>
      </c>
      <c r="V6145" s="3">
        <v>42275</v>
      </c>
    </row>
    <row r="6146" spans="1:22" x14ac:dyDescent="0.35">
      <c r="A6146" s="1">
        <v>42288.791875000003</v>
      </c>
      <c r="B6146" s="2">
        <v>0</v>
      </c>
      <c r="C6146" t="s">
        <v>349</v>
      </c>
      <c r="D6146" t="s">
        <v>23</v>
      </c>
      <c r="E6146" t="s">
        <v>24</v>
      </c>
      <c r="F6146" t="s">
        <v>9521</v>
      </c>
      <c r="G6146">
        <v>2095097</v>
      </c>
      <c r="H6146" t="s">
        <v>45</v>
      </c>
      <c r="I6146" t="s">
        <v>200</v>
      </c>
      <c r="J6146" t="str">
        <f>"9781472463425"</f>
        <v>9781472463425</v>
      </c>
      <c r="L6146">
        <v>0</v>
      </c>
      <c r="O6146" t="s">
        <v>30</v>
      </c>
      <c r="P6146" t="s">
        <v>47</v>
      </c>
      <c r="Q6146" s="1">
        <v>42288.791875000003</v>
      </c>
      <c r="R6146">
        <v>1</v>
      </c>
      <c r="S6146" t="s">
        <v>31</v>
      </c>
      <c r="T6146" t="s">
        <v>9522</v>
      </c>
      <c r="U6146" t="s">
        <v>9523</v>
      </c>
      <c r="V6146" s="3">
        <v>42275</v>
      </c>
    </row>
    <row r="6147" spans="1:22" x14ac:dyDescent="0.35">
      <c r="A6147" s="1">
        <v>42288.791562500002</v>
      </c>
      <c r="B6147" s="2">
        <v>3.1250000000000001E-4</v>
      </c>
      <c r="C6147" t="s">
        <v>349</v>
      </c>
      <c r="D6147" t="s">
        <v>23</v>
      </c>
      <c r="E6147" t="s">
        <v>24</v>
      </c>
      <c r="F6147" t="s">
        <v>9521</v>
      </c>
      <c r="G6147">
        <v>2095097</v>
      </c>
      <c r="H6147" t="s">
        <v>45</v>
      </c>
      <c r="I6147" t="s">
        <v>200</v>
      </c>
      <c r="J6147" t="str">
        <f>"9781472463425"</f>
        <v>9781472463425</v>
      </c>
      <c r="K6147" t="s">
        <v>33</v>
      </c>
      <c r="L6147">
        <v>3</v>
      </c>
      <c r="O6147" t="s">
        <v>30</v>
      </c>
      <c r="P6147" t="s">
        <v>50</v>
      </c>
      <c r="S6147" t="s">
        <v>31</v>
      </c>
      <c r="T6147" t="s">
        <v>9522</v>
      </c>
      <c r="U6147" t="s">
        <v>9523</v>
      </c>
      <c r="V6147" s="3">
        <v>42275</v>
      </c>
    </row>
    <row r="6148" spans="1:22" x14ac:dyDescent="0.35">
      <c r="A6148" s="1">
        <v>42288.770520833335</v>
      </c>
      <c r="B6148" s="2">
        <v>1.2731481481481483E-3</v>
      </c>
      <c r="C6148" t="s">
        <v>9442</v>
      </c>
      <c r="D6148" t="s">
        <v>23</v>
      </c>
      <c r="E6148" t="s">
        <v>24</v>
      </c>
      <c r="F6148" t="s">
        <v>3088</v>
      </c>
      <c r="G6148">
        <v>1650828</v>
      </c>
      <c r="H6148" t="s">
        <v>26</v>
      </c>
      <c r="I6148" t="s">
        <v>97</v>
      </c>
      <c r="J6148" t="str">
        <f>"9781118729205"</f>
        <v>9781118729205</v>
      </c>
      <c r="K6148" t="s">
        <v>9524</v>
      </c>
      <c r="L6148">
        <v>26</v>
      </c>
      <c r="O6148" t="s">
        <v>30</v>
      </c>
      <c r="P6148" t="s">
        <v>29</v>
      </c>
      <c r="Q6148" s="1">
        <v>42288.759039351855</v>
      </c>
      <c r="R6148">
        <v>7</v>
      </c>
      <c r="S6148" t="s">
        <v>31</v>
      </c>
      <c r="T6148" t="s">
        <v>3090</v>
      </c>
      <c r="U6148">
        <v>658.05631200000005</v>
      </c>
      <c r="V6148" s="3">
        <v>41704</v>
      </c>
    </row>
    <row r="6149" spans="1:22" x14ac:dyDescent="0.35">
      <c r="A6149" s="1">
        <v>42288.76667824074</v>
      </c>
      <c r="B6149" s="2">
        <v>1.4699074074074074E-3</v>
      </c>
      <c r="C6149" t="s">
        <v>9442</v>
      </c>
      <c r="D6149" t="s">
        <v>23</v>
      </c>
      <c r="E6149" t="s">
        <v>24</v>
      </c>
      <c r="F6149" t="s">
        <v>3088</v>
      </c>
      <c r="G6149">
        <v>1650828</v>
      </c>
      <c r="H6149" t="s">
        <v>26</v>
      </c>
      <c r="I6149" t="s">
        <v>97</v>
      </c>
      <c r="J6149" t="str">
        <f>"9781118729205"</f>
        <v>9781118729205</v>
      </c>
      <c r="K6149" t="s">
        <v>9525</v>
      </c>
      <c r="L6149">
        <v>15</v>
      </c>
      <c r="O6149" t="s">
        <v>30</v>
      </c>
      <c r="P6149" t="s">
        <v>29</v>
      </c>
      <c r="Q6149" s="1">
        <v>42288.759039351855</v>
      </c>
      <c r="R6149">
        <v>7</v>
      </c>
      <c r="S6149" t="s">
        <v>31</v>
      </c>
      <c r="T6149" t="s">
        <v>3090</v>
      </c>
      <c r="U6149">
        <v>658.05631200000005</v>
      </c>
      <c r="V6149" s="3">
        <v>41704</v>
      </c>
    </row>
    <row r="6150" spans="1:22" x14ac:dyDescent="0.35">
      <c r="A6150" s="1">
        <v>42288.765081018515</v>
      </c>
      <c r="B6150" s="2">
        <v>2.5462962962962961E-4</v>
      </c>
      <c r="C6150" t="s">
        <v>106</v>
      </c>
      <c r="D6150" t="s">
        <v>23</v>
      </c>
      <c r="E6150" t="s">
        <v>24</v>
      </c>
      <c r="F6150" t="s">
        <v>9526</v>
      </c>
      <c r="G6150">
        <v>836172</v>
      </c>
      <c r="H6150" t="s">
        <v>149</v>
      </c>
      <c r="I6150" t="s">
        <v>172</v>
      </c>
      <c r="J6150" t="str">
        <f>"9781438139609"</f>
        <v>9781438139609</v>
      </c>
      <c r="K6150" t="s">
        <v>9527</v>
      </c>
      <c r="L6150">
        <v>7</v>
      </c>
      <c r="O6150" t="s">
        <v>30</v>
      </c>
      <c r="P6150" t="s">
        <v>42</v>
      </c>
      <c r="S6150" t="s">
        <v>31</v>
      </c>
      <c r="T6150" t="s">
        <v>9528</v>
      </c>
      <c r="U6150">
        <v>946</v>
      </c>
      <c r="V6150" s="3">
        <v>40909</v>
      </c>
    </row>
    <row r="6151" spans="1:22" x14ac:dyDescent="0.35">
      <c r="A6151" s="1">
        <v>42288.76284722222</v>
      </c>
      <c r="B6151" s="2">
        <v>3.2175925925925926E-3</v>
      </c>
      <c r="C6151" t="s">
        <v>9442</v>
      </c>
      <c r="D6151" t="s">
        <v>23</v>
      </c>
      <c r="E6151" t="s">
        <v>24</v>
      </c>
      <c r="F6151" t="s">
        <v>3088</v>
      </c>
      <c r="G6151">
        <v>1650828</v>
      </c>
      <c r="H6151" t="s">
        <v>26</v>
      </c>
      <c r="I6151" t="s">
        <v>97</v>
      </c>
      <c r="J6151" t="str">
        <f t="shared" ref="J6151:J6158" si="31">"9781118729205"</f>
        <v>9781118729205</v>
      </c>
      <c r="K6151" t="s">
        <v>9529</v>
      </c>
      <c r="L6151">
        <v>23</v>
      </c>
      <c r="O6151" t="s">
        <v>30</v>
      </c>
      <c r="P6151" t="s">
        <v>29</v>
      </c>
      <c r="Q6151" s="1">
        <v>42288.759039351855</v>
      </c>
      <c r="R6151">
        <v>7</v>
      </c>
      <c r="S6151" t="s">
        <v>31</v>
      </c>
      <c r="T6151" t="s">
        <v>3090</v>
      </c>
      <c r="U6151">
        <v>658.05631200000005</v>
      </c>
      <c r="V6151" s="3">
        <v>41704</v>
      </c>
    </row>
    <row r="6152" spans="1:22" x14ac:dyDescent="0.35">
      <c r="A6152" s="1">
        <v>42288.761516203704</v>
      </c>
      <c r="B6152" s="2">
        <v>5.5555555555555556E-4</v>
      </c>
      <c r="C6152" t="s">
        <v>9442</v>
      </c>
      <c r="D6152" t="s">
        <v>23</v>
      </c>
      <c r="E6152" t="s">
        <v>24</v>
      </c>
      <c r="F6152" t="s">
        <v>3088</v>
      </c>
      <c r="G6152">
        <v>1650828</v>
      </c>
      <c r="H6152" t="s">
        <v>26</v>
      </c>
      <c r="I6152" t="s">
        <v>97</v>
      </c>
      <c r="J6152" t="str">
        <f t="shared" si="31"/>
        <v>9781118729205</v>
      </c>
      <c r="K6152" t="s">
        <v>9530</v>
      </c>
      <c r="L6152">
        <v>17</v>
      </c>
      <c r="O6152" t="s">
        <v>30</v>
      </c>
      <c r="P6152" t="s">
        <v>29</v>
      </c>
      <c r="Q6152" s="1">
        <v>42288.759039351855</v>
      </c>
      <c r="R6152">
        <v>7</v>
      </c>
      <c r="S6152" t="s">
        <v>31</v>
      </c>
      <c r="T6152" t="s">
        <v>3090</v>
      </c>
      <c r="U6152">
        <v>658.05631200000005</v>
      </c>
      <c r="V6152" s="3">
        <v>41704</v>
      </c>
    </row>
    <row r="6153" spans="1:22" x14ac:dyDescent="0.35">
      <c r="A6153" s="1">
        <v>42288.760613425926</v>
      </c>
      <c r="B6153" s="2">
        <v>0</v>
      </c>
      <c r="C6153" t="s">
        <v>9442</v>
      </c>
      <c r="D6153" t="s">
        <v>23</v>
      </c>
      <c r="E6153" t="s">
        <v>24</v>
      </c>
      <c r="F6153" t="s">
        <v>3088</v>
      </c>
      <c r="G6153">
        <v>1650828</v>
      </c>
      <c r="H6153" t="s">
        <v>26</v>
      </c>
      <c r="I6153" t="s">
        <v>97</v>
      </c>
      <c r="J6153" t="str">
        <f t="shared" si="31"/>
        <v>9781118729205</v>
      </c>
      <c r="L6153">
        <v>0</v>
      </c>
      <c r="O6153" t="s">
        <v>28</v>
      </c>
      <c r="P6153" t="s">
        <v>29</v>
      </c>
      <c r="Q6153" s="1">
        <v>42288.759039351855</v>
      </c>
      <c r="R6153">
        <v>7</v>
      </c>
      <c r="S6153" t="s">
        <v>31</v>
      </c>
      <c r="T6153" t="s">
        <v>3090</v>
      </c>
      <c r="U6153">
        <v>658.05631200000005</v>
      </c>
      <c r="V6153" s="3">
        <v>41704</v>
      </c>
    </row>
    <row r="6154" spans="1:22" x14ac:dyDescent="0.35">
      <c r="A6154" s="1">
        <v>42288.760509259257</v>
      </c>
      <c r="B6154" s="2">
        <v>0</v>
      </c>
      <c r="C6154" t="s">
        <v>9442</v>
      </c>
      <c r="D6154" t="s">
        <v>23</v>
      </c>
      <c r="E6154" t="s">
        <v>24</v>
      </c>
      <c r="F6154" t="s">
        <v>3088</v>
      </c>
      <c r="G6154">
        <v>1650828</v>
      </c>
      <c r="H6154" t="s">
        <v>26</v>
      </c>
      <c r="I6154" t="s">
        <v>97</v>
      </c>
      <c r="J6154" t="str">
        <f t="shared" si="31"/>
        <v>9781118729205</v>
      </c>
      <c r="L6154">
        <v>0</v>
      </c>
      <c r="O6154" t="s">
        <v>28</v>
      </c>
      <c r="P6154" t="s">
        <v>29</v>
      </c>
      <c r="Q6154" s="1">
        <v>42288.759039351855</v>
      </c>
      <c r="R6154">
        <v>7</v>
      </c>
      <c r="S6154" t="s">
        <v>31</v>
      </c>
      <c r="T6154" t="s">
        <v>3090</v>
      </c>
      <c r="U6154">
        <v>658.05631200000005</v>
      </c>
      <c r="V6154" s="3">
        <v>41704</v>
      </c>
    </row>
    <row r="6155" spans="1:22" x14ac:dyDescent="0.35">
      <c r="A6155" s="1">
        <v>42288.760312500002</v>
      </c>
      <c r="B6155" s="2">
        <v>2.3148148148148147E-5</v>
      </c>
      <c r="C6155" t="s">
        <v>9442</v>
      </c>
      <c r="D6155" t="s">
        <v>23</v>
      </c>
      <c r="E6155" t="s">
        <v>24</v>
      </c>
      <c r="F6155" t="s">
        <v>3088</v>
      </c>
      <c r="G6155">
        <v>1650828</v>
      </c>
      <c r="H6155" t="s">
        <v>26</v>
      </c>
      <c r="I6155" t="s">
        <v>97</v>
      </c>
      <c r="J6155" t="str">
        <f t="shared" si="31"/>
        <v>9781118729205</v>
      </c>
      <c r="K6155" t="s">
        <v>33</v>
      </c>
      <c r="L6155">
        <v>3</v>
      </c>
      <c r="O6155" t="s">
        <v>30</v>
      </c>
      <c r="P6155" t="s">
        <v>29</v>
      </c>
      <c r="Q6155" s="1">
        <v>42288.759039351855</v>
      </c>
      <c r="R6155">
        <v>7</v>
      </c>
      <c r="S6155" t="s">
        <v>31</v>
      </c>
      <c r="T6155" t="s">
        <v>3090</v>
      </c>
      <c r="U6155">
        <v>658.05631200000005</v>
      </c>
      <c r="V6155" s="3">
        <v>41704</v>
      </c>
    </row>
    <row r="6156" spans="1:22" x14ac:dyDescent="0.35">
      <c r="A6156" s="1">
        <v>42288.759039351855</v>
      </c>
      <c r="B6156" s="2">
        <v>7.0601851851851847E-4</v>
      </c>
      <c r="C6156" t="s">
        <v>9442</v>
      </c>
      <c r="D6156" t="s">
        <v>23</v>
      </c>
      <c r="E6156" t="s">
        <v>24</v>
      </c>
      <c r="F6156" t="s">
        <v>3088</v>
      </c>
      <c r="G6156">
        <v>1650828</v>
      </c>
      <c r="H6156" t="s">
        <v>26</v>
      </c>
      <c r="I6156" t="s">
        <v>97</v>
      </c>
      <c r="J6156" t="str">
        <f t="shared" si="31"/>
        <v>9781118729205</v>
      </c>
      <c r="K6156" t="s">
        <v>224</v>
      </c>
      <c r="L6156">
        <v>1</v>
      </c>
      <c r="O6156" t="s">
        <v>28</v>
      </c>
      <c r="P6156" t="s">
        <v>29</v>
      </c>
      <c r="Q6156" s="1">
        <v>42288.759039351855</v>
      </c>
      <c r="R6156">
        <v>7</v>
      </c>
      <c r="S6156" t="s">
        <v>31</v>
      </c>
      <c r="T6156" t="s">
        <v>3090</v>
      </c>
      <c r="U6156">
        <v>658.05631200000005</v>
      </c>
      <c r="V6156" s="3">
        <v>41704</v>
      </c>
    </row>
    <row r="6157" spans="1:22" x14ac:dyDescent="0.35">
      <c r="A6157" s="1">
        <v>42288.759039351855</v>
      </c>
      <c r="B6157" s="2">
        <v>0</v>
      </c>
      <c r="C6157" t="s">
        <v>9442</v>
      </c>
      <c r="D6157" t="s">
        <v>23</v>
      </c>
      <c r="E6157" t="s">
        <v>24</v>
      </c>
      <c r="F6157" t="s">
        <v>3088</v>
      </c>
      <c r="G6157">
        <v>1650828</v>
      </c>
      <c r="H6157" t="s">
        <v>26</v>
      </c>
      <c r="I6157" t="s">
        <v>97</v>
      </c>
      <c r="J6157" t="str">
        <f t="shared" si="31"/>
        <v>9781118729205</v>
      </c>
      <c r="L6157">
        <v>0</v>
      </c>
      <c r="O6157" t="s">
        <v>30</v>
      </c>
      <c r="P6157" t="s">
        <v>29</v>
      </c>
      <c r="Q6157" s="1">
        <v>42288.759039351855</v>
      </c>
      <c r="R6157">
        <v>7</v>
      </c>
      <c r="S6157" t="s">
        <v>31</v>
      </c>
      <c r="T6157" t="s">
        <v>3090</v>
      </c>
      <c r="U6157">
        <v>658.05631200000005</v>
      </c>
      <c r="V6157" s="3">
        <v>41704</v>
      </c>
    </row>
    <row r="6158" spans="1:22" x14ac:dyDescent="0.35">
      <c r="A6158" s="1">
        <v>42288.757881944446</v>
      </c>
      <c r="B6158" s="2">
        <v>1.1574074074074073E-3</v>
      </c>
      <c r="C6158" t="s">
        <v>9442</v>
      </c>
      <c r="D6158" t="s">
        <v>23</v>
      </c>
      <c r="E6158" t="s">
        <v>24</v>
      </c>
      <c r="F6158" t="s">
        <v>3088</v>
      </c>
      <c r="G6158">
        <v>1650828</v>
      </c>
      <c r="H6158" t="s">
        <v>26</v>
      </c>
      <c r="I6158" t="s">
        <v>97</v>
      </c>
      <c r="J6158" t="str">
        <f t="shared" si="31"/>
        <v>9781118729205</v>
      </c>
      <c r="K6158" t="s">
        <v>9531</v>
      </c>
      <c r="L6158">
        <v>4</v>
      </c>
      <c r="O6158" t="s">
        <v>30</v>
      </c>
      <c r="P6158" t="s">
        <v>42</v>
      </c>
      <c r="S6158" t="s">
        <v>31</v>
      </c>
      <c r="T6158" t="s">
        <v>3090</v>
      </c>
      <c r="U6158">
        <v>658.05631200000005</v>
      </c>
      <c r="V6158" s="3">
        <v>41704</v>
      </c>
    </row>
    <row r="6159" spans="1:22" x14ac:dyDescent="0.35">
      <c r="A6159" s="1">
        <v>42288.757673611108</v>
      </c>
      <c r="B6159" s="2">
        <v>2.6041666666666665E-3</v>
      </c>
      <c r="C6159" t="s">
        <v>106</v>
      </c>
      <c r="D6159" t="s">
        <v>23</v>
      </c>
      <c r="E6159" t="s">
        <v>24</v>
      </c>
      <c r="F6159" t="s">
        <v>9526</v>
      </c>
      <c r="G6159">
        <v>836172</v>
      </c>
      <c r="H6159" t="s">
        <v>149</v>
      </c>
      <c r="I6159" t="s">
        <v>172</v>
      </c>
      <c r="J6159" t="str">
        <f>"9781438139609"</f>
        <v>9781438139609</v>
      </c>
      <c r="K6159" t="s">
        <v>9532</v>
      </c>
      <c r="L6159">
        <v>32</v>
      </c>
      <c r="O6159" t="s">
        <v>30</v>
      </c>
      <c r="P6159" t="s">
        <v>42</v>
      </c>
      <c r="S6159" t="s">
        <v>31</v>
      </c>
      <c r="T6159" t="s">
        <v>9528</v>
      </c>
      <c r="U6159">
        <v>946</v>
      </c>
      <c r="V6159" s="3">
        <v>40909</v>
      </c>
    </row>
    <row r="6160" spans="1:22" x14ac:dyDescent="0.35">
      <c r="A6160" s="1">
        <v>42288.73065972222</v>
      </c>
      <c r="B6160" s="2">
        <v>0.13233796296296296</v>
      </c>
      <c r="C6160" t="s">
        <v>106</v>
      </c>
      <c r="D6160" t="s">
        <v>23</v>
      </c>
      <c r="E6160" t="s">
        <v>24</v>
      </c>
      <c r="F6160" t="s">
        <v>486</v>
      </c>
      <c r="G6160">
        <v>1119505</v>
      </c>
      <c r="H6160" t="s">
        <v>26</v>
      </c>
      <c r="I6160" t="s">
        <v>450</v>
      </c>
      <c r="J6160" t="str">
        <f>"9781118355015"</f>
        <v>9781118355015</v>
      </c>
      <c r="K6160" t="s">
        <v>9533</v>
      </c>
      <c r="L6160">
        <v>59</v>
      </c>
      <c r="O6160" t="s">
        <v>30</v>
      </c>
      <c r="P6160" t="s">
        <v>29</v>
      </c>
      <c r="Q6160" s="1">
        <v>42287.190775462965</v>
      </c>
      <c r="R6160">
        <v>7</v>
      </c>
      <c r="S6160" t="s">
        <v>31</v>
      </c>
      <c r="T6160" t="s">
        <v>487</v>
      </c>
      <c r="U6160" t="s">
        <v>488</v>
      </c>
      <c r="V6160" s="3">
        <v>41302</v>
      </c>
    </row>
    <row r="6161" spans="1:22" x14ac:dyDescent="0.35">
      <c r="A6161" s="1">
        <v>42288.727534722224</v>
      </c>
      <c r="B6161" s="2">
        <v>5.7870370370370366E-5</v>
      </c>
      <c r="C6161" t="s">
        <v>9534</v>
      </c>
      <c r="D6161" t="s">
        <v>35</v>
      </c>
      <c r="E6161" t="s">
        <v>36</v>
      </c>
      <c r="F6161" t="s">
        <v>6695</v>
      </c>
      <c r="G6161">
        <v>3058244</v>
      </c>
      <c r="H6161" t="s">
        <v>26</v>
      </c>
      <c r="I6161" t="s">
        <v>247</v>
      </c>
      <c r="J6161" t="str">
        <f>"9780470643136"</f>
        <v>9780470643136</v>
      </c>
      <c r="K6161" t="s">
        <v>1300</v>
      </c>
      <c r="L6161">
        <v>2</v>
      </c>
      <c r="O6161" t="s">
        <v>30</v>
      </c>
      <c r="P6161" t="s">
        <v>50</v>
      </c>
      <c r="S6161" t="s">
        <v>40</v>
      </c>
      <c r="T6161" t="s">
        <v>6696</v>
      </c>
      <c r="U6161" t="s">
        <v>6697</v>
      </c>
      <c r="V6161" s="3">
        <v>40410</v>
      </c>
    </row>
    <row r="6162" spans="1:22" x14ac:dyDescent="0.35">
      <c r="A6162" s="1">
        <v>42288.708611111113</v>
      </c>
      <c r="B6162" s="2">
        <v>6.9444444444444444E-5</v>
      </c>
      <c r="C6162" t="s">
        <v>210</v>
      </c>
      <c r="D6162" t="s">
        <v>211</v>
      </c>
      <c r="E6162" t="s">
        <v>212</v>
      </c>
      <c r="F6162" t="s">
        <v>9535</v>
      </c>
      <c r="G6162">
        <v>2065776</v>
      </c>
      <c r="H6162" t="s">
        <v>26</v>
      </c>
      <c r="I6162" t="s">
        <v>172</v>
      </c>
      <c r="J6162" t="str">
        <f>"9781118718179"</f>
        <v>9781118718179</v>
      </c>
      <c r="K6162" t="s">
        <v>33</v>
      </c>
      <c r="L6162">
        <v>3</v>
      </c>
      <c r="O6162" t="s">
        <v>30</v>
      </c>
      <c r="P6162" t="s">
        <v>50</v>
      </c>
      <c r="S6162" t="s">
        <v>214</v>
      </c>
      <c r="T6162" t="s">
        <v>9536</v>
      </c>
      <c r="U6162" t="s">
        <v>9537</v>
      </c>
      <c r="V6162" s="3">
        <v>42180</v>
      </c>
    </row>
    <row r="6163" spans="1:22" x14ac:dyDescent="0.35">
      <c r="A6163" s="1">
        <v>42288.692372685182</v>
      </c>
      <c r="B6163" s="2">
        <v>1.6053240740740739E-2</v>
      </c>
      <c r="C6163" t="s">
        <v>7816</v>
      </c>
      <c r="D6163" t="s">
        <v>23</v>
      </c>
      <c r="E6163" t="s">
        <v>24</v>
      </c>
      <c r="F6163" t="s">
        <v>7817</v>
      </c>
      <c r="G6163">
        <v>1318682</v>
      </c>
      <c r="H6163" t="s">
        <v>26</v>
      </c>
      <c r="I6163" t="s">
        <v>5370</v>
      </c>
      <c r="J6163" t="str">
        <f>"9781118549483"</f>
        <v>9781118549483</v>
      </c>
      <c r="K6163" t="s">
        <v>9538</v>
      </c>
      <c r="L6163">
        <v>32</v>
      </c>
      <c r="O6163" t="s">
        <v>30</v>
      </c>
      <c r="P6163" t="s">
        <v>29</v>
      </c>
      <c r="Q6163" s="1">
        <v>42288.692372685182</v>
      </c>
      <c r="R6163">
        <v>7</v>
      </c>
      <c r="S6163" t="s">
        <v>31</v>
      </c>
      <c r="T6163" t="s">
        <v>7818</v>
      </c>
      <c r="U6163">
        <v>629.89</v>
      </c>
      <c r="V6163" s="3">
        <v>41471</v>
      </c>
    </row>
    <row r="6164" spans="1:22" x14ac:dyDescent="0.35">
      <c r="A6164" s="1">
        <v>42288.689976851849</v>
      </c>
      <c r="B6164" s="2">
        <v>2.4456018518518519E-2</v>
      </c>
      <c r="C6164" t="s">
        <v>4059</v>
      </c>
      <c r="D6164" t="s">
        <v>23</v>
      </c>
      <c r="E6164" t="s">
        <v>24</v>
      </c>
      <c r="F6164" t="s">
        <v>3186</v>
      </c>
      <c r="G6164">
        <v>699744</v>
      </c>
      <c r="H6164" t="s">
        <v>26</v>
      </c>
      <c r="I6164" t="s">
        <v>3187</v>
      </c>
      <c r="J6164" t="str">
        <f>"9781118585818"</f>
        <v>9781118585818</v>
      </c>
      <c r="K6164" t="s">
        <v>9539</v>
      </c>
      <c r="L6164">
        <v>17</v>
      </c>
      <c r="O6164" t="s">
        <v>28</v>
      </c>
      <c r="P6164" t="s">
        <v>29</v>
      </c>
      <c r="Q6164" s="1">
        <v>42288.689976851849</v>
      </c>
      <c r="R6164">
        <v>7</v>
      </c>
      <c r="S6164" t="s">
        <v>31</v>
      </c>
      <c r="T6164" t="s">
        <v>3188</v>
      </c>
      <c r="U6164">
        <v>621.36</v>
      </c>
      <c r="V6164" s="3">
        <v>41310</v>
      </c>
    </row>
    <row r="6165" spans="1:22" x14ac:dyDescent="0.35">
      <c r="A6165" s="1">
        <v>42288.689976851849</v>
      </c>
      <c r="B6165" s="2">
        <v>0</v>
      </c>
      <c r="C6165" t="s">
        <v>4059</v>
      </c>
      <c r="D6165" t="s">
        <v>23</v>
      </c>
      <c r="E6165" t="s">
        <v>24</v>
      </c>
      <c r="F6165" t="s">
        <v>3186</v>
      </c>
      <c r="G6165">
        <v>699744</v>
      </c>
      <c r="H6165" t="s">
        <v>26</v>
      </c>
      <c r="I6165" t="s">
        <v>3187</v>
      </c>
      <c r="J6165" t="str">
        <f>"9781118585818"</f>
        <v>9781118585818</v>
      </c>
      <c r="L6165">
        <v>0</v>
      </c>
      <c r="O6165" t="s">
        <v>30</v>
      </c>
      <c r="P6165" t="s">
        <v>29</v>
      </c>
      <c r="Q6165" s="1">
        <v>42288.689976851849</v>
      </c>
      <c r="R6165">
        <v>7</v>
      </c>
      <c r="S6165" t="s">
        <v>31</v>
      </c>
      <c r="T6165" t="s">
        <v>3188</v>
      </c>
      <c r="U6165">
        <v>621.36</v>
      </c>
      <c r="V6165" s="3">
        <v>41310</v>
      </c>
    </row>
    <row r="6166" spans="1:22" x14ac:dyDescent="0.35">
      <c r="A6166" s="1">
        <v>42288.689421296294</v>
      </c>
      <c r="B6166" s="2">
        <v>2.2106481481481478E-3</v>
      </c>
      <c r="C6166" t="s">
        <v>1050</v>
      </c>
      <c r="D6166" t="s">
        <v>23</v>
      </c>
      <c r="E6166" t="s">
        <v>24</v>
      </c>
      <c r="F6166" t="s">
        <v>1051</v>
      </c>
      <c r="G6166">
        <v>821663</v>
      </c>
      <c r="H6166" t="s">
        <v>26</v>
      </c>
      <c r="I6166" t="s">
        <v>200</v>
      </c>
      <c r="J6166" t="str">
        <f>"9781118168479"</f>
        <v>9781118168479</v>
      </c>
      <c r="K6166" t="s">
        <v>8817</v>
      </c>
      <c r="L6166">
        <v>9</v>
      </c>
      <c r="O6166" t="s">
        <v>30</v>
      </c>
      <c r="P6166" t="s">
        <v>42</v>
      </c>
      <c r="S6166" t="s">
        <v>31</v>
      </c>
      <c r="T6166" t="s">
        <v>1053</v>
      </c>
      <c r="U6166">
        <v>729</v>
      </c>
      <c r="V6166" s="3">
        <v>40973</v>
      </c>
    </row>
    <row r="6167" spans="1:22" x14ac:dyDescent="0.35">
      <c r="A6167" s="1">
        <v>42288.688506944447</v>
      </c>
      <c r="B6167" s="2">
        <v>1.4699074074074074E-3</v>
      </c>
      <c r="C6167" t="s">
        <v>4059</v>
      </c>
      <c r="D6167" t="s">
        <v>23</v>
      </c>
      <c r="E6167" t="s">
        <v>24</v>
      </c>
      <c r="F6167" t="s">
        <v>3186</v>
      </c>
      <c r="G6167">
        <v>699744</v>
      </c>
      <c r="H6167" t="s">
        <v>26</v>
      </c>
      <c r="I6167" t="s">
        <v>3187</v>
      </c>
      <c r="J6167" t="str">
        <f>"9781118585818"</f>
        <v>9781118585818</v>
      </c>
      <c r="K6167" t="s">
        <v>9540</v>
      </c>
      <c r="L6167">
        <v>9</v>
      </c>
      <c r="O6167" t="s">
        <v>30</v>
      </c>
      <c r="P6167" t="s">
        <v>42</v>
      </c>
      <c r="S6167" t="s">
        <v>31</v>
      </c>
      <c r="T6167" t="s">
        <v>3188</v>
      </c>
      <c r="U6167">
        <v>621.36</v>
      </c>
      <c r="V6167" s="3">
        <v>41310</v>
      </c>
    </row>
    <row r="6168" spans="1:22" x14ac:dyDescent="0.35">
      <c r="A6168" s="1">
        <v>42288.677812499998</v>
      </c>
      <c r="B6168" s="2">
        <v>1.4560185185185183E-2</v>
      </c>
      <c r="C6168" t="s">
        <v>7816</v>
      </c>
      <c r="D6168" t="s">
        <v>23</v>
      </c>
      <c r="E6168" t="s">
        <v>24</v>
      </c>
      <c r="F6168" t="s">
        <v>7817</v>
      </c>
      <c r="G6168">
        <v>1318682</v>
      </c>
      <c r="H6168" t="s">
        <v>26</v>
      </c>
      <c r="I6168" t="s">
        <v>5370</v>
      </c>
      <c r="J6168" t="str">
        <f>"9781118549483"</f>
        <v>9781118549483</v>
      </c>
      <c r="K6168" t="s">
        <v>1651</v>
      </c>
      <c r="L6168">
        <v>11</v>
      </c>
      <c r="O6168" t="s">
        <v>30</v>
      </c>
      <c r="P6168" t="s">
        <v>42</v>
      </c>
      <c r="S6168" t="s">
        <v>31</v>
      </c>
      <c r="T6168" t="s">
        <v>7818</v>
      </c>
      <c r="U6168">
        <v>629.89</v>
      </c>
      <c r="V6168" s="3">
        <v>41471</v>
      </c>
    </row>
    <row r="6169" spans="1:22" x14ac:dyDescent="0.35">
      <c r="A6169" s="1">
        <v>42288.647511574076</v>
      </c>
      <c r="B6169" s="2">
        <v>0.18085648148148148</v>
      </c>
      <c r="C6169" t="s">
        <v>3556</v>
      </c>
      <c r="D6169" t="s">
        <v>23</v>
      </c>
      <c r="E6169" t="s">
        <v>24</v>
      </c>
      <c r="F6169" t="s">
        <v>3060</v>
      </c>
      <c r="G6169">
        <v>1120279</v>
      </c>
      <c r="H6169" t="s">
        <v>26</v>
      </c>
      <c r="I6169" t="s">
        <v>3061</v>
      </c>
      <c r="J6169" t="str">
        <f>"9781118537671"</f>
        <v>9781118537671</v>
      </c>
      <c r="K6169" t="s">
        <v>9541</v>
      </c>
      <c r="L6169">
        <v>41</v>
      </c>
      <c r="O6169" t="s">
        <v>30</v>
      </c>
      <c r="P6169" t="s">
        <v>29</v>
      </c>
      <c r="Q6169" s="1">
        <v>42287.179791666669</v>
      </c>
      <c r="R6169">
        <v>7</v>
      </c>
      <c r="S6169" t="s">
        <v>31</v>
      </c>
      <c r="T6169" t="s">
        <v>3063</v>
      </c>
      <c r="U6169">
        <v>599.93499999999995</v>
      </c>
      <c r="V6169" s="3">
        <v>41232</v>
      </c>
    </row>
    <row r="6170" spans="1:22" x14ac:dyDescent="0.35">
      <c r="A6170" s="1">
        <v>42288.624340277776</v>
      </c>
      <c r="B6170" s="2">
        <v>1.5277777777777779E-3</v>
      </c>
      <c r="C6170" t="s">
        <v>9542</v>
      </c>
      <c r="D6170" t="s">
        <v>125</v>
      </c>
      <c r="E6170" t="s">
        <v>126</v>
      </c>
      <c r="F6170" t="s">
        <v>782</v>
      </c>
      <c r="G6170">
        <v>1543734</v>
      </c>
      <c r="H6170" t="s">
        <v>526</v>
      </c>
      <c r="I6170" t="s">
        <v>150</v>
      </c>
      <c r="J6170" t="str">
        <f>"9780226002422"</f>
        <v>9780226002422</v>
      </c>
      <c r="K6170" t="s">
        <v>9543</v>
      </c>
      <c r="L6170">
        <v>14</v>
      </c>
      <c r="O6170" t="s">
        <v>30</v>
      </c>
      <c r="P6170" t="s">
        <v>50</v>
      </c>
      <c r="S6170" t="s">
        <v>128</v>
      </c>
      <c r="T6170" t="s">
        <v>784</v>
      </c>
      <c r="U6170" t="s">
        <v>785</v>
      </c>
      <c r="V6170" s="3">
        <v>41586</v>
      </c>
    </row>
    <row r="6171" spans="1:22" x14ac:dyDescent="0.35">
      <c r="A6171" s="1">
        <v>42288.614942129629</v>
      </c>
      <c r="B6171" s="2">
        <v>3.7928240740740742E-2</v>
      </c>
      <c r="C6171" t="s">
        <v>6288</v>
      </c>
      <c r="D6171" t="s">
        <v>23</v>
      </c>
      <c r="E6171" t="s">
        <v>24</v>
      </c>
      <c r="F6171" t="s">
        <v>486</v>
      </c>
      <c r="G6171">
        <v>1119505</v>
      </c>
      <c r="H6171" t="s">
        <v>26</v>
      </c>
      <c r="I6171" t="s">
        <v>450</v>
      </c>
      <c r="J6171" t="str">
        <f>"9781118355015"</f>
        <v>9781118355015</v>
      </c>
      <c r="K6171" t="s">
        <v>9544</v>
      </c>
      <c r="L6171">
        <v>30</v>
      </c>
      <c r="O6171" t="s">
        <v>30</v>
      </c>
      <c r="P6171" t="s">
        <v>29</v>
      </c>
      <c r="Q6171" s="1">
        <v>42287.767233796294</v>
      </c>
      <c r="R6171">
        <v>7</v>
      </c>
      <c r="S6171" t="s">
        <v>31</v>
      </c>
      <c r="T6171" t="s">
        <v>487</v>
      </c>
      <c r="U6171" t="s">
        <v>488</v>
      </c>
      <c r="V6171" s="3">
        <v>41302</v>
      </c>
    </row>
    <row r="6172" spans="1:22" x14ac:dyDescent="0.35">
      <c r="A6172" s="1">
        <v>42288.235312500001</v>
      </c>
      <c r="B6172" s="2">
        <v>1.1574074074074073E-3</v>
      </c>
      <c r="C6172" t="s">
        <v>3595</v>
      </c>
      <c r="D6172" t="s">
        <v>23</v>
      </c>
      <c r="E6172" t="s">
        <v>24</v>
      </c>
      <c r="F6172" t="s">
        <v>3559</v>
      </c>
      <c r="G6172">
        <v>1217954</v>
      </c>
      <c r="H6172" t="s">
        <v>45</v>
      </c>
      <c r="I6172" t="s">
        <v>3560</v>
      </c>
      <c r="J6172" t="str">
        <f>"9781409457558"</f>
        <v>9781409457558</v>
      </c>
      <c r="K6172" t="s">
        <v>9545</v>
      </c>
      <c r="L6172">
        <v>13</v>
      </c>
      <c r="O6172" t="s">
        <v>30</v>
      </c>
      <c r="P6172" t="s">
        <v>42</v>
      </c>
      <c r="S6172" t="s">
        <v>31</v>
      </c>
      <c r="T6172" t="s">
        <v>3562</v>
      </c>
      <c r="U6172" t="s">
        <v>3563</v>
      </c>
      <c r="V6172" s="3">
        <v>41575</v>
      </c>
    </row>
    <row r="6173" spans="1:22" x14ac:dyDescent="0.35">
      <c r="A6173" s="1">
        <v>42288.192453703705</v>
      </c>
      <c r="B6173" s="2">
        <v>4.9768518518518521E-4</v>
      </c>
      <c r="C6173" t="s">
        <v>3595</v>
      </c>
      <c r="D6173" t="s">
        <v>23</v>
      </c>
      <c r="E6173" t="s">
        <v>24</v>
      </c>
      <c r="F6173" t="s">
        <v>3559</v>
      </c>
      <c r="G6173">
        <v>1217954</v>
      </c>
      <c r="H6173" t="s">
        <v>45</v>
      </c>
      <c r="I6173" t="s">
        <v>3560</v>
      </c>
      <c r="J6173" t="str">
        <f>"9781409457558"</f>
        <v>9781409457558</v>
      </c>
      <c r="K6173" t="s">
        <v>9546</v>
      </c>
      <c r="L6173">
        <v>8</v>
      </c>
      <c r="O6173" t="s">
        <v>30</v>
      </c>
      <c r="P6173" t="s">
        <v>42</v>
      </c>
      <c r="S6173" t="s">
        <v>31</v>
      </c>
      <c r="T6173" t="s">
        <v>3562</v>
      </c>
      <c r="U6173" t="s">
        <v>3563</v>
      </c>
      <c r="V6173" s="3">
        <v>41575</v>
      </c>
    </row>
    <row r="6174" spans="1:22" x14ac:dyDescent="0.35">
      <c r="A6174" s="1">
        <v>42288.066736111112</v>
      </c>
      <c r="B6174" s="2">
        <v>0.1622800925925926</v>
      </c>
      <c r="C6174" t="s">
        <v>106</v>
      </c>
      <c r="D6174" t="s">
        <v>23</v>
      </c>
      <c r="E6174" t="s">
        <v>24</v>
      </c>
      <c r="F6174" t="s">
        <v>486</v>
      </c>
      <c r="G6174">
        <v>1119505</v>
      </c>
      <c r="H6174" t="s">
        <v>26</v>
      </c>
      <c r="I6174" t="s">
        <v>450</v>
      </c>
      <c r="J6174" t="str">
        <f>"9781118355015"</f>
        <v>9781118355015</v>
      </c>
      <c r="K6174" t="s">
        <v>9547</v>
      </c>
      <c r="L6174">
        <v>69</v>
      </c>
      <c r="O6174" t="s">
        <v>30</v>
      </c>
      <c r="P6174" t="s">
        <v>29</v>
      </c>
      <c r="Q6174" s="1">
        <v>42287.190775462965</v>
      </c>
      <c r="R6174">
        <v>7</v>
      </c>
      <c r="S6174" t="s">
        <v>31</v>
      </c>
      <c r="T6174" t="s">
        <v>487</v>
      </c>
      <c r="U6174" t="s">
        <v>488</v>
      </c>
      <c r="V6174" s="3">
        <v>41302</v>
      </c>
    </row>
    <row r="6175" spans="1:22" x14ac:dyDescent="0.35">
      <c r="A6175" s="1">
        <v>42287.953090277777</v>
      </c>
      <c r="B6175" s="2">
        <v>1.6550925925925926E-3</v>
      </c>
      <c r="C6175" t="s">
        <v>9548</v>
      </c>
      <c r="D6175" t="s">
        <v>2519</v>
      </c>
      <c r="E6175" t="s">
        <v>2520</v>
      </c>
      <c r="F6175" t="s">
        <v>823</v>
      </c>
      <c r="G6175">
        <v>1221573</v>
      </c>
      <c r="H6175" t="s">
        <v>26</v>
      </c>
      <c r="I6175" t="s">
        <v>824</v>
      </c>
      <c r="J6175" t="str">
        <f>"9781118658116"</f>
        <v>9781118658116</v>
      </c>
      <c r="K6175" t="s">
        <v>9549</v>
      </c>
      <c r="L6175">
        <v>26</v>
      </c>
      <c r="O6175" t="s">
        <v>30</v>
      </c>
      <c r="P6175" t="s">
        <v>29</v>
      </c>
      <c r="Q6175" s="1">
        <v>42287.953090277777</v>
      </c>
      <c r="R6175">
        <v>7</v>
      </c>
      <c r="S6175" t="s">
        <v>3786</v>
      </c>
      <c r="T6175" t="s">
        <v>826</v>
      </c>
      <c r="U6175">
        <v>174.4</v>
      </c>
      <c r="V6175" s="3">
        <v>41444</v>
      </c>
    </row>
    <row r="6176" spans="1:22" x14ac:dyDescent="0.35">
      <c r="A6176" s="1">
        <v>42287.9528125</v>
      </c>
      <c r="B6176" s="2">
        <v>9.0636574074074064E-2</v>
      </c>
      <c r="C6176" t="s">
        <v>106</v>
      </c>
      <c r="D6176" t="s">
        <v>23</v>
      </c>
      <c r="E6176" t="s">
        <v>24</v>
      </c>
      <c r="F6176" t="s">
        <v>486</v>
      </c>
      <c r="G6176">
        <v>1119505</v>
      </c>
      <c r="H6176" t="s">
        <v>26</v>
      </c>
      <c r="I6176" t="s">
        <v>450</v>
      </c>
      <c r="J6176" t="str">
        <f>"9781118355015"</f>
        <v>9781118355015</v>
      </c>
      <c r="K6176" t="s">
        <v>9550</v>
      </c>
      <c r="L6176">
        <v>23</v>
      </c>
      <c r="O6176" t="s">
        <v>30</v>
      </c>
      <c r="P6176" t="s">
        <v>29</v>
      </c>
      <c r="Q6176" s="1">
        <v>42287.190775462965</v>
      </c>
      <c r="R6176">
        <v>7</v>
      </c>
      <c r="S6176" t="s">
        <v>31</v>
      </c>
      <c r="T6176" t="s">
        <v>487</v>
      </c>
      <c r="U6176" t="s">
        <v>488</v>
      </c>
      <c r="V6176" s="3">
        <v>41302</v>
      </c>
    </row>
    <row r="6177" spans="1:22" x14ac:dyDescent="0.35">
      <c r="A6177" s="1">
        <v>42287.948240740741</v>
      </c>
      <c r="B6177" s="2">
        <v>4.8495370370370368E-3</v>
      </c>
      <c r="C6177" t="s">
        <v>9548</v>
      </c>
      <c r="D6177" t="s">
        <v>2519</v>
      </c>
      <c r="E6177" t="s">
        <v>2520</v>
      </c>
      <c r="F6177" t="s">
        <v>823</v>
      </c>
      <c r="G6177">
        <v>1221573</v>
      </c>
      <c r="H6177" t="s">
        <v>26</v>
      </c>
      <c r="I6177" t="s">
        <v>824</v>
      </c>
      <c r="J6177" t="str">
        <f>"9781118658116"</f>
        <v>9781118658116</v>
      </c>
      <c r="K6177" t="s">
        <v>9551</v>
      </c>
      <c r="L6177">
        <v>13</v>
      </c>
      <c r="O6177" t="s">
        <v>30</v>
      </c>
      <c r="P6177" t="s">
        <v>50</v>
      </c>
      <c r="S6177" t="s">
        <v>3786</v>
      </c>
      <c r="T6177" t="s">
        <v>826</v>
      </c>
      <c r="U6177">
        <v>174.4</v>
      </c>
      <c r="V6177" s="3">
        <v>41444</v>
      </c>
    </row>
    <row r="6178" spans="1:22" x14ac:dyDescent="0.35">
      <c r="A6178" s="1">
        <v>42287.842824074076</v>
      </c>
      <c r="B6178" s="2">
        <v>6.5972222222222213E-4</v>
      </c>
      <c r="C6178" t="s">
        <v>106</v>
      </c>
      <c r="D6178" t="s">
        <v>23</v>
      </c>
      <c r="E6178" t="s">
        <v>24</v>
      </c>
      <c r="F6178" t="s">
        <v>4937</v>
      </c>
      <c r="G6178">
        <v>818101</v>
      </c>
      <c r="H6178" t="s">
        <v>26</v>
      </c>
      <c r="I6178" t="s">
        <v>4938</v>
      </c>
      <c r="J6178" t="str">
        <f>"9781118225844"</f>
        <v>9781118225844</v>
      </c>
      <c r="K6178" t="s">
        <v>9552</v>
      </c>
      <c r="L6178">
        <v>4</v>
      </c>
      <c r="O6178" t="s">
        <v>30</v>
      </c>
      <c r="P6178" t="s">
        <v>42</v>
      </c>
      <c r="S6178" t="s">
        <v>31</v>
      </c>
      <c r="T6178" t="s">
        <v>4940</v>
      </c>
      <c r="U6178" t="s">
        <v>4941</v>
      </c>
      <c r="V6178" s="3">
        <v>40947</v>
      </c>
    </row>
    <row r="6179" spans="1:22" x14ac:dyDescent="0.35">
      <c r="A6179" s="1">
        <v>42287.838252314818</v>
      </c>
      <c r="B6179" s="2">
        <v>0.13564814814814816</v>
      </c>
      <c r="C6179" t="s">
        <v>106</v>
      </c>
      <c r="D6179" t="s">
        <v>23</v>
      </c>
      <c r="E6179" t="s">
        <v>24</v>
      </c>
      <c r="F6179" t="s">
        <v>486</v>
      </c>
      <c r="G6179">
        <v>1119505</v>
      </c>
      <c r="H6179" t="s">
        <v>26</v>
      </c>
      <c r="I6179" t="s">
        <v>450</v>
      </c>
      <c r="J6179" t="str">
        <f>"9781118355015"</f>
        <v>9781118355015</v>
      </c>
      <c r="K6179" t="s">
        <v>9553</v>
      </c>
      <c r="L6179">
        <v>89</v>
      </c>
      <c r="O6179" t="s">
        <v>30</v>
      </c>
      <c r="P6179" t="s">
        <v>29</v>
      </c>
      <c r="Q6179" s="1">
        <v>42287.190775462965</v>
      </c>
      <c r="R6179">
        <v>7</v>
      </c>
      <c r="S6179" t="s">
        <v>31</v>
      </c>
      <c r="T6179" t="s">
        <v>487</v>
      </c>
      <c r="U6179" t="s">
        <v>488</v>
      </c>
      <c r="V6179" s="3">
        <v>41302</v>
      </c>
    </row>
    <row r="6180" spans="1:22" x14ac:dyDescent="0.35">
      <c r="A6180" s="1">
        <v>42287.826504629629</v>
      </c>
      <c r="B6180" s="2">
        <v>2.0949074074074073E-3</v>
      </c>
      <c r="C6180" t="s">
        <v>9554</v>
      </c>
      <c r="D6180" t="s">
        <v>158</v>
      </c>
      <c r="E6180" t="s">
        <v>159</v>
      </c>
      <c r="F6180" t="s">
        <v>855</v>
      </c>
      <c r="G6180">
        <v>817848</v>
      </c>
      <c r="H6180" t="s">
        <v>26</v>
      </c>
      <c r="I6180" t="s">
        <v>856</v>
      </c>
      <c r="J6180" t="str">
        <f>"9781118205624"</f>
        <v>9781118205624</v>
      </c>
      <c r="K6180" t="s">
        <v>9555</v>
      </c>
      <c r="L6180">
        <v>56</v>
      </c>
      <c r="O6180" t="s">
        <v>30</v>
      </c>
      <c r="P6180" t="s">
        <v>42</v>
      </c>
      <c r="S6180" t="s">
        <v>163</v>
      </c>
      <c r="T6180" t="s">
        <v>858</v>
      </c>
      <c r="U6180" t="s">
        <v>859</v>
      </c>
      <c r="V6180" s="3">
        <v>41019</v>
      </c>
    </row>
    <row r="6181" spans="1:22" x14ac:dyDescent="0.35">
      <c r="A6181" s="1">
        <v>42287.813321759262</v>
      </c>
      <c r="B6181" s="2">
        <v>0</v>
      </c>
      <c r="C6181" t="s">
        <v>6390</v>
      </c>
      <c r="D6181" t="s">
        <v>23</v>
      </c>
      <c r="E6181" t="s">
        <v>24</v>
      </c>
      <c r="F6181" t="s">
        <v>486</v>
      </c>
      <c r="G6181">
        <v>1119505</v>
      </c>
      <c r="H6181" t="s">
        <v>26</v>
      </c>
      <c r="I6181" t="s">
        <v>450</v>
      </c>
      <c r="J6181" t="str">
        <f>"9781118355015"</f>
        <v>9781118355015</v>
      </c>
      <c r="L6181">
        <v>0</v>
      </c>
      <c r="N6181" t="s">
        <v>9556</v>
      </c>
      <c r="O6181" t="s">
        <v>30</v>
      </c>
      <c r="P6181" t="s">
        <v>29</v>
      </c>
      <c r="Q6181" s="1">
        <v>42287.813321759262</v>
      </c>
      <c r="R6181">
        <v>7</v>
      </c>
      <c r="S6181" t="s">
        <v>31</v>
      </c>
      <c r="T6181" t="s">
        <v>487</v>
      </c>
      <c r="U6181" t="s">
        <v>488</v>
      </c>
      <c r="V6181" s="3">
        <v>41302</v>
      </c>
    </row>
    <row r="6182" spans="1:22" x14ac:dyDescent="0.35">
      <c r="A6182" s="1">
        <v>42287.812534722223</v>
      </c>
      <c r="B6182" s="2">
        <v>7.7546296296296304E-4</v>
      </c>
      <c r="C6182" t="s">
        <v>6390</v>
      </c>
      <c r="D6182" t="s">
        <v>23</v>
      </c>
      <c r="E6182" t="s">
        <v>24</v>
      </c>
      <c r="F6182" t="s">
        <v>486</v>
      </c>
      <c r="G6182">
        <v>1119505</v>
      </c>
      <c r="H6182" t="s">
        <v>26</v>
      </c>
      <c r="I6182" t="s">
        <v>450</v>
      </c>
      <c r="J6182" t="str">
        <f>"9781118355015"</f>
        <v>9781118355015</v>
      </c>
      <c r="K6182" t="s">
        <v>9557</v>
      </c>
      <c r="L6182">
        <v>12</v>
      </c>
      <c r="O6182" t="s">
        <v>30</v>
      </c>
      <c r="P6182" t="s">
        <v>42</v>
      </c>
      <c r="S6182" t="s">
        <v>31</v>
      </c>
      <c r="T6182" t="s">
        <v>487</v>
      </c>
      <c r="U6182" t="s">
        <v>488</v>
      </c>
      <c r="V6182" s="3">
        <v>41302</v>
      </c>
    </row>
    <row r="6183" spans="1:22" x14ac:dyDescent="0.35">
      <c r="A6183" s="1">
        <v>42287.810902777775</v>
      </c>
      <c r="B6183" s="2">
        <v>2.0833333333333333E-3</v>
      </c>
      <c r="C6183" t="s">
        <v>3434</v>
      </c>
      <c r="D6183" t="s">
        <v>35</v>
      </c>
      <c r="E6183" t="s">
        <v>36</v>
      </c>
      <c r="F6183" t="s">
        <v>9558</v>
      </c>
      <c r="G6183">
        <v>2008614</v>
      </c>
      <c r="H6183" t="s">
        <v>91</v>
      </c>
      <c r="I6183" t="s">
        <v>247</v>
      </c>
      <c r="J6183" t="str">
        <f>"9781462523429"</f>
        <v>9781462523429</v>
      </c>
      <c r="K6183" t="s">
        <v>9559</v>
      </c>
      <c r="L6183">
        <v>34</v>
      </c>
      <c r="O6183" t="s">
        <v>28</v>
      </c>
      <c r="P6183" t="s">
        <v>47</v>
      </c>
      <c r="Q6183" s="1">
        <v>42287.810902777775</v>
      </c>
      <c r="R6183">
        <v>7</v>
      </c>
      <c r="S6183" t="s">
        <v>40</v>
      </c>
      <c r="T6183" t="s">
        <v>9560</v>
      </c>
      <c r="U6183">
        <v>616.85226999999998</v>
      </c>
      <c r="V6183" s="3">
        <v>42005</v>
      </c>
    </row>
    <row r="6184" spans="1:22" x14ac:dyDescent="0.35">
      <c r="A6184" s="1">
        <v>42287.810902777775</v>
      </c>
      <c r="B6184" s="2">
        <v>0</v>
      </c>
      <c r="C6184" t="s">
        <v>3434</v>
      </c>
      <c r="D6184" t="s">
        <v>35</v>
      </c>
      <c r="E6184" t="s">
        <v>36</v>
      </c>
      <c r="F6184" t="s">
        <v>9558</v>
      </c>
      <c r="G6184">
        <v>2008614</v>
      </c>
      <c r="H6184" t="s">
        <v>91</v>
      </c>
      <c r="I6184" t="s">
        <v>247</v>
      </c>
      <c r="J6184" t="str">
        <f>"9781462523429"</f>
        <v>9781462523429</v>
      </c>
      <c r="L6184">
        <v>0</v>
      </c>
      <c r="O6184" t="s">
        <v>30</v>
      </c>
      <c r="P6184" t="s">
        <v>47</v>
      </c>
      <c r="Q6184" s="1">
        <v>42287.810902777775</v>
      </c>
      <c r="R6184">
        <v>7</v>
      </c>
      <c r="S6184" t="s">
        <v>40</v>
      </c>
      <c r="T6184" t="s">
        <v>9560</v>
      </c>
      <c r="U6184">
        <v>616.85226999999998</v>
      </c>
      <c r="V6184" s="3">
        <v>42005</v>
      </c>
    </row>
    <row r="6185" spans="1:22" x14ac:dyDescent="0.35">
      <c r="A6185" s="1">
        <v>42287.810497685183</v>
      </c>
      <c r="B6185" s="2">
        <v>4.0509259259259258E-4</v>
      </c>
      <c r="C6185" t="s">
        <v>3434</v>
      </c>
      <c r="D6185" t="s">
        <v>35</v>
      </c>
      <c r="E6185" t="s">
        <v>36</v>
      </c>
      <c r="F6185" t="s">
        <v>9558</v>
      </c>
      <c r="G6185">
        <v>2008614</v>
      </c>
      <c r="H6185" t="s">
        <v>91</v>
      </c>
      <c r="I6185" t="s">
        <v>247</v>
      </c>
      <c r="J6185" t="str">
        <f>"9781462523429"</f>
        <v>9781462523429</v>
      </c>
      <c r="K6185" t="s">
        <v>9561</v>
      </c>
      <c r="L6185">
        <v>9</v>
      </c>
      <c r="O6185" t="s">
        <v>30</v>
      </c>
      <c r="P6185" t="s">
        <v>50</v>
      </c>
      <c r="S6185" t="s">
        <v>40</v>
      </c>
      <c r="T6185" t="s">
        <v>9560</v>
      </c>
      <c r="U6185">
        <v>616.85226999999998</v>
      </c>
      <c r="V6185" s="3">
        <v>42005</v>
      </c>
    </row>
    <row r="6186" spans="1:22" x14ac:dyDescent="0.35">
      <c r="A6186" s="1">
        <v>42287.786550925928</v>
      </c>
      <c r="B6186" s="2">
        <v>3.4930555555555555E-2</v>
      </c>
      <c r="C6186" t="s">
        <v>106</v>
      </c>
      <c r="D6186" t="s">
        <v>23</v>
      </c>
      <c r="E6186" t="s">
        <v>24</v>
      </c>
      <c r="F6186" t="s">
        <v>1051</v>
      </c>
      <c r="G6186">
        <v>821663</v>
      </c>
      <c r="H6186" t="s">
        <v>26</v>
      </c>
      <c r="I6186" t="s">
        <v>200</v>
      </c>
      <c r="J6186" t="str">
        <f>"9781118168479"</f>
        <v>9781118168479</v>
      </c>
      <c r="K6186" t="s">
        <v>9562</v>
      </c>
      <c r="L6186">
        <v>24</v>
      </c>
      <c r="O6186" t="s">
        <v>30</v>
      </c>
      <c r="P6186" t="s">
        <v>29</v>
      </c>
      <c r="Q6186" s="1">
        <v>42287.786365740743</v>
      </c>
      <c r="R6186">
        <v>7</v>
      </c>
      <c r="S6186" t="s">
        <v>31</v>
      </c>
      <c r="T6186" t="s">
        <v>1053</v>
      </c>
      <c r="U6186">
        <v>729</v>
      </c>
      <c r="V6186" s="3">
        <v>40973</v>
      </c>
    </row>
    <row r="6187" spans="1:22" x14ac:dyDescent="0.35">
      <c r="A6187" s="1">
        <v>42287.786365740743</v>
      </c>
      <c r="B6187" s="2">
        <v>9.0162037037037027E-2</v>
      </c>
      <c r="C6187" t="s">
        <v>106</v>
      </c>
      <c r="D6187" t="s">
        <v>23</v>
      </c>
      <c r="E6187" t="s">
        <v>24</v>
      </c>
      <c r="F6187" t="s">
        <v>1051</v>
      </c>
      <c r="G6187">
        <v>821663</v>
      </c>
      <c r="H6187" t="s">
        <v>26</v>
      </c>
      <c r="I6187" t="s">
        <v>200</v>
      </c>
      <c r="J6187" t="str">
        <f>"9781118168479"</f>
        <v>9781118168479</v>
      </c>
      <c r="K6187" t="s">
        <v>9563</v>
      </c>
      <c r="L6187">
        <v>36</v>
      </c>
      <c r="M6187" t="s">
        <v>9564</v>
      </c>
      <c r="O6187" t="s">
        <v>30</v>
      </c>
      <c r="P6187" t="s">
        <v>29</v>
      </c>
      <c r="Q6187" s="1">
        <v>42287.786365740743</v>
      </c>
      <c r="R6187">
        <v>7</v>
      </c>
      <c r="S6187" t="s">
        <v>31</v>
      </c>
      <c r="T6187" t="s">
        <v>1053</v>
      </c>
      <c r="U6187">
        <v>729</v>
      </c>
      <c r="V6187" s="3">
        <v>40973</v>
      </c>
    </row>
    <row r="6188" spans="1:22" x14ac:dyDescent="0.35">
      <c r="A6188" s="1">
        <v>42287.783171296294</v>
      </c>
      <c r="B6188" s="2">
        <v>1.8634259259259261E-3</v>
      </c>
      <c r="C6188" t="s">
        <v>3434</v>
      </c>
      <c r="D6188" t="s">
        <v>35</v>
      </c>
      <c r="E6188" t="s">
        <v>36</v>
      </c>
      <c r="F6188" t="s">
        <v>9558</v>
      </c>
      <c r="G6188">
        <v>2008614</v>
      </c>
      <c r="H6188" t="s">
        <v>91</v>
      </c>
      <c r="I6188" t="s">
        <v>247</v>
      </c>
      <c r="J6188" t="str">
        <f>"9781462523429"</f>
        <v>9781462523429</v>
      </c>
      <c r="K6188" t="s">
        <v>9565</v>
      </c>
      <c r="L6188">
        <v>13</v>
      </c>
      <c r="O6188" t="s">
        <v>30</v>
      </c>
      <c r="P6188" t="s">
        <v>50</v>
      </c>
      <c r="S6188" t="s">
        <v>40</v>
      </c>
      <c r="T6188" t="s">
        <v>9560</v>
      </c>
      <c r="U6188">
        <v>616.85226999999998</v>
      </c>
      <c r="V6188" s="3">
        <v>42005</v>
      </c>
    </row>
    <row r="6189" spans="1:22" x14ac:dyDescent="0.35">
      <c r="A6189" s="1">
        <v>42287.767233796294</v>
      </c>
      <c r="B6189" s="2">
        <v>0.17549768518518519</v>
      </c>
      <c r="C6189" t="s">
        <v>6288</v>
      </c>
      <c r="D6189" t="s">
        <v>23</v>
      </c>
      <c r="E6189" t="s">
        <v>24</v>
      </c>
      <c r="F6189" t="s">
        <v>486</v>
      </c>
      <c r="G6189">
        <v>1119505</v>
      </c>
      <c r="H6189" t="s">
        <v>26</v>
      </c>
      <c r="I6189" t="s">
        <v>450</v>
      </c>
      <c r="J6189" t="str">
        <f>"9781118355015"</f>
        <v>9781118355015</v>
      </c>
      <c r="K6189" t="s">
        <v>9566</v>
      </c>
      <c r="L6189">
        <v>94</v>
      </c>
      <c r="O6189" t="s">
        <v>30</v>
      </c>
      <c r="P6189" t="s">
        <v>29</v>
      </c>
      <c r="Q6189" s="1">
        <v>42287.767233796294</v>
      </c>
      <c r="R6189">
        <v>7</v>
      </c>
      <c r="S6189" t="s">
        <v>31</v>
      </c>
      <c r="T6189" t="s">
        <v>487</v>
      </c>
      <c r="U6189" t="s">
        <v>488</v>
      </c>
      <c r="V6189" s="3">
        <v>41302</v>
      </c>
    </row>
    <row r="6190" spans="1:22" x14ac:dyDescent="0.35">
      <c r="A6190" s="1">
        <v>42287.761493055557</v>
      </c>
      <c r="B6190" s="2">
        <v>5.7407407407407416E-3</v>
      </c>
      <c r="C6190" t="s">
        <v>6288</v>
      </c>
      <c r="D6190" t="s">
        <v>23</v>
      </c>
      <c r="E6190" t="s">
        <v>24</v>
      </c>
      <c r="F6190" t="s">
        <v>486</v>
      </c>
      <c r="G6190">
        <v>1119505</v>
      </c>
      <c r="H6190" t="s">
        <v>26</v>
      </c>
      <c r="I6190" t="s">
        <v>450</v>
      </c>
      <c r="J6190" t="str">
        <f>"9781118355015"</f>
        <v>9781118355015</v>
      </c>
      <c r="K6190" t="s">
        <v>9434</v>
      </c>
      <c r="L6190">
        <v>9</v>
      </c>
      <c r="O6190" t="s">
        <v>30</v>
      </c>
      <c r="P6190" t="s">
        <v>42</v>
      </c>
      <c r="S6190" t="s">
        <v>31</v>
      </c>
      <c r="T6190" t="s">
        <v>487</v>
      </c>
      <c r="U6190" t="s">
        <v>488</v>
      </c>
      <c r="V6190" s="3">
        <v>41302</v>
      </c>
    </row>
    <row r="6191" spans="1:22" x14ac:dyDescent="0.35">
      <c r="A6191" s="1">
        <v>42287.731469907405</v>
      </c>
      <c r="B6191" s="2">
        <v>5.4895833333333331E-2</v>
      </c>
      <c r="C6191" t="s">
        <v>106</v>
      </c>
      <c r="D6191" t="s">
        <v>23</v>
      </c>
      <c r="E6191" t="s">
        <v>24</v>
      </c>
      <c r="F6191" t="s">
        <v>1051</v>
      </c>
      <c r="G6191">
        <v>821663</v>
      </c>
      <c r="H6191" t="s">
        <v>26</v>
      </c>
      <c r="I6191" t="s">
        <v>200</v>
      </c>
      <c r="J6191" t="str">
        <f>"9781118168479"</f>
        <v>9781118168479</v>
      </c>
      <c r="K6191" t="s">
        <v>9567</v>
      </c>
      <c r="L6191">
        <v>40</v>
      </c>
      <c r="O6191" t="s">
        <v>30</v>
      </c>
      <c r="P6191" t="s">
        <v>42</v>
      </c>
      <c r="S6191" t="s">
        <v>31</v>
      </c>
      <c r="T6191" t="s">
        <v>1053</v>
      </c>
      <c r="U6191">
        <v>729</v>
      </c>
      <c r="V6191" s="3">
        <v>40973</v>
      </c>
    </row>
    <row r="6192" spans="1:22" x14ac:dyDescent="0.35">
      <c r="A6192" s="1">
        <v>42287.720671296294</v>
      </c>
      <c r="B6192" s="2">
        <v>8.1249999999999985E-3</v>
      </c>
      <c r="C6192" t="s">
        <v>9568</v>
      </c>
      <c r="D6192" t="s">
        <v>23</v>
      </c>
      <c r="E6192" t="s">
        <v>24</v>
      </c>
      <c r="F6192" t="s">
        <v>7657</v>
      </c>
      <c r="G6192">
        <v>759923</v>
      </c>
      <c r="H6192" t="s">
        <v>91</v>
      </c>
      <c r="I6192" t="s">
        <v>247</v>
      </c>
      <c r="J6192" t="str">
        <f>"9781609186418"</f>
        <v>9781609186418</v>
      </c>
      <c r="K6192" t="s">
        <v>9569</v>
      </c>
      <c r="L6192">
        <v>10</v>
      </c>
      <c r="O6192" t="s">
        <v>30</v>
      </c>
      <c r="P6192" t="s">
        <v>29</v>
      </c>
      <c r="Q6192" s="1">
        <v>42287.720671296294</v>
      </c>
      <c r="R6192">
        <v>7</v>
      </c>
      <c r="S6192" t="s">
        <v>31</v>
      </c>
      <c r="T6192" t="s">
        <v>7658</v>
      </c>
      <c r="U6192">
        <v>618.9289</v>
      </c>
      <c r="V6192" s="3">
        <v>41824</v>
      </c>
    </row>
    <row r="6193" spans="1:22" x14ac:dyDescent="0.35">
      <c r="A6193" s="1">
        <v>42287.713125000002</v>
      </c>
      <c r="B6193" s="2">
        <v>7.5347222222222213E-3</v>
      </c>
      <c r="C6193" t="s">
        <v>9568</v>
      </c>
      <c r="D6193" t="s">
        <v>23</v>
      </c>
      <c r="E6193" t="s">
        <v>24</v>
      </c>
      <c r="F6193" t="s">
        <v>7657</v>
      </c>
      <c r="G6193">
        <v>759923</v>
      </c>
      <c r="H6193" t="s">
        <v>91</v>
      </c>
      <c r="I6193" t="s">
        <v>247</v>
      </c>
      <c r="J6193" t="str">
        <f>"9781609186418"</f>
        <v>9781609186418</v>
      </c>
      <c r="K6193" t="s">
        <v>9570</v>
      </c>
      <c r="L6193">
        <v>23</v>
      </c>
      <c r="O6193" t="s">
        <v>30</v>
      </c>
      <c r="P6193" t="s">
        <v>42</v>
      </c>
      <c r="S6193" t="s">
        <v>31</v>
      </c>
      <c r="T6193" t="s">
        <v>7658</v>
      </c>
      <c r="U6193">
        <v>618.9289</v>
      </c>
      <c r="V6193" s="3">
        <v>41824</v>
      </c>
    </row>
    <row r="6194" spans="1:22" x14ac:dyDescent="0.35">
      <c r="A6194" s="1">
        <v>42287.660914351851</v>
      </c>
      <c r="B6194" s="2">
        <v>9.3750000000000007E-4</v>
      </c>
      <c r="C6194" t="s">
        <v>7816</v>
      </c>
      <c r="D6194" t="s">
        <v>23</v>
      </c>
      <c r="E6194" t="s">
        <v>24</v>
      </c>
      <c r="F6194" t="s">
        <v>7817</v>
      </c>
      <c r="G6194">
        <v>1318682</v>
      </c>
      <c r="H6194" t="s">
        <v>26</v>
      </c>
      <c r="I6194" t="s">
        <v>5370</v>
      </c>
      <c r="J6194" t="str">
        <f>"9781118549483"</f>
        <v>9781118549483</v>
      </c>
      <c r="K6194" t="s">
        <v>9571</v>
      </c>
      <c r="L6194">
        <v>20</v>
      </c>
      <c r="O6194" t="s">
        <v>30</v>
      </c>
      <c r="P6194" t="s">
        <v>42</v>
      </c>
      <c r="S6194" t="s">
        <v>31</v>
      </c>
      <c r="T6194" t="s">
        <v>7818</v>
      </c>
      <c r="U6194">
        <v>629.89</v>
      </c>
      <c r="V6194" s="3">
        <v>41471</v>
      </c>
    </row>
    <row r="6195" spans="1:22" x14ac:dyDescent="0.35">
      <c r="A6195" s="1">
        <v>42287.629976851851</v>
      </c>
      <c r="B6195" s="2">
        <v>3.6689814814814821E-2</v>
      </c>
      <c r="C6195" t="s">
        <v>106</v>
      </c>
      <c r="D6195" t="s">
        <v>23</v>
      </c>
      <c r="E6195" t="s">
        <v>24</v>
      </c>
      <c r="F6195" t="s">
        <v>486</v>
      </c>
      <c r="G6195">
        <v>1119505</v>
      </c>
      <c r="H6195" t="s">
        <v>26</v>
      </c>
      <c r="I6195" t="s">
        <v>450</v>
      </c>
      <c r="J6195" t="str">
        <f>"9781118355015"</f>
        <v>9781118355015</v>
      </c>
      <c r="K6195" t="s">
        <v>9572</v>
      </c>
      <c r="L6195">
        <v>14</v>
      </c>
      <c r="O6195" t="s">
        <v>30</v>
      </c>
      <c r="P6195" t="s">
        <v>29</v>
      </c>
      <c r="Q6195" s="1">
        <v>42287.190775462965</v>
      </c>
      <c r="R6195">
        <v>7</v>
      </c>
      <c r="S6195" t="s">
        <v>31</v>
      </c>
      <c r="T6195" t="s">
        <v>487</v>
      </c>
      <c r="U6195" t="s">
        <v>488</v>
      </c>
      <c r="V6195" s="3">
        <v>41302</v>
      </c>
    </row>
    <row r="6196" spans="1:22" x14ac:dyDescent="0.35">
      <c r="A6196" s="1">
        <v>42287.610567129632</v>
      </c>
      <c r="B6196" s="2">
        <v>3.5219907407407408E-2</v>
      </c>
      <c r="C6196" t="s">
        <v>9573</v>
      </c>
      <c r="D6196" t="s">
        <v>211</v>
      </c>
      <c r="E6196" t="s">
        <v>212</v>
      </c>
      <c r="F6196" t="s">
        <v>4494</v>
      </c>
      <c r="G6196">
        <v>565082</v>
      </c>
      <c r="H6196" t="s">
        <v>26</v>
      </c>
      <c r="I6196" t="s">
        <v>69</v>
      </c>
      <c r="J6196" t="str">
        <f>"9781118041567"</f>
        <v>9781118041567</v>
      </c>
      <c r="K6196" t="s">
        <v>9574</v>
      </c>
      <c r="L6196">
        <v>16</v>
      </c>
      <c r="O6196" t="s">
        <v>30</v>
      </c>
      <c r="P6196" t="s">
        <v>29</v>
      </c>
      <c r="Q6196" s="1">
        <v>42287.610567129632</v>
      </c>
      <c r="R6196">
        <v>7</v>
      </c>
      <c r="S6196" t="s">
        <v>214</v>
      </c>
      <c r="T6196" t="s">
        <v>4496</v>
      </c>
      <c r="U6196" t="s">
        <v>4497</v>
      </c>
      <c r="V6196" s="3">
        <v>40337</v>
      </c>
    </row>
    <row r="6197" spans="1:22" x14ac:dyDescent="0.35">
      <c r="A6197" s="1">
        <v>42287.603587962964</v>
      </c>
      <c r="B6197" s="2">
        <v>6.9791666666666674E-3</v>
      </c>
      <c r="C6197" t="s">
        <v>9573</v>
      </c>
      <c r="D6197" t="s">
        <v>211</v>
      </c>
      <c r="E6197" t="s">
        <v>212</v>
      </c>
      <c r="F6197" t="s">
        <v>4494</v>
      </c>
      <c r="G6197">
        <v>565082</v>
      </c>
      <c r="H6197" t="s">
        <v>26</v>
      </c>
      <c r="I6197" t="s">
        <v>69</v>
      </c>
      <c r="J6197" t="str">
        <f>"9781118041567"</f>
        <v>9781118041567</v>
      </c>
      <c r="K6197" t="s">
        <v>9575</v>
      </c>
      <c r="L6197">
        <v>39</v>
      </c>
      <c r="O6197" t="s">
        <v>30</v>
      </c>
      <c r="P6197" t="s">
        <v>42</v>
      </c>
      <c r="S6197" t="s">
        <v>214</v>
      </c>
      <c r="T6197" t="s">
        <v>4496</v>
      </c>
      <c r="U6197" t="s">
        <v>4497</v>
      </c>
      <c r="V6197" s="3">
        <v>40337</v>
      </c>
    </row>
    <row r="6198" spans="1:22" x14ac:dyDescent="0.35">
      <c r="A6198" s="1">
        <v>42287.585578703707</v>
      </c>
      <c r="B6198" s="2">
        <v>0</v>
      </c>
      <c r="C6198" t="s">
        <v>9576</v>
      </c>
      <c r="D6198" t="s">
        <v>360</v>
      </c>
      <c r="E6198" t="s">
        <v>361</v>
      </c>
      <c r="F6198" t="s">
        <v>4694</v>
      </c>
      <c r="G6198">
        <v>1926644</v>
      </c>
      <c r="H6198" t="s">
        <v>26</v>
      </c>
      <c r="I6198" t="s">
        <v>120</v>
      </c>
      <c r="J6198" t="str">
        <f>"9781118611203"</f>
        <v>9781118611203</v>
      </c>
      <c r="L6198">
        <v>0</v>
      </c>
      <c r="O6198" t="s">
        <v>28</v>
      </c>
      <c r="P6198" t="s">
        <v>29</v>
      </c>
      <c r="Q6198" s="1">
        <v>42287.58489583333</v>
      </c>
      <c r="R6198">
        <v>7</v>
      </c>
      <c r="S6198" t="s">
        <v>363</v>
      </c>
      <c r="T6198" t="s">
        <v>4696</v>
      </c>
      <c r="U6198">
        <v>306.7</v>
      </c>
      <c r="V6198" s="3">
        <v>42024</v>
      </c>
    </row>
    <row r="6199" spans="1:22" x14ac:dyDescent="0.35">
      <c r="A6199" s="1">
        <v>42287.585127314815</v>
      </c>
      <c r="B6199" s="2">
        <v>0</v>
      </c>
      <c r="C6199" t="s">
        <v>9576</v>
      </c>
      <c r="D6199" t="s">
        <v>360</v>
      </c>
      <c r="E6199" t="s">
        <v>361</v>
      </c>
      <c r="F6199" t="s">
        <v>4694</v>
      </c>
      <c r="G6199">
        <v>1926644</v>
      </c>
      <c r="H6199" t="s">
        <v>26</v>
      </c>
      <c r="I6199" t="s">
        <v>120</v>
      </c>
      <c r="J6199" t="str">
        <f>"9781118611203"</f>
        <v>9781118611203</v>
      </c>
      <c r="L6199">
        <v>0</v>
      </c>
      <c r="O6199" t="s">
        <v>28</v>
      </c>
      <c r="P6199" t="s">
        <v>29</v>
      </c>
      <c r="Q6199" s="1">
        <v>42287.58489583333</v>
      </c>
      <c r="R6199">
        <v>7</v>
      </c>
      <c r="S6199" t="s">
        <v>363</v>
      </c>
      <c r="T6199" t="s">
        <v>4696</v>
      </c>
      <c r="U6199">
        <v>306.7</v>
      </c>
      <c r="V6199" s="3">
        <v>42024</v>
      </c>
    </row>
    <row r="6200" spans="1:22" x14ac:dyDescent="0.35">
      <c r="A6200" s="1">
        <v>42287.58489583333</v>
      </c>
      <c r="B6200" s="2">
        <v>0</v>
      </c>
      <c r="C6200" t="s">
        <v>9576</v>
      </c>
      <c r="D6200" t="s">
        <v>360</v>
      </c>
      <c r="E6200" t="s">
        <v>361</v>
      </c>
      <c r="F6200" t="s">
        <v>4694</v>
      </c>
      <c r="G6200">
        <v>1926644</v>
      </c>
      <c r="H6200" t="s">
        <v>26</v>
      </c>
      <c r="I6200" t="s">
        <v>120</v>
      </c>
      <c r="J6200" t="str">
        <f>"9781118611203"</f>
        <v>9781118611203</v>
      </c>
      <c r="L6200">
        <v>0</v>
      </c>
      <c r="O6200" t="s">
        <v>28</v>
      </c>
      <c r="P6200" t="s">
        <v>29</v>
      </c>
      <c r="Q6200" s="1">
        <v>42287.58489583333</v>
      </c>
      <c r="R6200">
        <v>7</v>
      </c>
      <c r="S6200" t="s">
        <v>363</v>
      </c>
      <c r="T6200" t="s">
        <v>4696</v>
      </c>
      <c r="U6200">
        <v>306.7</v>
      </c>
      <c r="V6200" s="3">
        <v>42024</v>
      </c>
    </row>
    <row r="6201" spans="1:22" x14ac:dyDescent="0.35">
      <c r="A6201" s="1">
        <v>42287.58489583333</v>
      </c>
      <c r="B6201" s="2">
        <v>0</v>
      </c>
      <c r="C6201" t="s">
        <v>9576</v>
      </c>
      <c r="D6201" t="s">
        <v>360</v>
      </c>
      <c r="E6201" t="s">
        <v>361</v>
      </c>
      <c r="F6201" t="s">
        <v>4694</v>
      </c>
      <c r="G6201">
        <v>1926644</v>
      </c>
      <c r="H6201" t="s">
        <v>26</v>
      </c>
      <c r="I6201" t="s">
        <v>120</v>
      </c>
      <c r="J6201" t="str">
        <f>"9781118611203"</f>
        <v>9781118611203</v>
      </c>
      <c r="L6201">
        <v>0</v>
      </c>
      <c r="O6201" t="s">
        <v>30</v>
      </c>
      <c r="P6201" t="s">
        <v>29</v>
      </c>
      <c r="Q6201" s="1">
        <v>42287.58489583333</v>
      </c>
      <c r="R6201">
        <v>7</v>
      </c>
      <c r="S6201" t="s">
        <v>363</v>
      </c>
      <c r="T6201" t="s">
        <v>4696</v>
      </c>
      <c r="U6201">
        <v>306.7</v>
      </c>
      <c r="V6201" s="3">
        <v>42024</v>
      </c>
    </row>
    <row r="6202" spans="1:22" x14ac:dyDescent="0.35">
      <c r="A6202" s="1">
        <v>42287.584490740737</v>
      </c>
      <c r="B6202" s="2">
        <v>4.0509259259259258E-4</v>
      </c>
      <c r="C6202" t="s">
        <v>9576</v>
      </c>
      <c r="D6202" t="s">
        <v>360</v>
      </c>
      <c r="E6202" t="s">
        <v>361</v>
      </c>
      <c r="F6202" t="s">
        <v>4694</v>
      </c>
      <c r="G6202">
        <v>1926644</v>
      </c>
      <c r="H6202" t="s">
        <v>26</v>
      </c>
      <c r="I6202" t="s">
        <v>120</v>
      </c>
      <c r="J6202" t="str">
        <f>"9781118611203"</f>
        <v>9781118611203</v>
      </c>
      <c r="K6202" t="s">
        <v>463</v>
      </c>
      <c r="L6202">
        <v>9</v>
      </c>
      <c r="O6202" t="s">
        <v>30</v>
      </c>
      <c r="P6202" t="s">
        <v>50</v>
      </c>
      <c r="S6202" t="s">
        <v>363</v>
      </c>
      <c r="T6202" t="s">
        <v>4696</v>
      </c>
      <c r="U6202">
        <v>306.7</v>
      </c>
      <c r="V6202" s="3">
        <v>42024</v>
      </c>
    </row>
    <row r="6203" spans="1:22" x14ac:dyDescent="0.35">
      <c r="A6203" s="1">
        <v>42287.583067129628</v>
      </c>
      <c r="B6203" s="2">
        <v>0</v>
      </c>
      <c r="C6203" t="s">
        <v>9576</v>
      </c>
      <c r="D6203" t="s">
        <v>360</v>
      </c>
      <c r="E6203" t="s">
        <v>361</v>
      </c>
      <c r="F6203" t="s">
        <v>9577</v>
      </c>
      <c r="G6203">
        <v>3058286</v>
      </c>
      <c r="H6203" t="s">
        <v>440</v>
      </c>
      <c r="I6203" t="s">
        <v>247</v>
      </c>
      <c r="J6203" t="str">
        <f>"9780470675939"</f>
        <v>9780470675939</v>
      </c>
      <c r="L6203">
        <v>0</v>
      </c>
      <c r="O6203" t="s">
        <v>28</v>
      </c>
      <c r="P6203" t="s">
        <v>47</v>
      </c>
      <c r="Q6203" s="1">
        <v>42287.565937500003</v>
      </c>
      <c r="R6203">
        <v>1</v>
      </c>
      <c r="S6203" t="s">
        <v>363</v>
      </c>
      <c r="T6203" t="s">
        <v>9578</v>
      </c>
      <c r="U6203" t="s">
        <v>9579</v>
      </c>
      <c r="V6203" s="3">
        <v>58441</v>
      </c>
    </row>
    <row r="6204" spans="1:22" x14ac:dyDescent="0.35">
      <c r="A6204" s="1">
        <v>42287.582488425927</v>
      </c>
      <c r="B6204" s="2">
        <v>0</v>
      </c>
      <c r="C6204" t="s">
        <v>9576</v>
      </c>
      <c r="D6204" t="s">
        <v>360</v>
      </c>
      <c r="E6204" t="s">
        <v>361</v>
      </c>
      <c r="F6204" t="s">
        <v>9577</v>
      </c>
      <c r="G6204">
        <v>3058286</v>
      </c>
      <c r="H6204" t="s">
        <v>440</v>
      </c>
      <c r="I6204" t="s">
        <v>247</v>
      </c>
      <c r="J6204" t="str">
        <f>"9780470675939"</f>
        <v>9780470675939</v>
      </c>
      <c r="L6204">
        <v>0</v>
      </c>
      <c r="O6204" t="s">
        <v>28</v>
      </c>
      <c r="P6204" t="s">
        <v>47</v>
      </c>
      <c r="Q6204" s="1">
        <v>42287.565937500003</v>
      </c>
      <c r="R6204">
        <v>1</v>
      </c>
      <c r="S6204" t="s">
        <v>363</v>
      </c>
      <c r="T6204" t="s">
        <v>9578</v>
      </c>
      <c r="U6204" t="s">
        <v>9579</v>
      </c>
      <c r="V6204" s="3">
        <v>58441</v>
      </c>
    </row>
    <row r="6205" spans="1:22" x14ac:dyDescent="0.35">
      <c r="A6205" s="1">
        <v>42287.582002314812</v>
      </c>
      <c r="B6205" s="2">
        <v>0</v>
      </c>
      <c r="C6205" t="s">
        <v>9576</v>
      </c>
      <c r="D6205" t="s">
        <v>360</v>
      </c>
      <c r="E6205" t="s">
        <v>361</v>
      </c>
      <c r="F6205" t="s">
        <v>9577</v>
      </c>
      <c r="G6205">
        <v>3058286</v>
      </c>
      <c r="H6205" t="s">
        <v>440</v>
      </c>
      <c r="I6205" t="s">
        <v>247</v>
      </c>
      <c r="J6205" t="str">
        <f>"9780470675939"</f>
        <v>9780470675939</v>
      </c>
      <c r="L6205">
        <v>0</v>
      </c>
      <c r="O6205" t="s">
        <v>28</v>
      </c>
      <c r="P6205" t="s">
        <v>47</v>
      </c>
      <c r="Q6205" s="1">
        <v>42287.565937500003</v>
      </c>
      <c r="R6205">
        <v>1</v>
      </c>
      <c r="S6205" t="s">
        <v>363</v>
      </c>
      <c r="T6205" t="s">
        <v>9578</v>
      </c>
      <c r="U6205" t="s">
        <v>9579</v>
      </c>
      <c r="V6205" s="3">
        <v>58441</v>
      </c>
    </row>
    <row r="6206" spans="1:22" x14ac:dyDescent="0.35">
      <c r="A6206" s="1">
        <v>42287.581608796296</v>
      </c>
      <c r="B6206" s="2">
        <v>0</v>
      </c>
      <c r="C6206" t="s">
        <v>9576</v>
      </c>
      <c r="D6206" t="s">
        <v>360</v>
      </c>
      <c r="E6206" t="s">
        <v>361</v>
      </c>
      <c r="F6206" t="s">
        <v>9580</v>
      </c>
      <c r="G6206">
        <v>3058738</v>
      </c>
      <c r="H6206" t="s">
        <v>440</v>
      </c>
      <c r="I6206" t="s">
        <v>247</v>
      </c>
      <c r="J6206" t="str">
        <f>"9781118285626"</f>
        <v>9781118285626</v>
      </c>
      <c r="L6206">
        <v>0</v>
      </c>
      <c r="O6206" t="s">
        <v>28</v>
      </c>
      <c r="P6206" t="s">
        <v>47</v>
      </c>
      <c r="Q6206" s="1">
        <v>42287.574884259258</v>
      </c>
      <c r="R6206">
        <v>1</v>
      </c>
      <c r="S6206" t="s">
        <v>363</v>
      </c>
      <c r="T6206" t="s">
        <v>9581</v>
      </c>
      <c r="U6206">
        <v>618.20000000000005</v>
      </c>
      <c r="V6206" s="3">
        <v>55885</v>
      </c>
    </row>
    <row r="6207" spans="1:22" x14ac:dyDescent="0.35">
      <c r="A6207" s="1">
        <v>42287.581076388888</v>
      </c>
      <c r="B6207" s="2">
        <v>0</v>
      </c>
      <c r="C6207" t="s">
        <v>9576</v>
      </c>
      <c r="D6207" t="s">
        <v>360</v>
      </c>
      <c r="E6207" t="s">
        <v>361</v>
      </c>
      <c r="F6207" t="s">
        <v>9580</v>
      </c>
      <c r="G6207">
        <v>3058738</v>
      </c>
      <c r="H6207" t="s">
        <v>440</v>
      </c>
      <c r="I6207" t="s">
        <v>247</v>
      </c>
      <c r="J6207" t="str">
        <f>"9781118285626"</f>
        <v>9781118285626</v>
      </c>
      <c r="L6207">
        <v>0</v>
      </c>
      <c r="O6207" t="s">
        <v>28</v>
      </c>
      <c r="P6207" t="s">
        <v>47</v>
      </c>
      <c r="Q6207" s="1">
        <v>42287.574884259258</v>
      </c>
      <c r="R6207">
        <v>1</v>
      </c>
      <c r="S6207" t="s">
        <v>363</v>
      </c>
      <c r="T6207" t="s">
        <v>9581</v>
      </c>
      <c r="U6207">
        <v>618.20000000000005</v>
      </c>
      <c r="V6207" s="3">
        <v>55885</v>
      </c>
    </row>
    <row r="6208" spans="1:22" x14ac:dyDescent="0.35">
      <c r="A6208" s="1">
        <v>42287.580729166664</v>
      </c>
      <c r="B6208" s="2">
        <v>0</v>
      </c>
      <c r="C6208" t="s">
        <v>9576</v>
      </c>
      <c r="D6208" t="s">
        <v>360</v>
      </c>
      <c r="E6208" t="s">
        <v>361</v>
      </c>
      <c r="F6208" t="s">
        <v>9582</v>
      </c>
      <c r="G6208">
        <v>2004761</v>
      </c>
      <c r="H6208" t="s">
        <v>45</v>
      </c>
      <c r="I6208" t="s">
        <v>2604</v>
      </c>
      <c r="J6208" t="str">
        <f>"9781472453808"</f>
        <v>9781472453808</v>
      </c>
      <c r="L6208">
        <v>0</v>
      </c>
      <c r="O6208" t="s">
        <v>28</v>
      </c>
      <c r="P6208" t="s">
        <v>47</v>
      </c>
      <c r="Q6208" s="1">
        <v>42287.567048611112</v>
      </c>
      <c r="R6208">
        <v>1</v>
      </c>
      <c r="S6208" t="s">
        <v>363</v>
      </c>
      <c r="T6208" t="s">
        <v>9583</v>
      </c>
      <c r="U6208" t="s">
        <v>9584</v>
      </c>
      <c r="V6208" s="3">
        <v>42122</v>
      </c>
    </row>
    <row r="6209" spans="1:22" x14ac:dyDescent="0.35">
      <c r="A6209" s="1">
        <v>42287.579629629632</v>
      </c>
      <c r="B6209" s="2">
        <v>0</v>
      </c>
      <c r="C6209" t="s">
        <v>9576</v>
      </c>
      <c r="D6209" t="s">
        <v>360</v>
      </c>
      <c r="E6209" t="s">
        <v>361</v>
      </c>
      <c r="F6209" t="s">
        <v>9580</v>
      </c>
      <c r="G6209">
        <v>3058738</v>
      </c>
      <c r="H6209" t="s">
        <v>440</v>
      </c>
      <c r="I6209" t="s">
        <v>247</v>
      </c>
      <c r="J6209" t="str">
        <f>"9781118285626"</f>
        <v>9781118285626</v>
      </c>
      <c r="L6209">
        <v>0</v>
      </c>
      <c r="O6209" t="s">
        <v>28</v>
      </c>
      <c r="P6209" t="s">
        <v>47</v>
      </c>
      <c r="Q6209" s="1">
        <v>42287.574884259258</v>
      </c>
      <c r="R6209">
        <v>1</v>
      </c>
      <c r="S6209" t="s">
        <v>363</v>
      </c>
      <c r="T6209" t="s">
        <v>9581</v>
      </c>
      <c r="U6209">
        <v>618.20000000000005</v>
      </c>
      <c r="V6209" s="3">
        <v>55885</v>
      </c>
    </row>
    <row r="6210" spans="1:22" x14ac:dyDescent="0.35">
      <c r="A6210" s="1">
        <v>42287.576701388891</v>
      </c>
      <c r="B6210" s="2">
        <v>2.7662037037037034E-3</v>
      </c>
      <c r="C6210" t="s">
        <v>9576</v>
      </c>
      <c r="D6210" t="s">
        <v>360</v>
      </c>
      <c r="E6210" t="s">
        <v>361</v>
      </c>
      <c r="F6210" t="s">
        <v>9582</v>
      </c>
      <c r="G6210">
        <v>2004761</v>
      </c>
      <c r="H6210" t="s">
        <v>45</v>
      </c>
      <c r="I6210" t="s">
        <v>2604</v>
      </c>
      <c r="J6210" t="str">
        <f>"9781472453808"</f>
        <v>9781472453808</v>
      </c>
      <c r="K6210" t="s">
        <v>9585</v>
      </c>
      <c r="L6210">
        <v>56</v>
      </c>
      <c r="O6210" t="s">
        <v>28</v>
      </c>
      <c r="P6210" t="s">
        <v>47</v>
      </c>
      <c r="Q6210" s="1">
        <v>42287.567048611112</v>
      </c>
      <c r="R6210">
        <v>1</v>
      </c>
      <c r="S6210" t="s">
        <v>363</v>
      </c>
      <c r="T6210" t="s">
        <v>9583</v>
      </c>
      <c r="U6210" t="s">
        <v>9584</v>
      </c>
      <c r="V6210" s="3">
        <v>42122</v>
      </c>
    </row>
    <row r="6211" spans="1:22" x14ac:dyDescent="0.35">
      <c r="A6211" s="1">
        <v>42287.576203703706</v>
      </c>
      <c r="B6211" s="2">
        <v>0</v>
      </c>
      <c r="C6211" t="s">
        <v>9576</v>
      </c>
      <c r="D6211" t="s">
        <v>360</v>
      </c>
      <c r="E6211" t="s">
        <v>361</v>
      </c>
      <c r="F6211" t="s">
        <v>9582</v>
      </c>
      <c r="G6211">
        <v>2004761</v>
      </c>
      <c r="H6211" t="s">
        <v>45</v>
      </c>
      <c r="I6211" t="s">
        <v>2604</v>
      </c>
      <c r="J6211" t="str">
        <f>"9781472453808"</f>
        <v>9781472453808</v>
      </c>
      <c r="L6211">
        <v>0</v>
      </c>
      <c r="O6211" t="s">
        <v>28</v>
      </c>
      <c r="P6211" t="s">
        <v>47</v>
      </c>
      <c r="Q6211" s="1">
        <v>42287.567048611112</v>
      </c>
      <c r="R6211">
        <v>1</v>
      </c>
      <c r="S6211" t="s">
        <v>363</v>
      </c>
      <c r="T6211" t="s">
        <v>9583</v>
      </c>
      <c r="U6211" t="s">
        <v>9584</v>
      </c>
      <c r="V6211" s="3">
        <v>42122</v>
      </c>
    </row>
    <row r="6212" spans="1:22" x14ac:dyDescent="0.35">
      <c r="A6212" s="1">
        <v>42287.575636574074</v>
      </c>
      <c r="B6212" s="2">
        <v>0</v>
      </c>
      <c r="C6212" t="s">
        <v>9576</v>
      </c>
      <c r="D6212" t="s">
        <v>360</v>
      </c>
      <c r="E6212" t="s">
        <v>361</v>
      </c>
      <c r="F6212" t="s">
        <v>9582</v>
      </c>
      <c r="G6212">
        <v>2004761</v>
      </c>
      <c r="H6212" t="s">
        <v>45</v>
      </c>
      <c r="I6212" t="s">
        <v>2604</v>
      </c>
      <c r="J6212" t="str">
        <f>"9781472453808"</f>
        <v>9781472453808</v>
      </c>
      <c r="L6212">
        <v>0</v>
      </c>
      <c r="O6212" t="s">
        <v>28</v>
      </c>
      <c r="P6212" t="s">
        <v>47</v>
      </c>
      <c r="Q6212" s="1">
        <v>42287.567048611112</v>
      </c>
      <c r="R6212">
        <v>1</v>
      </c>
      <c r="S6212" t="s">
        <v>363</v>
      </c>
      <c r="T6212" t="s">
        <v>9583</v>
      </c>
      <c r="U6212" t="s">
        <v>9584</v>
      </c>
      <c r="V6212" s="3">
        <v>42122</v>
      </c>
    </row>
    <row r="6213" spans="1:22" x14ac:dyDescent="0.35">
      <c r="A6213" s="1">
        <v>42287.575370370374</v>
      </c>
      <c r="B6213" s="2">
        <v>4.2129629629629626E-3</v>
      </c>
      <c r="C6213" t="s">
        <v>9576</v>
      </c>
      <c r="D6213" t="s">
        <v>360</v>
      </c>
      <c r="E6213" t="s">
        <v>361</v>
      </c>
      <c r="F6213" t="s">
        <v>9580</v>
      </c>
      <c r="G6213">
        <v>3058738</v>
      </c>
      <c r="H6213" t="s">
        <v>440</v>
      </c>
      <c r="I6213" t="s">
        <v>247</v>
      </c>
      <c r="J6213" t="str">
        <f>"9781118285626"</f>
        <v>9781118285626</v>
      </c>
      <c r="K6213" t="s">
        <v>9586</v>
      </c>
      <c r="L6213">
        <v>60</v>
      </c>
      <c r="O6213" t="s">
        <v>28</v>
      </c>
      <c r="P6213" t="s">
        <v>47</v>
      </c>
      <c r="Q6213" s="1">
        <v>42287.574884259258</v>
      </c>
      <c r="R6213">
        <v>1</v>
      </c>
      <c r="S6213" t="s">
        <v>363</v>
      </c>
      <c r="T6213" t="s">
        <v>9581</v>
      </c>
      <c r="U6213">
        <v>618.20000000000005</v>
      </c>
      <c r="V6213" s="3">
        <v>55885</v>
      </c>
    </row>
    <row r="6214" spans="1:22" x14ac:dyDescent="0.35">
      <c r="A6214" s="1">
        <v>42287.574884259258</v>
      </c>
      <c r="B6214" s="2">
        <v>0</v>
      </c>
      <c r="C6214" t="s">
        <v>9576</v>
      </c>
      <c r="D6214" t="s">
        <v>360</v>
      </c>
      <c r="E6214" t="s">
        <v>361</v>
      </c>
      <c r="F6214" t="s">
        <v>9580</v>
      </c>
      <c r="G6214">
        <v>3058738</v>
      </c>
      <c r="H6214" t="s">
        <v>440</v>
      </c>
      <c r="I6214" t="s">
        <v>247</v>
      </c>
      <c r="J6214" t="str">
        <f>"9781118285626"</f>
        <v>9781118285626</v>
      </c>
      <c r="L6214">
        <v>0</v>
      </c>
      <c r="O6214" t="s">
        <v>28</v>
      </c>
      <c r="P6214" t="s">
        <v>47</v>
      </c>
      <c r="Q6214" s="1">
        <v>42287.574884259258</v>
      </c>
      <c r="R6214">
        <v>1</v>
      </c>
      <c r="S6214" t="s">
        <v>363</v>
      </c>
      <c r="T6214" t="s">
        <v>9581</v>
      </c>
      <c r="U6214">
        <v>618.20000000000005</v>
      </c>
      <c r="V6214" s="3">
        <v>55885</v>
      </c>
    </row>
    <row r="6215" spans="1:22" x14ac:dyDescent="0.35">
      <c r="A6215" s="1">
        <v>42287.574884259258</v>
      </c>
      <c r="B6215" s="2">
        <v>0</v>
      </c>
      <c r="C6215" t="s">
        <v>9576</v>
      </c>
      <c r="D6215" t="s">
        <v>360</v>
      </c>
      <c r="E6215" t="s">
        <v>361</v>
      </c>
      <c r="F6215" t="s">
        <v>9580</v>
      </c>
      <c r="G6215">
        <v>3058738</v>
      </c>
      <c r="H6215" t="s">
        <v>440</v>
      </c>
      <c r="I6215" t="s">
        <v>247</v>
      </c>
      <c r="J6215" t="str">
        <f>"9781118285626"</f>
        <v>9781118285626</v>
      </c>
      <c r="L6215">
        <v>0</v>
      </c>
      <c r="O6215" t="s">
        <v>30</v>
      </c>
      <c r="P6215" t="s">
        <v>47</v>
      </c>
      <c r="Q6215" s="1">
        <v>42287.574884259258</v>
      </c>
      <c r="R6215">
        <v>1</v>
      </c>
      <c r="S6215" t="s">
        <v>363</v>
      </c>
      <c r="T6215" t="s">
        <v>9581</v>
      </c>
      <c r="U6215">
        <v>618.20000000000005</v>
      </c>
      <c r="V6215" s="3">
        <v>55885</v>
      </c>
    </row>
    <row r="6216" spans="1:22" x14ac:dyDescent="0.35">
      <c r="A6216" s="1">
        <v>42287.573969907404</v>
      </c>
      <c r="B6216" s="2">
        <v>0</v>
      </c>
      <c r="C6216" t="s">
        <v>9576</v>
      </c>
      <c r="D6216" t="s">
        <v>360</v>
      </c>
      <c r="E6216" t="s">
        <v>361</v>
      </c>
      <c r="F6216" t="s">
        <v>9587</v>
      </c>
      <c r="G6216">
        <v>1781370</v>
      </c>
      <c r="H6216" t="s">
        <v>613</v>
      </c>
      <c r="I6216" t="s">
        <v>120</v>
      </c>
      <c r="J6216" t="str">
        <f>"9781469618098"</f>
        <v>9781469618098</v>
      </c>
      <c r="L6216">
        <v>0</v>
      </c>
      <c r="O6216" t="s">
        <v>28</v>
      </c>
      <c r="P6216" t="s">
        <v>47</v>
      </c>
      <c r="Q6216" s="1">
        <v>42287.568148148152</v>
      </c>
      <c r="R6216">
        <v>1</v>
      </c>
      <c r="S6216" t="s">
        <v>363</v>
      </c>
      <c r="T6216" t="s">
        <v>9588</v>
      </c>
      <c r="U6216" t="s">
        <v>9589</v>
      </c>
      <c r="V6216" s="3">
        <v>41927</v>
      </c>
    </row>
    <row r="6217" spans="1:22" x14ac:dyDescent="0.35">
      <c r="A6217" s="1">
        <v>42287.573414351849</v>
      </c>
      <c r="B6217" s="2">
        <v>0</v>
      </c>
      <c r="C6217" t="s">
        <v>9576</v>
      </c>
      <c r="D6217" t="s">
        <v>360</v>
      </c>
      <c r="E6217" t="s">
        <v>361</v>
      </c>
      <c r="F6217" t="s">
        <v>9587</v>
      </c>
      <c r="G6217">
        <v>1781370</v>
      </c>
      <c r="H6217" t="s">
        <v>613</v>
      </c>
      <c r="I6217" t="s">
        <v>120</v>
      </c>
      <c r="J6217" t="str">
        <f>"9781469618098"</f>
        <v>9781469618098</v>
      </c>
      <c r="L6217">
        <v>0</v>
      </c>
      <c r="O6217" t="s">
        <v>28</v>
      </c>
      <c r="P6217" t="s">
        <v>47</v>
      </c>
      <c r="Q6217" s="1">
        <v>42287.568148148152</v>
      </c>
      <c r="R6217">
        <v>1</v>
      </c>
      <c r="S6217" t="s">
        <v>363</v>
      </c>
      <c r="T6217" t="s">
        <v>9588</v>
      </c>
      <c r="U6217" t="s">
        <v>9589</v>
      </c>
      <c r="V6217" s="3">
        <v>41927</v>
      </c>
    </row>
    <row r="6218" spans="1:22" x14ac:dyDescent="0.35">
      <c r="A6218" s="1">
        <v>42287.572627314818</v>
      </c>
      <c r="B6218" s="2">
        <v>2.0601851851851853E-3</v>
      </c>
      <c r="C6218" t="s">
        <v>9576</v>
      </c>
      <c r="D6218" t="s">
        <v>360</v>
      </c>
      <c r="E6218" t="s">
        <v>361</v>
      </c>
      <c r="F6218" t="s">
        <v>9582</v>
      </c>
      <c r="G6218">
        <v>2004761</v>
      </c>
      <c r="H6218" t="s">
        <v>45</v>
      </c>
      <c r="I6218" t="s">
        <v>2604</v>
      </c>
      <c r="J6218" t="str">
        <f>"9781472453808"</f>
        <v>9781472453808</v>
      </c>
      <c r="K6218" t="s">
        <v>1438</v>
      </c>
      <c r="L6218">
        <v>16</v>
      </c>
      <c r="O6218" t="s">
        <v>30</v>
      </c>
      <c r="P6218" t="s">
        <v>47</v>
      </c>
      <c r="Q6218" s="1">
        <v>42287.567048611112</v>
      </c>
      <c r="R6218">
        <v>1</v>
      </c>
      <c r="S6218" t="s">
        <v>363</v>
      </c>
      <c r="T6218" t="s">
        <v>9583</v>
      </c>
      <c r="U6218" t="s">
        <v>9584</v>
      </c>
      <c r="V6218" s="3">
        <v>42122</v>
      </c>
    </row>
    <row r="6219" spans="1:22" x14ac:dyDescent="0.35">
      <c r="A6219" s="1">
        <v>42287.570057870369</v>
      </c>
      <c r="B6219" s="2">
        <v>2.3842592592592591E-3</v>
      </c>
      <c r="C6219" t="s">
        <v>9576</v>
      </c>
      <c r="D6219" t="s">
        <v>360</v>
      </c>
      <c r="E6219" t="s">
        <v>361</v>
      </c>
      <c r="F6219" t="s">
        <v>9587</v>
      </c>
      <c r="G6219">
        <v>1781370</v>
      </c>
      <c r="H6219" t="s">
        <v>613</v>
      </c>
      <c r="I6219" t="s">
        <v>120</v>
      </c>
      <c r="J6219" t="str">
        <f>"9781469618098"</f>
        <v>9781469618098</v>
      </c>
      <c r="K6219" t="s">
        <v>9590</v>
      </c>
      <c r="L6219">
        <v>41</v>
      </c>
      <c r="M6219" t="s">
        <v>9591</v>
      </c>
      <c r="O6219" t="s">
        <v>28</v>
      </c>
      <c r="P6219" t="s">
        <v>47</v>
      </c>
      <c r="Q6219" s="1">
        <v>42287.568148148152</v>
      </c>
      <c r="R6219">
        <v>1</v>
      </c>
      <c r="S6219" t="s">
        <v>363</v>
      </c>
      <c r="T6219" t="s">
        <v>9588</v>
      </c>
      <c r="U6219" t="s">
        <v>9589</v>
      </c>
      <c r="V6219" s="3">
        <v>41927</v>
      </c>
    </row>
    <row r="6220" spans="1:22" x14ac:dyDescent="0.35">
      <c r="A6220" s="1">
        <v>42287.569282407407</v>
      </c>
      <c r="B6220" s="2">
        <v>5.7870370370370366E-5</v>
      </c>
      <c r="C6220" t="s">
        <v>9576</v>
      </c>
      <c r="D6220" t="s">
        <v>360</v>
      </c>
      <c r="E6220" t="s">
        <v>361</v>
      </c>
      <c r="F6220" t="s">
        <v>9587</v>
      </c>
      <c r="G6220">
        <v>1781370</v>
      </c>
      <c r="H6220" t="s">
        <v>613</v>
      </c>
      <c r="I6220" t="s">
        <v>120</v>
      </c>
      <c r="J6220" t="str">
        <f>"9781469618098"</f>
        <v>9781469618098</v>
      </c>
      <c r="K6220" t="s">
        <v>33</v>
      </c>
      <c r="L6220">
        <v>3</v>
      </c>
      <c r="O6220" t="s">
        <v>30</v>
      </c>
      <c r="P6220" t="s">
        <v>47</v>
      </c>
      <c r="Q6220" s="1">
        <v>42287.568148148152</v>
      </c>
      <c r="R6220">
        <v>1</v>
      </c>
      <c r="S6220" t="s">
        <v>363</v>
      </c>
      <c r="T6220" t="s">
        <v>9588</v>
      </c>
      <c r="U6220" t="s">
        <v>9589</v>
      </c>
      <c r="V6220" s="3">
        <v>41927</v>
      </c>
    </row>
    <row r="6221" spans="1:22" x14ac:dyDescent="0.35">
      <c r="A6221" s="1">
        <v>42287.568969907406</v>
      </c>
      <c r="B6221" s="2">
        <v>5.9143518518518521E-3</v>
      </c>
      <c r="C6221" t="s">
        <v>9576</v>
      </c>
      <c r="D6221" t="s">
        <v>360</v>
      </c>
      <c r="E6221" t="s">
        <v>361</v>
      </c>
      <c r="F6221" t="s">
        <v>9580</v>
      </c>
      <c r="G6221">
        <v>3058738</v>
      </c>
      <c r="H6221" t="s">
        <v>440</v>
      </c>
      <c r="I6221" t="s">
        <v>247</v>
      </c>
      <c r="J6221" t="str">
        <f>"9781118285626"</f>
        <v>9781118285626</v>
      </c>
      <c r="K6221" t="s">
        <v>33</v>
      </c>
      <c r="L6221">
        <v>3</v>
      </c>
      <c r="O6221" t="s">
        <v>30</v>
      </c>
      <c r="P6221" t="s">
        <v>50</v>
      </c>
      <c r="S6221" t="s">
        <v>363</v>
      </c>
      <c r="T6221" t="s">
        <v>9581</v>
      </c>
      <c r="U6221">
        <v>618.20000000000005</v>
      </c>
      <c r="V6221" s="3">
        <v>55885</v>
      </c>
    </row>
    <row r="6222" spans="1:22" x14ac:dyDescent="0.35">
      <c r="A6222" s="1">
        <v>42287.568888888891</v>
      </c>
      <c r="B6222" s="2">
        <v>1.0613425925925927E-2</v>
      </c>
      <c r="C6222" t="s">
        <v>9576</v>
      </c>
      <c r="D6222" t="s">
        <v>360</v>
      </c>
      <c r="E6222" t="s">
        <v>361</v>
      </c>
      <c r="F6222" t="s">
        <v>9577</v>
      </c>
      <c r="G6222">
        <v>3058286</v>
      </c>
      <c r="H6222" t="s">
        <v>440</v>
      </c>
      <c r="I6222" t="s">
        <v>247</v>
      </c>
      <c r="J6222" t="str">
        <f>"9780470675939"</f>
        <v>9780470675939</v>
      </c>
      <c r="K6222" t="s">
        <v>9592</v>
      </c>
      <c r="L6222">
        <v>36</v>
      </c>
      <c r="O6222" t="s">
        <v>30</v>
      </c>
      <c r="P6222" t="s">
        <v>47</v>
      </c>
      <c r="Q6222" s="1">
        <v>42287.565937500003</v>
      </c>
      <c r="R6222">
        <v>1</v>
      </c>
      <c r="S6222" t="s">
        <v>363</v>
      </c>
      <c r="T6222" t="s">
        <v>9578</v>
      </c>
      <c r="U6222" t="s">
        <v>9579</v>
      </c>
      <c r="V6222" s="3">
        <v>58441</v>
      </c>
    </row>
    <row r="6223" spans="1:22" x14ac:dyDescent="0.35">
      <c r="A6223" s="1">
        <v>42287.568159722221</v>
      </c>
      <c r="B6223" s="2">
        <v>0</v>
      </c>
      <c r="C6223" t="s">
        <v>9576</v>
      </c>
      <c r="D6223" t="s">
        <v>360</v>
      </c>
      <c r="E6223" t="s">
        <v>361</v>
      </c>
      <c r="F6223" t="s">
        <v>9587</v>
      </c>
      <c r="G6223">
        <v>1781370</v>
      </c>
      <c r="H6223" t="s">
        <v>613</v>
      </c>
      <c r="I6223" t="s">
        <v>120</v>
      </c>
      <c r="J6223" t="str">
        <f>"9781469618098"</f>
        <v>9781469618098</v>
      </c>
      <c r="L6223">
        <v>0</v>
      </c>
      <c r="O6223" t="s">
        <v>28</v>
      </c>
      <c r="P6223" t="s">
        <v>47</v>
      </c>
      <c r="Q6223" s="1">
        <v>42287.568148148152</v>
      </c>
      <c r="R6223">
        <v>1</v>
      </c>
      <c r="S6223" t="s">
        <v>363</v>
      </c>
      <c r="T6223" t="s">
        <v>9588</v>
      </c>
      <c r="U6223" t="s">
        <v>9589</v>
      </c>
      <c r="V6223" s="3">
        <v>41927</v>
      </c>
    </row>
    <row r="6224" spans="1:22" x14ac:dyDescent="0.35">
      <c r="A6224" s="1">
        <v>42287.568148148152</v>
      </c>
      <c r="B6224" s="2">
        <v>0</v>
      </c>
      <c r="C6224" t="s">
        <v>9576</v>
      </c>
      <c r="D6224" t="s">
        <v>360</v>
      </c>
      <c r="E6224" t="s">
        <v>361</v>
      </c>
      <c r="F6224" t="s">
        <v>9587</v>
      </c>
      <c r="G6224">
        <v>1781370</v>
      </c>
      <c r="H6224" t="s">
        <v>613</v>
      </c>
      <c r="I6224" t="s">
        <v>120</v>
      </c>
      <c r="J6224" t="str">
        <f>"9781469618098"</f>
        <v>9781469618098</v>
      </c>
      <c r="L6224">
        <v>0</v>
      </c>
      <c r="O6224" t="s">
        <v>30</v>
      </c>
      <c r="P6224" t="s">
        <v>47</v>
      </c>
      <c r="Q6224" s="1">
        <v>42287.568148148152</v>
      </c>
      <c r="R6224">
        <v>1</v>
      </c>
      <c r="S6224" t="s">
        <v>363</v>
      </c>
      <c r="T6224" t="s">
        <v>9588</v>
      </c>
      <c r="U6224" t="s">
        <v>9589</v>
      </c>
      <c r="V6224" s="3">
        <v>41927</v>
      </c>
    </row>
    <row r="6225" spans="1:22" x14ac:dyDescent="0.35">
      <c r="A6225" s="1">
        <v>42287.567962962959</v>
      </c>
      <c r="B6225" s="2">
        <v>1.8518518518518518E-4</v>
      </c>
      <c r="C6225" t="s">
        <v>9576</v>
      </c>
      <c r="D6225" t="s">
        <v>360</v>
      </c>
      <c r="E6225" t="s">
        <v>361</v>
      </c>
      <c r="F6225" t="s">
        <v>9587</v>
      </c>
      <c r="G6225">
        <v>1781370</v>
      </c>
      <c r="H6225" t="s">
        <v>613</v>
      </c>
      <c r="I6225" t="s">
        <v>120</v>
      </c>
      <c r="J6225" t="str">
        <f>"9781469618098"</f>
        <v>9781469618098</v>
      </c>
      <c r="K6225" t="s">
        <v>33</v>
      </c>
      <c r="L6225">
        <v>3</v>
      </c>
      <c r="O6225" t="s">
        <v>30</v>
      </c>
      <c r="P6225" t="s">
        <v>50</v>
      </c>
      <c r="S6225" t="s">
        <v>363</v>
      </c>
      <c r="T6225" t="s">
        <v>9588</v>
      </c>
      <c r="U6225" t="s">
        <v>9589</v>
      </c>
      <c r="V6225" s="3">
        <v>41927</v>
      </c>
    </row>
    <row r="6226" spans="1:22" x14ac:dyDescent="0.35">
      <c r="A6226" s="1">
        <v>42287.567939814813</v>
      </c>
      <c r="B6226" s="2">
        <v>6.9444444444444444E-5</v>
      </c>
      <c r="C6226" t="s">
        <v>9576</v>
      </c>
      <c r="D6226" t="s">
        <v>360</v>
      </c>
      <c r="E6226" t="s">
        <v>361</v>
      </c>
      <c r="F6226" t="s">
        <v>9582</v>
      </c>
      <c r="G6226">
        <v>2004761</v>
      </c>
      <c r="H6226" t="s">
        <v>45</v>
      </c>
      <c r="I6226" t="s">
        <v>2604</v>
      </c>
      <c r="J6226" t="str">
        <f>"9781472453808"</f>
        <v>9781472453808</v>
      </c>
      <c r="K6226" t="s">
        <v>33</v>
      </c>
      <c r="L6226">
        <v>3</v>
      </c>
      <c r="O6226" t="s">
        <v>30</v>
      </c>
      <c r="P6226" t="s">
        <v>47</v>
      </c>
      <c r="Q6226" s="1">
        <v>42287.567048611112</v>
      </c>
      <c r="R6226">
        <v>1</v>
      </c>
      <c r="S6226" t="s">
        <v>363</v>
      </c>
      <c r="T6226" t="s">
        <v>9583</v>
      </c>
      <c r="U6226" t="s">
        <v>9584</v>
      </c>
      <c r="V6226" s="3">
        <v>42122</v>
      </c>
    </row>
    <row r="6227" spans="1:22" x14ac:dyDescent="0.35">
      <c r="A6227" s="1">
        <v>42287.567048611112</v>
      </c>
      <c r="B6227" s="2">
        <v>0</v>
      </c>
      <c r="C6227" t="s">
        <v>9576</v>
      </c>
      <c r="D6227" t="s">
        <v>360</v>
      </c>
      <c r="E6227" t="s">
        <v>361</v>
      </c>
      <c r="F6227" t="s">
        <v>9582</v>
      </c>
      <c r="G6227">
        <v>2004761</v>
      </c>
      <c r="H6227" t="s">
        <v>45</v>
      </c>
      <c r="I6227" t="s">
        <v>2604</v>
      </c>
      <c r="J6227" t="str">
        <f>"9781472453808"</f>
        <v>9781472453808</v>
      </c>
      <c r="L6227">
        <v>0</v>
      </c>
      <c r="O6227" t="s">
        <v>28</v>
      </c>
      <c r="P6227" t="s">
        <v>47</v>
      </c>
      <c r="Q6227" s="1">
        <v>42287.567048611112</v>
      </c>
      <c r="R6227">
        <v>1</v>
      </c>
      <c r="S6227" t="s">
        <v>363</v>
      </c>
      <c r="T6227" t="s">
        <v>9583</v>
      </c>
      <c r="U6227" t="s">
        <v>9584</v>
      </c>
      <c r="V6227" s="3">
        <v>42122</v>
      </c>
    </row>
    <row r="6228" spans="1:22" x14ac:dyDescent="0.35">
      <c r="A6228" s="1">
        <v>42287.567048611112</v>
      </c>
      <c r="B6228" s="2">
        <v>0</v>
      </c>
      <c r="C6228" t="s">
        <v>9576</v>
      </c>
      <c r="D6228" t="s">
        <v>360</v>
      </c>
      <c r="E6228" t="s">
        <v>361</v>
      </c>
      <c r="F6228" t="s">
        <v>9582</v>
      </c>
      <c r="G6228">
        <v>2004761</v>
      </c>
      <c r="H6228" t="s">
        <v>45</v>
      </c>
      <c r="I6228" t="s">
        <v>2604</v>
      </c>
      <c r="J6228" t="str">
        <f>"9781472453808"</f>
        <v>9781472453808</v>
      </c>
      <c r="L6228">
        <v>0</v>
      </c>
      <c r="O6228" t="s">
        <v>30</v>
      </c>
      <c r="P6228" t="s">
        <v>47</v>
      </c>
      <c r="Q6228" s="1">
        <v>42287.567048611112</v>
      </c>
      <c r="R6228">
        <v>1</v>
      </c>
      <c r="S6228" t="s">
        <v>363</v>
      </c>
      <c r="T6228" t="s">
        <v>9583</v>
      </c>
      <c r="U6228" t="s">
        <v>9584</v>
      </c>
      <c r="V6228" s="3">
        <v>42122</v>
      </c>
    </row>
    <row r="6229" spans="1:22" x14ac:dyDescent="0.35">
      <c r="A6229" s="1">
        <v>42287.566828703704</v>
      </c>
      <c r="B6229" s="2">
        <v>2.199074074074074E-4</v>
      </c>
      <c r="C6229" t="s">
        <v>9576</v>
      </c>
      <c r="D6229" t="s">
        <v>360</v>
      </c>
      <c r="E6229" t="s">
        <v>361</v>
      </c>
      <c r="F6229" t="s">
        <v>9582</v>
      </c>
      <c r="G6229">
        <v>2004761</v>
      </c>
      <c r="H6229" t="s">
        <v>45</v>
      </c>
      <c r="I6229" t="s">
        <v>2604</v>
      </c>
      <c r="J6229" t="str">
        <f>"9781472453808"</f>
        <v>9781472453808</v>
      </c>
      <c r="K6229" t="s">
        <v>33</v>
      </c>
      <c r="L6229">
        <v>3</v>
      </c>
      <c r="O6229" t="s">
        <v>30</v>
      </c>
      <c r="P6229" t="s">
        <v>50</v>
      </c>
      <c r="S6229" t="s">
        <v>363</v>
      </c>
      <c r="T6229" t="s">
        <v>9583</v>
      </c>
      <c r="U6229" t="s">
        <v>9584</v>
      </c>
      <c r="V6229" s="3">
        <v>42122</v>
      </c>
    </row>
    <row r="6230" spans="1:22" x14ac:dyDescent="0.35">
      <c r="A6230" s="1">
        <v>42287.565937500003</v>
      </c>
      <c r="B6230" s="2">
        <v>0</v>
      </c>
      <c r="C6230" t="s">
        <v>9576</v>
      </c>
      <c r="D6230" t="s">
        <v>360</v>
      </c>
      <c r="E6230" t="s">
        <v>361</v>
      </c>
      <c r="F6230" t="s">
        <v>9577</v>
      </c>
      <c r="G6230">
        <v>3058286</v>
      </c>
      <c r="H6230" t="s">
        <v>440</v>
      </c>
      <c r="I6230" t="s">
        <v>247</v>
      </c>
      <c r="J6230" t="str">
        <f>"9780470675939"</f>
        <v>9780470675939</v>
      </c>
      <c r="L6230">
        <v>0</v>
      </c>
      <c r="O6230" t="s">
        <v>28</v>
      </c>
      <c r="P6230" t="s">
        <v>47</v>
      </c>
      <c r="Q6230" s="1">
        <v>42287.565937500003</v>
      </c>
      <c r="R6230">
        <v>1</v>
      </c>
      <c r="S6230" t="s">
        <v>363</v>
      </c>
      <c r="T6230" t="s">
        <v>9578</v>
      </c>
      <c r="U6230" t="s">
        <v>9579</v>
      </c>
      <c r="V6230" s="3">
        <v>58441</v>
      </c>
    </row>
    <row r="6231" spans="1:22" x14ac:dyDescent="0.35">
      <c r="A6231" s="1">
        <v>42287.565937500003</v>
      </c>
      <c r="B6231" s="2">
        <v>0</v>
      </c>
      <c r="C6231" t="s">
        <v>9576</v>
      </c>
      <c r="D6231" t="s">
        <v>360</v>
      </c>
      <c r="E6231" t="s">
        <v>361</v>
      </c>
      <c r="F6231" t="s">
        <v>9577</v>
      </c>
      <c r="G6231">
        <v>3058286</v>
      </c>
      <c r="H6231" t="s">
        <v>440</v>
      </c>
      <c r="I6231" t="s">
        <v>247</v>
      </c>
      <c r="J6231" t="str">
        <f>"9780470675939"</f>
        <v>9780470675939</v>
      </c>
      <c r="L6231">
        <v>0</v>
      </c>
      <c r="O6231" t="s">
        <v>30</v>
      </c>
      <c r="P6231" t="s">
        <v>47</v>
      </c>
      <c r="Q6231" s="1">
        <v>42287.565937500003</v>
      </c>
      <c r="R6231">
        <v>1</v>
      </c>
      <c r="S6231" t="s">
        <v>363</v>
      </c>
      <c r="T6231" t="s">
        <v>9578</v>
      </c>
      <c r="U6231" t="s">
        <v>9579</v>
      </c>
      <c r="V6231" s="3">
        <v>58441</v>
      </c>
    </row>
    <row r="6232" spans="1:22" x14ac:dyDescent="0.35">
      <c r="A6232" s="1">
        <v>42287.565671296295</v>
      </c>
      <c r="B6232" s="2">
        <v>5.0925925925925921E-4</v>
      </c>
      <c r="C6232" t="s">
        <v>9576</v>
      </c>
      <c r="D6232" t="s">
        <v>360</v>
      </c>
      <c r="E6232" t="s">
        <v>361</v>
      </c>
      <c r="F6232" t="s">
        <v>9580</v>
      </c>
      <c r="G6232">
        <v>3058738</v>
      </c>
      <c r="H6232" t="s">
        <v>440</v>
      </c>
      <c r="I6232" t="s">
        <v>247</v>
      </c>
      <c r="J6232" t="str">
        <f>"9781118285626"</f>
        <v>9781118285626</v>
      </c>
      <c r="K6232" t="s">
        <v>33</v>
      </c>
      <c r="L6232">
        <v>3</v>
      </c>
      <c r="O6232" t="s">
        <v>30</v>
      </c>
      <c r="P6232" t="s">
        <v>50</v>
      </c>
      <c r="S6232" t="s">
        <v>363</v>
      </c>
      <c r="T6232" t="s">
        <v>9581</v>
      </c>
      <c r="U6232">
        <v>618.20000000000005</v>
      </c>
      <c r="V6232" s="3">
        <v>55885</v>
      </c>
    </row>
    <row r="6233" spans="1:22" x14ac:dyDescent="0.35">
      <c r="A6233" s="1">
        <v>42287.565567129626</v>
      </c>
      <c r="B6233" s="2">
        <v>3.7037037037037035E-4</v>
      </c>
      <c r="C6233" t="s">
        <v>9576</v>
      </c>
      <c r="D6233" t="s">
        <v>360</v>
      </c>
      <c r="E6233" t="s">
        <v>361</v>
      </c>
      <c r="F6233" t="s">
        <v>9577</v>
      </c>
      <c r="G6233">
        <v>3058286</v>
      </c>
      <c r="H6233" t="s">
        <v>440</v>
      </c>
      <c r="I6233" t="s">
        <v>247</v>
      </c>
      <c r="J6233" t="str">
        <f>"9780470675939"</f>
        <v>9780470675939</v>
      </c>
      <c r="K6233" t="s">
        <v>33</v>
      </c>
      <c r="L6233">
        <v>3</v>
      </c>
      <c r="O6233" t="s">
        <v>30</v>
      </c>
      <c r="P6233" t="s">
        <v>50</v>
      </c>
      <c r="S6233" t="s">
        <v>363</v>
      </c>
      <c r="T6233" t="s">
        <v>9578</v>
      </c>
      <c r="U6233" t="s">
        <v>9579</v>
      </c>
      <c r="V6233" s="3">
        <v>58441</v>
      </c>
    </row>
    <row r="6234" spans="1:22" x14ac:dyDescent="0.35">
      <c r="A6234" s="1">
        <v>42287.190775462965</v>
      </c>
      <c r="B6234" s="2">
        <v>1.9363425925925926E-2</v>
      </c>
      <c r="C6234" t="s">
        <v>106</v>
      </c>
      <c r="D6234" t="s">
        <v>23</v>
      </c>
      <c r="E6234" t="s">
        <v>24</v>
      </c>
      <c r="F6234" t="s">
        <v>486</v>
      </c>
      <c r="G6234">
        <v>1119505</v>
      </c>
      <c r="H6234" t="s">
        <v>26</v>
      </c>
      <c r="I6234" t="s">
        <v>450</v>
      </c>
      <c r="J6234" t="str">
        <f>"9781118355015"</f>
        <v>9781118355015</v>
      </c>
      <c r="K6234" t="s">
        <v>9593</v>
      </c>
      <c r="L6234">
        <v>12</v>
      </c>
      <c r="O6234" t="s">
        <v>30</v>
      </c>
      <c r="P6234" t="s">
        <v>29</v>
      </c>
      <c r="Q6234" s="1">
        <v>42287.190775462965</v>
      </c>
      <c r="R6234">
        <v>7</v>
      </c>
      <c r="S6234" t="s">
        <v>31</v>
      </c>
      <c r="T6234" t="s">
        <v>487</v>
      </c>
      <c r="U6234" t="s">
        <v>488</v>
      </c>
      <c r="V6234" s="3">
        <v>41302</v>
      </c>
    </row>
    <row r="6235" spans="1:22" x14ac:dyDescent="0.35">
      <c r="A6235" s="1">
        <v>42287.179791666669</v>
      </c>
      <c r="B6235" s="2">
        <v>2.7083333333333334E-2</v>
      </c>
      <c r="C6235" t="s">
        <v>3556</v>
      </c>
      <c r="D6235" t="s">
        <v>23</v>
      </c>
      <c r="E6235" t="s">
        <v>24</v>
      </c>
      <c r="F6235" t="s">
        <v>3060</v>
      </c>
      <c r="G6235">
        <v>1120279</v>
      </c>
      <c r="H6235" t="s">
        <v>26</v>
      </c>
      <c r="I6235" t="s">
        <v>3061</v>
      </c>
      <c r="J6235" t="str">
        <f>"9781118537671"</f>
        <v>9781118537671</v>
      </c>
      <c r="K6235" t="s">
        <v>9594</v>
      </c>
      <c r="L6235">
        <v>15</v>
      </c>
      <c r="O6235" t="s">
        <v>30</v>
      </c>
      <c r="P6235" t="s">
        <v>29</v>
      </c>
      <c r="Q6235" s="1">
        <v>42287.179791666669</v>
      </c>
      <c r="R6235">
        <v>7</v>
      </c>
      <c r="S6235" t="s">
        <v>31</v>
      </c>
      <c r="T6235" t="s">
        <v>3063</v>
      </c>
      <c r="U6235">
        <v>599.93499999999995</v>
      </c>
      <c r="V6235" s="3">
        <v>41232</v>
      </c>
    </row>
    <row r="6236" spans="1:22" x14ac:dyDescent="0.35">
      <c r="A6236" s="1">
        <v>42287.17019675926</v>
      </c>
      <c r="B6236" s="2">
        <v>9.5949074074074079E-3</v>
      </c>
      <c r="C6236" t="s">
        <v>3556</v>
      </c>
      <c r="D6236" t="s">
        <v>23</v>
      </c>
      <c r="E6236" t="s">
        <v>24</v>
      </c>
      <c r="F6236" t="s">
        <v>3060</v>
      </c>
      <c r="G6236">
        <v>1120279</v>
      </c>
      <c r="H6236" t="s">
        <v>26</v>
      </c>
      <c r="I6236" t="s">
        <v>3061</v>
      </c>
      <c r="J6236" t="str">
        <f>"9781118537671"</f>
        <v>9781118537671</v>
      </c>
      <c r="K6236" t="s">
        <v>9595</v>
      </c>
      <c r="L6236">
        <v>16</v>
      </c>
      <c r="O6236" t="s">
        <v>30</v>
      </c>
      <c r="P6236" t="s">
        <v>42</v>
      </c>
      <c r="S6236" t="s">
        <v>31</v>
      </c>
      <c r="T6236" t="s">
        <v>3063</v>
      </c>
      <c r="U6236">
        <v>599.93499999999995</v>
      </c>
      <c r="V6236" s="3">
        <v>41232</v>
      </c>
    </row>
    <row r="6237" spans="1:22" x14ac:dyDescent="0.35">
      <c r="A6237" s="1">
        <v>42287.168090277781</v>
      </c>
      <c r="B6237" s="2">
        <v>3.2407407407407406E-4</v>
      </c>
      <c r="C6237" t="s">
        <v>9596</v>
      </c>
      <c r="D6237" t="s">
        <v>23</v>
      </c>
      <c r="E6237" t="s">
        <v>24</v>
      </c>
      <c r="F6237" t="s">
        <v>61</v>
      </c>
      <c r="G6237">
        <v>699526</v>
      </c>
      <c r="H6237" t="s">
        <v>26</v>
      </c>
      <c r="I6237" t="s">
        <v>62</v>
      </c>
      <c r="J6237" t="str">
        <f>"9781118586006"</f>
        <v>9781118586006</v>
      </c>
      <c r="K6237" t="s">
        <v>9597</v>
      </c>
      <c r="L6237">
        <v>25</v>
      </c>
      <c r="O6237" t="s">
        <v>30</v>
      </c>
      <c r="P6237" t="s">
        <v>42</v>
      </c>
      <c r="S6237" t="s">
        <v>31</v>
      </c>
      <c r="T6237" t="s">
        <v>64</v>
      </c>
      <c r="U6237">
        <v>6.4</v>
      </c>
      <c r="V6237" s="3">
        <v>41222</v>
      </c>
    </row>
    <row r="6238" spans="1:22" x14ac:dyDescent="0.35">
      <c r="A6238" s="1">
        <v>42287.159317129626</v>
      </c>
      <c r="B6238" s="2">
        <v>3.1458333333333331E-2</v>
      </c>
      <c r="C6238" t="s">
        <v>106</v>
      </c>
      <c r="D6238" t="s">
        <v>23</v>
      </c>
      <c r="E6238" t="s">
        <v>24</v>
      </c>
      <c r="F6238" t="s">
        <v>486</v>
      </c>
      <c r="G6238">
        <v>1119505</v>
      </c>
      <c r="H6238" t="s">
        <v>26</v>
      </c>
      <c r="I6238" t="s">
        <v>450</v>
      </c>
      <c r="J6238" t="str">
        <f>"9781118355015"</f>
        <v>9781118355015</v>
      </c>
      <c r="K6238" t="s">
        <v>9598</v>
      </c>
      <c r="L6238">
        <v>44</v>
      </c>
      <c r="O6238" t="s">
        <v>30</v>
      </c>
      <c r="P6238" t="s">
        <v>42</v>
      </c>
      <c r="S6238" t="s">
        <v>31</v>
      </c>
      <c r="T6238" t="s">
        <v>487</v>
      </c>
      <c r="U6238" t="s">
        <v>488</v>
      </c>
      <c r="V6238" s="3">
        <v>41302</v>
      </c>
    </row>
    <row r="6239" spans="1:22" x14ac:dyDescent="0.35">
      <c r="A6239" s="1">
        <v>42287.128530092596</v>
      </c>
      <c r="B6239" s="2">
        <v>2.5046296296296299E-2</v>
      </c>
      <c r="C6239" t="s">
        <v>9599</v>
      </c>
      <c r="D6239" t="s">
        <v>1222</v>
      </c>
      <c r="E6239" t="s">
        <v>1223</v>
      </c>
      <c r="F6239" t="s">
        <v>2433</v>
      </c>
      <c r="G6239">
        <v>1138225</v>
      </c>
      <c r="H6239" t="s">
        <v>26</v>
      </c>
      <c r="I6239" t="s">
        <v>297</v>
      </c>
      <c r="J6239" t="str">
        <f>"9781118548356"</f>
        <v>9781118548356</v>
      </c>
      <c r="K6239" t="s">
        <v>9600</v>
      </c>
      <c r="L6239">
        <v>50</v>
      </c>
      <c r="N6239" t="s">
        <v>648</v>
      </c>
      <c r="O6239" t="s">
        <v>30</v>
      </c>
      <c r="P6239" t="s">
        <v>29</v>
      </c>
      <c r="Q6239" s="1">
        <v>42287.128530092596</v>
      </c>
      <c r="R6239">
        <v>7</v>
      </c>
      <c r="S6239" t="s">
        <v>1226</v>
      </c>
      <c r="T6239" t="s">
        <v>2436</v>
      </c>
      <c r="U6239">
        <v>519.53599999999994</v>
      </c>
      <c r="V6239" s="3">
        <v>41331</v>
      </c>
    </row>
    <row r="6240" spans="1:22" x14ac:dyDescent="0.35">
      <c r="A6240" s="1">
        <v>42287.128368055557</v>
      </c>
      <c r="B6240" s="2">
        <v>1.6203703703703703E-4</v>
      </c>
      <c r="C6240" t="s">
        <v>9599</v>
      </c>
      <c r="D6240" t="s">
        <v>1222</v>
      </c>
      <c r="E6240" t="s">
        <v>1223</v>
      </c>
      <c r="F6240" t="s">
        <v>2433</v>
      </c>
      <c r="G6240">
        <v>1138225</v>
      </c>
      <c r="H6240" t="s">
        <v>26</v>
      </c>
      <c r="I6240" t="s">
        <v>297</v>
      </c>
      <c r="J6240" t="str">
        <f>"9781118548356"</f>
        <v>9781118548356</v>
      </c>
      <c r="K6240" t="s">
        <v>33</v>
      </c>
      <c r="L6240">
        <v>3</v>
      </c>
      <c r="O6240" t="s">
        <v>30</v>
      </c>
      <c r="P6240" t="s">
        <v>42</v>
      </c>
      <c r="S6240" t="s">
        <v>1226</v>
      </c>
      <c r="T6240" t="s">
        <v>2436</v>
      </c>
      <c r="U6240">
        <v>519.53599999999994</v>
      </c>
      <c r="V6240" s="3">
        <v>41331</v>
      </c>
    </row>
    <row r="6241" spans="1:22" x14ac:dyDescent="0.35">
      <c r="A6241" s="1">
        <v>42287.081678240742</v>
      </c>
      <c r="B6241" s="2">
        <v>2.3958333333333336E-3</v>
      </c>
      <c r="C6241" t="s">
        <v>9601</v>
      </c>
      <c r="D6241" t="s">
        <v>125</v>
      </c>
      <c r="E6241" t="s">
        <v>126</v>
      </c>
      <c r="F6241" t="s">
        <v>9602</v>
      </c>
      <c r="G6241">
        <v>817893</v>
      </c>
      <c r="H6241" t="s">
        <v>26</v>
      </c>
      <c r="I6241" t="s">
        <v>888</v>
      </c>
      <c r="J6241" t="str">
        <f>"9781118216408"</f>
        <v>9781118216408</v>
      </c>
      <c r="K6241" t="s">
        <v>9603</v>
      </c>
      <c r="L6241">
        <v>23</v>
      </c>
      <c r="O6241" t="s">
        <v>30</v>
      </c>
      <c r="P6241" t="s">
        <v>42</v>
      </c>
      <c r="S6241" t="s">
        <v>128</v>
      </c>
      <c r="T6241" t="s">
        <v>9604</v>
      </c>
      <c r="U6241">
        <v>694.2</v>
      </c>
      <c r="V6241" s="3">
        <v>40896</v>
      </c>
    </row>
    <row r="6242" spans="1:22" x14ac:dyDescent="0.35">
      <c r="A6242" s="1">
        <v>42287.068923611114</v>
      </c>
      <c r="B6242" s="2">
        <v>4.9768518518518521E-4</v>
      </c>
      <c r="C6242" t="s">
        <v>9605</v>
      </c>
      <c r="D6242" t="s">
        <v>23</v>
      </c>
      <c r="E6242" t="s">
        <v>24</v>
      </c>
      <c r="F6242" t="s">
        <v>4180</v>
      </c>
      <c r="G6242">
        <v>817932</v>
      </c>
      <c r="H6242" t="s">
        <v>26</v>
      </c>
      <c r="I6242" t="s">
        <v>276</v>
      </c>
      <c r="J6242" t="str">
        <f>"9781118220146"</f>
        <v>9781118220146</v>
      </c>
      <c r="K6242" t="s">
        <v>240</v>
      </c>
      <c r="L6242">
        <v>14</v>
      </c>
      <c r="O6242" t="s">
        <v>30</v>
      </c>
      <c r="P6242" t="s">
        <v>42</v>
      </c>
      <c r="S6242" t="s">
        <v>31</v>
      </c>
      <c r="T6242" t="s">
        <v>4182</v>
      </c>
      <c r="U6242">
        <v>5.133</v>
      </c>
      <c r="V6242" s="3">
        <v>40981</v>
      </c>
    </row>
    <row r="6243" spans="1:22" x14ac:dyDescent="0.35">
      <c r="A6243" s="1">
        <v>42287.054467592592</v>
      </c>
      <c r="B6243" s="2">
        <v>1.7013888888888892E-3</v>
      </c>
      <c r="C6243" t="s">
        <v>9606</v>
      </c>
      <c r="D6243" t="s">
        <v>23</v>
      </c>
      <c r="E6243" t="s">
        <v>24</v>
      </c>
      <c r="F6243" t="s">
        <v>1082</v>
      </c>
      <c r="G6243">
        <v>1746990</v>
      </c>
      <c r="H6243" t="s">
        <v>45</v>
      </c>
      <c r="I6243" t="s">
        <v>97</v>
      </c>
      <c r="J6243" t="str">
        <f>"9781472432100"</f>
        <v>9781472432100</v>
      </c>
      <c r="K6243" t="s">
        <v>9607</v>
      </c>
      <c r="L6243">
        <v>27</v>
      </c>
      <c r="O6243" t="s">
        <v>30</v>
      </c>
      <c r="P6243" t="s">
        <v>47</v>
      </c>
      <c r="Q6243" s="1">
        <v>42286.994537037041</v>
      </c>
      <c r="R6243">
        <v>1</v>
      </c>
      <c r="S6243" t="s">
        <v>31</v>
      </c>
      <c r="T6243" t="s">
        <v>1084</v>
      </c>
      <c r="U6243" t="s">
        <v>1085</v>
      </c>
      <c r="V6243" s="3">
        <v>41910</v>
      </c>
    </row>
    <row r="6244" spans="1:22" x14ac:dyDescent="0.35">
      <c r="A6244" s="1">
        <v>42286.999837962961</v>
      </c>
      <c r="B6244" s="2">
        <v>1.7708333333333332E-3</v>
      </c>
      <c r="C6244" t="s">
        <v>6288</v>
      </c>
      <c r="D6244" t="s">
        <v>23</v>
      </c>
      <c r="E6244" t="s">
        <v>24</v>
      </c>
      <c r="F6244" t="s">
        <v>486</v>
      </c>
      <c r="G6244">
        <v>1119505</v>
      </c>
      <c r="H6244" t="s">
        <v>26</v>
      </c>
      <c r="I6244" t="s">
        <v>450</v>
      </c>
      <c r="J6244" t="str">
        <f>"9781118355015"</f>
        <v>9781118355015</v>
      </c>
      <c r="K6244" t="s">
        <v>9608</v>
      </c>
      <c r="L6244">
        <v>23</v>
      </c>
      <c r="O6244" t="s">
        <v>30</v>
      </c>
      <c r="P6244" t="s">
        <v>42</v>
      </c>
      <c r="S6244" t="s">
        <v>31</v>
      </c>
      <c r="T6244" t="s">
        <v>487</v>
      </c>
      <c r="U6244" t="s">
        <v>488</v>
      </c>
      <c r="V6244" s="3">
        <v>41302</v>
      </c>
    </row>
    <row r="6245" spans="1:22" x14ac:dyDescent="0.35">
      <c r="A6245" s="1">
        <v>42286.994537037041</v>
      </c>
      <c r="B6245" s="2">
        <v>1.4791666666666668E-2</v>
      </c>
      <c r="C6245" t="s">
        <v>9606</v>
      </c>
      <c r="D6245" t="s">
        <v>23</v>
      </c>
      <c r="E6245" t="s">
        <v>24</v>
      </c>
      <c r="F6245" t="s">
        <v>1082</v>
      </c>
      <c r="G6245">
        <v>1746990</v>
      </c>
      <c r="H6245" t="s">
        <v>45</v>
      </c>
      <c r="I6245" t="s">
        <v>97</v>
      </c>
      <c r="J6245" t="str">
        <f>"9781472432100"</f>
        <v>9781472432100</v>
      </c>
      <c r="K6245" t="s">
        <v>9609</v>
      </c>
      <c r="L6245">
        <v>10</v>
      </c>
      <c r="O6245" t="s">
        <v>30</v>
      </c>
      <c r="P6245" t="s">
        <v>47</v>
      </c>
      <c r="Q6245" s="1">
        <v>42286.994537037041</v>
      </c>
      <c r="R6245">
        <v>1</v>
      </c>
      <c r="S6245" t="s">
        <v>31</v>
      </c>
      <c r="T6245" t="s">
        <v>1084</v>
      </c>
      <c r="U6245" t="s">
        <v>1085</v>
      </c>
      <c r="V6245" s="3">
        <v>41910</v>
      </c>
    </row>
    <row r="6246" spans="1:22" x14ac:dyDescent="0.35">
      <c r="A6246" s="1">
        <v>42286.989756944444</v>
      </c>
      <c r="B6246" s="2">
        <v>4.7800925925925919E-3</v>
      </c>
      <c r="C6246" t="s">
        <v>9606</v>
      </c>
      <c r="D6246" t="s">
        <v>23</v>
      </c>
      <c r="E6246" t="s">
        <v>24</v>
      </c>
      <c r="F6246" t="s">
        <v>1082</v>
      </c>
      <c r="G6246">
        <v>1746990</v>
      </c>
      <c r="H6246" t="s">
        <v>45</v>
      </c>
      <c r="I6246" t="s">
        <v>97</v>
      </c>
      <c r="J6246" t="str">
        <f>"9781472432100"</f>
        <v>9781472432100</v>
      </c>
      <c r="K6246" t="s">
        <v>9610</v>
      </c>
      <c r="L6246">
        <v>10</v>
      </c>
      <c r="O6246" t="s">
        <v>30</v>
      </c>
      <c r="P6246" t="s">
        <v>50</v>
      </c>
      <c r="S6246" t="s">
        <v>31</v>
      </c>
      <c r="T6246" t="s">
        <v>1084</v>
      </c>
      <c r="U6246" t="s">
        <v>1085</v>
      </c>
      <c r="V6246" s="3">
        <v>41910</v>
      </c>
    </row>
    <row r="6247" spans="1:22" x14ac:dyDescent="0.35">
      <c r="A6247" s="1">
        <v>42286.947546296295</v>
      </c>
      <c r="B6247" s="2">
        <v>5.8449074074074072E-3</v>
      </c>
      <c r="C6247" t="s">
        <v>5411</v>
      </c>
      <c r="D6247" t="s">
        <v>23</v>
      </c>
      <c r="E6247" t="s">
        <v>24</v>
      </c>
      <c r="F6247" t="s">
        <v>1051</v>
      </c>
      <c r="G6247">
        <v>821663</v>
      </c>
      <c r="H6247" t="s">
        <v>26</v>
      </c>
      <c r="I6247" t="s">
        <v>200</v>
      </c>
      <c r="J6247" t="str">
        <f>"9781118168479"</f>
        <v>9781118168479</v>
      </c>
      <c r="K6247" t="s">
        <v>9611</v>
      </c>
      <c r="L6247">
        <v>10</v>
      </c>
      <c r="O6247" t="s">
        <v>30</v>
      </c>
      <c r="P6247" t="s">
        <v>29</v>
      </c>
      <c r="Q6247" s="1">
        <v>42286.947534722225</v>
      </c>
      <c r="R6247">
        <v>7</v>
      </c>
      <c r="S6247" t="s">
        <v>31</v>
      </c>
      <c r="T6247" t="s">
        <v>1053</v>
      </c>
      <c r="U6247">
        <v>729</v>
      </c>
      <c r="V6247" s="3">
        <v>40973</v>
      </c>
    </row>
    <row r="6248" spans="1:22" x14ac:dyDescent="0.35">
      <c r="A6248" s="1">
        <v>42286.943981481483</v>
      </c>
      <c r="B6248" s="2">
        <v>3.5532407407407405E-3</v>
      </c>
      <c r="C6248" t="s">
        <v>5411</v>
      </c>
      <c r="D6248" t="s">
        <v>23</v>
      </c>
      <c r="E6248" t="s">
        <v>24</v>
      </c>
      <c r="F6248" t="s">
        <v>1051</v>
      </c>
      <c r="G6248">
        <v>821663</v>
      </c>
      <c r="H6248" t="s">
        <v>26</v>
      </c>
      <c r="I6248" t="s">
        <v>200</v>
      </c>
      <c r="J6248" t="str">
        <f>"9781118168479"</f>
        <v>9781118168479</v>
      </c>
      <c r="K6248" t="s">
        <v>9612</v>
      </c>
      <c r="L6248">
        <v>8</v>
      </c>
      <c r="O6248" t="s">
        <v>30</v>
      </c>
      <c r="P6248" t="s">
        <v>42</v>
      </c>
      <c r="S6248" t="s">
        <v>31</v>
      </c>
      <c r="T6248" t="s">
        <v>1053</v>
      </c>
      <c r="U6248">
        <v>729</v>
      </c>
      <c r="V6248" s="3">
        <v>40973</v>
      </c>
    </row>
    <row r="6249" spans="1:22" x14ac:dyDescent="0.35">
      <c r="A6249" s="1">
        <v>42286.931030092594</v>
      </c>
      <c r="B6249" s="2">
        <v>1.273148148148148E-4</v>
      </c>
      <c r="C6249" t="s">
        <v>106</v>
      </c>
      <c r="D6249" t="s">
        <v>23</v>
      </c>
      <c r="E6249" t="s">
        <v>24</v>
      </c>
      <c r="F6249" t="s">
        <v>78</v>
      </c>
      <c r="G6249">
        <v>1635363</v>
      </c>
      <c r="H6249" t="s">
        <v>26</v>
      </c>
      <c r="I6249" t="s">
        <v>79</v>
      </c>
      <c r="J6249" t="str">
        <f>"9781118678206"</f>
        <v>9781118678206</v>
      </c>
      <c r="K6249" t="s">
        <v>889</v>
      </c>
      <c r="L6249">
        <v>6</v>
      </c>
      <c r="O6249" t="s">
        <v>30</v>
      </c>
      <c r="P6249" t="s">
        <v>42</v>
      </c>
      <c r="S6249" t="s">
        <v>31</v>
      </c>
      <c r="T6249" t="s">
        <v>81</v>
      </c>
      <c r="U6249">
        <v>340.07600000000002</v>
      </c>
      <c r="V6249" s="3">
        <v>41684</v>
      </c>
    </row>
    <row r="6250" spans="1:22" x14ac:dyDescent="0.35">
      <c r="A6250" s="1">
        <v>42286.900659722225</v>
      </c>
      <c r="B6250" s="2">
        <v>0</v>
      </c>
      <c r="C6250" t="s">
        <v>9613</v>
      </c>
      <c r="D6250" t="s">
        <v>23</v>
      </c>
      <c r="E6250" t="s">
        <v>24</v>
      </c>
      <c r="F6250" t="s">
        <v>9614</v>
      </c>
      <c r="G6250">
        <v>822013</v>
      </c>
      <c r="H6250" t="s">
        <v>26</v>
      </c>
      <c r="I6250" t="s">
        <v>97</v>
      </c>
      <c r="J6250" t="str">
        <f>"9781118287231"</f>
        <v>9781118287231</v>
      </c>
      <c r="L6250">
        <v>0</v>
      </c>
      <c r="N6250" t="s">
        <v>9615</v>
      </c>
      <c r="O6250" t="s">
        <v>30</v>
      </c>
      <c r="P6250" t="s">
        <v>29</v>
      </c>
      <c r="Q6250" s="1">
        <v>42286.900659722225</v>
      </c>
      <c r="R6250">
        <v>7</v>
      </c>
      <c r="S6250" t="s">
        <v>31</v>
      </c>
      <c r="T6250" t="s">
        <v>9616</v>
      </c>
      <c r="U6250" t="s">
        <v>5200</v>
      </c>
      <c r="V6250" s="3">
        <v>41009</v>
      </c>
    </row>
    <row r="6251" spans="1:22" x14ac:dyDescent="0.35">
      <c r="A6251" s="1">
        <v>42286.899837962963</v>
      </c>
      <c r="B6251" s="2">
        <v>8.2175925925925917E-4</v>
      </c>
      <c r="C6251" t="s">
        <v>9613</v>
      </c>
      <c r="D6251" t="s">
        <v>23</v>
      </c>
      <c r="E6251" t="s">
        <v>24</v>
      </c>
      <c r="F6251" t="s">
        <v>9614</v>
      </c>
      <c r="G6251">
        <v>822013</v>
      </c>
      <c r="H6251" t="s">
        <v>26</v>
      </c>
      <c r="I6251" t="s">
        <v>97</v>
      </c>
      <c r="J6251" t="str">
        <f>"9781118287231"</f>
        <v>9781118287231</v>
      </c>
      <c r="K6251" t="s">
        <v>9617</v>
      </c>
      <c r="L6251">
        <v>27</v>
      </c>
      <c r="O6251" t="s">
        <v>30</v>
      </c>
      <c r="P6251" t="s">
        <v>42</v>
      </c>
      <c r="S6251" t="s">
        <v>31</v>
      </c>
      <c r="T6251" t="s">
        <v>9616</v>
      </c>
      <c r="U6251" t="s">
        <v>5200</v>
      </c>
      <c r="V6251" s="3">
        <v>41009</v>
      </c>
    </row>
    <row r="6252" spans="1:22" x14ac:dyDescent="0.35">
      <c r="A6252" s="1">
        <v>42286.874699074076</v>
      </c>
      <c r="B6252" s="2">
        <v>4.2592592592592595E-3</v>
      </c>
      <c r="C6252" t="s">
        <v>7138</v>
      </c>
      <c r="D6252" t="s">
        <v>360</v>
      </c>
      <c r="E6252" t="s">
        <v>361</v>
      </c>
      <c r="F6252" t="s">
        <v>4289</v>
      </c>
      <c r="G6252">
        <v>1120621</v>
      </c>
      <c r="H6252" t="s">
        <v>26</v>
      </c>
      <c r="I6252" t="s">
        <v>69</v>
      </c>
      <c r="J6252" t="str">
        <f>"9781118362679"</f>
        <v>9781118362679</v>
      </c>
      <c r="K6252" t="s">
        <v>1073</v>
      </c>
      <c r="L6252">
        <v>25</v>
      </c>
      <c r="O6252" t="s">
        <v>30</v>
      </c>
      <c r="P6252" t="s">
        <v>42</v>
      </c>
      <c r="S6252" t="s">
        <v>363</v>
      </c>
      <c r="T6252" t="s">
        <v>4290</v>
      </c>
      <c r="U6252" t="s">
        <v>4291</v>
      </c>
      <c r="V6252" s="3">
        <v>41136</v>
      </c>
    </row>
    <row r="6253" spans="1:22" x14ac:dyDescent="0.35">
      <c r="A6253" s="1">
        <v>42286.8669212963</v>
      </c>
      <c r="B6253" s="2">
        <v>5.5902777777777782E-3</v>
      </c>
      <c r="C6253" t="s">
        <v>9618</v>
      </c>
      <c r="D6253" t="s">
        <v>35</v>
      </c>
      <c r="E6253" t="s">
        <v>36</v>
      </c>
      <c r="F6253" t="s">
        <v>9619</v>
      </c>
      <c r="G6253">
        <v>875807</v>
      </c>
      <c r="H6253" t="s">
        <v>26</v>
      </c>
      <c r="I6253" t="s">
        <v>97</v>
      </c>
      <c r="J6253" t="str">
        <f>"9781118222690"</f>
        <v>9781118222690</v>
      </c>
      <c r="K6253" t="s">
        <v>9620</v>
      </c>
      <c r="L6253">
        <v>32</v>
      </c>
      <c r="O6253" t="s">
        <v>30</v>
      </c>
      <c r="P6253" t="s">
        <v>29</v>
      </c>
      <c r="Q6253" s="1">
        <v>42284.80133101852</v>
      </c>
      <c r="R6253">
        <v>7</v>
      </c>
      <c r="S6253" t="s">
        <v>40</v>
      </c>
      <c r="T6253" t="s">
        <v>9621</v>
      </c>
      <c r="U6253">
        <v>658.00760000000002</v>
      </c>
      <c r="V6253" s="3">
        <v>41296</v>
      </c>
    </row>
    <row r="6254" spans="1:22" x14ac:dyDescent="0.35">
      <c r="A6254" s="1">
        <v>42286.813449074078</v>
      </c>
      <c r="B6254" s="2">
        <v>2.199074074074074E-4</v>
      </c>
      <c r="C6254" t="s">
        <v>106</v>
      </c>
      <c r="D6254" t="s">
        <v>23</v>
      </c>
      <c r="E6254" t="s">
        <v>24</v>
      </c>
      <c r="F6254" t="s">
        <v>8797</v>
      </c>
      <c r="G6254">
        <v>1173654</v>
      </c>
      <c r="H6254" t="s">
        <v>186</v>
      </c>
      <c r="I6254" t="s">
        <v>8798</v>
      </c>
      <c r="J6254" t="str">
        <f>"9781780642307"</f>
        <v>9781780642307</v>
      </c>
      <c r="K6254" t="s">
        <v>463</v>
      </c>
      <c r="L6254">
        <v>9</v>
      </c>
      <c r="O6254" t="s">
        <v>30</v>
      </c>
      <c r="P6254" t="s">
        <v>50</v>
      </c>
      <c r="S6254" t="s">
        <v>31</v>
      </c>
      <c r="T6254" t="s">
        <v>8800</v>
      </c>
      <c r="U6254" t="s">
        <v>8801</v>
      </c>
      <c r="V6254" s="3">
        <v>41275</v>
      </c>
    </row>
    <row r="6255" spans="1:22" x14ac:dyDescent="0.35">
      <c r="A6255" s="1">
        <v>42286.767800925925</v>
      </c>
      <c r="B6255" s="2">
        <v>1.0648148148148147E-3</v>
      </c>
      <c r="C6255" t="s">
        <v>9622</v>
      </c>
      <c r="D6255" t="s">
        <v>158</v>
      </c>
      <c r="E6255" t="s">
        <v>159</v>
      </c>
      <c r="F6255" t="s">
        <v>6069</v>
      </c>
      <c r="G6255">
        <v>836174</v>
      </c>
      <c r="H6255" t="s">
        <v>149</v>
      </c>
      <c r="I6255" t="s">
        <v>172</v>
      </c>
      <c r="J6255" t="str">
        <f>"9781438139685"</f>
        <v>9781438139685</v>
      </c>
      <c r="K6255" t="s">
        <v>9623</v>
      </c>
      <c r="L6255">
        <v>10</v>
      </c>
      <c r="O6255" t="s">
        <v>30</v>
      </c>
      <c r="P6255" t="s">
        <v>29</v>
      </c>
      <c r="Q6255" s="1">
        <v>42286.767800925925</v>
      </c>
      <c r="R6255">
        <v>7</v>
      </c>
      <c r="S6255" t="s">
        <v>163</v>
      </c>
      <c r="T6255" t="s">
        <v>6071</v>
      </c>
      <c r="U6255">
        <v>941.50810000000001</v>
      </c>
      <c r="V6255" s="3">
        <v>40848</v>
      </c>
    </row>
    <row r="6256" spans="1:22" x14ac:dyDescent="0.35">
      <c r="A6256" s="1">
        <v>42286.760335648149</v>
      </c>
      <c r="B6256" s="2">
        <v>7.4652777777777781E-3</v>
      </c>
      <c r="C6256" t="s">
        <v>9622</v>
      </c>
      <c r="D6256" t="s">
        <v>158</v>
      </c>
      <c r="E6256" t="s">
        <v>159</v>
      </c>
      <c r="F6256" t="s">
        <v>6069</v>
      </c>
      <c r="G6256">
        <v>836174</v>
      </c>
      <c r="H6256" t="s">
        <v>149</v>
      </c>
      <c r="I6256" t="s">
        <v>172</v>
      </c>
      <c r="J6256" t="str">
        <f>"9781438139685"</f>
        <v>9781438139685</v>
      </c>
      <c r="K6256" t="s">
        <v>9624</v>
      </c>
      <c r="L6256">
        <v>25</v>
      </c>
      <c r="O6256" t="s">
        <v>30</v>
      </c>
      <c r="P6256" t="s">
        <v>42</v>
      </c>
      <c r="S6256" t="s">
        <v>163</v>
      </c>
      <c r="T6256" t="s">
        <v>6071</v>
      </c>
      <c r="U6256">
        <v>941.50810000000001</v>
      </c>
      <c r="V6256" s="3">
        <v>40848</v>
      </c>
    </row>
    <row r="6257" spans="1:22" x14ac:dyDescent="0.35">
      <c r="A6257" s="1">
        <v>42286.74423611111</v>
      </c>
      <c r="B6257" s="2">
        <v>1.1574074074074073E-4</v>
      </c>
      <c r="C6257" t="s">
        <v>9625</v>
      </c>
      <c r="D6257" t="s">
        <v>23</v>
      </c>
      <c r="E6257" t="s">
        <v>24</v>
      </c>
      <c r="F6257" t="s">
        <v>9626</v>
      </c>
      <c r="G6257">
        <v>1869298</v>
      </c>
      <c r="H6257" t="s">
        <v>45</v>
      </c>
      <c r="I6257" t="s">
        <v>120</v>
      </c>
      <c r="J6257" t="str">
        <f>"9781472423009"</f>
        <v>9781472423009</v>
      </c>
      <c r="K6257" t="s">
        <v>33</v>
      </c>
      <c r="L6257">
        <v>3</v>
      </c>
      <c r="O6257" t="s">
        <v>30</v>
      </c>
      <c r="P6257" t="s">
        <v>50</v>
      </c>
      <c r="S6257" t="s">
        <v>31</v>
      </c>
      <c r="T6257" t="s">
        <v>9627</v>
      </c>
      <c r="U6257">
        <v>305.8</v>
      </c>
      <c r="V6257" s="3">
        <v>42032</v>
      </c>
    </row>
    <row r="6258" spans="1:22" x14ac:dyDescent="0.35">
      <c r="A6258" s="1">
        <v>42286.726944444446</v>
      </c>
      <c r="B6258" s="2">
        <v>0.39275462962962965</v>
      </c>
      <c r="C6258" t="s">
        <v>5271</v>
      </c>
      <c r="D6258" t="s">
        <v>23</v>
      </c>
      <c r="E6258" t="s">
        <v>24</v>
      </c>
      <c r="F6258" t="s">
        <v>1051</v>
      </c>
      <c r="G6258">
        <v>821663</v>
      </c>
      <c r="H6258" t="s">
        <v>26</v>
      </c>
      <c r="I6258" t="s">
        <v>200</v>
      </c>
      <c r="J6258" t="str">
        <f>"9781118168479"</f>
        <v>9781118168479</v>
      </c>
      <c r="K6258" t="s">
        <v>9628</v>
      </c>
      <c r="L6258">
        <v>41</v>
      </c>
      <c r="M6258" t="s">
        <v>9629</v>
      </c>
      <c r="O6258" t="s">
        <v>30</v>
      </c>
      <c r="P6258" t="s">
        <v>29</v>
      </c>
      <c r="Q6258" s="1">
        <v>42286.726944444446</v>
      </c>
      <c r="R6258">
        <v>1</v>
      </c>
      <c r="S6258" t="s">
        <v>31</v>
      </c>
      <c r="T6258" t="s">
        <v>1053</v>
      </c>
      <c r="U6258">
        <v>729</v>
      </c>
      <c r="V6258" s="3">
        <v>40973</v>
      </c>
    </row>
    <row r="6259" spans="1:22" x14ac:dyDescent="0.35">
      <c r="A6259" s="1">
        <v>42286.718877314815</v>
      </c>
      <c r="B6259" s="2">
        <v>8.0671296296296307E-3</v>
      </c>
      <c r="C6259" t="s">
        <v>5271</v>
      </c>
      <c r="D6259" t="s">
        <v>23</v>
      </c>
      <c r="E6259" t="s">
        <v>24</v>
      </c>
      <c r="F6259" t="s">
        <v>1051</v>
      </c>
      <c r="G6259">
        <v>821663</v>
      </c>
      <c r="H6259" t="s">
        <v>26</v>
      </c>
      <c r="I6259" t="s">
        <v>200</v>
      </c>
      <c r="J6259" t="str">
        <f>"9781118168479"</f>
        <v>9781118168479</v>
      </c>
      <c r="K6259" t="s">
        <v>33</v>
      </c>
      <c r="L6259">
        <v>3</v>
      </c>
      <c r="O6259" t="s">
        <v>30</v>
      </c>
      <c r="P6259" t="s">
        <v>42</v>
      </c>
      <c r="S6259" t="s">
        <v>31</v>
      </c>
      <c r="T6259" t="s">
        <v>1053</v>
      </c>
      <c r="U6259">
        <v>729</v>
      </c>
      <c r="V6259" s="3">
        <v>40973</v>
      </c>
    </row>
    <row r="6260" spans="1:22" x14ac:dyDescent="0.35">
      <c r="A6260" s="1">
        <v>42286.716134259259</v>
      </c>
      <c r="B6260" s="2">
        <v>4.6296296296296294E-5</v>
      </c>
      <c r="C6260" t="s">
        <v>9013</v>
      </c>
      <c r="D6260" t="s">
        <v>1222</v>
      </c>
      <c r="E6260" t="s">
        <v>1223</v>
      </c>
      <c r="F6260" t="s">
        <v>2433</v>
      </c>
      <c r="G6260">
        <v>1138225</v>
      </c>
      <c r="H6260" t="s">
        <v>26</v>
      </c>
      <c r="I6260" t="s">
        <v>297</v>
      </c>
      <c r="J6260" t="str">
        <f>"9781118548356"</f>
        <v>9781118548356</v>
      </c>
      <c r="K6260" t="s">
        <v>9630</v>
      </c>
      <c r="L6260">
        <v>5</v>
      </c>
      <c r="O6260" t="s">
        <v>30</v>
      </c>
      <c r="P6260" t="s">
        <v>29</v>
      </c>
      <c r="Q6260" s="1">
        <v>42286.716122685182</v>
      </c>
      <c r="R6260">
        <v>7</v>
      </c>
      <c r="S6260" t="s">
        <v>1226</v>
      </c>
      <c r="T6260" t="s">
        <v>2436</v>
      </c>
      <c r="U6260">
        <v>519.53599999999994</v>
      </c>
      <c r="V6260" s="3">
        <v>41331</v>
      </c>
    </row>
    <row r="6261" spans="1:22" x14ac:dyDescent="0.35">
      <c r="A6261" s="1">
        <v>42286.703657407408</v>
      </c>
      <c r="B6261" s="2">
        <v>4.1666666666666669E-4</v>
      </c>
      <c r="C6261" t="s">
        <v>9631</v>
      </c>
      <c r="D6261" t="s">
        <v>23</v>
      </c>
      <c r="E6261" t="s">
        <v>24</v>
      </c>
      <c r="F6261" t="s">
        <v>462</v>
      </c>
      <c r="G6261">
        <v>1822529</v>
      </c>
      <c r="H6261" t="s">
        <v>26</v>
      </c>
      <c r="I6261" t="s">
        <v>297</v>
      </c>
      <c r="J6261" t="str">
        <f>"9781118824344"</f>
        <v>9781118824344</v>
      </c>
      <c r="K6261" t="s">
        <v>9632</v>
      </c>
      <c r="L6261">
        <v>15</v>
      </c>
      <c r="O6261" t="s">
        <v>30</v>
      </c>
      <c r="P6261" t="s">
        <v>42</v>
      </c>
      <c r="S6261" t="s">
        <v>31</v>
      </c>
      <c r="T6261" t="s">
        <v>464</v>
      </c>
      <c r="U6261">
        <v>519.4</v>
      </c>
      <c r="V6261" s="3">
        <v>41932</v>
      </c>
    </row>
    <row r="6262" spans="1:22" x14ac:dyDescent="0.35">
      <c r="A6262" s="1">
        <v>42286.689571759256</v>
      </c>
      <c r="B6262" s="2">
        <v>2.6550925925925926E-2</v>
      </c>
      <c r="C6262" t="s">
        <v>9013</v>
      </c>
      <c r="D6262" t="s">
        <v>1222</v>
      </c>
      <c r="E6262" t="s">
        <v>1223</v>
      </c>
      <c r="F6262" t="s">
        <v>2433</v>
      </c>
      <c r="G6262">
        <v>1138225</v>
      </c>
      <c r="H6262" t="s">
        <v>26</v>
      </c>
      <c r="I6262" t="s">
        <v>297</v>
      </c>
      <c r="J6262" t="str">
        <f>"9781118548356"</f>
        <v>9781118548356</v>
      </c>
      <c r="K6262" t="s">
        <v>9633</v>
      </c>
      <c r="L6262">
        <v>11</v>
      </c>
      <c r="O6262" t="s">
        <v>30</v>
      </c>
      <c r="P6262" t="s">
        <v>42</v>
      </c>
      <c r="S6262" t="s">
        <v>1226</v>
      </c>
      <c r="T6262" t="s">
        <v>2436</v>
      </c>
      <c r="U6262">
        <v>519.53599999999994</v>
      </c>
      <c r="V6262" s="3">
        <v>41331</v>
      </c>
    </row>
    <row r="6263" spans="1:22" x14ac:dyDescent="0.35">
      <c r="A6263" s="1">
        <v>42286.687291666669</v>
      </c>
      <c r="B6263" s="2">
        <v>2.1064814814814813E-3</v>
      </c>
      <c r="C6263" t="s">
        <v>9013</v>
      </c>
      <c r="D6263" t="s">
        <v>1222</v>
      </c>
      <c r="E6263" t="s">
        <v>1223</v>
      </c>
      <c r="F6263" t="s">
        <v>2433</v>
      </c>
      <c r="G6263">
        <v>1138225</v>
      </c>
      <c r="H6263" t="s">
        <v>26</v>
      </c>
      <c r="I6263" t="s">
        <v>297</v>
      </c>
      <c r="J6263" t="str">
        <f>"9781118548356"</f>
        <v>9781118548356</v>
      </c>
      <c r="K6263" t="s">
        <v>9634</v>
      </c>
      <c r="L6263">
        <v>62</v>
      </c>
      <c r="O6263" t="s">
        <v>30</v>
      </c>
      <c r="P6263" t="s">
        <v>42</v>
      </c>
      <c r="S6263" t="s">
        <v>1226</v>
      </c>
      <c r="T6263" t="s">
        <v>2436</v>
      </c>
      <c r="U6263">
        <v>519.53599999999994</v>
      </c>
      <c r="V6263" s="3">
        <v>41331</v>
      </c>
    </row>
    <row r="6264" spans="1:22" x14ac:dyDescent="0.35">
      <c r="A6264" s="1">
        <v>42286.632696759261</v>
      </c>
      <c r="B6264" s="2">
        <v>1.0416666666666667E-4</v>
      </c>
      <c r="C6264" t="s">
        <v>9635</v>
      </c>
      <c r="D6264" t="s">
        <v>23</v>
      </c>
      <c r="E6264" t="s">
        <v>24</v>
      </c>
      <c r="F6264" t="s">
        <v>969</v>
      </c>
      <c r="G6264">
        <v>818462</v>
      </c>
      <c r="H6264" t="s">
        <v>26</v>
      </c>
      <c r="I6264" t="s">
        <v>970</v>
      </c>
      <c r="J6264" t="str">
        <f>"9781118140383"</f>
        <v>9781118140383</v>
      </c>
      <c r="K6264" t="s">
        <v>202</v>
      </c>
      <c r="L6264">
        <v>3</v>
      </c>
      <c r="O6264" t="s">
        <v>30</v>
      </c>
      <c r="P6264" t="s">
        <v>42</v>
      </c>
      <c r="S6264" t="s">
        <v>31</v>
      </c>
      <c r="T6264" t="s">
        <v>973</v>
      </c>
      <c r="U6264" t="s">
        <v>974</v>
      </c>
      <c r="V6264" s="3">
        <v>40968</v>
      </c>
    </row>
    <row r="6265" spans="1:22" x14ac:dyDescent="0.35">
      <c r="A6265" s="1">
        <v>42286.625300925924</v>
      </c>
      <c r="B6265" s="2">
        <v>2.5590277777777778E-2</v>
      </c>
      <c r="C6265" t="s">
        <v>9334</v>
      </c>
      <c r="D6265" t="s">
        <v>23</v>
      </c>
      <c r="E6265" t="s">
        <v>24</v>
      </c>
      <c r="F6265" t="s">
        <v>6418</v>
      </c>
      <c r="G6265">
        <v>1168529</v>
      </c>
      <c r="H6265" t="s">
        <v>26</v>
      </c>
      <c r="I6265" t="s">
        <v>297</v>
      </c>
      <c r="J6265" t="str">
        <f>"9781118710944"</f>
        <v>9781118710944</v>
      </c>
      <c r="K6265" t="s">
        <v>9636</v>
      </c>
      <c r="L6265">
        <v>13</v>
      </c>
      <c r="O6265" t="s">
        <v>30</v>
      </c>
      <c r="P6265" t="s">
        <v>29</v>
      </c>
      <c r="Q6265" s="1">
        <v>42286.625300925924</v>
      </c>
      <c r="R6265">
        <v>7</v>
      </c>
      <c r="S6265" t="s">
        <v>31</v>
      </c>
      <c r="T6265" t="s">
        <v>6419</v>
      </c>
      <c r="U6265" t="s">
        <v>6420</v>
      </c>
      <c r="V6265" s="3">
        <v>41372</v>
      </c>
    </row>
    <row r="6266" spans="1:22" x14ac:dyDescent="0.35">
      <c r="A6266" s="1">
        <v>42286.617002314815</v>
      </c>
      <c r="B6266" s="2">
        <v>7.7546296296296304E-4</v>
      </c>
      <c r="C6266" t="s">
        <v>9637</v>
      </c>
      <c r="D6266" t="s">
        <v>2519</v>
      </c>
      <c r="E6266" t="s">
        <v>2520</v>
      </c>
      <c r="F6266" t="s">
        <v>9638</v>
      </c>
      <c r="G6266">
        <v>1598001</v>
      </c>
      <c r="H6266" t="s">
        <v>26</v>
      </c>
      <c r="I6266" t="s">
        <v>310</v>
      </c>
      <c r="J6266" t="str">
        <f>"9781118610794"</f>
        <v>9781118610794</v>
      </c>
      <c r="K6266" t="s">
        <v>9639</v>
      </c>
      <c r="L6266">
        <v>8</v>
      </c>
      <c r="O6266" t="s">
        <v>30</v>
      </c>
      <c r="P6266" t="s">
        <v>47</v>
      </c>
      <c r="Q6266" s="1">
        <v>42286.617002314815</v>
      </c>
      <c r="R6266">
        <v>1</v>
      </c>
      <c r="S6266" t="s">
        <v>3786</v>
      </c>
      <c r="T6266" t="s">
        <v>9640</v>
      </c>
      <c r="U6266" t="s">
        <v>9641</v>
      </c>
      <c r="V6266" s="3">
        <v>41648</v>
      </c>
    </row>
    <row r="6267" spans="1:22" x14ac:dyDescent="0.35">
      <c r="A6267" s="1">
        <v>42286.613402777781</v>
      </c>
      <c r="B6267" s="2">
        <v>3.5995370370370369E-3</v>
      </c>
      <c r="C6267" t="s">
        <v>9637</v>
      </c>
      <c r="D6267" t="s">
        <v>2519</v>
      </c>
      <c r="E6267" t="s">
        <v>2520</v>
      </c>
      <c r="F6267" t="s">
        <v>9638</v>
      </c>
      <c r="G6267">
        <v>1598001</v>
      </c>
      <c r="H6267" t="s">
        <v>26</v>
      </c>
      <c r="I6267" t="s">
        <v>310</v>
      </c>
      <c r="J6267" t="str">
        <f>"9781118610794"</f>
        <v>9781118610794</v>
      </c>
      <c r="K6267" t="s">
        <v>9642</v>
      </c>
      <c r="L6267">
        <v>29</v>
      </c>
      <c r="O6267" t="s">
        <v>30</v>
      </c>
      <c r="P6267" t="s">
        <v>50</v>
      </c>
      <c r="S6267" t="s">
        <v>3786</v>
      </c>
      <c r="T6267" t="s">
        <v>9640</v>
      </c>
      <c r="U6267" t="s">
        <v>9641</v>
      </c>
      <c r="V6267" s="3">
        <v>41648</v>
      </c>
    </row>
    <row r="6268" spans="1:22" x14ac:dyDescent="0.35">
      <c r="A6268" s="1">
        <v>42286.609293981484</v>
      </c>
      <c r="B6268" s="2">
        <v>1.6006944444444445E-2</v>
      </c>
      <c r="C6268" t="s">
        <v>9334</v>
      </c>
      <c r="D6268" t="s">
        <v>23</v>
      </c>
      <c r="E6268" t="s">
        <v>24</v>
      </c>
      <c r="F6268" t="s">
        <v>6418</v>
      </c>
      <c r="G6268">
        <v>1168529</v>
      </c>
      <c r="H6268" t="s">
        <v>26</v>
      </c>
      <c r="I6268" t="s">
        <v>297</v>
      </c>
      <c r="J6268" t="str">
        <f>"9781118710944"</f>
        <v>9781118710944</v>
      </c>
      <c r="K6268" t="s">
        <v>9643</v>
      </c>
      <c r="L6268">
        <v>22</v>
      </c>
      <c r="O6268" t="s">
        <v>30</v>
      </c>
      <c r="P6268" t="s">
        <v>42</v>
      </c>
      <c r="S6268" t="s">
        <v>31</v>
      </c>
      <c r="T6268" t="s">
        <v>6419</v>
      </c>
      <c r="U6268" t="s">
        <v>6420</v>
      </c>
      <c r="V6268" s="3">
        <v>41372</v>
      </c>
    </row>
    <row r="6269" spans="1:22" x14ac:dyDescent="0.35">
      <c r="A6269" s="1">
        <v>42286.606388888889</v>
      </c>
      <c r="B6269" s="2">
        <v>4.5138888888888892E-4</v>
      </c>
      <c r="C6269" t="s">
        <v>2788</v>
      </c>
      <c r="D6269" t="s">
        <v>23</v>
      </c>
      <c r="E6269" t="s">
        <v>24</v>
      </c>
      <c r="F6269" t="s">
        <v>1051</v>
      </c>
      <c r="G6269">
        <v>821663</v>
      </c>
      <c r="H6269" t="s">
        <v>26</v>
      </c>
      <c r="I6269" t="s">
        <v>200</v>
      </c>
      <c r="J6269" t="str">
        <f>"9781118168479"</f>
        <v>9781118168479</v>
      </c>
      <c r="K6269" t="s">
        <v>9644</v>
      </c>
      <c r="L6269">
        <v>9</v>
      </c>
      <c r="O6269" t="s">
        <v>30</v>
      </c>
      <c r="P6269" t="s">
        <v>42</v>
      </c>
      <c r="S6269" t="s">
        <v>31</v>
      </c>
      <c r="T6269" t="s">
        <v>1053</v>
      </c>
      <c r="U6269">
        <v>729</v>
      </c>
      <c r="V6269" s="3">
        <v>40973</v>
      </c>
    </row>
    <row r="6270" spans="1:22" x14ac:dyDescent="0.35">
      <c r="A6270" s="1">
        <v>42286.597673611112</v>
      </c>
      <c r="B6270" s="2">
        <v>1.9791666666666666E-2</v>
      </c>
      <c r="C6270" t="s">
        <v>9645</v>
      </c>
      <c r="D6270" t="s">
        <v>23</v>
      </c>
      <c r="E6270" t="s">
        <v>24</v>
      </c>
      <c r="F6270" t="s">
        <v>3488</v>
      </c>
      <c r="G6270">
        <v>1294909</v>
      </c>
      <c r="H6270" t="s">
        <v>84</v>
      </c>
      <c r="I6270" t="s">
        <v>445</v>
      </c>
      <c r="J6270" t="str">
        <f>"9780520956797"</f>
        <v>9780520956797</v>
      </c>
      <c r="K6270" t="s">
        <v>9646</v>
      </c>
      <c r="L6270">
        <v>34</v>
      </c>
      <c r="M6270" t="s">
        <v>105</v>
      </c>
      <c r="O6270" t="s">
        <v>30</v>
      </c>
      <c r="P6270" t="s">
        <v>29</v>
      </c>
      <c r="Q6270" s="1">
        <v>42286.597673611112</v>
      </c>
      <c r="R6270">
        <v>7</v>
      </c>
      <c r="S6270" t="s">
        <v>31</v>
      </c>
      <c r="T6270" t="s">
        <v>3490</v>
      </c>
      <c r="U6270" t="s">
        <v>3491</v>
      </c>
      <c r="V6270" s="3">
        <v>41487</v>
      </c>
    </row>
    <row r="6271" spans="1:22" x14ac:dyDescent="0.35">
      <c r="A6271" s="1">
        <v>42286.59746527778</v>
      </c>
      <c r="B6271" s="2">
        <v>2.0833333333333335E-4</v>
      </c>
      <c r="C6271" t="s">
        <v>9645</v>
      </c>
      <c r="D6271" t="s">
        <v>23</v>
      </c>
      <c r="E6271" t="s">
        <v>24</v>
      </c>
      <c r="F6271" t="s">
        <v>3488</v>
      </c>
      <c r="G6271">
        <v>1294909</v>
      </c>
      <c r="H6271" t="s">
        <v>84</v>
      </c>
      <c r="I6271" t="s">
        <v>445</v>
      </c>
      <c r="J6271" t="str">
        <f>"9780520956797"</f>
        <v>9780520956797</v>
      </c>
      <c r="K6271" t="s">
        <v>33</v>
      </c>
      <c r="L6271">
        <v>3</v>
      </c>
      <c r="O6271" t="s">
        <v>30</v>
      </c>
      <c r="P6271" t="s">
        <v>42</v>
      </c>
      <c r="S6271" t="s">
        <v>31</v>
      </c>
      <c r="T6271" t="s">
        <v>3490</v>
      </c>
      <c r="U6271" t="s">
        <v>3491</v>
      </c>
      <c r="V6271" s="3">
        <v>41487</v>
      </c>
    </row>
    <row r="6272" spans="1:22" x14ac:dyDescent="0.35">
      <c r="A6272" s="1">
        <v>42286.495416666665</v>
      </c>
      <c r="B6272" s="2">
        <v>3.8078703703703707E-3</v>
      </c>
      <c r="C6272" t="s">
        <v>5411</v>
      </c>
      <c r="D6272" t="s">
        <v>23</v>
      </c>
      <c r="E6272" t="s">
        <v>24</v>
      </c>
      <c r="F6272" t="s">
        <v>1051</v>
      </c>
      <c r="G6272">
        <v>821663</v>
      </c>
      <c r="H6272" t="s">
        <v>26</v>
      </c>
      <c r="I6272" t="s">
        <v>200</v>
      </c>
      <c r="J6272" t="str">
        <f>"9781118168479"</f>
        <v>9781118168479</v>
      </c>
      <c r="K6272" t="s">
        <v>9647</v>
      </c>
      <c r="L6272">
        <v>10</v>
      </c>
      <c r="O6272" t="s">
        <v>30</v>
      </c>
      <c r="P6272" t="s">
        <v>42</v>
      </c>
      <c r="S6272" t="s">
        <v>31</v>
      </c>
      <c r="T6272" t="s">
        <v>1053</v>
      </c>
      <c r="U6272">
        <v>729</v>
      </c>
      <c r="V6272" s="3">
        <v>40973</v>
      </c>
    </row>
    <row r="6273" spans="1:22" x14ac:dyDescent="0.35">
      <c r="A6273" s="1">
        <v>42286.243831018517</v>
      </c>
      <c r="B6273" s="2">
        <v>0</v>
      </c>
      <c r="C6273" t="s">
        <v>7783</v>
      </c>
      <c r="D6273" t="s">
        <v>623</v>
      </c>
      <c r="E6273" t="s">
        <v>624</v>
      </c>
      <c r="F6273" t="s">
        <v>235</v>
      </c>
      <c r="G6273">
        <v>1935742</v>
      </c>
      <c r="H6273" t="s">
        <v>236</v>
      </c>
      <c r="I6273" t="s">
        <v>237</v>
      </c>
      <c r="J6273" t="str">
        <f>"9781118473252"</f>
        <v>9781118473252</v>
      </c>
      <c r="L6273">
        <v>0</v>
      </c>
      <c r="O6273" t="s">
        <v>28</v>
      </c>
      <c r="P6273" t="s">
        <v>47</v>
      </c>
      <c r="Q6273" s="1">
        <v>42286.243831018517</v>
      </c>
      <c r="R6273">
        <v>1</v>
      </c>
      <c r="S6273" t="s">
        <v>627</v>
      </c>
      <c r="T6273" t="s">
        <v>239</v>
      </c>
      <c r="U6273">
        <v>550</v>
      </c>
      <c r="V6273" s="3">
        <v>41360</v>
      </c>
    </row>
    <row r="6274" spans="1:22" x14ac:dyDescent="0.35">
      <c r="A6274" s="1">
        <v>42286.243831018517</v>
      </c>
      <c r="B6274" s="2">
        <v>0</v>
      </c>
      <c r="C6274" t="s">
        <v>7783</v>
      </c>
      <c r="D6274" t="s">
        <v>623</v>
      </c>
      <c r="E6274" t="s">
        <v>624</v>
      </c>
      <c r="F6274" t="s">
        <v>235</v>
      </c>
      <c r="G6274">
        <v>1935742</v>
      </c>
      <c r="H6274" t="s">
        <v>236</v>
      </c>
      <c r="I6274" t="s">
        <v>237</v>
      </c>
      <c r="J6274" t="str">
        <f>"9781118473252"</f>
        <v>9781118473252</v>
      </c>
      <c r="L6274">
        <v>0</v>
      </c>
      <c r="O6274" t="s">
        <v>30</v>
      </c>
      <c r="P6274" t="s">
        <v>47</v>
      </c>
      <c r="Q6274" s="1">
        <v>42286.243831018517</v>
      </c>
      <c r="R6274">
        <v>1</v>
      </c>
      <c r="S6274" t="s">
        <v>627</v>
      </c>
      <c r="T6274" t="s">
        <v>239</v>
      </c>
      <c r="U6274">
        <v>550</v>
      </c>
      <c r="V6274" s="3">
        <v>41360</v>
      </c>
    </row>
    <row r="6275" spans="1:22" x14ac:dyDescent="0.35">
      <c r="A6275" s="1">
        <v>42286.243032407408</v>
      </c>
      <c r="B6275" s="2">
        <v>7.9861111111111105E-4</v>
      </c>
      <c r="C6275" t="s">
        <v>7783</v>
      </c>
      <c r="D6275" t="s">
        <v>623</v>
      </c>
      <c r="E6275" t="s">
        <v>624</v>
      </c>
      <c r="F6275" t="s">
        <v>235</v>
      </c>
      <c r="G6275">
        <v>1935742</v>
      </c>
      <c r="H6275" t="s">
        <v>236</v>
      </c>
      <c r="I6275" t="s">
        <v>237</v>
      </c>
      <c r="J6275" t="str">
        <f>"9781118473252"</f>
        <v>9781118473252</v>
      </c>
      <c r="K6275" t="s">
        <v>33</v>
      </c>
      <c r="L6275">
        <v>3</v>
      </c>
      <c r="O6275" t="s">
        <v>30</v>
      </c>
      <c r="P6275" t="s">
        <v>50</v>
      </c>
      <c r="S6275" t="s">
        <v>627</v>
      </c>
      <c r="T6275" t="s">
        <v>239</v>
      </c>
      <c r="U6275">
        <v>550</v>
      </c>
      <c r="V6275" s="3">
        <v>41360</v>
      </c>
    </row>
    <row r="6276" spans="1:22" x14ac:dyDescent="0.35">
      <c r="A6276" s="1">
        <v>42286.178784722222</v>
      </c>
      <c r="B6276" s="2">
        <v>9.3750000000000007E-4</v>
      </c>
      <c r="C6276" t="s">
        <v>6930</v>
      </c>
      <c r="D6276" t="s">
        <v>1222</v>
      </c>
      <c r="E6276" t="s">
        <v>1223</v>
      </c>
      <c r="F6276" t="s">
        <v>4117</v>
      </c>
      <c r="G6276">
        <v>1724876</v>
      </c>
      <c r="H6276" t="s">
        <v>26</v>
      </c>
      <c r="I6276" t="s">
        <v>108</v>
      </c>
      <c r="J6276" t="str">
        <f>"9781118914113"</f>
        <v>9781118914113</v>
      </c>
      <c r="K6276" t="s">
        <v>1070</v>
      </c>
      <c r="L6276">
        <v>46</v>
      </c>
      <c r="O6276" t="s">
        <v>30</v>
      </c>
      <c r="P6276" t="s">
        <v>42</v>
      </c>
      <c r="S6276" t="s">
        <v>1226</v>
      </c>
      <c r="T6276" t="s">
        <v>4120</v>
      </c>
      <c r="U6276">
        <v>332</v>
      </c>
      <c r="V6276" s="3">
        <v>41816</v>
      </c>
    </row>
    <row r="6277" spans="1:22" x14ac:dyDescent="0.35">
      <c r="A6277" s="1">
        <v>42286.153078703705</v>
      </c>
      <c r="B6277" s="2">
        <v>5.7870370370370366E-5</v>
      </c>
      <c r="C6277" t="s">
        <v>8407</v>
      </c>
      <c r="D6277" t="s">
        <v>158</v>
      </c>
      <c r="E6277" t="s">
        <v>159</v>
      </c>
      <c r="F6277" t="s">
        <v>8408</v>
      </c>
      <c r="G6277">
        <v>2078737</v>
      </c>
      <c r="H6277" t="s">
        <v>26</v>
      </c>
      <c r="I6277" t="s">
        <v>8409</v>
      </c>
      <c r="J6277" t="str">
        <f>"9781118974346"</f>
        <v>9781118974346</v>
      </c>
      <c r="K6277" t="s">
        <v>9648</v>
      </c>
      <c r="L6277">
        <v>4</v>
      </c>
      <c r="O6277" t="s">
        <v>30</v>
      </c>
      <c r="P6277" t="s">
        <v>42</v>
      </c>
      <c r="S6277" t="s">
        <v>163</v>
      </c>
      <c r="T6277" t="s">
        <v>8411</v>
      </c>
      <c r="U6277" t="s">
        <v>8412</v>
      </c>
      <c r="V6277" s="3">
        <v>42181</v>
      </c>
    </row>
    <row r="6278" spans="1:22" x14ac:dyDescent="0.35">
      <c r="A6278" s="1">
        <v>42286.147222222222</v>
      </c>
      <c r="B6278" s="2">
        <v>1.8078703703703704E-2</v>
      </c>
      <c r="C6278" t="s">
        <v>7924</v>
      </c>
      <c r="D6278" t="s">
        <v>597</v>
      </c>
      <c r="E6278" t="s">
        <v>598</v>
      </c>
      <c r="F6278" t="s">
        <v>7058</v>
      </c>
      <c r="G6278">
        <v>1249494</v>
      </c>
      <c r="H6278" t="s">
        <v>84</v>
      </c>
      <c r="I6278" t="s">
        <v>7059</v>
      </c>
      <c r="J6278" t="str">
        <f>"9780520954571"</f>
        <v>9780520954571</v>
      </c>
      <c r="K6278" t="s">
        <v>9649</v>
      </c>
      <c r="L6278">
        <v>15</v>
      </c>
      <c r="O6278" t="s">
        <v>30</v>
      </c>
      <c r="P6278" t="s">
        <v>29</v>
      </c>
      <c r="Q6278" s="1">
        <v>42286.147222222222</v>
      </c>
      <c r="R6278">
        <v>7</v>
      </c>
      <c r="S6278" t="s">
        <v>600</v>
      </c>
      <c r="T6278" t="s">
        <v>7060</v>
      </c>
      <c r="U6278">
        <v>362.29300000000001</v>
      </c>
      <c r="V6278" s="3">
        <v>41518</v>
      </c>
    </row>
    <row r="6279" spans="1:22" x14ac:dyDescent="0.35">
      <c r="A6279" s="1">
        <v>42286.146423611113</v>
      </c>
      <c r="B6279" s="2">
        <v>5.6481481481481478E-3</v>
      </c>
      <c r="C6279" t="s">
        <v>8407</v>
      </c>
      <c r="D6279" t="s">
        <v>158</v>
      </c>
      <c r="E6279" t="s">
        <v>159</v>
      </c>
      <c r="F6279" t="s">
        <v>8408</v>
      </c>
      <c r="G6279">
        <v>2078737</v>
      </c>
      <c r="H6279" t="s">
        <v>26</v>
      </c>
      <c r="I6279" t="s">
        <v>8409</v>
      </c>
      <c r="J6279" t="str">
        <f>"9781118974346"</f>
        <v>9781118974346</v>
      </c>
      <c r="K6279" t="s">
        <v>9650</v>
      </c>
      <c r="L6279">
        <v>32</v>
      </c>
      <c r="O6279" t="s">
        <v>30</v>
      </c>
      <c r="P6279" t="s">
        <v>42</v>
      </c>
      <c r="S6279" t="s">
        <v>163</v>
      </c>
      <c r="T6279" t="s">
        <v>8411</v>
      </c>
      <c r="U6279" t="s">
        <v>8412</v>
      </c>
      <c r="V6279" s="3">
        <v>42181</v>
      </c>
    </row>
    <row r="6280" spans="1:22" x14ac:dyDescent="0.35">
      <c r="A6280" s="1">
        <v>42286.142893518518</v>
      </c>
      <c r="B6280" s="2">
        <v>4.3287037037037035E-3</v>
      </c>
      <c r="C6280" t="s">
        <v>7924</v>
      </c>
      <c r="D6280" t="s">
        <v>597</v>
      </c>
      <c r="E6280" t="s">
        <v>598</v>
      </c>
      <c r="F6280" t="s">
        <v>7058</v>
      </c>
      <c r="G6280">
        <v>1249494</v>
      </c>
      <c r="H6280" t="s">
        <v>84</v>
      </c>
      <c r="I6280" t="s">
        <v>7059</v>
      </c>
      <c r="J6280" t="str">
        <f>"9780520954571"</f>
        <v>9780520954571</v>
      </c>
      <c r="K6280" t="s">
        <v>5402</v>
      </c>
      <c r="L6280">
        <v>29</v>
      </c>
      <c r="O6280" t="s">
        <v>30</v>
      </c>
      <c r="P6280" t="s">
        <v>42</v>
      </c>
      <c r="S6280" t="s">
        <v>600</v>
      </c>
      <c r="T6280" t="s">
        <v>7060</v>
      </c>
      <c r="U6280">
        <v>362.29300000000001</v>
      </c>
      <c r="V6280" s="3">
        <v>41518</v>
      </c>
    </row>
    <row r="6281" spans="1:22" x14ac:dyDescent="0.35">
      <c r="A6281" s="1">
        <v>42286.134502314817</v>
      </c>
      <c r="B6281" s="2">
        <v>7.9861111111111105E-4</v>
      </c>
      <c r="C6281" t="s">
        <v>7924</v>
      </c>
      <c r="D6281" t="s">
        <v>597</v>
      </c>
      <c r="E6281" t="s">
        <v>598</v>
      </c>
      <c r="F6281" t="s">
        <v>7058</v>
      </c>
      <c r="G6281">
        <v>1249494</v>
      </c>
      <c r="H6281" t="s">
        <v>84</v>
      </c>
      <c r="I6281" t="s">
        <v>7059</v>
      </c>
      <c r="J6281" t="str">
        <f>"9780520954571"</f>
        <v>9780520954571</v>
      </c>
      <c r="K6281" t="s">
        <v>9651</v>
      </c>
      <c r="L6281">
        <v>34</v>
      </c>
      <c r="O6281" t="s">
        <v>30</v>
      </c>
      <c r="P6281" t="s">
        <v>42</v>
      </c>
      <c r="S6281" t="s">
        <v>600</v>
      </c>
      <c r="T6281" t="s">
        <v>7060</v>
      </c>
      <c r="U6281">
        <v>362.29300000000001</v>
      </c>
      <c r="V6281" s="3">
        <v>41518</v>
      </c>
    </row>
    <row r="6282" spans="1:22" x14ac:dyDescent="0.35">
      <c r="A6282" s="1">
        <v>42286.131458333337</v>
      </c>
      <c r="B6282" s="2">
        <v>2.7893518518518519E-3</v>
      </c>
      <c r="C6282" t="s">
        <v>7924</v>
      </c>
      <c r="D6282" t="s">
        <v>597</v>
      </c>
      <c r="E6282" t="s">
        <v>598</v>
      </c>
      <c r="F6282" t="s">
        <v>7058</v>
      </c>
      <c r="G6282">
        <v>1249494</v>
      </c>
      <c r="H6282" t="s">
        <v>84</v>
      </c>
      <c r="I6282" t="s">
        <v>7059</v>
      </c>
      <c r="J6282" t="str">
        <f>"9780520954571"</f>
        <v>9780520954571</v>
      </c>
      <c r="K6282" t="s">
        <v>9652</v>
      </c>
      <c r="L6282">
        <v>36</v>
      </c>
      <c r="O6282" t="s">
        <v>30</v>
      </c>
      <c r="P6282" t="s">
        <v>42</v>
      </c>
      <c r="S6282" t="s">
        <v>600</v>
      </c>
      <c r="T6282" t="s">
        <v>7060</v>
      </c>
      <c r="U6282">
        <v>362.29300000000001</v>
      </c>
      <c r="V6282" s="3">
        <v>41518</v>
      </c>
    </row>
    <row r="6283" spans="1:22" x14ac:dyDescent="0.35">
      <c r="A6283" s="1">
        <v>42286.085914351854</v>
      </c>
      <c r="B6283" s="2">
        <v>1.1574074074074073E-3</v>
      </c>
      <c r="C6283" t="s">
        <v>1751</v>
      </c>
      <c r="D6283" t="s">
        <v>23</v>
      </c>
      <c r="E6283" t="s">
        <v>24</v>
      </c>
      <c r="F6283" t="s">
        <v>3741</v>
      </c>
      <c r="G6283">
        <v>837573</v>
      </c>
      <c r="H6283" t="s">
        <v>26</v>
      </c>
      <c r="I6283" t="s">
        <v>120</v>
      </c>
      <c r="J6283" t="str">
        <f>"9781444354805"</f>
        <v>9781444354805</v>
      </c>
      <c r="K6283" t="s">
        <v>9653</v>
      </c>
      <c r="L6283">
        <v>24</v>
      </c>
      <c r="O6283" t="s">
        <v>30</v>
      </c>
      <c r="P6283" t="s">
        <v>42</v>
      </c>
      <c r="S6283" t="s">
        <v>31</v>
      </c>
      <c r="T6283" t="s">
        <v>3744</v>
      </c>
      <c r="U6283">
        <v>305.40929999999997</v>
      </c>
      <c r="V6283" s="3">
        <v>40917</v>
      </c>
    </row>
    <row r="6284" spans="1:22" x14ac:dyDescent="0.35">
      <c r="A6284" s="1">
        <v>42286.080706018518</v>
      </c>
      <c r="B6284" s="2">
        <v>3.8773148148148143E-3</v>
      </c>
      <c r="C6284" t="s">
        <v>8069</v>
      </c>
      <c r="D6284" t="s">
        <v>23</v>
      </c>
      <c r="E6284" t="s">
        <v>24</v>
      </c>
      <c r="F6284" t="s">
        <v>3186</v>
      </c>
      <c r="G6284">
        <v>699744</v>
      </c>
      <c r="H6284" t="s">
        <v>26</v>
      </c>
      <c r="I6284" t="s">
        <v>3187</v>
      </c>
      <c r="J6284" t="str">
        <f>"9781118585818"</f>
        <v>9781118585818</v>
      </c>
      <c r="K6284" t="s">
        <v>9654</v>
      </c>
      <c r="L6284">
        <v>17</v>
      </c>
      <c r="O6284" t="s">
        <v>30</v>
      </c>
      <c r="P6284" t="s">
        <v>42</v>
      </c>
      <c r="S6284" t="s">
        <v>31</v>
      </c>
      <c r="T6284" t="s">
        <v>3188</v>
      </c>
      <c r="U6284">
        <v>621.36</v>
      </c>
      <c r="V6284" s="3">
        <v>41310</v>
      </c>
    </row>
    <row r="6285" spans="1:22" x14ac:dyDescent="0.35">
      <c r="A6285" s="1">
        <v>42285.985567129632</v>
      </c>
      <c r="B6285" s="2">
        <v>4.4745370370370373E-2</v>
      </c>
      <c r="C6285" t="s">
        <v>4205</v>
      </c>
      <c r="D6285" t="s">
        <v>597</v>
      </c>
      <c r="E6285" t="s">
        <v>598</v>
      </c>
      <c r="F6285" t="s">
        <v>111</v>
      </c>
      <c r="G6285">
        <v>693176</v>
      </c>
      <c r="H6285" t="s">
        <v>26</v>
      </c>
      <c r="I6285" t="s">
        <v>112</v>
      </c>
      <c r="J6285" t="str">
        <f>"9781118017746"</f>
        <v>9781118017746</v>
      </c>
      <c r="K6285" t="s">
        <v>9655</v>
      </c>
      <c r="L6285">
        <v>26</v>
      </c>
      <c r="O6285" t="s">
        <v>30</v>
      </c>
      <c r="P6285" t="s">
        <v>29</v>
      </c>
      <c r="Q6285" s="1">
        <v>42284.841979166667</v>
      </c>
      <c r="R6285">
        <v>7</v>
      </c>
      <c r="S6285" t="s">
        <v>600</v>
      </c>
      <c r="T6285" t="s">
        <v>114</v>
      </c>
      <c r="U6285" t="s">
        <v>115</v>
      </c>
      <c r="V6285" s="3">
        <v>40835</v>
      </c>
    </row>
    <row r="6286" spans="1:22" x14ac:dyDescent="0.35">
      <c r="A6286" s="1">
        <v>42285.944768518515</v>
      </c>
      <c r="B6286" s="2">
        <v>2.5335648148148149E-2</v>
      </c>
      <c r="C6286" t="s">
        <v>4205</v>
      </c>
      <c r="D6286" t="s">
        <v>597</v>
      </c>
      <c r="E6286" t="s">
        <v>598</v>
      </c>
      <c r="F6286" t="s">
        <v>111</v>
      </c>
      <c r="G6286">
        <v>693176</v>
      </c>
      <c r="H6286" t="s">
        <v>26</v>
      </c>
      <c r="I6286" t="s">
        <v>112</v>
      </c>
      <c r="J6286" t="str">
        <f>"9781118017746"</f>
        <v>9781118017746</v>
      </c>
      <c r="K6286" t="s">
        <v>9656</v>
      </c>
      <c r="L6286">
        <v>70</v>
      </c>
      <c r="O6286" t="s">
        <v>30</v>
      </c>
      <c r="P6286" t="s">
        <v>29</v>
      </c>
      <c r="Q6286" s="1">
        <v>42284.841979166667</v>
      </c>
      <c r="R6286">
        <v>7</v>
      </c>
      <c r="S6286" t="s">
        <v>600</v>
      </c>
      <c r="T6286" t="s">
        <v>114</v>
      </c>
      <c r="U6286" t="s">
        <v>115</v>
      </c>
      <c r="V6286" s="3">
        <v>40835</v>
      </c>
    </row>
    <row r="6287" spans="1:22" x14ac:dyDescent="0.35">
      <c r="A6287" s="1">
        <v>42285.930358796293</v>
      </c>
      <c r="B6287" s="2">
        <v>8.1712962962962963E-3</v>
      </c>
      <c r="C6287" t="s">
        <v>9657</v>
      </c>
      <c r="D6287" t="s">
        <v>158</v>
      </c>
      <c r="E6287" t="s">
        <v>159</v>
      </c>
      <c r="F6287" t="s">
        <v>3973</v>
      </c>
      <c r="G6287">
        <v>771049</v>
      </c>
      <c r="H6287" t="s">
        <v>3465</v>
      </c>
      <c r="I6287" t="s">
        <v>3974</v>
      </c>
      <c r="J6287" t="str">
        <f>"9781608706648"</f>
        <v>9781608706648</v>
      </c>
      <c r="K6287" t="s">
        <v>9658</v>
      </c>
      <c r="L6287">
        <v>6</v>
      </c>
      <c r="O6287" t="s">
        <v>30</v>
      </c>
      <c r="P6287" t="s">
        <v>29</v>
      </c>
      <c r="Q6287" s="1">
        <v>42285.930358796293</v>
      </c>
      <c r="R6287">
        <v>7</v>
      </c>
      <c r="S6287" t="s">
        <v>163</v>
      </c>
      <c r="T6287" t="s">
        <v>3976</v>
      </c>
      <c r="U6287">
        <v>363.73874000000001</v>
      </c>
      <c r="V6287" s="3">
        <v>40909</v>
      </c>
    </row>
    <row r="6288" spans="1:22" x14ac:dyDescent="0.35">
      <c r="A6288" s="1">
        <v>42285.918668981481</v>
      </c>
      <c r="B6288" s="2">
        <v>1.1689814814814814E-2</v>
      </c>
      <c r="C6288" t="s">
        <v>9657</v>
      </c>
      <c r="D6288" t="s">
        <v>158</v>
      </c>
      <c r="E6288" t="s">
        <v>159</v>
      </c>
      <c r="F6288" t="s">
        <v>3973</v>
      </c>
      <c r="G6288">
        <v>771049</v>
      </c>
      <c r="H6288" t="s">
        <v>3465</v>
      </c>
      <c r="I6288" t="s">
        <v>3974</v>
      </c>
      <c r="J6288" t="str">
        <f>"9781608706648"</f>
        <v>9781608706648</v>
      </c>
      <c r="K6288" t="s">
        <v>33</v>
      </c>
      <c r="L6288">
        <v>3</v>
      </c>
      <c r="O6288" t="s">
        <v>30</v>
      </c>
      <c r="P6288" t="s">
        <v>42</v>
      </c>
      <c r="S6288" t="s">
        <v>163</v>
      </c>
      <c r="T6288" t="s">
        <v>3976</v>
      </c>
      <c r="U6288">
        <v>363.73874000000001</v>
      </c>
      <c r="V6288" s="3">
        <v>40909</v>
      </c>
    </row>
    <row r="6289" spans="1:22" x14ac:dyDescent="0.35">
      <c r="A6289" s="1">
        <v>42285.89880787037</v>
      </c>
      <c r="B6289" s="2">
        <v>1.1574074074074073E-4</v>
      </c>
      <c r="C6289" t="s">
        <v>9659</v>
      </c>
      <c r="D6289" t="s">
        <v>35</v>
      </c>
      <c r="E6289" t="s">
        <v>36</v>
      </c>
      <c r="F6289" t="s">
        <v>8367</v>
      </c>
      <c r="G6289">
        <v>1132737</v>
      </c>
      <c r="H6289" t="s">
        <v>526</v>
      </c>
      <c r="I6289" t="s">
        <v>348</v>
      </c>
      <c r="J6289" t="str">
        <f>"9780226016177"</f>
        <v>9780226016177</v>
      </c>
      <c r="K6289" t="s">
        <v>889</v>
      </c>
      <c r="L6289">
        <v>6</v>
      </c>
      <c r="O6289" t="s">
        <v>30</v>
      </c>
      <c r="P6289" t="s">
        <v>50</v>
      </c>
      <c r="S6289" t="s">
        <v>40</v>
      </c>
      <c r="T6289" t="s">
        <v>8368</v>
      </c>
      <c r="U6289" t="s">
        <v>8369</v>
      </c>
      <c r="V6289" s="3">
        <v>41365</v>
      </c>
    </row>
    <row r="6290" spans="1:22" x14ac:dyDescent="0.35">
      <c r="A6290" s="1">
        <v>42285.844131944446</v>
      </c>
      <c r="B6290" s="2">
        <v>3.5416666666666665E-3</v>
      </c>
      <c r="C6290" t="s">
        <v>9660</v>
      </c>
      <c r="D6290" t="s">
        <v>1482</v>
      </c>
      <c r="E6290" t="s">
        <v>1483</v>
      </c>
      <c r="F6290" t="s">
        <v>7867</v>
      </c>
      <c r="G6290">
        <v>836633</v>
      </c>
      <c r="H6290" t="s">
        <v>26</v>
      </c>
      <c r="I6290" t="s">
        <v>219</v>
      </c>
      <c r="J6290" t="str">
        <f>"9781119953784"</f>
        <v>9781119953784</v>
      </c>
      <c r="K6290" t="s">
        <v>9661</v>
      </c>
      <c r="L6290">
        <v>7</v>
      </c>
      <c r="O6290" t="s">
        <v>30</v>
      </c>
      <c r="P6290" t="s">
        <v>29</v>
      </c>
      <c r="Q6290" s="1">
        <v>42285.844131944446</v>
      </c>
      <c r="R6290">
        <v>7</v>
      </c>
      <c r="S6290" t="s">
        <v>1485</v>
      </c>
      <c r="T6290" t="s">
        <v>7869</v>
      </c>
      <c r="U6290">
        <v>153.69</v>
      </c>
      <c r="V6290" s="3">
        <v>40911</v>
      </c>
    </row>
    <row r="6291" spans="1:22" x14ac:dyDescent="0.35">
      <c r="A6291" s="1">
        <v>42285.839513888888</v>
      </c>
      <c r="B6291" s="2">
        <v>1.9675925925925926E-4</v>
      </c>
      <c r="C6291" t="s">
        <v>9662</v>
      </c>
      <c r="D6291" t="s">
        <v>23</v>
      </c>
      <c r="E6291" t="s">
        <v>24</v>
      </c>
      <c r="F6291" t="s">
        <v>9663</v>
      </c>
      <c r="G6291">
        <v>1332618</v>
      </c>
      <c r="H6291" t="s">
        <v>526</v>
      </c>
      <c r="I6291" t="s">
        <v>2875</v>
      </c>
      <c r="J6291" t="str">
        <f>"9780226051826"</f>
        <v>9780226051826</v>
      </c>
      <c r="K6291" t="s">
        <v>9664</v>
      </c>
      <c r="L6291">
        <v>9</v>
      </c>
      <c r="O6291" t="s">
        <v>30</v>
      </c>
      <c r="P6291" t="s">
        <v>50</v>
      </c>
      <c r="S6291" t="s">
        <v>31</v>
      </c>
      <c r="T6291" t="s">
        <v>9665</v>
      </c>
      <c r="U6291">
        <v>1.9</v>
      </c>
      <c r="V6291" s="3">
        <v>41502</v>
      </c>
    </row>
    <row r="6292" spans="1:22" x14ac:dyDescent="0.35">
      <c r="A6292" s="1">
        <v>42285.836192129631</v>
      </c>
      <c r="B6292" s="2">
        <v>7.9398148148148145E-3</v>
      </c>
      <c r="C6292" t="s">
        <v>9660</v>
      </c>
      <c r="D6292" t="s">
        <v>1482</v>
      </c>
      <c r="E6292" t="s">
        <v>1483</v>
      </c>
      <c r="F6292" t="s">
        <v>7867</v>
      </c>
      <c r="G6292">
        <v>836633</v>
      </c>
      <c r="H6292" t="s">
        <v>26</v>
      </c>
      <c r="I6292" t="s">
        <v>219</v>
      </c>
      <c r="J6292" t="str">
        <f>"9781119953784"</f>
        <v>9781119953784</v>
      </c>
      <c r="K6292" t="s">
        <v>9666</v>
      </c>
      <c r="L6292">
        <v>11</v>
      </c>
      <c r="O6292" t="s">
        <v>30</v>
      </c>
      <c r="P6292" t="s">
        <v>42</v>
      </c>
      <c r="S6292" t="s">
        <v>1485</v>
      </c>
      <c r="T6292" t="s">
        <v>7869</v>
      </c>
      <c r="U6292">
        <v>153.69</v>
      </c>
      <c r="V6292" s="3">
        <v>40911</v>
      </c>
    </row>
    <row r="6293" spans="1:22" x14ac:dyDescent="0.35">
      <c r="A6293" s="1">
        <v>42285.829768518517</v>
      </c>
      <c r="B6293" s="2">
        <v>1.4583333333333334E-3</v>
      </c>
      <c r="C6293" t="s">
        <v>9667</v>
      </c>
      <c r="D6293" t="s">
        <v>35</v>
      </c>
      <c r="E6293" t="s">
        <v>36</v>
      </c>
      <c r="F6293" t="s">
        <v>1477</v>
      </c>
      <c r="G6293">
        <v>822111</v>
      </c>
      <c r="H6293" t="s">
        <v>26</v>
      </c>
      <c r="I6293" t="s">
        <v>120</v>
      </c>
      <c r="J6293" t="str">
        <f>"9781444356922"</f>
        <v>9781444356922</v>
      </c>
      <c r="K6293" t="s">
        <v>9668</v>
      </c>
      <c r="L6293">
        <v>31</v>
      </c>
      <c r="O6293" t="s">
        <v>30</v>
      </c>
      <c r="P6293" t="s">
        <v>42</v>
      </c>
      <c r="S6293" t="s">
        <v>40</v>
      </c>
      <c r="T6293" t="s">
        <v>1479</v>
      </c>
      <c r="U6293" t="s">
        <v>1480</v>
      </c>
      <c r="V6293" s="3">
        <v>40955</v>
      </c>
    </row>
    <row r="6294" spans="1:22" x14ac:dyDescent="0.35">
      <c r="A6294" s="1">
        <v>42285.826874999999</v>
      </c>
      <c r="B6294" s="2">
        <v>0</v>
      </c>
      <c r="C6294" t="s">
        <v>6058</v>
      </c>
      <c r="D6294" t="s">
        <v>2519</v>
      </c>
      <c r="E6294" t="s">
        <v>2520</v>
      </c>
      <c r="F6294" t="s">
        <v>9669</v>
      </c>
      <c r="G6294">
        <v>1318732</v>
      </c>
      <c r="H6294" t="s">
        <v>26</v>
      </c>
      <c r="I6294" t="s">
        <v>9670</v>
      </c>
      <c r="J6294" t="str">
        <f>"9781118676769"</f>
        <v>9781118676769</v>
      </c>
      <c r="L6294">
        <v>0</v>
      </c>
      <c r="O6294" t="s">
        <v>30</v>
      </c>
      <c r="P6294" t="s">
        <v>47</v>
      </c>
      <c r="Q6294" s="1">
        <v>42285.826863425929</v>
      </c>
      <c r="R6294">
        <v>1</v>
      </c>
      <c r="S6294" t="s">
        <v>3786</v>
      </c>
      <c r="T6294" t="s">
        <v>9671</v>
      </c>
      <c r="U6294" t="s">
        <v>9672</v>
      </c>
      <c r="V6294" s="3">
        <v>41470</v>
      </c>
    </row>
    <row r="6295" spans="1:22" x14ac:dyDescent="0.35">
      <c r="A6295" s="1">
        <v>42285.826388888891</v>
      </c>
      <c r="B6295" s="2">
        <v>4.7453703703703704E-4</v>
      </c>
      <c r="C6295" t="s">
        <v>6058</v>
      </c>
      <c r="D6295" t="s">
        <v>2519</v>
      </c>
      <c r="E6295" t="s">
        <v>2520</v>
      </c>
      <c r="F6295" t="s">
        <v>9669</v>
      </c>
      <c r="G6295">
        <v>1318732</v>
      </c>
      <c r="H6295" t="s">
        <v>26</v>
      </c>
      <c r="I6295" t="s">
        <v>9670</v>
      </c>
      <c r="J6295" t="str">
        <f>"9781118676769"</f>
        <v>9781118676769</v>
      </c>
      <c r="K6295" t="s">
        <v>9673</v>
      </c>
      <c r="L6295">
        <v>15</v>
      </c>
      <c r="O6295" t="s">
        <v>30</v>
      </c>
      <c r="P6295" t="s">
        <v>50</v>
      </c>
      <c r="S6295" t="s">
        <v>3786</v>
      </c>
      <c r="T6295" t="s">
        <v>9671</v>
      </c>
      <c r="U6295" t="s">
        <v>9672</v>
      </c>
      <c r="V6295" s="3">
        <v>41470</v>
      </c>
    </row>
    <row r="6296" spans="1:22" x14ac:dyDescent="0.35">
      <c r="A6296" s="1">
        <v>42285.792233796295</v>
      </c>
      <c r="B6296" s="2">
        <v>2.7083333333333334E-3</v>
      </c>
      <c r="C6296" t="s">
        <v>210</v>
      </c>
      <c r="D6296" t="s">
        <v>211</v>
      </c>
      <c r="E6296" t="s">
        <v>212</v>
      </c>
      <c r="F6296" t="s">
        <v>9674</v>
      </c>
      <c r="G6296">
        <v>1775730</v>
      </c>
      <c r="H6296" t="s">
        <v>526</v>
      </c>
      <c r="I6296" t="s">
        <v>108</v>
      </c>
      <c r="J6296" t="str">
        <f>"9780226121475"</f>
        <v>9780226121475</v>
      </c>
      <c r="K6296" t="s">
        <v>9675</v>
      </c>
      <c r="L6296">
        <v>25</v>
      </c>
      <c r="O6296" t="s">
        <v>30</v>
      </c>
      <c r="P6296" t="s">
        <v>50</v>
      </c>
      <c r="S6296" t="s">
        <v>214</v>
      </c>
      <c r="T6296" t="s">
        <v>9676</v>
      </c>
      <c r="U6296" t="s">
        <v>9677</v>
      </c>
      <c r="V6296" s="3">
        <v>41929</v>
      </c>
    </row>
    <row r="6297" spans="1:22" x14ac:dyDescent="0.35">
      <c r="A6297" s="1">
        <v>42285.771898148145</v>
      </c>
      <c r="B6297" s="2">
        <v>0</v>
      </c>
      <c r="C6297" t="s">
        <v>7783</v>
      </c>
      <c r="D6297" t="s">
        <v>623</v>
      </c>
      <c r="E6297" t="s">
        <v>624</v>
      </c>
      <c r="F6297" t="s">
        <v>9678</v>
      </c>
      <c r="G6297">
        <v>1120423</v>
      </c>
      <c r="H6297" t="s">
        <v>26</v>
      </c>
      <c r="I6297" t="s">
        <v>9679</v>
      </c>
      <c r="J6297" t="str">
        <f>"9781118591970"</f>
        <v>9781118591970</v>
      </c>
      <c r="L6297">
        <v>0</v>
      </c>
      <c r="O6297" t="s">
        <v>28</v>
      </c>
      <c r="P6297" t="s">
        <v>29</v>
      </c>
      <c r="Q6297" s="1">
        <v>42285.771898148145</v>
      </c>
      <c r="R6297">
        <v>7</v>
      </c>
      <c r="S6297" t="s">
        <v>627</v>
      </c>
      <c r="T6297" t="s">
        <v>9680</v>
      </c>
      <c r="U6297" t="s">
        <v>9681</v>
      </c>
      <c r="V6297" s="3">
        <v>41249</v>
      </c>
    </row>
    <row r="6298" spans="1:22" x14ac:dyDescent="0.35">
      <c r="A6298" s="1">
        <v>42285.771898148145</v>
      </c>
      <c r="B6298" s="2">
        <v>0</v>
      </c>
      <c r="C6298" t="s">
        <v>7783</v>
      </c>
      <c r="D6298" t="s">
        <v>623</v>
      </c>
      <c r="E6298" t="s">
        <v>624</v>
      </c>
      <c r="F6298" t="s">
        <v>9678</v>
      </c>
      <c r="G6298">
        <v>1120423</v>
      </c>
      <c r="H6298" t="s">
        <v>26</v>
      </c>
      <c r="I6298" t="s">
        <v>9679</v>
      </c>
      <c r="J6298" t="str">
        <f>"9781118591970"</f>
        <v>9781118591970</v>
      </c>
      <c r="L6298">
        <v>0</v>
      </c>
      <c r="O6298" t="s">
        <v>30</v>
      </c>
      <c r="P6298" t="s">
        <v>29</v>
      </c>
      <c r="Q6298" s="1">
        <v>42285.771898148145</v>
      </c>
      <c r="R6298">
        <v>7</v>
      </c>
      <c r="S6298" t="s">
        <v>627</v>
      </c>
      <c r="T6298" t="s">
        <v>9680</v>
      </c>
      <c r="U6298" t="s">
        <v>9681</v>
      </c>
      <c r="V6298" s="3">
        <v>41249</v>
      </c>
    </row>
    <row r="6299" spans="1:22" x14ac:dyDescent="0.35">
      <c r="A6299" s="1">
        <v>42285.77134259259</v>
      </c>
      <c r="B6299" s="2">
        <v>5.5555555555555556E-4</v>
      </c>
      <c r="C6299" t="s">
        <v>7783</v>
      </c>
      <c r="D6299" t="s">
        <v>623</v>
      </c>
      <c r="E6299" t="s">
        <v>624</v>
      </c>
      <c r="F6299" t="s">
        <v>9678</v>
      </c>
      <c r="G6299">
        <v>1120423</v>
      </c>
      <c r="H6299" t="s">
        <v>26</v>
      </c>
      <c r="I6299" t="s">
        <v>9679</v>
      </c>
      <c r="J6299" t="str">
        <f>"9781118591970"</f>
        <v>9781118591970</v>
      </c>
      <c r="K6299" t="s">
        <v>9682</v>
      </c>
      <c r="L6299">
        <v>7</v>
      </c>
      <c r="O6299" t="s">
        <v>30</v>
      </c>
      <c r="P6299" t="s">
        <v>42</v>
      </c>
      <c r="S6299" t="s">
        <v>627</v>
      </c>
      <c r="T6299" t="s">
        <v>9680</v>
      </c>
      <c r="U6299" t="s">
        <v>9681</v>
      </c>
      <c r="V6299" s="3">
        <v>41249</v>
      </c>
    </row>
    <row r="6300" spans="1:22" x14ac:dyDescent="0.35">
      <c r="A6300" s="1">
        <v>42285.762974537036</v>
      </c>
      <c r="B6300" s="2">
        <v>3.7037037037037035E-4</v>
      </c>
      <c r="C6300" t="s">
        <v>9683</v>
      </c>
      <c r="D6300" t="s">
        <v>158</v>
      </c>
      <c r="E6300" t="s">
        <v>159</v>
      </c>
      <c r="F6300" t="s">
        <v>3973</v>
      </c>
      <c r="G6300">
        <v>771049</v>
      </c>
      <c r="H6300" t="s">
        <v>3465</v>
      </c>
      <c r="I6300" t="s">
        <v>3974</v>
      </c>
      <c r="J6300" t="str">
        <f>"9781608706648"</f>
        <v>9781608706648</v>
      </c>
      <c r="K6300" t="s">
        <v>889</v>
      </c>
      <c r="L6300">
        <v>6</v>
      </c>
      <c r="O6300" t="s">
        <v>30</v>
      </c>
      <c r="P6300" t="s">
        <v>42</v>
      </c>
      <c r="S6300" t="s">
        <v>163</v>
      </c>
      <c r="T6300" t="s">
        <v>3976</v>
      </c>
      <c r="U6300">
        <v>363.73874000000001</v>
      </c>
      <c r="V6300" s="3">
        <v>40909</v>
      </c>
    </row>
    <row r="6301" spans="1:22" x14ac:dyDescent="0.35">
      <c r="A6301" s="1">
        <v>42285.754120370373</v>
      </c>
      <c r="B6301" s="2">
        <v>3.4722222222222222E-5</v>
      </c>
      <c r="C6301" t="s">
        <v>8446</v>
      </c>
      <c r="D6301" t="s">
        <v>35</v>
      </c>
      <c r="E6301" t="s">
        <v>36</v>
      </c>
      <c r="F6301" t="s">
        <v>986</v>
      </c>
      <c r="G6301">
        <v>968030</v>
      </c>
      <c r="H6301" t="s">
        <v>26</v>
      </c>
      <c r="I6301" t="s">
        <v>219</v>
      </c>
      <c r="J6301" t="str">
        <f>"9781118285138"</f>
        <v>9781118285138</v>
      </c>
      <c r="K6301" t="s">
        <v>33</v>
      </c>
      <c r="L6301">
        <v>3</v>
      </c>
      <c r="O6301" t="s">
        <v>30</v>
      </c>
      <c r="P6301" t="s">
        <v>29</v>
      </c>
      <c r="Q6301" s="1">
        <v>42278.771643518521</v>
      </c>
      <c r="R6301">
        <v>7</v>
      </c>
      <c r="S6301" t="s">
        <v>40</v>
      </c>
      <c r="T6301" t="s">
        <v>987</v>
      </c>
      <c r="U6301">
        <v>158.30000000000001</v>
      </c>
      <c r="V6301" s="3">
        <v>41100</v>
      </c>
    </row>
    <row r="6302" spans="1:22" x14ac:dyDescent="0.35">
      <c r="A6302" s="1">
        <v>42285.732499999998</v>
      </c>
      <c r="B6302" s="2">
        <v>4.6296296296296294E-5</v>
      </c>
      <c r="C6302" t="s">
        <v>6223</v>
      </c>
      <c r="D6302" t="s">
        <v>623</v>
      </c>
      <c r="E6302" t="s">
        <v>624</v>
      </c>
      <c r="F6302" t="s">
        <v>1752</v>
      </c>
      <c r="G6302">
        <v>1887116</v>
      </c>
      <c r="H6302" t="s">
        <v>26</v>
      </c>
      <c r="I6302" t="s">
        <v>150</v>
      </c>
      <c r="J6302" t="str">
        <f>"9781118885413"</f>
        <v>9781118885413</v>
      </c>
      <c r="K6302" t="s">
        <v>33</v>
      </c>
      <c r="L6302">
        <v>3</v>
      </c>
      <c r="O6302" t="s">
        <v>30</v>
      </c>
      <c r="P6302" t="s">
        <v>50</v>
      </c>
      <c r="S6302" t="s">
        <v>627</v>
      </c>
      <c r="T6302" t="s">
        <v>1754</v>
      </c>
      <c r="U6302">
        <v>709.37</v>
      </c>
      <c r="V6302" s="3">
        <v>41977</v>
      </c>
    </row>
    <row r="6303" spans="1:22" x14ac:dyDescent="0.35">
      <c r="A6303" s="1">
        <v>42285.732233796298</v>
      </c>
      <c r="B6303" s="2">
        <v>6.8553240740740748E-2</v>
      </c>
      <c r="C6303" t="s">
        <v>4205</v>
      </c>
      <c r="D6303" t="s">
        <v>597</v>
      </c>
      <c r="E6303" t="s">
        <v>598</v>
      </c>
      <c r="F6303" t="s">
        <v>111</v>
      </c>
      <c r="G6303">
        <v>693176</v>
      </c>
      <c r="H6303" t="s">
        <v>26</v>
      </c>
      <c r="I6303" t="s">
        <v>112</v>
      </c>
      <c r="J6303" t="str">
        <f>"9781118017746"</f>
        <v>9781118017746</v>
      </c>
      <c r="K6303" t="s">
        <v>9684</v>
      </c>
      <c r="L6303">
        <v>33</v>
      </c>
      <c r="O6303" t="s">
        <v>30</v>
      </c>
      <c r="P6303" t="s">
        <v>29</v>
      </c>
      <c r="Q6303" s="1">
        <v>42284.841979166667</v>
      </c>
      <c r="R6303">
        <v>7</v>
      </c>
      <c r="S6303" t="s">
        <v>600</v>
      </c>
      <c r="T6303" t="s">
        <v>114</v>
      </c>
      <c r="U6303" t="s">
        <v>115</v>
      </c>
      <c r="V6303" s="3">
        <v>40835</v>
      </c>
    </row>
    <row r="6304" spans="1:22" x14ac:dyDescent="0.35">
      <c r="A6304" s="1">
        <v>42285.726388888892</v>
      </c>
      <c r="B6304" s="2">
        <v>4.6296296296296294E-5</v>
      </c>
      <c r="C6304" t="s">
        <v>9685</v>
      </c>
      <c r="D6304" t="s">
        <v>335</v>
      </c>
      <c r="E6304" t="s">
        <v>336</v>
      </c>
      <c r="F6304" t="s">
        <v>9686</v>
      </c>
      <c r="G6304">
        <v>1501633</v>
      </c>
      <c r="H6304" t="s">
        <v>26</v>
      </c>
      <c r="I6304" t="s">
        <v>27</v>
      </c>
      <c r="J6304" t="str">
        <f>"9781118610701"</f>
        <v>9781118610701</v>
      </c>
      <c r="K6304" t="s">
        <v>611</v>
      </c>
      <c r="L6304">
        <v>3</v>
      </c>
      <c r="O6304" t="s">
        <v>30</v>
      </c>
      <c r="P6304" t="s">
        <v>42</v>
      </c>
      <c r="S6304" t="s">
        <v>340</v>
      </c>
      <c r="T6304" t="s">
        <v>9687</v>
      </c>
      <c r="U6304">
        <v>480.09</v>
      </c>
      <c r="V6304" s="3">
        <v>41570</v>
      </c>
    </row>
    <row r="6305" spans="1:22" x14ac:dyDescent="0.35">
      <c r="A6305" s="1">
        <v>42285.719629629632</v>
      </c>
      <c r="B6305" s="2">
        <v>6.134259259259259E-4</v>
      </c>
      <c r="C6305" t="s">
        <v>9688</v>
      </c>
      <c r="D6305" t="s">
        <v>35</v>
      </c>
      <c r="E6305" t="s">
        <v>36</v>
      </c>
      <c r="F6305" t="s">
        <v>8367</v>
      </c>
      <c r="G6305">
        <v>1132737</v>
      </c>
      <c r="H6305" t="s">
        <v>526</v>
      </c>
      <c r="I6305" t="s">
        <v>348</v>
      </c>
      <c r="J6305" t="str">
        <f>"9780226016177"</f>
        <v>9780226016177</v>
      </c>
      <c r="K6305" t="s">
        <v>9689</v>
      </c>
      <c r="L6305">
        <v>12</v>
      </c>
      <c r="O6305" t="s">
        <v>30</v>
      </c>
      <c r="P6305" t="s">
        <v>50</v>
      </c>
      <c r="S6305" t="s">
        <v>40</v>
      </c>
      <c r="T6305" t="s">
        <v>8368</v>
      </c>
      <c r="U6305" t="s">
        <v>8369</v>
      </c>
      <c r="V6305" s="3">
        <v>41365</v>
      </c>
    </row>
    <row r="6306" spans="1:22" x14ac:dyDescent="0.35">
      <c r="A6306" s="1">
        <v>42285.685752314814</v>
      </c>
      <c r="B6306" s="2">
        <v>9.3750000000000007E-4</v>
      </c>
      <c r="C6306" t="s">
        <v>4041</v>
      </c>
      <c r="D6306" t="s">
        <v>23</v>
      </c>
      <c r="E6306" t="s">
        <v>24</v>
      </c>
      <c r="F6306" t="s">
        <v>3060</v>
      </c>
      <c r="G6306">
        <v>1120279</v>
      </c>
      <c r="H6306" t="s">
        <v>26</v>
      </c>
      <c r="I6306" t="s">
        <v>3061</v>
      </c>
      <c r="J6306" t="str">
        <f>"9781118537671"</f>
        <v>9781118537671</v>
      </c>
      <c r="K6306" t="s">
        <v>9690</v>
      </c>
      <c r="L6306">
        <v>11</v>
      </c>
      <c r="O6306" t="s">
        <v>30</v>
      </c>
      <c r="P6306" t="s">
        <v>42</v>
      </c>
      <c r="S6306" t="s">
        <v>31</v>
      </c>
      <c r="T6306" t="s">
        <v>3063</v>
      </c>
      <c r="U6306">
        <v>599.93499999999995</v>
      </c>
      <c r="V6306" s="3">
        <v>41232</v>
      </c>
    </row>
    <row r="6307" spans="1:22" x14ac:dyDescent="0.35">
      <c r="A6307" s="1">
        <v>42285.591354166667</v>
      </c>
      <c r="B6307" s="2">
        <v>3.5763888888888894E-3</v>
      </c>
      <c r="C6307" t="s">
        <v>9250</v>
      </c>
      <c r="D6307" t="s">
        <v>125</v>
      </c>
      <c r="E6307" t="s">
        <v>126</v>
      </c>
      <c r="F6307" t="s">
        <v>9251</v>
      </c>
      <c r="G6307">
        <v>2031464</v>
      </c>
      <c r="H6307" t="s">
        <v>84</v>
      </c>
      <c r="I6307" t="s">
        <v>120</v>
      </c>
      <c r="J6307" t="str">
        <f>"9780520958081"</f>
        <v>9780520958081</v>
      </c>
      <c r="K6307" t="s">
        <v>9691</v>
      </c>
      <c r="L6307">
        <v>12</v>
      </c>
      <c r="O6307" t="s">
        <v>30</v>
      </c>
      <c r="P6307" t="s">
        <v>47</v>
      </c>
      <c r="Q6307" s="1">
        <v>42285.590798611112</v>
      </c>
      <c r="R6307">
        <v>1</v>
      </c>
      <c r="S6307" t="s">
        <v>128</v>
      </c>
      <c r="T6307" t="s">
        <v>9253</v>
      </c>
      <c r="U6307" t="s">
        <v>9254</v>
      </c>
      <c r="V6307" s="3">
        <v>42217</v>
      </c>
    </row>
    <row r="6308" spans="1:22" x14ac:dyDescent="0.35">
      <c r="A6308" s="1">
        <v>42285.590798611112</v>
      </c>
      <c r="B6308" s="2">
        <v>3.5879629629629635E-4</v>
      </c>
      <c r="C6308" t="s">
        <v>9250</v>
      </c>
      <c r="D6308" t="s">
        <v>125</v>
      </c>
      <c r="E6308" t="s">
        <v>126</v>
      </c>
      <c r="F6308" t="s">
        <v>9251</v>
      </c>
      <c r="G6308">
        <v>2031464</v>
      </c>
      <c r="H6308" t="s">
        <v>84</v>
      </c>
      <c r="I6308" t="s">
        <v>120</v>
      </c>
      <c r="J6308" t="str">
        <f>"9780520958081"</f>
        <v>9780520958081</v>
      </c>
      <c r="K6308" t="s">
        <v>9692</v>
      </c>
      <c r="L6308">
        <v>23</v>
      </c>
      <c r="O6308" t="s">
        <v>30</v>
      </c>
      <c r="P6308" t="s">
        <v>47</v>
      </c>
      <c r="Q6308" s="1">
        <v>42285.590798611112</v>
      </c>
      <c r="R6308">
        <v>1</v>
      </c>
      <c r="S6308" t="s">
        <v>128</v>
      </c>
      <c r="T6308" t="s">
        <v>9253</v>
      </c>
      <c r="U6308" t="s">
        <v>9254</v>
      </c>
      <c r="V6308" s="3">
        <v>42217</v>
      </c>
    </row>
    <row r="6309" spans="1:22" x14ac:dyDescent="0.35">
      <c r="A6309" s="1">
        <v>42285.582870370374</v>
      </c>
      <c r="B6309" s="2">
        <v>7.9282407407407409E-3</v>
      </c>
      <c r="C6309" t="s">
        <v>9250</v>
      </c>
      <c r="D6309" t="s">
        <v>125</v>
      </c>
      <c r="E6309" t="s">
        <v>126</v>
      </c>
      <c r="F6309" t="s">
        <v>9251</v>
      </c>
      <c r="G6309">
        <v>2031464</v>
      </c>
      <c r="H6309" t="s">
        <v>84</v>
      </c>
      <c r="I6309" t="s">
        <v>120</v>
      </c>
      <c r="J6309" t="str">
        <f>"9780520958081"</f>
        <v>9780520958081</v>
      </c>
      <c r="K6309" t="s">
        <v>278</v>
      </c>
      <c r="L6309">
        <v>21</v>
      </c>
      <c r="O6309" t="s">
        <v>30</v>
      </c>
      <c r="P6309" t="s">
        <v>50</v>
      </c>
      <c r="S6309" t="s">
        <v>128</v>
      </c>
      <c r="T6309" t="s">
        <v>9253</v>
      </c>
      <c r="U6309" t="s">
        <v>9254</v>
      </c>
      <c r="V6309" s="3">
        <v>42217</v>
      </c>
    </row>
    <row r="6310" spans="1:22" x14ac:dyDescent="0.35">
      <c r="A6310" s="1">
        <v>42285.53334490741</v>
      </c>
      <c r="B6310" s="2">
        <v>6.9444444444444444E-5</v>
      </c>
      <c r="C6310" t="s">
        <v>9693</v>
      </c>
      <c r="D6310" t="s">
        <v>23</v>
      </c>
      <c r="E6310" t="s">
        <v>24</v>
      </c>
      <c r="F6310" t="s">
        <v>9694</v>
      </c>
      <c r="G6310">
        <v>1062012</v>
      </c>
      <c r="H6310" t="s">
        <v>526</v>
      </c>
      <c r="I6310" t="s">
        <v>310</v>
      </c>
      <c r="J6310" t="str">
        <f>"9780226924182"</f>
        <v>9780226924182</v>
      </c>
      <c r="K6310" t="s">
        <v>1309</v>
      </c>
      <c r="L6310">
        <v>1</v>
      </c>
      <c r="N6310" t="s">
        <v>9695</v>
      </c>
      <c r="O6310" t="s">
        <v>30</v>
      </c>
      <c r="P6310" t="s">
        <v>47</v>
      </c>
      <c r="Q6310" s="1">
        <v>42285.53334490741</v>
      </c>
      <c r="R6310">
        <v>1</v>
      </c>
      <c r="S6310" t="s">
        <v>31</v>
      </c>
      <c r="T6310" t="s">
        <v>9696</v>
      </c>
      <c r="U6310" t="s">
        <v>3462</v>
      </c>
      <c r="V6310" s="3">
        <v>41276</v>
      </c>
    </row>
    <row r="6311" spans="1:22" x14ac:dyDescent="0.35">
      <c r="A6311" s="1">
        <v>42285.533171296294</v>
      </c>
      <c r="B6311" s="2">
        <v>1.7361111111111112E-4</v>
      </c>
      <c r="C6311" t="s">
        <v>9693</v>
      </c>
      <c r="D6311" t="s">
        <v>23</v>
      </c>
      <c r="E6311" t="s">
        <v>24</v>
      </c>
      <c r="F6311" t="s">
        <v>9694</v>
      </c>
      <c r="G6311">
        <v>1062012</v>
      </c>
      <c r="H6311" t="s">
        <v>526</v>
      </c>
      <c r="I6311" t="s">
        <v>310</v>
      </c>
      <c r="J6311" t="str">
        <f>"9780226924182"</f>
        <v>9780226924182</v>
      </c>
      <c r="K6311" t="s">
        <v>9697</v>
      </c>
      <c r="L6311">
        <v>8</v>
      </c>
      <c r="O6311" t="s">
        <v>30</v>
      </c>
      <c r="P6311" t="s">
        <v>50</v>
      </c>
      <c r="S6311" t="s">
        <v>31</v>
      </c>
      <c r="T6311" t="s">
        <v>9696</v>
      </c>
      <c r="U6311" t="s">
        <v>3462</v>
      </c>
      <c r="V6311" s="3">
        <v>41276</v>
      </c>
    </row>
    <row r="6312" spans="1:22" x14ac:dyDescent="0.35">
      <c r="A6312" s="1">
        <v>42285.34479166667</v>
      </c>
      <c r="B6312" s="2">
        <v>5.9027777777777778E-4</v>
      </c>
      <c r="C6312" t="s">
        <v>9698</v>
      </c>
      <c r="D6312" t="s">
        <v>35</v>
      </c>
      <c r="E6312" t="s">
        <v>36</v>
      </c>
      <c r="F6312" t="s">
        <v>9699</v>
      </c>
      <c r="G6312">
        <v>1315640</v>
      </c>
      <c r="H6312" t="s">
        <v>26</v>
      </c>
      <c r="I6312" t="s">
        <v>120</v>
      </c>
      <c r="J6312" t="str">
        <f>"9780745671444"</f>
        <v>9780745671444</v>
      </c>
      <c r="K6312" t="s">
        <v>3280</v>
      </c>
      <c r="L6312">
        <v>9</v>
      </c>
      <c r="O6312" t="s">
        <v>30</v>
      </c>
      <c r="P6312" t="s">
        <v>29</v>
      </c>
      <c r="Q6312" s="1">
        <v>42285.34070601852</v>
      </c>
      <c r="R6312">
        <v>7</v>
      </c>
      <c r="S6312" t="s">
        <v>40</v>
      </c>
      <c r="T6312" t="s">
        <v>9700</v>
      </c>
      <c r="U6312">
        <v>302.2</v>
      </c>
      <c r="V6312" s="3">
        <v>41466</v>
      </c>
    </row>
    <row r="6313" spans="1:22" x14ac:dyDescent="0.35">
      <c r="A6313" s="1">
        <v>42285.34070601852</v>
      </c>
      <c r="B6313" s="2">
        <v>3.1249999999999997E-3</v>
      </c>
      <c r="C6313" t="s">
        <v>9698</v>
      </c>
      <c r="D6313" t="s">
        <v>35</v>
      </c>
      <c r="E6313" t="s">
        <v>36</v>
      </c>
      <c r="F6313" t="s">
        <v>9699</v>
      </c>
      <c r="G6313">
        <v>1315640</v>
      </c>
      <c r="H6313" t="s">
        <v>26</v>
      </c>
      <c r="I6313" t="s">
        <v>120</v>
      </c>
      <c r="J6313" t="str">
        <f>"9780745671444"</f>
        <v>9780745671444</v>
      </c>
      <c r="K6313" t="s">
        <v>9701</v>
      </c>
      <c r="L6313">
        <v>30</v>
      </c>
      <c r="O6313" t="s">
        <v>30</v>
      </c>
      <c r="P6313" t="s">
        <v>29</v>
      </c>
      <c r="Q6313" s="1">
        <v>42285.34070601852</v>
      </c>
      <c r="R6313">
        <v>7</v>
      </c>
      <c r="S6313" t="s">
        <v>40</v>
      </c>
      <c r="T6313" t="s">
        <v>9700</v>
      </c>
      <c r="U6313">
        <v>302.2</v>
      </c>
      <c r="V6313" s="3">
        <v>41466</v>
      </c>
    </row>
    <row r="6314" spans="1:22" x14ac:dyDescent="0.35">
      <c r="A6314" s="1">
        <v>42285.335405092592</v>
      </c>
      <c r="B6314" s="2">
        <v>5.3009259259259251E-3</v>
      </c>
      <c r="C6314" t="s">
        <v>9698</v>
      </c>
      <c r="D6314" t="s">
        <v>35</v>
      </c>
      <c r="E6314" t="s">
        <v>36</v>
      </c>
      <c r="F6314" t="s">
        <v>9699</v>
      </c>
      <c r="G6314">
        <v>1315640</v>
      </c>
      <c r="H6314" t="s">
        <v>26</v>
      </c>
      <c r="I6314" t="s">
        <v>120</v>
      </c>
      <c r="J6314" t="str">
        <f>"9780745671444"</f>
        <v>9780745671444</v>
      </c>
      <c r="K6314" t="s">
        <v>443</v>
      </c>
      <c r="L6314">
        <v>19</v>
      </c>
      <c r="O6314" t="s">
        <v>30</v>
      </c>
      <c r="P6314" t="s">
        <v>50</v>
      </c>
      <c r="S6314" t="s">
        <v>40</v>
      </c>
      <c r="T6314" t="s">
        <v>9700</v>
      </c>
      <c r="U6314">
        <v>302.2</v>
      </c>
      <c r="V6314" s="3">
        <v>41466</v>
      </c>
    </row>
    <row r="6315" spans="1:22" x14ac:dyDescent="0.35">
      <c r="A6315" s="1">
        <v>42285.279606481483</v>
      </c>
      <c r="B6315" s="2">
        <v>1.4120370370370369E-3</v>
      </c>
      <c r="C6315" t="s">
        <v>9698</v>
      </c>
      <c r="D6315" t="s">
        <v>35</v>
      </c>
      <c r="E6315" t="s">
        <v>36</v>
      </c>
      <c r="F6315" t="s">
        <v>9702</v>
      </c>
      <c r="G6315">
        <v>1895818</v>
      </c>
      <c r="H6315" t="s">
        <v>26</v>
      </c>
      <c r="I6315" t="s">
        <v>97</v>
      </c>
      <c r="J6315" t="str">
        <f>"9781118961650"</f>
        <v>9781118961650</v>
      </c>
      <c r="K6315" t="s">
        <v>9703</v>
      </c>
      <c r="L6315">
        <v>12</v>
      </c>
      <c r="O6315" t="s">
        <v>30</v>
      </c>
      <c r="P6315" t="s">
        <v>29</v>
      </c>
      <c r="Q6315" s="1">
        <v>42285.279606481483</v>
      </c>
      <c r="R6315">
        <v>7</v>
      </c>
      <c r="S6315" t="s">
        <v>40</v>
      </c>
      <c r="T6315" t="s">
        <v>9704</v>
      </c>
      <c r="U6315" t="s">
        <v>7101</v>
      </c>
      <c r="V6315" s="3">
        <v>42059</v>
      </c>
    </row>
    <row r="6316" spans="1:22" x14ac:dyDescent="0.35">
      <c r="A6316" s="1">
        <v>42285.27611111111</v>
      </c>
      <c r="B6316" s="2">
        <v>3.4953703703703705E-3</v>
      </c>
      <c r="C6316" t="s">
        <v>9698</v>
      </c>
      <c r="D6316" t="s">
        <v>35</v>
      </c>
      <c r="E6316" t="s">
        <v>36</v>
      </c>
      <c r="F6316" t="s">
        <v>9702</v>
      </c>
      <c r="G6316">
        <v>1895818</v>
      </c>
      <c r="H6316" t="s">
        <v>26</v>
      </c>
      <c r="I6316" t="s">
        <v>97</v>
      </c>
      <c r="J6316" t="str">
        <f>"9781118961650"</f>
        <v>9781118961650</v>
      </c>
      <c r="K6316" t="s">
        <v>9705</v>
      </c>
      <c r="L6316">
        <v>11</v>
      </c>
      <c r="O6316" t="s">
        <v>30</v>
      </c>
      <c r="P6316" t="s">
        <v>50</v>
      </c>
      <c r="S6316" t="s">
        <v>40</v>
      </c>
      <c r="T6316" t="s">
        <v>9704</v>
      </c>
      <c r="U6316" t="s">
        <v>7101</v>
      </c>
      <c r="V6316" s="3">
        <v>42059</v>
      </c>
    </row>
    <row r="6317" spans="1:22" x14ac:dyDescent="0.35">
      <c r="A6317" s="1">
        <v>42285.244884259257</v>
      </c>
      <c r="B6317" s="2">
        <v>2.3148148148148147E-5</v>
      </c>
      <c r="C6317" t="s">
        <v>9706</v>
      </c>
      <c r="D6317" t="s">
        <v>158</v>
      </c>
      <c r="E6317" t="s">
        <v>159</v>
      </c>
      <c r="F6317" t="s">
        <v>3973</v>
      </c>
      <c r="G6317">
        <v>771049</v>
      </c>
      <c r="H6317" t="s">
        <v>3465</v>
      </c>
      <c r="I6317" t="s">
        <v>3974</v>
      </c>
      <c r="J6317" t="str">
        <f>"9781608706648"</f>
        <v>9781608706648</v>
      </c>
      <c r="K6317" t="s">
        <v>105</v>
      </c>
      <c r="L6317">
        <v>1</v>
      </c>
      <c r="O6317" t="s">
        <v>30</v>
      </c>
      <c r="P6317" t="s">
        <v>42</v>
      </c>
      <c r="S6317" t="s">
        <v>163</v>
      </c>
      <c r="T6317" t="s">
        <v>3976</v>
      </c>
      <c r="U6317">
        <v>363.73874000000001</v>
      </c>
      <c r="V6317" s="3">
        <v>40909</v>
      </c>
    </row>
    <row r="6318" spans="1:22" x14ac:dyDescent="0.35">
      <c r="A6318" s="1">
        <v>42285.244409722225</v>
      </c>
      <c r="B6318" s="2">
        <v>5.7870370370370366E-5</v>
      </c>
      <c r="C6318" t="s">
        <v>9706</v>
      </c>
      <c r="D6318" t="s">
        <v>158</v>
      </c>
      <c r="E6318" t="s">
        <v>159</v>
      </c>
      <c r="F6318" t="s">
        <v>3973</v>
      </c>
      <c r="G6318">
        <v>771049</v>
      </c>
      <c r="H6318" t="s">
        <v>3465</v>
      </c>
      <c r="I6318" t="s">
        <v>3974</v>
      </c>
      <c r="J6318" t="str">
        <f>"9781608706648"</f>
        <v>9781608706648</v>
      </c>
      <c r="K6318" t="s">
        <v>33</v>
      </c>
      <c r="L6318">
        <v>3</v>
      </c>
      <c r="O6318" t="s">
        <v>30</v>
      </c>
      <c r="P6318" t="s">
        <v>42</v>
      </c>
      <c r="S6318" t="s">
        <v>163</v>
      </c>
      <c r="T6318" t="s">
        <v>3976</v>
      </c>
      <c r="U6318">
        <v>363.73874000000001</v>
      </c>
      <c r="V6318" s="3">
        <v>40909</v>
      </c>
    </row>
    <row r="6319" spans="1:22" x14ac:dyDescent="0.35">
      <c r="A6319" s="1">
        <v>42285.163495370369</v>
      </c>
      <c r="B6319" s="2">
        <v>2.5462962962962961E-4</v>
      </c>
      <c r="C6319" t="s">
        <v>9707</v>
      </c>
      <c r="D6319" t="s">
        <v>23</v>
      </c>
      <c r="E6319" t="s">
        <v>24</v>
      </c>
      <c r="F6319" t="s">
        <v>9694</v>
      </c>
      <c r="G6319">
        <v>1062012</v>
      </c>
      <c r="H6319" t="s">
        <v>526</v>
      </c>
      <c r="I6319" t="s">
        <v>310</v>
      </c>
      <c r="J6319" t="str">
        <f>"9780226924182"</f>
        <v>9780226924182</v>
      </c>
      <c r="K6319" t="s">
        <v>9708</v>
      </c>
      <c r="L6319">
        <v>18</v>
      </c>
      <c r="O6319" t="s">
        <v>30</v>
      </c>
      <c r="P6319" t="s">
        <v>47</v>
      </c>
      <c r="Q6319" s="1">
        <v>42285.124479166669</v>
      </c>
      <c r="R6319">
        <v>1</v>
      </c>
      <c r="S6319" t="s">
        <v>31</v>
      </c>
      <c r="T6319" t="s">
        <v>9696</v>
      </c>
      <c r="U6319" t="s">
        <v>3462</v>
      </c>
      <c r="V6319" s="3">
        <v>41276</v>
      </c>
    </row>
    <row r="6320" spans="1:22" x14ac:dyDescent="0.35">
      <c r="A6320" s="1">
        <v>42285.148206018515</v>
      </c>
      <c r="B6320" s="2">
        <v>0.10519675925925925</v>
      </c>
      <c r="C6320" t="s">
        <v>106</v>
      </c>
      <c r="D6320" t="s">
        <v>23</v>
      </c>
      <c r="E6320" t="s">
        <v>24</v>
      </c>
      <c r="F6320" t="s">
        <v>4801</v>
      </c>
      <c r="G6320">
        <v>1388962</v>
      </c>
      <c r="H6320" t="s">
        <v>186</v>
      </c>
      <c r="I6320" t="s">
        <v>247</v>
      </c>
      <c r="J6320" t="str">
        <f>"9781780643403"</f>
        <v>9781780643403</v>
      </c>
      <c r="K6320" t="s">
        <v>9709</v>
      </c>
      <c r="L6320">
        <v>49</v>
      </c>
      <c r="O6320" t="s">
        <v>30</v>
      </c>
      <c r="P6320" t="s">
        <v>47</v>
      </c>
      <c r="Q6320" s="1">
        <v>42284.281307870369</v>
      </c>
      <c r="R6320">
        <v>1</v>
      </c>
      <c r="S6320" t="s">
        <v>31</v>
      </c>
      <c r="T6320" t="s">
        <v>4803</v>
      </c>
      <c r="U6320" t="s">
        <v>4804</v>
      </c>
      <c r="V6320" s="3">
        <v>41275</v>
      </c>
    </row>
    <row r="6321" spans="1:22" x14ac:dyDescent="0.35">
      <c r="A6321" s="1">
        <v>42285.132488425923</v>
      </c>
      <c r="B6321" s="2">
        <v>3.1944444444444442E-3</v>
      </c>
      <c r="C6321" t="s">
        <v>9710</v>
      </c>
      <c r="D6321" t="s">
        <v>23</v>
      </c>
      <c r="E6321" t="s">
        <v>24</v>
      </c>
      <c r="F6321" t="s">
        <v>840</v>
      </c>
      <c r="G6321">
        <v>1166311</v>
      </c>
      <c r="H6321" t="s">
        <v>26</v>
      </c>
      <c r="I6321" t="s">
        <v>841</v>
      </c>
      <c r="J6321" t="str">
        <f>"9781118525616"</f>
        <v>9781118525616</v>
      </c>
      <c r="K6321" t="s">
        <v>9711</v>
      </c>
      <c r="L6321">
        <v>26</v>
      </c>
      <c r="O6321" t="s">
        <v>30</v>
      </c>
      <c r="P6321" t="s">
        <v>42</v>
      </c>
      <c r="S6321" t="s">
        <v>31</v>
      </c>
      <c r="T6321" t="s">
        <v>842</v>
      </c>
      <c r="U6321">
        <v>355.00700000000001</v>
      </c>
      <c r="V6321" s="3">
        <v>41366</v>
      </c>
    </row>
    <row r="6322" spans="1:22" x14ac:dyDescent="0.35">
      <c r="A6322" s="1">
        <v>42285.128784722219</v>
      </c>
      <c r="B6322" s="2">
        <v>3.1250000000000001E-4</v>
      </c>
      <c r="C6322" t="s">
        <v>4041</v>
      </c>
      <c r="D6322" t="s">
        <v>23</v>
      </c>
      <c r="E6322" t="s">
        <v>24</v>
      </c>
      <c r="F6322" t="s">
        <v>3060</v>
      </c>
      <c r="G6322">
        <v>1120279</v>
      </c>
      <c r="H6322" t="s">
        <v>26</v>
      </c>
      <c r="I6322" t="s">
        <v>3061</v>
      </c>
      <c r="J6322" t="str">
        <f>"9781118537671"</f>
        <v>9781118537671</v>
      </c>
      <c r="K6322" t="s">
        <v>9712</v>
      </c>
      <c r="L6322">
        <v>11</v>
      </c>
      <c r="O6322" t="s">
        <v>30</v>
      </c>
      <c r="P6322" t="s">
        <v>42</v>
      </c>
      <c r="S6322" t="s">
        <v>31</v>
      </c>
      <c r="T6322" t="s">
        <v>3063</v>
      </c>
      <c r="U6322">
        <v>599.93499999999995</v>
      </c>
      <c r="V6322" s="3">
        <v>41232</v>
      </c>
    </row>
    <row r="6323" spans="1:22" x14ac:dyDescent="0.35">
      <c r="A6323" s="1">
        <v>42285.124479166669</v>
      </c>
      <c r="B6323" s="2">
        <v>3.4305555555555554E-2</v>
      </c>
      <c r="C6323" t="s">
        <v>9707</v>
      </c>
      <c r="D6323" t="s">
        <v>23</v>
      </c>
      <c r="E6323" t="s">
        <v>24</v>
      </c>
      <c r="F6323" t="s">
        <v>9694</v>
      </c>
      <c r="G6323">
        <v>1062012</v>
      </c>
      <c r="H6323" t="s">
        <v>526</v>
      </c>
      <c r="I6323" t="s">
        <v>310</v>
      </c>
      <c r="J6323" t="str">
        <f t="shared" ref="J6323:J6328" si="32">"9780226924182"</f>
        <v>9780226924182</v>
      </c>
      <c r="K6323" t="s">
        <v>9713</v>
      </c>
      <c r="L6323">
        <v>54</v>
      </c>
      <c r="O6323" t="s">
        <v>30</v>
      </c>
      <c r="P6323" t="s">
        <v>47</v>
      </c>
      <c r="Q6323" s="1">
        <v>42285.124479166669</v>
      </c>
      <c r="R6323">
        <v>1</v>
      </c>
      <c r="S6323" t="s">
        <v>31</v>
      </c>
      <c r="T6323" t="s">
        <v>9696</v>
      </c>
      <c r="U6323" t="s">
        <v>3462</v>
      </c>
      <c r="V6323" s="3">
        <v>41276</v>
      </c>
    </row>
    <row r="6324" spans="1:22" x14ac:dyDescent="0.35">
      <c r="A6324" s="1">
        <v>42285.123368055552</v>
      </c>
      <c r="B6324" s="2">
        <v>1.1111111111111111E-3</v>
      </c>
      <c r="C6324" t="s">
        <v>9707</v>
      </c>
      <c r="D6324" t="s">
        <v>23</v>
      </c>
      <c r="E6324" t="s">
        <v>24</v>
      </c>
      <c r="F6324" t="s">
        <v>9694</v>
      </c>
      <c r="G6324">
        <v>1062012</v>
      </c>
      <c r="H6324" t="s">
        <v>526</v>
      </c>
      <c r="I6324" t="s">
        <v>310</v>
      </c>
      <c r="J6324" t="str">
        <f t="shared" si="32"/>
        <v>9780226924182</v>
      </c>
      <c r="K6324" t="s">
        <v>33</v>
      </c>
      <c r="L6324">
        <v>3</v>
      </c>
      <c r="O6324" t="s">
        <v>30</v>
      </c>
      <c r="P6324" t="s">
        <v>50</v>
      </c>
      <c r="S6324" t="s">
        <v>31</v>
      </c>
      <c r="T6324" t="s">
        <v>9696</v>
      </c>
      <c r="U6324" t="s">
        <v>3462</v>
      </c>
      <c r="V6324" s="3">
        <v>41276</v>
      </c>
    </row>
    <row r="6325" spans="1:22" x14ac:dyDescent="0.35">
      <c r="A6325" s="1">
        <v>42285.122430555559</v>
      </c>
      <c r="B6325" s="2">
        <v>8.2175925925925917E-4</v>
      </c>
      <c r="C6325" t="s">
        <v>9707</v>
      </c>
      <c r="D6325" t="s">
        <v>23</v>
      </c>
      <c r="E6325" t="s">
        <v>24</v>
      </c>
      <c r="F6325" t="s">
        <v>9694</v>
      </c>
      <c r="G6325">
        <v>1062012</v>
      </c>
      <c r="H6325" t="s">
        <v>526</v>
      </c>
      <c r="I6325" t="s">
        <v>310</v>
      </c>
      <c r="J6325" t="str">
        <f t="shared" si="32"/>
        <v>9780226924182</v>
      </c>
      <c r="K6325" t="s">
        <v>9714</v>
      </c>
      <c r="L6325">
        <v>8</v>
      </c>
      <c r="O6325" t="s">
        <v>30</v>
      </c>
      <c r="P6325" t="s">
        <v>50</v>
      </c>
      <c r="S6325" t="s">
        <v>31</v>
      </c>
      <c r="T6325" t="s">
        <v>9696</v>
      </c>
      <c r="U6325" t="s">
        <v>3462</v>
      </c>
      <c r="V6325" s="3">
        <v>41276</v>
      </c>
    </row>
    <row r="6326" spans="1:22" x14ac:dyDescent="0.35">
      <c r="A6326" s="1">
        <v>42285.119317129633</v>
      </c>
      <c r="B6326" s="2">
        <v>1.636574074074074E-2</v>
      </c>
      <c r="C6326" t="s">
        <v>607</v>
      </c>
      <c r="D6326" t="s">
        <v>23</v>
      </c>
      <c r="E6326" t="s">
        <v>24</v>
      </c>
      <c r="F6326" t="s">
        <v>9694</v>
      </c>
      <c r="G6326">
        <v>1062012</v>
      </c>
      <c r="H6326" t="s">
        <v>526</v>
      </c>
      <c r="I6326" t="s">
        <v>310</v>
      </c>
      <c r="J6326" t="str">
        <f t="shared" si="32"/>
        <v>9780226924182</v>
      </c>
      <c r="K6326" t="s">
        <v>9715</v>
      </c>
      <c r="L6326">
        <v>13</v>
      </c>
      <c r="O6326" t="s">
        <v>30</v>
      </c>
      <c r="P6326" t="s">
        <v>47</v>
      </c>
      <c r="Q6326" s="1">
        <v>42285.119305555556</v>
      </c>
      <c r="R6326">
        <v>1</v>
      </c>
      <c r="S6326" t="s">
        <v>31</v>
      </c>
      <c r="T6326" t="s">
        <v>9696</v>
      </c>
      <c r="U6326" t="s">
        <v>3462</v>
      </c>
      <c r="V6326" s="3">
        <v>41276</v>
      </c>
    </row>
    <row r="6327" spans="1:22" x14ac:dyDescent="0.35">
      <c r="A6327" s="1">
        <v>42285.115312499998</v>
      </c>
      <c r="B6327" s="2">
        <v>3.9930555555555561E-3</v>
      </c>
      <c r="C6327" t="s">
        <v>607</v>
      </c>
      <c r="D6327" t="s">
        <v>23</v>
      </c>
      <c r="E6327" t="s">
        <v>24</v>
      </c>
      <c r="F6327" t="s">
        <v>9694</v>
      </c>
      <c r="G6327">
        <v>1062012</v>
      </c>
      <c r="H6327" t="s">
        <v>526</v>
      </c>
      <c r="I6327" t="s">
        <v>310</v>
      </c>
      <c r="J6327" t="str">
        <f t="shared" si="32"/>
        <v>9780226924182</v>
      </c>
      <c r="K6327" t="s">
        <v>9716</v>
      </c>
      <c r="L6327">
        <v>12</v>
      </c>
      <c r="O6327" t="s">
        <v>30</v>
      </c>
      <c r="P6327" t="s">
        <v>50</v>
      </c>
      <c r="S6327" t="s">
        <v>31</v>
      </c>
      <c r="T6327" t="s">
        <v>9696</v>
      </c>
      <c r="U6327" t="s">
        <v>3462</v>
      </c>
      <c r="V6327" s="3">
        <v>41276</v>
      </c>
    </row>
    <row r="6328" spans="1:22" x14ac:dyDescent="0.35">
      <c r="A6328" s="1">
        <v>42285.063460648147</v>
      </c>
      <c r="B6328" s="2">
        <v>2.4305555555555552E-4</v>
      </c>
      <c r="C6328" t="s">
        <v>9707</v>
      </c>
      <c r="D6328" t="s">
        <v>23</v>
      </c>
      <c r="E6328" t="s">
        <v>24</v>
      </c>
      <c r="F6328" t="s">
        <v>9694</v>
      </c>
      <c r="G6328">
        <v>1062012</v>
      </c>
      <c r="H6328" t="s">
        <v>526</v>
      </c>
      <c r="I6328" t="s">
        <v>310</v>
      </c>
      <c r="J6328" t="str">
        <f t="shared" si="32"/>
        <v>9780226924182</v>
      </c>
      <c r="K6328" t="s">
        <v>9717</v>
      </c>
      <c r="L6328">
        <v>13</v>
      </c>
      <c r="O6328" t="s">
        <v>30</v>
      </c>
      <c r="P6328" t="s">
        <v>50</v>
      </c>
      <c r="S6328" t="s">
        <v>31</v>
      </c>
      <c r="T6328" t="s">
        <v>9696</v>
      </c>
      <c r="U6328" t="s">
        <v>3462</v>
      </c>
      <c r="V6328" s="3">
        <v>41276</v>
      </c>
    </row>
    <row r="6329" spans="1:22" x14ac:dyDescent="0.35">
      <c r="A6329" s="1">
        <v>42285.027025462965</v>
      </c>
      <c r="B6329" s="2">
        <v>1.9791666666666668E-3</v>
      </c>
      <c r="C6329" t="s">
        <v>9718</v>
      </c>
      <c r="D6329" t="s">
        <v>2519</v>
      </c>
      <c r="E6329" t="s">
        <v>2520</v>
      </c>
      <c r="F6329" t="s">
        <v>9719</v>
      </c>
      <c r="G6329">
        <v>2049501</v>
      </c>
      <c r="H6329" t="s">
        <v>45</v>
      </c>
      <c r="I6329" t="s">
        <v>79</v>
      </c>
      <c r="J6329" t="str">
        <f>"9781472414816"</f>
        <v>9781472414816</v>
      </c>
      <c r="K6329" t="s">
        <v>9720</v>
      </c>
      <c r="L6329">
        <v>29</v>
      </c>
      <c r="O6329" t="s">
        <v>30</v>
      </c>
      <c r="P6329" t="s">
        <v>47</v>
      </c>
      <c r="Q6329" s="1">
        <v>42284.987916666665</v>
      </c>
      <c r="R6329">
        <v>1</v>
      </c>
      <c r="S6329" t="s">
        <v>3786</v>
      </c>
      <c r="T6329" t="s">
        <v>9721</v>
      </c>
      <c r="U6329">
        <v>342.00099999999998</v>
      </c>
      <c r="V6329" s="3">
        <v>42213</v>
      </c>
    </row>
    <row r="6330" spans="1:22" x14ac:dyDescent="0.35">
      <c r="A6330" s="1">
        <v>42285.016724537039</v>
      </c>
      <c r="B6330" s="2">
        <v>3.5879629629629635E-4</v>
      </c>
      <c r="C6330" t="s">
        <v>9722</v>
      </c>
      <c r="D6330" t="s">
        <v>623</v>
      </c>
      <c r="E6330" t="s">
        <v>624</v>
      </c>
      <c r="F6330" t="s">
        <v>9723</v>
      </c>
      <c r="G6330">
        <v>3057990</v>
      </c>
      <c r="H6330" t="s">
        <v>440</v>
      </c>
      <c r="I6330" t="s">
        <v>120</v>
      </c>
      <c r="J6330" t="str">
        <f>"9780470156322"</f>
        <v>9780470156322</v>
      </c>
      <c r="K6330" t="s">
        <v>9724</v>
      </c>
      <c r="L6330">
        <v>6</v>
      </c>
      <c r="O6330" t="s">
        <v>30</v>
      </c>
      <c r="P6330" t="s">
        <v>50</v>
      </c>
      <c r="S6330" t="s">
        <v>627</v>
      </c>
      <c r="T6330" t="s">
        <v>9725</v>
      </c>
      <c r="U6330" t="s">
        <v>9726</v>
      </c>
      <c r="V6330" s="3">
        <v>45292</v>
      </c>
    </row>
    <row r="6331" spans="1:22" x14ac:dyDescent="0.35">
      <c r="A6331" s="1">
        <v>42284.987916666665</v>
      </c>
      <c r="B6331" s="2">
        <v>1.0844907407407407E-2</v>
      </c>
      <c r="C6331" t="s">
        <v>9718</v>
      </c>
      <c r="D6331" t="s">
        <v>2519</v>
      </c>
      <c r="E6331" t="s">
        <v>2520</v>
      </c>
      <c r="F6331" t="s">
        <v>9719</v>
      </c>
      <c r="G6331">
        <v>2049501</v>
      </c>
      <c r="H6331" t="s">
        <v>45</v>
      </c>
      <c r="I6331" t="s">
        <v>79</v>
      </c>
      <c r="J6331" t="str">
        <f>"9781472414816"</f>
        <v>9781472414816</v>
      </c>
      <c r="K6331" t="s">
        <v>9727</v>
      </c>
      <c r="L6331">
        <v>32</v>
      </c>
      <c r="O6331" t="s">
        <v>30</v>
      </c>
      <c r="P6331" t="s">
        <v>47</v>
      </c>
      <c r="Q6331" s="1">
        <v>42284.987916666665</v>
      </c>
      <c r="R6331">
        <v>1</v>
      </c>
      <c r="S6331" t="s">
        <v>3786</v>
      </c>
      <c r="T6331" t="s">
        <v>9721</v>
      </c>
      <c r="U6331">
        <v>342.00099999999998</v>
      </c>
      <c r="V6331" s="3">
        <v>42213</v>
      </c>
    </row>
    <row r="6332" spans="1:22" x14ac:dyDescent="0.35">
      <c r="A6332" s="1">
        <v>42284.980428240742</v>
      </c>
      <c r="B6332" s="2">
        <v>7.4884259259259262E-3</v>
      </c>
      <c r="C6332" t="s">
        <v>9718</v>
      </c>
      <c r="D6332" t="s">
        <v>2519</v>
      </c>
      <c r="E6332" t="s">
        <v>2520</v>
      </c>
      <c r="F6332" t="s">
        <v>9719</v>
      </c>
      <c r="G6332">
        <v>2049501</v>
      </c>
      <c r="H6332" t="s">
        <v>45</v>
      </c>
      <c r="I6332" t="s">
        <v>79</v>
      </c>
      <c r="J6332" t="str">
        <f>"9781472414816"</f>
        <v>9781472414816</v>
      </c>
      <c r="K6332" t="s">
        <v>9728</v>
      </c>
      <c r="L6332">
        <v>21</v>
      </c>
      <c r="O6332" t="s">
        <v>30</v>
      </c>
      <c r="P6332" t="s">
        <v>50</v>
      </c>
      <c r="S6332" t="s">
        <v>3786</v>
      </c>
      <c r="T6332" t="s">
        <v>9721</v>
      </c>
      <c r="U6332">
        <v>342.00099999999998</v>
      </c>
      <c r="V6332" s="3">
        <v>42213</v>
      </c>
    </row>
    <row r="6333" spans="1:22" x14ac:dyDescent="0.35">
      <c r="A6333" s="1">
        <v>42284.97084490741</v>
      </c>
      <c r="B6333" s="2">
        <v>1.4004629629629629E-3</v>
      </c>
      <c r="C6333" t="s">
        <v>9698</v>
      </c>
      <c r="D6333" t="s">
        <v>35</v>
      </c>
      <c r="E6333" t="s">
        <v>36</v>
      </c>
      <c r="F6333" t="s">
        <v>9729</v>
      </c>
      <c r="G6333">
        <v>1822528</v>
      </c>
      <c r="H6333" t="s">
        <v>26</v>
      </c>
      <c r="I6333" t="s">
        <v>97</v>
      </c>
      <c r="J6333" t="str">
        <f>"9781118758762"</f>
        <v>9781118758762</v>
      </c>
      <c r="K6333" t="s">
        <v>9730</v>
      </c>
      <c r="L6333">
        <v>11</v>
      </c>
      <c r="O6333" t="s">
        <v>30</v>
      </c>
      <c r="P6333" t="s">
        <v>50</v>
      </c>
      <c r="S6333" t="s">
        <v>40</v>
      </c>
      <c r="T6333" t="s">
        <v>9731</v>
      </c>
      <c r="U6333" t="s">
        <v>3359</v>
      </c>
      <c r="V6333" s="3">
        <v>41927</v>
      </c>
    </row>
    <row r="6334" spans="1:22" x14ac:dyDescent="0.35">
      <c r="A6334" s="1">
        <v>42284.960416666669</v>
      </c>
      <c r="B6334" s="2">
        <v>4.6296296296296294E-5</v>
      </c>
      <c r="C6334" t="s">
        <v>1306</v>
      </c>
      <c r="D6334" t="s">
        <v>158</v>
      </c>
      <c r="E6334" t="s">
        <v>159</v>
      </c>
      <c r="F6334" t="s">
        <v>9732</v>
      </c>
      <c r="G6334">
        <v>1245458</v>
      </c>
      <c r="H6334" t="s">
        <v>26</v>
      </c>
      <c r="I6334" t="s">
        <v>3094</v>
      </c>
      <c r="J6334" t="str">
        <f>"9781118328484"</f>
        <v>9781118328484</v>
      </c>
      <c r="K6334" t="s">
        <v>33</v>
      </c>
      <c r="L6334">
        <v>3</v>
      </c>
      <c r="O6334" t="s">
        <v>30</v>
      </c>
      <c r="P6334" t="s">
        <v>42</v>
      </c>
      <c r="S6334" t="s">
        <v>163</v>
      </c>
      <c r="T6334" t="s">
        <v>9733</v>
      </c>
      <c r="U6334">
        <v>174.2</v>
      </c>
      <c r="V6334" s="3">
        <v>41451</v>
      </c>
    </row>
    <row r="6335" spans="1:22" x14ac:dyDescent="0.35">
      <c r="A6335" s="1">
        <v>42284.936631944445</v>
      </c>
      <c r="B6335" s="2">
        <v>2.3148148148148147E-5</v>
      </c>
      <c r="C6335" t="s">
        <v>9734</v>
      </c>
      <c r="D6335" t="s">
        <v>1222</v>
      </c>
      <c r="E6335" t="s">
        <v>1223</v>
      </c>
      <c r="F6335" t="s">
        <v>4289</v>
      </c>
      <c r="G6335">
        <v>1120621</v>
      </c>
      <c r="H6335" t="s">
        <v>26</v>
      </c>
      <c r="I6335" t="s">
        <v>69</v>
      </c>
      <c r="J6335" t="str">
        <f>"9781118362679"</f>
        <v>9781118362679</v>
      </c>
      <c r="K6335" t="s">
        <v>33</v>
      </c>
      <c r="L6335">
        <v>3</v>
      </c>
      <c r="O6335" t="s">
        <v>30</v>
      </c>
      <c r="P6335" t="s">
        <v>42</v>
      </c>
      <c r="S6335" t="s">
        <v>1226</v>
      </c>
      <c r="T6335" t="s">
        <v>4290</v>
      </c>
      <c r="U6335" t="s">
        <v>4291</v>
      </c>
      <c r="V6335" s="3">
        <v>41136</v>
      </c>
    </row>
    <row r="6336" spans="1:22" x14ac:dyDescent="0.35">
      <c r="A6336" s="1">
        <v>42284.936296296299</v>
      </c>
      <c r="B6336" s="2">
        <v>3.5879629629629635E-4</v>
      </c>
      <c r="C6336" t="s">
        <v>9735</v>
      </c>
      <c r="D6336" t="s">
        <v>1222</v>
      </c>
      <c r="E6336" t="s">
        <v>1223</v>
      </c>
      <c r="F6336" t="s">
        <v>4289</v>
      </c>
      <c r="G6336">
        <v>1120621</v>
      </c>
      <c r="H6336" t="s">
        <v>26</v>
      </c>
      <c r="I6336" t="s">
        <v>69</v>
      </c>
      <c r="J6336" t="str">
        <f>"9781118362679"</f>
        <v>9781118362679</v>
      </c>
      <c r="K6336" t="s">
        <v>9736</v>
      </c>
      <c r="L6336">
        <v>5</v>
      </c>
      <c r="O6336" t="s">
        <v>30</v>
      </c>
      <c r="P6336" t="s">
        <v>42</v>
      </c>
      <c r="S6336" t="s">
        <v>1226</v>
      </c>
      <c r="T6336" t="s">
        <v>4290</v>
      </c>
      <c r="U6336" t="s">
        <v>4291</v>
      </c>
      <c r="V6336" s="3">
        <v>41136</v>
      </c>
    </row>
    <row r="6337" spans="1:22" x14ac:dyDescent="0.35">
      <c r="A6337" s="1">
        <v>42284.93545138889</v>
      </c>
      <c r="B6337" s="2">
        <v>2.0833333333333335E-4</v>
      </c>
      <c r="C6337" t="s">
        <v>9737</v>
      </c>
      <c r="D6337" t="s">
        <v>1222</v>
      </c>
      <c r="E6337" t="s">
        <v>1223</v>
      </c>
      <c r="F6337" t="s">
        <v>4289</v>
      </c>
      <c r="G6337">
        <v>1120621</v>
      </c>
      <c r="H6337" t="s">
        <v>26</v>
      </c>
      <c r="I6337" t="s">
        <v>69</v>
      </c>
      <c r="J6337" t="str">
        <f>"9781118362679"</f>
        <v>9781118362679</v>
      </c>
      <c r="K6337" t="s">
        <v>355</v>
      </c>
      <c r="L6337">
        <v>8</v>
      </c>
      <c r="O6337" t="s">
        <v>30</v>
      </c>
      <c r="P6337" t="s">
        <v>42</v>
      </c>
      <c r="S6337" t="s">
        <v>1226</v>
      </c>
      <c r="T6337" t="s">
        <v>4290</v>
      </c>
      <c r="U6337" t="s">
        <v>4291</v>
      </c>
      <c r="V6337" s="3">
        <v>41136</v>
      </c>
    </row>
    <row r="6338" spans="1:22" x14ac:dyDescent="0.35">
      <c r="A6338" s="1">
        <v>42284.93540509259</v>
      </c>
      <c r="B6338" s="2">
        <v>1.6435185185185183E-3</v>
      </c>
      <c r="C6338" t="s">
        <v>5515</v>
      </c>
      <c r="D6338" t="s">
        <v>1222</v>
      </c>
      <c r="E6338" t="s">
        <v>1223</v>
      </c>
      <c r="F6338" t="s">
        <v>4289</v>
      </c>
      <c r="G6338">
        <v>1120621</v>
      </c>
      <c r="H6338" t="s">
        <v>26</v>
      </c>
      <c r="I6338" t="s">
        <v>69</v>
      </c>
      <c r="J6338" t="str">
        <f>"9781118362679"</f>
        <v>9781118362679</v>
      </c>
      <c r="K6338" t="s">
        <v>9738</v>
      </c>
      <c r="L6338">
        <v>17</v>
      </c>
      <c r="O6338" t="s">
        <v>30</v>
      </c>
      <c r="P6338" t="s">
        <v>42</v>
      </c>
      <c r="S6338" t="s">
        <v>1226</v>
      </c>
      <c r="T6338" t="s">
        <v>4290</v>
      </c>
      <c r="U6338" t="s">
        <v>4291</v>
      </c>
      <c r="V6338" s="3">
        <v>41136</v>
      </c>
    </row>
    <row r="6339" spans="1:22" x14ac:dyDescent="0.35">
      <c r="A6339" s="1">
        <v>42284.935324074075</v>
      </c>
      <c r="B6339" s="2">
        <v>4.2824074074074075E-4</v>
      </c>
      <c r="C6339" t="s">
        <v>9739</v>
      </c>
      <c r="D6339" t="s">
        <v>1222</v>
      </c>
      <c r="E6339" t="s">
        <v>1223</v>
      </c>
      <c r="F6339" t="s">
        <v>4289</v>
      </c>
      <c r="G6339">
        <v>1120621</v>
      </c>
      <c r="H6339" t="s">
        <v>26</v>
      </c>
      <c r="I6339" t="s">
        <v>69</v>
      </c>
      <c r="J6339" t="str">
        <f>"9781118362679"</f>
        <v>9781118362679</v>
      </c>
      <c r="K6339" t="s">
        <v>9740</v>
      </c>
      <c r="L6339">
        <v>21</v>
      </c>
      <c r="O6339" t="s">
        <v>30</v>
      </c>
      <c r="P6339" t="s">
        <v>42</v>
      </c>
      <c r="S6339" t="s">
        <v>1226</v>
      </c>
      <c r="T6339" t="s">
        <v>4290</v>
      </c>
      <c r="U6339" t="s">
        <v>4291</v>
      </c>
      <c r="V6339" s="3">
        <v>41136</v>
      </c>
    </row>
    <row r="6340" spans="1:22" x14ac:dyDescent="0.35">
      <c r="A6340" s="1">
        <v>42284.892534722225</v>
      </c>
      <c r="B6340" s="2">
        <v>8.2175925925925917E-4</v>
      </c>
      <c r="C6340" t="s">
        <v>6058</v>
      </c>
      <c r="D6340" t="s">
        <v>2519</v>
      </c>
      <c r="E6340" t="s">
        <v>2520</v>
      </c>
      <c r="F6340" t="s">
        <v>4665</v>
      </c>
      <c r="G6340">
        <v>1864027</v>
      </c>
      <c r="H6340" t="s">
        <v>26</v>
      </c>
      <c r="I6340" t="s">
        <v>38</v>
      </c>
      <c r="J6340" t="str">
        <f>"9781118650004"</f>
        <v>9781118650004</v>
      </c>
      <c r="K6340" t="s">
        <v>2235</v>
      </c>
      <c r="L6340">
        <v>1</v>
      </c>
      <c r="O6340" t="s">
        <v>30</v>
      </c>
      <c r="P6340" t="s">
        <v>29</v>
      </c>
      <c r="Q6340" s="1">
        <v>42284.892534722225</v>
      </c>
      <c r="R6340">
        <v>7</v>
      </c>
      <c r="S6340" t="s">
        <v>2523</v>
      </c>
      <c r="T6340" t="s">
        <v>9741</v>
      </c>
      <c r="U6340" t="s">
        <v>7612</v>
      </c>
      <c r="V6340" s="3">
        <v>41960</v>
      </c>
    </row>
    <row r="6341" spans="1:22" x14ac:dyDescent="0.35">
      <c r="A6341" s="1">
        <v>42284.892094907409</v>
      </c>
      <c r="B6341" s="2">
        <v>4.3981481481481481E-4</v>
      </c>
      <c r="C6341" t="s">
        <v>6058</v>
      </c>
      <c r="D6341" t="s">
        <v>2519</v>
      </c>
      <c r="E6341" t="s">
        <v>2520</v>
      </c>
      <c r="F6341" t="s">
        <v>4665</v>
      </c>
      <c r="G6341">
        <v>1864027</v>
      </c>
      <c r="H6341" t="s">
        <v>26</v>
      </c>
      <c r="I6341" t="s">
        <v>38</v>
      </c>
      <c r="J6341" t="str">
        <f>"9781118650004"</f>
        <v>9781118650004</v>
      </c>
      <c r="K6341" t="s">
        <v>9742</v>
      </c>
      <c r="L6341">
        <v>13</v>
      </c>
      <c r="O6341" t="s">
        <v>30</v>
      </c>
      <c r="P6341" t="s">
        <v>50</v>
      </c>
      <c r="S6341" t="s">
        <v>2523</v>
      </c>
      <c r="T6341" t="s">
        <v>9741</v>
      </c>
      <c r="U6341" t="s">
        <v>7612</v>
      </c>
      <c r="V6341" s="3">
        <v>41960</v>
      </c>
    </row>
    <row r="6342" spans="1:22" x14ac:dyDescent="0.35">
      <c r="A6342" s="1">
        <v>42284.86141203704</v>
      </c>
      <c r="B6342" s="2">
        <v>2.5057870370370373E-2</v>
      </c>
      <c r="C6342" t="s">
        <v>9471</v>
      </c>
      <c r="D6342" t="s">
        <v>6396</v>
      </c>
      <c r="E6342" t="s">
        <v>6397</v>
      </c>
      <c r="F6342" t="s">
        <v>9472</v>
      </c>
      <c r="G6342">
        <v>1630976</v>
      </c>
      <c r="H6342" t="s">
        <v>26</v>
      </c>
      <c r="I6342" t="s">
        <v>9473</v>
      </c>
      <c r="J6342" t="str">
        <f>"9781118418666"</f>
        <v>9781118418666</v>
      </c>
      <c r="K6342" t="s">
        <v>9743</v>
      </c>
      <c r="L6342">
        <v>64</v>
      </c>
      <c r="O6342" t="s">
        <v>30</v>
      </c>
      <c r="P6342" t="s">
        <v>29</v>
      </c>
      <c r="Q6342" s="1">
        <v>42284.694363425922</v>
      </c>
      <c r="R6342">
        <v>7</v>
      </c>
      <c r="S6342" t="s">
        <v>6400</v>
      </c>
      <c r="T6342" t="s">
        <v>9475</v>
      </c>
      <c r="U6342">
        <v>729</v>
      </c>
      <c r="V6342" s="3">
        <v>41677</v>
      </c>
    </row>
    <row r="6343" spans="1:22" x14ac:dyDescent="0.35">
      <c r="A6343" s="1">
        <v>42284.841979166667</v>
      </c>
      <c r="B6343" s="2">
        <v>0.12931712962962963</v>
      </c>
      <c r="C6343" t="s">
        <v>4205</v>
      </c>
      <c r="D6343" t="s">
        <v>597</v>
      </c>
      <c r="E6343" t="s">
        <v>598</v>
      </c>
      <c r="F6343" t="s">
        <v>111</v>
      </c>
      <c r="G6343">
        <v>693176</v>
      </c>
      <c r="H6343" t="s">
        <v>26</v>
      </c>
      <c r="I6343" t="s">
        <v>112</v>
      </c>
      <c r="J6343" t="str">
        <f>"9781118017746"</f>
        <v>9781118017746</v>
      </c>
      <c r="K6343" t="s">
        <v>9744</v>
      </c>
      <c r="L6343">
        <v>73</v>
      </c>
      <c r="O6343" t="s">
        <v>30</v>
      </c>
      <c r="P6343" t="s">
        <v>29</v>
      </c>
      <c r="Q6343" s="1">
        <v>42284.841979166667</v>
      </c>
      <c r="R6343">
        <v>7</v>
      </c>
      <c r="S6343" t="s">
        <v>600</v>
      </c>
      <c r="T6343" t="s">
        <v>114</v>
      </c>
      <c r="U6343" t="s">
        <v>115</v>
      </c>
      <c r="V6343" s="3">
        <v>40835</v>
      </c>
    </row>
    <row r="6344" spans="1:22" x14ac:dyDescent="0.35">
      <c r="A6344" s="1">
        <v>42284.839305555557</v>
      </c>
      <c r="B6344" s="2">
        <v>1.6087962962962963E-3</v>
      </c>
      <c r="C6344" t="s">
        <v>9745</v>
      </c>
      <c r="D6344" t="s">
        <v>623</v>
      </c>
      <c r="E6344" t="s">
        <v>624</v>
      </c>
      <c r="F6344" t="s">
        <v>9746</v>
      </c>
      <c r="G6344">
        <v>2063959</v>
      </c>
      <c r="H6344" t="s">
        <v>26</v>
      </c>
      <c r="I6344" t="s">
        <v>200</v>
      </c>
      <c r="J6344" t="str">
        <f>"9781118914847"</f>
        <v>9781118914847</v>
      </c>
      <c r="K6344" t="s">
        <v>9747</v>
      </c>
      <c r="L6344">
        <v>17</v>
      </c>
      <c r="O6344" t="s">
        <v>30</v>
      </c>
      <c r="P6344" t="s">
        <v>50</v>
      </c>
      <c r="S6344" t="s">
        <v>627</v>
      </c>
      <c r="T6344" t="s">
        <v>9748</v>
      </c>
      <c r="U6344">
        <v>720.47</v>
      </c>
      <c r="V6344" s="3">
        <v>42244</v>
      </c>
    </row>
    <row r="6345" spans="1:22" x14ac:dyDescent="0.35">
      <c r="A6345" s="1">
        <v>42284.835868055554</v>
      </c>
      <c r="B6345" s="2">
        <v>6.1111111111111114E-3</v>
      </c>
      <c r="C6345" t="s">
        <v>4205</v>
      </c>
      <c r="D6345" t="s">
        <v>597</v>
      </c>
      <c r="E6345" t="s">
        <v>598</v>
      </c>
      <c r="F6345" t="s">
        <v>111</v>
      </c>
      <c r="G6345">
        <v>693176</v>
      </c>
      <c r="H6345" t="s">
        <v>26</v>
      </c>
      <c r="I6345" t="s">
        <v>112</v>
      </c>
      <c r="J6345" t="str">
        <f>"9781118017746"</f>
        <v>9781118017746</v>
      </c>
      <c r="K6345" t="s">
        <v>9749</v>
      </c>
      <c r="L6345">
        <v>11</v>
      </c>
      <c r="O6345" t="s">
        <v>30</v>
      </c>
      <c r="P6345" t="s">
        <v>42</v>
      </c>
      <c r="S6345" t="s">
        <v>600</v>
      </c>
      <c r="T6345" t="s">
        <v>114</v>
      </c>
      <c r="U6345" t="s">
        <v>115</v>
      </c>
      <c r="V6345" s="3">
        <v>40835</v>
      </c>
    </row>
    <row r="6346" spans="1:22" x14ac:dyDescent="0.35">
      <c r="A6346" s="1">
        <v>42284.835219907407</v>
      </c>
      <c r="B6346" s="2">
        <v>3.4722222222222222E-5</v>
      </c>
      <c r="C6346" t="s">
        <v>9606</v>
      </c>
      <c r="D6346" t="s">
        <v>23</v>
      </c>
      <c r="E6346" t="s">
        <v>24</v>
      </c>
      <c r="F6346" t="s">
        <v>1082</v>
      </c>
      <c r="G6346">
        <v>1746990</v>
      </c>
      <c r="H6346" t="s">
        <v>45</v>
      </c>
      <c r="I6346" t="s">
        <v>97</v>
      </c>
      <c r="J6346" t="str">
        <f>"9781472432100"</f>
        <v>9781472432100</v>
      </c>
      <c r="K6346" t="s">
        <v>611</v>
      </c>
      <c r="L6346">
        <v>3</v>
      </c>
      <c r="O6346" t="s">
        <v>30</v>
      </c>
      <c r="P6346" t="s">
        <v>50</v>
      </c>
      <c r="S6346" t="s">
        <v>31</v>
      </c>
      <c r="T6346" t="s">
        <v>1084</v>
      </c>
      <c r="U6346" t="s">
        <v>1085</v>
      </c>
      <c r="V6346" s="3">
        <v>41910</v>
      </c>
    </row>
    <row r="6347" spans="1:22" x14ac:dyDescent="0.35">
      <c r="A6347" s="1">
        <v>42284.824444444443</v>
      </c>
      <c r="B6347" s="2">
        <v>0</v>
      </c>
      <c r="C6347" t="s">
        <v>6058</v>
      </c>
      <c r="D6347" t="s">
        <v>2519</v>
      </c>
      <c r="E6347" t="s">
        <v>2520</v>
      </c>
      <c r="F6347" t="s">
        <v>9669</v>
      </c>
      <c r="G6347">
        <v>1318732</v>
      </c>
      <c r="H6347" t="s">
        <v>26</v>
      </c>
      <c r="I6347" t="s">
        <v>9670</v>
      </c>
      <c r="J6347" t="str">
        <f>"9781118676769"</f>
        <v>9781118676769</v>
      </c>
      <c r="L6347">
        <v>0</v>
      </c>
      <c r="O6347" t="s">
        <v>30</v>
      </c>
      <c r="P6347" t="s">
        <v>47</v>
      </c>
      <c r="Q6347" s="1">
        <v>42284.824444444443</v>
      </c>
      <c r="R6347">
        <v>1</v>
      </c>
      <c r="S6347" t="s">
        <v>2523</v>
      </c>
      <c r="T6347" t="s">
        <v>9671</v>
      </c>
      <c r="U6347" t="s">
        <v>9672</v>
      </c>
      <c r="V6347" s="3">
        <v>41470</v>
      </c>
    </row>
    <row r="6348" spans="1:22" x14ac:dyDescent="0.35">
      <c r="A6348" s="1">
        <v>42284.824050925927</v>
      </c>
      <c r="B6348" s="2">
        <v>3.9351851851851852E-4</v>
      </c>
      <c r="C6348" t="s">
        <v>6058</v>
      </c>
      <c r="D6348" t="s">
        <v>2519</v>
      </c>
      <c r="E6348" t="s">
        <v>2520</v>
      </c>
      <c r="F6348" t="s">
        <v>9669</v>
      </c>
      <c r="G6348">
        <v>1318732</v>
      </c>
      <c r="H6348" t="s">
        <v>26</v>
      </c>
      <c r="I6348" t="s">
        <v>9670</v>
      </c>
      <c r="J6348" t="str">
        <f>"9781118676769"</f>
        <v>9781118676769</v>
      </c>
      <c r="K6348" t="s">
        <v>9750</v>
      </c>
      <c r="L6348">
        <v>12</v>
      </c>
      <c r="O6348" t="s">
        <v>30</v>
      </c>
      <c r="P6348" t="s">
        <v>50</v>
      </c>
      <c r="S6348" t="s">
        <v>2523</v>
      </c>
      <c r="T6348" t="s">
        <v>9671</v>
      </c>
      <c r="U6348" t="s">
        <v>9672</v>
      </c>
      <c r="V6348" s="3">
        <v>41470</v>
      </c>
    </row>
    <row r="6349" spans="1:22" x14ac:dyDescent="0.35">
      <c r="A6349" s="1">
        <v>42284.813773148147</v>
      </c>
      <c r="B6349" s="2">
        <v>5.9143518518518521E-3</v>
      </c>
      <c r="C6349" t="s">
        <v>5019</v>
      </c>
      <c r="D6349" t="s">
        <v>35</v>
      </c>
      <c r="E6349" t="s">
        <v>36</v>
      </c>
      <c r="F6349" t="s">
        <v>986</v>
      </c>
      <c r="G6349">
        <v>968030</v>
      </c>
      <c r="H6349" t="s">
        <v>26</v>
      </c>
      <c r="I6349" t="s">
        <v>219</v>
      </c>
      <c r="J6349" t="str">
        <f>"9781118285138"</f>
        <v>9781118285138</v>
      </c>
      <c r="K6349" t="s">
        <v>9751</v>
      </c>
      <c r="L6349">
        <v>19</v>
      </c>
      <c r="O6349" t="s">
        <v>30</v>
      </c>
      <c r="P6349" t="s">
        <v>29</v>
      </c>
      <c r="Q6349" s="1">
        <v>42277.839560185188</v>
      </c>
      <c r="R6349">
        <v>7</v>
      </c>
      <c r="S6349" t="s">
        <v>40</v>
      </c>
      <c r="T6349" t="s">
        <v>987</v>
      </c>
      <c r="U6349">
        <v>158.30000000000001</v>
      </c>
      <c r="V6349" s="3">
        <v>41100</v>
      </c>
    </row>
    <row r="6350" spans="1:22" x14ac:dyDescent="0.35">
      <c r="A6350" s="1">
        <v>42284.80133101852</v>
      </c>
      <c r="B6350" s="2">
        <v>5.3009259259259251E-3</v>
      </c>
      <c r="C6350" t="s">
        <v>9618</v>
      </c>
      <c r="D6350" t="s">
        <v>35</v>
      </c>
      <c r="E6350" t="s">
        <v>36</v>
      </c>
      <c r="F6350" t="s">
        <v>9619</v>
      </c>
      <c r="G6350">
        <v>875807</v>
      </c>
      <c r="H6350" t="s">
        <v>26</v>
      </c>
      <c r="I6350" t="s">
        <v>97</v>
      </c>
      <c r="J6350" t="str">
        <f>"9781118222690"</f>
        <v>9781118222690</v>
      </c>
      <c r="K6350" t="s">
        <v>9752</v>
      </c>
      <c r="L6350">
        <v>12</v>
      </c>
      <c r="O6350" t="s">
        <v>30</v>
      </c>
      <c r="P6350" t="s">
        <v>29</v>
      </c>
      <c r="Q6350" s="1">
        <v>42284.80133101852</v>
      </c>
      <c r="R6350">
        <v>7</v>
      </c>
      <c r="S6350" t="s">
        <v>40</v>
      </c>
      <c r="T6350" t="s">
        <v>9621</v>
      </c>
      <c r="U6350">
        <v>658.00760000000002</v>
      </c>
      <c r="V6350" s="3">
        <v>41296</v>
      </c>
    </row>
    <row r="6351" spans="1:22" x14ac:dyDescent="0.35">
      <c r="A6351" s="1">
        <v>42284.793993055559</v>
      </c>
      <c r="B6351" s="2">
        <v>7.3263888888888892E-3</v>
      </c>
      <c r="C6351" t="s">
        <v>9618</v>
      </c>
      <c r="D6351" t="s">
        <v>35</v>
      </c>
      <c r="E6351" t="s">
        <v>36</v>
      </c>
      <c r="F6351" t="s">
        <v>9619</v>
      </c>
      <c r="G6351">
        <v>875807</v>
      </c>
      <c r="H6351" t="s">
        <v>26</v>
      </c>
      <c r="I6351" t="s">
        <v>97</v>
      </c>
      <c r="J6351" t="str">
        <f>"9781118222690"</f>
        <v>9781118222690</v>
      </c>
      <c r="K6351" t="s">
        <v>9753</v>
      </c>
      <c r="L6351">
        <v>10</v>
      </c>
      <c r="O6351" t="s">
        <v>30</v>
      </c>
      <c r="P6351" t="s">
        <v>50</v>
      </c>
      <c r="S6351" t="s">
        <v>40</v>
      </c>
      <c r="T6351" t="s">
        <v>9621</v>
      </c>
      <c r="U6351">
        <v>658.00760000000002</v>
      </c>
      <c r="V6351" s="3">
        <v>41296</v>
      </c>
    </row>
    <row r="6352" spans="1:22" x14ac:dyDescent="0.35">
      <c r="A6352" s="1">
        <v>42284.791284722225</v>
      </c>
      <c r="B6352" s="2">
        <v>1.712962962962963E-3</v>
      </c>
      <c r="C6352" t="s">
        <v>9754</v>
      </c>
      <c r="D6352" t="s">
        <v>35</v>
      </c>
      <c r="E6352" t="s">
        <v>36</v>
      </c>
      <c r="F6352" t="s">
        <v>9755</v>
      </c>
      <c r="G6352">
        <v>1843631</v>
      </c>
      <c r="H6352" t="s">
        <v>26</v>
      </c>
      <c r="I6352" t="s">
        <v>9756</v>
      </c>
      <c r="J6352" t="str">
        <f>"9781118868201"</f>
        <v>9781118868201</v>
      </c>
      <c r="K6352" t="s">
        <v>9757</v>
      </c>
      <c r="L6352">
        <v>15</v>
      </c>
      <c r="O6352" t="s">
        <v>30</v>
      </c>
      <c r="P6352" t="s">
        <v>50</v>
      </c>
      <c r="S6352" t="s">
        <v>40</v>
      </c>
      <c r="T6352" t="s">
        <v>9758</v>
      </c>
      <c r="U6352">
        <v>294.34435000000002</v>
      </c>
      <c r="V6352" s="3">
        <v>41954</v>
      </c>
    </row>
    <row r="6353" spans="1:22" x14ac:dyDescent="0.35">
      <c r="A6353" s="1">
        <v>42284.789780092593</v>
      </c>
      <c r="B6353" s="2">
        <v>3.5879629629629635E-4</v>
      </c>
      <c r="C6353" t="s">
        <v>9754</v>
      </c>
      <c r="D6353" t="s">
        <v>35</v>
      </c>
      <c r="E6353" t="s">
        <v>36</v>
      </c>
      <c r="F6353" t="s">
        <v>9759</v>
      </c>
      <c r="G6353">
        <v>1273514</v>
      </c>
      <c r="H6353" t="s">
        <v>26</v>
      </c>
      <c r="I6353" t="s">
        <v>219</v>
      </c>
      <c r="J6353" t="str">
        <f>"9780857084415"</f>
        <v>9780857084415</v>
      </c>
      <c r="K6353" t="s">
        <v>9760</v>
      </c>
      <c r="L6353">
        <v>15</v>
      </c>
      <c r="O6353" t="s">
        <v>30</v>
      </c>
      <c r="P6353" t="s">
        <v>50</v>
      </c>
      <c r="S6353" t="s">
        <v>40</v>
      </c>
      <c r="T6353" t="s">
        <v>9761</v>
      </c>
      <c r="U6353">
        <v>158</v>
      </c>
      <c r="V6353" s="3">
        <v>41458</v>
      </c>
    </row>
    <row r="6354" spans="1:22" x14ac:dyDescent="0.35">
      <c r="A6354" s="1">
        <v>42284.784687500003</v>
      </c>
      <c r="B6354" s="2">
        <v>7.4537037037037028E-3</v>
      </c>
      <c r="C6354" t="s">
        <v>9762</v>
      </c>
      <c r="D6354" t="s">
        <v>1222</v>
      </c>
      <c r="E6354" t="s">
        <v>1223</v>
      </c>
      <c r="F6354" t="s">
        <v>9044</v>
      </c>
      <c r="G6354">
        <v>1274383</v>
      </c>
      <c r="H6354" t="s">
        <v>139</v>
      </c>
      <c r="I6354" t="s">
        <v>120</v>
      </c>
      <c r="J6354" t="str">
        <f>"9780814760239"</f>
        <v>9780814760239</v>
      </c>
      <c r="K6354" t="s">
        <v>9763</v>
      </c>
      <c r="L6354">
        <v>2</v>
      </c>
      <c r="O6354" t="s">
        <v>30</v>
      </c>
      <c r="P6354" t="s">
        <v>29</v>
      </c>
      <c r="Q6354" s="1">
        <v>42284.784687500003</v>
      </c>
      <c r="R6354">
        <v>7</v>
      </c>
      <c r="S6354" t="s">
        <v>1226</v>
      </c>
      <c r="T6354" t="s">
        <v>9046</v>
      </c>
      <c r="U6354">
        <v>303.60834999999997</v>
      </c>
      <c r="V6354" s="3">
        <v>41505</v>
      </c>
    </row>
    <row r="6355" spans="1:22" x14ac:dyDescent="0.35">
      <c r="A6355" s="1">
        <v>42284.779861111114</v>
      </c>
      <c r="B6355" s="2">
        <v>2.7777777777777778E-4</v>
      </c>
      <c r="C6355" t="s">
        <v>7138</v>
      </c>
      <c r="D6355" t="s">
        <v>360</v>
      </c>
      <c r="E6355" t="s">
        <v>361</v>
      </c>
      <c r="F6355" t="s">
        <v>955</v>
      </c>
      <c r="G6355">
        <v>1760717</v>
      </c>
      <c r="H6355" t="s">
        <v>91</v>
      </c>
      <c r="I6355" t="s">
        <v>247</v>
      </c>
      <c r="J6355" t="str">
        <f>"9781462517640"</f>
        <v>9781462517640</v>
      </c>
      <c r="K6355" t="s">
        <v>33</v>
      </c>
      <c r="L6355">
        <v>3</v>
      </c>
      <c r="O6355" t="s">
        <v>30</v>
      </c>
      <c r="P6355" t="s">
        <v>42</v>
      </c>
      <c r="S6355" t="s">
        <v>363</v>
      </c>
      <c r="T6355" t="s">
        <v>957</v>
      </c>
      <c r="U6355">
        <v>618.9289</v>
      </c>
      <c r="V6355" s="3">
        <v>41960</v>
      </c>
    </row>
    <row r="6356" spans="1:22" x14ac:dyDescent="0.35">
      <c r="A6356" s="1">
        <v>42284.776076388887</v>
      </c>
      <c r="B6356" s="2">
        <v>8.611111111111111E-3</v>
      </c>
      <c r="C6356" t="s">
        <v>9762</v>
      </c>
      <c r="D6356" t="s">
        <v>1222</v>
      </c>
      <c r="E6356" t="s">
        <v>1223</v>
      </c>
      <c r="F6356" t="s">
        <v>9044</v>
      </c>
      <c r="G6356">
        <v>1274383</v>
      </c>
      <c r="H6356" t="s">
        <v>139</v>
      </c>
      <c r="I6356" t="s">
        <v>120</v>
      </c>
      <c r="J6356" t="str">
        <f>"9780814760239"</f>
        <v>9780814760239</v>
      </c>
      <c r="K6356" t="s">
        <v>9764</v>
      </c>
      <c r="L6356">
        <v>21</v>
      </c>
      <c r="O6356" t="s">
        <v>30</v>
      </c>
      <c r="P6356" t="s">
        <v>42</v>
      </c>
      <c r="S6356" t="s">
        <v>1226</v>
      </c>
      <c r="T6356" t="s">
        <v>9046</v>
      </c>
      <c r="U6356">
        <v>303.60834999999997</v>
      </c>
      <c r="V6356" s="3">
        <v>41505</v>
      </c>
    </row>
    <row r="6357" spans="1:22" x14ac:dyDescent="0.35">
      <c r="A6357" s="1">
        <v>42284.772743055553</v>
      </c>
      <c r="B6357" s="2">
        <v>6.6319444444444446E-3</v>
      </c>
      <c r="C6357" t="s">
        <v>7138</v>
      </c>
      <c r="D6357" t="s">
        <v>360</v>
      </c>
      <c r="E6357" t="s">
        <v>361</v>
      </c>
      <c r="F6357" t="s">
        <v>4289</v>
      </c>
      <c r="G6357">
        <v>1120621</v>
      </c>
      <c r="H6357" t="s">
        <v>26</v>
      </c>
      <c r="I6357" t="s">
        <v>69</v>
      </c>
      <c r="J6357" t="str">
        <f>"9781118362679"</f>
        <v>9781118362679</v>
      </c>
      <c r="K6357" t="s">
        <v>9765</v>
      </c>
      <c r="L6357">
        <v>17</v>
      </c>
      <c r="O6357" t="s">
        <v>30</v>
      </c>
      <c r="P6357" t="s">
        <v>42</v>
      </c>
      <c r="S6357" t="s">
        <v>363</v>
      </c>
      <c r="T6357" t="s">
        <v>4290</v>
      </c>
      <c r="U6357" t="s">
        <v>4291</v>
      </c>
      <c r="V6357" s="3">
        <v>41136</v>
      </c>
    </row>
    <row r="6358" spans="1:22" x14ac:dyDescent="0.35">
      <c r="A6358" s="1">
        <v>42284.761180555557</v>
      </c>
      <c r="B6358" s="2">
        <v>3.6111111111111114E-3</v>
      </c>
      <c r="C6358" t="s">
        <v>210</v>
      </c>
      <c r="D6358" t="s">
        <v>211</v>
      </c>
      <c r="E6358" t="s">
        <v>212</v>
      </c>
      <c r="F6358" t="s">
        <v>9766</v>
      </c>
      <c r="G6358">
        <v>894258</v>
      </c>
      <c r="H6358" t="s">
        <v>26</v>
      </c>
      <c r="I6358" t="s">
        <v>382</v>
      </c>
      <c r="J6358" t="str">
        <f>"9781118333709"</f>
        <v>9781118333709</v>
      </c>
      <c r="K6358" t="s">
        <v>9767</v>
      </c>
      <c r="L6358">
        <v>20</v>
      </c>
      <c r="O6358" t="s">
        <v>30</v>
      </c>
      <c r="P6358" t="s">
        <v>29</v>
      </c>
      <c r="Q6358" s="1">
        <v>42279.785624999997</v>
      </c>
      <c r="R6358">
        <v>7</v>
      </c>
      <c r="S6358" t="s">
        <v>214</v>
      </c>
      <c r="T6358" t="s">
        <v>9768</v>
      </c>
      <c r="U6358">
        <v>914.436104</v>
      </c>
      <c r="V6358" s="3">
        <v>41095</v>
      </c>
    </row>
    <row r="6359" spans="1:22" x14ac:dyDescent="0.35">
      <c r="A6359" s="1">
        <v>42284.757870370369</v>
      </c>
      <c r="B6359" s="2">
        <v>0</v>
      </c>
      <c r="C6359" t="s">
        <v>7138</v>
      </c>
      <c r="D6359" t="s">
        <v>360</v>
      </c>
      <c r="E6359" t="s">
        <v>361</v>
      </c>
      <c r="F6359" t="s">
        <v>7150</v>
      </c>
      <c r="G6359">
        <v>332602</v>
      </c>
      <c r="H6359" t="s">
        <v>26</v>
      </c>
      <c r="I6359" t="s">
        <v>69</v>
      </c>
      <c r="J6359" t="str">
        <f>"9780631227885"</f>
        <v>9780631227885</v>
      </c>
      <c r="L6359">
        <v>0</v>
      </c>
      <c r="O6359" t="s">
        <v>28</v>
      </c>
      <c r="P6359" t="s">
        <v>29</v>
      </c>
      <c r="Q6359" s="1">
        <v>42284.691157407404</v>
      </c>
      <c r="R6359">
        <v>7</v>
      </c>
      <c r="S6359" t="s">
        <v>363</v>
      </c>
      <c r="T6359" t="s">
        <v>7151</v>
      </c>
      <c r="U6359" t="s">
        <v>7152</v>
      </c>
      <c r="V6359" s="3">
        <v>41424</v>
      </c>
    </row>
    <row r="6360" spans="1:22" x14ac:dyDescent="0.35">
      <c r="A6360" s="1">
        <v>42284.729363425926</v>
      </c>
      <c r="B6360" s="2">
        <v>1.6666666666666668E-3</v>
      </c>
      <c r="C6360" t="s">
        <v>9707</v>
      </c>
      <c r="D6360" t="s">
        <v>23</v>
      </c>
      <c r="E6360" t="s">
        <v>24</v>
      </c>
      <c r="F6360" t="s">
        <v>9694</v>
      </c>
      <c r="G6360">
        <v>1062012</v>
      </c>
      <c r="H6360" t="s">
        <v>526</v>
      </c>
      <c r="I6360" t="s">
        <v>310</v>
      </c>
      <c r="J6360" t="str">
        <f>"9780226924182"</f>
        <v>9780226924182</v>
      </c>
      <c r="K6360" t="s">
        <v>9769</v>
      </c>
      <c r="L6360">
        <v>35</v>
      </c>
      <c r="O6360" t="s">
        <v>30</v>
      </c>
      <c r="P6360" t="s">
        <v>50</v>
      </c>
      <c r="S6360" t="s">
        <v>31</v>
      </c>
      <c r="T6360" t="s">
        <v>9696</v>
      </c>
      <c r="U6360" t="s">
        <v>3462</v>
      </c>
      <c r="V6360" s="3">
        <v>41276</v>
      </c>
    </row>
    <row r="6361" spans="1:22" x14ac:dyDescent="0.35">
      <c r="A6361" s="1">
        <v>42284.697060185186</v>
      </c>
      <c r="B6361" s="2">
        <v>3.4722222222222222E-5</v>
      </c>
      <c r="C6361" t="s">
        <v>7138</v>
      </c>
      <c r="D6361" t="s">
        <v>360</v>
      </c>
      <c r="E6361" t="s">
        <v>361</v>
      </c>
      <c r="F6361" t="s">
        <v>7150</v>
      </c>
      <c r="G6361">
        <v>332602</v>
      </c>
      <c r="H6361" t="s">
        <v>26</v>
      </c>
      <c r="I6361" t="s">
        <v>69</v>
      </c>
      <c r="J6361" t="str">
        <f>"9780631227885"</f>
        <v>9780631227885</v>
      </c>
      <c r="K6361" t="s">
        <v>9770</v>
      </c>
      <c r="L6361">
        <v>4</v>
      </c>
      <c r="O6361" t="s">
        <v>30</v>
      </c>
      <c r="P6361" t="s">
        <v>29</v>
      </c>
      <c r="Q6361" s="1">
        <v>42284.697060185186</v>
      </c>
      <c r="R6361">
        <v>7</v>
      </c>
      <c r="S6361" t="s">
        <v>363</v>
      </c>
      <c r="T6361" t="s">
        <v>7151</v>
      </c>
      <c r="U6361" t="s">
        <v>7152</v>
      </c>
      <c r="V6361" s="3">
        <v>41424</v>
      </c>
    </row>
    <row r="6362" spans="1:22" x14ac:dyDescent="0.35">
      <c r="A6362" s="1">
        <v>42284.694363425922</v>
      </c>
      <c r="B6362" s="2">
        <v>2.990740740740741E-2</v>
      </c>
      <c r="C6362" t="s">
        <v>9471</v>
      </c>
      <c r="D6362" t="s">
        <v>6396</v>
      </c>
      <c r="E6362" t="s">
        <v>6397</v>
      </c>
      <c r="F6362" t="s">
        <v>9472</v>
      </c>
      <c r="G6362">
        <v>1630976</v>
      </c>
      <c r="H6362" t="s">
        <v>26</v>
      </c>
      <c r="I6362" t="s">
        <v>9473</v>
      </c>
      <c r="J6362" t="str">
        <f>"9781118418666"</f>
        <v>9781118418666</v>
      </c>
      <c r="K6362" t="s">
        <v>9771</v>
      </c>
      <c r="L6362">
        <v>192</v>
      </c>
      <c r="M6362" t="s">
        <v>1309</v>
      </c>
      <c r="O6362" t="s">
        <v>30</v>
      </c>
      <c r="P6362" t="s">
        <v>29</v>
      </c>
      <c r="Q6362" s="1">
        <v>42284.694363425922</v>
      </c>
      <c r="R6362">
        <v>7</v>
      </c>
      <c r="S6362" t="s">
        <v>6400</v>
      </c>
      <c r="T6362" t="s">
        <v>9475</v>
      </c>
      <c r="U6362">
        <v>729</v>
      </c>
      <c r="V6362" s="3">
        <v>41677</v>
      </c>
    </row>
    <row r="6363" spans="1:22" x14ac:dyDescent="0.35">
      <c r="A6363" s="1">
        <v>42284.69258101852</v>
      </c>
      <c r="B6363" s="2">
        <v>1.7824074074074072E-3</v>
      </c>
      <c r="C6363" t="s">
        <v>9471</v>
      </c>
      <c r="D6363" t="s">
        <v>6396</v>
      </c>
      <c r="E6363" t="s">
        <v>6397</v>
      </c>
      <c r="F6363" t="s">
        <v>9472</v>
      </c>
      <c r="G6363">
        <v>1630976</v>
      </c>
      <c r="H6363" t="s">
        <v>26</v>
      </c>
      <c r="I6363" t="s">
        <v>9473</v>
      </c>
      <c r="J6363" t="str">
        <f>"9781118418666"</f>
        <v>9781118418666</v>
      </c>
      <c r="K6363" t="s">
        <v>4181</v>
      </c>
      <c r="L6363">
        <v>4</v>
      </c>
      <c r="O6363" t="s">
        <v>30</v>
      </c>
      <c r="P6363" t="s">
        <v>42</v>
      </c>
      <c r="S6363" t="s">
        <v>6400</v>
      </c>
      <c r="T6363" t="s">
        <v>9475</v>
      </c>
      <c r="U6363">
        <v>729</v>
      </c>
      <c r="V6363" s="3">
        <v>41677</v>
      </c>
    </row>
    <row r="6364" spans="1:22" x14ac:dyDescent="0.35">
      <c r="A6364" s="1">
        <v>42284.691157407404</v>
      </c>
      <c r="B6364" s="2">
        <v>6.6168981481481481E-2</v>
      </c>
      <c r="C6364" t="s">
        <v>7138</v>
      </c>
      <c r="D6364" t="s">
        <v>360</v>
      </c>
      <c r="E6364" t="s">
        <v>361</v>
      </c>
      <c r="F6364" t="s">
        <v>7150</v>
      </c>
      <c r="G6364">
        <v>332602</v>
      </c>
      <c r="H6364" t="s">
        <v>26</v>
      </c>
      <c r="I6364" t="s">
        <v>69</v>
      </c>
      <c r="J6364" t="str">
        <f>"9780631227885"</f>
        <v>9780631227885</v>
      </c>
      <c r="K6364" t="s">
        <v>9772</v>
      </c>
      <c r="L6364">
        <v>4</v>
      </c>
      <c r="O6364" t="s">
        <v>30</v>
      </c>
      <c r="P6364" t="s">
        <v>29</v>
      </c>
      <c r="Q6364" s="1">
        <v>42284.691157407404</v>
      </c>
      <c r="R6364">
        <v>7</v>
      </c>
      <c r="S6364" t="s">
        <v>363</v>
      </c>
      <c r="T6364" t="s">
        <v>7151</v>
      </c>
      <c r="U6364" t="s">
        <v>7152</v>
      </c>
      <c r="V6364" s="3">
        <v>41424</v>
      </c>
    </row>
    <row r="6365" spans="1:22" x14ac:dyDescent="0.35">
      <c r="A6365" s="1">
        <v>42284.67864583333</v>
      </c>
      <c r="B6365" s="2">
        <v>3.8657407407407408E-3</v>
      </c>
      <c r="C6365" t="s">
        <v>4205</v>
      </c>
      <c r="D6365" t="s">
        <v>597</v>
      </c>
      <c r="E6365" t="s">
        <v>598</v>
      </c>
      <c r="F6365" t="s">
        <v>111</v>
      </c>
      <c r="G6365">
        <v>693176</v>
      </c>
      <c r="H6365" t="s">
        <v>26</v>
      </c>
      <c r="I6365" t="s">
        <v>112</v>
      </c>
      <c r="J6365" t="str">
        <f>"9781118017746"</f>
        <v>9781118017746</v>
      </c>
      <c r="K6365" t="s">
        <v>9773</v>
      </c>
      <c r="L6365">
        <v>15</v>
      </c>
      <c r="O6365" t="s">
        <v>30</v>
      </c>
      <c r="P6365" t="s">
        <v>42</v>
      </c>
      <c r="S6365" t="s">
        <v>600</v>
      </c>
      <c r="T6365" t="s">
        <v>114</v>
      </c>
      <c r="U6365" t="s">
        <v>115</v>
      </c>
      <c r="V6365" s="3">
        <v>40835</v>
      </c>
    </row>
    <row r="6366" spans="1:22" x14ac:dyDescent="0.35">
      <c r="A6366" s="1">
        <v>42284.673680555556</v>
      </c>
      <c r="B6366" s="2">
        <v>1.7476851851851851E-2</v>
      </c>
      <c r="C6366" t="s">
        <v>7138</v>
      </c>
      <c r="D6366" t="s">
        <v>360</v>
      </c>
      <c r="E6366" t="s">
        <v>361</v>
      </c>
      <c r="F6366" t="s">
        <v>7150</v>
      </c>
      <c r="G6366">
        <v>332602</v>
      </c>
      <c r="H6366" t="s">
        <v>26</v>
      </c>
      <c r="I6366" t="s">
        <v>69</v>
      </c>
      <c r="J6366" t="str">
        <f>"9780631227885"</f>
        <v>9780631227885</v>
      </c>
      <c r="K6366" t="s">
        <v>9774</v>
      </c>
      <c r="L6366">
        <v>28</v>
      </c>
      <c r="O6366" t="s">
        <v>30</v>
      </c>
      <c r="P6366" t="s">
        <v>42</v>
      </c>
      <c r="S6366" t="s">
        <v>363</v>
      </c>
      <c r="T6366" t="s">
        <v>7151</v>
      </c>
      <c r="U6366" t="s">
        <v>7152</v>
      </c>
      <c r="V6366" s="3">
        <v>41424</v>
      </c>
    </row>
    <row r="6367" spans="1:22" x14ac:dyDescent="0.35">
      <c r="A6367" s="1">
        <v>42284.667986111112</v>
      </c>
      <c r="B6367" s="2">
        <v>2.9074074074074075E-2</v>
      </c>
      <c r="C6367" t="s">
        <v>7138</v>
      </c>
      <c r="D6367" t="s">
        <v>360</v>
      </c>
      <c r="E6367" t="s">
        <v>361</v>
      </c>
      <c r="F6367" t="s">
        <v>7150</v>
      </c>
      <c r="G6367">
        <v>332602</v>
      </c>
      <c r="H6367" t="s">
        <v>26</v>
      </c>
      <c r="I6367" t="s">
        <v>69</v>
      </c>
      <c r="J6367" t="str">
        <f>"9780631227885"</f>
        <v>9780631227885</v>
      </c>
      <c r="K6367" t="s">
        <v>8393</v>
      </c>
      <c r="L6367">
        <v>4</v>
      </c>
      <c r="O6367" t="s">
        <v>30</v>
      </c>
      <c r="P6367" t="s">
        <v>42</v>
      </c>
      <c r="S6367" t="s">
        <v>363</v>
      </c>
      <c r="T6367" t="s">
        <v>7151</v>
      </c>
      <c r="U6367" t="s">
        <v>7152</v>
      </c>
      <c r="V6367" s="3">
        <v>41424</v>
      </c>
    </row>
    <row r="6368" spans="1:22" x14ac:dyDescent="0.35">
      <c r="A6368" s="1">
        <v>42284.605300925927</v>
      </c>
      <c r="B6368" s="2">
        <v>2.4305555555555552E-4</v>
      </c>
      <c r="C6368" t="s">
        <v>9775</v>
      </c>
      <c r="D6368" t="s">
        <v>360</v>
      </c>
      <c r="E6368" t="s">
        <v>361</v>
      </c>
      <c r="F6368" t="s">
        <v>9776</v>
      </c>
      <c r="G6368">
        <v>1829439</v>
      </c>
      <c r="H6368" t="s">
        <v>26</v>
      </c>
      <c r="I6368" t="s">
        <v>247</v>
      </c>
      <c r="J6368" t="str">
        <f>"9781118465837"</f>
        <v>9781118465837</v>
      </c>
      <c r="K6368" t="s">
        <v>9777</v>
      </c>
      <c r="L6368">
        <v>10</v>
      </c>
      <c r="O6368" t="s">
        <v>30</v>
      </c>
      <c r="P6368" t="s">
        <v>50</v>
      </c>
      <c r="S6368" t="s">
        <v>363</v>
      </c>
      <c r="T6368" t="s">
        <v>9778</v>
      </c>
      <c r="U6368" t="s">
        <v>9779</v>
      </c>
      <c r="V6368" s="3">
        <v>41940</v>
      </c>
    </row>
    <row r="6369" spans="1:22" x14ac:dyDescent="0.35">
      <c r="A6369" s="1">
        <v>42284.558009259257</v>
      </c>
      <c r="B6369" s="2">
        <v>1.0439814814814813E-2</v>
      </c>
      <c r="C6369" t="s">
        <v>106</v>
      </c>
      <c r="D6369" t="s">
        <v>23</v>
      </c>
      <c r="E6369" t="s">
        <v>24</v>
      </c>
      <c r="F6369" t="s">
        <v>9558</v>
      </c>
      <c r="G6369">
        <v>2008614</v>
      </c>
      <c r="H6369" t="s">
        <v>91</v>
      </c>
      <c r="I6369" t="s">
        <v>247</v>
      </c>
      <c r="J6369" t="str">
        <f>"9781462523429"</f>
        <v>9781462523429</v>
      </c>
      <c r="K6369" t="s">
        <v>9780</v>
      </c>
      <c r="L6369">
        <v>25</v>
      </c>
      <c r="O6369" t="s">
        <v>30</v>
      </c>
      <c r="P6369" t="s">
        <v>47</v>
      </c>
      <c r="Q6369" s="1">
        <v>42284.558009259257</v>
      </c>
      <c r="R6369">
        <v>1</v>
      </c>
      <c r="S6369" t="s">
        <v>31</v>
      </c>
      <c r="T6369" t="s">
        <v>9560</v>
      </c>
      <c r="U6369">
        <v>616.85226999999998</v>
      </c>
      <c r="V6369" s="3">
        <v>42005</v>
      </c>
    </row>
    <row r="6370" spans="1:22" x14ac:dyDescent="0.35">
      <c r="A6370" s="1">
        <v>42284.553738425922</v>
      </c>
      <c r="B6370" s="2">
        <v>4.2708333333333339E-3</v>
      </c>
      <c r="C6370" t="s">
        <v>106</v>
      </c>
      <c r="D6370" t="s">
        <v>23</v>
      </c>
      <c r="E6370" t="s">
        <v>24</v>
      </c>
      <c r="F6370" t="s">
        <v>9558</v>
      </c>
      <c r="G6370">
        <v>2008614</v>
      </c>
      <c r="H6370" t="s">
        <v>91</v>
      </c>
      <c r="I6370" t="s">
        <v>247</v>
      </c>
      <c r="J6370" t="str">
        <f>"9781462523429"</f>
        <v>9781462523429</v>
      </c>
      <c r="K6370" t="s">
        <v>9781</v>
      </c>
      <c r="L6370">
        <v>14</v>
      </c>
      <c r="O6370" t="s">
        <v>30</v>
      </c>
      <c r="P6370" t="s">
        <v>50</v>
      </c>
      <c r="S6370" t="s">
        <v>31</v>
      </c>
      <c r="T6370" t="s">
        <v>9560</v>
      </c>
      <c r="U6370">
        <v>616.85226999999998</v>
      </c>
      <c r="V6370" s="3">
        <v>42005</v>
      </c>
    </row>
    <row r="6371" spans="1:22" x14ac:dyDescent="0.35">
      <c r="A6371" s="1">
        <v>42284.281307870369</v>
      </c>
      <c r="B6371" s="2">
        <v>1.273148148148148E-4</v>
      </c>
      <c r="C6371" t="s">
        <v>106</v>
      </c>
      <c r="D6371" t="s">
        <v>23</v>
      </c>
      <c r="E6371" t="s">
        <v>24</v>
      </c>
      <c r="F6371" t="s">
        <v>4801</v>
      </c>
      <c r="G6371">
        <v>1388962</v>
      </c>
      <c r="H6371" t="s">
        <v>186</v>
      </c>
      <c r="I6371" t="s">
        <v>247</v>
      </c>
      <c r="J6371" t="str">
        <f>"9781780643403"</f>
        <v>9781780643403</v>
      </c>
      <c r="K6371" t="s">
        <v>9782</v>
      </c>
      <c r="L6371">
        <v>2</v>
      </c>
      <c r="O6371" t="s">
        <v>30</v>
      </c>
      <c r="P6371" t="s">
        <v>47</v>
      </c>
      <c r="Q6371" s="1">
        <v>42284.281307870369</v>
      </c>
      <c r="R6371">
        <v>1</v>
      </c>
      <c r="S6371" t="s">
        <v>31</v>
      </c>
      <c r="T6371" t="s">
        <v>4803</v>
      </c>
      <c r="U6371" t="s">
        <v>4804</v>
      </c>
      <c r="V6371" s="3">
        <v>41275</v>
      </c>
    </row>
    <row r="6372" spans="1:22" x14ac:dyDescent="0.35">
      <c r="A6372" s="1">
        <v>42284.280324074076</v>
      </c>
      <c r="B6372" s="2">
        <v>1.8981481481481482E-3</v>
      </c>
      <c r="C6372" t="s">
        <v>8858</v>
      </c>
      <c r="D6372" t="s">
        <v>23</v>
      </c>
      <c r="E6372" t="s">
        <v>24</v>
      </c>
      <c r="F6372" t="s">
        <v>6635</v>
      </c>
      <c r="G6372">
        <v>817871</v>
      </c>
      <c r="H6372" t="s">
        <v>26</v>
      </c>
      <c r="I6372" t="s">
        <v>276</v>
      </c>
      <c r="J6372" t="str">
        <f>"9781118206911"</f>
        <v>9781118206911</v>
      </c>
      <c r="K6372" t="s">
        <v>9783</v>
      </c>
      <c r="L6372">
        <v>14</v>
      </c>
      <c r="O6372" t="s">
        <v>30</v>
      </c>
      <c r="P6372" t="s">
        <v>29</v>
      </c>
      <c r="Q6372" s="1">
        <v>42284.280324074076</v>
      </c>
      <c r="R6372">
        <v>7</v>
      </c>
      <c r="S6372" t="s">
        <v>31</v>
      </c>
      <c r="T6372" t="s">
        <v>6637</v>
      </c>
      <c r="U6372">
        <v>6.74</v>
      </c>
      <c r="V6372" s="3">
        <v>40897</v>
      </c>
    </row>
    <row r="6373" spans="1:22" x14ac:dyDescent="0.35">
      <c r="A6373" s="1">
        <v>42284.273912037039</v>
      </c>
      <c r="B6373" s="2">
        <v>7.3958333333333341E-3</v>
      </c>
      <c r="C6373" t="s">
        <v>106</v>
      </c>
      <c r="D6373" t="s">
        <v>23</v>
      </c>
      <c r="E6373" t="s">
        <v>24</v>
      </c>
      <c r="F6373" t="s">
        <v>4801</v>
      </c>
      <c r="G6373">
        <v>1388962</v>
      </c>
      <c r="H6373" t="s">
        <v>186</v>
      </c>
      <c r="I6373" t="s">
        <v>247</v>
      </c>
      <c r="J6373" t="str">
        <f>"9781780643403"</f>
        <v>9781780643403</v>
      </c>
      <c r="K6373" t="s">
        <v>889</v>
      </c>
      <c r="L6373">
        <v>6</v>
      </c>
      <c r="O6373" t="s">
        <v>30</v>
      </c>
      <c r="P6373" t="s">
        <v>50</v>
      </c>
      <c r="S6373" t="s">
        <v>31</v>
      </c>
      <c r="T6373" t="s">
        <v>4803</v>
      </c>
      <c r="U6373" t="s">
        <v>4804</v>
      </c>
      <c r="V6373" s="3">
        <v>41275</v>
      </c>
    </row>
    <row r="6374" spans="1:22" x14ac:dyDescent="0.35">
      <c r="A6374" s="1">
        <v>42284.259884259256</v>
      </c>
      <c r="B6374" s="2">
        <v>2.0439814814814817E-2</v>
      </c>
      <c r="C6374" t="s">
        <v>8858</v>
      </c>
      <c r="D6374" t="s">
        <v>23</v>
      </c>
      <c r="E6374" t="s">
        <v>24</v>
      </c>
      <c r="F6374" t="s">
        <v>6635</v>
      </c>
      <c r="G6374">
        <v>817871</v>
      </c>
      <c r="H6374" t="s">
        <v>26</v>
      </c>
      <c r="I6374" t="s">
        <v>276</v>
      </c>
      <c r="J6374" t="str">
        <f>"9781118206911"</f>
        <v>9781118206911</v>
      </c>
      <c r="K6374" t="s">
        <v>9784</v>
      </c>
      <c r="L6374">
        <v>15</v>
      </c>
      <c r="O6374" t="s">
        <v>30</v>
      </c>
      <c r="P6374" t="s">
        <v>42</v>
      </c>
      <c r="S6374" t="s">
        <v>31</v>
      </c>
      <c r="T6374" t="s">
        <v>6637</v>
      </c>
      <c r="U6374">
        <v>6.74</v>
      </c>
      <c r="V6374" s="3">
        <v>40897</v>
      </c>
    </row>
    <row r="6375" spans="1:22" x14ac:dyDescent="0.35">
      <c r="A6375" s="1">
        <v>42284.137418981481</v>
      </c>
      <c r="B6375" s="2">
        <v>0</v>
      </c>
      <c r="C6375" t="s">
        <v>9028</v>
      </c>
      <c r="D6375" t="s">
        <v>23</v>
      </c>
      <c r="E6375" t="s">
        <v>24</v>
      </c>
      <c r="F6375" t="s">
        <v>6215</v>
      </c>
      <c r="G6375">
        <v>1718748</v>
      </c>
      <c r="H6375" t="s">
        <v>26</v>
      </c>
      <c r="I6375" t="s">
        <v>297</v>
      </c>
      <c r="J6375" t="str">
        <f>"9781118791080"</f>
        <v>9781118791080</v>
      </c>
      <c r="L6375">
        <v>0</v>
      </c>
      <c r="O6375" t="s">
        <v>28</v>
      </c>
      <c r="P6375" t="s">
        <v>29</v>
      </c>
      <c r="Q6375" s="1">
        <v>42284.137407407405</v>
      </c>
      <c r="R6375">
        <v>7</v>
      </c>
      <c r="S6375" t="s">
        <v>31</v>
      </c>
      <c r="T6375" t="s">
        <v>6217</v>
      </c>
      <c r="U6375">
        <v>515</v>
      </c>
      <c r="V6375" s="3">
        <v>41813</v>
      </c>
    </row>
    <row r="6376" spans="1:22" x14ac:dyDescent="0.35">
      <c r="A6376" s="1">
        <v>42284.137407407405</v>
      </c>
      <c r="B6376" s="2">
        <v>0</v>
      </c>
      <c r="C6376" t="s">
        <v>9028</v>
      </c>
      <c r="D6376" t="s">
        <v>23</v>
      </c>
      <c r="E6376" t="s">
        <v>24</v>
      </c>
      <c r="F6376" t="s">
        <v>6215</v>
      </c>
      <c r="G6376">
        <v>1718748</v>
      </c>
      <c r="H6376" t="s">
        <v>26</v>
      </c>
      <c r="I6376" t="s">
        <v>297</v>
      </c>
      <c r="J6376" t="str">
        <f>"9781118791080"</f>
        <v>9781118791080</v>
      </c>
      <c r="L6376">
        <v>0</v>
      </c>
      <c r="O6376" t="s">
        <v>30</v>
      </c>
      <c r="P6376" t="s">
        <v>29</v>
      </c>
      <c r="Q6376" s="1">
        <v>42284.137407407405</v>
      </c>
      <c r="R6376">
        <v>7</v>
      </c>
      <c r="S6376" t="s">
        <v>31</v>
      </c>
      <c r="T6376" t="s">
        <v>6217</v>
      </c>
      <c r="U6376">
        <v>515</v>
      </c>
      <c r="V6376" s="3">
        <v>41813</v>
      </c>
    </row>
    <row r="6377" spans="1:22" x14ac:dyDescent="0.35">
      <c r="A6377" s="1">
        <v>42284.137199074074</v>
      </c>
      <c r="B6377" s="2">
        <v>2.0833333333333335E-4</v>
      </c>
      <c r="C6377" t="s">
        <v>9028</v>
      </c>
      <c r="D6377" t="s">
        <v>23</v>
      </c>
      <c r="E6377" t="s">
        <v>24</v>
      </c>
      <c r="F6377" t="s">
        <v>6215</v>
      </c>
      <c r="G6377">
        <v>1718748</v>
      </c>
      <c r="H6377" t="s">
        <v>26</v>
      </c>
      <c r="I6377" t="s">
        <v>297</v>
      </c>
      <c r="J6377" t="str">
        <f>"9781118791080"</f>
        <v>9781118791080</v>
      </c>
      <c r="K6377" t="s">
        <v>611</v>
      </c>
      <c r="L6377">
        <v>3</v>
      </c>
      <c r="O6377" t="s">
        <v>30</v>
      </c>
      <c r="P6377" t="s">
        <v>42</v>
      </c>
      <c r="S6377" t="s">
        <v>31</v>
      </c>
      <c r="T6377" t="s">
        <v>6217</v>
      </c>
      <c r="U6377">
        <v>515</v>
      </c>
      <c r="V6377" s="3">
        <v>41813</v>
      </c>
    </row>
    <row r="6378" spans="1:22" x14ac:dyDescent="0.35">
      <c r="A6378" s="1">
        <v>42284.136979166666</v>
      </c>
      <c r="B6378" s="2">
        <v>0</v>
      </c>
      <c r="C6378" t="s">
        <v>9028</v>
      </c>
      <c r="D6378" t="s">
        <v>23</v>
      </c>
      <c r="E6378" t="s">
        <v>24</v>
      </c>
      <c r="F6378" t="s">
        <v>9202</v>
      </c>
      <c r="G6378">
        <v>1895918</v>
      </c>
      <c r="H6378" t="s">
        <v>26</v>
      </c>
      <c r="I6378" t="s">
        <v>297</v>
      </c>
      <c r="J6378" t="str">
        <f>"9781119015314"</f>
        <v>9781119015314</v>
      </c>
      <c r="L6378">
        <v>0</v>
      </c>
      <c r="O6378" t="s">
        <v>28</v>
      </c>
      <c r="P6378" t="s">
        <v>29</v>
      </c>
      <c r="Q6378" s="1">
        <v>42284.136979166666</v>
      </c>
      <c r="R6378">
        <v>7</v>
      </c>
      <c r="S6378" t="s">
        <v>31</v>
      </c>
      <c r="T6378" t="s">
        <v>9203</v>
      </c>
      <c r="U6378">
        <v>515</v>
      </c>
      <c r="V6378" s="3">
        <v>42213</v>
      </c>
    </row>
    <row r="6379" spans="1:22" x14ac:dyDescent="0.35">
      <c r="A6379" s="1">
        <v>42284.136979166666</v>
      </c>
      <c r="B6379" s="2">
        <v>0</v>
      </c>
      <c r="C6379" t="s">
        <v>9028</v>
      </c>
      <c r="D6379" t="s">
        <v>23</v>
      </c>
      <c r="E6379" t="s">
        <v>24</v>
      </c>
      <c r="F6379" t="s">
        <v>9202</v>
      </c>
      <c r="G6379">
        <v>1895918</v>
      </c>
      <c r="H6379" t="s">
        <v>26</v>
      </c>
      <c r="I6379" t="s">
        <v>297</v>
      </c>
      <c r="J6379" t="str">
        <f>"9781119015314"</f>
        <v>9781119015314</v>
      </c>
      <c r="L6379">
        <v>0</v>
      </c>
      <c r="O6379" t="s">
        <v>30</v>
      </c>
      <c r="P6379" t="s">
        <v>29</v>
      </c>
      <c r="Q6379" s="1">
        <v>42284.136979166666</v>
      </c>
      <c r="R6379">
        <v>7</v>
      </c>
      <c r="S6379" t="s">
        <v>31</v>
      </c>
      <c r="T6379" t="s">
        <v>9203</v>
      </c>
      <c r="U6379">
        <v>515</v>
      </c>
      <c r="V6379" s="3">
        <v>42213</v>
      </c>
    </row>
    <row r="6380" spans="1:22" x14ac:dyDescent="0.35">
      <c r="A6380" s="1">
        <v>42284.136712962965</v>
      </c>
      <c r="B6380" s="2">
        <v>2.6620370370370372E-4</v>
      </c>
      <c r="C6380" t="s">
        <v>9028</v>
      </c>
      <c r="D6380" t="s">
        <v>23</v>
      </c>
      <c r="E6380" t="s">
        <v>24</v>
      </c>
      <c r="F6380" t="s">
        <v>9202</v>
      </c>
      <c r="G6380">
        <v>1895918</v>
      </c>
      <c r="H6380" t="s">
        <v>26</v>
      </c>
      <c r="I6380" t="s">
        <v>297</v>
      </c>
      <c r="J6380" t="str">
        <f>"9781119015314"</f>
        <v>9781119015314</v>
      </c>
      <c r="K6380" t="s">
        <v>33</v>
      </c>
      <c r="L6380">
        <v>3</v>
      </c>
      <c r="O6380" t="s">
        <v>30</v>
      </c>
      <c r="P6380" t="s">
        <v>42</v>
      </c>
      <c r="S6380" t="s">
        <v>31</v>
      </c>
      <c r="T6380" t="s">
        <v>9203</v>
      </c>
      <c r="U6380">
        <v>515</v>
      </c>
      <c r="V6380" s="3">
        <v>42213</v>
      </c>
    </row>
    <row r="6381" spans="1:22" x14ac:dyDescent="0.35">
      <c r="A6381" s="1">
        <v>42284.134988425925</v>
      </c>
      <c r="B6381" s="2">
        <v>0</v>
      </c>
      <c r="C6381" t="s">
        <v>9028</v>
      </c>
      <c r="D6381" t="s">
        <v>23</v>
      </c>
      <c r="E6381" t="s">
        <v>24</v>
      </c>
      <c r="F6381" t="s">
        <v>3640</v>
      </c>
      <c r="G6381">
        <v>1662670</v>
      </c>
      <c r="H6381" t="s">
        <v>26</v>
      </c>
      <c r="I6381" t="s">
        <v>3641</v>
      </c>
      <c r="J6381" t="str">
        <f>"9781118821251"</f>
        <v>9781118821251</v>
      </c>
      <c r="L6381">
        <v>0</v>
      </c>
      <c r="O6381" t="s">
        <v>28</v>
      </c>
      <c r="P6381" t="s">
        <v>29</v>
      </c>
      <c r="Q6381" s="1">
        <v>42284.134988425925</v>
      </c>
      <c r="R6381">
        <v>7</v>
      </c>
      <c r="S6381" t="s">
        <v>31</v>
      </c>
      <c r="T6381" t="s">
        <v>3642</v>
      </c>
      <c r="U6381" t="s">
        <v>3643</v>
      </c>
      <c r="V6381" s="3">
        <v>41724</v>
      </c>
    </row>
    <row r="6382" spans="1:22" x14ac:dyDescent="0.35">
      <c r="A6382" s="1">
        <v>42284.134988425925</v>
      </c>
      <c r="B6382" s="2">
        <v>0</v>
      </c>
      <c r="C6382" t="s">
        <v>9028</v>
      </c>
      <c r="D6382" t="s">
        <v>23</v>
      </c>
      <c r="E6382" t="s">
        <v>24</v>
      </c>
      <c r="F6382" t="s">
        <v>3640</v>
      </c>
      <c r="G6382">
        <v>1662670</v>
      </c>
      <c r="H6382" t="s">
        <v>26</v>
      </c>
      <c r="I6382" t="s">
        <v>3641</v>
      </c>
      <c r="J6382" t="str">
        <f>"9781118821251"</f>
        <v>9781118821251</v>
      </c>
      <c r="L6382">
        <v>0</v>
      </c>
      <c r="O6382" t="s">
        <v>30</v>
      </c>
      <c r="P6382" t="s">
        <v>29</v>
      </c>
      <c r="Q6382" s="1">
        <v>42284.134988425925</v>
      </c>
      <c r="R6382">
        <v>7</v>
      </c>
      <c r="S6382" t="s">
        <v>31</v>
      </c>
      <c r="T6382" t="s">
        <v>3642</v>
      </c>
      <c r="U6382" t="s">
        <v>3643</v>
      </c>
      <c r="V6382" s="3">
        <v>41724</v>
      </c>
    </row>
    <row r="6383" spans="1:22" x14ac:dyDescent="0.35">
      <c r="A6383" s="1">
        <v>42284.134675925925</v>
      </c>
      <c r="B6383" s="2">
        <v>3.0092592592592595E-4</v>
      </c>
      <c r="C6383" t="s">
        <v>9028</v>
      </c>
      <c r="D6383" t="s">
        <v>23</v>
      </c>
      <c r="E6383" t="s">
        <v>24</v>
      </c>
      <c r="F6383" t="s">
        <v>3640</v>
      </c>
      <c r="G6383">
        <v>1662670</v>
      </c>
      <c r="H6383" t="s">
        <v>26</v>
      </c>
      <c r="I6383" t="s">
        <v>3641</v>
      </c>
      <c r="J6383" t="str">
        <f>"9781118821251"</f>
        <v>9781118821251</v>
      </c>
      <c r="K6383" t="s">
        <v>209</v>
      </c>
      <c r="L6383">
        <v>4</v>
      </c>
      <c r="O6383" t="s">
        <v>30</v>
      </c>
      <c r="P6383" t="s">
        <v>42</v>
      </c>
      <c r="S6383" t="s">
        <v>31</v>
      </c>
      <c r="T6383" t="s">
        <v>3642</v>
      </c>
      <c r="U6383" t="s">
        <v>3643</v>
      </c>
      <c r="V6383" s="3">
        <v>41724</v>
      </c>
    </row>
    <row r="6384" spans="1:22" x14ac:dyDescent="0.35">
      <c r="A6384" s="1">
        <v>42284.108449074076</v>
      </c>
      <c r="B6384" s="2">
        <v>6.2847222222222228E-3</v>
      </c>
      <c r="C6384" t="s">
        <v>9785</v>
      </c>
      <c r="D6384" t="s">
        <v>23</v>
      </c>
      <c r="E6384" t="s">
        <v>24</v>
      </c>
      <c r="F6384" t="s">
        <v>3488</v>
      </c>
      <c r="G6384">
        <v>1294909</v>
      </c>
      <c r="H6384" t="s">
        <v>84</v>
      </c>
      <c r="I6384" t="s">
        <v>445</v>
      </c>
      <c r="J6384" t="str">
        <f>"9780520956797"</f>
        <v>9780520956797</v>
      </c>
      <c r="K6384" t="s">
        <v>9786</v>
      </c>
      <c r="L6384">
        <v>28</v>
      </c>
      <c r="O6384" t="s">
        <v>30</v>
      </c>
      <c r="P6384" t="s">
        <v>29</v>
      </c>
      <c r="Q6384" s="1">
        <v>42281.970833333333</v>
      </c>
      <c r="R6384">
        <v>7</v>
      </c>
      <c r="S6384" t="s">
        <v>31</v>
      </c>
      <c r="T6384" t="s">
        <v>3490</v>
      </c>
      <c r="U6384" t="s">
        <v>3491</v>
      </c>
      <c r="V6384" s="3">
        <v>41487</v>
      </c>
    </row>
    <row r="6385" spans="1:22" x14ac:dyDescent="0.35">
      <c r="A6385" s="1">
        <v>42284.103275462963</v>
      </c>
      <c r="B6385" s="2">
        <v>3.9409722222222221E-2</v>
      </c>
      <c r="C6385" t="s">
        <v>9787</v>
      </c>
      <c r="D6385" t="s">
        <v>35</v>
      </c>
      <c r="E6385" t="s">
        <v>36</v>
      </c>
      <c r="F6385" t="s">
        <v>5954</v>
      </c>
      <c r="G6385">
        <v>864784</v>
      </c>
      <c r="H6385" t="s">
        <v>492</v>
      </c>
      <c r="I6385" t="s">
        <v>69</v>
      </c>
      <c r="J6385" t="str">
        <f>"9781400841578"</f>
        <v>9781400841578</v>
      </c>
      <c r="K6385" t="s">
        <v>9788</v>
      </c>
      <c r="L6385">
        <v>50</v>
      </c>
      <c r="O6385" t="s">
        <v>30</v>
      </c>
      <c r="P6385" t="s">
        <v>42</v>
      </c>
      <c r="S6385" t="s">
        <v>40</v>
      </c>
      <c r="T6385" t="s">
        <v>5956</v>
      </c>
      <c r="U6385">
        <v>378.73</v>
      </c>
      <c r="V6385" s="3">
        <v>41786</v>
      </c>
    </row>
    <row r="6386" spans="1:22" x14ac:dyDescent="0.35">
      <c r="A6386" s="1">
        <v>42284.102916666663</v>
      </c>
      <c r="B6386" s="2">
        <v>1.7361111111111112E-4</v>
      </c>
      <c r="C6386" t="s">
        <v>9787</v>
      </c>
      <c r="D6386" t="s">
        <v>35</v>
      </c>
      <c r="E6386" t="s">
        <v>36</v>
      </c>
      <c r="F6386" t="s">
        <v>5954</v>
      </c>
      <c r="G6386">
        <v>864784</v>
      </c>
      <c r="H6386" t="s">
        <v>492</v>
      </c>
      <c r="I6386" t="s">
        <v>69</v>
      </c>
      <c r="J6386" t="str">
        <f>"9781400841578"</f>
        <v>9781400841578</v>
      </c>
      <c r="K6386" t="s">
        <v>209</v>
      </c>
      <c r="L6386">
        <v>4</v>
      </c>
      <c r="O6386" t="s">
        <v>30</v>
      </c>
      <c r="P6386" t="s">
        <v>42</v>
      </c>
      <c r="S6386" t="s">
        <v>40</v>
      </c>
      <c r="T6386" t="s">
        <v>5956</v>
      </c>
      <c r="U6386">
        <v>378.73</v>
      </c>
      <c r="V6386" s="3">
        <v>41786</v>
      </c>
    </row>
    <row r="6387" spans="1:22" x14ac:dyDescent="0.35">
      <c r="A6387" s="1">
        <v>42284.095775462964</v>
      </c>
      <c r="B6387" s="2">
        <v>1.2546296296296297E-2</v>
      </c>
      <c r="C6387" t="s">
        <v>9785</v>
      </c>
      <c r="D6387" t="s">
        <v>23</v>
      </c>
      <c r="E6387" t="s">
        <v>24</v>
      </c>
      <c r="F6387" t="s">
        <v>3488</v>
      </c>
      <c r="G6387">
        <v>1294909</v>
      </c>
      <c r="H6387" t="s">
        <v>84</v>
      </c>
      <c r="I6387" t="s">
        <v>445</v>
      </c>
      <c r="J6387" t="str">
        <f>"9780520956797"</f>
        <v>9780520956797</v>
      </c>
      <c r="K6387" t="s">
        <v>9789</v>
      </c>
      <c r="L6387">
        <v>36</v>
      </c>
      <c r="O6387" t="s">
        <v>30</v>
      </c>
      <c r="P6387" t="s">
        <v>29</v>
      </c>
      <c r="Q6387" s="1">
        <v>42281.970833333333</v>
      </c>
      <c r="R6387">
        <v>7</v>
      </c>
      <c r="S6387" t="s">
        <v>31</v>
      </c>
      <c r="T6387" t="s">
        <v>3490</v>
      </c>
      <c r="U6387" t="s">
        <v>3491</v>
      </c>
      <c r="V6387" s="3">
        <v>41487</v>
      </c>
    </row>
    <row r="6388" spans="1:22" x14ac:dyDescent="0.35">
      <c r="A6388" s="1">
        <v>42284.059791666667</v>
      </c>
      <c r="B6388" s="2">
        <v>4.5023148148148149E-3</v>
      </c>
      <c r="C6388" t="s">
        <v>9790</v>
      </c>
      <c r="D6388" t="s">
        <v>23</v>
      </c>
      <c r="E6388" t="s">
        <v>24</v>
      </c>
      <c r="F6388" t="s">
        <v>9791</v>
      </c>
      <c r="G6388">
        <v>1938147</v>
      </c>
      <c r="H6388" t="s">
        <v>91</v>
      </c>
      <c r="I6388" t="s">
        <v>247</v>
      </c>
      <c r="J6388" t="str">
        <f>"9781462520695"</f>
        <v>9781462520695</v>
      </c>
      <c r="K6388" t="s">
        <v>9792</v>
      </c>
      <c r="L6388">
        <v>14</v>
      </c>
      <c r="O6388" t="s">
        <v>30</v>
      </c>
      <c r="P6388" t="s">
        <v>47</v>
      </c>
      <c r="Q6388" s="1">
        <v>42279.605520833335</v>
      </c>
      <c r="R6388">
        <v>7</v>
      </c>
      <c r="S6388" t="s">
        <v>31</v>
      </c>
      <c r="T6388" t="s">
        <v>9793</v>
      </c>
      <c r="U6388">
        <v>616.85260600000004</v>
      </c>
      <c r="V6388" s="3">
        <v>42005</v>
      </c>
    </row>
    <row r="6389" spans="1:22" x14ac:dyDescent="0.35">
      <c r="A6389" s="1">
        <v>42284.03733796296</v>
      </c>
      <c r="B6389" s="2">
        <v>4.7453703703703704E-4</v>
      </c>
      <c r="C6389" t="s">
        <v>5340</v>
      </c>
      <c r="D6389" t="s">
        <v>23</v>
      </c>
      <c r="E6389" t="s">
        <v>24</v>
      </c>
      <c r="F6389" t="s">
        <v>9558</v>
      </c>
      <c r="G6389">
        <v>2008614</v>
      </c>
      <c r="H6389" t="s">
        <v>91</v>
      </c>
      <c r="I6389" t="s">
        <v>247</v>
      </c>
      <c r="J6389" t="str">
        <f>"9781462523429"</f>
        <v>9781462523429</v>
      </c>
      <c r="K6389" t="s">
        <v>9794</v>
      </c>
      <c r="L6389">
        <v>4</v>
      </c>
      <c r="O6389" t="s">
        <v>30</v>
      </c>
      <c r="P6389" t="s">
        <v>47</v>
      </c>
      <c r="Q6389" s="1">
        <v>42284.03733796296</v>
      </c>
      <c r="R6389">
        <v>1</v>
      </c>
      <c r="S6389" t="s">
        <v>31</v>
      </c>
      <c r="T6389" t="s">
        <v>9560</v>
      </c>
      <c r="U6389">
        <v>616.85226999999998</v>
      </c>
      <c r="V6389" s="3">
        <v>42005</v>
      </c>
    </row>
    <row r="6390" spans="1:22" x14ac:dyDescent="0.35">
      <c r="A6390" s="1">
        <v>42284.033854166664</v>
      </c>
      <c r="B6390" s="2">
        <v>3.483796296296296E-3</v>
      </c>
      <c r="C6390" t="s">
        <v>5340</v>
      </c>
      <c r="D6390" t="s">
        <v>23</v>
      </c>
      <c r="E6390" t="s">
        <v>24</v>
      </c>
      <c r="F6390" t="s">
        <v>9558</v>
      </c>
      <c r="G6390">
        <v>2008614</v>
      </c>
      <c r="H6390" t="s">
        <v>91</v>
      </c>
      <c r="I6390" t="s">
        <v>247</v>
      </c>
      <c r="J6390" t="str">
        <f>"9781462523429"</f>
        <v>9781462523429</v>
      </c>
      <c r="K6390" t="s">
        <v>9795</v>
      </c>
      <c r="L6390">
        <v>23</v>
      </c>
      <c r="O6390" t="s">
        <v>30</v>
      </c>
      <c r="P6390" t="s">
        <v>50</v>
      </c>
      <c r="S6390" t="s">
        <v>31</v>
      </c>
      <c r="T6390" t="s">
        <v>9560</v>
      </c>
      <c r="U6390">
        <v>616.85226999999998</v>
      </c>
      <c r="V6390" s="3">
        <v>42005</v>
      </c>
    </row>
    <row r="6391" spans="1:22" x14ac:dyDescent="0.35">
      <c r="A6391" s="1">
        <v>42284.024560185186</v>
      </c>
      <c r="B6391" s="2">
        <v>2.7662037037037034E-3</v>
      </c>
      <c r="C6391" t="s">
        <v>9796</v>
      </c>
      <c r="D6391" t="s">
        <v>23</v>
      </c>
      <c r="E6391" t="s">
        <v>24</v>
      </c>
      <c r="F6391" t="s">
        <v>3060</v>
      </c>
      <c r="G6391">
        <v>1120279</v>
      </c>
      <c r="H6391" t="s">
        <v>26</v>
      </c>
      <c r="I6391" t="s">
        <v>3061</v>
      </c>
      <c r="J6391" t="str">
        <f>"9781118537671"</f>
        <v>9781118537671</v>
      </c>
      <c r="K6391" t="s">
        <v>9797</v>
      </c>
      <c r="L6391">
        <v>32</v>
      </c>
      <c r="O6391" t="s">
        <v>30</v>
      </c>
      <c r="P6391" t="s">
        <v>29</v>
      </c>
      <c r="Q6391" s="1">
        <v>42284.019641203704</v>
      </c>
      <c r="R6391">
        <v>7</v>
      </c>
      <c r="S6391" t="s">
        <v>31</v>
      </c>
      <c r="T6391" t="s">
        <v>3063</v>
      </c>
      <c r="U6391">
        <v>599.93499999999995</v>
      </c>
      <c r="V6391" s="3">
        <v>41232</v>
      </c>
    </row>
    <row r="6392" spans="1:22" x14ac:dyDescent="0.35">
      <c r="A6392" s="1">
        <v>42284.02412037037</v>
      </c>
      <c r="B6392" s="2">
        <v>0</v>
      </c>
      <c r="C6392" t="s">
        <v>9796</v>
      </c>
      <c r="D6392" t="s">
        <v>23</v>
      </c>
      <c r="E6392" t="s">
        <v>24</v>
      </c>
      <c r="F6392" t="s">
        <v>3060</v>
      </c>
      <c r="G6392">
        <v>1120279</v>
      </c>
      <c r="H6392" t="s">
        <v>26</v>
      </c>
      <c r="I6392" t="s">
        <v>3061</v>
      </c>
      <c r="J6392" t="str">
        <f>"9781118537671"</f>
        <v>9781118537671</v>
      </c>
      <c r="L6392">
        <v>0</v>
      </c>
      <c r="O6392" t="s">
        <v>28</v>
      </c>
      <c r="P6392" t="s">
        <v>29</v>
      </c>
      <c r="Q6392" s="1">
        <v>42284.019641203704</v>
      </c>
      <c r="R6392">
        <v>7</v>
      </c>
      <c r="S6392" t="s">
        <v>31</v>
      </c>
      <c r="T6392" t="s">
        <v>3063</v>
      </c>
      <c r="U6392">
        <v>599.93499999999995</v>
      </c>
      <c r="V6392" s="3">
        <v>41232</v>
      </c>
    </row>
    <row r="6393" spans="1:22" x14ac:dyDescent="0.35">
      <c r="A6393" s="1">
        <v>42284.022881944446</v>
      </c>
      <c r="B6393" s="2">
        <v>0</v>
      </c>
      <c r="C6393" t="s">
        <v>9798</v>
      </c>
      <c r="D6393" t="s">
        <v>125</v>
      </c>
      <c r="E6393" t="s">
        <v>126</v>
      </c>
      <c r="F6393" t="s">
        <v>982</v>
      </c>
      <c r="G6393">
        <v>1882108</v>
      </c>
      <c r="H6393" t="s">
        <v>84</v>
      </c>
      <c r="I6393" t="s">
        <v>310</v>
      </c>
      <c r="J6393" t="str">
        <f>"9780520961326"</f>
        <v>9780520961326</v>
      </c>
      <c r="L6393">
        <v>0</v>
      </c>
      <c r="M6393" t="s">
        <v>648</v>
      </c>
      <c r="O6393" t="s">
        <v>30</v>
      </c>
      <c r="P6393" t="s">
        <v>29</v>
      </c>
      <c r="Q6393" s="1">
        <v>42284.022881944446</v>
      </c>
      <c r="R6393">
        <v>7</v>
      </c>
      <c r="S6393" t="s">
        <v>128</v>
      </c>
      <c r="T6393" t="s">
        <v>983</v>
      </c>
      <c r="U6393">
        <v>883</v>
      </c>
      <c r="V6393" s="3">
        <v>42138</v>
      </c>
    </row>
    <row r="6394" spans="1:22" x14ac:dyDescent="0.35">
      <c r="A6394" s="1">
        <v>42284.022523148145</v>
      </c>
      <c r="B6394" s="2">
        <v>3.4722222222222224E-4</v>
      </c>
      <c r="C6394" t="s">
        <v>9798</v>
      </c>
      <c r="D6394" t="s">
        <v>125</v>
      </c>
      <c r="E6394" t="s">
        <v>126</v>
      </c>
      <c r="F6394" t="s">
        <v>982</v>
      </c>
      <c r="G6394">
        <v>1882108</v>
      </c>
      <c r="H6394" t="s">
        <v>84</v>
      </c>
      <c r="I6394" t="s">
        <v>310</v>
      </c>
      <c r="J6394" t="str">
        <f>"9780520961326"</f>
        <v>9780520961326</v>
      </c>
      <c r="K6394" t="s">
        <v>33</v>
      </c>
      <c r="L6394">
        <v>3</v>
      </c>
      <c r="O6394" t="s">
        <v>30</v>
      </c>
      <c r="P6394" t="s">
        <v>50</v>
      </c>
      <c r="S6394" t="s">
        <v>128</v>
      </c>
      <c r="T6394" t="s">
        <v>983</v>
      </c>
      <c r="U6394">
        <v>883</v>
      </c>
      <c r="V6394" s="3">
        <v>42138</v>
      </c>
    </row>
    <row r="6395" spans="1:22" x14ac:dyDescent="0.35">
      <c r="A6395" s="1">
        <v>42284.022164351853</v>
      </c>
      <c r="B6395" s="2">
        <v>3.9745370370370368E-2</v>
      </c>
      <c r="C6395" t="s">
        <v>9799</v>
      </c>
      <c r="D6395" t="s">
        <v>35</v>
      </c>
      <c r="E6395" t="s">
        <v>36</v>
      </c>
      <c r="F6395" t="s">
        <v>9107</v>
      </c>
      <c r="G6395">
        <v>1780724</v>
      </c>
      <c r="H6395" t="s">
        <v>26</v>
      </c>
      <c r="I6395" t="s">
        <v>9100</v>
      </c>
      <c r="J6395" t="str">
        <f>"9781118710166"</f>
        <v>9781118710166</v>
      </c>
      <c r="K6395" t="s">
        <v>9800</v>
      </c>
      <c r="L6395">
        <v>43</v>
      </c>
      <c r="O6395" t="s">
        <v>30</v>
      </c>
      <c r="P6395" t="s">
        <v>47</v>
      </c>
      <c r="Q6395" s="1">
        <v>42284.022164351853</v>
      </c>
      <c r="R6395">
        <v>1</v>
      </c>
      <c r="S6395" t="s">
        <v>40</v>
      </c>
      <c r="T6395" t="s">
        <v>9108</v>
      </c>
      <c r="U6395" t="s">
        <v>9109</v>
      </c>
      <c r="V6395" s="3">
        <v>41887</v>
      </c>
    </row>
    <row r="6396" spans="1:22" x14ac:dyDescent="0.35">
      <c r="A6396" s="1">
        <v>42284.021828703706</v>
      </c>
      <c r="B6396" s="2">
        <v>0</v>
      </c>
      <c r="C6396" t="s">
        <v>9796</v>
      </c>
      <c r="D6396" t="s">
        <v>23</v>
      </c>
      <c r="E6396" t="s">
        <v>24</v>
      </c>
      <c r="F6396" t="s">
        <v>3060</v>
      </c>
      <c r="G6396">
        <v>1120279</v>
      </c>
      <c r="H6396" t="s">
        <v>26</v>
      </c>
      <c r="I6396" t="s">
        <v>3061</v>
      </c>
      <c r="J6396" t="str">
        <f>"9781118537671"</f>
        <v>9781118537671</v>
      </c>
      <c r="L6396">
        <v>0</v>
      </c>
      <c r="O6396" t="s">
        <v>28</v>
      </c>
      <c r="P6396" t="s">
        <v>29</v>
      </c>
      <c r="Q6396" s="1">
        <v>42284.019641203704</v>
      </c>
      <c r="R6396">
        <v>7</v>
      </c>
      <c r="S6396" t="s">
        <v>31</v>
      </c>
      <c r="T6396" t="s">
        <v>3063</v>
      </c>
      <c r="U6396">
        <v>599.93499999999995</v>
      </c>
      <c r="V6396" s="3">
        <v>41232</v>
      </c>
    </row>
    <row r="6397" spans="1:22" x14ac:dyDescent="0.35">
      <c r="A6397" s="1">
        <v>42284.019641203704</v>
      </c>
      <c r="B6397" s="2">
        <v>8.3333333333333339E-4</v>
      </c>
      <c r="C6397" t="s">
        <v>9796</v>
      </c>
      <c r="D6397" t="s">
        <v>23</v>
      </c>
      <c r="E6397" t="s">
        <v>24</v>
      </c>
      <c r="F6397" t="s">
        <v>3060</v>
      </c>
      <c r="G6397">
        <v>1120279</v>
      </c>
      <c r="H6397" t="s">
        <v>26</v>
      </c>
      <c r="I6397" t="s">
        <v>3061</v>
      </c>
      <c r="J6397" t="str">
        <f>"9781118537671"</f>
        <v>9781118537671</v>
      </c>
      <c r="K6397" t="s">
        <v>9801</v>
      </c>
      <c r="L6397">
        <v>4</v>
      </c>
      <c r="O6397" t="s">
        <v>28</v>
      </c>
      <c r="P6397" t="s">
        <v>29</v>
      </c>
      <c r="Q6397" s="1">
        <v>42284.019641203704</v>
      </c>
      <c r="R6397">
        <v>7</v>
      </c>
      <c r="S6397" t="s">
        <v>31</v>
      </c>
      <c r="T6397" t="s">
        <v>3063</v>
      </c>
      <c r="U6397">
        <v>599.93499999999995</v>
      </c>
      <c r="V6397" s="3">
        <v>41232</v>
      </c>
    </row>
    <row r="6398" spans="1:22" x14ac:dyDescent="0.35">
      <c r="A6398" s="1">
        <v>42284.019641203704</v>
      </c>
      <c r="B6398" s="2">
        <v>0</v>
      </c>
      <c r="C6398" t="s">
        <v>9796</v>
      </c>
      <c r="D6398" t="s">
        <v>23</v>
      </c>
      <c r="E6398" t="s">
        <v>24</v>
      </c>
      <c r="F6398" t="s">
        <v>3060</v>
      </c>
      <c r="G6398">
        <v>1120279</v>
      </c>
      <c r="H6398" t="s">
        <v>26</v>
      </c>
      <c r="I6398" t="s">
        <v>3061</v>
      </c>
      <c r="J6398" t="str">
        <f>"9781118537671"</f>
        <v>9781118537671</v>
      </c>
      <c r="L6398">
        <v>0</v>
      </c>
      <c r="O6398" t="s">
        <v>30</v>
      </c>
      <c r="P6398" t="s">
        <v>29</v>
      </c>
      <c r="Q6398" s="1">
        <v>42284.019641203704</v>
      </c>
      <c r="R6398">
        <v>7</v>
      </c>
      <c r="S6398" t="s">
        <v>31</v>
      </c>
      <c r="T6398" t="s">
        <v>3063</v>
      </c>
      <c r="U6398">
        <v>599.93499999999995</v>
      </c>
      <c r="V6398" s="3">
        <v>41232</v>
      </c>
    </row>
    <row r="6399" spans="1:22" x14ac:dyDescent="0.35">
      <c r="A6399" s="1">
        <v>42284.01871527778</v>
      </c>
      <c r="B6399" s="2">
        <v>9.2592592592592585E-4</v>
      </c>
      <c r="C6399" t="s">
        <v>9796</v>
      </c>
      <c r="D6399" t="s">
        <v>23</v>
      </c>
      <c r="E6399" t="s">
        <v>24</v>
      </c>
      <c r="F6399" t="s">
        <v>3060</v>
      </c>
      <c r="G6399">
        <v>1120279</v>
      </c>
      <c r="H6399" t="s">
        <v>26</v>
      </c>
      <c r="I6399" t="s">
        <v>3061</v>
      </c>
      <c r="J6399" t="str">
        <f>"9781118537671"</f>
        <v>9781118537671</v>
      </c>
      <c r="K6399" t="s">
        <v>9802</v>
      </c>
      <c r="L6399">
        <v>5</v>
      </c>
      <c r="O6399" t="s">
        <v>30</v>
      </c>
      <c r="P6399" t="s">
        <v>42</v>
      </c>
      <c r="S6399" t="s">
        <v>31</v>
      </c>
      <c r="T6399" t="s">
        <v>3063</v>
      </c>
      <c r="U6399">
        <v>599.93499999999995</v>
      </c>
      <c r="V6399" s="3">
        <v>41232</v>
      </c>
    </row>
    <row r="6400" spans="1:22" x14ac:dyDescent="0.35">
      <c r="A6400" s="1">
        <v>42283.996122685188</v>
      </c>
      <c r="B6400" s="2">
        <v>2.6041666666666668E-2</v>
      </c>
      <c r="C6400" t="s">
        <v>9799</v>
      </c>
      <c r="D6400" t="s">
        <v>35</v>
      </c>
      <c r="E6400" t="s">
        <v>36</v>
      </c>
      <c r="F6400" t="s">
        <v>9107</v>
      </c>
      <c r="G6400">
        <v>1780724</v>
      </c>
      <c r="H6400" t="s">
        <v>26</v>
      </c>
      <c r="I6400" t="s">
        <v>9100</v>
      </c>
      <c r="J6400" t="str">
        <f>"9781118710166"</f>
        <v>9781118710166</v>
      </c>
      <c r="K6400" t="s">
        <v>9803</v>
      </c>
      <c r="L6400">
        <v>5</v>
      </c>
      <c r="O6400" t="s">
        <v>30</v>
      </c>
      <c r="P6400" t="s">
        <v>50</v>
      </c>
      <c r="S6400" t="s">
        <v>40</v>
      </c>
      <c r="T6400" t="s">
        <v>9108</v>
      </c>
      <c r="U6400" t="s">
        <v>9109</v>
      </c>
      <c r="V6400" s="3">
        <v>41887</v>
      </c>
    </row>
    <row r="6401" spans="1:22" x14ac:dyDescent="0.35">
      <c r="A6401" s="1">
        <v>42283.938587962963</v>
      </c>
      <c r="B6401" s="2">
        <v>2.9976851851851848E-3</v>
      </c>
      <c r="C6401" t="s">
        <v>5438</v>
      </c>
      <c r="D6401" t="s">
        <v>360</v>
      </c>
      <c r="E6401" t="s">
        <v>361</v>
      </c>
      <c r="F6401" t="s">
        <v>7657</v>
      </c>
      <c r="G6401">
        <v>759923</v>
      </c>
      <c r="H6401" t="s">
        <v>91</v>
      </c>
      <c r="I6401" t="s">
        <v>247</v>
      </c>
      <c r="J6401" t="str">
        <f>"9781609186418"</f>
        <v>9781609186418</v>
      </c>
      <c r="K6401" t="s">
        <v>9804</v>
      </c>
      <c r="L6401">
        <v>27</v>
      </c>
      <c r="O6401" t="s">
        <v>30</v>
      </c>
      <c r="P6401" t="s">
        <v>42</v>
      </c>
      <c r="S6401" t="s">
        <v>363</v>
      </c>
      <c r="T6401" t="s">
        <v>7658</v>
      </c>
      <c r="U6401">
        <v>618.9289</v>
      </c>
      <c r="V6401" s="3">
        <v>41824</v>
      </c>
    </row>
    <row r="6402" spans="1:22" x14ac:dyDescent="0.35">
      <c r="A6402" s="1">
        <v>42283.923252314817</v>
      </c>
      <c r="B6402" s="2">
        <v>5.0925925925925921E-4</v>
      </c>
      <c r="C6402" t="s">
        <v>5438</v>
      </c>
      <c r="D6402" t="s">
        <v>360</v>
      </c>
      <c r="E6402" t="s">
        <v>361</v>
      </c>
      <c r="F6402" t="s">
        <v>4197</v>
      </c>
      <c r="G6402">
        <v>1742841</v>
      </c>
      <c r="H6402" t="s">
        <v>91</v>
      </c>
      <c r="I6402" t="s">
        <v>247</v>
      </c>
      <c r="J6402" t="str">
        <f>"9781462516445"</f>
        <v>9781462516445</v>
      </c>
      <c r="K6402" t="s">
        <v>9805</v>
      </c>
      <c r="L6402">
        <v>17</v>
      </c>
      <c r="O6402" t="s">
        <v>30</v>
      </c>
      <c r="P6402" t="s">
        <v>42</v>
      </c>
      <c r="S6402" t="s">
        <v>363</v>
      </c>
      <c r="T6402" t="s">
        <v>4199</v>
      </c>
      <c r="U6402">
        <v>616.85270000000003</v>
      </c>
      <c r="V6402" s="3">
        <v>41934</v>
      </c>
    </row>
    <row r="6403" spans="1:22" x14ac:dyDescent="0.35">
      <c r="A6403" s="1">
        <v>42283.91978009259</v>
      </c>
      <c r="B6403" s="2">
        <v>4.31712962962963E-3</v>
      </c>
      <c r="C6403" t="s">
        <v>5438</v>
      </c>
      <c r="D6403" t="s">
        <v>360</v>
      </c>
      <c r="E6403" t="s">
        <v>361</v>
      </c>
      <c r="F6403" t="s">
        <v>3774</v>
      </c>
      <c r="G6403">
        <v>894289</v>
      </c>
      <c r="H6403" t="s">
        <v>26</v>
      </c>
      <c r="I6403" t="s">
        <v>247</v>
      </c>
      <c r="J6403" t="str">
        <f>"9781118404430"</f>
        <v>9781118404430</v>
      </c>
      <c r="K6403" t="s">
        <v>9806</v>
      </c>
      <c r="L6403">
        <v>10</v>
      </c>
      <c r="O6403" t="s">
        <v>30</v>
      </c>
      <c r="P6403" t="s">
        <v>42</v>
      </c>
      <c r="S6403" t="s">
        <v>363</v>
      </c>
      <c r="T6403" t="s">
        <v>3776</v>
      </c>
      <c r="U6403">
        <v>616.89</v>
      </c>
      <c r="V6403" s="3">
        <v>41192</v>
      </c>
    </row>
    <row r="6404" spans="1:22" x14ac:dyDescent="0.35">
      <c r="A6404" s="1">
        <v>42283.916747685187</v>
      </c>
      <c r="B6404" s="2">
        <v>4.6296296296296294E-5</v>
      </c>
      <c r="C6404" t="s">
        <v>9807</v>
      </c>
      <c r="D6404" t="s">
        <v>623</v>
      </c>
      <c r="E6404" t="s">
        <v>624</v>
      </c>
      <c r="F6404" t="s">
        <v>5191</v>
      </c>
      <c r="G6404">
        <v>1589017</v>
      </c>
      <c r="H6404" t="s">
        <v>84</v>
      </c>
      <c r="I6404" t="s">
        <v>310</v>
      </c>
      <c r="J6404" t="str">
        <f>"9780520957879"</f>
        <v>9780520957879</v>
      </c>
      <c r="K6404" t="s">
        <v>33</v>
      </c>
      <c r="L6404">
        <v>3</v>
      </c>
      <c r="O6404" t="s">
        <v>30</v>
      </c>
      <c r="P6404" t="s">
        <v>50</v>
      </c>
      <c r="S6404" t="s">
        <v>627</v>
      </c>
      <c r="T6404" t="s">
        <v>5193</v>
      </c>
      <c r="U6404" t="s">
        <v>5194</v>
      </c>
      <c r="V6404" s="3">
        <v>41678</v>
      </c>
    </row>
    <row r="6405" spans="1:22" x14ac:dyDescent="0.35">
      <c r="A6405" s="1">
        <v>42283.916215277779</v>
      </c>
      <c r="B6405" s="2">
        <v>2.5115740740740741E-3</v>
      </c>
      <c r="C6405" t="s">
        <v>5438</v>
      </c>
      <c r="D6405" t="s">
        <v>360</v>
      </c>
      <c r="E6405" t="s">
        <v>361</v>
      </c>
      <c r="F6405" t="s">
        <v>1547</v>
      </c>
      <c r="G6405">
        <v>848510</v>
      </c>
      <c r="H6405" t="s">
        <v>26</v>
      </c>
      <c r="I6405" t="s">
        <v>247</v>
      </c>
      <c r="J6405" t="str">
        <f>"9781118220481"</f>
        <v>9781118220481</v>
      </c>
      <c r="K6405" t="s">
        <v>9808</v>
      </c>
      <c r="L6405">
        <v>30</v>
      </c>
      <c r="O6405" t="s">
        <v>30</v>
      </c>
      <c r="P6405" t="s">
        <v>42</v>
      </c>
      <c r="S6405" t="s">
        <v>363</v>
      </c>
      <c r="T6405" t="s">
        <v>1548</v>
      </c>
      <c r="U6405" t="s">
        <v>1549</v>
      </c>
      <c r="V6405" s="3">
        <v>41066</v>
      </c>
    </row>
    <row r="6406" spans="1:22" x14ac:dyDescent="0.35">
      <c r="A6406" s="1">
        <v>42283.905405092592</v>
      </c>
      <c r="B6406" s="2">
        <v>8.6805555555555551E-4</v>
      </c>
      <c r="C6406" t="s">
        <v>9809</v>
      </c>
      <c r="D6406" t="s">
        <v>1222</v>
      </c>
      <c r="E6406" t="s">
        <v>1223</v>
      </c>
      <c r="F6406" t="s">
        <v>9810</v>
      </c>
      <c r="G6406">
        <v>902783</v>
      </c>
      <c r="H6406" t="s">
        <v>26</v>
      </c>
      <c r="I6406" t="s">
        <v>8409</v>
      </c>
      <c r="J6406" t="str">
        <f>"9781119941835"</f>
        <v>9781119941835</v>
      </c>
      <c r="K6406" t="s">
        <v>9811</v>
      </c>
      <c r="L6406">
        <v>27</v>
      </c>
      <c r="O6406" t="s">
        <v>30</v>
      </c>
      <c r="P6406" t="s">
        <v>42</v>
      </c>
      <c r="S6406" t="s">
        <v>1226</v>
      </c>
      <c r="T6406" t="s">
        <v>9812</v>
      </c>
      <c r="U6406" t="s">
        <v>9813</v>
      </c>
      <c r="V6406" s="3">
        <v>41012</v>
      </c>
    </row>
    <row r="6407" spans="1:22" x14ac:dyDescent="0.35">
      <c r="A6407" s="1">
        <v>42283.844212962962</v>
      </c>
      <c r="B6407" s="2">
        <v>9.1435185185185185E-4</v>
      </c>
      <c r="C6407" t="s">
        <v>9548</v>
      </c>
      <c r="D6407" t="s">
        <v>2519</v>
      </c>
      <c r="E6407" t="s">
        <v>2520</v>
      </c>
      <c r="F6407" t="s">
        <v>823</v>
      </c>
      <c r="G6407">
        <v>1221573</v>
      </c>
      <c r="H6407" t="s">
        <v>26</v>
      </c>
      <c r="I6407" t="s">
        <v>824</v>
      </c>
      <c r="J6407" t="str">
        <f>"9781118658116"</f>
        <v>9781118658116</v>
      </c>
      <c r="K6407" t="s">
        <v>9814</v>
      </c>
      <c r="L6407">
        <v>12</v>
      </c>
      <c r="O6407" t="s">
        <v>30</v>
      </c>
      <c r="P6407" t="s">
        <v>50</v>
      </c>
      <c r="S6407" t="s">
        <v>2523</v>
      </c>
      <c r="T6407" t="s">
        <v>826</v>
      </c>
      <c r="U6407">
        <v>174.4</v>
      </c>
      <c r="V6407" s="3">
        <v>41444</v>
      </c>
    </row>
    <row r="6408" spans="1:22" x14ac:dyDescent="0.35">
      <c r="A6408" s="1">
        <v>42283.840787037036</v>
      </c>
      <c r="B6408" s="2">
        <v>2.8935185185185189E-4</v>
      </c>
      <c r="C6408" t="s">
        <v>9548</v>
      </c>
      <c r="D6408" t="s">
        <v>2519</v>
      </c>
      <c r="E6408" t="s">
        <v>2520</v>
      </c>
      <c r="F6408" t="s">
        <v>9815</v>
      </c>
      <c r="G6408">
        <v>1580900</v>
      </c>
      <c r="H6408" t="s">
        <v>45</v>
      </c>
      <c r="I6408" t="s">
        <v>9816</v>
      </c>
      <c r="J6408" t="str">
        <f>"9781472428042"</f>
        <v>9781472428042</v>
      </c>
      <c r="K6408" t="s">
        <v>9817</v>
      </c>
      <c r="L6408">
        <v>11</v>
      </c>
      <c r="O6408" t="s">
        <v>30</v>
      </c>
      <c r="P6408" t="s">
        <v>50</v>
      </c>
      <c r="S6408" t="s">
        <v>2523</v>
      </c>
      <c r="T6408" t="s">
        <v>9818</v>
      </c>
      <c r="U6408" t="s">
        <v>9819</v>
      </c>
      <c r="V6408" s="3">
        <v>41698</v>
      </c>
    </row>
    <row r="6409" spans="1:22" x14ac:dyDescent="0.35">
      <c r="A6409" s="1">
        <v>42283.832013888888</v>
      </c>
      <c r="B6409" s="2">
        <v>1.741898148148148E-2</v>
      </c>
      <c r="C6409" t="s">
        <v>9548</v>
      </c>
      <c r="D6409" t="s">
        <v>2519</v>
      </c>
      <c r="E6409" t="s">
        <v>2520</v>
      </c>
      <c r="F6409" t="s">
        <v>9820</v>
      </c>
      <c r="G6409">
        <v>2039135</v>
      </c>
      <c r="H6409" t="s">
        <v>45</v>
      </c>
      <c r="I6409" t="s">
        <v>97</v>
      </c>
      <c r="J6409" t="str">
        <f>"9781472412577"</f>
        <v>9781472412577</v>
      </c>
      <c r="K6409" t="s">
        <v>9821</v>
      </c>
      <c r="L6409">
        <v>60</v>
      </c>
      <c r="O6409" t="s">
        <v>30</v>
      </c>
      <c r="P6409" t="s">
        <v>47</v>
      </c>
      <c r="Q6409" s="1">
        <v>42283.832013888888</v>
      </c>
      <c r="R6409">
        <v>1</v>
      </c>
      <c r="S6409" t="s">
        <v>2523</v>
      </c>
      <c r="T6409" t="s">
        <v>9822</v>
      </c>
      <c r="U6409" t="s">
        <v>9823</v>
      </c>
      <c r="V6409" s="3">
        <v>42183</v>
      </c>
    </row>
    <row r="6410" spans="1:22" x14ac:dyDescent="0.35">
      <c r="A6410" s="1">
        <v>42283.83090277778</v>
      </c>
      <c r="B6410" s="2">
        <v>5.7870370370370366E-5</v>
      </c>
      <c r="C6410" t="s">
        <v>5438</v>
      </c>
      <c r="D6410" t="s">
        <v>360</v>
      </c>
      <c r="E6410" t="s">
        <v>361</v>
      </c>
      <c r="F6410" t="s">
        <v>7657</v>
      </c>
      <c r="G6410">
        <v>759923</v>
      </c>
      <c r="H6410" t="s">
        <v>91</v>
      </c>
      <c r="I6410" t="s">
        <v>247</v>
      </c>
      <c r="J6410" t="str">
        <f>"9781609186418"</f>
        <v>9781609186418</v>
      </c>
      <c r="K6410" t="s">
        <v>33</v>
      </c>
      <c r="L6410">
        <v>3</v>
      </c>
      <c r="O6410" t="s">
        <v>30</v>
      </c>
      <c r="P6410" t="s">
        <v>42</v>
      </c>
      <c r="S6410" t="s">
        <v>363</v>
      </c>
      <c r="T6410" t="s">
        <v>7658</v>
      </c>
      <c r="U6410">
        <v>618.9289</v>
      </c>
      <c r="V6410" s="3">
        <v>41824</v>
      </c>
    </row>
    <row r="6411" spans="1:22" x14ac:dyDescent="0.35">
      <c r="A6411" s="1">
        <v>42283.828263888892</v>
      </c>
      <c r="B6411" s="2">
        <v>6.134259259259259E-4</v>
      </c>
      <c r="C6411" t="s">
        <v>5438</v>
      </c>
      <c r="D6411" t="s">
        <v>360</v>
      </c>
      <c r="E6411" t="s">
        <v>361</v>
      </c>
      <c r="F6411" t="s">
        <v>515</v>
      </c>
      <c r="G6411">
        <v>1757960</v>
      </c>
      <c r="H6411" t="s">
        <v>26</v>
      </c>
      <c r="I6411" t="s">
        <v>247</v>
      </c>
      <c r="J6411" t="str">
        <f>"9781118780770"</f>
        <v>9781118780770</v>
      </c>
      <c r="K6411" t="s">
        <v>98</v>
      </c>
      <c r="L6411">
        <v>7</v>
      </c>
      <c r="O6411" t="s">
        <v>30</v>
      </c>
      <c r="P6411" t="s">
        <v>29</v>
      </c>
      <c r="Q6411" s="1">
        <v>42283.723599537036</v>
      </c>
      <c r="R6411">
        <v>7</v>
      </c>
      <c r="S6411" t="s">
        <v>363</v>
      </c>
      <c r="T6411" t="s">
        <v>517</v>
      </c>
      <c r="U6411" t="s">
        <v>518</v>
      </c>
      <c r="V6411" s="3">
        <v>41850</v>
      </c>
    </row>
    <row r="6412" spans="1:22" x14ac:dyDescent="0.35">
      <c r="A6412" s="1">
        <v>42283.828252314815</v>
      </c>
      <c r="B6412" s="2">
        <v>3.7615740740740739E-3</v>
      </c>
      <c r="C6412" t="s">
        <v>9548</v>
      </c>
      <c r="D6412" t="s">
        <v>2519</v>
      </c>
      <c r="E6412" t="s">
        <v>2520</v>
      </c>
      <c r="F6412" t="s">
        <v>9820</v>
      </c>
      <c r="G6412">
        <v>2039135</v>
      </c>
      <c r="H6412" t="s">
        <v>45</v>
      </c>
      <c r="I6412" t="s">
        <v>97</v>
      </c>
      <c r="J6412" t="str">
        <f>"9781472412577"</f>
        <v>9781472412577</v>
      </c>
      <c r="K6412" t="s">
        <v>9824</v>
      </c>
      <c r="L6412">
        <v>33</v>
      </c>
      <c r="O6412" t="s">
        <v>30</v>
      </c>
      <c r="P6412" t="s">
        <v>50</v>
      </c>
      <c r="S6412" t="s">
        <v>2523</v>
      </c>
      <c r="T6412" t="s">
        <v>9822</v>
      </c>
      <c r="U6412" t="s">
        <v>9823</v>
      </c>
      <c r="V6412" s="3">
        <v>42183</v>
      </c>
    </row>
    <row r="6413" spans="1:22" x14ac:dyDescent="0.35">
      <c r="A6413" s="1">
        <v>42283.81726851852</v>
      </c>
      <c r="B6413" s="2">
        <v>6.9444444444444447E-4</v>
      </c>
      <c r="C6413" t="s">
        <v>9825</v>
      </c>
      <c r="D6413" t="s">
        <v>623</v>
      </c>
      <c r="E6413" t="s">
        <v>624</v>
      </c>
      <c r="F6413" t="s">
        <v>515</v>
      </c>
      <c r="G6413">
        <v>1757960</v>
      </c>
      <c r="H6413" t="s">
        <v>26</v>
      </c>
      <c r="I6413" t="s">
        <v>247</v>
      </c>
      <c r="J6413" t="str">
        <f>"9781118780770"</f>
        <v>9781118780770</v>
      </c>
      <c r="K6413" t="s">
        <v>9826</v>
      </c>
      <c r="L6413">
        <v>9</v>
      </c>
      <c r="O6413" t="s">
        <v>30</v>
      </c>
      <c r="P6413" t="s">
        <v>42</v>
      </c>
      <c r="S6413" t="s">
        <v>627</v>
      </c>
      <c r="T6413" t="s">
        <v>517</v>
      </c>
      <c r="U6413" t="s">
        <v>518</v>
      </c>
      <c r="V6413" s="3">
        <v>41850</v>
      </c>
    </row>
    <row r="6414" spans="1:22" x14ac:dyDescent="0.35">
      <c r="A6414" s="1">
        <v>42283.809166666666</v>
      </c>
      <c r="B6414" s="2">
        <v>7.7546296296296304E-4</v>
      </c>
      <c r="C6414" t="s">
        <v>9827</v>
      </c>
      <c r="D6414" t="s">
        <v>23</v>
      </c>
      <c r="E6414" t="s">
        <v>24</v>
      </c>
      <c r="F6414" t="s">
        <v>9828</v>
      </c>
      <c r="G6414">
        <v>1655942</v>
      </c>
      <c r="H6414" t="s">
        <v>91</v>
      </c>
      <c r="I6414" t="s">
        <v>247</v>
      </c>
      <c r="J6414" t="str">
        <f>"9781462513888"</f>
        <v>9781462513888</v>
      </c>
      <c r="K6414" t="s">
        <v>9829</v>
      </c>
      <c r="L6414">
        <v>16</v>
      </c>
      <c r="O6414" t="s">
        <v>30</v>
      </c>
      <c r="P6414" t="s">
        <v>29</v>
      </c>
      <c r="Q6414" s="1">
        <v>42283.809166666666</v>
      </c>
      <c r="R6414">
        <v>7</v>
      </c>
      <c r="S6414" t="s">
        <v>31</v>
      </c>
      <c r="T6414" t="s">
        <v>9830</v>
      </c>
      <c r="U6414">
        <v>616.85830599999997</v>
      </c>
      <c r="V6414" s="3">
        <v>41773</v>
      </c>
    </row>
    <row r="6415" spans="1:22" x14ac:dyDescent="0.35">
      <c r="A6415" s="1">
        <v>42283.79859953704</v>
      </c>
      <c r="B6415" s="2">
        <v>1.0555555555555554E-2</v>
      </c>
      <c r="C6415" t="s">
        <v>9827</v>
      </c>
      <c r="D6415" t="s">
        <v>23</v>
      </c>
      <c r="E6415" t="s">
        <v>24</v>
      </c>
      <c r="F6415" t="s">
        <v>9828</v>
      </c>
      <c r="G6415">
        <v>1655942</v>
      </c>
      <c r="H6415" t="s">
        <v>91</v>
      </c>
      <c r="I6415" t="s">
        <v>247</v>
      </c>
      <c r="J6415" t="str">
        <f>"9781462513888"</f>
        <v>9781462513888</v>
      </c>
      <c r="K6415" t="s">
        <v>3453</v>
      </c>
      <c r="L6415">
        <v>8</v>
      </c>
      <c r="O6415" t="s">
        <v>30</v>
      </c>
      <c r="P6415" t="s">
        <v>42</v>
      </c>
      <c r="S6415" t="s">
        <v>31</v>
      </c>
      <c r="T6415" t="s">
        <v>9830</v>
      </c>
      <c r="U6415">
        <v>616.85830599999997</v>
      </c>
      <c r="V6415" s="3">
        <v>41773</v>
      </c>
    </row>
    <row r="6416" spans="1:22" x14ac:dyDescent="0.35">
      <c r="A6416" s="1">
        <v>42283.788645833331</v>
      </c>
      <c r="B6416" s="2">
        <v>7.8703703703703705E-4</v>
      </c>
      <c r="C6416" t="s">
        <v>106</v>
      </c>
      <c r="D6416" t="s">
        <v>23</v>
      </c>
      <c r="E6416" t="s">
        <v>24</v>
      </c>
      <c r="F6416" t="s">
        <v>416</v>
      </c>
      <c r="G6416">
        <v>1092851</v>
      </c>
      <c r="H6416" t="s">
        <v>26</v>
      </c>
      <c r="I6416" t="s">
        <v>417</v>
      </c>
      <c r="J6416" t="str">
        <f>"9781118333051"</f>
        <v>9781118333051</v>
      </c>
      <c r="K6416" t="s">
        <v>9831</v>
      </c>
      <c r="L6416">
        <v>8</v>
      </c>
      <c r="O6416" t="s">
        <v>30</v>
      </c>
      <c r="P6416" t="s">
        <v>42</v>
      </c>
      <c r="S6416" t="s">
        <v>31</v>
      </c>
      <c r="T6416" t="s">
        <v>419</v>
      </c>
      <c r="U6416" t="s">
        <v>420</v>
      </c>
      <c r="V6416" s="3">
        <v>41240</v>
      </c>
    </row>
    <row r="6417" spans="1:22" x14ac:dyDescent="0.35">
      <c r="A6417" s="1">
        <v>42283.754895833335</v>
      </c>
      <c r="B6417" s="2">
        <v>3.5879629629629635E-4</v>
      </c>
      <c r="C6417" t="s">
        <v>9739</v>
      </c>
      <c r="D6417" t="s">
        <v>1222</v>
      </c>
      <c r="E6417" t="s">
        <v>1223</v>
      </c>
      <c r="F6417" t="s">
        <v>4289</v>
      </c>
      <c r="G6417">
        <v>1120621</v>
      </c>
      <c r="H6417" t="s">
        <v>26</v>
      </c>
      <c r="I6417" t="s">
        <v>69</v>
      </c>
      <c r="J6417" t="str">
        <f t="shared" ref="J6417:J6428" si="33">"9781118362679"</f>
        <v>9781118362679</v>
      </c>
      <c r="K6417" t="s">
        <v>9832</v>
      </c>
      <c r="L6417">
        <v>9</v>
      </c>
      <c r="O6417" t="s">
        <v>30</v>
      </c>
      <c r="P6417" t="s">
        <v>42</v>
      </c>
      <c r="S6417" t="s">
        <v>1226</v>
      </c>
      <c r="T6417" t="s">
        <v>4290</v>
      </c>
      <c r="U6417" t="s">
        <v>4291</v>
      </c>
      <c r="V6417" s="3">
        <v>41136</v>
      </c>
    </row>
    <row r="6418" spans="1:22" x14ac:dyDescent="0.35">
      <c r="A6418" s="1">
        <v>42283.753854166665</v>
      </c>
      <c r="B6418" s="2">
        <v>1.1574074074074073E-4</v>
      </c>
      <c r="C6418" t="s">
        <v>9833</v>
      </c>
      <c r="D6418" t="s">
        <v>1222</v>
      </c>
      <c r="E6418" t="s">
        <v>1223</v>
      </c>
      <c r="F6418" t="s">
        <v>4289</v>
      </c>
      <c r="G6418">
        <v>1120621</v>
      </c>
      <c r="H6418" t="s">
        <v>26</v>
      </c>
      <c r="I6418" t="s">
        <v>69</v>
      </c>
      <c r="J6418" t="str">
        <f t="shared" si="33"/>
        <v>9781118362679</v>
      </c>
      <c r="K6418" t="s">
        <v>209</v>
      </c>
      <c r="L6418">
        <v>4</v>
      </c>
      <c r="O6418" t="s">
        <v>30</v>
      </c>
      <c r="P6418" t="s">
        <v>42</v>
      </c>
      <c r="S6418" t="s">
        <v>1226</v>
      </c>
      <c r="T6418" t="s">
        <v>4290</v>
      </c>
      <c r="U6418" t="s">
        <v>4291</v>
      </c>
      <c r="V6418" s="3">
        <v>41136</v>
      </c>
    </row>
    <row r="6419" spans="1:22" x14ac:dyDescent="0.35">
      <c r="A6419" s="1">
        <v>42283.753622685188</v>
      </c>
      <c r="B6419" s="2">
        <v>3.4722222222222222E-5</v>
      </c>
      <c r="C6419" t="s">
        <v>9834</v>
      </c>
      <c r="D6419" t="s">
        <v>1222</v>
      </c>
      <c r="E6419" t="s">
        <v>1223</v>
      </c>
      <c r="F6419" t="s">
        <v>4289</v>
      </c>
      <c r="G6419">
        <v>1120621</v>
      </c>
      <c r="H6419" t="s">
        <v>26</v>
      </c>
      <c r="I6419" t="s">
        <v>69</v>
      </c>
      <c r="J6419" t="str">
        <f t="shared" si="33"/>
        <v>9781118362679</v>
      </c>
      <c r="K6419" t="s">
        <v>33</v>
      </c>
      <c r="L6419">
        <v>3</v>
      </c>
      <c r="O6419" t="s">
        <v>30</v>
      </c>
      <c r="P6419" t="s">
        <v>42</v>
      </c>
      <c r="S6419" t="s">
        <v>1226</v>
      </c>
      <c r="T6419" t="s">
        <v>4290</v>
      </c>
      <c r="U6419" t="s">
        <v>4291</v>
      </c>
      <c r="V6419" s="3">
        <v>41136</v>
      </c>
    </row>
    <row r="6420" spans="1:22" x14ac:dyDescent="0.35">
      <c r="A6420" s="1">
        <v>42283.753553240742</v>
      </c>
      <c r="B6420" s="2">
        <v>4.6296296296296294E-5</v>
      </c>
      <c r="C6420" t="s">
        <v>9835</v>
      </c>
      <c r="D6420" t="s">
        <v>1222</v>
      </c>
      <c r="E6420" t="s">
        <v>1223</v>
      </c>
      <c r="F6420" t="s">
        <v>4289</v>
      </c>
      <c r="G6420">
        <v>1120621</v>
      </c>
      <c r="H6420" t="s">
        <v>26</v>
      </c>
      <c r="I6420" t="s">
        <v>69</v>
      </c>
      <c r="J6420" t="str">
        <f t="shared" si="33"/>
        <v>9781118362679</v>
      </c>
      <c r="K6420" t="s">
        <v>33</v>
      </c>
      <c r="L6420">
        <v>3</v>
      </c>
      <c r="O6420" t="s">
        <v>30</v>
      </c>
      <c r="P6420" t="s">
        <v>42</v>
      </c>
      <c r="S6420" t="s">
        <v>1226</v>
      </c>
      <c r="T6420" t="s">
        <v>4290</v>
      </c>
      <c r="U6420" t="s">
        <v>4291</v>
      </c>
      <c r="V6420" s="3">
        <v>41136</v>
      </c>
    </row>
    <row r="6421" spans="1:22" x14ac:dyDescent="0.35">
      <c r="A6421" s="1">
        <v>42283.753483796296</v>
      </c>
      <c r="B6421" s="2">
        <v>1.689814814814815E-3</v>
      </c>
      <c r="C6421" t="s">
        <v>9836</v>
      </c>
      <c r="D6421" t="s">
        <v>1222</v>
      </c>
      <c r="E6421" t="s">
        <v>1223</v>
      </c>
      <c r="F6421" t="s">
        <v>4289</v>
      </c>
      <c r="G6421">
        <v>1120621</v>
      </c>
      <c r="H6421" t="s">
        <v>26</v>
      </c>
      <c r="I6421" t="s">
        <v>69</v>
      </c>
      <c r="J6421" t="str">
        <f t="shared" si="33"/>
        <v>9781118362679</v>
      </c>
      <c r="K6421" t="s">
        <v>9837</v>
      </c>
      <c r="L6421">
        <v>9</v>
      </c>
      <c r="O6421" t="s">
        <v>30</v>
      </c>
      <c r="P6421" t="s">
        <v>42</v>
      </c>
      <c r="S6421" t="s">
        <v>1226</v>
      </c>
      <c r="T6421" t="s">
        <v>4290</v>
      </c>
      <c r="U6421" t="s">
        <v>4291</v>
      </c>
      <c r="V6421" s="3">
        <v>41136</v>
      </c>
    </row>
    <row r="6422" spans="1:22" x14ac:dyDescent="0.35">
      <c r="A6422" s="1">
        <v>42283.75335648148</v>
      </c>
      <c r="B6422" s="2">
        <v>3.1250000000000001E-4</v>
      </c>
      <c r="C6422" t="s">
        <v>9838</v>
      </c>
      <c r="D6422" t="s">
        <v>1222</v>
      </c>
      <c r="E6422" t="s">
        <v>1223</v>
      </c>
      <c r="F6422" t="s">
        <v>4289</v>
      </c>
      <c r="G6422">
        <v>1120621</v>
      </c>
      <c r="H6422" t="s">
        <v>26</v>
      </c>
      <c r="I6422" t="s">
        <v>69</v>
      </c>
      <c r="J6422" t="str">
        <f t="shared" si="33"/>
        <v>9781118362679</v>
      </c>
      <c r="K6422" t="s">
        <v>2663</v>
      </c>
      <c r="L6422">
        <v>15</v>
      </c>
      <c r="O6422" t="s">
        <v>30</v>
      </c>
      <c r="P6422" t="s">
        <v>42</v>
      </c>
      <c r="S6422" t="s">
        <v>1226</v>
      </c>
      <c r="T6422" t="s">
        <v>4290</v>
      </c>
      <c r="U6422" t="s">
        <v>4291</v>
      </c>
      <c r="V6422" s="3">
        <v>41136</v>
      </c>
    </row>
    <row r="6423" spans="1:22" x14ac:dyDescent="0.35">
      <c r="A6423" s="1">
        <v>42283.753275462965</v>
      </c>
      <c r="B6423" s="2">
        <v>3.5879629629629635E-4</v>
      </c>
      <c r="C6423" t="s">
        <v>9839</v>
      </c>
      <c r="D6423" t="s">
        <v>1222</v>
      </c>
      <c r="E6423" t="s">
        <v>1223</v>
      </c>
      <c r="F6423" t="s">
        <v>4289</v>
      </c>
      <c r="G6423">
        <v>1120621</v>
      </c>
      <c r="H6423" t="s">
        <v>26</v>
      </c>
      <c r="I6423" t="s">
        <v>69</v>
      </c>
      <c r="J6423" t="str">
        <f t="shared" si="33"/>
        <v>9781118362679</v>
      </c>
      <c r="K6423" t="s">
        <v>86</v>
      </c>
      <c r="L6423">
        <v>5</v>
      </c>
      <c r="O6423" t="s">
        <v>30</v>
      </c>
      <c r="P6423" t="s">
        <v>42</v>
      </c>
      <c r="S6423" t="s">
        <v>1226</v>
      </c>
      <c r="T6423" t="s">
        <v>4290</v>
      </c>
      <c r="U6423" t="s">
        <v>4291</v>
      </c>
      <c r="V6423" s="3">
        <v>41136</v>
      </c>
    </row>
    <row r="6424" spans="1:22" x14ac:dyDescent="0.35">
      <c r="A6424" s="1">
        <v>42283.753275462965</v>
      </c>
      <c r="B6424" s="2">
        <v>3.4722222222222222E-5</v>
      </c>
      <c r="C6424" t="s">
        <v>9840</v>
      </c>
      <c r="D6424" t="s">
        <v>1222</v>
      </c>
      <c r="E6424" t="s">
        <v>1223</v>
      </c>
      <c r="F6424" t="s">
        <v>4289</v>
      </c>
      <c r="G6424">
        <v>1120621</v>
      </c>
      <c r="H6424" t="s">
        <v>26</v>
      </c>
      <c r="I6424" t="s">
        <v>69</v>
      </c>
      <c r="J6424" t="str">
        <f t="shared" si="33"/>
        <v>9781118362679</v>
      </c>
      <c r="K6424" t="s">
        <v>33</v>
      </c>
      <c r="L6424">
        <v>3</v>
      </c>
      <c r="O6424" t="s">
        <v>30</v>
      </c>
      <c r="P6424" t="s">
        <v>42</v>
      </c>
      <c r="S6424" t="s">
        <v>1226</v>
      </c>
      <c r="T6424" t="s">
        <v>4290</v>
      </c>
      <c r="U6424" t="s">
        <v>4291</v>
      </c>
      <c r="V6424" s="3">
        <v>41136</v>
      </c>
    </row>
    <row r="6425" spans="1:22" x14ac:dyDescent="0.35">
      <c r="A6425" s="1">
        <v>42283.753194444442</v>
      </c>
      <c r="B6425" s="2">
        <v>4.6296296296296294E-5</v>
      </c>
      <c r="C6425" t="s">
        <v>9841</v>
      </c>
      <c r="D6425" t="s">
        <v>1222</v>
      </c>
      <c r="E6425" t="s">
        <v>1223</v>
      </c>
      <c r="F6425" t="s">
        <v>4289</v>
      </c>
      <c r="G6425">
        <v>1120621</v>
      </c>
      <c r="H6425" t="s">
        <v>26</v>
      </c>
      <c r="I6425" t="s">
        <v>69</v>
      </c>
      <c r="J6425" t="str">
        <f t="shared" si="33"/>
        <v>9781118362679</v>
      </c>
      <c r="K6425" t="s">
        <v>3050</v>
      </c>
      <c r="L6425">
        <v>3</v>
      </c>
      <c r="O6425" t="s">
        <v>30</v>
      </c>
      <c r="P6425" t="s">
        <v>42</v>
      </c>
      <c r="S6425" t="s">
        <v>1226</v>
      </c>
      <c r="T6425" t="s">
        <v>4290</v>
      </c>
      <c r="U6425" t="s">
        <v>4291</v>
      </c>
      <c r="V6425" s="3">
        <v>41136</v>
      </c>
    </row>
    <row r="6426" spans="1:22" x14ac:dyDescent="0.35">
      <c r="A6426" s="1">
        <v>42283.753125000003</v>
      </c>
      <c r="B6426" s="2">
        <v>1.3425925925925925E-3</v>
      </c>
      <c r="C6426" t="s">
        <v>9842</v>
      </c>
      <c r="D6426" t="s">
        <v>1222</v>
      </c>
      <c r="E6426" t="s">
        <v>1223</v>
      </c>
      <c r="F6426" t="s">
        <v>4289</v>
      </c>
      <c r="G6426">
        <v>1120621</v>
      </c>
      <c r="H6426" t="s">
        <v>26</v>
      </c>
      <c r="I6426" t="s">
        <v>69</v>
      </c>
      <c r="J6426" t="str">
        <f t="shared" si="33"/>
        <v>9781118362679</v>
      </c>
      <c r="K6426" t="s">
        <v>9843</v>
      </c>
      <c r="L6426">
        <v>27</v>
      </c>
      <c r="O6426" t="s">
        <v>30</v>
      </c>
      <c r="P6426" t="s">
        <v>42</v>
      </c>
      <c r="S6426" t="s">
        <v>1226</v>
      </c>
      <c r="T6426" t="s">
        <v>4290</v>
      </c>
      <c r="U6426" t="s">
        <v>4291</v>
      </c>
      <c r="V6426" s="3">
        <v>41136</v>
      </c>
    </row>
    <row r="6427" spans="1:22" x14ac:dyDescent="0.35">
      <c r="A6427" s="1">
        <v>42283.753113425926</v>
      </c>
      <c r="B6427" s="2">
        <v>3.2407407407407406E-4</v>
      </c>
      <c r="C6427" t="s">
        <v>9844</v>
      </c>
      <c r="D6427" t="s">
        <v>1222</v>
      </c>
      <c r="E6427" t="s">
        <v>1223</v>
      </c>
      <c r="F6427" t="s">
        <v>4289</v>
      </c>
      <c r="G6427">
        <v>1120621</v>
      </c>
      <c r="H6427" t="s">
        <v>26</v>
      </c>
      <c r="I6427" t="s">
        <v>69</v>
      </c>
      <c r="J6427" t="str">
        <f t="shared" si="33"/>
        <v>9781118362679</v>
      </c>
      <c r="K6427" t="s">
        <v>9845</v>
      </c>
      <c r="L6427">
        <v>12</v>
      </c>
      <c r="O6427" t="s">
        <v>30</v>
      </c>
      <c r="P6427" t="s">
        <v>42</v>
      </c>
      <c r="S6427" t="s">
        <v>1226</v>
      </c>
      <c r="T6427" t="s">
        <v>4290</v>
      </c>
      <c r="U6427" t="s">
        <v>4291</v>
      </c>
      <c r="V6427" s="3">
        <v>41136</v>
      </c>
    </row>
    <row r="6428" spans="1:22" x14ac:dyDescent="0.35">
      <c r="A6428" s="1">
        <v>42283.75304398148</v>
      </c>
      <c r="B6428" s="2">
        <v>1.2731481481481483E-3</v>
      </c>
      <c r="C6428" t="s">
        <v>9739</v>
      </c>
      <c r="D6428" t="s">
        <v>1222</v>
      </c>
      <c r="E6428" t="s">
        <v>1223</v>
      </c>
      <c r="F6428" t="s">
        <v>4289</v>
      </c>
      <c r="G6428">
        <v>1120621</v>
      </c>
      <c r="H6428" t="s">
        <v>26</v>
      </c>
      <c r="I6428" t="s">
        <v>69</v>
      </c>
      <c r="J6428" t="str">
        <f t="shared" si="33"/>
        <v>9781118362679</v>
      </c>
      <c r="K6428" t="s">
        <v>9846</v>
      </c>
      <c r="L6428">
        <v>18</v>
      </c>
      <c r="O6428" t="s">
        <v>30</v>
      </c>
      <c r="P6428" t="s">
        <v>42</v>
      </c>
      <c r="S6428" t="s">
        <v>1226</v>
      </c>
      <c r="T6428" t="s">
        <v>4290</v>
      </c>
      <c r="U6428" t="s">
        <v>4291</v>
      </c>
      <c r="V6428" s="3">
        <v>41136</v>
      </c>
    </row>
    <row r="6429" spans="1:22" x14ac:dyDescent="0.35">
      <c r="A6429" s="1">
        <v>42283.749155092592</v>
      </c>
      <c r="B6429" s="2">
        <v>3.7152777777777774E-3</v>
      </c>
      <c r="C6429" t="s">
        <v>9380</v>
      </c>
      <c r="D6429" t="s">
        <v>158</v>
      </c>
      <c r="E6429" t="s">
        <v>159</v>
      </c>
      <c r="F6429" t="s">
        <v>3159</v>
      </c>
      <c r="G6429">
        <v>947565</v>
      </c>
      <c r="H6429" t="s">
        <v>26</v>
      </c>
      <c r="I6429" t="s">
        <v>3160</v>
      </c>
      <c r="J6429" t="str">
        <f>"9781118416945"</f>
        <v>9781118416945</v>
      </c>
      <c r="K6429" t="s">
        <v>9847</v>
      </c>
      <c r="L6429">
        <v>9</v>
      </c>
      <c r="O6429" t="s">
        <v>30</v>
      </c>
      <c r="P6429" t="s">
        <v>42</v>
      </c>
      <c r="S6429" t="s">
        <v>163</v>
      </c>
      <c r="T6429" t="s">
        <v>3161</v>
      </c>
      <c r="U6429">
        <v>6.6859999999999999</v>
      </c>
      <c r="V6429" s="3">
        <v>41296</v>
      </c>
    </row>
    <row r="6430" spans="1:22" x14ac:dyDescent="0.35">
      <c r="A6430" s="1">
        <v>42283.733356481483</v>
      </c>
      <c r="B6430" s="2">
        <v>1.6782407407407406E-3</v>
      </c>
      <c r="C6430" t="s">
        <v>5438</v>
      </c>
      <c r="D6430" t="s">
        <v>360</v>
      </c>
      <c r="E6430" t="s">
        <v>361</v>
      </c>
      <c r="F6430" t="s">
        <v>7698</v>
      </c>
      <c r="G6430">
        <v>1641469</v>
      </c>
      <c r="H6430" t="s">
        <v>91</v>
      </c>
      <c r="I6430" t="s">
        <v>247</v>
      </c>
      <c r="J6430" t="str">
        <f>"9781462513444"</f>
        <v>9781462513444</v>
      </c>
      <c r="K6430" t="s">
        <v>9848</v>
      </c>
      <c r="L6430">
        <v>32</v>
      </c>
      <c r="O6430" t="s">
        <v>30</v>
      </c>
      <c r="P6430" t="s">
        <v>42</v>
      </c>
      <c r="S6430" t="s">
        <v>363</v>
      </c>
      <c r="T6430" t="s">
        <v>7700</v>
      </c>
      <c r="U6430">
        <v>616.89142000000004</v>
      </c>
      <c r="V6430" s="3">
        <v>41697</v>
      </c>
    </row>
    <row r="6431" spans="1:22" x14ac:dyDescent="0.35">
      <c r="A6431" s="1">
        <v>42283.73232638889</v>
      </c>
      <c r="B6431" s="2">
        <v>5.7870370370370366E-5</v>
      </c>
      <c r="C6431" t="s">
        <v>5438</v>
      </c>
      <c r="D6431" t="s">
        <v>360</v>
      </c>
      <c r="E6431" t="s">
        <v>361</v>
      </c>
      <c r="F6431" t="s">
        <v>4184</v>
      </c>
      <c r="G6431">
        <v>800610</v>
      </c>
      <c r="H6431" t="s">
        <v>91</v>
      </c>
      <c r="I6431" t="s">
        <v>247</v>
      </c>
      <c r="J6431" t="str">
        <f>"9781609186951"</f>
        <v>9781609186951</v>
      </c>
      <c r="K6431" t="s">
        <v>33</v>
      </c>
      <c r="L6431">
        <v>3</v>
      </c>
      <c r="O6431" t="s">
        <v>30</v>
      </c>
      <c r="P6431" t="s">
        <v>42</v>
      </c>
      <c r="S6431" t="s">
        <v>363</v>
      </c>
      <c r="T6431" t="s">
        <v>4187</v>
      </c>
      <c r="U6431">
        <v>616.89499999999998</v>
      </c>
      <c r="V6431" s="3">
        <v>40856</v>
      </c>
    </row>
    <row r="6432" spans="1:22" x14ac:dyDescent="0.35">
      <c r="A6432" s="1">
        <v>42283.731122685182</v>
      </c>
      <c r="B6432" s="2">
        <v>4.0509259259259258E-4</v>
      </c>
      <c r="C6432" t="s">
        <v>5438</v>
      </c>
      <c r="D6432" t="s">
        <v>360</v>
      </c>
      <c r="E6432" t="s">
        <v>361</v>
      </c>
      <c r="F6432" t="s">
        <v>7657</v>
      </c>
      <c r="G6432">
        <v>759923</v>
      </c>
      <c r="H6432" t="s">
        <v>91</v>
      </c>
      <c r="I6432" t="s">
        <v>247</v>
      </c>
      <c r="J6432" t="str">
        <f>"9781609186418"</f>
        <v>9781609186418</v>
      </c>
      <c r="K6432" t="s">
        <v>9849</v>
      </c>
      <c r="L6432">
        <v>12</v>
      </c>
      <c r="O6432" t="s">
        <v>30</v>
      </c>
      <c r="P6432" t="s">
        <v>42</v>
      </c>
      <c r="S6432" t="s">
        <v>363</v>
      </c>
      <c r="T6432" t="s">
        <v>7658</v>
      </c>
      <c r="U6432">
        <v>618.9289</v>
      </c>
      <c r="V6432" s="3">
        <v>41824</v>
      </c>
    </row>
    <row r="6433" spans="1:22" x14ac:dyDescent="0.35">
      <c r="A6433" s="1">
        <v>42283.723599537036</v>
      </c>
      <c r="B6433" s="2">
        <v>1.3310185185185185E-3</v>
      </c>
      <c r="C6433" t="s">
        <v>5438</v>
      </c>
      <c r="D6433" t="s">
        <v>360</v>
      </c>
      <c r="E6433" t="s">
        <v>361</v>
      </c>
      <c r="F6433" t="s">
        <v>515</v>
      </c>
      <c r="G6433">
        <v>1757960</v>
      </c>
      <c r="H6433" t="s">
        <v>26</v>
      </c>
      <c r="I6433" t="s">
        <v>247</v>
      </c>
      <c r="J6433" t="str">
        <f>"9781118780770"</f>
        <v>9781118780770</v>
      </c>
      <c r="K6433" t="s">
        <v>9850</v>
      </c>
      <c r="L6433">
        <v>4</v>
      </c>
      <c r="O6433" t="s">
        <v>30</v>
      </c>
      <c r="P6433" t="s">
        <v>29</v>
      </c>
      <c r="Q6433" s="1">
        <v>42283.723599537036</v>
      </c>
      <c r="R6433">
        <v>7</v>
      </c>
      <c r="S6433" t="s">
        <v>363</v>
      </c>
      <c r="T6433" t="s">
        <v>517</v>
      </c>
      <c r="U6433" t="s">
        <v>518</v>
      </c>
      <c r="V6433" s="3">
        <v>41850</v>
      </c>
    </row>
    <row r="6434" spans="1:22" x14ac:dyDescent="0.35">
      <c r="A6434" s="1">
        <v>42283.715902777774</v>
      </c>
      <c r="B6434" s="2">
        <v>3.3564814814814812E-4</v>
      </c>
      <c r="C6434" t="s">
        <v>9851</v>
      </c>
      <c r="D6434" t="s">
        <v>23</v>
      </c>
      <c r="E6434" t="s">
        <v>24</v>
      </c>
      <c r="F6434" t="s">
        <v>9852</v>
      </c>
      <c r="G6434">
        <v>2058064</v>
      </c>
      <c r="H6434" t="s">
        <v>45</v>
      </c>
      <c r="I6434" t="s">
        <v>97</v>
      </c>
      <c r="J6434" t="str">
        <f>"9781472455185"</f>
        <v>9781472455185</v>
      </c>
      <c r="K6434" t="s">
        <v>209</v>
      </c>
      <c r="L6434">
        <v>4</v>
      </c>
      <c r="O6434" t="s">
        <v>30</v>
      </c>
      <c r="P6434" t="s">
        <v>50</v>
      </c>
      <c r="S6434" t="s">
        <v>31</v>
      </c>
      <c r="T6434" t="s">
        <v>9853</v>
      </c>
      <c r="U6434" t="s">
        <v>9854</v>
      </c>
      <c r="V6434" s="3">
        <v>42213</v>
      </c>
    </row>
    <row r="6435" spans="1:22" x14ac:dyDescent="0.35">
      <c r="A6435" s="1">
        <v>42283.709050925929</v>
      </c>
      <c r="B6435" s="2">
        <v>3.4722222222222222E-5</v>
      </c>
      <c r="C6435" t="s">
        <v>9762</v>
      </c>
      <c r="D6435" t="s">
        <v>1222</v>
      </c>
      <c r="E6435" t="s">
        <v>1223</v>
      </c>
      <c r="F6435" t="s">
        <v>9044</v>
      </c>
      <c r="G6435">
        <v>1274383</v>
      </c>
      <c r="H6435" t="s">
        <v>139</v>
      </c>
      <c r="I6435" t="s">
        <v>120</v>
      </c>
      <c r="J6435" t="str">
        <f>"9780814760239"</f>
        <v>9780814760239</v>
      </c>
      <c r="K6435" t="s">
        <v>33</v>
      </c>
      <c r="L6435">
        <v>3</v>
      </c>
      <c r="O6435" t="s">
        <v>30</v>
      </c>
      <c r="P6435" t="s">
        <v>42</v>
      </c>
      <c r="S6435" t="s">
        <v>1226</v>
      </c>
      <c r="T6435" t="s">
        <v>9046</v>
      </c>
      <c r="U6435">
        <v>303.60834999999997</v>
      </c>
      <c r="V6435" s="3">
        <v>41505</v>
      </c>
    </row>
    <row r="6436" spans="1:22" x14ac:dyDescent="0.35">
      <c r="A6436" s="1">
        <v>42283.696608796294</v>
      </c>
      <c r="B6436" s="2">
        <v>9.5486111111111101E-3</v>
      </c>
      <c r="C6436" t="s">
        <v>1050</v>
      </c>
      <c r="D6436" t="s">
        <v>23</v>
      </c>
      <c r="E6436" t="s">
        <v>24</v>
      </c>
      <c r="F6436" t="s">
        <v>1051</v>
      </c>
      <c r="G6436">
        <v>821663</v>
      </c>
      <c r="H6436" t="s">
        <v>26</v>
      </c>
      <c r="I6436" t="s">
        <v>200</v>
      </c>
      <c r="J6436" t="str">
        <f>"9781118168479"</f>
        <v>9781118168479</v>
      </c>
      <c r="K6436" t="s">
        <v>9855</v>
      </c>
      <c r="L6436">
        <v>11</v>
      </c>
      <c r="O6436" t="s">
        <v>30</v>
      </c>
      <c r="P6436" t="s">
        <v>29</v>
      </c>
      <c r="Q6436" s="1">
        <v>42281.61445601852</v>
      </c>
      <c r="R6436">
        <v>7</v>
      </c>
      <c r="S6436" t="s">
        <v>31</v>
      </c>
      <c r="T6436" t="s">
        <v>1053</v>
      </c>
      <c r="U6436">
        <v>729</v>
      </c>
      <c r="V6436" s="3">
        <v>40973</v>
      </c>
    </row>
    <row r="6437" spans="1:22" x14ac:dyDescent="0.35">
      <c r="A6437" s="1">
        <v>42283.685752314814</v>
      </c>
      <c r="B6437" s="2">
        <v>2.8865740740740744E-2</v>
      </c>
      <c r="C6437" t="s">
        <v>9856</v>
      </c>
      <c r="D6437" t="s">
        <v>158</v>
      </c>
      <c r="E6437" t="s">
        <v>159</v>
      </c>
      <c r="F6437" t="s">
        <v>9857</v>
      </c>
      <c r="G6437">
        <v>894367</v>
      </c>
      <c r="H6437" t="s">
        <v>26</v>
      </c>
      <c r="I6437" t="s">
        <v>3693</v>
      </c>
      <c r="J6437" t="str">
        <f>"9781118431368"</f>
        <v>9781118431368</v>
      </c>
      <c r="K6437" t="s">
        <v>9858</v>
      </c>
      <c r="L6437">
        <v>13</v>
      </c>
      <c r="O6437" t="s">
        <v>30</v>
      </c>
      <c r="P6437" t="s">
        <v>29</v>
      </c>
      <c r="Q6437" s="1">
        <v>42283.685752314814</v>
      </c>
      <c r="R6437">
        <v>7</v>
      </c>
      <c r="S6437" t="s">
        <v>163</v>
      </c>
      <c r="T6437" t="s">
        <v>9859</v>
      </c>
      <c r="U6437" t="s">
        <v>9860</v>
      </c>
      <c r="V6437" s="3">
        <v>41144</v>
      </c>
    </row>
    <row r="6438" spans="1:22" x14ac:dyDescent="0.35">
      <c r="A6438" s="1">
        <v>42283.677129629628</v>
      </c>
      <c r="B6438" s="2">
        <v>8.611111111111111E-3</v>
      </c>
      <c r="C6438" t="s">
        <v>9856</v>
      </c>
      <c r="D6438" t="s">
        <v>158</v>
      </c>
      <c r="E6438" t="s">
        <v>159</v>
      </c>
      <c r="F6438" t="s">
        <v>9857</v>
      </c>
      <c r="G6438">
        <v>894367</v>
      </c>
      <c r="H6438" t="s">
        <v>26</v>
      </c>
      <c r="I6438" t="s">
        <v>3693</v>
      </c>
      <c r="J6438" t="str">
        <f>"9781118431368"</f>
        <v>9781118431368</v>
      </c>
      <c r="K6438" t="s">
        <v>8182</v>
      </c>
      <c r="L6438">
        <v>7</v>
      </c>
      <c r="O6438" t="s">
        <v>30</v>
      </c>
      <c r="P6438" t="s">
        <v>42</v>
      </c>
      <c r="S6438" t="s">
        <v>163</v>
      </c>
      <c r="T6438" t="s">
        <v>9859</v>
      </c>
      <c r="U6438" t="s">
        <v>9860</v>
      </c>
      <c r="V6438" s="3">
        <v>41144</v>
      </c>
    </row>
    <row r="6439" spans="1:22" x14ac:dyDescent="0.35">
      <c r="A6439" s="1">
        <v>42283.674224537041</v>
      </c>
      <c r="B6439" s="2">
        <v>4.9375000000000002E-2</v>
      </c>
      <c r="C6439" t="s">
        <v>5438</v>
      </c>
      <c r="D6439" t="s">
        <v>360</v>
      </c>
      <c r="E6439" t="s">
        <v>361</v>
      </c>
      <c r="F6439" t="s">
        <v>515</v>
      </c>
      <c r="G6439">
        <v>1757960</v>
      </c>
      <c r="H6439" t="s">
        <v>26</v>
      </c>
      <c r="I6439" t="s">
        <v>247</v>
      </c>
      <c r="J6439" t="str">
        <f>"9781118780770"</f>
        <v>9781118780770</v>
      </c>
      <c r="K6439" t="s">
        <v>9861</v>
      </c>
      <c r="L6439">
        <v>10</v>
      </c>
      <c r="O6439" t="s">
        <v>30</v>
      </c>
      <c r="P6439" t="s">
        <v>42</v>
      </c>
      <c r="S6439" t="s">
        <v>363</v>
      </c>
      <c r="T6439" t="s">
        <v>517</v>
      </c>
      <c r="U6439" t="s">
        <v>518</v>
      </c>
      <c r="V6439" s="3">
        <v>41850</v>
      </c>
    </row>
    <row r="6440" spans="1:22" x14ac:dyDescent="0.35">
      <c r="A6440" s="1">
        <v>42283.640266203707</v>
      </c>
      <c r="B6440" s="2">
        <v>1.0185185185185186E-3</v>
      </c>
      <c r="C6440" t="s">
        <v>5411</v>
      </c>
      <c r="D6440" t="s">
        <v>23</v>
      </c>
      <c r="E6440" t="s">
        <v>24</v>
      </c>
      <c r="F6440" t="s">
        <v>1051</v>
      </c>
      <c r="G6440">
        <v>821663</v>
      </c>
      <c r="H6440" t="s">
        <v>26</v>
      </c>
      <c r="I6440" t="s">
        <v>200</v>
      </c>
      <c r="J6440" t="str">
        <f>"9781118168479"</f>
        <v>9781118168479</v>
      </c>
      <c r="K6440" t="s">
        <v>9862</v>
      </c>
      <c r="L6440">
        <v>26</v>
      </c>
      <c r="O6440" t="s">
        <v>30</v>
      </c>
      <c r="P6440" t="s">
        <v>42</v>
      </c>
      <c r="S6440" t="s">
        <v>31</v>
      </c>
      <c r="T6440" t="s">
        <v>1053</v>
      </c>
      <c r="U6440">
        <v>729</v>
      </c>
      <c r="V6440" s="3">
        <v>40973</v>
      </c>
    </row>
    <row r="6441" spans="1:22" x14ac:dyDescent="0.35">
      <c r="A6441" s="1">
        <v>42283.629652777781</v>
      </c>
      <c r="B6441" s="2">
        <v>0</v>
      </c>
      <c r="C6441" t="s">
        <v>2226</v>
      </c>
      <c r="D6441" t="s">
        <v>146</v>
      </c>
      <c r="E6441" t="s">
        <v>147</v>
      </c>
      <c r="F6441" t="s">
        <v>810</v>
      </c>
      <c r="G6441">
        <v>817860</v>
      </c>
      <c r="H6441" t="s">
        <v>26</v>
      </c>
      <c r="I6441" t="s">
        <v>187</v>
      </c>
      <c r="J6441" t="str">
        <f>"9781118206362"</f>
        <v>9781118206362</v>
      </c>
      <c r="L6441">
        <v>0</v>
      </c>
      <c r="O6441" t="s">
        <v>30</v>
      </c>
      <c r="P6441" t="s">
        <v>29</v>
      </c>
      <c r="Q6441" s="1">
        <v>42283.629652777781</v>
      </c>
      <c r="R6441">
        <v>7</v>
      </c>
      <c r="S6441" t="s">
        <v>2228</v>
      </c>
      <c r="T6441" t="s">
        <v>813</v>
      </c>
      <c r="U6441" t="s">
        <v>814</v>
      </c>
      <c r="V6441" s="3">
        <v>40939</v>
      </c>
    </row>
    <row r="6442" spans="1:22" x14ac:dyDescent="0.35">
      <c r="A6442" s="1">
        <v>42283.629293981481</v>
      </c>
      <c r="B6442" s="2">
        <v>3.3564814814814812E-4</v>
      </c>
      <c r="C6442" t="s">
        <v>2226</v>
      </c>
      <c r="D6442" t="s">
        <v>146</v>
      </c>
      <c r="E6442" t="s">
        <v>147</v>
      </c>
      <c r="F6442" t="s">
        <v>810</v>
      </c>
      <c r="G6442">
        <v>817860</v>
      </c>
      <c r="H6442" t="s">
        <v>26</v>
      </c>
      <c r="I6442" t="s">
        <v>187</v>
      </c>
      <c r="J6442" t="str">
        <f>"9781118206362"</f>
        <v>9781118206362</v>
      </c>
      <c r="K6442" t="s">
        <v>9863</v>
      </c>
      <c r="L6442">
        <v>8</v>
      </c>
      <c r="O6442" t="s">
        <v>30</v>
      </c>
      <c r="P6442" t="s">
        <v>42</v>
      </c>
      <c r="S6442" t="s">
        <v>2228</v>
      </c>
      <c r="T6442" t="s">
        <v>813</v>
      </c>
      <c r="U6442" t="s">
        <v>814</v>
      </c>
      <c r="V6442" s="3">
        <v>40939</v>
      </c>
    </row>
    <row r="6443" spans="1:22" x14ac:dyDescent="0.35">
      <c r="A6443" s="1">
        <v>42283.596064814818</v>
      </c>
      <c r="B6443" s="2">
        <v>7.7453703703703705E-2</v>
      </c>
      <c r="C6443" t="s">
        <v>9864</v>
      </c>
      <c r="D6443" t="s">
        <v>35</v>
      </c>
      <c r="E6443" t="s">
        <v>36</v>
      </c>
      <c r="F6443" t="s">
        <v>5308</v>
      </c>
      <c r="G6443">
        <v>1874136</v>
      </c>
      <c r="H6443" t="s">
        <v>26</v>
      </c>
      <c r="I6443" t="s">
        <v>120</v>
      </c>
      <c r="J6443" t="str">
        <f>"9781118859711"</f>
        <v>9781118859711</v>
      </c>
      <c r="K6443" t="s">
        <v>9865</v>
      </c>
      <c r="L6443">
        <v>22</v>
      </c>
      <c r="O6443" t="s">
        <v>30</v>
      </c>
      <c r="P6443" t="s">
        <v>29</v>
      </c>
      <c r="Q6443" s="1">
        <v>42283.596064814818</v>
      </c>
      <c r="R6443">
        <v>7</v>
      </c>
      <c r="S6443" t="s">
        <v>40</v>
      </c>
      <c r="T6443" t="s">
        <v>5310</v>
      </c>
      <c r="U6443" t="s">
        <v>5311</v>
      </c>
      <c r="V6443" s="3">
        <v>41968</v>
      </c>
    </row>
    <row r="6444" spans="1:22" x14ac:dyDescent="0.35">
      <c r="A6444" s="1">
        <v>42283.58697916667</v>
      </c>
      <c r="B6444" s="2">
        <v>9.0624999999999994E-3</v>
      </c>
      <c r="C6444" t="s">
        <v>9864</v>
      </c>
      <c r="D6444" t="s">
        <v>35</v>
      </c>
      <c r="E6444" t="s">
        <v>36</v>
      </c>
      <c r="F6444" t="s">
        <v>5308</v>
      </c>
      <c r="G6444">
        <v>1874136</v>
      </c>
      <c r="H6444" t="s">
        <v>26</v>
      </c>
      <c r="I6444" t="s">
        <v>120</v>
      </c>
      <c r="J6444" t="str">
        <f>"9781118859711"</f>
        <v>9781118859711</v>
      </c>
      <c r="K6444" t="s">
        <v>9866</v>
      </c>
      <c r="L6444">
        <v>9</v>
      </c>
      <c r="O6444" t="s">
        <v>30</v>
      </c>
      <c r="P6444" t="s">
        <v>50</v>
      </c>
      <c r="S6444" t="s">
        <v>40</v>
      </c>
      <c r="T6444" t="s">
        <v>5310</v>
      </c>
      <c r="U6444" t="s">
        <v>5311</v>
      </c>
      <c r="V6444" s="3">
        <v>41968</v>
      </c>
    </row>
    <row r="6445" spans="1:22" x14ac:dyDescent="0.35">
      <c r="A6445" s="1">
        <v>42283.531134259261</v>
      </c>
      <c r="B6445" s="2">
        <v>4.9768518518518521E-4</v>
      </c>
      <c r="C6445" t="s">
        <v>9217</v>
      </c>
      <c r="D6445" t="s">
        <v>1222</v>
      </c>
      <c r="E6445" t="s">
        <v>1223</v>
      </c>
      <c r="F6445" t="s">
        <v>8763</v>
      </c>
      <c r="G6445">
        <v>1752698</v>
      </c>
      <c r="H6445" t="s">
        <v>26</v>
      </c>
      <c r="I6445" t="s">
        <v>297</v>
      </c>
      <c r="J6445" t="str">
        <f>"9781118496701"</f>
        <v>9781118496701</v>
      </c>
      <c r="K6445" t="s">
        <v>9867</v>
      </c>
      <c r="L6445">
        <v>5</v>
      </c>
      <c r="O6445" t="s">
        <v>30</v>
      </c>
      <c r="P6445" t="s">
        <v>42</v>
      </c>
      <c r="S6445" t="s">
        <v>1226</v>
      </c>
      <c r="T6445" t="s">
        <v>8765</v>
      </c>
      <c r="U6445">
        <v>515.07600000000002</v>
      </c>
      <c r="V6445" s="3">
        <v>41842</v>
      </c>
    </row>
    <row r="6446" spans="1:22" x14ac:dyDescent="0.35">
      <c r="A6446" s="1">
        <v>42283.350659722222</v>
      </c>
      <c r="B6446" s="2">
        <v>5.7407407407407416E-3</v>
      </c>
      <c r="C6446" t="s">
        <v>106</v>
      </c>
      <c r="D6446" t="s">
        <v>23</v>
      </c>
      <c r="E6446" t="s">
        <v>24</v>
      </c>
      <c r="F6446" t="s">
        <v>9868</v>
      </c>
      <c r="G6446">
        <v>1969392</v>
      </c>
      <c r="H6446" t="s">
        <v>45</v>
      </c>
      <c r="I6446" t="s">
        <v>200</v>
      </c>
      <c r="J6446" t="str">
        <f>"9781409445388"</f>
        <v>9781409445388</v>
      </c>
      <c r="K6446" t="s">
        <v>9869</v>
      </c>
      <c r="L6446">
        <v>51</v>
      </c>
      <c r="O6446" t="s">
        <v>30</v>
      </c>
      <c r="P6446" t="s">
        <v>47</v>
      </c>
      <c r="Q6446" s="1">
        <v>42283.350659722222</v>
      </c>
      <c r="R6446">
        <v>1</v>
      </c>
      <c r="S6446" t="s">
        <v>31</v>
      </c>
      <c r="T6446" t="s">
        <v>9870</v>
      </c>
      <c r="U6446" t="s">
        <v>9871</v>
      </c>
      <c r="V6446" s="3">
        <v>42091</v>
      </c>
    </row>
    <row r="6447" spans="1:22" x14ac:dyDescent="0.35">
      <c r="A6447" s="1">
        <v>42283.329074074078</v>
      </c>
      <c r="B6447" s="2">
        <v>2.1585648148148145E-2</v>
      </c>
      <c r="C6447" t="s">
        <v>106</v>
      </c>
      <c r="D6447" t="s">
        <v>23</v>
      </c>
      <c r="E6447" t="s">
        <v>24</v>
      </c>
      <c r="F6447" t="s">
        <v>9868</v>
      </c>
      <c r="G6447">
        <v>1969392</v>
      </c>
      <c r="H6447" t="s">
        <v>45</v>
      </c>
      <c r="I6447" t="s">
        <v>200</v>
      </c>
      <c r="J6447" t="str">
        <f>"9781409445388"</f>
        <v>9781409445388</v>
      </c>
      <c r="K6447" t="s">
        <v>9872</v>
      </c>
      <c r="L6447">
        <v>21</v>
      </c>
      <c r="O6447" t="s">
        <v>30</v>
      </c>
      <c r="P6447" t="s">
        <v>50</v>
      </c>
      <c r="S6447" t="s">
        <v>31</v>
      </c>
      <c r="T6447" t="s">
        <v>9870</v>
      </c>
      <c r="U6447" t="s">
        <v>9871</v>
      </c>
      <c r="V6447" s="3">
        <v>42091</v>
      </c>
    </row>
    <row r="6448" spans="1:22" x14ac:dyDescent="0.35">
      <c r="A6448" s="1">
        <v>42283.243113425924</v>
      </c>
      <c r="B6448" s="2">
        <v>2.5324074074074079E-2</v>
      </c>
      <c r="C6448" t="s">
        <v>7385</v>
      </c>
      <c r="D6448" t="s">
        <v>23</v>
      </c>
      <c r="E6448" t="s">
        <v>24</v>
      </c>
      <c r="F6448" t="s">
        <v>1051</v>
      </c>
      <c r="G6448">
        <v>821663</v>
      </c>
      <c r="H6448" t="s">
        <v>26</v>
      </c>
      <c r="I6448" t="s">
        <v>200</v>
      </c>
      <c r="J6448" t="str">
        <f>"9781118168479"</f>
        <v>9781118168479</v>
      </c>
      <c r="K6448" t="s">
        <v>9873</v>
      </c>
      <c r="L6448">
        <v>25</v>
      </c>
      <c r="O6448" t="s">
        <v>30</v>
      </c>
      <c r="P6448" t="s">
        <v>29</v>
      </c>
      <c r="Q6448" s="1">
        <v>42283.243113425924</v>
      </c>
      <c r="R6448">
        <v>1</v>
      </c>
      <c r="S6448" t="s">
        <v>31</v>
      </c>
      <c r="T6448" t="s">
        <v>1053</v>
      </c>
      <c r="U6448">
        <v>729</v>
      </c>
      <c r="V6448" s="3">
        <v>40973</v>
      </c>
    </row>
    <row r="6449" spans="1:22" x14ac:dyDescent="0.35">
      <c r="A6449" s="1">
        <v>42283.238993055558</v>
      </c>
      <c r="B6449" s="2">
        <v>4.1203703703703706E-3</v>
      </c>
      <c r="C6449" t="s">
        <v>7385</v>
      </c>
      <c r="D6449" t="s">
        <v>23</v>
      </c>
      <c r="E6449" t="s">
        <v>24</v>
      </c>
      <c r="F6449" t="s">
        <v>1051</v>
      </c>
      <c r="G6449">
        <v>821663</v>
      </c>
      <c r="H6449" t="s">
        <v>26</v>
      </c>
      <c r="I6449" t="s">
        <v>200</v>
      </c>
      <c r="J6449" t="str">
        <f>"9781118168479"</f>
        <v>9781118168479</v>
      </c>
      <c r="K6449" t="s">
        <v>9874</v>
      </c>
      <c r="L6449">
        <v>25</v>
      </c>
      <c r="O6449" t="s">
        <v>30</v>
      </c>
      <c r="P6449" t="s">
        <v>42</v>
      </c>
      <c r="S6449" t="s">
        <v>31</v>
      </c>
      <c r="T6449" t="s">
        <v>1053</v>
      </c>
      <c r="U6449">
        <v>729</v>
      </c>
      <c r="V6449" s="3">
        <v>40973</v>
      </c>
    </row>
    <row r="6450" spans="1:22" x14ac:dyDescent="0.35">
      <c r="A6450" s="1">
        <v>42283.23715277778</v>
      </c>
      <c r="B6450" s="2">
        <v>3.0902777777777782E-3</v>
      </c>
      <c r="C6450" t="s">
        <v>7385</v>
      </c>
      <c r="D6450" t="s">
        <v>23</v>
      </c>
      <c r="E6450" t="s">
        <v>24</v>
      </c>
      <c r="F6450" t="s">
        <v>1051</v>
      </c>
      <c r="G6450">
        <v>821663</v>
      </c>
      <c r="H6450" t="s">
        <v>26</v>
      </c>
      <c r="I6450" t="s">
        <v>200</v>
      </c>
      <c r="J6450" t="str">
        <f>"9781118168479"</f>
        <v>9781118168479</v>
      </c>
      <c r="K6450" t="s">
        <v>6194</v>
      </c>
      <c r="L6450">
        <v>8</v>
      </c>
      <c r="O6450" t="s">
        <v>30</v>
      </c>
      <c r="P6450" t="s">
        <v>42</v>
      </c>
      <c r="S6450" t="s">
        <v>31</v>
      </c>
      <c r="T6450" t="s">
        <v>1053</v>
      </c>
      <c r="U6450">
        <v>729</v>
      </c>
      <c r="V6450" s="3">
        <v>40973</v>
      </c>
    </row>
    <row r="6451" spans="1:22" x14ac:dyDescent="0.35">
      <c r="A6451" s="1">
        <v>42283.173611111109</v>
      </c>
      <c r="B6451" s="2">
        <v>1.8518518518518517E-3</v>
      </c>
      <c r="C6451" t="s">
        <v>106</v>
      </c>
      <c r="D6451" t="s">
        <v>23</v>
      </c>
      <c r="E6451" t="s">
        <v>24</v>
      </c>
      <c r="F6451" t="s">
        <v>1051</v>
      </c>
      <c r="G6451">
        <v>821663</v>
      </c>
      <c r="H6451" t="s">
        <v>26</v>
      </c>
      <c r="I6451" t="s">
        <v>200</v>
      </c>
      <c r="J6451" t="str">
        <f>"9781118168479"</f>
        <v>9781118168479</v>
      </c>
      <c r="K6451" t="s">
        <v>9875</v>
      </c>
      <c r="L6451">
        <v>10</v>
      </c>
      <c r="O6451" t="s">
        <v>30</v>
      </c>
      <c r="P6451" t="s">
        <v>29</v>
      </c>
      <c r="Q6451" s="1">
        <v>42282.258090277777</v>
      </c>
      <c r="R6451">
        <v>1</v>
      </c>
      <c r="S6451" t="s">
        <v>31</v>
      </c>
      <c r="T6451" t="s">
        <v>1053</v>
      </c>
      <c r="U6451">
        <v>729</v>
      </c>
      <c r="V6451" s="3">
        <v>40973</v>
      </c>
    </row>
    <row r="6452" spans="1:22" x14ac:dyDescent="0.35">
      <c r="A6452" s="1">
        <v>42283.129351851851</v>
      </c>
      <c r="B6452" s="2">
        <v>2.8935185185185189E-4</v>
      </c>
      <c r="C6452" t="s">
        <v>9876</v>
      </c>
      <c r="D6452" t="s">
        <v>6396</v>
      </c>
      <c r="E6452" t="s">
        <v>6397</v>
      </c>
      <c r="F6452" t="s">
        <v>9877</v>
      </c>
      <c r="G6452">
        <v>1843663</v>
      </c>
      <c r="H6452" t="s">
        <v>45</v>
      </c>
      <c r="I6452" t="s">
        <v>172</v>
      </c>
      <c r="J6452" t="str">
        <f>"9781472438263"</f>
        <v>9781472438263</v>
      </c>
      <c r="K6452" t="s">
        <v>9878</v>
      </c>
      <c r="L6452">
        <v>8</v>
      </c>
      <c r="O6452" t="s">
        <v>30</v>
      </c>
      <c r="P6452" t="s">
        <v>47</v>
      </c>
      <c r="Q6452" s="1">
        <v>42283.129351851851</v>
      </c>
      <c r="R6452">
        <v>1</v>
      </c>
      <c r="S6452" t="s">
        <v>6400</v>
      </c>
      <c r="T6452" t="s">
        <v>9879</v>
      </c>
      <c r="U6452">
        <v>940.40940999999998</v>
      </c>
      <c r="V6452" s="3">
        <v>42032</v>
      </c>
    </row>
    <row r="6453" spans="1:22" x14ac:dyDescent="0.35">
      <c r="A6453" s="1">
        <v>42283.124652777777</v>
      </c>
      <c r="B6453" s="2">
        <v>4.6990740740740743E-3</v>
      </c>
      <c r="C6453" t="s">
        <v>9876</v>
      </c>
      <c r="D6453" t="s">
        <v>6396</v>
      </c>
      <c r="E6453" t="s">
        <v>6397</v>
      </c>
      <c r="F6453" t="s">
        <v>9877</v>
      </c>
      <c r="G6453">
        <v>1843663</v>
      </c>
      <c r="H6453" t="s">
        <v>45</v>
      </c>
      <c r="I6453" t="s">
        <v>172</v>
      </c>
      <c r="J6453" t="str">
        <f>"9781472438263"</f>
        <v>9781472438263</v>
      </c>
      <c r="K6453" t="s">
        <v>339</v>
      </c>
      <c r="L6453">
        <v>18</v>
      </c>
      <c r="O6453" t="s">
        <v>30</v>
      </c>
      <c r="P6453" t="s">
        <v>50</v>
      </c>
      <c r="S6453" t="s">
        <v>6400</v>
      </c>
      <c r="T6453" t="s">
        <v>9879</v>
      </c>
      <c r="U6453">
        <v>940.40940999999998</v>
      </c>
      <c r="V6453" s="3">
        <v>42032</v>
      </c>
    </row>
    <row r="6454" spans="1:22" x14ac:dyDescent="0.35">
      <c r="A6454" s="1">
        <v>42283.097766203704</v>
      </c>
      <c r="B6454" s="2">
        <v>1.2002314814814815E-2</v>
      </c>
      <c r="C6454" t="s">
        <v>9880</v>
      </c>
      <c r="D6454" t="s">
        <v>35</v>
      </c>
      <c r="E6454" t="s">
        <v>36</v>
      </c>
      <c r="F6454" t="s">
        <v>4552</v>
      </c>
      <c r="G6454">
        <v>2130115</v>
      </c>
      <c r="H6454" t="s">
        <v>526</v>
      </c>
      <c r="I6454" t="s">
        <v>267</v>
      </c>
      <c r="J6454" t="str">
        <f>"9780226222905"</f>
        <v>9780226222905</v>
      </c>
      <c r="K6454" t="s">
        <v>9881</v>
      </c>
      <c r="L6454">
        <v>26</v>
      </c>
      <c r="O6454" t="s">
        <v>30</v>
      </c>
      <c r="P6454" t="s">
        <v>47</v>
      </c>
      <c r="Q6454" s="1">
        <v>42282.960266203707</v>
      </c>
      <c r="R6454">
        <v>1</v>
      </c>
      <c r="S6454" t="s">
        <v>40</v>
      </c>
      <c r="T6454" t="s">
        <v>4554</v>
      </c>
      <c r="U6454" t="s">
        <v>4555</v>
      </c>
      <c r="V6454" s="3">
        <v>41376</v>
      </c>
    </row>
    <row r="6455" spans="1:22" x14ac:dyDescent="0.35">
      <c r="A6455" s="1">
        <v>42283.089733796296</v>
      </c>
      <c r="B6455" s="2">
        <v>2.1759259259259258E-3</v>
      </c>
      <c r="C6455" t="s">
        <v>6836</v>
      </c>
      <c r="D6455" t="s">
        <v>23</v>
      </c>
      <c r="E6455" t="s">
        <v>24</v>
      </c>
      <c r="F6455" t="s">
        <v>6837</v>
      </c>
      <c r="G6455">
        <v>1655862</v>
      </c>
      <c r="H6455" t="s">
        <v>613</v>
      </c>
      <c r="I6455" t="s">
        <v>5632</v>
      </c>
      <c r="J6455" t="str">
        <f>"9781469615493"</f>
        <v>9781469615493</v>
      </c>
      <c r="K6455" t="s">
        <v>9882</v>
      </c>
      <c r="L6455">
        <v>16</v>
      </c>
      <c r="O6455" t="s">
        <v>30</v>
      </c>
      <c r="P6455" t="s">
        <v>50</v>
      </c>
      <c r="S6455" t="s">
        <v>31</v>
      </c>
      <c r="T6455" t="s">
        <v>6839</v>
      </c>
      <c r="U6455" t="s">
        <v>6840</v>
      </c>
      <c r="V6455" s="3">
        <v>41744</v>
      </c>
    </row>
    <row r="6456" spans="1:22" x14ac:dyDescent="0.35">
      <c r="A6456" s="1">
        <v>42283.078923611109</v>
      </c>
      <c r="B6456" s="2">
        <v>5.7870370370370366E-5</v>
      </c>
      <c r="C6456" t="s">
        <v>9883</v>
      </c>
      <c r="D6456" t="s">
        <v>35</v>
      </c>
      <c r="E6456" t="s">
        <v>36</v>
      </c>
      <c r="F6456" t="s">
        <v>1833</v>
      </c>
      <c r="G6456">
        <v>1635364</v>
      </c>
      <c r="H6456" t="s">
        <v>26</v>
      </c>
      <c r="I6456" t="s">
        <v>297</v>
      </c>
      <c r="J6456" t="str">
        <f>"9781118710449"</f>
        <v>9781118710449</v>
      </c>
      <c r="K6456" t="s">
        <v>33</v>
      </c>
      <c r="L6456">
        <v>3</v>
      </c>
      <c r="O6456" t="s">
        <v>30</v>
      </c>
      <c r="P6456" t="s">
        <v>42</v>
      </c>
      <c r="S6456" t="s">
        <v>40</v>
      </c>
      <c r="T6456" t="s">
        <v>1835</v>
      </c>
      <c r="U6456">
        <v>510.71273000000002</v>
      </c>
      <c r="V6456" s="3">
        <v>41684</v>
      </c>
    </row>
    <row r="6457" spans="1:22" x14ac:dyDescent="0.35">
      <c r="A6457" s="1">
        <v>42283.054282407407</v>
      </c>
      <c r="B6457" s="2">
        <v>1.6087962962962963E-3</v>
      </c>
      <c r="C6457" t="s">
        <v>9217</v>
      </c>
      <c r="D6457" t="s">
        <v>1222</v>
      </c>
      <c r="E6457" t="s">
        <v>1223</v>
      </c>
      <c r="F6457" t="s">
        <v>8763</v>
      </c>
      <c r="G6457">
        <v>1752698</v>
      </c>
      <c r="H6457" t="s">
        <v>26</v>
      </c>
      <c r="I6457" t="s">
        <v>297</v>
      </c>
      <c r="J6457" t="str">
        <f>"9781118496701"</f>
        <v>9781118496701</v>
      </c>
      <c r="K6457" t="s">
        <v>9884</v>
      </c>
      <c r="L6457">
        <v>32</v>
      </c>
      <c r="O6457" t="s">
        <v>30</v>
      </c>
      <c r="P6457" t="s">
        <v>42</v>
      </c>
      <c r="S6457" t="s">
        <v>1226</v>
      </c>
      <c r="T6457" t="s">
        <v>8765</v>
      </c>
      <c r="U6457">
        <v>515.07600000000002</v>
      </c>
      <c r="V6457" s="3">
        <v>41842</v>
      </c>
    </row>
    <row r="6458" spans="1:22" x14ac:dyDescent="0.35">
      <c r="A6458" s="1">
        <v>42283.047256944446</v>
      </c>
      <c r="B6458" s="2">
        <v>2.3263888888888887E-3</v>
      </c>
      <c r="C6458" t="s">
        <v>9885</v>
      </c>
      <c r="D6458" t="s">
        <v>211</v>
      </c>
      <c r="E6458" t="s">
        <v>212</v>
      </c>
      <c r="F6458" t="s">
        <v>9886</v>
      </c>
      <c r="G6458">
        <v>2082957</v>
      </c>
      <c r="H6458" t="s">
        <v>26</v>
      </c>
      <c r="I6458" t="s">
        <v>1325</v>
      </c>
      <c r="J6458" t="str">
        <f>"9781118629055"</f>
        <v>9781118629055</v>
      </c>
      <c r="K6458" t="s">
        <v>9887</v>
      </c>
      <c r="L6458">
        <v>52</v>
      </c>
      <c r="O6458" t="s">
        <v>30</v>
      </c>
      <c r="P6458" t="s">
        <v>50</v>
      </c>
      <c r="S6458" t="s">
        <v>214</v>
      </c>
      <c r="T6458" t="s">
        <v>9888</v>
      </c>
      <c r="U6458">
        <v>614</v>
      </c>
      <c r="V6458" s="3">
        <v>41873</v>
      </c>
    </row>
    <row r="6459" spans="1:22" x14ac:dyDescent="0.35">
      <c r="A6459" s="1">
        <v>42283.011423611111</v>
      </c>
      <c r="B6459" s="2">
        <v>2.7777777777777778E-4</v>
      </c>
      <c r="C6459" t="s">
        <v>106</v>
      </c>
      <c r="D6459" t="s">
        <v>23</v>
      </c>
      <c r="E6459" t="s">
        <v>24</v>
      </c>
      <c r="F6459" t="s">
        <v>9205</v>
      </c>
      <c r="G6459">
        <v>1875898</v>
      </c>
      <c r="H6459" t="s">
        <v>26</v>
      </c>
      <c r="I6459" t="s">
        <v>276</v>
      </c>
      <c r="J6459" t="str">
        <f>"9781118908891"</f>
        <v>9781118908891</v>
      </c>
      <c r="K6459" t="s">
        <v>9889</v>
      </c>
      <c r="L6459">
        <v>1</v>
      </c>
      <c r="O6459" t="s">
        <v>30</v>
      </c>
      <c r="P6459" t="s">
        <v>42</v>
      </c>
      <c r="S6459" t="s">
        <v>31</v>
      </c>
      <c r="T6459" t="s">
        <v>9207</v>
      </c>
      <c r="U6459">
        <v>5.133</v>
      </c>
      <c r="V6459" s="3">
        <v>41967</v>
      </c>
    </row>
    <row r="6460" spans="1:22" x14ac:dyDescent="0.35">
      <c r="A6460" s="1">
        <v>42283.011365740742</v>
      </c>
      <c r="B6460" s="2">
        <v>1.1574074074074073E-5</v>
      </c>
      <c r="C6460" t="s">
        <v>106</v>
      </c>
      <c r="D6460" t="s">
        <v>23</v>
      </c>
      <c r="E6460" t="s">
        <v>24</v>
      </c>
      <c r="F6460" t="s">
        <v>9205</v>
      </c>
      <c r="G6460">
        <v>1875898</v>
      </c>
      <c r="H6460" t="s">
        <v>26</v>
      </c>
      <c r="I6460" t="s">
        <v>276</v>
      </c>
      <c r="J6460" t="str">
        <f>"9781118908891"</f>
        <v>9781118908891</v>
      </c>
      <c r="L6460">
        <v>0</v>
      </c>
      <c r="O6460" t="s">
        <v>30</v>
      </c>
      <c r="P6460" t="s">
        <v>42</v>
      </c>
      <c r="S6460" t="s">
        <v>31</v>
      </c>
      <c r="T6460" t="s">
        <v>9207</v>
      </c>
      <c r="U6460">
        <v>5.133</v>
      </c>
      <c r="V6460" s="3">
        <v>41967</v>
      </c>
    </row>
    <row r="6461" spans="1:22" x14ac:dyDescent="0.35">
      <c r="A6461" s="1">
        <v>42283.011273148149</v>
      </c>
      <c r="B6461" s="2">
        <v>5.7870370370370366E-5</v>
      </c>
      <c r="C6461" t="s">
        <v>106</v>
      </c>
      <c r="D6461" t="s">
        <v>23</v>
      </c>
      <c r="E6461" t="s">
        <v>24</v>
      </c>
      <c r="F6461" t="s">
        <v>9205</v>
      </c>
      <c r="G6461">
        <v>1875898</v>
      </c>
      <c r="H6461" t="s">
        <v>26</v>
      </c>
      <c r="I6461" t="s">
        <v>276</v>
      </c>
      <c r="J6461" t="str">
        <f>"9781118908891"</f>
        <v>9781118908891</v>
      </c>
      <c r="K6461" t="s">
        <v>105</v>
      </c>
      <c r="L6461">
        <v>1</v>
      </c>
      <c r="O6461" t="s">
        <v>30</v>
      </c>
      <c r="P6461" t="s">
        <v>42</v>
      </c>
      <c r="S6461" t="s">
        <v>31</v>
      </c>
      <c r="T6461" t="s">
        <v>9207</v>
      </c>
      <c r="U6461">
        <v>5.133</v>
      </c>
      <c r="V6461" s="3">
        <v>41967</v>
      </c>
    </row>
    <row r="6462" spans="1:22" x14ac:dyDescent="0.35">
      <c r="A6462" s="1">
        <v>42283.011030092595</v>
      </c>
      <c r="B6462" s="2">
        <v>5.7870370370370366E-5</v>
      </c>
      <c r="C6462" t="s">
        <v>106</v>
      </c>
      <c r="D6462" t="s">
        <v>23</v>
      </c>
      <c r="E6462" t="s">
        <v>24</v>
      </c>
      <c r="F6462" t="s">
        <v>9205</v>
      </c>
      <c r="G6462">
        <v>1875898</v>
      </c>
      <c r="H6462" t="s">
        <v>26</v>
      </c>
      <c r="I6462" t="s">
        <v>276</v>
      </c>
      <c r="J6462" t="str">
        <f>"9781118908891"</f>
        <v>9781118908891</v>
      </c>
      <c r="K6462" t="s">
        <v>33</v>
      </c>
      <c r="L6462">
        <v>3</v>
      </c>
      <c r="O6462" t="s">
        <v>30</v>
      </c>
      <c r="P6462" t="s">
        <v>42</v>
      </c>
      <c r="S6462" t="s">
        <v>31</v>
      </c>
      <c r="T6462" t="s">
        <v>9207</v>
      </c>
      <c r="U6462">
        <v>5.133</v>
      </c>
      <c r="V6462" s="3">
        <v>41967</v>
      </c>
    </row>
    <row r="6463" spans="1:22" x14ac:dyDescent="0.35">
      <c r="A6463" s="1">
        <v>42282.962812500002</v>
      </c>
      <c r="B6463" s="2">
        <v>2.7777777777777778E-4</v>
      </c>
      <c r="C6463" t="s">
        <v>106</v>
      </c>
      <c r="D6463" t="s">
        <v>23</v>
      </c>
      <c r="E6463" t="s">
        <v>24</v>
      </c>
      <c r="F6463" t="s">
        <v>199</v>
      </c>
      <c r="G6463">
        <v>1120063</v>
      </c>
      <c r="H6463" t="s">
        <v>26</v>
      </c>
      <c r="I6463" t="s">
        <v>200</v>
      </c>
      <c r="J6463" t="str">
        <f>"9781118418932"</f>
        <v>9781118418932</v>
      </c>
      <c r="K6463" t="s">
        <v>6801</v>
      </c>
      <c r="L6463">
        <v>8</v>
      </c>
      <c r="O6463" t="s">
        <v>30</v>
      </c>
      <c r="P6463" t="s">
        <v>42</v>
      </c>
      <c r="S6463" t="s">
        <v>31</v>
      </c>
      <c r="T6463" t="s">
        <v>201</v>
      </c>
      <c r="U6463">
        <v>720.28</v>
      </c>
      <c r="V6463" s="3">
        <v>41303</v>
      </c>
    </row>
    <row r="6464" spans="1:22" x14ac:dyDescent="0.35">
      <c r="A6464" s="1">
        <v>42282.960266203707</v>
      </c>
      <c r="B6464" s="2">
        <v>1.2534722222222223E-2</v>
      </c>
      <c r="C6464" t="s">
        <v>9880</v>
      </c>
      <c r="D6464" t="s">
        <v>35</v>
      </c>
      <c r="E6464" t="s">
        <v>36</v>
      </c>
      <c r="F6464" t="s">
        <v>4552</v>
      </c>
      <c r="G6464">
        <v>2130115</v>
      </c>
      <c r="H6464" t="s">
        <v>526</v>
      </c>
      <c r="I6464" t="s">
        <v>267</v>
      </c>
      <c r="J6464" t="str">
        <f>"9780226222905"</f>
        <v>9780226222905</v>
      </c>
      <c r="K6464" t="s">
        <v>9890</v>
      </c>
      <c r="L6464">
        <v>8</v>
      </c>
      <c r="O6464" t="s">
        <v>30</v>
      </c>
      <c r="P6464" t="s">
        <v>47</v>
      </c>
      <c r="Q6464" s="1">
        <v>42282.960266203707</v>
      </c>
      <c r="R6464">
        <v>1</v>
      </c>
      <c r="S6464" t="s">
        <v>40</v>
      </c>
      <c r="T6464" t="s">
        <v>4554</v>
      </c>
      <c r="U6464" t="s">
        <v>4555</v>
      </c>
      <c r="V6464" s="3">
        <v>41376</v>
      </c>
    </row>
    <row r="6465" spans="1:22" x14ac:dyDescent="0.35">
      <c r="A6465" s="1">
        <v>42282.957986111112</v>
      </c>
      <c r="B6465" s="2">
        <v>2.3379629629629631E-3</v>
      </c>
      <c r="C6465" t="s">
        <v>6982</v>
      </c>
      <c r="D6465" t="s">
        <v>261</v>
      </c>
      <c r="E6465" t="s">
        <v>262</v>
      </c>
      <c r="F6465" t="s">
        <v>2649</v>
      </c>
      <c r="G6465">
        <v>1143522</v>
      </c>
      <c r="H6465" t="s">
        <v>26</v>
      </c>
      <c r="I6465" t="s">
        <v>172</v>
      </c>
      <c r="J6465" t="str">
        <f>"9781118257197"</f>
        <v>9781118257197</v>
      </c>
      <c r="K6465" t="s">
        <v>9891</v>
      </c>
      <c r="L6465">
        <v>18</v>
      </c>
      <c r="O6465" t="s">
        <v>30</v>
      </c>
      <c r="P6465" t="s">
        <v>29</v>
      </c>
      <c r="Q6465" s="1">
        <v>42282.919675925928</v>
      </c>
      <c r="R6465">
        <v>7</v>
      </c>
      <c r="S6465" t="s">
        <v>264</v>
      </c>
      <c r="T6465" t="s">
        <v>2651</v>
      </c>
      <c r="U6465">
        <v>972</v>
      </c>
      <c r="V6465" s="3">
        <v>41334</v>
      </c>
    </row>
    <row r="6466" spans="1:22" x14ac:dyDescent="0.35">
      <c r="A6466" s="1">
        <v>42282.950567129628</v>
      </c>
      <c r="B6466" s="2">
        <v>0.16359953703703703</v>
      </c>
      <c r="C6466" t="s">
        <v>106</v>
      </c>
      <c r="D6466" t="s">
        <v>23</v>
      </c>
      <c r="E6466" t="s">
        <v>24</v>
      </c>
      <c r="F6466" t="s">
        <v>1051</v>
      </c>
      <c r="G6466">
        <v>821663</v>
      </c>
      <c r="H6466" t="s">
        <v>26</v>
      </c>
      <c r="I6466" t="s">
        <v>200</v>
      </c>
      <c r="J6466" t="str">
        <f>"9781118168479"</f>
        <v>9781118168479</v>
      </c>
      <c r="K6466" t="s">
        <v>9892</v>
      </c>
      <c r="L6466">
        <v>100</v>
      </c>
      <c r="O6466" t="s">
        <v>30</v>
      </c>
      <c r="P6466" t="s">
        <v>29</v>
      </c>
      <c r="Q6466" s="1">
        <v>42282.258090277777</v>
      </c>
      <c r="R6466">
        <v>1</v>
      </c>
      <c r="S6466" t="s">
        <v>31</v>
      </c>
      <c r="T6466" t="s">
        <v>1053</v>
      </c>
      <c r="U6466">
        <v>729</v>
      </c>
      <c r="V6466" s="3">
        <v>40973</v>
      </c>
    </row>
    <row r="6467" spans="1:22" x14ac:dyDescent="0.35">
      <c r="A6467" s="1">
        <v>42282.945902777778</v>
      </c>
      <c r="B6467" s="2">
        <v>1.4363425925925925E-2</v>
      </c>
      <c r="C6467" t="s">
        <v>9880</v>
      </c>
      <c r="D6467" t="s">
        <v>35</v>
      </c>
      <c r="E6467" t="s">
        <v>36</v>
      </c>
      <c r="F6467" t="s">
        <v>4552</v>
      </c>
      <c r="G6467">
        <v>2130115</v>
      </c>
      <c r="H6467" t="s">
        <v>526</v>
      </c>
      <c r="I6467" t="s">
        <v>267</v>
      </c>
      <c r="J6467" t="str">
        <f>"9780226222905"</f>
        <v>9780226222905</v>
      </c>
      <c r="K6467" t="s">
        <v>9893</v>
      </c>
      <c r="L6467">
        <v>11</v>
      </c>
      <c r="O6467" t="s">
        <v>30</v>
      </c>
      <c r="P6467" t="s">
        <v>50</v>
      </c>
      <c r="S6467" t="s">
        <v>40</v>
      </c>
      <c r="T6467" t="s">
        <v>4554</v>
      </c>
      <c r="U6467" t="s">
        <v>4555</v>
      </c>
      <c r="V6467" s="3">
        <v>41376</v>
      </c>
    </row>
    <row r="6468" spans="1:22" x14ac:dyDescent="0.35">
      <c r="A6468" s="1">
        <v>42282.924317129633</v>
      </c>
      <c r="B6468" s="2">
        <v>6.134259259259259E-4</v>
      </c>
      <c r="C6468" t="s">
        <v>210</v>
      </c>
      <c r="D6468" t="s">
        <v>211</v>
      </c>
      <c r="E6468" t="s">
        <v>212</v>
      </c>
      <c r="F6468" t="s">
        <v>9036</v>
      </c>
      <c r="G6468">
        <v>1372261</v>
      </c>
      <c r="H6468" t="s">
        <v>26</v>
      </c>
      <c r="I6468" t="s">
        <v>9037</v>
      </c>
      <c r="J6468" t="str">
        <f>"9781118505106"</f>
        <v>9781118505106</v>
      </c>
      <c r="K6468" t="s">
        <v>9894</v>
      </c>
      <c r="L6468">
        <v>9</v>
      </c>
      <c r="O6468" t="s">
        <v>30</v>
      </c>
      <c r="P6468" t="s">
        <v>50</v>
      </c>
      <c r="S6468" t="s">
        <v>214</v>
      </c>
      <c r="T6468" t="s">
        <v>9039</v>
      </c>
      <c r="U6468">
        <v>387</v>
      </c>
      <c r="V6468" s="3">
        <v>41526</v>
      </c>
    </row>
    <row r="6469" spans="1:22" x14ac:dyDescent="0.35">
      <c r="A6469" s="1">
        <v>42282.919675925928</v>
      </c>
      <c r="B6469" s="2">
        <v>9.2592592592592588E-5</v>
      </c>
      <c r="C6469" t="s">
        <v>6982</v>
      </c>
      <c r="D6469" t="s">
        <v>261</v>
      </c>
      <c r="E6469" t="s">
        <v>262</v>
      </c>
      <c r="F6469" t="s">
        <v>2649</v>
      </c>
      <c r="G6469">
        <v>1143522</v>
      </c>
      <c r="H6469" t="s">
        <v>26</v>
      </c>
      <c r="I6469" t="s">
        <v>172</v>
      </c>
      <c r="J6469" t="str">
        <f>"9781118257197"</f>
        <v>9781118257197</v>
      </c>
      <c r="K6469" t="s">
        <v>9895</v>
      </c>
      <c r="L6469">
        <v>6</v>
      </c>
      <c r="O6469" t="s">
        <v>30</v>
      </c>
      <c r="P6469" t="s">
        <v>29</v>
      </c>
      <c r="Q6469" s="1">
        <v>42282.919675925928</v>
      </c>
      <c r="R6469">
        <v>7</v>
      </c>
      <c r="S6469" t="s">
        <v>264</v>
      </c>
      <c r="T6469" t="s">
        <v>2651</v>
      </c>
      <c r="U6469">
        <v>972</v>
      </c>
      <c r="V6469" s="3">
        <v>41334</v>
      </c>
    </row>
    <row r="6470" spans="1:22" x14ac:dyDescent="0.35">
      <c r="A6470" s="1">
        <v>42282.907754629632</v>
      </c>
      <c r="B6470" s="2">
        <v>7.5231481481481471E-4</v>
      </c>
      <c r="C6470" t="s">
        <v>9896</v>
      </c>
      <c r="D6470" t="s">
        <v>261</v>
      </c>
      <c r="E6470" t="s">
        <v>262</v>
      </c>
      <c r="F6470" t="s">
        <v>4162</v>
      </c>
      <c r="G6470">
        <v>1760726</v>
      </c>
      <c r="H6470" t="s">
        <v>91</v>
      </c>
      <c r="I6470" t="s">
        <v>69</v>
      </c>
      <c r="J6470" t="str">
        <f>"9781462518081"</f>
        <v>9781462518081</v>
      </c>
      <c r="K6470" t="s">
        <v>9897</v>
      </c>
      <c r="L6470">
        <v>16</v>
      </c>
      <c r="O6470" t="s">
        <v>30</v>
      </c>
      <c r="P6470" t="s">
        <v>50</v>
      </c>
      <c r="S6470" t="s">
        <v>264</v>
      </c>
      <c r="T6470" t="s">
        <v>4164</v>
      </c>
      <c r="U6470" t="s">
        <v>4165</v>
      </c>
      <c r="V6470" s="3">
        <v>41953</v>
      </c>
    </row>
    <row r="6471" spans="1:22" x14ac:dyDescent="0.35">
      <c r="A6471" s="1">
        <v>42282.907002314816</v>
      </c>
      <c r="B6471" s="2">
        <v>3.2060185185185191E-3</v>
      </c>
      <c r="C6471" t="s">
        <v>9898</v>
      </c>
      <c r="D6471" t="s">
        <v>623</v>
      </c>
      <c r="E6471" t="s">
        <v>624</v>
      </c>
      <c r="F6471" t="s">
        <v>9899</v>
      </c>
      <c r="G6471">
        <v>1832723</v>
      </c>
      <c r="H6471" t="s">
        <v>26</v>
      </c>
      <c r="I6471" t="s">
        <v>9900</v>
      </c>
      <c r="J6471" t="str">
        <f>"9781118902110"</f>
        <v>9781118902110</v>
      </c>
      <c r="K6471" t="s">
        <v>9901</v>
      </c>
      <c r="L6471">
        <v>15</v>
      </c>
      <c r="O6471" t="s">
        <v>30</v>
      </c>
      <c r="P6471" t="s">
        <v>50</v>
      </c>
      <c r="S6471" t="s">
        <v>627</v>
      </c>
      <c r="T6471" t="s">
        <v>9902</v>
      </c>
      <c r="U6471">
        <v>551.9</v>
      </c>
      <c r="V6471" s="3">
        <v>41946</v>
      </c>
    </row>
    <row r="6472" spans="1:22" x14ac:dyDescent="0.35">
      <c r="A6472" s="1">
        <v>42282.89916666667</v>
      </c>
      <c r="B6472" s="2">
        <v>2.3842592592592591E-3</v>
      </c>
      <c r="C6472" t="s">
        <v>9903</v>
      </c>
      <c r="D6472" t="s">
        <v>211</v>
      </c>
      <c r="E6472" t="s">
        <v>212</v>
      </c>
      <c r="F6472" t="s">
        <v>9904</v>
      </c>
      <c r="G6472">
        <v>1521045</v>
      </c>
      <c r="H6472" t="s">
        <v>68</v>
      </c>
      <c r="I6472" t="s">
        <v>69</v>
      </c>
      <c r="J6472" t="str">
        <f>"9781317920755"</f>
        <v>9781317920755</v>
      </c>
      <c r="K6472" t="s">
        <v>3755</v>
      </c>
      <c r="L6472">
        <v>24</v>
      </c>
      <c r="O6472" t="s">
        <v>30</v>
      </c>
      <c r="P6472" t="s">
        <v>47</v>
      </c>
      <c r="Q6472" s="1">
        <v>42281.539305555554</v>
      </c>
      <c r="R6472">
        <v>7</v>
      </c>
      <c r="S6472" t="s">
        <v>214</v>
      </c>
      <c r="T6472" t="s">
        <v>9905</v>
      </c>
      <c r="U6472">
        <v>371.4</v>
      </c>
      <c r="V6472" s="3">
        <v>41578</v>
      </c>
    </row>
    <row r="6473" spans="1:22" x14ac:dyDescent="0.35">
      <c r="A6473" s="1">
        <v>42282.897060185183</v>
      </c>
      <c r="B6473" s="2">
        <v>2.2615740740740742E-2</v>
      </c>
      <c r="C6473" t="s">
        <v>6982</v>
      </c>
      <c r="D6473" t="s">
        <v>261</v>
      </c>
      <c r="E6473" t="s">
        <v>262</v>
      </c>
      <c r="F6473" t="s">
        <v>2649</v>
      </c>
      <c r="G6473">
        <v>1143522</v>
      </c>
      <c r="H6473" t="s">
        <v>26</v>
      </c>
      <c r="I6473" t="s">
        <v>172</v>
      </c>
      <c r="J6473" t="str">
        <f>"9781118257197"</f>
        <v>9781118257197</v>
      </c>
      <c r="K6473" t="s">
        <v>9906</v>
      </c>
      <c r="L6473">
        <v>18</v>
      </c>
      <c r="O6473" t="s">
        <v>30</v>
      </c>
      <c r="P6473" t="s">
        <v>42</v>
      </c>
      <c r="S6473" t="s">
        <v>264</v>
      </c>
      <c r="T6473" t="s">
        <v>2651</v>
      </c>
      <c r="U6473">
        <v>972</v>
      </c>
      <c r="V6473" s="3">
        <v>41334</v>
      </c>
    </row>
    <row r="6474" spans="1:22" x14ac:dyDescent="0.35">
      <c r="A6474" s="1">
        <v>42282.896828703706</v>
      </c>
      <c r="B6474" s="2">
        <v>5.7870370370370366E-5</v>
      </c>
      <c r="C6474" t="s">
        <v>6982</v>
      </c>
      <c r="D6474" t="s">
        <v>261</v>
      </c>
      <c r="E6474" t="s">
        <v>262</v>
      </c>
      <c r="F6474" t="s">
        <v>2649</v>
      </c>
      <c r="G6474">
        <v>1143522</v>
      </c>
      <c r="H6474" t="s">
        <v>26</v>
      </c>
      <c r="I6474" t="s">
        <v>172</v>
      </c>
      <c r="J6474" t="str">
        <f>"9781118257197"</f>
        <v>9781118257197</v>
      </c>
      <c r="K6474" t="s">
        <v>9907</v>
      </c>
      <c r="L6474">
        <v>6</v>
      </c>
      <c r="O6474" t="s">
        <v>30</v>
      </c>
      <c r="P6474" t="s">
        <v>42</v>
      </c>
      <c r="S6474" t="s">
        <v>264</v>
      </c>
      <c r="T6474" t="s">
        <v>2651</v>
      </c>
      <c r="U6474">
        <v>972</v>
      </c>
      <c r="V6474" s="3">
        <v>41334</v>
      </c>
    </row>
    <row r="6475" spans="1:22" x14ac:dyDescent="0.35">
      <c r="A6475" s="1">
        <v>42282.884502314817</v>
      </c>
      <c r="B6475" s="2">
        <v>5.4282407407407404E-3</v>
      </c>
      <c r="C6475" t="s">
        <v>9471</v>
      </c>
      <c r="D6475" t="s">
        <v>6396</v>
      </c>
      <c r="E6475" t="s">
        <v>6397</v>
      </c>
      <c r="F6475" t="s">
        <v>9472</v>
      </c>
      <c r="G6475">
        <v>1630976</v>
      </c>
      <c r="H6475" t="s">
        <v>26</v>
      </c>
      <c r="I6475" t="s">
        <v>9473</v>
      </c>
      <c r="J6475" t="str">
        <f>"9781118418666"</f>
        <v>9781118418666</v>
      </c>
      <c r="K6475" t="s">
        <v>9908</v>
      </c>
      <c r="L6475">
        <v>114</v>
      </c>
      <c r="O6475" t="s">
        <v>30</v>
      </c>
      <c r="P6475" t="s">
        <v>42</v>
      </c>
      <c r="S6475" t="s">
        <v>6400</v>
      </c>
      <c r="T6475" t="s">
        <v>9475</v>
      </c>
      <c r="U6475">
        <v>729</v>
      </c>
      <c r="V6475" s="3">
        <v>41677</v>
      </c>
    </row>
    <row r="6476" spans="1:22" x14ac:dyDescent="0.35">
      <c r="A6476" s="1">
        <v>42282.853854166664</v>
      </c>
      <c r="B6476" s="2">
        <v>5.2083333333333333E-4</v>
      </c>
      <c r="C6476" t="s">
        <v>9909</v>
      </c>
      <c r="D6476" t="s">
        <v>23</v>
      </c>
      <c r="E6476" t="s">
        <v>24</v>
      </c>
      <c r="F6476" t="s">
        <v>4351</v>
      </c>
      <c r="G6476">
        <v>1220628</v>
      </c>
      <c r="H6476" t="s">
        <v>613</v>
      </c>
      <c r="I6476" t="s">
        <v>69</v>
      </c>
      <c r="J6476" t="str">
        <f>"9781469612553"</f>
        <v>9781469612553</v>
      </c>
      <c r="K6476" t="s">
        <v>9910</v>
      </c>
      <c r="L6476">
        <v>11</v>
      </c>
      <c r="O6476" t="s">
        <v>30</v>
      </c>
      <c r="P6476" t="s">
        <v>50</v>
      </c>
      <c r="S6476" t="s">
        <v>31</v>
      </c>
      <c r="T6476" t="s">
        <v>4353</v>
      </c>
      <c r="U6476" t="s">
        <v>4354</v>
      </c>
      <c r="V6476" s="3">
        <v>41491</v>
      </c>
    </row>
    <row r="6477" spans="1:22" x14ac:dyDescent="0.35">
      <c r="A6477" s="1">
        <v>42282.776655092595</v>
      </c>
      <c r="B6477" s="2">
        <v>4.6296296296296294E-5</v>
      </c>
      <c r="C6477" t="s">
        <v>9471</v>
      </c>
      <c r="D6477" t="s">
        <v>6396</v>
      </c>
      <c r="E6477" t="s">
        <v>6397</v>
      </c>
      <c r="F6477" t="s">
        <v>9472</v>
      </c>
      <c r="G6477">
        <v>1630976</v>
      </c>
      <c r="H6477" t="s">
        <v>26</v>
      </c>
      <c r="I6477" t="s">
        <v>9473</v>
      </c>
      <c r="J6477" t="str">
        <f>"9781118418666"</f>
        <v>9781118418666</v>
      </c>
      <c r="K6477" t="s">
        <v>33</v>
      </c>
      <c r="L6477">
        <v>3</v>
      </c>
      <c r="O6477" t="s">
        <v>30</v>
      </c>
      <c r="P6477" t="s">
        <v>42</v>
      </c>
      <c r="S6477" t="s">
        <v>6400</v>
      </c>
      <c r="T6477" t="s">
        <v>9475</v>
      </c>
      <c r="U6477">
        <v>729</v>
      </c>
      <c r="V6477" s="3">
        <v>41677</v>
      </c>
    </row>
    <row r="6478" spans="1:22" x14ac:dyDescent="0.35">
      <c r="A6478" s="1">
        <v>42282.774351851855</v>
      </c>
      <c r="B6478" s="2">
        <v>3.472222222222222E-3</v>
      </c>
      <c r="C6478" t="s">
        <v>9911</v>
      </c>
      <c r="D6478" t="s">
        <v>2519</v>
      </c>
      <c r="E6478" t="s">
        <v>2520</v>
      </c>
      <c r="F6478" t="s">
        <v>9719</v>
      </c>
      <c r="G6478">
        <v>2049501</v>
      </c>
      <c r="H6478" t="s">
        <v>45</v>
      </c>
      <c r="I6478" t="s">
        <v>79</v>
      </c>
      <c r="J6478" t="str">
        <f>"9781472414816"</f>
        <v>9781472414816</v>
      </c>
      <c r="K6478" t="s">
        <v>9912</v>
      </c>
      <c r="L6478">
        <v>15</v>
      </c>
      <c r="O6478" t="s">
        <v>30</v>
      </c>
      <c r="P6478" t="s">
        <v>50</v>
      </c>
      <c r="S6478" t="s">
        <v>2523</v>
      </c>
      <c r="T6478" t="s">
        <v>9721</v>
      </c>
      <c r="U6478">
        <v>342.00099999999998</v>
      </c>
      <c r="V6478" s="3">
        <v>42213</v>
      </c>
    </row>
    <row r="6479" spans="1:22" x14ac:dyDescent="0.35">
      <c r="A6479" s="1">
        <v>42282.774074074077</v>
      </c>
      <c r="B6479" s="2">
        <v>6.3657407407407402E-4</v>
      </c>
      <c r="C6479" t="s">
        <v>9471</v>
      </c>
      <c r="D6479" t="s">
        <v>6396</v>
      </c>
      <c r="E6479" t="s">
        <v>6397</v>
      </c>
      <c r="F6479" t="s">
        <v>9472</v>
      </c>
      <c r="G6479">
        <v>1630976</v>
      </c>
      <c r="H6479" t="s">
        <v>26</v>
      </c>
      <c r="I6479" t="s">
        <v>9473</v>
      </c>
      <c r="J6479" t="str">
        <f>"9781118418666"</f>
        <v>9781118418666</v>
      </c>
      <c r="K6479" t="s">
        <v>9913</v>
      </c>
      <c r="L6479">
        <v>14</v>
      </c>
      <c r="O6479" t="s">
        <v>30</v>
      </c>
      <c r="P6479" t="s">
        <v>42</v>
      </c>
      <c r="S6479" t="s">
        <v>6400</v>
      </c>
      <c r="T6479" t="s">
        <v>9475</v>
      </c>
      <c r="U6479">
        <v>729</v>
      </c>
      <c r="V6479" s="3">
        <v>41677</v>
      </c>
    </row>
    <row r="6480" spans="1:22" x14ac:dyDescent="0.35">
      <c r="A6480" s="1">
        <v>42282.760428240741</v>
      </c>
      <c r="B6480" s="2">
        <v>9.297453703703705E-2</v>
      </c>
      <c r="C6480" t="s">
        <v>106</v>
      </c>
      <c r="D6480" t="s">
        <v>23</v>
      </c>
      <c r="E6480" t="s">
        <v>24</v>
      </c>
      <c r="F6480" t="s">
        <v>1051</v>
      </c>
      <c r="G6480">
        <v>821663</v>
      </c>
      <c r="H6480" t="s">
        <v>26</v>
      </c>
      <c r="I6480" t="s">
        <v>200</v>
      </c>
      <c r="J6480" t="str">
        <f>"9781118168479"</f>
        <v>9781118168479</v>
      </c>
      <c r="K6480" t="s">
        <v>9914</v>
      </c>
      <c r="L6480">
        <v>44</v>
      </c>
      <c r="O6480" t="s">
        <v>30</v>
      </c>
      <c r="P6480" t="s">
        <v>29</v>
      </c>
      <c r="Q6480" s="1">
        <v>42282.258090277777</v>
      </c>
      <c r="R6480">
        <v>1</v>
      </c>
      <c r="S6480" t="s">
        <v>31</v>
      </c>
      <c r="T6480" t="s">
        <v>1053</v>
      </c>
      <c r="U6480">
        <v>729</v>
      </c>
      <c r="V6480" s="3">
        <v>40973</v>
      </c>
    </row>
    <row r="6481" spans="1:22" x14ac:dyDescent="0.35">
      <c r="A6481" s="1">
        <v>42282.751550925925</v>
      </c>
      <c r="B6481" s="2">
        <v>3.3564814814814812E-4</v>
      </c>
      <c r="C6481" t="s">
        <v>9915</v>
      </c>
      <c r="D6481" t="s">
        <v>6396</v>
      </c>
      <c r="E6481" t="s">
        <v>6397</v>
      </c>
      <c r="F6481" t="s">
        <v>9472</v>
      </c>
      <c r="G6481">
        <v>1630976</v>
      </c>
      <c r="H6481" t="s">
        <v>26</v>
      </c>
      <c r="I6481" t="s">
        <v>9473</v>
      </c>
      <c r="J6481" t="str">
        <f>"9781118418666"</f>
        <v>9781118418666</v>
      </c>
      <c r="K6481" t="s">
        <v>9916</v>
      </c>
      <c r="L6481">
        <v>11</v>
      </c>
      <c r="O6481" t="s">
        <v>30</v>
      </c>
      <c r="P6481" t="s">
        <v>42</v>
      </c>
      <c r="S6481" t="s">
        <v>6400</v>
      </c>
      <c r="T6481" t="s">
        <v>9475</v>
      </c>
      <c r="U6481">
        <v>729</v>
      </c>
      <c r="V6481" s="3">
        <v>41677</v>
      </c>
    </row>
    <row r="6482" spans="1:22" x14ac:dyDescent="0.35">
      <c r="A6482" s="1">
        <v>42282.728668981479</v>
      </c>
      <c r="B6482" s="2">
        <v>3.4722222222222222E-5</v>
      </c>
      <c r="C6482" t="s">
        <v>9917</v>
      </c>
      <c r="D6482" t="s">
        <v>1222</v>
      </c>
      <c r="E6482" t="s">
        <v>1223</v>
      </c>
      <c r="F6482" t="s">
        <v>226</v>
      </c>
      <c r="G6482">
        <v>817313</v>
      </c>
      <c r="H6482" t="s">
        <v>26</v>
      </c>
      <c r="I6482" t="s">
        <v>69</v>
      </c>
      <c r="J6482" t="str">
        <f>"9781118136829"</f>
        <v>9781118136829</v>
      </c>
      <c r="K6482" t="s">
        <v>33</v>
      </c>
      <c r="L6482">
        <v>3</v>
      </c>
      <c r="O6482" t="s">
        <v>30</v>
      </c>
      <c r="P6482" t="s">
        <v>42</v>
      </c>
      <c r="S6482" t="s">
        <v>1226</v>
      </c>
      <c r="T6482" t="s">
        <v>2311</v>
      </c>
      <c r="U6482">
        <v>378.16640000000001</v>
      </c>
      <c r="V6482" s="3">
        <v>40918</v>
      </c>
    </row>
    <row r="6483" spans="1:22" x14ac:dyDescent="0.35">
      <c r="A6483" s="1">
        <v>42282.717997685184</v>
      </c>
      <c r="B6483" s="2">
        <v>3.9861111111111111E-2</v>
      </c>
      <c r="C6483" t="s">
        <v>6410</v>
      </c>
      <c r="D6483" t="s">
        <v>23</v>
      </c>
      <c r="E6483" t="s">
        <v>24</v>
      </c>
      <c r="F6483" t="s">
        <v>9918</v>
      </c>
      <c r="G6483">
        <v>1790819</v>
      </c>
      <c r="H6483" t="s">
        <v>526</v>
      </c>
      <c r="I6483" t="s">
        <v>426</v>
      </c>
      <c r="J6483" t="str">
        <f>"9780226169095"</f>
        <v>9780226169095</v>
      </c>
      <c r="K6483" t="s">
        <v>9919</v>
      </c>
      <c r="L6483">
        <v>63</v>
      </c>
      <c r="O6483" t="s">
        <v>30</v>
      </c>
      <c r="P6483" t="s">
        <v>29</v>
      </c>
      <c r="Q6483" s="1">
        <v>42282.717997685184</v>
      </c>
      <c r="R6483">
        <v>7</v>
      </c>
      <c r="S6483" t="s">
        <v>31</v>
      </c>
      <c r="T6483" t="s">
        <v>9920</v>
      </c>
      <c r="U6483" t="s">
        <v>9921</v>
      </c>
      <c r="V6483" s="3">
        <v>41932</v>
      </c>
    </row>
    <row r="6484" spans="1:22" x14ac:dyDescent="0.35">
      <c r="A6484" s="1">
        <v>42282.712696759256</v>
      </c>
      <c r="B6484" s="2">
        <v>3.8194444444444446E-4</v>
      </c>
      <c r="C6484" t="s">
        <v>7138</v>
      </c>
      <c r="D6484" t="s">
        <v>360</v>
      </c>
      <c r="E6484" t="s">
        <v>361</v>
      </c>
      <c r="F6484" t="s">
        <v>7150</v>
      </c>
      <c r="G6484">
        <v>332602</v>
      </c>
      <c r="H6484" t="s">
        <v>26</v>
      </c>
      <c r="I6484" t="s">
        <v>69</v>
      </c>
      <c r="J6484" t="str">
        <f>"9780631227885"</f>
        <v>9780631227885</v>
      </c>
      <c r="K6484" t="s">
        <v>217</v>
      </c>
      <c r="L6484">
        <v>12</v>
      </c>
      <c r="O6484" t="s">
        <v>30</v>
      </c>
      <c r="P6484" t="s">
        <v>42</v>
      </c>
      <c r="S6484" t="s">
        <v>363</v>
      </c>
      <c r="T6484" t="s">
        <v>7151</v>
      </c>
      <c r="U6484" t="s">
        <v>7152</v>
      </c>
      <c r="V6484" s="3">
        <v>41424</v>
      </c>
    </row>
    <row r="6485" spans="1:22" x14ac:dyDescent="0.35">
      <c r="A6485" s="1">
        <v>42282.712118055555</v>
      </c>
      <c r="B6485" s="2">
        <v>8.449074074074075E-4</v>
      </c>
      <c r="C6485" t="s">
        <v>9922</v>
      </c>
      <c r="D6485" t="s">
        <v>23</v>
      </c>
      <c r="E6485" t="s">
        <v>24</v>
      </c>
      <c r="F6485" t="s">
        <v>9923</v>
      </c>
      <c r="G6485">
        <v>1815561</v>
      </c>
      <c r="H6485" t="s">
        <v>45</v>
      </c>
      <c r="I6485" t="s">
        <v>79</v>
      </c>
      <c r="J6485" t="str">
        <f>"9781409454427"</f>
        <v>9781409454427</v>
      </c>
      <c r="K6485" t="s">
        <v>9924</v>
      </c>
      <c r="L6485">
        <v>8</v>
      </c>
      <c r="O6485" t="s">
        <v>30</v>
      </c>
      <c r="P6485" t="s">
        <v>47</v>
      </c>
      <c r="Q6485" s="1">
        <v>42282.712118055555</v>
      </c>
      <c r="R6485">
        <v>1</v>
      </c>
      <c r="S6485" t="s">
        <v>31</v>
      </c>
      <c r="T6485" t="s">
        <v>9925</v>
      </c>
      <c r="U6485" t="s">
        <v>9926</v>
      </c>
      <c r="V6485" s="3">
        <v>42001</v>
      </c>
    </row>
    <row r="6486" spans="1:22" x14ac:dyDescent="0.35">
      <c r="A6486" s="1">
        <v>42282.710162037038</v>
      </c>
      <c r="B6486" s="2">
        <v>7.8356481481481489E-3</v>
      </c>
      <c r="C6486" t="s">
        <v>6410</v>
      </c>
      <c r="D6486" t="s">
        <v>23</v>
      </c>
      <c r="E6486" t="s">
        <v>24</v>
      </c>
      <c r="F6486" t="s">
        <v>9918</v>
      </c>
      <c r="G6486">
        <v>1790819</v>
      </c>
      <c r="H6486" t="s">
        <v>526</v>
      </c>
      <c r="I6486" t="s">
        <v>426</v>
      </c>
      <c r="J6486" t="str">
        <f>"9780226169095"</f>
        <v>9780226169095</v>
      </c>
      <c r="K6486" t="s">
        <v>9927</v>
      </c>
      <c r="L6486">
        <v>16</v>
      </c>
      <c r="O6486" t="s">
        <v>30</v>
      </c>
      <c r="P6486" t="s">
        <v>42</v>
      </c>
      <c r="S6486" t="s">
        <v>31</v>
      </c>
      <c r="T6486" t="s">
        <v>9920</v>
      </c>
      <c r="U6486" t="s">
        <v>9921</v>
      </c>
      <c r="V6486" s="3">
        <v>41932</v>
      </c>
    </row>
    <row r="6487" spans="1:22" x14ac:dyDescent="0.35">
      <c r="A6487" s="1">
        <v>42282.70071759259</v>
      </c>
      <c r="B6487" s="2">
        <v>1.1400462962962965E-2</v>
      </c>
      <c r="C6487" t="s">
        <v>9922</v>
      </c>
      <c r="D6487" t="s">
        <v>23</v>
      </c>
      <c r="E6487" t="s">
        <v>24</v>
      </c>
      <c r="F6487" t="s">
        <v>9923</v>
      </c>
      <c r="G6487">
        <v>1815561</v>
      </c>
      <c r="H6487" t="s">
        <v>45</v>
      </c>
      <c r="I6487" t="s">
        <v>79</v>
      </c>
      <c r="J6487" t="str">
        <f>"9781409454427"</f>
        <v>9781409454427</v>
      </c>
      <c r="K6487" t="s">
        <v>9928</v>
      </c>
      <c r="L6487">
        <v>27</v>
      </c>
      <c r="O6487" t="s">
        <v>30</v>
      </c>
      <c r="P6487" t="s">
        <v>50</v>
      </c>
      <c r="S6487" t="s">
        <v>31</v>
      </c>
      <c r="T6487" t="s">
        <v>9925</v>
      </c>
      <c r="U6487" t="s">
        <v>9926</v>
      </c>
      <c r="V6487" s="3">
        <v>42001</v>
      </c>
    </row>
    <row r="6488" spans="1:22" x14ac:dyDescent="0.35">
      <c r="A6488" s="1">
        <v>42282.665694444448</v>
      </c>
      <c r="B6488" s="2">
        <v>6.122685185185185E-3</v>
      </c>
      <c r="C6488" t="s">
        <v>9415</v>
      </c>
      <c r="D6488" t="s">
        <v>23</v>
      </c>
      <c r="E6488" t="s">
        <v>24</v>
      </c>
      <c r="F6488" t="s">
        <v>486</v>
      </c>
      <c r="G6488">
        <v>1119505</v>
      </c>
      <c r="H6488" t="s">
        <v>26</v>
      </c>
      <c r="I6488" t="s">
        <v>450</v>
      </c>
      <c r="J6488" t="str">
        <f>"9781118355015"</f>
        <v>9781118355015</v>
      </c>
      <c r="K6488" t="s">
        <v>9929</v>
      </c>
      <c r="L6488">
        <v>21</v>
      </c>
      <c r="M6488" t="s">
        <v>9930</v>
      </c>
      <c r="O6488" t="s">
        <v>28</v>
      </c>
      <c r="P6488" t="s">
        <v>29</v>
      </c>
      <c r="Q6488" s="1">
        <v>42282.664293981485</v>
      </c>
      <c r="R6488">
        <v>7</v>
      </c>
      <c r="S6488" t="s">
        <v>31</v>
      </c>
      <c r="T6488" t="s">
        <v>487</v>
      </c>
      <c r="U6488" t="s">
        <v>488</v>
      </c>
      <c r="V6488" s="3">
        <v>41302</v>
      </c>
    </row>
    <row r="6489" spans="1:22" x14ac:dyDescent="0.35">
      <c r="A6489" s="1">
        <v>42282.664293981485</v>
      </c>
      <c r="B6489" s="2">
        <v>1.9675925925925926E-4</v>
      </c>
      <c r="C6489" t="s">
        <v>9415</v>
      </c>
      <c r="D6489" t="s">
        <v>23</v>
      </c>
      <c r="E6489" t="s">
        <v>24</v>
      </c>
      <c r="F6489" t="s">
        <v>486</v>
      </c>
      <c r="G6489">
        <v>1119505</v>
      </c>
      <c r="H6489" t="s">
        <v>26</v>
      </c>
      <c r="I6489" t="s">
        <v>450</v>
      </c>
      <c r="J6489" t="str">
        <f>"9781118355015"</f>
        <v>9781118355015</v>
      </c>
      <c r="K6489" t="s">
        <v>9931</v>
      </c>
      <c r="L6489">
        <v>1</v>
      </c>
      <c r="N6489" t="s">
        <v>9932</v>
      </c>
      <c r="O6489" t="s">
        <v>30</v>
      </c>
      <c r="P6489" t="s">
        <v>29</v>
      </c>
      <c r="Q6489" s="1">
        <v>42282.664293981485</v>
      </c>
      <c r="R6489">
        <v>7</v>
      </c>
      <c r="S6489" t="s">
        <v>31</v>
      </c>
      <c r="T6489" t="s">
        <v>487</v>
      </c>
      <c r="U6489" t="s">
        <v>488</v>
      </c>
      <c r="V6489" s="3">
        <v>41302</v>
      </c>
    </row>
    <row r="6490" spans="1:22" x14ac:dyDescent="0.35">
      <c r="A6490" s="1">
        <v>42282.663819444446</v>
      </c>
      <c r="B6490" s="2">
        <v>4.7453703703703704E-4</v>
      </c>
      <c r="C6490" t="s">
        <v>9415</v>
      </c>
      <c r="D6490" t="s">
        <v>23</v>
      </c>
      <c r="E6490" t="s">
        <v>24</v>
      </c>
      <c r="F6490" t="s">
        <v>486</v>
      </c>
      <c r="G6490">
        <v>1119505</v>
      </c>
      <c r="H6490" t="s">
        <v>26</v>
      </c>
      <c r="I6490" t="s">
        <v>450</v>
      </c>
      <c r="J6490" t="str">
        <f>"9781118355015"</f>
        <v>9781118355015</v>
      </c>
      <c r="K6490" t="s">
        <v>9933</v>
      </c>
      <c r="L6490">
        <v>10</v>
      </c>
      <c r="O6490" t="s">
        <v>30</v>
      </c>
      <c r="P6490" t="s">
        <v>42</v>
      </c>
      <c r="S6490" t="s">
        <v>31</v>
      </c>
      <c r="T6490" t="s">
        <v>487</v>
      </c>
      <c r="U6490" t="s">
        <v>488</v>
      </c>
      <c r="V6490" s="3">
        <v>41302</v>
      </c>
    </row>
    <row r="6491" spans="1:22" x14ac:dyDescent="0.35">
      <c r="A6491" s="1">
        <v>42282.636111111111</v>
      </c>
      <c r="B6491" s="2">
        <v>4.6296296296296294E-5</v>
      </c>
      <c r="C6491" t="s">
        <v>145</v>
      </c>
      <c r="D6491" t="s">
        <v>146</v>
      </c>
      <c r="E6491" t="s">
        <v>147</v>
      </c>
      <c r="F6491" t="s">
        <v>9934</v>
      </c>
      <c r="G6491">
        <v>836175</v>
      </c>
      <c r="H6491" t="s">
        <v>149</v>
      </c>
      <c r="I6491" t="s">
        <v>172</v>
      </c>
      <c r="J6491" t="str">
        <f>"9781438139692"</f>
        <v>9781438139692</v>
      </c>
      <c r="K6491" t="s">
        <v>33</v>
      </c>
      <c r="L6491">
        <v>3</v>
      </c>
      <c r="O6491" t="s">
        <v>30</v>
      </c>
      <c r="P6491" t="s">
        <v>42</v>
      </c>
      <c r="S6491" t="s">
        <v>1297</v>
      </c>
      <c r="T6491" t="s">
        <v>9935</v>
      </c>
      <c r="U6491" t="s">
        <v>9936</v>
      </c>
      <c r="V6491" s="3">
        <v>40848</v>
      </c>
    </row>
    <row r="6492" spans="1:22" x14ac:dyDescent="0.35">
      <c r="A6492" s="1">
        <v>42282.626238425924</v>
      </c>
      <c r="B6492" s="2">
        <v>6.9444444444444444E-5</v>
      </c>
      <c r="C6492" t="s">
        <v>5411</v>
      </c>
      <c r="D6492" t="s">
        <v>23</v>
      </c>
      <c r="E6492" t="s">
        <v>24</v>
      </c>
      <c r="F6492" t="s">
        <v>1051</v>
      </c>
      <c r="G6492">
        <v>821663</v>
      </c>
      <c r="H6492" t="s">
        <v>26</v>
      </c>
      <c r="I6492" t="s">
        <v>200</v>
      </c>
      <c r="J6492" t="str">
        <f>"9781118168479"</f>
        <v>9781118168479</v>
      </c>
      <c r="K6492" t="s">
        <v>33</v>
      </c>
      <c r="L6492">
        <v>3</v>
      </c>
      <c r="O6492" t="s">
        <v>30</v>
      </c>
      <c r="P6492" t="s">
        <v>29</v>
      </c>
      <c r="Q6492" s="1">
        <v>42276.553819444445</v>
      </c>
      <c r="R6492">
        <v>7</v>
      </c>
      <c r="S6492" t="s">
        <v>31</v>
      </c>
      <c r="T6492" t="s">
        <v>1053</v>
      </c>
      <c r="U6492">
        <v>729</v>
      </c>
      <c r="V6492" s="3">
        <v>40973</v>
      </c>
    </row>
    <row r="6493" spans="1:22" x14ac:dyDescent="0.35">
      <c r="A6493" s="1">
        <v>42282.584537037037</v>
      </c>
      <c r="B6493" s="2">
        <v>3.8194444444444446E-4</v>
      </c>
      <c r="C6493" t="s">
        <v>9937</v>
      </c>
      <c r="D6493" t="s">
        <v>23</v>
      </c>
      <c r="E6493" t="s">
        <v>24</v>
      </c>
      <c r="F6493" t="s">
        <v>2132</v>
      </c>
      <c r="G6493">
        <v>821801</v>
      </c>
      <c r="H6493" t="s">
        <v>26</v>
      </c>
      <c r="I6493" t="s">
        <v>2133</v>
      </c>
      <c r="J6493" t="str">
        <f>"9781118224144"</f>
        <v>9781118224144</v>
      </c>
      <c r="K6493" t="s">
        <v>9938</v>
      </c>
      <c r="L6493">
        <v>6</v>
      </c>
      <c r="O6493" t="s">
        <v>28</v>
      </c>
      <c r="P6493" t="s">
        <v>29</v>
      </c>
      <c r="Q6493" s="1">
        <v>42282.386307870373</v>
      </c>
      <c r="R6493">
        <v>7</v>
      </c>
      <c r="S6493" t="s">
        <v>31</v>
      </c>
      <c r="T6493" t="s">
        <v>2135</v>
      </c>
      <c r="U6493">
        <v>658.00760000000002</v>
      </c>
      <c r="V6493" s="3">
        <v>40974</v>
      </c>
    </row>
    <row r="6494" spans="1:22" x14ac:dyDescent="0.35">
      <c r="A6494" s="1">
        <v>42282.58425925926</v>
      </c>
      <c r="B6494" s="2">
        <v>1.8518518518518518E-4</v>
      </c>
      <c r="C6494" t="s">
        <v>9937</v>
      </c>
      <c r="D6494" t="s">
        <v>23</v>
      </c>
      <c r="E6494" t="s">
        <v>24</v>
      </c>
      <c r="F6494" t="s">
        <v>2132</v>
      </c>
      <c r="G6494">
        <v>821801</v>
      </c>
      <c r="H6494" t="s">
        <v>26</v>
      </c>
      <c r="I6494" t="s">
        <v>2133</v>
      </c>
      <c r="J6494" t="str">
        <f>"9781118224144"</f>
        <v>9781118224144</v>
      </c>
      <c r="K6494" t="s">
        <v>2787</v>
      </c>
      <c r="L6494">
        <v>3</v>
      </c>
      <c r="O6494" t="s">
        <v>30</v>
      </c>
      <c r="P6494" t="s">
        <v>29</v>
      </c>
      <c r="Q6494" s="1">
        <v>42282.386307870373</v>
      </c>
      <c r="R6494">
        <v>7</v>
      </c>
      <c r="S6494" t="s">
        <v>31</v>
      </c>
      <c r="T6494" t="s">
        <v>2135</v>
      </c>
      <c r="U6494">
        <v>658.00760000000002</v>
      </c>
      <c r="V6494" s="3">
        <v>40974</v>
      </c>
    </row>
    <row r="6495" spans="1:22" x14ac:dyDescent="0.35">
      <c r="A6495" s="1">
        <v>42282.573923611111</v>
      </c>
      <c r="B6495" s="2">
        <v>4.1666666666666669E-4</v>
      </c>
      <c r="C6495" t="s">
        <v>2373</v>
      </c>
      <c r="D6495" t="s">
        <v>23</v>
      </c>
      <c r="E6495" t="s">
        <v>24</v>
      </c>
      <c r="F6495" t="s">
        <v>9791</v>
      </c>
      <c r="G6495">
        <v>1938147</v>
      </c>
      <c r="H6495" t="s">
        <v>91</v>
      </c>
      <c r="I6495" t="s">
        <v>247</v>
      </c>
      <c r="J6495" t="str">
        <f>"9781462520695"</f>
        <v>9781462520695</v>
      </c>
      <c r="K6495" t="s">
        <v>209</v>
      </c>
      <c r="L6495">
        <v>4</v>
      </c>
      <c r="O6495" t="s">
        <v>30</v>
      </c>
      <c r="P6495" t="s">
        <v>50</v>
      </c>
      <c r="S6495" t="s">
        <v>31</v>
      </c>
      <c r="T6495" t="s">
        <v>9793</v>
      </c>
      <c r="U6495">
        <v>616.85260600000004</v>
      </c>
      <c r="V6495" s="3">
        <v>42005</v>
      </c>
    </row>
    <row r="6496" spans="1:22" x14ac:dyDescent="0.35">
      <c r="A6496" s="1">
        <v>42282.570173611108</v>
      </c>
      <c r="B6496" s="2">
        <v>3.1250000000000001E-4</v>
      </c>
      <c r="C6496" t="s">
        <v>3731</v>
      </c>
      <c r="D6496" t="s">
        <v>360</v>
      </c>
      <c r="E6496" t="s">
        <v>361</v>
      </c>
      <c r="F6496" t="s">
        <v>4197</v>
      </c>
      <c r="G6496">
        <v>1742841</v>
      </c>
      <c r="H6496" t="s">
        <v>91</v>
      </c>
      <c r="I6496" t="s">
        <v>247</v>
      </c>
      <c r="J6496" t="str">
        <f>"9781462516445"</f>
        <v>9781462516445</v>
      </c>
      <c r="K6496" t="s">
        <v>9939</v>
      </c>
      <c r="L6496">
        <v>8</v>
      </c>
      <c r="O6496" t="s">
        <v>30</v>
      </c>
      <c r="P6496" t="s">
        <v>42</v>
      </c>
      <c r="S6496" t="s">
        <v>363</v>
      </c>
      <c r="T6496" t="s">
        <v>4199</v>
      </c>
      <c r="U6496">
        <v>616.85270000000003</v>
      </c>
      <c r="V6496" s="3">
        <v>41934</v>
      </c>
    </row>
    <row r="6497" spans="1:22" x14ac:dyDescent="0.35">
      <c r="A6497" s="1">
        <v>42282.561041666668</v>
      </c>
      <c r="B6497" s="2">
        <v>1.8171296296296297E-3</v>
      </c>
      <c r="C6497" t="s">
        <v>9940</v>
      </c>
      <c r="D6497" t="s">
        <v>623</v>
      </c>
      <c r="E6497" t="s">
        <v>624</v>
      </c>
      <c r="F6497" t="s">
        <v>9941</v>
      </c>
      <c r="G6497">
        <v>1474572</v>
      </c>
      <c r="H6497" t="s">
        <v>68</v>
      </c>
      <c r="I6497" t="s">
        <v>150</v>
      </c>
      <c r="J6497" t="str">
        <f>"9781135683344"</f>
        <v>9781135683344</v>
      </c>
      <c r="K6497" t="s">
        <v>9942</v>
      </c>
      <c r="L6497">
        <v>18</v>
      </c>
      <c r="O6497" t="s">
        <v>30</v>
      </c>
      <c r="P6497" t="s">
        <v>50</v>
      </c>
      <c r="S6497" t="s">
        <v>627</v>
      </c>
      <c r="T6497" t="s">
        <v>9943</v>
      </c>
      <c r="U6497">
        <v>781.28399999999999</v>
      </c>
      <c r="V6497" s="3">
        <v>37182</v>
      </c>
    </row>
    <row r="6498" spans="1:22" x14ac:dyDescent="0.35">
      <c r="A6498" s="1">
        <v>42282.557673611111</v>
      </c>
      <c r="B6498" s="2">
        <v>3.37962962962963E-3</v>
      </c>
      <c r="C6498" t="s">
        <v>9944</v>
      </c>
      <c r="D6498" t="s">
        <v>23</v>
      </c>
      <c r="E6498" t="s">
        <v>24</v>
      </c>
      <c r="F6498" t="s">
        <v>52</v>
      </c>
      <c r="G6498">
        <v>822040</v>
      </c>
      <c r="H6498" t="s">
        <v>26</v>
      </c>
      <c r="I6498" t="s">
        <v>53</v>
      </c>
      <c r="J6498" t="str">
        <f>"9781118289099"</f>
        <v>9781118289099</v>
      </c>
      <c r="K6498" t="s">
        <v>9945</v>
      </c>
      <c r="L6498">
        <v>22</v>
      </c>
      <c r="O6498" t="s">
        <v>30</v>
      </c>
      <c r="P6498" t="s">
        <v>42</v>
      </c>
      <c r="S6498" t="s">
        <v>31</v>
      </c>
      <c r="T6498" t="s">
        <v>55</v>
      </c>
      <c r="U6498" t="s">
        <v>56</v>
      </c>
      <c r="V6498" s="3">
        <v>40990</v>
      </c>
    </row>
    <row r="6499" spans="1:22" x14ac:dyDescent="0.35">
      <c r="A6499" s="1">
        <v>42282.388680555552</v>
      </c>
      <c r="B6499" s="2">
        <v>0</v>
      </c>
      <c r="C6499" t="s">
        <v>9937</v>
      </c>
      <c r="D6499" t="s">
        <v>23</v>
      </c>
      <c r="E6499" t="s">
        <v>24</v>
      </c>
      <c r="F6499" t="s">
        <v>4117</v>
      </c>
      <c r="G6499">
        <v>1724876</v>
      </c>
      <c r="H6499" t="s">
        <v>26</v>
      </c>
      <c r="I6499" t="s">
        <v>108</v>
      </c>
      <c r="J6499" t="str">
        <f>"9781118914113"</f>
        <v>9781118914113</v>
      </c>
      <c r="L6499">
        <v>0</v>
      </c>
      <c r="O6499" t="s">
        <v>28</v>
      </c>
      <c r="P6499" t="s">
        <v>29</v>
      </c>
      <c r="Q6499" s="1">
        <v>42282.388680555552</v>
      </c>
      <c r="R6499">
        <v>7</v>
      </c>
      <c r="S6499" t="s">
        <v>31</v>
      </c>
      <c r="T6499" t="s">
        <v>4120</v>
      </c>
      <c r="U6499">
        <v>332</v>
      </c>
      <c r="V6499" s="3">
        <v>41816</v>
      </c>
    </row>
    <row r="6500" spans="1:22" x14ac:dyDescent="0.35">
      <c r="A6500" s="1">
        <v>42282.388680555552</v>
      </c>
      <c r="B6500" s="2">
        <v>0</v>
      </c>
      <c r="C6500" t="s">
        <v>9937</v>
      </c>
      <c r="D6500" t="s">
        <v>23</v>
      </c>
      <c r="E6500" t="s">
        <v>24</v>
      </c>
      <c r="F6500" t="s">
        <v>4117</v>
      </c>
      <c r="G6500">
        <v>1724876</v>
      </c>
      <c r="H6500" t="s">
        <v>26</v>
      </c>
      <c r="I6500" t="s">
        <v>108</v>
      </c>
      <c r="J6500" t="str">
        <f>"9781118914113"</f>
        <v>9781118914113</v>
      </c>
      <c r="L6500">
        <v>0</v>
      </c>
      <c r="O6500" t="s">
        <v>30</v>
      </c>
      <c r="P6500" t="s">
        <v>29</v>
      </c>
      <c r="Q6500" s="1">
        <v>42282.388680555552</v>
      </c>
      <c r="R6500">
        <v>7</v>
      </c>
      <c r="S6500" t="s">
        <v>31</v>
      </c>
      <c r="T6500" t="s">
        <v>4120</v>
      </c>
      <c r="U6500">
        <v>332</v>
      </c>
      <c r="V6500" s="3">
        <v>41816</v>
      </c>
    </row>
    <row r="6501" spans="1:22" x14ac:dyDescent="0.35">
      <c r="A6501" s="1">
        <v>42282.387569444443</v>
      </c>
      <c r="B6501" s="2">
        <v>1.1111111111111111E-3</v>
      </c>
      <c r="C6501" t="s">
        <v>9937</v>
      </c>
      <c r="D6501" t="s">
        <v>23</v>
      </c>
      <c r="E6501" t="s">
        <v>24</v>
      </c>
      <c r="F6501" t="s">
        <v>4117</v>
      </c>
      <c r="G6501">
        <v>1724876</v>
      </c>
      <c r="H6501" t="s">
        <v>26</v>
      </c>
      <c r="I6501" t="s">
        <v>108</v>
      </c>
      <c r="J6501" t="str">
        <f>"9781118914113"</f>
        <v>9781118914113</v>
      </c>
      <c r="K6501" t="s">
        <v>4181</v>
      </c>
      <c r="L6501">
        <v>4</v>
      </c>
      <c r="O6501" t="s">
        <v>30</v>
      </c>
      <c r="P6501" t="s">
        <v>42</v>
      </c>
      <c r="S6501" t="s">
        <v>31</v>
      </c>
      <c r="T6501" t="s">
        <v>4120</v>
      </c>
      <c r="U6501">
        <v>332</v>
      </c>
      <c r="V6501" s="3">
        <v>41816</v>
      </c>
    </row>
    <row r="6502" spans="1:22" x14ac:dyDescent="0.35">
      <c r="A6502" s="1">
        <v>42282.386307870373</v>
      </c>
      <c r="B6502" s="2">
        <v>0</v>
      </c>
      <c r="C6502" t="s">
        <v>9937</v>
      </c>
      <c r="D6502" t="s">
        <v>23</v>
      </c>
      <c r="E6502" t="s">
        <v>24</v>
      </c>
      <c r="F6502" t="s">
        <v>2132</v>
      </c>
      <c r="G6502">
        <v>821801</v>
      </c>
      <c r="H6502" t="s">
        <v>26</v>
      </c>
      <c r="I6502" t="s">
        <v>2133</v>
      </c>
      <c r="J6502" t="str">
        <f>"9781118224144"</f>
        <v>9781118224144</v>
      </c>
      <c r="L6502">
        <v>0</v>
      </c>
      <c r="O6502" t="s">
        <v>30</v>
      </c>
      <c r="P6502" t="s">
        <v>29</v>
      </c>
      <c r="Q6502" s="1">
        <v>42282.386307870373</v>
      </c>
      <c r="R6502">
        <v>7</v>
      </c>
      <c r="S6502" t="s">
        <v>31</v>
      </c>
      <c r="T6502" t="s">
        <v>2135</v>
      </c>
      <c r="U6502">
        <v>658.00760000000002</v>
      </c>
      <c r="V6502" s="3">
        <v>40974</v>
      </c>
    </row>
    <row r="6503" spans="1:22" x14ac:dyDescent="0.35">
      <c r="A6503" s="1">
        <v>42282.384375000001</v>
      </c>
      <c r="B6503" s="2">
        <v>1.9328703703703704E-3</v>
      </c>
      <c r="C6503" t="s">
        <v>9937</v>
      </c>
      <c r="D6503" t="s">
        <v>23</v>
      </c>
      <c r="E6503" t="s">
        <v>24</v>
      </c>
      <c r="F6503" t="s">
        <v>2132</v>
      </c>
      <c r="G6503">
        <v>821801</v>
      </c>
      <c r="H6503" t="s">
        <v>26</v>
      </c>
      <c r="I6503" t="s">
        <v>2133</v>
      </c>
      <c r="J6503" t="str">
        <f>"9781118224144"</f>
        <v>9781118224144</v>
      </c>
      <c r="K6503" t="s">
        <v>9946</v>
      </c>
      <c r="L6503">
        <v>4</v>
      </c>
      <c r="O6503" t="s">
        <v>30</v>
      </c>
      <c r="P6503" t="s">
        <v>42</v>
      </c>
      <c r="S6503" t="s">
        <v>31</v>
      </c>
      <c r="T6503" t="s">
        <v>2135</v>
      </c>
      <c r="U6503">
        <v>658.00760000000002</v>
      </c>
      <c r="V6503" s="3">
        <v>40974</v>
      </c>
    </row>
    <row r="6504" spans="1:22" x14ac:dyDescent="0.35">
      <c r="A6504" s="1">
        <v>42282.279398148145</v>
      </c>
      <c r="B6504" s="2">
        <v>3.6574074074074074E-3</v>
      </c>
      <c r="C6504" t="s">
        <v>8354</v>
      </c>
      <c r="D6504" t="s">
        <v>1222</v>
      </c>
      <c r="E6504" t="s">
        <v>1223</v>
      </c>
      <c r="F6504" t="s">
        <v>3449</v>
      </c>
      <c r="G6504">
        <v>1809344</v>
      </c>
      <c r="H6504" t="s">
        <v>1474</v>
      </c>
      <c r="I6504" t="s">
        <v>120</v>
      </c>
      <c r="J6504" t="str">
        <f>"9781137356192"</f>
        <v>9781137356192</v>
      </c>
      <c r="K6504" t="s">
        <v>9947</v>
      </c>
      <c r="L6504">
        <v>39</v>
      </c>
      <c r="O6504" t="s">
        <v>30</v>
      </c>
      <c r="P6504" t="s">
        <v>42</v>
      </c>
      <c r="S6504" t="s">
        <v>1226</v>
      </c>
      <c r="T6504" t="s">
        <v>3451</v>
      </c>
      <c r="U6504">
        <v>364.4</v>
      </c>
      <c r="V6504" s="3">
        <v>41915</v>
      </c>
    </row>
    <row r="6505" spans="1:22" x14ac:dyDescent="0.35">
      <c r="A6505" s="1">
        <v>42282.258101851854</v>
      </c>
      <c r="B6505" s="2">
        <v>3.8194444444444446E-4</v>
      </c>
      <c r="C6505" t="s">
        <v>106</v>
      </c>
      <c r="D6505" t="s">
        <v>23</v>
      </c>
      <c r="E6505" t="s">
        <v>24</v>
      </c>
      <c r="F6505" t="s">
        <v>1051</v>
      </c>
      <c r="G6505">
        <v>821663</v>
      </c>
      <c r="H6505" t="s">
        <v>26</v>
      </c>
      <c r="I6505" t="s">
        <v>200</v>
      </c>
      <c r="J6505" t="str">
        <f>"9781118168479"</f>
        <v>9781118168479</v>
      </c>
      <c r="K6505" t="s">
        <v>9948</v>
      </c>
      <c r="L6505">
        <v>10</v>
      </c>
      <c r="O6505" t="s">
        <v>30</v>
      </c>
      <c r="P6505" t="s">
        <v>29</v>
      </c>
      <c r="Q6505" s="1">
        <v>42282.258090277777</v>
      </c>
      <c r="R6505">
        <v>1</v>
      </c>
      <c r="S6505" t="s">
        <v>31</v>
      </c>
      <c r="T6505" t="s">
        <v>1053</v>
      </c>
      <c r="U6505">
        <v>729</v>
      </c>
      <c r="V6505" s="3">
        <v>40973</v>
      </c>
    </row>
    <row r="6506" spans="1:22" x14ac:dyDescent="0.35">
      <c r="A6506" s="1">
        <v>42282.234803240739</v>
      </c>
      <c r="B6506" s="2">
        <v>2.3287037037037037E-2</v>
      </c>
      <c r="C6506" t="s">
        <v>106</v>
      </c>
      <c r="D6506" t="s">
        <v>23</v>
      </c>
      <c r="E6506" t="s">
        <v>24</v>
      </c>
      <c r="F6506" t="s">
        <v>1051</v>
      </c>
      <c r="G6506">
        <v>821663</v>
      </c>
      <c r="H6506" t="s">
        <v>26</v>
      </c>
      <c r="I6506" t="s">
        <v>200</v>
      </c>
      <c r="J6506" t="str">
        <f>"9781118168479"</f>
        <v>9781118168479</v>
      </c>
      <c r="K6506" t="s">
        <v>9949</v>
      </c>
      <c r="L6506">
        <v>7</v>
      </c>
      <c r="O6506" t="s">
        <v>30</v>
      </c>
      <c r="P6506" t="s">
        <v>42</v>
      </c>
      <c r="S6506" t="s">
        <v>31</v>
      </c>
      <c r="T6506" t="s">
        <v>1053</v>
      </c>
      <c r="U6506">
        <v>729</v>
      </c>
      <c r="V6506" s="3">
        <v>40973</v>
      </c>
    </row>
    <row r="6507" spans="1:22" x14ac:dyDescent="0.35">
      <c r="A6507" s="1">
        <v>42282.23060185185</v>
      </c>
      <c r="B6507" s="2">
        <v>0.10524305555555556</v>
      </c>
      <c r="C6507" t="s">
        <v>9950</v>
      </c>
      <c r="D6507" t="s">
        <v>23</v>
      </c>
      <c r="E6507" t="s">
        <v>24</v>
      </c>
      <c r="F6507" t="s">
        <v>3488</v>
      </c>
      <c r="G6507">
        <v>1294909</v>
      </c>
      <c r="H6507" t="s">
        <v>84</v>
      </c>
      <c r="I6507" t="s">
        <v>445</v>
      </c>
      <c r="J6507" t="str">
        <f>"9780520956797"</f>
        <v>9780520956797</v>
      </c>
      <c r="K6507" t="s">
        <v>9951</v>
      </c>
      <c r="L6507">
        <v>67</v>
      </c>
      <c r="O6507" t="s">
        <v>30</v>
      </c>
      <c r="P6507" t="s">
        <v>29</v>
      </c>
      <c r="Q6507" s="1">
        <v>42282.193402777775</v>
      </c>
      <c r="R6507">
        <v>7</v>
      </c>
      <c r="S6507" t="s">
        <v>31</v>
      </c>
      <c r="T6507" t="s">
        <v>3490</v>
      </c>
      <c r="U6507" t="s">
        <v>3491</v>
      </c>
      <c r="V6507" s="3">
        <v>41487</v>
      </c>
    </row>
    <row r="6508" spans="1:22" x14ac:dyDescent="0.35">
      <c r="A6508" s="1">
        <v>42282.193402777775</v>
      </c>
      <c r="B6508" s="2">
        <v>3.0752314814814816E-2</v>
      </c>
      <c r="C6508" t="s">
        <v>9950</v>
      </c>
      <c r="D6508" t="s">
        <v>23</v>
      </c>
      <c r="E6508" t="s">
        <v>24</v>
      </c>
      <c r="F6508" t="s">
        <v>3488</v>
      </c>
      <c r="G6508">
        <v>1294909</v>
      </c>
      <c r="H6508" t="s">
        <v>84</v>
      </c>
      <c r="I6508" t="s">
        <v>445</v>
      </c>
      <c r="J6508" t="str">
        <f>"9780520956797"</f>
        <v>9780520956797</v>
      </c>
      <c r="K6508" t="s">
        <v>9952</v>
      </c>
      <c r="L6508">
        <v>40</v>
      </c>
      <c r="O6508" t="s">
        <v>30</v>
      </c>
      <c r="P6508" t="s">
        <v>29</v>
      </c>
      <c r="Q6508" s="1">
        <v>42282.193402777775</v>
      </c>
      <c r="R6508">
        <v>7</v>
      </c>
      <c r="S6508" t="s">
        <v>31</v>
      </c>
      <c r="T6508" t="s">
        <v>3490</v>
      </c>
      <c r="U6508" t="s">
        <v>3491</v>
      </c>
      <c r="V6508" s="3">
        <v>41487</v>
      </c>
    </row>
    <row r="6509" spans="1:22" x14ac:dyDescent="0.35">
      <c r="A6509" s="1">
        <v>42282.180567129632</v>
      </c>
      <c r="B6509" s="2">
        <v>1.283564814814815E-2</v>
      </c>
      <c r="C6509" t="s">
        <v>9950</v>
      </c>
      <c r="D6509" t="s">
        <v>23</v>
      </c>
      <c r="E6509" t="s">
        <v>24</v>
      </c>
      <c r="F6509" t="s">
        <v>3488</v>
      </c>
      <c r="G6509">
        <v>1294909</v>
      </c>
      <c r="H6509" t="s">
        <v>84</v>
      </c>
      <c r="I6509" t="s">
        <v>445</v>
      </c>
      <c r="J6509" t="str">
        <f>"9780520956797"</f>
        <v>9780520956797</v>
      </c>
      <c r="K6509" t="s">
        <v>9953</v>
      </c>
      <c r="L6509">
        <v>35</v>
      </c>
      <c r="O6509" t="s">
        <v>30</v>
      </c>
      <c r="P6509" t="s">
        <v>42</v>
      </c>
      <c r="S6509" t="s">
        <v>31</v>
      </c>
      <c r="T6509" t="s">
        <v>3490</v>
      </c>
      <c r="U6509" t="s">
        <v>3491</v>
      </c>
      <c r="V6509" s="3">
        <v>41487</v>
      </c>
    </row>
    <row r="6510" spans="1:22" x14ac:dyDescent="0.35">
      <c r="A6510" s="1">
        <v>42282.157349537039</v>
      </c>
      <c r="B6510" s="2">
        <v>1.5821759259259261E-2</v>
      </c>
      <c r="C6510" t="s">
        <v>9954</v>
      </c>
      <c r="D6510" t="s">
        <v>35</v>
      </c>
      <c r="E6510" t="s">
        <v>36</v>
      </c>
      <c r="F6510" t="s">
        <v>4223</v>
      </c>
      <c r="G6510">
        <v>980956</v>
      </c>
      <c r="H6510" t="s">
        <v>26</v>
      </c>
      <c r="I6510" t="s">
        <v>4224</v>
      </c>
      <c r="J6510" t="str">
        <f>"9781118227251"</f>
        <v>9781118227251</v>
      </c>
      <c r="K6510" t="s">
        <v>9955</v>
      </c>
      <c r="L6510">
        <v>28</v>
      </c>
      <c r="O6510" t="s">
        <v>30</v>
      </c>
      <c r="P6510" t="s">
        <v>29</v>
      </c>
      <c r="Q6510" s="1">
        <v>42282.157349537039</v>
      </c>
      <c r="R6510">
        <v>7</v>
      </c>
      <c r="S6510" t="s">
        <v>40</v>
      </c>
      <c r="T6510" t="s">
        <v>4226</v>
      </c>
      <c r="U6510" t="s">
        <v>4227</v>
      </c>
      <c r="V6510" s="3">
        <v>41113</v>
      </c>
    </row>
    <row r="6511" spans="1:22" x14ac:dyDescent="0.35">
      <c r="A6511" s="1">
        <v>42282.150370370371</v>
      </c>
      <c r="B6511" s="2">
        <v>6.9791666666666674E-3</v>
      </c>
      <c r="C6511" t="s">
        <v>9954</v>
      </c>
      <c r="D6511" t="s">
        <v>35</v>
      </c>
      <c r="E6511" t="s">
        <v>36</v>
      </c>
      <c r="F6511" t="s">
        <v>4223</v>
      </c>
      <c r="G6511">
        <v>980956</v>
      </c>
      <c r="H6511" t="s">
        <v>26</v>
      </c>
      <c r="I6511" t="s">
        <v>4224</v>
      </c>
      <c r="J6511" t="str">
        <f>"9781118227251"</f>
        <v>9781118227251</v>
      </c>
      <c r="K6511" t="s">
        <v>9956</v>
      </c>
      <c r="L6511">
        <v>45</v>
      </c>
      <c r="O6511" t="s">
        <v>30</v>
      </c>
      <c r="P6511" t="s">
        <v>42</v>
      </c>
      <c r="S6511" t="s">
        <v>40</v>
      </c>
      <c r="T6511" t="s">
        <v>4226</v>
      </c>
      <c r="U6511" t="s">
        <v>4227</v>
      </c>
      <c r="V6511" s="3">
        <v>41113</v>
      </c>
    </row>
    <row r="6512" spans="1:22" x14ac:dyDescent="0.35">
      <c r="A6512" s="1">
        <v>42282.121562499997</v>
      </c>
      <c r="B6512" s="2">
        <v>7.789351851851852E-3</v>
      </c>
      <c r="C6512" t="s">
        <v>9957</v>
      </c>
      <c r="D6512" t="s">
        <v>23</v>
      </c>
      <c r="E6512" t="s">
        <v>24</v>
      </c>
      <c r="F6512" t="s">
        <v>416</v>
      </c>
      <c r="G6512">
        <v>1092851</v>
      </c>
      <c r="H6512" t="s">
        <v>26</v>
      </c>
      <c r="I6512" t="s">
        <v>417</v>
      </c>
      <c r="J6512" t="str">
        <f>"9781118333051"</f>
        <v>9781118333051</v>
      </c>
      <c r="K6512" t="s">
        <v>9958</v>
      </c>
      <c r="L6512">
        <v>3</v>
      </c>
      <c r="O6512" t="s">
        <v>30</v>
      </c>
      <c r="P6512" t="s">
        <v>29</v>
      </c>
      <c r="Q6512" s="1">
        <v>42282.121562499997</v>
      </c>
      <c r="R6512">
        <v>7</v>
      </c>
      <c r="S6512" t="s">
        <v>31</v>
      </c>
      <c r="T6512" t="s">
        <v>419</v>
      </c>
      <c r="U6512" t="s">
        <v>420</v>
      </c>
      <c r="V6512" s="3">
        <v>41240</v>
      </c>
    </row>
    <row r="6513" spans="1:22" x14ac:dyDescent="0.35">
      <c r="A6513" s="1">
        <v>42282.105706018519</v>
      </c>
      <c r="B6513" s="2">
        <v>0</v>
      </c>
      <c r="C6513" t="s">
        <v>9959</v>
      </c>
      <c r="D6513" t="s">
        <v>623</v>
      </c>
      <c r="E6513" t="s">
        <v>624</v>
      </c>
      <c r="F6513" t="s">
        <v>9960</v>
      </c>
      <c r="G6513">
        <v>1356320</v>
      </c>
      <c r="H6513" t="s">
        <v>68</v>
      </c>
      <c r="I6513" t="s">
        <v>120</v>
      </c>
      <c r="J6513" t="str">
        <f>"9781317869818"</f>
        <v>9781317869818</v>
      </c>
      <c r="K6513" t="s">
        <v>9961</v>
      </c>
      <c r="L6513">
        <v>2</v>
      </c>
      <c r="O6513" t="s">
        <v>30</v>
      </c>
      <c r="P6513" t="s">
        <v>47</v>
      </c>
      <c r="Q6513" s="1">
        <v>42282.105706018519</v>
      </c>
      <c r="R6513">
        <v>1</v>
      </c>
      <c r="S6513" t="s">
        <v>627</v>
      </c>
      <c r="T6513" t="s">
        <v>9962</v>
      </c>
      <c r="U6513">
        <v>305.42090000000002</v>
      </c>
      <c r="V6513" s="3">
        <v>41507</v>
      </c>
    </row>
    <row r="6514" spans="1:22" x14ac:dyDescent="0.35">
      <c r="A6514" s="1">
        <v>42282.104120370372</v>
      </c>
      <c r="B6514" s="2">
        <v>1.744212962962963E-2</v>
      </c>
      <c r="C6514" t="s">
        <v>9957</v>
      </c>
      <c r="D6514" t="s">
        <v>23</v>
      </c>
      <c r="E6514" t="s">
        <v>24</v>
      </c>
      <c r="F6514" t="s">
        <v>416</v>
      </c>
      <c r="G6514">
        <v>1092851</v>
      </c>
      <c r="H6514" t="s">
        <v>26</v>
      </c>
      <c r="I6514" t="s">
        <v>417</v>
      </c>
      <c r="J6514" t="str">
        <f>"9781118333051"</f>
        <v>9781118333051</v>
      </c>
      <c r="K6514" t="s">
        <v>9963</v>
      </c>
      <c r="L6514">
        <v>36</v>
      </c>
      <c r="O6514" t="s">
        <v>30</v>
      </c>
      <c r="P6514" t="s">
        <v>42</v>
      </c>
      <c r="S6514" t="s">
        <v>31</v>
      </c>
      <c r="T6514" t="s">
        <v>419</v>
      </c>
      <c r="U6514" t="s">
        <v>420</v>
      </c>
      <c r="V6514" s="3">
        <v>41240</v>
      </c>
    </row>
    <row r="6515" spans="1:22" x14ac:dyDescent="0.35">
      <c r="A6515" s="1">
        <v>42282.1015162037</v>
      </c>
      <c r="B6515" s="2">
        <v>4.1898148148148146E-3</v>
      </c>
      <c r="C6515" t="s">
        <v>9959</v>
      </c>
      <c r="D6515" t="s">
        <v>623</v>
      </c>
      <c r="E6515" t="s">
        <v>624</v>
      </c>
      <c r="F6515" t="s">
        <v>9960</v>
      </c>
      <c r="G6515">
        <v>1356320</v>
      </c>
      <c r="H6515" t="s">
        <v>68</v>
      </c>
      <c r="I6515" t="s">
        <v>120</v>
      </c>
      <c r="J6515" t="str">
        <f>"9781317869818"</f>
        <v>9781317869818</v>
      </c>
      <c r="K6515" t="s">
        <v>9964</v>
      </c>
      <c r="L6515">
        <v>24</v>
      </c>
      <c r="O6515" t="s">
        <v>30</v>
      </c>
      <c r="P6515" t="s">
        <v>50</v>
      </c>
      <c r="S6515" t="s">
        <v>627</v>
      </c>
      <c r="T6515" t="s">
        <v>9962</v>
      </c>
      <c r="U6515">
        <v>305.42090000000002</v>
      </c>
      <c r="V6515" s="3">
        <v>41507</v>
      </c>
    </row>
    <row r="6516" spans="1:22" x14ac:dyDescent="0.35">
      <c r="A6516" s="1">
        <v>42282.10052083333</v>
      </c>
      <c r="B6516" s="2">
        <v>4.6296296296296294E-5</v>
      </c>
      <c r="C6516" t="s">
        <v>9959</v>
      </c>
      <c r="D6516" t="s">
        <v>623</v>
      </c>
      <c r="E6516" t="s">
        <v>624</v>
      </c>
      <c r="F6516" t="s">
        <v>9960</v>
      </c>
      <c r="G6516">
        <v>1356320</v>
      </c>
      <c r="H6516" t="s">
        <v>68</v>
      </c>
      <c r="I6516" t="s">
        <v>120</v>
      </c>
      <c r="J6516" t="str">
        <f>"9781317869818"</f>
        <v>9781317869818</v>
      </c>
      <c r="K6516" t="s">
        <v>33</v>
      </c>
      <c r="L6516">
        <v>3</v>
      </c>
      <c r="O6516" t="s">
        <v>30</v>
      </c>
      <c r="P6516" t="s">
        <v>50</v>
      </c>
      <c r="S6516" t="s">
        <v>627</v>
      </c>
      <c r="T6516" t="s">
        <v>9962</v>
      </c>
      <c r="U6516">
        <v>305.42090000000002</v>
      </c>
      <c r="V6516" s="3">
        <v>41507</v>
      </c>
    </row>
    <row r="6517" spans="1:22" x14ac:dyDescent="0.35">
      <c r="A6517" s="1">
        <v>42282.062442129631</v>
      </c>
      <c r="B6517" s="2">
        <v>2.3113425925925926E-2</v>
      </c>
      <c r="C6517" t="s">
        <v>8975</v>
      </c>
      <c r="D6517" t="s">
        <v>23</v>
      </c>
      <c r="E6517" t="s">
        <v>24</v>
      </c>
      <c r="F6517" t="s">
        <v>246</v>
      </c>
      <c r="G6517">
        <v>1682559</v>
      </c>
      <c r="H6517" t="s">
        <v>91</v>
      </c>
      <c r="I6517" t="s">
        <v>247</v>
      </c>
      <c r="J6517" t="str">
        <f>"9781462515431"</f>
        <v>9781462515431</v>
      </c>
      <c r="K6517" t="s">
        <v>9965</v>
      </c>
      <c r="L6517">
        <v>61</v>
      </c>
      <c r="O6517" t="s">
        <v>30</v>
      </c>
      <c r="P6517" t="s">
        <v>29</v>
      </c>
      <c r="Q6517" s="1">
        <v>42279.827372685184</v>
      </c>
      <c r="R6517">
        <v>7</v>
      </c>
      <c r="S6517" t="s">
        <v>31</v>
      </c>
      <c r="T6517" t="s">
        <v>249</v>
      </c>
      <c r="U6517">
        <v>616.89</v>
      </c>
      <c r="V6517" s="3">
        <v>41769</v>
      </c>
    </row>
    <row r="6518" spans="1:22" x14ac:dyDescent="0.35">
      <c r="A6518" s="1">
        <v>42282.007361111115</v>
      </c>
      <c r="B6518" s="2">
        <v>1.736111111111111E-3</v>
      </c>
      <c r="C6518" t="s">
        <v>9966</v>
      </c>
      <c r="D6518" t="s">
        <v>2519</v>
      </c>
      <c r="E6518" t="s">
        <v>2520</v>
      </c>
      <c r="F6518" t="s">
        <v>9686</v>
      </c>
      <c r="G6518">
        <v>1501633</v>
      </c>
      <c r="H6518" t="s">
        <v>26</v>
      </c>
      <c r="I6518" t="s">
        <v>27</v>
      </c>
      <c r="J6518" t="str">
        <f>"9781118610701"</f>
        <v>9781118610701</v>
      </c>
      <c r="K6518" t="s">
        <v>9967</v>
      </c>
      <c r="L6518">
        <v>19</v>
      </c>
      <c r="O6518" t="s">
        <v>30</v>
      </c>
      <c r="P6518" t="s">
        <v>29</v>
      </c>
      <c r="Q6518" s="1">
        <v>42275.086863425924</v>
      </c>
      <c r="R6518">
        <v>7</v>
      </c>
      <c r="S6518" t="s">
        <v>3786</v>
      </c>
      <c r="T6518" t="s">
        <v>9687</v>
      </c>
      <c r="U6518">
        <v>480.09</v>
      </c>
      <c r="V6518" s="3">
        <v>41570</v>
      </c>
    </row>
    <row r="6519" spans="1:22" x14ac:dyDescent="0.35">
      <c r="A6519" s="1">
        <v>42281.9766087963</v>
      </c>
      <c r="B6519" s="2">
        <v>9.1435185185185185E-4</v>
      </c>
      <c r="C6519" t="s">
        <v>6496</v>
      </c>
      <c r="D6519" t="s">
        <v>23</v>
      </c>
      <c r="E6519" t="s">
        <v>24</v>
      </c>
      <c r="F6519" t="s">
        <v>6497</v>
      </c>
      <c r="G6519">
        <v>1969426</v>
      </c>
      <c r="H6519" t="s">
        <v>45</v>
      </c>
      <c r="I6519" t="s">
        <v>6498</v>
      </c>
      <c r="J6519" t="str">
        <f>"9781472440372"</f>
        <v>9781472440372</v>
      </c>
      <c r="K6519" t="s">
        <v>9968</v>
      </c>
      <c r="L6519">
        <v>13</v>
      </c>
      <c r="O6519" t="s">
        <v>30</v>
      </c>
      <c r="P6519" t="s">
        <v>50</v>
      </c>
      <c r="S6519" t="s">
        <v>31</v>
      </c>
      <c r="T6519" t="s">
        <v>6500</v>
      </c>
      <c r="U6519" t="s">
        <v>6501</v>
      </c>
      <c r="V6519" s="3">
        <v>42091</v>
      </c>
    </row>
    <row r="6520" spans="1:22" x14ac:dyDescent="0.35">
      <c r="A6520" s="1">
        <v>42281.970833333333</v>
      </c>
      <c r="B6520" s="2">
        <v>3.5879629629629629E-3</v>
      </c>
      <c r="C6520" t="s">
        <v>9785</v>
      </c>
      <c r="D6520" t="s">
        <v>23</v>
      </c>
      <c r="E6520" t="s">
        <v>24</v>
      </c>
      <c r="F6520" t="s">
        <v>3488</v>
      </c>
      <c r="G6520">
        <v>1294909</v>
      </c>
      <c r="H6520" t="s">
        <v>84</v>
      </c>
      <c r="I6520" t="s">
        <v>445</v>
      </c>
      <c r="J6520" t="str">
        <f>"9780520956797"</f>
        <v>9780520956797</v>
      </c>
      <c r="K6520" t="s">
        <v>9969</v>
      </c>
      <c r="L6520">
        <v>27</v>
      </c>
      <c r="O6520" t="s">
        <v>30</v>
      </c>
      <c r="P6520" t="s">
        <v>29</v>
      </c>
      <c r="Q6520" s="1">
        <v>42281.970833333333</v>
      </c>
      <c r="R6520">
        <v>7</v>
      </c>
      <c r="S6520" t="s">
        <v>31</v>
      </c>
      <c r="T6520" t="s">
        <v>3490</v>
      </c>
      <c r="U6520" t="s">
        <v>3491</v>
      </c>
      <c r="V6520" s="3">
        <v>41487</v>
      </c>
    </row>
    <row r="6521" spans="1:22" x14ac:dyDescent="0.35">
      <c r="A6521" s="1">
        <v>42281.969988425924</v>
      </c>
      <c r="B6521" s="2">
        <v>8.449074074074075E-4</v>
      </c>
      <c r="C6521" t="s">
        <v>9785</v>
      </c>
      <c r="D6521" t="s">
        <v>23</v>
      </c>
      <c r="E6521" t="s">
        <v>24</v>
      </c>
      <c r="F6521" t="s">
        <v>3488</v>
      </c>
      <c r="G6521">
        <v>1294909</v>
      </c>
      <c r="H6521" t="s">
        <v>84</v>
      </c>
      <c r="I6521" t="s">
        <v>445</v>
      </c>
      <c r="J6521" t="str">
        <f>"9780520956797"</f>
        <v>9780520956797</v>
      </c>
      <c r="K6521" t="s">
        <v>9970</v>
      </c>
      <c r="L6521">
        <v>22</v>
      </c>
      <c r="O6521" t="s">
        <v>30</v>
      </c>
      <c r="P6521" t="s">
        <v>42</v>
      </c>
      <c r="S6521" t="s">
        <v>31</v>
      </c>
      <c r="T6521" t="s">
        <v>3490</v>
      </c>
      <c r="U6521" t="s">
        <v>3491</v>
      </c>
      <c r="V6521" s="3">
        <v>41487</v>
      </c>
    </row>
    <row r="6522" spans="1:22" x14ac:dyDescent="0.35">
      <c r="A6522" s="1">
        <v>42281.968472222223</v>
      </c>
      <c r="B6522" s="2">
        <v>1.4351851851851854E-3</v>
      </c>
      <c r="C6522" t="s">
        <v>9785</v>
      </c>
      <c r="D6522" t="s">
        <v>23</v>
      </c>
      <c r="E6522" t="s">
        <v>24</v>
      </c>
      <c r="F6522" t="s">
        <v>3488</v>
      </c>
      <c r="G6522">
        <v>1294909</v>
      </c>
      <c r="H6522" t="s">
        <v>84</v>
      </c>
      <c r="I6522" t="s">
        <v>445</v>
      </c>
      <c r="J6522" t="str">
        <f>"9780520956797"</f>
        <v>9780520956797</v>
      </c>
      <c r="K6522" t="s">
        <v>9971</v>
      </c>
      <c r="L6522">
        <v>39</v>
      </c>
      <c r="O6522" t="s">
        <v>30</v>
      </c>
      <c r="P6522" t="s">
        <v>42</v>
      </c>
      <c r="S6522" t="s">
        <v>31</v>
      </c>
      <c r="T6522" t="s">
        <v>3490</v>
      </c>
      <c r="U6522" t="s">
        <v>3491</v>
      </c>
      <c r="V6522" s="3">
        <v>41487</v>
      </c>
    </row>
    <row r="6523" spans="1:22" x14ac:dyDescent="0.35">
      <c r="A6523" s="1">
        <v>42281.963553240741</v>
      </c>
      <c r="B6523" s="2">
        <v>4.7453703703703703E-3</v>
      </c>
      <c r="C6523" t="s">
        <v>9785</v>
      </c>
      <c r="D6523" t="s">
        <v>23</v>
      </c>
      <c r="E6523" t="s">
        <v>24</v>
      </c>
      <c r="F6523" t="s">
        <v>3488</v>
      </c>
      <c r="G6523">
        <v>1294909</v>
      </c>
      <c r="H6523" t="s">
        <v>84</v>
      </c>
      <c r="I6523" t="s">
        <v>445</v>
      </c>
      <c r="J6523" t="str">
        <f>"9780520956797"</f>
        <v>9780520956797</v>
      </c>
      <c r="K6523" t="s">
        <v>9972</v>
      </c>
      <c r="L6523">
        <v>24</v>
      </c>
      <c r="O6523" t="s">
        <v>30</v>
      </c>
      <c r="P6523" t="s">
        <v>42</v>
      </c>
      <c r="S6523" t="s">
        <v>31</v>
      </c>
      <c r="T6523" t="s">
        <v>3490</v>
      </c>
      <c r="U6523" t="s">
        <v>3491</v>
      </c>
      <c r="V6523" s="3">
        <v>41487</v>
      </c>
    </row>
    <row r="6524" spans="1:22" x14ac:dyDescent="0.35">
      <c r="A6524" s="1">
        <v>42281.948483796295</v>
      </c>
      <c r="B6524" s="2">
        <v>0</v>
      </c>
      <c r="C6524" t="s">
        <v>106</v>
      </c>
      <c r="D6524" t="s">
        <v>23</v>
      </c>
      <c r="E6524" t="s">
        <v>24</v>
      </c>
      <c r="F6524" t="s">
        <v>9973</v>
      </c>
      <c r="G6524">
        <v>836575</v>
      </c>
      <c r="H6524" t="s">
        <v>26</v>
      </c>
      <c r="I6524" t="s">
        <v>297</v>
      </c>
      <c r="J6524" t="str">
        <f>"9781118226162"</f>
        <v>9781118226162</v>
      </c>
      <c r="K6524" t="s">
        <v>9974</v>
      </c>
      <c r="L6524">
        <v>2</v>
      </c>
      <c r="O6524" t="s">
        <v>30</v>
      </c>
      <c r="P6524" t="s">
        <v>29</v>
      </c>
      <c r="Q6524" s="1">
        <v>42281.948472222219</v>
      </c>
      <c r="R6524">
        <v>7</v>
      </c>
      <c r="S6524" t="s">
        <v>31</v>
      </c>
      <c r="T6524" t="s">
        <v>9975</v>
      </c>
      <c r="U6524">
        <v>519.50285536000001</v>
      </c>
      <c r="V6524" s="3">
        <v>41051</v>
      </c>
    </row>
    <row r="6525" spans="1:22" x14ac:dyDescent="0.35">
      <c r="A6525" s="1">
        <v>42281.92324074074</v>
      </c>
      <c r="B6525" s="2">
        <v>3.4722222222222222E-5</v>
      </c>
      <c r="C6525" t="s">
        <v>6030</v>
      </c>
      <c r="D6525" t="s">
        <v>35</v>
      </c>
      <c r="E6525" t="s">
        <v>36</v>
      </c>
      <c r="F6525" t="s">
        <v>2369</v>
      </c>
      <c r="G6525">
        <v>877782</v>
      </c>
      <c r="H6525" t="s">
        <v>26</v>
      </c>
      <c r="I6525" t="s">
        <v>2370</v>
      </c>
      <c r="J6525" t="str">
        <f>"9781118255407"</f>
        <v>9781118255407</v>
      </c>
      <c r="K6525" t="s">
        <v>33</v>
      </c>
      <c r="L6525">
        <v>3</v>
      </c>
      <c r="O6525" t="s">
        <v>30</v>
      </c>
      <c r="P6525" t="s">
        <v>42</v>
      </c>
      <c r="S6525" t="s">
        <v>40</v>
      </c>
      <c r="T6525" t="s">
        <v>2372</v>
      </c>
      <c r="U6525">
        <v>599.9</v>
      </c>
      <c r="V6525" s="3">
        <v>40994</v>
      </c>
    </row>
    <row r="6526" spans="1:22" x14ac:dyDescent="0.35">
      <c r="A6526" s="1">
        <v>42281.905694444446</v>
      </c>
      <c r="B6526" s="2">
        <v>4.2777777777777776E-2</v>
      </c>
      <c r="C6526" t="s">
        <v>106</v>
      </c>
      <c r="D6526" t="s">
        <v>23</v>
      </c>
      <c r="E6526" t="s">
        <v>24</v>
      </c>
      <c r="F6526" t="s">
        <v>9973</v>
      </c>
      <c r="G6526">
        <v>836575</v>
      </c>
      <c r="H6526" t="s">
        <v>26</v>
      </c>
      <c r="I6526" t="s">
        <v>297</v>
      </c>
      <c r="J6526" t="str">
        <f>"9781118226162"</f>
        <v>9781118226162</v>
      </c>
      <c r="K6526" t="s">
        <v>9976</v>
      </c>
      <c r="L6526">
        <v>20</v>
      </c>
      <c r="O6526" t="s">
        <v>30</v>
      </c>
      <c r="P6526" t="s">
        <v>42</v>
      </c>
      <c r="S6526" t="s">
        <v>31</v>
      </c>
      <c r="T6526" t="s">
        <v>9975</v>
      </c>
      <c r="U6526">
        <v>519.50285536000001</v>
      </c>
      <c r="V6526" s="3">
        <v>41051</v>
      </c>
    </row>
    <row r="6527" spans="1:22" x14ac:dyDescent="0.35">
      <c r="A6527" s="1">
        <v>42281.881504629629</v>
      </c>
      <c r="B6527" s="2">
        <v>3.4513888888888893E-2</v>
      </c>
      <c r="C6527" t="s">
        <v>8975</v>
      </c>
      <c r="D6527" t="s">
        <v>23</v>
      </c>
      <c r="E6527" t="s">
        <v>24</v>
      </c>
      <c r="F6527" t="s">
        <v>246</v>
      </c>
      <c r="G6527">
        <v>1682559</v>
      </c>
      <c r="H6527" t="s">
        <v>91</v>
      </c>
      <c r="I6527" t="s">
        <v>247</v>
      </c>
      <c r="J6527" t="str">
        <f>"9781462515431"</f>
        <v>9781462515431</v>
      </c>
      <c r="K6527" t="s">
        <v>9977</v>
      </c>
      <c r="L6527">
        <v>33</v>
      </c>
      <c r="O6527" t="s">
        <v>30</v>
      </c>
      <c r="P6527" t="s">
        <v>29</v>
      </c>
      <c r="Q6527" s="1">
        <v>42279.827372685184</v>
      </c>
      <c r="R6527">
        <v>7</v>
      </c>
      <c r="S6527" t="s">
        <v>31</v>
      </c>
      <c r="T6527" t="s">
        <v>249</v>
      </c>
      <c r="U6527">
        <v>616.89</v>
      </c>
      <c r="V6527" s="3">
        <v>41769</v>
      </c>
    </row>
    <row r="6528" spans="1:22" x14ac:dyDescent="0.35">
      <c r="A6528" s="1">
        <v>42281.861828703702</v>
      </c>
      <c r="B6528" s="2">
        <v>2.5983796296296297E-2</v>
      </c>
      <c r="C6528" t="s">
        <v>7408</v>
      </c>
      <c r="D6528" t="s">
        <v>23</v>
      </c>
      <c r="E6528" t="s">
        <v>24</v>
      </c>
      <c r="F6528" t="s">
        <v>486</v>
      </c>
      <c r="G6528">
        <v>1119505</v>
      </c>
      <c r="H6528" t="s">
        <v>26</v>
      </c>
      <c r="I6528" t="s">
        <v>450</v>
      </c>
      <c r="J6528" t="str">
        <f>"9781118355015"</f>
        <v>9781118355015</v>
      </c>
      <c r="K6528" t="s">
        <v>9978</v>
      </c>
      <c r="L6528">
        <v>11</v>
      </c>
      <c r="O6528" t="s">
        <v>30</v>
      </c>
      <c r="P6528" t="s">
        <v>29</v>
      </c>
      <c r="Q6528" s="1">
        <v>42274.935937499999</v>
      </c>
      <c r="R6528">
        <v>7</v>
      </c>
      <c r="S6528" t="s">
        <v>31</v>
      </c>
      <c r="T6528" t="s">
        <v>487</v>
      </c>
      <c r="U6528" t="s">
        <v>488</v>
      </c>
      <c r="V6528" s="3">
        <v>41302</v>
      </c>
    </row>
    <row r="6529" spans="1:22" x14ac:dyDescent="0.35">
      <c r="A6529" s="1">
        <v>42281.849814814814</v>
      </c>
      <c r="B6529" s="2">
        <v>3.1250000000000001E-4</v>
      </c>
      <c r="C6529" t="s">
        <v>9542</v>
      </c>
      <c r="D6529" t="s">
        <v>125</v>
      </c>
      <c r="E6529" t="s">
        <v>126</v>
      </c>
      <c r="F6529" t="s">
        <v>9979</v>
      </c>
      <c r="G6529">
        <v>1841092</v>
      </c>
      <c r="H6529" t="s">
        <v>526</v>
      </c>
      <c r="I6529" t="s">
        <v>5989</v>
      </c>
      <c r="J6529" t="str">
        <f>"9780226174938"</f>
        <v>9780226174938</v>
      </c>
      <c r="K6529" t="s">
        <v>9980</v>
      </c>
      <c r="L6529">
        <v>9</v>
      </c>
      <c r="O6529" t="s">
        <v>30</v>
      </c>
      <c r="P6529" t="s">
        <v>50</v>
      </c>
      <c r="S6529" t="s">
        <v>128</v>
      </c>
      <c r="T6529" t="s">
        <v>9981</v>
      </c>
      <c r="U6529" t="s">
        <v>9982</v>
      </c>
      <c r="V6529" s="3">
        <v>41999</v>
      </c>
    </row>
    <row r="6530" spans="1:22" x14ac:dyDescent="0.35">
      <c r="A6530" s="1">
        <v>42281.84957175926</v>
      </c>
      <c r="B6530" s="2">
        <v>0</v>
      </c>
      <c r="C6530" t="s">
        <v>9983</v>
      </c>
      <c r="D6530" t="s">
        <v>1222</v>
      </c>
      <c r="E6530" t="s">
        <v>1223</v>
      </c>
      <c r="F6530" t="s">
        <v>9984</v>
      </c>
      <c r="G6530">
        <v>849019</v>
      </c>
      <c r="H6530" t="s">
        <v>26</v>
      </c>
      <c r="I6530" t="s">
        <v>9985</v>
      </c>
      <c r="J6530" t="str">
        <f>"9781119949862"</f>
        <v>9781119949862</v>
      </c>
      <c r="L6530">
        <v>0</v>
      </c>
      <c r="N6530" t="s">
        <v>9986</v>
      </c>
      <c r="O6530" t="s">
        <v>30</v>
      </c>
      <c r="P6530" t="s">
        <v>29</v>
      </c>
      <c r="Q6530" s="1">
        <v>42281.84957175926</v>
      </c>
      <c r="R6530">
        <v>7</v>
      </c>
      <c r="S6530" t="s">
        <v>1226</v>
      </c>
      <c r="T6530" t="s">
        <v>9987</v>
      </c>
      <c r="U6530">
        <v>633.73</v>
      </c>
      <c r="V6530" s="3">
        <v>40932</v>
      </c>
    </row>
    <row r="6531" spans="1:22" x14ac:dyDescent="0.35">
      <c r="A6531" s="1">
        <v>42281.846828703703</v>
      </c>
      <c r="B6531" s="2">
        <v>2.7430555555555559E-3</v>
      </c>
      <c r="C6531" t="s">
        <v>9983</v>
      </c>
      <c r="D6531" t="s">
        <v>1222</v>
      </c>
      <c r="E6531" t="s">
        <v>1223</v>
      </c>
      <c r="F6531" t="s">
        <v>9984</v>
      </c>
      <c r="G6531">
        <v>849019</v>
      </c>
      <c r="H6531" t="s">
        <v>26</v>
      </c>
      <c r="I6531" t="s">
        <v>9985</v>
      </c>
      <c r="J6531" t="str">
        <f>"9781119949862"</f>
        <v>9781119949862</v>
      </c>
      <c r="K6531" t="s">
        <v>9988</v>
      </c>
      <c r="L6531">
        <v>13</v>
      </c>
      <c r="O6531" t="s">
        <v>30</v>
      </c>
      <c r="P6531" t="s">
        <v>42</v>
      </c>
      <c r="S6531" t="s">
        <v>1226</v>
      </c>
      <c r="T6531" t="s">
        <v>9987</v>
      </c>
      <c r="U6531">
        <v>633.73</v>
      </c>
      <c r="V6531" s="3">
        <v>40932</v>
      </c>
    </row>
    <row r="6532" spans="1:22" x14ac:dyDescent="0.35">
      <c r="A6532" s="1">
        <v>42281.846076388887</v>
      </c>
      <c r="B6532" s="2">
        <v>3.5995370370370369E-3</v>
      </c>
      <c r="C6532" t="s">
        <v>9989</v>
      </c>
      <c r="D6532" t="s">
        <v>23</v>
      </c>
      <c r="E6532" t="s">
        <v>24</v>
      </c>
      <c r="F6532" t="s">
        <v>3373</v>
      </c>
      <c r="G6532">
        <v>1710992</v>
      </c>
      <c r="H6532" t="s">
        <v>84</v>
      </c>
      <c r="I6532" t="s">
        <v>120</v>
      </c>
      <c r="J6532" t="str">
        <f>"9780520959125"</f>
        <v>9780520959125</v>
      </c>
      <c r="K6532" t="s">
        <v>9990</v>
      </c>
      <c r="L6532">
        <v>15</v>
      </c>
      <c r="O6532" t="s">
        <v>30</v>
      </c>
      <c r="P6532" t="s">
        <v>29</v>
      </c>
      <c r="Q6532" s="1">
        <v>42281.846076388887</v>
      </c>
      <c r="R6532">
        <v>7</v>
      </c>
      <c r="S6532" t="s">
        <v>31</v>
      </c>
      <c r="T6532" t="s">
        <v>3376</v>
      </c>
      <c r="U6532">
        <v>398.209</v>
      </c>
      <c r="V6532" s="3">
        <v>42018</v>
      </c>
    </row>
    <row r="6533" spans="1:22" x14ac:dyDescent="0.35">
      <c r="A6533" s="1">
        <v>42281.841678240744</v>
      </c>
      <c r="B6533" s="2">
        <v>4.3981481481481484E-3</v>
      </c>
      <c r="C6533" t="s">
        <v>9989</v>
      </c>
      <c r="D6533" t="s">
        <v>23</v>
      </c>
      <c r="E6533" t="s">
        <v>24</v>
      </c>
      <c r="F6533" t="s">
        <v>3373</v>
      </c>
      <c r="G6533">
        <v>1710992</v>
      </c>
      <c r="H6533" t="s">
        <v>84</v>
      </c>
      <c r="I6533" t="s">
        <v>120</v>
      </c>
      <c r="J6533" t="str">
        <f>"9780520959125"</f>
        <v>9780520959125</v>
      </c>
      <c r="K6533" t="s">
        <v>33</v>
      </c>
      <c r="L6533">
        <v>3</v>
      </c>
      <c r="O6533" t="s">
        <v>30</v>
      </c>
      <c r="P6533" t="s">
        <v>50</v>
      </c>
      <c r="S6533" t="s">
        <v>31</v>
      </c>
      <c r="T6533" t="s">
        <v>3376</v>
      </c>
      <c r="U6533">
        <v>398.209</v>
      </c>
      <c r="V6533" s="3">
        <v>42018</v>
      </c>
    </row>
    <row r="6534" spans="1:22" x14ac:dyDescent="0.35">
      <c r="A6534" s="1">
        <v>42281.839918981481</v>
      </c>
      <c r="B6534" s="2">
        <v>4.5601851851851853E-3</v>
      </c>
      <c r="C6534" t="s">
        <v>9991</v>
      </c>
      <c r="D6534" t="s">
        <v>23</v>
      </c>
      <c r="E6534" t="s">
        <v>24</v>
      </c>
      <c r="F6534" t="s">
        <v>955</v>
      </c>
      <c r="G6534">
        <v>1760717</v>
      </c>
      <c r="H6534" t="s">
        <v>91</v>
      </c>
      <c r="I6534" t="s">
        <v>247</v>
      </c>
      <c r="J6534" t="str">
        <f>"9781462517640"</f>
        <v>9781462517640</v>
      </c>
      <c r="K6534" t="s">
        <v>9992</v>
      </c>
      <c r="L6534">
        <v>40</v>
      </c>
      <c r="O6534" t="s">
        <v>30</v>
      </c>
      <c r="P6534" t="s">
        <v>42</v>
      </c>
      <c r="S6534" t="s">
        <v>31</v>
      </c>
      <c r="T6534" t="s">
        <v>957</v>
      </c>
      <c r="U6534">
        <v>618.9289</v>
      </c>
      <c r="V6534" s="3">
        <v>41960</v>
      </c>
    </row>
    <row r="6535" spans="1:22" x14ac:dyDescent="0.35">
      <c r="A6535" s="1">
        <v>42281.839583333334</v>
      </c>
      <c r="B6535" s="2">
        <v>1.9675925925925926E-4</v>
      </c>
      <c r="C6535" t="s">
        <v>9993</v>
      </c>
      <c r="D6535" t="s">
        <v>35</v>
      </c>
      <c r="E6535" t="s">
        <v>36</v>
      </c>
      <c r="F6535" t="s">
        <v>2603</v>
      </c>
      <c r="G6535">
        <v>822491</v>
      </c>
      <c r="H6535" t="s">
        <v>26</v>
      </c>
      <c r="I6535" t="s">
        <v>2604</v>
      </c>
      <c r="J6535" t="str">
        <f>"9781118276273"</f>
        <v>9781118276273</v>
      </c>
      <c r="K6535" t="s">
        <v>9994</v>
      </c>
      <c r="L6535">
        <v>9</v>
      </c>
      <c r="O6535" t="s">
        <v>30</v>
      </c>
      <c r="P6535" t="s">
        <v>42</v>
      </c>
      <c r="S6535" t="s">
        <v>40</v>
      </c>
      <c r="T6535" t="s">
        <v>2607</v>
      </c>
      <c r="U6535">
        <v>612</v>
      </c>
      <c r="V6535" s="3">
        <v>40868</v>
      </c>
    </row>
    <row r="6536" spans="1:22" x14ac:dyDescent="0.35">
      <c r="A6536" s="1">
        <v>42281.806134259263</v>
      </c>
      <c r="B6536" s="2">
        <v>4.5138888888888892E-4</v>
      </c>
      <c r="C6536" t="s">
        <v>9995</v>
      </c>
      <c r="D6536" t="s">
        <v>35</v>
      </c>
      <c r="E6536" t="s">
        <v>36</v>
      </c>
      <c r="F6536" t="s">
        <v>8367</v>
      </c>
      <c r="G6536">
        <v>1132737</v>
      </c>
      <c r="H6536" t="s">
        <v>526</v>
      </c>
      <c r="I6536" t="s">
        <v>348</v>
      </c>
      <c r="J6536" t="str">
        <f>"9780226016177"</f>
        <v>9780226016177</v>
      </c>
      <c r="K6536" t="s">
        <v>9996</v>
      </c>
      <c r="L6536">
        <v>16</v>
      </c>
      <c r="O6536" t="s">
        <v>30</v>
      </c>
      <c r="P6536" t="s">
        <v>50</v>
      </c>
      <c r="S6536" t="s">
        <v>40</v>
      </c>
      <c r="T6536" t="s">
        <v>8368</v>
      </c>
      <c r="U6536" t="s">
        <v>8369</v>
      </c>
      <c r="V6536" s="3">
        <v>41365</v>
      </c>
    </row>
    <row r="6537" spans="1:22" x14ac:dyDescent="0.35">
      <c r="A6537" s="1">
        <v>42281.779722222222</v>
      </c>
      <c r="B6537" s="2">
        <v>7.175925925925927E-4</v>
      </c>
      <c r="C6537" t="s">
        <v>3938</v>
      </c>
      <c r="D6537" t="s">
        <v>623</v>
      </c>
      <c r="E6537" t="s">
        <v>624</v>
      </c>
      <c r="F6537" t="s">
        <v>3939</v>
      </c>
      <c r="G6537">
        <v>1132027</v>
      </c>
      <c r="H6537" t="s">
        <v>84</v>
      </c>
      <c r="I6537" t="s">
        <v>172</v>
      </c>
      <c r="J6537" t="str">
        <f>"9780520954694"</f>
        <v>9780520954694</v>
      </c>
      <c r="K6537" t="s">
        <v>9997</v>
      </c>
      <c r="L6537">
        <v>14</v>
      </c>
      <c r="O6537" t="s">
        <v>30</v>
      </c>
      <c r="P6537" t="s">
        <v>42</v>
      </c>
      <c r="S6537" t="s">
        <v>627</v>
      </c>
      <c r="T6537" t="s">
        <v>3940</v>
      </c>
      <c r="U6537">
        <v>938.07</v>
      </c>
      <c r="V6537" s="3">
        <v>41282</v>
      </c>
    </row>
    <row r="6538" spans="1:22" x14ac:dyDescent="0.35">
      <c r="A6538" s="1">
        <v>42281.723993055559</v>
      </c>
      <c r="B6538" s="2">
        <v>4.2893518518518518E-2</v>
      </c>
      <c r="C6538" t="s">
        <v>9998</v>
      </c>
      <c r="D6538" t="s">
        <v>623</v>
      </c>
      <c r="E6538" t="s">
        <v>624</v>
      </c>
      <c r="F6538" t="s">
        <v>9999</v>
      </c>
      <c r="G6538">
        <v>1546789</v>
      </c>
      <c r="H6538" t="s">
        <v>68</v>
      </c>
      <c r="I6538" t="s">
        <v>172</v>
      </c>
      <c r="J6538" t="str">
        <f>"9781317976431"</f>
        <v>9781317976431</v>
      </c>
      <c r="K6538" t="s">
        <v>10000</v>
      </c>
      <c r="L6538">
        <v>52</v>
      </c>
      <c r="O6538" t="s">
        <v>30</v>
      </c>
      <c r="P6538" t="s">
        <v>47</v>
      </c>
      <c r="Q6538" s="1">
        <v>42280.865983796299</v>
      </c>
      <c r="R6538">
        <v>1</v>
      </c>
      <c r="S6538" t="s">
        <v>627</v>
      </c>
      <c r="T6538" t="s">
        <v>10001</v>
      </c>
      <c r="U6538">
        <v>937.07</v>
      </c>
      <c r="V6538" s="3">
        <v>41585</v>
      </c>
    </row>
    <row r="6539" spans="1:22" x14ac:dyDescent="0.35">
      <c r="A6539" s="1">
        <v>42281.718217592592</v>
      </c>
      <c r="B6539" s="2">
        <v>3.7615740740740739E-3</v>
      </c>
      <c r="C6539" t="s">
        <v>7408</v>
      </c>
      <c r="D6539" t="s">
        <v>23</v>
      </c>
      <c r="E6539" t="s">
        <v>24</v>
      </c>
      <c r="F6539" t="s">
        <v>486</v>
      </c>
      <c r="G6539">
        <v>1119505</v>
      </c>
      <c r="H6539" t="s">
        <v>26</v>
      </c>
      <c r="I6539" t="s">
        <v>450</v>
      </c>
      <c r="J6539" t="str">
        <f>"9781118355015"</f>
        <v>9781118355015</v>
      </c>
      <c r="K6539" t="s">
        <v>10002</v>
      </c>
      <c r="L6539">
        <v>10</v>
      </c>
      <c r="O6539" t="s">
        <v>30</v>
      </c>
      <c r="P6539" t="s">
        <v>29</v>
      </c>
      <c r="Q6539" s="1">
        <v>42274.935937499999</v>
      </c>
      <c r="R6539">
        <v>7</v>
      </c>
      <c r="S6539" t="s">
        <v>31</v>
      </c>
      <c r="T6539" t="s">
        <v>487</v>
      </c>
      <c r="U6539" t="s">
        <v>488</v>
      </c>
      <c r="V6539" s="3">
        <v>41302</v>
      </c>
    </row>
    <row r="6540" spans="1:22" x14ac:dyDescent="0.35">
      <c r="A6540" s="1">
        <v>42281.716724537036</v>
      </c>
      <c r="B6540" s="2">
        <v>3.2407407407407406E-4</v>
      </c>
      <c r="C6540" t="s">
        <v>3185</v>
      </c>
      <c r="D6540" t="s">
        <v>23</v>
      </c>
      <c r="E6540" t="s">
        <v>24</v>
      </c>
      <c r="F6540" t="s">
        <v>3186</v>
      </c>
      <c r="G6540">
        <v>699744</v>
      </c>
      <c r="H6540" t="s">
        <v>26</v>
      </c>
      <c r="I6540" t="s">
        <v>3187</v>
      </c>
      <c r="J6540" t="str">
        <f>"9781118585818"</f>
        <v>9781118585818</v>
      </c>
      <c r="K6540" t="s">
        <v>10003</v>
      </c>
      <c r="L6540">
        <v>10</v>
      </c>
      <c r="O6540" t="s">
        <v>30</v>
      </c>
      <c r="P6540" t="s">
        <v>29</v>
      </c>
      <c r="Q6540" s="1">
        <v>42281.704259259262</v>
      </c>
      <c r="R6540">
        <v>7</v>
      </c>
      <c r="S6540" t="s">
        <v>31</v>
      </c>
      <c r="T6540" t="s">
        <v>3188</v>
      </c>
      <c r="U6540">
        <v>621.36</v>
      </c>
      <c r="V6540" s="3">
        <v>41310</v>
      </c>
    </row>
    <row r="6541" spans="1:22" x14ac:dyDescent="0.35">
      <c r="A6541" s="1">
        <v>42281.704259259262</v>
      </c>
      <c r="B6541" s="2">
        <v>1.0034722222222221E-2</v>
      </c>
      <c r="C6541" t="s">
        <v>3185</v>
      </c>
      <c r="D6541" t="s">
        <v>23</v>
      </c>
      <c r="E6541" t="s">
        <v>24</v>
      </c>
      <c r="F6541" t="s">
        <v>3186</v>
      </c>
      <c r="G6541">
        <v>699744</v>
      </c>
      <c r="H6541" t="s">
        <v>26</v>
      </c>
      <c r="I6541" t="s">
        <v>3187</v>
      </c>
      <c r="J6541" t="str">
        <f>"9781118585818"</f>
        <v>9781118585818</v>
      </c>
      <c r="K6541" t="s">
        <v>10004</v>
      </c>
      <c r="L6541">
        <v>1</v>
      </c>
      <c r="O6541" t="s">
        <v>28</v>
      </c>
      <c r="P6541" t="s">
        <v>29</v>
      </c>
      <c r="Q6541" s="1">
        <v>42281.704259259262</v>
      </c>
      <c r="R6541">
        <v>7</v>
      </c>
      <c r="S6541" t="s">
        <v>31</v>
      </c>
      <c r="T6541" t="s">
        <v>3188</v>
      </c>
      <c r="U6541">
        <v>621.36</v>
      </c>
      <c r="V6541" s="3">
        <v>41310</v>
      </c>
    </row>
    <row r="6542" spans="1:22" x14ac:dyDescent="0.35">
      <c r="A6542" s="1">
        <v>42281.704259259262</v>
      </c>
      <c r="B6542" s="2">
        <v>0</v>
      </c>
      <c r="C6542" t="s">
        <v>3185</v>
      </c>
      <c r="D6542" t="s">
        <v>23</v>
      </c>
      <c r="E6542" t="s">
        <v>24</v>
      </c>
      <c r="F6542" t="s">
        <v>3186</v>
      </c>
      <c r="G6542">
        <v>699744</v>
      </c>
      <c r="H6542" t="s">
        <v>26</v>
      </c>
      <c r="I6542" t="s">
        <v>3187</v>
      </c>
      <c r="J6542" t="str">
        <f>"9781118585818"</f>
        <v>9781118585818</v>
      </c>
      <c r="L6542">
        <v>0</v>
      </c>
      <c r="O6542" t="s">
        <v>30</v>
      </c>
      <c r="P6542" t="s">
        <v>29</v>
      </c>
      <c r="Q6542" s="1">
        <v>42281.704259259262</v>
      </c>
      <c r="R6542">
        <v>7</v>
      </c>
      <c r="S6542" t="s">
        <v>31</v>
      </c>
      <c r="T6542" t="s">
        <v>3188</v>
      </c>
      <c r="U6542">
        <v>621.36</v>
      </c>
      <c r="V6542" s="3">
        <v>41310</v>
      </c>
    </row>
    <row r="6543" spans="1:22" x14ac:dyDescent="0.35">
      <c r="A6543" s="1">
        <v>42281.701469907406</v>
      </c>
      <c r="B6543" s="2">
        <v>2.7314814814814819E-3</v>
      </c>
      <c r="C6543" t="s">
        <v>10005</v>
      </c>
      <c r="D6543" t="s">
        <v>23</v>
      </c>
      <c r="E6543" t="s">
        <v>24</v>
      </c>
      <c r="F6543" t="s">
        <v>9179</v>
      </c>
      <c r="G6543">
        <v>1132869</v>
      </c>
      <c r="H6543" t="s">
        <v>26</v>
      </c>
      <c r="I6543" t="s">
        <v>97</v>
      </c>
      <c r="J6543" t="str">
        <f>"9781118502631"</f>
        <v>9781118502631</v>
      </c>
      <c r="K6543" t="s">
        <v>10006</v>
      </c>
      <c r="L6543">
        <v>17</v>
      </c>
      <c r="O6543" t="s">
        <v>30</v>
      </c>
      <c r="P6543" t="s">
        <v>42</v>
      </c>
      <c r="S6543" t="s">
        <v>31</v>
      </c>
      <c r="T6543" t="s">
        <v>9181</v>
      </c>
      <c r="U6543">
        <v>657</v>
      </c>
      <c r="V6543" s="3">
        <v>41327</v>
      </c>
    </row>
    <row r="6544" spans="1:22" x14ac:dyDescent="0.35">
      <c r="A6544" s="1">
        <v>42281.698240740741</v>
      </c>
      <c r="B6544" s="2">
        <v>6.0185185185185177E-3</v>
      </c>
      <c r="C6544" t="s">
        <v>3185</v>
      </c>
      <c r="D6544" t="s">
        <v>23</v>
      </c>
      <c r="E6544" t="s">
        <v>24</v>
      </c>
      <c r="F6544" t="s">
        <v>3186</v>
      </c>
      <c r="G6544">
        <v>699744</v>
      </c>
      <c r="H6544" t="s">
        <v>26</v>
      </c>
      <c r="I6544" t="s">
        <v>3187</v>
      </c>
      <c r="J6544" t="str">
        <f>"9781118585818"</f>
        <v>9781118585818</v>
      </c>
      <c r="K6544" t="s">
        <v>10007</v>
      </c>
      <c r="L6544">
        <v>41</v>
      </c>
      <c r="O6544" t="s">
        <v>30</v>
      </c>
      <c r="P6544" t="s">
        <v>42</v>
      </c>
      <c r="S6544" t="s">
        <v>31</v>
      </c>
      <c r="T6544" t="s">
        <v>3188</v>
      </c>
      <c r="U6544">
        <v>621.36</v>
      </c>
      <c r="V6544" s="3">
        <v>41310</v>
      </c>
    </row>
    <row r="6545" spans="1:22" x14ac:dyDescent="0.35">
      <c r="A6545" s="1">
        <v>42281.643946759257</v>
      </c>
      <c r="B6545" s="2">
        <v>8.7962962962962962E-4</v>
      </c>
      <c r="C6545" t="s">
        <v>106</v>
      </c>
      <c r="D6545" t="s">
        <v>23</v>
      </c>
      <c r="E6545" t="s">
        <v>24</v>
      </c>
      <c r="F6545" t="s">
        <v>10008</v>
      </c>
      <c r="G6545">
        <v>1589590</v>
      </c>
      <c r="H6545" t="s">
        <v>45</v>
      </c>
      <c r="I6545" t="s">
        <v>267</v>
      </c>
      <c r="J6545" t="str">
        <f>"9781409420064"</f>
        <v>9781409420064</v>
      </c>
      <c r="K6545" t="s">
        <v>10009</v>
      </c>
      <c r="L6545">
        <v>34</v>
      </c>
      <c r="O6545" t="s">
        <v>30</v>
      </c>
      <c r="P6545" t="s">
        <v>50</v>
      </c>
      <c r="S6545" t="s">
        <v>31</v>
      </c>
      <c r="T6545" t="s">
        <v>10010</v>
      </c>
      <c r="U6545" t="s">
        <v>10011</v>
      </c>
      <c r="V6545" s="3">
        <v>41698</v>
      </c>
    </row>
    <row r="6546" spans="1:22" x14ac:dyDescent="0.35">
      <c r="A6546" s="1">
        <v>42281.61445601852</v>
      </c>
      <c r="B6546" s="2">
        <v>8.1215277777777775E-2</v>
      </c>
      <c r="C6546" t="s">
        <v>1050</v>
      </c>
      <c r="D6546" t="s">
        <v>23</v>
      </c>
      <c r="E6546" t="s">
        <v>24</v>
      </c>
      <c r="F6546" t="s">
        <v>1051</v>
      </c>
      <c r="G6546">
        <v>821663</v>
      </c>
      <c r="H6546" t="s">
        <v>26</v>
      </c>
      <c r="I6546" t="s">
        <v>200</v>
      </c>
      <c r="J6546" t="str">
        <f>"9781118168479"</f>
        <v>9781118168479</v>
      </c>
      <c r="K6546" t="s">
        <v>10012</v>
      </c>
      <c r="L6546">
        <v>28</v>
      </c>
      <c r="O6546" t="s">
        <v>30</v>
      </c>
      <c r="P6546" t="s">
        <v>29</v>
      </c>
      <c r="Q6546" s="1">
        <v>42281.61445601852</v>
      </c>
      <c r="R6546">
        <v>7</v>
      </c>
      <c r="S6546" t="s">
        <v>31</v>
      </c>
      <c r="T6546" t="s">
        <v>1053</v>
      </c>
      <c r="U6546">
        <v>729</v>
      </c>
      <c r="V6546" s="3">
        <v>40973</v>
      </c>
    </row>
    <row r="6547" spans="1:22" x14ac:dyDescent="0.35">
      <c r="A6547" s="1">
        <v>42281.601886574077</v>
      </c>
      <c r="B6547" s="2">
        <v>1.2569444444444446E-2</v>
      </c>
      <c r="C6547" t="s">
        <v>1050</v>
      </c>
      <c r="D6547" t="s">
        <v>23</v>
      </c>
      <c r="E6547" t="s">
        <v>24</v>
      </c>
      <c r="F6547" t="s">
        <v>1051</v>
      </c>
      <c r="G6547">
        <v>821663</v>
      </c>
      <c r="H6547" t="s">
        <v>26</v>
      </c>
      <c r="I6547" t="s">
        <v>200</v>
      </c>
      <c r="J6547" t="str">
        <f>"9781118168479"</f>
        <v>9781118168479</v>
      </c>
      <c r="K6547" t="s">
        <v>33</v>
      </c>
      <c r="L6547">
        <v>3</v>
      </c>
      <c r="O6547" t="s">
        <v>30</v>
      </c>
      <c r="P6547" t="s">
        <v>42</v>
      </c>
      <c r="S6547" t="s">
        <v>31</v>
      </c>
      <c r="T6547" t="s">
        <v>1053</v>
      </c>
      <c r="U6547">
        <v>729</v>
      </c>
      <c r="V6547" s="3">
        <v>40973</v>
      </c>
    </row>
    <row r="6548" spans="1:22" x14ac:dyDescent="0.35">
      <c r="A6548" s="1">
        <v>42281.585613425923</v>
      </c>
      <c r="B6548" s="2">
        <v>1.3194444444444443E-3</v>
      </c>
      <c r="C6548" t="s">
        <v>7783</v>
      </c>
      <c r="D6548" t="s">
        <v>623</v>
      </c>
      <c r="E6548" t="s">
        <v>624</v>
      </c>
      <c r="F6548" t="s">
        <v>235</v>
      </c>
      <c r="G6548">
        <v>1935742</v>
      </c>
      <c r="H6548" t="s">
        <v>236</v>
      </c>
      <c r="I6548" t="s">
        <v>237</v>
      </c>
      <c r="J6548" t="str">
        <f>"9781118473252"</f>
        <v>9781118473252</v>
      </c>
      <c r="K6548" t="s">
        <v>10013</v>
      </c>
      <c r="L6548">
        <v>7</v>
      </c>
      <c r="O6548" t="s">
        <v>28</v>
      </c>
      <c r="P6548" t="s">
        <v>47</v>
      </c>
      <c r="Q6548" s="1">
        <v>42281.585601851853</v>
      </c>
      <c r="R6548">
        <v>1</v>
      </c>
      <c r="S6548" t="s">
        <v>627</v>
      </c>
      <c r="T6548" t="s">
        <v>239</v>
      </c>
      <c r="U6548">
        <v>550</v>
      </c>
      <c r="V6548" s="3">
        <v>41360</v>
      </c>
    </row>
    <row r="6549" spans="1:22" x14ac:dyDescent="0.35">
      <c r="A6549" s="1">
        <v>42281.585601851853</v>
      </c>
      <c r="B6549" s="2">
        <v>0</v>
      </c>
      <c r="C6549" t="s">
        <v>7783</v>
      </c>
      <c r="D6549" t="s">
        <v>623</v>
      </c>
      <c r="E6549" t="s">
        <v>624</v>
      </c>
      <c r="F6549" t="s">
        <v>235</v>
      </c>
      <c r="G6549">
        <v>1935742</v>
      </c>
      <c r="H6549" t="s">
        <v>236</v>
      </c>
      <c r="I6549" t="s">
        <v>237</v>
      </c>
      <c r="J6549" t="str">
        <f>"9781118473252"</f>
        <v>9781118473252</v>
      </c>
      <c r="L6549">
        <v>0</v>
      </c>
      <c r="O6549" t="s">
        <v>30</v>
      </c>
      <c r="P6549" t="s">
        <v>47</v>
      </c>
      <c r="Q6549" s="1">
        <v>42281.585601851853</v>
      </c>
      <c r="R6549">
        <v>1</v>
      </c>
      <c r="S6549" t="s">
        <v>627</v>
      </c>
      <c r="T6549" t="s">
        <v>239</v>
      </c>
      <c r="U6549">
        <v>550</v>
      </c>
      <c r="V6549" s="3">
        <v>41360</v>
      </c>
    </row>
    <row r="6550" spans="1:22" x14ac:dyDescent="0.35">
      <c r="A6550" s="1">
        <v>42281.584999999999</v>
      </c>
      <c r="B6550" s="2">
        <v>6.018518518518519E-4</v>
      </c>
      <c r="C6550" t="s">
        <v>7783</v>
      </c>
      <c r="D6550" t="s">
        <v>623</v>
      </c>
      <c r="E6550" t="s">
        <v>624</v>
      </c>
      <c r="F6550" t="s">
        <v>235</v>
      </c>
      <c r="G6550">
        <v>1935742</v>
      </c>
      <c r="H6550" t="s">
        <v>236</v>
      </c>
      <c r="I6550" t="s">
        <v>237</v>
      </c>
      <c r="J6550" t="str">
        <f>"9781118473252"</f>
        <v>9781118473252</v>
      </c>
      <c r="K6550" t="s">
        <v>33</v>
      </c>
      <c r="L6550">
        <v>3</v>
      </c>
      <c r="O6550" t="s">
        <v>30</v>
      </c>
      <c r="P6550" t="s">
        <v>50</v>
      </c>
      <c r="S6550" t="s">
        <v>627</v>
      </c>
      <c r="T6550" t="s">
        <v>239</v>
      </c>
      <c r="U6550">
        <v>550</v>
      </c>
      <c r="V6550" s="3">
        <v>41360</v>
      </c>
    </row>
    <row r="6551" spans="1:22" x14ac:dyDescent="0.35">
      <c r="A6551" s="1">
        <v>42281.539305555554</v>
      </c>
      <c r="B6551" s="2">
        <v>1.2361111111111113E-2</v>
      </c>
      <c r="C6551" t="s">
        <v>9903</v>
      </c>
      <c r="D6551" t="s">
        <v>211</v>
      </c>
      <c r="E6551" t="s">
        <v>212</v>
      </c>
      <c r="F6551" t="s">
        <v>9904</v>
      </c>
      <c r="G6551">
        <v>1521045</v>
      </c>
      <c r="H6551" t="s">
        <v>68</v>
      </c>
      <c r="I6551" t="s">
        <v>69</v>
      </c>
      <c r="J6551" t="str">
        <f>"9781317920755"</f>
        <v>9781317920755</v>
      </c>
      <c r="K6551" t="s">
        <v>10014</v>
      </c>
      <c r="L6551">
        <v>25</v>
      </c>
      <c r="O6551" t="s">
        <v>28</v>
      </c>
      <c r="P6551" t="s">
        <v>47</v>
      </c>
      <c r="Q6551" s="1">
        <v>42281.539305555554</v>
      </c>
      <c r="R6551">
        <v>7</v>
      </c>
      <c r="S6551" t="s">
        <v>214</v>
      </c>
      <c r="T6551" t="s">
        <v>9905</v>
      </c>
      <c r="U6551">
        <v>371.4</v>
      </c>
      <c r="V6551" s="3">
        <v>41578</v>
      </c>
    </row>
    <row r="6552" spans="1:22" x14ac:dyDescent="0.35">
      <c r="A6552" s="1">
        <v>42281.539305555554</v>
      </c>
      <c r="B6552" s="2">
        <v>0</v>
      </c>
      <c r="C6552" t="s">
        <v>9903</v>
      </c>
      <c r="D6552" t="s">
        <v>211</v>
      </c>
      <c r="E6552" t="s">
        <v>212</v>
      </c>
      <c r="F6552" t="s">
        <v>9904</v>
      </c>
      <c r="G6552">
        <v>1521045</v>
      </c>
      <c r="H6552" t="s">
        <v>68</v>
      </c>
      <c r="I6552" t="s">
        <v>69</v>
      </c>
      <c r="J6552" t="str">
        <f>"9781317920755"</f>
        <v>9781317920755</v>
      </c>
      <c r="L6552">
        <v>0</v>
      </c>
      <c r="O6552" t="s">
        <v>30</v>
      </c>
      <c r="P6552" t="s">
        <v>47</v>
      </c>
      <c r="Q6552" s="1">
        <v>42281.539305555554</v>
      </c>
      <c r="R6552">
        <v>7</v>
      </c>
      <c r="S6552" t="s">
        <v>214</v>
      </c>
      <c r="T6552" t="s">
        <v>9905</v>
      </c>
      <c r="U6552">
        <v>371.4</v>
      </c>
      <c r="V6552" s="3">
        <v>41578</v>
      </c>
    </row>
    <row r="6553" spans="1:22" x14ac:dyDescent="0.35">
      <c r="A6553" s="1">
        <v>42281.535243055558</v>
      </c>
      <c r="B6553" s="2">
        <v>4.0624999999999993E-3</v>
      </c>
      <c r="C6553" t="s">
        <v>9903</v>
      </c>
      <c r="D6553" t="s">
        <v>211</v>
      </c>
      <c r="E6553" t="s">
        <v>212</v>
      </c>
      <c r="F6553" t="s">
        <v>9904</v>
      </c>
      <c r="G6553">
        <v>1521045</v>
      </c>
      <c r="H6553" t="s">
        <v>68</v>
      </c>
      <c r="I6553" t="s">
        <v>69</v>
      </c>
      <c r="J6553" t="str">
        <f>"9781317920755"</f>
        <v>9781317920755</v>
      </c>
      <c r="K6553" t="s">
        <v>10015</v>
      </c>
      <c r="L6553">
        <v>30</v>
      </c>
      <c r="O6553" t="s">
        <v>30</v>
      </c>
      <c r="P6553" t="s">
        <v>50</v>
      </c>
      <c r="S6553" t="s">
        <v>214</v>
      </c>
      <c r="T6553" t="s">
        <v>9905</v>
      </c>
      <c r="U6553">
        <v>371.4</v>
      </c>
      <c r="V6553" s="3">
        <v>41578</v>
      </c>
    </row>
    <row r="6554" spans="1:22" x14ac:dyDescent="0.35">
      <c r="A6554" s="1">
        <v>42281.15247685185</v>
      </c>
      <c r="B6554" s="2">
        <v>0.11027777777777777</v>
      </c>
      <c r="C6554" t="s">
        <v>8508</v>
      </c>
      <c r="D6554" t="s">
        <v>23</v>
      </c>
      <c r="E6554" t="s">
        <v>24</v>
      </c>
      <c r="F6554" t="s">
        <v>5954</v>
      </c>
      <c r="G6554">
        <v>864784</v>
      </c>
      <c r="H6554" t="s">
        <v>492</v>
      </c>
      <c r="I6554" t="s">
        <v>69</v>
      </c>
      <c r="J6554" t="str">
        <f>"9781400841578"</f>
        <v>9781400841578</v>
      </c>
      <c r="K6554" t="s">
        <v>10016</v>
      </c>
      <c r="L6554">
        <v>40</v>
      </c>
      <c r="O6554" t="s">
        <v>30</v>
      </c>
      <c r="P6554" t="s">
        <v>42</v>
      </c>
      <c r="S6554" t="s">
        <v>31</v>
      </c>
      <c r="T6554" t="s">
        <v>5956</v>
      </c>
      <c r="U6554">
        <v>378.73</v>
      </c>
      <c r="V6554" s="3">
        <v>41786</v>
      </c>
    </row>
    <row r="6555" spans="1:22" x14ac:dyDescent="0.35">
      <c r="A6555" s="1">
        <v>42281.133009259262</v>
      </c>
      <c r="B6555" s="2">
        <v>5.3240740740740744E-4</v>
      </c>
      <c r="C6555" t="s">
        <v>9998</v>
      </c>
      <c r="D6555" t="s">
        <v>623</v>
      </c>
      <c r="E6555" t="s">
        <v>624</v>
      </c>
      <c r="F6555" t="s">
        <v>9999</v>
      </c>
      <c r="G6555">
        <v>1546789</v>
      </c>
      <c r="H6555" t="s">
        <v>68</v>
      </c>
      <c r="I6555" t="s">
        <v>172</v>
      </c>
      <c r="J6555" t="str">
        <f>"9781317976431"</f>
        <v>9781317976431</v>
      </c>
      <c r="K6555" t="s">
        <v>10017</v>
      </c>
      <c r="L6555">
        <v>18</v>
      </c>
      <c r="O6555" t="s">
        <v>30</v>
      </c>
      <c r="P6555" t="s">
        <v>47</v>
      </c>
      <c r="Q6555" s="1">
        <v>42280.865983796299</v>
      </c>
      <c r="R6555">
        <v>1</v>
      </c>
      <c r="S6555" t="s">
        <v>627</v>
      </c>
      <c r="T6555" t="s">
        <v>10001</v>
      </c>
      <c r="U6555">
        <v>937.07</v>
      </c>
      <c r="V6555" s="3">
        <v>41585</v>
      </c>
    </row>
    <row r="6556" spans="1:22" x14ac:dyDescent="0.35">
      <c r="A6556" s="1">
        <v>42281.100636574076</v>
      </c>
      <c r="B6556" s="2">
        <v>6.0879629629629643E-3</v>
      </c>
      <c r="C6556" t="s">
        <v>9998</v>
      </c>
      <c r="D6556" t="s">
        <v>623</v>
      </c>
      <c r="E6556" t="s">
        <v>624</v>
      </c>
      <c r="F6556" t="s">
        <v>9999</v>
      </c>
      <c r="G6556">
        <v>1546789</v>
      </c>
      <c r="H6556" t="s">
        <v>68</v>
      </c>
      <c r="I6556" t="s">
        <v>172</v>
      </c>
      <c r="J6556" t="str">
        <f>"9781317976431"</f>
        <v>9781317976431</v>
      </c>
      <c r="K6556" t="s">
        <v>10018</v>
      </c>
      <c r="L6556">
        <v>17</v>
      </c>
      <c r="O6556" t="s">
        <v>30</v>
      </c>
      <c r="P6556" t="s">
        <v>47</v>
      </c>
      <c r="Q6556" s="1">
        <v>42280.865983796299</v>
      </c>
      <c r="R6556">
        <v>1</v>
      </c>
      <c r="S6556" t="s">
        <v>627</v>
      </c>
      <c r="T6556" t="s">
        <v>10001</v>
      </c>
      <c r="U6556">
        <v>937.07</v>
      </c>
      <c r="V6556" s="3">
        <v>41585</v>
      </c>
    </row>
    <row r="6557" spans="1:22" x14ac:dyDescent="0.35">
      <c r="A6557" s="1">
        <v>42281.088935185187</v>
      </c>
      <c r="B6557" s="2">
        <v>1.1574074074074073E-4</v>
      </c>
      <c r="C6557" t="s">
        <v>9998</v>
      </c>
      <c r="D6557" t="s">
        <v>623</v>
      </c>
      <c r="E6557" t="s">
        <v>624</v>
      </c>
      <c r="F6557" t="s">
        <v>9999</v>
      </c>
      <c r="G6557">
        <v>1546789</v>
      </c>
      <c r="H6557" t="s">
        <v>68</v>
      </c>
      <c r="I6557" t="s">
        <v>172</v>
      </c>
      <c r="J6557" t="str">
        <f>"9781317976431"</f>
        <v>9781317976431</v>
      </c>
      <c r="K6557" t="s">
        <v>9001</v>
      </c>
      <c r="L6557">
        <v>8</v>
      </c>
      <c r="O6557" t="s">
        <v>30</v>
      </c>
      <c r="P6557" t="s">
        <v>47</v>
      </c>
      <c r="Q6557" s="1">
        <v>42280.865983796299</v>
      </c>
      <c r="R6557">
        <v>1</v>
      </c>
      <c r="S6557" t="s">
        <v>627</v>
      </c>
      <c r="T6557" t="s">
        <v>10001</v>
      </c>
      <c r="U6557">
        <v>937.07</v>
      </c>
      <c r="V6557" s="3">
        <v>41585</v>
      </c>
    </row>
    <row r="6558" spans="1:22" x14ac:dyDescent="0.35">
      <c r="A6558" s="1">
        <v>42281.066006944442</v>
      </c>
      <c r="B6558" s="2">
        <v>5.7638888888888887E-3</v>
      </c>
      <c r="C6558" t="s">
        <v>7408</v>
      </c>
      <c r="D6558" t="s">
        <v>23</v>
      </c>
      <c r="E6558" t="s">
        <v>24</v>
      </c>
      <c r="F6558" t="s">
        <v>486</v>
      </c>
      <c r="G6558">
        <v>1119505</v>
      </c>
      <c r="H6558" t="s">
        <v>26</v>
      </c>
      <c r="I6558" t="s">
        <v>450</v>
      </c>
      <c r="J6558" t="str">
        <f>"9781118355015"</f>
        <v>9781118355015</v>
      </c>
      <c r="K6558" t="s">
        <v>10019</v>
      </c>
      <c r="L6558">
        <v>13</v>
      </c>
      <c r="N6558" t="s">
        <v>10020</v>
      </c>
      <c r="O6558" t="s">
        <v>30</v>
      </c>
      <c r="P6558" t="s">
        <v>29</v>
      </c>
      <c r="Q6558" s="1">
        <v>42274.935937499999</v>
      </c>
      <c r="R6558">
        <v>7</v>
      </c>
      <c r="S6558" t="s">
        <v>31</v>
      </c>
      <c r="T6558" t="s">
        <v>487</v>
      </c>
      <c r="U6558" t="s">
        <v>488</v>
      </c>
      <c r="V6558" s="3">
        <v>41302</v>
      </c>
    </row>
    <row r="6559" spans="1:22" x14ac:dyDescent="0.35">
      <c r="A6559" s="1">
        <v>42281.062222222223</v>
      </c>
      <c r="B6559" s="2">
        <v>1.1111111111111111E-3</v>
      </c>
      <c r="C6559" t="s">
        <v>9998</v>
      </c>
      <c r="D6559" t="s">
        <v>623</v>
      </c>
      <c r="E6559" t="s">
        <v>624</v>
      </c>
      <c r="F6559" t="s">
        <v>9999</v>
      </c>
      <c r="G6559">
        <v>1546789</v>
      </c>
      <c r="H6559" t="s">
        <v>68</v>
      </c>
      <c r="I6559" t="s">
        <v>172</v>
      </c>
      <c r="J6559" t="str">
        <f>"9781317976431"</f>
        <v>9781317976431</v>
      </c>
      <c r="K6559" t="s">
        <v>10021</v>
      </c>
      <c r="L6559">
        <v>14</v>
      </c>
      <c r="O6559" t="s">
        <v>30</v>
      </c>
      <c r="P6559" t="s">
        <v>47</v>
      </c>
      <c r="Q6559" s="1">
        <v>42280.865983796299</v>
      </c>
      <c r="R6559">
        <v>1</v>
      </c>
      <c r="S6559" t="s">
        <v>627</v>
      </c>
      <c r="T6559" t="s">
        <v>10001</v>
      </c>
      <c r="U6559">
        <v>937.07</v>
      </c>
      <c r="V6559" s="3">
        <v>41585</v>
      </c>
    </row>
    <row r="6560" spans="1:22" x14ac:dyDescent="0.35">
      <c r="A6560" s="1">
        <v>42281.022534722222</v>
      </c>
      <c r="B6560" s="2">
        <v>0</v>
      </c>
      <c r="C6560" t="s">
        <v>10022</v>
      </c>
      <c r="D6560" t="s">
        <v>23</v>
      </c>
      <c r="E6560" t="s">
        <v>24</v>
      </c>
      <c r="F6560" t="s">
        <v>4223</v>
      </c>
      <c r="G6560">
        <v>980956</v>
      </c>
      <c r="H6560" t="s">
        <v>26</v>
      </c>
      <c r="I6560" t="s">
        <v>4224</v>
      </c>
      <c r="J6560" t="str">
        <f>"9781118227251"</f>
        <v>9781118227251</v>
      </c>
      <c r="L6560">
        <v>0</v>
      </c>
      <c r="N6560" t="s">
        <v>10023</v>
      </c>
      <c r="O6560" t="s">
        <v>30</v>
      </c>
      <c r="P6560" t="s">
        <v>29</v>
      </c>
      <c r="Q6560" s="1">
        <v>42281.022534722222</v>
      </c>
      <c r="R6560">
        <v>7</v>
      </c>
      <c r="S6560" t="s">
        <v>31</v>
      </c>
      <c r="T6560" t="s">
        <v>4226</v>
      </c>
      <c r="U6560" t="s">
        <v>4227</v>
      </c>
      <c r="V6560" s="3">
        <v>41113</v>
      </c>
    </row>
    <row r="6561" spans="1:22" x14ac:dyDescent="0.35">
      <c r="A6561" s="1">
        <v>42281.020787037036</v>
      </c>
      <c r="B6561" s="2">
        <v>1.7476851851851852E-3</v>
      </c>
      <c r="C6561" t="s">
        <v>10022</v>
      </c>
      <c r="D6561" t="s">
        <v>23</v>
      </c>
      <c r="E6561" t="s">
        <v>24</v>
      </c>
      <c r="F6561" t="s">
        <v>4223</v>
      </c>
      <c r="G6561">
        <v>980956</v>
      </c>
      <c r="H6561" t="s">
        <v>26</v>
      </c>
      <c r="I6561" t="s">
        <v>4224</v>
      </c>
      <c r="J6561" t="str">
        <f>"9781118227251"</f>
        <v>9781118227251</v>
      </c>
      <c r="K6561" t="s">
        <v>10024</v>
      </c>
      <c r="L6561">
        <v>39</v>
      </c>
      <c r="O6561" t="s">
        <v>30</v>
      </c>
      <c r="P6561" t="s">
        <v>42</v>
      </c>
      <c r="S6561" t="s">
        <v>31</v>
      </c>
      <c r="T6561" t="s">
        <v>4226</v>
      </c>
      <c r="U6561" t="s">
        <v>4227</v>
      </c>
      <c r="V6561" s="3">
        <v>41113</v>
      </c>
    </row>
    <row r="6562" spans="1:22" x14ac:dyDescent="0.35">
      <c r="A6562" s="1">
        <v>42280.955671296295</v>
      </c>
      <c r="B6562" s="2">
        <v>2.199074074074074E-4</v>
      </c>
      <c r="C6562" t="s">
        <v>10025</v>
      </c>
      <c r="D6562" t="s">
        <v>623</v>
      </c>
      <c r="E6562" t="s">
        <v>624</v>
      </c>
      <c r="F6562" t="s">
        <v>10026</v>
      </c>
      <c r="G6562">
        <v>1569676</v>
      </c>
      <c r="H6562" t="s">
        <v>68</v>
      </c>
      <c r="I6562" t="s">
        <v>120</v>
      </c>
      <c r="J6562" t="str">
        <f>"9781136688652"</f>
        <v>9781136688652</v>
      </c>
      <c r="K6562" t="s">
        <v>5633</v>
      </c>
      <c r="L6562">
        <v>2</v>
      </c>
      <c r="O6562" t="s">
        <v>30</v>
      </c>
      <c r="P6562" t="s">
        <v>47</v>
      </c>
      <c r="Q6562" s="1">
        <v>42280.955671296295</v>
      </c>
      <c r="R6562">
        <v>1</v>
      </c>
      <c r="S6562" t="s">
        <v>627</v>
      </c>
      <c r="T6562" t="s">
        <v>10027</v>
      </c>
      <c r="U6562">
        <v>305.23096800000002</v>
      </c>
      <c r="V6562" s="3">
        <v>41604</v>
      </c>
    </row>
    <row r="6563" spans="1:22" x14ac:dyDescent="0.35">
      <c r="A6563" s="1">
        <v>42280.948807870373</v>
      </c>
      <c r="B6563" s="2">
        <v>1.7361111111111112E-4</v>
      </c>
      <c r="C6563" t="s">
        <v>106</v>
      </c>
      <c r="D6563" t="s">
        <v>23</v>
      </c>
      <c r="E6563" t="s">
        <v>24</v>
      </c>
      <c r="F6563" t="s">
        <v>486</v>
      </c>
      <c r="G6563">
        <v>1119505</v>
      </c>
      <c r="H6563" t="s">
        <v>26</v>
      </c>
      <c r="I6563" t="s">
        <v>450</v>
      </c>
      <c r="J6563" t="str">
        <f>"9781118355015"</f>
        <v>9781118355015</v>
      </c>
      <c r="K6563" t="s">
        <v>10028</v>
      </c>
      <c r="L6563">
        <v>8</v>
      </c>
      <c r="O6563" t="s">
        <v>30</v>
      </c>
      <c r="P6563" t="s">
        <v>29</v>
      </c>
      <c r="Q6563" s="1">
        <v>42277.03329861111</v>
      </c>
      <c r="R6563">
        <v>7</v>
      </c>
      <c r="S6563" t="s">
        <v>31</v>
      </c>
      <c r="T6563" t="s">
        <v>487</v>
      </c>
      <c r="U6563" t="s">
        <v>488</v>
      </c>
      <c r="V6563" s="3">
        <v>41302</v>
      </c>
    </row>
    <row r="6564" spans="1:22" x14ac:dyDescent="0.35">
      <c r="A6564" s="1">
        <v>42280.933206018519</v>
      </c>
      <c r="B6564" s="2">
        <v>1.273148148148148E-4</v>
      </c>
      <c r="C6564" t="s">
        <v>10029</v>
      </c>
      <c r="D6564" t="s">
        <v>623</v>
      </c>
      <c r="E6564" t="s">
        <v>624</v>
      </c>
      <c r="F6564" t="s">
        <v>10030</v>
      </c>
      <c r="G6564">
        <v>1356373</v>
      </c>
      <c r="H6564" t="s">
        <v>68</v>
      </c>
      <c r="I6564" t="s">
        <v>172</v>
      </c>
      <c r="J6564" t="str">
        <f>"9781317861652"</f>
        <v>9781317861652</v>
      </c>
      <c r="K6564" t="s">
        <v>10031</v>
      </c>
      <c r="L6564">
        <v>5</v>
      </c>
      <c r="O6564" t="s">
        <v>30</v>
      </c>
      <c r="P6564" t="s">
        <v>50</v>
      </c>
      <c r="S6564" t="s">
        <v>627</v>
      </c>
      <c r="T6564" t="s">
        <v>10032</v>
      </c>
      <c r="U6564">
        <v>968.05</v>
      </c>
      <c r="V6564" s="3">
        <v>41507</v>
      </c>
    </row>
    <row r="6565" spans="1:22" x14ac:dyDescent="0.35">
      <c r="A6565" s="1">
        <v>42280.926666666666</v>
      </c>
      <c r="B6565" s="2">
        <v>2.900462962962963E-2</v>
      </c>
      <c r="C6565" t="s">
        <v>10025</v>
      </c>
      <c r="D6565" t="s">
        <v>623</v>
      </c>
      <c r="E6565" t="s">
        <v>624</v>
      </c>
      <c r="F6565" t="s">
        <v>10026</v>
      </c>
      <c r="G6565">
        <v>1569676</v>
      </c>
      <c r="H6565" t="s">
        <v>68</v>
      </c>
      <c r="I6565" t="s">
        <v>120</v>
      </c>
      <c r="J6565" t="str">
        <f>"9781136688652"</f>
        <v>9781136688652</v>
      </c>
      <c r="K6565" t="s">
        <v>10033</v>
      </c>
      <c r="L6565">
        <v>14</v>
      </c>
      <c r="O6565" t="s">
        <v>30</v>
      </c>
      <c r="P6565" t="s">
        <v>50</v>
      </c>
      <c r="S6565" t="s">
        <v>627</v>
      </c>
      <c r="T6565" t="s">
        <v>10027</v>
      </c>
      <c r="U6565">
        <v>305.23096800000002</v>
      </c>
      <c r="V6565" s="3">
        <v>41604</v>
      </c>
    </row>
    <row r="6566" spans="1:22" x14ac:dyDescent="0.35">
      <c r="A6566" s="1">
        <v>42280.865983796299</v>
      </c>
      <c r="B6566" s="2">
        <v>3.6307870370370372E-2</v>
      </c>
      <c r="C6566" t="s">
        <v>9998</v>
      </c>
      <c r="D6566" t="s">
        <v>623</v>
      </c>
      <c r="E6566" t="s">
        <v>624</v>
      </c>
      <c r="F6566" t="s">
        <v>9999</v>
      </c>
      <c r="G6566">
        <v>1546789</v>
      </c>
      <c r="H6566" t="s">
        <v>68</v>
      </c>
      <c r="I6566" t="s">
        <v>172</v>
      </c>
      <c r="J6566" t="str">
        <f>"9781317976431"</f>
        <v>9781317976431</v>
      </c>
      <c r="K6566" t="s">
        <v>10034</v>
      </c>
      <c r="L6566">
        <v>25</v>
      </c>
      <c r="O6566" t="s">
        <v>30</v>
      </c>
      <c r="P6566" t="s">
        <v>47</v>
      </c>
      <c r="Q6566" s="1">
        <v>42280.865983796299</v>
      </c>
      <c r="R6566">
        <v>1</v>
      </c>
      <c r="S6566" t="s">
        <v>627</v>
      </c>
      <c r="T6566" t="s">
        <v>10001</v>
      </c>
      <c r="U6566">
        <v>937.07</v>
      </c>
      <c r="V6566" s="3">
        <v>41585</v>
      </c>
    </row>
    <row r="6567" spans="1:22" x14ac:dyDescent="0.35">
      <c r="A6567" s="1">
        <v>42280.862453703703</v>
      </c>
      <c r="B6567" s="2">
        <v>5.9490740740740745E-3</v>
      </c>
      <c r="C6567" t="s">
        <v>6518</v>
      </c>
      <c r="D6567" t="s">
        <v>23</v>
      </c>
      <c r="E6567" t="s">
        <v>24</v>
      </c>
      <c r="F6567" t="s">
        <v>486</v>
      </c>
      <c r="G6567">
        <v>1119505</v>
      </c>
      <c r="H6567" t="s">
        <v>26</v>
      </c>
      <c r="I6567" t="s">
        <v>450</v>
      </c>
      <c r="J6567" t="str">
        <f>"9781118355015"</f>
        <v>9781118355015</v>
      </c>
      <c r="K6567" t="s">
        <v>10035</v>
      </c>
      <c r="L6567">
        <v>8</v>
      </c>
      <c r="N6567" t="s">
        <v>10020</v>
      </c>
      <c r="O6567" t="s">
        <v>30</v>
      </c>
      <c r="P6567" t="s">
        <v>29</v>
      </c>
      <c r="Q6567" s="1">
        <v>42275.807719907411</v>
      </c>
      <c r="R6567">
        <v>7</v>
      </c>
      <c r="S6567" t="s">
        <v>31</v>
      </c>
      <c r="T6567" t="s">
        <v>487</v>
      </c>
      <c r="U6567" t="s">
        <v>488</v>
      </c>
      <c r="V6567" s="3">
        <v>41302</v>
      </c>
    </row>
    <row r="6568" spans="1:22" x14ac:dyDescent="0.35">
      <c r="A6568" s="1">
        <v>42280.859189814815</v>
      </c>
      <c r="B6568" s="2">
        <v>6.7939814814814816E-3</v>
      </c>
      <c r="C6568" t="s">
        <v>9998</v>
      </c>
      <c r="D6568" t="s">
        <v>623</v>
      </c>
      <c r="E6568" t="s">
        <v>624</v>
      </c>
      <c r="F6568" t="s">
        <v>9999</v>
      </c>
      <c r="G6568">
        <v>1546789</v>
      </c>
      <c r="H6568" t="s">
        <v>68</v>
      </c>
      <c r="I6568" t="s">
        <v>172</v>
      </c>
      <c r="J6568" t="str">
        <f>"9781317976431"</f>
        <v>9781317976431</v>
      </c>
      <c r="K6568" t="s">
        <v>10036</v>
      </c>
      <c r="L6568">
        <v>9</v>
      </c>
      <c r="O6568" t="s">
        <v>30</v>
      </c>
      <c r="P6568" t="s">
        <v>50</v>
      </c>
      <c r="S6568" t="s">
        <v>627</v>
      </c>
      <c r="T6568" t="s">
        <v>10001</v>
      </c>
      <c r="U6568">
        <v>937.07</v>
      </c>
      <c r="V6568" s="3">
        <v>41585</v>
      </c>
    </row>
    <row r="6569" spans="1:22" x14ac:dyDescent="0.35">
      <c r="A6569" s="1">
        <v>42280.789560185185</v>
      </c>
      <c r="B6569" s="2">
        <v>7.175925925925927E-4</v>
      </c>
      <c r="C6569" t="s">
        <v>10037</v>
      </c>
      <c r="D6569" t="s">
        <v>23</v>
      </c>
      <c r="E6569" t="s">
        <v>24</v>
      </c>
      <c r="F6569" t="s">
        <v>1051</v>
      </c>
      <c r="G6569">
        <v>821663</v>
      </c>
      <c r="H6569" t="s">
        <v>26</v>
      </c>
      <c r="I6569" t="s">
        <v>200</v>
      </c>
      <c r="J6569" t="str">
        <f>"9781118168479"</f>
        <v>9781118168479</v>
      </c>
      <c r="K6569" t="s">
        <v>10038</v>
      </c>
      <c r="L6569">
        <v>5</v>
      </c>
      <c r="M6569" t="s">
        <v>10039</v>
      </c>
      <c r="O6569" t="s">
        <v>30</v>
      </c>
      <c r="P6569" t="s">
        <v>29</v>
      </c>
      <c r="Q6569" s="1">
        <v>42280.789548611108</v>
      </c>
      <c r="R6569">
        <v>7</v>
      </c>
      <c r="S6569" t="s">
        <v>31</v>
      </c>
      <c r="T6569" t="s">
        <v>1053</v>
      </c>
      <c r="U6569">
        <v>729</v>
      </c>
      <c r="V6569" s="3">
        <v>40973</v>
      </c>
    </row>
    <row r="6570" spans="1:22" x14ac:dyDescent="0.35">
      <c r="A6570" s="1">
        <v>42280.7887962963</v>
      </c>
      <c r="B6570" s="2">
        <v>7.5231481481481471E-4</v>
      </c>
      <c r="C6570" t="s">
        <v>10037</v>
      </c>
      <c r="D6570" t="s">
        <v>23</v>
      </c>
      <c r="E6570" t="s">
        <v>24</v>
      </c>
      <c r="F6570" t="s">
        <v>1051</v>
      </c>
      <c r="G6570">
        <v>821663</v>
      </c>
      <c r="H6570" t="s">
        <v>26</v>
      </c>
      <c r="I6570" t="s">
        <v>200</v>
      </c>
      <c r="J6570" t="str">
        <f>"9781118168479"</f>
        <v>9781118168479</v>
      </c>
      <c r="K6570" t="s">
        <v>10040</v>
      </c>
      <c r="L6570">
        <v>10</v>
      </c>
      <c r="O6570" t="s">
        <v>30</v>
      </c>
      <c r="P6570" t="s">
        <v>42</v>
      </c>
      <c r="S6570" t="s">
        <v>31</v>
      </c>
      <c r="T6570" t="s">
        <v>1053</v>
      </c>
      <c r="U6570">
        <v>729</v>
      </c>
      <c r="V6570" s="3">
        <v>40973</v>
      </c>
    </row>
    <row r="6571" spans="1:22" x14ac:dyDescent="0.35">
      <c r="A6571" s="1">
        <v>42280.780798611115</v>
      </c>
      <c r="B6571" s="2">
        <v>2.1759259259259258E-3</v>
      </c>
      <c r="C6571" t="s">
        <v>10041</v>
      </c>
      <c r="D6571" t="s">
        <v>1222</v>
      </c>
      <c r="E6571" t="s">
        <v>1223</v>
      </c>
      <c r="F6571" t="s">
        <v>10042</v>
      </c>
      <c r="G6571">
        <v>2004798</v>
      </c>
      <c r="H6571" t="s">
        <v>45</v>
      </c>
      <c r="I6571" t="s">
        <v>4400</v>
      </c>
      <c r="J6571" t="str">
        <f>"9781472436702"</f>
        <v>9781472436702</v>
      </c>
      <c r="K6571" t="s">
        <v>10043</v>
      </c>
      <c r="L6571">
        <v>34</v>
      </c>
      <c r="O6571" t="s">
        <v>30</v>
      </c>
      <c r="P6571" t="s">
        <v>47</v>
      </c>
      <c r="Q6571" s="1">
        <v>42280.780798611115</v>
      </c>
      <c r="R6571">
        <v>1</v>
      </c>
      <c r="S6571" t="s">
        <v>1226</v>
      </c>
      <c r="T6571" t="s">
        <v>10044</v>
      </c>
      <c r="U6571">
        <v>327.1096</v>
      </c>
      <c r="V6571" s="3">
        <v>42122</v>
      </c>
    </row>
    <row r="6572" spans="1:22" x14ac:dyDescent="0.35">
      <c r="A6572" s="1">
        <v>42280.759722222225</v>
      </c>
      <c r="B6572" s="2">
        <v>2.1076388888888891E-2</v>
      </c>
      <c r="C6572" t="s">
        <v>10041</v>
      </c>
      <c r="D6572" t="s">
        <v>1222</v>
      </c>
      <c r="E6572" t="s">
        <v>1223</v>
      </c>
      <c r="F6572" t="s">
        <v>10042</v>
      </c>
      <c r="G6572">
        <v>2004798</v>
      </c>
      <c r="H6572" t="s">
        <v>45</v>
      </c>
      <c r="I6572" t="s">
        <v>4400</v>
      </c>
      <c r="J6572" t="str">
        <f>"9781472436702"</f>
        <v>9781472436702</v>
      </c>
      <c r="K6572" t="s">
        <v>10045</v>
      </c>
      <c r="L6572">
        <v>12</v>
      </c>
      <c r="O6572" t="s">
        <v>30</v>
      </c>
      <c r="P6572" t="s">
        <v>50</v>
      </c>
      <c r="S6572" t="s">
        <v>1226</v>
      </c>
      <c r="T6572" t="s">
        <v>10044</v>
      </c>
      <c r="U6572">
        <v>327.1096</v>
      </c>
      <c r="V6572" s="3">
        <v>42122</v>
      </c>
    </row>
    <row r="6573" spans="1:22" x14ac:dyDescent="0.35">
      <c r="A6573" s="1">
        <v>42280.679722222223</v>
      </c>
      <c r="B6573" s="2">
        <v>5.7870370370370366E-5</v>
      </c>
      <c r="C6573" t="s">
        <v>10046</v>
      </c>
      <c r="D6573" t="s">
        <v>623</v>
      </c>
      <c r="E6573" t="s">
        <v>624</v>
      </c>
      <c r="F6573" t="s">
        <v>1121</v>
      </c>
      <c r="G6573">
        <v>875809</v>
      </c>
      <c r="H6573" t="s">
        <v>26</v>
      </c>
      <c r="I6573" t="s">
        <v>27</v>
      </c>
      <c r="J6573" t="str">
        <f>"9781118223598"</f>
        <v>9781118223598</v>
      </c>
      <c r="K6573" t="s">
        <v>10047</v>
      </c>
      <c r="L6573">
        <v>6</v>
      </c>
      <c r="O6573" t="s">
        <v>30</v>
      </c>
      <c r="P6573" t="s">
        <v>29</v>
      </c>
      <c r="Q6573" s="1">
        <v>42280.679722222223</v>
      </c>
      <c r="R6573">
        <v>7</v>
      </c>
      <c r="S6573" t="s">
        <v>627</v>
      </c>
      <c r="T6573" t="s">
        <v>1123</v>
      </c>
      <c r="U6573">
        <v>428.00709999999998</v>
      </c>
      <c r="V6573" s="3">
        <v>41128</v>
      </c>
    </row>
    <row r="6574" spans="1:22" x14ac:dyDescent="0.35">
      <c r="A6574" s="1">
        <v>42280.67423611111</v>
      </c>
      <c r="B6574" s="2">
        <v>4.4328703703703709E-3</v>
      </c>
      <c r="C6574" t="s">
        <v>5326</v>
      </c>
      <c r="D6574" t="s">
        <v>23</v>
      </c>
      <c r="E6574" t="s">
        <v>24</v>
      </c>
      <c r="F6574" t="s">
        <v>486</v>
      </c>
      <c r="G6574">
        <v>1119505</v>
      </c>
      <c r="H6574" t="s">
        <v>26</v>
      </c>
      <c r="I6574" t="s">
        <v>450</v>
      </c>
      <c r="J6574" t="str">
        <f>"9781118355015"</f>
        <v>9781118355015</v>
      </c>
      <c r="K6574" t="s">
        <v>10048</v>
      </c>
      <c r="L6574">
        <v>19</v>
      </c>
      <c r="O6574" t="s">
        <v>30</v>
      </c>
      <c r="P6574" t="s">
        <v>29</v>
      </c>
      <c r="Q6574" s="1">
        <v>42280.674224537041</v>
      </c>
      <c r="R6574">
        <v>7</v>
      </c>
      <c r="S6574" t="s">
        <v>31</v>
      </c>
      <c r="T6574" t="s">
        <v>487</v>
      </c>
      <c r="U6574" t="s">
        <v>488</v>
      </c>
      <c r="V6574" s="3">
        <v>41302</v>
      </c>
    </row>
    <row r="6575" spans="1:22" x14ac:dyDescent="0.35">
      <c r="A6575" s="1">
        <v>42280.665821759256</v>
      </c>
      <c r="B6575" s="2">
        <v>8.4027777777777781E-3</v>
      </c>
      <c r="C6575" t="s">
        <v>5326</v>
      </c>
      <c r="D6575" t="s">
        <v>23</v>
      </c>
      <c r="E6575" t="s">
        <v>24</v>
      </c>
      <c r="F6575" t="s">
        <v>486</v>
      </c>
      <c r="G6575">
        <v>1119505</v>
      </c>
      <c r="H6575" t="s">
        <v>26</v>
      </c>
      <c r="I6575" t="s">
        <v>450</v>
      </c>
      <c r="J6575" t="str">
        <f>"9781118355015"</f>
        <v>9781118355015</v>
      </c>
      <c r="K6575" t="s">
        <v>8829</v>
      </c>
      <c r="L6575">
        <v>10</v>
      </c>
      <c r="O6575" t="s">
        <v>30</v>
      </c>
      <c r="P6575" t="s">
        <v>42</v>
      </c>
      <c r="S6575" t="s">
        <v>31</v>
      </c>
      <c r="T6575" t="s">
        <v>487</v>
      </c>
      <c r="U6575" t="s">
        <v>488</v>
      </c>
      <c r="V6575" s="3">
        <v>41302</v>
      </c>
    </row>
    <row r="6576" spans="1:22" x14ac:dyDescent="0.35">
      <c r="A6576" s="1">
        <v>42280.662835648145</v>
      </c>
      <c r="B6576" s="2">
        <v>2.8935185185185189E-4</v>
      </c>
      <c r="C6576" t="s">
        <v>6693</v>
      </c>
      <c r="D6576" t="s">
        <v>6396</v>
      </c>
      <c r="E6576" t="s">
        <v>6397</v>
      </c>
      <c r="F6576" t="s">
        <v>10049</v>
      </c>
      <c r="G6576">
        <v>1157717</v>
      </c>
      <c r="H6576" t="s">
        <v>26</v>
      </c>
      <c r="I6576" t="s">
        <v>200</v>
      </c>
      <c r="J6576" t="str">
        <f>"9781118421314"</f>
        <v>9781118421314</v>
      </c>
      <c r="K6576" t="s">
        <v>536</v>
      </c>
      <c r="L6576">
        <v>3</v>
      </c>
      <c r="O6576" t="s">
        <v>30</v>
      </c>
      <c r="P6576" t="s">
        <v>50</v>
      </c>
      <c r="S6576" t="s">
        <v>6400</v>
      </c>
      <c r="T6576" t="s">
        <v>10050</v>
      </c>
      <c r="U6576" t="s">
        <v>10051</v>
      </c>
      <c r="V6576" s="3">
        <v>41352</v>
      </c>
    </row>
    <row r="6577" spans="1:22" x14ac:dyDescent="0.35">
      <c r="A6577" s="1">
        <v>42280.662581018521</v>
      </c>
      <c r="B6577" s="2">
        <v>1.273148148148148E-4</v>
      </c>
      <c r="C6577" t="s">
        <v>6693</v>
      </c>
      <c r="D6577" t="s">
        <v>6396</v>
      </c>
      <c r="E6577" t="s">
        <v>6397</v>
      </c>
      <c r="F6577" t="s">
        <v>10052</v>
      </c>
      <c r="G6577">
        <v>2004782</v>
      </c>
      <c r="H6577" t="s">
        <v>45</v>
      </c>
      <c r="I6577" t="s">
        <v>10053</v>
      </c>
      <c r="J6577" t="str">
        <f>"9781472419651"</f>
        <v>9781472419651</v>
      </c>
      <c r="K6577" t="s">
        <v>73</v>
      </c>
      <c r="L6577">
        <v>3</v>
      </c>
      <c r="O6577" t="s">
        <v>30</v>
      </c>
      <c r="P6577" t="s">
        <v>50</v>
      </c>
      <c r="S6577" t="s">
        <v>6400</v>
      </c>
      <c r="T6577" t="s">
        <v>10054</v>
      </c>
      <c r="U6577" t="s">
        <v>10055</v>
      </c>
      <c r="V6577" s="3">
        <v>42122</v>
      </c>
    </row>
    <row r="6578" spans="1:22" x14ac:dyDescent="0.35">
      <c r="A6578" s="1">
        <v>42280.662523148145</v>
      </c>
      <c r="B6578" s="2">
        <v>1.3888888888888889E-4</v>
      </c>
      <c r="C6578" t="s">
        <v>6693</v>
      </c>
      <c r="D6578" t="s">
        <v>6396</v>
      </c>
      <c r="E6578" t="s">
        <v>6397</v>
      </c>
      <c r="F6578" t="s">
        <v>10056</v>
      </c>
      <c r="G6578">
        <v>1865616</v>
      </c>
      <c r="H6578" t="s">
        <v>26</v>
      </c>
      <c r="I6578" t="s">
        <v>79</v>
      </c>
      <c r="J6578" t="str">
        <f>"9781118858097"</f>
        <v>9781118858097</v>
      </c>
      <c r="K6578" t="s">
        <v>10057</v>
      </c>
      <c r="L6578">
        <v>8</v>
      </c>
      <c r="O6578" t="s">
        <v>30</v>
      </c>
      <c r="P6578" t="s">
        <v>50</v>
      </c>
      <c r="S6578" t="s">
        <v>6400</v>
      </c>
      <c r="T6578" t="s">
        <v>10058</v>
      </c>
      <c r="U6578" t="s">
        <v>10059</v>
      </c>
      <c r="V6578" s="3">
        <v>41962</v>
      </c>
    </row>
    <row r="6579" spans="1:22" x14ac:dyDescent="0.35">
      <c r="A6579" s="1">
        <v>42280.661319444444</v>
      </c>
      <c r="B6579" s="2">
        <v>0</v>
      </c>
      <c r="C6579" t="s">
        <v>6693</v>
      </c>
      <c r="D6579" t="s">
        <v>6396</v>
      </c>
      <c r="E6579" t="s">
        <v>6397</v>
      </c>
      <c r="F6579" t="s">
        <v>10060</v>
      </c>
      <c r="G6579">
        <v>1609396</v>
      </c>
      <c r="H6579" t="s">
        <v>26</v>
      </c>
      <c r="I6579" t="s">
        <v>10061</v>
      </c>
      <c r="J6579" t="str">
        <f>"9781118866498"</f>
        <v>9781118866498</v>
      </c>
      <c r="L6579">
        <v>0</v>
      </c>
      <c r="O6579" t="s">
        <v>28</v>
      </c>
      <c r="P6579" t="s">
        <v>47</v>
      </c>
      <c r="Q6579" s="1">
        <v>42280.661319444444</v>
      </c>
      <c r="R6579">
        <v>7</v>
      </c>
      <c r="S6579" t="s">
        <v>6400</v>
      </c>
      <c r="T6579" t="s">
        <v>10062</v>
      </c>
      <c r="U6579" t="s">
        <v>10063</v>
      </c>
      <c r="V6579" s="3">
        <v>41669</v>
      </c>
    </row>
    <row r="6580" spans="1:22" x14ac:dyDescent="0.35">
      <c r="A6580" s="1">
        <v>42280.661319444444</v>
      </c>
      <c r="B6580" s="2">
        <v>0</v>
      </c>
      <c r="C6580" t="s">
        <v>6693</v>
      </c>
      <c r="D6580" t="s">
        <v>6396</v>
      </c>
      <c r="E6580" t="s">
        <v>6397</v>
      </c>
      <c r="F6580" t="s">
        <v>10060</v>
      </c>
      <c r="G6580">
        <v>1609396</v>
      </c>
      <c r="H6580" t="s">
        <v>26</v>
      </c>
      <c r="I6580" t="s">
        <v>10061</v>
      </c>
      <c r="J6580" t="str">
        <f>"9781118866498"</f>
        <v>9781118866498</v>
      </c>
      <c r="L6580">
        <v>0</v>
      </c>
      <c r="O6580" t="s">
        <v>30</v>
      </c>
      <c r="P6580" t="s">
        <v>47</v>
      </c>
      <c r="Q6580" s="1">
        <v>42280.661319444444</v>
      </c>
      <c r="R6580">
        <v>7</v>
      </c>
      <c r="S6580" t="s">
        <v>6400</v>
      </c>
      <c r="T6580" t="s">
        <v>10062</v>
      </c>
      <c r="U6580" t="s">
        <v>10063</v>
      </c>
      <c r="V6580" s="3">
        <v>41669</v>
      </c>
    </row>
    <row r="6581" spans="1:22" x14ac:dyDescent="0.35">
      <c r="A6581" s="1">
        <v>42280.661192129628</v>
      </c>
      <c r="B6581" s="2">
        <v>0</v>
      </c>
      <c r="C6581" t="s">
        <v>6693</v>
      </c>
      <c r="D6581" t="s">
        <v>6396</v>
      </c>
      <c r="E6581" t="s">
        <v>6397</v>
      </c>
      <c r="F6581" t="s">
        <v>8090</v>
      </c>
      <c r="G6581">
        <v>1120820</v>
      </c>
      <c r="H6581" t="s">
        <v>26</v>
      </c>
      <c r="I6581" t="s">
        <v>8084</v>
      </c>
      <c r="J6581" t="str">
        <f>"9781118404508"</f>
        <v>9781118404508</v>
      </c>
      <c r="L6581">
        <v>0</v>
      </c>
      <c r="O6581" t="s">
        <v>28</v>
      </c>
      <c r="P6581" t="s">
        <v>47</v>
      </c>
      <c r="Q6581" s="1">
        <v>42280.651365740741</v>
      </c>
      <c r="R6581">
        <v>1</v>
      </c>
      <c r="S6581" t="s">
        <v>6400</v>
      </c>
      <c r="T6581" t="s">
        <v>8091</v>
      </c>
      <c r="U6581" t="s">
        <v>8092</v>
      </c>
      <c r="V6581" s="3">
        <v>41291</v>
      </c>
    </row>
    <row r="6582" spans="1:22" x14ac:dyDescent="0.35">
      <c r="A6582" s="1">
        <v>42280.661076388889</v>
      </c>
      <c r="B6582" s="2">
        <v>0</v>
      </c>
      <c r="C6582" t="s">
        <v>6693</v>
      </c>
      <c r="D6582" t="s">
        <v>6396</v>
      </c>
      <c r="E6582" t="s">
        <v>6397</v>
      </c>
      <c r="F6582" t="s">
        <v>8083</v>
      </c>
      <c r="G6582">
        <v>1120973</v>
      </c>
      <c r="H6582" t="s">
        <v>26</v>
      </c>
      <c r="I6582" t="s">
        <v>8084</v>
      </c>
      <c r="J6582" t="str">
        <f>"9781118404621"</f>
        <v>9781118404621</v>
      </c>
      <c r="L6582">
        <v>0</v>
      </c>
      <c r="O6582" t="s">
        <v>28</v>
      </c>
      <c r="P6582" t="s">
        <v>29</v>
      </c>
      <c r="Q6582" s="1">
        <v>42280.661076388889</v>
      </c>
      <c r="R6582">
        <v>7</v>
      </c>
      <c r="S6582" t="s">
        <v>6400</v>
      </c>
      <c r="T6582" t="s">
        <v>8085</v>
      </c>
      <c r="U6582" t="s">
        <v>8086</v>
      </c>
      <c r="V6582" s="3">
        <v>41304</v>
      </c>
    </row>
    <row r="6583" spans="1:22" x14ac:dyDescent="0.35">
      <c r="A6583" s="1">
        <v>42280.661076388889</v>
      </c>
      <c r="B6583" s="2">
        <v>0</v>
      </c>
      <c r="C6583" t="s">
        <v>6693</v>
      </c>
      <c r="D6583" t="s">
        <v>6396</v>
      </c>
      <c r="E6583" t="s">
        <v>6397</v>
      </c>
      <c r="F6583" t="s">
        <v>8083</v>
      </c>
      <c r="G6583">
        <v>1120973</v>
      </c>
      <c r="H6583" t="s">
        <v>26</v>
      </c>
      <c r="I6583" t="s">
        <v>8084</v>
      </c>
      <c r="J6583" t="str">
        <f>"9781118404621"</f>
        <v>9781118404621</v>
      </c>
      <c r="L6583">
        <v>0</v>
      </c>
      <c r="O6583" t="s">
        <v>30</v>
      </c>
      <c r="P6583" t="s">
        <v>29</v>
      </c>
      <c r="Q6583" s="1">
        <v>42280.661076388889</v>
      </c>
      <c r="R6583">
        <v>7</v>
      </c>
      <c r="S6583" t="s">
        <v>6400</v>
      </c>
      <c r="T6583" t="s">
        <v>8085</v>
      </c>
      <c r="U6583" t="s">
        <v>8086</v>
      </c>
      <c r="V6583" s="3">
        <v>41304</v>
      </c>
    </row>
    <row r="6584" spans="1:22" x14ac:dyDescent="0.35">
      <c r="A6584" s="1">
        <v>42280.660902777781</v>
      </c>
      <c r="B6584" s="2">
        <v>0</v>
      </c>
      <c r="C6584" t="s">
        <v>6693</v>
      </c>
      <c r="D6584" t="s">
        <v>6396</v>
      </c>
      <c r="E6584" t="s">
        <v>6397</v>
      </c>
      <c r="F6584" t="s">
        <v>10064</v>
      </c>
      <c r="G6584">
        <v>1584087</v>
      </c>
      <c r="H6584" t="s">
        <v>26</v>
      </c>
      <c r="I6584" t="s">
        <v>10065</v>
      </c>
      <c r="J6584" t="str">
        <f>"9783527673605"</f>
        <v>9783527673605</v>
      </c>
      <c r="L6584">
        <v>0</v>
      </c>
      <c r="O6584" t="s">
        <v>28</v>
      </c>
      <c r="P6584" t="s">
        <v>47</v>
      </c>
      <c r="Q6584" s="1">
        <v>42280.660902777781</v>
      </c>
      <c r="R6584">
        <v>7</v>
      </c>
      <c r="S6584" t="s">
        <v>6400</v>
      </c>
      <c r="T6584" t="s">
        <v>10066</v>
      </c>
      <c r="U6584">
        <v>621.04205000000002</v>
      </c>
      <c r="V6584" s="3">
        <v>41627</v>
      </c>
    </row>
    <row r="6585" spans="1:22" x14ac:dyDescent="0.35">
      <c r="A6585" s="1">
        <v>42280.660902777781</v>
      </c>
      <c r="B6585" s="2">
        <v>0</v>
      </c>
      <c r="C6585" t="s">
        <v>6693</v>
      </c>
      <c r="D6585" t="s">
        <v>6396</v>
      </c>
      <c r="E6585" t="s">
        <v>6397</v>
      </c>
      <c r="F6585" t="s">
        <v>10064</v>
      </c>
      <c r="G6585">
        <v>1584087</v>
      </c>
      <c r="H6585" t="s">
        <v>26</v>
      </c>
      <c r="I6585" t="s">
        <v>10065</v>
      </c>
      <c r="J6585" t="str">
        <f>"9783527673605"</f>
        <v>9783527673605</v>
      </c>
      <c r="L6585">
        <v>0</v>
      </c>
      <c r="O6585" t="s">
        <v>30</v>
      </c>
      <c r="P6585" t="s">
        <v>47</v>
      </c>
      <c r="Q6585" s="1">
        <v>42280.660902777781</v>
      </c>
      <c r="R6585">
        <v>7</v>
      </c>
      <c r="S6585" t="s">
        <v>6400</v>
      </c>
      <c r="T6585" t="s">
        <v>10066</v>
      </c>
      <c r="U6585">
        <v>621.04205000000002</v>
      </c>
      <c r="V6585" s="3">
        <v>41627</v>
      </c>
    </row>
    <row r="6586" spans="1:22" x14ac:dyDescent="0.35">
      <c r="A6586" s="1">
        <v>42280.660451388889</v>
      </c>
      <c r="B6586" s="2">
        <v>4.6296296296296294E-5</v>
      </c>
      <c r="C6586" t="s">
        <v>6693</v>
      </c>
      <c r="D6586" t="s">
        <v>6396</v>
      </c>
      <c r="E6586" t="s">
        <v>6397</v>
      </c>
      <c r="F6586" t="s">
        <v>10067</v>
      </c>
      <c r="G6586">
        <v>1911913</v>
      </c>
      <c r="H6586" t="s">
        <v>26</v>
      </c>
      <c r="I6586" t="s">
        <v>328</v>
      </c>
      <c r="J6586" t="str">
        <f>"9781118990803"</f>
        <v>9781118990803</v>
      </c>
      <c r="K6586" t="s">
        <v>10068</v>
      </c>
      <c r="L6586">
        <v>5</v>
      </c>
      <c r="O6586" t="s">
        <v>30</v>
      </c>
      <c r="P6586" t="s">
        <v>29</v>
      </c>
      <c r="Q6586" s="1">
        <v>42280.660451388889</v>
      </c>
      <c r="R6586">
        <v>7</v>
      </c>
      <c r="S6586" t="s">
        <v>6400</v>
      </c>
      <c r="T6586" t="s">
        <v>10069</v>
      </c>
      <c r="U6586">
        <v>362.18</v>
      </c>
      <c r="V6586" s="3">
        <v>42003</v>
      </c>
    </row>
    <row r="6587" spans="1:22" x14ac:dyDescent="0.35">
      <c r="A6587" s="1">
        <v>42280.660266203704</v>
      </c>
      <c r="B6587" s="2">
        <v>0</v>
      </c>
      <c r="C6587" t="s">
        <v>6693</v>
      </c>
      <c r="D6587" t="s">
        <v>6396</v>
      </c>
      <c r="E6587" t="s">
        <v>6397</v>
      </c>
      <c r="F6587" t="s">
        <v>10070</v>
      </c>
      <c r="G6587">
        <v>1956432</v>
      </c>
      <c r="H6587" t="s">
        <v>26</v>
      </c>
      <c r="I6587" t="s">
        <v>10071</v>
      </c>
      <c r="J6587" t="str">
        <f>"9781118746271"</f>
        <v>9781118746271</v>
      </c>
      <c r="L6587">
        <v>0</v>
      </c>
      <c r="O6587" t="s">
        <v>28</v>
      </c>
      <c r="P6587" t="s">
        <v>29</v>
      </c>
      <c r="Q6587" s="1">
        <v>42280.65996527778</v>
      </c>
      <c r="R6587">
        <v>7</v>
      </c>
      <c r="S6587" t="s">
        <v>6400</v>
      </c>
      <c r="T6587" t="s">
        <v>10072</v>
      </c>
      <c r="U6587">
        <v>612</v>
      </c>
      <c r="V6587" s="3">
        <v>42037</v>
      </c>
    </row>
    <row r="6588" spans="1:22" x14ac:dyDescent="0.35">
      <c r="A6588" s="1">
        <v>42280.65996527778</v>
      </c>
      <c r="B6588" s="2">
        <v>2.5462962962962961E-4</v>
      </c>
      <c r="C6588" t="s">
        <v>6693</v>
      </c>
      <c r="D6588" t="s">
        <v>6396</v>
      </c>
      <c r="E6588" t="s">
        <v>6397</v>
      </c>
      <c r="F6588" t="s">
        <v>10070</v>
      </c>
      <c r="G6588">
        <v>1956432</v>
      </c>
      <c r="H6588" t="s">
        <v>26</v>
      </c>
      <c r="I6588" t="s">
        <v>10071</v>
      </c>
      <c r="J6588" t="str">
        <f>"9781118746271"</f>
        <v>9781118746271</v>
      </c>
      <c r="K6588" t="s">
        <v>10073</v>
      </c>
      <c r="L6588">
        <v>6</v>
      </c>
      <c r="O6588" t="s">
        <v>30</v>
      </c>
      <c r="P6588" t="s">
        <v>29</v>
      </c>
      <c r="Q6588" s="1">
        <v>42280.65996527778</v>
      </c>
      <c r="R6588">
        <v>7</v>
      </c>
      <c r="S6588" t="s">
        <v>6400</v>
      </c>
      <c r="T6588" t="s">
        <v>10072</v>
      </c>
      <c r="U6588">
        <v>612</v>
      </c>
      <c r="V6588" s="3">
        <v>42037</v>
      </c>
    </row>
    <row r="6589" spans="1:22" x14ac:dyDescent="0.35">
      <c r="A6589" s="1">
        <v>42280.659780092596</v>
      </c>
      <c r="B6589" s="2">
        <v>0</v>
      </c>
      <c r="C6589" t="s">
        <v>6693</v>
      </c>
      <c r="D6589" t="s">
        <v>6396</v>
      </c>
      <c r="E6589" t="s">
        <v>6397</v>
      </c>
      <c r="F6589" t="s">
        <v>10074</v>
      </c>
      <c r="G6589">
        <v>1912454</v>
      </c>
      <c r="H6589" t="s">
        <v>26</v>
      </c>
      <c r="I6589" t="s">
        <v>247</v>
      </c>
      <c r="J6589" t="str">
        <f>"9781118655672"</f>
        <v>9781118655672</v>
      </c>
      <c r="L6589">
        <v>0</v>
      </c>
      <c r="O6589" t="s">
        <v>28</v>
      </c>
      <c r="P6589" t="s">
        <v>29</v>
      </c>
      <c r="Q6589" s="1">
        <v>42280.659780092596</v>
      </c>
      <c r="R6589">
        <v>7</v>
      </c>
      <c r="S6589" t="s">
        <v>6400</v>
      </c>
      <c r="T6589" t="s">
        <v>10075</v>
      </c>
      <c r="U6589" t="s">
        <v>10076</v>
      </c>
      <c r="V6589" s="3">
        <v>41997</v>
      </c>
    </row>
    <row r="6590" spans="1:22" x14ac:dyDescent="0.35">
      <c r="A6590" s="1">
        <v>42280.659780092596</v>
      </c>
      <c r="B6590" s="2">
        <v>0</v>
      </c>
      <c r="C6590" t="s">
        <v>6693</v>
      </c>
      <c r="D6590" t="s">
        <v>6396</v>
      </c>
      <c r="E6590" t="s">
        <v>6397</v>
      </c>
      <c r="F6590" t="s">
        <v>10074</v>
      </c>
      <c r="G6590">
        <v>1912454</v>
      </c>
      <c r="H6590" t="s">
        <v>26</v>
      </c>
      <c r="I6590" t="s">
        <v>247</v>
      </c>
      <c r="J6590" t="str">
        <f>"9781118655672"</f>
        <v>9781118655672</v>
      </c>
      <c r="L6590">
        <v>0</v>
      </c>
      <c r="O6590" t="s">
        <v>30</v>
      </c>
      <c r="P6590" t="s">
        <v>29</v>
      </c>
      <c r="Q6590" s="1">
        <v>42280.659780092596</v>
      </c>
      <c r="R6590">
        <v>7</v>
      </c>
      <c r="S6590" t="s">
        <v>6400</v>
      </c>
      <c r="T6590" t="s">
        <v>10075</v>
      </c>
      <c r="U6590" t="s">
        <v>10076</v>
      </c>
      <c r="V6590" s="3">
        <v>41997</v>
      </c>
    </row>
    <row r="6591" spans="1:22" x14ac:dyDescent="0.35">
      <c r="A6591" s="1">
        <v>42280.659351851849</v>
      </c>
      <c r="B6591" s="2">
        <v>4.6296296296296294E-5</v>
      </c>
      <c r="C6591" t="s">
        <v>6693</v>
      </c>
      <c r="D6591" t="s">
        <v>6396</v>
      </c>
      <c r="E6591" t="s">
        <v>6397</v>
      </c>
      <c r="F6591" t="s">
        <v>10077</v>
      </c>
      <c r="G6591">
        <v>1866577</v>
      </c>
      <c r="H6591" t="s">
        <v>26</v>
      </c>
      <c r="I6591" t="s">
        <v>10078</v>
      </c>
      <c r="J6591" t="str">
        <f>"9781118490853"</f>
        <v>9781118490853</v>
      </c>
      <c r="K6591" t="s">
        <v>10079</v>
      </c>
      <c r="L6591">
        <v>5</v>
      </c>
      <c r="O6591" t="s">
        <v>30</v>
      </c>
      <c r="P6591" t="s">
        <v>29</v>
      </c>
      <c r="Q6591" s="1">
        <v>42280.659351851849</v>
      </c>
      <c r="R6591">
        <v>7</v>
      </c>
      <c r="S6591" t="s">
        <v>6400</v>
      </c>
      <c r="T6591" t="s">
        <v>10080</v>
      </c>
      <c r="U6591" t="s">
        <v>10081</v>
      </c>
      <c r="V6591" s="3">
        <v>41963</v>
      </c>
    </row>
    <row r="6592" spans="1:22" x14ac:dyDescent="0.35">
      <c r="A6592" s="1">
        <v>42280.659247685187</v>
      </c>
      <c r="B6592" s="2">
        <v>3.4722222222222222E-5</v>
      </c>
      <c r="C6592" t="s">
        <v>6693</v>
      </c>
      <c r="D6592" t="s">
        <v>6396</v>
      </c>
      <c r="E6592" t="s">
        <v>6397</v>
      </c>
      <c r="F6592" t="s">
        <v>7239</v>
      </c>
      <c r="G6592">
        <v>1851934</v>
      </c>
      <c r="H6592" t="s">
        <v>26</v>
      </c>
      <c r="I6592" t="s">
        <v>247</v>
      </c>
      <c r="J6592" t="str">
        <f>"9781118638415"</f>
        <v>9781118638415</v>
      </c>
      <c r="K6592" t="s">
        <v>10082</v>
      </c>
      <c r="L6592">
        <v>6</v>
      </c>
      <c r="O6592" t="s">
        <v>30</v>
      </c>
      <c r="P6592" t="s">
        <v>29</v>
      </c>
      <c r="Q6592" s="1">
        <v>42280.659247685187</v>
      </c>
      <c r="R6592">
        <v>7</v>
      </c>
      <c r="S6592" t="s">
        <v>6400</v>
      </c>
      <c r="T6592" t="s">
        <v>7240</v>
      </c>
      <c r="U6592">
        <v>616</v>
      </c>
      <c r="V6592" s="3">
        <v>41956</v>
      </c>
    </row>
    <row r="6593" spans="1:22" x14ac:dyDescent="0.35">
      <c r="A6593" s="1">
        <v>42280.658946759257</v>
      </c>
      <c r="B6593" s="2">
        <v>3.4722222222222222E-5</v>
      </c>
      <c r="C6593" t="s">
        <v>6693</v>
      </c>
      <c r="D6593" t="s">
        <v>6396</v>
      </c>
      <c r="E6593" t="s">
        <v>6397</v>
      </c>
      <c r="F6593" t="s">
        <v>7256</v>
      </c>
      <c r="G6593">
        <v>1762077</v>
      </c>
      <c r="H6593" t="s">
        <v>26</v>
      </c>
      <c r="I6593" t="s">
        <v>247</v>
      </c>
      <c r="J6593" t="str">
        <f>"9781118914908"</f>
        <v>9781118914908</v>
      </c>
      <c r="K6593" t="s">
        <v>10083</v>
      </c>
      <c r="L6593">
        <v>5</v>
      </c>
      <c r="O6593" t="s">
        <v>30</v>
      </c>
      <c r="P6593" t="s">
        <v>29</v>
      </c>
      <c r="Q6593" s="1">
        <v>42280.658946759257</v>
      </c>
      <c r="R6593">
        <v>7</v>
      </c>
      <c r="S6593" t="s">
        <v>6400</v>
      </c>
      <c r="T6593" t="s">
        <v>7257</v>
      </c>
      <c r="U6593">
        <v>616.07500000000005</v>
      </c>
      <c r="V6593" s="3">
        <v>41856</v>
      </c>
    </row>
    <row r="6594" spans="1:22" x14ac:dyDescent="0.35">
      <c r="A6594" s="1">
        <v>42280.658877314818</v>
      </c>
      <c r="B6594" s="2">
        <v>0</v>
      </c>
      <c r="C6594" t="s">
        <v>6693</v>
      </c>
      <c r="D6594" t="s">
        <v>6396</v>
      </c>
      <c r="E6594" t="s">
        <v>6397</v>
      </c>
      <c r="F6594" t="s">
        <v>10084</v>
      </c>
      <c r="G6594">
        <v>1698579</v>
      </c>
      <c r="H6594" t="s">
        <v>2998</v>
      </c>
      <c r="I6594" t="s">
        <v>27</v>
      </c>
      <c r="J6594" t="str">
        <f>"9780748675869"</f>
        <v>9780748675869</v>
      </c>
      <c r="L6594">
        <v>0</v>
      </c>
      <c r="O6594" t="s">
        <v>28</v>
      </c>
      <c r="P6594" t="s">
        <v>47</v>
      </c>
      <c r="Q6594" s="1">
        <v>42280.658877314818</v>
      </c>
      <c r="R6594">
        <v>7</v>
      </c>
      <c r="S6594" t="s">
        <v>6400</v>
      </c>
      <c r="T6594" t="s">
        <v>10085</v>
      </c>
      <c r="U6594">
        <v>425.01799999999997</v>
      </c>
      <c r="V6594" s="3">
        <v>41715</v>
      </c>
    </row>
    <row r="6595" spans="1:22" x14ac:dyDescent="0.35">
      <c r="A6595" s="1">
        <v>42280.658877314818</v>
      </c>
      <c r="B6595" s="2">
        <v>0</v>
      </c>
      <c r="C6595" t="s">
        <v>6693</v>
      </c>
      <c r="D6595" t="s">
        <v>6396</v>
      </c>
      <c r="E6595" t="s">
        <v>6397</v>
      </c>
      <c r="F6595" t="s">
        <v>10084</v>
      </c>
      <c r="G6595">
        <v>1698579</v>
      </c>
      <c r="H6595" t="s">
        <v>2998</v>
      </c>
      <c r="I6595" t="s">
        <v>27</v>
      </c>
      <c r="J6595" t="str">
        <f>"9780748675869"</f>
        <v>9780748675869</v>
      </c>
      <c r="L6595">
        <v>0</v>
      </c>
      <c r="O6595" t="s">
        <v>30</v>
      </c>
      <c r="P6595" t="s">
        <v>47</v>
      </c>
      <c r="Q6595" s="1">
        <v>42280.658877314818</v>
      </c>
      <c r="R6595">
        <v>7</v>
      </c>
      <c r="S6595" t="s">
        <v>6400</v>
      </c>
      <c r="T6595" t="s">
        <v>10085</v>
      </c>
      <c r="U6595">
        <v>425.01799999999997</v>
      </c>
      <c r="V6595" s="3">
        <v>41715</v>
      </c>
    </row>
    <row r="6596" spans="1:22" x14ac:dyDescent="0.35">
      <c r="A6596" s="1">
        <v>42280.654699074075</v>
      </c>
      <c r="B6596" s="2">
        <v>4.1666666666666666E-3</v>
      </c>
      <c r="C6596" t="s">
        <v>6693</v>
      </c>
      <c r="D6596" t="s">
        <v>6396</v>
      </c>
      <c r="E6596" t="s">
        <v>6397</v>
      </c>
      <c r="F6596" t="s">
        <v>10084</v>
      </c>
      <c r="G6596">
        <v>1698579</v>
      </c>
      <c r="H6596" t="s">
        <v>2998</v>
      </c>
      <c r="I6596" t="s">
        <v>27</v>
      </c>
      <c r="J6596" t="str">
        <f>"9780748675869"</f>
        <v>9780748675869</v>
      </c>
      <c r="K6596" t="s">
        <v>1197</v>
      </c>
      <c r="L6596">
        <v>3</v>
      </c>
      <c r="O6596" t="s">
        <v>30</v>
      </c>
      <c r="P6596" t="s">
        <v>50</v>
      </c>
      <c r="S6596" t="s">
        <v>6400</v>
      </c>
      <c r="T6596" t="s">
        <v>10085</v>
      </c>
      <c r="U6596">
        <v>425.01799999999997</v>
      </c>
      <c r="V6596" s="3">
        <v>41715</v>
      </c>
    </row>
    <row r="6597" spans="1:22" x14ac:dyDescent="0.35">
      <c r="A6597" s="1">
        <v>42280.654629629629</v>
      </c>
      <c r="B6597" s="2">
        <v>3.4722222222222222E-5</v>
      </c>
      <c r="C6597" t="s">
        <v>6693</v>
      </c>
      <c r="D6597" t="s">
        <v>6396</v>
      </c>
      <c r="E6597" t="s">
        <v>6397</v>
      </c>
      <c r="F6597" t="s">
        <v>10086</v>
      </c>
      <c r="G6597">
        <v>1985697</v>
      </c>
      <c r="H6597" t="s">
        <v>26</v>
      </c>
      <c r="I6597" t="s">
        <v>10087</v>
      </c>
      <c r="J6597" t="str">
        <f>"9781118745908"</f>
        <v>9781118745908</v>
      </c>
      <c r="K6597" t="s">
        <v>105</v>
      </c>
      <c r="L6597">
        <v>1</v>
      </c>
      <c r="O6597" t="s">
        <v>30</v>
      </c>
      <c r="P6597" t="s">
        <v>50</v>
      </c>
      <c r="S6597" t="s">
        <v>6400</v>
      </c>
      <c r="T6597" t="s">
        <v>10088</v>
      </c>
      <c r="U6597">
        <v>610.73</v>
      </c>
      <c r="V6597" s="3">
        <v>42068</v>
      </c>
    </row>
    <row r="6598" spans="1:22" x14ac:dyDescent="0.35">
      <c r="A6598" s="1">
        <v>42280.654560185183</v>
      </c>
      <c r="B6598" s="2">
        <v>4.386574074074074E-3</v>
      </c>
      <c r="C6598" t="s">
        <v>6693</v>
      </c>
      <c r="D6598" t="s">
        <v>6396</v>
      </c>
      <c r="E6598" t="s">
        <v>6397</v>
      </c>
      <c r="F6598" t="s">
        <v>7256</v>
      </c>
      <c r="G6598">
        <v>1762077</v>
      </c>
      <c r="H6598" t="s">
        <v>26</v>
      </c>
      <c r="I6598" t="s">
        <v>247</v>
      </c>
      <c r="J6598" t="str">
        <f>"9781118914908"</f>
        <v>9781118914908</v>
      </c>
      <c r="K6598" t="s">
        <v>2800</v>
      </c>
      <c r="L6598">
        <v>3</v>
      </c>
      <c r="O6598" t="s">
        <v>30</v>
      </c>
      <c r="P6598" t="s">
        <v>50</v>
      </c>
      <c r="S6598" t="s">
        <v>6400</v>
      </c>
      <c r="T6598" t="s">
        <v>7257</v>
      </c>
      <c r="U6598">
        <v>616.07500000000005</v>
      </c>
      <c r="V6598" s="3">
        <v>41856</v>
      </c>
    </row>
    <row r="6599" spans="1:22" x14ac:dyDescent="0.35">
      <c r="A6599" s="1">
        <v>42280.654467592591</v>
      </c>
      <c r="B6599" s="2">
        <v>4.7800925925925919E-3</v>
      </c>
      <c r="C6599" t="s">
        <v>6693</v>
      </c>
      <c r="D6599" t="s">
        <v>6396</v>
      </c>
      <c r="E6599" t="s">
        <v>6397</v>
      </c>
      <c r="F6599" t="s">
        <v>7239</v>
      </c>
      <c r="G6599">
        <v>1851934</v>
      </c>
      <c r="H6599" t="s">
        <v>26</v>
      </c>
      <c r="I6599" t="s">
        <v>247</v>
      </c>
      <c r="J6599" t="str">
        <f>"9781118638415"</f>
        <v>9781118638415</v>
      </c>
      <c r="K6599" t="s">
        <v>536</v>
      </c>
      <c r="L6599">
        <v>3</v>
      </c>
      <c r="O6599" t="s">
        <v>30</v>
      </c>
      <c r="P6599" t="s">
        <v>50</v>
      </c>
      <c r="S6599" t="s">
        <v>6400</v>
      </c>
      <c r="T6599" t="s">
        <v>7240</v>
      </c>
      <c r="U6599">
        <v>616</v>
      </c>
      <c r="V6599" s="3">
        <v>41956</v>
      </c>
    </row>
    <row r="6600" spans="1:22" x14ac:dyDescent="0.35">
      <c r="A6600" s="1">
        <v>42280.654432870368</v>
      </c>
      <c r="B6600" s="2">
        <v>4.9189814814814816E-3</v>
      </c>
      <c r="C6600" t="s">
        <v>6693</v>
      </c>
      <c r="D6600" t="s">
        <v>6396</v>
      </c>
      <c r="E6600" t="s">
        <v>6397</v>
      </c>
      <c r="F6600" t="s">
        <v>10077</v>
      </c>
      <c r="G6600">
        <v>1866577</v>
      </c>
      <c r="H6600" t="s">
        <v>26</v>
      </c>
      <c r="I6600" t="s">
        <v>10078</v>
      </c>
      <c r="J6600" t="str">
        <f>"9781118490853"</f>
        <v>9781118490853</v>
      </c>
      <c r="K6600" t="s">
        <v>1315</v>
      </c>
      <c r="L6600">
        <v>3</v>
      </c>
      <c r="O6600" t="s">
        <v>30</v>
      </c>
      <c r="P6600" t="s">
        <v>50</v>
      </c>
      <c r="S6600" t="s">
        <v>6400</v>
      </c>
      <c r="T6600" t="s">
        <v>10080</v>
      </c>
      <c r="U6600" t="s">
        <v>10081</v>
      </c>
      <c r="V6600" s="3">
        <v>41963</v>
      </c>
    </row>
    <row r="6601" spans="1:22" x14ac:dyDescent="0.35">
      <c r="A6601" s="1">
        <v>42280.653437499997</v>
      </c>
      <c r="B6601" s="2">
        <v>6.3425925925925915E-3</v>
      </c>
      <c r="C6601" t="s">
        <v>6693</v>
      </c>
      <c r="D6601" t="s">
        <v>6396</v>
      </c>
      <c r="E6601" t="s">
        <v>6397</v>
      </c>
      <c r="F6601" t="s">
        <v>10074</v>
      </c>
      <c r="G6601">
        <v>1912454</v>
      </c>
      <c r="H6601" t="s">
        <v>26</v>
      </c>
      <c r="I6601" t="s">
        <v>247</v>
      </c>
      <c r="J6601" t="str">
        <f>"9781118655672"</f>
        <v>9781118655672</v>
      </c>
      <c r="K6601" t="s">
        <v>10089</v>
      </c>
      <c r="L6601">
        <v>9</v>
      </c>
      <c r="O6601" t="s">
        <v>30</v>
      </c>
      <c r="P6601" t="s">
        <v>50</v>
      </c>
      <c r="S6601" t="s">
        <v>6400</v>
      </c>
      <c r="T6601" t="s">
        <v>10075</v>
      </c>
      <c r="U6601" t="s">
        <v>10076</v>
      </c>
      <c r="V6601" s="3">
        <v>41997</v>
      </c>
    </row>
    <row r="6602" spans="1:22" x14ac:dyDescent="0.35">
      <c r="A6602" s="1">
        <v>42280.653310185182</v>
      </c>
      <c r="B6602" s="2">
        <v>6.6550925925925935E-3</v>
      </c>
      <c r="C6602" t="s">
        <v>6693</v>
      </c>
      <c r="D6602" t="s">
        <v>6396</v>
      </c>
      <c r="E6602" t="s">
        <v>6397</v>
      </c>
      <c r="F6602" t="s">
        <v>10070</v>
      </c>
      <c r="G6602">
        <v>1956432</v>
      </c>
      <c r="H6602" t="s">
        <v>26</v>
      </c>
      <c r="I6602" t="s">
        <v>10071</v>
      </c>
      <c r="J6602" t="str">
        <f>"9781118746271"</f>
        <v>9781118746271</v>
      </c>
      <c r="K6602" t="s">
        <v>536</v>
      </c>
      <c r="L6602">
        <v>3</v>
      </c>
      <c r="O6602" t="s">
        <v>30</v>
      </c>
      <c r="P6602" t="s">
        <v>50</v>
      </c>
      <c r="S6602" t="s">
        <v>6400</v>
      </c>
      <c r="T6602" t="s">
        <v>10072</v>
      </c>
      <c r="U6602">
        <v>612</v>
      </c>
      <c r="V6602" s="3">
        <v>42037</v>
      </c>
    </row>
    <row r="6603" spans="1:22" x14ac:dyDescent="0.35">
      <c r="A6603" s="1">
        <v>42280.65315972222</v>
      </c>
      <c r="B6603" s="2">
        <v>7.2916666666666659E-3</v>
      </c>
      <c r="C6603" t="s">
        <v>6693</v>
      </c>
      <c r="D6603" t="s">
        <v>6396</v>
      </c>
      <c r="E6603" t="s">
        <v>6397</v>
      </c>
      <c r="F6603" t="s">
        <v>10067</v>
      </c>
      <c r="G6603">
        <v>1911913</v>
      </c>
      <c r="H6603" t="s">
        <v>26</v>
      </c>
      <c r="I6603" t="s">
        <v>328</v>
      </c>
      <c r="J6603" t="str">
        <f>"9781118990803"</f>
        <v>9781118990803</v>
      </c>
      <c r="K6603" t="s">
        <v>10090</v>
      </c>
      <c r="L6603">
        <v>3</v>
      </c>
      <c r="O6603" t="s">
        <v>30</v>
      </c>
      <c r="P6603" t="s">
        <v>50</v>
      </c>
      <c r="S6603" t="s">
        <v>6400</v>
      </c>
      <c r="T6603" t="s">
        <v>10069</v>
      </c>
      <c r="U6603">
        <v>362.18</v>
      </c>
      <c r="V6603" s="3">
        <v>42003</v>
      </c>
    </row>
    <row r="6604" spans="1:22" x14ac:dyDescent="0.35">
      <c r="A6604" s="1">
        <v>42280.653067129628</v>
      </c>
      <c r="B6604" s="2">
        <v>7.8356481481481489E-3</v>
      </c>
      <c r="C6604" t="s">
        <v>6693</v>
      </c>
      <c r="D6604" t="s">
        <v>6396</v>
      </c>
      <c r="E6604" t="s">
        <v>6397</v>
      </c>
      <c r="F6604" t="s">
        <v>10064</v>
      </c>
      <c r="G6604">
        <v>1584087</v>
      </c>
      <c r="H6604" t="s">
        <v>26</v>
      </c>
      <c r="I6604" t="s">
        <v>10065</v>
      </c>
      <c r="J6604" t="str">
        <f>"9783527673605"</f>
        <v>9783527673605</v>
      </c>
      <c r="K6604" t="s">
        <v>536</v>
      </c>
      <c r="L6604">
        <v>3</v>
      </c>
      <c r="O6604" t="s">
        <v>30</v>
      </c>
      <c r="P6604" t="s">
        <v>50</v>
      </c>
      <c r="S6604" t="s">
        <v>6400</v>
      </c>
      <c r="T6604" t="s">
        <v>10066</v>
      </c>
      <c r="U6604">
        <v>621.04205000000002</v>
      </c>
      <c r="V6604" s="3">
        <v>41627</v>
      </c>
    </row>
    <row r="6605" spans="1:22" x14ac:dyDescent="0.35">
      <c r="A6605" s="1">
        <v>42280.651435185187</v>
      </c>
      <c r="B6605" s="2">
        <v>6.9444444444444447E-4</v>
      </c>
      <c r="C6605" t="s">
        <v>6693</v>
      </c>
      <c r="D6605" t="s">
        <v>6396</v>
      </c>
      <c r="E6605" t="s">
        <v>6397</v>
      </c>
      <c r="F6605" t="s">
        <v>10091</v>
      </c>
      <c r="G6605">
        <v>2075620</v>
      </c>
      <c r="H6605" t="s">
        <v>26</v>
      </c>
      <c r="I6605" t="s">
        <v>4224</v>
      </c>
      <c r="J6605" t="str">
        <f>"9781118936559"</f>
        <v>9781118936559</v>
      </c>
      <c r="K6605" t="s">
        <v>10092</v>
      </c>
      <c r="L6605">
        <v>10</v>
      </c>
      <c r="O6605" t="s">
        <v>30</v>
      </c>
      <c r="P6605" t="s">
        <v>50</v>
      </c>
      <c r="S6605" t="s">
        <v>6400</v>
      </c>
      <c r="T6605" t="s">
        <v>10093</v>
      </c>
      <c r="U6605">
        <v>158.1</v>
      </c>
      <c r="V6605" s="3">
        <v>41898</v>
      </c>
    </row>
    <row r="6606" spans="1:22" x14ac:dyDescent="0.35">
      <c r="A6606" s="1">
        <v>42280.651388888888</v>
      </c>
      <c r="B6606" s="2">
        <v>9.6874999999999999E-3</v>
      </c>
      <c r="C6606" t="s">
        <v>6693</v>
      </c>
      <c r="D6606" t="s">
        <v>6396</v>
      </c>
      <c r="E6606" t="s">
        <v>6397</v>
      </c>
      <c r="F6606" t="s">
        <v>8083</v>
      </c>
      <c r="G6606">
        <v>1120973</v>
      </c>
      <c r="H6606" t="s">
        <v>26</v>
      </c>
      <c r="I6606" t="s">
        <v>8084</v>
      </c>
      <c r="J6606" t="str">
        <f>"9781118404621"</f>
        <v>9781118404621</v>
      </c>
      <c r="K6606" t="s">
        <v>536</v>
      </c>
      <c r="L6606">
        <v>3</v>
      </c>
      <c r="O6606" t="s">
        <v>30</v>
      </c>
      <c r="P6606" t="s">
        <v>50</v>
      </c>
      <c r="S6606" t="s">
        <v>6400</v>
      </c>
      <c r="T6606" t="s">
        <v>8085</v>
      </c>
      <c r="U6606" t="s">
        <v>8086</v>
      </c>
      <c r="V6606" s="3">
        <v>41304</v>
      </c>
    </row>
    <row r="6607" spans="1:22" x14ac:dyDescent="0.35">
      <c r="A6607" s="1">
        <v>42280.651377314818</v>
      </c>
      <c r="B6607" s="2">
        <v>3.4722222222222224E-4</v>
      </c>
      <c r="C6607" t="s">
        <v>6693</v>
      </c>
      <c r="D6607" t="s">
        <v>6396</v>
      </c>
      <c r="E6607" t="s">
        <v>6397</v>
      </c>
      <c r="F6607" t="s">
        <v>8090</v>
      </c>
      <c r="G6607">
        <v>1120820</v>
      </c>
      <c r="H6607" t="s">
        <v>26</v>
      </c>
      <c r="I6607" t="s">
        <v>8084</v>
      </c>
      <c r="J6607" t="str">
        <f>"9781118404508"</f>
        <v>9781118404508</v>
      </c>
      <c r="K6607" t="s">
        <v>1197</v>
      </c>
      <c r="L6607">
        <v>3</v>
      </c>
      <c r="O6607" t="s">
        <v>30</v>
      </c>
      <c r="P6607" t="s">
        <v>47</v>
      </c>
      <c r="Q6607" s="1">
        <v>42280.651365740741</v>
      </c>
      <c r="R6607">
        <v>1</v>
      </c>
      <c r="S6607" t="s">
        <v>6400</v>
      </c>
      <c r="T6607" t="s">
        <v>8091</v>
      </c>
      <c r="U6607" t="s">
        <v>8092</v>
      </c>
      <c r="V6607" s="3">
        <v>41291</v>
      </c>
    </row>
    <row r="6608" spans="1:22" x14ac:dyDescent="0.35">
      <c r="A6608" s="1">
        <v>42280.651354166665</v>
      </c>
      <c r="B6608" s="2">
        <v>1.1574074074074073E-5</v>
      </c>
      <c r="C6608" t="s">
        <v>6693</v>
      </c>
      <c r="D6608" t="s">
        <v>6396</v>
      </c>
      <c r="E6608" t="s">
        <v>6397</v>
      </c>
      <c r="F6608" t="s">
        <v>8090</v>
      </c>
      <c r="G6608">
        <v>1120820</v>
      </c>
      <c r="H6608" t="s">
        <v>26</v>
      </c>
      <c r="I6608" t="s">
        <v>8084</v>
      </c>
      <c r="J6608" t="str">
        <f>"9781118404508"</f>
        <v>9781118404508</v>
      </c>
      <c r="L6608">
        <v>0</v>
      </c>
      <c r="O6608" t="s">
        <v>30</v>
      </c>
      <c r="P6608" t="s">
        <v>50</v>
      </c>
      <c r="S6608" t="s">
        <v>6400</v>
      </c>
      <c r="T6608" t="s">
        <v>8091</v>
      </c>
      <c r="U6608" t="s">
        <v>8092</v>
      </c>
      <c r="V6608" s="3">
        <v>41291</v>
      </c>
    </row>
    <row r="6609" spans="1:22" x14ac:dyDescent="0.35">
      <c r="A6609" s="1">
        <v>42280.651087962964</v>
      </c>
      <c r="B6609" s="2">
        <v>1.0231481481481482E-2</v>
      </c>
      <c r="C6609" t="s">
        <v>6693</v>
      </c>
      <c r="D6609" t="s">
        <v>6396</v>
      </c>
      <c r="E6609" t="s">
        <v>6397</v>
      </c>
      <c r="F6609" t="s">
        <v>10060</v>
      </c>
      <c r="G6609">
        <v>1609396</v>
      </c>
      <c r="H6609" t="s">
        <v>26</v>
      </c>
      <c r="I6609" t="s">
        <v>10061</v>
      </c>
      <c r="J6609" t="str">
        <f>"9781118866498"</f>
        <v>9781118866498</v>
      </c>
      <c r="K6609" t="s">
        <v>1326</v>
      </c>
      <c r="L6609">
        <v>3</v>
      </c>
      <c r="O6609" t="s">
        <v>30</v>
      </c>
      <c r="P6609" t="s">
        <v>50</v>
      </c>
      <c r="S6609" t="s">
        <v>6400</v>
      </c>
      <c r="T6609" t="s">
        <v>10062</v>
      </c>
      <c r="U6609" t="s">
        <v>10063</v>
      </c>
      <c r="V6609" s="3">
        <v>41669</v>
      </c>
    </row>
    <row r="6610" spans="1:22" x14ac:dyDescent="0.35">
      <c r="A6610" s="1">
        <v>42280.650972222225</v>
      </c>
      <c r="B6610" s="2">
        <v>1.0416666666666667E-4</v>
      </c>
      <c r="C6610" t="s">
        <v>6693</v>
      </c>
      <c r="D6610" t="s">
        <v>6396</v>
      </c>
      <c r="E6610" t="s">
        <v>6397</v>
      </c>
      <c r="F6610" t="s">
        <v>10094</v>
      </c>
      <c r="G6610">
        <v>837611</v>
      </c>
      <c r="H6610" t="s">
        <v>26</v>
      </c>
      <c r="I6610" t="s">
        <v>200</v>
      </c>
      <c r="J6610" t="str">
        <f>"9781118332887"</f>
        <v>9781118332887</v>
      </c>
      <c r="K6610" t="s">
        <v>63</v>
      </c>
      <c r="L6610">
        <v>1</v>
      </c>
      <c r="O6610" t="s">
        <v>28</v>
      </c>
      <c r="P6610" t="s">
        <v>47</v>
      </c>
      <c r="Q6610" s="1">
        <v>42280.650972222225</v>
      </c>
      <c r="R6610">
        <v>7</v>
      </c>
      <c r="S6610" t="s">
        <v>6400</v>
      </c>
      <c r="T6610" t="s">
        <v>10095</v>
      </c>
      <c r="U6610">
        <v>720.47199999999998</v>
      </c>
      <c r="V6610" s="3">
        <v>41624</v>
      </c>
    </row>
    <row r="6611" spans="1:22" x14ac:dyDescent="0.35">
      <c r="A6611" s="1">
        <v>42280.650972222225</v>
      </c>
      <c r="B6611" s="2">
        <v>0</v>
      </c>
      <c r="C6611" t="s">
        <v>6693</v>
      </c>
      <c r="D6611" t="s">
        <v>6396</v>
      </c>
      <c r="E6611" t="s">
        <v>6397</v>
      </c>
      <c r="F6611" t="s">
        <v>10094</v>
      </c>
      <c r="G6611">
        <v>837611</v>
      </c>
      <c r="H6611" t="s">
        <v>26</v>
      </c>
      <c r="I6611" t="s">
        <v>200</v>
      </c>
      <c r="J6611" t="str">
        <f>"9781118332887"</f>
        <v>9781118332887</v>
      </c>
      <c r="L6611">
        <v>0</v>
      </c>
      <c r="O6611" t="s">
        <v>30</v>
      </c>
      <c r="P6611" t="s">
        <v>47</v>
      </c>
      <c r="Q6611" s="1">
        <v>42280.650972222225</v>
      </c>
      <c r="R6611">
        <v>7</v>
      </c>
      <c r="S6611" t="s">
        <v>6400</v>
      </c>
      <c r="T6611" t="s">
        <v>10095</v>
      </c>
      <c r="U6611">
        <v>720.47199999999998</v>
      </c>
      <c r="V6611" s="3">
        <v>41624</v>
      </c>
    </row>
    <row r="6612" spans="1:22" x14ac:dyDescent="0.35">
      <c r="A6612" s="1">
        <v>42280.650763888887</v>
      </c>
      <c r="B6612" s="2">
        <v>2.0833333333333335E-4</v>
      </c>
      <c r="C6612" t="s">
        <v>6693</v>
      </c>
      <c r="D6612" t="s">
        <v>6396</v>
      </c>
      <c r="E6612" t="s">
        <v>6397</v>
      </c>
      <c r="F6612" t="s">
        <v>10094</v>
      </c>
      <c r="G6612">
        <v>837611</v>
      </c>
      <c r="H6612" t="s">
        <v>26</v>
      </c>
      <c r="I6612" t="s">
        <v>200</v>
      </c>
      <c r="J6612" t="str">
        <f>"9781118332887"</f>
        <v>9781118332887</v>
      </c>
      <c r="K6612" t="s">
        <v>2787</v>
      </c>
      <c r="L6612">
        <v>3</v>
      </c>
      <c r="O6612" t="s">
        <v>30</v>
      </c>
      <c r="P6612" t="s">
        <v>50</v>
      </c>
      <c r="S6612" t="s">
        <v>6400</v>
      </c>
      <c r="T6612" t="s">
        <v>10095</v>
      </c>
      <c r="U6612">
        <v>720.47199999999998</v>
      </c>
      <c r="V6612" s="3">
        <v>41624</v>
      </c>
    </row>
    <row r="6613" spans="1:22" x14ac:dyDescent="0.35">
      <c r="A6613" s="1">
        <v>42280.650254629632</v>
      </c>
      <c r="B6613" s="2">
        <v>2.946759259259259E-2</v>
      </c>
      <c r="C6613" t="s">
        <v>10046</v>
      </c>
      <c r="D6613" t="s">
        <v>623</v>
      </c>
      <c r="E6613" t="s">
        <v>624</v>
      </c>
      <c r="F6613" t="s">
        <v>1121</v>
      </c>
      <c r="G6613">
        <v>875809</v>
      </c>
      <c r="H6613" t="s">
        <v>26</v>
      </c>
      <c r="I6613" t="s">
        <v>27</v>
      </c>
      <c r="J6613" t="str">
        <f>"9781118223598"</f>
        <v>9781118223598</v>
      </c>
      <c r="K6613" t="s">
        <v>10096</v>
      </c>
      <c r="L6613">
        <v>24</v>
      </c>
      <c r="O6613" t="s">
        <v>30</v>
      </c>
      <c r="P6613" t="s">
        <v>42</v>
      </c>
      <c r="S6613" t="s">
        <v>627</v>
      </c>
      <c r="T6613" t="s">
        <v>1123</v>
      </c>
      <c r="U6613">
        <v>428.00709999999998</v>
      </c>
      <c r="V6613" s="3">
        <v>41128</v>
      </c>
    </row>
    <row r="6614" spans="1:22" x14ac:dyDescent="0.35">
      <c r="A6614" s="1">
        <v>42280.650208333333</v>
      </c>
      <c r="B6614" s="2">
        <v>0</v>
      </c>
      <c r="C6614" t="s">
        <v>6693</v>
      </c>
      <c r="D6614" t="s">
        <v>6396</v>
      </c>
      <c r="E6614" t="s">
        <v>6397</v>
      </c>
      <c r="F6614" t="s">
        <v>10097</v>
      </c>
      <c r="G6614">
        <v>1895930</v>
      </c>
      <c r="H6614" t="s">
        <v>26</v>
      </c>
      <c r="I6614" t="s">
        <v>888</v>
      </c>
      <c r="J6614" t="str">
        <f>"9781119019978"</f>
        <v>9781119019978</v>
      </c>
      <c r="L6614">
        <v>0</v>
      </c>
      <c r="O6614" t="s">
        <v>28</v>
      </c>
      <c r="P6614" t="s">
        <v>29</v>
      </c>
      <c r="Q6614" s="1">
        <v>42280.650208333333</v>
      </c>
      <c r="R6614">
        <v>7</v>
      </c>
      <c r="S6614" t="s">
        <v>6400</v>
      </c>
      <c r="T6614" t="s">
        <v>10098</v>
      </c>
      <c r="U6614" t="s">
        <v>10099</v>
      </c>
      <c r="V6614" s="3">
        <v>42067</v>
      </c>
    </row>
    <row r="6615" spans="1:22" x14ac:dyDescent="0.35">
      <c r="A6615" s="1">
        <v>42280.650208333333</v>
      </c>
      <c r="B6615" s="2">
        <v>0</v>
      </c>
      <c r="C6615" t="s">
        <v>6693</v>
      </c>
      <c r="D6615" t="s">
        <v>6396</v>
      </c>
      <c r="E6615" t="s">
        <v>6397</v>
      </c>
      <c r="F6615" t="s">
        <v>10097</v>
      </c>
      <c r="G6615">
        <v>1895930</v>
      </c>
      <c r="H6615" t="s">
        <v>26</v>
      </c>
      <c r="I6615" t="s">
        <v>888</v>
      </c>
      <c r="J6615" t="str">
        <f>"9781119019978"</f>
        <v>9781119019978</v>
      </c>
      <c r="L6615">
        <v>0</v>
      </c>
      <c r="O6615" t="s">
        <v>30</v>
      </c>
      <c r="P6615" t="s">
        <v>29</v>
      </c>
      <c r="Q6615" s="1">
        <v>42280.650208333333</v>
      </c>
      <c r="R6615">
        <v>7</v>
      </c>
      <c r="S6615" t="s">
        <v>6400</v>
      </c>
      <c r="T6615" t="s">
        <v>10098</v>
      </c>
      <c r="U6615" t="s">
        <v>10099</v>
      </c>
      <c r="V6615" s="3">
        <v>42067</v>
      </c>
    </row>
    <row r="6616" spans="1:22" x14ac:dyDescent="0.35">
      <c r="A6616" s="1">
        <v>42280.648854166669</v>
      </c>
      <c r="B6616" s="2">
        <v>1.3541666666666667E-3</v>
      </c>
      <c r="C6616" t="s">
        <v>6693</v>
      </c>
      <c r="D6616" t="s">
        <v>6396</v>
      </c>
      <c r="E6616" t="s">
        <v>6397</v>
      </c>
      <c r="F6616" t="s">
        <v>10097</v>
      </c>
      <c r="G6616">
        <v>1895930</v>
      </c>
      <c r="H6616" t="s">
        <v>26</v>
      </c>
      <c r="I6616" t="s">
        <v>888</v>
      </c>
      <c r="J6616" t="str">
        <f>"9781119019978"</f>
        <v>9781119019978</v>
      </c>
      <c r="K6616" t="s">
        <v>10100</v>
      </c>
      <c r="L6616">
        <v>7</v>
      </c>
      <c r="O6616" t="s">
        <v>30</v>
      </c>
      <c r="P6616" t="s">
        <v>50</v>
      </c>
      <c r="S6616" t="s">
        <v>6400</v>
      </c>
      <c r="T6616" t="s">
        <v>10098</v>
      </c>
      <c r="U6616" t="s">
        <v>10099</v>
      </c>
      <c r="V6616" s="3">
        <v>42067</v>
      </c>
    </row>
    <row r="6617" spans="1:22" x14ac:dyDescent="0.35">
      <c r="A6617" s="1">
        <v>42280.648761574077</v>
      </c>
      <c r="B6617" s="2">
        <v>4.6296296296296294E-5</v>
      </c>
      <c r="C6617" t="s">
        <v>6693</v>
      </c>
      <c r="D6617" t="s">
        <v>6396</v>
      </c>
      <c r="E6617" t="s">
        <v>6397</v>
      </c>
      <c r="F6617" t="s">
        <v>10101</v>
      </c>
      <c r="G6617">
        <v>1781836</v>
      </c>
      <c r="H6617" t="s">
        <v>26</v>
      </c>
      <c r="I6617" t="s">
        <v>10102</v>
      </c>
      <c r="J6617" t="str">
        <f>"9780730315162"</f>
        <v>9780730315162</v>
      </c>
      <c r="K6617" t="s">
        <v>1621</v>
      </c>
      <c r="L6617">
        <v>3</v>
      </c>
      <c r="O6617" t="s">
        <v>30</v>
      </c>
      <c r="P6617" t="s">
        <v>50</v>
      </c>
      <c r="S6617" t="s">
        <v>6400</v>
      </c>
      <c r="T6617" t="s">
        <v>10103</v>
      </c>
      <c r="U6617">
        <v>336.20499999999998</v>
      </c>
      <c r="V6617" s="3">
        <v>41890</v>
      </c>
    </row>
    <row r="6618" spans="1:22" x14ac:dyDescent="0.35">
      <c r="A6618" s="1">
        <v>42280.6487037037</v>
      </c>
      <c r="B6618" s="2">
        <v>1.2384259259259258E-3</v>
      </c>
      <c r="C6618" t="s">
        <v>6693</v>
      </c>
      <c r="D6618" t="s">
        <v>6396</v>
      </c>
      <c r="E6618" t="s">
        <v>6397</v>
      </c>
      <c r="F6618" t="s">
        <v>10104</v>
      </c>
      <c r="G6618">
        <v>1222574</v>
      </c>
      <c r="H6618" t="s">
        <v>26</v>
      </c>
      <c r="I6618" t="s">
        <v>247</v>
      </c>
      <c r="J6618" t="str">
        <f>"9781118352304"</f>
        <v>9781118352304</v>
      </c>
      <c r="K6618" t="s">
        <v>10105</v>
      </c>
      <c r="L6618">
        <v>13</v>
      </c>
      <c r="O6618" t="s">
        <v>30</v>
      </c>
      <c r="P6618" t="s">
        <v>50</v>
      </c>
      <c r="S6618" t="s">
        <v>6400</v>
      </c>
      <c r="T6618" t="s">
        <v>10106</v>
      </c>
      <c r="U6618" t="s">
        <v>10107</v>
      </c>
      <c r="V6618" s="3">
        <v>41446</v>
      </c>
    </row>
    <row r="6619" spans="1:22" x14ac:dyDescent="0.35">
      <c r="A6619" s="1">
        <v>42280.648611111108</v>
      </c>
      <c r="B6619" s="2">
        <v>4.7453703703703704E-4</v>
      </c>
      <c r="C6619" t="s">
        <v>6693</v>
      </c>
      <c r="D6619" t="s">
        <v>6396</v>
      </c>
      <c r="E6619" t="s">
        <v>6397</v>
      </c>
      <c r="F6619" t="s">
        <v>10108</v>
      </c>
      <c r="G6619">
        <v>1397579</v>
      </c>
      <c r="H6619" t="s">
        <v>68</v>
      </c>
      <c r="I6619" t="s">
        <v>120</v>
      </c>
      <c r="J6619" t="str">
        <f>"9781317981350"</f>
        <v>9781317981350</v>
      </c>
      <c r="K6619" t="s">
        <v>10109</v>
      </c>
      <c r="L6619">
        <v>7</v>
      </c>
      <c r="O6619" t="s">
        <v>30</v>
      </c>
      <c r="P6619" t="s">
        <v>50</v>
      </c>
      <c r="S6619" t="s">
        <v>6400</v>
      </c>
      <c r="U6619">
        <v>305.26</v>
      </c>
      <c r="V6619" s="3">
        <v>41530</v>
      </c>
    </row>
    <row r="6620" spans="1:22" x14ac:dyDescent="0.35">
      <c r="A6620" s="1">
        <v>42280.64806712963</v>
      </c>
      <c r="B6620" s="2">
        <v>3.3564814814814812E-4</v>
      </c>
      <c r="C6620" t="s">
        <v>6693</v>
      </c>
      <c r="D6620" t="s">
        <v>6396</v>
      </c>
      <c r="E6620" t="s">
        <v>6397</v>
      </c>
      <c r="F6620" t="s">
        <v>10110</v>
      </c>
      <c r="G6620">
        <v>1662690</v>
      </c>
      <c r="H6620" t="s">
        <v>26</v>
      </c>
      <c r="I6620" t="s">
        <v>322</v>
      </c>
      <c r="J6620" t="str">
        <f>"9781118870716"</f>
        <v>9781118870716</v>
      </c>
      <c r="K6620" t="s">
        <v>10111</v>
      </c>
      <c r="L6620">
        <v>11</v>
      </c>
      <c r="O6620" t="s">
        <v>30</v>
      </c>
      <c r="P6620" t="s">
        <v>50</v>
      </c>
      <c r="S6620" t="s">
        <v>6400</v>
      </c>
      <c r="T6620" t="s">
        <v>10112</v>
      </c>
      <c r="U6620">
        <v>690</v>
      </c>
      <c r="V6620" s="3">
        <v>41724</v>
      </c>
    </row>
    <row r="6621" spans="1:22" x14ac:dyDescent="0.35">
      <c r="A6621" s="1">
        <v>42280.647939814815</v>
      </c>
      <c r="B6621" s="2">
        <v>0</v>
      </c>
      <c r="C6621" t="s">
        <v>6693</v>
      </c>
      <c r="D6621" t="s">
        <v>6396</v>
      </c>
      <c r="E6621" t="s">
        <v>6397</v>
      </c>
      <c r="F6621" t="s">
        <v>10113</v>
      </c>
      <c r="G6621">
        <v>1816323</v>
      </c>
      <c r="H6621" t="s">
        <v>26</v>
      </c>
      <c r="I6621" t="s">
        <v>10114</v>
      </c>
      <c r="J6621" t="str">
        <f>"9781118775295"</f>
        <v>9781118775295</v>
      </c>
      <c r="L6621">
        <v>0</v>
      </c>
      <c r="O6621" t="s">
        <v>28</v>
      </c>
      <c r="P6621" t="s">
        <v>29</v>
      </c>
      <c r="Q6621" s="1">
        <v>42279.797569444447</v>
      </c>
      <c r="R6621">
        <v>7</v>
      </c>
      <c r="S6621" t="s">
        <v>6400</v>
      </c>
      <c r="T6621" t="s">
        <v>10115</v>
      </c>
      <c r="U6621" t="s">
        <v>10116</v>
      </c>
      <c r="V6621" s="3">
        <v>41925</v>
      </c>
    </row>
    <row r="6622" spans="1:22" x14ac:dyDescent="0.35">
      <c r="A6622" s="1">
        <v>42280.647546296299</v>
      </c>
      <c r="B6622" s="2">
        <v>3.0092592592592595E-4</v>
      </c>
      <c r="C6622" t="s">
        <v>6693</v>
      </c>
      <c r="D6622" t="s">
        <v>6396</v>
      </c>
      <c r="E6622" t="s">
        <v>6397</v>
      </c>
      <c r="F6622" t="s">
        <v>10113</v>
      </c>
      <c r="G6622">
        <v>1816323</v>
      </c>
      <c r="H6622" t="s">
        <v>26</v>
      </c>
      <c r="I6622" t="s">
        <v>10114</v>
      </c>
      <c r="J6622" t="str">
        <f>"9781118775295"</f>
        <v>9781118775295</v>
      </c>
      <c r="K6622" t="s">
        <v>536</v>
      </c>
      <c r="L6622">
        <v>3</v>
      </c>
      <c r="O6622" t="s">
        <v>30</v>
      </c>
      <c r="P6622" t="s">
        <v>29</v>
      </c>
      <c r="Q6622" s="1">
        <v>42279.797569444447</v>
      </c>
      <c r="R6622">
        <v>7</v>
      </c>
      <c r="S6622" t="s">
        <v>6400</v>
      </c>
      <c r="T6622" t="s">
        <v>10115</v>
      </c>
      <c r="U6622" t="s">
        <v>10116</v>
      </c>
      <c r="V6622" s="3">
        <v>41925</v>
      </c>
    </row>
    <row r="6623" spans="1:22" x14ac:dyDescent="0.35">
      <c r="A6623" s="1">
        <v>42280.647476851853</v>
      </c>
      <c r="B6623" s="2">
        <v>1.3888888888888889E-4</v>
      </c>
      <c r="C6623" t="s">
        <v>6693</v>
      </c>
      <c r="D6623" t="s">
        <v>6396</v>
      </c>
      <c r="E6623" t="s">
        <v>6397</v>
      </c>
      <c r="F6623" t="s">
        <v>10117</v>
      </c>
      <c r="G6623">
        <v>1629167</v>
      </c>
      <c r="H6623" t="s">
        <v>26</v>
      </c>
      <c r="I6623" t="s">
        <v>888</v>
      </c>
      <c r="J6623" t="str">
        <f>"9781118740071"</f>
        <v>9781118740071</v>
      </c>
      <c r="K6623" t="s">
        <v>63</v>
      </c>
      <c r="L6623">
        <v>1</v>
      </c>
      <c r="O6623" t="s">
        <v>28</v>
      </c>
      <c r="P6623" t="s">
        <v>29</v>
      </c>
      <c r="Q6623" s="1">
        <v>42280.647476851853</v>
      </c>
      <c r="R6623">
        <v>7</v>
      </c>
      <c r="S6623" t="s">
        <v>6400</v>
      </c>
      <c r="T6623" t="s">
        <v>10118</v>
      </c>
      <c r="U6623">
        <v>690</v>
      </c>
      <c r="V6623" s="3">
        <v>41673</v>
      </c>
    </row>
    <row r="6624" spans="1:22" x14ac:dyDescent="0.35">
      <c r="A6624" s="1">
        <v>42280.647476851853</v>
      </c>
      <c r="B6624" s="2">
        <v>0</v>
      </c>
      <c r="C6624" t="s">
        <v>6693</v>
      </c>
      <c r="D6624" t="s">
        <v>6396</v>
      </c>
      <c r="E6624" t="s">
        <v>6397</v>
      </c>
      <c r="F6624" t="s">
        <v>10117</v>
      </c>
      <c r="G6624">
        <v>1629167</v>
      </c>
      <c r="H6624" t="s">
        <v>26</v>
      </c>
      <c r="I6624" t="s">
        <v>888</v>
      </c>
      <c r="J6624" t="str">
        <f>"9781118740071"</f>
        <v>9781118740071</v>
      </c>
      <c r="L6624">
        <v>0</v>
      </c>
      <c r="O6624" t="s">
        <v>30</v>
      </c>
      <c r="P6624" t="s">
        <v>29</v>
      </c>
      <c r="Q6624" s="1">
        <v>42280.647476851853</v>
      </c>
      <c r="R6624">
        <v>7</v>
      </c>
      <c r="S6624" t="s">
        <v>6400</v>
      </c>
      <c r="T6624" t="s">
        <v>10118</v>
      </c>
      <c r="U6624">
        <v>690</v>
      </c>
      <c r="V6624" s="3">
        <v>41673</v>
      </c>
    </row>
    <row r="6625" spans="1:22" x14ac:dyDescent="0.35">
      <c r="A6625" s="1">
        <v>42280.647361111114</v>
      </c>
      <c r="B6625" s="2">
        <v>1.1574074074074073E-4</v>
      </c>
      <c r="C6625" t="s">
        <v>6693</v>
      </c>
      <c r="D6625" t="s">
        <v>6396</v>
      </c>
      <c r="E6625" t="s">
        <v>6397</v>
      </c>
      <c r="F6625" t="s">
        <v>10117</v>
      </c>
      <c r="G6625">
        <v>1629167</v>
      </c>
      <c r="H6625" t="s">
        <v>26</v>
      </c>
      <c r="I6625" t="s">
        <v>888</v>
      </c>
      <c r="J6625" t="str">
        <f>"9781118740071"</f>
        <v>9781118740071</v>
      </c>
      <c r="K6625" t="s">
        <v>2752</v>
      </c>
      <c r="L6625">
        <v>3</v>
      </c>
      <c r="O6625" t="s">
        <v>30</v>
      </c>
      <c r="P6625" t="s">
        <v>50</v>
      </c>
      <c r="S6625" t="s">
        <v>6400</v>
      </c>
      <c r="T6625" t="s">
        <v>10118</v>
      </c>
      <c r="U6625">
        <v>690</v>
      </c>
      <c r="V6625" s="3">
        <v>41673</v>
      </c>
    </row>
    <row r="6626" spans="1:22" x14ac:dyDescent="0.35">
      <c r="A6626" s="1">
        <v>42280.647268518522</v>
      </c>
      <c r="B6626" s="2">
        <v>2.3148148148148147E-5</v>
      </c>
      <c r="C6626" t="s">
        <v>10119</v>
      </c>
      <c r="D6626" t="s">
        <v>360</v>
      </c>
      <c r="E6626" t="s">
        <v>361</v>
      </c>
      <c r="F6626" t="s">
        <v>4169</v>
      </c>
      <c r="G6626">
        <v>2006091</v>
      </c>
      <c r="H6626" t="s">
        <v>26</v>
      </c>
      <c r="I6626" t="s">
        <v>310</v>
      </c>
      <c r="J6626" t="str">
        <f>"9781118780961"</f>
        <v>9781118780961</v>
      </c>
      <c r="K6626" t="s">
        <v>105</v>
      </c>
      <c r="L6626">
        <v>1</v>
      </c>
      <c r="O6626" t="s">
        <v>30</v>
      </c>
      <c r="P6626" t="s">
        <v>42</v>
      </c>
      <c r="S6626" t="s">
        <v>363</v>
      </c>
      <c r="T6626" t="s">
        <v>4171</v>
      </c>
      <c r="U6626" t="s">
        <v>4172</v>
      </c>
      <c r="V6626" s="3">
        <v>41936</v>
      </c>
    </row>
    <row r="6627" spans="1:22" x14ac:dyDescent="0.35">
      <c r="A6627" s="1">
        <v>42280.584189814814</v>
      </c>
      <c r="B6627" s="2">
        <v>4.8842592592592592E-3</v>
      </c>
      <c r="C6627" t="s">
        <v>7783</v>
      </c>
      <c r="D6627" t="s">
        <v>623</v>
      </c>
      <c r="E6627" t="s">
        <v>624</v>
      </c>
      <c r="F6627" t="s">
        <v>235</v>
      </c>
      <c r="G6627">
        <v>1935742</v>
      </c>
      <c r="H6627" t="s">
        <v>236</v>
      </c>
      <c r="I6627" t="s">
        <v>237</v>
      </c>
      <c r="J6627" t="str">
        <f>"9781118473252"</f>
        <v>9781118473252</v>
      </c>
      <c r="K6627" t="s">
        <v>10120</v>
      </c>
      <c r="L6627">
        <v>28</v>
      </c>
      <c r="O6627" t="s">
        <v>30</v>
      </c>
      <c r="P6627" t="s">
        <v>47</v>
      </c>
      <c r="Q6627" s="1">
        <v>42280.578668981485</v>
      </c>
      <c r="R6627">
        <v>1</v>
      </c>
      <c r="S6627" t="s">
        <v>627</v>
      </c>
      <c r="T6627" t="s">
        <v>239</v>
      </c>
      <c r="U6627">
        <v>550</v>
      </c>
      <c r="V6627" s="3">
        <v>41360</v>
      </c>
    </row>
    <row r="6628" spans="1:22" x14ac:dyDescent="0.35">
      <c r="A6628" s="1">
        <v>42280.582002314812</v>
      </c>
      <c r="B6628" s="2">
        <v>0</v>
      </c>
      <c r="C6628" t="s">
        <v>7783</v>
      </c>
      <c r="D6628" t="s">
        <v>623</v>
      </c>
      <c r="E6628" t="s">
        <v>624</v>
      </c>
      <c r="F6628" t="s">
        <v>235</v>
      </c>
      <c r="G6628">
        <v>1935742</v>
      </c>
      <c r="H6628" t="s">
        <v>236</v>
      </c>
      <c r="I6628" t="s">
        <v>237</v>
      </c>
      <c r="J6628" t="str">
        <f>"9781118473252"</f>
        <v>9781118473252</v>
      </c>
      <c r="L6628">
        <v>0</v>
      </c>
      <c r="O6628" t="s">
        <v>28</v>
      </c>
      <c r="P6628" t="s">
        <v>47</v>
      </c>
      <c r="Q6628" s="1">
        <v>42280.578668981485</v>
      </c>
      <c r="R6628">
        <v>1</v>
      </c>
      <c r="S6628" t="s">
        <v>627</v>
      </c>
      <c r="T6628" t="s">
        <v>239</v>
      </c>
      <c r="U6628">
        <v>550</v>
      </c>
      <c r="V6628" s="3">
        <v>41360</v>
      </c>
    </row>
    <row r="6629" spans="1:22" x14ac:dyDescent="0.35">
      <c r="A6629" s="1">
        <v>42280.58153935185</v>
      </c>
      <c r="B6629" s="2">
        <v>9.2592592592592588E-5</v>
      </c>
      <c r="C6629" t="s">
        <v>7783</v>
      </c>
      <c r="D6629" t="s">
        <v>623</v>
      </c>
      <c r="E6629" t="s">
        <v>624</v>
      </c>
      <c r="F6629" t="s">
        <v>235</v>
      </c>
      <c r="G6629">
        <v>1935742</v>
      </c>
      <c r="H6629" t="s">
        <v>236</v>
      </c>
      <c r="I6629" t="s">
        <v>237</v>
      </c>
      <c r="J6629" t="str">
        <f>"9781118473252"</f>
        <v>9781118473252</v>
      </c>
      <c r="K6629" t="s">
        <v>33</v>
      </c>
      <c r="L6629">
        <v>3</v>
      </c>
      <c r="O6629" t="s">
        <v>30</v>
      </c>
      <c r="P6629" t="s">
        <v>47</v>
      </c>
      <c r="Q6629" s="1">
        <v>42280.578668981485</v>
      </c>
      <c r="R6629">
        <v>1</v>
      </c>
      <c r="S6629" t="s">
        <v>627</v>
      </c>
      <c r="T6629" t="s">
        <v>239</v>
      </c>
      <c r="U6629">
        <v>550</v>
      </c>
      <c r="V6629" s="3">
        <v>41360</v>
      </c>
    </row>
    <row r="6630" spans="1:22" x14ac:dyDescent="0.35">
      <c r="A6630" s="1">
        <v>42280.580729166664</v>
      </c>
      <c r="B6630" s="2">
        <v>0</v>
      </c>
      <c r="C6630" t="s">
        <v>7783</v>
      </c>
      <c r="D6630" t="s">
        <v>623</v>
      </c>
      <c r="E6630" t="s">
        <v>624</v>
      </c>
      <c r="F6630" t="s">
        <v>10121</v>
      </c>
      <c r="G6630">
        <v>1673290</v>
      </c>
      <c r="H6630" t="s">
        <v>26</v>
      </c>
      <c r="I6630" t="s">
        <v>237</v>
      </c>
      <c r="J6630" t="str">
        <f>"9781118738474"</f>
        <v>9781118738474</v>
      </c>
      <c r="L6630">
        <v>0</v>
      </c>
      <c r="O6630" t="s">
        <v>28</v>
      </c>
      <c r="P6630" t="s">
        <v>47</v>
      </c>
      <c r="Q6630" s="1">
        <v>42280.580729166664</v>
      </c>
      <c r="R6630">
        <v>1</v>
      </c>
      <c r="S6630" t="s">
        <v>627</v>
      </c>
      <c r="T6630" t="s">
        <v>10122</v>
      </c>
      <c r="U6630">
        <v>551.49</v>
      </c>
      <c r="V6630" s="3">
        <v>41736</v>
      </c>
    </row>
    <row r="6631" spans="1:22" x14ac:dyDescent="0.35">
      <c r="A6631" s="1">
        <v>42280.580729166664</v>
      </c>
      <c r="B6631" s="2">
        <v>0</v>
      </c>
      <c r="C6631" t="s">
        <v>7783</v>
      </c>
      <c r="D6631" t="s">
        <v>623</v>
      </c>
      <c r="E6631" t="s">
        <v>624</v>
      </c>
      <c r="F6631" t="s">
        <v>10121</v>
      </c>
      <c r="G6631">
        <v>1673290</v>
      </c>
      <c r="H6631" t="s">
        <v>26</v>
      </c>
      <c r="I6631" t="s">
        <v>237</v>
      </c>
      <c r="J6631" t="str">
        <f>"9781118738474"</f>
        <v>9781118738474</v>
      </c>
      <c r="L6631">
        <v>0</v>
      </c>
      <c r="O6631" t="s">
        <v>30</v>
      </c>
      <c r="P6631" t="s">
        <v>47</v>
      </c>
      <c r="Q6631" s="1">
        <v>42280.580729166664</v>
      </c>
      <c r="R6631">
        <v>1</v>
      </c>
      <c r="S6631" t="s">
        <v>627</v>
      </c>
      <c r="T6631" t="s">
        <v>10122</v>
      </c>
      <c r="U6631">
        <v>551.49</v>
      </c>
      <c r="V6631" s="3">
        <v>41736</v>
      </c>
    </row>
    <row r="6632" spans="1:22" x14ac:dyDescent="0.35">
      <c r="A6632" s="1">
        <v>42280.580266203702</v>
      </c>
      <c r="B6632" s="2">
        <v>4.6296296296296293E-4</v>
      </c>
      <c r="C6632" t="s">
        <v>7783</v>
      </c>
      <c r="D6632" t="s">
        <v>623</v>
      </c>
      <c r="E6632" t="s">
        <v>624</v>
      </c>
      <c r="F6632" t="s">
        <v>10121</v>
      </c>
      <c r="G6632">
        <v>1673290</v>
      </c>
      <c r="H6632" t="s">
        <v>26</v>
      </c>
      <c r="I6632" t="s">
        <v>237</v>
      </c>
      <c r="J6632" t="str">
        <f>"9781118738474"</f>
        <v>9781118738474</v>
      </c>
      <c r="K6632" t="s">
        <v>1300</v>
      </c>
      <c r="L6632">
        <v>2</v>
      </c>
      <c r="O6632" t="s">
        <v>30</v>
      </c>
      <c r="P6632" t="s">
        <v>50</v>
      </c>
      <c r="S6632" t="s">
        <v>627</v>
      </c>
      <c r="T6632" t="s">
        <v>10122</v>
      </c>
      <c r="U6632">
        <v>551.49</v>
      </c>
      <c r="V6632" s="3">
        <v>41736</v>
      </c>
    </row>
    <row r="6633" spans="1:22" x14ac:dyDescent="0.35">
      <c r="A6633" s="1">
        <v>42280.580185185187</v>
      </c>
      <c r="B6633" s="2">
        <v>2.5462962962962961E-4</v>
      </c>
      <c r="C6633" t="s">
        <v>10119</v>
      </c>
      <c r="D6633" t="s">
        <v>360</v>
      </c>
      <c r="E6633" t="s">
        <v>361</v>
      </c>
      <c r="F6633" t="s">
        <v>10123</v>
      </c>
      <c r="G6633">
        <v>1985762</v>
      </c>
      <c r="H6633" t="s">
        <v>26</v>
      </c>
      <c r="I6633" t="s">
        <v>10124</v>
      </c>
      <c r="J6633" t="str">
        <f>"9780745688374"</f>
        <v>9780745688374</v>
      </c>
      <c r="K6633" t="s">
        <v>10125</v>
      </c>
      <c r="L6633">
        <v>7</v>
      </c>
      <c r="O6633" t="s">
        <v>30</v>
      </c>
      <c r="P6633" t="s">
        <v>42</v>
      </c>
      <c r="S6633" t="s">
        <v>363</v>
      </c>
      <c r="T6633" t="s">
        <v>10126</v>
      </c>
      <c r="U6633">
        <v>335.40100000000001</v>
      </c>
      <c r="V6633" s="3">
        <v>42135</v>
      </c>
    </row>
    <row r="6634" spans="1:22" x14ac:dyDescent="0.35">
      <c r="A6634" s="1">
        <v>42280.578668981485</v>
      </c>
      <c r="B6634" s="2">
        <v>0</v>
      </c>
      <c r="C6634" t="s">
        <v>7783</v>
      </c>
      <c r="D6634" t="s">
        <v>623</v>
      </c>
      <c r="E6634" t="s">
        <v>624</v>
      </c>
      <c r="F6634" t="s">
        <v>235</v>
      </c>
      <c r="G6634">
        <v>1935742</v>
      </c>
      <c r="H6634" t="s">
        <v>236</v>
      </c>
      <c r="I6634" t="s">
        <v>237</v>
      </c>
      <c r="J6634" t="str">
        <f>"9781118473252"</f>
        <v>9781118473252</v>
      </c>
      <c r="L6634">
        <v>0</v>
      </c>
      <c r="O6634" t="s">
        <v>28</v>
      </c>
      <c r="P6634" t="s">
        <v>47</v>
      </c>
      <c r="Q6634" s="1">
        <v>42280.578668981485</v>
      </c>
      <c r="R6634">
        <v>1</v>
      </c>
      <c r="S6634" t="s">
        <v>627</v>
      </c>
      <c r="T6634" t="s">
        <v>239</v>
      </c>
      <c r="U6634">
        <v>550</v>
      </c>
      <c r="V6634" s="3">
        <v>41360</v>
      </c>
    </row>
    <row r="6635" spans="1:22" x14ac:dyDescent="0.35">
      <c r="A6635" s="1">
        <v>42280.578668981485</v>
      </c>
      <c r="B6635" s="2">
        <v>0</v>
      </c>
      <c r="C6635" t="s">
        <v>7783</v>
      </c>
      <c r="D6635" t="s">
        <v>623</v>
      </c>
      <c r="E6635" t="s">
        <v>624</v>
      </c>
      <c r="F6635" t="s">
        <v>235</v>
      </c>
      <c r="G6635">
        <v>1935742</v>
      </c>
      <c r="H6635" t="s">
        <v>236</v>
      </c>
      <c r="I6635" t="s">
        <v>237</v>
      </c>
      <c r="J6635" t="str">
        <f>"9781118473252"</f>
        <v>9781118473252</v>
      </c>
      <c r="L6635">
        <v>0</v>
      </c>
      <c r="O6635" t="s">
        <v>30</v>
      </c>
      <c r="P6635" t="s">
        <v>47</v>
      </c>
      <c r="Q6635" s="1">
        <v>42280.578668981485</v>
      </c>
      <c r="R6635">
        <v>1</v>
      </c>
      <c r="S6635" t="s">
        <v>627</v>
      </c>
      <c r="T6635" t="s">
        <v>239</v>
      </c>
      <c r="U6635">
        <v>550</v>
      </c>
      <c r="V6635" s="3">
        <v>41360</v>
      </c>
    </row>
    <row r="6636" spans="1:22" x14ac:dyDescent="0.35">
      <c r="A6636" s="1">
        <v>42280.578043981484</v>
      </c>
      <c r="B6636" s="2">
        <v>6.2500000000000001E-4</v>
      </c>
      <c r="C6636" t="s">
        <v>7783</v>
      </c>
      <c r="D6636" t="s">
        <v>623</v>
      </c>
      <c r="E6636" t="s">
        <v>624</v>
      </c>
      <c r="F6636" t="s">
        <v>235</v>
      </c>
      <c r="G6636">
        <v>1935742</v>
      </c>
      <c r="H6636" t="s">
        <v>236</v>
      </c>
      <c r="I6636" t="s">
        <v>237</v>
      </c>
      <c r="J6636" t="str">
        <f>"9781118473252"</f>
        <v>9781118473252</v>
      </c>
      <c r="K6636" t="s">
        <v>33</v>
      </c>
      <c r="L6636">
        <v>3</v>
      </c>
      <c r="O6636" t="s">
        <v>30</v>
      </c>
      <c r="P6636" t="s">
        <v>50</v>
      </c>
      <c r="S6636" t="s">
        <v>627</v>
      </c>
      <c r="T6636" t="s">
        <v>239</v>
      </c>
      <c r="U6636">
        <v>550</v>
      </c>
      <c r="V6636" s="3">
        <v>41360</v>
      </c>
    </row>
    <row r="6637" spans="1:22" x14ac:dyDescent="0.35">
      <c r="A6637" s="1">
        <v>42280.450810185182</v>
      </c>
      <c r="B6637" s="2">
        <v>3.3564814814814812E-4</v>
      </c>
      <c r="C6637" t="s">
        <v>9937</v>
      </c>
      <c r="D6637" t="s">
        <v>23</v>
      </c>
      <c r="E6637" t="s">
        <v>24</v>
      </c>
      <c r="F6637" t="s">
        <v>2132</v>
      </c>
      <c r="G6637">
        <v>821801</v>
      </c>
      <c r="H6637" t="s">
        <v>26</v>
      </c>
      <c r="I6637" t="s">
        <v>2133</v>
      </c>
      <c r="J6637" t="str">
        <f>"9781118224144"</f>
        <v>9781118224144</v>
      </c>
      <c r="K6637" t="s">
        <v>86</v>
      </c>
      <c r="L6637">
        <v>5</v>
      </c>
      <c r="O6637" t="s">
        <v>30</v>
      </c>
      <c r="P6637" t="s">
        <v>42</v>
      </c>
      <c r="S6637" t="s">
        <v>31</v>
      </c>
      <c r="T6637" t="s">
        <v>2135</v>
      </c>
      <c r="U6637">
        <v>658.00760000000002</v>
      </c>
      <c r="V6637" s="3">
        <v>40974</v>
      </c>
    </row>
    <row r="6638" spans="1:22" x14ac:dyDescent="0.35">
      <c r="A6638" s="1">
        <v>42280.399733796294</v>
      </c>
      <c r="B6638" s="2">
        <v>1.0416666666666667E-4</v>
      </c>
      <c r="C6638" t="s">
        <v>10127</v>
      </c>
      <c r="D6638" t="s">
        <v>23</v>
      </c>
      <c r="E6638" t="s">
        <v>24</v>
      </c>
      <c r="F6638" t="s">
        <v>3449</v>
      </c>
      <c r="G6638">
        <v>1809344</v>
      </c>
      <c r="H6638" t="s">
        <v>1474</v>
      </c>
      <c r="I6638" t="s">
        <v>120</v>
      </c>
      <c r="J6638" t="str">
        <f>"9781137356192"</f>
        <v>9781137356192</v>
      </c>
      <c r="K6638" t="s">
        <v>33</v>
      </c>
      <c r="L6638">
        <v>3</v>
      </c>
      <c r="O6638" t="s">
        <v>30</v>
      </c>
      <c r="P6638" t="s">
        <v>42</v>
      </c>
      <c r="S6638" t="s">
        <v>31</v>
      </c>
      <c r="T6638" t="s">
        <v>3451</v>
      </c>
      <c r="U6638">
        <v>364.4</v>
      </c>
      <c r="V6638" s="3">
        <v>41915</v>
      </c>
    </row>
    <row r="6639" spans="1:22" x14ac:dyDescent="0.35">
      <c r="A6639" s="1">
        <v>42280.296111111114</v>
      </c>
      <c r="B6639" s="2">
        <v>0</v>
      </c>
      <c r="C6639" t="s">
        <v>7783</v>
      </c>
      <c r="D6639" t="s">
        <v>623</v>
      </c>
      <c r="E6639" t="s">
        <v>624</v>
      </c>
      <c r="F6639" t="s">
        <v>10128</v>
      </c>
      <c r="G6639">
        <v>1977578</v>
      </c>
      <c r="H6639" t="s">
        <v>26</v>
      </c>
      <c r="I6639" t="s">
        <v>3061</v>
      </c>
      <c r="J6639" t="str">
        <f>"9781118581698"</f>
        <v>9781118581698</v>
      </c>
      <c r="L6639">
        <v>0</v>
      </c>
      <c r="O6639" t="s">
        <v>28</v>
      </c>
      <c r="P6639" t="s">
        <v>29</v>
      </c>
      <c r="Q6639" s="1">
        <v>42280.296111111114</v>
      </c>
      <c r="R6639">
        <v>7</v>
      </c>
      <c r="S6639" t="s">
        <v>627</v>
      </c>
      <c r="T6639" t="s">
        <v>10129</v>
      </c>
      <c r="U6639" t="s">
        <v>10130</v>
      </c>
      <c r="V6639" s="3">
        <v>42233</v>
      </c>
    </row>
    <row r="6640" spans="1:22" x14ac:dyDescent="0.35">
      <c r="A6640" s="1">
        <v>42280.296111111114</v>
      </c>
      <c r="B6640" s="2">
        <v>0</v>
      </c>
      <c r="C6640" t="s">
        <v>7783</v>
      </c>
      <c r="D6640" t="s">
        <v>623</v>
      </c>
      <c r="E6640" t="s">
        <v>624</v>
      </c>
      <c r="F6640" t="s">
        <v>10128</v>
      </c>
      <c r="G6640">
        <v>1977578</v>
      </c>
      <c r="H6640" t="s">
        <v>26</v>
      </c>
      <c r="I6640" t="s">
        <v>3061</v>
      </c>
      <c r="J6640" t="str">
        <f>"9781118581698"</f>
        <v>9781118581698</v>
      </c>
      <c r="L6640">
        <v>0</v>
      </c>
      <c r="O6640" t="s">
        <v>30</v>
      </c>
      <c r="P6640" t="s">
        <v>29</v>
      </c>
      <c r="Q6640" s="1">
        <v>42280.296111111114</v>
      </c>
      <c r="R6640">
        <v>7</v>
      </c>
      <c r="S6640" t="s">
        <v>627</v>
      </c>
      <c r="T6640" t="s">
        <v>10129</v>
      </c>
      <c r="U6640" t="s">
        <v>10130</v>
      </c>
      <c r="V6640" s="3">
        <v>42233</v>
      </c>
    </row>
    <row r="6641" spans="1:22" x14ac:dyDescent="0.35">
      <c r="A6641" s="1">
        <v>42280.295937499999</v>
      </c>
      <c r="B6641" s="2">
        <v>0</v>
      </c>
      <c r="C6641" t="s">
        <v>7783</v>
      </c>
      <c r="D6641" t="s">
        <v>623</v>
      </c>
      <c r="E6641" t="s">
        <v>624</v>
      </c>
      <c r="F6641" t="s">
        <v>10131</v>
      </c>
      <c r="G6641">
        <v>1461062</v>
      </c>
      <c r="H6641" t="s">
        <v>68</v>
      </c>
      <c r="I6641" t="s">
        <v>10132</v>
      </c>
      <c r="J6641" t="str">
        <f>"9781134153183"</f>
        <v>9781134153183</v>
      </c>
      <c r="L6641">
        <v>0</v>
      </c>
      <c r="O6641" t="s">
        <v>28</v>
      </c>
      <c r="P6641" t="s">
        <v>47</v>
      </c>
      <c r="Q6641" s="1">
        <v>42280.295937499999</v>
      </c>
      <c r="R6641">
        <v>1</v>
      </c>
      <c r="S6641" t="s">
        <v>627</v>
      </c>
      <c r="T6641" t="s">
        <v>10133</v>
      </c>
      <c r="U6641">
        <v>372.35704399999997</v>
      </c>
      <c r="V6641" s="3">
        <v>37540</v>
      </c>
    </row>
    <row r="6642" spans="1:22" x14ac:dyDescent="0.35">
      <c r="A6642" s="1">
        <v>42280.295937499999</v>
      </c>
      <c r="B6642" s="2">
        <v>0</v>
      </c>
      <c r="C6642" t="s">
        <v>7783</v>
      </c>
      <c r="D6642" t="s">
        <v>623</v>
      </c>
      <c r="E6642" t="s">
        <v>624</v>
      </c>
      <c r="F6642" t="s">
        <v>10131</v>
      </c>
      <c r="G6642">
        <v>1461062</v>
      </c>
      <c r="H6642" t="s">
        <v>68</v>
      </c>
      <c r="I6642" t="s">
        <v>10132</v>
      </c>
      <c r="J6642" t="str">
        <f>"9781134153183"</f>
        <v>9781134153183</v>
      </c>
      <c r="L6642">
        <v>0</v>
      </c>
      <c r="O6642" t="s">
        <v>30</v>
      </c>
      <c r="P6642" t="s">
        <v>47</v>
      </c>
      <c r="Q6642" s="1">
        <v>42280.295937499999</v>
      </c>
      <c r="R6642">
        <v>1</v>
      </c>
      <c r="S6642" t="s">
        <v>627</v>
      </c>
      <c r="T6642" t="s">
        <v>10133</v>
      </c>
      <c r="U6642">
        <v>372.35704399999997</v>
      </c>
      <c r="V6642" s="3">
        <v>37540</v>
      </c>
    </row>
    <row r="6643" spans="1:22" x14ac:dyDescent="0.35">
      <c r="A6643" s="1">
        <v>42280.295648148145</v>
      </c>
      <c r="B6643" s="2">
        <v>0</v>
      </c>
      <c r="C6643" t="s">
        <v>7783</v>
      </c>
      <c r="D6643" t="s">
        <v>623</v>
      </c>
      <c r="E6643" t="s">
        <v>624</v>
      </c>
      <c r="F6643" t="s">
        <v>10134</v>
      </c>
      <c r="G6643">
        <v>2009818</v>
      </c>
      <c r="H6643" t="s">
        <v>26</v>
      </c>
      <c r="I6643" t="s">
        <v>1407</v>
      </c>
      <c r="J6643" t="str">
        <f>"9781118525241"</f>
        <v>9781118525241</v>
      </c>
      <c r="L6643">
        <v>0</v>
      </c>
      <c r="O6643" t="s">
        <v>28</v>
      </c>
      <c r="P6643" t="s">
        <v>29</v>
      </c>
      <c r="Q6643" s="1">
        <v>42280.295648148145</v>
      </c>
      <c r="R6643">
        <v>7</v>
      </c>
      <c r="S6643" t="s">
        <v>627</v>
      </c>
      <c r="T6643" t="s">
        <v>10135</v>
      </c>
      <c r="U6643" t="s">
        <v>10136</v>
      </c>
      <c r="V6643" s="3">
        <v>42242</v>
      </c>
    </row>
    <row r="6644" spans="1:22" x14ac:dyDescent="0.35">
      <c r="A6644" s="1">
        <v>42280.295648148145</v>
      </c>
      <c r="B6644" s="2">
        <v>0</v>
      </c>
      <c r="C6644" t="s">
        <v>7783</v>
      </c>
      <c r="D6644" t="s">
        <v>623</v>
      </c>
      <c r="E6644" t="s">
        <v>624</v>
      </c>
      <c r="F6644" t="s">
        <v>10134</v>
      </c>
      <c r="G6644">
        <v>2009818</v>
      </c>
      <c r="H6644" t="s">
        <v>26</v>
      </c>
      <c r="I6644" t="s">
        <v>1407</v>
      </c>
      <c r="J6644" t="str">
        <f>"9781118525241"</f>
        <v>9781118525241</v>
      </c>
      <c r="L6644">
        <v>0</v>
      </c>
      <c r="O6644" t="s">
        <v>30</v>
      </c>
      <c r="P6644" t="s">
        <v>29</v>
      </c>
      <c r="Q6644" s="1">
        <v>42280.295648148145</v>
      </c>
      <c r="R6644">
        <v>7</v>
      </c>
      <c r="S6644" t="s">
        <v>627</v>
      </c>
      <c r="T6644" t="s">
        <v>10135</v>
      </c>
      <c r="U6644" t="s">
        <v>10136</v>
      </c>
      <c r="V6644" s="3">
        <v>42242</v>
      </c>
    </row>
    <row r="6645" spans="1:22" x14ac:dyDescent="0.35">
      <c r="A6645" s="1">
        <v>42280.295486111114</v>
      </c>
      <c r="B6645" s="2">
        <v>4.5138888888888892E-4</v>
      </c>
      <c r="C6645" t="s">
        <v>7783</v>
      </c>
      <c r="D6645" t="s">
        <v>623</v>
      </c>
      <c r="E6645" t="s">
        <v>624</v>
      </c>
      <c r="F6645" t="s">
        <v>10131</v>
      </c>
      <c r="G6645">
        <v>1461062</v>
      </c>
      <c r="H6645" t="s">
        <v>68</v>
      </c>
      <c r="I6645" t="s">
        <v>10132</v>
      </c>
      <c r="J6645" t="str">
        <f>"9781134153183"</f>
        <v>9781134153183</v>
      </c>
      <c r="K6645" t="s">
        <v>889</v>
      </c>
      <c r="L6645">
        <v>6</v>
      </c>
      <c r="O6645" t="s">
        <v>30</v>
      </c>
      <c r="P6645" t="s">
        <v>50</v>
      </c>
      <c r="S6645" t="s">
        <v>627</v>
      </c>
      <c r="T6645" t="s">
        <v>10133</v>
      </c>
      <c r="U6645">
        <v>372.35704399999997</v>
      </c>
      <c r="V6645" s="3">
        <v>37540</v>
      </c>
    </row>
    <row r="6646" spans="1:22" x14ac:dyDescent="0.35">
      <c r="A6646" s="1">
        <v>42280.295023148145</v>
      </c>
      <c r="B6646" s="2">
        <v>6.2500000000000001E-4</v>
      </c>
      <c r="C6646" t="s">
        <v>7783</v>
      </c>
      <c r="D6646" t="s">
        <v>623</v>
      </c>
      <c r="E6646" t="s">
        <v>624</v>
      </c>
      <c r="F6646" t="s">
        <v>10134</v>
      </c>
      <c r="G6646">
        <v>2009818</v>
      </c>
      <c r="H6646" t="s">
        <v>26</v>
      </c>
      <c r="I6646" t="s">
        <v>1407</v>
      </c>
      <c r="J6646" t="str">
        <f>"9781118525241"</f>
        <v>9781118525241</v>
      </c>
      <c r="K6646" t="s">
        <v>209</v>
      </c>
      <c r="L6646">
        <v>4</v>
      </c>
      <c r="O6646" t="s">
        <v>30</v>
      </c>
      <c r="P6646" t="s">
        <v>50</v>
      </c>
      <c r="S6646" t="s">
        <v>627</v>
      </c>
      <c r="T6646" t="s">
        <v>10135</v>
      </c>
      <c r="U6646" t="s">
        <v>10136</v>
      </c>
      <c r="V6646" s="3">
        <v>42242</v>
      </c>
    </row>
    <row r="6647" spans="1:22" x14ac:dyDescent="0.35">
      <c r="A6647" s="1">
        <v>42280.295011574075</v>
      </c>
      <c r="B6647" s="2">
        <v>1.0879629629629629E-3</v>
      </c>
      <c r="C6647" t="s">
        <v>7783</v>
      </c>
      <c r="D6647" t="s">
        <v>623</v>
      </c>
      <c r="E6647" t="s">
        <v>624</v>
      </c>
      <c r="F6647" t="s">
        <v>10128</v>
      </c>
      <c r="G6647">
        <v>1977578</v>
      </c>
      <c r="H6647" t="s">
        <v>26</v>
      </c>
      <c r="I6647" t="s">
        <v>3061</v>
      </c>
      <c r="J6647" t="str">
        <f>"9781118581698"</f>
        <v>9781118581698</v>
      </c>
      <c r="K6647" t="s">
        <v>209</v>
      </c>
      <c r="L6647">
        <v>4</v>
      </c>
      <c r="O6647" t="s">
        <v>30</v>
      </c>
      <c r="P6647" t="s">
        <v>50</v>
      </c>
      <c r="S6647" t="s">
        <v>627</v>
      </c>
      <c r="T6647" t="s">
        <v>10129</v>
      </c>
      <c r="U6647" t="s">
        <v>10130</v>
      </c>
      <c r="V6647" s="3">
        <v>42233</v>
      </c>
    </row>
    <row r="6648" spans="1:22" x14ac:dyDescent="0.35">
      <c r="A6648" s="1">
        <v>42280.292905092596</v>
      </c>
      <c r="B6648" s="2">
        <v>0</v>
      </c>
      <c r="C6648" t="s">
        <v>7783</v>
      </c>
      <c r="D6648" t="s">
        <v>623</v>
      </c>
      <c r="E6648" t="s">
        <v>624</v>
      </c>
      <c r="F6648" t="s">
        <v>10137</v>
      </c>
      <c r="G6648">
        <v>2006720</v>
      </c>
      <c r="H6648" t="s">
        <v>84</v>
      </c>
      <c r="I6648" t="s">
        <v>661</v>
      </c>
      <c r="J6648" t="str">
        <f>"9780520962644"</f>
        <v>9780520962644</v>
      </c>
      <c r="L6648">
        <v>0</v>
      </c>
      <c r="O6648" t="s">
        <v>28</v>
      </c>
      <c r="P6648" t="s">
        <v>47</v>
      </c>
      <c r="Q6648" s="1">
        <v>42280.292905092596</v>
      </c>
      <c r="R6648">
        <v>1</v>
      </c>
      <c r="S6648" t="s">
        <v>627</v>
      </c>
      <c r="T6648" t="s">
        <v>10138</v>
      </c>
      <c r="U6648" t="s">
        <v>10139</v>
      </c>
      <c r="V6648" s="3">
        <v>42324</v>
      </c>
    </row>
    <row r="6649" spans="1:22" x14ac:dyDescent="0.35">
      <c r="A6649" s="1">
        <v>42280.292905092596</v>
      </c>
      <c r="B6649" s="2">
        <v>0</v>
      </c>
      <c r="C6649" t="s">
        <v>7783</v>
      </c>
      <c r="D6649" t="s">
        <v>623</v>
      </c>
      <c r="E6649" t="s">
        <v>624</v>
      </c>
      <c r="F6649" t="s">
        <v>10137</v>
      </c>
      <c r="G6649">
        <v>2006720</v>
      </c>
      <c r="H6649" t="s">
        <v>84</v>
      </c>
      <c r="I6649" t="s">
        <v>661</v>
      </c>
      <c r="J6649" t="str">
        <f>"9780520962644"</f>
        <v>9780520962644</v>
      </c>
      <c r="L6649">
        <v>0</v>
      </c>
      <c r="O6649" t="s">
        <v>30</v>
      </c>
      <c r="P6649" t="s">
        <v>47</v>
      </c>
      <c r="Q6649" s="1">
        <v>42280.292905092596</v>
      </c>
      <c r="R6649">
        <v>1</v>
      </c>
      <c r="S6649" t="s">
        <v>627</v>
      </c>
      <c r="T6649" t="s">
        <v>10138</v>
      </c>
      <c r="U6649" t="s">
        <v>10139</v>
      </c>
      <c r="V6649" s="3">
        <v>42324</v>
      </c>
    </row>
    <row r="6650" spans="1:22" x14ac:dyDescent="0.35">
      <c r="A6650" s="1">
        <v>42280.292384259257</v>
      </c>
      <c r="B6650" s="2">
        <v>2.8009259259259259E-3</v>
      </c>
      <c r="C6650" t="s">
        <v>7783</v>
      </c>
      <c r="D6650" t="s">
        <v>623</v>
      </c>
      <c r="E6650" t="s">
        <v>624</v>
      </c>
      <c r="F6650" t="s">
        <v>10140</v>
      </c>
      <c r="G6650">
        <v>1693647</v>
      </c>
      <c r="H6650" t="s">
        <v>84</v>
      </c>
      <c r="I6650" t="s">
        <v>10141</v>
      </c>
      <c r="J6650" t="str">
        <f>"9780520958388"</f>
        <v>9780520958388</v>
      </c>
      <c r="K6650" t="s">
        <v>10142</v>
      </c>
      <c r="L6650">
        <v>42</v>
      </c>
      <c r="O6650" t="s">
        <v>30</v>
      </c>
      <c r="P6650" t="s">
        <v>50</v>
      </c>
      <c r="S6650" t="s">
        <v>627</v>
      </c>
      <c r="T6650" t="s">
        <v>10143</v>
      </c>
      <c r="U6650">
        <v>598.09699999999998</v>
      </c>
      <c r="V6650" s="3">
        <v>41857</v>
      </c>
    </row>
    <row r="6651" spans="1:22" x14ac:dyDescent="0.35">
      <c r="A6651" s="1">
        <v>42280.292361111111</v>
      </c>
      <c r="B6651" s="2">
        <v>2.0601851851851853E-3</v>
      </c>
      <c r="C6651" t="s">
        <v>7783</v>
      </c>
      <c r="D6651" t="s">
        <v>623</v>
      </c>
      <c r="E6651" t="s">
        <v>624</v>
      </c>
      <c r="F6651" t="s">
        <v>10144</v>
      </c>
      <c r="G6651">
        <v>1895786</v>
      </c>
      <c r="H6651" t="s">
        <v>26</v>
      </c>
      <c r="I6651" t="s">
        <v>1407</v>
      </c>
      <c r="J6651" t="str">
        <f>"9781118947562"</f>
        <v>9781118947562</v>
      </c>
      <c r="K6651" t="s">
        <v>889</v>
      </c>
      <c r="L6651">
        <v>6</v>
      </c>
      <c r="O6651" t="s">
        <v>30</v>
      </c>
      <c r="P6651" t="s">
        <v>50</v>
      </c>
      <c r="S6651" t="s">
        <v>627</v>
      </c>
      <c r="T6651" t="s">
        <v>10145</v>
      </c>
      <c r="U6651" t="s">
        <v>10146</v>
      </c>
      <c r="V6651" s="3">
        <v>42086</v>
      </c>
    </row>
    <row r="6652" spans="1:22" x14ac:dyDescent="0.35">
      <c r="A6652" s="1">
        <v>42280.292349537034</v>
      </c>
      <c r="B6652" s="2">
        <v>5.5555555555555556E-4</v>
      </c>
      <c r="C6652" t="s">
        <v>7783</v>
      </c>
      <c r="D6652" t="s">
        <v>623</v>
      </c>
      <c r="E6652" t="s">
        <v>624</v>
      </c>
      <c r="F6652" t="s">
        <v>10137</v>
      </c>
      <c r="G6652">
        <v>2006720</v>
      </c>
      <c r="H6652" t="s">
        <v>84</v>
      </c>
      <c r="I6652" t="s">
        <v>661</v>
      </c>
      <c r="J6652" t="str">
        <f>"9780520962644"</f>
        <v>9780520962644</v>
      </c>
      <c r="K6652" t="s">
        <v>33</v>
      </c>
      <c r="L6652">
        <v>3</v>
      </c>
      <c r="O6652" t="s">
        <v>30</v>
      </c>
      <c r="P6652" t="s">
        <v>50</v>
      </c>
      <c r="S6652" t="s">
        <v>627</v>
      </c>
      <c r="T6652" t="s">
        <v>10138</v>
      </c>
      <c r="U6652" t="s">
        <v>10139</v>
      </c>
      <c r="V6652" s="3">
        <v>42324</v>
      </c>
    </row>
    <row r="6653" spans="1:22" x14ac:dyDescent="0.35">
      <c r="A6653" s="1">
        <v>42280.137442129628</v>
      </c>
      <c r="B6653" s="2">
        <v>9.4212962962962957E-3</v>
      </c>
      <c r="C6653" t="s">
        <v>10147</v>
      </c>
      <c r="D6653" t="s">
        <v>1222</v>
      </c>
      <c r="E6653" t="s">
        <v>1223</v>
      </c>
      <c r="F6653" t="s">
        <v>10148</v>
      </c>
      <c r="G6653">
        <v>1580892</v>
      </c>
      <c r="H6653" t="s">
        <v>45</v>
      </c>
      <c r="I6653" t="s">
        <v>5134</v>
      </c>
      <c r="J6653" t="str">
        <f>"9781409467250"</f>
        <v>9781409467250</v>
      </c>
      <c r="K6653" t="s">
        <v>10149</v>
      </c>
      <c r="L6653">
        <v>11</v>
      </c>
      <c r="O6653" t="s">
        <v>30</v>
      </c>
      <c r="P6653" t="s">
        <v>47</v>
      </c>
      <c r="Q6653" s="1">
        <v>42280.137442129628</v>
      </c>
      <c r="R6653">
        <v>1</v>
      </c>
      <c r="S6653" t="s">
        <v>1226</v>
      </c>
      <c r="T6653" t="s">
        <v>10150</v>
      </c>
      <c r="U6653">
        <v>907.5</v>
      </c>
      <c r="V6653" s="3">
        <v>41698</v>
      </c>
    </row>
    <row r="6654" spans="1:22" x14ac:dyDescent="0.35">
      <c r="A6654" s="1">
        <v>42280.109988425924</v>
      </c>
      <c r="B6654" s="2">
        <v>2.7453703703703702E-2</v>
      </c>
      <c r="C6654" t="s">
        <v>10147</v>
      </c>
      <c r="D6654" t="s">
        <v>1222</v>
      </c>
      <c r="E6654" t="s">
        <v>1223</v>
      </c>
      <c r="F6654" t="s">
        <v>10148</v>
      </c>
      <c r="G6654">
        <v>1580892</v>
      </c>
      <c r="H6654" t="s">
        <v>45</v>
      </c>
      <c r="I6654" t="s">
        <v>5134</v>
      </c>
      <c r="J6654" t="str">
        <f>"9781409467250"</f>
        <v>9781409467250</v>
      </c>
      <c r="K6654" t="s">
        <v>10151</v>
      </c>
      <c r="L6654">
        <v>8</v>
      </c>
      <c r="O6654" t="s">
        <v>30</v>
      </c>
      <c r="P6654" t="s">
        <v>50</v>
      </c>
      <c r="S6654" t="s">
        <v>1226</v>
      </c>
      <c r="T6654" t="s">
        <v>10150</v>
      </c>
      <c r="U6654">
        <v>907.5</v>
      </c>
      <c r="V6654" s="3">
        <v>41698</v>
      </c>
    </row>
    <row r="6655" spans="1:22" x14ac:dyDescent="0.35">
      <c r="A6655" s="1">
        <v>42279.971782407411</v>
      </c>
      <c r="B6655" s="2">
        <v>2.7777777777777778E-4</v>
      </c>
      <c r="C6655" t="s">
        <v>9950</v>
      </c>
      <c r="D6655" t="s">
        <v>23</v>
      </c>
      <c r="E6655" t="s">
        <v>24</v>
      </c>
      <c r="F6655" t="s">
        <v>3488</v>
      </c>
      <c r="G6655">
        <v>1294909</v>
      </c>
      <c r="H6655" t="s">
        <v>84</v>
      </c>
      <c r="I6655" t="s">
        <v>445</v>
      </c>
      <c r="J6655" t="str">
        <f>"9780520956797"</f>
        <v>9780520956797</v>
      </c>
      <c r="K6655" t="s">
        <v>10152</v>
      </c>
      <c r="L6655">
        <v>10</v>
      </c>
      <c r="O6655" t="s">
        <v>30</v>
      </c>
      <c r="P6655" t="s">
        <v>42</v>
      </c>
      <c r="S6655" t="s">
        <v>31</v>
      </c>
      <c r="T6655" t="s">
        <v>3490</v>
      </c>
      <c r="U6655" t="s">
        <v>3491</v>
      </c>
      <c r="V6655" s="3">
        <v>41487</v>
      </c>
    </row>
    <row r="6656" spans="1:22" x14ac:dyDescent="0.35">
      <c r="A6656" s="1">
        <v>42279.827372685184</v>
      </c>
      <c r="B6656" s="2">
        <v>1.1805555555555556E-3</v>
      </c>
      <c r="C6656" t="s">
        <v>8975</v>
      </c>
      <c r="D6656" t="s">
        <v>23</v>
      </c>
      <c r="E6656" t="s">
        <v>24</v>
      </c>
      <c r="F6656" t="s">
        <v>246</v>
      </c>
      <c r="G6656">
        <v>1682559</v>
      </c>
      <c r="H6656" t="s">
        <v>91</v>
      </c>
      <c r="I6656" t="s">
        <v>247</v>
      </c>
      <c r="J6656" t="str">
        <f>"9781462515431"</f>
        <v>9781462515431</v>
      </c>
      <c r="K6656" t="s">
        <v>10153</v>
      </c>
      <c r="L6656">
        <v>6</v>
      </c>
      <c r="M6656" t="s">
        <v>10154</v>
      </c>
      <c r="O6656" t="s">
        <v>30</v>
      </c>
      <c r="P6656" t="s">
        <v>29</v>
      </c>
      <c r="Q6656" s="1">
        <v>42279.827372685184</v>
      </c>
      <c r="R6656">
        <v>7</v>
      </c>
      <c r="S6656" t="s">
        <v>31</v>
      </c>
      <c r="T6656" t="s">
        <v>249</v>
      </c>
      <c r="U6656">
        <v>616.89</v>
      </c>
      <c r="V6656" s="3">
        <v>41769</v>
      </c>
    </row>
    <row r="6657" spans="1:22" x14ac:dyDescent="0.35">
      <c r="A6657" s="1">
        <v>42279.820150462961</v>
      </c>
      <c r="B6657" s="2">
        <v>7.2222222222222228E-3</v>
      </c>
      <c r="C6657" t="s">
        <v>8975</v>
      </c>
      <c r="D6657" t="s">
        <v>23</v>
      </c>
      <c r="E6657" t="s">
        <v>24</v>
      </c>
      <c r="F6657" t="s">
        <v>246</v>
      </c>
      <c r="G6657">
        <v>1682559</v>
      </c>
      <c r="H6657" t="s">
        <v>91</v>
      </c>
      <c r="I6657" t="s">
        <v>247</v>
      </c>
      <c r="J6657" t="str">
        <f>"9781462515431"</f>
        <v>9781462515431</v>
      </c>
      <c r="K6657" t="s">
        <v>10155</v>
      </c>
      <c r="L6657">
        <v>21</v>
      </c>
      <c r="O6657" t="s">
        <v>30</v>
      </c>
      <c r="P6657" t="s">
        <v>42</v>
      </c>
      <c r="S6657" t="s">
        <v>31</v>
      </c>
      <c r="T6657" t="s">
        <v>249</v>
      </c>
      <c r="U6657">
        <v>616.89</v>
      </c>
      <c r="V6657" s="3">
        <v>41769</v>
      </c>
    </row>
    <row r="6658" spans="1:22" x14ac:dyDescent="0.35">
      <c r="A6658" s="1">
        <v>42279.799560185187</v>
      </c>
      <c r="B6658" s="2">
        <v>0</v>
      </c>
      <c r="C6658" t="s">
        <v>6693</v>
      </c>
      <c r="D6658" t="s">
        <v>6396</v>
      </c>
      <c r="E6658" t="s">
        <v>6397</v>
      </c>
      <c r="F6658" t="s">
        <v>10156</v>
      </c>
      <c r="G6658">
        <v>1542665</v>
      </c>
      <c r="H6658" t="s">
        <v>68</v>
      </c>
      <c r="I6658" t="s">
        <v>10157</v>
      </c>
      <c r="J6658" t="str">
        <f>"9781134072262"</f>
        <v>9781134072262</v>
      </c>
      <c r="L6658">
        <v>0</v>
      </c>
      <c r="O6658" t="s">
        <v>28</v>
      </c>
      <c r="P6658" t="s">
        <v>47</v>
      </c>
      <c r="Q6658" s="1">
        <v>42279.799560185187</v>
      </c>
      <c r="R6658">
        <v>1</v>
      </c>
      <c r="S6658" t="s">
        <v>6400</v>
      </c>
      <c r="T6658" t="s">
        <v>10158</v>
      </c>
      <c r="U6658">
        <v>333.95389999999998</v>
      </c>
      <c r="V6658" s="3">
        <v>37288</v>
      </c>
    </row>
    <row r="6659" spans="1:22" x14ac:dyDescent="0.35">
      <c r="A6659" s="1">
        <v>42279.799560185187</v>
      </c>
      <c r="B6659" s="2">
        <v>0</v>
      </c>
      <c r="C6659" t="s">
        <v>6693</v>
      </c>
      <c r="D6659" t="s">
        <v>6396</v>
      </c>
      <c r="E6659" t="s">
        <v>6397</v>
      </c>
      <c r="F6659" t="s">
        <v>10156</v>
      </c>
      <c r="G6659">
        <v>1542665</v>
      </c>
      <c r="H6659" t="s">
        <v>68</v>
      </c>
      <c r="I6659" t="s">
        <v>10157</v>
      </c>
      <c r="J6659" t="str">
        <f>"9781134072262"</f>
        <v>9781134072262</v>
      </c>
      <c r="L6659">
        <v>0</v>
      </c>
      <c r="O6659" t="s">
        <v>30</v>
      </c>
      <c r="P6659" t="s">
        <v>47</v>
      </c>
      <c r="Q6659" s="1">
        <v>42279.799560185187</v>
      </c>
      <c r="R6659">
        <v>1</v>
      </c>
      <c r="S6659" t="s">
        <v>6400</v>
      </c>
      <c r="T6659" t="s">
        <v>10158</v>
      </c>
      <c r="U6659">
        <v>333.95389999999998</v>
      </c>
      <c r="V6659" s="3">
        <v>37288</v>
      </c>
    </row>
    <row r="6660" spans="1:22" x14ac:dyDescent="0.35">
      <c r="A6660" s="1">
        <v>42279.799363425926</v>
      </c>
      <c r="B6660" s="2">
        <v>0</v>
      </c>
      <c r="C6660" t="s">
        <v>6693</v>
      </c>
      <c r="D6660" t="s">
        <v>6396</v>
      </c>
      <c r="E6660" t="s">
        <v>6397</v>
      </c>
      <c r="F6660" t="s">
        <v>10159</v>
      </c>
      <c r="G6660">
        <v>1605590</v>
      </c>
      <c r="H6660" t="s">
        <v>26</v>
      </c>
      <c r="I6660" t="s">
        <v>322</v>
      </c>
      <c r="J6660" t="str">
        <f>"9781118749883"</f>
        <v>9781118749883</v>
      </c>
      <c r="L6660">
        <v>0</v>
      </c>
      <c r="O6660" t="s">
        <v>28</v>
      </c>
      <c r="P6660" t="s">
        <v>47</v>
      </c>
      <c r="Q6660" s="1">
        <v>42279.798784722225</v>
      </c>
      <c r="R6660">
        <v>1</v>
      </c>
      <c r="S6660" t="s">
        <v>6400</v>
      </c>
      <c r="T6660" t="s">
        <v>10160</v>
      </c>
      <c r="U6660" t="s">
        <v>10161</v>
      </c>
      <c r="V6660" s="3">
        <v>41667</v>
      </c>
    </row>
    <row r="6661" spans="1:22" x14ac:dyDescent="0.35">
      <c r="A6661" s="1">
        <v>42279.798784722225</v>
      </c>
      <c r="B6661" s="2">
        <v>4.6296296296296293E-4</v>
      </c>
      <c r="C6661" t="s">
        <v>6693</v>
      </c>
      <c r="D6661" t="s">
        <v>6396</v>
      </c>
      <c r="E6661" t="s">
        <v>6397</v>
      </c>
      <c r="F6661" t="s">
        <v>10159</v>
      </c>
      <c r="G6661">
        <v>1605590</v>
      </c>
      <c r="H6661" t="s">
        <v>26</v>
      </c>
      <c r="I6661" t="s">
        <v>322</v>
      </c>
      <c r="J6661" t="str">
        <f>"9781118749883"</f>
        <v>9781118749883</v>
      </c>
      <c r="K6661" t="s">
        <v>10162</v>
      </c>
      <c r="L6661">
        <v>14</v>
      </c>
      <c r="O6661" t="s">
        <v>30</v>
      </c>
      <c r="P6661" t="s">
        <v>47</v>
      </c>
      <c r="Q6661" s="1">
        <v>42279.798784722225</v>
      </c>
      <c r="R6661">
        <v>1</v>
      </c>
      <c r="S6661" t="s">
        <v>6400</v>
      </c>
      <c r="T6661" t="s">
        <v>10160</v>
      </c>
      <c r="U6661" t="s">
        <v>10161</v>
      </c>
      <c r="V6661" s="3">
        <v>41667</v>
      </c>
    </row>
    <row r="6662" spans="1:22" x14ac:dyDescent="0.35">
      <c r="A6662" s="1">
        <v>42279.798645833333</v>
      </c>
      <c r="B6662" s="2">
        <v>0</v>
      </c>
      <c r="C6662" t="s">
        <v>6693</v>
      </c>
      <c r="D6662" t="s">
        <v>6396</v>
      </c>
      <c r="E6662" t="s">
        <v>6397</v>
      </c>
      <c r="F6662" t="s">
        <v>10163</v>
      </c>
      <c r="G6662">
        <v>1896058</v>
      </c>
      <c r="H6662" t="s">
        <v>26</v>
      </c>
      <c r="I6662" t="s">
        <v>2751</v>
      </c>
      <c r="J6662" t="str">
        <f>"9783527654857"</f>
        <v>9783527654857</v>
      </c>
      <c r="L6662">
        <v>0</v>
      </c>
      <c r="O6662" t="s">
        <v>28</v>
      </c>
      <c r="P6662" t="s">
        <v>29</v>
      </c>
      <c r="Q6662" s="1">
        <v>42279.798645833333</v>
      </c>
      <c r="R6662">
        <v>7</v>
      </c>
      <c r="S6662" t="s">
        <v>6400</v>
      </c>
      <c r="T6662" t="s">
        <v>10164</v>
      </c>
      <c r="U6662" t="s">
        <v>10165</v>
      </c>
      <c r="V6662" s="3">
        <v>41991</v>
      </c>
    </row>
    <row r="6663" spans="1:22" x14ac:dyDescent="0.35">
      <c r="A6663" s="1">
        <v>42279.798645833333</v>
      </c>
      <c r="B6663" s="2">
        <v>0</v>
      </c>
      <c r="C6663" t="s">
        <v>6693</v>
      </c>
      <c r="D6663" t="s">
        <v>6396</v>
      </c>
      <c r="E6663" t="s">
        <v>6397</v>
      </c>
      <c r="F6663" t="s">
        <v>10163</v>
      </c>
      <c r="G6663">
        <v>1896058</v>
      </c>
      <c r="H6663" t="s">
        <v>26</v>
      </c>
      <c r="I6663" t="s">
        <v>2751</v>
      </c>
      <c r="J6663" t="str">
        <f>"9783527654857"</f>
        <v>9783527654857</v>
      </c>
      <c r="L6663">
        <v>0</v>
      </c>
      <c r="O6663" t="s">
        <v>30</v>
      </c>
      <c r="P6663" t="s">
        <v>29</v>
      </c>
      <c r="Q6663" s="1">
        <v>42279.798645833333</v>
      </c>
      <c r="R6663">
        <v>7</v>
      </c>
      <c r="S6663" t="s">
        <v>6400</v>
      </c>
      <c r="T6663" t="s">
        <v>10164</v>
      </c>
      <c r="U6663" t="s">
        <v>10165</v>
      </c>
      <c r="V6663" s="3">
        <v>41991</v>
      </c>
    </row>
    <row r="6664" spans="1:22" x14ac:dyDescent="0.35">
      <c r="A6664" s="1">
        <v>42279.798518518517</v>
      </c>
      <c r="B6664" s="2">
        <v>0</v>
      </c>
      <c r="C6664" t="s">
        <v>6693</v>
      </c>
      <c r="D6664" t="s">
        <v>6396</v>
      </c>
      <c r="E6664" t="s">
        <v>6397</v>
      </c>
      <c r="F6664" t="s">
        <v>10166</v>
      </c>
      <c r="G6664">
        <v>1780726</v>
      </c>
      <c r="H6664" t="s">
        <v>26</v>
      </c>
      <c r="I6664" t="s">
        <v>79</v>
      </c>
      <c r="J6664" t="str">
        <f>"9781118809877"</f>
        <v>9781118809877</v>
      </c>
      <c r="L6664">
        <v>0</v>
      </c>
      <c r="O6664" t="s">
        <v>28</v>
      </c>
      <c r="P6664" t="s">
        <v>47</v>
      </c>
      <c r="Q6664" s="1">
        <v>42279.798206018517</v>
      </c>
      <c r="R6664">
        <v>1</v>
      </c>
      <c r="S6664" t="s">
        <v>6400</v>
      </c>
      <c r="T6664" t="s">
        <v>10167</v>
      </c>
      <c r="U6664">
        <v>343.73078623999999</v>
      </c>
      <c r="V6664" s="3">
        <v>41887</v>
      </c>
    </row>
    <row r="6665" spans="1:22" x14ac:dyDescent="0.35">
      <c r="A6665" s="1">
        <v>42279.798206018517</v>
      </c>
      <c r="B6665" s="2">
        <v>1.6203703703703703E-4</v>
      </c>
      <c r="C6665" t="s">
        <v>6693</v>
      </c>
      <c r="D6665" t="s">
        <v>6396</v>
      </c>
      <c r="E6665" t="s">
        <v>6397</v>
      </c>
      <c r="F6665" t="s">
        <v>10166</v>
      </c>
      <c r="G6665">
        <v>1780726</v>
      </c>
      <c r="H6665" t="s">
        <v>26</v>
      </c>
      <c r="I6665" t="s">
        <v>79</v>
      </c>
      <c r="J6665" t="str">
        <f>"9781118809877"</f>
        <v>9781118809877</v>
      </c>
      <c r="K6665" t="s">
        <v>10168</v>
      </c>
      <c r="L6665">
        <v>7</v>
      </c>
      <c r="O6665" t="s">
        <v>30</v>
      </c>
      <c r="P6665" t="s">
        <v>47</v>
      </c>
      <c r="Q6665" s="1">
        <v>42279.798206018517</v>
      </c>
      <c r="R6665">
        <v>1</v>
      </c>
      <c r="S6665" t="s">
        <v>6400</v>
      </c>
      <c r="T6665" t="s">
        <v>10167</v>
      </c>
      <c r="U6665">
        <v>343.73078623999999</v>
      </c>
      <c r="V6665" s="3">
        <v>41887</v>
      </c>
    </row>
    <row r="6666" spans="1:22" x14ac:dyDescent="0.35">
      <c r="A6666" s="1">
        <v>42279.79787037037</v>
      </c>
      <c r="B6666" s="2">
        <v>0</v>
      </c>
      <c r="C6666" t="s">
        <v>6693</v>
      </c>
      <c r="D6666" t="s">
        <v>6396</v>
      </c>
      <c r="E6666" t="s">
        <v>6397</v>
      </c>
      <c r="F6666" t="s">
        <v>10169</v>
      </c>
      <c r="G6666">
        <v>1662769</v>
      </c>
      <c r="H6666" t="s">
        <v>26</v>
      </c>
      <c r="I6666" t="s">
        <v>888</v>
      </c>
      <c r="J6666" t="str">
        <f>"9781118856680"</f>
        <v>9781118856680</v>
      </c>
      <c r="L6666">
        <v>0</v>
      </c>
      <c r="O6666" t="s">
        <v>28</v>
      </c>
      <c r="P6666" t="s">
        <v>47</v>
      </c>
      <c r="Q6666" s="1">
        <v>42279.79787037037</v>
      </c>
      <c r="R6666">
        <v>1</v>
      </c>
      <c r="S6666" t="s">
        <v>6400</v>
      </c>
      <c r="T6666" t="s">
        <v>10170</v>
      </c>
      <c r="U6666">
        <v>690</v>
      </c>
      <c r="V6666" s="3">
        <v>41724</v>
      </c>
    </row>
    <row r="6667" spans="1:22" x14ac:dyDescent="0.35">
      <c r="A6667" s="1">
        <v>42279.79787037037</v>
      </c>
      <c r="B6667" s="2">
        <v>0</v>
      </c>
      <c r="C6667" t="s">
        <v>6693</v>
      </c>
      <c r="D6667" t="s">
        <v>6396</v>
      </c>
      <c r="E6667" t="s">
        <v>6397</v>
      </c>
      <c r="F6667" t="s">
        <v>10169</v>
      </c>
      <c r="G6667">
        <v>1662769</v>
      </c>
      <c r="H6667" t="s">
        <v>26</v>
      </c>
      <c r="I6667" t="s">
        <v>888</v>
      </c>
      <c r="J6667" t="str">
        <f>"9781118856680"</f>
        <v>9781118856680</v>
      </c>
      <c r="L6667">
        <v>0</v>
      </c>
      <c r="O6667" t="s">
        <v>30</v>
      </c>
      <c r="P6667" t="s">
        <v>47</v>
      </c>
      <c r="Q6667" s="1">
        <v>42279.79787037037</v>
      </c>
      <c r="R6667">
        <v>1</v>
      </c>
      <c r="S6667" t="s">
        <v>6400</v>
      </c>
      <c r="T6667" t="s">
        <v>10170</v>
      </c>
      <c r="U6667">
        <v>690</v>
      </c>
      <c r="V6667" s="3">
        <v>41724</v>
      </c>
    </row>
    <row r="6668" spans="1:22" x14ac:dyDescent="0.35">
      <c r="A6668" s="1">
        <v>42279.797731481478</v>
      </c>
      <c r="B6668" s="2">
        <v>0</v>
      </c>
      <c r="C6668" t="s">
        <v>6693</v>
      </c>
      <c r="D6668" t="s">
        <v>6396</v>
      </c>
      <c r="E6668" t="s">
        <v>6397</v>
      </c>
      <c r="F6668" t="s">
        <v>10171</v>
      </c>
      <c r="G6668">
        <v>1780041</v>
      </c>
      <c r="H6668" t="s">
        <v>26</v>
      </c>
      <c r="I6668" t="s">
        <v>10172</v>
      </c>
      <c r="J6668" t="str">
        <f>"9781118889749"</f>
        <v>9781118889749</v>
      </c>
      <c r="L6668">
        <v>0</v>
      </c>
      <c r="O6668" t="s">
        <v>28</v>
      </c>
      <c r="P6668" t="s">
        <v>47</v>
      </c>
      <c r="Q6668" s="1">
        <v>42279.797731481478</v>
      </c>
      <c r="R6668">
        <v>7</v>
      </c>
      <c r="S6668" t="s">
        <v>6400</v>
      </c>
      <c r="T6668" t="s">
        <v>10173</v>
      </c>
      <c r="U6668" t="s">
        <v>10174</v>
      </c>
      <c r="V6668" s="3">
        <v>41885</v>
      </c>
    </row>
    <row r="6669" spans="1:22" x14ac:dyDescent="0.35">
      <c r="A6669" s="1">
        <v>42279.797731481478</v>
      </c>
      <c r="B6669" s="2">
        <v>0</v>
      </c>
      <c r="C6669" t="s">
        <v>6693</v>
      </c>
      <c r="D6669" t="s">
        <v>6396</v>
      </c>
      <c r="E6669" t="s">
        <v>6397</v>
      </c>
      <c r="F6669" t="s">
        <v>10171</v>
      </c>
      <c r="G6669">
        <v>1780041</v>
      </c>
      <c r="H6669" t="s">
        <v>26</v>
      </c>
      <c r="I6669" t="s">
        <v>10172</v>
      </c>
      <c r="J6669" t="str">
        <f>"9781118889749"</f>
        <v>9781118889749</v>
      </c>
      <c r="L6669">
        <v>0</v>
      </c>
      <c r="O6669" t="s">
        <v>30</v>
      </c>
      <c r="P6669" t="s">
        <v>47</v>
      </c>
      <c r="Q6669" s="1">
        <v>42279.797731481478</v>
      </c>
      <c r="R6669">
        <v>7</v>
      </c>
      <c r="S6669" t="s">
        <v>6400</v>
      </c>
      <c r="T6669" t="s">
        <v>10173</v>
      </c>
      <c r="U6669" t="s">
        <v>10174</v>
      </c>
      <c r="V6669" s="3">
        <v>41885</v>
      </c>
    </row>
    <row r="6670" spans="1:22" x14ac:dyDescent="0.35">
      <c r="A6670" s="1">
        <v>42279.797569444447</v>
      </c>
      <c r="B6670" s="2">
        <v>0</v>
      </c>
      <c r="C6670" t="s">
        <v>6693</v>
      </c>
      <c r="D6670" t="s">
        <v>6396</v>
      </c>
      <c r="E6670" t="s">
        <v>6397</v>
      </c>
      <c r="F6670" t="s">
        <v>10113</v>
      </c>
      <c r="G6670">
        <v>1816323</v>
      </c>
      <c r="H6670" t="s">
        <v>26</v>
      </c>
      <c r="I6670" t="s">
        <v>10114</v>
      </c>
      <c r="J6670" t="str">
        <f>"9781118775295"</f>
        <v>9781118775295</v>
      </c>
      <c r="L6670">
        <v>0</v>
      </c>
      <c r="O6670" t="s">
        <v>28</v>
      </c>
      <c r="P6670" t="s">
        <v>29</v>
      </c>
      <c r="Q6670" s="1">
        <v>42279.797569444447</v>
      </c>
      <c r="R6670">
        <v>7</v>
      </c>
      <c r="S6670" t="s">
        <v>6400</v>
      </c>
      <c r="T6670" t="s">
        <v>10115</v>
      </c>
      <c r="U6670" t="s">
        <v>10116</v>
      </c>
      <c r="V6670" s="3">
        <v>41925</v>
      </c>
    </row>
    <row r="6671" spans="1:22" x14ac:dyDescent="0.35">
      <c r="A6671" s="1">
        <v>42279.797569444447</v>
      </c>
      <c r="B6671" s="2">
        <v>0</v>
      </c>
      <c r="C6671" t="s">
        <v>6693</v>
      </c>
      <c r="D6671" t="s">
        <v>6396</v>
      </c>
      <c r="E6671" t="s">
        <v>6397</v>
      </c>
      <c r="F6671" t="s">
        <v>10113</v>
      </c>
      <c r="G6671">
        <v>1816323</v>
      </c>
      <c r="H6671" t="s">
        <v>26</v>
      </c>
      <c r="I6671" t="s">
        <v>10114</v>
      </c>
      <c r="J6671" t="str">
        <f>"9781118775295"</f>
        <v>9781118775295</v>
      </c>
      <c r="L6671">
        <v>0</v>
      </c>
      <c r="O6671" t="s">
        <v>30</v>
      </c>
      <c r="P6671" t="s">
        <v>29</v>
      </c>
      <c r="Q6671" s="1">
        <v>42279.797569444447</v>
      </c>
      <c r="R6671">
        <v>7</v>
      </c>
      <c r="S6671" t="s">
        <v>6400</v>
      </c>
      <c r="T6671" t="s">
        <v>10115</v>
      </c>
      <c r="U6671" t="s">
        <v>10116</v>
      </c>
      <c r="V6671" s="3">
        <v>41925</v>
      </c>
    </row>
    <row r="6672" spans="1:22" x14ac:dyDescent="0.35">
      <c r="A6672" s="1">
        <v>42279.797418981485</v>
      </c>
      <c r="B6672" s="2">
        <v>0</v>
      </c>
      <c r="C6672" t="s">
        <v>6693</v>
      </c>
      <c r="D6672" t="s">
        <v>6396</v>
      </c>
      <c r="E6672" t="s">
        <v>6397</v>
      </c>
      <c r="F6672" t="s">
        <v>10175</v>
      </c>
      <c r="G6672">
        <v>1998795</v>
      </c>
      <c r="H6672" t="s">
        <v>26</v>
      </c>
      <c r="I6672" t="s">
        <v>10176</v>
      </c>
      <c r="J6672" t="str">
        <f>"9781119124559"</f>
        <v>9781119124559</v>
      </c>
      <c r="L6672">
        <v>0</v>
      </c>
      <c r="O6672" t="s">
        <v>28</v>
      </c>
      <c r="P6672" t="s">
        <v>29</v>
      </c>
      <c r="Q6672" s="1">
        <v>42279.797418981485</v>
      </c>
      <c r="R6672">
        <v>7</v>
      </c>
      <c r="S6672" t="s">
        <v>6400</v>
      </c>
      <c r="T6672" t="s">
        <v>10177</v>
      </c>
      <c r="U6672" t="s">
        <v>10178</v>
      </c>
      <c r="V6672" s="3">
        <v>42079</v>
      </c>
    </row>
    <row r="6673" spans="1:22" x14ac:dyDescent="0.35">
      <c r="A6673" s="1">
        <v>42279.797418981485</v>
      </c>
      <c r="B6673" s="2">
        <v>0</v>
      </c>
      <c r="C6673" t="s">
        <v>6693</v>
      </c>
      <c r="D6673" t="s">
        <v>6396</v>
      </c>
      <c r="E6673" t="s">
        <v>6397</v>
      </c>
      <c r="F6673" t="s">
        <v>10175</v>
      </c>
      <c r="G6673">
        <v>1998795</v>
      </c>
      <c r="H6673" t="s">
        <v>26</v>
      </c>
      <c r="I6673" t="s">
        <v>10176</v>
      </c>
      <c r="J6673" t="str">
        <f>"9781119124559"</f>
        <v>9781119124559</v>
      </c>
      <c r="L6673">
        <v>0</v>
      </c>
      <c r="O6673" t="s">
        <v>30</v>
      </c>
      <c r="P6673" t="s">
        <v>29</v>
      </c>
      <c r="Q6673" s="1">
        <v>42279.797418981485</v>
      </c>
      <c r="R6673">
        <v>7</v>
      </c>
      <c r="S6673" t="s">
        <v>6400</v>
      </c>
      <c r="T6673" t="s">
        <v>10177</v>
      </c>
      <c r="U6673" t="s">
        <v>10178</v>
      </c>
      <c r="V6673" s="3">
        <v>42079</v>
      </c>
    </row>
    <row r="6674" spans="1:22" x14ac:dyDescent="0.35">
      <c r="A6674" s="1">
        <v>42279.797210648147</v>
      </c>
      <c r="B6674" s="2">
        <v>0</v>
      </c>
      <c r="C6674" t="s">
        <v>6693</v>
      </c>
      <c r="D6674" t="s">
        <v>6396</v>
      </c>
      <c r="E6674" t="s">
        <v>6397</v>
      </c>
      <c r="F6674" t="s">
        <v>10179</v>
      </c>
      <c r="G6674">
        <v>1295019</v>
      </c>
      <c r="H6674" t="s">
        <v>26</v>
      </c>
      <c r="I6674" t="s">
        <v>10180</v>
      </c>
      <c r="J6674" t="str">
        <f>"9781118418758"</f>
        <v>9781118418758</v>
      </c>
      <c r="L6674">
        <v>0</v>
      </c>
      <c r="O6674" t="s">
        <v>28</v>
      </c>
      <c r="P6674" t="s">
        <v>47</v>
      </c>
      <c r="Q6674" s="1">
        <v>42279.797199074077</v>
      </c>
      <c r="R6674">
        <v>1</v>
      </c>
      <c r="S6674" t="s">
        <v>6400</v>
      </c>
      <c r="T6674" t="s">
        <v>10181</v>
      </c>
      <c r="U6674" t="s">
        <v>10182</v>
      </c>
      <c r="V6674" s="3">
        <v>41463</v>
      </c>
    </row>
    <row r="6675" spans="1:22" x14ac:dyDescent="0.35">
      <c r="A6675" s="1">
        <v>42279.797210648147</v>
      </c>
      <c r="B6675" s="2">
        <v>0</v>
      </c>
      <c r="C6675" t="s">
        <v>6693</v>
      </c>
      <c r="D6675" t="s">
        <v>6396</v>
      </c>
      <c r="E6675" t="s">
        <v>6397</v>
      </c>
      <c r="F6675" t="s">
        <v>10179</v>
      </c>
      <c r="G6675">
        <v>1295019</v>
      </c>
      <c r="H6675" t="s">
        <v>26</v>
      </c>
      <c r="I6675" t="s">
        <v>10180</v>
      </c>
      <c r="J6675" t="str">
        <f>"9781118418758"</f>
        <v>9781118418758</v>
      </c>
      <c r="L6675">
        <v>0</v>
      </c>
      <c r="O6675" t="s">
        <v>30</v>
      </c>
      <c r="P6675" t="s">
        <v>47</v>
      </c>
      <c r="Q6675" s="1">
        <v>42279.797199074077</v>
      </c>
      <c r="R6675">
        <v>1</v>
      </c>
      <c r="S6675" t="s">
        <v>6400</v>
      </c>
      <c r="T6675" t="s">
        <v>10181</v>
      </c>
      <c r="U6675" t="s">
        <v>10182</v>
      </c>
      <c r="V6675" s="3">
        <v>41463</v>
      </c>
    </row>
    <row r="6676" spans="1:22" x14ac:dyDescent="0.35">
      <c r="A6676" s="1">
        <v>42279.796701388892</v>
      </c>
      <c r="B6676" s="2">
        <v>0</v>
      </c>
      <c r="C6676" t="s">
        <v>6693</v>
      </c>
      <c r="D6676" t="s">
        <v>6396</v>
      </c>
      <c r="E6676" t="s">
        <v>6397</v>
      </c>
      <c r="F6676" t="s">
        <v>10183</v>
      </c>
      <c r="G6676">
        <v>1890978</v>
      </c>
      <c r="H6676" t="s">
        <v>26</v>
      </c>
      <c r="I6676" t="s">
        <v>247</v>
      </c>
      <c r="J6676" t="str">
        <f>"9781119064107"</f>
        <v>9781119064107</v>
      </c>
      <c r="L6676">
        <v>0</v>
      </c>
      <c r="O6676" t="s">
        <v>28</v>
      </c>
      <c r="P6676" t="s">
        <v>29</v>
      </c>
      <c r="Q6676" s="1">
        <v>42279.796689814815</v>
      </c>
      <c r="R6676">
        <v>7</v>
      </c>
      <c r="S6676" t="s">
        <v>6400</v>
      </c>
      <c r="T6676" t="s">
        <v>10184</v>
      </c>
      <c r="U6676" t="s">
        <v>10185</v>
      </c>
      <c r="V6676" s="3">
        <v>41982</v>
      </c>
    </row>
    <row r="6677" spans="1:22" x14ac:dyDescent="0.35">
      <c r="A6677" s="1">
        <v>42279.796689814815</v>
      </c>
      <c r="B6677" s="2">
        <v>0</v>
      </c>
      <c r="C6677" t="s">
        <v>6693</v>
      </c>
      <c r="D6677" t="s">
        <v>6396</v>
      </c>
      <c r="E6677" t="s">
        <v>6397</v>
      </c>
      <c r="F6677" t="s">
        <v>10183</v>
      </c>
      <c r="G6677">
        <v>1890978</v>
      </c>
      <c r="H6677" t="s">
        <v>26</v>
      </c>
      <c r="I6677" t="s">
        <v>247</v>
      </c>
      <c r="J6677" t="str">
        <f>"9781119064107"</f>
        <v>9781119064107</v>
      </c>
      <c r="L6677">
        <v>0</v>
      </c>
      <c r="O6677" t="s">
        <v>30</v>
      </c>
      <c r="P6677" t="s">
        <v>29</v>
      </c>
      <c r="Q6677" s="1">
        <v>42279.796689814815</v>
      </c>
      <c r="R6677">
        <v>7</v>
      </c>
      <c r="S6677" t="s">
        <v>6400</v>
      </c>
      <c r="T6677" t="s">
        <v>10184</v>
      </c>
      <c r="U6677" t="s">
        <v>10185</v>
      </c>
      <c r="V6677" s="3">
        <v>41982</v>
      </c>
    </row>
    <row r="6678" spans="1:22" x14ac:dyDescent="0.35">
      <c r="A6678" s="1">
        <v>42279.788159722222</v>
      </c>
      <c r="B6678" s="2">
        <v>2.5462962962962961E-4</v>
      </c>
      <c r="C6678" t="s">
        <v>6693</v>
      </c>
      <c r="D6678" t="s">
        <v>6396</v>
      </c>
      <c r="E6678" t="s">
        <v>6397</v>
      </c>
      <c r="F6678" t="s">
        <v>10097</v>
      </c>
      <c r="G6678">
        <v>1895930</v>
      </c>
      <c r="H6678" t="s">
        <v>26</v>
      </c>
      <c r="I6678" t="s">
        <v>888</v>
      </c>
      <c r="J6678" t="str">
        <f>"9781119019978"</f>
        <v>9781119019978</v>
      </c>
      <c r="K6678" t="s">
        <v>536</v>
      </c>
      <c r="L6678">
        <v>3</v>
      </c>
      <c r="O6678" t="s">
        <v>30</v>
      </c>
      <c r="P6678" t="s">
        <v>50</v>
      </c>
      <c r="S6678" t="s">
        <v>6400</v>
      </c>
      <c r="T6678" t="s">
        <v>10098</v>
      </c>
      <c r="U6678" t="s">
        <v>10099</v>
      </c>
      <c r="V6678" s="3">
        <v>42067</v>
      </c>
    </row>
    <row r="6679" spans="1:22" x14ac:dyDescent="0.35">
      <c r="A6679" s="1">
        <v>42279.788101851853</v>
      </c>
      <c r="B6679" s="2">
        <v>6.4814814814814813E-4</v>
      </c>
      <c r="C6679" t="s">
        <v>6693</v>
      </c>
      <c r="D6679" t="s">
        <v>6396</v>
      </c>
      <c r="E6679" t="s">
        <v>6397</v>
      </c>
      <c r="F6679" t="s">
        <v>10186</v>
      </c>
      <c r="G6679">
        <v>1832722</v>
      </c>
      <c r="H6679" t="s">
        <v>26</v>
      </c>
      <c r="I6679" t="s">
        <v>79</v>
      </c>
      <c r="J6679" t="str">
        <f>"9781118866832"</f>
        <v>9781118866832</v>
      </c>
      <c r="K6679" t="s">
        <v>10187</v>
      </c>
      <c r="L6679">
        <v>12</v>
      </c>
      <c r="O6679" t="s">
        <v>30</v>
      </c>
      <c r="P6679" t="s">
        <v>50</v>
      </c>
      <c r="S6679" t="s">
        <v>6400</v>
      </c>
      <c r="T6679" t="s">
        <v>10188</v>
      </c>
      <c r="U6679" t="s">
        <v>10189</v>
      </c>
      <c r="V6679" s="3">
        <v>41946</v>
      </c>
    </row>
    <row r="6680" spans="1:22" x14ac:dyDescent="0.35">
      <c r="A6680" s="1">
        <v>42279.787731481483</v>
      </c>
      <c r="B6680" s="2">
        <v>1.0532407407407407E-3</v>
      </c>
      <c r="C6680" t="s">
        <v>6693</v>
      </c>
      <c r="D6680" t="s">
        <v>6396</v>
      </c>
      <c r="E6680" t="s">
        <v>6397</v>
      </c>
      <c r="F6680" t="s">
        <v>321</v>
      </c>
      <c r="G6680">
        <v>1794558</v>
      </c>
      <c r="H6680" t="s">
        <v>26</v>
      </c>
      <c r="I6680" t="s">
        <v>322</v>
      </c>
      <c r="J6680" t="str">
        <f>"9781118821725"</f>
        <v>9781118821725</v>
      </c>
      <c r="K6680" t="s">
        <v>536</v>
      </c>
      <c r="L6680">
        <v>3</v>
      </c>
      <c r="O6680" t="s">
        <v>30</v>
      </c>
      <c r="P6680" t="s">
        <v>50</v>
      </c>
      <c r="S6680" t="s">
        <v>6400</v>
      </c>
      <c r="T6680" t="s">
        <v>324</v>
      </c>
      <c r="U6680">
        <v>697</v>
      </c>
      <c r="V6680" s="3">
        <v>41905</v>
      </c>
    </row>
    <row r="6681" spans="1:22" x14ac:dyDescent="0.35">
      <c r="A6681" s="1">
        <v>42279.78765046296</v>
      </c>
      <c r="B6681" s="2">
        <v>2.6620370370370372E-4</v>
      </c>
      <c r="C6681" t="s">
        <v>6693</v>
      </c>
      <c r="D6681" t="s">
        <v>6396</v>
      </c>
      <c r="E6681" t="s">
        <v>6397</v>
      </c>
      <c r="F6681" t="s">
        <v>10190</v>
      </c>
      <c r="G6681">
        <v>1800873</v>
      </c>
      <c r="H6681" t="s">
        <v>26</v>
      </c>
      <c r="I6681" t="s">
        <v>888</v>
      </c>
      <c r="J6681" t="str">
        <f>"9781118555149"</f>
        <v>9781118555149</v>
      </c>
      <c r="K6681" t="s">
        <v>536</v>
      </c>
      <c r="L6681">
        <v>3</v>
      </c>
      <c r="O6681" t="s">
        <v>30</v>
      </c>
      <c r="P6681" t="s">
        <v>50</v>
      </c>
      <c r="S6681" t="s">
        <v>6400</v>
      </c>
      <c r="T6681" t="s">
        <v>10191</v>
      </c>
      <c r="U6681">
        <v>690.06799999999998</v>
      </c>
      <c r="V6681" s="3">
        <v>41906</v>
      </c>
    </row>
    <row r="6682" spans="1:22" x14ac:dyDescent="0.35">
      <c r="A6682" s="1">
        <v>42279.787581018521</v>
      </c>
      <c r="B6682" s="2">
        <v>2.7777777777777778E-4</v>
      </c>
      <c r="C6682" t="s">
        <v>6693</v>
      </c>
      <c r="D6682" t="s">
        <v>6396</v>
      </c>
      <c r="E6682" t="s">
        <v>6397</v>
      </c>
      <c r="F6682" t="s">
        <v>10192</v>
      </c>
      <c r="G6682">
        <v>1412070</v>
      </c>
      <c r="H6682" t="s">
        <v>26</v>
      </c>
      <c r="I6682" t="s">
        <v>150</v>
      </c>
      <c r="J6682" t="str">
        <f>"9781118419069"</f>
        <v>9781118419069</v>
      </c>
      <c r="K6682" t="s">
        <v>10193</v>
      </c>
      <c r="L6682">
        <v>3</v>
      </c>
      <c r="O6682" t="s">
        <v>30</v>
      </c>
      <c r="P6682" t="s">
        <v>50</v>
      </c>
      <c r="S6682" t="s">
        <v>6400</v>
      </c>
      <c r="T6682" t="s">
        <v>10194</v>
      </c>
      <c r="U6682">
        <v>747.06799999999998</v>
      </c>
      <c r="V6682" s="3">
        <v>41486</v>
      </c>
    </row>
    <row r="6683" spans="1:22" x14ac:dyDescent="0.35">
      <c r="A6683" s="1">
        <v>42279.787534722222</v>
      </c>
      <c r="B6683" s="2">
        <v>9.1550925925925931E-3</v>
      </c>
      <c r="C6683" t="s">
        <v>6693</v>
      </c>
      <c r="D6683" t="s">
        <v>6396</v>
      </c>
      <c r="E6683" t="s">
        <v>6397</v>
      </c>
      <c r="F6683" t="s">
        <v>10183</v>
      </c>
      <c r="G6683">
        <v>1890978</v>
      </c>
      <c r="H6683" t="s">
        <v>26</v>
      </c>
      <c r="I6683" t="s">
        <v>247</v>
      </c>
      <c r="J6683" t="str">
        <f>"9781119064107"</f>
        <v>9781119064107</v>
      </c>
      <c r="K6683" t="s">
        <v>536</v>
      </c>
      <c r="L6683">
        <v>3</v>
      </c>
      <c r="O6683" t="s">
        <v>30</v>
      </c>
      <c r="P6683" t="s">
        <v>50</v>
      </c>
      <c r="S6683" t="s">
        <v>6400</v>
      </c>
      <c r="T6683" t="s">
        <v>10184</v>
      </c>
      <c r="U6683" t="s">
        <v>10185</v>
      </c>
      <c r="V6683" s="3">
        <v>41982</v>
      </c>
    </row>
    <row r="6684" spans="1:22" x14ac:dyDescent="0.35">
      <c r="A6684" s="1">
        <v>42279.787268518521</v>
      </c>
      <c r="B6684" s="2">
        <v>2.5462962962962961E-4</v>
      </c>
      <c r="C6684" t="s">
        <v>6693</v>
      </c>
      <c r="D6684" t="s">
        <v>6396</v>
      </c>
      <c r="E6684" t="s">
        <v>6397</v>
      </c>
      <c r="F6684" t="s">
        <v>10195</v>
      </c>
      <c r="G6684">
        <v>1998746</v>
      </c>
      <c r="H6684" t="s">
        <v>26</v>
      </c>
      <c r="I6684" t="s">
        <v>8409</v>
      </c>
      <c r="J6684" t="str">
        <f>"9781118653777"</f>
        <v>9781118653777</v>
      </c>
      <c r="K6684" t="s">
        <v>10196</v>
      </c>
      <c r="L6684">
        <v>3</v>
      </c>
      <c r="O6684" t="s">
        <v>30</v>
      </c>
      <c r="P6684" t="s">
        <v>50</v>
      </c>
      <c r="S6684" t="s">
        <v>6400</v>
      </c>
      <c r="T6684" t="s">
        <v>10197</v>
      </c>
      <c r="U6684" t="s">
        <v>10198</v>
      </c>
      <c r="V6684" s="3">
        <v>42037</v>
      </c>
    </row>
    <row r="6685" spans="1:22" x14ac:dyDescent="0.35">
      <c r="A6685" s="1">
        <v>42279.787002314813</v>
      </c>
      <c r="B6685" s="2">
        <v>1.019675925925926E-2</v>
      </c>
      <c r="C6685" t="s">
        <v>6693</v>
      </c>
      <c r="D6685" t="s">
        <v>6396</v>
      </c>
      <c r="E6685" t="s">
        <v>6397</v>
      </c>
      <c r="F6685" t="s">
        <v>10179</v>
      </c>
      <c r="G6685">
        <v>1295019</v>
      </c>
      <c r="H6685" t="s">
        <v>26</v>
      </c>
      <c r="I6685" t="s">
        <v>10180</v>
      </c>
      <c r="J6685" t="str">
        <f>"9781118418758"</f>
        <v>9781118418758</v>
      </c>
      <c r="K6685" t="s">
        <v>536</v>
      </c>
      <c r="L6685">
        <v>3</v>
      </c>
      <c r="O6685" t="s">
        <v>30</v>
      </c>
      <c r="P6685" t="s">
        <v>50</v>
      </c>
      <c r="S6685" t="s">
        <v>6400</v>
      </c>
      <c r="T6685" t="s">
        <v>10181</v>
      </c>
      <c r="U6685" t="s">
        <v>10182</v>
      </c>
      <c r="V6685" s="3">
        <v>41463</v>
      </c>
    </row>
    <row r="6686" spans="1:22" x14ac:dyDescent="0.35">
      <c r="A6686" s="1">
        <v>42279.786921296298</v>
      </c>
      <c r="B6686" s="2">
        <v>4.6296296296296294E-5</v>
      </c>
      <c r="C6686" t="s">
        <v>6693</v>
      </c>
      <c r="D6686" t="s">
        <v>6396</v>
      </c>
      <c r="E6686" t="s">
        <v>6397</v>
      </c>
      <c r="F6686" t="s">
        <v>10110</v>
      </c>
      <c r="G6686">
        <v>1662690</v>
      </c>
      <c r="H6686" t="s">
        <v>26</v>
      </c>
      <c r="I6686" t="s">
        <v>322</v>
      </c>
      <c r="J6686" t="str">
        <f>"9781118870716"</f>
        <v>9781118870716</v>
      </c>
      <c r="K6686" t="s">
        <v>10199</v>
      </c>
      <c r="L6686">
        <v>3</v>
      </c>
      <c r="O6686" t="s">
        <v>30</v>
      </c>
      <c r="P6686" t="s">
        <v>50</v>
      </c>
      <c r="S6686" t="s">
        <v>6400</v>
      </c>
      <c r="T6686" t="s">
        <v>10112</v>
      </c>
      <c r="U6686">
        <v>690</v>
      </c>
      <c r="V6686" s="3">
        <v>41724</v>
      </c>
    </row>
    <row r="6687" spans="1:22" x14ac:dyDescent="0.35">
      <c r="A6687" s="1">
        <v>42279.786874999998</v>
      </c>
      <c r="B6687" s="2">
        <v>1.0543981481481481E-2</v>
      </c>
      <c r="C6687" t="s">
        <v>6693</v>
      </c>
      <c r="D6687" t="s">
        <v>6396</v>
      </c>
      <c r="E6687" t="s">
        <v>6397</v>
      </c>
      <c r="F6687" t="s">
        <v>10175</v>
      </c>
      <c r="G6687">
        <v>1998795</v>
      </c>
      <c r="H6687" t="s">
        <v>26</v>
      </c>
      <c r="I6687" t="s">
        <v>10176</v>
      </c>
      <c r="J6687" t="str">
        <f>"9781119124559"</f>
        <v>9781119124559</v>
      </c>
      <c r="K6687" t="s">
        <v>536</v>
      </c>
      <c r="L6687">
        <v>3</v>
      </c>
      <c r="O6687" t="s">
        <v>30</v>
      </c>
      <c r="P6687" t="s">
        <v>50</v>
      </c>
      <c r="S6687" t="s">
        <v>6400</v>
      </c>
      <c r="T6687" t="s">
        <v>10177</v>
      </c>
      <c r="U6687" t="s">
        <v>10178</v>
      </c>
      <c r="V6687" s="3">
        <v>42079</v>
      </c>
    </row>
    <row r="6688" spans="1:22" x14ac:dyDescent="0.35">
      <c r="A6688" s="1">
        <v>42279.786736111113</v>
      </c>
      <c r="B6688" s="2">
        <v>1.082175925925926E-2</v>
      </c>
      <c r="C6688" t="s">
        <v>6693</v>
      </c>
      <c r="D6688" t="s">
        <v>6396</v>
      </c>
      <c r="E6688" t="s">
        <v>6397</v>
      </c>
      <c r="F6688" t="s">
        <v>10113</v>
      </c>
      <c r="G6688">
        <v>1816323</v>
      </c>
      <c r="H6688" t="s">
        <v>26</v>
      </c>
      <c r="I6688" t="s">
        <v>10114</v>
      </c>
      <c r="J6688" t="str">
        <f>"9781118775295"</f>
        <v>9781118775295</v>
      </c>
      <c r="K6688" t="s">
        <v>536</v>
      </c>
      <c r="L6688">
        <v>3</v>
      </c>
      <c r="O6688" t="s">
        <v>30</v>
      </c>
      <c r="P6688" t="s">
        <v>50</v>
      </c>
      <c r="S6688" t="s">
        <v>6400</v>
      </c>
      <c r="T6688" t="s">
        <v>10115</v>
      </c>
      <c r="U6688" t="s">
        <v>10116</v>
      </c>
      <c r="V6688" s="3">
        <v>41925</v>
      </c>
    </row>
    <row r="6689" spans="1:22" x14ac:dyDescent="0.35">
      <c r="A6689" s="1">
        <v>42279.786666666667</v>
      </c>
      <c r="B6689" s="2">
        <v>1.1064814814814814E-2</v>
      </c>
      <c r="C6689" t="s">
        <v>6693</v>
      </c>
      <c r="D6689" t="s">
        <v>6396</v>
      </c>
      <c r="E6689" t="s">
        <v>6397</v>
      </c>
      <c r="F6689" t="s">
        <v>10171</v>
      </c>
      <c r="G6689">
        <v>1780041</v>
      </c>
      <c r="H6689" t="s">
        <v>26</v>
      </c>
      <c r="I6689" t="s">
        <v>10172</v>
      </c>
      <c r="J6689" t="str">
        <f>"9781118889749"</f>
        <v>9781118889749</v>
      </c>
      <c r="K6689" t="s">
        <v>536</v>
      </c>
      <c r="L6689">
        <v>3</v>
      </c>
      <c r="O6689" t="s">
        <v>30</v>
      </c>
      <c r="P6689" t="s">
        <v>50</v>
      </c>
      <c r="S6689" t="s">
        <v>6400</v>
      </c>
      <c r="T6689" t="s">
        <v>10173</v>
      </c>
      <c r="U6689" t="s">
        <v>10174</v>
      </c>
      <c r="V6689" s="3">
        <v>41885</v>
      </c>
    </row>
    <row r="6690" spans="1:22" x14ac:dyDescent="0.35">
      <c r="A6690" s="1">
        <v>42279.786597222221</v>
      </c>
      <c r="B6690" s="2">
        <v>1.1273148148148148E-2</v>
      </c>
      <c r="C6690" t="s">
        <v>6693</v>
      </c>
      <c r="D6690" t="s">
        <v>6396</v>
      </c>
      <c r="E6690" t="s">
        <v>6397</v>
      </c>
      <c r="F6690" t="s">
        <v>10169</v>
      </c>
      <c r="G6690">
        <v>1662769</v>
      </c>
      <c r="H6690" t="s">
        <v>26</v>
      </c>
      <c r="I6690" t="s">
        <v>888</v>
      </c>
      <c r="J6690" t="str">
        <f>"9781118856680"</f>
        <v>9781118856680</v>
      </c>
      <c r="K6690" t="s">
        <v>536</v>
      </c>
      <c r="L6690">
        <v>3</v>
      </c>
      <c r="O6690" t="s">
        <v>30</v>
      </c>
      <c r="P6690" t="s">
        <v>50</v>
      </c>
      <c r="S6690" t="s">
        <v>6400</v>
      </c>
      <c r="T6690" t="s">
        <v>10170</v>
      </c>
      <c r="U6690">
        <v>690</v>
      </c>
      <c r="V6690" s="3">
        <v>41724</v>
      </c>
    </row>
    <row r="6691" spans="1:22" x14ac:dyDescent="0.35">
      <c r="A6691" s="1">
        <v>42279.786446759259</v>
      </c>
      <c r="B6691" s="2">
        <v>2.7777777777777778E-4</v>
      </c>
      <c r="C6691" t="s">
        <v>6693</v>
      </c>
      <c r="D6691" t="s">
        <v>6396</v>
      </c>
      <c r="E6691" t="s">
        <v>6397</v>
      </c>
      <c r="F6691" t="s">
        <v>10200</v>
      </c>
      <c r="G6691">
        <v>2045939</v>
      </c>
      <c r="H6691" t="s">
        <v>26</v>
      </c>
      <c r="I6691" t="s">
        <v>2064</v>
      </c>
      <c r="J6691" t="str">
        <f>"9781119093237"</f>
        <v>9781119093237</v>
      </c>
      <c r="K6691" t="s">
        <v>536</v>
      </c>
      <c r="L6691">
        <v>3</v>
      </c>
      <c r="O6691" t="s">
        <v>30</v>
      </c>
      <c r="P6691" t="s">
        <v>50</v>
      </c>
      <c r="S6691" t="s">
        <v>6400</v>
      </c>
      <c r="T6691" t="s">
        <v>10201</v>
      </c>
      <c r="U6691">
        <v>620.18929100000003</v>
      </c>
      <c r="V6691" s="3">
        <v>42086</v>
      </c>
    </row>
    <row r="6692" spans="1:22" x14ac:dyDescent="0.35">
      <c r="A6692" s="1">
        <v>42279.786377314813</v>
      </c>
      <c r="B6692" s="2">
        <v>1.1828703703703704E-2</v>
      </c>
      <c r="C6692" t="s">
        <v>6693</v>
      </c>
      <c r="D6692" t="s">
        <v>6396</v>
      </c>
      <c r="E6692" t="s">
        <v>6397</v>
      </c>
      <c r="F6692" t="s">
        <v>10166</v>
      </c>
      <c r="G6692">
        <v>1780726</v>
      </c>
      <c r="H6692" t="s">
        <v>26</v>
      </c>
      <c r="I6692" t="s">
        <v>79</v>
      </c>
      <c r="J6692" t="str">
        <f>"9781118809877"</f>
        <v>9781118809877</v>
      </c>
      <c r="K6692" t="s">
        <v>536</v>
      </c>
      <c r="L6692">
        <v>3</v>
      </c>
      <c r="O6692" t="s">
        <v>30</v>
      </c>
      <c r="P6692" t="s">
        <v>50</v>
      </c>
      <c r="S6692" t="s">
        <v>6400</v>
      </c>
      <c r="T6692" t="s">
        <v>10167</v>
      </c>
      <c r="U6692">
        <v>343.73078623999999</v>
      </c>
      <c r="V6692" s="3">
        <v>41887</v>
      </c>
    </row>
    <row r="6693" spans="1:22" x14ac:dyDescent="0.35">
      <c r="A6693" s="1">
        <v>42279.78634259259</v>
      </c>
      <c r="B6693" s="2">
        <v>1.230324074074074E-2</v>
      </c>
      <c r="C6693" t="s">
        <v>6693</v>
      </c>
      <c r="D6693" t="s">
        <v>6396</v>
      </c>
      <c r="E6693" t="s">
        <v>6397</v>
      </c>
      <c r="F6693" t="s">
        <v>10163</v>
      </c>
      <c r="G6693">
        <v>1896058</v>
      </c>
      <c r="H6693" t="s">
        <v>26</v>
      </c>
      <c r="I6693" t="s">
        <v>2751</v>
      </c>
      <c r="J6693" t="str">
        <f>"9783527654857"</f>
        <v>9783527654857</v>
      </c>
      <c r="K6693" t="s">
        <v>536</v>
      </c>
      <c r="L6693">
        <v>3</v>
      </c>
      <c r="O6693" t="s">
        <v>30</v>
      </c>
      <c r="P6693" t="s">
        <v>50</v>
      </c>
      <c r="S6693" t="s">
        <v>6400</v>
      </c>
      <c r="T6693" t="s">
        <v>10164</v>
      </c>
      <c r="U6693" t="s">
        <v>10165</v>
      </c>
      <c r="V6693" s="3">
        <v>41991</v>
      </c>
    </row>
    <row r="6694" spans="1:22" x14ac:dyDescent="0.35">
      <c r="A6694" s="1">
        <v>42279.786273148151</v>
      </c>
      <c r="B6694" s="2">
        <v>1.2499999999999999E-2</v>
      </c>
      <c r="C6694" t="s">
        <v>6693</v>
      </c>
      <c r="D6694" t="s">
        <v>6396</v>
      </c>
      <c r="E6694" t="s">
        <v>6397</v>
      </c>
      <c r="F6694" t="s">
        <v>10159</v>
      </c>
      <c r="G6694">
        <v>1605590</v>
      </c>
      <c r="H6694" t="s">
        <v>26</v>
      </c>
      <c r="I6694" t="s">
        <v>322</v>
      </c>
      <c r="J6694" t="str">
        <f>"9781118749883"</f>
        <v>9781118749883</v>
      </c>
      <c r="K6694" t="s">
        <v>536</v>
      </c>
      <c r="L6694">
        <v>3</v>
      </c>
      <c r="O6694" t="s">
        <v>30</v>
      </c>
      <c r="P6694" t="s">
        <v>50</v>
      </c>
      <c r="S6694" t="s">
        <v>6400</v>
      </c>
      <c r="T6694" t="s">
        <v>10160</v>
      </c>
      <c r="U6694" t="s">
        <v>10161</v>
      </c>
      <c r="V6694" s="3">
        <v>41667</v>
      </c>
    </row>
    <row r="6695" spans="1:22" x14ac:dyDescent="0.35">
      <c r="A6695" s="1">
        <v>42279.786180555559</v>
      </c>
      <c r="B6695" s="2">
        <v>1.3368055555555557E-2</v>
      </c>
      <c r="C6695" t="s">
        <v>6693</v>
      </c>
      <c r="D6695" t="s">
        <v>6396</v>
      </c>
      <c r="E6695" t="s">
        <v>6397</v>
      </c>
      <c r="F6695" t="s">
        <v>10156</v>
      </c>
      <c r="G6695">
        <v>1542665</v>
      </c>
      <c r="H6695" t="s">
        <v>68</v>
      </c>
      <c r="I6695" t="s">
        <v>10157</v>
      </c>
      <c r="J6695" t="str">
        <f>"9781134072262"</f>
        <v>9781134072262</v>
      </c>
      <c r="K6695" t="s">
        <v>536</v>
      </c>
      <c r="L6695">
        <v>3</v>
      </c>
      <c r="O6695" t="s">
        <v>30</v>
      </c>
      <c r="P6695" t="s">
        <v>50</v>
      </c>
      <c r="S6695" t="s">
        <v>6400</v>
      </c>
      <c r="T6695" t="s">
        <v>10158</v>
      </c>
      <c r="U6695">
        <v>333.95389999999998</v>
      </c>
      <c r="V6695" s="3">
        <v>37288</v>
      </c>
    </row>
    <row r="6696" spans="1:22" x14ac:dyDescent="0.35">
      <c r="A6696" s="1">
        <v>42279.786053240743</v>
      </c>
      <c r="B6696" s="2">
        <v>1.3564814814814816E-2</v>
      </c>
      <c r="C6696" t="s">
        <v>6693</v>
      </c>
      <c r="D6696" t="s">
        <v>6396</v>
      </c>
      <c r="E6696" t="s">
        <v>6397</v>
      </c>
      <c r="F6696" t="s">
        <v>8090</v>
      </c>
      <c r="G6696">
        <v>1120820</v>
      </c>
      <c r="H6696" t="s">
        <v>26</v>
      </c>
      <c r="I6696" t="s">
        <v>8084</v>
      </c>
      <c r="J6696" t="str">
        <f>"9781118404508"</f>
        <v>9781118404508</v>
      </c>
      <c r="K6696" t="s">
        <v>536</v>
      </c>
      <c r="L6696">
        <v>3</v>
      </c>
      <c r="O6696" t="s">
        <v>30</v>
      </c>
      <c r="P6696" t="s">
        <v>50</v>
      </c>
      <c r="S6696" t="s">
        <v>6400</v>
      </c>
      <c r="T6696" t="s">
        <v>8091</v>
      </c>
      <c r="U6696" t="s">
        <v>8092</v>
      </c>
      <c r="V6696" s="3">
        <v>41291</v>
      </c>
    </row>
    <row r="6697" spans="1:22" x14ac:dyDescent="0.35">
      <c r="A6697" s="1">
        <v>42279.78601851852</v>
      </c>
      <c r="B6697" s="2">
        <v>2.6620370370370372E-4</v>
      </c>
      <c r="C6697" t="s">
        <v>6693</v>
      </c>
      <c r="D6697" t="s">
        <v>6396</v>
      </c>
      <c r="E6697" t="s">
        <v>6397</v>
      </c>
      <c r="F6697" t="s">
        <v>10202</v>
      </c>
      <c r="G6697">
        <v>2089476</v>
      </c>
      <c r="H6697" t="s">
        <v>26</v>
      </c>
      <c r="I6697" t="s">
        <v>1293</v>
      </c>
      <c r="J6697" t="str">
        <f>"9781119012856"</f>
        <v>9781119012856</v>
      </c>
      <c r="K6697" t="s">
        <v>1315</v>
      </c>
      <c r="L6697">
        <v>3</v>
      </c>
      <c r="O6697" t="s">
        <v>30</v>
      </c>
      <c r="P6697" t="s">
        <v>50</v>
      </c>
      <c r="S6697" t="s">
        <v>6400</v>
      </c>
      <c r="T6697" t="s">
        <v>10203</v>
      </c>
      <c r="U6697">
        <v>665.7</v>
      </c>
      <c r="V6697" s="3">
        <v>42191</v>
      </c>
    </row>
    <row r="6698" spans="1:22" x14ac:dyDescent="0.35">
      <c r="A6698" s="1">
        <v>42279.785983796297</v>
      </c>
      <c r="B6698" s="2">
        <v>1.4293981481481482E-2</v>
      </c>
      <c r="C6698" t="s">
        <v>6693</v>
      </c>
      <c r="D6698" t="s">
        <v>6396</v>
      </c>
      <c r="E6698" t="s">
        <v>6397</v>
      </c>
      <c r="F6698" t="s">
        <v>10204</v>
      </c>
      <c r="G6698">
        <v>1520750</v>
      </c>
      <c r="H6698" t="s">
        <v>26</v>
      </c>
      <c r="I6698" t="s">
        <v>888</v>
      </c>
      <c r="J6698" t="str">
        <f>"9781118693025"</f>
        <v>9781118693025</v>
      </c>
      <c r="K6698" t="s">
        <v>536</v>
      </c>
      <c r="L6698">
        <v>3</v>
      </c>
      <c r="O6698" t="s">
        <v>30</v>
      </c>
      <c r="P6698" t="s">
        <v>50</v>
      </c>
      <c r="S6698" t="s">
        <v>6400</v>
      </c>
      <c r="T6698" t="s">
        <v>10205</v>
      </c>
      <c r="U6698" t="s">
        <v>10206</v>
      </c>
      <c r="V6698" s="3">
        <v>41596</v>
      </c>
    </row>
    <row r="6699" spans="1:22" x14ac:dyDescent="0.35">
      <c r="A6699" s="1">
        <v>42279.785925925928</v>
      </c>
      <c r="B6699" s="2">
        <v>2.6620370370370372E-4</v>
      </c>
      <c r="C6699" t="s">
        <v>6693</v>
      </c>
      <c r="D6699" t="s">
        <v>6396</v>
      </c>
      <c r="E6699" t="s">
        <v>6397</v>
      </c>
      <c r="F6699" t="s">
        <v>10094</v>
      </c>
      <c r="G6699">
        <v>837611</v>
      </c>
      <c r="H6699" t="s">
        <v>26</v>
      </c>
      <c r="I6699" t="s">
        <v>200</v>
      </c>
      <c r="J6699" t="str">
        <f>"9781118332887"</f>
        <v>9781118332887</v>
      </c>
      <c r="K6699" t="s">
        <v>536</v>
      </c>
      <c r="L6699">
        <v>3</v>
      </c>
      <c r="O6699" t="s">
        <v>30</v>
      </c>
      <c r="P6699" t="s">
        <v>50</v>
      </c>
      <c r="S6699" t="s">
        <v>6400</v>
      </c>
      <c r="T6699" t="s">
        <v>10095</v>
      </c>
      <c r="U6699">
        <v>720.47199999999998</v>
      </c>
      <c r="V6699" s="3">
        <v>41624</v>
      </c>
    </row>
    <row r="6700" spans="1:22" x14ac:dyDescent="0.35">
      <c r="A6700" s="1">
        <v>42279.785624999997</v>
      </c>
      <c r="B6700" s="2">
        <v>1.3449074074074073E-2</v>
      </c>
      <c r="C6700" t="s">
        <v>210</v>
      </c>
      <c r="D6700" t="s">
        <v>211</v>
      </c>
      <c r="E6700" t="s">
        <v>212</v>
      </c>
      <c r="F6700" t="s">
        <v>9766</v>
      </c>
      <c r="G6700">
        <v>894258</v>
      </c>
      <c r="H6700" t="s">
        <v>26</v>
      </c>
      <c r="I6700" t="s">
        <v>382</v>
      </c>
      <c r="J6700" t="str">
        <f>"9781118333709"</f>
        <v>9781118333709</v>
      </c>
      <c r="K6700" t="s">
        <v>10207</v>
      </c>
      <c r="L6700">
        <v>91</v>
      </c>
      <c r="O6700" t="s">
        <v>30</v>
      </c>
      <c r="P6700" t="s">
        <v>29</v>
      </c>
      <c r="Q6700" s="1">
        <v>42279.785624999997</v>
      </c>
      <c r="R6700">
        <v>7</v>
      </c>
      <c r="S6700" t="s">
        <v>214</v>
      </c>
      <c r="T6700" t="s">
        <v>9768</v>
      </c>
      <c r="U6700">
        <v>914.436104</v>
      </c>
      <c r="V6700" s="3">
        <v>41095</v>
      </c>
    </row>
    <row r="6701" spans="1:22" x14ac:dyDescent="0.35">
      <c r="A6701" s="1">
        <v>42279.785555555558</v>
      </c>
      <c r="B6701" s="2">
        <v>0</v>
      </c>
      <c r="C6701" t="s">
        <v>6693</v>
      </c>
      <c r="D6701" t="s">
        <v>6396</v>
      </c>
      <c r="E6701" t="s">
        <v>6397</v>
      </c>
      <c r="F6701" t="s">
        <v>887</v>
      </c>
      <c r="G6701">
        <v>1791341</v>
      </c>
      <c r="H6701" t="s">
        <v>26</v>
      </c>
      <c r="I6701" t="s">
        <v>888</v>
      </c>
      <c r="J6701" t="str">
        <f>"9781118862285"</f>
        <v>9781118862285</v>
      </c>
      <c r="L6701">
        <v>0</v>
      </c>
      <c r="O6701" t="s">
        <v>28</v>
      </c>
      <c r="P6701" t="s">
        <v>29</v>
      </c>
      <c r="Q6701" s="1">
        <v>42279.785555555558</v>
      </c>
      <c r="R6701">
        <v>7</v>
      </c>
      <c r="S6701" t="s">
        <v>6400</v>
      </c>
      <c r="T6701" t="s">
        <v>890</v>
      </c>
      <c r="U6701">
        <v>696</v>
      </c>
      <c r="V6701" s="3">
        <v>41899</v>
      </c>
    </row>
    <row r="6702" spans="1:22" x14ac:dyDescent="0.35">
      <c r="A6702" s="1">
        <v>42279.785555555558</v>
      </c>
      <c r="B6702" s="2">
        <v>0</v>
      </c>
      <c r="C6702" t="s">
        <v>6693</v>
      </c>
      <c r="D6702" t="s">
        <v>6396</v>
      </c>
      <c r="E6702" t="s">
        <v>6397</v>
      </c>
      <c r="F6702" t="s">
        <v>887</v>
      </c>
      <c r="G6702">
        <v>1791341</v>
      </c>
      <c r="H6702" t="s">
        <v>26</v>
      </c>
      <c r="I6702" t="s">
        <v>888</v>
      </c>
      <c r="J6702" t="str">
        <f>"9781118862285"</f>
        <v>9781118862285</v>
      </c>
      <c r="L6702">
        <v>0</v>
      </c>
      <c r="O6702" t="s">
        <v>30</v>
      </c>
      <c r="P6702" t="s">
        <v>29</v>
      </c>
      <c r="Q6702" s="1">
        <v>42279.785555555558</v>
      </c>
      <c r="R6702">
        <v>7</v>
      </c>
      <c r="S6702" t="s">
        <v>6400</v>
      </c>
      <c r="T6702" t="s">
        <v>890</v>
      </c>
      <c r="U6702">
        <v>696</v>
      </c>
      <c r="V6702" s="3">
        <v>41899</v>
      </c>
    </row>
    <row r="6703" spans="1:22" x14ac:dyDescent="0.35">
      <c r="A6703" s="1">
        <v>42279.785370370373</v>
      </c>
      <c r="B6703" s="2">
        <v>2.6620370370370372E-4</v>
      </c>
      <c r="C6703" t="s">
        <v>6693</v>
      </c>
      <c r="D6703" t="s">
        <v>6396</v>
      </c>
      <c r="E6703" t="s">
        <v>6397</v>
      </c>
      <c r="F6703" t="s">
        <v>10208</v>
      </c>
      <c r="G6703">
        <v>1575981</v>
      </c>
      <c r="H6703" t="s">
        <v>68</v>
      </c>
      <c r="I6703" t="s">
        <v>10209</v>
      </c>
      <c r="J6703" t="str">
        <f>"9781135069148"</f>
        <v>9781135069148</v>
      </c>
      <c r="K6703" t="s">
        <v>536</v>
      </c>
      <c r="L6703">
        <v>3</v>
      </c>
      <c r="O6703" t="s">
        <v>30</v>
      </c>
      <c r="P6703" t="s">
        <v>50</v>
      </c>
      <c r="S6703" t="s">
        <v>6400</v>
      </c>
      <c r="T6703" t="s">
        <v>10210</v>
      </c>
      <c r="U6703">
        <v>696</v>
      </c>
      <c r="V6703" s="3">
        <v>41612</v>
      </c>
    </row>
    <row r="6704" spans="1:22" x14ac:dyDescent="0.35">
      <c r="A6704" s="1">
        <v>42279.785196759258</v>
      </c>
      <c r="B6704" s="2">
        <v>2.5462962962962961E-4</v>
      </c>
      <c r="C6704" t="s">
        <v>6693</v>
      </c>
      <c r="D6704" t="s">
        <v>6396</v>
      </c>
      <c r="E6704" t="s">
        <v>6397</v>
      </c>
      <c r="F6704" t="s">
        <v>10211</v>
      </c>
      <c r="G6704">
        <v>2081174</v>
      </c>
      <c r="H6704" t="s">
        <v>26</v>
      </c>
      <c r="I6704" t="s">
        <v>888</v>
      </c>
      <c r="J6704" t="str">
        <f>"9783433604847"</f>
        <v>9783433604847</v>
      </c>
      <c r="K6704" t="s">
        <v>536</v>
      </c>
      <c r="L6704">
        <v>3</v>
      </c>
      <c r="O6704" t="s">
        <v>30</v>
      </c>
      <c r="P6704" t="s">
        <v>50</v>
      </c>
      <c r="S6704" t="s">
        <v>6400</v>
      </c>
      <c r="T6704" t="s">
        <v>10212</v>
      </c>
      <c r="U6704">
        <v>697.4</v>
      </c>
      <c r="V6704" s="3">
        <v>42184</v>
      </c>
    </row>
    <row r="6705" spans="1:22" x14ac:dyDescent="0.35">
      <c r="A6705" s="1">
        <v>42279.785150462965</v>
      </c>
      <c r="B6705" s="2">
        <v>4.0509259259259258E-4</v>
      </c>
      <c r="C6705" t="s">
        <v>6693</v>
      </c>
      <c r="D6705" t="s">
        <v>6396</v>
      </c>
      <c r="E6705" t="s">
        <v>6397</v>
      </c>
      <c r="F6705" t="s">
        <v>887</v>
      </c>
      <c r="G6705">
        <v>1791341</v>
      </c>
      <c r="H6705" t="s">
        <v>26</v>
      </c>
      <c r="I6705" t="s">
        <v>888</v>
      </c>
      <c r="J6705" t="str">
        <f>"9781118862285"</f>
        <v>9781118862285</v>
      </c>
      <c r="K6705" t="s">
        <v>536</v>
      </c>
      <c r="L6705">
        <v>3</v>
      </c>
      <c r="O6705" t="s">
        <v>30</v>
      </c>
      <c r="P6705" t="s">
        <v>42</v>
      </c>
      <c r="S6705" t="s">
        <v>6400</v>
      </c>
      <c r="T6705" t="s">
        <v>890</v>
      </c>
      <c r="U6705">
        <v>696</v>
      </c>
      <c r="V6705" s="3">
        <v>41899</v>
      </c>
    </row>
    <row r="6706" spans="1:22" x14ac:dyDescent="0.35">
      <c r="A6706" s="1">
        <v>42279.783449074072</v>
      </c>
      <c r="B6706" s="2">
        <v>1.273148148148148E-4</v>
      </c>
      <c r="C6706" t="s">
        <v>6693</v>
      </c>
      <c r="D6706" t="s">
        <v>6396</v>
      </c>
      <c r="E6706" t="s">
        <v>6397</v>
      </c>
      <c r="F6706" t="s">
        <v>10213</v>
      </c>
      <c r="G6706">
        <v>1161321</v>
      </c>
      <c r="H6706" t="s">
        <v>26</v>
      </c>
      <c r="I6706" t="s">
        <v>79</v>
      </c>
      <c r="J6706" t="str">
        <f>"9781118416082"</f>
        <v>9781118416082</v>
      </c>
      <c r="K6706" t="s">
        <v>63</v>
      </c>
      <c r="L6706">
        <v>1</v>
      </c>
      <c r="O6706" t="s">
        <v>28</v>
      </c>
      <c r="P6706" t="s">
        <v>47</v>
      </c>
      <c r="Q6706" s="1">
        <v>42279.783449074072</v>
      </c>
      <c r="R6706">
        <v>7</v>
      </c>
      <c r="S6706" t="s">
        <v>6400</v>
      </c>
      <c r="T6706" t="s">
        <v>10214</v>
      </c>
      <c r="U6706">
        <v>343.73052044000002</v>
      </c>
      <c r="V6706" s="3">
        <v>41359</v>
      </c>
    </row>
    <row r="6707" spans="1:22" x14ac:dyDescent="0.35">
      <c r="A6707" s="1">
        <v>42279.783449074072</v>
      </c>
      <c r="B6707" s="2">
        <v>0</v>
      </c>
      <c r="C6707" t="s">
        <v>6693</v>
      </c>
      <c r="D6707" t="s">
        <v>6396</v>
      </c>
      <c r="E6707" t="s">
        <v>6397</v>
      </c>
      <c r="F6707" t="s">
        <v>10213</v>
      </c>
      <c r="G6707">
        <v>1161321</v>
      </c>
      <c r="H6707" t="s">
        <v>26</v>
      </c>
      <c r="I6707" t="s">
        <v>79</v>
      </c>
      <c r="J6707" t="str">
        <f>"9781118416082"</f>
        <v>9781118416082</v>
      </c>
      <c r="L6707">
        <v>0</v>
      </c>
      <c r="O6707" t="s">
        <v>30</v>
      </c>
      <c r="P6707" t="s">
        <v>47</v>
      </c>
      <c r="Q6707" s="1">
        <v>42279.783449074072</v>
      </c>
      <c r="R6707">
        <v>7</v>
      </c>
      <c r="S6707" t="s">
        <v>6400</v>
      </c>
      <c r="T6707" t="s">
        <v>10214</v>
      </c>
      <c r="U6707">
        <v>343.73052044000002</v>
      </c>
      <c r="V6707" s="3">
        <v>41359</v>
      </c>
    </row>
    <row r="6708" spans="1:22" x14ac:dyDescent="0.35">
      <c r="A6708" s="1">
        <v>42279.78329861111</v>
      </c>
      <c r="B6708" s="2">
        <v>1.5046296296296297E-4</v>
      </c>
      <c r="C6708" t="s">
        <v>6693</v>
      </c>
      <c r="D6708" t="s">
        <v>6396</v>
      </c>
      <c r="E6708" t="s">
        <v>6397</v>
      </c>
      <c r="F6708" t="s">
        <v>10213</v>
      </c>
      <c r="G6708">
        <v>1161321</v>
      </c>
      <c r="H6708" t="s">
        <v>26</v>
      </c>
      <c r="I6708" t="s">
        <v>79</v>
      </c>
      <c r="J6708" t="str">
        <f>"9781118416082"</f>
        <v>9781118416082</v>
      </c>
      <c r="K6708" t="s">
        <v>2787</v>
      </c>
      <c r="L6708">
        <v>3</v>
      </c>
      <c r="O6708" t="s">
        <v>30</v>
      </c>
      <c r="P6708" t="s">
        <v>50</v>
      </c>
      <c r="S6708" t="s">
        <v>6400</v>
      </c>
      <c r="T6708" t="s">
        <v>10214</v>
      </c>
      <c r="U6708">
        <v>343.73052044000002</v>
      </c>
      <c r="V6708" s="3">
        <v>41359</v>
      </c>
    </row>
    <row r="6709" spans="1:22" x14ac:dyDescent="0.35">
      <c r="A6709" s="1">
        <v>42279.779074074075</v>
      </c>
      <c r="B6709" s="2">
        <v>4.108796296296297E-3</v>
      </c>
      <c r="C6709" t="s">
        <v>10215</v>
      </c>
      <c r="D6709" t="s">
        <v>1482</v>
      </c>
      <c r="E6709" t="s">
        <v>1483</v>
      </c>
      <c r="F6709" t="s">
        <v>1547</v>
      </c>
      <c r="G6709">
        <v>848510</v>
      </c>
      <c r="H6709" t="s">
        <v>26</v>
      </c>
      <c r="I6709" t="s">
        <v>247</v>
      </c>
      <c r="J6709" t="str">
        <f>"9781118220481"</f>
        <v>9781118220481</v>
      </c>
      <c r="K6709" t="s">
        <v>10216</v>
      </c>
      <c r="L6709">
        <v>24</v>
      </c>
      <c r="O6709" t="s">
        <v>30</v>
      </c>
      <c r="P6709" t="s">
        <v>29</v>
      </c>
      <c r="Q6709" s="1">
        <v>42279.106342592589</v>
      </c>
      <c r="R6709">
        <v>7</v>
      </c>
      <c r="S6709" t="s">
        <v>1485</v>
      </c>
      <c r="T6709" t="s">
        <v>1548</v>
      </c>
      <c r="U6709" t="s">
        <v>1549</v>
      </c>
      <c r="V6709" s="3">
        <v>41066</v>
      </c>
    </row>
    <row r="6710" spans="1:22" x14ac:dyDescent="0.35">
      <c r="A6710" s="1">
        <v>42279.77480324074</v>
      </c>
      <c r="B6710" s="2">
        <v>1.082175925925926E-2</v>
      </c>
      <c r="C6710" t="s">
        <v>210</v>
      </c>
      <c r="D6710" t="s">
        <v>211</v>
      </c>
      <c r="E6710" t="s">
        <v>212</v>
      </c>
      <c r="F6710" t="s">
        <v>9766</v>
      </c>
      <c r="G6710">
        <v>894258</v>
      </c>
      <c r="H6710" t="s">
        <v>26</v>
      </c>
      <c r="I6710" t="s">
        <v>382</v>
      </c>
      <c r="J6710" t="str">
        <f>"9781118333709"</f>
        <v>9781118333709</v>
      </c>
      <c r="K6710" t="s">
        <v>10217</v>
      </c>
      <c r="L6710">
        <v>17</v>
      </c>
      <c r="O6710" t="s">
        <v>30</v>
      </c>
      <c r="P6710" t="s">
        <v>42</v>
      </c>
      <c r="S6710" t="s">
        <v>214</v>
      </c>
      <c r="T6710" t="s">
        <v>9768</v>
      </c>
      <c r="U6710">
        <v>914.436104</v>
      </c>
      <c r="V6710" s="3">
        <v>41095</v>
      </c>
    </row>
    <row r="6711" spans="1:22" x14ac:dyDescent="0.35">
      <c r="A6711" s="1">
        <v>42279.772962962961</v>
      </c>
      <c r="B6711" s="2">
        <v>0</v>
      </c>
      <c r="C6711" t="s">
        <v>6693</v>
      </c>
      <c r="D6711" t="s">
        <v>6396</v>
      </c>
      <c r="E6711" t="s">
        <v>6397</v>
      </c>
      <c r="F6711" t="s">
        <v>10218</v>
      </c>
      <c r="G6711">
        <v>1964127</v>
      </c>
      <c r="H6711" t="s">
        <v>26</v>
      </c>
      <c r="I6711" t="s">
        <v>97</v>
      </c>
      <c r="J6711" t="str">
        <f>"9781119111160"</f>
        <v>9781119111160</v>
      </c>
      <c r="L6711">
        <v>0</v>
      </c>
      <c r="O6711" t="s">
        <v>28</v>
      </c>
      <c r="P6711" t="s">
        <v>29</v>
      </c>
      <c r="Q6711" s="1">
        <v>42279.772951388892</v>
      </c>
      <c r="R6711">
        <v>7</v>
      </c>
      <c r="S6711" t="s">
        <v>6400</v>
      </c>
      <c r="T6711" t="s">
        <v>10219</v>
      </c>
      <c r="U6711" t="s">
        <v>3359</v>
      </c>
      <c r="V6711" s="3">
        <v>42221</v>
      </c>
    </row>
    <row r="6712" spans="1:22" x14ac:dyDescent="0.35">
      <c r="A6712" s="1">
        <v>42279.772951388892</v>
      </c>
      <c r="B6712" s="2">
        <v>0</v>
      </c>
      <c r="C6712" t="s">
        <v>6693</v>
      </c>
      <c r="D6712" t="s">
        <v>6396</v>
      </c>
      <c r="E6712" t="s">
        <v>6397</v>
      </c>
      <c r="F6712" t="s">
        <v>10218</v>
      </c>
      <c r="G6712">
        <v>1964127</v>
      </c>
      <c r="H6712" t="s">
        <v>26</v>
      </c>
      <c r="I6712" t="s">
        <v>97</v>
      </c>
      <c r="J6712" t="str">
        <f>"9781119111160"</f>
        <v>9781119111160</v>
      </c>
      <c r="L6712">
        <v>0</v>
      </c>
      <c r="O6712" t="s">
        <v>30</v>
      </c>
      <c r="P6712" t="s">
        <v>29</v>
      </c>
      <c r="Q6712" s="1">
        <v>42279.772951388892</v>
      </c>
      <c r="R6712">
        <v>7</v>
      </c>
      <c r="S6712" t="s">
        <v>6400</v>
      </c>
      <c r="T6712" t="s">
        <v>10219</v>
      </c>
      <c r="U6712" t="s">
        <v>3359</v>
      </c>
      <c r="V6712" s="3">
        <v>42221</v>
      </c>
    </row>
    <row r="6713" spans="1:22" x14ac:dyDescent="0.35">
      <c r="A6713" s="1">
        <v>42279.772719907407</v>
      </c>
      <c r="B6713" s="2">
        <v>0</v>
      </c>
      <c r="C6713" t="s">
        <v>6693</v>
      </c>
      <c r="D6713" t="s">
        <v>6396</v>
      </c>
      <c r="E6713" t="s">
        <v>6397</v>
      </c>
      <c r="F6713" t="s">
        <v>10220</v>
      </c>
      <c r="G6713">
        <v>1672806</v>
      </c>
      <c r="H6713" t="s">
        <v>26</v>
      </c>
      <c r="I6713" t="s">
        <v>3693</v>
      </c>
      <c r="J6713" t="str">
        <f>"9781118658192"</f>
        <v>9781118658192</v>
      </c>
      <c r="L6713">
        <v>0</v>
      </c>
      <c r="O6713" t="s">
        <v>28</v>
      </c>
      <c r="P6713" t="s">
        <v>47</v>
      </c>
      <c r="Q6713" s="1">
        <v>42279.772719907407</v>
      </c>
      <c r="R6713">
        <v>7</v>
      </c>
      <c r="S6713" t="s">
        <v>6400</v>
      </c>
      <c r="T6713" t="s">
        <v>10221</v>
      </c>
      <c r="U6713" t="s">
        <v>10222</v>
      </c>
      <c r="V6713" s="3">
        <v>41736</v>
      </c>
    </row>
    <row r="6714" spans="1:22" x14ac:dyDescent="0.35">
      <c r="A6714" s="1">
        <v>42279.772719907407</v>
      </c>
      <c r="B6714" s="2">
        <v>0</v>
      </c>
      <c r="C6714" t="s">
        <v>6693</v>
      </c>
      <c r="D6714" t="s">
        <v>6396</v>
      </c>
      <c r="E6714" t="s">
        <v>6397</v>
      </c>
      <c r="F6714" t="s">
        <v>10220</v>
      </c>
      <c r="G6714">
        <v>1672806</v>
      </c>
      <c r="H6714" t="s">
        <v>26</v>
      </c>
      <c r="I6714" t="s">
        <v>3693</v>
      </c>
      <c r="J6714" t="str">
        <f>"9781118658192"</f>
        <v>9781118658192</v>
      </c>
      <c r="L6714">
        <v>0</v>
      </c>
      <c r="O6714" t="s">
        <v>30</v>
      </c>
      <c r="P6714" t="s">
        <v>47</v>
      </c>
      <c r="Q6714" s="1">
        <v>42279.772719907407</v>
      </c>
      <c r="R6714">
        <v>7</v>
      </c>
      <c r="S6714" t="s">
        <v>6400</v>
      </c>
      <c r="T6714" t="s">
        <v>10221</v>
      </c>
      <c r="U6714" t="s">
        <v>10222</v>
      </c>
      <c r="V6714" s="3">
        <v>41736</v>
      </c>
    </row>
    <row r="6715" spans="1:22" x14ac:dyDescent="0.35">
      <c r="A6715" s="1">
        <v>42279.772337962961</v>
      </c>
      <c r="B6715" s="2">
        <v>0</v>
      </c>
      <c r="C6715" t="s">
        <v>6693</v>
      </c>
      <c r="D6715" t="s">
        <v>6396</v>
      </c>
      <c r="E6715" t="s">
        <v>6397</v>
      </c>
      <c r="F6715" t="s">
        <v>10223</v>
      </c>
      <c r="G6715">
        <v>1895882</v>
      </c>
      <c r="H6715" t="s">
        <v>26</v>
      </c>
      <c r="I6715" t="s">
        <v>108</v>
      </c>
      <c r="J6715" t="str">
        <f>"9781118994191"</f>
        <v>9781118994191</v>
      </c>
      <c r="L6715">
        <v>0</v>
      </c>
      <c r="O6715" t="s">
        <v>28</v>
      </c>
      <c r="P6715" t="s">
        <v>29</v>
      </c>
      <c r="Q6715" s="1">
        <v>42279.772337962961</v>
      </c>
      <c r="R6715">
        <v>7</v>
      </c>
      <c r="S6715" t="s">
        <v>6400</v>
      </c>
      <c r="T6715" t="s">
        <v>10224</v>
      </c>
      <c r="U6715" t="s">
        <v>10225</v>
      </c>
      <c r="V6715" s="3">
        <v>42044</v>
      </c>
    </row>
    <row r="6716" spans="1:22" x14ac:dyDescent="0.35">
      <c r="A6716" s="1">
        <v>42279.772337962961</v>
      </c>
      <c r="B6716" s="2">
        <v>0</v>
      </c>
      <c r="C6716" t="s">
        <v>6693</v>
      </c>
      <c r="D6716" t="s">
        <v>6396</v>
      </c>
      <c r="E6716" t="s">
        <v>6397</v>
      </c>
      <c r="F6716" t="s">
        <v>10223</v>
      </c>
      <c r="G6716">
        <v>1895882</v>
      </c>
      <c r="H6716" t="s">
        <v>26</v>
      </c>
      <c r="I6716" t="s">
        <v>108</v>
      </c>
      <c r="J6716" t="str">
        <f>"9781118994191"</f>
        <v>9781118994191</v>
      </c>
      <c r="L6716">
        <v>0</v>
      </c>
      <c r="O6716" t="s">
        <v>30</v>
      </c>
      <c r="P6716" t="s">
        <v>29</v>
      </c>
      <c r="Q6716" s="1">
        <v>42279.772337962961</v>
      </c>
      <c r="R6716">
        <v>7</v>
      </c>
      <c r="S6716" t="s">
        <v>6400</v>
      </c>
      <c r="T6716" t="s">
        <v>10224</v>
      </c>
      <c r="U6716" t="s">
        <v>10225</v>
      </c>
      <c r="V6716" s="3">
        <v>42044</v>
      </c>
    </row>
    <row r="6717" spans="1:22" x14ac:dyDescent="0.35">
      <c r="A6717" s="1">
        <v>42279.772175925929</v>
      </c>
      <c r="B6717" s="2">
        <v>0</v>
      </c>
      <c r="C6717" t="s">
        <v>6693</v>
      </c>
      <c r="D6717" t="s">
        <v>6396</v>
      </c>
      <c r="E6717" t="s">
        <v>6397</v>
      </c>
      <c r="F6717" t="s">
        <v>10226</v>
      </c>
      <c r="G6717">
        <v>1895116</v>
      </c>
      <c r="H6717" t="s">
        <v>26</v>
      </c>
      <c r="I6717" t="s">
        <v>97</v>
      </c>
      <c r="J6717" t="str">
        <f>"9781118853290"</f>
        <v>9781118853290</v>
      </c>
      <c r="L6717">
        <v>0</v>
      </c>
      <c r="O6717" t="s">
        <v>28</v>
      </c>
      <c r="P6717" t="s">
        <v>29</v>
      </c>
      <c r="Q6717" s="1">
        <v>42279.772175925929</v>
      </c>
      <c r="R6717">
        <v>7</v>
      </c>
      <c r="S6717" t="s">
        <v>6400</v>
      </c>
      <c r="T6717" t="s">
        <v>10227</v>
      </c>
      <c r="U6717">
        <v>657.07600000000002</v>
      </c>
      <c r="V6717" s="3">
        <v>42090</v>
      </c>
    </row>
    <row r="6718" spans="1:22" x14ac:dyDescent="0.35">
      <c r="A6718" s="1">
        <v>42279.772175925929</v>
      </c>
      <c r="B6718" s="2">
        <v>0</v>
      </c>
      <c r="C6718" t="s">
        <v>6693</v>
      </c>
      <c r="D6718" t="s">
        <v>6396</v>
      </c>
      <c r="E6718" t="s">
        <v>6397</v>
      </c>
      <c r="F6718" t="s">
        <v>10226</v>
      </c>
      <c r="G6718">
        <v>1895116</v>
      </c>
      <c r="H6718" t="s">
        <v>26</v>
      </c>
      <c r="I6718" t="s">
        <v>97</v>
      </c>
      <c r="J6718" t="str">
        <f>"9781118853290"</f>
        <v>9781118853290</v>
      </c>
      <c r="L6718">
        <v>0</v>
      </c>
      <c r="O6718" t="s">
        <v>30</v>
      </c>
      <c r="P6718" t="s">
        <v>29</v>
      </c>
      <c r="Q6718" s="1">
        <v>42279.772175925929</v>
      </c>
      <c r="R6718">
        <v>7</v>
      </c>
      <c r="S6718" t="s">
        <v>6400</v>
      </c>
      <c r="T6718" t="s">
        <v>10227</v>
      </c>
      <c r="U6718">
        <v>657.07600000000002</v>
      </c>
      <c r="V6718" s="3">
        <v>42090</v>
      </c>
    </row>
    <row r="6719" spans="1:22" x14ac:dyDescent="0.35">
      <c r="A6719" s="1">
        <v>42279.772002314814</v>
      </c>
      <c r="B6719" s="2">
        <v>3.3564814814814812E-4</v>
      </c>
      <c r="C6719" t="s">
        <v>6693</v>
      </c>
      <c r="D6719" t="s">
        <v>6396</v>
      </c>
      <c r="E6719" t="s">
        <v>6397</v>
      </c>
      <c r="F6719" t="s">
        <v>10223</v>
      </c>
      <c r="G6719">
        <v>1895882</v>
      </c>
      <c r="H6719" t="s">
        <v>26</v>
      </c>
      <c r="I6719" t="s">
        <v>108</v>
      </c>
      <c r="J6719" t="str">
        <f>"9781118994191"</f>
        <v>9781118994191</v>
      </c>
      <c r="K6719" t="s">
        <v>536</v>
      </c>
      <c r="L6719">
        <v>3</v>
      </c>
      <c r="O6719" t="s">
        <v>30</v>
      </c>
      <c r="P6719" t="s">
        <v>50</v>
      </c>
      <c r="S6719" t="s">
        <v>6400</v>
      </c>
      <c r="T6719" t="s">
        <v>10224</v>
      </c>
      <c r="U6719" t="s">
        <v>10225</v>
      </c>
      <c r="V6719" s="3">
        <v>42044</v>
      </c>
    </row>
    <row r="6720" spans="1:22" x14ac:dyDescent="0.35">
      <c r="A6720" s="1">
        <v>42279.77171296296</v>
      </c>
      <c r="B6720" s="2">
        <v>2.199074074074074E-4</v>
      </c>
      <c r="C6720" t="s">
        <v>6693</v>
      </c>
      <c r="D6720" t="s">
        <v>6396</v>
      </c>
      <c r="E6720" t="s">
        <v>6397</v>
      </c>
      <c r="F6720" t="s">
        <v>10228</v>
      </c>
      <c r="G6720">
        <v>1833667</v>
      </c>
      <c r="H6720" t="s">
        <v>526</v>
      </c>
      <c r="I6720" t="s">
        <v>267</v>
      </c>
      <c r="J6720" t="str">
        <f>"9780226127293"</f>
        <v>9780226127293</v>
      </c>
      <c r="K6720" t="s">
        <v>10229</v>
      </c>
      <c r="L6720">
        <v>11</v>
      </c>
      <c r="O6720" t="s">
        <v>30</v>
      </c>
      <c r="P6720" t="s">
        <v>29</v>
      </c>
      <c r="Q6720" s="1">
        <v>42279.77171296296</v>
      </c>
      <c r="R6720">
        <v>7</v>
      </c>
      <c r="S6720" t="s">
        <v>6400</v>
      </c>
      <c r="T6720" t="s">
        <v>10230</v>
      </c>
      <c r="U6720" t="s">
        <v>5629</v>
      </c>
      <c r="V6720" s="3">
        <v>42006</v>
      </c>
    </row>
    <row r="6721" spans="1:22" x14ac:dyDescent="0.35">
      <c r="A6721" s="1">
        <v>42279.768831018519</v>
      </c>
      <c r="B6721" s="2">
        <v>6.9444444444444444E-5</v>
      </c>
      <c r="C6721" t="s">
        <v>6693</v>
      </c>
      <c r="D6721" t="s">
        <v>6396</v>
      </c>
      <c r="E6721" t="s">
        <v>6397</v>
      </c>
      <c r="F6721" t="s">
        <v>10231</v>
      </c>
      <c r="G6721">
        <v>1895708</v>
      </c>
      <c r="H6721" t="s">
        <v>26</v>
      </c>
      <c r="I6721" t="s">
        <v>97</v>
      </c>
      <c r="J6721" t="str">
        <f>"9781118889541"</f>
        <v>9781118889541</v>
      </c>
      <c r="K6721" t="s">
        <v>63</v>
      </c>
      <c r="L6721">
        <v>1</v>
      </c>
      <c r="O6721" t="s">
        <v>28</v>
      </c>
      <c r="P6721" t="s">
        <v>29</v>
      </c>
      <c r="Q6721" s="1">
        <v>42279.768831018519</v>
      </c>
      <c r="R6721">
        <v>7</v>
      </c>
      <c r="S6721" t="s">
        <v>6400</v>
      </c>
      <c r="T6721" t="s">
        <v>10232</v>
      </c>
      <c r="U6721">
        <v>657.30218000000002</v>
      </c>
      <c r="V6721" s="3">
        <v>42020</v>
      </c>
    </row>
    <row r="6722" spans="1:22" x14ac:dyDescent="0.35">
      <c r="A6722" s="1">
        <v>42279.768831018519</v>
      </c>
      <c r="B6722" s="2">
        <v>0</v>
      </c>
      <c r="C6722" t="s">
        <v>6693</v>
      </c>
      <c r="D6722" t="s">
        <v>6396</v>
      </c>
      <c r="E6722" t="s">
        <v>6397</v>
      </c>
      <c r="F6722" t="s">
        <v>10231</v>
      </c>
      <c r="G6722">
        <v>1895708</v>
      </c>
      <c r="H6722" t="s">
        <v>26</v>
      </c>
      <c r="I6722" t="s">
        <v>97</v>
      </c>
      <c r="J6722" t="str">
        <f>"9781118889541"</f>
        <v>9781118889541</v>
      </c>
      <c r="L6722">
        <v>0</v>
      </c>
      <c r="O6722" t="s">
        <v>30</v>
      </c>
      <c r="P6722" t="s">
        <v>29</v>
      </c>
      <c r="Q6722" s="1">
        <v>42279.768831018519</v>
      </c>
      <c r="R6722">
        <v>7</v>
      </c>
      <c r="S6722" t="s">
        <v>6400</v>
      </c>
      <c r="T6722" t="s">
        <v>10232</v>
      </c>
      <c r="U6722">
        <v>657.30218000000002</v>
      </c>
      <c r="V6722" s="3">
        <v>42020</v>
      </c>
    </row>
    <row r="6723" spans="1:22" x14ac:dyDescent="0.35">
      <c r="A6723" s="1">
        <v>42279.768599537034</v>
      </c>
      <c r="B6723" s="2">
        <v>2.3148148148148146E-4</v>
      </c>
      <c r="C6723" t="s">
        <v>6693</v>
      </c>
      <c r="D6723" t="s">
        <v>6396</v>
      </c>
      <c r="E6723" t="s">
        <v>6397</v>
      </c>
      <c r="F6723" t="s">
        <v>10231</v>
      </c>
      <c r="G6723">
        <v>1895708</v>
      </c>
      <c r="H6723" t="s">
        <v>26</v>
      </c>
      <c r="I6723" t="s">
        <v>97</v>
      </c>
      <c r="J6723" t="str">
        <f>"9781118889541"</f>
        <v>9781118889541</v>
      </c>
      <c r="K6723" t="s">
        <v>737</v>
      </c>
      <c r="L6723">
        <v>3</v>
      </c>
      <c r="O6723" t="s">
        <v>30</v>
      </c>
      <c r="P6723" t="s">
        <v>50</v>
      </c>
      <c r="S6723" t="s">
        <v>6400</v>
      </c>
      <c r="T6723" t="s">
        <v>10232</v>
      </c>
      <c r="U6723">
        <v>657.30218000000002</v>
      </c>
      <c r="V6723" s="3">
        <v>42020</v>
      </c>
    </row>
    <row r="6724" spans="1:22" x14ac:dyDescent="0.35">
      <c r="A6724" s="1">
        <v>42279.768472222226</v>
      </c>
      <c r="B6724" s="2">
        <v>0</v>
      </c>
      <c r="C6724" t="s">
        <v>6693</v>
      </c>
      <c r="D6724" t="s">
        <v>6396</v>
      </c>
      <c r="E6724" t="s">
        <v>6397</v>
      </c>
      <c r="F6724" t="s">
        <v>10233</v>
      </c>
      <c r="G6724">
        <v>1985829</v>
      </c>
      <c r="H6724" t="s">
        <v>26</v>
      </c>
      <c r="I6724" t="s">
        <v>97</v>
      </c>
      <c r="J6724" t="str">
        <f>"9781119128212"</f>
        <v>9781119128212</v>
      </c>
      <c r="L6724">
        <v>0</v>
      </c>
      <c r="O6724" t="s">
        <v>28</v>
      </c>
      <c r="P6724" t="s">
        <v>29</v>
      </c>
      <c r="Q6724" s="1">
        <v>42279.760798611111</v>
      </c>
      <c r="R6724">
        <v>7</v>
      </c>
      <c r="S6724" t="s">
        <v>6400</v>
      </c>
      <c r="T6724" t="s">
        <v>500</v>
      </c>
      <c r="U6724">
        <v>657.07600000000002</v>
      </c>
      <c r="V6724" s="3">
        <v>42143</v>
      </c>
    </row>
    <row r="6725" spans="1:22" x14ac:dyDescent="0.35">
      <c r="A6725" s="1">
        <v>42279.76835648148</v>
      </c>
      <c r="B6725" s="2">
        <v>8.1018518518518516E-5</v>
      </c>
      <c r="C6725" t="s">
        <v>6693</v>
      </c>
      <c r="D6725" t="s">
        <v>6396</v>
      </c>
      <c r="E6725" t="s">
        <v>6397</v>
      </c>
      <c r="F6725" t="s">
        <v>10233</v>
      </c>
      <c r="G6725">
        <v>1985829</v>
      </c>
      <c r="H6725" t="s">
        <v>26</v>
      </c>
      <c r="I6725" t="s">
        <v>97</v>
      </c>
      <c r="J6725" t="str">
        <f>"9781119128212"</f>
        <v>9781119128212</v>
      </c>
      <c r="K6725" t="s">
        <v>786</v>
      </c>
      <c r="L6725">
        <v>3</v>
      </c>
      <c r="O6725" t="s">
        <v>30</v>
      </c>
      <c r="P6725" t="s">
        <v>29</v>
      </c>
      <c r="Q6725" s="1">
        <v>42279.760798611111</v>
      </c>
      <c r="R6725">
        <v>7</v>
      </c>
      <c r="S6725" t="s">
        <v>6400</v>
      </c>
      <c r="T6725" t="s">
        <v>500</v>
      </c>
      <c r="U6725">
        <v>657.07600000000002</v>
      </c>
      <c r="V6725" s="3">
        <v>42143</v>
      </c>
    </row>
    <row r="6726" spans="1:22" x14ac:dyDescent="0.35">
      <c r="A6726" s="1">
        <v>42279.765104166669</v>
      </c>
      <c r="B6726" s="2">
        <v>1.273148148148148E-4</v>
      </c>
      <c r="C6726" t="s">
        <v>6693</v>
      </c>
      <c r="D6726" t="s">
        <v>6396</v>
      </c>
      <c r="E6726" t="s">
        <v>6397</v>
      </c>
      <c r="F6726" t="s">
        <v>10234</v>
      </c>
      <c r="G6726">
        <v>1985830</v>
      </c>
      <c r="H6726" t="s">
        <v>26</v>
      </c>
      <c r="I6726" t="s">
        <v>97</v>
      </c>
      <c r="J6726" t="str">
        <f>"9781119128229"</f>
        <v>9781119128229</v>
      </c>
      <c r="K6726" t="s">
        <v>63</v>
      </c>
      <c r="L6726">
        <v>1</v>
      </c>
      <c r="O6726" t="s">
        <v>28</v>
      </c>
      <c r="P6726" t="s">
        <v>29</v>
      </c>
      <c r="Q6726" s="1">
        <v>42279.694282407407</v>
      </c>
      <c r="R6726">
        <v>7</v>
      </c>
      <c r="S6726" t="s">
        <v>6400</v>
      </c>
      <c r="T6726" t="s">
        <v>500</v>
      </c>
      <c r="U6726">
        <v>657.3</v>
      </c>
      <c r="V6726" s="3">
        <v>42143</v>
      </c>
    </row>
    <row r="6727" spans="1:22" x14ac:dyDescent="0.35">
      <c r="A6727" s="1">
        <v>42279.764953703707</v>
      </c>
      <c r="B6727" s="2">
        <v>6.9444444444444444E-5</v>
      </c>
      <c r="C6727" t="s">
        <v>6693</v>
      </c>
      <c r="D6727" t="s">
        <v>6396</v>
      </c>
      <c r="E6727" t="s">
        <v>6397</v>
      </c>
      <c r="F6727" t="s">
        <v>10234</v>
      </c>
      <c r="G6727">
        <v>1985830</v>
      </c>
      <c r="H6727" t="s">
        <v>26</v>
      </c>
      <c r="I6727" t="s">
        <v>97</v>
      </c>
      <c r="J6727" t="str">
        <f>"9781119128229"</f>
        <v>9781119128229</v>
      </c>
      <c r="K6727" t="s">
        <v>2787</v>
      </c>
      <c r="L6727">
        <v>3</v>
      </c>
      <c r="O6727" t="s">
        <v>30</v>
      </c>
      <c r="P6727" t="s">
        <v>29</v>
      </c>
      <c r="Q6727" s="1">
        <v>42279.694282407407</v>
      </c>
      <c r="R6727">
        <v>7</v>
      </c>
      <c r="S6727" t="s">
        <v>6400</v>
      </c>
      <c r="T6727" t="s">
        <v>500</v>
      </c>
      <c r="U6727">
        <v>657.3</v>
      </c>
      <c r="V6727" s="3">
        <v>42143</v>
      </c>
    </row>
    <row r="6728" spans="1:22" x14ac:dyDescent="0.35">
      <c r="A6728" s="1">
        <v>42279.760844907411</v>
      </c>
      <c r="B6728" s="2">
        <v>5.7870370370370366E-5</v>
      </c>
      <c r="C6728" t="s">
        <v>6693</v>
      </c>
      <c r="D6728" t="s">
        <v>6396</v>
      </c>
      <c r="E6728" t="s">
        <v>6397</v>
      </c>
      <c r="F6728" t="s">
        <v>10235</v>
      </c>
      <c r="G6728">
        <v>1926544</v>
      </c>
      <c r="H6728" t="s">
        <v>26</v>
      </c>
      <c r="I6728" t="s">
        <v>97</v>
      </c>
      <c r="J6728" t="str">
        <f>"9781119097648"</f>
        <v>9781119097648</v>
      </c>
      <c r="K6728" t="s">
        <v>73</v>
      </c>
      <c r="L6728">
        <v>3</v>
      </c>
      <c r="O6728" t="s">
        <v>30</v>
      </c>
      <c r="P6728" t="s">
        <v>50</v>
      </c>
      <c r="S6728" t="s">
        <v>6400</v>
      </c>
      <c r="T6728" t="s">
        <v>10236</v>
      </c>
      <c r="U6728">
        <v>657.45799999999997</v>
      </c>
      <c r="V6728" s="3">
        <v>42024</v>
      </c>
    </row>
    <row r="6729" spans="1:22" x14ac:dyDescent="0.35">
      <c r="A6729" s="1">
        <v>42279.760798611111</v>
      </c>
      <c r="B6729" s="2">
        <v>1.6203703703703703E-4</v>
      </c>
      <c r="C6729" t="s">
        <v>6693</v>
      </c>
      <c r="D6729" t="s">
        <v>6396</v>
      </c>
      <c r="E6729" t="s">
        <v>6397</v>
      </c>
      <c r="F6729" t="s">
        <v>10233</v>
      </c>
      <c r="G6729">
        <v>1985829</v>
      </c>
      <c r="H6729" t="s">
        <v>26</v>
      </c>
      <c r="I6729" t="s">
        <v>97</v>
      </c>
      <c r="J6729" t="str">
        <f>"9781119128212"</f>
        <v>9781119128212</v>
      </c>
      <c r="K6729" t="s">
        <v>63</v>
      </c>
      <c r="L6729">
        <v>1</v>
      </c>
      <c r="O6729" t="s">
        <v>28</v>
      </c>
      <c r="P6729" t="s">
        <v>29</v>
      </c>
      <c r="Q6729" s="1">
        <v>42279.760798611111</v>
      </c>
      <c r="R6729">
        <v>7</v>
      </c>
      <c r="S6729" t="s">
        <v>6400</v>
      </c>
      <c r="T6729" t="s">
        <v>500</v>
      </c>
      <c r="U6729">
        <v>657.07600000000002</v>
      </c>
      <c r="V6729" s="3">
        <v>42143</v>
      </c>
    </row>
    <row r="6730" spans="1:22" x14ac:dyDescent="0.35">
      <c r="A6730" s="1">
        <v>42279.760798611111</v>
      </c>
      <c r="B6730" s="2">
        <v>0</v>
      </c>
      <c r="C6730" t="s">
        <v>6693</v>
      </c>
      <c r="D6730" t="s">
        <v>6396</v>
      </c>
      <c r="E6730" t="s">
        <v>6397</v>
      </c>
      <c r="F6730" t="s">
        <v>10233</v>
      </c>
      <c r="G6730">
        <v>1985829</v>
      </c>
      <c r="H6730" t="s">
        <v>26</v>
      </c>
      <c r="I6730" t="s">
        <v>97</v>
      </c>
      <c r="J6730" t="str">
        <f>"9781119128212"</f>
        <v>9781119128212</v>
      </c>
      <c r="L6730">
        <v>0</v>
      </c>
      <c r="O6730" t="s">
        <v>30</v>
      </c>
      <c r="P6730" t="s">
        <v>29</v>
      </c>
      <c r="Q6730" s="1">
        <v>42279.760798611111</v>
      </c>
      <c r="R6730">
        <v>7</v>
      </c>
      <c r="S6730" t="s">
        <v>6400</v>
      </c>
      <c r="T6730" t="s">
        <v>500</v>
      </c>
      <c r="U6730">
        <v>657.07600000000002</v>
      </c>
      <c r="V6730" s="3">
        <v>42143</v>
      </c>
    </row>
    <row r="6731" spans="1:22" x14ac:dyDescent="0.35">
      <c r="A6731" s="1">
        <v>42279.760694444441</v>
      </c>
      <c r="B6731" s="2">
        <v>1.0416666666666667E-4</v>
      </c>
      <c r="C6731" t="s">
        <v>6693</v>
      </c>
      <c r="D6731" t="s">
        <v>6396</v>
      </c>
      <c r="E6731" t="s">
        <v>6397</v>
      </c>
      <c r="F6731" t="s">
        <v>10233</v>
      </c>
      <c r="G6731">
        <v>1985829</v>
      </c>
      <c r="H6731" t="s">
        <v>26</v>
      </c>
      <c r="I6731" t="s">
        <v>97</v>
      </c>
      <c r="J6731" t="str">
        <f>"9781119128212"</f>
        <v>9781119128212</v>
      </c>
      <c r="K6731" t="s">
        <v>786</v>
      </c>
      <c r="L6731">
        <v>3</v>
      </c>
      <c r="O6731" t="s">
        <v>30</v>
      </c>
      <c r="P6731" t="s">
        <v>50</v>
      </c>
      <c r="S6731" t="s">
        <v>6400</v>
      </c>
      <c r="T6731" t="s">
        <v>500</v>
      </c>
      <c r="U6731">
        <v>657.07600000000002</v>
      </c>
      <c r="V6731" s="3">
        <v>42143</v>
      </c>
    </row>
    <row r="6732" spans="1:22" x14ac:dyDescent="0.35">
      <c r="A6732" s="1">
        <v>42279.760277777779</v>
      </c>
      <c r="B6732" s="2">
        <v>0</v>
      </c>
      <c r="C6732" t="s">
        <v>6693</v>
      </c>
      <c r="D6732" t="s">
        <v>6396</v>
      </c>
      <c r="E6732" t="s">
        <v>6397</v>
      </c>
      <c r="F6732" t="s">
        <v>10237</v>
      </c>
      <c r="G6732">
        <v>1834788</v>
      </c>
      <c r="H6732" t="s">
        <v>26</v>
      </c>
      <c r="I6732" t="s">
        <v>97</v>
      </c>
      <c r="J6732" t="str">
        <f>"9781119051749"</f>
        <v>9781119051749</v>
      </c>
      <c r="L6732">
        <v>0</v>
      </c>
      <c r="O6732" t="s">
        <v>28</v>
      </c>
      <c r="P6732" t="s">
        <v>29</v>
      </c>
      <c r="Q6732" s="1">
        <v>42279.760277777779</v>
      </c>
      <c r="R6732">
        <v>7</v>
      </c>
      <c r="S6732" t="s">
        <v>6400</v>
      </c>
      <c r="T6732" t="s">
        <v>10238</v>
      </c>
      <c r="U6732">
        <v>657.07600000000002</v>
      </c>
      <c r="V6732" s="3">
        <v>41946</v>
      </c>
    </row>
    <row r="6733" spans="1:22" x14ac:dyDescent="0.35">
      <c r="A6733" s="1">
        <v>42279.760277777779</v>
      </c>
      <c r="B6733" s="2">
        <v>0</v>
      </c>
      <c r="C6733" t="s">
        <v>6693</v>
      </c>
      <c r="D6733" t="s">
        <v>6396</v>
      </c>
      <c r="E6733" t="s">
        <v>6397</v>
      </c>
      <c r="F6733" t="s">
        <v>10237</v>
      </c>
      <c r="G6733">
        <v>1834788</v>
      </c>
      <c r="H6733" t="s">
        <v>26</v>
      </c>
      <c r="I6733" t="s">
        <v>97</v>
      </c>
      <c r="J6733" t="str">
        <f>"9781119051749"</f>
        <v>9781119051749</v>
      </c>
      <c r="L6733">
        <v>0</v>
      </c>
      <c r="O6733" t="s">
        <v>30</v>
      </c>
      <c r="P6733" t="s">
        <v>29</v>
      </c>
      <c r="Q6733" s="1">
        <v>42279.760277777779</v>
      </c>
      <c r="R6733">
        <v>7</v>
      </c>
      <c r="S6733" t="s">
        <v>6400</v>
      </c>
      <c r="T6733" t="s">
        <v>10238</v>
      </c>
      <c r="U6733">
        <v>657.07600000000002</v>
      </c>
      <c r="V6733" s="3">
        <v>41946</v>
      </c>
    </row>
    <row r="6734" spans="1:22" x14ac:dyDescent="0.35">
      <c r="A6734" s="1">
        <v>42279.760011574072</v>
      </c>
      <c r="B6734" s="2">
        <v>2.5462962962962961E-4</v>
      </c>
      <c r="C6734" t="s">
        <v>6693</v>
      </c>
      <c r="D6734" t="s">
        <v>6396</v>
      </c>
      <c r="E6734" t="s">
        <v>6397</v>
      </c>
      <c r="F6734" t="s">
        <v>10237</v>
      </c>
      <c r="G6734">
        <v>1834788</v>
      </c>
      <c r="H6734" t="s">
        <v>26</v>
      </c>
      <c r="I6734" t="s">
        <v>97</v>
      </c>
      <c r="J6734" t="str">
        <f>"9781119051749"</f>
        <v>9781119051749</v>
      </c>
      <c r="K6734" t="s">
        <v>536</v>
      </c>
      <c r="L6734">
        <v>3</v>
      </c>
      <c r="O6734" t="s">
        <v>30</v>
      </c>
      <c r="P6734" t="s">
        <v>50</v>
      </c>
      <c r="S6734" t="s">
        <v>6400</v>
      </c>
      <c r="T6734" t="s">
        <v>10238</v>
      </c>
      <c r="U6734">
        <v>657.07600000000002</v>
      </c>
      <c r="V6734" s="3">
        <v>41946</v>
      </c>
    </row>
    <row r="6735" spans="1:22" x14ac:dyDescent="0.35">
      <c r="A6735" s="1">
        <v>42279.758356481485</v>
      </c>
      <c r="B6735" s="2">
        <v>0</v>
      </c>
      <c r="C6735" t="s">
        <v>6693</v>
      </c>
      <c r="D6735" t="s">
        <v>6396</v>
      </c>
      <c r="E6735" t="s">
        <v>6397</v>
      </c>
      <c r="F6735" t="s">
        <v>10239</v>
      </c>
      <c r="G6735">
        <v>1816955</v>
      </c>
      <c r="H6735" t="s">
        <v>26</v>
      </c>
      <c r="I6735" t="s">
        <v>97</v>
      </c>
      <c r="J6735" t="str">
        <f>"9781118945155"</f>
        <v>9781118945155</v>
      </c>
      <c r="L6735">
        <v>0</v>
      </c>
      <c r="O6735" t="s">
        <v>28</v>
      </c>
      <c r="P6735" t="s">
        <v>29</v>
      </c>
      <c r="Q6735" s="1">
        <v>42279.758356481485</v>
      </c>
      <c r="R6735">
        <v>7</v>
      </c>
      <c r="S6735" t="s">
        <v>6400</v>
      </c>
      <c r="T6735" t="s">
        <v>10240</v>
      </c>
      <c r="U6735">
        <v>657.02187300000003</v>
      </c>
      <c r="V6735" s="3">
        <v>41926</v>
      </c>
    </row>
    <row r="6736" spans="1:22" x14ac:dyDescent="0.35">
      <c r="A6736" s="1">
        <v>42279.758356481485</v>
      </c>
      <c r="B6736" s="2">
        <v>0</v>
      </c>
      <c r="C6736" t="s">
        <v>6693</v>
      </c>
      <c r="D6736" t="s">
        <v>6396</v>
      </c>
      <c r="E6736" t="s">
        <v>6397</v>
      </c>
      <c r="F6736" t="s">
        <v>10239</v>
      </c>
      <c r="G6736">
        <v>1816955</v>
      </c>
      <c r="H6736" t="s">
        <v>26</v>
      </c>
      <c r="I6736" t="s">
        <v>97</v>
      </c>
      <c r="J6736" t="str">
        <f>"9781118945155"</f>
        <v>9781118945155</v>
      </c>
      <c r="L6736">
        <v>0</v>
      </c>
      <c r="O6736" t="s">
        <v>30</v>
      </c>
      <c r="P6736" t="s">
        <v>29</v>
      </c>
      <c r="Q6736" s="1">
        <v>42279.758356481485</v>
      </c>
      <c r="R6736">
        <v>7</v>
      </c>
      <c r="S6736" t="s">
        <v>6400</v>
      </c>
      <c r="T6736" t="s">
        <v>10240</v>
      </c>
      <c r="U6736">
        <v>657.02187300000003</v>
      </c>
      <c r="V6736" s="3">
        <v>41926</v>
      </c>
    </row>
    <row r="6737" spans="1:22" x14ac:dyDescent="0.35">
      <c r="A6737" s="1">
        <v>42279.757893518516</v>
      </c>
      <c r="B6737" s="2">
        <v>1.6203703703703703E-4</v>
      </c>
      <c r="C6737" t="s">
        <v>6693</v>
      </c>
      <c r="D6737" t="s">
        <v>6396</v>
      </c>
      <c r="E6737" t="s">
        <v>6397</v>
      </c>
      <c r="F6737" t="s">
        <v>10239</v>
      </c>
      <c r="G6737">
        <v>1816955</v>
      </c>
      <c r="H6737" t="s">
        <v>26</v>
      </c>
      <c r="I6737" t="s">
        <v>97</v>
      </c>
      <c r="J6737" t="str">
        <f>"9781118945155"</f>
        <v>9781118945155</v>
      </c>
      <c r="K6737" t="s">
        <v>10241</v>
      </c>
      <c r="L6737">
        <v>3</v>
      </c>
      <c r="O6737" t="s">
        <v>30</v>
      </c>
      <c r="P6737" t="s">
        <v>50</v>
      </c>
      <c r="S6737" t="s">
        <v>6400</v>
      </c>
      <c r="T6737" t="s">
        <v>10240</v>
      </c>
      <c r="U6737">
        <v>657.02187300000003</v>
      </c>
      <c r="V6737" s="3">
        <v>41926</v>
      </c>
    </row>
    <row r="6738" spans="1:22" x14ac:dyDescent="0.35">
      <c r="A6738" s="1">
        <v>42279.746412037035</v>
      </c>
      <c r="B6738" s="2">
        <v>3.4722222222222222E-5</v>
      </c>
      <c r="C6738" t="s">
        <v>9825</v>
      </c>
      <c r="D6738" t="s">
        <v>623</v>
      </c>
      <c r="E6738" t="s">
        <v>624</v>
      </c>
      <c r="F6738" t="s">
        <v>515</v>
      </c>
      <c r="G6738">
        <v>1757960</v>
      </c>
      <c r="H6738" t="s">
        <v>26</v>
      </c>
      <c r="I6738" t="s">
        <v>247</v>
      </c>
      <c r="J6738" t="str">
        <f>"9781118780770"</f>
        <v>9781118780770</v>
      </c>
      <c r="K6738" t="s">
        <v>33</v>
      </c>
      <c r="L6738">
        <v>3</v>
      </c>
      <c r="O6738" t="s">
        <v>30</v>
      </c>
      <c r="P6738" t="s">
        <v>42</v>
      </c>
      <c r="S6738" t="s">
        <v>627</v>
      </c>
      <c r="T6738" t="s">
        <v>517</v>
      </c>
      <c r="U6738" t="s">
        <v>518</v>
      </c>
      <c r="V6738" s="3">
        <v>41850</v>
      </c>
    </row>
    <row r="6739" spans="1:22" x14ac:dyDescent="0.35">
      <c r="A6739" s="1">
        <v>42279.74627314815</v>
      </c>
      <c r="B6739" s="2">
        <v>2.2627314814814819E-2</v>
      </c>
      <c r="C6739" t="s">
        <v>10215</v>
      </c>
      <c r="D6739" t="s">
        <v>1482</v>
      </c>
      <c r="E6739" t="s">
        <v>1483</v>
      </c>
      <c r="F6739" t="s">
        <v>1547</v>
      </c>
      <c r="G6739">
        <v>848510</v>
      </c>
      <c r="H6739" t="s">
        <v>26</v>
      </c>
      <c r="I6739" t="s">
        <v>247</v>
      </c>
      <c r="J6739" t="str">
        <f>"9781118220481"</f>
        <v>9781118220481</v>
      </c>
      <c r="K6739" t="s">
        <v>10242</v>
      </c>
      <c r="L6739">
        <v>22</v>
      </c>
      <c r="O6739" t="s">
        <v>30</v>
      </c>
      <c r="P6739" t="s">
        <v>29</v>
      </c>
      <c r="Q6739" s="1">
        <v>42279.106342592589</v>
      </c>
      <c r="R6739">
        <v>7</v>
      </c>
      <c r="S6739" t="s">
        <v>1485</v>
      </c>
      <c r="T6739" t="s">
        <v>1548</v>
      </c>
      <c r="U6739" t="s">
        <v>1549</v>
      </c>
      <c r="V6739" s="3">
        <v>41066</v>
      </c>
    </row>
    <row r="6740" spans="1:22" x14ac:dyDescent="0.35">
      <c r="A6740" s="1">
        <v>42279.73773148148</v>
      </c>
      <c r="B6740" s="2">
        <v>8.1018518518518516E-5</v>
      </c>
      <c r="C6740" t="s">
        <v>6693</v>
      </c>
      <c r="D6740" t="s">
        <v>6396</v>
      </c>
      <c r="E6740" t="s">
        <v>6397</v>
      </c>
      <c r="F6740" t="s">
        <v>10243</v>
      </c>
      <c r="G6740">
        <v>1210960</v>
      </c>
      <c r="H6740" t="s">
        <v>26</v>
      </c>
      <c r="I6740" t="s">
        <v>3693</v>
      </c>
      <c r="J6740" t="str">
        <f>"9781118651063"</f>
        <v>9781118651063</v>
      </c>
      <c r="K6740" t="s">
        <v>63</v>
      </c>
      <c r="L6740">
        <v>1</v>
      </c>
      <c r="O6740" t="s">
        <v>28</v>
      </c>
      <c r="P6740" t="s">
        <v>47</v>
      </c>
      <c r="Q6740" s="1">
        <v>42279.73773148148</v>
      </c>
      <c r="R6740">
        <v>7</v>
      </c>
      <c r="S6740" t="s">
        <v>6400</v>
      </c>
      <c r="T6740" t="s">
        <v>10244</v>
      </c>
      <c r="U6740">
        <v>5.54</v>
      </c>
      <c r="V6740" s="3">
        <v>41428</v>
      </c>
    </row>
    <row r="6741" spans="1:22" x14ac:dyDescent="0.35">
      <c r="A6741" s="1">
        <v>42279.73773148148</v>
      </c>
      <c r="B6741" s="2">
        <v>0</v>
      </c>
      <c r="C6741" t="s">
        <v>6693</v>
      </c>
      <c r="D6741" t="s">
        <v>6396</v>
      </c>
      <c r="E6741" t="s">
        <v>6397</v>
      </c>
      <c r="F6741" t="s">
        <v>10243</v>
      </c>
      <c r="G6741">
        <v>1210960</v>
      </c>
      <c r="H6741" t="s">
        <v>26</v>
      </c>
      <c r="I6741" t="s">
        <v>3693</v>
      </c>
      <c r="J6741" t="str">
        <f>"9781118651063"</f>
        <v>9781118651063</v>
      </c>
      <c r="L6741">
        <v>0</v>
      </c>
      <c r="O6741" t="s">
        <v>30</v>
      </c>
      <c r="P6741" t="s">
        <v>47</v>
      </c>
      <c r="Q6741" s="1">
        <v>42279.73773148148</v>
      </c>
      <c r="R6741">
        <v>7</v>
      </c>
      <c r="S6741" t="s">
        <v>6400</v>
      </c>
      <c r="T6741" t="s">
        <v>10244</v>
      </c>
      <c r="U6741">
        <v>5.54</v>
      </c>
      <c r="V6741" s="3">
        <v>41428</v>
      </c>
    </row>
    <row r="6742" spans="1:22" x14ac:dyDescent="0.35">
      <c r="A6742" s="1">
        <v>42279.737546296295</v>
      </c>
      <c r="B6742" s="2">
        <v>1.8518518518518518E-4</v>
      </c>
      <c r="C6742" t="s">
        <v>6693</v>
      </c>
      <c r="D6742" t="s">
        <v>6396</v>
      </c>
      <c r="E6742" t="s">
        <v>6397</v>
      </c>
      <c r="F6742" t="s">
        <v>10243</v>
      </c>
      <c r="G6742">
        <v>1210960</v>
      </c>
      <c r="H6742" t="s">
        <v>26</v>
      </c>
      <c r="I6742" t="s">
        <v>3693</v>
      </c>
      <c r="J6742" t="str">
        <f>"9781118651063"</f>
        <v>9781118651063</v>
      </c>
      <c r="K6742" t="s">
        <v>786</v>
      </c>
      <c r="L6742">
        <v>3</v>
      </c>
      <c r="O6742" t="s">
        <v>30</v>
      </c>
      <c r="P6742" t="s">
        <v>50</v>
      </c>
      <c r="S6742" t="s">
        <v>6400</v>
      </c>
      <c r="T6742" t="s">
        <v>10244</v>
      </c>
      <c r="U6742">
        <v>5.54</v>
      </c>
      <c r="V6742" s="3">
        <v>41428</v>
      </c>
    </row>
    <row r="6743" spans="1:22" x14ac:dyDescent="0.35">
      <c r="A6743" s="1">
        <v>42279.737476851849</v>
      </c>
      <c r="B6743" s="2">
        <v>3.5243055555555555E-2</v>
      </c>
      <c r="C6743" t="s">
        <v>6693</v>
      </c>
      <c r="D6743" t="s">
        <v>6396</v>
      </c>
      <c r="E6743" t="s">
        <v>6397</v>
      </c>
      <c r="F6743" t="s">
        <v>10220</v>
      </c>
      <c r="G6743">
        <v>1672806</v>
      </c>
      <c r="H6743" t="s">
        <v>26</v>
      </c>
      <c r="I6743" t="s">
        <v>3693</v>
      </c>
      <c r="J6743" t="str">
        <f>"9781118658192"</f>
        <v>9781118658192</v>
      </c>
      <c r="K6743" t="s">
        <v>1109</v>
      </c>
      <c r="L6743">
        <v>3</v>
      </c>
      <c r="O6743" t="s">
        <v>30</v>
      </c>
      <c r="P6743" t="s">
        <v>50</v>
      </c>
      <c r="S6743" t="s">
        <v>6400</v>
      </c>
      <c r="T6743" t="s">
        <v>10221</v>
      </c>
      <c r="U6743" t="s">
        <v>10222</v>
      </c>
      <c r="V6743" s="3">
        <v>41736</v>
      </c>
    </row>
    <row r="6744" spans="1:22" x14ac:dyDescent="0.35">
      <c r="A6744" s="1">
        <v>42279.737268518518</v>
      </c>
      <c r="B6744" s="2">
        <v>0</v>
      </c>
      <c r="C6744" t="s">
        <v>6693</v>
      </c>
      <c r="D6744" t="s">
        <v>6396</v>
      </c>
      <c r="E6744" t="s">
        <v>6397</v>
      </c>
      <c r="F6744" t="s">
        <v>1814</v>
      </c>
      <c r="G6744">
        <v>1742830</v>
      </c>
      <c r="H6744" t="s">
        <v>26</v>
      </c>
      <c r="I6744" t="s">
        <v>450</v>
      </c>
      <c r="J6744" t="str">
        <f>"9781118902899"</f>
        <v>9781118902899</v>
      </c>
      <c r="L6744">
        <v>0</v>
      </c>
      <c r="O6744" t="s">
        <v>28</v>
      </c>
      <c r="P6744" t="s">
        <v>29</v>
      </c>
      <c r="Q6744" s="1">
        <v>42279.737256944441</v>
      </c>
      <c r="R6744">
        <v>7</v>
      </c>
      <c r="S6744" t="s">
        <v>6400</v>
      </c>
      <c r="T6744" t="s">
        <v>1816</v>
      </c>
      <c r="U6744">
        <v>542.855369</v>
      </c>
      <c r="V6744" s="3">
        <v>41834</v>
      </c>
    </row>
    <row r="6745" spans="1:22" x14ac:dyDescent="0.35">
      <c r="A6745" s="1">
        <v>42279.737256944441</v>
      </c>
      <c r="B6745" s="2">
        <v>0</v>
      </c>
      <c r="C6745" t="s">
        <v>6693</v>
      </c>
      <c r="D6745" t="s">
        <v>6396</v>
      </c>
      <c r="E6745" t="s">
        <v>6397</v>
      </c>
      <c r="F6745" t="s">
        <v>1814</v>
      </c>
      <c r="G6745">
        <v>1742830</v>
      </c>
      <c r="H6745" t="s">
        <v>26</v>
      </c>
      <c r="I6745" t="s">
        <v>450</v>
      </c>
      <c r="J6745" t="str">
        <f>"9781118902899"</f>
        <v>9781118902899</v>
      </c>
      <c r="L6745">
        <v>0</v>
      </c>
      <c r="O6745" t="s">
        <v>30</v>
      </c>
      <c r="P6745" t="s">
        <v>29</v>
      </c>
      <c r="Q6745" s="1">
        <v>42279.737256944441</v>
      </c>
      <c r="R6745">
        <v>7</v>
      </c>
      <c r="S6745" t="s">
        <v>6400</v>
      </c>
      <c r="T6745" t="s">
        <v>1816</v>
      </c>
      <c r="U6745">
        <v>542.855369</v>
      </c>
      <c r="V6745" s="3">
        <v>41834</v>
      </c>
    </row>
    <row r="6746" spans="1:22" x14ac:dyDescent="0.35">
      <c r="A6746" s="1">
        <v>42279.736979166664</v>
      </c>
      <c r="B6746" s="2">
        <v>2.7777777777777778E-4</v>
      </c>
      <c r="C6746" t="s">
        <v>6693</v>
      </c>
      <c r="D6746" t="s">
        <v>6396</v>
      </c>
      <c r="E6746" t="s">
        <v>6397</v>
      </c>
      <c r="F6746" t="s">
        <v>1814</v>
      </c>
      <c r="G6746">
        <v>1742830</v>
      </c>
      <c r="H6746" t="s">
        <v>26</v>
      </c>
      <c r="I6746" t="s">
        <v>450</v>
      </c>
      <c r="J6746" t="str">
        <f>"9781118902899"</f>
        <v>9781118902899</v>
      </c>
      <c r="K6746" t="s">
        <v>1109</v>
      </c>
      <c r="L6746">
        <v>3</v>
      </c>
      <c r="O6746" t="s">
        <v>30</v>
      </c>
      <c r="P6746" t="s">
        <v>50</v>
      </c>
      <c r="S6746" t="s">
        <v>6400</v>
      </c>
      <c r="T6746" t="s">
        <v>1816</v>
      </c>
      <c r="U6746">
        <v>542.855369</v>
      </c>
      <c r="V6746" s="3">
        <v>41834</v>
      </c>
    </row>
    <row r="6747" spans="1:22" x14ac:dyDescent="0.35">
      <c r="A6747" s="1">
        <v>42279.736863425926</v>
      </c>
      <c r="B6747" s="2">
        <v>1.273148148148148E-4</v>
      </c>
      <c r="C6747" t="s">
        <v>6693</v>
      </c>
      <c r="D6747" t="s">
        <v>6396</v>
      </c>
      <c r="E6747" t="s">
        <v>6397</v>
      </c>
      <c r="F6747" t="s">
        <v>10245</v>
      </c>
      <c r="G6747">
        <v>1144767</v>
      </c>
      <c r="H6747" t="s">
        <v>26</v>
      </c>
      <c r="I6747" t="s">
        <v>97</v>
      </c>
      <c r="J6747" t="str">
        <f>"9781118491805"</f>
        <v>9781118491805</v>
      </c>
      <c r="K6747" t="s">
        <v>63</v>
      </c>
      <c r="L6747">
        <v>1</v>
      </c>
      <c r="O6747" t="s">
        <v>28</v>
      </c>
      <c r="P6747" t="s">
        <v>29</v>
      </c>
      <c r="Q6747" s="1">
        <v>42279.736863425926</v>
      </c>
      <c r="R6747">
        <v>7</v>
      </c>
      <c r="S6747" t="s">
        <v>6400</v>
      </c>
      <c r="T6747" t="s">
        <v>10246</v>
      </c>
      <c r="U6747">
        <v>650.02855365000005</v>
      </c>
      <c r="V6747" s="3">
        <v>41338</v>
      </c>
    </row>
    <row r="6748" spans="1:22" x14ac:dyDescent="0.35">
      <c r="A6748" s="1">
        <v>42279.736863425926</v>
      </c>
      <c r="B6748" s="2">
        <v>0</v>
      </c>
      <c r="C6748" t="s">
        <v>6693</v>
      </c>
      <c r="D6748" t="s">
        <v>6396</v>
      </c>
      <c r="E6748" t="s">
        <v>6397</v>
      </c>
      <c r="F6748" t="s">
        <v>10245</v>
      </c>
      <c r="G6748">
        <v>1144767</v>
      </c>
      <c r="H6748" t="s">
        <v>26</v>
      </c>
      <c r="I6748" t="s">
        <v>97</v>
      </c>
      <c r="J6748" t="str">
        <f>"9781118491805"</f>
        <v>9781118491805</v>
      </c>
      <c r="L6748">
        <v>0</v>
      </c>
      <c r="O6748" t="s">
        <v>30</v>
      </c>
      <c r="P6748" t="s">
        <v>29</v>
      </c>
      <c r="Q6748" s="1">
        <v>42279.736863425926</v>
      </c>
      <c r="R6748">
        <v>7</v>
      </c>
      <c r="S6748" t="s">
        <v>6400</v>
      </c>
      <c r="T6748" t="s">
        <v>10246</v>
      </c>
      <c r="U6748">
        <v>650.02855365000005</v>
      </c>
      <c r="V6748" s="3">
        <v>41338</v>
      </c>
    </row>
    <row r="6749" spans="1:22" x14ac:dyDescent="0.35">
      <c r="A6749" s="1">
        <v>42279.736712962964</v>
      </c>
      <c r="B6749" s="2">
        <v>1.5046296296296297E-4</v>
      </c>
      <c r="C6749" t="s">
        <v>6693</v>
      </c>
      <c r="D6749" t="s">
        <v>6396</v>
      </c>
      <c r="E6749" t="s">
        <v>6397</v>
      </c>
      <c r="F6749" t="s">
        <v>10245</v>
      </c>
      <c r="G6749">
        <v>1144767</v>
      </c>
      <c r="H6749" t="s">
        <v>26</v>
      </c>
      <c r="I6749" t="s">
        <v>97</v>
      </c>
      <c r="J6749" t="str">
        <f>"9781118491805"</f>
        <v>9781118491805</v>
      </c>
      <c r="K6749" t="s">
        <v>2787</v>
      </c>
      <c r="L6749">
        <v>3</v>
      </c>
      <c r="O6749" t="s">
        <v>30</v>
      </c>
      <c r="P6749" t="s">
        <v>50</v>
      </c>
      <c r="S6749" t="s">
        <v>6400</v>
      </c>
      <c r="T6749" t="s">
        <v>10246</v>
      </c>
      <c r="U6749">
        <v>650.02855365000005</v>
      </c>
      <c r="V6749" s="3">
        <v>41338</v>
      </c>
    </row>
    <row r="6750" spans="1:22" x14ac:dyDescent="0.35">
      <c r="A6750" s="1">
        <v>42279.736597222225</v>
      </c>
      <c r="B6750" s="2">
        <v>8.1018518518518516E-5</v>
      </c>
      <c r="C6750" t="s">
        <v>6693</v>
      </c>
      <c r="D6750" t="s">
        <v>6396</v>
      </c>
      <c r="E6750" t="s">
        <v>6397</v>
      </c>
      <c r="F6750" t="s">
        <v>10247</v>
      </c>
      <c r="G6750">
        <v>1154892</v>
      </c>
      <c r="H6750" t="s">
        <v>26</v>
      </c>
      <c r="I6750" t="s">
        <v>4938</v>
      </c>
      <c r="J6750" t="str">
        <f>"9781118490457"</f>
        <v>9781118490457</v>
      </c>
      <c r="K6750" t="s">
        <v>63</v>
      </c>
      <c r="L6750">
        <v>1</v>
      </c>
      <c r="O6750" t="s">
        <v>28</v>
      </c>
      <c r="P6750" t="s">
        <v>29</v>
      </c>
      <c r="Q6750" s="1">
        <v>42279.736597222225</v>
      </c>
      <c r="R6750">
        <v>7</v>
      </c>
      <c r="S6750" t="s">
        <v>6400</v>
      </c>
      <c r="T6750" t="s">
        <v>10248</v>
      </c>
      <c r="U6750">
        <v>5.54</v>
      </c>
      <c r="V6750" s="3">
        <v>41346</v>
      </c>
    </row>
    <row r="6751" spans="1:22" x14ac:dyDescent="0.35">
      <c r="A6751" s="1">
        <v>42279.736597222225</v>
      </c>
      <c r="B6751" s="2">
        <v>0</v>
      </c>
      <c r="C6751" t="s">
        <v>6693</v>
      </c>
      <c r="D6751" t="s">
        <v>6396</v>
      </c>
      <c r="E6751" t="s">
        <v>6397</v>
      </c>
      <c r="F6751" t="s">
        <v>10247</v>
      </c>
      <c r="G6751">
        <v>1154892</v>
      </c>
      <c r="H6751" t="s">
        <v>26</v>
      </c>
      <c r="I6751" t="s">
        <v>4938</v>
      </c>
      <c r="J6751" t="str">
        <f>"9781118490457"</f>
        <v>9781118490457</v>
      </c>
      <c r="L6751">
        <v>0</v>
      </c>
      <c r="O6751" t="s">
        <v>30</v>
      </c>
      <c r="P6751" t="s">
        <v>29</v>
      </c>
      <c r="Q6751" s="1">
        <v>42279.736597222225</v>
      </c>
      <c r="R6751">
        <v>7</v>
      </c>
      <c r="S6751" t="s">
        <v>6400</v>
      </c>
      <c r="T6751" t="s">
        <v>10248</v>
      </c>
      <c r="U6751">
        <v>5.54</v>
      </c>
      <c r="V6751" s="3">
        <v>41346</v>
      </c>
    </row>
    <row r="6752" spans="1:22" x14ac:dyDescent="0.35">
      <c r="A6752" s="1">
        <v>42279.736354166664</v>
      </c>
      <c r="B6752" s="2">
        <v>2.4305555555555552E-4</v>
      </c>
      <c r="C6752" t="s">
        <v>6693</v>
      </c>
      <c r="D6752" t="s">
        <v>6396</v>
      </c>
      <c r="E6752" t="s">
        <v>6397</v>
      </c>
      <c r="F6752" t="s">
        <v>10247</v>
      </c>
      <c r="G6752">
        <v>1154892</v>
      </c>
      <c r="H6752" t="s">
        <v>26</v>
      </c>
      <c r="I6752" t="s">
        <v>4938</v>
      </c>
      <c r="J6752" t="str">
        <f>"9781118490457"</f>
        <v>9781118490457</v>
      </c>
      <c r="K6752" t="s">
        <v>10249</v>
      </c>
      <c r="L6752">
        <v>3</v>
      </c>
      <c r="O6752" t="s">
        <v>30</v>
      </c>
      <c r="P6752" t="s">
        <v>50</v>
      </c>
      <c r="S6752" t="s">
        <v>6400</v>
      </c>
      <c r="T6752" t="s">
        <v>10248</v>
      </c>
      <c r="U6752">
        <v>5.54</v>
      </c>
      <c r="V6752" s="3">
        <v>41346</v>
      </c>
    </row>
    <row r="6753" spans="1:22" x14ac:dyDescent="0.35">
      <c r="A6753" s="1">
        <v>42279.736157407409</v>
      </c>
      <c r="B6753" s="2">
        <v>6.9444444444444444E-5</v>
      </c>
      <c r="C6753" t="s">
        <v>6693</v>
      </c>
      <c r="D6753" t="s">
        <v>6396</v>
      </c>
      <c r="E6753" t="s">
        <v>6397</v>
      </c>
      <c r="F6753" t="s">
        <v>10250</v>
      </c>
      <c r="G6753">
        <v>1187160</v>
      </c>
      <c r="H6753" t="s">
        <v>26</v>
      </c>
      <c r="I6753" t="s">
        <v>97</v>
      </c>
      <c r="J6753" t="str">
        <f>"9781118491416"</f>
        <v>9781118491416</v>
      </c>
      <c r="K6753" t="s">
        <v>63</v>
      </c>
      <c r="L6753">
        <v>1</v>
      </c>
      <c r="O6753" t="s">
        <v>28</v>
      </c>
      <c r="P6753" t="s">
        <v>47</v>
      </c>
      <c r="Q6753" s="1">
        <v>42279.736157407409</v>
      </c>
      <c r="R6753">
        <v>7</v>
      </c>
      <c r="S6753" t="s">
        <v>6400</v>
      </c>
      <c r="T6753" t="s">
        <v>10251</v>
      </c>
      <c r="U6753">
        <v>658.40380285553999</v>
      </c>
      <c r="V6753" s="3">
        <v>41400</v>
      </c>
    </row>
    <row r="6754" spans="1:22" x14ac:dyDescent="0.35">
      <c r="A6754" s="1">
        <v>42279.736157407409</v>
      </c>
      <c r="B6754" s="2">
        <v>0</v>
      </c>
      <c r="C6754" t="s">
        <v>6693</v>
      </c>
      <c r="D6754" t="s">
        <v>6396</v>
      </c>
      <c r="E6754" t="s">
        <v>6397</v>
      </c>
      <c r="F6754" t="s">
        <v>10250</v>
      </c>
      <c r="G6754">
        <v>1187160</v>
      </c>
      <c r="H6754" t="s">
        <v>26</v>
      </c>
      <c r="I6754" t="s">
        <v>97</v>
      </c>
      <c r="J6754" t="str">
        <f>"9781118491416"</f>
        <v>9781118491416</v>
      </c>
      <c r="L6754">
        <v>0</v>
      </c>
      <c r="O6754" t="s">
        <v>30</v>
      </c>
      <c r="P6754" t="s">
        <v>47</v>
      </c>
      <c r="Q6754" s="1">
        <v>42279.736157407409</v>
      </c>
      <c r="R6754">
        <v>7</v>
      </c>
      <c r="S6754" t="s">
        <v>6400</v>
      </c>
      <c r="T6754" t="s">
        <v>10251</v>
      </c>
      <c r="U6754">
        <v>658.40380285553999</v>
      </c>
      <c r="V6754" s="3">
        <v>41400</v>
      </c>
    </row>
    <row r="6755" spans="1:22" x14ac:dyDescent="0.35">
      <c r="A6755" s="1">
        <v>42279.735937500001</v>
      </c>
      <c r="B6755" s="2">
        <v>2.199074074074074E-4</v>
      </c>
      <c r="C6755" t="s">
        <v>6693</v>
      </c>
      <c r="D6755" t="s">
        <v>6396</v>
      </c>
      <c r="E6755" t="s">
        <v>6397</v>
      </c>
      <c r="F6755" t="s">
        <v>10250</v>
      </c>
      <c r="G6755">
        <v>1187160</v>
      </c>
      <c r="H6755" t="s">
        <v>26</v>
      </c>
      <c r="I6755" t="s">
        <v>97</v>
      </c>
      <c r="J6755" t="str">
        <f>"9781118491416"</f>
        <v>9781118491416</v>
      </c>
      <c r="K6755" t="s">
        <v>10252</v>
      </c>
      <c r="L6755">
        <v>3</v>
      </c>
      <c r="O6755" t="s">
        <v>30</v>
      </c>
      <c r="P6755" t="s">
        <v>50</v>
      </c>
      <c r="S6755" t="s">
        <v>6400</v>
      </c>
      <c r="T6755" t="s">
        <v>10251</v>
      </c>
      <c r="U6755">
        <v>658.40380285553999</v>
      </c>
      <c r="V6755" s="3">
        <v>41400</v>
      </c>
    </row>
    <row r="6756" spans="1:22" x14ac:dyDescent="0.35">
      <c r="A6756" s="1">
        <v>42279.735844907409</v>
      </c>
      <c r="B6756" s="2">
        <v>3.5868055555555556E-2</v>
      </c>
      <c r="C6756" t="s">
        <v>6693</v>
      </c>
      <c r="D6756" t="s">
        <v>6396</v>
      </c>
      <c r="E6756" t="s">
        <v>6397</v>
      </c>
      <c r="F6756" t="s">
        <v>10228</v>
      </c>
      <c r="G6756">
        <v>1833667</v>
      </c>
      <c r="H6756" t="s">
        <v>526</v>
      </c>
      <c r="I6756" t="s">
        <v>267</v>
      </c>
      <c r="J6756" t="str">
        <f>"9780226127293"</f>
        <v>9780226127293</v>
      </c>
      <c r="K6756" t="s">
        <v>536</v>
      </c>
      <c r="L6756">
        <v>3</v>
      </c>
      <c r="O6756" t="s">
        <v>30</v>
      </c>
      <c r="P6756" t="s">
        <v>42</v>
      </c>
      <c r="S6756" t="s">
        <v>6400</v>
      </c>
      <c r="T6756" t="s">
        <v>10230</v>
      </c>
      <c r="U6756" t="s">
        <v>5629</v>
      </c>
      <c r="V6756" s="3">
        <v>42006</v>
      </c>
    </row>
    <row r="6757" spans="1:22" x14ac:dyDescent="0.35">
      <c r="A6757" s="1">
        <v>42279.735520833332</v>
      </c>
      <c r="B6757" s="2">
        <v>1.0416666666666667E-4</v>
      </c>
      <c r="C6757" t="s">
        <v>6693</v>
      </c>
      <c r="D6757" t="s">
        <v>6396</v>
      </c>
      <c r="E6757" t="s">
        <v>6397</v>
      </c>
      <c r="F6757" t="s">
        <v>5627</v>
      </c>
      <c r="G6757">
        <v>1887751</v>
      </c>
      <c r="H6757" t="s">
        <v>26</v>
      </c>
      <c r="I6757" t="s">
        <v>435</v>
      </c>
      <c r="J6757" t="str">
        <f>"9781118779903"</f>
        <v>9781118779903</v>
      </c>
      <c r="K6757" t="s">
        <v>63</v>
      </c>
      <c r="L6757">
        <v>1</v>
      </c>
      <c r="O6757" t="s">
        <v>28</v>
      </c>
      <c r="P6757" t="s">
        <v>29</v>
      </c>
      <c r="Q6757" s="1">
        <v>42279.735520833332</v>
      </c>
      <c r="R6757">
        <v>7</v>
      </c>
      <c r="S6757" t="s">
        <v>6400</v>
      </c>
      <c r="T6757" t="s">
        <v>5628</v>
      </c>
      <c r="U6757" t="s">
        <v>5629</v>
      </c>
      <c r="V6757" s="3">
        <v>42041</v>
      </c>
    </row>
    <row r="6758" spans="1:22" x14ac:dyDescent="0.35">
      <c r="A6758" s="1">
        <v>42279.735520833332</v>
      </c>
      <c r="B6758" s="2">
        <v>0</v>
      </c>
      <c r="C6758" t="s">
        <v>6693</v>
      </c>
      <c r="D6758" t="s">
        <v>6396</v>
      </c>
      <c r="E6758" t="s">
        <v>6397</v>
      </c>
      <c r="F6758" t="s">
        <v>5627</v>
      </c>
      <c r="G6758">
        <v>1887751</v>
      </c>
      <c r="H6758" t="s">
        <v>26</v>
      </c>
      <c r="I6758" t="s">
        <v>435</v>
      </c>
      <c r="J6758" t="str">
        <f>"9781118779903"</f>
        <v>9781118779903</v>
      </c>
      <c r="L6758">
        <v>0</v>
      </c>
      <c r="O6758" t="s">
        <v>30</v>
      </c>
      <c r="P6758" t="s">
        <v>29</v>
      </c>
      <c r="Q6758" s="1">
        <v>42279.735520833332</v>
      </c>
      <c r="R6758">
        <v>7</v>
      </c>
      <c r="S6758" t="s">
        <v>6400</v>
      </c>
      <c r="T6758" t="s">
        <v>5628</v>
      </c>
      <c r="U6758" t="s">
        <v>5629</v>
      </c>
      <c r="V6758" s="3">
        <v>42041</v>
      </c>
    </row>
    <row r="6759" spans="1:22" x14ac:dyDescent="0.35">
      <c r="A6759" s="1">
        <v>42279.735358796293</v>
      </c>
      <c r="B6759" s="2">
        <v>1.6203703703703703E-4</v>
      </c>
      <c r="C6759" t="s">
        <v>6693</v>
      </c>
      <c r="D6759" t="s">
        <v>6396</v>
      </c>
      <c r="E6759" t="s">
        <v>6397</v>
      </c>
      <c r="F6759" t="s">
        <v>5627</v>
      </c>
      <c r="G6759">
        <v>1887751</v>
      </c>
      <c r="H6759" t="s">
        <v>26</v>
      </c>
      <c r="I6759" t="s">
        <v>435</v>
      </c>
      <c r="J6759" t="str">
        <f>"9781118779903"</f>
        <v>9781118779903</v>
      </c>
      <c r="K6759" t="s">
        <v>73</v>
      </c>
      <c r="L6759">
        <v>3</v>
      </c>
      <c r="O6759" t="s">
        <v>30</v>
      </c>
      <c r="P6759" t="s">
        <v>50</v>
      </c>
      <c r="S6759" t="s">
        <v>6400</v>
      </c>
      <c r="T6759" t="s">
        <v>5628</v>
      </c>
      <c r="U6759" t="s">
        <v>5629</v>
      </c>
      <c r="V6759" s="3">
        <v>42041</v>
      </c>
    </row>
    <row r="6760" spans="1:22" x14ac:dyDescent="0.35">
      <c r="A6760" s="1">
        <v>42279.713263888887</v>
      </c>
      <c r="B6760" s="2">
        <v>5.8912037037037034E-2</v>
      </c>
      <c r="C6760" t="s">
        <v>6693</v>
      </c>
      <c r="D6760" t="s">
        <v>6396</v>
      </c>
      <c r="E6760" t="s">
        <v>6397</v>
      </c>
      <c r="F6760" t="s">
        <v>10226</v>
      </c>
      <c r="G6760">
        <v>1895116</v>
      </c>
      <c r="H6760" t="s">
        <v>26</v>
      </c>
      <c r="I6760" t="s">
        <v>97</v>
      </c>
      <c r="J6760" t="str">
        <f>"9781118853290"</f>
        <v>9781118853290</v>
      </c>
      <c r="K6760" t="s">
        <v>536</v>
      </c>
      <c r="L6760">
        <v>3</v>
      </c>
      <c r="O6760" t="s">
        <v>30</v>
      </c>
      <c r="P6760" t="s">
        <v>50</v>
      </c>
      <c r="S6760" t="s">
        <v>6400</v>
      </c>
      <c r="T6760" t="s">
        <v>10227</v>
      </c>
      <c r="U6760">
        <v>657.07600000000002</v>
      </c>
      <c r="V6760" s="3">
        <v>42090</v>
      </c>
    </row>
    <row r="6761" spans="1:22" x14ac:dyDescent="0.35">
      <c r="A6761" s="1">
        <v>42279.712789351855</v>
      </c>
      <c r="B6761" s="2">
        <v>6.9444444444444444E-5</v>
      </c>
      <c r="C6761" t="s">
        <v>6693</v>
      </c>
      <c r="D6761" t="s">
        <v>6396</v>
      </c>
      <c r="E6761" t="s">
        <v>6397</v>
      </c>
      <c r="F6761" t="s">
        <v>10253</v>
      </c>
      <c r="G6761">
        <v>1895193</v>
      </c>
      <c r="H6761" t="s">
        <v>26</v>
      </c>
      <c r="I6761" t="s">
        <v>3693</v>
      </c>
      <c r="J6761" t="str">
        <f>"9781118991404"</f>
        <v>9781118991404</v>
      </c>
      <c r="K6761" t="s">
        <v>63</v>
      </c>
      <c r="L6761">
        <v>1</v>
      </c>
      <c r="O6761" t="s">
        <v>28</v>
      </c>
      <c r="P6761" t="s">
        <v>29</v>
      </c>
      <c r="Q6761" s="1">
        <v>42279.712789351855</v>
      </c>
      <c r="R6761">
        <v>7</v>
      </c>
      <c r="S6761" t="s">
        <v>6400</v>
      </c>
      <c r="T6761" t="s">
        <v>10254</v>
      </c>
      <c r="U6761">
        <v>5.54</v>
      </c>
      <c r="V6761" s="3">
        <v>42072</v>
      </c>
    </row>
    <row r="6762" spans="1:22" x14ac:dyDescent="0.35">
      <c r="A6762" s="1">
        <v>42279.712789351855</v>
      </c>
      <c r="B6762" s="2">
        <v>0</v>
      </c>
      <c r="C6762" t="s">
        <v>6693</v>
      </c>
      <c r="D6762" t="s">
        <v>6396</v>
      </c>
      <c r="E6762" t="s">
        <v>6397</v>
      </c>
      <c r="F6762" t="s">
        <v>10253</v>
      </c>
      <c r="G6762">
        <v>1895193</v>
      </c>
      <c r="H6762" t="s">
        <v>26</v>
      </c>
      <c r="I6762" t="s">
        <v>3693</v>
      </c>
      <c r="J6762" t="str">
        <f>"9781118991404"</f>
        <v>9781118991404</v>
      </c>
      <c r="L6762">
        <v>0</v>
      </c>
      <c r="O6762" t="s">
        <v>30</v>
      </c>
      <c r="P6762" t="s">
        <v>29</v>
      </c>
      <c r="Q6762" s="1">
        <v>42279.712789351855</v>
      </c>
      <c r="R6762">
        <v>7</v>
      </c>
      <c r="S6762" t="s">
        <v>6400</v>
      </c>
      <c r="T6762" t="s">
        <v>10254</v>
      </c>
      <c r="U6762">
        <v>5.54</v>
      </c>
      <c r="V6762" s="3">
        <v>42072</v>
      </c>
    </row>
    <row r="6763" spans="1:22" x14ac:dyDescent="0.35">
      <c r="A6763" s="1">
        <v>42279.712604166663</v>
      </c>
      <c r="B6763" s="2">
        <v>1.8518518518518518E-4</v>
      </c>
      <c r="C6763" t="s">
        <v>6693</v>
      </c>
      <c r="D6763" t="s">
        <v>6396</v>
      </c>
      <c r="E6763" t="s">
        <v>6397</v>
      </c>
      <c r="F6763" t="s">
        <v>10253</v>
      </c>
      <c r="G6763">
        <v>1895193</v>
      </c>
      <c r="H6763" t="s">
        <v>26</v>
      </c>
      <c r="I6763" t="s">
        <v>3693</v>
      </c>
      <c r="J6763" t="str">
        <f>"9781118991404"</f>
        <v>9781118991404</v>
      </c>
      <c r="K6763" t="s">
        <v>2787</v>
      </c>
      <c r="L6763">
        <v>3</v>
      </c>
      <c r="O6763" t="s">
        <v>30</v>
      </c>
      <c r="P6763" t="s">
        <v>50</v>
      </c>
      <c r="S6763" t="s">
        <v>6400</v>
      </c>
      <c r="T6763" t="s">
        <v>10254</v>
      </c>
      <c r="U6763">
        <v>5.54</v>
      </c>
      <c r="V6763" s="3">
        <v>42072</v>
      </c>
    </row>
    <row r="6764" spans="1:22" x14ac:dyDescent="0.35">
      <c r="A6764" s="1">
        <v>42279.711828703701</v>
      </c>
      <c r="B6764" s="2">
        <v>0</v>
      </c>
      <c r="C6764" t="s">
        <v>6693</v>
      </c>
      <c r="D6764" t="s">
        <v>6396</v>
      </c>
      <c r="E6764" t="s">
        <v>6397</v>
      </c>
      <c r="F6764" t="s">
        <v>3018</v>
      </c>
      <c r="G6764">
        <v>1953321</v>
      </c>
      <c r="H6764" t="s">
        <v>26</v>
      </c>
      <c r="I6764" t="s">
        <v>97</v>
      </c>
      <c r="J6764" t="str">
        <f>"9781119062448"</f>
        <v>9781119062448</v>
      </c>
      <c r="L6764">
        <v>0</v>
      </c>
      <c r="O6764" t="s">
        <v>28</v>
      </c>
      <c r="P6764" t="s">
        <v>29</v>
      </c>
      <c r="Q6764" s="1">
        <v>42279.711828703701</v>
      </c>
      <c r="R6764">
        <v>7</v>
      </c>
      <c r="S6764" t="s">
        <v>6400</v>
      </c>
      <c r="T6764" t="s">
        <v>3020</v>
      </c>
      <c r="U6764">
        <v>658.15028555399999</v>
      </c>
      <c r="V6764" s="3">
        <v>42079</v>
      </c>
    </row>
    <row r="6765" spans="1:22" x14ac:dyDescent="0.35">
      <c r="A6765" s="1">
        <v>42279.711828703701</v>
      </c>
      <c r="B6765" s="2">
        <v>0</v>
      </c>
      <c r="C6765" t="s">
        <v>6693</v>
      </c>
      <c r="D6765" t="s">
        <v>6396</v>
      </c>
      <c r="E6765" t="s">
        <v>6397</v>
      </c>
      <c r="F6765" t="s">
        <v>3018</v>
      </c>
      <c r="G6765">
        <v>1953321</v>
      </c>
      <c r="H6765" t="s">
        <v>26</v>
      </c>
      <c r="I6765" t="s">
        <v>97</v>
      </c>
      <c r="J6765" t="str">
        <f>"9781119062448"</f>
        <v>9781119062448</v>
      </c>
      <c r="L6765">
        <v>0</v>
      </c>
      <c r="O6765" t="s">
        <v>30</v>
      </c>
      <c r="P6765" t="s">
        <v>29</v>
      </c>
      <c r="Q6765" s="1">
        <v>42279.711828703701</v>
      </c>
      <c r="R6765">
        <v>7</v>
      </c>
      <c r="S6765" t="s">
        <v>6400</v>
      </c>
      <c r="T6765" t="s">
        <v>3020</v>
      </c>
      <c r="U6765">
        <v>658.15028555399999</v>
      </c>
      <c r="V6765" s="3">
        <v>42079</v>
      </c>
    </row>
    <row r="6766" spans="1:22" x14ac:dyDescent="0.35">
      <c r="A6766" s="1">
        <v>42279.700601851851</v>
      </c>
      <c r="B6766" s="2">
        <v>1.1226851851851854E-2</v>
      </c>
      <c r="C6766" t="s">
        <v>6693</v>
      </c>
      <c r="D6766" t="s">
        <v>6396</v>
      </c>
      <c r="E6766" t="s">
        <v>6397</v>
      </c>
      <c r="F6766" t="s">
        <v>3018</v>
      </c>
      <c r="G6766">
        <v>1953321</v>
      </c>
      <c r="H6766" t="s">
        <v>26</v>
      </c>
      <c r="I6766" t="s">
        <v>97</v>
      </c>
      <c r="J6766" t="str">
        <f>"9781119062448"</f>
        <v>9781119062448</v>
      </c>
      <c r="K6766" t="s">
        <v>1109</v>
      </c>
      <c r="L6766">
        <v>3</v>
      </c>
      <c r="O6766" t="s">
        <v>30</v>
      </c>
      <c r="P6766" t="s">
        <v>50</v>
      </c>
      <c r="S6766" t="s">
        <v>6400</v>
      </c>
      <c r="T6766" t="s">
        <v>3020</v>
      </c>
      <c r="U6766">
        <v>658.15028555399999</v>
      </c>
      <c r="V6766" s="3">
        <v>42079</v>
      </c>
    </row>
    <row r="6767" spans="1:22" x14ac:dyDescent="0.35">
      <c r="A6767" s="1">
        <v>42279.698541666665</v>
      </c>
      <c r="B6767" s="2">
        <v>0</v>
      </c>
      <c r="C6767" t="s">
        <v>6693</v>
      </c>
      <c r="D6767" t="s">
        <v>6396</v>
      </c>
      <c r="E6767" t="s">
        <v>6397</v>
      </c>
      <c r="F6767" t="s">
        <v>497</v>
      </c>
      <c r="G6767">
        <v>1986951</v>
      </c>
      <c r="H6767" t="s">
        <v>26</v>
      </c>
      <c r="I6767" t="s">
        <v>97</v>
      </c>
      <c r="J6767" t="str">
        <f>"9781119130468"</f>
        <v>9781119130468</v>
      </c>
      <c r="L6767">
        <v>0</v>
      </c>
      <c r="O6767" t="s">
        <v>28</v>
      </c>
      <c r="P6767" t="s">
        <v>29</v>
      </c>
      <c r="Q6767" s="1">
        <v>42279.698541666665</v>
      </c>
      <c r="R6767">
        <v>7</v>
      </c>
      <c r="S6767" t="s">
        <v>6400</v>
      </c>
      <c r="T6767" t="s">
        <v>500</v>
      </c>
      <c r="U6767">
        <v>657.07600000000002</v>
      </c>
      <c r="V6767" s="3">
        <v>42143</v>
      </c>
    </row>
    <row r="6768" spans="1:22" x14ac:dyDescent="0.35">
      <c r="A6768" s="1">
        <v>42279.698541666665</v>
      </c>
      <c r="B6768" s="2">
        <v>0</v>
      </c>
      <c r="C6768" t="s">
        <v>6693</v>
      </c>
      <c r="D6768" t="s">
        <v>6396</v>
      </c>
      <c r="E6768" t="s">
        <v>6397</v>
      </c>
      <c r="F6768" t="s">
        <v>497</v>
      </c>
      <c r="G6768">
        <v>1986951</v>
      </c>
      <c r="H6768" t="s">
        <v>26</v>
      </c>
      <c r="I6768" t="s">
        <v>97</v>
      </c>
      <c r="J6768" t="str">
        <f>"9781119130468"</f>
        <v>9781119130468</v>
      </c>
      <c r="L6768">
        <v>0</v>
      </c>
      <c r="O6768" t="s">
        <v>30</v>
      </c>
      <c r="P6768" t="s">
        <v>29</v>
      </c>
      <c r="Q6768" s="1">
        <v>42279.698541666665</v>
      </c>
      <c r="R6768">
        <v>7</v>
      </c>
      <c r="S6768" t="s">
        <v>6400</v>
      </c>
      <c r="T6768" t="s">
        <v>500</v>
      </c>
      <c r="U6768">
        <v>657.07600000000002</v>
      </c>
      <c r="V6768" s="3">
        <v>42143</v>
      </c>
    </row>
    <row r="6769" spans="1:22" x14ac:dyDescent="0.35">
      <c r="A6769" s="1">
        <v>42279.694780092592</v>
      </c>
      <c r="B6769" s="2">
        <v>3.7615740740740739E-3</v>
      </c>
      <c r="C6769" t="s">
        <v>6693</v>
      </c>
      <c r="D6769" t="s">
        <v>6396</v>
      </c>
      <c r="E6769" t="s">
        <v>6397</v>
      </c>
      <c r="F6769" t="s">
        <v>497</v>
      </c>
      <c r="G6769">
        <v>1986951</v>
      </c>
      <c r="H6769" t="s">
        <v>26</v>
      </c>
      <c r="I6769" t="s">
        <v>97</v>
      </c>
      <c r="J6769" t="str">
        <f>"9781119130468"</f>
        <v>9781119130468</v>
      </c>
      <c r="K6769" t="s">
        <v>1109</v>
      </c>
      <c r="L6769">
        <v>3</v>
      </c>
      <c r="O6769" t="s">
        <v>30</v>
      </c>
      <c r="P6769" t="s">
        <v>50</v>
      </c>
      <c r="S6769" t="s">
        <v>6400</v>
      </c>
      <c r="T6769" t="s">
        <v>500</v>
      </c>
      <c r="U6769">
        <v>657.07600000000002</v>
      </c>
      <c r="V6769" s="3">
        <v>42143</v>
      </c>
    </row>
    <row r="6770" spans="1:22" x14ac:dyDescent="0.35">
      <c r="A6770" s="1">
        <v>42279.694282407407</v>
      </c>
      <c r="B6770" s="2">
        <v>4.6296296296296294E-5</v>
      </c>
      <c r="C6770" t="s">
        <v>6693</v>
      </c>
      <c r="D6770" t="s">
        <v>6396</v>
      </c>
      <c r="E6770" t="s">
        <v>6397</v>
      </c>
      <c r="F6770" t="s">
        <v>10234</v>
      </c>
      <c r="G6770">
        <v>1985830</v>
      </c>
      <c r="H6770" t="s">
        <v>26</v>
      </c>
      <c r="I6770" t="s">
        <v>97</v>
      </c>
      <c r="J6770" t="str">
        <f>"9781119128229"</f>
        <v>9781119128229</v>
      </c>
      <c r="K6770" t="s">
        <v>63</v>
      </c>
      <c r="L6770">
        <v>1</v>
      </c>
      <c r="O6770" t="s">
        <v>28</v>
      </c>
      <c r="P6770" t="s">
        <v>29</v>
      </c>
      <c r="Q6770" s="1">
        <v>42279.694282407407</v>
      </c>
      <c r="R6770">
        <v>7</v>
      </c>
      <c r="S6770" t="s">
        <v>6400</v>
      </c>
      <c r="T6770" t="s">
        <v>500</v>
      </c>
      <c r="U6770">
        <v>657.3</v>
      </c>
      <c r="V6770" s="3">
        <v>42143</v>
      </c>
    </row>
    <row r="6771" spans="1:22" x14ac:dyDescent="0.35">
      <c r="A6771" s="1">
        <v>42279.694282407407</v>
      </c>
      <c r="B6771" s="2">
        <v>0</v>
      </c>
      <c r="C6771" t="s">
        <v>6693</v>
      </c>
      <c r="D6771" t="s">
        <v>6396</v>
      </c>
      <c r="E6771" t="s">
        <v>6397</v>
      </c>
      <c r="F6771" t="s">
        <v>10234</v>
      </c>
      <c r="G6771">
        <v>1985830</v>
      </c>
      <c r="H6771" t="s">
        <v>26</v>
      </c>
      <c r="I6771" t="s">
        <v>97</v>
      </c>
      <c r="J6771" t="str">
        <f>"9781119128229"</f>
        <v>9781119128229</v>
      </c>
      <c r="L6771">
        <v>0</v>
      </c>
      <c r="O6771" t="s">
        <v>30</v>
      </c>
      <c r="P6771" t="s">
        <v>29</v>
      </c>
      <c r="Q6771" s="1">
        <v>42279.694282407407</v>
      </c>
      <c r="R6771">
        <v>7</v>
      </c>
      <c r="S6771" t="s">
        <v>6400</v>
      </c>
      <c r="T6771" t="s">
        <v>500</v>
      </c>
      <c r="U6771">
        <v>657.3</v>
      </c>
      <c r="V6771" s="3">
        <v>42143</v>
      </c>
    </row>
    <row r="6772" spans="1:22" x14ac:dyDescent="0.35">
      <c r="A6772" s="1">
        <v>42279.694062499999</v>
      </c>
      <c r="B6772" s="2">
        <v>1.7361111111111112E-4</v>
      </c>
      <c r="C6772" t="s">
        <v>6693</v>
      </c>
      <c r="D6772" t="s">
        <v>6396</v>
      </c>
      <c r="E6772" t="s">
        <v>6397</v>
      </c>
      <c r="F6772" t="s">
        <v>10234</v>
      </c>
      <c r="G6772">
        <v>1985830</v>
      </c>
      <c r="H6772" t="s">
        <v>26</v>
      </c>
      <c r="I6772" t="s">
        <v>97</v>
      </c>
      <c r="J6772" t="str">
        <f>"9781119128229"</f>
        <v>9781119128229</v>
      </c>
      <c r="K6772" t="s">
        <v>73</v>
      </c>
      <c r="L6772">
        <v>3</v>
      </c>
      <c r="O6772" t="s">
        <v>30</v>
      </c>
      <c r="P6772" t="s">
        <v>50</v>
      </c>
      <c r="S6772" t="s">
        <v>6400</v>
      </c>
      <c r="T6772" t="s">
        <v>500</v>
      </c>
      <c r="U6772">
        <v>657.3</v>
      </c>
      <c r="V6772" s="3">
        <v>42143</v>
      </c>
    </row>
    <row r="6773" spans="1:22" x14ac:dyDescent="0.35">
      <c r="A6773" s="1">
        <v>42279.693981481483</v>
      </c>
      <c r="B6773" s="2">
        <v>7.8969907407407405E-2</v>
      </c>
      <c r="C6773" t="s">
        <v>6693</v>
      </c>
      <c r="D6773" t="s">
        <v>6396</v>
      </c>
      <c r="E6773" t="s">
        <v>6397</v>
      </c>
      <c r="F6773" t="s">
        <v>10218</v>
      </c>
      <c r="G6773">
        <v>1964127</v>
      </c>
      <c r="H6773" t="s">
        <v>26</v>
      </c>
      <c r="I6773" t="s">
        <v>97</v>
      </c>
      <c r="J6773" t="str">
        <f>"9781119111160"</f>
        <v>9781119111160</v>
      </c>
      <c r="K6773" t="s">
        <v>536</v>
      </c>
      <c r="L6773">
        <v>3</v>
      </c>
      <c r="O6773" t="s">
        <v>30</v>
      </c>
      <c r="P6773" t="s">
        <v>50</v>
      </c>
      <c r="S6773" t="s">
        <v>6400</v>
      </c>
      <c r="T6773" t="s">
        <v>10219</v>
      </c>
      <c r="U6773" t="s">
        <v>3359</v>
      </c>
      <c r="V6773" s="3">
        <v>42221</v>
      </c>
    </row>
    <row r="6774" spans="1:22" x14ac:dyDescent="0.35">
      <c r="A6774" s="1">
        <v>42279.684189814812</v>
      </c>
      <c r="B6774" s="2">
        <v>0</v>
      </c>
      <c r="C6774" t="s">
        <v>6693</v>
      </c>
      <c r="D6774" t="s">
        <v>6396</v>
      </c>
      <c r="E6774" t="s">
        <v>6397</v>
      </c>
      <c r="F6774" t="s">
        <v>3736</v>
      </c>
      <c r="G6774">
        <v>1938274</v>
      </c>
      <c r="H6774" t="s">
        <v>26</v>
      </c>
      <c r="I6774" t="s">
        <v>338</v>
      </c>
      <c r="J6774" t="str">
        <f>"9781119098201"</f>
        <v>9781119098201</v>
      </c>
      <c r="L6774">
        <v>0</v>
      </c>
      <c r="O6774" t="s">
        <v>28</v>
      </c>
      <c r="P6774" t="s">
        <v>29</v>
      </c>
      <c r="Q6774" s="1">
        <v>42279.684189814812</v>
      </c>
      <c r="R6774">
        <v>7</v>
      </c>
      <c r="S6774" t="s">
        <v>6400</v>
      </c>
      <c r="T6774" t="s">
        <v>3738</v>
      </c>
      <c r="U6774" t="s">
        <v>3739</v>
      </c>
      <c r="V6774" s="3">
        <v>42033</v>
      </c>
    </row>
    <row r="6775" spans="1:22" x14ac:dyDescent="0.35">
      <c r="A6775" s="1">
        <v>42279.684189814812</v>
      </c>
      <c r="B6775" s="2">
        <v>0</v>
      </c>
      <c r="C6775" t="s">
        <v>6693</v>
      </c>
      <c r="D6775" t="s">
        <v>6396</v>
      </c>
      <c r="E6775" t="s">
        <v>6397</v>
      </c>
      <c r="F6775" t="s">
        <v>3736</v>
      </c>
      <c r="G6775">
        <v>1938274</v>
      </c>
      <c r="H6775" t="s">
        <v>26</v>
      </c>
      <c r="I6775" t="s">
        <v>338</v>
      </c>
      <c r="J6775" t="str">
        <f>"9781119098201"</f>
        <v>9781119098201</v>
      </c>
      <c r="L6775">
        <v>0</v>
      </c>
      <c r="O6775" t="s">
        <v>30</v>
      </c>
      <c r="P6775" t="s">
        <v>29</v>
      </c>
      <c r="Q6775" s="1">
        <v>42279.684189814812</v>
      </c>
      <c r="R6775">
        <v>7</v>
      </c>
      <c r="S6775" t="s">
        <v>6400</v>
      </c>
      <c r="T6775" t="s">
        <v>3738</v>
      </c>
      <c r="U6775" t="s">
        <v>3739</v>
      </c>
      <c r="V6775" s="3">
        <v>42033</v>
      </c>
    </row>
    <row r="6776" spans="1:22" x14ac:dyDescent="0.35">
      <c r="A6776" s="1">
        <v>42279.683923611112</v>
      </c>
      <c r="B6776" s="2">
        <v>3.4722222222222222E-5</v>
      </c>
      <c r="C6776" t="s">
        <v>10255</v>
      </c>
      <c r="D6776" t="s">
        <v>1222</v>
      </c>
      <c r="E6776" t="s">
        <v>1223</v>
      </c>
      <c r="F6776" t="s">
        <v>4289</v>
      </c>
      <c r="G6776">
        <v>1120621</v>
      </c>
      <c r="H6776" t="s">
        <v>26</v>
      </c>
      <c r="I6776" t="s">
        <v>69</v>
      </c>
      <c r="J6776" t="str">
        <f>"9781118362679"</f>
        <v>9781118362679</v>
      </c>
      <c r="K6776" t="s">
        <v>33</v>
      </c>
      <c r="L6776">
        <v>3</v>
      </c>
      <c r="O6776" t="s">
        <v>30</v>
      </c>
      <c r="P6776" t="s">
        <v>42</v>
      </c>
      <c r="S6776" t="s">
        <v>1226</v>
      </c>
      <c r="T6776" t="s">
        <v>4290</v>
      </c>
      <c r="U6776" t="s">
        <v>4291</v>
      </c>
      <c r="V6776" s="3">
        <v>41136</v>
      </c>
    </row>
    <row r="6777" spans="1:22" x14ac:dyDescent="0.35">
      <c r="A6777" s="1">
        <v>42279.683715277781</v>
      </c>
      <c r="B6777" s="2">
        <v>5.9027777777777778E-4</v>
      </c>
      <c r="C6777" t="s">
        <v>10256</v>
      </c>
      <c r="D6777" t="s">
        <v>1222</v>
      </c>
      <c r="E6777" t="s">
        <v>1223</v>
      </c>
      <c r="F6777" t="s">
        <v>4289</v>
      </c>
      <c r="G6777">
        <v>1120621</v>
      </c>
      <c r="H6777" t="s">
        <v>26</v>
      </c>
      <c r="I6777" t="s">
        <v>69</v>
      </c>
      <c r="J6777" t="str">
        <f>"9781118362679"</f>
        <v>9781118362679</v>
      </c>
      <c r="K6777" t="s">
        <v>10257</v>
      </c>
      <c r="L6777">
        <v>14</v>
      </c>
      <c r="O6777" t="s">
        <v>30</v>
      </c>
      <c r="P6777" t="s">
        <v>42</v>
      </c>
      <c r="S6777" t="s">
        <v>1226</v>
      </c>
      <c r="T6777" t="s">
        <v>4290</v>
      </c>
      <c r="U6777" t="s">
        <v>4291</v>
      </c>
      <c r="V6777" s="3">
        <v>41136</v>
      </c>
    </row>
    <row r="6778" spans="1:22" x14ac:dyDescent="0.35">
      <c r="A6778" s="1">
        <v>42279.683425925927</v>
      </c>
      <c r="B6778" s="2">
        <v>7.6388888888888893E-4</v>
      </c>
      <c r="C6778" t="s">
        <v>6693</v>
      </c>
      <c r="D6778" t="s">
        <v>6396</v>
      </c>
      <c r="E6778" t="s">
        <v>6397</v>
      </c>
      <c r="F6778" t="s">
        <v>3736</v>
      </c>
      <c r="G6778">
        <v>1938274</v>
      </c>
      <c r="H6778" t="s">
        <v>26</v>
      </c>
      <c r="I6778" t="s">
        <v>338</v>
      </c>
      <c r="J6778" t="str">
        <f>"9781119098201"</f>
        <v>9781119098201</v>
      </c>
      <c r="K6778" t="s">
        <v>10258</v>
      </c>
      <c r="L6778">
        <v>16</v>
      </c>
      <c r="O6778" t="s">
        <v>30</v>
      </c>
      <c r="P6778" t="s">
        <v>50</v>
      </c>
      <c r="S6778" t="s">
        <v>6400</v>
      </c>
      <c r="T6778" t="s">
        <v>3738</v>
      </c>
      <c r="U6778" t="s">
        <v>3739</v>
      </c>
      <c r="V6778" s="3">
        <v>42033</v>
      </c>
    </row>
    <row r="6779" spans="1:22" x14ac:dyDescent="0.35">
      <c r="A6779" s="1">
        <v>42279.683206018519</v>
      </c>
      <c r="B6779" s="2">
        <v>3.4722222222222222E-5</v>
      </c>
      <c r="C6779" t="s">
        <v>10259</v>
      </c>
      <c r="D6779" t="s">
        <v>1222</v>
      </c>
      <c r="E6779" t="s">
        <v>1223</v>
      </c>
      <c r="F6779" t="s">
        <v>4289</v>
      </c>
      <c r="G6779">
        <v>1120621</v>
      </c>
      <c r="H6779" t="s">
        <v>26</v>
      </c>
      <c r="I6779" t="s">
        <v>69</v>
      </c>
      <c r="J6779" t="str">
        <f>"9781118362679"</f>
        <v>9781118362679</v>
      </c>
      <c r="K6779" t="s">
        <v>33</v>
      </c>
      <c r="L6779">
        <v>3</v>
      </c>
      <c r="O6779" t="s">
        <v>30</v>
      </c>
      <c r="P6779" t="s">
        <v>42</v>
      </c>
      <c r="S6779" t="s">
        <v>1226</v>
      </c>
      <c r="T6779" t="s">
        <v>4290</v>
      </c>
      <c r="U6779" t="s">
        <v>4291</v>
      </c>
      <c r="V6779" s="3">
        <v>41136</v>
      </c>
    </row>
    <row r="6780" spans="1:22" x14ac:dyDescent="0.35">
      <c r="A6780" s="1">
        <v>42279.683182870373</v>
      </c>
      <c r="B6780" s="2">
        <v>6.018518518518519E-4</v>
      </c>
      <c r="C6780" t="s">
        <v>10260</v>
      </c>
      <c r="D6780" t="s">
        <v>1222</v>
      </c>
      <c r="E6780" t="s">
        <v>1223</v>
      </c>
      <c r="F6780" t="s">
        <v>4289</v>
      </c>
      <c r="G6780">
        <v>1120621</v>
      </c>
      <c r="H6780" t="s">
        <v>26</v>
      </c>
      <c r="I6780" t="s">
        <v>69</v>
      </c>
      <c r="J6780" t="str">
        <f>"9781118362679"</f>
        <v>9781118362679</v>
      </c>
      <c r="K6780" t="s">
        <v>10261</v>
      </c>
      <c r="L6780">
        <v>16</v>
      </c>
      <c r="O6780" t="s">
        <v>30</v>
      </c>
      <c r="P6780" t="s">
        <v>42</v>
      </c>
      <c r="S6780" t="s">
        <v>1226</v>
      </c>
      <c r="T6780" t="s">
        <v>4290</v>
      </c>
      <c r="U6780" t="s">
        <v>4291</v>
      </c>
      <c r="V6780" s="3">
        <v>41136</v>
      </c>
    </row>
    <row r="6781" spans="1:22" x14ac:dyDescent="0.35">
      <c r="A6781" s="1">
        <v>42279.68309027778</v>
      </c>
      <c r="B6781" s="2">
        <v>1.1805555555555556E-3</v>
      </c>
      <c r="C6781" t="s">
        <v>9739</v>
      </c>
      <c r="D6781" t="s">
        <v>1222</v>
      </c>
      <c r="E6781" t="s">
        <v>1223</v>
      </c>
      <c r="F6781" t="s">
        <v>4289</v>
      </c>
      <c r="G6781">
        <v>1120621</v>
      </c>
      <c r="H6781" t="s">
        <v>26</v>
      </c>
      <c r="I6781" t="s">
        <v>69</v>
      </c>
      <c r="J6781" t="str">
        <f>"9781118362679"</f>
        <v>9781118362679</v>
      </c>
      <c r="K6781" t="s">
        <v>10262</v>
      </c>
      <c r="L6781">
        <v>12</v>
      </c>
      <c r="O6781" t="s">
        <v>30</v>
      </c>
      <c r="P6781" t="s">
        <v>42</v>
      </c>
      <c r="S6781" t="s">
        <v>1226</v>
      </c>
      <c r="T6781" t="s">
        <v>4290</v>
      </c>
      <c r="U6781" t="s">
        <v>4291</v>
      </c>
      <c r="V6781" s="3">
        <v>41136</v>
      </c>
    </row>
    <row r="6782" spans="1:22" x14ac:dyDescent="0.35">
      <c r="A6782" s="1">
        <v>42279.682442129626</v>
      </c>
      <c r="B6782" s="2">
        <v>0</v>
      </c>
      <c r="C6782" t="s">
        <v>6693</v>
      </c>
      <c r="D6782" t="s">
        <v>6396</v>
      </c>
      <c r="E6782" t="s">
        <v>6397</v>
      </c>
      <c r="F6782" t="s">
        <v>4048</v>
      </c>
      <c r="G6782">
        <v>1895586</v>
      </c>
      <c r="H6782" t="s">
        <v>26</v>
      </c>
      <c r="I6782" t="s">
        <v>247</v>
      </c>
      <c r="J6782" t="str">
        <f>"9781118766651"</f>
        <v>9781118766651</v>
      </c>
      <c r="L6782">
        <v>0</v>
      </c>
      <c r="O6782" t="s">
        <v>28</v>
      </c>
      <c r="P6782" t="s">
        <v>29</v>
      </c>
      <c r="Q6782" s="1">
        <v>42279.682442129626</v>
      </c>
      <c r="R6782">
        <v>7</v>
      </c>
      <c r="S6782" t="s">
        <v>6400</v>
      </c>
      <c r="T6782" t="s">
        <v>4049</v>
      </c>
      <c r="U6782" t="s">
        <v>4050</v>
      </c>
      <c r="V6782" s="3">
        <v>42094</v>
      </c>
    </row>
    <row r="6783" spans="1:22" x14ac:dyDescent="0.35">
      <c r="A6783" s="1">
        <v>42279.682442129626</v>
      </c>
      <c r="B6783" s="2">
        <v>0</v>
      </c>
      <c r="C6783" t="s">
        <v>6693</v>
      </c>
      <c r="D6783" t="s">
        <v>6396</v>
      </c>
      <c r="E6783" t="s">
        <v>6397</v>
      </c>
      <c r="F6783" t="s">
        <v>4048</v>
      </c>
      <c r="G6783">
        <v>1895586</v>
      </c>
      <c r="H6783" t="s">
        <v>26</v>
      </c>
      <c r="I6783" t="s">
        <v>247</v>
      </c>
      <c r="J6783" t="str">
        <f>"9781118766651"</f>
        <v>9781118766651</v>
      </c>
      <c r="L6783">
        <v>0</v>
      </c>
      <c r="O6783" t="s">
        <v>30</v>
      </c>
      <c r="P6783" t="s">
        <v>29</v>
      </c>
      <c r="Q6783" s="1">
        <v>42279.682442129626</v>
      </c>
      <c r="R6783">
        <v>7</v>
      </c>
      <c r="S6783" t="s">
        <v>6400</v>
      </c>
      <c r="T6783" t="s">
        <v>4049</v>
      </c>
      <c r="U6783" t="s">
        <v>4050</v>
      </c>
      <c r="V6783" s="3">
        <v>42094</v>
      </c>
    </row>
    <row r="6784" spans="1:22" x14ac:dyDescent="0.35">
      <c r="A6784" s="1">
        <v>42279.679513888892</v>
      </c>
      <c r="B6784" s="2">
        <v>2.9166666666666668E-3</v>
      </c>
      <c r="C6784" t="s">
        <v>6693</v>
      </c>
      <c r="D6784" t="s">
        <v>6396</v>
      </c>
      <c r="E6784" t="s">
        <v>6397</v>
      </c>
      <c r="F6784" t="s">
        <v>4048</v>
      </c>
      <c r="G6784">
        <v>1895586</v>
      </c>
      <c r="H6784" t="s">
        <v>26</v>
      </c>
      <c r="I6784" t="s">
        <v>247</v>
      </c>
      <c r="J6784" t="str">
        <f>"9781118766651"</f>
        <v>9781118766651</v>
      </c>
      <c r="K6784" t="s">
        <v>10263</v>
      </c>
      <c r="L6784">
        <v>16</v>
      </c>
      <c r="O6784" t="s">
        <v>30</v>
      </c>
      <c r="P6784" t="s">
        <v>50</v>
      </c>
      <c r="S6784" t="s">
        <v>6400</v>
      </c>
      <c r="T6784" t="s">
        <v>4049</v>
      </c>
      <c r="U6784" t="s">
        <v>4050</v>
      </c>
      <c r="V6784" s="3">
        <v>42094</v>
      </c>
    </row>
    <row r="6785" spans="1:22" x14ac:dyDescent="0.35">
      <c r="A6785" s="1">
        <v>42279.641481481478</v>
      </c>
      <c r="B6785" s="2">
        <v>3.4722222222222222E-5</v>
      </c>
      <c r="C6785" t="s">
        <v>10264</v>
      </c>
      <c r="D6785" t="s">
        <v>1222</v>
      </c>
      <c r="E6785" t="s">
        <v>1223</v>
      </c>
      <c r="F6785" t="s">
        <v>4289</v>
      </c>
      <c r="G6785">
        <v>1120621</v>
      </c>
      <c r="H6785" t="s">
        <v>26</v>
      </c>
      <c r="I6785" t="s">
        <v>69</v>
      </c>
      <c r="J6785" t="str">
        <f>"9781118362679"</f>
        <v>9781118362679</v>
      </c>
      <c r="K6785" t="s">
        <v>33</v>
      </c>
      <c r="L6785">
        <v>3</v>
      </c>
      <c r="O6785" t="s">
        <v>30</v>
      </c>
      <c r="P6785" t="s">
        <v>42</v>
      </c>
      <c r="S6785" t="s">
        <v>1226</v>
      </c>
      <c r="T6785" t="s">
        <v>4290</v>
      </c>
      <c r="U6785" t="s">
        <v>4291</v>
      </c>
      <c r="V6785" s="3">
        <v>41136</v>
      </c>
    </row>
    <row r="6786" spans="1:22" x14ac:dyDescent="0.35">
      <c r="A6786" s="1">
        <v>42279.641469907408</v>
      </c>
      <c r="B6786" s="2">
        <v>3.4722222222222222E-5</v>
      </c>
      <c r="C6786" t="s">
        <v>10265</v>
      </c>
      <c r="D6786" t="s">
        <v>1222</v>
      </c>
      <c r="E6786" t="s">
        <v>1223</v>
      </c>
      <c r="F6786" t="s">
        <v>4289</v>
      </c>
      <c r="G6786">
        <v>1120621</v>
      </c>
      <c r="H6786" t="s">
        <v>26</v>
      </c>
      <c r="I6786" t="s">
        <v>69</v>
      </c>
      <c r="J6786" t="str">
        <f>"9781118362679"</f>
        <v>9781118362679</v>
      </c>
      <c r="K6786" t="s">
        <v>33</v>
      </c>
      <c r="L6786">
        <v>3</v>
      </c>
      <c r="O6786" t="s">
        <v>30</v>
      </c>
      <c r="P6786" t="s">
        <v>42</v>
      </c>
      <c r="S6786" t="s">
        <v>1226</v>
      </c>
      <c r="T6786" t="s">
        <v>4290</v>
      </c>
      <c r="U6786" t="s">
        <v>4291</v>
      </c>
      <c r="V6786" s="3">
        <v>41136</v>
      </c>
    </row>
    <row r="6787" spans="1:22" x14ac:dyDescent="0.35">
      <c r="A6787" s="1">
        <v>42279.641446759262</v>
      </c>
      <c r="B6787" s="2">
        <v>8.1018518518518516E-4</v>
      </c>
      <c r="C6787" t="s">
        <v>9739</v>
      </c>
      <c r="D6787" t="s">
        <v>1222</v>
      </c>
      <c r="E6787" t="s">
        <v>1223</v>
      </c>
      <c r="F6787" t="s">
        <v>4289</v>
      </c>
      <c r="G6787">
        <v>1120621</v>
      </c>
      <c r="H6787" t="s">
        <v>26</v>
      </c>
      <c r="I6787" t="s">
        <v>69</v>
      </c>
      <c r="J6787" t="str">
        <f>"9781118362679"</f>
        <v>9781118362679</v>
      </c>
      <c r="K6787" t="s">
        <v>10266</v>
      </c>
      <c r="L6787">
        <v>9</v>
      </c>
      <c r="O6787" t="s">
        <v>30</v>
      </c>
      <c r="P6787" t="s">
        <v>42</v>
      </c>
      <c r="S6787" t="s">
        <v>1226</v>
      </c>
      <c r="T6787" t="s">
        <v>4290</v>
      </c>
      <c r="U6787" t="s">
        <v>4291</v>
      </c>
      <c r="V6787" s="3">
        <v>41136</v>
      </c>
    </row>
    <row r="6788" spans="1:22" x14ac:dyDescent="0.35">
      <c r="A6788" s="1">
        <v>42279.634074074071</v>
      </c>
      <c r="B6788" s="2">
        <v>0</v>
      </c>
      <c r="C6788" t="s">
        <v>6693</v>
      </c>
      <c r="D6788" t="s">
        <v>6396</v>
      </c>
      <c r="E6788" t="s">
        <v>6397</v>
      </c>
      <c r="F6788" t="s">
        <v>10267</v>
      </c>
      <c r="G6788">
        <v>1753380</v>
      </c>
      <c r="H6788" t="s">
        <v>26</v>
      </c>
      <c r="I6788" t="s">
        <v>4106</v>
      </c>
      <c r="J6788" t="str">
        <f>"9781118896945"</f>
        <v>9781118896945</v>
      </c>
      <c r="L6788">
        <v>0</v>
      </c>
      <c r="O6788" t="s">
        <v>28</v>
      </c>
      <c r="P6788" t="s">
        <v>47</v>
      </c>
      <c r="Q6788" s="1">
        <v>42279.634074074071</v>
      </c>
      <c r="R6788">
        <v>1</v>
      </c>
      <c r="S6788" t="s">
        <v>6400</v>
      </c>
      <c r="T6788" t="s">
        <v>10268</v>
      </c>
      <c r="U6788">
        <v>729</v>
      </c>
      <c r="V6788" s="3">
        <v>41843</v>
      </c>
    </row>
    <row r="6789" spans="1:22" x14ac:dyDescent="0.35">
      <c r="A6789" s="1">
        <v>42279.634074074071</v>
      </c>
      <c r="B6789" s="2">
        <v>0</v>
      </c>
      <c r="C6789" t="s">
        <v>6693</v>
      </c>
      <c r="D6789" t="s">
        <v>6396</v>
      </c>
      <c r="E6789" t="s">
        <v>6397</v>
      </c>
      <c r="F6789" t="s">
        <v>10267</v>
      </c>
      <c r="G6789">
        <v>1753380</v>
      </c>
      <c r="H6789" t="s">
        <v>26</v>
      </c>
      <c r="I6789" t="s">
        <v>4106</v>
      </c>
      <c r="J6789" t="str">
        <f>"9781118896945"</f>
        <v>9781118896945</v>
      </c>
      <c r="L6789">
        <v>0</v>
      </c>
      <c r="O6789" t="s">
        <v>30</v>
      </c>
      <c r="P6789" t="s">
        <v>47</v>
      </c>
      <c r="Q6789" s="1">
        <v>42279.634074074071</v>
      </c>
      <c r="R6789">
        <v>1</v>
      </c>
      <c r="S6789" t="s">
        <v>6400</v>
      </c>
      <c r="T6789" t="s">
        <v>10268</v>
      </c>
      <c r="U6789">
        <v>729</v>
      </c>
      <c r="V6789" s="3">
        <v>41843</v>
      </c>
    </row>
    <row r="6790" spans="1:22" x14ac:dyDescent="0.35">
      <c r="A6790" s="1">
        <v>42279.633171296293</v>
      </c>
      <c r="B6790" s="2">
        <v>0</v>
      </c>
      <c r="C6790" t="s">
        <v>6693</v>
      </c>
      <c r="D6790" t="s">
        <v>6396</v>
      </c>
      <c r="E6790" t="s">
        <v>6397</v>
      </c>
      <c r="F6790" t="s">
        <v>10269</v>
      </c>
      <c r="G6790">
        <v>1895861</v>
      </c>
      <c r="H6790" t="s">
        <v>26</v>
      </c>
      <c r="I6790" t="s">
        <v>247</v>
      </c>
      <c r="J6790" t="str">
        <f>"9781118983034"</f>
        <v>9781118983034</v>
      </c>
      <c r="L6790">
        <v>0</v>
      </c>
      <c r="O6790" t="s">
        <v>28</v>
      </c>
      <c r="P6790" t="s">
        <v>29</v>
      </c>
      <c r="Q6790" s="1">
        <v>42279.633171296293</v>
      </c>
      <c r="R6790">
        <v>7</v>
      </c>
      <c r="S6790" t="s">
        <v>6400</v>
      </c>
      <c r="T6790" t="s">
        <v>10270</v>
      </c>
      <c r="U6790" t="s">
        <v>10271</v>
      </c>
      <c r="V6790" s="3">
        <v>42121</v>
      </c>
    </row>
    <row r="6791" spans="1:22" x14ac:dyDescent="0.35">
      <c r="A6791" s="1">
        <v>42279.633171296293</v>
      </c>
      <c r="B6791" s="2">
        <v>0</v>
      </c>
      <c r="C6791" t="s">
        <v>6693</v>
      </c>
      <c r="D6791" t="s">
        <v>6396</v>
      </c>
      <c r="E6791" t="s">
        <v>6397</v>
      </c>
      <c r="F6791" t="s">
        <v>10269</v>
      </c>
      <c r="G6791">
        <v>1895861</v>
      </c>
      <c r="H6791" t="s">
        <v>26</v>
      </c>
      <c r="I6791" t="s">
        <v>247</v>
      </c>
      <c r="J6791" t="str">
        <f>"9781118983034"</f>
        <v>9781118983034</v>
      </c>
      <c r="L6791">
        <v>0</v>
      </c>
      <c r="O6791" t="s">
        <v>30</v>
      </c>
      <c r="P6791" t="s">
        <v>29</v>
      </c>
      <c r="Q6791" s="1">
        <v>42279.633171296293</v>
      </c>
      <c r="R6791">
        <v>7</v>
      </c>
      <c r="S6791" t="s">
        <v>6400</v>
      </c>
      <c r="T6791" t="s">
        <v>10270</v>
      </c>
      <c r="U6791" t="s">
        <v>10271</v>
      </c>
      <c r="V6791" s="3">
        <v>42121</v>
      </c>
    </row>
    <row r="6792" spans="1:22" x14ac:dyDescent="0.35">
      <c r="A6792" s="1">
        <v>42279.6325462963</v>
      </c>
      <c r="B6792" s="2">
        <v>6.2500000000000001E-4</v>
      </c>
      <c r="C6792" t="s">
        <v>6693</v>
      </c>
      <c r="D6792" t="s">
        <v>6396</v>
      </c>
      <c r="E6792" t="s">
        <v>6397</v>
      </c>
      <c r="F6792" t="s">
        <v>10269</v>
      </c>
      <c r="G6792">
        <v>1895861</v>
      </c>
      <c r="H6792" t="s">
        <v>26</v>
      </c>
      <c r="I6792" t="s">
        <v>247</v>
      </c>
      <c r="J6792" t="str">
        <f>"9781118983034"</f>
        <v>9781118983034</v>
      </c>
      <c r="K6792" t="s">
        <v>10272</v>
      </c>
      <c r="L6792">
        <v>11</v>
      </c>
      <c r="O6792" t="s">
        <v>30</v>
      </c>
      <c r="P6792" t="s">
        <v>50</v>
      </c>
      <c r="S6792" t="s">
        <v>6400</v>
      </c>
      <c r="T6792" t="s">
        <v>10270</v>
      </c>
      <c r="U6792" t="s">
        <v>10271</v>
      </c>
      <c r="V6792" s="3">
        <v>42121</v>
      </c>
    </row>
    <row r="6793" spans="1:22" x14ac:dyDescent="0.35">
      <c r="A6793" s="1">
        <v>42279.632233796299</v>
      </c>
      <c r="B6793" s="2">
        <v>1.273148148148148E-4</v>
      </c>
      <c r="C6793" t="s">
        <v>6693</v>
      </c>
      <c r="D6793" t="s">
        <v>6396</v>
      </c>
      <c r="E6793" t="s">
        <v>6397</v>
      </c>
      <c r="F6793" t="s">
        <v>10273</v>
      </c>
      <c r="G6793">
        <v>1895194</v>
      </c>
      <c r="H6793" t="s">
        <v>26</v>
      </c>
      <c r="I6793" t="s">
        <v>108</v>
      </c>
      <c r="J6793" t="str">
        <f>"9781118992265"</f>
        <v>9781118992265</v>
      </c>
      <c r="K6793" t="s">
        <v>63</v>
      </c>
      <c r="L6793">
        <v>1</v>
      </c>
      <c r="O6793" t="s">
        <v>28</v>
      </c>
      <c r="P6793" t="s">
        <v>29</v>
      </c>
      <c r="Q6793" s="1">
        <v>42279.632233796299</v>
      </c>
      <c r="R6793">
        <v>7</v>
      </c>
      <c r="S6793" t="s">
        <v>6400</v>
      </c>
      <c r="T6793" t="s">
        <v>10274</v>
      </c>
      <c r="U6793">
        <v>332.024</v>
      </c>
      <c r="V6793" s="3">
        <v>42123</v>
      </c>
    </row>
    <row r="6794" spans="1:22" x14ac:dyDescent="0.35">
      <c r="A6794" s="1">
        <v>42279.632233796299</v>
      </c>
      <c r="B6794" s="2">
        <v>0</v>
      </c>
      <c r="C6794" t="s">
        <v>6693</v>
      </c>
      <c r="D6794" t="s">
        <v>6396</v>
      </c>
      <c r="E6794" t="s">
        <v>6397</v>
      </c>
      <c r="F6794" t="s">
        <v>10273</v>
      </c>
      <c r="G6794">
        <v>1895194</v>
      </c>
      <c r="H6794" t="s">
        <v>26</v>
      </c>
      <c r="I6794" t="s">
        <v>108</v>
      </c>
      <c r="J6794" t="str">
        <f>"9781118992265"</f>
        <v>9781118992265</v>
      </c>
      <c r="L6794">
        <v>0</v>
      </c>
      <c r="O6794" t="s">
        <v>30</v>
      </c>
      <c r="P6794" t="s">
        <v>29</v>
      </c>
      <c r="Q6794" s="1">
        <v>42279.632233796299</v>
      </c>
      <c r="R6794">
        <v>7</v>
      </c>
      <c r="S6794" t="s">
        <v>6400</v>
      </c>
      <c r="T6794" t="s">
        <v>10274</v>
      </c>
      <c r="U6794">
        <v>332.024</v>
      </c>
      <c r="V6794" s="3">
        <v>42123</v>
      </c>
    </row>
    <row r="6795" spans="1:22" x14ac:dyDescent="0.35">
      <c r="A6795" s="1">
        <v>42279.632060185184</v>
      </c>
      <c r="B6795" s="2">
        <v>1.7361111111111112E-4</v>
      </c>
      <c r="C6795" t="s">
        <v>6693</v>
      </c>
      <c r="D6795" t="s">
        <v>6396</v>
      </c>
      <c r="E6795" t="s">
        <v>6397</v>
      </c>
      <c r="F6795" t="s">
        <v>10273</v>
      </c>
      <c r="G6795">
        <v>1895194</v>
      </c>
      <c r="H6795" t="s">
        <v>26</v>
      </c>
      <c r="I6795" t="s">
        <v>108</v>
      </c>
      <c r="J6795" t="str">
        <f>"9781118992265"</f>
        <v>9781118992265</v>
      </c>
      <c r="K6795" t="s">
        <v>73</v>
      </c>
      <c r="L6795">
        <v>3</v>
      </c>
      <c r="O6795" t="s">
        <v>30</v>
      </c>
      <c r="P6795" t="s">
        <v>50</v>
      </c>
      <c r="S6795" t="s">
        <v>6400</v>
      </c>
      <c r="T6795" t="s">
        <v>10274</v>
      </c>
      <c r="U6795">
        <v>332.024</v>
      </c>
      <c r="V6795" s="3">
        <v>42123</v>
      </c>
    </row>
    <row r="6796" spans="1:22" x14ac:dyDescent="0.35">
      <c r="A6796" s="1">
        <v>42279.629837962966</v>
      </c>
      <c r="B6796" s="2">
        <v>4.2361111111111106E-3</v>
      </c>
      <c r="C6796" t="s">
        <v>6693</v>
      </c>
      <c r="D6796" t="s">
        <v>6396</v>
      </c>
      <c r="E6796" t="s">
        <v>6397</v>
      </c>
      <c r="F6796" t="s">
        <v>10267</v>
      </c>
      <c r="G6796">
        <v>1753380</v>
      </c>
      <c r="H6796" t="s">
        <v>26</v>
      </c>
      <c r="I6796" t="s">
        <v>4106</v>
      </c>
      <c r="J6796" t="str">
        <f>"9781118896945"</f>
        <v>9781118896945</v>
      </c>
      <c r="K6796" t="s">
        <v>536</v>
      </c>
      <c r="L6796">
        <v>3</v>
      </c>
      <c r="O6796" t="s">
        <v>30</v>
      </c>
      <c r="P6796" t="s">
        <v>50</v>
      </c>
      <c r="S6796" t="s">
        <v>6400</v>
      </c>
      <c r="T6796" t="s">
        <v>10268</v>
      </c>
      <c r="U6796">
        <v>729</v>
      </c>
      <c r="V6796" s="3">
        <v>41843</v>
      </c>
    </row>
    <row r="6797" spans="1:22" x14ac:dyDescent="0.35">
      <c r="A6797" s="1">
        <v>42279.628101851849</v>
      </c>
      <c r="B6797" s="2">
        <v>0</v>
      </c>
      <c r="C6797" t="s">
        <v>6693</v>
      </c>
      <c r="D6797" t="s">
        <v>6396</v>
      </c>
      <c r="E6797" t="s">
        <v>6397</v>
      </c>
      <c r="F6797" t="s">
        <v>5083</v>
      </c>
      <c r="G6797">
        <v>1895759</v>
      </c>
      <c r="H6797" t="s">
        <v>26</v>
      </c>
      <c r="I6797" t="s">
        <v>247</v>
      </c>
      <c r="J6797" t="str">
        <f>"9781118925287"</f>
        <v>9781118925287</v>
      </c>
      <c r="L6797">
        <v>0</v>
      </c>
      <c r="O6797" t="s">
        <v>28</v>
      </c>
      <c r="P6797" t="s">
        <v>29</v>
      </c>
      <c r="Q6797" s="1">
        <v>42279.464467592596</v>
      </c>
      <c r="R6797">
        <v>7</v>
      </c>
      <c r="S6797" t="s">
        <v>6400</v>
      </c>
      <c r="T6797" t="s">
        <v>5085</v>
      </c>
      <c r="U6797">
        <v>617.60609999999997</v>
      </c>
      <c r="V6797" s="3">
        <v>42129</v>
      </c>
    </row>
    <row r="6798" spans="1:22" x14ac:dyDescent="0.35">
      <c r="A6798" s="1">
        <v>42279.627766203703</v>
      </c>
      <c r="B6798" s="2">
        <v>3.0092592592592595E-4</v>
      </c>
      <c r="C6798" t="s">
        <v>6693</v>
      </c>
      <c r="D6798" t="s">
        <v>6396</v>
      </c>
      <c r="E6798" t="s">
        <v>6397</v>
      </c>
      <c r="F6798" t="s">
        <v>5083</v>
      </c>
      <c r="G6798">
        <v>1895759</v>
      </c>
      <c r="H6798" t="s">
        <v>26</v>
      </c>
      <c r="I6798" t="s">
        <v>247</v>
      </c>
      <c r="J6798" t="str">
        <f>"9781118925287"</f>
        <v>9781118925287</v>
      </c>
      <c r="K6798" t="s">
        <v>1109</v>
      </c>
      <c r="L6798">
        <v>3</v>
      </c>
      <c r="O6798" t="s">
        <v>30</v>
      </c>
      <c r="P6798" t="s">
        <v>29</v>
      </c>
      <c r="Q6798" s="1">
        <v>42279.464467592596</v>
      </c>
      <c r="R6798">
        <v>7</v>
      </c>
      <c r="S6798" t="s">
        <v>6400</v>
      </c>
      <c r="T6798" t="s">
        <v>5085</v>
      </c>
      <c r="U6798">
        <v>617.60609999999997</v>
      </c>
      <c r="V6798" s="3">
        <v>42129</v>
      </c>
    </row>
    <row r="6799" spans="1:22" x14ac:dyDescent="0.35">
      <c r="A6799" s="1">
        <v>42279.605520833335</v>
      </c>
      <c r="B6799" s="2">
        <v>1.7013888888888892E-3</v>
      </c>
      <c r="C6799" t="s">
        <v>9790</v>
      </c>
      <c r="D6799" t="s">
        <v>23</v>
      </c>
      <c r="E6799" t="s">
        <v>24</v>
      </c>
      <c r="F6799" t="s">
        <v>9791</v>
      </c>
      <c r="G6799">
        <v>1938147</v>
      </c>
      <c r="H6799" t="s">
        <v>91</v>
      </c>
      <c r="I6799" t="s">
        <v>247</v>
      </c>
      <c r="J6799" t="str">
        <f>"9781462520695"</f>
        <v>9781462520695</v>
      </c>
      <c r="K6799" t="s">
        <v>10275</v>
      </c>
      <c r="L6799">
        <v>22</v>
      </c>
      <c r="O6799" t="s">
        <v>28</v>
      </c>
      <c r="P6799" t="s">
        <v>47</v>
      </c>
      <c r="Q6799" s="1">
        <v>42279.605520833335</v>
      </c>
      <c r="R6799">
        <v>7</v>
      </c>
      <c r="S6799" t="s">
        <v>31</v>
      </c>
      <c r="T6799" t="s">
        <v>9793</v>
      </c>
      <c r="U6799">
        <v>616.85260600000004</v>
      </c>
      <c r="V6799" s="3">
        <v>42005</v>
      </c>
    </row>
    <row r="6800" spans="1:22" x14ac:dyDescent="0.35">
      <c r="A6800" s="1">
        <v>42279.605520833335</v>
      </c>
      <c r="B6800" s="2">
        <v>0</v>
      </c>
      <c r="C6800" t="s">
        <v>9790</v>
      </c>
      <c r="D6800" t="s">
        <v>23</v>
      </c>
      <c r="E6800" t="s">
        <v>24</v>
      </c>
      <c r="F6800" t="s">
        <v>9791</v>
      </c>
      <c r="G6800">
        <v>1938147</v>
      </c>
      <c r="H6800" t="s">
        <v>91</v>
      </c>
      <c r="I6800" t="s">
        <v>247</v>
      </c>
      <c r="J6800" t="str">
        <f>"9781462520695"</f>
        <v>9781462520695</v>
      </c>
      <c r="L6800">
        <v>0</v>
      </c>
      <c r="O6800" t="s">
        <v>30</v>
      </c>
      <c r="P6800" t="s">
        <v>47</v>
      </c>
      <c r="Q6800" s="1">
        <v>42279.605520833335</v>
      </c>
      <c r="R6800">
        <v>7</v>
      </c>
      <c r="S6800" t="s">
        <v>31</v>
      </c>
      <c r="T6800" t="s">
        <v>9793</v>
      </c>
      <c r="U6800">
        <v>616.85260600000004</v>
      </c>
      <c r="V6800" s="3">
        <v>42005</v>
      </c>
    </row>
    <row r="6801" spans="1:22" x14ac:dyDescent="0.35">
      <c r="A6801" s="1">
        <v>42279.60460648148</v>
      </c>
      <c r="B6801" s="2">
        <v>8.7962962962962962E-4</v>
      </c>
      <c r="C6801" t="s">
        <v>9790</v>
      </c>
      <c r="D6801" t="s">
        <v>23</v>
      </c>
      <c r="E6801" t="s">
        <v>24</v>
      </c>
      <c r="F6801" t="s">
        <v>9791</v>
      </c>
      <c r="G6801">
        <v>1938147</v>
      </c>
      <c r="H6801" t="s">
        <v>91</v>
      </c>
      <c r="I6801" t="s">
        <v>247</v>
      </c>
      <c r="J6801" t="str">
        <f>"9781462520695"</f>
        <v>9781462520695</v>
      </c>
      <c r="K6801" t="s">
        <v>10276</v>
      </c>
      <c r="L6801">
        <v>17</v>
      </c>
      <c r="O6801" t="s">
        <v>30</v>
      </c>
      <c r="P6801" t="s">
        <v>50</v>
      </c>
      <c r="S6801" t="s">
        <v>31</v>
      </c>
      <c r="T6801" t="s">
        <v>9793</v>
      </c>
      <c r="U6801">
        <v>616.85260600000004</v>
      </c>
      <c r="V6801" s="3">
        <v>42005</v>
      </c>
    </row>
    <row r="6802" spans="1:22" x14ac:dyDescent="0.35">
      <c r="A6802" s="1">
        <v>42279.599502314813</v>
      </c>
      <c r="B6802" s="2">
        <v>1.8055555555555557E-3</v>
      </c>
      <c r="C6802" t="s">
        <v>3519</v>
      </c>
      <c r="D6802" t="s">
        <v>23</v>
      </c>
      <c r="E6802" t="s">
        <v>24</v>
      </c>
      <c r="F6802" t="s">
        <v>3228</v>
      </c>
      <c r="G6802">
        <v>1115640</v>
      </c>
      <c r="H6802" t="s">
        <v>26</v>
      </c>
      <c r="I6802" t="s">
        <v>3229</v>
      </c>
      <c r="J6802" t="str">
        <f>"9781118419090"</f>
        <v>9781118419090</v>
      </c>
      <c r="K6802" t="s">
        <v>10277</v>
      </c>
      <c r="L6802">
        <v>14</v>
      </c>
      <c r="O6802" t="s">
        <v>30</v>
      </c>
      <c r="P6802" t="s">
        <v>42</v>
      </c>
      <c r="S6802" t="s">
        <v>31</v>
      </c>
      <c r="T6802" t="s">
        <v>3231</v>
      </c>
      <c r="U6802">
        <v>624</v>
      </c>
      <c r="V6802" s="3">
        <v>41296</v>
      </c>
    </row>
    <row r="6803" spans="1:22" x14ac:dyDescent="0.35">
      <c r="A6803" s="1">
        <v>42279.598726851851</v>
      </c>
      <c r="B6803" s="2">
        <v>6.8877314814814808E-2</v>
      </c>
      <c r="C6803" t="s">
        <v>9388</v>
      </c>
      <c r="D6803" t="s">
        <v>146</v>
      </c>
      <c r="E6803" t="s">
        <v>147</v>
      </c>
      <c r="F6803" t="s">
        <v>9223</v>
      </c>
      <c r="G6803">
        <v>832577</v>
      </c>
      <c r="H6803" t="s">
        <v>26</v>
      </c>
      <c r="I6803" t="s">
        <v>3802</v>
      </c>
      <c r="J6803" t="str">
        <f>"9781118226360"</f>
        <v>9781118226360</v>
      </c>
      <c r="K6803" t="s">
        <v>10278</v>
      </c>
      <c r="L6803">
        <v>8</v>
      </c>
      <c r="O6803" t="s">
        <v>30</v>
      </c>
      <c r="P6803" t="s">
        <v>29</v>
      </c>
      <c r="Q6803" s="1">
        <v>42279.598726851851</v>
      </c>
      <c r="R6803">
        <v>7</v>
      </c>
      <c r="S6803" t="s">
        <v>10279</v>
      </c>
      <c r="T6803" t="s">
        <v>9224</v>
      </c>
      <c r="U6803" t="s">
        <v>9225</v>
      </c>
      <c r="V6803" s="3">
        <v>41051</v>
      </c>
    </row>
    <row r="6804" spans="1:22" x14ac:dyDescent="0.35">
      <c r="A6804" s="1">
        <v>42279.577696759261</v>
      </c>
      <c r="B6804" s="2">
        <v>2.1030092592592597E-2</v>
      </c>
      <c r="C6804" t="s">
        <v>9388</v>
      </c>
      <c r="D6804" t="s">
        <v>146</v>
      </c>
      <c r="E6804" t="s">
        <v>147</v>
      </c>
      <c r="F6804" t="s">
        <v>9223</v>
      </c>
      <c r="G6804">
        <v>832577</v>
      </c>
      <c r="H6804" t="s">
        <v>26</v>
      </c>
      <c r="I6804" t="s">
        <v>3802</v>
      </c>
      <c r="J6804" t="str">
        <f>"9781118226360"</f>
        <v>9781118226360</v>
      </c>
      <c r="K6804" t="s">
        <v>10280</v>
      </c>
      <c r="L6804">
        <v>7</v>
      </c>
      <c r="O6804" t="s">
        <v>30</v>
      </c>
      <c r="P6804" t="s">
        <v>42</v>
      </c>
      <c r="S6804" t="s">
        <v>10279</v>
      </c>
      <c r="T6804" t="s">
        <v>9224</v>
      </c>
      <c r="U6804" t="s">
        <v>9225</v>
      </c>
      <c r="V6804" s="3">
        <v>41051</v>
      </c>
    </row>
    <row r="6805" spans="1:22" x14ac:dyDescent="0.35">
      <c r="A6805" s="1">
        <v>42279.568101851852</v>
      </c>
      <c r="B6805" s="2">
        <v>2.8935185185185189E-4</v>
      </c>
      <c r="C6805" t="s">
        <v>10281</v>
      </c>
      <c r="D6805" t="s">
        <v>23</v>
      </c>
      <c r="E6805" t="s">
        <v>24</v>
      </c>
      <c r="F6805" t="s">
        <v>9791</v>
      </c>
      <c r="G6805">
        <v>1938147</v>
      </c>
      <c r="H6805" t="s">
        <v>91</v>
      </c>
      <c r="I6805" t="s">
        <v>247</v>
      </c>
      <c r="J6805" t="str">
        <f>"9781462520695"</f>
        <v>9781462520695</v>
      </c>
      <c r="K6805" t="s">
        <v>10282</v>
      </c>
      <c r="L6805">
        <v>10</v>
      </c>
      <c r="O6805" t="s">
        <v>30</v>
      </c>
      <c r="P6805" t="s">
        <v>50</v>
      </c>
      <c r="S6805" t="s">
        <v>31</v>
      </c>
      <c r="T6805" t="s">
        <v>9793</v>
      </c>
      <c r="U6805">
        <v>616.85260600000004</v>
      </c>
      <c r="V6805" s="3">
        <v>42005</v>
      </c>
    </row>
    <row r="6806" spans="1:22" x14ac:dyDescent="0.35">
      <c r="A6806" s="1">
        <v>42279.506898148145</v>
      </c>
      <c r="B6806" s="2">
        <v>0</v>
      </c>
      <c r="C6806" t="s">
        <v>6693</v>
      </c>
      <c r="D6806" t="s">
        <v>6396</v>
      </c>
      <c r="E6806" t="s">
        <v>6397</v>
      </c>
      <c r="F6806" t="s">
        <v>10283</v>
      </c>
      <c r="G6806">
        <v>2006114</v>
      </c>
      <c r="H6806" t="s">
        <v>26</v>
      </c>
      <c r="I6806" t="s">
        <v>247</v>
      </c>
      <c r="J6806" t="str">
        <f>"9781119001249"</f>
        <v>9781119001249</v>
      </c>
      <c r="L6806">
        <v>0</v>
      </c>
      <c r="O6806" t="s">
        <v>28</v>
      </c>
      <c r="P6806" t="s">
        <v>47</v>
      </c>
      <c r="Q6806" s="1">
        <v>42279.506898148145</v>
      </c>
      <c r="R6806">
        <v>7</v>
      </c>
      <c r="S6806" t="s">
        <v>6400</v>
      </c>
      <c r="T6806" t="s">
        <v>10284</v>
      </c>
      <c r="U6806">
        <v>618.29999999999995</v>
      </c>
      <c r="V6806" s="3">
        <v>42086</v>
      </c>
    </row>
    <row r="6807" spans="1:22" x14ac:dyDescent="0.35">
      <c r="A6807" s="1">
        <v>42279.506898148145</v>
      </c>
      <c r="B6807" s="2">
        <v>0</v>
      </c>
      <c r="C6807" t="s">
        <v>6693</v>
      </c>
      <c r="D6807" t="s">
        <v>6396</v>
      </c>
      <c r="E6807" t="s">
        <v>6397</v>
      </c>
      <c r="F6807" t="s">
        <v>10283</v>
      </c>
      <c r="G6807">
        <v>2006114</v>
      </c>
      <c r="H6807" t="s">
        <v>26</v>
      </c>
      <c r="I6807" t="s">
        <v>247</v>
      </c>
      <c r="J6807" t="str">
        <f>"9781119001249"</f>
        <v>9781119001249</v>
      </c>
      <c r="L6807">
        <v>0</v>
      </c>
      <c r="O6807" t="s">
        <v>30</v>
      </c>
      <c r="P6807" t="s">
        <v>47</v>
      </c>
      <c r="Q6807" s="1">
        <v>42279.506898148145</v>
      </c>
      <c r="R6807">
        <v>7</v>
      </c>
      <c r="S6807" t="s">
        <v>6400</v>
      </c>
      <c r="T6807" t="s">
        <v>10284</v>
      </c>
      <c r="U6807">
        <v>618.29999999999995</v>
      </c>
      <c r="V6807" s="3">
        <v>42086</v>
      </c>
    </row>
    <row r="6808" spans="1:22" x14ac:dyDescent="0.35">
      <c r="A6808" s="1">
        <v>42279.491377314815</v>
      </c>
      <c r="B6808" s="2">
        <v>2.5462962962962961E-4</v>
      </c>
      <c r="C6808" t="s">
        <v>6693</v>
      </c>
      <c r="D6808" t="s">
        <v>6396</v>
      </c>
      <c r="E6808" t="s">
        <v>6397</v>
      </c>
      <c r="F6808" t="s">
        <v>2935</v>
      </c>
      <c r="G6808">
        <v>1895384</v>
      </c>
      <c r="H6808" t="s">
        <v>26</v>
      </c>
      <c r="I6808" t="s">
        <v>2936</v>
      </c>
      <c r="J6808" t="str">
        <f>"9781119085836"</f>
        <v>9781119085836</v>
      </c>
      <c r="K6808" t="s">
        <v>1309</v>
      </c>
      <c r="L6808">
        <v>1</v>
      </c>
      <c r="O6808" t="s">
        <v>28</v>
      </c>
      <c r="P6808" t="s">
        <v>47</v>
      </c>
      <c r="Q6808" s="1">
        <v>42279.490902777776</v>
      </c>
      <c r="R6808">
        <v>1</v>
      </c>
      <c r="S6808" t="s">
        <v>6400</v>
      </c>
      <c r="T6808" t="s">
        <v>2938</v>
      </c>
      <c r="U6808">
        <v>741.6</v>
      </c>
      <c r="V6808" s="3">
        <v>42157</v>
      </c>
    </row>
    <row r="6809" spans="1:22" x14ac:dyDescent="0.35">
      <c r="A6809" s="1">
        <v>42279.490902777776</v>
      </c>
      <c r="B6809" s="2">
        <v>4.2824074074074075E-4</v>
      </c>
      <c r="C6809" t="s">
        <v>6693</v>
      </c>
      <c r="D6809" t="s">
        <v>6396</v>
      </c>
      <c r="E6809" t="s">
        <v>6397</v>
      </c>
      <c r="F6809" t="s">
        <v>2935</v>
      </c>
      <c r="G6809">
        <v>1895384</v>
      </c>
      <c r="H6809" t="s">
        <v>26</v>
      </c>
      <c r="I6809" t="s">
        <v>2936</v>
      </c>
      <c r="J6809" t="str">
        <f>"9781119085836"</f>
        <v>9781119085836</v>
      </c>
      <c r="K6809" t="s">
        <v>10285</v>
      </c>
      <c r="L6809">
        <v>19</v>
      </c>
      <c r="O6809" t="s">
        <v>30</v>
      </c>
      <c r="P6809" t="s">
        <v>47</v>
      </c>
      <c r="Q6809" s="1">
        <v>42279.490902777776</v>
      </c>
      <c r="R6809">
        <v>1</v>
      </c>
      <c r="S6809" t="s">
        <v>6400</v>
      </c>
      <c r="T6809" t="s">
        <v>2938</v>
      </c>
      <c r="U6809">
        <v>741.6</v>
      </c>
      <c r="V6809" s="3">
        <v>42157</v>
      </c>
    </row>
    <row r="6810" spans="1:22" x14ac:dyDescent="0.35">
      <c r="A6810" s="1">
        <v>42279.490752314814</v>
      </c>
      <c r="B6810" s="2">
        <v>0</v>
      </c>
      <c r="C6810" t="s">
        <v>6693</v>
      </c>
      <c r="D6810" t="s">
        <v>6396</v>
      </c>
      <c r="E6810" t="s">
        <v>6397</v>
      </c>
      <c r="F6810" t="s">
        <v>2654</v>
      </c>
      <c r="G6810">
        <v>2052356</v>
      </c>
      <c r="H6810" t="s">
        <v>26</v>
      </c>
      <c r="I6810" t="s">
        <v>247</v>
      </c>
      <c r="J6810" t="str">
        <f>"9781118938485"</f>
        <v>9781118938485</v>
      </c>
      <c r="L6810">
        <v>0</v>
      </c>
      <c r="O6810" t="s">
        <v>28</v>
      </c>
      <c r="P6810" t="s">
        <v>29</v>
      </c>
      <c r="Q6810" s="1">
        <v>42279.490671296298</v>
      </c>
      <c r="R6810">
        <v>7</v>
      </c>
      <c r="S6810" t="s">
        <v>6400</v>
      </c>
      <c r="T6810" t="s">
        <v>2655</v>
      </c>
      <c r="U6810">
        <v>617.52200000000005</v>
      </c>
      <c r="V6810" s="3">
        <v>42139</v>
      </c>
    </row>
    <row r="6811" spans="1:22" x14ac:dyDescent="0.35">
      <c r="A6811" s="1">
        <v>42279.490671296298</v>
      </c>
      <c r="B6811" s="2">
        <v>2.3148148148148147E-5</v>
      </c>
      <c r="C6811" t="s">
        <v>6693</v>
      </c>
      <c r="D6811" t="s">
        <v>6396</v>
      </c>
      <c r="E6811" t="s">
        <v>6397</v>
      </c>
      <c r="F6811" t="s">
        <v>2654</v>
      </c>
      <c r="G6811">
        <v>2052356</v>
      </c>
      <c r="H6811" t="s">
        <v>26</v>
      </c>
      <c r="I6811" t="s">
        <v>247</v>
      </c>
      <c r="J6811" t="str">
        <f>"9781118938485"</f>
        <v>9781118938485</v>
      </c>
      <c r="K6811" t="s">
        <v>10286</v>
      </c>
      <c r="L6811">
        <v>5</v>
      </c>
      <c r="O6811" t="s">
        <v>30</v>
      </c>
      <c r="P6811" t="s">
        <v>29</v>
      </c>
      <c r="Q6811" s="1">
        <v>42279.490671296298</v>
      </c>
      <c r="R6811">
        <v>7</v>
      </c>
      <c r="S6811" t="s">
        <v>6400</v>
      </c>
      <c r="T6811" t="s">
        <v>2655</v>
      </c>
      <c r="U6811">
        <v>617.52200000000005</v>
      </c>
      <c r="V6811" s="3">
        <v>42139</v>
      </c>
    </row>
    <row r="6812" spans="1:22" x14ac:dyDescent="0.35">
      <c r="A6812" s="1">
        <v>42279.490393518521</v>
      </c>
      <c r="B6812" s="2">
        <v>0</v>
      </c>
      <c r="C6812" t="s">
        <v>6693</v>
      </c>
      <c r="D6812" t="s">
        <v>6396</v>
      </c>
      <c r="E6812" t="s">
        <v>6397</v>
      </c>
      <c r="F6812" t="s">
        <v>10287</v>
      </c>
      <c r="G6812">
        <v>1977564</v>
      </c>
      <c r="H6812" t="s">
        <v>26</v>
      </c>
      <c r="I6812" t="s">
        <v>10288</v>
      </c>
      <c r="J6812" t="str">
        <f>"9780730320784"</f>
        <v>9780730320784</v>
      </c>
      <c r="L6812">
        <v>0</v>
      </c>
      <c r="O6812" t="s">
        <v>28</v>
      </c>
      <c r="P6812" t="s">
        <v>29</v>
      </c>
      <c r="Q6812" s="1">
        <v>42279.490393518521</v>
      </c>
      <c r="R6812">
        <v>7</v>
      </c>
      <c r="S6812" t="s">
        <v>6400</v>
      </c>
      <c r="T6812" t="s">
        <v>10289</v>
      </c>
      <c r="U6812">
        <v>336.20600000000002</v>
      </c>
      <c r="V6812" s="3">
        <v>42145</v>
      </c>
    </row>
    <row r="6813" spans="1:22" x14ac:dyDescent="0.35">
      <c r="A6813" s="1">
        <v>42279.490393518521</v>
      </c>
      <c r="B6813" s="2">
        <v>0</v>
      </c>
      <c r="C6813" t="s">
        <v>6693</v>
      </c>
      <c r="D6813" t="s">
        <v>6396</v>
      </c>
      <c r="E6813" t="s">
        <v>6397</v>
      </c>
      <c r="F6813" t="s">
        <v>10287</v>
      </c>
      <c r="G6813">
        <v>1977564</v>
      </c>
      <c r="H6813" t="s">
        <v>26</v>
      </c>
      <c r="I6813" t="s">
        <v>10288</v>
      </c>
      <c r="J6813" t="str">
        <f>"9780730320784"</f>
        <v>9780730320784</v>
      </c>
      <c r="L6813">
        <v>0</v>
      </c>
      <c r="O6813" t="s">
        <v>30</v>
      </c>
      <c r="P6813" t="s">
        <v>29</v>
      </c>
      <c r="Q6813" s="1">
        <v>42279.490393518521</v>
      </c>
      <c r="R6813">
        <v>7</v>
      </c>
      <c r="S6813" t="s">
        <v>6400</v>
      </c>
      <c r="T6813" t="s">
        <v>10289</v>
      </c>
      <c r="U6813">
        <v>336.20600000000002</v>
      </c>
      <c r="V6813" s="3">
        <v>42145</v>
      </c>
    </row>
    <row r="6814" spans="1:22" x14ac:dyDescent="0.35">
      <c r="A6814" s="1">
        <v>42279.49019675926</v>
      </c>
      <c r="B6814" s="2">
        <v>5.7870370370370366E-5</v>
      </c>
      <c r="C6814" t="s">
        <v>6693</v>
      </c>
      <c r="D6814" t="s">
        <v>6396</v>
      </c>
      <c r="E6814" t="s">
        <v>6397</v>
      </c>
      <c r="F6814" t="s">
        <v>10290</v>
      </c>
      <c r="G6814">
        <v>2039113</v>
      </c>
      <c r="H6814" t="s">
        <v>45</v>
      </c>
      <c r="I6814" t="s">
        <v>630</v>
      </c>
      <c r="J6814" t="str">
        <f>"9781472447975"</f>
        <v>9781472447975</v>
      </c>
      <c r="K6814" t="s">
        <v>33</v>
      </c>
      <c r="L6814">
        <v>3</v>
      </c>
      <c r="O6814" t="s">
        <v>30</v>
      </c>
      <c r="P6814" t="s">
        <v>50</v>
      </c>
      <c r="S6814" t="s">
        <v>6400</v>
      </c>
      <c r="T6814">
        <v>2014042996</v>
      </c>
      <c r="U6814">
        <v>174.2</v>
      </c>
      <c r="V6814" s="3">
        <v>42156</v>
      </c>
    </row>
    <row r="6815" spans="1:22" x14ac:dyDescent="0.35">
      <c r="A6815" s="1">
        <v>42279.464641203704</v>
      </c>
      <c r="B6815" s="2">
        <v>0</v>
      </c>
      <c r="C6815" t="s">
        <v>6693</v>
      </c>
      <c r="D6815" t="s">
        <v>6396</v>
      </c>
      <c r="E6815" t="s">
        <v>6397</v>
      </c>
      <c r="F6815" t="s">
        <v>10291</v>
      </c>
      <c r="G6815">
        <v>1895460</v>
      </c>
      <c r="H6815" t="s">
        <v>26</v>
      </c>
      <c r="I6815" t="s">
        <v>2115</v>
      </c>
      <c r="J6815" t="str">
        <f>"9781118467800"</f>
        <v>9781118467800</v>
      </c>
      <c r="L6815">
        <v>0</v>
      </c>
      <c r="O6815" t="s">
        <v>28</v>
      </c>
      <c r="P6815" t="s">
        <v>29</v>
      </c>
      <c r="Q6815" s="1">
        <v>42279.464641203704</v>
      </c>
      <c r="R6815">
        <v>7</v>
      </c>
      <c r="S6815" t="s">
        <v>6400</v>
      </c>
      <c r="T6815" t="s">
        <v>10292</v>
      </c>
      <c r="U6815" t="s">
        <v>10293</v>
      </c>
      <c r="V6815" s="3">
        <v>42129</v>
      </c>
    </row>
    <row r="6816" spans="1:22" x14ac:dyDescent="0.35">
      <c r="A6816" s="1">
        <v>42279.464641203704</v>
      </c>
      <c r="B6816" s="2">
        <v>0</v>
      </c>
      <c r="C6816" t="s">
        <v>6693</v>
      </c>
      <c r="D6816" t="s">
        <v>6396</v>
      </c>
      <c r="E6816" t="s">
        <v>6397</v>
      </c>
      <c r="F6816" t="s">
        <v>10291</v>
      </c>
      <c r="G6816">
        <v>1895460</v>
      </c>
      <c r="H6816" t="s">
        <v>26</v>
      </c>
      <c r="I6816" t="s">
        <v>2115</v>
      </c>
      <c r="J6816" t="str">
        <f>"9781118467800"</f>
        <v>9781118467800</v>
      </c>
      <c r="L6816">
        <v>0</v>
      </c>
      <c r="O6816" t="s">
        <v>30</v>
      </c>
      <c r="P6816" t="s">
        <v>29</v>
      </c>
      <c r="Q6816" s="1">
        <v>42279.464641203704</v>
      </c>
      <c r="R6816">
        <v>7</v>
      </c>
      <c r="S6816" t="s">
        <v>6400</v>
      </c>
      <c r="T6816" t="s">
        <v>10292</v>
      </c>
      <c r="U6816" t="s">
        <v>10293</v>
      </c>
      <c r="V6816" s="3">
        <v>42129</v>
      </c>
    </row>
    <row r="6817" spans="1:22" x14ac:dyDescent="0.35">
      <c r="A6817" s="1">
        <v>42279.464525462965</v>
      </c>
      <c r="B6817" s="2">
        <v>1.1574074074074073E-4</v>
      </c>
      <c r="C6817" t="s">
        <v>6693</v>
      </c>
      <c r="D6817" t="s">
        <v>6396</v>
      </c>
      <c r="E6817" t="s">
        <v>6397</v>
      </c>
      <c r="F6817" t="s">
        <v>10291</v>
      </c>
      <c r="G6817">
        <v>1895460</v>
      </c>
      <c r="H6817" t="s">
        <v>26</v>
      </c>
      <c r="I6817" t="s">
        <v>2115</v>
      </c>
      <c r="J6817" t="str">
        <f>"9781118467800"</f>
        <v>9781118467800</v>
      </c>
      <c r="K6817" t="s">
        <v>33</v>
      </c>
      <c r="L6817">
        <v>3</v>
      </c>
      <c r="O6817" t="s">
        <v>30</v>
      </c>
      <c r="P6817" t="s">
        <v>50</v>
      </c>
      <c r="S6817" t="s">
        <v>6400</v>
      </c>
      <c r="T6817" t="s">
        <v>10292</v>
      </c>
      <c r="U6817" t="s">
        <v>10293</v>
      </c>
      <c r="V6817" s="3">
        <v>42129</v>
      </c>
    </row>
    <row r="6818" spans="1:22" x14ac:dyDescent="0.35">
      <c r="A6818" s="1">
        <v>42279.464467592596</v>
      </c>
      <c r="B6818" s="2">
        <v>0</v>
      </c>
      <c r="C6818" t="s">
        <v>6693</v>
      </c>
      <c r="D6818" t="s">
        <v>6396</v>
      </c>
      <c r="E6818" t="s">
        <v>6397</v>
      </c>
      <c r="F6818" t="s">
        <v>5083</v>
      </c>
      <c r="G6818">
        <v>1895759</v>
      </c>
      <c r="H6818" t="s">
        <v>26</v>
      </c>
      <c r="I6818" t="s">
        <v>247</v>
      </c>
      <c r="J6818" t="str">
        <f>"9781118925287"</f>
        <v>9781118925287</v>
      </c>
      <c r="L6818">
        <v>0</v>
      </c>
      <c r="O6818" t="s">
        <v>28</v>
      </c>
      <c r="P6818" t="s">
        <v>29</v>
      </c>
      <c r="Q6818" s="1">
        <v>42279.464467592596</v>
      </c>
      <c r="R6818">
        <v>7</v>
      </c>
      <c r="S6818" t="s">
        <v>6400</v>
      </c>
      <c r="T6818" t="s">
        <v>5085</v>
      </c>
      <c r="U6818">
        <v>617.60609999999997</v>
      </c>
      <c r="V6818" s="3">
        <v>42129</v>
      </c>
    </row>
    <row r="6819" spans="1:22" x14ac:dyDescent="0.35">
      <c r="A6819" s="1">
        <v>42279.464467592596</v>
      </c>
      <c r="B6819" s="2">
        <v>0</v>
      </c>
      <c r="C6819" t="s">
        <v>6693</v>
      </c>
      <c r="D6819" t="s">
        <v>6396</v>
      </c>
      <c r="E6819" t="s">
        <v>6397</v>
      </c>
      <c r="F6819" t="s">
        <v>5083</v>
      </c>
      <c r="G6819">
        <v>1895759</v>
      </c>
      <c r="H6819" t="s">
        <v>26</v>
      </c>
      <c r="I6819" t="s">
        <v>247</v>
      </c>
      <c r="J6819" t="str">
        <f>"9781118925287"</f>
        <v>9781118925287</v>
      </c>
      <c r="L6819">
        <v>0</v>
      </c>
      <c r="O6819" t="s">
        <v>30</v>
      </c>
      <c r="P6819" t="s">
        <v>29</v>
      </c>
      <c r="Q6819" s="1">
        <v>42279.464467592596</v>
      </c>
      <c r="R6819">
        <v>7</v>
      </c>
      <c r="S6819" t="s">
        <v>6400</v>
      </c>
      <c r="T6819" t="s">
        <v>5085</v>
      </c>
      <c r="U6819">
        <v>617.60609999999997</v>
      </c>
      <c r="V6819" s="3">
        <v>42129</v>
      </c>
    </row>
    <row r="6820" spans="1:22" x14ac:dyDescent="0.35">
      <c r="A6820" s="1">
        <v>42279.46435185185</v>
      </c>
      <c r="B6820" s="2">
        <v>1.1574074074074073E-4</v>
      </c>
      <c r="C6820" t="s">
        <v>6693</v>
      </c>
      <c r="D6820" t="s">
        <v>6396</v>
      </c>
      <c r="E6820" t="s">
        <v>6397</v>
      </c>
      <c r="F6820" t="s">
        <v>5083</v>
      </c>
      <c r="G6820">
        <v>1895759</v>
      </c>
      <c r="H6820" t="s">
        <v>26</v>
      </c>
      <c r="I6820" t="s">
        <v>247</v>
      </c>
      <c r="J6820" t="str">
        <f>"9781118925287"</f>
        <v>9781118925287</v>
      </c>
      <c r="K6820" t="s">
        <v>33</v>
      </c>
      <c r="L6820">
        <v>3</v>
      </c>
      <c r="O6820" t="s">
        <v>30</v>
      </c>
      <c r="P6820" t="s">
        <v>50</v>
      </c>
      <c r="S6820" t="s">
        <v>6400</v>
      </c>
      <c r="T6820" t="s">
        <v>5085</v>
      </c>
      <c r="U6820">
        <v>617.60609999999997</v>
      </c>
      <c r="V6820" s="3">
        <v>42129</v>
      </c>
    </row>
    <row r="6821" spans="1:22" x14ac:dyDescent="0.35">
      <c r="A6821" s="1">
        <v>42279.464305555557</v>
      </c>
      <c r="B6821" s="2">
        <v>4.2592592592592592E-2</v>
      </c>
      <c r="C6821" t="s">
        <v>6693</v>
      </c>
      <c r="D6821" t="s">
        <v>6396</v>
      </c>
      <c r="E6821" t="s">
        <v>6397</v>
      </c>
      <c r="F6821" t="s">
        <v>10283</v>
      </c>
      <c r="G6821">
        <v>2006114</v>
      </c>
      <c r="H6821" t="s">
        <v>26</v>
      </c>
      <c r="I6821" t="s">
        <v>247</v>
      </c>
      <c r="J6821" t="str">
        <f>"9781119001249"</f>
        <v>9781119001249</v>
      </c>
      <c r="K6821" t="s">
        <v>33</v>
      </c>
      <c r="L6821">
        <v>3</v>
      </c>
      <c r="O6821" t="s">
        <v>30</v>
      </c>
      <c r="P6821" t="s">
        <v>50</v>
      </c>
      <c r="S6821" t="s">
        <v>6400</v>
      </c>
      <c r="T6821" t="s">
        <v>10284</v>
      </c>
      <c r="U6821">
        <v>618.29999999999995</v>
      </c>
      <c r="V6821" s="3">
        <v>42086</v>
      </c>
    </row>
    <row r="6822" spans="1:22" x14ac:dyDescent="0.35">
      <c r="A6822" s="1">
        <v>42279.464236111111</v>
      </c>
      <c r="B6822" s="2">
        <v>2.6666666666666668E-2</v>
      </c>
      <c r="C6822" t="s">
        <v>6693</v>
      </c>
      <c r="D6822" t="s">
        <v>6396</v>
      </c>
      <c r="E6822" t="s">
        <v>6397</v>
      </c>
      <c r="F6822" t="s">
        <v>2935</v>
      </c>
      <c r="G6822">
        <v>1895384</v>
      </c>
      <c r="H6822" t="s">
        <v>26</v>
      </c>
      <c r="I6822" t="s">
        <v>2936</v>
      </c>
      <c r="J6822" t="str">
        <f>"9781119085836"</f>
        <v>9781119085836</v>
      </c>
      <c r="K6822" t="s">
        <v>33</v>
      </c>
      <c r="L6822">
        <v>3</v>
      </c>
      <c r="O6822" t="s">
        <v>30</v>
      </c>
      <c r="P6822" t="s">
        <v>50</v>
      </c>
      <c r="S6822" t="s">
        <v>6400</v>
      </c>
      <c r="T6822" t="s">
        <v>2938</v>
      </c>
      <c r="U6822">
        <v>741.6</v>
      </c>
      <c r="V6822" s="3">
        <v>42157</v>
      </c>
    </row>
    <row r="6823" spans="1:22" x14ac:dyDescent="0.35">
      <c r="A6823" s="1">
        <v>42279.464155092595</v>
      </c>
      <c r="B6823" s="2">
        <v>2.6516203703703698E-2</v>
      </c>
      <c r="C6823" t="s">
        <v>6693</v>
      </c>
      <c r="D6823" t="s">
        <v>6396</v>
      </c>
      <c r="E6823" t="s">
        <v>6397</v>
      </c>
      <c r="F6823" t="s">
        <v>2654</v>
      </c>
      <c r="G6823">
        <v>2052356</v>
      </c>
      <c r="H6823" t="s">
        <v>26</v>
      </c>
      <c r="I6823" t="s">
        <v>247</v>
      </c>
      <c r="J6823" t="str">
        <f>"9781118938485"</f>
        <v>9781118938485</v>
      </c>
      <c r="K6823" t="s">
        <v>33</v>
      </c>
      <c r="L6823">
        <v>3</v>
      </c>
      <c r="O6823" t="s">
        <v>30</v>
      </c>
      <c r="P6823" t="s">
        <v>50</v>
      </c>
      <c r="S6823" t="s">
        <v>6400</v>
      </c>
      <c r="T6823" t="s">
        <v>2655</v>
      </c>
      <c r="U6823">
        <v>617.52200000000005</v>
      </c>
      <c r="V6823" s="3">
        <v>42139</v>
      </c>
    </row>
    <row r="6824" spans="1:22" x14ac:dyDescent="0.35">
      <c r="A6824" s="1">
        <v>42279.464074074072</v>
      </c>
      <c r="B6824" s="2">
        <v>2.631944444444444E-2</v>
      </c>
      <c r="C6824" t="s">
        <v>6693</v>
      </c>
      <c r="D6824" t="s">
        <v>6396</v>
      </c>
      <c r="E6824" t="s">
        <v>6397</v>
      </c>
      <c r="F6824" t="s">
        <v>10287</v>
      </c>
      <c r="G6824">
        <v>1977564</v>
      </c>
      <c r="H6824" t="s">
        <v>26</v>
      </c>
      <c r="I6824" t="s">
        <v>10288</v>
      </c>
      <c r="J6824" t="str">
        <f>"9780730320784"</f>
        <v>9780730320784</v>
      </c>
      <c r="K6824" t="s">
        <v>33</v>
      </c>
      <c r="L6824">
        <v>3</v>
      </c>
      <c r="O6824" t="s">
        <v>30</v>
      </c>
      <c r="P6824" t="s">
        <v>50</v>
      </c>
      <c r="S6824" t="s">
        <v>6400</v>
      </c>
      <c r="T6824" t="s">
        <v>10289</v>
      </c>
      <c r="U6824">
        <v>336.20600000000002</v>
      </c>
      <c r="V6824" s="3">
        <v>42145</v>
      </c>
    </row>
    <row r="6825" spans="1:22" x14ac:dyDescent="0.35">
      <c r="A6825" s="1">
        <v>42279.463935185187</v>
      </c>
      <c r="B6825" s="2">
        <v>2.6377314814814815E-2</v>
      </c>
      <c r="C6825" t="s">
        <v>6693</v>
      </c>
      <c r="D6825" t="s">
        <v>6396</v>
      </c>
      <c r="E6825" t="s">
        <v>6397</v>
      </c>
      <c r="F6825" t="s">
        <v>10294</v>
      </c>
      <c r="G6825">
        <v>2057201</v>
      </c>
      <c r="H6825" t="s">
        <v>26</v>
      </c>
      <c r="I6825" t="s">
        <v>69</v>
      </c>
      <c r="J6825" t="str">
        <f>"9781118937778"</f>
        <v>9781118937778</v>
      </c>
      <c r="K6825" t="s">
        <v>33</v>
      </c>
      <c r="L6825">
        <v>3</v>
      </c>
      <c r="O6825" t="s">
        <v>30</v>
      </c>
      <c r="P6825" t="s">
        <v>50</v>
      </c>
      <c r="S6825" t="s">
        <v>6400</v>
      </c>
      <c r="T6825" t="s">
        <v>10295</v>
      </c>
      <c r="U6825">
        <v>371.94</v>
      </c>
      <c r="V6825" s="3">
        <v>42145</v>
      </c>
    </row>
    <row r="6826" spans="1:22" x14ac:dyDescent="0.35">
      <c r="A6826" s="1">
        <v>42279.453888888886</v>
      </c>
      <c r="B6826" s="2">
        <v>0</v>
      </c>
      <c r="C6826" t="s">
        <v>6693</v>
      </c>
      <c r="D6826" t="s">
        <v>6396</v>
      </c>
      <c r="E6826" t="s">
        <v>6397</v>
      </c>
      <c r="F6826" t="s">
        <v>10296</v>
      </c>
      <c r="G6826">
        <v>1869096</v>
      </c>
      <c r="H6826" t="s">
        <v>26</v>
      </c>
      <c r="I6826" t="s">
        <v>2604</v>
      </c>
      <c r="J6826" t="str">
        <f>"9781118625040"</f>
        <v>9781118625040</v>
      </c>
      <c r="L6826">
        <v>0</v>
      </c>
      <c r="O6826" t="s">
        <v>28</v>
      </c>
      <c r="P6826" t="s">
        <v>29</v>
      </c>
      <c r="Q6826" s="1">
        <v>42279.453888888886</v>
      </c>
      <c r="R6826">
        <v>7</v>
      </c>
      <c r="S6826" t="s">
        <v>6400</v>
      </c>
      <c r="T6826" t="s">
        <v>1667</v>
      </c>
      <c r="U6826">
        <v>612.00829999999996</v>
      </c>
      <c r="V6826" s="3">
        <v>42034</v>
      </c>
    </row>
    <row r="6827" spans="1:22" x14ac:dyDescent="0.35">
      <c r="A6827" s="1">
        <v>42279.453888888886</v>
      </c>
      <c r="B6827" s="2">
        <v>0</v>
      </c>
      <c r="C6827" t="s">
        <v>6693</v>
      </c>
      <c r="D6827" t="s">
        <v>6396</v>
      </c>
      <c r="E6827" t="s">
        <v>6397</v>
      </c>
      <c r="F6827" t="s">
        <v>10296</v>
      </c>
      <c r="G6827">
        <v>1869096</v>
      </c>
      <c r="H6827" t="s">
        <v>26</v>
      </c>
      <c r="I6827" t="s">
        <v>2604</v>
      </c>
      <c r="J6827" t="str">
        <f>"9781118625040"</f>
        <v>9781118625040</v>
      </c>
      <c r="L6827">
        <v>0</v>
      </c>
      <c r="O6827" t="s">
        <v>30</v>
      </c>
      <c r="P6827" t="s">
        <v>29</v>
      </c>
      <c r="Q6827" s="1">
        <v>42279.453888888886</v>
      </c>
      <c r="R6827">
        <v>7</v>
      </c>
      <c r="S6827" t="s">
        <v>6400</v>
      </c>
      <c r="T6827" t="s">
        <v>1667</v>
      </c>
      <c r="U6827">
        <v>612.00829999999996</v>
      </c>
      <c r="V6827" s="3">
        <v>42034</v>
      </c>
    </row>
    <row r="6828" spans="1:22" x14ac:dyDescent="0.35">
      <c r="A6828" s="1">
        <v>42279.453750000001</v>
      </c>
      <c r="B6828" s="2">
        <v>1.3888888888888889E-4</v>
      </c>
      <c r="C6828" t="s">
        <v>6693</v>
      </c>
      <c r="D6828" t="s">
        <v>6396</v>
      </c>
      <c r="E6828" t="s">
        <v>6397</v>
      </c>
      <c r="F6828" t="s">
        <v>10296</v>
      </c>
      <c r="G6828">
        <v>1869096</v>
      </c>
      <c r="H6828" t="s">
        <v>26</v>
      </c>
      <c r="I6828" t="s">
        <v>2604</v>
      </c>
      <c r="J6828" t="str">
        <f>"9781118625040"</f>
        <v>9781118625040</v>
      </c>
      <c r="K6828" t="s">
        <v>33</v>
      </c>
      <c r="L6828">
        <v>3</v>
      </c>
      <c r="O6828" t="s">
        <v>30</v>
      </c>
      <c r="P6828" t="s">
        <v>50</v>
      </c>
      <c r="S6828" t="s">
        <v>6400</v>
      </c>
      <c r="T6828" t="s">
        <v>1667</v>
      </c>
      <c r="U6828">
        <v>612.00829999999996</v>
      </c>
      <c r="V6828" s="3">
        <v>42034</v>
      </c>
    </row>
    <row r="6829" spans="1:22" x14ac:dyDescent="0.35">
      <c r="A6829" s="1">
        <v>42279.451099537036</v>
      </c>
      <c r="B6829" s="2">
        <v>0</v>
      </c>
      <c r="C6829" t="s">
        <v>6693</v>
      </c>
      <c r="D6829" t="s">
        <v>6396</v>
      </c>
      <c r="E6829" t="s">
        <v>6397</v>
      </c>
      <c r="F6829" t="s">
        <v>10297</v>
      </c>
      <c r="G6829">
        <v>2058090</v>
      </c>
      <c r="H6829" t="s">
        <v>45</v>
      </c>
      <c r="I6829" t="s">
        <v>79</v>
      </c>
      <c r="J6829" t="str">
        <f>"9781472461995"</f>
        <v>9781472461995</v>
      </c>
      <c r="L6829">
        <v>0</v>
      </c>
      <c r="O6829" t="s">
        <v>28</v>
      </c>
      <c r="P6829" t="s">
        <v>47</v>
      </c>
      <c r="Q6829" s="1">
        <v>42279.451099537036</v>
      </c>
      <c r="R6829">
        <v>1</v>
      </c>
      <c r="S6829" t="s">
        <v>6400</v>
      </c>
      <c r="T6829" t="s">
        <v>10298</v>
      </c>
      <c r="U6829" t="s">
        <v>10299</v>
      </c>
      <c r="V6829" s="3">
        <v>42213</v>
      </c>
    </row>
    <row r="6830" spans="1:22" x14ac:dyDescent="0.35">
      <c r="A6830" s="1">
        <v>42279.451099537036</v>
      </c>
      <c r="B6830" s="2">
        <v>0</v>
      </c>
      <c r="C6830" t="s">
        <v>6693</v>
      </c>
      <c r="D6830" t="s">
        <v>6396</v>
      </c>
      <c r="E6830" t="s">
        <v>6397</v>
      </c>
      <c r="F6830" t="s">
        <v>10297</v>
      </c>
      <c r="G6830">
        <v>2058090</v>
      </c>
      <c r="H6830" t="s">
        <v>45</v>
      </c>
      <c r="I6830" t="s">
        <v>79</v>
      </c>
      <c r="J6830" t="str">
        <f>"9781472461995"</f>
        <v>9781472461995</v>
      </c>
      <c r="L6830">
        <v>0</v>
      </c>
      <c r="O6830" t="s">
        <v>30</v>
      </c>
      <c r="P6830" t="s">
        <v>47</v>
      </c>
      <c r="Q6830" s="1">
        <v>42279.451099537036</v>
      </c>
      <c r="R6830">
        <v>1</v>
      </c>
      <c r="S6830" t="s">
        <v>6400</v>
      </c>
      <c r="T6830" t="s">
        <v>10298</v>
      </c>
      <c r="U6830" t="s">
        <v>10299</v>
      </c>
      <c r="V6830" s="3">
        <v>42213</v>
      </c>
    </row>
    <row r="6831" spans="1:22" x14ac:dyDescent="0.35">
      <c r="A6831" s="1">
        <v>42279.450972222221</v>
      </c>
      <c r="B6831" s="2">
        <v>2.0833333333333335E-4</v>
      </c>
      <c r="C6831" t="s">
        <v>10300</v>
      </c>
      <c r="D6831" t="s">
        <v>6396</v>
      </c>
      <c r="E6831" t="s">
        <v>6397</v>
      </c>
      <c r="F6831" t="s">
        <v>4435</v>
      </c>
      <c r="G6831">
        <v>1770683</v>
      </c>
      <c r="H6831" t="s">
        <v>26</v>
      </c>
      <c r="I6831" t="s">
        <v>172</v>
      </c>
      <c r="J6831" t="str">
        <f>"9781118631768"</f>
        <v>9781118631768</v>
      </c>
      <c r="K6831" t="s">
        <v>10301</v>
      </c>
      <c r="L6831">
        <v>3</v>
      </c>
      <c r="O6831" t="s">
        <v>30</v>
      </c>
      <c r="P6831" t="s">
        <v>47</v>
      </c>
      <c r="Q6831" s="1">
        <v>42279.450972222221</v>
      </c>
      <c r="R6831">
        <v>1</v>
      </c>
      <c r="S6831" t="s">
        <v>6400</v>
      </c>
      <c r="T6831" t="s">
        <v>4437</v>
      </c>
      <c r="U6831">
        <v>949.5</v>
      </c>
      <c r="V6831" s="3">
        <v>41870</v>
      </c>
    </row>
    <row r="6832" spans="1:22" x14ac:dyDescent="0.35">
      <c r="A6832" s="1">
        <v>42279.450659722221</v>
      </c>
      <c r="B6832" s="2">
        <v>4.3981481481481481E-4</v>
      </c>
      <c r="C6832" t="s">
        <v>6693</v>
      </c>
      <c r="D6832" t="s">
        <v>6396</v>
      </c>
      <c r="E6832" t="s">
        <v>6397</v>
      </c>
      <c r="F6832" t="s">
        <v>10297</v>
      </c>
      <c r="G6832">
        <v>2058090</v>
      </c>
      <c r="H6832" t="s">
        <v>45</v>
      </c>
      <c r="I6832" t="s">
        <v>79</v>
      </c>
      <c r="J6832" t="str">
        <f>"9781472461995"</f>
        <v>9781472461995</v>
      </c>
      <c r="K6832" t="s">
        <v>10302</v>
      </c>
      <c r="L6832">
        <v>10</v>
      </c>
      <c r="O6832" t="s">
        <v>30</v>
      </c>
      <c r="P6832" t="s">
        <v>50</v>
      </c>
      <c r="S6832" t="s">
        <v>6400</v>
      </c>
      <c r="T6832" t="s">
        <v>10298</v>
      </c>
      <c r="U6832" t="s">
        <v>10299</v>
      </c>
      <c r="V6832" s="3">
        <v>42213</v>
      </c>
    </row>
    <row r="6833" spans="1:22" x14ac:dyDescent="0.35">
      <c r="A6833" s="1">
        <v>42279.450057870374</v>
      </c>
      <c r="B6833" s="2">
        <v>0</v>
      </c>
      <c r="C6833" t="s">
        <v>6693</v>
      </c>
      <c r="D6833" t="s">
        <v>6396</v>
      </c>
      <c r="E6833" t="s">
        <v>6397</v>
      </c>
      <c r="F6833" t="s">
        <v>10303</v>
      </c>
      <c r="G6833">
        <v>1964137</v>
      </c>
      <c r="H6833" t="s">
        <v>26</v>
      </c>
      <c r="I6833" t="s">
        <v>445</v>
      </c>
      <c r="J6833" t="str">
        <f>"9781119118510"</f>
        <v>9781119118510</v>
      </c>
      <c r="L6833">
        <v>0</v>
      </c>
      <c r="O6833" t="s">
        <v>28</v>
      </c>
      <c r="P6833" t="s">
        <v>29</v>
      </c>
      <c r="Q6833" s="1">
        <v>42279.450057870374</v>
      </c>
      <c r="R6833">
        <v>7</v>
      </c>
      <c r="S6833" t="s">
        <v>6400</v>
      </c>
      <c r="T6833" t="s">
        <v>10304</v>
      </c>
      <c r="U6833">
        <v>332.024</v>
      </c>
      <c r="V6833" s="3">
        <v>42172</v>
      </c>
    </row>
    <row r="6834" spans="1:22" x14ac:dyDescent="0.35">
      <c r="A6834" s="1">
        <v>42279.450057870374</v>
      </c>
      <c r="B6834" s="2">
        <v>0</v>
      </c>
      <c r="C6834" t="s">
        <v>6693</v>
      </c>
      <c r="D6834" t="s">
        <v>6396</v>
      </c>
      <c r="E6834" t="s">
        <v>6397</v>
      </c>
      <c r="F6834" t="s">
        <v>10303</v>
      </c>
      <c r="G6834">
        <v>1964137</v>
      </c>
      <c r="H6834" t="s">
        <v>26</v>
      </c>
      <c r="I6834" t="s">
        <v>445</v>
      </c>
      <c r="J6834" t="str">
        <f>"9781119118510"</f>
        <v>9781119118510</v>
      </c>
      <c r="L6834">
        <v>0</v>
      </c>
      <c r="O6834" t="s">
        <v>30</v>
      </c>
      <c r="P6834" t="s">
        <v>29</v>
      </c>
      <c r="Q6834" s="1">
        <v>42279.450057870374</v>
      </c>
      <c r="R6834">
        <v>7</v>
      </c>
      <c r="S6834" t="s">
        <v>6400</v>
      </c>
      <c r="T6834" t="s">
        <v>10304</v>
      </c>
      <c r="U6834">
        <v>332.024</v>
      </c>
      <c r="V6834" s="3">
        <v>42172</v>
      </c>
    </row>
    <row r="6835" spans="1:22" x14ac:dyDescent="0.35">
      <c r="A6835" s="1">
        <v>42279.449837962966</v>
      </c>
      <c r="B6835" s="2">
        <v>0</v>
      </c>
      <c r="C6835" t="s">
        <v>6693</v>
      </c>
      <c r="D6835" t="s">
        <v>6396</v>
      </c>
      <c r="E6835" t="s">
        <v>6397</v>
      </c>
      <c r="F6835" t="s">
        <v>10305</v>
      </c>
      <c r="G6835">
        <v>1895184</v>
      </c>
      <c r="H6835" t="s">
        <v>26</v>
      </c>
      <c r="I6835" t="s">
        <v>10306</v>
      </c>
      <c r="J6835" t="str">
        <f>"9781118982563"</f>
        <v>9781118982563</v>
      </c>
      <c r="L6835">
        <v>0</v>
      </c>
      <c r="O6835" t="s">
        <v>28</v>
      </c>
      <c r="P6835" t="s">
        <v>29</v>
      </c>
      <c r="Q6835" s="1">
        <v>42279.449837962966</v>
      </c>
      <c r="R6835">
        <v>7</v>
      </c>
      <c r="S6835" t="s">
        <v>6400</v>
      </c>
      <c r="T6835" t="s">
        <v>10307</v>
      </c>
      <c r="U6835">
        <v>651.50426100000004</v>
      </c>
      <c r="V6835" s="3">
        <v>42152</v>
      </c>
    </row>
    <row r="6836" spans="1:22" x14ac:dyDescent="0.35">
      <c r="A6836" s="1">
        <v>42279.449837962966</v>
      </c>
      <c r="B6836" s="2">
        <v>0</v>
      </c>
      <c r="C6836" t="s">
        <v>6693</v>
      </c>
      <c r="D6836" t="s">
        <v>6396</v>
      </c>
      <c r="E6836" t="s">
        <v>6397</v>
      </c>
      <c r="F6836" t="s">
        <v>10305</v>
      </c>
      <c r="G6836">
        <v>1895184</v>
      </c>
      <c r="H6836" t="s">
        <v>26</v>
      </c>
      <c r="I6836" t="s">
        <v>10306</v>
      </c>
      <c r="J6836" t="str">
        <f>"9781118982563"</f>
        <v>9781118982563</v>
      </c>
      <c r="L6836">
        <v>0</v>
      </c>
      <c r="O6836" t="s">
        <v>30</v>
      </c>
      <c r="P6836" t="s">
        <v>29</v>
      </c>
      <c r="Q6836" s="1">
        <v>42279.449837962966</v>
      </c>
      <c r="R6836">
        <v>7</v>
      </c>
      <c r="S6836" t="s">
        <v>6400</v>
      </c>
      <c r="T6836" t="s">
        <v>10307</v>
      </c>
      <c r="U6836">
        <v>651.50426100000004</v>
      </c>
      <c r="V6836" s="3">
        <v>42152</v>
      </c>
    </row>
    <row r="6837" spans="1:22" x14ac:dyDescent="0.35">
      <c r="A6837" s="1">
        <v>42279.449560185189</v>
      </c>
      <c r="B6837" s="2">
        <v>1.5046296296296297E-4</v>
      </c>
      <c r="C6837" t="s">
        <v>6693</v>
      </c>
      <c r="D6837" t="s">
        <v>6396</v>
      </c>
      <c r="E6837" t="s">
        <v>6397</v>
      </c>
      <c r="F6837" t="s">
        <v>10308</v>
      </c>
      <c r="G6837">
        <v>1895122</v>
      </c>
      <c r="H6837" t="s">
        <v>26</v>
      </c>
      <c r="I6837" t="s">
        <v>247</v>
      </c>
      <c r="J6837" t="str">
        <f>"9781118860564"</f>
        <v>9781118860564</v>
      </c>
      <c r="K6837" t="s">
        <v>156</v>
      </c>
      <c r="L6837">
        <v>11</v>
      </c>
      <c r="O6837" t="s">
        <v>30</v>
      </c>
      <c r="P6837" t="s">
        <v>50</v>
      </c>
      <c r="S6837" t="s">
        <v>6400</v>
      </c>
      <c r="T6837" t="s">
        <v>10309</v>
      </c>
      <c r="U6837">
        <v>616.10827733999997</v>
      </c>
      <c r="V6837" s="3">
        <v>42150</v>
      </c>
    </row>
    <row r="6838" spans="1:22" x14ac:dyDescent="0.35">
      <c r="A6838" s="1">
        <v>42279.44939814815</v>
      </c>
      <c r="B6838" s="2">
        <v>4.3981481481481481E-4</v>
      </c>
      <c r="C6838" t="s">
        <v>6693</v>
      </c>
      <c r="D6838" t="s">
        <v>6396</v>
      </c>
      <c r="E6838" t="s">
        <v>6397</v>
      </c>
      <c r="F6838" t="s">
        <v>10305</v>
      </c>
      <c r="G6838">
        <v>1895184</v>
      </c>
      <c r="H6838" t="s">
        <v>26</v>
      </c>
      <c r="I6838" t="s">
        <v>10306</v>
      </c>
      <c r="J6838" t="str">
        <f>"9781118982563"</f>
        <v>9781118982563</v>
      </c>
      <c r="K6838" t="s">
        <v>33</v>
      </c>
      <c r="L6838">
        <v>3</v>
      </c>
      <c r="O6838" t="s">
        <v>30</v>
      </c>
      <c r="P6838" t="s">
        <v>50</v>
      </c>
      <c r="S6838" t="s">
        <v>6400</v>
      </c>
      <c r="T6838" t="s">
        <v>10307</v>
      </c>
      <c r="U6838">
        <v>651.50426100000004</v>
      </c>
      <c r="V6838" s="3">
        <v>42152</v>
      </c>
    </row>
    <row r="6839" spans="1:22" x14ac:dyDescent="0.35">
      <c r="A6839" s="1">
        <v>42279.449224537035</v>
      </c>
      <c r="B6839" s="2">
        <v>0</v>
      </c>
      <c r="C6839" t="s">
        <v>6693</v>
      </c>
      <c r="D6839" t="s">
        <v>6396</v>
      </c>
      <c r="E6839" t="s">
        <v>6397</v>
      </c>
      <c r="F6839" t="s">
        <v>1665</v>
      </c>
      <c r="G6839">
        <v>1895602</v>
      </c>
      <c r="H6839" t="s">
        <v>26</v>
      </c>
      <c r="I6839" t="s">
        <v>1407</v>
      </c>
      <c r="J6839" t="str">
        <f>"9781118789100"</f>
        <v>9781118789100</v>
      </c>
      <c r="L6839">
        <v>0</v>
      </c>
      <c r="O6839" t="s">
        <v>28</v>
      </c>
      <c r="P6839" t="s">
        <v>29</v>
      </c>
      <c r="Q6839" s="1">
        <v>42279.449224537035</v>
      </c>
      <c r="R6839">
        <v>7</v>
      </c>
      <c r="S6839" t="s">
        <v>6400</v>
      </c>
      <c r="T6839" t="s">
        <v>1667</v>
      </c>
      <c r="U6839">
        <v>599.9</v>
      </c>
      <c r="V6839" s="3">
        <v>42158</v>
      </c>
    </row>
    <row r="6840" spans="1:22" x14ac:dyDescent="0.35">
      <c r="A6840" s="1">
        <v>42279.449224537035</v>
      </c>
      <c r="B6840" s="2">
        <v>0</v>
      </c>
      <c r="C6840" t="s">
        <v>6693</v>
      </c>
      <c r="D6840" t="s">
        <v>6396</v>
      </c>
      <c r="E6840" t="s">
        <v>6397</v>
      </c>
      <c r="F6840" t="s">
        <v>1665</v>
      </c>
      <c r="G6840">
        <v>1895602</v>
      </c>
      <c r="H6840" t="s">
        <v>26</v>
      </c>
      <c r="I6840" t="s">
        <v>1407</v>
      </c>
      <c r="J6840" t="str">
        <f>"9781118789100"</f>
        <v>9781118789100</v>
      </c>
      <c r="L6840">
        <v>0</v>
      </c>
      <c r="O6840" t="s">
        <v>30</v>
      </c>
      <c r="P6840" t="s">
        <v>29</v>
      </c>
      <c r="Q6840" s="1">
        <v>42279.449224537035</v>
      </c>
      <c r="R6840">
        <v>7</v>
      </c>
      <c r="S6840" t="s">
        <v>6400</v>
      </c>
      <c r="T6840" t="s">
        <v>1667</v>
      </c>
      <c r="U6840">
        <v>599.9</v>
      </c>
      <c r="V6840" s="3">
        <v>42158</v>
      </c>
    </row>
    <row r="6841" spans="1:22" x14ac:dyDescent="0.35">
      <c r="A6841" s="1">
        <v>42279.447430555556</v>
      </c>
      <c r="B6841" s="2">
        <v>1.7939814814814815E-3</v>
      </c>
      <c r="C6841" t="s">
        <v>6693</v>
      </c>
      <c r="D6841" t="s">
        <v>6396</v>
      </c>
      <c r="E6841" t="s">
        <v>6397</v>
      </c>
      <c r="F6841" t="s">
        <v>1665</v>
      </c>
      <c r="G6841">
        <v>1895602</v>
      </c>
      <c r="H6841" t="s">
        <v>26</v>
      </c>
      <c r="I6841" t="s">
        <v>1407</v>
      </c>
      <c r="J6841" t="str">
        <f>"9781118789100"</f>
        <v>9781118789100</v>
      </c>
      <c r="K6841" t="s">
        <v>10310</v>
      </c>
      <c r="L6841">
        <v>48</v>
      </c>
      <c r="O6841" t="s">
        <v>30</v>
      </c>
      <c r="P6841" t="s">
        <v>50</v>
      </c>
      <c r="S6841" t="s">
        <v>6400</v>
      </c>
      <c r="T6841" t="s">
        <v>1667</v>
      </c>
      <c r="U6841">
        <v>599.9</v>
      </c>
      <c r="V6841" s="3">
        <v>42158</v>
      </c>
    </row>
    <row r="6842" spans="1:22" x14ac:dyDescent="0.35">
      <c r="A6842" s="1">
        <v>42279.447314814817</v>
      </c>
      <c r="B6842" s="2">
        <v>3.6574074074074074E-3</v>
      </c>
      <c r="C6842" t="s">
        <v>10300</v>
      </c>
      <c r="D6842" t="s">
        <v>6396</v>
      </c>
      <c r="E6842" t="s">
        <v>6397</v>
      </c>
      <c r="F6842" t="s">
        <v>4435</v>
      </c>
      <c r="G6842">
        <v>1770683</v>
      </c>
      <c r="H6842" t="s">
        <v>26</v>
      </c>
      <c r="I6842" t="s">
        <v>172</v>
      </c>
      <c r="J6842" t="str">
        <f>"9781118631768"</f>
        <v>9781118631768</v>
      </c>
      <c r="K6842" t="s">
        <v>10311</v>
      </c>
      <c r="L6842">
        <v>32</v>
      </c>
      <c r="O6842" t="s">
        <v>30</v>
      </c>
      <c r="P6842" t="s">
        <v>50</v>
      </c>
      <c r="S6842" t="s">
        <v>6400</v>
      </c>
      <c r="T6842" t="s">
        <v>4437</v>
      </c>
      <c r="U6842">
        <v>949.5</v>
      </c>
      <c r="V6842" s="3">
        <v>41870</v>
      </c>
    </row>
    <row r="6843" spans="1:22" x14ac:dyDescent="0.35">
      <c r="A6843" s="1">
        <v>42279.446932870371</v>
      </c>
      <c r="B6843" s="2">
        <v>1.0416666666666667E-4</v>
      </c>
      <c r="C6843" t="s">
        <v>6693</v>
      </c>
      <c r="D6843" t="s">
        <v>6396</v>
      </c>
      <c r="E6843" t="s">
        <v>6397</v>
      </c>
      <c r="F6843" t="s">
        <v>10312</v>
      </c>
      <c r="G6843">
        <v>2068036</v>
      </c>
      <c r="H6843" t="s">
        <v>45</v>
      </c>
      <c r="I6843" t="s">
        <v>38</v>
      </c>
      <c r="J6843" t="str">
        <f>"9781472439499"</f>
        <v>9781472439499</v>
      </c>
      <c r="K6843" t="s">
        <v>10313</v>
      </c>
      <c r="L6843">
        <v>9</v>
      </c>
      <c r="O6843" t="s">
        <v>30</v>
      </c>
      <c r="P6843" t="s">
        <v>47</v>
      </c>
      <c r="Q6843" s="1">
        <v>42279.446932870371</v>
      </c>
      <c r="R6843">
        <v>1</v>
      </c>
      <c r="S6843" t="s">
        <v>6400</v>
      </c>
      <c r="T6843" t="s">
        <v>10314</v>
      </c>
      <c r="U6843" t="s">
        <v>10315</v>
      </c>
      <c r="V6843" s="3">
        <v>42244</v>
      </c>
    </row>
    <row r="6844" spans="1:22" x14ac:dyDescent="0.35">
      <c r="A6844" s="1">
        <v>42279.437789351854</v>
      </c>
      <c r="B6844" s="2">
        <v>0</v>
      </c>
      <c r="C6844" t="s">
        <v>6693</v>
      </c>
      <c r="D6844" t="s">
        <v>6396</v>
      </c>
      <c r="E6844" t="s">
        <v>6397</v>
      </c>
      <c r="F6844" t="s">
        <v>2257</v>
      </c>
      <c r="G6844">
        <v>1998747</v>
      </c>
      <c r="H6844" t="s">
        <v>26</v>
      </c>
      <c r="I6844" t="s">
        <v>247</v>
      </c>
      <c r="J6844" t="str">
        <f>"9781118703397"</f>
        <v>9781118703397</v>
      </c>
      <c r="L6844">
        <v>0</v>
      </c>
      <c r="O6844" t="s">
        <v>28</v>
      </c>
      <c r="P6844" t="s">
        <v>29</v>
      </c>
      <c r="Q6844" s="1">
        <v>42279.437789351854</v>
      </c>
      <c r="R6844">
        <v>7</v>
      </c>
      <c r="S6844" t="s">
        <v>6400</v>
      </c>
      <c r="T6844" t="s">
        <v>2258</v>
      </c>
      <c r="U6844" t="s">
        <v>2259</v>
      </c>
      <c r="V6844" s="3">
        <v>42163</v>
      </c>
    </row>
    <row r="6845" spans="1:22" x14ac:dyDescent="0.35">
      <c r="A6845" s="1">
        <v>42279.437789351854</v>
      </c>
      <c r="B6845" s="2">
        <v>0</v>
      </c>
      <c r="C6845" t="s">
        <v>6693</v>
      </c>
      <c r="D6845" t="s">
        <v>6396</v>
      </c>
      <c r="E6845" t="s">
        <v>6397</v>
      </c>
      <c r="F6845" t="s">
        <v>2257</v>
      </c>
      <c r="G6845">
        <v>1998747</v>
      </c>
      <c r="H6845" t="s">
        <v>26</v>
      </c>
      <c r="I6845" t="s">
        <v>247</v>
      </c>
      <c r="J6845" t="str">
        <f>"9781118703397"</f>
        <v>9781118703397</v>
      </c>
      <c r="L6845">
        <v>0</v>
      </c>
      <c r="O6845" t="s">
        <v>30</v>
      </c>
      <c r="P6845" t="s">
        <v>29</v>
      </c>
      <c r="Q6845" s="1">
        <v>42279.437789351854</v>
      </c>
      <c r="R6845">
        <v>7</v>
      </c>
      <c r="S6845" t="s">
        <v>6400</v>
      </c>
      <c r="T6845" t="s">
        <v>2258</v>
      </c>
      <c r="U6845" t="s">
        <v>2259</v>
      </c>
      <c r="V6845" s="3">
        <v>42163</v>
      </c>
    </row>
    <row r="6846" spans="1:22" x14ac:dyDescent="0.35">
      <c r="A6846" s="1">
        <v>42279.437118055554</v>
      </c>
      <c r="B6846" s="2">
        <v>6.7129629629629625E-4</v>
      </c>
      <c r="C6846" t="s">
        <v>6693</v>
      </c>
      <c r="D6846" t="s">
        <v>6396</v>
      </c>
      <c r="E6846" t="s">
        <v>6397</v>
      </c>
      <c r="F6846" t="s">
        <v>2257</v>
      </c>
      <c r="G6846">
        <v>1998747</v>
      </c>
      <c r="H6846" t="s">
        <v>26</v>
      </c>
      <c r="I6846" t="s">
        <v>247</v>
      </c>
      <c r="J6846" t="str">
        <f>"9781118703397"</f>
        <v>9781118703397</v>
      </c>
      <c r="K6846" t="s">
        <v>10316</v>
      </c>
      <c r="L6846">
        <v>14</v>
      </c>
      <c r="O6846" t="s">
        <v>30</v>
      </c>
      <c r="P6846" t="s">
        <v>50</v>
      </c>
      <c r="S6846" t="s">
        <v>6400</v>
      </c>
      <c r="T6846" t="s">
        <v>2258</v>
      </c>
      <c r="U6846" t="s">
        <v>2259</v>
      </c>
      <c r="V6846" s="3">
        <v>42163</v>
      </c>
    </row>
    <row r="6847" spans="1:22" x14ac:dyDescent="0.35">
      <c r="A6847" s="1">
        <v>42279.436944444446</v>
      </c>
      <c r="B6847" s="2">
        <v>9.9884259259259266E-3</v>
      </c>
      <c r="C6847" t="s">
        <v>6693</v>
      </c>
      <c r="D6847" t="s">
        <v>6396</v>
      </c>
      <c r="E6847" t="s">
        <v>6397</v>
      </c>
      <c r="F6847" t="s">
        <v>10312</v>
      </c>
      <c r="G6847">
        <v>2068036</v>
      </c>
      <c r="H6847" t="s">
        <v>45</v>
      </c>
      <c r="I6847" t="s">
        <v>38</v>
      </c>
      <c r="J6847" t="str">
        <f>"9781472439499"</f>
        <v>9781472439499</v>
      </c>
      <c r="K6847" t="s">
        <v>4613</v>
      </c>
      <c r="L6847">
        <v>3</v>
      </c>
      <c r="O6847" t="s">
        <v>30</v>
      </c>
      <c r="P6847" t="s">
        <v>50</v>
      </c>
      <c r="S6847" t="s">
        <v>6400</v>
      </c>
      <c r="T6847" t="s">
        <v>10314</v>
      </c>
      <c r="U6847" t="s">
        <v>10315</v>
      </c>
      <c r="V6847" s="3">
        <v>42244</v>
      </c>
    </row>
    <row r="6848" spans="1:22" x14ac:dyDescent="0.35">
      <c r="A6848" s="1">
        <v>42279.435960648145</v>
      </c>
      <c r="B6848" s="2">
        <v>8.3333333333333339E-4</v>
      </c>
      <c r="C6848" t="s">
        <v>6693</v>
      </c>
      <c r="D6848" t="s">
        <v>6396</v>
      </c>
      <c r="E6848" t="s">
        <v>6397</v>
      </c>
      <c r="F6848" t="s">
        <v>10317</v>
      </c>
      <c r="G6848">
        <v>2068195</v>
      </c>
      <c r="H6848" t="s">
        <v>26</v>
      </c>
      <c r="I6848" t="s">
        <v>10318</v>
      </c>
      <c r="J6848" t="str">
        <f>"9781119045786"</f>
        <v>9781119045786</v>
      </c>
      <c r="K6848" t="s">
        <v>10319</v>
      </c>
      <c r="L6848">
        <v>14</v>
      </c>
      <c r="O6848" t="s">
        <v>30</v>
      </c>
      <c r="P6848" t="s">
        <v>50</v>
      </c>
      <c r="S6848" t="s">
        <v>6400</v>
      </c>
      <c r="T6848" t="s">
        <v>10320</v>
      </c>
      <c r="U6848">
        <v>508.09199999999998</v>
      </c>
      <c r="V6848" s="3">
        <v>42156</v>
      </c>
    </row>
    <row r="6849" spans="1:22" x14ac:dyDescent="0.35">
      <c r="A6849" s="1">
        <v>42279.434942129628</v>
      </c>
      <c r="B6849" s="2">
        <v>9.2592592592592585E-4</v>
      </c>
      <c r="C6849" t="s">
        <v>6693</v>
      </c>
      <c r="D6849" t="s">
        <v>6396</v>
      </c>
      <c r="E6849" t="s">
        <v>6397</v>
      </c>
      <c r="F6849" t="s">
        <v>10321</v>
      </c>
      <c r="G6849">
        <v>1953319</v>
      </c>
      <c r="H6849" t="s">
        <v>26</v>
      </c>
      <c r="I6849" t="s">
        <v>4938</v>
      </c>
      <c r="J6849" t="str">
        <f>"9781118937709"</f>
        <v>9781118937709</v>
      </c>
      <c r="K6849" t="s">
        <v>10322</v>
      </c>
      <c r="L6849">
        <v>22</v>
      </c>
      <c r="O6849" t="s">
        <v>30</v>
      </c>
      <c r="P6849" t="s">
        <v>50</v>
      </c>
      <c r="S6849" t="s">
        <v>6400</v>
      </c>
      <c r="T6849" t="s">
        <v>10323</v>
      </c>
      <c r="U6849">
        <v>5.54</v>
      </c>
      <c r="V6849" s="3">
        <v>42170</v>
      </c>
    </row>
    <row r="6850" spans="1:22" x14ac:dyDescent="0.35">
      <c r="A6850" s="1">
        <v>42279.433912037035</v>
      </c>
      <c r="B6850" s="2">
        <v>1.6145833333333335E-2</v>
      </c>
      <c r="C6850" t="s">
        <v>6693</v>
      </c>
      <c r="D6850" t="s">
        <v>6396</v>
      </c>
      <c r="E6850" t="s">
        <v>6397</v>
      </c>
      <c r="F6850" t="s">
        <v>10303</v>
      </c>
      <c r="G6850">
        <v>1964137</v>
      </c>
      <c r="H6850" t="s">
        <v>26</v>
      </c>
      <c r="I6850" t="s">
        <v>445</v>
      </c>
      <c r="J6850" t="str">
        <f>"9781119118510"</f>
        <v>9781119118510</v>
      </c>
      <c r="K6850" t="s">
        <v>10324</v>
      </c>
      <c r="L6850">
        <v>18</v>
      </c>
      <c r="O6850" t="s">
        <v>30</v>
      </c>
      <c r="P6850" t="s">
        <v>50</v>
      </c>
      <c r="S6850" t="s">
        <v>6400</v>
      </c>
      <c r="T6850" t="s">
        <v>10304</v>
      </c>
      <c r="U6850">
        <v>332.024</v>
      </c>
      <c r="V6850" s="3">
        <v>42172</v>
      </c>
    </row>
    <row r="6851" spans="1:22" x14ac:dyDescent="0.35">
      <c r="A6851" s="1">
        <v>42279.433692129627</v>
      </c>
      <c r="B6851" s="2">
        <v>0</v>
      </c>
      <c r="C6851" t="s">
        <v>6693</v>
      </c>
      <c r="D6851" t="s">
        <v>6396</v>
      </c>
      <c r="E6851" t="s">
        <v>6397</v>
      </c>
      <c r="F6851" t="s">
        <v>10325</v>
      </c>
      <c r="G6851">
        <v>2073210</v>
      </c>
      <c r="H6851" t="s">
        <v>139</v>
      </c>
      <c r="I6851" t="s">
        <v>348</v>
      </c>
      <c r="J6851" t="str">
        <f>"9781479896059"</f>
        <v>9781479896059</v>
      </c>
      <c r="L6851">
        <v>0</v>
      </c>
      <c r="O6851" t="s">
        <v>28</v>
      </c>
      <c r="P6851" t="s">
        <v>29</v>
      </c>
      <c r="Q6851" s="1">
        <v>42279.433692129627</v>
      </c>
      <c r="R6851">
        <v>7</v>
      </c>
      <c r="S6851" t="s">
        <v>6400</v>
      </c>
      <c r="T6851" t="s">
        <v>10326</v>
      </c>
      <c r="U6851">
        <v>320.510941</v>
      </c>
      <c r="V6851" s="3">
        <v>42216</v>
      </c>
    </row>
    <row r="6852" spans="1:22" x14ac:dyDescent="0.35">
      <c r="A6852" s="1">
        <v>42279.433692129627</v>
      </c>
      <c r="B6852" s="2">
        <v>0</v>
      </c>
      <c r="C6852" t="s">
        <v>6693</v>
      </c>
      <c r="D6852" t="s">
        <v>6396</v>
      </c>
      <c r="E6852" t="s">
        <v>6397</v>
      </c>
      <c r="F6852" t="s">
        <v>10325</v>
      </c>
      <c r="G6852">
        <v>2073210</v>
      </c>
      <c r="H6852" t="s">
        <v>139</v>
      </c>
      <c r="I6852" t="s">
        <v>348</v>
      </c>
      <c r="J6852" t="str">
        <f>"9781479896059"</f>
        <v>9781479896059</v>
      </c>
      <c r="L6852">
        <v>0</v>
      </c>
      <c r="O6852" t="s">
        <v>30</v>
      </c>
      <c r="P6852" t="s">
        <v>29</v>
      </c>
      <c r="Q6852" s="1">
        <v>42279.433692129627</v>
      </c>
      <c r="R6852">
        <v>7</v>
      </c>
      <c r="S6852" t="s">
        <v>6400</v>
      </c>
      <c r="T6852" t="s">
        <v>10326</v>
      </c>
      <c r="U6852">
        <v>320.510941</v>
      </c>
      <c r="V6852" s="3">
        <v>42216</v>
      </c>
    </row>
    <row r="6853" spans="1:22" x14ac:dyDescent="0.35">
      <c r="A6853" s="1">
        <v>42279.433611111112</v>
      </c>
      <c r="B6853" s="2">
        <v>8.1018518518518516E-5</v>
      </c>
      <c r="C6853" t="s">
        <v>6693</v>
      </c>
      <c r="D6853" t="s">
        <v>6396</v>
      </c>
      <c r="E6853" t="s">
        <v>6397</v>
      </c>
      <c r="F6853" t="s">
        <v>10325</v>
      </c>
      <c r="G6853">
        <v>2073210</v>
      </c>
      <c r="H6853" t="s">
        <v>139</v>
      </c>
      <c r="I6853" t="s">
        <v>348</v>
      </c>
      <c r="J6853" t="str">
        <f>"9781479896059"</f>
        <v>9781479896059</v>
      </c>
      <c r="K6853" t="s">
        <v>33</v>
      </c>
      <c r="L6853">
        <v>3</v>
      </c>
      <c r="O6853" t="s">
        <v>30</v>
      </c>
      <c r="P6853" t="s">
        <v>50</v>
      </c>
      <c r="S6853" t="s">
        <v>6400</v>
      </c>
      <c r="T6853" t="s">
        <v>10326</v>
      </c>
      <c r="U6853">
        <v>320.510941</v>
      </c>
      <c r="V6853" s="3">
        <v>42216</v>
      </c>
    </row>
    <row r="6854" spans="1:22" x14ac:dyDescent="0.35">
      <c r="A6854" s="1">
        <v>42279.433113425926</v>
      </c>
      <c r="B6854" s="2">
        <v>3.5879629629629635E-4</v>
      </c>
      <c r="C6854" t="s">
        <v>6693</v>
      </c>
      <c r="D6854" t="s">
        <v>6396</v>
      </c>
      <c r="E6854" t="s">
        <v>6397</v>
      </c>
      <c r="F6854" t="s">
        <v>10327</v>
      </c>
      <c r="G6854">
        <v>2074096</v>
      </c>
      <c r="H6854" t="s">
        <v>26</v>
      </c>
      <c r="I6854" t="s">
        <v>219</v>
      </c>
      <c r="J6854" t="str">
        <f>"9781118955390"</f>
        <v>9781118955390</v>
      </c>
      <c r="K6854" t="s">
        <v>10328</v>
      </c>
      <c r="L6854">
        <v>21</v>
      </c>
      <c r="O6854" t="s">
        <v>30</v>
      </c>
      <c r="P6854" t="s">
        <v>50</v>
      </c>
      <c r="S6854" t="s">
        <v>6400</v>
      </c>
      <c r="T6854" t="s">
        <v>10329</v>
      </c>
      <c r="U6854" t="s">
        <v>10330</v>
      </c>
      <c r="V6854" s="3">
        <v>42174</v>
      </c>
    </row>
    <row r="6855" spans="1:22" x14ac:dyDescent="0.35">
      <c r="A6855" s="1">
        <v>42279.431932870371</v>
      </c>
      <c r="B6855" s="2">
        <v>5.0925925925925921E-4</v>
      </c>
      <c r="C6855" t="s">
        <v>6693</v>
      </c>
      <c r="D6855" t="s">
        <v>6396</v>
      </c>
      <c r="E6855" t="s">
        <v>6397</v>
      </c>
      <c r="F6855" t="s">
        <v>10331</v>
      </c>
      <c r="G6855">
        <v>1998755</v>
      </c>
      <c r="H6855" t="s">
        <v>26</v>
      </c>
      <c r="I6855" t="s">
        <v>247</v>
      </c>
      <c r="J6855" t="str">
        <f>"9781118838990"</f>
        <v>9781118838990</v>
      </c>
      <c r="K6855" t="s">
        <v>10332</v>
      </c>
      <c r="L6855">
        <v>17</v>
      </c>
      <c r="O6855" t="s">
        <v>30</v>
      </c>
      <c r="P6855" t="s">
        <v>50</v>
      </c>
      <c r="S6855" t="s">
        <v>6400</v>
      </c>
      <c r="T6855" t="s">
        <v>10333</v>
      </c>
      <c r="U6855">
        <v>610.71</v>
      </c>
      <c r="V6855" s="3">
        <v>42173</v>
      </c>
    </row>
    <row r="6856" spans="1:22" x14ac:dyDescent="0.35">
      <c r="A6856" s="1">
        <v>42279.43178240741</v>
      </c>
      <c r="B6856" s="2">
        <v>0</v>
      </c>
      <c r="C6856" t="s">
        <v>6693</v>
      </c>
      <c r="D6856" t="s">
        <v>6396</v>
      </c>
      <c r="E6856" t="s">
        <v>6397</v>
      </c>
      <c r="F6856" t="s">
        <v>10334</v>
      </c>
      <c r="G6856">
        <v>1998772</v>
      </c>
      <c r="H6856" t="s">
        <v>26</v>
      </c>
      <c r="I6856" t="s">
        <v>247</v>
      </c>
      <c r="J6856" t="str">
        <f>"9781118908358"</f>
        <v>9781118908358</v>
      </c>
      <c r="L6856">
        <v>0</v>
      </c>
      <c r="O6856" t="s">
        <v>28</v>
      </c>
      <c r="P6856" t="s">
        <v>29</v>
      </c>
      <c r="Q6856" s="1">
        <v>42279.43178240741</v>
      </c>
      <c r="R6856">
        <v>7</v>
      </c>
      <c r="S6856" t="s">
        <v>6400</v>
      </c>
      <c r="T6856" t="s">
        <v>10335</v>
      </c>
      <c r="U6856">
        <v>618.97760000000005</v>
      </c>
      <c r="V6856" s="3">
        <v>42160</v>
      </c>
    </row>
    <row r="6857" spans="1:22" x14ac:dyDescent="0.35">
      <c r="A6857" s="1">
        <v>42279.43178240741</v>
      </c>
      <c r="B6857" s="2">
        <v>0</v>
      </c>
      <c r="C6857" t="s">
        <v>6693</v>
      </c>
      <c r="D6857" t="s">
        <v>6396</v>
      </c>
      <c r="E6857" t="s">
        <v>6397</v>
      </c>
      <c r="F6857" t="s">
        <v>10334</v>
      </c>
      <c r="G6857">
        <v>1998772</v>
      </c>
      <c r="H6857" t="s">
        <v>26</v>
      </c>
      <c r="I6857" t="s">
        <v>247</v>
      </c>
      <c r="J6857" t="str">
        <f>"9781118908358"</f>
        <v>9781118908358</v>
      </c>
      <c r="L6857">
        <v>0</v>
      </c>
      <c r="O6857" t="s">
        <v>30</v>
      </c>
      <c r="P6857" t="s">
        <v>29</v>
      </c>
      <c r="Q6857" s="1">
        <v>42279.43178240741</v>
      </c>
      <c r="R6857">
        <v>7</v>
      </c>
      <c r="S6857" t="s">
        <v>6400</v>
      </c>
      <c r="T6857" t="s">
        <v>10335</v>
      </c>
      <c r="U6857">
        <v>618.97760000000005</v>
      </c>
      <c r="V6857" s="3">
        <v>42160</v>
      </c>
    </row>
    <row r="6858" spans="1:22" x14ac:dyDescent="0.35">
      <c r="A6858" s="1">
        <v>42279.43136574074</v>
      </c>
      <c r="B6858" s="2">
        <v>4.1666666666666669E-4</v>
      </c>
      <c r="C6858" t="s">
        <v>6693</v>
      </c>
      <c r="D6858" t="s">
        <v>6396</v>
      </c>
      <c r="E6858" t="s">
        <v>6397</v>
      </c>
      <c r="F6858" t="s">
        <v>10334</v>
      </c>
      <c r="G6858">
        <v>1998772</v>
      </c>
      <c r="H6858" t="s">
        <v>26</v>
      </c>
      <c r="I6858" t="s">
        <v>247</v>
      </c>
      <c r="J6858" t="str">
        <f>"9781118908358"</f>
        <v>9781118908358</v>
      </c>
      <c r="K6858" t="s">
        <v>10336</v>
      </c>
      <c r="L6858">
        <v>12</v>
      </c>
      <c r="O6858" t="s">
        <v>30</v>
      </c>
      <c r="P6858" t="s">
        <v>50</v>
      </c>
      <c r="S6858" t="s">
        <v>6400</v>
      </c>
      <c r="T6858" t="s">
        <v>10335</v>
      </c>
      <c r="U6858">
        <v>618.97760000000005</v>
      </c>
      <c r="V6858" s="3">
        <v>42160</v>
      </c>
    </row>
    <row r="6859" spans="1:22" x14ac:dyDescent="0.35">
      <c r="A6859" s="1">
        <v>42279.431064814817</v>
      </c>
      <c r="B6859" s="2">
        <v>3.4722222222222222E-5</v>
      </c>
      <c r="C6859" t="s">
        <v>6693</v>
      </c>
      <c r="D6859" t="s">
        <v>6396</v>
      </c>
      <c r="E6859" t="s">
        <v>6397</v>
      </c>
      <c r="F6859" t="s">
        <v>10337</v>
      </c>
      <c r="G6859">
        <v>2038566</v>
      </c>
      <c r="H6859" t="s">
        <v>26</v>
      </c>
      <c r="I6859" t="s">
        <v>247</v>
      </c>
      <c r="J6859" t="str">
        <f>"9781118913185"</f>
        <v>9781118913185</v>
      </c>
      <c r="K6859" t="s">
        <v>33</v>
      </c>
      <c r="L6859">
        <v>3</v>
      </c>
      <c r="O6859" t="s">
        <v>30</v>
      </c>
      <c r="P6859" t="s">
        <v>50</v>
      </c>
      <c r="S6859" t="s">
        <v>6400</v>
      </c>
      <c r="T6859" t="s">
        <v>10338</v>
      </c>
      <c r="U6859" t="s">
        <v>10339</v>
      </c>
      <c r="V6859" s="3">
        <v>42173</v>
      </c>
    </row>
    <row r="6860" spans="1:22" x14ac:dyDescent="0.35">
      <c r="A6860" s="1">
        <v>42279.43072916667</v>
      </c>
      <c r="B6860" s="2">
        <v>1.8518518518518518E-4</v>
      </c>
      <c r="C6860" t="s">
        <v>6693</v>
      </c>
      <c r="D6860" t="s">
        <v>6396</v>
      </c>
      <c r="E6860" t="s">
        <v>6397</v>
      </c>
      <c r="F6860" t="s">
        <v>10340</v>
      </c>
      <c r="G6860">
        <v>2075053</v>
      </c>
      <c r="H6860" t="s">
        <v>26</v>
      </c>
      <c r="I6860" t="s">
        <v>630</v>
      </c>
      <c r="J6860" t="str">
        <f>"9780745686608"</f>
        <v>9780745686608</v>
      </c>
      <c r="K6860" t="s">
        <v>10341</v>
      </c>
      <c r="L6860">
        <v>17</v>
      </c>
      <c r="O6860" t="s">
        <v>30</v>
      </c>
      <c r="P6860" t="s">
        <v>50</v>
      </c>
      <c r="S6860" t="s">
        <v>6400</v>
      </c>
      <c r="T6860" t="s">
        <v>10342</v>
      </c>
      <c r="U6860">
        <v>128.37</v>
      </c>
      <c r="V6860" s="3">
        <v>42173</v>
      </c>
    </row>
    <row r="6861" spans="1:22" x14ac:dyDescent="0.35">
      <c r="A6861" s="1">
        <v>42279.429513888892</v>
      </c>
      <c r="B6861" s="2">
        <v>1.1689814814814816E-3</v>
      </c>
      <c r="C6861" t="s">
        <v>6693</v>
      </c>
      <c r="D6861" t="s">
        <v>6396</v>
      </c>
      <c r="E6861" t="s">
        <v>6397</v>
      </c>
      <c r="F6861" t="s">
        <v>10343</v>
      </c>
      <c r="G6861">
        <v>2075054</v>
      </c>
      <c r="H6861" t="s">
        <v>26</v>
      </c>
      <c r="I6861" t="s">
        <v>10344</v>
      </c>
      <c r="J6861" t="str">
        <f>"9781118439968"</f>
        <v>9781118439968</v>
      </c>
      <c r="K6861" t="s">
        <v>10345</v>
      </c>
      <c r="L6861">
        <v>7</v>
      </c>
      <c r="O6861" t="s">
        <v>30</v>
      </c>
      <c r="P6861" t="s">
        <v>50</v>
      </c>
      <c r="S6861" t="s">
        <v>6400</v>
      </c>
      <c r="T6861" t="s">
        <v>10346</v>
      </c>
      <c r="U6861" t="s">
        <v>10347</v>
      </c>
      <c r="V6861" s="3">
        <v>42167</v>
      </c>
    </row>
    <row r="6862" spans="1:22" x14ac:dyDescent="0.35">
      <c r="A6862" s="1">
        <v>42279.422974537039</v>
      </c>
      <c r="B6862" s="2">
        <v>7.291666666666667E-4</v>
      </c>
      <c r="C6862" t="s">
        <v>6693</v>
      </c>
      <c r="D6862" t="s">
        <v>6396</v>
      </c>
      <c r="E6862" t="s">
        <v>6397</v>
      </c>
      <c r="F6862" t="s">
        <v>10348</v>
      </c>
      <c r="G6862">
        <v>1985784</v>
      </c>
      <c r="H6862" t="s">
        <v>26</v>
      </c>
      <c r="I6862" t="s">
        <v>5549</v>
      </c>
      <c r="J6862" t="str">
        <f>"9781118759455"</f>
        <v>9781118759455</v>
      </c>
      <c r="K6862" t="s">
        <v>10349</v>
      </c>
      <c r="L6862">
        <v>12</v>
      </c>
      <c r="O6862" t="s">
        <v>30</v>
      </c>
      <c r="P6862" t="s">
        <v>50</v>
      </c>
      <c r="S6862" t="s">
        <v>6400</v>
      </c>
      <c r="T6862" t="s">
        <v>10350</v>
      </c>
      <c r="U6862">
        <v>621.38400000000001</v>
      </c>
      <c r="V6862" s="3">
        <v>42219</v>
      </c>
    </row>
    <row r="6863" spans="1:22" x14ac:dyDescent="0.35">
      <c r="A6863" s="1">
        <v>42279.418321759258</v>
      </c>
      <c r="B6863" s="2">
        <v>4.4560185185185189E-3</v>
      </c>
      <c r="C6863" t="s">
        <v>6693</v>
      </c>
      <c r="D6863" t="s">
        <v>6396</v>
      </c>
      <c r="E6863" t="s">
        <v>6397</v>
      </c>
      <c r="F6863" t="s">
        <v>7237</v>
      </c>
      <c r="G6863">
        <v>1998742</v>
      </c>
      <c r="H6863" t="s">
        <v>26</v>
      </c>
      <c r="I6863" t="s">
        <v>1608</v>
      </c>
      <c r="J6863" t="str">
        <f>"9781118451663"</f>
        <v>9781118451663</v>
      </c>
      <c r="K6863" t="s">
        <v>10351</v>
      </c>
      <c r="L6863">
        <v>7</v>
      </c>
      <c r="O6863" t="s">
        <v>28</v>
      </c>
      <c r="P6863" t="s">
        <v>29</v>
      </c>
      <c r="Q6863" s="1">
        <v>42279.403715277775</v>
      </c>
      <c r="R6863">
        <v>7</v>
      </c>
      <c r="S6863" t="s">
        <v>6400</v>
      </c>
      <c r="T6863" t="s">
        <v>7238</v>
      </c>
      <c r="U6863">
        <v>616.07899999999995</v>
      </c>
      <c r="V6863" s="3">
        <v>42192</v>
      </c>
    </row>
    <row r="6864" spans="1:22" x14ac:dyDescent="0.35">
      <c r="A6864" s="1">
        <v>42279.404560185183</v>
      </c>
      <c r="B6864" s="2">
        <v>0</v>
      </c>
      <c r="C6864" t="s">
        <v>6693</v>
      </c>
      <c r="D6864" t="s">
        <v>6396</v>
      </c>
      <c r="E6864" t="s">
        <v>6397</v>
      </c>
      <c r="F6864" t="s">
        <v>10352</v>
      </c>
      <c r="G6864">
        <v>2089485</v>
      </c>
      <c r="H6864" t="s">
        <v>26</v>
      </c>
      <c r="I6864" t="s">
        <v>3913</v>
      </c>
      <c r="J6864" t="str">
        <f>"9783527676040"</f>
        <v>9783527676040</v>
      </c>
      <c r="L6864">
        <v>0</v>
      </c>
      <c r="O6864" t="s">
        <v>28</v>
      </c>
      <c r="P6864" t="s">
        <v>29</v>
      </c>
      <c r="Q6864" s="1">
        <v>42279.404560185183</v>
      </c>
      <c r="R6864">
        <v>7</v>
      </c>
      <c r="S6864" t="s">
        <v>6400</v>
      </c>
      <c r="T6864" t="s">
        <v>10353</v>
      </c>
      <c r="U6864">
        <v>610.28</v>
      </c>
      <c r="V6864" s="3">
        <v>42192</v>
      </c>
    </row>
    <row r="6865" spans="1:22" x14ac:dyDescent="0.35">
      <c r="A6865" s="1">
        <v>42279.404560185183</v>
      </c>
      <c r="B6865" s="2">
        <v>0</v>
      </c>
      <c r="C6865" t="s">
        <v>6693</v>
      </c>
      <c r="D6865" t="s">
        <v>6396</v>
      </c>
      <c r="E6865" t="s">
        <v>6397</v>
      </c>
      <c r="F6865" t="s">
        <v>10352</v>
      </c>
      <c r="G6865">
        <v>2089485</v>
      </c>
      <c r="H6865" t="s">
        <v>26</v>
      </c>
      <c r="I6865" t="s">
        <v>3913</v>
      </c>
      <c r="J6865" t="str">
        <f>"9783527676040"</f>
        <v>9783527676040</v>
      </c>
      <c r="L6865">
        <v>0</v>
      </c>
      <c r="O6865" t="s">
        <v>30</v>
      </c>
      <c r="P6865" t="s">
        <v>29</v>
      </c>
      <c r="Q6865" s="1">
        <v>42279.404560185183</v>
      </c>
      <c r="R6865">
        <v>7</v>
      </c>
      <c r="S6865" t="s">
        <v>6400</v>
      </c>
      <c r="T6865" t="s">
        <v>10353</v>
      </c>
      <c r="U6865">
        <v>610.28</v>
      </c>
      <c r="V6865" s="3">
        <v>42192</v>
      </c>
    </row>
    <row r="6866" spans="1:22" x14ac:dyDescent="0.35">
      <c r="A6866" s="1">
        <v>42279.404432870368</v>
      </c>
      <c r="B6866" s="2">
        <v>1.273148148148148E-4</v>
      </c>
      <c r="C6866" t="s">
        <v>6693</v>
      </c>
      <c r="D6866" t="s">
        <v>6396</v>
      </c>
      <c r="E6866" t="s">
        <v>6397</v>
      </c>
      <c r="F6866" t="s">
        <v>10352</v>
      </c>
      <c r="G6866">
        <v>2089485</v>
      </c>
      <c r="H6866" t="s">
        <v>26</v>
      </c>
      <c r="I6866" t="s">
        <v>3913</v>
      </c>
      <c r="J6866" t="str">
        <f>"9783527676040"</f>
        <v>9783527676040</v>
      </c>
      <c r="K6866" t="s">
        <v>33</v>
      </c>
      <c r="L6866">
        <v>3</v>
      </c>
      <c r="O6866" t="s">
        <v>30</v>
      </c>
      <c r="P6866" t="s">
        <v>50</v>
      </c>
      <c r="S6866" t="s">
        <v>6400</v>
      </c>
      <c r="T6866" t="s">
        <v>10353</v>
      </c>
      <c r="U6866">
        <v>610.28</v>
      </c>
      <c r="V6866" s="3">
        <v>42192</v>
      </c>
    </row>
    <row r="6867" spans="1:22" x14ac:dyDescent="0.35">
      <c r="A6867" s="1">
        <v>42279.404004629629</v>
      </c>
      <c r="B6867" s="2">
        <v>3.2407407407407406E-4</v>
      </c>
      <c r="C6867" t="s">
        <v>6693</v>
      </c>
      <c r="D6867" t="s">
        <v>6396</v>
      </c>
      <c r="E6867" t="s">
        <v>6397</v>
      </c>
      <c r="F6867" t="s">
        <v>10354</v>
      </c>
      <c r="G6867">
        <v>2082201</v>
      </c>
      <c r="H6867" t="s">
        <v>139</v>
      </c>
      <c r="I6867" t="s">
        <v>120</v>
      </c>
      <c r="J6867" t="str">
        <f>"9781479835782"</f>
        <v>9781479835782</v>
      </c>
      <c r="K6867" t="s">
        <v>4342</v>
      </c>
      <c r="L6867">
        <v>8</v>
      </c>
      <c r="O6867" t="s">
        <v>30</v>
      </c>
      <c r="P6867" t="s">
        <v>50</v>
      </c>
      <c r="S6867" t="s">
        <v>6400</v>
      </c>
      <c r="T6867" t="s">
        <v>10355</v>
      </c>
      <c r="U6867">
        <v>306.70810999999998</v>
      </c>
      <c r="V6867" s="3">
        <v>42216</v>
      </c>
    </row>
    <row r="6868" spans="1:22" x14ac:dyDescent="0.35">
      <c r="A6868" s="1">
        <v>42279.403726851851</v>
      </c>
      <c r="B6868" s="2">
        <v>0</v>
      </c>
      <c r="C6868" t="s">
        <v>6693</v>
      </c>
      <c r="D6868" t="s">
        <v>6396</v>
      </c>
      <c r="E6868" t="s">
        <v>6397</v>
      </c>
      <c r="F6868" t="s">
        <v>7237</v>
      </c>
      <c r="G6868">
        <v>1998742</v>
      </c>
      <c r="H6868" t="s">
        <v>26</v>
      </c>
      <c r="I6868" t="s">
        <v>1608</v>
      </c>
      <c r="J6868" t="str">
        <f>"9781118451663"</f>
        <v>9781118451663</v>
      </c>
      <c r="L6868">
        <v>0</v>
      </c>
      <c r="O6868" t="s">
        <v>28</v>
      </c>
      <c r="P6868" t="s">
        <v>29</v>
      </c>
      <c r="Q6868" s="1">
        <v>42279.403715277775</v>
      </c>
      <c r="R6868">
        <v>7</v>
      </c>
      <c r="S6868" t="s">
        <v>6400</v>
      </c>
      <c r="T6868" t="s">
        <v>7238</v>
      </c>
      <c r="U6868">
        <v>616.07899999999995</v>
      </c>
      <c r="V6868" s="3">
        <v>42192</v>
      </c>
    </row>
    <row r="6869" spans="1:22" x14ac:dyDescent="0.35">
      <c r="A6869" s="1">
        <v>42279.403715277775</v>
      </c>
      <c r="B6869" s="2">
        <v>0</v>
      </c>
      <c r="C6869" t="s">
        <v>6693</v>
      </c>
      <c r="D6869" t="s">
        <v>6396</v>
      </c>
      <c r="E6869" t="s">
        <v>6397</v>
      </c>
      <c r="F6869" t="s">
        <v>7237</v>
      </c>
      <c r="G6869">
        <v>1998742</v>
      </c>
      <c r="H6869" t="s">
        <v>26</v>
      </c>
      <c r="I6869" t="s">
        <v>1608</v>
      </c>
      <c r="J6869" t="str">
        <f>"9781118451663"</f>
        <v>9781118451663</v>
      </c>
      <c r="L6869">
        <v>0</v>
      </c>
      <c r="O6869" t="s">
        <v>30</v>
      </c>
      <c r="P6869" t="s">
        <v>29</v>
      </c>
      <c r="Q6869" s="1">
        <v>42279.403715277775</v>
      </c>
      <c r="R6869">
        <v>7</v>
      </c>
      <c r="S6869" t="s">
        <v>6400</v>
      </c>
      <c r="T6869" t="s">
        <v>7238</v>
      </c>
      <c r="U6869">
        <v>616.07899999999995</v>
      </c>
      <c r="V6869" s="3">
        <v>42192</v>
      </c>
    </row>
    <row r="6870" spans="1:22" x14ac:dyDescent="0.35">
      <c r="A6870" s="1">
        <v>42279.403194444443</v>
      </c>
      <c r="B6870" s="2">
        <v>5.2083333333333333E-4</v>
      </c>
      <c r="C6870" t="s">
        <v>6693</v>
      </c>
      <c r="D6870" t="s">
        <v>6396</v>
      </c>
      <c r="E6870" t="s">
        <v>6397</v>
      </c>
      <c r="F6870" t="s">
        <v>7237</v>
      </c>
      <c r="G6870">
        <v>1998742</v>
      </c>
      <c r="H6870" t="s">
        <v>26</v>
      </c>
      <c r="I6870" t="s">
        <v>1608</v>
      </c>
      <c r="J6870" t="str">
        <f>"9781118451663"</f>
        <v>9781118451663</v>
      </c>
      <c r="K6870" t="s">
        <v>10356</v>
      </c>
      <c r="L6870">
        <v>18</v>
      </c>
      <c r="O6870" t="s">
        <v>30</v>
      </c>
      <c r="P6870" t="s">
        <v>50</v>
      </c>
      <c r="S6870" t="s">
        <v>6400</v>
      </c>
      <c r="T6870" t="s">
        <v>7238</v>
      </c>
      <c r="U6870">
        <v>616.07899999999995</v>
      </c>
      <c r="V6870" s="3">
        <v>42192</v>
      </c>
    </row>
    <row r="6871" spans="1:22" x14ac:dyDescent="0.35">
      <c r="A6871" s="1">
        <v>42279.249791666669</v>
      </c>
      <c r="B6871" s="2">
        <v>1.636574074074074E-2</v>
      </c>
      <c r="C6871" t="s">
        <v>2679</v>
      </c>
      <c r="D6871" t="s">
        <v>1222</v>
      </c>
      <c r="E6871" t="s">
        <v>1223</v>
      </c>
      <c r="F6871" t="s">
        <v>2680</v>
      </c>
      <c r="G6871">
        <v>1641157</v>
      </c>
      <c r="H6871" t="s">
        <v>526</v>
      </c>
      <c r="I6871" t="s">
        <v>2681</v>
      </c>
      <c r="J6871" t="str">
        <f>"9780226024134"</f>
        <v>9780226024134</v>
      </c>
      <c r="K6871" t="s">
        <v>10357</v>
      </c>
      <c r="L6871">
        <v>20</v>
      </c>
      <c r="O6871" t="s">
        <v>30</v>
      </c>
      <c r="P6871" t="s">
        <v>47</v>
      </c>
      <c r="Q6871" s="1">
        <v>42279.249791666669</v>
      </c>
      <c r="R6871">
        <v>1</v>
      </c>
      <c r="S6871" t="s">
        <v>1226</v>
      </c>
      <c r="T6871" t="s">
        <v>2683</v>
      </c>
      <c r="U6871">
        <v>577.29999999999995</v>
      </c>
      <c r="V6871" s="3">
        <v>41702</v>
      </c>
    </row>
    <row r="6872" spans="1:22" x14ac:dyDescent="0.35">
      <c r="A6872" s="1">
        <v>42279.24454861111</v>
      </c>
      <c r="B6872" s="2">
        <v>5.2314814814814819E-3</v>
      </c>
      <c r="C6872" t="s">
        <v>2679</v>
      </c>
      <c r="D6872" t="s">
        <v>1222</v>
      </c>
      <c r="E6872" t="s">
        <v>1223</v>
      </c>
      <c r="F6872" t="s">
        <v>2680</v>
      </c>
      <c r="G6872">
        <v>1641157</v>
      </c>
      <c r="H6872" t="s">
        <v>526</v>
      </c>
      <c r="I6872" t="s">
        <v>2681</v>
      </c>
      <c r="J6872" t="str">
        <f>"9780226024134"</f>
        <v>9780226024134</v>
      </c>
      <c r="K6872" t="s">
        <v>33</v>
      </c>
      <c r="L6872">
        <v>3</v>
      </c>
      <c r="O6872" t="s">
        <v>30</v>
      </c>
      <c r="P6872" t="s">
        <v>50</v>
      </c>
      <c r="S6872" t="s">
        <v>1226</v>
      </c>
      <c r="T6872" t="s">
        <v>2683</v>
      </c>
      <c r="U6872">
        <v>577.29999999999995</v>
      </c>
      <c r="V6872" s="3">
        <v>41702</v>
      </c>
    </row>
    <row r="6873" spans="1:22" x14ac:dyDescent="0.35">
      <c r="A6873" s="1">
        <v>42279.106342592589</v>
      </c>
      <c r="B6873" s="2">
        <v>3.0601851851851852E-2</v>
      </c>
      <c r="C6873" t="s">
        <v>10215</v>
      </c>
      <c r="D6873" t="s">
        <v>1482</v>
      </c>
      <c r="E6873" t="s">
        <v>1483</v>
      </c>
      <c r="F6873" t="s">
        <v>1547</v>
      </c>
      <c r="G6873">
        <v>848510</v>
      </c>
      <c r="H6873" t="s">
        <v>26</v>
      </c>
      <c r="I6873" t="s">
        <v>247</v>
      </c>
      <c r="J6873" t="str">
        <f>"9781118220481"</f>
        <v>9781118220481</v>
      </c>
      <c r="K6873" t="s">
        <v>10358</v>
      </c>
      <c r="L6873">
        <v>16</v>
      </c>
      <c r="O6873" t="s">
        <v>30</v>
      </c>
      <c r="P6873" t="s">
        <v>29</v>
      </c>
      <c r="Q6873" s="1">
        <v>42279.106342592589</v>
      </c>
      <c r="R6873">
        <v>7</v>
      </c>
      <c r="S6873" t="s">
        <v>1485</v>
      </c>
      <c r="T6873" t="s">
        <v>1548</v>
      </c>
      <c r="U6873" t="s">
        <v>1549</v>
      </c>
      <c r="V6873" s="3">
        <v>41066</v>
      </c>
    </row>
    <row r="6874" spans="1:22" x14ac:dyDescent="0.35">
      <c r="A6874" s="1">
        <v>42279.098726851851</v>
      </c>
      <c r="B6874" s="2">
        <v>7.6157407407407415E-3</v>
      </c>
      <c r="C6874" t="s">
        <v>10215</v>
      </c>
      <c r="D6874" t="s">
        <v>1482</v>
      </c>
      <c r="E6874" t="s">
        <v>1483</v>
      </c>
      <c r="F6874" t="s">
        <v>1547</v>
      </c>
      <c r="G6874">
        <v>848510</v>
      </c>
      <c r="H6874" t="s">
        <v>26</v>
      </c>
      <c r="I6874" t="s">
        <v>247</v>
      </c>
      <c r="J6874" t="str">
        <f>"9781118220481"</f>
        <v>9781118220481</v>
      </c>
      <c r="K6874" t="s">
        <v>10359</v>
      </c>
      <c r="L6874">
        <v>8</v>
      </c>
      <c r="O6874" t="s">
        <v>30</v>
      </c>
      <c r="P6874" t="s">
        <v>42</v>
      </c>
      <c r="S6874" t="s">
        <v>1485</v>
      </c>
      <c r="T6874" t="s">
        <v>1548</v>
      </c>
      <c r="U6874" t="s">
        <v>1549</v>
      </c>
      <c r="V6874" s="3">
        <v>41066</v>
      </c>
    </row>
    <row r="6875" spans="1:22" x14ac:dyDescent="0.35">
      <c r="A6875" s="1">
        <v>42279.079502314817</v>
      </c>
      <c r="B6875" s="2">
        <v>6.0648148148148145E-3</v>
      </c>
      <c r="C6875" t="s">
        <v>10360</v>
      </c>
      <c r="D6875" t="s">
        <v>623</v>
      </c>
      <c r="E6875" t="s">
        <v>624</v>
      </c>
      <c r="F6875" t="s">
        <v>3993</v>
      </c>
      <c r="G6875">
        <v>1798778</v>
      </c>
      <c r="H6875" t="s">
        <v>26</v>
      </c>
      <c r="I6875" t="s">
        <v>247</v>
      </c>
      <c r="J6875" t="str">
        <f>"9781118760741"</f>
        <v>9781118760741</v>
      </c>
      <c r="K6875" t="s">
        <v>10361</v>
      </c>
      <c r="L6875">
        <v>9</v>
      </c>
      <c r="O6875" t="s">
        <v>30</v>
      </c>
      <c r="P6875" t="s">
        <v>29</v>
      </c>
      <c r="Q6875" s="1">
        <v>42278.723923611113</v>
      </c>
      <c r="R6875">
        <v>7</v>
      </c>
      <c r="S6875" t="s">
        <v>627</v>
      </c>
      <c r="T6875" t="s">
        <v>3995</v>
      </c>
      <c r="U6875">
        <v>616.07500000000005</v>
      </c>
      <c r="V6875" s="3">
        <v>41906</v>
      </c>
    </row>
    <row r="6876" spans="1:22" x14ac:dyDescent="0.35">
      <c r="A6876" s="1">
        <v>42279.077037037037</v>
      </c>
      <c r="B6876" s="2">
        <v>1.5520833333333333E-2</v>
      </c>
      <c r="C6876" t="s">
        <v>6288</v>
      </c>
      <c r="D6876" t="s">
        <v>23</v>
      </c>
      <c r="E6876" t="s">
        <v>24</v>
      </c>
      <c r="F6876" t="s">
        <v>486</v>
      </c>
      <c r="G6876">
        <v>1119505</v>
      </c>
      <c r="H6876" t="s">
        <v>26</v>
      </c>
      <c r="I6876" t="s">
        <v>450</v>
      </c>
      <c r="J6876" t="str">
        <f>"9781118355015"</f>
        <v>9781118355015</v>
      </c>
      <c r="K6876" t="s">
        <v>10362</v>
      </c>
      <c r="L6876">
        <v>13</v>
      </c>
      <c r="O6876" t="s">
        <v>30</v>
      </c>
      <c r="P6876" t="s">
        <v>29</v>
      </c>
      <c r="Q6876" s="1">
        <v>42277.87059027778</v>
      </c>
      <c r="R6876">
        <v>7</v>
      </c>
      <c r="S6876" t="s">
        <v>31</v>
      </c>
      <c r="T6876" t="s">
        <v>487</v>
      </c>
      <c r="U6876" t="s">
        <v>488</v>
      </c>
      <c r="V6876" s="3">
        <v>41302</v>
      </c>
    </row>
    <row r="6877" spans="1:22" x14ac:dyDescent="0.35">
      <c r="A6877" s="1">
        <v>42279.067939814813</v>
      </c>
      <c r="B6877" s="2">
        <v>0</v>
      </c>
      <c r="C6877" t="s">
        <v>10363</v>
      </c>
      <c r="D6877" t="s">
        <v>23</v>
      </c>
      <c r="E6877" t="s">
        <v>24</v>
      </c>
      <c r="F6877" t="s">
        <v>3442</v>
      </c>
      <c r="G6877">
        <v>1873238</v>
      </c>
      <c r="H6877" t="s">
        <v>84</v>
      </c>
      <c r="I6877" t="s">
        <v>27</v>
      </c>
      <c r="J6877" t="str">
        <f t="shared" ref="J6877:J6883" si="34">"9780520961647"</f>
        <v>9780520961647</v>
      </c>
      <c r="L6877">
        <v>0</v>
      </c>
      <c r="O6877" t="s">
        <v>28</v>
      </c>
      <c r="P6877" t="s">
        <v>29</v>
      </c>
      <c r="Q6877" s="1">
        <v>42279.063738425924</v>
      </c>
      <c r="R6877">
        <v>7</v>
      </c>
      <c r="S6877" t="s">
        <v>31</v>
      </c>
      <c r="T6877" t="s">
        <v>3444</v>
      </c>
      <c r="U6877">
        <v>497.9</v>
      </c>
      <c r="V6877" s="3">
        <v>42005</v>
      </c>
    </row>
    <row r="6878" spans="1:22" x14ac:dyDescent="0.35">
      <c r="A6878" s="1">
        <v>42279.067766203705</v>
      </c>
      <c r="B6878" s="2">
        <v>9.2592592592592588E-5</v>
      </c>
      <c r="C6878" t="s">
        <v>10363</v>
      </c>
      <c r="D6878" t="s">
        <v>23</v>
      </c>
      <c r="E6878" t="s">
        <v>24</v>
      </c>
      <c r="F6878" t="s">
        <v>3442</v>
      </c>
      <c r="G6878">
        <v>1873238</v>
      </c>
      <c r="H6878" t="s">
        <v>84</v>
      </c>
      <c r="I6878" t="s">
        <v>27</v>
      </c>
      <c r="J6878" t="str">
        <f t="shared" si="34"/>
        <v>9780520961647</v>
      </c>
      <c r="K6878" t="s">
        <v>33</v>
      </c>
      <c r="L6878">
        <v>3</v>
      </c>
      <c r="O6878" t="s">
        <v>30</v>
      </c>
      <c r="P6878" t="s">
        <v>29</v>
      </c>
      <c r="Q6878" s="1">
        <v>42279.063738425924</v>
      </c>
      <c r="R6878">
        <v>7</v>
      </c>
      <c r="S6878" t="s">
        <v>31</v>
      </c>
      <c r="T6878" t="s">
        <v>3444</v>
      </c>
      <c r="U6878">
        <v>497.9</v>
      </c>
      <c r="V6878" s="3">
        <v>42005</v>
      </c>
    </row>
    <row r="6879" spans="1:22" x14ac:dyDescent="0.35">
      <c r="A6879" s="1">
        <v>42279.066805555558</v>
      </c>
      <c r="B6879" s="2">
        <v>0</v>
      </c>
      <c r="C6879" t="s">
        <v>10363</v>
      </c>
      <c r="D6879" t="s">
        <v>23</v>
      </c>
      <c r="E6879" t="s">
        <v>24</v>
      </c>
      <c r="F6879" t="s">
        <v>3442</v>
      </c>
      <c r="G6879">
        <v>1873238</v>
      </c>
      <c r="H6879" t="s">
        <v>84</v>
      </c>
      <c r="I6879" t="s">
        <v>27</v>
      </c>
      <c r="J6879" t="str">
        <f t="shared" si="34"/>
        <v>9780520961647</v>
      </c>
      <c r="L6879">
        <v>0</v>
      </c>
      <c r="O6879" t="s">
        <v>28</v>
      </c>
      <c r="P6879" t="s">
        <v>29</v>
      </c>
      <c r="Q6879" s="1">
        <v>42279.063738425924</v>
      </c>
      <c r="R6879">
        <v>7</v>
      </c>
      <c r="S6879" t="s">
        <v>31</v>
      </c>
      <c r="T6879" t="s">
        <v>3444</v>
      </c>
      <c r="U6879">
        <v>497.9</v>
      </c>
      <c r="V6879" s="3">
        <v>42005</v>
      </c>
    </row>
    <row r="6880" spans="1:22" x14ac:dyDescent="0.35">
      <c r="A6880" s="1">
        <v>42279.066678240742</v>
      </c>
      <c r="B6880" s="2">
        <v>0</v>
      </c>
      <c r="C6880" t="s">
        <v>10363</v>
      </c>
      <c r="D6880" t="s">
        <v>23</v>
      </c>
      <c r="E6880" t="s">
        <v>24</v>
      </c>
      <c r="F6880" t="s">
        <v>3442</v>
      </c>
      <c r="G6880">
        <v>1873238</v>
      </c>
      <c r="H6880" t="s">
        <v>84</v>
      </c>
      <c r="I6880" t="s">
        <v>27</v>
      </c>
      <c r="J6880" t="str">
        <f t="shared" si="34"/>
        <v>9780520961647</v>
      </c>
      <c r="L6880">
        <v>0</v>
      </c>
      <c r="O6880" t="s">
        <v>28</v>
      </c>
      <c r="P6880" t="s">
        <v>29</v>
      </c>
      <c r="Q6880" s="1">
        <v>42279.063738425924</v>
      </c>
      <c r="R6880">
        <v>7</v>
      </c>
      <c r="S6880" t="s">
        <v>31</v>
      </c>
      <c r="T6880" t="s">
        <v>3444</v>
      </c>
      <c r="U6880">
        <v>497.9</v>
      </c>
      <c r="V6880" s="3">
        <v>42005</v>
      </c>
    </row>
    <row r="6881" spans="1:22" x14ac:dyDescent="0.35">
      <c r="A6881" s="1">
        <v>42279.064201388886</v>
      </c>
      <c r="B6881" s="2">
        <v>0</v>
      </c>
      <c r="C6881" t="s">
        <v>10363</v>
      </c>
      <c r="D6881" t="s">
        <v>23</v>
      </c>
      <c r="E6881" t="s">
        <v>24</v>
      </c>
      <c r="F6881" t="s">
        <v>3442</v>
      </c>
      <c r="G6881">
        <v>1873238</v>
      </c>
      <c r="H6881" t="s">
        <v>84</v>
      </c>
      <c r="I6881" t="s">
        <v>27</v>
      </c>
      <c r="J6881" t="str">
        <f t="shared" si="34"/>
        <v>9780520961647</v>
      </c>
      <c r="L6881">
        <v>0</v>
      </c>
      <c r="O6881" t="s">
        <v>28</v>
      </c>
      <c r="P6881" t="s">
        <v>29</v>
      </c>
      <c r="Q6881" s="1">
        <v>42279.063738425924</v>
      </c>
      <c r="R6881">
        <v>7</v>
      </c>
      <c r="S6881" t="s">
        <v>31</v>
      </c>
      <c r="T6881" t="s">
        <v>3444</v>
      </c>
      <c r="U6881">
        <v>497.9</v>
      </c>
      <c r="V6881" s="3">
        <v>42005</v>
      </c>
    </row>
    <row r="6882" spans="1:22" x14ac:dyDescent="0.35">
      <c r="A6882" s="1">
        <v>42279.063750000001</v>
      </c>
      <c r="B6882" s="2">
        <v>3.2407407407407406E-4</v>
      </c>
      <c r="C6882" t="s">
        <v>10363</v>
      </c>
      <c r="D6882" t="s">
        <v>23</v>
      </c>
      <c r="E6882" t="s">
        <v>24</v>
      </c>
      <c r="F6882" t="s">
        <v>3442</v>
      </c>
      <c r="G6882">
        <v>1873238</v>
      </c>
      <c r="H6882" t="s">
        <v>84</v>
      </c>
      <c r="I6882" t="s">
        <v>27</v>
      </c>
      <c r="J6882" t="str">
        <f t="shared" si="34"/>
        <v>9780520961647</v>
      </c>
      <c r="K6882" t="s">
        <v>2404</v>
      </c>
      <c r="L6882">
        <v>1</v>
      </c>
      <c r="O6882" t="s">
        <v>30</v>
      </c>
      <c r="P6882" t="s">
        <v>29</v>
      </c>
      <c r="Q6882" s="1">
        <v>42279.063738425924</v>
      </c>
      <c r="R6882">
        <v>7</v>
      </c>
      <c r="S6882" t="s">
        <v>31</v>
      </c>
      <c r="T6882" t="s">
        <v>3444</v>
      </c>
      <c r="U6882">
        <v>497.9</v>
      </c>
      <c r="V6882" s="3">
        <v>42005</v>
      </c>
    </row>
    <row r="6883" spans="1:22" x14ac:dyDescent="0.35">
      <c r="A6883" s="1">
        <v>42279.063576388886</v>
      </c>
      <c r="B6883" s="2">
        <v>1.6203703703703703E-4</v>
      </c>
      <c r="C6883" t="s">
        <v>10363</v>
      </c>
      <c r="D6883" t="s">
        <v>23</v>
      </c>
      <c r="E6883" t="s">
        <v>24</v>
      </c>
      <c r="F6883" t="s">
        <v>3442</v>
      </c>
      <c r="G6883">
        <v>1873238</v>
      </c>
      <c r="H6883" t="s">
        <v>84</v>
      </c>
      <c r="I6883" t="s">
        <v>27</v>
      </c>
      <c r="J6883" t="str">
        <f t="shared" si="34"/>
        <v>9780520961647</v>
      </c>
      <c r="K6883" t="s">
        <v>202</v>
      </c>
      <c r="L6883">
        <v>3</v>
      </c>
      <c r="O6883" t="s">
        <v>30</v>
      </c>
      <c r="P6883" t="s">
        <v>42</v>
      </c>
      <c r="S6883" t="s">
        <v>31</v>
      </c>
      <c r="T6883" t="s">
        <v>3444</v>
      </c>
      <c r="U6883">
        <v>497.9</v>
      </c>
      <c r="V6883" s="3">
        <v>42005</v>
      </c>
    </row>
    <row r="6884" spans="1:22" x14ac:dyDescent="0.35">
      <c r="A6884" s="1">
        <v>42278.948912037034</v>
      </c>
      <c r="B6884" s="2">
        <v>0</v>
      </c>
      <c r="C6884" t="s">
        <v>6058</v>
      </c>
      <c r="D6884" t="s">
        <v>2519</v>
      </c>
      <c r="E6884" t="s">
        <v>2520</v>
      </c>
      <c r="F6884" t="s">
        <v>10364</v>
      </c>
      <c r="G6884">
        <v>1129584</v>
      </c>
      <c r="H6884" t="s">
        <v>26</v>
      </c>
      <c r="I6884" t="s">
        <v>219</v>
      </c>
      <c r="J6884" t="str">
        <f>"9781118526606"</f>
        <v>9781118526606</v>
      </c>
      <c r="L6884">
        <v>0</v>
      </c>
      <c r="O6884" t="s">
        <v>30</v>
      </c>
      <c r="P6884" t="s">
        <v>29</v>
      </c>
      <c r="Q6884" s="1">
        <v>42278.948912037034</v>
      </c>
      <c r="R6884">
        <v>7</v>
      </c>
      <c r="S6884" t="s">
        <v>2523</v>
      </c>
      <c r="T6884" t="s">
        <v>10365</v>
      </c>
      <c r="U6884">
        <v>158.1</v>
      </c>
      <c r="V6884" s="3">
        <v>41319</v>
      </c>
    </row>
    <row r="6885" spans="1:22" x14ac:dyDescent="0.35">
      <c r="A6885" s="1">
        <v>42278.948425925926</v>
      </c>
      <c r="B6885" s="2">
        <v>2.7777777777777778E-4</v>
      </c>
      <c r="C6885" t="s">
        <v>10366</v>
      </c>
      <c r="D6885" t="s">
        <v>2519</v>
      </c>
      <c r="E6885" t="s">
        <v>2520</v>
      </c>
      <c r="F6885" t="s">
        <v>10364</v>
      </c>
      <c r="G6885">
        <v>1129584</v>
      </c>
      <c r="H6885" t="s">
        <v>26</v>
      </c>
      <c r="I6885" t="s">
        <v>219</v>
      </c>
      <c r="J6885" t="str">
        <f>"9781118526606"</f>
        <v>9781118526606</v>
      </c>
      <c r="K6885" t="s">
        <v>10367</v>
      </c>
      <c r="L6885">
        <v>16</v>
      </c>
      <c r="O6885" t="s">
        <v>30</v>
      </c>
      <c r="P6885" t="s">
        <v>42</v>
      </c>
      <c r="S6885" t="s">
        <v>2523</v>
      </c>
      <c r="T6885" t="s">
        <v>10365</v>
      </c>
      <c r="U6885">
        <v>158.1</v>
      </c>
      <c r="V6885" s="3">
        <v>41319</v>
      </c>
    </row>
    <row r="6886" spans="1:22" x14ac:dyDescent="0.35">
      <c r="A6886" s="1">
        <v>42278.948182870372</v>
      </c>
      <c r="B6886" s="2">
        <v>7.291666666666667E-4</v>
      </c>
      <c r="C6886" t="s">
        <v>6058</v>
      </c>
      <c r="D6886" t="s">
        <v>2519</v>
      </c>
      <c r="E6886" t="s">
        <v>2520</v>
      </c>
      <c r="F6886" t="s">
        <v>10364</v>
      </c>
      <c r="G6886">
        <v>1129584</v>
      </c>
      <c r="H6886" t="s">
        <v>26</v>
      </c>
      <c r="I6886" t="s">
        <v>219</v>
      </c>
      <c r="J6886" t="str">
        <f>"9781118526606"</f>
        <v>9781118526606</v>
      </c>
      <c r="K6886" t="s">
        <v>10368</v>
      </c>
      <c r="L6886">
        <v>9</v>
      </c>
      <c r="O6886" t="s">
        <v>30</v>
      </c>
      <c r="P6886" t="s">
        <v>42</v>
      </c>
      <c r="S6886" t="s">
        <v>2523</v>
      </c>
      <c r="T6886" t="s">
        <v>10365</v>
      </c>
      <c r="U6886">
        <v>158.1</v>
      </c>
      <c r="V6886" s="3">
        <v>41319</v>
      </c>
    </row>
    <row r="6887" spans="1:22" x14ac:dyDescent="0.35">
      <c r="A6887" s="1">
        <v>42278.920787037037</v>
      </c>
      <c r="B6887" s="2">
        <v>6.3657407407407404E-3</v>
      </c>
      <c r="C6887" t="s">
        <v>10369</v>
      </c>
      <c r="D6887" t="s">
        <v>23</v>
      </c>
      <c r="E6887" t="s">
        <v>24</v>
      </c>
      <c r="F6887" t="s">
        <v>4180</v>
      </c>
      <c r="G6887">
        <v>817932</v>
      </c>
      <c r="H6887" t="s">
        <v>26</v>
      </c>
      <c r="I6887" t="s">
        <v>276</v>
      </c>
      <c r="J6887" t="str">
        <f>"9781118220146"</f>
        <v>9781118220146</v>
      </c>
      <c r="K6887" t="s">
        <v>10370</v>
      </c>
      <c r="L6887">
        <v>26</v>
      </c>
      <c r="O6887" t="s">
        <v>30</v>
      </c>
      <c r="P6887" t="s">
        <v>42</v>
      </c>
      <c r="S6887" t="s">
        <v>31</v>
      </c>
      <c r="T6887" t="s">
        <v>4182</v>
      </c>
      <c r="U6887">
        <v>5.133</v>
      </c>
      <c r="V6887" s="3">
        <v>40981</v>
      </c>
    </row>
    <row r="6888" spans="1:22" x14ac:dyDescent="0.35">
      <c r="A6888" s="1">
        <v>42278.905451388891</v>
      </c>
      <c r="B6888" s="2">
        <v>2.0717592592592593E-3</v>
      </c>
      <c r="C6888" t="s">
        <v>3618</v>
      </c>
      <c r="D6888" t="s">
        <v>360</v>
      </c>
      <c r="E6888" t="s">
        <v>361</v>
      </c>
      <c r="F6888" t="s">
        <v>10371</v>
      </c>
      <c r="G6888">
        <v>2055783</v>
      </c>
      <c r="H6888" t="s">
        <v>26</v>
      </c>
      <c r="I6888" t="s">
        <v>630</v>
      </c>
      <c r="J6888" t="str">
        <f>"9781118585610"</f>
        <v>9781118585610</v>
      </c>
      <c r="K6888" t="s">
        <v>10372</v>
      </c>
      <c r="L6888">
        <v>32</v>
      </c>
      <c r="O6888" t="s">
        <v>30</v>
      </c>
      <c r="P6888" t="s">
        <v>50</v>
      </c>
      <c r="S6888" t="s">
        <v>363</v>
      </c>
      <c r="T6888" t="s">
        <v>10373</v>
      </c>
      <c r="U6888">
        <v>100</v>
      </c>
      <c r="V6888" s="3">
        <v>42242</v>
      </c>
    </row>
    <row r="6889" spans="1:22" x14ac:dyDescent="0.35">
      <c r="A6889" s="1">
        <v>42278.880324074074</v>
      </c>
      <c r="B6889" s="2">
        <v>2.0208333333333335E-2</v>
      </c>
      <c r="C6889" t="s">
        <v>8446</v>
      </c>
      <c r="D6889" t="s">
        <v>35</v>
      </c>
      <c r="E6889" t="s">
        <v>36</v>
      </c>
      <c r="F6889" t="s">
        <v>986</v>
      </c>
      <c r="G6889">
        <v>968030</v>
      </c>
      <c r="H6889" t="s">
        <v>26</v>
      </c>
      <c r="I6889" t="s">
        <v>219</v>
      </c>
      <c r="J6889" t="str">
        <f>"9781118285138"</f>
        <v>9781118285138</v>
      </c>
      <c r="K6889" t="s">
        <v>10374</v>
      </c>
      <c r="L6889">
        <v>17</v>
      </c>
      <c r="O6889" t="s">
        <v>30</v>
      </c>
      <c r="P6889" t="s">
        <v>29</v>
      </c>
      <c r="Q6889" s="1">
        <v>42278.771643518521</v>
      </c>
      <c r="R6889">
        <v>7</v>
      </c>
      <c r="S6889" t="s">
        <v>40</v>
      </c>
      <c r="T6889" t="s">
        <v>987</v>
      </c>
      <c r="U6889">
        <v>158.30000000000001</v>
      </c>
      <c r="V6889" s="3">
        <v>41100</v>
      </c>
    </row>
    <row r="6890" spans="1:22" x14ac:dyDescent="0.35">
      <c r="A6890" s="1">
        <v>42278.837314814817</v>
      </c>
      <c r="B6890" s="2">
        <v>6.8287037037037025E-4</v>
      </c>
      <c r="C6890" t="s">
        <v>8683</v>
      </c>
      <c r="D6890" t="s">
        <v>35</v>
      </c>
      <c r="E6890" t="s">
        <v>36</v>
      </c>
      <c r="F6890" t="s">
        <v>986</v>
      </c>
      <c r="G6890">
        <v>968030</v>
      </c>
      <c r="H6890" t="s">
        <v>26</v>
      </c>
      <c r="I6890" t="s">
        <v>219</v>
      </c>
      <c r="J6890" t="str">
        <f>"9781118285138"</f>
        <v>9781118285138</v>
      </c>
      <c r="K6890" t="s">
        <v>10375</v>
      </c>
      <c r="L6890">
        <v>5</v>
      </c>
      <c r="O6890" t="s">
        <v>30</v>
      </c>
      <c r="P6890" t="s">
        <v>29</v>
      </c>
      <c r="Q6890" s="1">
        <v>42278.837314814817</v>
      </c>
      <c r="R6890">
        <v>7</v>
      </c>
      <c r="S6890" t="s">
        <v>40</v>
      </c>
      <c r="T6890" t="s">
        <v>987</v>
      </c>
      <c r="U6890">
        <v>158.30000000000001</v>
      </c>
      <c r="V6890" s="3">
        <v>41100</v>
      </c>
    </row>
    <row r="6891" spans="1:22" x14ac:dyDescent="0.35">
      <c r="A6891" s="1">
        <v>42278.827465277776</v>
      </c>
      <c r="B6891" s="2">
        <v>9.8495370370370369E-3</v>
      </c>
      <c r="C6891" t="s">
        <v>8683</v>
      </c>
      <c r="D6891" t="s">
        <v>35</v>
      </c>
      <c r="E6891" t="s">
        <v>36</v>
      </c>
      <c r="F6891" t="s">
        <v>986</v>
      </c>
      <c r="G6891">
        <v>968030</v>
      </c>
      <c r="H6891" t="s">
        <v>26</v>
      </c>
      <c r="I6891" t="s">
        <v>219</v>
      </c>
      <c r="J6891" t="str">
        <f>"9781118285138"</f>
        <v>9781118285138</v>
      </c>
      <c r="K6891" t="s">
        <v>10376</v>
      </c>
      <c r="L6891">
        <v>31</v>
      </c>
      <c r="O6891" t="s">
        <v>30</v>
      </c>
      <c r="P6891" t="s">
        <v>42</v>
      </c>
      <c r="S6891" t="s">
        <v>40</v>
      </c>
      <c r="T6891" t="s">
        <v>987</v>
      </c>
      <c r="U6891">
        <v>158.30000000000001</v>
      </c>
      <c r="V6891" s="3">
        <v>41100</v>
      </c>
    </row>
    <row r="6892" spans="1:22" x14ac:dyDescent="0.35">
      <c r="A6892" s="1">
        <v>42278.817812499998</v>
      </c>
      <c r="B6892" s="2">
        <v>2.4652777777777776E-3</v>
      </c>
      <c r="C6892" t="s">
        <v>10377</v>
      </c>
      <c r="D6892" t="s">
        <v>261</v>
      </c>
      <c r="E6892" t="s">
        <v>262</v>
      </c>
      <c r="F6892" t="s">
        <v>10378</v>
      </c>
      <c r="G6892">
        <v>1581810</v>
      </c>
      <c r="H6892" t="s">
        <v>68</v>
      </c>
      <c r="I6892" t="s">
        <v>69</v>
      </c>
      <c r="J6892" t="str">
        <f>"9781135453183"</f>
        <v>9781135453183</v>
      </c>
      <c r="K6892" t="s">
        <v>10379</v>
      </c>
      <c r="L6892">
        <v>22</v>
      </c>
      <c r="O6892" t="s">
        <v>30</v>
      </c>
      <c r="P6892" t="s">
        <v>50</v>
      </c>
      <c r="S6892" t="s">
        <v>264</v>
      </c>
      <c r="T6892">
        <v>97006296</v>
      </c>
      <c r="U6892">
        <v>370.11750000000001</v>
      </c>
      <c r="V6892" s="3">
        <v>35674</v>
      </c>
    </row>
    <row r="6893" spans="1:22" x14ac:dyDescent="0.35">
      <c r="A6893" s="1">
        <v>42278.815810185188</v>
      </c>
      <c r="B6893" s="2">
        <v>0.10038194444444444</v>
      </c>
      <c r="C6893" t="s">
        <v>8215</v>
      </c>
      <c r="D6893" t="s">
        <v>35</v>
      </c>
      <c r="E6893" t="s">
        <v>36</v>
      </c>
      <c r="F6893" t="s">
        <v>986</v>
      </c>
      <c r="G6893">
        <v>968030</v>
      </c>
      <c r="H6893" t="s">
        <v>26</v>
      </c>
      <c r="I6893" t="s">
        <v>219</v>
      </c>
      <c r="J6893" t="str">
        <f>"9781118285138"</f>
        <v>9781118285138</v>
      </c>
      <c r="K6893" t="s">
        <v>10380</v>
      </c>
      <c r="L6893">
        <v>78</v>
      </c>
      <c r="O6893" t="s">
        <v>30</v>
      </c>
      <c r="P6893" t="s">
        <v>29</v>
      </c>
      <c r="Q6893" s="1">
        <v>42277.846261574072</v>
      </c>
      <c r="R6893">
        <v>7</v>
      </c>
      <c r="S6893" t="s">
        <v>40</v>
      </c>
      <c r="T6893" t="s">
        <v>987</v>
      </c>
      <c r="U6893">
        <v>158.30000000000001</v>
      </c>
      <c r="V6893" s="3">
        <v>41100</v>
      </c>
    </row>
    <row r="6894" spans="1:22" x14ac:dyDescent="0.35">
      <c r="A6894" s="1">
        <v>42278.808067129627</v>
      </c>
      <c r="B6894" s="2">
        <v>3.9965277777777773E-2</v>
      </c>
      <c r="C6894" t="s">
        <v>6000</v>
      </c>
      <c r="D6894" t="s">
        <v>35</v>
      </c>
      <c r="E6894" t="s">
        <v>36</v>
      </c>
      <c r="F6894" t="s">
        <v>986</v>
      </c>
      <c r="G6894">
        <v>968030</v>
      </c>
      <c r="H6894" t="s">
        <v>26</v>
      </c>
      <c r="I6894" t="s">
        <v>219</v>
      </c>
      <c r="J6894" t="str">
        <f>"9781118285138"</f>
        <v>9781118285138</v>
      </c>
      <c r="K6894" t="s">
        <v>10381</v>
      </c>
      <c r="L6894">
        <v>21</v>
      </c>
      <c r="M6894" t="s">
        <v>10382</v>
      </c>
      <c r="O6894" t="s">
        <v>30</v>
      </c>
      <c r="P6894" t="s">
        <v>29</v>
      </c>
      <c r="Q6894" s="1">
        <v>42278.019085648149</v>
      </c>
      <c r="R6894">
        <v>7</v>
      </c>
      <c r="S6894" t="s">
        <v>40</v>
      </c>
      <c r="T6894" t="s">
        <v>987</v>
      </c>
      <c r="U6894">
        <v>158.30000000000001</v>
      </c>
      <c r="V6894" s="3">
        <v>41100</v>
      </c>
    </row>
    <row r="6895" spans="1:22" x14ac:dyDescent="0.35">
      <c r="A6895" s="1">
        <v>42278.771643518521</v>
      </c>
      <c r="B6895" s="2">
        <v>2.0578703703703703E-2</v>
      </c>
      <c r="C6895" t="s">
        <v>8446</v>
      </c>
      <c r="D6895" t="s">
        <v>35</v>
      </c>
      <c r="E6895" t="s">
        <v>36</v>
      </c>
      <c r="F6895" t="s">
        <v>986</v>
      </c>
      <c r="G6895">
        <v>968030</v>
      </c>
      <c r="H6895" t="s">
        <v>26</v>
      </c>
      <c r="I6895" t="s">
        <v>219</v>
      </c>
      <c r="J6895" t="str">
        <f>"9781118285138"</f>
        <v>9781118285138</v>
      </c>
      <c r="K6895" t="s">
        <v>10383</v>
      </c>
      <c r="L6895">
        <v>69</v>
      </c>
      <c r="O6895" t="s">
        <v>30</v>
      </c>
      <c r="P6895" t="s">
        <v>29</v>
      </c>
      <c r="Q6895" s="1">
        <v>42278.771643518521</v>
      </c>
      <c r="R6895">
        <v>7</v>
      </c>
      <c r="S6895" t="s">
        <v>40</v>
      </c>
      <c r="T6895" t="s">
        <v>987</v>
      </c>
      <c r="U6895">
        <v>158.30000000000001</v>
      </c>
      <c r="V6895" s="3">
        <v>41100</v>
      </c>
    </row>
    <row r="6896" spans="1:22" x14ac:dyDescent="0.35">
      <c r="A6896" s="1">
        <v>42278.759062500001</v>
      </c>
      <c r="B6896" s="2">
        <v>1.2581018518518519E-2</v>
      </c>
      <c r="C6896" t="s">
        <v>8446</v>
      </c>
      <c r="D6896" t="s">
        <v>35</v>
      </c>
      <c r="E6896" t="s">
        <v>36</v>
      </c>
      <c r="F6896" t="s">
        <v>986</v>
      </c>
      <c r="G6896">
        <v>968030</v>
      </c>
      <c r="H6896" t="s">
        <v>26</v>
      </c>
      <c r="I6896" t="s">
        <v>219</v>
      </c>
      <c r="J6896" t="str">
        <f>"9781118285138"</f>
        <v>9781118285138</v>
      </c>
      <c r="K6896" t="s">
        <v>33</v>
      </c>
      <c r="L6896">
        <v>3</v>
      </c>
      <c r="O6896" t="s">
        <v>30</v>
      </c>
      <c r="P6896" t="s">
        <v>42</v>
      </c>
      <c r="S6896" t="s">
        <v>40</v>
      </c>
      <c r="T6896" t="s">
        <v>987</v>
      </c>
      <c r="U6896">
        <v>158.30000000000001</v>
      </c>
      <c r="V6896" s="3">
        <v>41100</v>
      </c>
    </row>
    <row r="6897" spans="1:22" x14ac:dyDescent="0.35">
      <c r="A6897" s="1">
        <v>42278.732372685183</v>
      </c>
      <c r="B6897" s="2">
        <v>3.7152777777777774E-3</v>
      </c>
      <c r="C6897" t="s">
        <v>6171</v>
      </c>
      <c r="D6897" t="s">
        <v>35</v>
      </c>
      <c r="E6897" t="s">
        <v>36</v>
      </c>
      <c r="F6897" t="s">
        <v>986</v>
      </c>
      <c r="G6897">
        <v>968030</v>
      </c>
      <c r="H6897" t="s">
        <v>26</v>
      </c>
      <c r="I6897" t="s">
        <v>219</v>
      </c>
      <c r="J6897" t="str">
        <f>"9781118285138"</f>
        <v>9781118285138</v>
      </c>
      <c r="K6897" t="s">
        <v>10384</v>
      </c>
      <c r="L6897">
        <v>22</v>
      </c>
      <c r="O6897" t="s">
        <v>30</v>
      </c>
      <c r="P6897" t="s">
        <v>29</v>
      </c>
      <c r="Q6897" s="1">
        <v>42277.696793981479</v>
      </c>
      <c r="R6897">
        <v>7</v>
      </c>
      <c r="S6897" t="s">
        <v>40</v>
      </c>
      <c r="T6897" t="s">
        <v>987</v>
      </c>
      <c r="U6897">
        <v>158.30000000000001</v>
      </c>
      <c r="V6897" s="3">
        <v>41100</v>
      </c>
    </row>
    <row r="6898" spans="1:22" x14ac:dyDescent="0.35">
      <c r="A6898" s="1">
        <v>42278.723923611113</v>
      </c>
      <c r="B6898" s="2">
        <v>5.3240740740740748E-3</v>
      </c>
      <c r="C6898" t="s">
        <v>10360</v>
      </c>
      <c r="D6898" t="s">
        <v>623</v>
      </c>
      <c r="E6898" t="s">
        <v>624</v>
      </c>
      <c r="F6898" t="s">
        <v>3993</v>
      </c>
      <c r="G6898">
        <v>1798778</v>
      </c>
      <c r="H6898" t="s">
        <v>26</v>
      </c>
      <c r="I6898" t="s">
        <v>247</v>
      </c>
      <c r="J6898" t="str">
        <f>"9781118760741"</f>
        <v>9781118760741</v>
      </c>
      <c r="K6898" t="s">
        <v>10385</v>
      </c>
      <c r="L6898">
        <v>55</v>
      </c>
      <c r="O6898" t="s">
        <v>30</v>
      </c>
      <c r="P6898" t="s">
        <v>29</v>
      </c>
      <c r="Q6898" s="1">
        <v>42278.723923611113</v>
      </c>
      <c r="R6898">
        <v>7</v>
      </c>
      <c r="S6898" t="s">
        <v>627</v>
      </c>
      <c r="T6898" t="s">
        <v>3995</v>
      </c>
      <c r="U6898">
        <v>616.07500000000005</v>
      </c>
      <c r="V6898" s="3">
        <v>41906</v>
      </c>
    </row>
    <row r="6899" spans="1:22" x14ac:dyDescent="0.35">
      <c r="A6899" s="1">
        <v>42278.716921296298</v>
      </c>
      <c r="B6899" s="2">
        <v>7.0023148148148154E-3</v>
      </c>
      <c r="C6899" t="s">
        <v>10360</v>
      </c>
      <c r="D6899" t="s">
        <v>623</v>
      </c>
      <c r="E6899" t="s">
        <v>624</v>
      </c>
      <c r="F6899" t="s">
        <v>3993</v>
      </c>
      <c r="G6899">
        <v>1798778</v>
      </c>
      <c r="H6899" t="s">
        <v>26</v>
      </c>
      <c r="I6899" t="s">
        <v>247</v>
      </c>
      <c r="J6899" t="str">
        <f>"9781118760741"</f>
        <v>9781118760741</v>
      </c>
      <c r="K6899" t="s">
        <v>10386</v>
      </c>
      <c r="L6899">
        <v>32</v>
      </c>
      <c r="O6899" t="s">
        <v>30</v>
      </c>
      <c r="P6899" t="s">
        <v>42</v>
      </c>
      <c r="S6899" t="s">
        <v>627</v>
      </c>
      <c r="T6899" t="s">
        <v>3995</v>
      </c>
      <c r="U6899">
        <v>616.07500000000005</v>
      </c>
      <c r="V6899" s="3">
        <v>41906</v>
      </c>
    </row>
    <row r="6900" spans="1:22" x14ac:dyDescent="0.35">
      <c r="A6900" s="1">
        <v>42278.715289351851</v>
      </c>
      <c r="B6900" s="2">
        <v>2.4398148148148145E-2</v>
      </c>
      <c r="C6900" t="s">
        <v>6000</v>
      </c>
      <c r="D6900" t="s">
        <v>35</v>
      </c>
      <c r="E6900" t="s">
        <v>36</v>
      </c>
      <c r="F6900" t="s">
        <v>986</v>
      </c>
      <c r="G6900">
        <v>968030</v>
      </c>
      <c r="H6900" t="s">
        <v>26</v>
      </c>
      <c r="I6900" t="s">
        <v>219</v>
      </c>
      <c r="J6900" t="str">
        <f>"9781118285138"</f>
        <v>9781118285138</v>
      </c>
      <c r="K6900" t="s">
        <v>10387</v>
      </c>
      <c r="L6900">
        <v>15</v>
      </c>
      <c r="O6900" t="s">
        <v>30</v>
      </c>
      <c r="P6900" t="s">
        <v>29</v>
      </c>
      <c r="Q6900" s="1">
        <v>42278.019085648149</v>
      </c>
      <c r="R6900">
        <v>7</v>
      </c>
      <c r="S6900" t="s">
        <v>40</v>
      </c>
      <c r="T6900" t="s">
        <v>987</v>
      </c>
      <c r="U6900">
        <v>158.30000000000001</v>
      </c>
      <c r="V6900" s="3">
        <v>41100</v>
      </c>
    </row>
    <row r="6901" spans="1:22" x14ac:dyDescent="0.35">
      <c r="A6901" s="1">
        <v>42278.700856481482</v>
      </c>
      <c r="B6901" s="2">
        <v>1.0891203703703703E-2</v>
      </c>
      <c r="C6901" t="s">
        <v>10388</v>
      </c>
      <c r="D6901" t="s">
        <v>623</v>
      </c>
      <c r="E6901" t="s">
        <v>624</v>
      </c>
      <c r="F6901" t="s">
        <v>10389</v>
      </c>
      <c r="G6901">
        <v>1397484</v>
      </c>
      <c r="H6901" t="s">
        <v>68</v>
      </c>
      <c r="I6901" t="s">
        <v>27</v>
      </c>
      <c r="J6901" t="str">
        <f>"9781317864653"</f>
        <v>9781317864653</v>
      </c>
      <c r="K6901" t="s">
        <v>10390</v>
      </c>
      <c r="L6901">
        <v>16</v>
      </c>
      <c r="O6901" t="s">
        <v>30</v>
      </c>
      <c r="P6901" t="s">
        <v>47</v>
      </c>
      <c r="Q6901" s="1">
        <v>42278.700856481482</v>
      </c>
      <c r="R6901">
        <v>1</v>
      </c>
      <c r="S6901" t="s">
        <v>627</v>
      </c>
      <c r="T6901" t="s">
        <v>10391</v>
      </c>
      <c r="U6901">
        <v>401.41</v>
      </c>
      <c r="V6901" s="3">
        <v>41530</v>
      </c>
    </row>
    <row r="6902" spans="1:22" x14ac:dyDescent="0.35">
      <c r="A6902" s="1">
        <v>42278.68990740741</v>
      </c>
      <c r="B6902" s="2">
        <v>1.0949074074074075E-2</v>
      </c>
      <c r="C6902" t="s">
        <v>10388</v>
      </c>
      <c r="D6902" t="s">
        <v>623</v>
      </c>
      <c r="E6902" t="s">
        <v>624</v>
      </c>
      <c r="F6902" t="s">
        <v>10389</v>
      </c>
      <c r="G6902">
        <v>1397484</v>
      </c>
      <c r="H6902" t="s">
        <v>68</v>
      </c>
      <c r="I6902" t="s">
        <v>27</v>
      </c>
      <c r="J6902" t="str">
        <f>"9781317864653"</f>
        <v>9781317864653</v>
      </c>
      <c r="K6902" t="s">
        <v>10392</v>
      </c>
      <c r="L6902">
        <v>25</v>
      </c>
      <c r="O6902" t="s">
        <v>30</v>
      </c>
      <c r="P6902" t="s">
        <v>50</v>
      </c>
      <c r="S6902" t="s">
        <v>627</v>
      </c>
      <c r="T6902" t="s">
        <v>10391</v>
      </c>
      <c r="U6902">
        <v>401.41</v>
      </c>
      <c r="V6902" s="3">
        <v>41530</v>
      </c>
    </row>
    <row r="6903" spans="1:22" x14ac:dyDescent="0.35">
      <c r="A6903" s="1">
        <v>42278.644270833334</v>
      </c>
      <c r="B6903" s="2">
        <v>9.780092592592592E-3</v>
      </c>
      <c r="C6903" t="s">
        <v>8215</v>
      </c>
      <c r="D6903" t="s">
        <v>35</v>
      </c>
      <c r="E6903" t="s">
        <v>36</v>
      </c>
      <c r="F6903" t="s">
        <v>986</v>
      </c>
      <c r="G6903">
        <v>968030</v>
      </c>
      <c r="H6903" t="s">
        <v>26</v>
      </c>
      <c r="I6903" t="s">
        <v>219</v>
      </c>
      <c r="J6903" t="str">
        <f>"9781118285138"</f>
        <v>9781118285138</v>
      </c>
      <c r="K6903" t="s">
        <v>10393</v>
      </c>
      <c r="L6903">
        <v>24</v>
      </c>
      <c r="O6903" t="s">
        <v>30</v>
      </c>
      <c r="P6903" t="s">
        <v>29</v>
      </c>
      <c r="Q6903" s="1">
        <v>42277.846261574072</v>
      </c>
      <c r="R6903">
        <v>7</v>
      </c>
      <c r="S6903" t="s">
        <v>40</v>
      </c>
      <c r="T6903" t="s">
        <v>987</v>
      </c>
      <c r="U6903">
        <v>158.30000000000001</v>
      </c>
      <c r="V6903" s="3">
        <v>41100</v>
      </c>
    </row>
    <row r="6904" spans="1:22" x14ac:dyDescent="0.35">
      <c r="A6904" s="1">
        <v>42278.632048611114</v>
      </c>
      <c r="B6904" s="2">
        <v>1.273148148148148E-4</v>
      </c>
      <c r="C6904" t="s">
        <v>10394</v>
      </c>
      <c r="D6904" t="s">
        <v>1222</v>
      </c>
      <c r="E6904" t="s">
        <v>1223</v>
      </c>
      <c r="F6904" t="s">
        <v>2959</v>
      </c>
      <c r="G6904">
        <v>1092959</v>
      </c>
      <c r="H6904" t="s">
        <v>84</v>
      </c>
      <c r="I6904" t="s">
        <v>120</v>
      </c>
      <c r="J6904" t="str">
        <f>"9780520955097"</f>
        <v>9780520955097</v>
      </c>
      <c r="K6904" t="s">
        <v>10395</v>
      </c>
      <c r="L6904">
        <v>7</v>
      </c>
      <c r="O6904" t="s">
        <v>30</v>
      </c>
      <c r="P6904" t="s">
        <v>42</v>
      </c>
      <c r="S6904" t="s">
        <v>1226</v>
      </c>
      <c r="T6904" t="s">
        <v>2962</v>
      </c>
      <c r="U6904">
        <v>306.85097300000001</v>
      </c>
      <c r="V6904" s="3">
        <v>41334</v>
      </c>
    </row>
    <row r="6905" spans="1:22" x14ac:dyDescent="0.35">
      <c r="A6905" s="1">
        <v>42278.625381944446</v>
      </c>
      <c r="B6905" s="2">
        <v>0</v>
      </c>
      <c r="C6905" t="s">
        <v>6693</v>
      </c>
      <c r="D6905" t="s">
        <v>6396</v>
      </c>
      <c r="E6905" t="s">
        <v>6397</v>
      </c>
      <c r="F6905" t="s">
        <v>10396</v>
      </c>
      <c r="G6905">
        <v>1985771</v>
      </c>
      <c r="H6905" t="s">
        <v>26</v>
      </c>
      <c r="I6905" t="s">
        <v>3061</v>
      </c>
      <c r="J6905" t="str">
        <f>"9781118439586"</f>
        <v>9781118439586</v>
      </c>
      <c r="L6905">
        <v>0</v>
      </c>
      <c r="O6905" t="s">
        <v>28</v>
      </c>
      <c r="P6905" t="s">
        <v>29</v>
      </c>
      <c r="Q6905" s="1">
        <v>42278.625381944446</v>
      </c>
      <c r="R6905">
        <v>7</v>
      </c>
      <c r="S6905" t="s">
        <v>6400</v>
      </c>
      <c r="T6905" t="s">
        <v>10397</v>
      </c>
      <c r="U6905">
        <v>579.16999999999996</v>
      </c>
      <c r="V6905" s="3">
        <v>42191</v>
      </c>
    </row>
    <row r="6906" spans="1:22" x14ac:dyDescent="0.35">
      <c r="A6906" s="1">
        <v>42278.625381944446</v>
      </c>
      <c r="B6906" s="2">
        <v>0</v>
      </c>
      <c r="C6906" t="s">
        <v>6693</v>
      </c>
      <c r="D6906" t="s">
        <v>6396</v>
      </c>
      <c r="E6906" t="s">
        <v>6397</v>
      </c>
      <c r="F6906" t="s">
        <v>10396</v>
      </c>
      <c r="G6906">
        <v>1985771</v>
      </c>
      <c r="H6906" t="s">
        <v>26</v>
      </c>
      <c r="I6906" t="s">
        <v>3061</v>
      </c>
      <c r="J6906" t="str">
        <f>"9781118439586"</f>
        <v>9781118439586</v>
      </c>
      <c r="L6906">
        <v>0</v>
      </c>
      <c r="O6906" t="s">
        <v>30</v>
      </c>
      <c r="P6906" t="s">
        <v>29</v>
      </c>
      <c r="Q6906" s="1">
        <v>42278.625381944446</v>
      </c>
      <c r="R6906">
        <v>7</v>
      </c>
      <c r="S6906" t="s">
        <v>6400</v>
      </c>
      <c r="T6906" t="s">
        <v>10397</v>
      </c>
      <c r="U6906">
        <v>579.16999999999996</v>
      </c>
      <c r="V6906" s="3">
        <v>42191</v>
      </c>
    </row>
    <row r="6907" spans="1:22" x14ac:dyDescent="0.35">
      <c r="A6907" s="1">
        <v>42278.623738425929</v>
      </c>
      <c r="B6907" s="2">
        <v>1.6319444444444445E-3</v>
      </c>
      <c r="C6907" t="s">
        <v>6693</v>
      </c>
      <c r="D6907" t="s">
        <v>6396</v>
      </c>
      <c r="E6907" t="s">
        <v>6397</v>
      </c>
      <c r="F6907" t="s">
        <v>10396</v>
      </c>
      <c r="G6907">
        <v>1985771</v>
      </c>
      <c r="H6907" t="s">
        <v>26</v>
      </c>
      <c r="I6907" t="s">
        <v>3061</v>
      </c>
      <c r="J6907" t="str">
        <f>"9781118439586"</f>
        <v>9781118439586</v>
      </c>
      <c r="K6907" t="s">
        <v>10398</v>
      </c>
      <c r="L6907">
        <v>3</v>
      </c>
      <c r="O6907" t="s">
        <v>30</v>
      </c>
      <c r="P6907" t="s">
        <v>50</v>
      </c>
      <c r="S6907" t="s">
        <v>6400</v>
      </c>
      <c r="T6907" t="s">
        <v>10397</v>
      </c>
      <c r="U6907">
        <v>579.16999999999996</v>
      </c>
      <c r="V6907" s="3">
        <v>42191</v>
      </c>
    </row>
    <row r="6908" spans="1:22" x14ac:dyDescent="0.35">
      <c r="A6908" s="1">
        <v>42278.620069444441</v>
      </c>
      <c r="B6908" s="2">
        <v>0</v>
      </c>
      <c r="C6908" t="s">
        <v>6693</v>
      </c>
      <c r="D6908" t="s">
        <v>6396</v>
      </c>
      <c r="E6908" t="s">
        <v>6397</v>
      </c>
      <c r="F6908" t="s">
        <v>4069</v>
      </c>
      <c r="G6908">
        <v>2083724</v>
      </c>
      <c r="H6908" t="s">
        <v>26</v>
      </c>
      <c r="I6908" t="s">
        <v>4070</v>
      </c>
      <c r="J6908" t="str">
        <f>"9781118502211"</f>
        <v>9781118502211</v>
      </c>
      <c r="L6908">
        <v>0</v>
      </c>
      <c r="O6908" t="s">
        <v>28</v>
      </c>
      <c r="P6908" t="s">
        <v>29</v>
      </c>
      <c r="Q6908" s="1">
        <v>42278.620057870372</v>
      </c>
      <c r="R6908">
        <v>7</v>
      </c>
      <c r="S6908" t="s">
        <v>6400</v>
      </c>
      <c r="T6908" t="s">
        <v>4071</v>
      </c>
      <c r="U6908">
        <v>581.79999999999995</v>
      </c>
      <c r="V6908" s="3">
        <v>42187</v>
      </c>
    </row>
    <row r="6909" spans="1:22" x14ac:dyDescent="0.35">
      <c r="A6909" s="1">
        <v>42278.620057870372</v>
      </c>
      <c r="B6909" s="2">
        <v>0</v>
      </c>
      <c r="C6909" t="s">
        <v>6693</v>
      </c>
      <c r="D6909" t="s">
        <v>6396</v>
      </c>
      <c r="E6909" t="s">
        <v>6397</v>
      </c>
      <c r="F6909" t="s">
        <v>4069</v>
      </c>
      <c r="G6909">
        <v>2083724</v>
      </c>
      <c r="H6909" t="s">
        <v>26</v>
      </c>
      <c r="I6909" t="s">
        <v>4070</v>
      </c>
      <c r="J6909" t="str">
        <f>"9781118502211"</f>
        <v>9781118502211</v>
      </c>
      <c r="L6909">
        <v>0</v>
      </c>
      <c r="O6909" t="s">
        <v>30</v>
      </c>
      <c r="P6909" t="s">
        <v>29</v>
      </c>
      <c r="Q6909" s="1">
        <v>42278.620057870372</v>
      </c>
      <c r="R6909">
        <v>7</v>
      </c>
      <c r="S6909" t="s">
        <v>6400</v>
      </c>
      <c r="T6909" t="s">
        <v>4071</v>
      </c>
      <c r="U6909">
        <v>581.79999999999995</v>
      </c>
      <c r="V6909" s="3">
        <v>42187</v>
      </c>
    </row>
    <row r="6910" spans="1:22" x14ac:dyDescent="0.35">
      <c r="A6910" s="1">
        <v>42278.618530092594</v>
      </c>
      <c r="B6910" s="2">
        <v>1.5277777777777779E-3</v>
      </c>
      <c r="C6910" t="s">
        <v>6693</v>
      </c>
      <c r="D6910" t="s">
        <v>6396</v>
      </c>
      <c r="E6910" t="s">
        <v>6397</v>
      </c>
      <c r="F6910" t="s">
        <v>4069</v>
      </c>
      <c r="G6910">
        <v>2083724</v>
      </c>
      <c r="H6910" t="s">
        <v>26</v>
      </c>
      <c r="I6910" t="s">
        <v>4070</v>
      </c>
      <c r="J6910" t="str">
        <f>"9781118502211"</f>
        <v>9781118502211</v>
      </c>
      <c r="K6910" t="s">
        <v>10090</v>
      </c>
      <c r="L6910">
        <v>3</v>
      </c>
      <c r="O6910" t="s">
        <v>30</v>
      </c>
      <c r="P6910" t="s">
        <v>50</v>
      </c>
      <c r="S6910" t="s">
        <v>6400</v>
      </c>
      <c r="T6910" t="s">
        <v>4071</v>
      </c>
      <c r="U6910">
        <v>581.79999999999995</v>
      </c>
      <c r="V6910" s="3">
        <v>42187</v>
      </c>
    </row>
    <row r="6911" spans="1:22" x14ac:dyDescent="0.35">
      <c r="A6911" s="1">
        <v>42278.616331018522</v>
      </c>
      <c r="B6911" s="2">
        <v>1.1921296296296296E-3</v>
      </c>
      <c r="C6911" t="s">
        <v>4681</v>
      </c>
      <c r="D6911" t="s">
        <v>1222</v>
      </c>
      <c r="E6911" t="s">
        <v>1223</v>
      </c>
      <c r="F6911" t="s">
        <v>3263</v>
      </c>
      <c r="G6911">
        <v>1840835</v>
      </c>
      <c r="H6911" t="s">
        <v>26</v>
      </c>
      <c r="I6911" t="s">
        <v>108</v>
      </c>
      <c r="J6911" t="str">
        <f>"9781118950166"</f>
        <v>9781118950166</v>
      </c>
      <c r="K6911" t="s">
        <v>10399</v>
      </c>
      <c r="L6911">
        <v>11</v>
      </c>
      <c r="O6911" t="s">
        <v>30</v>
      </c>
      <c r="P6911" t="s">
        <v>42</v>
      </c>
      <c r="S6911" t="s">
        <v>1226</v>
      </c>
      <c r="T6911" t="s">
        <v>3264</v>
      </c>
      <c r="U6911">
        <v>338.10923789999998</v>
      </c>
      <c r="V6911" s="3">
        <v>41953</v>
      </c>
    </row>
    <row r="6912" spans="1:22" x14ac:dyDescent="0.35">
      <c r="A6912" s="1">
        <v>42278.616307870368</v>
      </c>
      <c r="B6912" s="2">
        <v>3.4722222222222222E-5</v>
      </c>
      <c r="C6912" t="s">
        <v>6693</v>
      </c>
      <c r="D6912" t="s">
        <v>6396</v>
      </c>
      <c r="E6912" t="s">
        <v>6397</v>
      </c>
      <c r="F6912" t="s">
        <v>10400</v>
      </c>
      <c r="G6912">
        <v>1895179</v>
      </c>
      <c r="H6912" t="s">
        <v>26</v>
      </c>
      <c r="I6912" t="s">
        <v>3152</v>
      </c>
      <c r="J6912" t="str">
        <f>"9781118974124"</f>
        <v>9781118974124</v>
      </c>
      <c r="K6912" t="s">
        <v>63</v>
      </c>
      <c r="L6912">
        <v>1</v>
      </c>
      <c r="O6912" t="s">
        <v>28</v>
      </c>
      <c r="P6912" t="s">
        <v>29</v>
      </c>
      <c r="Q6912" s="1">
        <v>42278.616307870368</v>
      </c>
      <c r="R6912">
        <v>7</v>
      </c>
      <c r="S6912" t="s">
        <v>6400</v>
      </c>
      <c r="T6912" t="s">
        <v>10401</v>
      </c>
      <c r="U6912">
        <v>25.1</v>
      </c>
      <c r="V6912" s="3">
        <v>42187</v>
      </c>
    </row>
    <row r="6913" spans="1:22" x14ac:dyDescent="0.35">
      <c r="A6913" s="1">
        <v>42278.616307870368</v>
      </c>
      <c r="B6913" s="2">
        <v>0</v>
      </c>
      <c r="C6913" t="s">
        <v>6693</v>
      </c>
      <c r="D6913" t="s">
        <v>6396</v>
      </c>
      <c r="E6913" t="s">
        <v>6397</v>
      </c>
      <c r="F6913" t="s">
        <v>10400</v>
      </c>
      <c r="G6913">
        <v>1895179</v>
      </c>
      <c r="H6913" t="s">
        <v>26</v>
      </c>
      <c r="I6913" t="s">
        <v>3152</v>
      </c>
      <c r="J6913" t="str">
        <f>"9781118974124"</f>
        <v>9781118974124</v>
      </c>
      <c r="L6913">
        <v>0</v>
      </c>
      <c r="O6913" t="s">
        <v>30</v>
      </c>
      <c r="P6913" t="s">
        <v>29</v>
      </c>
      <c r="Q6913" s="1">
        <v>42278.616307870368</v>
      </c>
      <c r="R6913">
        <v>7</v>
      </c>
      <c r="S6913" t="s">
        <v>6400</v>
      </c>
      <c r="T6913" t="s">
        <v>10401</v>
      </c>
      <c r="U6913">
        <v>25.1</v>
      </c>
      <c r="V6913" s="3">
        <v>42187</v>
      </c>
    </row>
    <row r="6914" spans="1:22" x14ac:dyDescent="0.35">
      <c r="A6914" s="1">
        <v>42278.616018518522</v>
      </c>
      <c r="B6914" s="2">
        <v>2.8935185185185189E-4</v>
      </c>
      <c r="C6914" t="s">
        <v>6693</v>
      </c>
      <c r="D6914" t="s">
        <v>6396</v>
      </c>
      <c r="E6914" t="s">
        <v>6397</v>
      </c>
      <c r="F6914" t="s">
        <v>10400</v>
      </c>
      <c r="G6914">
        <v>1895179</v>
      </c>
      <c r="H6914" t="s">
        <v>26</v>
      </c>
      <c r="I6914" t="s">
        <v>3152</v>
      </c>
      <c r="J6914" t="str">
        <f>"9781118974124"</f>
        <v>9781118974124</v>
      </c>
      <c r="K6914" t="s">
        <v>7074</v>
      </c>
      <c r="L6914">
        <v>3</v>
      </c>
      <c r="O6914" t="s">
        <v>30</v>
      </c>
      <c r="P6914" t="s">
        <v>50</v>
      </c>
      <c r="S6914" t="s">
        <v>6400</v>
      </c>
      <c r="T6914" t="s">
        <v>10401</v>
      </c>
      <c r="U6914">
        <v>25.1</v>
      </c>
      <c r="V6914" s="3">
        <v>42187</v>
      </c>
    </row>
    <row r="6915" spans="1:22" x14ac:dyDescent="0.35">
      <c r="A6915" s="1">
        <v>42278.603252314817</v>
      </c>
      <c r="B6915" s="2">
        <v>7.6851851851851847E-3</v>
      </c>
      <c r="C6915" t="s">
        <v>10402</v>
      </c>
      <c r="D6915" t="s">
        <v>125</v>
      </c>
      <c r="E6915" t="s">
        <v>126</v>
      </c>
      <c r="F6915" t="s">
        <v>3495</v>
      </c>
      <c r="G6915">
        <v>1655861</v>
      </c>
      <c r="H6915" t="s">
        <v>613</v>
      </c>
      <c r="I6915" t="s">
        <v>291</v>
      </c>
      <c r="J6915" t="str">
        <f>"9781469615578"</f>
        <v>9781469615578</v>
      </c>
      <c r="K6915" t="s">
        <v>10403</v>
      </c>
      <c r="L6915">
        <v>13</v>
      </c>
      <c r="O6915" t="s">
        <v>30</v>
      </c>
      <c r="P6915" t="s">
        <v>47</v>
      </c>
      <c r="Q6915" s="1">
        <v>42278.603252314817</v>
      </c>
      <c r="R6915">
        <v>1</v>
      </c>
      <c r="S6915" t="s">
        <v>128</v>
      </c>
      <c r="T6915" t="s">
        <v>3497</v>
      </c>
      <c r="U6915" t="s">
        <v>3498</v>
      </c>
      <c r="V6915" s="3">
        <v>41715</v>
      </c>
    </row>
    <row r="6916" spans="1:22" x14ac:dyDescent="0.35">
      <c r="A6916" s="1">
        <v>42278.596250000002</v>
      </c>
      <c r="B6916" s="2">
        <v>7.0023148148148154E-3</v>
      </c>
      <c r="C6916" t="s">
        <v>10402</v>
      </c>
      <c r="D6916" t="s">
        <v>125</v>
      </c>
      <c r="E6916" t="s">
        <v>126</v>
      </c>
      <c r="F6916" t="s">
        <v>3495</v>
      </c>
      <c r="G6916">
        <v>1655861</v>
      </c>
      <c r="H6916" t="s">
        <v>613</v>
      </c>
      <c r="I6916" t="s">
        <v>291</v>
      </c>
      <c r="J6916" t="str">
        <f>"9781469615578"</f>
        <v>9781469615578</v>
      </c>
      <c r="K6916" t="s">
        <v>10404</v>
      </c>
      <c r="L6916">
        <v>3</v>
      </c>
      <c r="O6916" t="s">
        <v>30</v>
      </c>
      <c r="P6916" t="s">
        <v>50</v>
      </c>
      <c r="S6916" t="s">
        <v>128</v>
      </c>
      <c r="T6916" t="s">
        <v>3497</v>
      </c>
      <c r="U6916" t="s">
        <v>3498</v>
      </c>
      <c r="V6916" s="3">
        <v>41715</v>
      </c>
    </row>
    <row r="6917" spans="1:22" x14ac:dyDescent="0.35">
      <c r="A6917" s="1">
        <v>42278.594907407409</v>
      </c>
      <c r="B6917" s="2">
        <v>6.9444444444444444E-5</v>
      </c>
      <c r="C6917" t="s">
        <v>6693</v>
      </c>
      <c r="D6917" t="s">
        <v>6396</v>
      </c>
      <c r="E6917" t="s">
        <v>6397</v>
      </c>
      <c r="F6917" t="s">
        <v>5595</v>
      </c>
      <c r="G6917">
        <v>2038001</v>
      </c>
      <c r="H6917" t="s">
        <v>84</v>
      </c>
      <c r="I6917" t="s">
        <v>5596</v>
      </c>
      <c r="J6917" t="str">
        <f>"9780520961296"</f>
        <v>9780520961296</v>
      </c>
      <c r="K6917" t="s">
        <v>63</v>
      </c>
      <c r="L6917">
        <v>1</v>
      </c>
      <c r="O6917" t="s">
        <v>28</v>
      </c>
      <c r="P6917" t="s">
        <v>47</v>
      </c>
      <c r="Q6917" s="1">
        <v>42278.594907407409</v>
      </c>
      <c r="R6917">
        <v>1</v>
      </c>
      <c r="S6917" t="s">
        <v>6400</v>
      </c>
      <c r="T6917" t="s">
        <v>5597</v>
      </c>
      <c r="U6917">
        <v>641.87199999999996</v>
      </c>
      <c r="V6917" s="3">
        <v>42255</v>
      </c>
    </row>
    <row r="6918" spans="1:22" x14ac:dyDescent="0.35">
      <c r="A6918" s="1">
        <v>42278.594907407409</v>
      </c>
      <c r="B6918" s="2">
        <v>0</v>
      </c>
      <c r="C6918" t="s">
        <v>6693</v>
      </c>
      <c r="D6918" t="s">
        <v>6396</v>
      </c>
      <c r="E6918" t="s">
        <v>6397</v>
      </c>
      <c r="F6918" t="s">
        <v>5595</v>
      </c>
      <c r="G6918">
        <v>2038001</v>
      </c>
      <c r="H6918" t="s">
        <v>84</v>
      </c>
      <c r="I6918" t="s">
        <v>5596</v>
      </c>
      <c r="J6918" t="str">
        <f>"9780520961296"</f>
        <v>9780520961296</v>
      </c>
      <c r="L6918">
        <v>0</v>
      </c>
      <c r="O6918" t="s">
        <v>30</v>
      </c>
      <c r="P6918" t="s">
        <v>47</v>
      </c>
      <c r="Q6918" s="1">
        <v>42278.594907407409</v>
      </c>
      <c r="R6918">
        <v>1</v>
      </c>
      <c r="S6918" t="s">
        <v>6400</v>
      </c>
      <c r="T6918" t="s">
        <v>5597</v>
      </c>
      <c r="U6918">
        <v>641.87199999999996</v>
      </c>
      <c r="V6918" s="3">
        <v>42255</v>
      </c>
    </row>
    <row r="6919" spans="1:22" x14ac:dyDescent="0.35">
      <c r="A6919" s="1">
        <v>42278.594687500001</v>
      </c>
      <c r="B6919" s="2">
        <v>2.199074074074074E-4</v>
      </c>
      <c r="C6919" t="s">
        <v>6693</v>
      </c>
      <c r="D6919" t="s">
        <v>6396</v>
      </c>
      <c r="E6919" t="s">
        <v>6397</v>
      </c>
      <c r="F6919" t="s">
        <v>5595</v>
      </c>
      <c r="G6919">
        <v>2038001</v>
      </c>
      <c r="H6919" t="s">
        <v>84</v>
      </c>
      <c r="I6919" t="s">
        <v>5596</v>
      </c>
      <c r="J6919" t="str">
        <f>"9780520961296"</f>
        <v>9780520961296</v>
      </c>
      <c r="K6919" t="s">
        <v>10405</v>
      </c>
      <c r="L6919">
        <v>3</v>
      </c>
      <c r="O6919" t="s">
        <v>30</v>
      </c>
      <c r="P6919" t="s">
        <v>50</v>
      </c>
      <c r="S6919" t="s">
        <v>6400</v>
      </c>
      <c r="T6919" t="s">
        <v>5597</v>
      </c>
      <c r="U6919">
        <v>641.87199999999996</v>
      </c>
      <c r="V6919" s="3">
        <v>42255</v>
      </c>
    </row>
    <row r="6920" spans="1:22" x14ac:dyDescent="0.35">
      <c r="A6920" s="1">
        <v>42278.594293981485</v>
      </c>
      <c r="B6920" s="2">
        <v>0</v>
      </c>
      <c r="C6920" t="s">
        <v>6693</v>
      </c>
      <c r="D6920" t="s">
        <v>6396</v>
      </c>
      <c r="E6920" t="s">
        <v>6397</v>
      </c>
      <c r="F6920" t="s">
        <v>10406</v>
      </c>
      <c r="G6920">
        <v>2075057</v>
      </c>
      <c r="H6920" t="s">
        <v>26</v>
      </c>
      <c r="I6920" t="s">
        <v>5986</v>
      </c>
      <c r="J6920" t="str">
        <f>"9781118861875"</f>
        <v>9781118861875</v>
      </c>
      <c r="L6920">
        <v>0</v>
      </c>
      <c r="O6920" t="s">
        <v>28</v>
      </c>
      <c r="P6920" t="s">
        <v>29</v>
      </c>
      <c r="Q6920" s="1">
        <v>42278.594293981485</v>
      </c>
      <c r="R6920">
        <v>7</v>
      </c>
      <c r="S6920" t="s">
        <v>6400</v>
      </c>
      <c r="T6920" t="s">
        <v>10407</v>
      </c>
      <c r="U6920" t="s">
        <v>10408</v>
      </c>
      <c r="V6920" s="3">
        <v>42170</v>
      </c>
    </row>
    <row r="6921" spans="1:22" x14ac:dyDescent="0.35">
      <c r="A6921" s="1">
        <v>42278.594293981485</v>
      </c>
      <c r="B6921" s="2">
        <v>0</v>
      </c>
      <c r="C6921" t="s">
        <v>6693</v>
      </c>
      <c r="D6921" t="s">
        <v>6396</v>
      </c>
      <c r="E6921" t="s">
        <v>6397</v>
      </c>
      <c r="F6921" t="s">
        <v>10406</v>
      </c>
      <c r="G6921">
        <v>2075057</v>
      </c>
      <c r="H6921" t="s">
        <v>26</v>
      </c>
      <c r="I6921" t="s">
        <v>5986</v>
      </c>
      <c r="J6921" t="str">
        <f>"9781118861875"</f>
        <v>9781118861875</v>
      </c>
      <c r="L6921">
        <v>0</v>
      </c>
      <c r="O6921" t="s">
        <v>30</v>
      </c>
      <c r="P6921" t="s">
        <v>29</v>
      </c>
      <c r="Q6921" s="1">
        <v>42278.594293981485</v>
      </c>
      <c r="R6921">
        <v>7</v>
      </c>
      <c r="S6921" t="s">
        <v>6400</v>
      </c>
      <c r="T6921" t="s">
        <v>10407</v>
      </c>
      <c r="U6921" t="s">
        <v>10408</v>
      </c>
      <c r="V6921" s="3">
        <v>42170</v>
      </c>
    </row>
    <row r="6922" spans="1:22" x14ac:dyDescent="0.35">
      <c r="A6922" s="1">
        <v>42278.593842592592</v>
      </c>
      <c r="B6922" s="2">
        <v>4.5138888888888892E-4</v>
      </c>
      <c r="C6922" t="s">
        <v>6693</v>
      </c>
      <c r="D6922" t="s">
        <v>6396</v>
      </c>
      <c r="E6922" t="s">
        <v>6397</v>
      </c>
      <c r="F6922" t="s">
        <v>10406</v>
      </c>
      <c r="G6922">
        <v>2075057</v>
      </c>
      <c r="H6922" t="s">
        <v>26</v>
      </c>
      <c r="I6922" t="s">
        <v>5986</v>
      </c>
      <c r="J6922" t="str">
        <f>"9781118861875"</f>
        <v>9781118861875</v>
      </c>
      <c r="K6922" t="s">
        <v>1109</v>
      </c>
      <c r="L6922">
        <v>3</v>
      </c>
      <c r="O6922" t="s">
        <v>30</v>
      </c>
      <c r="P6922" t="s">
        <v>50</v>
      </c>
      <c r="S6922" t="s">
        <v>6400</v>
      </c>
      <c r="T6922" t="s">
        <v>10407</v>
      </c>
      <c r="U6922" t="s">
        <v>10408</v>
      </c>
      <c r="V6922" s="3">
        <v>42170</v>
      </c>
    </row>
    <row r="6923" spans="1:22" x14ac:dyDescent="0.35">
      <c r="A6923" s="1">
        <v>42278.592997685184</v>
      </c>
      <c r="B6923" s="2">
        <v>4.6296296296296294E-5</v>
      </c>
      <c r="C6923" t="s">
        <v>9250</v>
      </c>
      <c r="D6923" t="s">
        <v>125</v>
      </c>
      <c r="E6923" t="s">
        <v>126</v>
      </c>
      <c r="F6923" t="s">
        <v>9251</v>
      </c>
      <c r="G6923">
        <v>2031464</v>
      </c>
      <c r="H6923" t="s">
        <v>84</v>
      </c>
      <c r="I6923" t="s">
        <v>120</v>
      </c>
      <c r="J6923" t="str">
        <f>"9780520958081"</f>
        <v>9780520958081</v>
      </c>
      <c r="K6923" t="s">
        <v>33</v>
      </c>
      <c r="L6923">
        <v>3</v>
      </c>
      <c r="O6923" t="s">
        <v>30</v>
      </c>
      <c r="P6923" t="s">
        <v>47</v>
      </c>
      <c r="Q6923" s="1">
        <v>42278.592997685184</v>
      </c>
      <c r="R6923">
        <v>1</v>
      </c>
      <c r="S6923" t="s">
        <v>128</v>
      </c>
      <c r="T6923" t="s">
        <v>9253</v>
      </c>
      <c r="U6923" t="s">
        <v>9254</v>
      </c>
      <c r="V6923" s="3">
        <v>42217</v>
      </c>
    </row>
    <row r="6924" spans="1:22" x14ac:dyDescent="0.35">
      <c r="A6924" s="1">
        <v>42278.592210648145</v>
      </c>
      <c r="B6924" s="2">
        <v>8.1018518518518516E-5</v>
      </c>
      <c r="C6924" t="s">
        <v>9250</v>
      </c>
      <c r="D6924" t="s">
        <v>125</v>
      </c>
      <c r="E6924" t="s">
        <v>126</v>
      </c>
      <c r="F6924" t="s">
        <v>9251</v>
      </c>
      <c r="G6924">
        <v>2031464</v>
      </c>
      <c r="H6924" t="s">
        <v>84</v>
      </c>
      <c r="I6924" t="s">
        <v>120</v>
      </c>
      <c r="J6924" t="str">
        <f>"9780520958081"</f>
        <v>9780520958081</v>
      </c>
      <c r="K6924" t="s">
        <v>611</v>
      </c>
      <c r="L6924">
        <v>3</v>
      </c>
      <c r="O6924" t="s">
        <v>30</v>
      </c>
      <c r="P6924" t="s">
        <v>50</v>
      </c>
      <c r="S6924" t="s">
        <v>128</v>
      </c>
      <c r="T6924" t="s">
        <v>9253</v>
      </c>
      <c r="U6924" t="s">
        <v>9254</v>
      </c>
      <c r="V6924" s="3">
        <v>42217</v>
      </c>
    </row>
    <row r="6925" spans="1:22" x14ac:dyDescent="0.35">
      <c r="A6925" s="1">
        <v>42278.588634259257</v>
      </c>
      <c r="B6925" s="2">
        <v>4.363425925925926E-3</v>
      </c>
      <c r="C6925" t="s">
        <v>9250</v>
      </c>
      <c r="D6925" t="s">
        <v>125</v>
      </c>
      <c r="E6925" t="s">
        <v>126</v>
      </c>
      <c r="F6925" t="s">
        <v>9251</v>
      </c>
      <c r="G6925">
        <v>2031464</v>
      </c>
      <c r="H6925" t="s">
        <v>84</v>
      </c>
      <c r="I6925" t="s">
        <v>120</v>
      </c>
      <c r="J6925" t="str">
        <f>"9780520958081"</f>
        <v>9780520958081</v>
      </c>
      <c r="K6925" t="s">
        <v>10409</v>
      </c>
      <c r="L6925">
        <v>21</v>
      </c>
      <c r="O6925" t="s">
        <v>30</v>
      </c>
      <c r="P6925" t="s">
        <v>50</v>
      </c>
      <c r="S6925" t="s">
        <v>128</v>
      </c>
      <c r="T6925" t="s">
        <v>9253</v>
      </c>
      <c r="U6925" t="s">
        <v>9254</v>
      </c>
      <c r="V6925" s="3">
        <v>42217</v>
      </c>
    </row>
    <row r="6926" spans="1:22" x14ac:dyDescent="0.35">
      <c r="A6926" s="1">
        <v>42278.579606481479</v>
      </c>
      <c r="B6926" s="2">
        <v>0</v>
      </c>
      <c r="C6926" t="s">
        <v>10410</v>
      </c>
      <c r="D6926" t="s">
        <v>23</v>
      </c>
      <c r="E6926" t="s">
        <v>24</v>
      </c>
      <c r="F6926" t="s">
        <v>745</v>
      </c>
      <c r="G6926">
        <v>1166322</v>
      </c>
      <c r="H6926" t="s">
        <v>26</v>
      </c>
      <c r="I6926" t="s">
        <v>200</v>
      </c>
      <c r="J6926" t="str">
        <f>"9781118418512"</f>
        <v>9781118418512</v>
      </c>
      <c r="L6926">
        <v>0</v>
      </c>
      <c r="N6926" t="s">
        <v>10411</v>
      </c>
      <c r="O6926" t="s">
        <v>30</v>
      </c>
      <c r="P6926" t="s">
        <v>29</v>
      </c>
      <c r="Q6926" s="1">
        <v>42278.579606481479</v>
      </c>
      <c r="R6926">
        <v>7</v>
      </c>
      <c r="S6926" t="s">
        <v>31</v>
      </c>
      <c r="T6926" t="s">
        <v>747</v>
      </c>
      <c r="U6926">
        <v>720.072</v>
      </c>
      <c r="V6926" s="3">
        <v>41367</v>
      </c>
    </row>
    <row r="6927" spans="1:22" x14ac:dyDescent="0.35">
      <c r="A6927" s="1">
        <v>42278.57916666667</v>
      </c>
      <c r="B6927" s="2">
        <v>4.3981481481481481E-4</v>
      </c>
      <c r="C6927" t="s">
        <v>10410</v>
      </c>
      <c r="D6927" t="s">
        <v>23</v>
      </c>
      <c r="E6927" t="s">
        <v>24</v>
      </c>
      <c r="F6927" t="s">
        <v>745</v>
      </c>
      <c r="G6927">
        <v>1166322</v>
      </c>
      <c r="H6927" t="s">
        <v>26</v>
      </c>
      <c r="I6927" t="s">
        <v>200</v>
      </c>
      <c r="J6927" t="str">
        <f>"9781118418512"</f>
        <v>9781118418512</v>
      </c>
      <c r="K6927" t="s">
        <v>10412</v>
      </c>
      <c r="L6927">
        <v>9</v>
      </c>
      <c r="O6927" t="s">
        <v>30</v>
      </c>
      <c r="P6927" t="s">
        <v>42</v>
      </c>
      <c r="S6927" t="s">
        <v>31</v>
      </c>
      <c r="T6927" t="s">
        <v>747</v>
      </c>
      <c r="U6927">
        <v>720.072</v>
      </c>
      <c r="V6927" s="3">
        <v>41367</v>
      </c>
    </row>
    <row r="6928" spans="1:22" x14ac:dyDescent="0.35">
      <c r="A6928" s="1">
        <v>42278.573217592595</v>
      </c>
      <c r="B6928" s="2">
        <v>0</v>
      </c>
      <c r="C6928" t="s">
        <v>6693</v>
      </c>
      <c r="D6928" t="s">
        <v>6396</v>
      </c>
      <c r="E6928" t="s">
        <v>6397</v>
      </c>
      <c r="F6928" t="s">
        <v>10413</v>
      </c>
      <c r="G6928">
        <v>1991766</v>
      </c>
      <c r="H6928" t="s">
        <v>26</v>
      </c>
      <c r="I6928" t="s">
        <v>10414</v>
      </c>
      <c r="J6928" t="str">
        <f>"9781118867884"</f>
        <v>9781118867884</v>
      </c>
      <c r="L6928">
        <v>0</v>
      </c>
      <c r="O6928" t="s">
        <v>28</v>
      </c>
      <c r="P6928" t="s">
        <v>29</v>
      </c>
      <c r="Q6928" s="1">
        <v>42278.573217592595</v>
      </c>
      <c r="R6928">
        <v>7</v>
      </c>
      <c r="S6928" t="s">
        <v>6400</v>
      </c>
      <c r="T6928" t="s">
        <v>10415</v>
      </c>
      <c r="U6928">
        <v>658.83</v>
      </c>
      <c r="V6928" s="3">
        <v>42220</v>
      </c>
    </row>
    <row r="6929" spans="1:22" x14ac:dyDescent="0.35">
      <c r="A6929" s="1">
        <v>42278.573217592595</v>
      </c>
      <c r="B6929" s="2">
        <v>0</v>
      </c>
      <c r="C6929" t="s">
        <v>6693</v>
      </c>
      <c r="D6929" t="s">
        <v>6396</v>
      </c>
      <c r="E6929" t="s">
        <v>6397</v>
      </c>
      <c r="F6929" t="s">
        <v>10413</v>
      </c>
      <c r="G6929">
        <v>1991766</v>
      </c>
      <c r="H6929" t="s">
        <v>26</v>
      </c>
      <c r="I6929" t="s">
        <v>10414</v>
      </c>
      <c r="J6929" t="str">
        <f>"9781118867884"</f>
        <v>9781118867884</v>
      </c>
      <c r="L6929">
        <v>0</v>
      </c>
      <c r="O6929" t="s">
        <v>30</v>
      </c>
      <c r="P6929" t="s">
        <v>29</v>
      </c>
      <c r="Q6929" s="1">
        <v>42278.573217592595</v>
      </c>
      <c r="R6929">
        <v>7</v>
      </c>
      <c r="S6929" t="s">
        <v>6400</v>
      </c>
      <c r="T6929" t="s">
        <v>10415</v>
      </c>
      <c r="U6929">
        <v>658.83</v>
      </c>
      <c r="V6929" s="3">
        <v>42220</v>
      </c>
    </row>
    <row r="6930" spans="1:22" x14ac:dyDescent="0.35">
      <c r="A6930" s="1">
        <v>42278.571469907409</v>
      </c>
      <c r="B6930" s="2">
        <v>2.9050925925925928E-3</v>
      </c>
      <c r="C6930" t="s">
        <v>4179</v>
      </c>
      <c r="D6930" t="s">
        <v>158</v>
      </c>
      <c r="E6930" t="s">
        <v>159</v>
      </c>
      <c r="F6930" t="s">
        <v>8408</v>
      </c>
      <c r="G6930">
        <v>2078737</v>
      </c>
      <c r="H6930" t="s">
        <v>26</v>
      </c>
      <c r="I6930" t="s">
        <v>8409</v>
      </c>
      <c r="J6930" t="str">
        <f>"9781118974346"</f>
        <v>9781118974346</v>
      </c>
      <c r="K6930" t="s">
        <v>2235</v>
      </c>
      <c r="L6930">
        <v>1</v>
      </c>
      <c r="N6930" t="s">
        <v>10416</v>
      </c>
      <c r="O6930" t="s">
        <v>28</v>
      </c>
      <c r="P6930" t="s">
        <v>29</v>
      </c>
      <c r="Q6930" s="1">
        <v>42278.571469907409</v>
      </c>
      <c r="R6930">
        <v>7</v>
      </c>
      <c r="S6930" t="s">
        <v>163</v>
      </c>
      <c r="T6930" t="s">
        <v>8411</v>
      </c>
      <c r="U6930" t="s">
        <v>8412</v>
      </c>
      <c r="V6930" s="3">
        <v>42181</v>
      </c>
    </row>
    <row r="6931" spans="1:22" x14ac:dyDescent="0.35">
      <c r="A6931" s="1">
        <v>42278.571469907409</v>
      </c>
      <c r="B6931" s="2">
        <v>0</v>
      </c>
      <c r="C6931" t="s">
        <v>4179</v>
      </c>
      <c r="D6931" t="s">
        <v>158</v>
      </c>
      <c r="E6931" t="s">
        <v>159</v>
      </c>
      <c r="F6931" t="s">
        <v>8408</v>
      </c>
      <c r="G6931">
        <v>2078737</v>
      </c>
      <c r="H6931" t="s">
        <v>26</v>
      </c>
      <c r="I6931" t="s">
        <v>8409</v>
      </c>
      <c r="J6931" t="str">
        <f>"9781118974346"</f>
        <v>9781118974346</v>
      </c>
      <c r="L6931">
        <v>0</v>
      </c>
      <c r="O6931" t="s">
        <v>30</v>
      </c>
      <c r="P6931" t="s">
        <v>29</v>
      </c>
      <c r="Q6931" s="1">
        <v>42278.571469907409</v>
      </c>
      <c r="R6931">
        <v>7</v>
      </c>
      <c r="S6931" t="s">
        <v>163</v>
      </c>
      <c r="T6931" t="s">
        <v>8411</v>
      </c>
      <c r="U6931" t="s">
        <v>8412</v>
      </c>
      <c r="V6931" s="3">
        <v>42181</v>
      </c>
    </row>
    <row r="6932" spans="1:22" x14ac:dyDescent="0.35">
      <c r="A6932" s="1">
        <v>42278.56994212963</v>
      </c>
      <c r="B6932" s="2">
        <v>0</v>
      </c>
      <c r="C6932" t="s">
        <v>6693</v>
      </c>
      <c r="D6932" t="s">
        <v>6396</v>
      </c>
      <c r="E6932" t="s">
        <v>6397</v>
      </c>
      <c r="F6932" t="s">
        <v>1867</v>
      </c>
      <c r="G6932">
        <v>2122525</v>
      </c>
      <c r="H6932" t="s">
        <v>26</v>
      </c>
      <c r="I6932" t="s">
        <v>1325</v>
      </c>
      <c r="J6932" t="str">
        <f>"9781118369432"</f>
        <v>9781118369432</v>
      </c>
      <c r="L6932">
        <v>0</v>
      </c>
      <c r="O6932" t="s">
        <v>28</v>
      </c>
      <c r="P6932" t="s">
        <v>29</v>
      </c>
      <c r="Q6932" s="1">
        <v>42278.56994212963</v>
      </c>
      <c r="R6932">
        <v>7</v>
      </c>
      <c r="S6932" t="s">
        <v>6400</v>
      </c>
      <c r="T6932" t="s">
        <v>1869</v>
      </c>
      <c r="U6932">
        <v>362.18</v>
      </c>
      <c r="V6932" s="3">
        <v>42150</v>
      </c>
    </row>
    <row r="6933" spans="1:22" x14ac:dyDescent="0.35">
      <c r="A6933" s="1">
        <v>42278.56994212963</v>
      </c>
      <c r="B6933" s="2">
        <v>0</v>
      </c>
      <c r="C6933" t="s">
        <v>6693</v>
      </c>
      <c r="D6933" t="s">
        <v>6396</v>
      </c>
      <c r="E6933" t="s">
        <v>6397</v>
      </c>
      <c r="F6933" t="s">
        <v>1867</v>
      </c>
      <c r="G6933">
        <v>2122525</v>
      </c>
      <c r="H6933" t="s">
        <v>26</v>
      </c>
      <c r="I6933" t="s">
        <v>1325</v>
      </c>
      <c r="J6933" t="str">
        <f>"9781118369432"</f>
        <v>9781118369432</v>
      </c>
      <c r="L6933">
        <v>0</v>
      </c>
      <c r="O6933" t="s">
        <v>30</v>
      </c>
      <c r="P6933" t="s">
        <v>29</v>
      </c>
      <c r="Q6933" s="1">
        <v>42278.56994212963</v>
      </c>
      <c r="R6933">
        <v>7</v>
      </c>
      <c r="S6933" t="s">
        <v>6400</v>
      </c>
      <c r="T6933" t="s">
        <v>1869</v>
      </c>
      <c r="U6933">
        <v>362.18</v>
      </c>
      <c r="V6933" s="3">
        <v>42150</v>
      </c>
    </row>
    <row r="6934" spans="1:22" x14ac:dyDescent="0.35">
      <c r="A6934" s="1">
        <v>42278.569675925923</v>
      </c>
      <c r="B6934" s="2">
        <v>2.6620370370370372E-4</v>
      </c>
      <c r="C6934" t="s">
        <v>6693</v>
      </c>
      <c r="D6934" t="s">
        <v>6396</v>
      </c>
      <c r="E6934" t="s">
        <v>6397</v>
      </c>
      <c r="F6934" t="s">
        <v>1867</v>
      </c>
      <c r="G6934">
        <v>2122525</v>
      </c>
      <c r="H6934" t="s">
        <v>26</v>
      </c>
      <c r="I6934" t="s">
        <v>1325</v>
      </c>
      <c r="J6934" t="str">
        <f>"9781118369432"</f>
        <v>9781118369432</v>
      </c>
      <c r="K6934" t="s">
        <v>536</v>
      </c>
      <c r="L6934">
        <v>3</v>
      </c>
      <c r="O6934" t="s">
        <v>30</v>
      </c>
      <c r="P6934" t="s">
        <v>50</v>
      </c>
      <c r="S6934" t="s">
        <v>6400</v>
      </c>
      <c r="T6934" t="s">
        <v>1869</v>
      </c>
      <c r="U6934">
        <v>362.18</v>
      </c>
      <c r="V6934" s="3">
        <v>42150</v>
      </c>
    </row>
    <row r="6935" spans="1:22" x14ac:dyDescent="0.35">
      <c r="A6935" s="1">
        <v>42278.569421296299</v>
      </c>
      <c r="B6935" s="2">
        <v>3.7962962962962963E-3</v>
      </c>
      <c r="C6935" t="s">
        <v>6693</v>
      </c>
      <c r="D6935" t="s">
        <v>6396</v>
      </c>
      <c r="E6935" t="s">
        <v>6397</v>
      </c>
      <c r="F6935" t="s">
        <v>10413</v>
      </c>
      <c r="G6935">
        <v>1991766</v>
      </c>
      <c r="H6935" t="s">
        <v>26</v>
      </c>
      <c r="I6935" t="s">
        <v>10414</v>
      </c>
      <c r="J6935" t="str">
        <f>"9781118867884"</f>
        <v>9781118867884</v>
      </c>
      <c r="K6935" t="s">
        <v>536</v>
      </c>
      <c r="L6935">
        <v>3</v>
      </c>
      <c r="O6935" t="s">
        <v>30</v>
      </c>
      <c r="P6935" t="s">
        <v>50</v>
      </c>
      <c r="S6935" t="s">
        <v>6400</v>
      </c>
      <c r="T6935" t="s">
        <v>10415</v>
      </c>
      <c r="U6935">
        <v>658.83</v>
      </c>
      <c r="V6935" s="3">
        <v>42220</v>
      </c>
    </row>
    <row r="6936" spans="1:22" x14ac:dyDescent="0.35">
      <c r="A6936" s="1">
        <v>42278.569374999999</v>
      </c>
      <c r="B6936" s="2">
        <v>0</v>
      </c>
      <c r="C6936" t="s">
        <v>6693</v>
      </c>
      <c r="D6936" t="s">
        <v>6396</v>
      </c>
      <c r="E6936" t="s">
        <v>6397</v>
      </c>
      <c r="F6936" t="s">
        <v>10417</v>
      </c>
      <c r="G6936">
        <v>2038580</v>
      </c>
      <c r="H6936" t="s">
        <v>26</v>
      </c>
      <c r="I6936" t="s">
        <v>247</v>
      </c>
      <c r="J6936" t="str">
        <f>"9781119012948"</f>
        <v>9781119012948</v>
      </c>
      <c r="L6936">
        <v>0</v>
      </c>
      <c r="O6936" t="s">
        <v>28</v>
      </c>
      <c r="P6936" t="s">
        <v>29</v>
      </c>
      <c r="Q6936" s="1">
        <v>42278.569363425922</v>
      </c>
      <c r="R6936">
        <v>7</v>
      </c>
      <c r="S6936" t="s">
        <v>6400</v>
      </c>
      <c r="T6936" t="s">
        <v>10418</v>
      </c>
      <c r="U6936" t="s">
        <v>10419</v>
      </c>
      <c r="V6936" s="3">
        <v>42222</v>
      </c>
    </row>
    <row r="6937" spans="1:22" x14ac:dyDescent="0.35">
      <c r="A6937" s="1">
        <v>42278.569374999999</v>
      </c>
      <c r="B6937" s="2">
        <v>0</v>
      </c>
      <c r="C6937" t="s">
        <v>6693</v>
      </c>
      <c r="D6937" t="s">
        <v>6396</v>
      </c>
      <c r="E6937" t="s">
        <v>6397</v>
      </c>
      <c r="F6937" t="s">
        <v>10417</v>
      </c>
      <c r="G6937">
        <v>2038580</v>
      </c>
      <c r="H6937" t="s">
        <v>26</v>
      </c>
      <c r="I6937" t="s">
        <v>247</v>
      </c>
      <c r="J6937" t="str">
        <f>"9781119012948"</f>
        <v>9781119012948</v>
      </c>
      <c r="L6937">
        <v>0</v>
      </c>
      <c r="O6937" t="s">
        <v>30</v>
      </c>
      <c r="P6937" t="s">
        <v>29</v>
      </c>
      <c r="Q6937" s="1">
        <v>42278.569363425922</v>
      </c>
      <c r="R6937">
        <v>7</v>
      </c>
      <c r="S6937" t="s">
        <v>6400</v>
      </c>
      <c r="T6937" t="s">
        <v>10418</v>
      </c>
      <c r="U6937" t="s">
        <v>10419</v>
      </c>
      <c r="V6937" s="3">
        <v>42222</v>
      </c>
    </row>
    <row r="6938" spans="1:22" x14ac:dyDescent="0.35">
      <c r="A6938" s="1">
        <v>42278.568865740737</v>
      </c>
      <c r="B6938" s="2">
        <v>2.6041666666666665E-3</v>
      </c>
      <c r="C6938" t="s">
        <v>4179</v>
      </c>
      <c r="D6938" t="s">
        <v>158</v>
      </c>
      <c r="E6938" t="s">
        <v>159</v>
      </c>
      <c r="F6938" t="s">
        <v>8408</v>
      </c>
      <c r="G6938">
        <v>2078737</v>
      </c>
      <c r="H6938" t="s">
        <v>26</v>
      </c>
      <c r="I6938" t="s">
        <v>8409</v>
      </c>
      <c r="J6938" t="str">
        <f>"9781118974346"</f>
        <v>9781118974346</v>
      </c>
      <c r="K6938" t="s">
        <v>10420</v>
      </c>
      <c r="L6938">
        <v>8</v>
      </c>
      <c r="O6938" t="s">
        <v>30</v>
      </c>
      <c r="P6938" t="s">
        <v>50</v>
      </c>
      <c r="S6938" t="s">
        <v>163</v>
      </c>
      <c r="T6938" t="s">
        <v>8411</v>
      </c>
      <c r="U6938" t="s">
        <v>8412</v>
      </c>
      <c r="V6938" s="3">
        <v>42181</v>
      </c>
    </row>
    <row r="6939" spans="1:22" x14ac:dyDescent="0.35">
      <c r="A6939" s="1">
        <v>42278.56821759259</v>
      </c>
      <c r="B6939" s="2">
        <v>1.1458333333333333E-3</v>
      </c>
      <c r="C6939" t="s">
        <v>6693</v>
      </c>
      <c r="D6939" t="s">
        <v>6396</v>
      </c>
      <c r="E6939" t="s">
        <v>6397</v>
      </c>
      <c r="F6939" t="s">
        <v>10417</v>
      </c>
      <c r="G6939">
        <v>2038580</v>
      </c>
      <c r="H6939" t="s">
        <v>26</v>
      </c>
      <c r="I6939" t="s">
        <v>247</v>
      </c>
      <c r="J6939" t="str">
        <f>"9781119012948"</f>
        <v>9781119012948</v>
      </c>
      <c r="K6939" t="s">
        <v>536</v>
      </c>
      <c r="L6939">
        <v>3</v>
      </c>
      <c r="O6939" t="s">
        <v>30</v>
      </c>
      <c r="P6939" t="s">
        <v>50</v>
      </c>
      <c r="S6939" t="s">
        <v>6400</v>
      </c>
      <c r="T6939" t="s">
        <v>10418</v>
      </c>
      <c r="U6939" t="s">
        <v>10419</v>
      </c>
      <c r="V6939" s="3">
        <v>42222</v>
      </c>
    </row>
    <row r="6940" spans="1:22" x14ac:dyDescent="0.35">
      <c r="A6940" s="1">
        <v>42278.567719907405</v>
      </c>
      <c r="B6940" s="2">
        <v>0</v>
      </c>
      <c r="C6940" t="s">
        <v>6693</v>
      </c>
      <c r="D6940" t="s">
        <v>6396</v>
      </c>
      <c r="E6940" t="s">
        <v>6397</v>
      </c>
      <c r="F6940" t="s">
        <v>10421</v>
      </c>
      <c r="G6940">
        <v>2072491</v>
      </c>
      <c r="H6940" t="s">
        <v>26</v>
      </c>
      <c r="I6940" t="s">
        <v>120</v>
      </c>
      <c r="J6940" t="str">
        <f>"9780745698175"</f>
        <v>9780745698175</v>
      </c>
      <c r="L6940">
        <v>0</v>
      </c>
      <c r="O6940" t="s">
        <v>28</v>
      </c>
      <c r="P6940" t="s">
        <v>29</v>
      </c>
      <c r="Q6940" s="1">
        <v>42278.567719907405</v>
      </c>
      <c r="R6940">
        <v>7</v>
      </c>
      <c r="S6940" t="s">
        <v>6400</v>
      </c>
      <c r="T6940" t="s">
        <v>10422</v>
      </c>
      <c r="U6940" t="s">
        <v>10423</v>
      </c>
      <c r="V6940" s="3">
        <v>42222</v>
      </c>
    </row>
    <row r="6941" spans="1:22" x14ac:dyDescent="0.35">
      <c r="A6941" s="1">
        <v>42278.567719907405</v>
      </c>
      <c r="B6941" s="2">
        <v>0</v>
      </c>
      <c r="C6941" t="s">
        <v>6693</v>
      </c>
      <c r="D6941" t="s">
        <v>6396</v>
      </c>
      <c r="E6941" t="s">
        <v>6397</v>
      </c>
      <c r="F6941" t="s">
        <v>10421</v>
      </c>
      <c r="G6941">
        <v>2072491</v>
      </c>
      <c r="H6941" t="s">
        <v>26</v>
      </c>
      <c r="I6941" t="s">
        <v>120</v>
      </c>
      <c r="J6941" t="str">
        <f>"9780745698175"</f>
        <v>9780745698175</v>
      </c>
      <c r="L6941">
        <v>0</v>
      </c>
      <c r="O6941" t="s">
        <v>30</v>
      </c>
      <c r="P6941" t="s">
        <v>29</v>
      </c>
      <c r="Q6941" s="1">
        <v>42278.567719907405</v>
      </c>
      <c r="R6941">
        <v>7</v>
      </c>
      <c r="S6941" t="s">
        <v>6400</v>
      </c>
      <c r="T6941" t="s">
        <v>10422</v>
      </c>
      <c r="U6941" t="s">
        <v>10423</v>
      </c>
      <c r="V6941" s="3">
        <v>42222</v>
      </c>
    </row>
    <row r="6942" spans="1:22" x14ac:dyDescent="0.35">
      <c r="A6942" s="1">
        <v>42278.567233796297</v>
      </c>
      <c r="B6942" s="2">
        <v>1.1689814814814816E-3</v>
      </c>
      <c r="C6942" t="s">
        <v>10424</v>
      </c>
      <c r="D6942" t="s">
        <v>6396</v>
      </c>
      <c r="E6942" t="s">
        <v>6397</v>
      </c>
      <c r="F6942" t="s">
        <v>10425</v>
      </c>
      <c r="G6942">
        <v>1474606</v>
      </c>
      <c r="H6942" t="s">
        <v>68</v>
      </c>
      <c r="I6942" t="s">
        <v>1366</v>
      </c>
      <c r="J6942" t="str">
        <f>"9781135380663"</f>
        <v>9781135380663</v>
      </c>
      <c r="K6942" t="s">
        <v>10426</v>
      </c>
      <c r="L6942">
        <v>15</v>
      </c>
      <c r="O6942" t="s">
        <v>30</v>
      </c>
      <c r="P6942" t="s">
        <v>50</v>
      </c>
      <c r="S6942" t="s">
        <v>6400</v>
      </c>
      <c r="T6942" t="s">
        <v>10427</v>
      </c>
      <c r="U6942">
        <v>613.70709999999997</v>
      </c>
      <c r="V6942" s="3">
        <v>37135</v>
      </c>
    </row>
    <row r="6943" spans="1:22" x14ac:dyDescent="0.35">
      <c r="A6943" s="1">
        <v>42278.566770833335</v>
      </c>
      <c r="B6943" s="2">
        <v>9.4907407407407408E-4</v>
      </c>
      <c r="C6943" t="s">
        <v>6693</v>
      </c>
      <c r="D6943" t="s">
        <v>6396</v>
      </c>
      <c r="E6943" t="s">
        <v>6397</v>
      </c>
      <c r="F6943" t="s">
        <v>10421</v>
      </c>
      <c r="G6943">
        <v>2072491</v>
      </c>
      <c r="H6943" t="s">
        <v>26</v>
      </c>
      <c r="I6943" t="s">
        <v>120</v>
      </c>
      <c r="J6943" t="str">
        <f>"9780745698175"</f>
        <v>9780745698175</v>
      </c>
      <c r="K6943" t="s">
        <v>10428</v>
      </c>
      <c r="L6943">
        <v>3</v>
      </c>
      <c r="O6943" t="s">
        <v>30</v>
      </c>
      <c r="P6943" t="s">
        <v>42</v>
      </c>
      <c r="S6943" t="s">
        <v>6400</v>
      </c>
      <c r="T6943" t="s">
        <v>10422</v>
      </c>
      <c r="U6943" t="s">
        <v>10423</v>
      </c>
      <c r="V6943" s="3">
        <v>42222</v>
      </c>
    </row>
    <row r="6944" spans="1:22" x14ac:dyDescent="0.35">
      <c r="A6944" s="1">
        <v>42278.564351851855</v>
      </c>
      <c r="B6944" s="2">
        <v>0</v>
      </c>
      <c r="C6944" t="s">
        <v>6693</v>
      </c>
      <c r="D6944" t="s">
        <v>6396</v>
      </c>
      <c r="E6944" t="s">
        <v>6397</v>
      </c>
      <c r="F6944" t="s">
        <v>10429</v>
      </c>
      <c r="G6944">
        <v>2131036</v>
      </c>
      <c r="H6944" t="s">
        <v>26</v>
      </c>
      <c r="I6944" t="s">
        <v>970</v>
      </c>
      <c r="J6944" t="str">
        <f>"9781118930731"</f>
        <v>9781118930731</v>
      </c>
      <c r="L6944">
        <v>0</v>
      </c>
      <c r="O6944" t="s">
        <v>28</v>
      </c>
      <c r="P6944" t="s">
        <v>29</v>
      </c>
      <c r="Q6944" s="1">
        <v>42278.564351851855</v>
      </c>
      <c r="R6944">
        <v>7</v>
      </c>
      <c r="S6944" t="s">
        <v>6400</v>
      </c>
      <c r="T6944" t="s">
        <v>10430</v>
      </c>
      <c r="U6944" t="s">
        <v>10431</v>
      </c>
      <c r="V6944" s="3">
        <v>42214</v>
      </c>
    </row>
    <row r="6945" spans="1:22" x14ac:dyDescent="0.35">
      <c r="A6945" s="1">
        <v>42278.564351851855</v>
      </c>
      <c r="B6945" s="2">
        <v>0</v>
      </c>
      <c r="C6945" t="s">
        <v>6693</v>
      </c>
      <c r="D6945" t="s">
        <v>6396</v>
      </c>
      <c r="E6945" t="s">
        <v>6397</v>
      </c>
      <c r="F6945" t="s">
        <v>10429</v>
      </c>
      <c r="G6945">
        <v>2131036</v>
      </c>
      <c r="H6945" t="s">
        <v>26</v>
      </c>
      <c r="I6945" t="s">
        <v>970</v>
      </c>
      <c r="J6945" t="str">
        <f>"9781118930731"</f>
        <v>9781118930731</v>
      </c>
      <c r="L6945">
        <v>0</v>
      </c>
      <c r="O6945" t="s">
        <v>30</v>
      </c>
      <c r="P6945" t="s">
        <v>29</v>
      </c>
      <c r="Q6945" s="1">
        <v>42278.564351851855</v>
      </c>
      <c r="R6945">
        <v>7</v>
      </c>
      <c r="S6945" t="s">
        <v>6400</v>
      </c>
      <c r="T6945" t="s">
        <v>10430</v>
      </c>
      <c r="U6945" t="s">
        <v>10431</v>
      </c>
      <c r="V6945" s="3">
        <v>42214</v>
      </c>
    </row>
    <row r="6946" spans="1:22" x14ac:dyDescent="0.35">
      <c r="A6946" s="1">
        <v>42278.563634259262</v>
      </c>
      <c r="B6946" s="2">
        <v>4.6296296296296294E-5</v>
      </c>
      <c r="C6946" t="s">
        <v>7021</v>
      </c>
      <c r="D6946" t="s">
        <v>158</v>
      </c>
      <c r="E6946" t="s">
        <v>159</v>
      </c>
      <c r="F6946" t="s">
        <v>6985</v>
      </c>
      <c r="G6946">
        <v>1183913</v>
      </c>
      <c r="H6946" t="s">
        <v>26</v>
      </c>
      <c r="I6946" t="s">
        <v>5549</v>
      </c>
      <c r="J6946" t="str">
        <f>"9781118446423"</f>
        <v>9781118446423</v>
      </c>
      <c r="K6946" t="s">
        <v>33</v>
      </c>
      <c r="L6946">
        <v>3</v>
      </c>
      <c r="O6946" t="s">
        <v>30</v>
      </c>
      <c r="P6946" t="s">
        <v>42</v>
      </c>
      <c r="S6946" t="s">
        <v>163</v>
      </c>
      <c r="T6946" t="s">
        <v>6987</v>
      </c>
      <c r="U6946">
        <v>621.38099999999997</v>
      </c>
      <c r="V6946" s="3">
        <v>41393</v>
      </c>
    </row>
    <row r="6947" spans="1:22" x14ac:dyDescent="0.35">
      <c r="A6947" s="1">
        <v>42278.561782407407</v>
      </c>
      <c r="B6947" s="2">
        <v>2.5694444444444445E-3</v>
      </c>
      <c r="C6947" t="s">
        <v>6693</v>
      </c>
      <c r="D6947" t="s">
        <v>6396</v>
      </c>
      <c r="E6947" t="s">
        <v>6397</v>
      </c>
      <c r="F6947" t="s">
        <v>10429</v>
      </c>
      <c r="G6947">
        <v>2131036</v>
      </c>
      <c r="H6947" t="s">
        <v>26</v>
      </c>
      <c r="I6947" t="s">
        <v>970</v>
      </c>
      <c r="J6947" t="str">
        <f>"9781118930731"</f>
        <v>9781118930731</v>
      </c>
      <c r="K6947" t="s">
        <v>10432</v>
      </c>
      <c r="L6947">
        <v>5</v>
      </c>
      <c r="O6947" t="s">
        <v>30</v>
      </c>
      <c r="P6947" t="s">
        <v>50</v>
      </c>
      <c r="S6947" t="s">
        <v>6400</v>
      </c>
      <c r="T6947" t="s">
        <v>10430</v>
      </c>
      <c r="U6947" t="s">
        <v>10431</v>
      </c>
      <c r="V6947" s="3">
        <v>42214</v>
      </c>
    </row>
    <row r="6948" spans="1:22" x14ac:dyDescent="0.35">
      <c r="A6948" s="1">
        <v>42278.477141203701</v>
      </c>
      <c r="B6948" s="2">
        <v>1.4120370370370369E-3</v>
      </c>
      <c r="C6948" t="s">
        <v>4644</v>
      </c>
      <c r="D6948" t="s">
        <v>23</v>
      </c>
      <c r="E6948" t="s">
        <v>24</v>
      </c>
      <c r="F6948" t="s">
        <v>745</v>
      </c>
      <c r="G6948">
        <v>1166322</v>
      </c>
      <c r="H6948" t="s">
        <v>26</v>
      </c>
      <c r="I6948" t="s">
        <v>200</v>
      </c>
      <c r="J6948" t="str">
        <f>"9781118418512"</f>
        <v>9781118418512</v>
      </c>
      <c r="K6948" t="s">
        <v>10433</v>
      </c>
      <c r="L6948">
        <v>43</v>
      </c>
      <c r="N6948" t="s">
        <v>10434</v>
      </c>
      <c r="O6948" t="s">
        <v>30</v>
      </c>
      <c r="P6948" t="s">
        <v>29</v>
      </c>
      <c r="Q6948" s="1">
        <v>42278.477141203701</v>
      </c>
      <c r="R6948">
        <v>7</v>
      </c>
      <c r="S6948" t="s">
        <v>31</v>
      </c>
      <c r="T6948" t="s">
        <v>747</v>
      </c>
      <c r="U6948">
        <v>720.072</v>
      </c>
      <c r="V6948" s="3">
        <v>41367</v>
      </c>
    </row>
    <row r="6949" spans="1:22" x14ac:dyDescent="0.35">
      <c r="A6949" s="1">
        <v>42278.47625</v>
      </c>
      <c r="B6949" s="2">
        <v>8.9120370370370362E-4</v>
      </c>
      <c r="C6949" t="s">
        <v>4644</v>
      </c>
      <c r="D6949" t="s">
        <v>23</v>
      </c>
      <c r="E6949" t="s">
        <v>24</v>
      </c>
      <c r="F6949" t="s">
        <v>745</v>
      </c>
      <c r="G6949">
        <v>1166322</v>
      </c>
      <c r="H6949" t="s">
        <v>26</v>
      </c>
      <c r="I6949" t="s">
        <v>200</v>
      </c>
      <c r="J6949" t="str">
        <f>"9781118418512"</f>
        <v>9781118418512</v>
      </c>
      <c r="K6949" t="s">
        <v>10435</v>
      </c>
      <c r="L6949">
        <v>10</v>
      </c>
      <c r="O6949" t="s">
        <v>30</v>
      </c>
      <c r="P6949" t="s">
        <v>42</v>
      </c>
      <c r="S6949" t="s">
        <v>31</v>
      </c>
      <c r="T6949" t="s">
        <v>747</v>
      </c>
      <c r="U6949">
        <v>720.072</v>
      </c>
      <c r="V6949" s="3">
        <v>41367</v>
      </c>
    </row>
    <row r="6950" spans="1:22" x14ac:dyDescent="0.35">
      <c r="A6950" s="1">
        <v>42278.448009259257</v>
      </c>
      <c r="B6950" s="2">
        <v>2.3842592592592591E-3</v>
      </c>
      <c r="C6950" t="s">
        <v>10436</v>
      </c>
      <c r="D6950" t="s">
        <v>211</v>
      </c>
      <c r="E6950" t="s">
        <v>212</v>
      </c>
      <c r="F6950" t="s">
        <v>10437</v>
      </c>
      <c r="G6950">
        <v>1138983</v>
      </c>
      <c r="H6950" t="s">
        <v>26</v>
      </c>
      <c r="I6950" t="s">
        <v>69</v>
      </c>
      <c r="J6950" t="str">
        <f>"9781118424315"</f>
        <v>9781118424315</v>
      </c>
      <c r="K6950" t="s">
        <v>10438</v>
      </c>
      <c r="L6950">
        <v>11</v>
      </c>
      <c r="O6950" t="s">
        <v>30</v>
      </c>
      <c r="P6950" t="s">
        <v>50</v>
      </c>
      <c r="S6950" t="s">
        <v>214</v>
      </c>
      <c r="T6950" t="s">
        <v>10439</v>
      </c>
      <c r="U6950" t="s">
        <v>10440</v>
      </c>
      <c r="V6950" s="3">
        <v>41333</v>
      </c>
    </row>
    <row r="6951" spans="1:22" x14ac:dyDescent="0.35">
      <c r="A6951" s="1">
        <v>42278.240798611114</v>
      </c>
      <c r="B6951" s="2">
        <v>3.2407407407407406E-4</v>
      </c>
      <c r="C6951" t="s">
        <v>10441</v>
      </c>
      <c r="D6951" t="s">
        <v>23</v>
      </c>
      <c r="E6951" t="s">
        <v>24</v>
      </c>
      <c r="F6951" t="s">
        <v>745</v>
      </c>
      <c r="G6951">
        <v>1166322</v>
      </c>
      <c r="H6951" t="s">
        <v>26</v>
      </c>
      <c r="I6951" t="s">
        <v>200</v>
      </c>
      <c r="J6951" t="str">
        <f>"9781118418512"</f>
        <v>9781118418512</v>
      </c>
      <c r="K6951" t="s">
        <v>10442</v>
      </c>
      <c r="L6951">
        <v>22</v>
      </c>
      <c r="O6951" t="s">
        <v>30</v>
      </c>
      <c r="P6951" t="s">
        <v>29</v>
      </c>
      <c r="Q6951" s="1">
        <v>42278.240787037037</v>
      </c>
      <c r="R6951">
        <v>7</v>
      </c>
      <c r="S6951" t="s">
        <v>31</v>
      </c>
      <c r="T6951" t="s">
        <v>747</v>
      </c>
      <c r="U6951">
        <v>720.072</v>
      </c>
      <c r="V6951" s="3">
        <v>41367</v>
      </c>
    </row>
    <row r="6952" spans="1:22" x14ac:dyDescent="0.35">
      <c r="A6952" s="1">
        <v>42278.222118055557</v>
      </c>
      <c r="B6952" s="2">
        <v>1.8668981481481481E-2</v>
      </c>
      <c r="C6952" t="s">
        <v>10441</v>
      </c>
      <c r="D6952" t="s">
        <v>23</v>
      </c>
      <c r="E6952" t="s">
        <v>24</v>
      </c>
      <c r="F6952" t="s">
        <v>745</v>
      </c>
      <c r="G6952">
        <v>1166322</v>
      </c>
      <c r="H6952" t="s">
        <v>26</v>
      </c>
      <c r="I6952" t="s">
        <v>200</v>
      </c>
      <c r="J6952" t="str">
        <f>"9781118418512"</f>
        <v>9781118418512</v>
      </c>
      <c r="K6952" t="s">
        <v>10443</v>
      </c>
      <c r="L6952">
        <v>17</v>
      </c>
      <c r="O6952" t="s">
        <v>30</v>
      </c>
      <c r="P6952" t="s">
        <v>42</v>
      </c>
      <c r="S6952" t="s">
        <v>31</v>
      </c>
      <c r="T6952" t="s">
        <v>747</v>
      </c>
      <c r="U6952">
        <v>720.072</v>
      </c>
      <c r="V6952" s="3">
        <v>41367</v>
      </c>
    </row>
    <row r="6953" spans="1:22" x14ac:dyDescent="0.35">
      <c r="A6953" s="1">
        <v>42278.213229166664</v>
      </c>
      <c r="B6953" s="2">
        <v>6.2500000000000001E-4</v>
      </c>
      <c r="C6953" t="s">
        <v>5902</v>
      </c>
      <c r="D6953" t="s">
        <v>35</v>
      </c>
      <c r="E6953" t="s">
        <v>36</v>
      </c>
      <c r="F6953" t="s">
        <v>986</v>
      </c>
      <c r="G6953">
        <v>968030</v>
      </c>
      <c r="H6953" t="s">
        <v>26</v>
      </c>
      <c r="I6953" t="s">
        <v>219</v>
      </c>
      <c r="J6953" t="str">
        <f>"9781118285138"</f>
        <v>9781118285138</v>
      </c>
      <c r="K6953" t="s">
        <v>10444</v>
      </c>
      <c r="L6953">
        <v>23</v>
      </c>
      <c r="O6953" t="s">
        <v>30</v>
      </c>
      <c r="P6953" t="s">
        <v>29</v>
      </c>
      <c r="Q6953" s="1">
        <v>42277.994930555556</v>
      </c>
      <c r="R6953">
        <v>7</v>
      </c>
      <c r="S6953" t="s">
        <v>40</v>
      </c>
      <c r="T6953" t="s">
        <v>987</v>
      </c>
      <c r="U6953">
        <v>158.30000000000001</v>
      </c>
      <c r="V6953" s="3">
        <v>41100</v>
      </c>
    </row>
    <row r="6954" spans="1:22" x14ac:dyDescent="0.35">
      <c r="A6954" s="1">
        <v>42278.111631944441</v>
      </c>
      <c r="B6954" s="2">
        <v>3.7037037037037034E-3</v>
      </c>
      <c r="C6954" t="s">
        <v>4673</v>
      </c>
      <c r="D6954" t="s">
        <v>23</v>
      </c>
      <c r="E6954" t="s">
        <v>24</v>
      </c>
      <c r="F6954" t="s">
        <v>745</v>
      </c>
      <c r="G6954">
        <v>1166322</v>
      </c>
      <c r="H6954" t="s">
        <v>26</v>
      </c>
      <c r="I6954" t="s">
        <v>200</v>
      </c>
      <c r="J6954" t="str">
        <f>"9781118418512"</f>
        <v>9781118418512</v>
      </c>
      <c r="K6954" t="s">
        <v>10445</v>
      </c>
      <c r="L6954">
        <v>11</v>
      </c>
      <c r="N6954" t="s">
        <v>10446</v>
      </c>
      <c r="O6954" t="s">
        <v>30</v>
      </c>
      <c r="P6954" t="s">
        <v>29</v>
      </c>
      <c r="Q6954" s="1">
        <v>42278.111631944441</v>
      </c>
      <c r="R6954">
        <v>7</v>
      </c>
      <c r="S6954" t="s">
        <v>31</v>
      </c>
      <c r="T6954" t="s">
        <v>747</v>
      </c>
      <c r="U6954">
        <v>720.072</v>
      </c>
      <c r="V6954" s="3">
        <v>41367</v>
      </c>
    </row>
    <row r="6955" spans="1:22" x14ac:dyDescent="0.35">
      <c r="A6955" s="1">
        <v>42278.106041666666</v>
      </c>
      <c r="B6955" s="2">
        <v>1.8402777777777777E-3</v>
      </c>
      <c r="C6955" t="s">
        <v>10447</v>
      </c>
      <c r="D6955" t="s">
        <v>623</v>
      </c>
      <c r="E6955" t="s">
        <v>624</v>
      </c>
      <c r="F6955" t="s">
        <v>10448</v>
      </c>
      <c r="G6955">
        <v>1318188</v>
      </c>
      <c r="H6955" t="s">
        <v>84</v>
      </c>
      <c r="I6955" t="s">
        <v>445</v>
      </c>
      <c r="J6955" t="str">
        <f>"9780520957015"</f>
        <v>9780520957015</v>
      </c>
      <c r="K6955" t="s">
        <v>10449</v>
      </c>
      <c r="L6955">
        <v>17</v>
      </c>
      <c r="O6955" t="s">
        <v>30</v>
      </c>
      <c r="P6955" t="s">
        <v>47</v>
      </c>
      <c r="Q6955" s="1">
        <v>42278.106041666666</v>
      </c>
      <c r="R6955">
        <v>1</v>
      </c>
      <c r="S6955" t="s">
        <v>627</v>
      </c>
      <c r="T6955" t="s">
        <v>10450</v>
      </c>
      <c r="U6955" t="s">
        <v>10451</v>
      </c>
      <c r="V6955" s="3">
        <v>41535</v>
      </c>
    </row>
    <row r="6956" spans="1:22" x14ac:dyDescent="0.35">
      <c r="A6956" s="1">
        <v>42278.106041666666</v>
      </c>
      <c r="B6956" s="2">
        <v>5.5902777777777782E-3</v>
      </c>
      <c r="C6956" t="s">
        <v>4673</v>
      </c>
      <c r="D6956" t="s">
        <v>23</v>
      </c>
      <c r="E6956" t="s">
        <v>24</v>
      </c>
      <c r="F6956" t="s">
        <v>745</v>
      </c>
      <c r="G6956">
        <v>1166322</v>
      </c>
      <c r="H6956" t="s">
        <v>26</v>
      </c>
      <c r="I6956" t="s">
        <v>200</v>
      </c>
      <c r="J6956" t="str">
        <f>"9781118418512"</f>
        <v>9781118418512</v>
      </c>
      <c r="K6956" t="s">
        <v>10452</v>
      </c>
      <c r="L6956">
        <v>8</v>
      </c>
      <c r="O6956" t="s">
        <v>30</v>
      </c>
      <c r="P6956" t="s">
        <v>42</v>
      </c>
      <c r="S6956" t="s">
        <v>31</v>
      </c>
      <c r="T6956" t="s">
        <v>747</v>
      </c>
      <c r="U6956">
        <v>720.072</v>
      </c>
      <c r="V6956" s="3">
        <v>41367</v>
      </c>
    </row>
    <row r="6957" spans="1:22" x14ac:dyDescent="0.35">
      <c r="A6957" s="1">
        <v>42278.10224537037</v>
      </c>
      <c r="B6957" s="2">
        <v>3.7962962962962963E-3</v>
      </c>
      <c r="C6957" t="s">
        <v>10447</v>
      </c>
      <c r="D6957" t="s">
        <v>623</v>
      </c>
      <c r="E6957" t="s">
        <v>624</v>
      </c>
      <c r="F6957" t="s">
        <v>10448</v>
      </c>
      <c r="G6957">
        <v>1318188</v>
      </c>
      <c r="H6957" t="s">
        <v>84</v>
      </c>
      <c r="I6957" t="s">
        <v>445</v>
      </c>
      <c r="J6957" t="str">
        <f>"9780520957015"</f>
        <v>9780520957015</v>
      </c>
      <c r="K6957" t="s">
        <v>10453</v>
      </c>
      <c r="L6957">
        <v>57</v>
      </c>
      <c r="O6957" t="s">
        <v>30</v>
      </c>
      <c r="P6957" t="s">
        <v>50</v>
      </c>
      <c r="S6957" t="s">
        <v>627</v>
      </c>
      <c r="T6957" t="s">
        <v>10450</v>
      </c>
      <c r="U6957" t="s">
        <v>10451</v>
      </c>
      <c r="V6957" s="3">
        <v>41535</v>
      </c>
    </row>
    <row r="6958" spans="1:22" x14ac:dyDescent="0.35">
      <c r="A6958" s="1">
        <v>42278.097708333335</v>
      </c>
      <c r="B6958" s="2">
        <v>4.9131944444444443E-2</v>
      </c>
      <c r="C6958" t="s">
        <v>4205</v>
      </c>
      <c r="D6958" t="s">
        <v>597</v>
      </c>
      <c r="E6958" t="s">
        <v>598</v>
      </c>
      <c r="F6958" t="s">
        <v>111</v>
      </c>
      <c r="G6958">
        <v>693176</v>
      </c>
      <c r="H6958" t="s">
        <v>26</v>
      </c>
      <c r="I6958" t="s">
        <v>112</v>
      </c>
      <c r="J6958" t="str">
        <f>"9781118017746"</f>
        <v>9781118017746</v>
      </c>
      <c r="K6958" t="s">
        <v>10454</v>
      </c>
      <c r="L6958">
        <v>20</v>
      </c>
      <c r="O6958" t="s">
        <v>30</v>
      </c>
      <c r="P6958" t="s">
        <v>29</v>
      </c>
      <c r="Q6958" s="1">
        <v>42274.841192129628</v>
      </c>
      <c r="R6958">
        <v>7</v>
      </c>
      <c r="S6958" t="s">
        <v>600</v>
      </c>
      <c r="T6958" t="s">
        <v>114</v>
      </c>
      <c r="U6958" t="s">
        <v>115</v>
      </c>
      <c r="V6958" s="3">
        <v>40835</v>
      </c>
    </row>
    <row r="6959" spans="1:22" x14ac:dyDescent="0.35">
      <c r="A6959" s="1">
        <v>42278.090856481482</v>
      </c>
      <c r="B6959" s="2">
        <v>5.7870370370370366E-5</v>
      </c>
      <c r="C6959" t="s">
        <v>10455</v>
      </c>
      <c r="D6959" t="s">
        <v>23</v>
      </c>
      <c r="E6959" t="s">
        <v>24</v>
      </c>
      <c r="F6959" t="s">
        <v>1484</v>
      </c>
      <c r="G6959">
        <v>800719</v>
      </c>
      <c r="H6959" t="s">
        <v>1286</v>
      </c>
      <c r="I6959" t="s">
        <v>426</v>
      </c>
      <c r="J6959" t="str">
        <f>"9780786487035"</f>
        <v>9780786487035</v>
      </c>
      <c r="K6959" t="s">
        <v>6055</v>
      </c>
      <c r="L6959">
        <v>3</v>
      </c>
      <c r="O6959" t="s">
        <v>30</v>
      </c>
      <c r="P6959" t="s">
        <v>29</v>
      </c>
      <c r="Q6959" s="1">
        <v>42278.090856481482</v>
      </c>
      <c r="R6959">
        <v>7</v>
      </c>
      <c r="S6959" t="s">
        <v>31</v>
      </c>
      <c r="T6959" t="s">
        <v>1486</v>
      </c>
      <c r="U6959" t="s">
        <v>1487</v>
      </c>
      <c r="V6959" s="3">
        <v>40833</v>
      </c>
    </row>
    <row r="6960" spans="1:22" x14ac:dyDescent="0.35">
      <c r="A6960" s="1">
        <v>42278.089085648149</v>
      </c>
      <c r="B6960" s="2">
        <v>0.14258101851851854</v>
      </c>
      <c r="C6960" t="s">
        <v>106</v>
      </c>
      <c r="D6960" t="s">
        <v>23</v>
      </c>
      <c r="E6960" t="s">
        <v>24</v>
      </c>
      <c r="F6960" t="s">
        <v>486</v>
      </c>
      <c r="G6960">
        <v>1119505</v>
      </c>
      <c r="H6960" t="s">
        <v>26</v>
      </c>
      <c r="I6960" t="s">
        <v>450</v>
      </c>
      <c r="J6960" t="str">
        <f>"9781118355015"</f>
        <v>9781118355015</v>
      </c>
      <c r="K6960" t="s">
        <v>10456</v>
      </c>
      <c r="L6960">
        <v>23</v>
      </c>
      <c r="O6960" t="s">
        <v>30</v>
      </c>
      <c r="P6960" t="s">
        <v>29</v>
      </c>
      <c r="Q6960" s="1">
        <v>42277.03329861111</v>
      </c>
      <c r="R6960">
        <v>7</v>
      </c>
      <c r="S6960" t="s">
        <v>31</v>
      </c>
      <c r="T6960" t="s">
        <v>487</v>
      </c>
      <c r="U6960" t="s">
        <v>488</v>
      </c>
      <c r="V6960" s="3">
        <v>41302</v>
      </c>
    </row>
    <row r="6961" spans="1:22" x14ac:dyDescent="0.35">
      <c r="A6961" s="1">
        <v>42278.078136574077</v>
      </c>
      <c r="B6961" s="2">
        <v>5.0925925925925921E-3</v>
      </c>
      <c r="C6961" t="s">
        <v>4713</v>
      </c>
      <c r="D6961" t="s">
        <v>1222</v>
      </c>
      <c r="E6961" t="s">
        <v>1223</v>
      </c>
      <c r="F6961" t="s">
        <v>3263</v>
      </c>
      <c r="G6961">
        <v>1840835</v>
      </c>
      <c r="H6961" t="s">
        <v>26</v>
      </c>
      <c r="I6961" t="s">
        <v>108</v>
      </c>
      <c r="J6961" t="str">
        <f>"9781118950166"</f>
        <v>9781118950166</v>
      </c>
      <c r="K6961" t="s">
        <v>10457</v>
      </c>
      <c r="L6961">
        <v>23</v>
      </c>
      <c r="O6961" t="s">
        <v>30</v>
      </c>
      <c r="P6961" t="s">
        <v>42</v>
      </c>
      <c r="S6961" t="s">
        <v>1226</v>
      </c>
      <c r="T6961" t="s">
        <v>3264</v>
      </c>
      <c r="U6961">
        <v>338.10923789999998</v>
      </c>
      <c r="V6961" s="3">
        <v>41953</v>
      </c>
    </row>
    <row r="6962" spans="1:22" x14ac:dyDescent="0.35">
      <c r="A6962" s="1">
        <v>42278.069224537037</v>
      </c>
      <c r="B6962" s="2">
        <v>2.1631944444444443E-2</v>
      </c>
      <c r="C6962" t="s">
        <v>10455</v>
      </c>
      <c r="D6962" t="s">
        <v>23</v>
      </c>
      <c r="E6962" t="s">
        <v>24</v>
      </c>
      <c r="F6962" t="s">
        <v>1484</v>
      </c>
      <c r="G6962">
        <v>800719</v>
      </c>
      <c r="H6962" t="s">
        <v>1286</v>
      </c>
      <c r="I6962" t="s">
        <v>426</v>
      </c>
      <c r="J6962" t="str">
        <f>"9780786487035"</f>
        <v>9780786487035</v>
      </c>
      <c r="K6962" t="s">
        <v>10458</v>
      </c>
      <c r="L6962">
        <v>37</v>
      </c>
      <c r="O6962" t="s">
        <v>30</v>
      </c>
      <c r="P6962" t="s">
        <v>42</v>
      </c>
      <c r="S6962" t="s">
        <v>31</v>
      </c>
      <c r="T6962" t="s">
        <v>1486</v>
      </c>
      <c r="U6962" t="s">
        <v>1487</v>
      </c>
      <c r="V6962" s="3">
        <v>40833</v>
      </c>
    </row>
    <row r="6963" spans="1:22" x14ac:dyDescent="0.35">
      <c r="A6963" s="1">
        <v>42278.055405092593</v>
      </c>
      <c r="B6963" s="2">
        <v>2.6620370370370372E-4</v>
      </c>
      <c r="C6963" t="s">
        <v>6518</v>
      </c>
      <c r="D6963" t="s">
        <v>23</v>
      </c>
      <c r="E6963" t="s">
        <v>24</v>
      </c>
      <c r="F6963" t="s">
        <v>486</v>
      </c>
      <c r="G6963">
        <v>1119505</v>
      </c>
      <c r="H6963" t="s">
        <v>26</v>
      </c>
      <c r="I6963" t="s">
        <v>450</v>
      </c>
      <c r="J6963" t="str">
        <f>"9781118355015"</f>
        <v>9781118355015</v>
      </c>
      <c r="K6963" t="s">
        <v>10459</v>
      </c>
      <c r="L6963">
        <v>10</v>
      </c>
      <c r="O6963" t="s">
        <v>30</v>
      </c>
      <c r="P6963" t="s">
        <v>29</v>
      </c>
      <c r="Q6963" s="1">
        <v>42275.807719907411</v>
      </c>
      <c r="R6963">
        <v>7</v>
      </c>
      <c r="S6963" t="s">
        <v>31</v>
      </c>
      <c r="T6963" t="s">
        <v>487</v>
      </c>
      <c r="U6963" t="s">
        <v>488</v>
      </c>
      <c r="V6963" s="3">
        <v>41302</v>
      </c>
    </row>
    <row r="6964" spans="1:22" x14ac:dyDescent="0.35">
      <c r="A6964" s="1">
        <v>42278.041273148148</v>
      </c>
      <c r="B6964" s="2">
        <v>4.6365740740740742E-2</v>
      </c>
      <c r="C6964" t="s">
        <v>5969</v>
      </c>
      <c r="D6964" t="s">
        <v>23</v>
      </c>
      <c r="E6964" t="s">
        <v>24</v>
      </c>
      <c r="F6964" t="s">
        <v>745</v>
      </c>
      <c r="G6964">
        <v>1166322</v>
      </c>
      <c r="H6964" t="s">
        <v>26</v>
      </c>
      <c r="I6964" t="s">
        <v>200</v>
      </c>
      <c r="J6964" t="str">
        <f>"9781118418512"</f>
        <v>9781118418512</v>
      </c>
      <c r="K6964" t="s">
        <v>10460</v>
      </c>
      <c r="L6964">
        <v>34</v>
      </c>
      <c r="O6964" t="s">
        <v>30</v>
      </c>
      <c r="P6964" t="s">
        <v>29</v>
      </c>
      <c r="Q6964" s="1">
        <v>42278.041273148148</v>
      </c>
      <c r="R6964">
        <v>7</v>
      </c>
      <c r="S6964" t="s">
        <v>31</v>
      </c>
      <c r="T6964" t="s">
        <v>747</v>
      </c>
      <c r="U6964">
        <v>720.072</v>
      </c>
      <c r="V6964" s="3">
        <v>41367</v>
      </c>
    </row>
    <row r="6965" spans="1:22" x14ac:dyDescent="0.35">
      <c r="A6965" s="1">
        <v>42278.030868055554</v>
      </c>
      <c r="B6965" s="2">
        <v>7.8819444444444432E-3</v>
      </c>
      <c r="C6965" t="s">
        <v>4728</v>
      </c>
      <c r="D6965" t="s">
        <v>623</v>
      </c>
      <c r="E6965" t="s">
        <v>624</v>
      </c>
      <c r="F6965" t="s">
        <v>4494</v>
      </c>
      <c r="G6965">
        <v>565082</v>
      </c>
      <c r="H6965" t="s">
        <v>26</v>
      </c>
      <c r="I6965" t="s">
        <v>69</v>
      </c>
      <c r="J6965" t="str">
        <f>"9781118041567"</f>
        <v>9781118041567</v>
      </c>
      <c r="K6965" t="s">
        <v>10461</v>
      </c>
      <c r="L6965">
        <v>32</v>
      </c>
      <c r="O6965" t="s">
        <v>30</v>
      </c>
      <c r="P6965" t="s">
        <v>29</v>
      </c>
      <c r="Q6965" s="1">
        <v>42278.002800925926</v>
      </c>
      <c r="R6965">
        <v>7</v>
      </c>
      <c r="S6965" t="s">
        <v>627</v>
      </c>
      <c r="T6965" t="s">
        <v>4496</v>
      </c>
      <c r="U6965" t="s">
        <v>4497</v>
      </c>
      <c r="V6965" s="3">
        <v>40337</v>
      </c>
    </row>
    <row r="6966" spans="1:22" x14ac:dyDescent="0.35">
      <c r="A6966" s="1">
        <v>42278.019085648149</v>
      </c>
      <c r="B6966" s="2">
        <v>3.8240740740740742E-2</v>
      </c>
      <c r="C6966" t="s">
        <v>6000</v>
      </c>
      <c r="D6966" t="s">
        <v>35</v>
      </c>
      <c r="E6966" t="s">
        <v>36</v>
      </c>
      <c r="F6966" t="s">
        <v>986</v>
      </c>
      <c r="G6966">
        <v>968030</v>
      </c>
      <c r="H6966" t="s">
        <v>26</v>
      </c>
      <c r="I6966" t="s">
        <v>219</v>
      </c>
      <c r="J6966" t="str">
        <f>"9781118285138"</f>
        <v>9781118285138</v>
      </c>
      <c r="K6966" t="s">
        <v>10462</v>
      </c>
      <c r="L6966">
        <v>16</v>
      </c>
      <c r="O6966" t="s">
        <v>30</v>
      </c>
      <c r="P6966" t="s">
        <v>29</v>
      </c>
      <c r="Q6966" s="1">
        <v>42278.019085648149</v>
      </c>
      <c r="R6966">
        <v>7</v>
      </c>
      <c r="S6966" t="s">
        <v>40</v>
      </c>
      <c r="T6966" t="s">
        <v>987</v>
      </c>
      <c r="U6966">
        <v>158.30000000000001</v>
      </c>
      <c r="V6966" s="3">
        <v>41100</v>
      </c>
    </row>
    <row r="6967" spans="1:22" x14ac:dyDescent="0.35">
      <c r="A6967" s="1">
        <v>42278.008449074077</v>
      </c>
      <c r="B6967" s="2">
        <v>8.1018518518518516E-5</v>
      </c>
      <c r="C6967" t="s">
        <v>10463</v>
      </c>
      <c r="D6967" t="s">
        <v>35</v>
      </c>
      <c r="E6967" t="s">
        <v>36</v>
      </c>
      <c r="F6967" t="s">
        <v>4223</v>
      </c>
      <c r="G6967">
        <v>980956</v>
      </c>
      <c r="H6967" t="s">
        <v>26</v>
      </c>
      <c r="I6967" t="s">
        <v>4224</v>
      </c>
      <c r="J6967" t="str">
        <f>"9781118227251"</f>
        <v>9781118227251</v>
      </c>
      <c r="K6967" t="s">
        <v>33</v>
      </c>
      <c r="L6967">
        <v>3</v>
      </c>
      <c r="O6967" t="s">
        <v>30</v>
      </c>
      <c r="P6967" t="s">
        <v>42</v>
      </c>
      <c r="S6967" t="s">
        <v>40</v>
      </c>
      <c r="T6967" t="s">
        <v>4226</v>
      </c>
      <c r="U6967" t="s">
        <v>4227</v>
      </c>
      <c r="V6967" s="3">
        <v>41113</v>
      </c>
    </row>
    <row r="6968" spans="1:22" x14ac:dyDescent="0.35">
      <c r="A6968" s="1">
        <v>42278.006608796299</v>
      </c>
      <c r="B6968" s="2">
        <v>1.247685185185185E-2</v>
      </c>
      <c r="C6968" t="s">
        <v>6000</v>
      </c>
      <c r="D6968" t="s">
        <v>35</v>
      </c>
      <c r="E6968" t="s">
        <v>36</v>
      </c>
      <c r="F6968" t="s">
        <v>986</v>
      </c>
      <c r="G6968">
        <v>968030</v>
      </c>
      <c r="H6968" t="s">
        <v>26</v>
      </c>
      <c r="I6968" t="s">
        <v>219</v>
      </c>
      <c r="J6968" t="str">
        <f>"9781118285138"</f>
        <v>9781118285138</v>
      </c>
      <c r="K6968" t="s">
        <v>10464</v>
      </c>
      <c r="L6968">
        <v>28</v>
      </c>
      <c r="O6968" t="s">
        <v>30</v>
      </c>
      <c r="P6968" t="s">
        <v>42</v>
      </c>
      <c r="S6968" t="s">
        <v>40</v>
      </c>
      <c r="T6968" t="s">
        <v>987</v>
      </c>
      <c r="U6968">
        <v>158.30000000000001</v>
      </c>
      <c r="V6968" s="3">
        <v>41100</v>
      </c>
    </row>
    <row r="6969" spans="1:22" x14ac:dyDescent="0.35">
      <c r="A6969" s="1">
        <v>42278.002800925926</v>
      </c>
      <c r="B6969" s="2">
        <v>8.6689814814814806E-3</v>
      </c>
      <c r="C6969" t="s">
        <v>4728</v>
      </c>
      <c r="D6969" t="s">
        <v>623</v>
      </c>
      <c r="E6969" t="s">
        <v>624</v>
      </c>
      <c r="F6969" t="s">
        <v>4494</v>
      </c>
      <c r="G6969">
        <v>565082</v>
      </c>
      <c r="H6969" t="s">
        <v>26</v>
      </c>
      <c r="I6969" t="s">
        <v>69</v>
      </c>
      <c r="J6969" t="str">
        <f>"9781118041567"</f>
        <v>9781118041567</v>
      </c>
      <c r="K6969" t="s">
        <v>10465</v>
      </c>
      <c r="L6969">
        <v>6</v>
      </c>
      <c r="O6969" t="s">
        <v>30</v>
      </c>
      <c r="P6969" t="s">
        <v>29</v>
      </c>
      <c r="Q6969" s="1">
        <v>42278.002800925926</v>
      </c>
      <c r="R6969">
        <v>7</v>
      </c>
      <c r="S6969" t="s">
        <v>627</v>
      </c>
      <c r="T6969" t="s">
        <v>4496</v>
      </c>
      <c r="U6969" t="s">
        <v>4497</v>
      </c>
      <c r="V6969" s="3">
        <v>40337</v>
      </c>
    </row>
    <row r="6970" spans="1:22" x14ac:dyDescent="0.35">
      <c r="A6970" s="1">
        <v>42277.996944444443</v>
      </c>
      <c r="B6970" s="2">
        <v>3.4722222222222222E-5</v>
      </c>
      <c r="C6970" t="s">
        <v>3303</v>
      </c>
      <c r="D6970" t="s">
        <v>35</v>
      </c>
      <c r="E6970" t="s">
        <v>36</v>
      </c>
      <c r="F6970" t="s">
        <v>6616</v>
      </c>
      <c r="G6970">
        <v>875791</v>
      </c>
      <c r="H6970" t="s">
        <v>26</v>
      </c>
      <c r="I6970" t="s">
        <v>69</v>
      </c>
      <c r="J6970" t="str">
        <f>"9781118220153"</f>
        <v>9781118220153</v>
      </c>
      <c r="K6970" t="s">
        <v>33</v>
      </c>
      <c r="L6970">
        <v>3</v>
      </c>
      <c r="O6970" t="s">
        <v>30</v>
      </c>
      <c r="P6970" t="s">
        <v>42</v>
      </c>
      <c r="S6970" t="s">
        <v>40</v>
      </c>
      <c r="T6970" t="s">
        <v>6618</v>
      </c>
      <c r="U6970" t="s">
        <v>6619</v>
      </c>
      <c r="V6970" s="3">
        <v>41110</v>
      </c>
    </row>
    <row r="6971" spans="1:22" x14ac:dyDescent="0.35">
      <c r="A6971" s="1">
        <v>42277.995243055557</v>
      </c>
      <c r="B6971" s="2">
        <v>7.5578703703703702E-3</v>
      </c>
      <c r="C6971" t="s">
        <v>4728</v>
      </c>
      <c r="D6971" t="s">
        <v>623</v>
      </c>
      <c r="E6971" t="s">
        <v>624</v>
      </c>
      <c r="F6971" t="s">
        <v>4494</v>
      </c>
      <c r="G6971">
        <v>565082</v>
      </c>
      <c r="H6971" t="s">
        <v>26</v>
      </c>
      <c r="I6971" t="s">
        <v>69</v>
      </c>
      <c r="J6971" t="str">
        <f>"9781118041567"</f>
        <v>9781118041567</v>
      </c>
      <c r="K6971" t="s">
        <v>10466</v>
      </c>
      <c r="L6971">
        <v>16</v>
      </c>
      <c r="O6971" t="s">
        <v>30</v>
      </c>
      <c r="P6971" t="s">
        <v>42</v>
      </c>
      <c r="S6971" t="s">
        <v>627</v>
      </c>
      <c r="T6971" t="s">
        <v>4496</v>
      </c>
      <c r="U6971" t="s">
        <v>4497</v>
      </c>
      <c r="V6971" s="3">
        <v>40337</v>
      </c>
    </row>
    <row r="6972" spans="1:22" x14ac:dyDescent="0.35">
      <c r="A6972" s="1">
        <v>42277.994930555556</v>
      </c>
      <c r="B6972" s="2">
        <v>0</v>
      </c>
      <c r="C6972" t="s">
        <v>5902</v>
      </c>
      <c r="D6972" t="s">
        <v>35</v>
      </c>
      <c r="E6972" t="s">
        <v>36</v>
      </c>
      <c r="F6972" t="s">
        <v>986</v>
      </c>
      <c r="G6972">
        <v>968030</v>
      </c>
      <c r="H6972" t="s">
        <v>26</v>
      </c>
      <c r="I6972" t="s">
        <v>219</v>
      </c>
      <c r="J6972" t="str">
        <f>"9781118285138"</f>
        <v>9781118285138</v>
      </c>
      <c r="L6972">
        <v>0</v>
      </c>
      <c r="N6972" t="s">
        <v>10467</v>
      </c>
      <c r="O6972" t="s">
        <v>30</v>
      </c>
      <c r="P6972" t="s">
        <v>29</v>
      </c>
      <c r="Q6972" s="1">
        <v>42277.994930555556</v>
      </c>
      <c r="R6972">
        <v>7</v>
      </c>
      <c r="S6972" t="s">
        <v>40</v>
      </c>
      <c r="T6972" t="s">
        <v>987</v>
      </c>
      <c r="U6972">
        <v>158.30000000000001</v>
      </c>
      <c r="V6972" s="3">
        <v>41100</v>
      </c>
    </row>
    <row r="6973" spans="1:22" x14ac:dyDescent="0.35">
      <c r="A6973" s="1">
        <v>42277.992719907408</v>
      </c>
      <c r="B6973" s="2">
        <v>2.2106481481481478E-3</v>
      </c>
      <c r="C6973" t="s">
        <v>5902</v>
      </c>
      <c r="D6973" t="s">
        <v>35</v>
      </c>
      <c r="E6973" t="s">
        <v>36</v>
      </c>
      <c r="F6973" t="s">
        <v>986</v>
      </c>
      <c r="G6973">
        <v>968030</v>
      </c>
      <c r="H6973" t="s">
        <v>26</v>
      </c>
      <c r="I6973" t="s">
        <v>219</v>
      </c>
      <c r="J6973" t="str">
        <f>"9781118285138"</f>
        <v>9781118285138</v>
      </c>
      <c r="K6973" t="s">
        <v>10468</v>
      </c>
      <c r="L6973">
        <v>18</v>
      </c>
      <c r="O6973" t="s">
        <v>30</v>
      </c>
      <c r="P6973" t="s">
        <v>42</v>
      </c>
      <c r="S6973" t="s">
        <v>40</v>
      </c>
      <c r="T6973" t="s">
        <v>987</v>
      </c>
      <c r="U6973">
        <v>158.30000000000001</v>
      </c>
      <c r="V6973" s="3">
        <v>41100</v>
      </c>
    </row>
    <row r="6974" spans="1:22" x14ac:dyDescent="0.35">
      <c r="A6974" s="1">
        <v>42277.986666666664</v>
      </c>
      <c r="B6974" s="2">
        <v>5.4606481481481478E-2</v>
      </c>
      <c r="C6974" t="s">
        <v>5969</v>
      </c>
      <c r="D6974" t="s">
        <v>23</v>
      </c>
      <c r="E6974" t="s">
        <v>24</v>
      </c>
      <c r="F6974" t="s">
        <v>745</v>
      </c>
      <c r="G6974">
        <v>1166322</v>
      </c>
      <c r="H6974" t="s">
        <v>26</v>
      </c>
      <c r="I6974" t="s">
        <v>200</v>
      </c>
      <c r="J6974" t="str">
        <f>"9781118418512"</f>
        <v>9781118418512</v>
      </c>
      <c r="K6974" t="s">
        <v>10469</v>
      </c>
      <c r="L6974">
        <v>32</v>
      </c>
      <c r="O6974" t="s">
        <v>30</v>
      </c>
      <c r="P6974" t="s">
        <v>42</v>
      </c>
      <c r="S6974" t="s">
        <v>31</v>
      </c>
      <c r="T6974" t="s">
        <v>747</v>
      </c>
      <c r="U6974">
        <v>720.072</v>
      </c>
      <c r="V6974" s="3">
        <v>41367</v>
      </c>
    </row>
    <row r="6975" spans="1:22" x14ac:dyDescent="0.35">
      <c r="A6975" s="1">
        <v>42277.984050925923</v>
      </c>
      <c r="B6975" s="2">
        <v>2.5462962962962961E-4</v>
      </c>
      <c r="C6975" t="s">
        <v>10470</v>
      </c>
      <c r="D6975" t="s">
        <v>158</v>
      </c>
      <c r="E6975" t="s">
        <v>159</v>
      </c>
      <c r="F6975" t="s">
        <v>6721</v>
      </c>
      <c r="G6975">
        <v>1638687</v>
      </c>
      <c r="H6975" t="s">
        <v>26</v>
      </c>
      <c r="I6975" t="s">
        <v>4527</v>
      </c>
      <c r="J6975" t="str">
        <f>"9781118850152"</f>
        <v>9781118850152</v>
      </c>
      <c r="K6975" t="s">
        <v>1243</v>
      </c>
      <c r="L6975">
        <v>9</v>
      </c>
      <c r="O6975" t="s">
        <v>30</v>
      </c>
      <c r="P6975" t="s">
        <v>29</v>
      </c>
      <c r="Q6975" s="1">
        <v>42273.623923611114</v>
      </c>
      <c r="R6975">
        <v>7</v>
      </c>
      <c r="S6975" t="s">
        <v>163</v>
      </c>
      <c r="T6975" t="s">
        <v>6723</v>
      </c>
      <c r="U6975">
        <v>362.29</v>
      </c>
      <c r="V6975" s="3">
        <v>41691</v>
      </c>
    </row>
    <row r="6976" spans="1:22" x14ac:dyDescent="0.35">
      <c r="A6976" s="1">
        <v>42277.983946759261</v>
      </c>
      <c r="B6976" s="2">
        <v>3.8194444444444446E-4</v>
      </c>
      <c r="C6976" t="s">
        <v>10471</v>
      </c>
      <c r="D6976" t="s">
        <v>623</v>
      </c>
      <c r="E6976" t="s">
        <v>624</v>
      </c>
      <c r="F6976" t="s">
        <v>10472</v>
      </c>
      <c r="G6976">
        <v>1562177</v>
      </c>
      <c r="H6976" t="s">
        <v>68</v>
      </c>
      <c r="I6976" t="s">
        <v>247</v>
      </c>
      <c r="J6976" t="str">
        <f>"9781317763079"</f>
        <v>9781317763079</v>
      </c>
      <c r="K6976" t="s">
        <v>10473</v>
      </c>
      <c r="L6976">
        <v>2</v>
      </c>
      <c r="O6976" t="s">
        <v>30</v>
      </c>
      <c r="P6976" t="s">
        <v>47</v>
      </c>
      <c r="Q6976" s="1">
        <v>42277.983946759261</v>
      </c>
      <c r="R6976">
        <v>1</v>
      </c>
      <c r="S6976" t="s">
        <v>627</v>
      </c>
      <c r="T6976" t="s">
        <v>10474</v>
      </c>
      <c r="U6976">
        <v>616.89139999999998</v>
      </c>
      <c r="V6976" s="3">
        <v>41590</v>
      </c>
    </row>
    <row r="6977" spans="1:22" x14ac:dyDescent="0.35">
      <c r="A6977" s="1">
        <v>42277.979108796295</v>
      </c>
      <c r="B6977" s="2">
        <v>6.9444444444444444E-5</v>
      </c>
      <c r="C6977" t="s">
        <v>106</v>
      </c>
      <c r="D6977" t="s">
        <v>23</v>
      </c>
      <c r="E6977" t="s">
        <v>24</v>
      </c>
      <c r="F6977" t="s">
        <v>8806</v>
      </c>
      <c r="G6977">
        <v>1747361</v>
      </c>
      <c r="H6977" t="s">
        <v>139</v>
      </c>
      <c r="I6977" t="s">
        <v>1211</v>
      </c>
      <c r="J6977" t="str">
        <f>"9780814789254"</f>
        <v>9780814789254</v>
      </c>
      <c r="K6977" t="s">
        <v>86</v>
      </c>
      <c r="L6977">
        <v>5</v>
      </c>
      <c r="O6977" t="s">
        <v>30</v>
      </c>
      <c r="P6977" t="s">
        <v>42</v>
      </c>
      <c r="S6977" t="s">
        <v>31</v>
      </c>
      <c r="T6977" t="s">
        <v>8808</v>
      </c>
      <c r="U6977" t="s">
        <v>8809</v>
      </c>
      <c r="V6977" s="3">
        <v>41880</v>
      </c>
    </row>
    <row r="6978" spans="1:22" x14ac:dyDescent="0.35">
      <c r="A6978" s="1">
        <v>42277.978541666664</v>
      </c>
      <c r="B6978" s="2">
        <v>5.4050925925925924E-3</v>
      </c>
      <c r="C6978" t="s">
        <v>10471</v>
      </c>
      <c r="D6978" t="s">
        <v>623</v>
      </c>
      <c r="E6978" t="s">
        <v>624</v>
      </c>
      <c r="F6978" t="s">
        <v>10472</v>
      </c>
      <c r="G6978">
        <v>1562177</v>
      </c>
      <c r="H6978" t="s">
        <v>68</v>
      </c>
      <c r="I6978" t="s">
        <v>247</v>
      </c>
      <c r="J6978" t="str">
        <f>"9781317763079"</f>
        <v>9781317763079</v>
      </c>
      <c r="K6978" t="s">
        <v>10475</v>
      </c>
      <c r="L6978">
        <v>34</v>
      </c>
      <c r="O6978" t="s">
        <v>30</v>
      </c>
      <c r="P6978" t="s">
        <v>50</v>
      </c>
      <c r="S6978" t="s">
        <v>627</v>
      </c>
      <c r="T6978" t="s">
        <v>10474</v>
      </c>
      <c r="U6978">
        <v>616.89139999999998</v>
      </c>
      <c r="V6978" s="3">
        <v>41590</v>
      </c>
    </row>
    <row r="6979" spans="1:22" x14ac:dyDescent="0.35">
      <c r="A6979" s="1">
        <v>42277.973715277774</v>
      </c>
      <c r="B6979" s="2">
        <v>2.3148148148148147E-5</v>
      </c>
      <c r="C6979" t="s">
        <v>10119</v>
      </c>
      <c r="D6979" t="s">
        <v>360</v>
      </c>
      <c r="E6979" t="s">
        <v>361</v>
      </c>
      <c r="F6979" t="s">
        <v>10476</v>
      </c>
      <c r="G6979">
        <v>1895793</v>
      </c>
      <c r="H6979" t="s">
        <v>26</v>
      </c>
      <c r="I6979" t="s">
        <v>276</v>
      </c>
      <c r="J6979" t="str">
        <f>"9781118949290"</f>
        <v>9781118949290</v>
      </c>
      <c r="K6979" t="s">
        <v>105</v>
      </c>
      <c r="L6979">
        <v>1</v>
      </c>
      <c r="O6979" t="s">
        <v>30</v>
      </c>
      <c r="P6979" t="s">
        <v>42</v>
      </c>
      <c r="S6979" t="s">
        <v>363</v>
      </c>
      <c r="T6979" t="s">
        <v>10477</v>
      </c>
      <c r="U6979">
        <v>4.16</v>
      </c>
      <c r="V6979" s="3">
        <v>42047</v>
      </c>
    </row>
    <row r="6980" spans="1:22" x14ac:dyDescent="0.35">
      <c r="A6980" s="1">
        <v>42277.97284722222</v>
      </c>
      <c r="B6980" s="2">
        <v>1.1574074074074073E-5</v>
      </c>
      <c r="C6980" t="s">
        <v>10119</v>
      </c>
      <c r="D6980" t="s">
        <v>360</v>
      </c>
      <c r="E6980" t="s">
        <v>361</v>
      </c>
      <c r="F6980" t="s">
        <v>10476</v>
      </c>
      <c r="G6980">
        <v>1895793</v>
      </c>
      <c r="H6980" t="s">
        <v>26</v>
      </c>
      <c r="I6980" t="s">
        <v>276</v>
      </c>
      <c r="J6980" t="str">
        <f>"9781118949290"</f>
        <v>9781118949290</v>
      </c>
      <c r="K6980" t="s">
        <v>105</v>
      </c>
      <c r="L6980">
        <v>1</v>
      </c>
      <c r="O6980" t="s">
        <v>30</v>
      </c>
      <c r="P6980" t="s">
        <v>42</v>
      </c>
      <c r="S6980" t="s">
        <v>363</v>
      </c>
      <c r="T6980" t="s">
        <v>10477</v>
      </c>
      <c r="U6980">
        <v>4.16</v>
      </c>
      <c r="V6980" s="3">
        <v>42047</v>
      </c>
    </row>
    <row r="6981" spans="1:22" x14ac:dyDescent="0.35">
      <c r="A6981" s="1">
        <v>42277.972025462965</v>
      </c>
      <c r="B6981" s="2">
        <v>2.3148148148148147E-5</v>
      </c>
      <c r="C6981" t="s">
        <v>10119</v>
      </c>
      <c r="D6981" t="s">
        <v>360</v>
      </c>
      <c r="E6981" t="s">
        <v>361</v>
      </c>
      <c r="F6981" t="s">
        <v>10476</v>
      </c>
      <c r="G6981">
        <v>1895793</v>
      </c>
      <c r="H6981" t="s">
        <v>26</v>
      </c>
      <c r="I6981" t="s">
        <v>276</v>
      </c>
      <c r="J6981" t="str">
        <f>"9781118949290"</f>
        <v>9781118949290</v>
      </c>
      <c r="K6981" t="s">
        <v>105</v>
      </c>
      <c r="L6981">
        <v>1</v>
      </c>
      <c r="O6981" t="s">
        <v>30</v>
      </c>
      <c r="P6981" t="s">
        <v>42</v>
      </c>
      <c r="S6981" t="s">
        <v>363</v>
      </c>
      <c r="T6981" t="s">
        <v>10477</v>
      </c>
      <c r="U6981">
        <v>4.16</v>
      </c>
      <c r="V6981" s="3">
        <v>42047</v>
      </c>
    </row>
    <row r="6982" spans="1:22" x14ac:dyDescent="0.35">
      <c r="A6982" s="1">
        <v>42277.970497685186</v>
      </c>
      <c r="B6982" s="2">
        <v>1.1574074074074073E-5</v>
      </c>
      <c r="C6982" t="s">
        <v>10119</v>
      </c>
      <c r="D6982" t="s">
        <v>360</v>
      </c>
      <c r="E6982" t="s">
        <v>361</v>
      </c>
      <c r="F6982" t="s">
        <v>10476</v>
      </c>
      <c r="G6982">
        <v>1895793</v>
      </c>
      <c r="H6982" t="s">
        <v>26</v>
      </c>
      <c r="I6982" t="s">
        <v>276</v>
      </c>
      <c r="J6982" t="str">
        <f>"9781118949290"</f>
        <v>9781118949290</v>
      </c>
      <c r="K6982" t="s">
        <v>105</v>
      </c>
      <c r="L6982">
        <v>1</v>
      </c>
      <c r="O6982" t="s">
        <v>30</v>
      </c>
      <c r="P6982" t="s">
        <v>42</v>
      </c>
      <c r="S6982" t="s">
        <v>363</v>
      </c>
      <c r="T6982" t="s">
        <v>10477</v>
      </c>
      <c r="U6982">
        <v>4.16</v>
      </c>
      <c r="V6982" s="3">
        <v>42047</v>
      </c>
    </row>
    <row r="6983" spans="1:22" x14ac:dyDescent="0.35">
      <c r="A6983" s="1">
        <v>42277.967581018522</v>
      </c>
      <c r="B6983" s="2">
        <v>4.6296296296296294E-5</v>
      </c>
      <c r="C6983" t="s">
        <v>10119</v>
      </c>
      <c r="D6983" t="s">
        <v>360</v>
      </c>
      <c r="E6983" t="s">
        <v>361</v>
      </c>
      <c r="F6983" t="s">
        <v>10476</v>
      </c>
      <c r="G6983">
        <v>1895793</v>
      </c>
      <c r="H6983" t="s">
        <v>26</v>
      </c>
      <c r="I6983" t="s">
        <v>276</v>
      </c>
      <c r="J6983" t="str">
        <f>"9781118949290"</f>
        <v>9781118949290</v>
      </c>
      <c r="K6983" t="s">
        <v>10478</v>
      </c>
      <c r="L6983">
        <v>4</v>
      </c>
      <c r="O6983" t="s">
        <v>30</v>
      </c>
      <c r="P6983" t="s">
        <v>42</v>
      </c>
      <c r="S6983" t="s">
        <v>363</v>
      </c>
      <c r="T6983" t="s">
        <v>10477</v>
      </c>
      <c r="U6983">
        <v>4.16</v>
      </c>
      <c r="V6983" s="3">
        <v>42047</v>
      </c>
    </row>
    <row r="6984" spans="1:22" x14ac:dyDescent="0.35">
      <c r="A6984" s="1">
        <v>42277.934733796297</v>
      </c>
      <c r="B6984" s="2">
        <v>0.1110300925925926</v>
      </c>
      <c r="C6984" t="s">
        <v>106</v>
      </c>
      <c r="D6984" t="s">
        <v>23</v>
      </c>
      <c r="E6984" t="s">
        <v>24</v>
      </c>
      <c r="F6984" t="s">
        <v>486</v>
      </c>
      <c r="G6984">
        <v>1119505</v>
      </c>
      <c r="H6984" t="s">
        <v>26</v>
      </c>
      <c r="I6984" t="s">
        <v>450</v>
      </c>
      <c r="J6984" t="str">
        <f>"9781118355015"</f>
        <v>9781118355015</v>
      </c>
      <c r="K6984" t="s">
        <v>10479</v>
      </c>
      <c r="L6984">
        <v>32</v>
      </c>
      <c r="O6984" t="s">
        <v>30</v>
      </c>
      <c r="P6984" t="s">
        <v>29</v>
      </c>
      <c r="Q6984" s="1">
        <v>42277.03329861111</v>
      </c>
      <c r="R6984">
        <v>7</v>
      </c>
      <c r="S6984" t="s">
        <v>31</v>
      </c>
      <c r="T6984" t="s">
        <v>487</v>
      </c>
      <c r="U6984" t="s">
        <v>488</v>
      </c>
      <c r="V6984" s="3">
        <v>41302</v>
      </c>
    </row>
    <row r="6985" spans="1:22" x14ac:dyDescent="0.35">
      <c r="A6985" s="1">
        <v>42277.907453703701</v>
      </c>
      <c r="B6985" s="2">
        <v>5.6712962962962956E-4</v>
      </c>
      <c r="C6985" t="s">
        <v>4673</v>
      </c>
      <c r="D6985" t="s">
        <v>23</v>
      </c>
      <c r="E6985" t="s">
        <v>24</v>
      </c>
      <c r="F6985" t="s">
        <v>745</v>
      </c>
      <c r="G6985">
        <v>1166322</v>
      </c>
      <c r="H6985" t="s">
        <v>26</v>
      </c>
      <c r="I6985" t="s">
        <v>200</v>
      </c>
      <c r="J6985" t="str">
        <f>"9781118418512"</f>
        <v>9781118418512</v>
      </c>
      <c r="K6985" t="s">
        <v>10480</v>
      </c>
      <c r="L6985">
        <v>23</v>
      </c>
      <c r="O6985" t="s">
        <v>30</v>
      </c>
      <c r="P6985" t="s">
        <v>42</v>
      </c>
      <c r="S6985" t="s">
        <v>31</v>
      </c>
      <c r="T6985" t="s">
        <v>747</v>
      </c>
      <c r="U6985">
        <v>720.072</v>
      </c>
      <c r="V6985" s="3">
        <v>41367</v>
      </c>
    </row>
    <row r="6986" spans="1:22" x14ac:dyDescent="0.35">
      <c r="A6986" s="1">
        <v>42277.906851851854</v>
      </c>
      <c r="B6986" s="2">
        <v>1.8680555555555554E-2</v>
      </c>
      <c r="C6986" t="s">
        <v>5865</v>
      </c>
      <c r="D6986" t="s">
        <v>35</v>
      </c>
      <c r="E6986" t="s">
        <v>36</v>
      </c>
      <c r="F6986" t="s">
        <v>986</v>
      </c>
      <c r="G6986">
        <v>968030</v>
      </c>
      <c r="H6986" t="s">
        <v>26</v>
      </c>
      <c r="I6986" t="s">
        <v>219</v>
      </c>
      <c r="J6986" t="str">
        <f>"9781118285138"</f>
        <v>9781118285138</v>
      </c>
      <c r="K6986" t="s">
        <v>10481</v>
      </c>
      <c r="L6986">
        <v>17</v>
      </c>
      <c r="O6986" t="s">
        <v>30</v>
      </c>
      <c r="P6986" t="s">
        <v>29</v>
      </c>
      <c r="Q6986" s="1">
        <v>42277.906851851854</v>
      </c>
      <c r="R6986">
        <v>7</v>
      </c>
      <c r="S6986" t="s">
        <v>40</v>
      </c>
      <c r="T6986" t="s">
        <v>987</v>
      </c>
      <c r="U6986">
        <v>158.30000000000001</v>
      </c>
      <c r="V6986" s="3">
        <v>41100</v>
      </c>
    </row>
    <row r="6987" spans="1:22" x14ac:dyDescent="0.35">
      <c r="A6987" s="1">
        <v>42277.902951388889</v>
      </c>
      <c r="B6987" s="2">
        <v>0</v>
      </c>
      <c r="C6987" t="s">
        <v>10482</v>
      </c>
      <c r="D6987" t="s">
        <v>261</v>
      </c>
      <c r="E6987" t="s">
        <v>262</v>
      </c>
      <c r="F6987" t="s">
        <v>3070</v>
      </c>
      <c r="G6987">
        <v>1732137</v>
      </c>
      <c r="H6987" t="s">
        <v>84</v>
      </c>
      <c r="I6987" t="s">
        <v>120</v>
      </c>
      <c r="J6987" t="str">
        <f>"9780520959286"</f>
        <v>9780520959286</v>
      </c>
      <c r="L6987">
        <v>0</v>
      </c>
      <c r="N6987" t="s">
        <v>10483</v>
      </c>
      <c r="O6987" t="s">
        <v>30</v>
      </c>
      <c r="P6987" t="s">
        <v>47</v>
      </c>
      <c r="Q6987" s="1">
        <v>42277.902951388889</v>
      </c>
      <c r="R6987">
        <v>1</v>
      </c>
      <c r="S6987" t="s">
        <v>264</v>
      </c>
      <c r="T6987" t="s">
        <v>3073</v>
      </c>
      <c r="U6987">
        <v>306.87430000000001</v>
      </c>
      <c r="V6987" s="3">
        <v>42041</v>
      </c>
    </row>
    <row r="6988" spans="1:22" x14ac:dyDescent="0.35">
      <c r="A6988" s="1">
        <v>42277.899722222224</v>
      </c>
      <c r="B6988" s="2">
        <v>3.2291666666666666E-3</v>
      </c>
      <c r="C6988" t="s">
        <v>10482</v>
      </c>
      <c r="D6988" t="s">
        <v>261</v>
      </c>
      <c r="E6988" t="s">
        <v>262</v>
      </c>
      <c r="F6988" t="s">
        <v>3070</v>
      </c>
      <c r="G6988">
        <v>1732137</v>
      </c>
      <c r="H6988" t="s">
        <v>84</v>
      </c>
      <c r="I6988" t="s">
        <v>120</v>
      </c>
      <c r="J6988" t="str">
        <f>"9780520959286"</f>
        <v>9780520959286</v>
      </c>
      <c r="K6988" t="s">
        <v>10484</v>
      </c>
      <c r="L6988">
        <v>22</v>
      </c>
      <c r="O6988" t="s">
        <v>30</v>
      </c>
      <c r="P6988" t="s">
        <v>50</v>
      </c>
      <c r="S6988" t="s">
        <v>264</v>
      </c>
      <c r="T6988" t="s">
        <v>3073</v>
      </c>
      <c r="U6988">
        <v>306.87430000000001</v>
      </c>
      <c r="V6988" s="3">
        <v>42041</v>
      </c>
    </row>
    <row r="6989" spans="1:22" x14ac:dyDescent="0.35">
      <c r="A6989" s="1">
        <v>42277.898472222223</v>
      </c>
      <c r="B6989" s="2">
        <v>8.3796296296296292E-3</v>
      </c>
      <c r="C6989" t="s">
        <v>5865</v>
      </c>
      <c r="D6989" t="s">
        <v>35</v>
      </c>
      <c r="E6989" t="s">
        <v>36</v>
      </c>
      <c r="F6989" t="s">
        <v>986</v>
      </c>
      <c r="G6989">
        <v>968030</v>
      </c>
      <c r="H6989" t="s">
        <v>26</v>
      </c>
      <c r="I6989" t="s">
        <v>219</v>
      </c>
      <c r="J6989" t="str">
        <f>"9781118285138"</f>
        <v>9781118285138</v>
      </c>
      <c r="K6989" t="s">
        <v>10485</v>
      </c>
      <c r="L6989">
        <v>10</v>
      </c>
      <c r="O6989" t="s">
        <v>30</v>
      </c>
      <c r="P6989" t="s">
        <v>42</v>
      </c>
      <c r="S6989" t="s">
        <v>40</v>
      </c>
      <c r="T6989" t="s">
        <v>987</v>
      </c>
      <c r="U6989">
        <v>158.30000000000001</v>
      </c>
      <c r="V6989" s="3">
        <v>41100</v>
      </c>
    </row>
    <row r="6990" spans="1:22" x14ac:dyDescent="0.35">
      <c r="A6990" s="1">
        <v>42277.896284722221</v>
      </c>
      <c r="B6990" s="2">
        <v>0</v>
      </c>
      <c r="C6990" t="s">
        <v>7946</v>
      </c>
      <c r="D6990" t="s">
        <v>261</v>
      </c>
      <c r="E6990" t="s">
        <v>262</v>
      </c>
      <c r="F6990" t="s">
        <v>10486</v>
      </c>
      <c r="G6990">
        <v>1180372</v>
      </c>
      <c r="H6990" t="s">
        <v>26</v>
      </c>
      <c r="I6990" t="s">
        <v>630</v>
      </c>
      <c r="J6990" t="str">
        <f>"9780745678870"</f>
        <v>9780745678870</v>
      </c>
      <c r="K6990" t="s">
        <v>224</v>
      </c>
      <c r="L6990">
        <v>1</v>
      </c>
      <c r="O6990" t="s">
        <v>30</v>
      </c>
      <c r="P6990" t="s">
        <v>47</v>
      </c>
      <c r="Q6990" s="1">
        <v>42277.896284722221</v>
      </c>
      <c r="R6990">
        <v>1</v>
      </c>
      <c r="S6990" t="s">
        <v>264</v>
      </c>
      <c r="T6990" t="s">
        <v>10487</v>
      </c>
      <c r="U6990">
        <v>128.46</v>
      </c>
      <c r="V6990" s="3">
        <v>41386</v>
      </c>
    </row>
    <row r="6991" spans="1:22" x14ac:dyDescent="0.35">
      <c r="A6991" s="1">
        <v>42277.887037037035</v>
      </c>
      <c r="B6991" s="2">
        <v>9.2476851851851852E-3</v>
      </c>
      <c r="C6991" t="s">
        <v>7946</v>
      </c>
      <c r="D6991" t="s">
        <v>261</v>
      </c>
      <c r="E6991" t="s">
        <v>262</v>
      </c>
      <c r="F6991" t="s">
        <v>10486</v>
      </c>
      <c r="G6991">
        <v>1180372</v>
      </c>
      <c r="H6991" t="s">
        <v>26</v>
      </c>
      <c r="I6991" t="s">
        <v>630</v>
      </c>
      <c r="J6991" t="str">
        <f>"9780745678870"</f>
        <v>9780745678870</v>
      </c>
      <c r="K6991" t="s">
        <v>33</v>
      </c>
      <c r="L6991">
        <v>3</v>
      </c>
      <c r="O6991" t="s">
        <v>30</v>
      </c>
      <c r="P6991" t="s">
        <v>50</v>
      </c>
      <c r="S6991" t="s">
        <v>264</v>
      </c>
      <c r="T6991" t="s">
        <v>10487</v>
      </c>
      <c r="U6991">
        <v>128.46</v>
      </c>
      <c r="V6991" s="3">
        <v>41386</v>
      </c>
    </row>
    <row r="6992" spans="1:22" x14ac:dyDescent="0.35">
      <c r="A6992" s="1">
        <v>42277.87059027778</v>
      </c>
      <c r="B6992" s="2">
        <v>4.6458333333333331E-2</v>
      </c>
      <c r="C6992" t="s">
        <v>6288</v>
      </c>
      <c r="D6992" t="s">
        <v>23</v>
      </c>
      <c r="E6992" t="s">
        <v>24</v>
      </c>
      <c r="F6992" t="s">
        <v>486</v>
      </c>
      <c r="G6992">
        <v>1119505</v>
      </c>
      <c r="H6992" t="s">
        <v>26</v>
      </c>
      <c r="I6992" t="s">
        <v>450</v>
      </c>
      <c r="J6992" t="str">
        <f>"9781118355015"</f>
        <v>9781118355015</v>
      </c>
      <c r="K6992" t="s">
        <v>10488</v>
      </c>
      <c r="L6992">
        <v>26</v>
      </c>
      <c r="O6992" t="s">
        <v>30</v>
      </c>
      <c r="P6992" t="s">
        <v>29</v>
      </c>
      <c r="Q6992" s="1">
        <v>42277.87059027778</v>
      </c>
      <c r="R6992">
        <v>7</v>
      </c>
      <c r="S6992" t="s">
        <v>31</v>
      </c>
      <c r="T6992" t="s">
        <v>487</v>
      </c>
      <c r="U6992" t="s">
        <v>488</v>
      </c>
      <c r="V6992" s="3">
        <v>41302</v>
      </c>
    </row>
    <row r="6993" spans="1:22" x14ac:dyDescent="0.35">
      <c r="A6993" s="1">
        <v>42277.863611111112</v>
      </c>
      <c r="B6993" s="2">
        <v>6.9791666666666674E-3</v>
      </c>
      <c r="C6993" t="s">
        <v>6288</v>
      </c>
      <c r="D6993" t="s">
        <v>23</v>
      </c>
      <c r="E6993" t="s">
        <v>24</v>
      </c>
      <c r="F6993" t="s">
        <v>486</v>
      </c>
      <c r="G6993">
        <v>1119505</v>
      </c>
      <c r="H6993" t="s">
        <v>26</v>
      </c>
      <c r="I6993" t="s">
        <v>450</v>
      </c>
      <c r="J6993" t="str">
        <f>"9781118355015"</f>
        <v>9781118355015</v>
      </c>
      <c r="K6993" t="s">
        <v>10489</v>
      </c>
      <c r="L6993">
        <v>21</v>
      </c>
      <c r="O6993" t="s">
        <v>30</v>
      </c>
      <c r="P6993" t="s">
        <v>42</v>
      </c>
      <c r="S6993" t="s">
        <v>31</v>
      </c>
      <c r="T6993" t="s">
        <v>487</v>
      </c>
      <c r="U6993" t="s">
        <v>488</v>
      </c>
      <c r="V6993" s="3">
        <v>41302</v>
      </c>
    </row>
    <row r="6994" spans="1:22" x14ac:dyDescent="0.35">
      <c r="A6994" s="1">
        <v>42277.849768518521</v>
      </c>
      <c r="B6994" s="2">
        <v>5.4398148148148144E-4</v>
      </c>
      <c r="C6994" t="s">
        <v>10490</v>
      </c>
      <c r="D6994" t="s">
        <v>261</v>
      </c>
      <c r="E6994" t="s">
        <v>262</v>
      </c>
      <c r="F6994" t="s">
        <v>3167</v>
      </c>
      <c r="G6994">
        <v>1711046</v>
      </c>
      <c r="H6994" t="s">
        <v>84</v>
      </c>
      <c r="I6994" t="s">
        <v>150</v>
      </c>
      <c r="J6994" t="str">
        <f>"9780520958944"</f>
        <v>9780520958944</v>
      </c>
      <c r="K6994" t="s">
        <v>217</v>
      </c>
      <c r="L6994">
        <v>12</v>
      </c>
      <c r="O6994" t="s">
        <v>30</v>
      </c>
      <c r="P6994" t="s">
        <v>50</v>
      </c>
      <c r="S6994" t="s">
        <v>264</v>
      </c>
      <c r="T6994" t="s">
        <v>3169</v>
      </c>
      <c r="U6994">
        <v>781.63095195000005</v>
      </c>
      <c r="V6994" s="3">
        <v>41967</v>
      </c>
    </row>
    <row r="6995" spans="1:22" x14ac:dyDescent="0.35">
      <c r="A6995" s="1">
        <v>42277.846261574072</v>
      </c>
      <c r="B6995" s="2">
        <v>2.627314814814815E-3</v>
      </c>
      <c r="C6995" t="s">
        <v>8215</v>
      </c>
      <c r="D6995" t="s">
        <v>35</v>
      </c>
      <c r="E6995" t="s">
        <v>36</v>
      </c>
      <c r="F6995" t="s">
        <v>986</v>
      </c>
      <c r="G6995">
        <v>968030</v>
      </c>
      <c r="H6995" t="s">
        <v>26</v>
      </c>
      <c r="I6995" t="s">
        <v>219</v>
      </c>
      <c r="J6995" t="str">
        <f>"9781118285138"</f>
        <v>9781118285138</v>
      </c>
      <c r="K6995" t="s">
        <v>10491</v>
      </c>
      <c r="L6995">
        <v>19</v>
      </c>
      <c r="O6995" t="s">
        <v>30</v>
      </c>
      <c r="P6995" t="s">
        <v>29</v>
      </c>
      <c r="Q6995" s="1">
        <v>42277.846261574072</v>
      </c>
      <c r="R6995">
        <v>7</v>
      </c>
      <c r="S6995" t="s">
        <v>40</v>
      </c>
      <c r="T6995" t="s">
        <v>987</v>
      </c>
      <c r="U6995">
        <v>158.30000000000001</v>
      </c>
      <c r="V6995" s="3">
        <v>41100</v>
      </c>
    </row>
    <row r="6996" spans="1:22" x14ac:dyDescent="0.35">
      <c r="A6996" s="1">
        <v>42277.839583333334</v>
      </c>
      <c r="B6996" s="2">
        <v>4.0011574074074074E-2</v>
      </c>
      <c r="C6996" t="s">
        <v>7960</v>
      </c>
      <c r="D6996" t="s">
        <v>35</v>
      </c>
      <c r="E6996" t="s">
        <v>36</v>
      </c>
      <c r="F6996" t="s">
        <v>986</v>
      </c>
      <c r="G6996">
        <v>968030</v>
      </c>
      <c r="H6996" t="s">
        <v>26</v>
      </c>
      <c r="I6996" t="s">
        <v>219</v>
      </c>
      <c r="J6996" t="str">
        <f>"9781118285138"</f>
        <v>9781118285138</v>
      </c>
      <c r="K6996" t="s">
        <v>10492</v>
      </c>
      <c r="L6996">
        <v>53</v>
      </c>
      <c r="O6996" t="s">
        <v>30</v>
      </c>
      <c r="P6996" t="s">
        <v>29</v>
      </c>
      <c r="Q6996" s="1">
        <v>42276.06454861111</v>
      </c>
      <c r="R6996">
        <v>7</v>
      </c>
      <c r="S6996" t="s">
        <v>40</v>
      </c>
      <c r="T6996" t="s">
        <v>987</v>
      </c>
      <c r="U6996">
        <v>158.30000000000001</v>
      </c>
      <c r="V6996" s="3">
        <v>41100</v>
      </c>
    </row>
    <row r="6997" spans="1:22" x14ac:dyDescent="0.35">
      <c r="A6997" s="1">
        <v>42277.839560185188</v>
      </c>
      <c r="B6997" s="2">
        <v>0.13041666666666665</v>
      </c>
      <c r="C6997" t="s">
        <v>5019</v>
      </c>
      <c r="D6997" t="s">
        <v>35</v>
      </c>
      <c r="E6997" t="s">
        <v>36</v>
      </c>
      <c r="F6997" t="s">
        <v>986</v>
      </c>
      <c r="G6997">
        <v>968030</v>
      </c>
      <c r="H6997" t="s">
        <v>26</v>
      </c>
      <c r="I6997" t="s">
        <v>219</v>
      </c>
      <c r="J6997" t="str">
        <f>"9781118285138"</f>
        <v>9781118285138</v>
      </c>
      <c r="K6997" t="s">
        <v>10493</v>
      </c>
      <c r="L6997">
        <v>31</v>
      </c>
      <c r="O6997" t="s">
        <v>30</v>
      </c>
      <c r="P6997" t="s">
        <v>29</v>
      </c>
      <c r="Q6997" s="1">
        <v>42277.839560185188</v>
      </c>
      <c r="R6997">
        <v>7</v>
      </c>
      <c r="S6997" t="s">
        <v>40</v>
      </c>
      <c r="T6997" t="s">
        <v>987</v>
      </c>
      <c r="U6997">
        <v>158.30000000000001</v>
      </c>
      <c r="V6997" s="3">
        <v>41100</v>
      </c>
    </row>
    <row r="6998" spans="1:22" x14ac:dyDescent="0.35">
      <c r="A6998" s="1">
        <v>42277.831631944442</v>
      </c>
      <c r="B6998" s="2">
        <v>7.9282407407407409E-3</v>
      </c>
      <c r="C6998" t="s">
        <v>5019</v>
      </c>
      <c r="D6998" t="s">
        <v>35</v>
      </c>
      <c r="E6998" t="s">
        <v>36</v>
      </c>
      <c r="F6998" t="s">
        <v>986</v>
      </c>
      <c r="G6998">
        <v>968030</v>
      </c>
      <c r="H6998" t="s">
        <v>26</v>
      </c>
      <c r="I6998" t="s">
        <v>219</v>
      </c>
      <c r="J6998" t="str">
        <f>"9781118285138"</f>
        <v>9781118285138</v>
      </c>
      <c r="K6998" t="s">
        <v>10494</v>
      </c>
      <c r="L6998">
        <v>10</v>
      </c>
      <c r="O6998" t="s">
        <v>30</v>
      </c>
      <c r="P6998" t="s">
        <v>42</v>
      </c>
      <c r="S6998" t="s">
        <v>40</v>
      </c>
      <c r="T6998" t="s">
        <v>987</v>
      </c>
      <c r="U6998">
        <v>158.30000000000001</v>
      </c>
      <c r="V6998" s="3">
        <v>41100</v>
      </c>
    </row>
    <row r="6999" spans="1:22" x14ac:dyDescent="0.35">
      <c r="A6999" s="1">
        <v>42277.831203703703</v>
      </c>
      <c r="B6999" s="2">
        <v>1.5057870370370369E-2</v>
      </c>
      <c r="C6999" t="s">
        <v>8215</v>
      </c>
      <c r="D6999" t="s">
        <v>35</v>
      </c>
      <c r="E6999" t="s">
        <v>36</v>
      </c>
      <c r="F6999" t="s">
        <v>986</v>
      </c>
      <c r="G6999">
        <v>968030</v>
      </c>
      <c r="H6999" t="s">
        <v>26</v>
      </c>
      <c r="I6999" t="s">
        <v>219</v>
      </c>
      <c r="J6999" t="str">
        <f>"9781118285138"</f>
        <v>9781118285138</v>
      </c>
      <c r="K6999" t="s">
        <v>1741</v>
      </c>
      <c r="L6999">
        <v>8</v>
      </c>
      <c r="O6999" t="s">
        <v>30</v>
      </c>
      <c r="P6999" t="s">
        <v>42</v>
      </c>
      <c r="S6999" t="s">
        <v>40</v>
      </c>
      <c r="T6999" t="s">
        <v>987</v>
      </c>
      <c r="U6999">
        <v>158.30000000000001</v>
      </c>
      <c r="V6999" s="3">
        <v>41100</v>
      </c>
    </row>
    <row r="7000" spans="1:22" x14ac:dyDescent="0.35">
      <c r="A7000" s="1">
        <v>42277.804340277777</v>
      </c>
      <c r="B7000" s="2">
        <v>1.1319444444444444E-2</v>
      </c>
      <c r="C7000" t="s">
        <v>6081</v>
      </c>
      <c r="D7000" t="s">
        <v>1222</v>
      </c>
      <c r="E7000" t="s">
        <v>1223</v>
      </c>
      <c r="F7000" t="s">
        <v>6082</v>
      </c>
      <c r="G7000">
        <v>1925073</v>
      </c>
      <c r="H7000" t="s">
        <v>91</v>
      </c>
      <c r="I7000" t="s">
        <v>69</v>
      </c>
      <c r="J7000" t="str">
        <f>"9781462521128"</f>
        <v>9781462521128</v>
      </c>
      <c r="K7000" t="s">
        <v>10495</v>
      </c>
      <c r="L7000">
        <v>48</v>
      </c>
      <c r="O7000" t="s">
        <v>30</v>
      </c>
      <c r="P7000" t="s">
        <v>47</v>
      </c>
      <c r="Q7000" s="1">
        <v>42277.804340277777</v>
      </c>
      <c r="R7000">
        <v>1</v>
      </c>
      <c r="S7000" t="s">
        <v>1226</v>
      </c>
      <c r="T7000" t="s">
        <v>6085</v>
      </c>
      <c r="U7000">
        <v>372.48</v>
      </c>
      <c r="V7000" s="3">
        <v>42178</v>
      </c>
    </row>
    <row r="7001" spans="1:22" x14ac:dyDescent="0.35">
      <c r="A7001" s="1">
        <v>42277.798229166663</v>
      </c>
      <c r="B7001" s="2">
        <v>6.1111111111111114E-3</v>
      </c>
      <c r="C7001" t="s">
        <v>6081</v>
      </c>
      <c r="D7001" t="s">
        <v>1222</v>
      </c>
      <c r="E7001" t="s">
        <v>1223</v>
      </c>
      <c r="F7001" t="s">
        <v>6082</v>
      </c>
      <c r="G7001">
        <v>1925073</v>
      </c>
      <c r="H7001" t="s">
        <v>91</v>
      </c>
      <c r="I7001" t="s">
        <v>69</v>
      </c>
      <c r="J7001" t="str">
        <f>"9781462521128"</f>
        <v>9781462521128</v>
      </c>
      <c r="K7001" t="s">
        <v>634</v>
      </c>
      <c r="L7001">
        <v>24</v>
      </c>
      <c r="O7001" t="s">
        <v>30</v>
      </c>
      <c r="P7001" t="s">
        <v>50</v>
      </c>
      <c r="S7001" t="s">
        <v>1226</v>
      </c>
      <c r="T7001" t="s">
        <v>6085</v>
      </c>
      <c r="U7001">
        <v>372.48</v>
      </c>
      <c r="V7001" s="3">
        <v>42178</v>
      </c>
    </row>
    <row r="7002" spans="1:22" x14ac:dyDescent="0.35">
      <c r="A7002" s="1">
        <v>42277.794999999998</v>
      </c>
      <c r="B7002" s="2">
        <v>1.0879629629629629E-3</v>
      </c>
      <c r="C7002" t="s">
        <v>210</v>
      </c>
      <c r="D7002" t="s">
        <v>211</v>
      </c>
      <c r="E7002" t="s">
        <v>212</v>
      </c>
      <c r="F7002" t="s">
        <v>9766</v>
      </c>
      <c r="G7002">
        <v>894258</v>
      </c>
      <c r="H7002" t="s">
        <v>26</v>
      </c>
      <c r="I7002" t="s">
        <v>382</v>
      </c>
      <c r="J7002" t="str">
        <f>"9781118333709"</f>
        <v>9781118333709</v>
      </c>
      <c r="K7002" t="s">
        <v>10496</v>
      </c>
      <c r="L7002">
        <v>12</v>
      </c>
      <c r="O7002" t="s">
        <v>30</v>
      </c>
      <c r="P7002" t="s">
        <v>42</v>
      </c>
      <c r="S7002" t="s">
        <v>214</v>
      </c>
      <c r="T7002" t="s">
        <v>9768</v>
      </c>
      <c r="U7002">
        <v>914.436104</v>
      </c>
      <c r="V7002" s="3">
        <v>41095</v>
      </c>
    </row>
    <row r="7003" spans="1:22" x14ac:dyDescent="0.35">
      <c r="A7003" s="1">
        <v>42277.750625000001</v>
      </c>
      <c r="B7003" s="2">
        <v>1.0185185185185186E-3</v>
      </c>
      <c r="C7003" t="s">
        <v>3957</v>
      </c>
      <c r="D7003" t="s">
        <v>1482</v>
      </c>
      <c r="E7003" t="s">
        <v>1483</v>
      </c>
      <c r="F7003" t="s">
        <v>3949</v>
      </c>
      <c r="G7003">
        <v>877713</v>
      </c>
      <c r="H7003" t="s">
        <v>149</v>
      </c>
      <c r="I7003" t="s">
        <v>172</v>
      </c>
      <c r="J7003" t="str">
        <f>"9781438138596"</f>
        <v>9781438138596</v>
      </c>
      <c r="K7003" t="s">
        <v>10497</v>
      </c>
      <c r="L7003">
        <v>18</v>
      </c>
      <c r="O7003" t="s">
        <v>30</v>
      </c>
      <c r="P7003" t="s">
        <v>42</v>
      </c>
      <c r="S7003" t="s">
        <v>1485</v>
      </c>
      <c r="T7003" t="s">
        <v>3951</v>
      </c>
      <c r="U7003">
        <v>932.00300000000004</v>
      </c>
      <c r="V7003" s="3">
        <v>40909</v>
      </c>
    </row>
    <row r="7004" spans="1:22" x14ac:dyDescent="0.35">
      <c r="A7004" s="1">
        <v>42277.722881944443</v>
      </c>
      <c r="B7004" s="2">
        <v>0.14185185185185187</v>
      </c>
      <c r="C7004" t="s">
        <v>106</v>
      </c>
      <c r="D7004" t="s">
        <v>23</v>
      </c>
      <c r="E7004" t="s">
        <v>24</v>
      </c>
      <c r="F7004" t="s">
        <v>486</v>
      </c>
      <c r="G7004">
        <v>1119505</v>
      </c>
      <c r="H7004" t="s">
        <v>26</v>
      </c>
      <c r="I7004" t="s">
        <v>450</v>
      </c>
      <c r="J7004" t="str">
        <f>"9781118355015"</f>
        <v>9781118355015</v>
      </c>
      <c r="K7004" t="s">
        <v>10498</v>
      </c>
      <c r="L7004">
        <v>58</v>
      </c>
      <c r="O7004" t="s">
        <v>30</v>
      </c>
      <c r="P7004" t="s">
        <v>29</v>
      </c>
      <c r="Q7004" s="1">
        <v>42277.03329861111</v>
      </c>
      <c r="R7004">
        <v>7</v>
      </c>
      <c r="S7004" t="s">
        <v>31</v>
      </c>
      <c r="T7004" t="s">
        <v>487</v>
      </c>
      <c r="U7004" t="s">
        <v>488</v>
      </c>
      <c r="V7004" s="3">
        <v>41302</v>
      </c>
    </row>
    <row r="7005" spans="1:22" x14ac:dyDescent="0.35">
      <c r="A7005" s="1">
        <v>42277.696793981479</v>
      </c>
      <c r="B7005" s="2">
        <v>1.0069444444444444E-3</v>
      </c>
      <c r="C7005" t="s">
        <v>6171</v>
      </c>
      <c r="D7005" t="s">
        <v>35</v>
      </c>
      <c r="E7005" t="s">
        <v>36</v>
      </c>
      <c r="F7005" t="s">
        <v>986</v>
      </c>
      <c r="G7005">
        <v>968030</v>
      </c>
      <c r="H7005" t="s">
        <v>26</v>
      </c>
      <c r="I7005" t="s">
        <v>219</v>
      </c>
      <c r="J7005" t="str">
        <f>"9781118285138"</f>
        <v>9781118285138</v>
      </c>
      <c r="K7005" t="s">
        <v>10499</v>
      </c>
      <c r="L7005">
        <v>12</v>
      </c>
      <c r="O7005" t="s">
        <v>30</v>
      </c>
      <c r="P7005" t="s">
        <v>29</v>
      </c>
      <c r="Q7005" s="1">
        <v>42277.696793981479</v>
      </c>
      <c r="R7005">
        <v>7</v>
      </c>
      <c r="S7005" t="s">
        <v>40</v>
      </c>
      <c r="T7005" t="s">
        <v>987</v>
      </c>
      <c r="U7005">
        <v>158.30000000000001</v>
      </c>
      <c r="V7005" s="3">
        <v>41100</v>
      </c>
    </row>
    <row r="7006" spans="1:22" x14ac:dyDescent="0.35">
      <c r="A7006" s="1">
        <v>42277.688831018517</v>
      </c>
      <c r="B7006" s="2">
        <v>7.9629629629629634E-3</v>
      </c>
      <c r="C7006" t="s">
        <v>6171</v>
      </c>
      <c r="D7006" t="s">
        <v>35</v>
      </c>
      <c r="E7006" t="s">
        <v>36</v>
      </c>
      <c r="F7006" t="s">
        <v>986</v>
      </c>
      <c r="G7006">
        <v>968030</v>
      </c>
      <c r="H7006" t="s">
        <v>26</v>
      </c>
      <c r="I7006" t="s">
        <v>219</v>
      </c>
      <c r="J7006" t="str">
        <f>"9781118285138"</f>
        <v>9781118285138</v>
      </c>
      <c r="K7006" t="s">
        <v>10500</v>
      </c>
      <c r="L7006">
        <v>21</v>
      </c>
      <c r="O7006" t="s">
        <v>30</v>
      </c>
      <c r="P7006" t="s">
        <v>42</v>
      </c>
      <c r="S7006" t="s">
        <v>40</v>
      </c>
      <c r="T7006" t="s">
        <v>987</v>
      </c>
      <c r="U7006">
        <v>158.30000000000001</v>
      </c>
      <c r="V7006" s="3">
        <v>41100</v>
      </c>
    </row>
    <row r="7007" spans="1:22" x14ac:dyDescent="0.35">
      <c r="A7007" s="1">
        <v>42277.68246527778</v>
      </c>
      <c r="B7007" s="2">
        <v>0</v>
      </c>
      <c r="C7007" t="s">
        <v>6058</v>
      </c>
      <c r="D7007" t="s">
        <v>2519</v>
      </c>
      <c r="E7007" t="s">
        <v>2520</v>
      </c>
      <c r="F7007" t="s">
        <v>4967</v>
      </c>
      <c r="G7007">
        <v>1524159</v>
      </c>
      <c r="H7007" t="s">
        <v>68</v>
      </c>
      <c r="I7007" t="s">
        <v>120</v>
      </c>
      <c r="J7007" t="str">
        <f>"9781135949747"</f>
        <v>9781135949747</v>
      </c>
      <c r="L7007">
        <v>0</v>
      </c>
      <c r="O7007" t="s">
        <v>30</v>
      </c>
      <c r="P7007" t="s">
        <v>47</v>
      </c>
      <c r="Q7007" s="1">
        <v>42277.68246527778</v>
      </c>
      <c r="R7007">
        <v>1</v>
      </c>
      <c r="S7007" t="s">
        <v>3786</v>
      </c>
      <c r="T7007" t="s">
        <v>4970</v>
      </c>
      <c r="U7007" t="s">
        <v>4971</v>
      </c>
      <c r="V7007" s="3">
        <v>41577</v>
      </c>
    </row>
    <row r="7008" spans="1:22" x14ac:dyDescent="0.35">
      <c r="A7008" s="1">
        <v>42277.682025462964</v>
      </c>
      <c r="B7008" s="2">
        <v>4.3981481481481481E-4</v>
      </c>
      <c r="C7008" t="s">
        <v>6058</v>
      </c>
      <c r="D7008" t="s">
        <v>2519</v>
      </c>
      <c r="E7008" t="s">
        <v>2520</v>
      </c>
      <c r="F7008" t="s">
        <v>4967</v>
      </c>
      <c r="G7008">
        <v>1524159</v>
      </c>
      <c r="H7008" t="s">
        <v>68</v>
      </c>
      <c r="I7008" t="s">
        <v>120</v>
      </c>
      <c r="J7008" t="str">
        <f>"9781135949747"</f>
        <v>9781135949747</v>
      </c>
      <c r="K7008" t="s">
        <v>10501</v>
      </c>
      <c r="L7008">
        <v>14</v>
      </c>
      <c r="O7008" t="s">
        <v>30</v>
      </c>
      <c r="P7008" t="s">
        <v>50</v>
      </c>
      <c r="S7008" t="s">
        <v>3786</v>
      </c>
      <c r="T7008" t="s">
        <v>4970</v>
      </c>
      <c r="U7008" t="s">
        <v>4971</v>
      </c>
      <c r="V7008" s="3">
        <v>41577</v>
      </c>
    </row>
    <row r="7009" spans="1:22" x14ac:dyDescent="0.35">
      <c r="A7009" s="1">
        <v>42277.66678240741</v>
      </c>
      <c r="B7009" s="2">
        <v>3.951388888888889E-2</v>
      </c>
      <c r="C7009" t="s">
        <v>106</v>
      </c>
      <c r="D7009" t="s">
        <v>23</v>
      </c>
      <c r="E7009" t="s">
        <v>24</v>
      </c>
      <c r="F7009" t="s">
        <v>486</v>
      </c>
      <c r="G7009">
        <v>1119505</v>
      </c>
      <c r="H7009" t="s">
        <v>26</v>
      </c>
      <c r="I7009" t="s">
        <v>450</v>
      </c>
      <c r="J7009" t="str">
        <f>"9781118355015"</f>
        <v>9781118355015</v>
      </c>
      <c r="K7009" t="s">
        <v>10502</v>
      </c>
      <c r="L7009">
        <v>39</v>
      </c>
      <c r="O7009" t="s">
        <v>30</v>
      </c>
      <c r="P7009" t="s">
        <v>29</v>
      </c>
      <c r="Q7009" s="1">
        <v>42277.03329861111</v>
      </c>
      <c r="R7009">
        <v>7</v>
      </c>
      <c r="S7009" t="s">
        <v>31</v>
      </c>
      <c r="T7009" t="s">
        <v>487</v>
      </c>
      <c r="U7009" t="s">
        <v>488</v>
      </c>
      <c r="V7009" s="3">
        <v>41302</v>
      </c>
    </row>
    <row r="7010" spans="1:22" x14ac:dyDescent="0.35">
      <c r="A7010" s="1">
        <v>42277.666562500002</v>
      </c>
      <c r="B7010" s="2">
        <v>1.2094907407407408E-2</v>
      </c>
      <c r="C7010" t="s">
        <v>10503</v>
      </c>
      <c r="D7010" t="s">
        <v>623</v>
      </c>
      <c r="E7010" t="s">
        <v>624</v>
      </c>
      <c r="F7010" t="s">
        <v>10504</v>
      </c>
      <c r="G7010">
        <v>1674834</v>
      </c>
      <c r="H7010" t="s">
        <v>139</v>
      </c>
      <c r="I7010" t="s">
        <v>79</v>
      </c>
      <c r="J7010" t="str">
        <f>"9780814708477"</f>
        <v>9780814708477</v>
      </c>
      <c r="K7010" t="s">
        <v>10505</v>
      </c>
      <c r="L7010">
        <v>57</v>
      </c>
      <c r="O7010" t="s">
        <v>30</v>
      </c>
      <c r="P7010" t="s">
        <v>29</v>
      </c>
      <c r="Q7010" s="1">
        <v>42277.666562500002</v>
      </c>
      <c r="R7010">
        <v>7</v>
      </c>
      <c r="S7010" t="s">
        <v>627</v>
      </c>
      <c r="T7010" t="s">
        <v>10506</v>
      </c>
      <c r="U7010" t="s">
        <v>10507</v>
      </c>
      <c r="V7010" s="3">
        <v>41775</v>
      </c>
    </row>
    <row r="7011" spans="1:22" x14ac:dyDescent="0.35">
      <c r="A7011" s="1">
        <v>42277.662928240738</v>
      </c>
      <c r="B7011" s="2">
        <v>3.6342592592592594E-3</v>
      </c>
      <c r="C7011" t="s">
        <v>10503</v>
      </c>
      <c r="D7011" t="s">
        <v>623</v>
      </c>
      <c r="E7011" t="s">
        <v>624</v>
      </c>
      <c r="F7011" t="s">
        <v>10504</v>
      </c>
      <c r="G7011">
        <v>1674834</v>
      </c>
      <c r="H7011" t="s">
        <v>139</v>
      </c>
      <c r="I7011" t="s">
        <v>79</v>
      </c>
      <c r="J7011" t="str">
        <f>"9780814708477"</f>
        <v>9780814708477</v>
      </c>
      <c r="K7011" t="s">
        <v>10508</v>
      </c>
      <c r="L7011">
        <v>21</v>
      </c>
      <c r="O7011" t="s">
        <v>30</v>
      </c>
      <c r="P7011" t="s">
        <v>50</v>
      </c>
      <c r="S7011" t="s">
        <v>627</v>
      </c>
      <c r="T7011" t="s">
        <v>10506</v>
      </c>
      <c r="U7011" t="s">
        <v>10507</v>
      </c>
      <c r="V7011" s="3">
        <v>41775</v>
      </c>
    </row>
    <row r="7012" spans="1:22" x14ac:dyDescent="0.35">
      <c r="A7012" s="1">
        <v>42277.651828703703</v>
      </c>
      <c r="B7012" s="2">
        <v>5.4398148148148144E-4</v>
      </c>
      <c r="C7012" t="s">
        <v>10509</v>
      </c>
      <c r="D7012" t="s">
        <v>6396</v>
      </c>
      <c r="E7012" t="s">
        <v>6397</v>
      </c>
      <c r="F7012" t="s">
        <v>4234</v>
      </c>
      <c r="G7012">
        <v>1745053</v>
      </c>
      <c r="H7012" t="s">
        <v>26</v>
      </c>
      <c r="I7012" t="s">
        <v>841</v>
      </c>
      <c r="J7012" t="str">
        <f>"9780745685359"</f>
        <v>9780745685359</v>
      </c>
      <c r="K7012" t="s">
        <v>867</v>
      </c>
      <c r="L7012">
        <v>10</v>
      </c>
      <c r="O7012" t="s">
        <v>30</v>
      </c>
      <c r="P7012" t="s">
        <v>50</v>
      </c>
      <c r="S7012" t="s">
        <v>6400</v>
      </c>
      <c r="T7012" t="s">
        <v>4235</v>
      </c>
      <c r="U7012">
        <v>355.41097300000001</v>
      </c>
      <c r="V7012" s="3">
        <v>41837</v>
      </c>
    </row>
    <row r="7013" spans="1:22" x14ac:dyDescent="0.35">
      <c r="A7013" s="1">
        <v>42277.63422453704</v>
      </c>
      <c r="B7013" s="2">
        <v>3.2499999999999994E-2</v>
      </c>
      <c r="C7013" t="s">
        <v>106</v>
      </c>
      <c r="D7013" t="s">
        <v>23</v>
      </c>
      <c r="E7013" t="s">
        <v>24</v>
      </c>
      <c r="F7013" t="s">
        <v>486</v>
      </c>
      <c r="G7013">
        <v>1119505</v>
      </c>
      <c r="H7013" t="s">
        <v>26</v>
      </c>
      <c r="I7013" t="s">
        <v>450</v>
      </c>
      <c r="J7013" t="str">
        <f>"9781118355015"</f>
        <v>9781118355015</v>
      </c>
      <c r="K7013" t="s">
        <v>10510</v>
      </c>
      <c r="L7013">
        <v>20</v>
      </c>
      <c r="O7013" t="s">
        <v>30</v>
      </c>
      <c r="P7013" t="s">
        <v>29</v>
      </c>
      <c r="Q7013" s="1">
        <v>42277.03329861111</v>
      </c>
      <c r="R7013">
        <v>7</v>
      </c>
      <c r="S7013" t="s">
        <v>31</v>
      </c>
      <c r="T7013" t="s">
        <v>487</v>
      </c>
      <c r="U7013" t="s">
        <v>488</v>
      </c>
      <c r="V7013" s="3">
        <v>41302</v>
      </c>
    </row>
    <row r="7014" spans="1:22" x14ac:dyDescent="0.35">
      <c r="A7014" s="1">
        <v>42277.632118055553</v>
      </c>
      <c r="B7014" s="2">
        <v>9.0856481481481483E-3</v>
      </c>
      <c r="C7014" t="s">
        <v>3753</v>
      </c>
      <c r="D7014" t="s">
        <v>35</v>
      </c>
      <c r="E7014" t="s">
        <v>36</v>
      </c>
      <c r="F7014" t="s">
        <v>986</v>
      </c>
      <c r="G7014">
        <v>968030</v>
      </c>
      <c r="H7014" t="s">
        <v>26</v>
      </c>
      <c r="I7014" t="s">
        <v>219</v>
      </c>
      <c r="J7014" t="str">
        <f>"9781118285138"</f>
        <v>9781118285138</v>
      </c>
      <c r="K7014" t="s">
        <v>10511</v>
      </c>
      <c r="L7014">
        <v>15</v>
      </c>
      <c r="O7014" t="s">
        <v>30</v>
      </c>
      <c r="P7014" t="s">
        <v>29</v>
      </c>
      <c r="Q7014" s="1">
        <v>42277.632118055553</v>
      </c>
      <c r="R7014">
        <v>7</v>
      </c>
      <c r="S7014" t="s">
        <v>40</v>
      </c>
      <c r="T7014" t="s">
        <v>987</v>
      </c>
      <c r="U7014">
        <v>158.30000000000001</v>
      </c>
      <c r="V7014" s="3">
        <v>41100</v>
      </c>
    </row>
    <row r="7015" spans="1:22" x14ac:dyDescent="0.35">
      <c r="A7015" s="1">
        <v>42277.624421296299</v>
      </c>
      <c r="B7015" s="2">
        <v>7.69675925925926E-3</v>
      </c>
      <c r="C7015" t="s">
        <v>3753</v>
      </c>
      <c r="D7015" t="s">
        <v>35</v>
      </c>
      <c r="E7015" t="s">
        <v>36</v>
      </c>
      <c r="F7015" t="s">
        <v>986</v>
      </c>
      <c r="G7015">
        <v>968030</v>
      </c>
      <c r="H7015" t="s">
        <v>26</v>
      </c>
      <c r="I7015" t="s">
        <v>219</v>
      </c>
      <c r="J7015" t="str">
        <f>"9781118285138"</f>
        <v>9781118285138</v>
      </c>
      <c r="K7015" t="s">
        <v>10512</v>
      </c>
      <c r="L7015">
        <v>19</v>
      </c>
      <c r="O7015" t="s">
        <v>30</v>
      </c>
      <c r="P7015" t="s">
        <v>42</v>
      </c>
      <c r="S7015" t="s">
        <v>40</v>
      </c>
      <c r="T7015" t="s">
        <v>987</v>
      </c>
      <c r="U7015">
        <v>158.30000000000001</v>
      </c>
      <c r="V7015" s="3">
        <v>41100</v>
      </c>
    </row>
    <row r="7016" spans="1:22" x14ac:dyDescent="0.35">
      <c r="A7016" s="1">
        <v>42277.601736111108</v>
      </c>
      <c r="B7016" s="2">
        <v>0</v>
      </c>
      <c r="C7016" t="s">
        <v>6693</v>
      </c>
      <c r="D7016" t="s">
        <v>6396</v>
      </c>
      <c r="E7016" t="s">
        <v>6397</v>
      </c>
      <c r="F7016" t="s">
        <v>10513</v>
      </c>
      <c r="G7016">
        <v>1977647</v>
      </c>
      <c r="H7016" t="s">
        <v>26</v>
      </c>
      <c r="I7016" t="s">
        <v>108</v>
      </c>
      <c r="J7016" t="str">
        <f>"9781119124917"</f>
        <v>9781119124917</v>
      </c>
      <c r="L7016">
        <v>0</v>
      </c>
      <c r="O7016" t="s">
        <v>28</v>
      </c>
      <c r="P7016" t="s">
        <v>29</v>
      </c>
      <c r="Q7016" s="1">
        <v>42277.601736111108</v>
      </c>
      <c r="R7016">
        <v>7</v>
      </c>
      <c r="S7016" t="s">
        <v>6400</v>
      </c>
      <c r="T7016" t="s">
        <v>10514</v>
      </c>
      <c r="U7016">
        <v>332.024</v>
      </c>
      <c r="V7016" s="3">
        <v>42226</v>
      </c>
    </row>
    <row r="7017" spans="1:22" x14ac:dyDescent="0.35">
      <c r="A7017" s="1">
        <v>42277.601736111108</v>
      </c>
      <c r="B7017" s="2">
        <v>0</v>
      </c>
      <c r="C7017" t="s">
        <v>6693</v>
      </c>
      <c r="D7017" t="s">
        <v>6396</v>
      </c>
      <c r="E7017" t="s">
        <v>6397</v>
      </c>
      <c r="F7017" t="s">
        <v>10513</v>
      </c>
      <c r="G7017">
        <v>1977647</v>
      </c>
      <c r="H7017" t="s">
        <v>26</v>
      </c>
      <c r="I7017" t="s">
        <v>108</v>
      </c>
      <c r="J7017" t="str">
        <f>"9781119124917"</f>
        <v>9781119124917</v>
      </c>
      <c r="L7017">
        <v>0</v>
      </c>
      <c r="O7017" t="s">
        <v>30</v>
      </c>
      <c r="P7017" t="s">
        <v>29</v>
      </c>
      <c r="Q7017" s="1">
        <v>42277.601736111108</v>
      </c>
      <c r="R7017">
        <v>7</v>
      </c>
      <c r="S7017" t="s">
        <v>6400</v>
      </c>
      <c r="T7017" t="s">
        <v>10514</v>
      </c>
      <c r="U7017">
        <v>332.024</v>
      </c>
      <c r="V7017" s="3">
        <v>42226</v>
      </c>
    </row>
    <row r="7018" spans="1:22" x14ac:dyDescent="0.35">
      <c r="A7018" s="1">
        <v>42277.582013888888</v>
      </c>
      <c r="B7018" s="2">
        <v>1.3888888888888889E-4</v>
      </c>
      <c r="C7018" t="s">
        <v>6693</v>
      </c>
      <c r="D7018" t="s">
        <v>6396</v>
      </c>
      <c r="E7018" t="s">
        <v>6397</v>
      </c>
      <c r="F7018" t="s">
        <v>10515</v>
      </c>
      <c r="G7018">
        <v>1896049</v>
      </c>
      <c r="H7018" t="s">
        <v>26</v>
      </c>
      <c r="I7018" t="s">
        <v>247</v>
      </c>
      <c r="J7018" t="str">
        <f>"9781119074809"</f>
        <v>9781119074809</v>
      </c>
      <c r="K7018" t="s">
        <v>10516</v>
      </c>
      <c r="L7018">
        <v>6</v>
      </c>
      <c r="O7018" t="s">
        <v>30</v>
      </c>
      <c r="P7018" t="s">
        <v>29</v>
      </c>
      <c r="Q7018" s="1">
        <v>42277.582013888888</v>
      </c>
      <c r="R7018">
        <v>7</v>
      </c>
      <c r="S7018" t="s">
        <v>6400</v>
      </c>
      <c r="T7018" t="s">
        <v>10517</v>
      </c>
      <c r="U7018" t="s">
        <v>10518</v>
      </c>
      <c r="V7018" s="3">
        <v>42059</v>
      </c>
    </row>
    <row r="7019" spans="1:22" x14ac:dyDescent="0.35">
      <c r="A7019" s="1">
        <v>42277.579907407409</v>
      </c>
      <c r="B7019" s="2">
        <v>0</v>
      </c>
      <c r="C7019" t="s">
        <v>6693</v>
      </c>
      <c r="D7019" t="s">
        <v>6396</v>
      </c>
      <c r="E7019" t="s">
        <v>6397</v>
      </c>
      <c r="F7019" t="s">
        <v>9202</v>
      </c>
      <c r="G7019">
        <v>1895918</v>
      </c>
      <c r="H7019" t="s">
        <v>26</v>
      </c>
      <c r="I7019" t="s">
        <v>297</v>
      </c>
      <c r="J7019" t="str">
        <f>"9781119015314"</f>
        <v>9781119015314</v>
      </c>
      <c r="L7019">
        <v>0</v>
      </c>
      <c r="O7019" t="s">
        <v>28</v>
      </c>
      <c r="P7019" t="s">
        <v>29</v>
      </c>
      <c r="Q7019" s="1">
        <v>42277.579907407409</v>
      </c>
      <c r="R7019">
        <v>7</v>
      </c>
      <c r="S7019" t="s">
        <v>6400</v>
      </c>
      <c r="T7019" t="s">
        <v>9203</v>
      </c>
      <c r="U7019">
        <v>515</v>
      </c>
      <c r="V7019" s="3">
        <v>42213</v>
      </c>
    </row>
    <row r="7020" spans="1:22" x14ac:dyDescent="0.35">
      <c r="A7020" s="1">
        <v>42277.579907407409</v>
      </c>
      <c r="B7020" s="2">
        <v>0</v>
      </c>
      <c r="C7020" t="s">
        <v>6693</v>
      </c>
      <c r="D7020" t="s">
        <v>6396</v>
      </c>
      <c r="E7020" t="s">
        <v>6397</v>
      </c>
      <c r="F7020" t="s">
        <v>9202</v>
      </c>
      <c r="G7020">
        <v>1895918</v>
      </c>
      <c r="H7020" t="s">
        <v>26</v>
      </c>
      <c r="I7020" t="s">
        <v>297</v>
      </c>
      <c r="J7020" t="str">
        <f>"9781119015314"</f>
        <v>9781119015314</v>
      </c>
      <c r="L7020">
        <v>0</v>
      </c>
      <c r="O7020" t="s">
        <v>30</v>
      </c>
      <c r="P7020" t="s">
        <v>29</v>
      </c>
      <c r="Q7020" s="1">
        <v>42277.579907407409</v>
      </c>
      <c r="R7020">
        <v>7</v>
      </c>
      <c r="S7020" t="s">
        <v>6400</v>
      </c>
      <c r="T7020" t="s">
        <v>9203</v>
      </c>
      <c r="U7020">
        <v>515</v>
      </c>
      <c r="V7020" s="3">
        <v>42213</v>
      </c>
    </row>
    <row r="7021" spans="1:22" x14ac:dyDescent="0.35">
      <c r="A7021" s="1">
        <v>42277.57885416667</v>
      </c>
      <c r="B7021" s="2">
        <v>5.7870370370370366E-5</v>
      </c>
      <c r="C7021" t="s">
        <v>6693</v>
      </c>
      <c r="D7021" t="s">
        <v>6396</v>
      </c>
      <c r="E7021" t="s">
        <v>6397</v>
      </c>
      <c r="F7021" t="s">
        <v>10519</v>
      </c>
      <c r="G7021">
        <v>2050950</v>
      </c>
      <c r="H7021" t="s">
        <v>26</v>
      </c>
      <c r="I7021" t="s">
        <v>247</v>
      </c>
      <c r="J7021" t="str">
        <f>"9781118913802"</f>
        <v>9781118913802</v>
      </c>
      <c r="K7021" t="s">
        <v>10520</v>
      </c>
      <c r="L7021">
        <v>3</v>
      </c>
      <c r="O7021" t="s">
        <v>30</v>
      </c>
      <c r="P7021" t="s">
        <v>50</v>
      </c>
      <c r="S7021" t="s">
        <v>6400</v>
      </c>
      <c r="T7021" t="s">
        <v>10521</v>
      </c>
      <c r="U7021">
        <v>617.60072000000002</v>
      </c>
      <c r="V7021" s="3">
        <v>42212</v>
      </c>
    </row>
    <row r="7022" spans="1:22" x14ac:dyDescent="0.35">
      <c r="A7022" s="1">
        <v>42277.57880787037</v>
      </c>
      <c r="B7022" s="2">
        <v>9.9537037037037042E-4</v>
      </c>
      <c r="C7022" t="s">
        <v>6693</v>
      </c>
      <c r="D7022" t="s">
        <v>6396</v>
      </c>
      <c r="E7022" t="s">
        <v>6397</v>
      </c>
      <c r="F7022" t="s">
        <v>10522</v>
      </c>
      <c r="G7022">
        <v>2030721</v>
      </c>
      <c r="H7022" t="s">
        <v>26</v>
      </c>
      <c r="I7022" t="s">
        <v>247</v>
      </c>
      <c r="J7022" t="str">
        <f>"9781118886243"</f>
        <v>9781118886243</v>
      </c>
      <c r="K7022" t="s">
        <v>10523</v>
      </c>
      <c r="L7022">
        <v>17</v>
      </c>
      <c r="O7022" t="s">
        <v>30</v>
      </c>
      <c r="P7022" t="s">
        <v>50</v>
      </c>
      <c r="S7022" t="s">
        <v>6400</v>
      </c>
      <c r="T7022" t="s">
        <v>10524</v>
      </c>
      <c r="U7022">
        <v>617.69200000000001</v>
      </c>
      <c r="V7022" s="3">
        <v>42212</v>
      </c>
    </row>
    <row r="7023" spans="1:22" x14ac:dyDescent="0.35">
      <c r="A7023" s="1">
        <v>42277.578622685185</v>
      </c>
      <c r="B7023" s="2">
        <v>1.2847222222222223E-3</v>
      </c>
      <c r="C7023" t="s">
        <v>6693</v>
      </c>
      <c r="D7023" t="s">
        <v>6396</v>
      </c>
      <c r="E7023" t="s">
        <v>6397</v>
      </c>
      <c r="F7023" t="s">
        <v>9202</v>
      </c>
      <c r="G7023">
        <v>1895918</v>
      </c>
      <c r="H7023" t="s">
        <v>26</v>
      </c>
      <c r="I7023" t="s">
        <v>297</v>
      </c>
      <c r="J7023" t="str">
        <f>"9781119015314"</f>
        <v>9781119015314</v>
      </c>
      <c r="K7023" t="s">
        <v>10428</v>
      </c>
      <c r="L7023">
        <v>3</v>
      </c>
      <c r="O7023" t="s">
        <v>30</v>
      </c>
      <c r="P7023" t="s">
        <v>50</v>
      </c>
      <c r="S7023" t="s">
        <v>6400</v>
      </c>
      <c r="T7023" t="s">
        <v>9203</v>
      </c>
      <c r="U7023">
        <v>515</v>
      </c>
      <c r="V7023" s="3">
        <v>42213</v>
      </c>
    </row>
    <row r="7024" spans="1:22" x14ac:dyDescent="0.35">
      <c r="A7024" s="1">
        <v>42277.577013888891</v>
      </c>
      <c r="B7024" s="2">
        <v>2.4722222222222225E-2</v>
      </c>
      <c r="C7024" t="s">
        <v>6693</v>
      </c>
      <c r="D7024" t="s">
        <v>6396</v>
      </c>
      <c r="E7024" t="s">
        <v>6397</v>
      </c>
      <c r="F7024" t="s">
        <v>10513</v>
      </c>
      <c r="G7024">
        <v>1977647</v>
      </c>
      <c r="H7024" t="s">
        <v>26</v>
      </c>
      <c r="I7024" t="s">
        <v>108</v>
      </c>
      <c r="J7024" t="str">
        <f>"9781119124917"</f>
        <v>9781119124917</v>
      </c>
      <c r="K7024" t="s">
        <v>536</v>
      </c>
      <c r="L7024">
        <v>3</v>
      </c>
      <c r="O7024" t="s">
        <v>30</v>
      </c>
      <c r="P7024" t="s">
        <v>50</v>
      </c>
      <c r="S7024" t="s">
        <v>6400</v>
      </c>
      <c r="T7024" t="s">
        <v>10514</v>
      </c>
      <c r="U7024">
        <v>332.024</v>
      </c>
      <c r="V7024" s="3">
        <v>42226</v>
      </c>
    </row>
    <row r="7025" spans="1:22" x14ac:dyDescent="0.35">
      <c r="A7025" s="1">
        <v>42277.576793981483</v>
      </c>
      <c r="B7025" s="2">
        <v>5.2199074074074066E-3</v>
      </c>
      <c r="C7025" t="s">
        <v>6693</v>
      </c>
      <c r="D7025" t="s">
        <v>6396</v>
      </c>
      <c r="E7025" t="s">
        <v>6397</v>
      </c>
      <c r="F7025" t="s">
        <v>10515</v>
      </c>
      <c r="G7025">
        <v>1896049</v>
      </c>
      <c r="H7025" t="s">
        <v>26</v>
      </c>
      <c r="I7025" t="s">
        <v>247</v>
      </c>
      <c r="J7025" t="str">
        <f>"9781119074809"</f>
        <v>9781119074809</v>
      </c>
      <c r="K7025" t="s">
        <v>10525</v>
      </c>
      <c r="L7025">
        <v>6</v>
      </c>
      <c r="O7025" t="s">
        <v>30</v>
      </c>
      <c r="P7025" t="s">
        <v>50</v>
      </c>
      <c r="S7025" t="s">
        <v>6400</v>
      </c>
      <c r="T7025" t="s">
        <v>10517</v>
      </c>
      <c r="U7025" t="s">
        <v>10518</v>
      </c>
      <c r="V7025" s="3">
        <v>42059</v>
      </c>
    </row>
    <row r="7026" spans="1:22" x14ac:dyDescent="0.35">
      <c r="A7026" s="1">
        <v>42277.575520833336</v>
      </c>
      <c r="B7026" s="2">
        <v>0</v>
      </c>
      <c r="C7026" t="s">
        <v>6693</v>
      </c>
      <c r="D7026" t="s">
        <v>6396</v>
      </c>
      <c r="E7026" t="s">
        <v>6397</v>
      </c>
      <c r="F7026" t="s">
        <v>10526</v>
      </c>
      <c r="G7026">
        <v>1964140</v>
      </c>
      <c r="H7026" t="s">
        <v>26</v>
      </c>
      <c r="I7026" t="s">
        <v>276</v>
      </c>
      <c r="J7026" t="str">
        <f>"9781119119883"</f>
        <v>9781119119883</v>
      </c>
      <c r="L7026">
        <v>0</v>
      </c>
      <c r="O7026" t="s">
        <v>28</v>
      </c>
      <c r="P7026" t="s">
        <v>29</v>
      </c>
      <c r="Q7026" s="1">
        <v>42277.575520833336</v>
      </c>
      <c r="R7026">
        <v>7</v>
      </c>
      <c r="S7026" t="s">
        <v>6400</v>
      </c>
      <c r="T7026" t="s">
        <v>10527</v>
      </c>
      <c r="U7026">
        <v>5.133</v>
      </c>
      <c r="V7026" s="3">
        <v>42221</v>
      </c>
    </row>
    <row r="7027" spans="1:22" x14ac:dyDescent="0.35">
      <c r="A7027" s="1">
        <v>42277.575520833336</v>
      </c>
      <c r="B7027" s="2">
        <v>0</v>
      </c>
      <c r="C7027" t="s">
        <v>6693</v>
      </c>
      <c r="D7027" t="s">
        <v>6396</v>
      </c>
      <c r="E7027" t="s">
        <v>6397</v>
      </c>
      <c r="F7027" t="s">
        <v>10526</v>
      </c>
      <c r="G7027">
        <v>1964140</v>
      </c>
      <c r="H7027" t="s">
        <v>26</v>
      </c>
      <c r="I7027" t="s">
        <v>276</v>
      </c>
      <c r="J7027" t="str">
        <f>"9781119119883"</f>
        <v>9781119119883</v>
      </c>
      <c r="L7027">
        <v>0</v>
      </c>
      <c r="O7027" t="s">
        <v>30</v>
      </c>
      <c r="P7027" t="s">
        <v>29</v>
      </c>
      <c r="Q7027" s="1">
        <v>42277.575520833336</v>
      </c>
      <c r="R7027">
        <v>7</v>
      </c>
      <c r="S7027" t="s">
        <v>6400</v>
      </c>
      <c r="T7027" t="s">
        <v>10527</v>
      </c>
      <c r="U7027">
        <v>5.133</v>
      </c>
      <c r="V7027" s="3">
        <v>42221</v>
      </c>
    </row>
    <row r="7028" spans="1:22" x14ac:dyDescent="0.35">
      <c r="A7028" s="1">
        <v>42277.575208333335</v>
      </c>
      <c r="B7028" s="2">
        <v>3.1250000000000001E-4</v>
      </c>
      <c r="C7028" t="s">
        <v>6693</v>
      </c>
      <c r="D7028" t="s">
        <v>6396</v>
      </c>
      <c r="E7028" t="s">
        <v>6397</v>
      </c>
      <c r="F7028" t="s">
        <v>10526</v>
      </c>
      <c r="G7028">
        <v>1964140</v>
      </c>
      <c r="H7028" t="s">
        <v>26</v>
      </c>
      <c r="I7028" t="s">
        <v>276</v>
      </c>
      <c r="J7028" t="str">
        <f>"9781119119883"</f>
        <v>9781119119883</v>
      </c>
      <c r="K7028" t="s">
        <v>536</v>
      </c>
      <c r="L7028">
        <v>3</v>
      </c>
      <c r="O7028" t="s">
        <v>30</v>
      </c>
      <c r="P7028" t="s">
        <v>50</v>
      </c>
      <c r="S7028" t="s">
        <v>6400</v>
      </c>
      <c r="T7028" t="s">
        <v>10527</v>
      </c>
      <c r="U7028">
        <v>5.133</v>
      </c>
      <c r="V7028" s="3">
        <v>42221</v>
      </c>
    </row>
    <row r="7029" spans="1:22" x14ac:dyDescent="0.35">
      <c r="A7029" s="1">
        <v>42277.55667824074</v>
      </c>
      <c r="B7029" s="2">
        <v>0</v>
      </c>
      <c r="C7029" t="s">
        <v>6693</v>
      </c>
      <c r="D7029" t="s">
        <v>6396</v>
      </c>
      <c r="E7029" t="s">
        <v>6397</v>
      </c>
      <c r="F7029" t="s">
        <v>10528</v>
      </c>
      <c r="G7029">
        <v>1986942</v>
      </c>
      <c r="H7029" t="s">
        <v>26</v>
      </c>
      <c r="I7029" t="s">
        <v>247</v>
      </c>
      <c r="J7029" t="str">
        <f>"9781118925188"</f>
        <v>9781118925188</v>
      </c>
      <c r="L7029">
        <v>0</v>
      </c>
      <c r="O7029" t="s">
        <v>28</v>
      </c>
      <c r="P7029" t="s">
        <v>29</v>
      </c>
      <c r="Q7029" s="1">
        <v>42277.55667824074</v>
      </c>
      <c r="R7029">
        <v>7</v>
      </c>
      <c r="S7029" t="s">
        <v>6400</v>
      </c>
      <c r="T7029" t="s">
        <v>10529</v>
      </c>
      <c r="U7029" t="s">
        <v>10530</v>
      </c>
      <c r="V7029" s="3">
        <v>42222</v>
      </c>
    </row>
    <row r="7030" spans="1:22" x14ac:dyDescent="0.35">
      <c r="A7030" s="1">
        <v>42277.55667824074</v>
      </c>
      <c r="B7030" s="2">
        <v>0</v>
      </c>
      <c r="C7030" t="s">
        <v>6693</v>
      </c>
      <c r="D7030" t="s">
        <v>6396</v>
      </c>
      <c r="E7030" t="s">
        <v>6397</v>
      </c>
      <c r="F7030" t="s">
        <v>10528</v>
      </c>
      <c r="G7030">
        <v>1986942</v>
      </c>
      <c r="H7030" t="s">
        <v>26</v>
      </c>
      <c r="I7030" t="s">
        <v>247</v>
      </c>
      <c r="J7030" t="str">
        <f>"9781118925188"</f>
        <v>9781118925188</v>
      </c>
      <c r="L7030">
        <v>0</v>
      </c>
      <c r="O7030" t="s">
        <v>30</v>
      </c>
      <c r="P7030" t="s">
        <v>29</v>
      </c>
      <c r="Q7030" s="1">
        <v>42277.55667824074</v>
      </c>
      <c r="R7030">
        <v>7</v>
      </c>
      <c r="S7030" t="s">
        <v>6400</v>
      </c>
      <c r="T7030" t="s">
        <v>10529</v>
      </c>
      <c r="U7030" t="s">
        <v>10530</v>
      </c>
      <c r="V7030" s="3">
        <v>42222</v>
      </c>
    </row>
    <row r="7031" spans="1:22" x14ac:dyDescent="0.35">
      <c r="A7031" s="1">
        <v>42277.555451388886</v>
      </c>
      <c r="B7031" s="2">
        <v>1.2268518518518518E-3</v>
      </c>
      <c r="C7031" t="s">
        <v>6693</v>
      </c>
      <c r="D7031" t="s">
        <v>6396</v>
      </c>
      <c r="E7031" t="s">
        <v>6397</v>
      </c>
      <c r="F7031" t="s">
        <v>10528</v>
      </c>
      <c r="G7031">
        <v>1986942</v>
      </c>
      <c r="H7031" t="s">
        <v>26</v>
      </c>
      <c r="I7031" t="s">
        <v>247</v>
      </c>
      <c r="J7031" t="str">
        <f>"9781118925188"</f>
        <v>9781118925188</v>
      </c>
      <c r="K7031" t="s">
        <v>10531</v>
      </c>
      <c r="L7031">
        <v>16</v>
      </c>
      <c r="O7031" t="s">
        <v>30</v>
      </c>
      <c r="P7031" t="s">
        <v>50</v>
      </c>
      <c r="S7031" t="s">
        <v>6400</v>
      </c>
      <c r="T7031" t="s">
        <v>10529</v>
      </c>
      <c r="U7031" t="s">
        <v>10530</v>
      </c>
      <c r="V7031" s="3">
        <v>42222</v>
      </c>
    </row>
    <row r="7032" spans="1:22" x14ac:dyDescent="0.35">
      <c r="A7032" s="1">
        <v>42277.543229166666</v>
      </c>
      <c r="B7032" s="2">
        <v>2.7777777777777778E-4</v>
      </c>
      <c r="C7032" t="s">
        <v>210</v>
      </c>
      <c r="D7032" t="s">
        <v>211</v>
      </c>
      <c r="E7032" t="s">
        <v>212</v>
      </c>
      <c r="F7032" t="s">
        <v>9766</v>
      </c>
      <c r="G7032">
        <v>894258</v>
      </c>
      <c r="H7032" t="s">
        <v>26</v>
      </c>
      <c r="I7032" t="s">
        <v>382</v>
      </c>
      <c r="J7032" t="str">
        <f>"9781118333709"</f>
        <v>9781118333709</v>
      </c>
      <c r="K7032" t="s">
        <v>10532</v>
      </c>
      <c r="L7032">
        <v>8</v>
      </c>
      <c r="O7032" t="s">
        <v>30</v>
      </c>
      <c r="P7032" t="s">
        <v>42</v>
      </c>
      <c r="S7032" t="s">
        <v>214</v>
      </c>
      <c r="T7032" t="s">
        <v>9768</v>
      </c>
      <c r="U7032">
        <v>914.436104</v>
      </c>
      <c r="V7032" s="3">
        <v>41095</v>
      </c>
    </row>
    <row r="7033" spans="1:22" x14ac:dyDescent="0.35">
      <c r="A7033" s="1">
        <v>42277.535590277781</v>
      </c>
      <c r="B7033" s="2">
        <v>1.1226851851851851E-3</v>
      </c>
      <c r="C7033" t="s">
        <v>6693</v>
      </c>
      <c r="D7033" t="s">
        <v>6396</v>
      </c>
      <c r="E7033" t="s">
        <v>6397</v>
      </c>
      <c r="F7033" t="s">
        <v>10533</v>
      </c>
      <c r="G7033">
        <v>2191267</v>
      </c>
      <c r="H7033" t="s">
        <v>26</v>
      </c>
      <c r="I7033" t="s">
        <v>179</v>
      </c>
      <c r="J7033" t="str">
        <f>"9781118660249"</f>
        <v>9781118660249</v>
      </c>
      <c r="K7033" t="s">
        <v>10534</v>
      </c>
      <c r="L7033">
        <v>13</v>
      </c>
      <c r="O7033" t="s">
        <v>30</v>
      </c>
      <c r="P7033" t="s">
        <v>50</v>
      </c>
      <c r="S7033" t="s">
        <v>6400</v>
      </c>
      <c r="T7033" t="s">
        <v>10535</v>
      </c>
      <c r="U7033" t="s">
        <v>10536</v>
      </c>
      <c r="V7033" s="3">
        <v>42236</v>
      </c>
    </row>
    <row r="7034" spans="1:22" x14ac:dyDescent="0.35">
      <c r="A7034" s="1">
        <v>42277.535300925927</v>
      </c>
      <c r="B7034" s="2">
        <v>8.1018518518518516E-5</v>
      </c>
      <c r="C7034" t="s">
        <v>6693</v>
      </c>
      <c r="D7034" t="s">
        <v>6396</v>
      </c>
      <c r="E7034" t="s">
        <v>6397</v>
      </c>
      <c r="F7034" t="s">
        <v>604</v>
      </c>
      <c r="G7034">
        <v>2166474</v>
      </c>
      <c r="H7034" t="s">
        <v>26</v>
      </c>
      <c r="I7034" t="s">
        <v>247</v>
      </c>
      <c r="J7034" t="str">
        <f>"9781118929285"</f>
        <v>9781118929285</v>
      </c>
      <c r="K7034" t="s">
        <v>63</v>
      </c>
      <c r="L7034">
        <v>1</v>
      </c>
      <c r="O7034" t="s">
        <v>28</v>
      </c>
      <c r="P7034" t="s">
        <v>29</v>
      </c>
      <c r="Q7034" s="1">
        <v>42277.53528935185</v>
      </c>
      <c r="R7034">
        <v>7</v>
      </c>
      <c r="S7034" t="s">
        <v>6400</v>
      </c>
      <c r="T7034" t="s">
        <v>606</v>
      </c>
      <c r="U7034">
        <v>617.6</v>
      </c>
      <c r="V7034" s="3">
        <v>42156</v>
      </c>
    </row>
    <row r="7035" spans="1:22" x14ac:dyDescent="0.35">
      <c r="A7035" s="1">
        <v>42277.53528935185</v>
      </c>
      <c r="B7035" s="2">
        <v>0</v>
      </c>
      <c r="C7035" t="s">
        <v>6693</v>
      </c>
      <c r="D7035" t="s">
        <v>6396</v>
      </c>
      <c r="E7035" t="s">
        <v>6397</v>
      </c>
      <c r="F7035" t="s">
        <v>604</v>
      </c>
      <c r="G7035">
        <v>2166474</v>
      </c>
      <c r="H7035" t="s">
        <v>26</v>
      </c>
      <c r="I7035" t="s">
        <v>247</v>
      </c>
      <c r="J7035" t="str">
        <f>"9781118929285"</f>
        <v>9781118929285</v>
      </c>
      <c r="L7035">
        <v>0</v>
      </c>
      <c r="O7035" t="s">
        <v>30</v>
      </c>
      <c r="P7035" t="s">
        <v>29</v>
      </c>
      <c r="Q7035" s="1">
        <v>42277.53528935185</v>
      </c>
      <c r="R7035">
        <v>7</v>
      </c>
      <c r="S7035" t="s">
        <v>6400</v>
      </c>
      <c r="T7035" t="s">
        <v>606</v>
      </c>
      <c r="U7035">
        <v>617.6</v>
      </c>
      <c r="V7035" s="3">
        <v>42156</v>
      </c>
    </row>
    <row r="7036" spans="1:22" x14ac:dyDescent="0.35">
      <c r="A7036" s="1">
        <v>42277.535115740742</v>
      </c>
      <c r="B7036" s="2">
        <v>1.7361111111111112E-4</v>
      </c>
      <c r="C7036" t="s">
        <v>6693</v>
      </c>
      <c r="D7036" t="s">
        <v>6396</v>
      </c>
      <c r="E7036" t="s">
        <v>6397</v>
      </c>
      <c r="F7036" t="s">
        <v>604</v>
      </c>
      <c r="G7036">
        <v>2166474</v>
      </c>
      <c r="H7036" t="s">
        <v>26</v>
      </c>
      <c r="I7036" t="s">
        <v>247</v>
      </c>
      <c r="J7036" t="str">
        <f>"9781118929285"</f>
        <v>9781118929285</v>
      </c>
      <c r="K7036" t="s">
        <v>73</v>
      </c>
      <c r="L7036">
        <v>3</v>
      </c>
      <c r="O7036" t="s">
        <v>30</v>
      </c>
      <c r="P7036" t="s">
        <v>50</v>
      </c>
      <c r="S7036" t="s">
        <v>6400</v>
      </c>
      <c r="T7036" t="s">
        <v>606</v>
      </c>
      <c r="U7036">
        <v>617.6</v>
      </c>
      <c r="V7036" s="3">
        <v>42156</v>
      </c>
    </row>
    <row r="7037" spans="1:22" x14ac:dyDescent="0.35">
      <c r="A7037" s="1">
        <v>42277.534571759257</v>
      </c>
      <c r="B7037" s="2">
        <v>0</v>
      </c>
      <c r="C7037" t="s">
        <v>6693</v>
      </c>
      <c r="D7037" t="s">
        <v>6396</v>
      </c>
      <c r="E7037" t="s">
        <v>6397</v>
      </c>
      <c r="F7037" t="s">
        <v>10537</v>
      </c>
      <c r="G7037">
        <v>2131126</v>
      </c>
      <c r="H7037" t="s">
        <v>26</v>
      </c>
      <c r="I7037" t="s">
        <v>97</v>
      </c>
      <c r="J7037" t="str">
        <f>"9781119094173"</f>
        <v>9781119094173</v>
      </c>
      <c r="L7037">
        <v>0</v>
      </c>
      <c r="O7037" t="s">
        <v>28</v>
      </c>
      <c r="P7037" t="s">
        <v>29</v>
      </c>
      <c r="Q7037" s="1">
        <v>42277.534571759257</v>
      </c>
      <c r="R7037">
        <v>7</v>
      </c>
      <c r="S7037" t="s">
        <v>6400</v>
      </c>
      <c r="T7037" t="s">
        <v>10538</v>
      </c>
      <c r="U7037" t="s">
        <v>10539</v>
      </c>
      <c r="V7037" s="3">
        <v>42229</v>
      </c>
    </row>
    <row r="7038" spans="1:22" x14ac:dyDescent="0.35">
      <c r="A7038" s="1">
        <v>42277.534571759257</v>
      </c>
      <c r="B7038" s="2">
        <v>0</v>
      </c>
      <c r="C7038" t="s">
        <v>6693</v>
      </c>
      <c r="D7038" t="s">
        <v>6396</v>
      </c>
      <c r="E7038" t="s">
        <v>6397</v>
      </c>
      <c r="F7038" t="s">
        <v>10537</v>
      </c>
      <c r="G7038">
        <v>2131126</v>
      </c>
      <c r="H7038" t="s">
        <v>26</v>
      </c>
      <c r="I7038" t="s">
        <v>97</v>
      </c>
      <c r="J7038" t="str">
        <f>"9781119094173"</f>
        <v>9781119094173</v>
      </c>
      <c r="L7038">
        <v>0</v>
      </c>
      <c r="O7038" t="s">
        <v>30</v>
      </c>
      <c r="P7038" t="s">
        <v>29</v>
      </c>
      <c r="Q7038" s="1">
        <v>42277.534571759257</v>
      </c>
      <c r="R7038">
        <v>7</v>
      </c>
      <c r="S7038" t="s">
        <v>6400</v>
      </c>
      <c r="T7038" t="s">
        <v>10538</v>
      </c>
      <c r="U7038" t="s">
        <v>10539</v>
      </c>
      <c r="V7038" s="3">
        <v>42229</v>
      </c>
    </row>
    <row r="7039" spans="1:22" x14ac:dyDescent="0.35">
      <c r="A7039" s="1">
        <v>42277.534108796295</v>
      </c>
      <c r="B7039" s="2">
        <v>4.6296296296296293E-4</v>
      </c>
      <c r="C7039" t="s">
        <v>6693</v>
      </c>
      <c r="D7039" t="s">
        <v>6396</v>
      </c>
      <c r="E7039" t="s">
        <v>6397</v>
      </c>
      <c r="F7039" t="s">
        <v>10537</v>
      </c>
      <c r="G7039">
        <v>2131126</v>
      </c>
      <c r="H7039" t="s">
        <v>26</v>
      </c>
      <c r="I7039" t="s">
        <v>97</v>
      </c>
      <c r="J7039" t="str">
        <f>"9781119094173"</f>
        <v>9781119094173</v>
      </c>
      <c r="K7039" t="s">
        <v>536</v>
      </c>
      <c r="L7039">
        <v>3</v>
      </c>
      <c r="O7039" t="s">
        <v>30</v>
      </c>
      <c r="P7039" t="s">
        <v>50</v>
      </c>
      <c r="S7039" t="s">
        <v>6400</v>
      </c>
      <c r="T7039" t="s">
        <v>10538</v>
      </c>
      <c r="U7039" t="s">
        <v>10539</v>
      </c>
      <c r="V7039" s="3">
        <v>42229</v>
      </c>
    </row>
    <row r="7040" spans="1:22" x14ac:dyDescent="0.35">
      <c r="A7040" s="1">
        <v>42277.48541666667</v>
      </c>
      <c r="B7040" s="2">
        <v>1.5624999999999999E-3</v>
      </c>
      <c r="C7040" t="s">
        <v>4728</v>
      </c>
      <c r="D7040" t="s">
        <v>623</v>
      </c>
      <c r="E7040" t="s">
        <v>624</v>
      </c>
      <c r="F7040" t="s">
        <v>4494</v>
      </c>
      <c r="G7040">
        <v>565082</v>
      </c>
      <c r="H7040" t="s">
        <v>26</v>
      </c>
      <c r="I7040" t="s">
        <v>69</v>
      </c>
      <c r="J7040" t="str">
        <f>"9781118041567"</f>
        <v>9781118041567</v>
      </c>
      <c r="K7040" t="s">
        <v>10540</v>
      </c>
      <c r="L7040">
        <v>18</v>
      </c>
      <c r="O7040" t="s">
        <v>30</v>
      </c>
      <c r="P7040" t="s">
        <v>29</v>
      </c>
      <c r="Q7040" s="1">
        <v>42270.852152777778</v>
      </c>
      <c r="R7040">
        <v>7</v>
      </c>
      <c r="S7040" t="s">
        <v>627</v>
      </c>
      <c r="T7040" t="s">
        <v>4496</v>
      </c>
      <c r="U7040" t="s">
        <v>4497</v>
      </c>
      <c r="V7040" s="3">
        <v>40337</v>
      </c>
    </row>
    <row r="7041" spans="1:22" x14ac:dyDescent="0.35">
      <c r="A7041" s="1">
        <v>42277.474999999999</v>
      </c>
      <c r="B7041" s="2">
        <v>2.7777777777777778E-4</v>
      </c>
      <c r="C7041" t="s">
        <v>6693</v>
      </c>
      <c r="D7041" t="s">
        <v>6396</v>
      </c>
      <c r="E7041" t="s">
        <v>6397</v>
      </c>
      <c r="F7041" t="s">
        <v>10541</v>
      </c>
      <c r="G7041">
        <v>2194769</v>
      </c>
      <c r="H7041" t="s">
        <v>26</v>
      </c>
      <c r="I7041" t="s">
        <v>1536</v>
      </c>
      <c r="J7041" t="str">
        <f>"9781118860199"</f>
        <v>9781118860199</v>
      </c>
      <c r="K7041" t="s">
        <v>10542</v>
      </c>
      <c r="L7041">
        <v>8</v>
      </c>
      <c r="O7041" t="s">
        <v>30</v>
      </c>
      <c r="P7041" t="s">
        <v>50</v>
      </c>
      <c r="S7041" t="s">
        <v>6400</v>
      </c>
      <c r="T7041" t="s">
        <v>10543</v>
      </c>
      <c r="U7041" t="s">
        <v>10544</v>
      </c>
      <c r="V7041" s="3">
        <v>42241</v>
      </c>
    </row>
    <row r="7042" spans="1:22" x14ac:dyDescent="0.35">
      <c r="A7042" s="1">
        <v>42277.467372685183</v>
      </c>
      <c r="B7042" s="2">
        <v>3.7037037037037035E-4</v>
      </c>
      <c r="C7042" t="s">
        <v>6693</v>
      </c>
      <c r="D7042" t="s">
        <v>6396</v>
      </c>
      <c r="E7042" t="s">
        <v>6397</v>
      </c>
      <c r="F7042" t="s">
        <v>10476</v>
      </c>
      <c r="G7042">
        <v>1895793</v>
      </c>
      <c r="H7042" t="s">
        <v>26</v>
      </c>
      <c r="I7042" t="s">
        <v>276</v>
      </c>
      <c r="J7042" t="str">
        <f>"9781118949290"</f>
        <v>9781118949290</v>
      </c>
      <c r="K7042" t="s">
        <v>10545</v>
      </c>
      <c r="L7042">
        <v>7</v>
      </c>
      <c r="O7042" t="s">
        <v>30</v>
      </c>
      <c r="P7042" t="s">
        <v>42</v>
      </c>
      <c r="S7042" t="s">
        <v>6400</v>
      </c>
      <c r="T7042" t="s">
        <v>10477</v>
      </c>
      <c r="U7042">
        <v>4.16</v>
      </c>
      <c r="V7042" s="3">
        <v>42047</v>
      </c>
    </row>
    <row r="7043" spans="1:22" x14ac:dyDescent="0.35">
      <c r="A7043" s="1">
        <v>42277.221562500003</v>
      </c>
      <c r="B7043" s="2">
        <v>9.4907407407407408E-4</v>
      </c>
      <c r="C7043" t="s">
        <v>10546</v>
      </c>
      <c r="D7043" t="s">
        <v>23</v>
      </c>
      <c r="E7043" t="s">
        <v>24</v>
      </c>
      <c r="F7043" t="s">
        <v>486</v>
      </c>
      <c r="G7043">
        <v>1119505</v>
      </c>
      <c r="H7043" t="s">
        <v>26</v>
      </c>
      <c r="I7043" t="s">
        <v>450</v>
      </c>
      <c r="J7043" t="str">
        <f>"9781118355015"</f>
        <v>9781118355015</v>
      </c>
      <c r="K7043" t="s">
        <v>10547</v>
      </c>
      <c r="L7043">
        <v>17</v>
      </c>
      <c r="O7043" t="s">
        <v>30</v>
      </c>
      <c r="P7043" t="s">
        <v>29</v>
      </c>
      <c r="Q7043" s="1">
        <v>42277.221550925926</v>
      </c>
      <c r="R7043">
        <v>7</v>
      </c>
      <c r="S7043" t="s">
        <v>31</v>
      </c>
      <c r="T7043" t="s">
        <v>487</v>
      </c>
      <c r="U7043" t="s">
        <v>488</v>
      </c>
      <c r="V7043" s="3">
        <v>41302</v>
      </c>
    </row>
    <row r="7044" spans="1:22" x14ac:dyDescent="0.35">
      <c r="A7044" s="1">
        <v>42277.210428240738</v>
      </c>
      <c r="B7044" s="2">
        <v>3.8425925925925923E-3</v>
      </c>
      <c r="C7044" t="s">
        <v>10546</v>
      </c>
      <c r="D7044" t="s">
        <v>23</v>
      </c>
      <c r="E7044" t="s">
        <v>24</v>
      </c>
      <c r="F7044" t="s">
        <v>486</v>
      </c>
      <c r="G7044">
        <v>1119505</v>
      </c>
      <c r="H7044" t="s">
        <v>26</v>
      </c>
      <c r="I7044" t="s">
        <v>450</v>
      </c>
      <c r="J7044" t="str">
        <f>"9781118355015"</f>
        <v>9781118355015</v>
      </c>
      <c r="K7044" t="s">
        <v>10548</v>
      </c>
      <c r="L7044">
        <v>2</v>
      </c>
      <c r="O7044" t="s">
        <v>30</v>
      </c>
      <c r="P7044" t="s">
        <v>29</v>
      </c>
      <c r="Q7044" s="1">
        <v>42277.210428240738</v>
      </c>
      <c r="R7044">
        <v>7</v>
      </c>
      <c r="S7044" t="s">
        <v>31</v>
      </c>
      <c r="T7044" t="s">
        <v>487</v>
      </c>
      <c r="U7044" t="s">
        <v>488</v>
      </c>
      <c r="V7044" s="3">
        <v>41302</v>
      </c>
    </row>
    <row r="7045" spans="1:22" x14ac:dyDescent="0.35">
      <c r="A7045" s="1">
        <v>42277.203680555554</v>
      </c>
      <c r="B7045" s="2">
        <v>6.7476851851851856E-3</v>
      </c>
      <c r="C7045" t="s">
        <v>10546</v>
      </c>
      <c r="D7045" t="s">
        <v>23</v>
      </c>
      <c r="E7045" t="s">
        <v>24</v>
      </c>
      <c r="F7045" t="s">
        <v>486</v>
      </c>
      <c r="G7045">
        <v>1119505</v>
      </c>
      <c r="H7045" t="s">
        <v>26</v>
      </c>
      <c r="I7045" t="s">
        <v>450</v>
      </c>
      <c r="J7045" t="str">
        <f>"9781118355015"</f>
        <v>9781118355015</v>
      </c>
      <c r="K7045" t="s">
        <v>10549</v>
      </c>
      <c r="L7045">
        <v>15</v>
      </c>
      <c r="O7045" t="s">
        <v>30</v>
      </c>
      <c r="P7045" t="s">
        <v>42</v>
      </c>
      <c r="S7045" t="s">
        <v>31</v>
      </c>
      <c r="T7045" t="s">
        <v>487</v>
      </c>
      <c r="U7045" t="s">
        <v>488</v>
      </c>
      <c r="V7045" s="3">
        <v>41302</v>
      </c>
    </row>
    <row r="7046" spans="1:22" x14ac:dyDescent="0.35">
      <c r="A7046" s="1">
        <v>42277.203668981485</v>
      </c>
      <c r="B7046" s="2">
        <v>1.7881944444444443E-2</v>
      </c>
      <c r="C7046" t="s">
        <v>10546</v>
      </c>
      <c r="D7046" t="s">
        <v>23</v>
      </c>
      <c r="E7046" t="s">
        <v>24</v>
      </c>
      <c r="F7046" t="s">
        <v>486</v>
      </c>
      <c r="G7046">
        <v>1119505</v>
      </c>
      <c r="H7046" t="s">
        <v>26</v>
      </c>
      <c r="I7046" t="s">
        <v>450</v>
      </c>
      <c r="J7046" t="str">
        <f>"9781118355015"</f>
        <v>9781118355015</v>
      </c>
      <c r="K7046" t="s">
        <v>10550</v>
      </c>
      <c r="L7046">
        <v>9</v>
      </c>
      <c r="O7046" t="s">
        <v>30</v>
      </c>
      <c r="P7046" t="s">
        <v>42</v>
      </c>
      <c r="S7046" t="s">
        <v>31</v>
      </c>
      <c r="T7046" t="s">
        <v>487</v>
      </c>
      <c r="U7046" t="s">
        <v>488</v>
      </c>
      <c r="V7046" s="3">
        <v>41302</v>
      </c>
    </row>
    <row r="7047" spans="1:22" x14ac:dyDescent="0.35">
      <c r="A7047" s="1">
        <v>42277.199872685182</v>
      </c>
      <c r="B7047" s="2">
        <v>3.4375E-3</v>
      </c>
      <c r="C7047" t="s">
        <v>9449</v>
      </c>
      <c r="D7047" t="s">
        <v>35</v>
      </c>
      <c r="E7047" t="s">
        <v>36</v>
      </c>
      <c r="F7047" t="s">
        <v>7292</v>
      </c>
      <c r="G7047">
        <v>1185074</v>
      </c>
      <c r="H7047" t="s">
        <v>91</v>
      </c>
      <c r="I7047" t="s">
        <v>1827</v>
      </c>
      <c r="J7047" t="str">
        <f>"9781462510122"</f>
        <v>9781462510122</v>
      </c>
      <c r="K7047" t="s">
        <v>10551</v>
      </c>
      <c r="L7047">
        <v>57</v>
      </c>
      <c r="O7047" t="s">
        <v>30</v>
      </c>
      <c r="P7047" t="s">
        <v>42</v>
      </c>
      <c r="S7047" t="s">
        <v>40</v>
      </c>
      <c r="T7047" t="s">
        <v>7295</v>
      </c>
      <c r="U7047">
        <v>428.00709999999998</v>
      </c>
      <c r="V7047" s="3">
        <v>41773</v>
      </c>
    </row>
    <row r="7048" spans="1:22" x14ac:dyDescent="0.35">
      <c r="A7048" s="1">
        <v>42277.166666666664</v>
      </c>
      <c r="B7048" s="2">
        <v>1.8518518518518518E-4</v>
      </c>
      <c r="C7048" t="s">
        <v>10552</v>
      </c>
      <c r="D7048" t="s">
        <v>623</v>
      </c>
      <c r="E7048" t="s">
        <v>624</v>
      </c>
      <c r="F7048" t="s">
        <v>475</v>
      </c>
      <c r="G7048">
        <v>1251060</v>
      </c>
      <c r="H7048" t="s">
        <v>68</v>
      </c>
      <c r="I7048" t="s">
        <v>150</v>
      </c>
      <c r="J7048" t="str">
        <f>"9781136126222"</f>
        <v>9781136126222</v>
      </c>
      <c r="K7048" t="s">
        <v>10553</v>
      </c>
      <c r="L7048">
        <v>7</v>
      </c>
      <c r="O7048" t="s">
        <v>30</v>
      </c>
      <c r="P7048" t="s">
        <v>50</v>
      </c>
      <c r="S7048" t="s">
        <v>627</v>
      </c>
      <c r="T7048" t="s">
        <v>477</v>
      </c>
      <c r="U7048">
        <v>781.49</v>
      </c>
      <c r="V7048" s="3">
        <v>41459</v>
      </c>
    </row>
    <row r="7049" spans="1:22" x14ac:dyDescent="0.35">
      <c r="A7049" s="1">
        <v>42277.155416666668</v>
      </c>
      <c r="B7049" s="2">
        <v>0</v>
      </c>
      <c r="C7049" t="s">
        <v>10554</v>
      </c>
      <c r="D7049" t="s">
        <v>23</v>
      </c>
      <c r="E7049" t="s">
        <v>24</v>
      </c>
      <c r="F7049" t="s">
        <v>52</v>
      </c>
      <c r="G7049">
        <v>822040</v>
      </c>
      <c r="H7049" t="s">
        <v>26</v>
      </c>
      <c r="I7049" t="s">
        <v>53</v>
      </c>
      <c r="J7049" t="str">
        <f>"9781118289099"</f>
        <v>9781118289099</v>
      </c>
      <c r="L7049">
        <v>0</v>
      </c>
      <c r="M7049" t="s">
        <v>10555</v>
      </c>
      <c r="O7049" t="s">
        <v>28</v>
      </c>
      <c r="P7049" t="s">
        <v>29</v>
      </c>
      <c r="Q7049" s="1">
        <v>42277.135289351849</v>
      </c>
      <c r="R7049">
        <v>7</v>
      </c>
      <c r="S7049" t="s">
        <v>31</v>
      </c>
      <c r="T7049" t="s">
        <v>55</v>
      </c>
      <c r="U7049" t="s">
        <v>56</v>
      </c>
      <c r="V7049" s="3">
        <v>40990</v>
      </c>
    </row>
    <row r="7050" spans="1:22" x14ac:dyDescent="0.35">
      <c r="A7050" s="1">
        <v>42277.154953703706</v>
      </c>
      <c r="B7050" s="2">
        <v>5.3125000000000004E-3</v>
      </c>
      <c r="C7050" t="s">
        <v>10556</v>
      </c>
      <c r="D7050" t="s">
        <v>146</v>
      </c>
      <c r="E7050" t="s">
        <v>147</v>
      </c>
      <c r="F7050" t="s">
        <v>4872</v>
      </c>
      <c r="G7050">
        <v>995801</v>
      </c>
      <c r="H7050" t="s">
        <v>1286</v>
      </c>
      <c r="I7050" t="s">
        <v>150</v>
      </c>
      <c r="J7050" t="str">
        <f>"9781476600574"</f>
        <v>9781476600574</v>
      </c>
      <c r="K7050" t="s">
        <v>240</v>
      </c>
      <c r="L7050">
        <v>14</v>
      </c>
      <c r="O7050" t="s">
        <v>30</v>
      </c>
      <c r="P7050" t="s">
        <v>42</v>
      </c>
      <c r="S7050" t="s">
        <v>5570</v>
      </c>
      <c r="T7050" t="s">
        <v>4874</v>
      </c>
      <c r="U7050" t="s">
        <v>4875</v>
      </c>
      <c r="V7050" s="3">
        <v>41120</v>
      </c>
    </row>
    <row r="7051" spans="1:22" x14ac:dyDescent="0.35">
      <c r="A7051" s="1">
        <v>42277.140960648147</v>
      </c>
      <c r="B7051" s="2">
        <v>0</v>
      </c>
      <c r="C7051" t="s">
        <v>10554</v>
      </c>
      <c r="D7051" t="s">
        <v>23</v>
      </c>
      <c r="E7051" t="s">
        <v>24</v>
      </c>
      <c r="F7051" t="s">
        <v>52</v>
      </c>
      <c r="G7051">
        <v>822040</v>
      </c>
      <c r="H7051" t="s">
        <v>26</v>
      </c>
      <c r="I7051" t="s">
        <v>53</v>
      </c>
      <c r="J7051" t="str">
        <f t="shared" ref="J7051:J7058" si="35">"9781118289099"</f>
        <v>9781118289099</v>
      </c>
      <c r="L7051">
        <v>0</v>
      </c>
      <c r="N7051" t="s">
        <v>10557</v>
      </c>
      <c r="O7051" t="s">
        <v>28</v>
      </c>
      <c r="P7051" t="s">
        <v>29</v>
      </c>
      <c r="Q7051" s="1">
        <v>42277.135289351849</v>
      </c>
      <c r="R7051">
        <v>7</v>
      </c>
      <c r="S7051" t="s">
        <v>31</v>
      </c>
      <c r="T7051" t="s">
        <v>55</v>
      </c>
      <c r="U7051" t="s">
        <v>56</v>
      </c>
      <c r="V7051" s="3">
        <v>40990</v>
      </c>
    </row>
    <row r="7052" spans="1:22" x14ac:dyDescent="0.35">
      <c r="A7052" s="1">
        <v>42277.138182870367</v>
      </c>
      <c r="B7052" s="2">
        <v>8.7962962962962962E-4</v>
      </c>
      <c r="C7052" t="s">
        <v>10554</v>
      </c>
      <c r="D7052" t="s">
        <v>23</v>
      </c>
      <c r="E7052" t="s">
        <v>24</v>
      </c>
      <c r="F7052" t="s">
        <v>52</v>
      </c>
      <c r="G7052">
        <v>822040</v>
      </c>
      <c r="H7052" t="s">
        <v>26</v>
      </c>
      <c r="I7052" t="s">
        <v>53</v>
      </c>
      <c r="J7052" t="str">
        <f t="shared" si="35"/>
        <v>9781118289099</v>
      </c>
      <c r="K7052" t="s">
        <v>10558</v>
      </c>
      <c r="L7052">
        <v>24</v>
      </c>
      <c r="N7052" t="s">
        <v>10559</v>
      </c>
      <c r="O7052" t="s">
        <v>30</v>
      </c>
      <c r="P7052" t="s">
        <v>29</v>
      </c>
      <c r="Q7052" s="1">
        <v>42277.135289351849</v>
      </c>
      <c r="R7052">
        <v>7</v>
      </c>
      <c r="S7052" t="s">
        <v>31</v>
      </c>
      <c r="T7052" t="s">
        <v>55</v>
      </c>
      <c r="U7052" t="s">
        <v>56</v>
      </c>
      <c r="V7052" s="3">
        <v>40990</v>
      </c>
    </row>
    <row r="7053" spans="1:22" x14ac:dyDescent="0.35">
      <c r="A7053" s="1">
        <v>42277.137152777781</v>
      </c>
      <c r="B7053" s="2">
        <v>0</v>
      </c>
      <c r="C7053" t="s">
        <v>10554</v>
      </c>
      <c r="D7053" t="s">
        <v>23</v>
      </c>
      <c r="E7053" t="s">
        <v>24</v>
      </c>
      <c r="F7053" t="s">
        <v>52</v>
      </c>
      <c r="G7053">
        <v>822040</v>
      </c>
      <c r="H7053" t="s">
        <v>26</v>
      </c>
      <c r="I7053" t="s">
        <v>53</v>
      </c>
      <c r="J7053" t="str">
        <f t="shared" si="35"/>
        <v>9781118289099</v>
      </c>
      <c r="L7053">
        <v>0</v>
      </c>
      <c r="O7053" t="s">
        <v>28</v>
      </c>
      <c r="P7053" t="s">
        <v>29</v>
      </c>
      <c r="Q7053" s="1">
        <v>42277.135289351849</v>
      </c>
      <c r="R7053">
        <v>7</v>
      </c>
      <c r="S7053" t="s">
        <v>31</v>
      </c>
      <c r="T7053" t="s">
        <v>55</v>
      </c>
      <c r="U7053" t="s">
        <v>56</v>
      </c>
      <c r="V7053" s="3">
        <v>40990</v>
      </c>
    </row>
    <row r="7054" spans="1:22" x14ac:dyDescent="0.35">
      <c r="A7054" s="1">
        <v>42277.135821759257</v>
      </c>
      <c r="B7054" s="2">
        <v>0</v>
      </c>
      <c r="C7054" t="s">
        <v>10554</v>
      </c>
      <c r="D7054" t="s">
        <v>23</v>
      </c>
      <c r="E7054" t="s">
        <v>24</v>
      </c>
      <c r="F7054" t="s">
        <v>52</v>
      </c>
      <c r="G7054">
        <v>822040</v>
      </c>
      <c r="H7054" t="s">
        <v>26</v>
      </c>
      <c r="I7054" t="s">
        <v>53</v>
      </c>
      <c r="J7054" t="str">
        <f t="shared" si="35"/>
        <v>9781118289099</v>
      </c>
      <c r="L7054">
        <v>0</v>
      </c>
      <c r="O7054" t="s">
        <v>28</v>
      </c>
      <c r="P7054" t="s">
        <v>29</v>
      </c>
      <c r="Q7054" s="1">
        <v>42277.135289351849</v>
      </c>
      <c r="R7054">
        <v>7</v>
      </c>
      <c r="S7054" t="s">
        <v>31</v>
      </c>
      <c r="T7054" t="s">
        <v>55</v>
      </c>
      <c r="U7054" t="s">
        <v>56</v>
      </c>
      <c r="V7054" s="3">
        <v>40990</v>
      </c>
    </row>
    <row r="7055" spans="1:22" x14ac:dyDescent="0.35">
      <c r="A7055" s="1">
        <v>42277.13559027778</v>
      </c>
      <c r="B7055" s="2">
        <v>0</v>
      </c>
      <c r="C7055" t="s">
        <v>10554</v>
      </c>
      <c r="D7055" t="s">
        <v>23</v>
      </c>
      <c r="E7055" t="s">
        <v>24</v>
      </c>
      <c r="F7055" t="s">
        <v>52</v>
      </c>
      <c r="G7055">
        <v>822040</v>
      </c>
      <c r="H7055" t="s">
        <v>26</v>
      </c>
      <c r="I7055" t="s">
        <v>53</v>
      </c>
      <c r="J7055" t="str">
        <f t="shared" si="35"/>
        <v>9781118289099</v>
      </c>
      <c r="L7055">
        <v>0</v>
      </c>
      <c r="O7055" t="s">
        <v>28</v>
      </c>
      <c r="P7055" t="s">
        <v>29</v>
      </c>
      <c r="Q7055" s="1">
        <v>42277.135289351849</v>
      </c>
      <c r="R7055">
        <v>7</v>
      </c>
      <c r="S7055" t="s">
        <v>31</v>
      </c>
      <c r="T7055" t="s">
        <v>55</v>
      </c>
      <c r="U7055" t="s">
        <v>56</v>
      </c>
      <c r="V7055" s="3">
        <v>40990</v>
      </c>
    </row>
    <row r="7056" spans="1:22" x14ac:dyDescent="0.35">
      <c r="A7056" s="1">
        <v>42277.135289351849</v>
      </c>
      <c r="B7056" s="2">
        <v>0</v>
      </c>
      <c r="C7056" t="s">
        <v>10554</v>
      </c>
      <c r="D7056" t="s">
        <v>23</v>
      </c>
      <c r="E7056" t="s">
        <v>24</v>
      </c>
      <c r="F7056" t="s">
        <v>52</v>
      </c>
      <c r="G7056">
        <v>822040</v>
      </c>
      <c r="H7056" t="s">
        <v>26</v>
      </c>
      <c r="I7056" t="s">
        <v>53</v>
      </c>
      <c r="J7056" t="str">
        <f t="shared" si="35"/>
        <v>9781118289099</v>
      </c>
      <c r="L7056">
        <v>0</v>
      </c>
      <c r="O7056" t="s">
        <v>28</v>
      </c>
      <c r="P7056" t="s">
        <v>29</v>
      </c>
      <c r="Q7056" s="1">
        <v>42277.135289351849</v>
      </c>
      <c r="R7056">
        <v>7</v>
      </c>
      <c r="S7056" t="s">
        <v>31</v>
      </c>
      <c r="T7056" t="s">
        <v>55</v>
      </c>
      <c r="U7056" t="s">
        <v>56</v>
      </c>
      <c r="V7056" s="3">
        <v>40990</v>
      </c>
    </row>
    <row r="7057" spans="1:22" x14ac:dyDescent="0.35">
      <c r="A7057" s="1">
        <v>42277.135289351849</v>
      </c>
      <c r="B7057" s="2">
        <v>0</v>
      </c>
      <c r="C7057" t="s">
        <v>10554</v>
      </c>
      <c r="D7057" t="s">
        <v>23</v>
      </c>
      <c r="E7057" t="s">
        <v>24</v>
      </c>
      <c r="F7057" t="s">
        <v>52</v>
      </c>
      <c r="G7057">
        <v>822040</v>
      </c>
      <c r="H7057" t="s">
        <v>26</v>
      </c>
      <c r="I7057" t="s">
        <v>53</v>
      </c>
      <c r="J7057" t="str">
        <f t="shared" si="35"/>
        <v>9781118289099</v>
      </c>
      <c r="L7057">
        <v>0</v>
      </c>
      <c r="O7057" t="s">
        <v>30</v>
      </c>
      <c r="P7057" t="s">
        <v>29</v>
      </c>
      <c r="Q7057" s="1">
        <v>42277.135289351849</v>
      </c>
      <c r="R7057">
        <v>7</v>
      </c>
      <c r="S7057" t="s">
        <v>31</v>
      </c>
      <c r="T7057" t="s">
        <v>55</v>
      </c>
      <c r="U7057" t="s">
        <v>56</v>
      </c>
      <c r="V7057" s="3">
        <v>40990</v>
      </c>
    </row>
    <row r="7058" spans="1:22" x14ac:dyDescent="0.35">
      <c r="A7058" s="1">
        <v>42277.134791666664</v>
      </c>
      <c r="B7058" s="2">
        <v>4.9768518518518521E-4</v>
      </c>
      <c r="C7058" t="s">
        <v>10554</v>
      </c>
      <c r="D7058" t="s">
        <v>23</v>
      </c>
      <c r="E7058" t="s">
        <v>24</v>
      </c>
      <c r="F7058" t="s">
        <v>52</v>
      </c>
      <c r="G7058">
        <v>822040</v>
      </c>
      <c r="H7058" t="s">
        <v>26</v>
      </c>
      <c r="I7058" t="s">
        <v>53</v>
      </c>
      <c r="J7058" t="str">
        <f t="shared" si="35"/>
        <v>9781118289099</v>
      </c>
      <c r="K7058" t="s">
        <v>33</v>
      </c>
      <c r="L7058">
        <v>3</v>
      </c>
      <c r="O7058" t="s">
        <v>30</v>
      </c>
      <c r="P7058" t="s">
        <v>42</v>
      </c>
      <c r="S7058" t="s">
        <v>31</v>
      </c>
      <c r="T7058" t="s">
        <v>55</v>
      </c>
      <c r="U7058" t="s">
        <v>56</v>
      </c>
      <c r="V7058" s="3">
        <v>40990</v>
      </c>
    </row>
    <row r="7059" spans="1:22" x14ac:dyDescent="0.35">
      <c r="A7059" s="1">
        <v>42277.127083333333</v>
      </c>
      <c r="B7059" s="2">
        <v>4.6296296296296294E-5</v>
      </c>
      <c r="C7059" t="s">
        <v>6437</v>
      </c>
      <c r="D7059" t="s">
        <v>6396</v>
      </c>
      <c r="E7059" t="s">
        <v>6397</v>
      </c>
      <c r="F7059" t="s">
        <v>10560</v>
      </c>
      <c r="G7059">
        <v>1114591</v>
      </c>
      <c r="H7059" t="s">
        <v>139</v>
      </c>
      <c r="I7059" t="s">
        <v>120</v>
      </c>
      <c r="J7059" t="str">
        <f>"9780814743515"</f>
        <v>9780814743515</v>
      </c>
      <c r="K7059" t="s">
        <v>33</v>
      </c>
      <c r="L7059">
        <v>3</v>
      </c>
      <c r="O7059" t="s">
        <v>30</v>
      </c>
      <c r="P7059" t="s">
        <v>50</v>
      </c>
      <c r="S7059" t="s">
        <v>6400</v>
      </c>
      <c r="T7059" t="s">
        <v>10561</v>
      </c>
      <c r="U7059">
        <v>302.23</v>
      </c>
      <c r="V7059" s="3">
        <v>41295</v>
      </c>
    </row>
    <row r="7060" spans="1:22" x14ac:dyDescent="0.35">
      <c r="A7060" s="1">
        <v>42277.065567129626</v>
      </c>
      <c r="B7060" s="2">
        <v>2.3912037037037034E-2</v>
      </c>
      <c r="C7060" t="s">
        <v>106</v>
      </c>
      <c r="D7060" t="s">
        <v>23</v>
      </c>
      <c r="E7060" t="s">
        <v>24</v>
      </c>
      <c r="F7060" t="s">
        <v>3488</v>
      </c>
      <c r="G7060">
        <v>1294909</v>
      </c>
      <c r="H7060" t="s">
        <v>84</v>
      </c>
      <c r="I7060" t="s">
        <v>445</v>
      </c>
      <c r="J7060" t="str">
        <f>"9780520956797"</f>
        <v>9780520956797</v>
      </c>
      <c r="K7060" t="s">
        <v>10562</v>
      </c>
      <c r="L7060">
        <v>9</v>
      </c>
      <c r="O7060" t="s">
        <v>30</v>
      </c>
      <c r="P7060" t="s">
        <v>29</v>
      </c>
      <c r="Q7060" s="1">
        <v>42277.065567129626</v>
      </c>
      <c r="R7060">
        <v>7</v>
      </c>
      <c r="S7060" t="s">
        <v>31</v>
      </c>
      <c r="T7060" t="s">
        <v>3490</v>
      </c>
      <c r="U7060" t="s">
        <v>3491</v>
      </c>
      <c r="V7060" s="3">
        <v>41487</v>
      </c>
    </row>
    <row r="7061" spans="1:22" x14ac:dyDescent="0.35">
      <c r="A7061" s="1">
        <v>42277.058506944442</v>
      </c>
      <c r="B7061" s="2">
        <v>7.0601851851851841E-3</v>
      </c>
      <c r="C7061" t="s">
        <v>106</v>
      </c>
      <c r="D7061" t="s">
        <v>23</v>
      </c>
      <c r="E7061" t="s">
        <v>24</v>
      </c>
      <c r="F7061" t="s">
        <v>3488</v>
      </c>
      <c r="G7061">
        <v>1294909</v>
      </c>
      <c r="H7061" t="s">
        <v>84</v>
      </c>
      <c r="I7061" t="s">
        <v>445</v>
      </c>
      <c r="J7061" t="str">
        <f>"9780520956797"</f>
        <v>9780520956797</v>
      </c>
      <c r="K7061" t="s">
        <v>10563</v>
      </c>
      <c r="L7061">
        <v>9</v>
      </c>
      <c r="O7061" t="s">
        <v>30</v>
      </c>
      <c r="P7061" t="s">
        <v>42</v>
      </c>
      <c r="S7061" t="s">
        <v>31</v>
      </c>
      <c r="T7061" t="s">
        <v>3490</v>
      </c>
      <c r="U7061" t="s">
        <v>3491</v>
      </c>
      <c r="V7061" s="3">
        <v>41487</v>
      </c>
    </row>
    <row r="7062" spans="1:22" x14ac:dyDescent="0.35">
      <c r="A7062" s="1">
        <v>42277.056504629632</v>
      </c>
      <c r="B7062" s="2">
        <v>3.7037037037037035E-4</v>
      </c>
      <c r="C7062" t="s">
        <v>10564</v>
      </c>
      <c r="D7062" t="s">
        <v>2519</v>
      </c>
      <c r="E7062" t="s">
        <v>2520</v>
      </c>
      <c r="F7062" t="s">
        <v>10565</v>
      </c>
      <c r="G7062">
        <v>1652934</v>
      </c>
      <c r="H7062" t="s">
        <v>26</v>
      </c>
      <c r="I7062" t="s">
        <v>338</v>
      </c>
      <c r="J7062" t="str">
        <f>"9781118432358"</f>
        <v>9781118432358</v>
      </c>
      <c r="K7062" t="s">
        <v>10566</v>
      </c>
      <c r="L7062">
        <v>9</v>
      </c>
      <c r="O7062" t="s">
        <v>30</v>
      </c>
      <c r="P7062" t="s">
        <v>50</v>
      </c>
      <c r="S7062" t="s">
        <v>3786</v>
      </c>
      <c r="T7062" t="s">
        <v>10567</v>
      </c>
      <c r="U7062" t="s">
        <v>10568</v>
      </c>
      <c r="V7062" s="3">
        <v>41712</v>
      </c>
    </row>
    <row r="7063" spans="1:22" x14ac:dyDescent="0.35">
      <c r="A7063" s="1">
        <v>42277.03329861111</v>
      </c>
      <c r="B7063" s="2">
        <v>9.3877314814814816E-2</v>
      </c>
      <c r="C7063" t="s">
        <v>106</v>
      </c>
      <c r="D7063" t="s">
        <v>23</v>
      </c>
      <c r="E7063" t="s">
        <v>24</v>
      </c>
      <c r="F7063" t="s">
        <v>486</v>
      </c>
      <c r="G7063">
        <v>1119505</v>
      </c>
      <c r="H7063" t="s">
        <v>26</v>
      </c>
      <c r="I7063" t="s">
        <v>450</v>
      </c>
      <c r="J7063" t="str">
        <f>"9781118355015"</f>
        <v>9781118355015</v>
      </c>
      <c r="K7063" t="s">
        <v>10569</v>
      </c>
      <c r="L7063">
        <v>37</v>
      </c>
      <c r="O7063" t="s">
        <v>30</v>
      </c>
      <c r="P7063" t="s">
        <v>29</v>
      </c>
      <c r="Q7063" s="1">
        <v>42277.03329861111</v>
      </c>
      <c r="R7063">
        <v>7</v>
      </c>
      <c r="S7063" t="s">
        <v>31</v>
      </c>
      <c r="T7063" t="s">
        <v>487</v>
      </c>
      <c r="U7063" t="s">
        <v>488</v>
      </c>
      <c r="V7063" s="3">
        <v>41302</v>
      </c>
    </row>
    <row r="7064" spans="1:22" x14ac:dyDescent="0.35">
      <c r="A7064" s="1">
        <v>42277.033275462964</v>
      </c>
      <c r="B7064" s="2">
        <v>2.3148148148148147E-5</v>
      </c>
      <c r="C7064" t="s">
        <v>106</v>
      </c>
      <c r="D7064" t="s">
        <v>23</v>
      </c>
      <c r="E7064" t="s">
        <v>24</v>
      </c>
      <c r="F7064" t="s">
        <v>486</v>
      </c>
      <c r="G7064">
        <v>1119505</v>
      </c>
      <c r="H7064" t="s">
        <v>26</v>
      </c>
      <c r="I7064" t="s">
        <v>450</v>
      </c>
      <c r="J7064" t="str">
        <f>"9781118355015"</f>
        <v>9781118355015</v>
      </c>
      <c r="L7064">
        <v>0</v>
      </c>
      <c r="O7064" t="s">
        <v>30</v>
      </c>
      <c r="P7064" t="s">
        <v>42</v>
      </c>
      <c r="S7064" t="s">
        <v>31</v>
      </c>
      <c r="T7064" t="s">
        <v>487</v>
      </c>
      <c r="U7064" t="s">
        <v>488</v>
      </c>
      <c r="V7064" s="3">
        <v>41302</v>
      </c>
    </row>
    <row r="7065" spans="1:22" x14ac:dyDescent="0.35">
      <c r="A7065" s="1">
        <v>42277.017453703702</v>
      </c>
      <c r="B7065" s="2">
        <v>3.0092592592592595E-4</v>
      </c>
      <c r="C7065" t="s">
        <v>6390</v>
      </c>
      <c r="D7065" t="s">
        <v>23</v>
      </c>
      <c r="E7065" t="s">
        <v>24</v>
      </c>
      <c r="F7065" t="s">
        <v>486</v>
      </c>
      <c r="G7065">
        <v>1119505</v>
      </c>
      <c r="H7065" t="s">
        <v>26</v>
      </c>
      <c r="I7065" t="s">
        <v>450</v>
      </c>
      <c r="J7065" t="str">
        <f>"9781118355015"</f>
        <v>9781118355015</v>
      </c>
      <c r="K7065" t="s">
        <v>10570</v>
      </c>
      <c r="L7065">
        <v>12</v>
      </c>
      <c r="N7065" t="s">
        <v>10571</v>
      </c>
      <c r="O7065" t="s">
        <v>30</v>
      </c>
      <c r="P7065" t="s">
        <v>29</v>
      </c>
      <c r="Q7065" s="1">
        <v>42277.017453703702</v>
      </c>
      <c r="R7065">
        <v>7</v>
      </c>
      <c r="S7065" t="s">
        <v>31</v>
      </c>
      <c r="T7065" t="s">
        <v>487</v>
      </c>
      <c r="U7065" t="s">
        <v>488</v>
      </c>
      <c r="V7065" s="3">
        <v>41302</v>
      </c>
    </row>
    <row r="7066" spans="1:22" x14ac:dyDescent="0.35">
      <c r="A7066" s="1">
        <v>42277.017442129632</v>
      </c>
      <c r="B7066" s="2">
        <v>1.1574074074074073E-5</v>
      </c>
      <c r="C7066" t="s">
        <v>6390</v>
      </c>
      <c r="D7066" t="s">
        <v>23</v>
      </c>
      <c r="E7066" t="s">
        <v>24</v>
      </c>
      <c r="F7066" t="s">
        <v>486</v>
      </c>
      <c r="G7066">
        <v>1119505</v>
      </c>
      <c r="H7066" t="s">
        <v>26</v>
      </c>
      <c r="I7066" t="s">
        <v>450</v>
      </c>
      <c r="J7066" t="str">
        <f>"9781118355015"</f>
        <v>9781118355015</v>
      </c>
      <c r="L7066">
        <v>0</v>
      </c>
      <c r="O7066" t="s">
        <v>30</v>
      </c>
      <c r="P7066" t="s">
        <v>42</v>
      </c>
      <c r="S7066" t="s">
        <v>31</v>
      </c>
      <c r="T7066" t="s">
        <v>487</v>
      </c>
      <c r="U7066" t="s">
        <v>488</v>
      </c>
      <c r="V7066" s="3">
        <v>41302</v>
      </c>
    </row>
    <row r="7067" spans="1:22" x14ac:dyDescent="0.35">
      <c r="A7067" s="1">
        <v>42277.001388888886</v>
      </c>
      <c r="B7067" s="2">
        <v>1.4699074074074074E-3</v>
      </c>
      <c r="C7067" t="s">
        <v>7960</v>
      </c>
      <c r="D7067" t="s">
        <v>35</v>
      </c>
      <c r="E7067" t="s">
        <v>36</v>
      </c>
      <c r="F7067" t="s">
        <v>986</v>
      </c>
      <c r="G7067">
        <v>968030</v>
      </c>
      <c r="H7067" t="s">
        <v>26</v>
      </c>
      <c r="I7067" t="s">
        <v>219</v>
      </c>
      <c r="J7067" t="str">
        <f>"9781118285138"</f>
        <v>9781118285138</v>
      </c>
      <c r="K7067" t="s">
        <v>10572</v>
      </c>
      <c r="L7067">
        <v>10</v>
      </c>
      <c r="O7067" t="s">
        <v>30</v>
      </c>
      <c r="P7067" t="s">
        <v>29</v>
      </c>
      <c r="Q7067" s="1">
        <v>42276.06454861111</v>
      </c>
      <c r="R7067">
        <v>7</v>
      </c>
      <c r="S7067" t="s">
        <v>40</v>
      </c>
      <c r="T7067" t="s">
        <v>987</v>
      </c>
      <c r="U7067">
        <v>158.30000000000001</v>
      </c>
      <c r="V7067" s="3">
        <v>41100</v>
      </c>
    </row>
    <row r="7068" spans="1:22" x14ac:dyDescent="0.35">
      <c r="A7068" s="1">
        <v>42276.943726851852</v>
      </c>
      <c r="B7068" s="2">
        <v>1.0300925925925926E-3</v>
      </c>
      <c r="C7068" t="s">
        <v>10573</v>
      </c>
      <c r="D7068" t="s">
        <v>623</v>
      </c>
      <c r="E7068" t="s">
        <v>624</v>
      </c>
      <c r="F7068" t="s">
        <v>982</v>
      </c>
      <c r="G7068">
        <v>1882108</v>
      </c>
      <c r="H7068" t="s">
        <v>84</v>
      </c>
      <c r="I7068" t="s">
        <v>310</v>
      </c>
      <c r="J7068" t="str">
        <f>"9780520961326"</f>
        <v>9780520961326</v>
      </c>
      <c r="K7068" t="s">
        <v>10574</v>
      </c>
      <c r="L7068">
        <v>70</v>
      </c>
      <c r="O7068" t="s">
        <v>30</v>
      </c>
      <c r="P7068" t="s">
        <v>50</v>
      </c>
      <c r="S7068" t="s">
        <v>627</v>
      </c>
      <c r="T7068" t="s">
        <v>983</v>
      </c>
      <c r="U7068">
        <v>883</v>
      </c>
      <c r="V7068" s="3">
        <v>42138</v>
      </c>
    </row>
    <row r="7069" spans="1:22" x14ac:dyDescent="0.35">
      <c r="A7069" s="1">
        <v>42276.939803240741</v>
      </c>
      <c r="B7069" s="2">
        <v>2.7777777777777779E-3</v>
      </c>
      <c r="C7069" t="s">
        <v>10575</v>
      </c>
      <c r="D7069" t="s">
        <v>23</v>
      </c>
      <c r="E7069" t="s">
        <v>24</v>
      </c>
      <c r="F7069" t="s">
        <v>246</v>
      </c>
      <c r="G7069">
        <v>1682559</v>
      </c>
      <c r="H7069" t="s">
        <v>91</v>
      </c>
      <c r="I7069" t="s">
        <v>247</v>
      </c>
      <c r="J7069" t="str">
        <f>"9781462515431"</f>
        <v>9781462515431</v>
      </c>
      <c r="K7069" t="s">
        <v>10576</v>
      </c>
      <c r="L7069">
        <v>33</v>
      </c>
      <c r="O7069" t="s">
        <v>30</v>
      </c>
      <c r="P7069" t="s">
        <v>29</v>
      </c>
      <c r="Q7069" s="1">
        <v>42269.953020833331</v>
      </c>
      <c r="R7069">
        <v>7</v>
      </c>
      <c r="S7069" t="s">
        <v>31</v>
      </c>
      <c r="T7069" t="s">
        <v>249</v>
      </c>
      <c r="U7069">
        <v>616.89</v>
      </c>
      <c r="V7069" s="3">
        <v>41769</v>
      </c>
    </row>
    <row r="7070" spans="1:22" x14ac:dyDescent="0.35">
      <c r="A7070" s="1">
        <v>42276.910300925927</v>
      </c>
      <c r="B7070" s="2">
        <v>1.3888888888888889E-4</v>
      </c>
      <c r="C7070" t="s">
        <v>10577</v>
      </c>
      <c r="D7070" t="s">
        <v>2519</v>
      </c>
      <c r="E7070" t="s">
        <v>2520</v>
      </c>
      <c r="F7070" t="s">
        <v>10364</v>
      </c>
      <c r="G7070">
        <v>1129584</v>
      </c>
      <c r="H7070" t="s">
        <v>26</v>
      </c>
      <c r="I7070" t="s">
        <v>219</v>
      </c>
      <c r="J7070" t="str">
        <f>"9781118526606"</f>
        <v>9781118526606</v>
      </c>
      <c r="K7070" t="s">
        <v>10578</v>
      </c>
      <c r="L7070">
        <v>9</v>
      </c>
      <c r="O7070" t="s">
        <v>30</v>
      </c>
      <c r="P7070" t="s">
        <v>29</v>
      </c>
      <c r="Q7070" s="1">
        <v>42276.910300925927</v>
      </c>
      <c r="R7070">
        <v>7</v>
      </c>
      <c r="S7070" t="s">
        <v>3786</v>
      </c>
      <c r="T7070" t="s">
        <v>10365</v>
      </c>
      <c r="U7070">
        <v>158.1</v>
      </c>
      <c r="V7070" s="3">
        <v>41319</v>
      </c>
    </row>
    <row r="7071" spans="1:22" x14ac:dyDescent="0.35">
      <c r="A7071" s="1">
        <v>42276.907314814816</v>
      </c>
      <c r="B7071" s="2">
        <v>5.9027777777777778E-4</v>
      </c>
      <c r="C7071" t="s">
        <v>5865</v>
      </c>
      <c r="D7071" t="s">
        <v>35</v>
      </c>
      <c r="E7071" t="s">
        <v>36</v>
      </c>
      <c r="F7071" t="s">
        <v>986</v>
      </c>
      <c r="G7071">
        <v>968030</v>
      </c>
      <c r="H7071" t="s">
        <v>26</v>
      </c>
      <c r="I7071" t="s">
        <v>219</v>
      </c>
      <c r="J7071" t="str">
        <f>"9781118285138"</f>
        <v>9781118285138</v>
      </c>
      <c r="K7071" t="s">
        <v>10579</v>
      </c>
      <c r="L7071">
        <v>14</v>
      </c>
      <c r="O7071" t="s">
        <v>30</v>
      </c>
      <c r="P7071" t="s">
        <v>42</v>
      </c>
      <c r="S7071" t="s">
        <v>40</v>
      </c>
      <c r="T7071" t="s">
        <v>987</v>
      </c>
      <c r="U7071">
        <v>158.30000000000001</v>
      </c>
      <c r="V7071" s="3">
        <v>41100</v>
      </c>
    </row>
    <row r="7072" spans="1:22" x14ac:dyDescent="0.35">
      <c r="A7072" s="1">
        <v>42276.905821759261</v>
      </c>
      <c r="B7072" s="2">
        <v>4.4791666666666669E-3</v>
      </c>
      <c r="C7072" t="s">
        <v>10577</v>
      </c>
      <c r="D7072" t="s">
        <v>2519</v>
      </c>
      <c r="E7072" t="s">
        <v>2520</v>
      </c>
      <c r="F7072" t="s">
        <v>10364</v>
      </c>
      <c r="G7072">
        <v>1129584</v>
      </c>
      <c r="H7072" t="s">
        <v>26</v>
      </c>
      <c r="I7072" t="s">
        <v>219</v>
      </c>
      <c r="J7072" t="str">
        <f>"9781118526606"</f>
        <v>9781118526606</v>
      </c>
      <c r="K7072" t="s">
        <v>10580</v>
      </c>
      <c r="L7072">
        <v>10</v>
      </c>
      <c r="O7072" t="s">
        <v>30</v>
      </c>
      <c r="P7072" t="s">
        <v>50</v>
      </c>
      <c r="S7072" t="s">
        <v>3786</v>
      </c>
      <c r="T7072" t="s">
        <v>10365</v>
      </c>
      <c r="U7072">
        <v>158.1</v>
      </c>
      <c r="V7072" s="3">
        <v>41319</v>
      </c>
    </row>
    <row r="7073" spans="1:22" x14ac:dyDescent="0.35">
      <c r="A7073" s="1">
        <v>42276.871828703705</v>
      </c>
      <c r="B7073" s="2">
        <v>1.40625E-2</v>
      </c>
      <c r="C7073" t="s">
        <v>6390</v>
      </c>
      <c r="D7073" t="s">
        <v>23</v>
      </c>
      <c r="E7073" t="s">
        <v>24</v>
      </c>
      <c r="F7073" t="s">
        <v>486</v>
      </c>
      <c r="G7073">
        <v>1119505</v>
      </c>
      <c r="H7073" t="s">
        <v>26</v>
      </c>
      <c r="I7073" t="s">
        <v>450</v>
      </c>
      <c r="J7073" t="str">
        <f>"9781118355015"</f>
        <v>9781118355015</v>
      </c>
      <c r="K7073" t="s">
        <v>10581</v>
      </c>
      <c r="L7073">
        <v>15</v>
      </c>
      <c r="O7073" t="s">
        <v>30</v>
      </c>
      <c r="P7073" t="s">
        <v>29</v>
      </c>
      <c r="Q7073" s="1">
        <v>42269.945254629631</v>
      </c>
      <c r="R7073">
        <v>7</v>
      </c>
      <c r="S7073" t="s">
        <v>31</v>
      </c>
      <c r="T7073" t="s">
        <v>487</v>
      </c>
      <c r="U7073" t="s">
        <v>488</v>
      </c>
      <c r="V7073" s="3">
        <v>41302</v>
      </c>
    </row>
    <row r="7074" spans="1:22" x14ac:dyDescent="0.35">
      <c r="A7074" s="1">
        <v>42276.855706018519</v>
      </c>
      <c r="B7074" s="2">
        <v>2.1759259259259258E-3</v>
      </c>
      <c r="C7074" t="s">
        <v>10582</v>
      </c>
      <c r="D7074" t="s">
        <v>211</v>
      </c>
      <c r="E7074" t="s">
        <v>212</v>
      </c>
      <c r="F7074" t="s">
        <v>10583</v>
      </c>
      <c r="G7074">
        <v>1969433</v>
      </c>
      <c r="H7074" t="s">
        <v>45</v>
      </c>
      <c r="I7074" t="s">
        <v>426</v>
      </c>
      <c r="J7074" t="str">
        <f>"9781472447036"</f>
        <v>9781472447036</v>
      </c>
      <c r="K7074" t="s">
        <v>10584</v>
      </c>
      <c r="L7074">
        <v>19</v>
      </c>
      <c r="O7074" t="s">
        <v>30</v>
      </c>
      <c r="P7074" t="s">
        <v>50</v>
      </c>
      <c r="S7074" t="s">
        <v>214</v>
      </c>
      <c r="T7074" t="s">
        <v>10585</v>
      </c>
      <c r="U7074">
        <v>285.80919999999998</v>
      </c>
      <c r="V7074" s="3">
        <v>42091</v>
      </c>
    </row>
    <row r="7075" spans="1:22" x14ac:dyDescent="0.35">
      <c r="A7075" s="1">
        <v>42276.853796296295</v>
      </c>
      <c r="B7075" s="2">
        <v>4.8171296296296295E-2</v>
      </c>
      <c r="C7075" t="s">
        <v>10575</v>
      </c>
      <c r="D7075" t="s">
        <v>23</v>
      </c>
      <c r="E7075" t="s">
        <v>24</v>
      </c>
      <c r="F7075" t="s">
        <v>246</v>
      </c>
      <c r="G7075">
        <v>1682559</v>
      </c>
      <c r="H7075" t="s">
        <v>91</v>
      </c>
      <c r="I7075" t="s">
        <v>247</v>
      </c>
      <c r="J7075" t="str">
        <f>"9781462515431"</f>
        <v>9781462515431</v>
      </c>
      <c r="K7075" t="s">
        <v>10586</v>
      </c>
      <c r="L7075">
        <v>35</v>
      </c>
      <c r="O7075" t="s">
        <v>30</v>
      </c>
      <c r="P7075" t="s">
        <v>29</v>
      </c>
      <c r="Q7075" s="1">
        <v>42269.953020833331</v>
      </c>
      <c r="R7075">
        <v>7</v>
      </c>
      <c r="S7075" t="s">
        <v>31</v>
      </c>
      <c r="T7075" t="s">
        <v>249</v>
      </c>
      <c r="U7075">
        <v>616.89</v>
      </c>
      <c r="V7075" s="3">
        <v>41769</v>
      </c>
    </row>
    <row r="7076" spans="1:22" x14ac:dyDescent="0.35">
      <c r="A7076" s="1">
        <v>42276.849085648151</v>
      </c>
      <c r="B7076" s="2">
        <v>1.5497685185185186E-2</v>
      </c>
      <c r="C7076" t="s">
        <v>10587</v>
      </c>
      <c r="D7076" t="s">
        <v>261</v>
      </c>
      <c r="E7076" t="s">
        <v>262</v>
      </c>
      <c r="F7076" t="s">
        <v>3479</v>
      </c>
      <c r="G7076">
        <v>1650800</v>
      </c>
      <c r="H7076" t="s">
        <v>84</v>
      </c>
      <c r="I7076" t="s">
        <v>776</v>
      </c>
      <c r="J7076" t="str">
        <f>"9780520958258"</f>
        <v>9780520958258</v>
      </c>
      <c r="K7076" t="s">
        <v>10588</v>
      </c>
      <c r="L7076">
        <v>56</v>
      </c>
      <c r="O7076" t="s">
        <v>30</v>
      </c>
      <c r="P7076" t="s">
        <v>47</v>
      </c>
      <c r="Q7076" s="1">
        <v>42276.849085648151</v>
      </c>
      <c r="R7076">
        <v>1</v>
      </c>
      <c r="S7076" t="s">
        <v>264</v>
      </c>
      <c r="T7076" t="s">
        <v>3481</v>
      </c>
      <c r="U7076">
        <v>796.33409810000001</v>
      </c>
      <c r="V7076" s="3">
        <v>41802</v>
      </c>
    </row>
    <row r="7077" spans="1:22" x14ac:dyDescent="0.35">
      <c r="A7077" s="1">
        <v>42276.84547453704</v>
      </c>
      <c r="B7077" s="2">
        <v>3.6111111111111114E-3</v>
      </c>
      <c r="C7077" t="s">
        <v>10587</v>
      </c>
      <c r="D7077" t="s">
        <v>261</v>
      </c>
      <c r="E7077" t="s">
        <v>262</v>
      </c>
      <c r="F7077" t="s">
        <v>3479</v>
      </c>
      <c r="G7077">
        <v>1650800</v>
      </c>
      <c r="H7077" t="s">
        <v>84</v>
      </c>
      <c r="I7077" t="s">
        <v>776</v>
      </c>
      <c r="J7077" t="str">
        <f>"9780520958258"</f>
        <v>9780520958258</v>
      </c>
      <c r="K7077" t="s">
        <v>10589</v>
      </c>
      <c r="L7077">
        <v>29</v>
      </c>
      <c r="O7077" t="s">
        <v>30</v>
      </c>
      <c r="P7077" t="s">
        <v>50</v>
      </c>
      <c r="S7077" t="s">
        <v>264</v>
      </c>
      <c r="T7077" t="s">
        <v>3481</v>
      </c>
      <c r="U7077">
        <v>796.33409810000001</v>
      </c>
      <c r="V7077" s="3">
        <v>41802</v>
      </c>
    </row>
    <row r="7078" spans="1:22" x14ac:dyDescent="0.35">
      <c r="A7078" s="1">
        <v>42276.844421296293</v>
      </c>
      <c r="B7078" s="2">
        <v>0</v>
      </c>
      <c r="C7078" t="s">
        <v>106</v>
      </c>
      <c r="D7078" t="s">
        <v>23</v>
      </c>
      <c r="E7078" t="s">
        <v>24</v>
      </c>
      <c r="F7078" t="s">
        <v>61</v>
      </c>
      <c r="G7078">
        <v>699526</v>
      </c>
      <c r="H7078" t="s">
        <v>26</v>
      </c>
      <c r="I7078" t="s">
        <v>62</v>
      </c>
      <c r="J7078" t="str">
        <f t="shared" ref="J7078:J7083" si="36">"9781118586006"</f>
        <v>9781118586006</v>
      </c>
      <c r="L7078">
        <v>0</v>
      </c>
      <c r="O7078" t="s">
        <v>28</v>
      </c>
      <c r="P7078" t="s">
        <v>29</v>
      </c>
      <c r="Q7078" s="1">
        <v>42276.61954861111</v>
      </c>
      <c r="R7078">
        <v>7</v>
      </c>
      <c r="S7078" t="s">
        <v>31</v>
      </c>
      <c r="T7078" t="s">
        <v>64</v>
      </c>
      <c r="U7078">
        <v>6.4</v>
      </c>
      <c r="V7078" s="3">
        <v>41222</v>
      </c>
    </row>
    <row r="7079" spans="1:22" x14ac:dyDescent="0.35">
      <c r="A7079" s="1">
        <v>42276.841493055559</v>
      </c>
      <c r="B7079" s="2">
        <v>0</v>
      </c>
      <c r="C7079" t="s">
        <v>106</v>
      </c>
      <c r="D7079" t="s">
        <v>23</v>
      </c>
      <c r="E7079" t="s">
        <v>24</v>
      </c>
      <c r="F7079" t="s">
        <v>61</v>
      </c>
      <c r="G7079">
        <v>699526</v>
      </c>
      <c r="H7079" t="s">
        <v>26</v>
      </c>
      <c r="I7079" t="s">
        <v>62</v>
      </c>
      <c r="J7079" t="str">
        <f t="shared" si="36"/>
        <v>9781118586006</v>
      </c>
      <c r="L7079">
        <v>0</v>
      </c>
      <c r="O7079" t="s">
        <v>28</v>
      </c>
      <c r="P7079" t="s">
        <v>29</v>
      </c>
      <c r="Q7079" s="1">
        <v>42276.61954861111</v>
      </c>
      <c r="R7079">
        <v>7</v>
      </c>
      <c r="S7079" t="s">
        <v>31</v>
      </c>
      <c r="T7079" t="s">
        <v>64</v>
      </c>
      <c r="U7079">
        <v>6.4</v>
      </c>
      <c r="V7079" s="3">
        <v>41222</v>
      </c>
    </row>
    <row r="7080" spans="1:22" x14ac:dyDescent="0.35">
      <c r="A7080" s="1">
        <v>42276.841180555559</v>
      </c>
      <c r="B7080" s="2">
        <v>2.6620370370370372E-4</v>
      </c>
      <c r="C7080" t="s">
        <v>106</v>
      </c>
      <c r="D7080" t="s">
        <v>23</v>
      </c>
      <c r="E7080" t="s">
        <v>24</v>
      </c>
      <c r="F7080" t="s">
        <v>61</v>
      </c>
      <c r="G7080">
        <v>699526</v>
      </c>
      <c r="H7080" t="s">
        <v>26</v>
      </c>
      <c r="I7080" t="s">
        <v>62</v>
      </c>
      <c r="J7080" t="str">
        <f t="shared" si="36"/>
        <v>9781118586006</v>
      </c>
      <c r="K7080" t="s">
        <v>1315</v>
      </c>
      <c r="L7080">
        <v>3</v>
      </c>
      <c r="O7080" t="s">
        <v>30</v>
      </c>
      <c r="P7080" t="s">
        <v>29</v>
      </c>
      <c r="Q7080" s="1">
        <v>42276.61954861111</v>
      </c>
      <c r="R7080">
        <v>7</v>
      </c>
      <c r="S7080" t="s">
        <v>31</v>
      </c>
      <c r="T7080" t="s">
        <v>64</v>
      </c>
      <c r="U7080">
        <v>6.4</v>
      </c>
      <c r="V7080" s="3">
        <v>41222</v>
      </c>
    </row>
    <row r="7081" spans="1:22" x14ac:dyDescent="0.35">
      <c r="A7081" s="1">
        <v>42276.841006944444</v>
      </c>
      <c r="B7081" s="2">
        <v>0</v>
      </c>
      <c r="C7081" t="s">
        <v>106</v>
      </c>
      <c r="D7081" t="s">
        <v>23</v>
      </c>
      <c r="E7081" t="s">
        <v>24</v>
      </c>
      <c r="F7081" t="s">
        <v>61</v>
      </c>
      <c r="G7081">
        <v>699526</v>
      </c>
      <c r="H7081" t="s">
        <v>26</v>
      </c>
      <c r="I7081" t="s">
        <v>62</v>
      </c>
      <c r="J7081" t="str">
        <f t="shared" si="36"/>
        <v>9781118586006</v>
      </c>
      <c r="L7081">
        <v>0</v>
      </c>
      <c r="O7081" t="s">
        <v>28</v>
      </c>
      <c r="P7081" t="s">
        <v>29</v>
      </c>
      <c r="Q7081" s="1">
        <v>42276.61954861111</v>
      </c>
      <c r="R7081">
        <v>7</v>
      </c>
      <c r="S7081" t="s">
        <v>31</v>
      </c>
      <c r="T7081" t="s">
        <v>64</v>
      </c>
      <c r="U7081">
        <v>6.4</v>
      </c>
      <c r="V7081" s="3">
        <v>41222</v>
      </c>
    </row>
    <row r="7082" spans="1:22" x14ac:dyDescent="0.35">
      <c r="A7082" s="1">
        <v>42276.840960648151</v>
      </c>
      <c r="B7082" s="2">
        <v>0</v>
      </c>
      <c r="C7082" t="s">
        <v>106</v>
      </c>
      <c r="D7082" t="s">
        <v>23</v>
      </c>
      <c r="E7082" t="s">
        <v>24</v>
      </c>
      <c r="F7082" t="s">
        <v>61</v>
      </c>
      <c r="G7082">
        <v>699526</v>
      </c>
      <c r="H7082" t="s">
        <v>26</v>
      </c>
      <c r="I7082" t="s">
        <v>62</v>
      </c>
      <c r="J7082" t="str">
        <f t="shared" si="36"/>
        <v>9781118586006</v>
      </c>
      <c r="L7082">
        <v>0</v>
      </c>
      <c r="O7082" t="s">
        <v>28</v>
      </c>
      <c r="P7082" t="s">
        <v>29</v>
      </c>
      <c r="Q7082" s="1">
        <v>42276.61954861111</v>
      </c>
      <c r="R7082">
        <v>7</v>
      </c>
      <c r="S7082" t="s">
        <v>31</v>
      </c>
      <c r="T7082" t="s">
        <v>64</v>
      </c>
      <c r="U7082">
        <v>6.4</v>
      </c>
      <c r="V7082" s="3">
        <v>41222</v>
      </c>
    </row>
    <row r="7083" spans="1:22" x14ac:dyDescent="0.35">
      <c r="A7083" s="1">
        <v>42276.839432870373</v>
      </c>
      <c r="B7083" s="2">
        <v>0</v>
      </c>
      <c r="C7083" t="s">
        <v>106</v>
      </c>
      <c r="D7083" t="s">
        <v>23</v>
      </c>
      <c r="E7083" t="s">
        <v>24</v>
      </c>
      <c r="F7083" t="s">
        <v>61</v>
      </c>
      <c r="G7083">
        <v>699526</v>
      </c>
      <c r="H7083" t="s">
        <v>26</v>
      </c>
      <c r="I7083" t="s">
        <v>62</v>
      </c>
      <c r="J7083" t="str">
        <f t="shared" si="36"/>
        <v>9781118586006</v>
      </c>
      <c r="L7083">
        <v>0</v>
      </c>
      <c r="O7083" t="s">
        <v>28</v>
      </c>
      <c r="P7083" t="s">
        <v>29</v>
      </c>
      <c r="Q7083" s="1">
        <v>42276.61954861111</v>
      </c>
      <c r="R7083">
        <v>7</v>
      </c>
      <c r="S7083" t="s">
        <v>31</v>
      </c>
      <c r="T7083" t="s">
        <v>64</v>
      </c>
      <c r="U7083">
        <v>6.4</v>
      </c>
      <c r="V7083" s="3">
        <v>41222</v>
      </c>
    </row>
    <row r="7084" spans="1:22" x14ac:dyDescent="0.35">
      <c r="A7084" s="1">
        <v>42276.839282407411</v>
      </c>
      <c r="B7084" s="2">
        <v>6.7129629629629625E-4</v>
      </c>
      <c r="C7084" t="s">
        <v>10590</v>
      </c>
      <c r="D7084" t="s">
        <v>23</v>
      </c>
      <c r="E7084" t="s">
        <v>24</v>
      </c>
      <c r="F7084" t="s">
        <v>3060</v>
      </c>
      <c r="G7084">
        <v>1120279</v>
      </c>
      <c r="H7084" t="s">
        <v>26</v>
      </c>
      <c r="I7084" t="s">
        <v>3061</v>
      </c>
      <c r="J7084" t="str">
        <f>"9781118537671"</f>
        <v>9781118537671</v>
      </c>
      <c r="K7084" t="s">
        <v>10591</v>
      </c>
      <c r="L7084">
        <v>24</v>
      </c>
      <c r="O7084" t="s">
        <v>30</v>
      </c>
      <c r="P7084" t="s">
        <v>42</v>
      </c>
      <c r="S7084" t="s">
        <v>31</v>
      </c>
      <c r="T7084" t="s">
        <v>3063</v>
      </c>
      <c r="U7084">
        <v>599.93499999999995</v>
      </c>
      <c r="V7084" s="3">
        <v>41232</v>
      </c>
    </row>
    <row r="7085" spans="1:22" x14ac:dyDescent="0.35">
      <c r="A7085" s="1">
        <v>42276.835173611114</v>
      </c>
      <c r="B7085" s="2">
        <v>2.7777777777777778E-4</v>
      </c>
      <c r="C7085" t="s">
        <v>106</v>
      </c>
      <c r="D7085" t="s">
        <v>23</v>
      </c>
      <c r="E7085" t="s">
        <v>24</v>
      </c>
      <c r="F7085" t="s">
        <v>61</v>
      </c>
      <c r="G7085">
        <v>699526</v>
      </c>
      <c r="H7085" t="s">
        <v>26</v>
      </c>
      <c r="I7085" t="s">
        <v>62</v>
      </c>
      <c r="J7085" t="str">
        <f>"9781118586006"</f>
        <v>9781118586006</v>
      </c>
      <c r="K7085" t="s">
        <v>10592</v>
      </c>
      <c r="L7085">
        <v>6</v>
      </c>
      <c r="O7085" t="s">
        <v>30</v>
      </c>
      <c r="P7085" t="s">
        <v>29</v>
      </c>
      <c r="Q7085" s="1">
        <v>42276.61954861111</v>
      </c>
      <c r="R7085">
        <v>7</v>
      </c>
      <c r="S7085" t="s">
        <v>31</v>
      </c>
      <c r="T7085" t="s">
        <v>64</v>
      </c>
      <c r="U7085">
        <v>6.4</v>
      </c>
      <c r="V7085" s="3">
        <v>41222</v>
      </c>
    </row>
    <row r="7086" spans="1:22" x14ac:dyDescent="0.35">
      <c r="A7086" s="1">
        <v>42276.834988425922</v>
      </c>
      <c r="B7086" s="2">
        <v>1.9675925925925926E-4</v>
      </c>
      <c r="C7086" t="s">
        <v>210</v>
      </c>
      <c r="D7086" t="s">
        <v>211</v>
      </c>
      <c r="E7086" t="s">
        <v>212</v>
      </c>
      <c r="F7086" t="s">
        <v>5390</v>
      </c>
      <c r="G7086">
        <v>1732123</v>
      </c>
      <c r="H7086" t="s">
        <v>26</v>
      </c>
      <c r="I7086" t="s">
        <v>445</v>
      </c>
      <c r="J7086" t="str">
        <f>"9781118884942"</f>
        <v>9781118884942</v>
      </c>
      <c r="K7086" t="s">
        <v>10593</v>
      </c>
      <c r="L7086">
        <v>9</v>
      </c>
      <c r="O7086" t="s">
        <v>30</v>
      </c>
      <c r="P7086" t="s">
        <v>42</v>
      </c>
      <c r="S7086" t="s">
        <v>214</v>
      </c>
      <c r="T7086" t="s">
        <v>5392</v>
      </c>
      <c r="U7086">
        <v>332.024</v>
      </c>
      <c r="V7086" s="3">
        <v>41827</v>
      </c>
    </row>
    <row r="7087" spans="1:22" x14ac:dyDescent="0.35">
      <c r="A7087" s="1">
        <v>42276.827777777777</v>
      </c>
      <c r="B7087" s="2">
        <v>3.3564814814814812E-4</v>
      </c>
      <c r="C7087" t="s">
        <v>10594</v>
      </c>
      <c r="D7087" t="s">
        <v>623</v>
      </c>
      <c r="E7087" t="s">
        <v>624</v>
      </c>
      <c r="F7087" t="s">
        <v>10595</v>
      </c>
      <c r="G7087">
        <v>1767756</v>
      </c>
      <c r="H7087" t="s">
        <v>26</v>
      </c>
      <c r="I7087" t="s">
        <v>69</v>
      </c>
      <c r="J7087" t="str">
        <f>"9781118784808"</f>
        <v>9781118784808</v>
      </c>
      <c r="K7087" t="s">
        <v>10596</v>
      </c>
      <c r="L7087">
        <v>9</v>
      </c>
      <c r="O7087" t="s">
        <v>30</v>
      </c>
      <c r="P7087" t="s">
        <v>50</v>
      </c>
      <c r="S7087" t="s">
        <v>627</v>
      </c>
      <c r="T7087" t="s">
        <v>10597</v>
      </c>
      <c r="U7087" t="s">
        <v>6227</v>
      </c>
      <c r="V7087" s="3">
        <v>41865</v>
      </c>
    </row>
    <row r="7088" spans="1:22" x14ac:dyDescent="0.35">
      <c r="A7088" s="1">
        <v>42276.826342592591</v>
      </c>
      <c r="B7088" s="2">
        <v>4.6296296296296293E-4</v>
      </c>
      <c r="C7088" t="s">
        <v>10594</v>
      </c>
      <c r="D7088" t="s">
        <v>623</v>
      </c>
      <c r="E7088" t="s">
        <v>624</v>
      </c>
      <c r="F7088" t="s">
        <v>4007</v>
      </c>
      <c r="G7088">
        <v>1638614</v>
      </c>
      <c r="H7088" t="s">
        <v>26</v>
      </c>
      <c r="I7088" t="s">
        <v>69</v>
      </c>
      <c r="J7088" t="str">
        <f>"9781118866979"</f>
        <v>9781118866979</v>
      </c>
      <c r="K7088" t="s">
        <v>10598</v>
      </c>
      <c r="L7088">
        <v>20</v>
      </c>
      <c r="O7088" t="s">
        <v>30</v>
      </c>
      <c r="P7088" t="s">
        <v>50</v>
      </c>
      <c r="S7088" t="s">
        <v>627</v>
      </c>
      <c r="T7088" t="s">
        <v>4010</v>
      </c>
      <c r="U7088">
        <v>378.19684999999998</v>
      </c>
      <c r="V7088" s="3">
        <v>41690</v>
      </c>
    </row>
    <row r="7089" spans="1:22" x14ac:dyDescent="0.35">
      <c r="A7089" s="1">
        <v>42276.782083333332</v>
      </c>
      <c r="B7089" s="2">
        <v>3.1250000000000001E-4</v>
      </c>
      <c r="C7089" t="s">
        <v>9596</v>
      </c>
      <c r="D7089" t="s">
        <v>23</v>
      </c>
      <c r="E7089" t="s">
        <v>24</v>
      </c>
      <c r="F7089" t="s">
        <v>61</v>
      </c>
      <c r="G7089">
        <v>699526</v>
      </c>
      <c r="H7089" t="s">
        <v>26</v>
      </c>
      <c r="I7089" t="s">
        <v>62</v>
      </c>
      <c r="J7089" t="str">
        <f>"9781118586006"</f>
        <v>9781118586006</v>
      </c>
      <c r="K7089" t="s">
        <v>889</v>
      </c>
      <c r="L7089">
        <v>6</v>
      </c>
      <c r="O7089" t="s">
        <v>30</v>
      </c>
      <c r="P7089" t="s">
        <v>29</v>
      </c>
      <c r="Q7089" s="1">
        <v>42276.009027777778</v>
      </c>
      <c r="R7089">
        <v>7</v>
      </c>
      <c r="S7089" t="s">
        <v>31</v>
      </c>
      <c r="T7089" t="s">
        <v>64</v>
      </c>
      <c r="U7089">
        <v>6.4</v>
      </c>
      <c r="V7089" s="3">
        <v>41222</v>
      </c>
    </row>
    <row r="7090" spans="1:22" x14ac:dyDescent="0.35">
      <c r="A7090" s="1">
        <v>42276.734548611108</v>
      </c>
      <c r="B7090" s="2">
        <v>4.0393518518518521E-3</v>
      </c>
      <c r="C7090" t="s">
        <v>6000</v>
      </c>
      <c r="D7090" t="s">
        <v>35</v>
      </c>
      <c r="E7090" t="s">
        <v>36</v>
      </c>
      <c r="F7090" t="s">
        <v>986</v>
      </c>
      <c r="G7090">
        <v>968030</v>
      </c>
      <c r="H7090" t="s">
        <v>26</v>
      </c>
      <c r="I7090" t="s">
        <v>219</v>
      </c>
      <c r="J7090" t="str">
        <f>"9781118285138"</f>
        <v>9781118285138</v>
      </c>
      <c r="K7090" t="s">
        <v>10599</v>
      </c>
      <c r="L7090">
        <v>10</v>
      </c>
      <c r="O7090" t="s">
        <v>30</v>
      </c>
      <c r="P7090" t="s">
        <v>42</v>
      </c>
      <c r="S7090" t="s">
        <v>40</v>
      </c>
      <c r="T7090" t="s">
        <v>987</v>
      </c>
      <c r="U7090">
        <v>158.30000000000001</v>
      </c>
      <c r="V7090" s="3">
        <v>41100</v>
      </c>
    </row>
    <row r="7091" spans="1:22" x14ac:dyDescent="0.35">
      <c r="A7091" s="1">
        <v>42276.727870370371</v>
      </c>
      <c r="B7091" s="2">
        <v>5.8877314814814813E-2</v>
      </c>
      <c r="C7091" t="s">
        <v>6390</v>
      </c>
      <c r="D7091" t="s">
        <v>23</v>
      </c>
      <c r="E7091" t="s">
        <v>24</v>
      </c>
      <c r="F7091" t="s">
        <v>486</v>
      </c>
      <c r="G7091">
        <v>1119505</v>
      </c>
      <c r="H7091" t="s">
        <v>26</v>
      </c>
      <c r="I7091" t="s">
        <v>450</v>
      </c>
      <c r="J7091" t="str">
        <f>"9781118355015"</f>
        <v>9781118355015</v>
      </c>
      <c r="K7091" t="s">
        <v>10600</v>
      </c>
      <c r="L7091">
        <v>43</v>
      </c>
      <c r="O7091" t="s">
        <v>30</v>
      </c>
      <c r="P7091" t="s">
        <v>29</v>
      </c>
      <c r="Q7091" s="1">
        <v>42269.945254629631</v>
      </c>
      <c r="R7091">
        <v>7</v>
      </c>
      <c r="S7091" t="s">
        <v>31</v>
      </c>
      <c r="T7091" t="s">
        <v>487</v>
      </c>
      <c r="U7091" t="s">
        <v>488</v>
      </c>
      <c r="V7091" s="3">
        <v>41302</v>
      </c>
    </row>
    <row r="7092" spans="1:22" x14ac:dyDescent="0.35">
      <c r="A7092" s="1">
        <v>42276.707939814813</v>
      </c>
      <c r="B7092" s="2">
        <v>3.4722222222222222E-5</v>
      </c>
      <c r="C7092" t="s">
        <v>10601</v>
      </c>
      <c r="D7092" t="s">
        <v>23</v>
      </c>
      <c r="E7092" t="s">
        <v>24</v>
      </c>
      <c r="F7092" t="s">
        <v>61</v>
      </c>
      <c r="G7092">
        <v>699526</v>
      </c>
      <c r="H7092" t="s">
        <v>26</v>
      </c>
      <c r="I7092" t="s">
        <v>62</v>
      </c>
      <c r="J7092" t="str">
        <f>"9781118586006"</f>
        <v>9781118586006</v>
      </c>
      <c r="K7092" t="s">
        <v>33</v>
      </c>
      <c r="L7092">
        <v>3</v>
      </c>
      <c r="O7092" t="s">
        <v>30</v>
      </c>
      <c r="P7092" t="s">
        <v>29</v>
      </c>
      <c r="Q7092" s="1">
        <v>42276.632962962962</v>
      </c>
      <c r="R7092">
        <v>7</v>
      </c>
      <c r="S7092" t="s">
        <v>31</v>
      </c>
      <c r="T7092" t="s">
        <v>64</v>
      </c>
      <c r="U7092">
        <v>6.4</v>
      </c>
      <c r="V7092" s="3">
        <v>41222</v>
      </c>
    </row>
    <row r="7093" spans="1:22" x14ac:dyDescent="0.35">
      <c r="A7093" s="1">
        <v>42276.706782407404</v>
      </c>
      <c r="B7093" s="2">
        <v>0.17524305555555555</v>
      </c>
      <c r="C7093" t="s">
        <v>9415</v>
      </c>
      <c r="D7093" t="s">
        <v>23</v>
      </c>
      <c r="E7093" t="s">
        <v>24</v>
      </c>
      <c r="F7093" t="s">
        <v>486</v>
      </c>
      <c r="G7093">
        <v>1119505</v>
      </c>
      <c r="H7093" t="s">
        <v>26</v>
      </c>
      <c r="I7093" t="s">
        <v>450</v>
      </c>
      <c r="J7093" t="str">
        <f>"9781118355015"</f>
        <v>9781118355015</v>
      </c>
      <c r="K7093" t="s">
        <v>10602</v>
      </c>
      <c r="L7093">
        <v>38</v>
      </c>
      <c r="O7093" t="s">
        <v>30</v>
      </c>
      <c r="P7093" t="s">
        <v>29</v>
      </c>
      <c r="Q7093" s="1">
        <v>42270.01190972222</v>
      </c>
      <c r="R7093">
        <v>7</v>
      </c>
      <c r="S7093" t="s">
        <v>31</v>
      </c>
      <c r="T7093" t="s">
        <v>487</v>
      </c>
      <c r="U7093" t="s">
        <v>488</v>
      </c>
      <c r="V7093" s="3">
        <v>41302</v>
      </c>
    </row>
    <row r="7094" spans="1:22" x14ac:dyDescent="0.35">
      <c r="A7094" s="1">
        <v>42276.704259259262</v>
      </c>
      <c r="B7094" s="2">
        <v>0</v>
      </c>
      <c r="C7094" t="s">
        <v>10601</v>
      </c>
      <c r="D7094" t="s">
        <v>23</v>
      </c>
      <c r="E7094" t="s">
        <v>24</v>
      </c>
      <c r="F7094" t="s">
        <v>61</v>
      </c>
      <c r="G7094">
        <v>699526</v>
      </c>
      <c r="H7094" t="s">
        <v>26</v>
      </c>
      <c r="I7094" t="s">
        <v>62</v>
      </c>
      <c r="J7094" t="str">
        <f>"9781118586006"</f>
        <v>9781118586006</v>
      </c>
      <c r="L7094">
        <v>0</v>
      </c>
      <c r="O7094" t="s">
        <v>28</v>
      </c>
      <c r="P7094" t="s">
        <v>29</v>
      </c>
      <c r="Q7094" s="1">
        <v>42276.632962962962</v>
      </c>
      <c r="R7094">
        <v>7</v>
      </c>
      <c r="S7094" t="s">
        <v>31</v>
      </c>
      <c r="T7094" t="s">
        <v>64</v>
      </c>
      <c r="U7094">
        <v>6.4</v>
      </c>
      <c r="V7094" s="3">
        <v>41222</v>
      </c>
    </row>
    <row r="7095" spans="1:22" x14ac:dyDescent="0.35">
      <c r="A7095" s="1">
        <v>42276.70416666667</v>
      </c>
      <c r="B7095" s="2">
        <v>5.7870370370370366E-5</v>
      </c>
      <c r="C7095" t="s">
        <v>10601</v>
      </c>
      <c r="D7095" t="s">
        <v>23</v>
      </c>
      <c r="E7095" t="s">
        <v>24</v>
      </c>
      <c r="F7095" t="s">
        <v>61</v>
      </c>
      <c r="G7095">
        <v>699526</v>
      </c>
      <c r="H7095" t="s">
        <v>26</v>
      </c>
      <c r="I7095" t="s">
        <v>62</v>
      </c>
      <c r="J7095" t="str">
        <f>"9781118586006"</f>
        <v>9781118586006</v>
      </c>
      <c r="K7095" t="s">
        <v>33</v>
      </c>
      <c r="L7095">
        <v>3</v>
      </c>
      <c r="O7095" t="s">
        <v>30</v>
      </c>
      <c r="P7095" t="s">
        <v>29</v>
      </c>
      <c r="Q7095" s="1">
        <v>42276.632962962962</v>
      </c>
      <c r="R7095">
        <v>7</v>
      </c>
      <c r="S7095" t="s">
        <v>31</v>
      </c>
      <c r="T7095" t="s">
        <v>64</v>
      </c>
      <c r="U7095">
        <v>6.4</v>
      </c>
      <c r="V7095" s="3">
        <v>41222</v>
      </c>
    </row>
    <row r="7096" spans="1:22" x14ac:dyDescent="0.35">
      <c r="A7096" s="1">
        <v>42276.703657407408</v>
      </c>
      <c r="B7096" s="2">
        <v>0</v>
      </c>
      <c r="C7096" t="s">
        <v>10601</v>
      </c>
      <c r="D7096" t="s">
        <v>23</v>
      </c>
      <c r="E7096" t="s">
        <v>24</v>
      </c>
      <c r="F7096" t="s">
        <v>61</v>
      </c>
      <c r="G7096">
        <v>699526</v>
      </c>
      <c r="H7096" t="s">
        <v>26</v>
      </c>
      <c r="I7096" t="s">
        <v>62</v>
      </c>
      <c r="J7096" t="str">
        <f>"9781118586006"</f>
        <v>9781118586006</v>
      </c>
      <c r="L7096">
        <v>0</v>
      </c>
      <c r="O7096" t="s">
        <v>28</v>
      </c>
      <c r="P7096" t="s">
        <v>29</v>
      </c>
      <c r="Q7096" s="1">
        <v>42276.632962962962</v>
      </c>
      <c r="R7096">
        <v>7</v>
      </c>
      <c r="S7096" t="s">
        <v>31</v>
      </c>
      <c r="T7096" t="s">
        <v>64</v>
      </c>
      <c r="U7096">
        <v>6.4</v>
      </c>
      <c r="V7096" s="3">
        <v>41222</v>
      </c>
    </row>
    <row r="7097" spans="1:22" x14ac:dyDescent="0.35">
      <c r="A7097" s="1">
        <v>42276.700659722221</v>
      </c>
      <c r="B7097" s="2">
        <v>2.6620370370370372E-4</v>
      </c>
      <c r="C7097" t="s">
        <v>10601</v>
      </c>
      <c r="D7097" t="s">
        <v>23</v>
      </c>
      <c r="E7097" t="s">
        <v>24</v>
      </c>
      <c r="F7097" t="s">
        <v>61</v>
      </c>
      <c r="G7097">
        <v>699526</v>
      </c>
      <c r="H7097" t="s">
        <v>26</v>
      </c>
      <c r="I7097" t="s">
        <v>62</v>
      </c>
      <c r="J7097" t="str">
        <f>"9781118586006"</f>
        <v>9781118586006</v>
      </c>
      <c r="K7097" t="s">
        <v>10603</v>
      </c>
      <c r="L7097">
        <v>4</v>
      </c>
      <c r="O7097" t="s">
        <v>28</v>
      </c>
      <c r="P7097" t="s">
        <v>29</v>
      </c>
      <c r="Q7097" s="1">
        <v>42276.632962962962</v>
      </c>
      <c r="R7097">
        <v>7</v>
      </c>
      <c r="S7097" t="s">
        <v>31</v>
      </c>
      <c r="T7097" t="s">
        <v>64</v>
      </c>
      <c r="U7097">
        <v>6.4</v>
      </c>
      <c r="V7097" s="3">
        <v>41222</v>
      </c>
    </row>
    <row r="7098" spans="1:22" x14ac:dyDescent="0.35">
      <c r="A7098" s="1">
        <v>42276.699629629627</v>
      </c>
      <c r="B7098" s="2">
        <v>9.1435185185185185E-4</v>
      </c>
      <c r="C7098" t="s">
        <v>10601</v>
      </c>
      <c r="D7098" t="s">
        <v>23</v>
      </c>
      <c r="E7098" t="s">
        <v>24</v>
      </c>
      <c r="F7098" t="s">
        <v>61</v>
      </c>
      <c r="G7098">
        <v>699526</v>
      </c>
      <c r="H7098" t="s">
        <v>26</v>
      </c>
      <c r="I7098" t="s">
        <v>62</v>
      </c>
      <c r="J7098" t="str">
        <f>"9781118586006"</f>
        <v>9781118586006</v>
      </c>
      <c r="K7098" t="s">
        <v>10604</v>
      </c>
      <c r="L7098">
        <v>10</v>
      </c>
      <c r="O7098" t="s">
        <v>28</v>
      </c>
      <c r="P7098" t="s">
        <v>29</v>
      </c>
      <c r="Q7098" s="1">
        <v>42276.632962962962</v>
      </c>
      <c r="R7098">
        <v>7</v>
      </c>
      <c r="S7098" t="s">
        <v>31</v>
      </c>
      <c r="T7098" t="s">
        <v>64</v>
      </c>
      <c r="U7098">
        <v>6.4</v>
      </c>
      <c r="V7098" s="3">
        <v>41222</v>
      </c>
    </row>
    <row r="7099" spans="1:22" x14ac:dyDescent="0.35">
      <c r="A7099" s="1">
        <v>42276.699317129627</v>
      </c>
      <c r="B7099" s="2">
        <v>1.5856481481481479E-3</v>
      </c>
      <c r="C7099" t="s">
        <v>10605</v>
      </c>
      <c r="D7099" t="s">
        <v>211</v>
      </c>
      <c r="E7099" t="s">
        <v>212</v>
      </c>
      <c r="F7099" t="s">
        <v>10606</v>
      </c>
      <c r="G7099">
        <v>2146552</v>
      </c>
      <c r="H7099" t="s">
        <v>26</v>
      </c>
      <c r="I7099" t="s">
        <v>10607</v>
      </c>
      <c r="J7099" t="str">
        <f>"9781119042174"</f>
        <v>9781119042174</v>
      </c>
      <c r="K7099" t="s">
        <v>5410</v>
      </c>
      <c r="L7099">
        <v>10</v>
      </c>
      <c r="O7099" t="s">
        <v>30</v>
      </c>
      <c r="P7099" t="s">
        <v>29</v>
      </c>
      <c r="Q7099" s="1">
        <v>42276.671863425923</v>
      </c>
      <c r="R7099">
        <v>7</v>
      </c>
      <c r="S7099" t="s">
        <v>214</v>
      </c>
      <c r="T7099" t="s">
        <v>10608</v>
      </c>
      <c r="U7099">
        <v>4.1020938740000004</v>
      </c>
      <c r="V7099" s="3">
        <v>42226</v>
      </c>
    </row>
    <row r="7100" spans="1:22" x14ac:dyDescent="0.35">
      <c r="A7100" s="1">
        <v>42276.698425925926</v>
      </c>
      <c r="B7100" s="2">
        <v>6.8287037037037025E-4</v>
      </c>
      <c r="C7100" t="s">
        <v>10601</v>
      </c>
      <c r="D7100" t="s">
        <v>23</v>
      </c>
      <c r="E7100" t="s">
        <v>24</v>
      </c>
      <c r="F7100" t="s">
        <v>61</v>
      </c>
      <c r="G7100">
        <v>699526</v>
      </c>
      <c r="H7100" t="s">
        <v>26</v>
      </c>
      <c r="I7100" t="s">
        <v>62</v>
      </c>
      <c r="J7100" t="str">
        <f t="shared" ref="J7100:J7107" si="37">"9781118586006"</f>
        <v>9781118586006</v>
      </c>
      <c r="K7100" t="s">
        <v>10609</v>
      </c>
      <c r="L7100">
        <v>9</v>
      </c>
      <c r="O7100" t="s">
        <v>28</v>
      </c>
      <c r="P7100" t="s">
        <v>29</v>
      </c>
      <c r="Q7100" s="1">
        <v>42276.632962962962</v>
      </c>
      <c r="R7100">
        <v>7</v>
      </c>
      <c r="S7100" t="s">
        <v>31</v>
      </c>
      <c r="T7100" t="s">
        <v>64</v>
      </c>
      <c r="U7100">
        <v>6.4</v>
      </c>
      <c r="V7100" s="3">
        <v>41222</v>
      </c>
    </row>
    <row r="7101" spans="1:22" x14ac:dyDescent="0.35">
      <c r="A7101" s="1">
        <v>42276.698171296295</v>
      </c>
      <c r="B7101" s="2">
        <v>1.6203703703703703E-4</v>
      </c>
      <c r="C7101" t="s">
        <v>10601</v>
      </c>
      <c r="D7101" t="s">
        <v>23</v>
      </c>
      <c r="E7101" t="s">
        <v>24</v>
      </c>
      <c r="F7101" t="s">
        <v>61</v>
      </c>
      <c r="G7101">
        <v>699526</v>
      </c>
      <c r="H7101" t="s">
        <v>26</v>
      </c>
      <c r="I7101" t="s">
        <v>62</v>
      </c>
      <c r="J7101" t="str">
        <f t="shared" si="37"/>
        <v>9781118586006</v>
      </c>
      <c r="K7101" t="s">
        <v>1170</v>
      </c>
      <c r="L7101">
        <v>8</v>
      </c>
      <c r="O7101" t="s">
        <v>30</v>
      </c>
      <c r="P7101" t="s">
        <v>29</v>
      </c>
      <c r="Q7101" s="1">
        <v>42276.632962962962</v>
      </c>
      <c r="R7101">
        <v>7</v>
      </c>
      <c r="S7101" t="s">
        <v>31</v>
      </c>
      <c r="T7101" t="s">
        <v>64</v>
      </c>
      <c r="U7101">
        <v>6.4</v>
      </c>
      <c r="V7101" s="3">
        <v>41222</v>
      </c>
    </row>
    <row r="7102" spans="1:22" x14ac:dyDescent="0.35">
      <c r="A7102" s="1">
        <v>42276.696921296294</v>
      </c>
      <c r="B7102" s="2">
        <v>0</v>
      </c>
      <c r="C7102" t="s">
        <v>10601</v>
      </c>
      <c r="D7102" t="s">
        <v>23</v>
      </c>
      <c r="E7102" t="s">
        <v>24</v>
      </c>
      <c r="F7102" t="s">
        <v>61</v>
      </c>
      <c r="G7102">
        <v>699526</v>
      </c>
      <c r="H7102" t="s">
        <v>26</v>
      </c>
      <c r="I7102" t="s">
        <v>62</v>
      </c>
      <c r="J7102" t="str">
        <f t="shared" si="37"/>
        <v>9781118586006</v>
      </c>
      <c r="L7102">
        <v>0</v>
      </c>
      <c r="O7102" t="s">
        <v>28</v>
      </c>
      <c r="P7102" t="s">
        <v>29</v>
      </c>
      <c r="Q7102" s="1">
        <v>42276.632962962962</v>
      </c>
      <c r="R7102">
        <v>7</v>
      </c>
      <c r="S7102" t="s">
        <v>31</v>
      </c>
      <c r="T7102" t="s">
        <v>64</v>
      </c>
      <c r="U7102">
        <v>6.4</v>
      </c>
      <c r="V7102" s="3">
        <v>41222</v>
      </c>
    </row>
    <row r="7103" spans="1:22" x14ac:dyDescent="0.35">
      <c r="A7103" s="1">
        <v>42276.696655092594</v>
      </c>
      <c r="B7103" s="2">
        <v>0</v>
      </c>
      <c r="C7103" t="s">
        <v>10601</v>
      </c>
      <c r="D7103" t="s">
        <v>23</v>
      </c>
      <c r="E7103" t="s">
        <v>24</v>
      </c>
      <c r="F7103" t="s">
        <v>61</v>
      </c>
      <c r="G7103">
        <v>699526</v>
      </c>
      <c r="H7103" t="s">
        <v>26</v>
      </c>
      <c r="I7103" t="s">
        <v>62</v>
      </c>
      <c r="J7103" t="str">
        <f t="shared" si="37"/>
        <v>9781118586006</v>
      </c>
      <c r="L7103">
        <v>0</v>
      </c>
      <c r="O7103" t="s">
        <v>28</v>
      </c>
      <c r="P7103" t="s">
        <v>29</v>
      </c>
      <c r="Q7103" s="1">
        <v>42276.632962962962</v>
      </c>
      <c r="R7103">
        <v>7</v>
      </c>
      <c r="S7103" t="s">
        <v>31</v>
      </c>
      <c r="T7103" t="s">
        <v>64</v>
      </c>
      <c r="U7103">
        <v>6.4</v>
      </c>
      <c r="V7103" s="3">
        <v>41222</v>
      </c>
    </row>
    <row r="7104" spans="1:22" x14ac:dyDescent="0.35">
      <c r="A7104" s="1">
        <v>42276.6953125</v>
      </c>
      <c r="B7104" s="2">
        <v>0</v>
      </c>
      <c r="C7104" t="s">
        <v>10601</v>
      </c>
      <c r="D7104" t="s">
        <v>23</v>
      </c>
      <c r="E7104" t="s">
        <v>24</v>
      </c>
      <c r="F7104" t="s">
        <v>61</v>
      </c>
      <c r="G7104">
        <v>699526</v>
      </c>
      <c r="H7104" t="s">
        <v>26</v>
      </c>
      <c r="I7104" t="s">
        <v>62</v>
      </c>
      <c r="J7104" t="str">
        <f t="shared" si="37"/>
        <v>9781118586006</v>
      </c>
      <c r="L7104">
        <v>0</v>
      </c>
      <c r="O7104" t="s">
        <v>28</v>
      </c>
      <c r="P7104" t="s">
        <v>29</v>
      </c>
      <c r="Q7104" s="1">
        <v>42276.632962962962</v>
      </c>
      <c r="R7104">
        <v>7</v>
      </c>
      <c r="S7104" t="s">
        <v>31</v>
      </c>
      <c r="T7104" t="s">
        <v>64</v>
      </c>
      <c r="U7104">
        <v>6.4</v>
      </c>
      <c r="V7104" s="3">
        <v>41222</v>
      </c>
    </row>
    <row r="7105" spans="1:22" x14ac:dyDescent="0.35">
      <c r="A7105" s="1">
        <v>42276.687951388885</v>
      </c>
      <c r="B7105" s="2">
        <v>4.6296296296296294E-5</v>
      </c>
      <c r="C7105" t="s">
        <v>10601</v>
      </c>
      <c r="D7105" t="s">
        <v>23</v>
      </c>
      <c r="E7105" t="s">
        <v>24</v>
      </c>
      <c r="F7105" t="s">
        <v>61</v>
      </c>
      <c r="G7105">
        <v>699526</v>
      </c>
      <c r="H7105" t="s">
        <v>26</v>
      </c>
      <c r="I7105" t="s">
        <v>62</v>
      </c>
      <c r="J7105" t="str">
        <f t="shared" si="37"/>
        <v>9781118586006</v>
      </c>
      <c r="K7105" t="s">
        <v>33</v>
      </c>
      <c r="L7105">
        <v>3</v>
      </c>
      <c r="O7105" t="s">
        <v>30</v>
      </c>
      <c r="P7105" t="s">
        <v>29</v>
      </c>
      <c r="Q7105" s="1">
        <v>42276.632962962962</v>
      </c>
      <c r="R7105">
        <v>7</v>
      </c>
      <c r="S7105" t="s">
        <v>31</v>
      </c>
      <c r="T7105" t="s">
        <v>64</v>
      </c>
      <c r="U7105">
        <v>6.4</v>
      </c>
      <c r="V7105" s="3">
        <v>41222</v>
      </c>
    </row>
    <row r="7106" spans="1:22" x14ac:dyDescent="0.35">
      <c r="A7106" s="1">
        <v>42276.678252314814</v>
      </c>
      <c r="B7106" s="2">
        <v>0</v>
      </c>
      <c r="C7106" t="s">
        <v>10601</v>
      </c>
      <c r="D7106" t="s">
        <v>23</v>
      </c>
      <c r="E7106" t="s">
        <v>24</v>
      </c>
      <c r="F7106" t="s">
        <v>61</v>
      </c>
      <c r="G7106">
        <v>699526</v>
      </c>
      <c r="H7106" t="s">
        <v>26</v>
      </c>
      <c r="I7106" t="s">
        <v>62</v>
      </c>
      <c r="J7106" t="str">
        <f t="shared" si="37"/>
        <v>9781118586006</v>
      </c>
      <c r="L7106">
        <v>0</v>
      </c>
      <c r="O7106" t="s">
        <v>28</v>
      </c>
      <c r="P7106" t="s">
        <v>29</v>
      </c>
      <c r="Q7106" s="1">
        <v>42276.632962962962</v>
      </c>
      <c r="R7106">
        <v>7</v>
      </c>
      <c r="S7106" t="s">
        <v>31</v>
      </c>
      <c r="T7106" t="s">
        <v>64</v>
      </c>
      <c r="U7106">
        <v>6.4</v>
      </c>
      <c r="V7106" s="3">
        <v>41222</v>
      </c>
    </row>
    <row r="7107" spans="1:22" x14ac:dyDescent="0.35">
      <c r="A7107" s="1">
        <v>42276.677974537037</v>
      </c>
      <c r="B7107" s="2">
        <v>3.4722222222222222E-5</v>
      </c>
      <c r="C7107" t="s">
        <v>10601</v>
      </c>
      <c r="D7107" t="s">
        <v>23</v>
      </c>
      <c r="E7107" t="s">
        <v>24</v>
      </c>
      <c r="F7107" t="s">
        <v>61</v>
      </c>
      <c r="G7107">
        <v>699526</v>
      </c>
      <c r="H7107" t="s">
        <v>26</v>
      </c>
      <c r="I7107" t="s">
        <v>62</v>
      </c>
      <c r="J7107" t="str">
        <f t="shared" si="37"/>
        <v>9781118586006</v>
      </c>
      <c r="K7107" t="s">
        <v>33</v>
      </c>
      <c r="L7107">
        <v>3</v>
      </c>
      <c r="O7107" t="s">
        <v>30</v>
      </c>
      <c r="P7107" t="s">
        <v>29</v>
      </c>
      <c r="Q7107" s="1">
        <v>42276.632962962962</v>
      </c>
      <c r="R7107">
        <v>7</v>
      </c>
      <c r="S7107" t="s">
        <v>31</v>
      </c>
      <c r="T7107" t="s">
        <v>64</v>
      </c>
      <c r="U7107">
        <v>6.4</v>
      </c>
      <c r="V7107" s="3">
        <v>41222</v>
      </c>
    </row>
    <row r="7108" spans="1:22" x14ac:dyDescent="0.35">
      <c r="A7108" s="1">
        <v>42276.67527777778</v>
      </c>
      <c r="B7108" s="2">
        <v>4.7569444444444447E-3</v>
      </c>
      <c r="C7108" t="s">
        <v>10610</v>
      </c>
      <c r="D7108" t="s">
        <v>1482</v>
      </c>
      <c r="E7108" t="s">
        <v>1483</v>
      </c>
      <c r="F7108" t="s">
        <v>10611</v>
      </c>
      <c r="G7108">
        <v>821901</v>
      </c>
      <c r="H7108" t="s">
        <v>26</v>
      </c>
      <c r="I7108" t="s">
        <v>97</v>
      </c>
      <c r="J7108" t="str">
        <f>"9781118244333"</f>
        <v>9781118244333</v>
      </c>
      <c r="K7108" t="s">
        <v>10612</v>
      </c>
      <c r="L7108">
        <v>12</v>
      </c>
      <c r="O7108" t="s">
        <v>30</v>
      </c>
      <c r="P7108" t="s">
        <v>29</v>
      </c>
      <c r="Q7108" s="1">
        <v>42275.913229166668</v>
      </c>
      <c r="R7108">
        <v>7</v>
      </c>
      <c r="S7108" t="s">
        <v>1485</v>
      </c>
      <c r="T7108" t="s">
        <v>10613</v>
      </c>
      <c r="U7108">
        <v>388.1</v>
      </c>
      <c r="V7108" s="3">
        <v>40984</v>
      </c>
    </row>
    <row r="7109" spans="1:22" x14ac:dyDescent="0.35">
      <c r="A7109" s="1">
        <v>42276.671863425923</v>
      </c>
      <c r="B7109" s="2">
        <v>3.4722222222222222E-5</v>
      </c>
      <c r="C7109" t="s">
        <v>10605</v>
      </c>
      <c r="D7109" t="s">
        <v>211</v>
      </c>
      <c r="E7109" t="s">
        <v>212</v>
      </c>
      <c r="F7109" t="s">
        <v>10606</v>
      </c>
      <c r="G7109">
        <v>2146552</v>
      </c>
      <c r="H7109" t="s">
        <v>26</v>
      </c>
      <c r="I7109" t="s">
        <v>10607</v>
      </c>
      <c r="J7109" t="str">
        <f>"9781119042174"</f>
        <v>9781119042174</v>
      </c>
      <c r="K7109" t="s">
        <v>1568</v>
      </c>
      <c r="L7109">
        <v>2</v>
      </c>
      <c r="O7109" t="s">
        <v>30</v>
      </c>
      <c r="P7109" t="s">
        <v>29</v>
      </c>
      <c r="Q7109" s="1">
        <v>42276.671863425923</v>
      </c>
      <c r="R7109">
        <v>7</v>
      </c>
      <c r="S7109" t="s">
        <v>214</v>
      </c>
      <c r="T7109" t="s">
        <v>10608</v>
      </c>
      <c r="U7109">
        <v>4.1020938740000004</v>
      </c>
      <c r="V7109" s="3">
        <v>42226</v>
      </c>
    </row>
    <row r="7110" spans="1:22" x14ac:dyDescent="0.35">
      <c r="A7110" s="1">
        <v>42276.667222222219</v>
      </c>
      <c r="B7110" s="2">
        <v>3.9490740740740743E-2</v>
      </c>
      <c r="C7110" t="s">
        <v>9415</v>
      </c>
      <c r="D7110" t="s">
        <v>23</v>
      </c>
      <c r="E7110" t="s">
        <v>24</v>
      </c>
      <c r="F7110" t="s">
        <v>486</v>
      </c>
      <c r="G7110">
        <v>1119505</v>
      </c>
      <c r="H7110" t="s">
        <v>26</v>
      </c>
      <c r="I7110" t="s">
        <v>450</v>
      </c>
      <c r="J7110" t="str">
        <f>"9781118355015"</f>
        <v>9781118355015</v>
      </c>
      <c r="K7110" t="s">
        <v>718</v>
      </c>
      <c r="L7110">
        <v>5</v>
      </c>
      <c r="O7110" t="s">
        <v>30</v>
      </c>
      <c r="P7110" t="s">
        <v>29</v>
      </c>
      <c r="Q7110" s="1">
        <v>42270.01190972222</v>
      </c>
      <c r="R7110">
        <v>7</v>
      </c>
      <c r="S7110" t="s">
        <v>31</v>
      </c>
      <c r="T7110" t="s">
        <v>487</v>
      </c>
      <c r="U7110" t="s">
        <v>488</v>
      </c>
      <c r="V7110" s="3">
        <v>41302</v>
      </c>
    </row>
    <row r="7111" spans="1:22" x14ac:dyDescent="0.35">
      <c r="A7111" s="1">
        <v>42276.665023148147</v>
      </c>
      <c r="B7111" s="2">
        <v>6.8402777777777776E-3</v>
      </c>
      <c r="C7111" t="s">
        <v>10605</v>
      </c>
      <c r="D7111" t="s">
        <v>211</v>
      </c>
      <c r="E7111" t="s">
        <v>212</v>
      </c>
      <c r="F7111" t="s">
        <v>10606</v>
      </c>
      <c r="G7111">
        <v>2146552</v>
      </c>
      <c r="H7111" t="s">
        <v>26</v>
      </c>
      <c r="I7111" t="s">
        <v>10607</v>
      </c>
      <c r="J7111" t="str">
        <f>"9781119042174"</f>
        <v>9781119042174</v>
      </c>
      <c r="K7111" t="s">
        <v>10614</v>
      </c>
      <c r="L7111">
        <v>23</v>
      </c>
      <c r="O7111" t="s">
        <v>30</v>
      </c>
      <c r="P7111" t="s">
        <v>50</v>
      </c>
      <c r="S7111" t="s">
        <v>214</v>
      </c>
      <c r="T7111" t="s">
        <v>10608</v>
      </c>
      <c r="U7111">
        <v>4.1020938740000004</v>
      </c>
      <c r="V7111" s="3">
        <v>42226</v>
      </c>
    </row>
    <row r="7112" spans="1:22" x14ac:dyDescent="0.35">
      <c r="A7112" s="1">
        <v>42276.664456018516</v>
      </c>
      <c r="B7112" s="2">
        <v>9.2592592592592588E-5</v>
      </c>
      <c r="C7112" t="s">
        <v>10605</v>
      </c>
      <c r="D7112" t="s">
        <v>211</v>
      </c>
      <c r="E7112" t="s">
        <v>212</v>
      </c>
      <c r="F7112" t="s">
        <v>10615</v>
      </c>
      <c r="G7112">
        <v>1631566</v>
      </c>
      <c r="H7112" t="s">
        <v>26</v>
      </c>
      <c r="I7112" t="s">
        <v>276</v>
      </c>
      <c r="J7112" t="str">
        <f>"9783527680412"</f>
        <v>9783527680412</v>
      </c>
      <c r="K7112" t="s">
        <v>209</v>
      </c>
      <c r="L7112">
        <v>4</v>
      </c>
      <c r="O7112" t="s">
        <v>30</v>
      </c>
      <c r="P7112" t="s">
        <v>50</v>
      </c>
      <c r="S7112" t="s">
        <v>214</v>
      </c>
      <c r="T7112" t="s">
        <v>10616</v>
      </c>
      <c r="U7112">
        <v>5.73</v>
      </c>
      <c r="V7112" s="3">
        <v>41676</v>
      </c>
    </row>
    <row r="7113" spans="1:22" x14ac:dyDescent="0.35">
      <c r="A7113" s="1">
        <v>42276.662615740737</v>
      </c>
      <c r="B7113" s="2">
        <v>2.4305555555555552E-4</v>
      </c>
      <c r="C7113" t="s">
        <v>10605</v>
      </c>
      <c r="D7113" t="s">
        <v>211</v>
      </c>
      <c r="E7113" t="s">
        <v>212</v>
      </c>
      <c r="F7113" t="s">
        <v>10617</v>
      </c>
      <c r="G7113">
        <v>1335264</v>
      </c>
      <c r="H7113" t="s">
        <v>26</v>
      </c>
      <c r="I7113" t="s">
        <v>276</v>
      </c>
      <c r="J7113" t="str">
        <f>"9781118657188"</f>
        <v>9781118657188</v>
      </c>
      <c r="K7113" t="s">
        <v>10618</v>
      </c>
      <c r="L7113">
        <v>7</v>
      </c>
      <c r="O7113" t="s">
        <v>30</v>
      </c>
      <c r="P7113" t="s">
        <v>29</v>
      </c>
      <c r="Q7113" s="1">
        <v>42276.661469907405</v>
      </c>
      <c r="R7113">
        <v>7</v>
      </c>
      <c r="S7113" t="s">
        <v>214</v>
      </c>
      <c r="T7113" t="s">
        <v>10619</v>
      </c>
      <c r="U7113">
        <v>5.7560000000000002</v>
      </c>
      <c r="V7113" s="3">
        <v>41488</v>
      </c>
    </row>
    <row r="7114" spans="1:22" x14ac:dyDescent="0.35">
      <c r="A7114" s="1">
        <v>42276.661469907405</v>
      </c>
      <c r="B7114" s="2">
        <v>8.9120370370370362E-4</v>
      </c>
      <c r="C7114" t="s">
        <v>10605</v>
      </c>
      <c r="D7114" t="s">
        <v>211</v>
      </c>
      <c r="E7114" t="s">
        <v>212</v>
      </c>
      <c r="F7114" t="s">
        <v>10617</v>
      </c>
      <c r="G7114">
        <v>1335264</v>
      </c>
      <c r="H7114" t="s">
        <v>26</v>
      </c>
      <c r="I7114" t="s">
        <v>276</v>
      </c>
      <c r="J7114" t="str">
        <f>"9781118657188"</f>
        <v>9781118657188</v>
      </c>
      <c r="K7114" t="s">
        <v>10620</v>
      </c>
      <c r="L7114">
        <v>38</v>
      </c>
      <c r="O7114" t="s">
        <v>30</v>
      </c>
      <c r="P7114" t="s">
        <v>29</v>
      </c>
      <c r="Q7114" s="1">
        <v>42276.661469907405</v>
      </c>
      <c r="R7114">
        <v>7</v>
      </c>
      <c r="S7114" t="s">
        <v>214</v>
      </c>
      <c r="T7114" t="s">
        <v>10619</v>
      </c>
      <c r="U7114">
        <v>5.7560000000000002</v>
      </c>
      <c r="V7114" s="3">
        <v>41488</v>
      </c>
    </row>
    <row r="7115" spans="1:22" x14ac:dyDescent="0.35">
      <c r="A7115" s="1">
        <v>42276.656921296293</v>
      </c>
      <c r="B7115" s="2">
        <v>7.5231481481481471E-4</v>
      </c>
      <c r="C7115" t="s">
        <v>5411</v>
      </c>
      <c r="D7115" t="s">
        <v>23</v>
      </c>
      <c r="E7115" t="s">
        <v>24</v>
      </c>
      <c r="F7115" t="s">
        <v>1051</v>
      </c>
      <c r="G7115">
        <v>821663</v>
      </c>
      <c r="H7115" t="s">
        <v>26</v>
      </c>
      <c r="I7115" t="s">
        <v>200</v>
      </c>
      <c r="J7115" t="str">
        <f>"9781118168479"</f>
        <v>9781118168479</v>
      </c>
      <c r="K7115" t="s">
        <v>10621</v>
      </c>
      <c r="L7115">
        <v>19</v>
      </c>
      <c r="O7115" t="s">
        <v>30</v>
      </c>
      <c r="P7115" t="s">
        <v>29</v>
      </c>
      <c r="Q7115" s="1">
        <v>42276.553819444445</v>
      </c>
      <c r="R7115">
        <v>7</v>
      </c>
      <c r="S7115" t="s">
        <v>31</v>
      </c>
      <c r="T7115" t="s">
        <v>1053</v>
      </c>
      <c r="U7115">
        <v>729</v>
      </c>
      <c r="V7115" s="3">
        <v>40973</v>
      </c>
    </row>
    <row r="7116" spans="1:22" x14ac:dyDescent="0.35">
      <c r="A7116" s="1">
        <v>42276.644988425927</v>
      </c>
      <c r="B7116" s="2">
        <v>1.6481481481481482E-2</v>
      </c>
      <c r="C7116" t="s">
        <v>10605</v>
      </c>
      <c r="D7116" t="s">
        <v>211</v>
      </c>
      <c r="E7116" t="s">
        <v>212</v>
      </c>
      <c r="F7116" t="s">
        <v>10617</v>
      </c>
      <c r="G7116">
        <v>1335264</v>
      </c>
      <c r="H7116" t="s">
        <v>26</v>
      </c>
      <c r="I7116" t="s">
        <v>276</v>
      </c>
      <c r="J7116" t="str">
        <f>"9781118657188"</f>
        <v>9781118657188</v>
      </c>
      <c r="K7116" t="s">
        <v>10622</v>
      </c>
      <c r="L7116">
        <v>27</v>
      </c>
      <c r="O7116" t="s">
        <v>30</v>
      </c>
      <c r="P7116" t="s">
        <v>42</v>
      </c>
      <c r="S7116" t="s">
        <v>214</v>
      </c>
      <c r="T7116" t="s">
        <v>10619</v>
      </c>
      <c r="U7116">
        <v>5.7560000000000002</v>
      </c>
      <c r="V7116" s="3">
        <v>41488</v>
      </c>
    </row>
    <row r="7117" spans="1:22" x14ac:dyDescent="0.35">
      <c r="A7117" s="1">
        <v>42276.642534722225</v>
      </c>
      <c r="B7117" s="2">
        <v>3.4722222222222222E-5</v>
      </c>
      <c r="C7117" t="s">
        <v>210</v>
      </c>
      <c r="D7117" t="s">
        <v>211</v>
      </c>
      <c r="E7117" t="s">
        <v>212</v>
      </c>
      <c r="F7117" t="s">
        <v>10623</v>
      </c>
      <c r="G7117">
        <v>2025588</v>
      </c>
      <c r="H7117" t="s">
        <v>84</v>
      </c>
      <c r="I7117" t="s">
        <v>426</v>
      </c>
      <c r="J7117" t="str">
        <f>"9780520962491"</f>
        <v>9780520962491</v>
      </c>
      <c r="K7117" t="s">
        <v>33</v>
      </c>
      <c r="L7117">
        <v>3</v>
      </c>
      <c r="O7117" t="s">
        <v>30</v>
      </c>
      <c r="P7117" t="s">
        <v>50</v>
      </c>
      <c r="S7117" t="s">
        <v>214</v>
      </c>
      <c r="T7117" t="s">
        <v>10624</v>
      </c>
      <c r="U7117" t="s">
        <v>10625</v>
      </c>
      <c r="V7117" s="3">
        <v>42248</v>
      </c>
    </row>
    <row r="7118" spans="1:22" x14ac:dyDescent="0.35">
      <c r="A7118" s="1">
        <v>42276.642534722225</v>
      </c>
      <c r="B7118" s="2">
        <v>0</v>
      </c>
      <c r="C7118" t="s">
        <v>210</v>
      </c>
      <c r="D7118" t="s">
        <v>211</v>
      </c>
      <c r="E7118" t="s">
        <v>212</v>
      </c>
      <c r="F7118" t="s">
        <v>10623</v>
      </c>
      <c r="G7118">
        <v>2025588</v>
      </c>
      <c r="H7118" t="s">
        <v>84</v>
      </c>
      <c r="I7118" t="s">
        <v>426</v>
      </c>
      <c r="J7118" t="str">
        <f>"9780520962491"</f>
        <v>9780520962491</v>
      </c>
      <c r="L7118">
        <v>0</v>
      </c>
      <c r="O7118" t="s">
        <v>30</v>
      </c>
      <c r="P7118" t="s">
        <v>50</v>
      </c>
      <c r="S7118" t="s">
        <v>214</v>
      </c>
      <c r="T7118" t="s">
        <v>10624</v>
      </c>
      <c r="U7118" t="s">
        <v>10625</v>
      </c>
      <c r="V7118" s="3">
        <v>42248</v>
      </c>
    </row>
    <row r="7119" spans="1:22" x14ac:dyDescent="0.35">
      <c r="A7119" s="1">
        <v>42276.633518518516</v>
      </c>
      <c r="B7119" s="2">
        <v>0</v>
      </c>
      <c r="C7119" t="s">
        <v>10601</v>
      </c>
      <c r="D7119" t="s">
        <v>23</v>
      </c>
      <c r="E7119" t="s">
        <v>24</v>
      </c>
      <c r="F7119" t="s">
        <v>61</v>
      </c>
      <c r="G7119">
        <v>699526</v>
      </c>
      <c r="H7119" t="s">
        <v>26</v>
      </c>
      <c r="I7119" t="s">
        <v>62</v>
      </c>
      <c r="J7119" t="str">
        <f t="shared" ref="J7119:J7130" si="38">"9781118586006"</f>
        <v>9781118586006</v>
      </c>
      <c r="L7119">
        <v>0</v>
      </c>
      <c r="O7119" t="s">
        <v>28</v>
      </c>
      <c r="P7119" t="s">
        <v>29</v>
      </c>
      <c r="Q7119" s="1">
        <v>42276.632962962962</v>
      </c>
      <c r="R7119">
        <v>7</v>
      </c>
      <c r="S7119" t="s">
        <v>31</v>
      </c>
      <c r="T7119" t="s">
        <v>64</v>
      </c>
      <c r="U7119">
        <v>6.4</v>
      </c>
      <c r="V7119" s="3">
        <v>41222</v>
      </c>
    </row>
    <row r="7120" spans="1:22" x14ac:dyDescent="0.35">
      <c r="A7120" s="1">
        <v>42276.633437500001</v>
      </c>
      <c r="B7120" s="2">
        <v>3.4722222222222222E-5</v>
      </c>
      <c r="C7120" t="s">
        <v>10601</v>
      </c>
      <c r="D7120" t="s">
        <v>23</v>
      </c>
      <c r="E7120" t="s">
        <v>24</v>
      </c>
      <c r="F7120" t="s">
        <v>61</v>
      </c>
      <c r="G7120">
        <v>699526</v>
      </c>
      <c r="H7120" t="s">
        <v>26</v>
      </c>
      <c r="I7120" t="s">
        <v>62</v>
      </c>
      <c r="J7120" t="str">
        <f t="shared" si="38"/>
        <v>9781118586006</v>
      </c>
      <c r="K7120" t="s">
        <v>33</v>
      </c>
      <c r="L7120">
        <v>3</v>
      </c>
      <c r="O7120" t="s">
        <v>30</v>
      </c>
      <c r="P7120" t="s">
        <v>29</v>
      </c>
      <c r="Q7120" s="1">
        <v>42276.632962962962</v>
      </c>
      <c r="R7120">
        <v>7</v>
      </c>
      <c r="S7120" t="s">
        <v>31</v>
      </c>
      <c r="T7120" t="s">
        <v>64</v>
      </c>
      <c r="U7120">
        <v>6.4</v>
      </c>
      <c r="V7120" s="3">
        <v>41222</v>
      </c>
    </row>
    <row r="7121" spans="1:22" x14ac:dyDescent="0.35">
      <c r="A7121" s="1">
        <v>42276.632962962962</v>
      </c>
      <c r="B7121" s="2">
        <v>0</v>
      </c>
      <c r="C7121" t="s">
        <v>10601</v>
      </c>
      <c r="D7121" t="s">
        <v>23</v>
      </c>
      <c r="E7121" t="s">
        <v>24</v>
      </c>
      <c r="F7121" t="s">
        <v>61</v>
      </c>
      <c r="G7121">
        <v>699526</v>
      </c>
      <c r="H7121" t="s">
        <v>26</v>
      </c>
      <c r="I7121" t="s">
        <v>62</v>
      </c>
      <c r="J7121" t="str">
        <f t="shared" si="38"/>
        <v>9781118586006</v>
      </c>
      <c r="L7121">
        <v>0</v>
      </c>
      <c r="O7121" t="s">
        <v>28</v>
      </c>
      <c r="P7121" t="s">
        <v>29</v>
      </c>
      <c r="Q7121" s="1">
        <v>42276.632962962962</v>
      </c>
      <c r="R7121">
        <v>7</v>
      </c>
      <c r="S7121" t="s">
        <v>31</v>
      </c>
      <c r="T7121" t="s">
        <v>64</v>
      </c>
      <c r="U7121">
        <v>6.4</v>
      </c>
      <c r="V7121" s="3">
        <v>41222</v>
      </c>
    </row>
    <row r="7122" spans="1:22" x14ac:dyDescent="0.35">
      <c r="A7122" s="1">
        <v>42276.632962962962</v>
      </c>
      <c r="B7122" s="2">
        <v>0</v>
      </c>
      <c r="C7122" t="s">
        <v>10601</v>
      </c>
      <c r="D7122" t="s">
        <v>23</v>
      </c>
      <c r="E7122" t="s">
        <v>24</v>
      </c>
      <c r="F7122" t="s">
        <v>61</v>
      </c>
      <c r="G7122">
        <v>699526</v>
      </c>
      <c r="H7122" t="s">
        <v>26</v>
      </c>
      <c r="I7122" t="s">
        <v>62</v>
      </c>
      <c r="J7122" t="str">
        <f t="shared" si="38"/>
        <v>9781118586006</v>
      </c>
      <c r="L7122">
        <v>0</v>
      </c>
      <c r="O7122" t="s">
        <v>30</v>
      </c>
      <c r="P7122" t="s">
        <v>29</v>
      </c>
      <c r="Q7122" s="1">
        <v>42276.632962962962</v>
      </c>
      <c r="R7122">
        <v>7</v>
      </c>
      <c r="S7122" t="s">
        <v>31</v>
      </c>
      <c r="T7122" t="s">
        <v>64</v>
      </c>
      <c r="U7122">
        <v>6.4</v>
      </c>
      <c r="V7122" s="3">
        <v>41222</v>
      </c>
    </row>
    <row r="7123" spans="1:22" x14ac:dyDescent="0.35">
      <c r="A7123" s="1">
        <v>42276.6328587963</v>
      </c>
      <c r="B7123" s="2">
        <v>1.0416666666666667E-4</v>
      </c>
      <c r="C7123" t="s">
        <v>10601</v>
      </c>
      <c r="D7123" t="s">
        <v>23</v>
      </c>
      <c r="E7123" t="s">
        <v>24</v>
      </c>
      <c r="F7123" t="s">
        <v>61</v>
      </c>
      <c r="G7123">
        <v>699526</v>
      </c>
      <c r="H7123" t="s">
        <v>26</v>
      </c>
      <c r="I7123" t="s">
        <v>62</v>
      </c>
      <c r="J7123" t="str">
        <f t="shared" si="38"/>
        <v>9781118586006</v>
      </c>
      <c r="K7123" t="s">
        <v>33</v>
      </c>
      <c r="L7123">
        <v>3</v>
      </c>
      <c r="O7123" t="s">
        <v>30</v>
      </c>
      <c r="P7123" t="s">
        <v>42</v>
      </c>
      <c r="S7123" t="s">
        <v>31</v>
      </c>
      <c r="T7123" t="s">
        <v>64</v>
      </c>
      <c r="U7123">
        <v>6.4</v>
      </c>
      <c r="V7123" s="3">
        <v>41222</v>
      </c>
    </row>
    <row r="7124" spans="1:22" x14ac:dyDescent="0.35">
      <c r="A7124" s="1">
        <v>42276.626608796294</v>
      </c>
      <c r="B7124" s="2">
        <v>0</v>
      </c>
      <c r="C7124" t="s">
        <v>106</v>
      </c>
      <c r="D7124" t="s">
        <v>23</v>
      </c>
      <c r="E7124" t="s">
        <v>24</v>
      </c>
      <c r="F7124" t="s">
        <v>61</v>
      </c>
      <c r="G7124">
        <v>699526</v>
      </c>
      <c r="H7124" t="s">
        <v>26</v>
      </c>
      <c r="I7124" t="s">
        <v>62</v>
      </c>
      <c r="J7124" t="str">
        <f t="shared" si="38"/>
        <v>9781118586006</v>
      </c>
      <c r="L7124">
        <v>0</v>
      </c>
      <c r="O7124" t="s">
        <v>28</v>
      </c>
      <c r="P7124" t="s">
        <v>29</v>
      </c>
      <c r="Q7124" s="1">
        <v>42276.61954861111</v>
      </c>
      <c r="R7124">
        <v>7</v>
      </c>
      <c r="S7124" t="s">
        <v>31</v>
      </c>
      <c r="T7124" t="s">
        <v>64</v>
      </c>
      <c r="U7124">
        <v>6.4</v>
      </c>
      <c r="V7124" s="3">
        <v>41222</v>
      </c>
    </row>
    <row r="7125" spans="1:22" x14ac:dyDescent="0.35">
      <c r="A7125" s="1">
        <v>42276.626354166663</v>
      </c>
      <c r="B7125" s="2">
        <v>2.4305555555555552E-4</v>
      </c>
      <c r="C7125" t="s">
        <v>106</v>
      </c>
      <c r="D7125" t="s">
        <v>23</v>
      </c>
      <c r="E7125" t="s">
        <v>24</v>
      </c>
      <c r="F7125" t="s">
        <v>61</v>
      </c>
      <c r="G7125">
        <v>699526</v>
      </c>
      <c r="H7125" t="s">
        <v>26</v>
      </c>
      <c r="I7125" t="s">
        <v>62</v>
      </c>
      <c r="J7125" t="str">
        <f t="shared" si="38"/>
        <v>9781118586006</v>
      </c>
      <c r="K7125" t="s">
        <v>10626</v>
      </c>
      <c r="L7125">
        <v>3</v>
      </c>
      <c r="O7125" t="s">
        <v>30</v>
      </c>
      <c r="P7125" t="s">
        <v>29</v>
      </c>
      <c r="Q7125" s="1">
        <v>42276.61954861111</v>
      </c>
      <c r="R7125">
        <v>7</v>
      </c>
      <c r="S7125" t="s">
        <v>31</v>
      </c>
      <c r="T7125" t="s">
        <v>64</v>
      </c>
      <c r="U7125">
        <v>6.4</v>
      </c>
      <c r="V7125" s="3">
        <v>41222</v>
      </c>
    </row>
    <row r="7126" spans="1:22" x14ac:dyDescent="0.35">
      <c r="A7126" s="1">
        <v>42276.625486111108</v>
      </c>
      <c r="B7126" s="2">
        <v>0</v>
      </c>
      <c r="C7126" t="s">
        <v>106</v>
      </c>
      <c r="D7126" t="s">
        <v>23</v>
      </c>
      <c r="E7126" t="s">
        <v>24</v>
      </c>
      <c r="F7126" t="s">
        <v>61</v>
      </c>
      <c r="G7126">
        <v>699526</v>
      </c>
      <c r="H7126" t="s">
        <v>26</v>
      </c>
      <c r="I7126" t="s">
        <v>62</v>
      </c>
      <c r="J7126" t="str">
        <f t="shared" si="38"/>
        <v>9781118586006</v>
      </c>
      <c r="L7126">
        <v>0</v>
      </c>
      <c r="O7126" t="s">
        <v>28</v>
      </c>
      <c r="P7126" t="s">
        <v>29</v>
      </c>
      <c r="Q7126" s="1">
        <v>42276.61954861111</v>
      </c>
      <c r="R7126">
        <v>7</v>
      </c>
      <c r="S7126" t="s">
        <v>31</v>
      </c>
      <c r="T7126" t="s">
        <v>64</v>
      </c>
      <c r="U7126">
        <v>6.4</v>
      </c>
      <c r="V7126" s="3">
        <v>41222</v>
      </c>
    </row>
    <row r="7127" spans="1:22" x14ac:dyDescent="0.35">
      <c r="A7127" s="1">
        <v>42276.625347222223</v>
      </c>
      <c r="B7127" s="2">
        <v>5.7870370370370366E-5</v>
      </c>
      <c r="C7127" t="s">
        <v>106</v>
      </c>
      <c r="D7127" t="s">
        <v>23</v>
      </c>
      <c r="E7127" t="s">
        <v>24</v>
      </c>
      <c r="F7127" t="s">
        <v>61</v>
      </c>
      <c r="G7127">
        <v>699526</v>
      </c>
      <c r="H7127" t="s">
        <v>26</v>
      </c>
      <c r="I7127" t="s">
        <v>62</v>
      </c>
      <c r="J7127" t="str">
        <f t="shared" si="38"/>
        <v>9781118586006</v>
      </c>
      <c r="K7127" t="s">
        <v>10627</v>
      </c>
      <c r="L7127">
        <v>3</v>
      </c>
      <c r="O7127" t="s">
        <v>30</v>
      </c>
      <c r="P7127" t="s">
        <v>29</v>
      </c>
      <c r="Q7127" s="1">
        <v>42276.61954861111</v>
      </c>
      <c r="R7127">
        <v>7</v>
      </c>
      <c r="S7127" t="s">
        <v>31</v>
      </c>
      <c r="T7127" t="s">
        <v>64</v>
      </c>
      <c r="U7127">
        <v>6.4</v>
      </c>
      <c r="V7127" s="3">
        <v>41222</v>
      </c>
    </row>
    <row r="7128" spans="1:22" x14ac:dyDescent="0.35">
      <c r="A7128" s="1">
        <v>42276.61954861111</v>
      </c>
      <c r="B7128" s="2">
        <v>7.5231481481481471E-4</v>
      </c>
      <c r="C7128" t="s">
        <v>106</v>
      </c>
      <c r="D7128" t="s">
        <v>23</v>
      </c>
      <c r="E7128" t="s">
        <v>24</v>
      </c>
      <c r="F7128" t="s">
        <v>61</v>
      </c>
      <c r="G7128">
        <v>699526</v>
      </c>
      <c r="H7128" t="s">
        <v>26</v>
      </c>
      <c r="I7128" t="s">
        <v>62</v>
      </c>
      <c r="J7128" t="str">
        <f t="shared" si="38"/>
        <v>9781118586006</v>
      </c>
      <c r="K7128" t="s">
        <v>10628</v>
      </c>
      <c r="L7128">
        <v>9</v>
      </c>
      <c r="O7128" t="s">
        <v>28</v>
      </c>
      <c r="P7128" t="s">
        <v>29</v>
      </c>
      <c r="Q7128" s="1">
        <v>42276.61954861111</v>
      </c>
      <c r="R7128">
        <v>7</v>
      </c>
      <c r="S7128" t="s">
        <v>31</v>
      </c>
      <c r="T7128" t="s">
        <v>64</v>
      </c>
      <c r="U7128">
        <v>6.4</v>
      </c>
      <c r="V7128" s="3">
        <v>41222</v>
      </c>
    </row>
    <row r="7129" spans="1:22" x14ac:dyDescent="0.35">
      <c r="A7129" s="1">
        <v>42276.61954861111</v>
      </c>
      <c r="B7129" s="2">
        <v>0</v>
      </c>
      <c r="C7129" t="s">
        <v>106</v>
      </c>
      <c r="D7129" t="s">
        <v>23</v>
      </c>
      <c r="E7129" t="s">
        <v>24</v>
      </c>
      <c r="F7129" t="s">
        <v>61</v>
      </c>
      <c r="G7129">
        <v>699526</v>
      </c>
      <c r="H7129" t="s">
        <v>26</v>
      </c>
      <c r="I7129" t="s">
        <v>62</v>
      </c>
      <c r="J7129" t="str">
        <f t="shared" si="38"/>
        <v>9781118586006</v>
      </c>
      <c r="L7129">
        <v>0</v>
      </c>
      <c r="O7129" t="s">
        <v>30</v>
      </c>
      <c r="P7129" t="s">
        <v>29</v>
      </c>
      <c r="Q7129" s="1">
        <v>42276.61954861111</v>
      </c>
      <c r="R7129">
        <v>7</v>
      </c>
      <c r="S7129" t="s">
        <v>31</v>
      </c>
      <c r="T7129" t="s">
        <v>64</v>
      </c>
      <c r="U7129">
        <v>6.4</v>
      </c>
      <c r="V7129" s="3">
        <v>41222</v>
      </c>
    </row>
    <row r="7130" spans="1:22" x14ac:dyDescent="0.35">
      <c r="A7130" s="1">
        <v>42276.619305555556</v>
      </c>
      <c r="B7130" s="2">
        <v>2.4305555555555552E-4</v>
      </c>
      <c r="C7130" t="s">
        <v>106</v>
      </c>
      <c r="D7130" t="s">
        <v>23</v>
      </c>
      <c r="E7130" t="s">
        <v>24</v>
      </c>
      <c r="F7130" t="s">
        <v>61</v>
      </c>
      <c r="G7130">
        <v>699526</v>
      </c>
      <c r="H7130" t="s">
        <v>26</v>
      </c>
      <c r="I7130" t="s">
        <v>62</v>
      </c>
      <c r="J7130" t="str">
        <f t="shared" si="38"/>
        <v>9781118586006</v>
      </c>
      <c r="K7130" t="s">
        <v>10629</v>
      </c>
      <c r="L7130">
        <v>4</v>
      </c>
      <c r="O7130" t="s">
        <v>30</v>
      </c>
      <c r="P7130" t="s">
        <v>42</v>
      </c>
      <c r="S7130" t="s">
        <v>31</v>
      </c>
      <c r="T7130" t="s">
        <v>64</v>
      </c>
      <c r="U7130">
        <v>6.4</v>
      </c>
      <c r="V7130" s="3">
        <v>41222</v>
      </c>
    </row>
    <row r="7131" spans="1:22" x14ac:dyDescent="0.35">
      <c r="A7131" s="1">
        <v>42276.612627314818</v>
      </c>
      <c r="B7131" s="2">
        <v>9.2592592592592588E-5</v>
      </c>
      <c r="C7131" t="s">
        <v>10630</v>
      </c>
      <c r="D7131" t="s">
        <v>23</v>
      </c>
      <c r="E7131" t="s">
        <v>24</v>
      </c>
      <c r="F7131" t="s">
        <v>78</v>
      </c>
      <c r="G7131">
        <v>1635363</v>
      </c>
      <c r="H7131" t="s">
        <v>26</v>
      </c>
      <c r="I7131" t="s">
        <v>79</v>
      </c>
      <c r="J7131" t="str">
        <f>"9781118678206"</f>
        <v>9781118678206</v>
      </c>
      <c r="K7131" t="s">
        <v>10631</v>
      </c>
      <c r="L7131">
        <v>5</v>
      </c>
      <c r="O7131" t="s">
        <v>30</v>
      </c>
      <c r="P7131" t="s">
        <v>29</v>
      </c>
      <c r="Q7131" s="1">
        <v>42276.612627314818</v>
      </c>
      <c r="R7131">
        <v>7</v>
      </c>
      <c r="S7131" t="s">
        <v>31</v>
      </c>
      <c r="T7131" t="s">
        <v>81</v>
      </c>
      <c r="U7131">
        <v>340.07600000000002</v>
      </c>
      <c r="V7131" s="3">
        <v>41684</v>
      </c>
    </row>
    <row r="7132" spans="1:22" x14ac:dyDescent="0.35">
      <c r="A7132" s="1">
        <v>42276.60800925926</v>
      </c>
      <c r="B7132" s="2">
        <v>9.1898148148148139E-3</v>
      </c>
      <c r="C7132" t="s">
        <v>106</v>
      </c>
      <c r="D7132" t="s">
        <v>23</v>
      </c>
      <c r="E7132" t="s">
        <v>24</v>
      </c>
      <c r="F7132" t="s">
        <v>486</v>
      </c>
      <c r="G7132">
        <v>1119505</v>
      </c>
      <c r="H7132" t="s">
        <v>26</v>
      </c>
      <c r="I7132" t="s">
        <v>450</v>
      </c>
      <c r="J7132" t="str">
        <f>"9781118355015"</f>
        <v>9781118355015</v>
      </c>
      <c r="K7132" t="s">
        <v>10632</v>
      </c>
      <c r="L7132">
        <v>10</v>
      </c>
      <c r="O7132" t="s">
        <v>30</v>
      </c>
      <c r="P7132" t="s">
        <v>29</v>
      </c>
      <c r="Q7132" s="1">
        <v>42269.848877314813</v>
      </c>
      <c r="R7132">
        <v>7</v>
      </c>
      <c r="S7132" t="s">
        <v>31</v>
      </c>
      <c r="T7132" t="s">
        <v>487</v>
      </c>
      <c r="U7132" t="s">
        <v>488</v>
      </c>
      <c r="V7132" s="3">
        <v>41302</v>
      </c>
    </row>
    <row r="7133" spans="1:22" x14ac:dyDescent="0.35">
      <c r="A7133" s="1">
        <v>42276.597037037034</v>
      </c>
      <c r="B7133" s="2">
        <v>1.5590277777777778E-2</v>
      </c>
      <c r="C7133" t="s">
        <v>10630</v>
      </c>
      <c r="D7133" t="s">
        <v>23</v>
      </c>
      <c r="E7133" t="s">
        <v>24</v>
      </c>
      <c r="F7133" t="s">
        <v>78</v>
      </c>
      <c r="G7133">
        <v>1635363</v>
      </c>
      <c r="H7133" t="s">
        <v>26</v>
      </c>
      <c r="I7133" t="s">
        <v>79</v>
      </c>
      <c r="J7133" t="str">
        <f>"9781118678206"</f>
        <v>9781118678206</v>
      </c>
      <c r="K7133" t="s">
        <v>10633</v>
      </c>
      <c r="L7133">
        <v>9</v>
      </c>
      <c r="O7133" t="s">
        <v>30</v>
      </c>
      <c r="P7133" t="s">
        <v>42</v>
      </c>
      <c r="S7133" t="s">
        <v>31</v>
      </c>
      <c r="T7133" t="s">
        <v>81</v>
      </c>
      <c r="U7133">
        <v>340.07600000000002</v>
      </c>
      <c r="V7133" s="3">
        <v>41684</v>
      </c>
    </row>
    <row r="7134" spans="1:22" x14ac:dyDescent="0.35">
      <c r="A7134" s="1">
        <v>42276.585625</v>
      </c>
      <c r="B7134" s="2">
        <v>8.2175925925925917E-4</v>
      </c>
      <c r="C7134" t="s">
        <v>10634</v>
      </c>
      <c r="D7134" t="s">
        <v>23</v>
      </c>
      <c r="E7134" t="s">
        <v>24</v>
      </c>
      <c r="F7134" t="s">
        <v>4594</v>
      </c>
      <c r="G7134">
        <v>1872281</v>
      </c>
      <c r="H7134" t="s">
        <v>91</v>
      </c>
      <c r="I7134" t="s">
        <v>2133</v>
      </c>
      <c r="J7134" t="str">
        <f>"9781462519606"</f>
        <v>9781462519606</v>
      </c>
      <c r="K7134" t="s">
        <v>10635</v>
      </c>
      <c r="L7134">
        <v>16</v>
      </c>
      <c r="M7134" t="s">
        <v>10636</v>
      </c>
      <c r="O7134" t="s">
        <v>28</v>
      </c>
      <c r="P7134" t="s">
        <v>29</v>
      </c>
      <c r="Q7134" s="1">
        <v>42270.562476851854</v>
      </c>
      <c r="R7134">
        <v>7</v>
      </c>
      <c r="S7134" t="s">
        <v>31</v>
      </c>
      <c r="T7134" t="s">
        <v>4596</v>
      </c>
      <c r="U7134">
        <v>378.101</v>
      </c>
      <c r="V7134" s="3">
        <v>42150</v>
      </c>
    </row>
    <row r="7135" spans="1:22" x14ac:dyDescent="0.35">
      <c r="A7135" s="1">
        <v>42276.585324074076</v>
      </c>
      <c r="B7135" s="2">
        <v>2.4305555555555552E-4</v>
      </c>
      <c r="C7135" t="s">
        <v>10634</v>
      </c>
      <c r="D7135" t="s">
        <v>23</v>
      </c>
      <c r="E7135" t="s">
        <v>24</v>
      </c>
      <c r="F7135" t="s">
        <v>4594</v>
      </c>
      <c r="G7135">
        <v>1872281</v>
      </c>
      <c r="H7135" t="s">
        <v>91</v>
      </c>
      <c r="I7135" t="s">
        <v>2133</v>
      </c>
      <c r="J7135" t="str">
        <f>"9781462519606"</f>
        <v>9781462519606</v>
      </c>
      <c r="K7135" t="s">
        <v>10637</v>
      </c>
      <c r="L7135">
        <v>8</v>
      </c>
      <c r="O7135" t="s">
        <v>30</v>
      </c>
      <c r="P7135" t="s">
        <v>29</v>
      </c>
      <c r="Q7135" s="1">
        <v>42270.562476851854</v>
      </c>
      <c r="R7135">
        <v>7</v>
      </c>
      <c r="S7135" t="s">
        <v>31</v>
      </c>
      <c r="T7135" t="s">
        <v>4596</v>
      </c>
      <c r="U7135">
        <v>378.101</v>
      </c>
      <c r="V7135" s="3">
        <v>42150</v>
      </c>
    </row>
    <row r="7136" spans="1:22" x14ac:dyDescent="0.35">
      <c r="A7136" s="1">
        <v>42276.582986111112</v>
      </c>
      <c r="B7136" s="2">
        <v>1.2731481481481483E-3</v>
      </c>
      <c r="C7136" t="s">
        <v>5411</v>
      </c>
      <c r="D7136" t="s">
        <v>23</v>
      </c>
      <c r="E7136" t="s">
        <v>24</v>
      </c>
      <c r="F7136" t="s">
        <v>1051</v>
      </c>
      <c r="G7136">
        <v>821663</v>
      </c>
      <c r="H7136" t="s">
        <v>26</v>
      </c>
      <c r="I7136" t="s">
        <v>200</v>
      </c>
      <c r="J7136" t="str">
        <f>"9781118168479"</f>
        <v>9781118168479</v>
      </c>
      <c r="K7136" t="s">
        <v>10638</v>
      </c>
      <c r="L7136">
        <v>10</v>
      </c>
      <c r="O7136" t="s">
        <v>30</v>
      </c>
      <c r="P7136" t="s">
        <v>29</v>
      </c>
      <c r="Q7136" s="1">
        <v>42276.553819444445</v>
      </c>
      <c r="R7136">
        <v>7</v>
      </c>
      <c r="S7136" t="s">
        <v>31</v>
      </c>
      <c r="T7136" t="s">
        <v>1053</v>
      </c>
      <c r="U7136">
        <v>729</v>
      </c>
      <c r="V7136" s="3">
        <v>40973</v>
      </c>
    </row>
    <row r="7137" spans="1:22" x14ac:dyDescent="0.35">
      <c r="A7137" s="1">
        <v>42276.577476851853</v>
      </c>
      <c r="B7137" s="2">
        <v>6.9444444444444444E-5</v>
      </c>
      <c r="C7137" t="s">
        <v>106</v>
      </c>
      <c r="D7137" t="s">
        <v>23</v>
      </c>
      <c r="E7137" t="s">
        <v>24</v>
      </c>
      <c r="F7137" t="s">
        <v>5036</v>
      </c>
      <c r="G7137">
        <v>1318206</v>
      </c>
      <c r="H7137" t="s">
        <v>26</v>
      </c>
      <c r="I7137" t="s">
        <v>5037</v>
      </c>
      <c r="J7137" t="str">
        <f>"9781118363560"</f>
        <v>9781118363560</v>
      </c>
      <c r="K7137" t="s">
        <v>63</v>
      </c>
      <c r="L7137">
        <v>1</v>
      </c>
      <c r="O7137" t="s">
        <v>28</v>
      </c>
      <c r="P7137" t="s">
        <v>29</v>
      </c>
      <c r="Q7137" s="1">
        <v>42276.577476851853</v>
      </c>
      <c r="R7137">
        <v>7</v>
      </c>
      <c r="S7137" t="s">
        <v>31</v>
      </c>
      <c r="T7137" t="s">
        <v>5038</v>
      </c>
      <c r="U7137" t="s">
        <v>5039</v>
      </c>
      <c r="V7137" s="3">
        <v>41470</v>
      </c>
    </row>
    <row r="7138" spans="1:22" x14ac:dyDescent="0.35">
      <c r="A7138" s="1">
        <v>42276.577476851853</v>
      </c>
      <c r="B7138" s="2">
        <v>0</v>
      </c>
      <c r="C7138" t="s">
        <v>106</v>
      </c>
      <c r="D7138" t="s">
        <v>23</v>
      </c>
      <c r="E7138" t="s">
        <v>24</v>
      </c>
      <c r="F7138" t="s">
        <v>5036</v>
      </c>
      <c r="G7138">
        <v>1318206</v>
      </c>
      <c r="H7138" t="s">
        <v>26</v>
      </c>
      <c r="I7138" t="s">
        <v>5037</v>
      </c>
      <c r="J7138" t="str">
        <f>"9781118363560"</f>
        <v>9781118363560</v>
      </c>
      <c r="L7138">
        <v>0</v>
      </c>
      <c r="O7138" t="s">
        <v>30</v>
      </c>
      <c r="P7138" t="s">
        <v>29</v>
      </c>
      <c r="Q7138" s="1">
        <v>42276.577476851853</v>
      </c>
      <c r="R7138">
        <v>7</v>
      </c>
      <c r="S7138" t="s">
        <v>31</v>
      </c>
      <c r="T7138" t="s">
        <v>5038</v>
      </c>
      <c r="U7138" t="s">
        <v>5039</v>
      </c>
      <c r="V7138" s="3">
        <v>41470</v>
      </c>
    </row>
    <row r="7139" spans="1:22" x14ac:dyDescent="0.35">
      <c r="A7139" s="1">
        <v>42276.577291666668</v>
      </c>
      <c r="B7139" s="2">
        <v>1.7361111111111112E-4</v>
      </c>
      <c r="C7139" t="s">
        <v>106</v>
      </c>
      <c r="D7139" t="s">
        <v>23</v>
      </c>
      <c r="E7139" t="s">
        <v>24</v>
      </c>
      <c r="F7139" t="s">
        <v>5036</v>
      </c>
      <c r="G7139">
        <v>1318206</v>
      </c>
      <c r="H7139" t="s">
        <v>26</v>
      </c>
      <c r="I7139" t="s">
        <v>5037</v>
      </c>
      <c r="J7139" t="str">
        <f>"9781118363560"</f>
        <v>9781118363560</v>
      </c>
      <c r="K7139" t="s">
        <v>10639</v>
      </c>
      <c r="L7139">
        <v>4</v>
      </c>
      <c r="O7139" t="s">
        <v>30</v>
      </c>
      <c r="P7139" t="s">
        <v>42</v>
      </c>
      <c r="S7139" t="s">
        <v>31</v>
      </c>
      <c r="T7139" t="s">
        <v>5038</v>
      </c>
      <c r="U7139" t="s">
        <v>5039</v>
      </c>
      <c r="V7139" s="3">
        <v>41470</v>
      </c>
    </row>
    <row r="7140" spans="1:22" x14ac:dyDescent="0.35">
      <c r="A7140" s="1">
        <v>42276.568773148145</v>
      </c>
      <c r="B7140" s="2">
        <v>5.0856481481481482E-2</v>
      </c>
      <c r="C7140" t="s">
        <v>6724</v>
      </c>
      <c r="D7140" t="s">
        <v>23</v>
      </c>
      <c r="E7140" t="s">
        <v>24</v>
      </c>
      <c r="F7140" t="s">
        <v>486</v>
      </c>
      <c r="G7140">
        <v>1119505</v>
      </c>
      <c r="H7140" t="s">
        <v>26</v>
      </c>
      <c r="I7140" t="s">
        <v>450</v>
      </c>
      <c r="J7140" t="str">
        <f>"9781118355015"</f>
        <v>9781118355015</v>
      </c>
      <c r="K7140" t="s">
        <v>10640</v>
      </c>
      <c r="L7140">
        <v>11</v>
      </c>
      <c r="O7140" t="s">
        <v>30</v>
      </c>
      <c r="P7140" t="s">
        <v>29</v>
      </c>
      <c r="Q7140" s="1">
        <v>42271.593842592592</v>
      </c>
      <c r="R7140">
        <v>7</v>
      </c>
      <c r="S7140" t="s">
        <v>31</v>
      </c>
      <c r="T7140" t="s">
        <v>487</v>
      </c>
      <c r="U7140" t="s">
        <v>488</v>
      </c>
      <c r="V7140" s="3">
        <v>41302</v>
      </c>
    </row>
    <row r="7141" spans="1:22" x14ac:dyDescent="0.35">
      <c r="A7141" s="1">
        <v>42276.566087962965</v>
      </c>
      <c r="B7141" s="2">
        <v>1.2685185185185183E-2</v>
      </c>
      <c r="C7141" t="s">
        <v>6518</v>
      </c>
      <c r="D7141" t="s">
        <v>23</v>
      </c>
      <c r="E7141" t="s">
        <v>24</v>
      </c>
      <c r="F7141" t="s">
        <v>486</v>
      </c>
      <c r="G7141">
        <v>1119505</v>
      </c>
      <c r="H7141" t="s">
        <v>26</v>
      </c>
      <c r="I7141" t="s">
        <v>450</v>
      </c>
      <c r="J7141" t="str">
        <f>"9781118355015"</f>
        <v>9781118355015</v>
      </c>
      <c r="K7141" t="s">
        <v>10641</v>
      </c>
      <c r="L7141">
        <v>19</v>
      </c>
      <c r="O7141" t="s">
        <v>30</v>
      </c>
      <c r="P7141" t="s">
        <v>29</v>
      </c>
      <c r="Q7141" s="1">
        <v>42275.807719907411</v>
      </c>
      <c r="R7141">
        <v>7</v>
      </c>
      <c r="S7141" t="s">
        <v>31</v>
      </c>
      <c r="T7141" t="s">
        <v>487</v>
      </c>
      <c r="U7141" t="s">
        <v>488</v>
      </c>
      <c r="V7141" s="3">
        <v>41302</v>
      </c>
    </row>
    <row r="7142" spans="1:22" x14ac:dyDescent="0.35">
      <c r="A7142" s="1">
        <v>42276.566064814811</v>
      </c>
      <c r="B7142" s="2">
        <v>5.1562500000000004E-2</v>
      </c>
      <c r="C7142" t="s">
        <v>6724</v>
      </c>
      <c r="D7142" t="s">
        <v>23</v>
      </c>
      <c r="E7142" t="s">
        <v>24</v>
      </c>
      <c r="F7142" t="s">
        <v>486</v>
      </c>
      <c r="G7142">
        <v>1119505</v>
      </c>
      <c r="H7142" t="s">
        <v>26</v>
      </c>
      <c r="I7142" t="s">
        <v>450</v>
      </c>
      <c r="J7142" t="str">
        <f>"9781118355015"</f>
        <v>9781118355015</v>
      </c>
      <c r="K7142" t="s">
        <v>10642</v>
      </c>
      <c r="L7142">
        <v>31</v>
      </c>
      <c r="O7142" t="s">
        <v>30</v>
      </c>
      <c r="P7142" t="s">
        <v>29</v>
      </c>
      <c r="Q7142" s="1">
        <v>42271.593842592592</v>
      </c>
      <c r="R7142">
        <v>7</v>
      </c>
      <c r="S7142" t="s">
        <v>31</v>
      </c>
      <c r="T7142" t="s">
        <v>487</v>
      </c>
      <c r="U7142" t="s">
        <v>488</v>
      </c>
      <c r="V7142" s="3">
        <v>41302</v>
      </c>
    </row>
    <row r="7143" spans="1:22" x14ac:dyDescent="0.35">
      <c r="A7143" s="1">
        <v>42276.553819444445</v>
      </c>
      <c r="B7143" s="2">
        <v>1.4664351851851852E-2</v>
      </c>
      <c r="C7143" t="s">
        <v>5411</v>
      </c>
      <c r="D7143" t="s">
        <v>23</v>
      </c>
      <c r="E7143" t="s">
        <v>24</v>
      </c>
      <c r="F7143" t="s">
        <v>1051</v>
      </c>
      <c r="G7143">
        <v>821663</v>
      </c>
      <c r="H7143" t="s">
        <v>26</v>
      </c>
      <c r="I7143" t="s">
        <v>200</v>
      </c>
      <c r="J7143" t="str">
        <f>"9781118168479"</f>
        <v>9781118168479</v>
      </c>
      <c r="K7143" t="s">
        <v>10643</v>
      </c>
      <c r="L7143">
        <v>20</v>
      </c>
      <c r="O7143" t="s">
        <v>30</v>
      </c>
      <c r="P7143" t="s">
        <v>29</v>
      </c>
      <c r="Q7143" s="1">
        <v>42276.553819444445</v>
      </c>
      <c r="R7143">
        <v>7</v>
      </c>
      <c r="S7143" t="s">
        <v>31</v>
      </c>
      <c r="T7143" t="s">
        <v>1053</v>
      </c>
      <c r="U7143">
        <v>729</v>
      </c>
      <c r="V7143" s="3">
        <v>40973</v>
      </c>
    </row>
    <row r="7144" spans="1:22" x14ac:dyDescent="0.35">
      <c r="A7144" s="1">
        <v>42276.545925925922</v>
      </c>
      <c r="B7144" s="2">
        <v>7.8935185185185185E-3</v>
      </c>
      <c r="C7144" t="s">
        <v>5411</v>
      </c>
      <c r="D7144" t="s">
        <v>23</v>
      </c>
      <c r="E7144" t="s">
        <v>24</v>
      </c>
      <c r="F7144" t="s">
        <v>1051</v>
      </c>
      <c r="G7144">
        <v>821663</v>
      </c>
      <c r="H7144" t="s">
        <v>26</v>
      </c>
      <c r="I7144" t="s">
        <v>200</v>
      </c>
      <c r="J7144" t="str">
        <f>"9781118168479"</f>
        <v>9781118168479</v>
      </c>
      <c r="K7144" t="s">
        <v>10644</v>
      </c>
      <c r="L7144">
        <v>11</v>
      </c>
      <c r="O7144" t="s">
        <v>30</v>
      </c>
      <c r="P7144" t="s">
        <v>42</v>
      </c>
      <c r="S7144" t="s">
        <v>31</v>
      </c>
      <c r="T7144" t="s">
        <v>1053</v>
      </c>
      <c r="U7144">
        <v>729</v>
      </c>
      <c r="V7144" s="3">
        <v>40973</v>
      </c>
    </row>
    <row r="7145" spans="1:22" x14ac:dyDescent="0.35">
      <c r="A7145" s="1">
        <v>42276.466284722221</v>
      </c>
      <c r="B7145" s="2">
        <v>1.1574074074074073E-4</v>
      </c>
      <c r="C7145" t="s">
        <v>659</v>
      </c>
      <c r="D7145" t="s">
        <v>146</v>
      </c>
      <c r="E7145" t="s">
        <v>147</v>
      </c>
      <c r="F7145" t="s">
        <v>3106</v>
      </c>
      <c r="G7145">
        <v>843407</v>
      </c>
      <c r="H7145" t="s">
        <v>26</v>
      </c>
      <c r="I7145" t="s">
        <v>310</v>
      </c>
      <c r="J7145" t="str">
        <f>"9781118256589"</f>
        <v>9781118256589</v>
      </c>
      <c r="K7145" t="s">
        <v>209</v>
      </c>
      <c r="L7145">
        <v>4</v>
      </c>
      <c r="O7145" t="s">
        <v>30</v>
      </c>
      <c r="P7145" t="s">
        <v>42</v>
      </c>
      <c r="S7145" t="s">
        <v>528</v>
      </c>
      <c r="T7145" t="s">
        <v>3108</v>
      </c>
      <c r="U7145" t="s">
        <v>3109</v>
      </c>
      <c r="V7145" s="3">
        <v>40921</v>
      </c>
    </row>
    <row r="7146" spans="1:22" x14ac:dyDescent="0.35">
      <c r="A7146" s="1">
        <v>42276.312002314815</v>
      </c>
      <c r="B7146" s="2">
        <v>8.449074074074075E-4</v>
      </c>
      <c r="C7146" t="s">
        <v>5411</v>
      </c>
      <c r="D7146" t="s">
        <v>23</v>
      </c>
      <c r="E7146" t="s">
        <v>24</v>
      </c>
      <c r="F7146" t="s">
        <v>1051</v>
      </c>
      <c r="G7146">
        <v>821663</v>
      </c>
      <c r="H7146" t="s">
        <v>26</v>
      </c>
      <c r="I7146" t="s">
        <v>200</v>
      </c>
      <c r="J7146" t="str">
        <f>"9781118168479"</f>
        <v>9781118168479</v>
      </c>
      <c r="K7146" t="s">
        <v>10645</v>
      </c>
      <c r="L7146">
        <v>22</v>
      </c>
      <c r="O7146" t="s">
        <v>30</v>
      </c>
      <c r="P7146" t="s">
        <v>29</v>
      </c>
      <c r="Q7146" s="1">
        <v>42269.454918981479</v>
      </c>
      <c r="R7146">
        <v>7</v>
      </c>
      <c r="S7146" t="s">
        <v>31</v>
      </c>
      <c r="T7146" t="s">
        <v>1053</v>
      </c>
      <c r="U7146">
        <v>729</v>
      </c>
      <c r="V7146" s="3">
        <v>40973</v>
      </c>
    </row>
    <row r="7147" spans="1:22" x14ac:dyDescent="0.35">
      <c r="A7147" s="1">
        <v>42276.241087962961</v>
      </c>
      <c r="B7147" s="2">
        <v>7.9861111111111105E-4</v>
      </c>
      <c r="C7147" t="s">
        <v>5033</v>
      </c>
      <c r="D7147" t="s">
        <v>23</v>
      </c>
      <c r="E7147" t="s">
        <v>24</v>
      </c>
      <c r="F7147" t="s">
        <v>4594</v>
      </c>
      <c r="G7147">
        <v>1872281</v>
      </c>
      <c r="H7147" t="s">
        <v>91</v>
      </c>
      <c r="I7147" t="s">
        <v>2133</v>
      </c>
      <c r="J7147" t="str">
        <f>"9781462519606"</f>
        <v>9781462519606</v>
      </c>
      <c r="K7147" t="s">
        <v>10646</v>
      </c>
      <c r="L7147">
        <v>11</v>
      </c>
      <c r="O7147" t="s">
        <v>30</v>
      </c>
      <c r="P7147" t="s">
        <v>42</v>
      </c>
      <c r="S7147" t="s">
        <v>31</v>
      </c>
      <c r="T7147" t="s">
        <v>4596</v>
      </c>
      <c r="U7147">
        <v>378.101</v>
      </c>
      <c r="V7147" s="3">
        <v>42150</v>
      </c>
    </row>
    <row r="7148" spans="1:22" x14ac:dyDescent="0.35">
      <c r="A7148" s="1">
        <v>42276.19321759259</v>
      </c>
      <c r="B7148" s="2">
        <v>8.564814814814815E-4</v>
      </c>
      <c r="C7148" t="s">
        <v>10647</v>
      </c>
      <c r="D7148" t="s">
        <v>23</v>
      </c>
      <c r="E7148" t="s">
        <v>24</v>
      </c>
      <c r="F7148" t="s">
        <v>4223</v>
      </c>
      <c r="G7148">
        <v>980956</v>
      </c>
      <c r="H7148" t="s">
        <v>26</v>
      </c>
      <c r="I7148" t="s">
        <v>4224</v>
      </c>
      <c r="J7148" t="str">
        <f>"9781118227251"</f>
        <v>9781118227251</v>
      </c>
      <c r="K7148" t="s">
        <v>827</v>
      </c>
      <c r="L7148">
        <v>6</v>
      </c>
      <c r="O7148" t="s">
        <v>30</v>
      </c>
      <c r="P7148" t="s">
        <v>42</v>
      </c>
      <c r="S7148" t="s">
        <v>31</v>
      </c>
      <c r="T7148" t="s">
        <v>4226</v>
      </c>
      <c r="U7148" t="s">
        <v>4227</v>
      </c>
      <c r="V7148" s="3">
        <v>41113</v>
      </c>
    </row>
    <row r="7149" spans="1:22" x14ac:dyDescent="0.35">
      <c r="A7149" s="1">
        <v>42276.146655092591</v>
      </c>
      <c r="B7149" s="2">
        <v>6.7083333333333328E-2</v>
      </c>
      <c r="C7149" t="s">
        <v>106</v>
      </c>
      <c r="D7149" t="s">
        <v>23</v>
      </c>
      <c r="E7149" t="s">
        <v>24</v>
      </c>
      <c r="F7149" t="s">
        <v>486</v>
      </c>
      <c r="G7149">
        <v>1119505</v>
      </c>
      <c r="H7149" t="s">
        <v>26</v>
      </c>
      <c r="I7149" t="s">
        <v>450</v>
      </c>
      <c r="J7149" t="str">
        <f>"9781118355015"</f>
        <v>9781118355015</v>
      </c>
      <c r="K7149" t="s">
        <v>10648</v>
      </c>
      <c r="L7149">
        <v>27</v>
      </c>
      <c r="O7149" t="s">
        <v>30</v>
      </c>
      <c r="P7149" t="s">
        <v>29</v>
      </c>
      <c r="Q7149" s="1">
        <v>42269.848877314813</v>
      </c>
      <c r="R7149">
        <v>7</v>
      </c>
      <c r="S7149" t="s">
        <v>31</v>
      </c>
      <c r="T7149" t="s">
        <v>487</v>
      </c>
      <c r="U7149" t="s">
        <v>488</v>
      </c>
      <c r="V7149" s="3">
        <v>41302</v>
      </c>
    </row>
    <row r="7150" spans="1:22" x14ac:dyDescent="0.35">
      <c r="A7150" s="1">
        <v>42276.143958333334</v>
      </c>
      <c r="B7150" s="2">
        <v>8.2175925925925917E-4</v>
      </c>
      <c r="C7150" t="s">
        <v>10649</v>
      </c>
      <c r="D7150" t="s">
        <v>623</v>
      </c>
      <c r="E7150" t="s">
        <v>624</v>
      </c>
      <c r="F7150" t="s">
        <v>10650</v>
      </c>
      <c r="G7150">
        <v>1487070</v>
      </c>
      <c r="H7150" t="s">
        <v>68</v>
      </c>
      <c r="I7150" t="s">
        <v>150</v>
      </c>
      <c r="J7150" t="str">
        <f>"9781136155628"</f>
        <v>9781136155628</v>
      </c>
      <c r="K7150" t="s">
        <v>10651</v>
      </c>
      <c r="L7150">
        <v>48</v>
      </c>
      <c r="O7150" t="s">
        <v>30</v>
      </c>
      <c r="P7150" t="s">
        <v>50</v>
      </c>
      <c r="S7150" t="s">
        <v>627</v>
      </c>
      <c r="T7150" t="s">
        <v>10652</v>
      </c>
      <c r="U7150">
        <v>704.94240000000002</v>
      </c>
      <c r="V7150" s="3">
        <v>41565</v>
      </c>
    </row>
    <row r="7151" spans="1:22" x14ac:dyDescent="0.35">
      <c r="A7151" s="1">
        <v>42276.078506944446</v>
      </c>
      <c r="B7151" s="2">
        <v>3.9351851851851852E-4</v>
      </c>
      <c r="C7151" t="s">
        <v>4205</v>
      </c>
      <c r="D7151" t="s">
        <v>597</v>
      </c>
      <c r="E7151" t="s">
        <v>598</v>
      </c>
      <c r="F7151" t="s">
        <v>111</v>
      </c>
      <c r="G7151">
        <v>693176</v>
      </c>
      <c r="H7151" t="s">
        <v>26</v>
      </c>
      <c r="I7151" t="s">
        <v>112</v>
      </c>
      <c r="J7151" t="str">
        <f>"9781118017746"</f>
        <v>9781118017746</v>
      </c>
      <c r="K7151" t="s">
        <v>10653</v>
      </c>
      <c r="L7151">
        <v>12</v>
      </c>
      <c r="O7151" t="s">
        <v>30</v>
      </c>
      <c r="P7151" t="s">
        <v>29</v>
      </c>
      <c r="Q7151" s="1">
        <v>42274.841192129628</v>
      </c>
      <c r="R7151">
        <v>7</v>
      </c>
      <c r="S7151" t="s">
        <v>600</v>
      </c>
      <c r="T7151" t="s">
        <v>114</v>
      </c>
      <c r="U7151" t="s">
        <v>115</v>
      </c>
      <c r="V7151" s="3">
        <v>40835</v>
      </c>
    </row>
    <row r="7152" spans="1:22" x14ac:dyDescent="0.35">
      <c r="A7152" s="1">
        <v>42276.06454861111</v>
      </c>
      <c r="B7152" s="2">
        <v>9.2592592592592588E-5</v>
      </c>
      <c r="C7152" t="s">
        <v>7960</v>
      </c>
      <c r="D7152" t="s">
        <v>35</v>
      </c>
      <c r="E7152" t="s">
        <v>36</v>
      </c>
      <c r="F7152" t="s">
        <v>986</v>
      </c>
      <c r="G7152">
        <v>968030</v>
      </c>
      <c r="H7152" t="s">
        <v>26</v>
      </c>
      <c r="I7152" t="s">
        <v>219</v>
      </c>
      <c r="J7152" t="str">
        <f>"9781118285138"</f>
        <v>9781118285138</v>
      </c>
      <c r="K7152" t="s">
        <v>10654</v>
      </c>
      <c r="L7152">
        <v>9</v>
      </c>
      <c r="O7152" t="s">
        <v>30</v>
      </c>
      <c r="P7152" t="s">
        <v>29</v>
      </c>
      <c r="Q7152" s="1">
        <v>42276.06454861111</v>
      </c>
      <c r="R7152">
        <v>7</v>
      </c>
      <c r="S7152" t="s">
        <v>40</v>
      </c>
      <c r="T7152" t="s">
        <v>987</v>
      </c>
      <c r="U7152">
        <v>158.30000000000001</v>
      </c>
      <c r="V7152" s="3">
        <v>41100</v>
      </c>
    </row>
    <row r="7153" spans="1:22" x14ac:dyDescent="0.35">
      <c r="A7153" s="1">
        <v>42276.057141203702</v>
      </c>
      <c r="B7153" s="2">
        <v>7.4074074074074068E-3</v>
      </c>
      <c r="C7153" t="s">
        <v>7960</v>
      </c>
      <c r="D7153" t="s">
        <v>35</v>
      </c>
      <c r="E7153" t="s">
        <v>36</v>
      </c>
      <c r="F7153" t="s">
        <v>986</v>
      </c>
      <c r="G7153">
        <v>968030</v>
      </c>
      <c r="H7153" t="s">
        <v>26</v>
      </c>
      <c r="I7153" t="s">
        <v>219</v>
      </c>
      <c r="J7153" t="str">
        <f>"9781118285138"</f>
        <v>9781118285138</v>
      </c>
      <c r="K7153" t="s">
        <v>33</v>
      </c>
      <c r="L7153">
        <v>3</v>
      </c>
      <c r="O7153" t="s">
        <v>30</v>
      </c>
      <c r="P7153" t="s">
        <v>42</v>
      </c>
      <c r="S7153" t="s">
        <v>40</v>
      </c>
      <c r="T7153" t="s">
        <v>987</v>
      </c>
      <c r="U7153">
        <v>158.30000000000001</v>
      </c>
      <c r="V7153" s="3">
        <v>41100</v>
      </c>
    </row>
    <row r="7154" spans="1:22" x14ac:dyDescent="0.35">
      <c r="A7154" s="1">
        <v>42276.04146990741</v>
      </c>
      <c r="B7154" s="2">
        <v>1.3287037037037036E-2</v>
      </c>
      <c r="C7154" t="s">
        <v>9876</v>
      </c>
      <c r="D7154" t="s">
        <v>6396</v>
      </c>
      <c r="E7154" t="s">
        <v>6397</v>
      </c>
      <c r="F7154" t="s">
        <v>10655</v>
      </c>
      <c r="G7154">
        <v>1182798</v>
      </c>
      <c r="H7154" t="s">
        <v>139</v>
      </c>
      <c r="I7154" t="s">
        <v>998</v>
      </c>
      <c r="J7154" t="str">
        <f>"9780814770849"</f>
        <v>9780814770849</v>
      </c>
      <c r="K7154" t="s">
        <v>10656</v>
      </c>
      <c r="L7154">
        <v>26</v>
      </c>
      <c r="O7154" t="s">
        <v>30</v>
      </c>
      <c r="P7154" t="s">
        <v>47</v>
      </c>
      <c r="Q7154" s="1">
        <v>42276.04146990741</v>
      </c>
      <c r="R7154">
        <v>1</v>
      </c>
      <c r="S7154" t="s">
        <v>6400</v>
      </c>
      <c r="T7154" t="s">
        <v>10657</v>
      </c>
      <c r="U7154" t="s">
        <v>10658</v>
      </c>
      <c r="V7154" s="3">
        <v>41400</v>
      </c>
    </row>
    <row r="7155" spans="1:22" x14ac:dyDescent="0.35">
      <c r="A7155" s="1">
        <v>42276.036134259259</v>
      </c>
      <c r="B7155" s="2">
        <v>5.3356481481481484E-3</v>
      </c>
      <c r="C7155" t="s">
        <v>9876</v>
      </c>
      <c r="D7155" t="s">
        <v>6396</v>
      </c>
      <c r="E7155" t="s">
        <v>6397</v>
      </c>
      <c r="F7155" t="s">
        <v>10655</v>
      </c>
      <c r="G7155">
        <v>1182798</v>
      </c>
      <c r="H7155" t="s">
        <v>139</v>
      </c>
      <c r="I7155" t="s">
        <v>998</v>
      </c>
      <c r="J7155" t="str">
        <f>"9780814770849"</f>
        <v>9780814770849</v>
      </c>
      <c r="K7155" t="s">
        <v>1203</v>
      </c>
      <c r="L7155">
        <v>17</v>
      </c>
      <c r="O7155" t="s">
        <v>30</v>
      </c>
      <c r="P7155" t="s">
        <v>50</v>
      </c>
      <c r="S7155" t="s">
        <v>6400</v>
      </c>
      <c r="T7155" t="s">
        <v>10657</v>
      </c>
      <c r="U7155" t="s">
        <v>10658</v>
      </c>
      <c r="V7155" s="3">
        <v>41400</v>
      </c>
    </row>
    <row r="7156" spans="1:22" x14ac:dyDescent="0.35">
      <c r="A7156" s="1">
        <v>42276.02071759259</v>
      </c>
      <c r="B7156" s="2">
        <v>4.2824074074074075E-4</v>
      </c>
      <c r="C7156" t="s">
        <v>106</v>
      </c>
      <c r="D7156" t="s">
        <v>23</v>
      </c>
      <c r="E7156" t="s">
        <v>24</v>
      </c>
      <c r="F7156" t="s">
        <v>486</v>
      </c>
      <c r="G7156">
        <v>1119505</v>
      </c>
      <c r="H7156" t="s">
        <v>26</v>
      </c>
      <c r="I7156" t="s">
        <v>450</v>
      </c>
      <c r="J7156" t="str">
        <f>"9781118355015"</f>
        <v>9781118355015</v>
      </c>
      <c r="K7156" t="s">
        <v>10659</v>
      </c>
      <c r="L7156">
        <v>8</v>
      </c>
      <c r="O7156" t="s">
        <v>30</v>
      </c>
      <c r="P7156" t="s">
        <v>29</v>
      </c>
      <c r="Q7156" s="1">
        <v>42269.848877314813</v>
      </c>
      <c r="R7156">
        <v>7</v>
      </c>
      <c r="S7156" t="s">
        <v>31</v>
      </c>
      <c r="T7156" t="s">
        <v>487</v>
      </c>
      <c r="U7156" t="s">
        <v>488</v>
      </c>
      <c r="V7156" s="3">
        <v>41302</v>
      </c>
    </row>
    <row r="7157" spans="1:22" x14ac:dyDescent="0.35">
      <c r="A7157" s="1">
        <v>42276.009027777778</v>
      </c>
      <c r="B7157" s="2">
        <v>0</v>
      </c>
      <c r="C7157" t="s">
        <v>9596</v>
      </c>
      <c r="D7157" t="s">
        <v>23</v>
      </c>
      <c r="E7157" t="s">
        <v>24</v>
      </c>
      <c r="F7157" t="s">
        <v>61</v>
      </c>
      <c r="G7157">
        <v>699526</v>
      </c>
      <c r="H7157" t="s">
        <v>26</v>
      </c>
      <c r="I7157" t="s">
        <v>62</v>
      </c>
      <c r="J7157" t="str">
        <f>"9781118586006"</f>
        <v>9781118586006</v>
      </c>
      <c r="L7157">
        <v>0</v>
      </c>
      <c r="M7157" t="s">
        <v>105</v>
      </c>
      <c r="O7157" t="s">
        <v>30</v>
      </c>
      <c r="P7157" t="s">
        <v>29</v>
      </c>
      <c r="Q7157" s="1">
        <v>42276.009027777778</v>
      </c>
      <c r="R7157">
        <v>7</v>
      </c>
      <c r="S7157" t="s">
        <v>31</v>
      </c>
      <c r="T7157" t="s">
        <v>64</v>
      </c>
      <c r="U7157">
        <v>6.4</v>
      </c>
      <c r="V7157" s="3">
        <v>41222</v>
      </c>
    </row>
    <row r="7158" spans="1:22" x14ac:dyDescent="0.35">
      <c r="A7158" s="1">
        <v>42276.008611111109</v>
      </c>
      <c r="B7158" s="2">
        <v>4.1666666666666669E-4</v>
      </c>
      <c r="C7158" t="s">
        <v>9596</v>
      </c>
      <c r="D7158" t="s">
        <v>23</v>
      </c>
      <c r="E7158" t="s">
        <v>24</v>
      </c>
      <c r="F7158" t="s">
        <v>61</v>
      </c>
      <c r="G7158">
        <v>699526</v>
      </c>
      <c r="H7158" t="s">
        <v>26</v>
      </c>
      <c r="I7158" t="s">
        <v>62</v>
      </c>
      <c r="J7158" t="str">
        <f>"9781118586006"</f>
        <v>9781118586006</v>
      </c>
      <c r="K7158" t="s">
        <v>202</v>
      </c>
      <c r="L7158">
        <v>3</v>
      </c>
      <c r="O7158" t="s">
        <v>30</v>
      </c>
      <c r="P7158" t="s">
        <v>42</v>
      </c>
      <c r="S7158" t="s">
        <v>31</v>
      </c>
      <c r="T7158" t="s">
        <v>64</v>
      </c>
      <c r="U7158">
        <v>6.4</v>
      </c>
      <c r="V7158" s="3">
        <v>41222</v>
      </c>
    </row>
    <row r="7159" spans="1:22" x14ac:dyDescent="0.35">
      <c r="A7159" s="1">
        <v>42276.002951388888</v>
      </c>
      <c r="B7159" s="2">
        <v>6.4814814814814813E-4</v>
      </c>
      <c r="C7159" t="s">
        <v>9596</v>
      </c>
      <c r="D7159" t="s">
        <v>23</v>
      </c>
      <c r="E7159" t="s">
        <v>24</v>
      </c>
      <c r="F7159" t="s">
        <v>61</v>
      </c>
      <c r="G7159">
        <v>699526</v>
      </c>
      <c r="H7159" t="s">
        <v>26</v>
      </c>
      <c r="I7159" t="s">
        <v>62</v>
      </c>
      <c r="J7159" t="str">
        <f>"9781118586006"</f>
        <v>9781118586006</v>
      </c>
      <c r="K7159" t="s">
        <v>10660</v>
      </c>
      <c r="L7159">
        <v>24</v>
      </c>
      <c r="O7159" t="s">
        <v>30</v>
      </c>
      <c r="P7159" t="s">
        <v>42</v>
      </c>
      <c r="S7159" t="s">
        <v>31</v>
      </c>
      <c r="T7159" t="s">
        <v>64</v>
      </c>
      <c r="U7159">
        <v>6.4</v>
      </c>
      <c r="V7159" s="3">
        <v>41222</v>
      </c>
    </row>
    <row r="7160" spans="1:22" x14ac:dyDescent="0.35">
      <c r="A7160" s="1">
        <v>42276.000856481478</v>
      </c>
      <c r="B7160" s="2">
        <v>0.16243055555555555</v>
      </c>
      <c r="C7160" t="s">
        <v>10575</v>
      </c>
      <c r="D7160" t="s">
        <v>23</v>
      </c>
      <c r="E7160" t="s">
        <v>24</v>
      </c>
      <c r="F7160" t="s">
        <v>246</v>
      </c>
      <c r="G7160">
        <v>1682559</v>
      </c>
      <c r="H7160" t="s">
        <v>91</v>
      </c>
      <c r="I7160" t="s">
        <v>247</v>
      </c>
      <c r="J7160" t="str">
        <f>"9781462515431"</f>
        <v>9781462515431</v>
      </c>
      <c r="K7160" t="s">
        <v>10661</v>
      </c>
      <c r="L7160">
        <v>81</v>
      </c>
      <c r="O7160" t="s">
        <v>30</v>
      </c>
      <c r="P7160" t="s">
        <v>29</v>
      </c>
      <c r="Q7160" s="1">
        <v>42269.953020833331</v>
      </c>
      <c r="R7160">
        <v>7</v>
      </c>
      <c r="S7160" t="s">
        <v>31</v>
      </c>
      <c r="T7160" t="s">
        <v>249</v>
      </c>
      <c r="U7160">
        <v>616.89</v>
      </c>
      <c r="V7160" s="3">
        <v>41769</v>
      </c>
    </row>
    <row r="7161" spans="1:22" x14ac:dyDescent="0.35">
      <c r="A7161" s="1">
        <v>42275.995706018519</v>
      </c>
      <c r="B7161" s="2">
        <v>1.3310185185185185E-3</v>
      </c>
      <c r="C7161" t="s">
        <v>9998</v>
      </c>
      <c r="D7161" t="s">
        <v>623</v>
      </c>
      <c r="E7161" t="s">
        <v>624</v>
      </c>
      <c r="F7161" t="s">
        <v>9999</v>
      </c>
      <c r="G7161">
        <v>1546789</v>
      </c>
      <c r="H7161" t="s">
        <v>68</v>
      </c>
      <c r="I7161" t="s">
        <v>172</v>
      </c>
      <c r="J7161" t="str">
        <f>"9781317976431"</f>
        <v>9781317976431</v>
      </c>
      <c r="K7161" t="s">
        <v>10662</v>
      </c>
      <c r="L7161">
        <v>13</v>
      </c>
      <c r="O7161" t="s">
        <v>30</v>
      </c>
      <c r="P7161" t="s">
        <v>47</v>
      </c>
      <c r="Q7161" s="1">
        <v>42275.731851851851</v>
      </c>
      <c r="R7161">
        <v>1</v>
      </c>
      <c r="S7161" t="s">
        <v>627</v>
      </c>
      <c r="T7161" t="s">
        <v>10001</v>
      </c>
      <c r="U7161">
        <v>937.07</v>
      </c>
      <c r="V7161" s="3">
        <v>41585</v>
      </c>
    </row>
    <row r="7162" spans="1:22" x14ac:dyDescent="0.35">
      <c r="A7162" s="1">
        <v>42275.986990740741</v>
      </c>
      <c r="B7162" s="2">
        <v>4.9768518518518521E-4</v>
      </c>
      <c r="C7162" t="s">
        <v>10663</v>
      </c>
      <c r="D7162" t="s">
        <v>23</v>
      </c>
      <c r="E7162" t="s">
        <v>24</v>
      </c>
      <c r="F7162" t="s">
        <v>25</v>
      </c>
      <c r="G7162">
        <v>1120290</v>
      </c>
      <c r="H7162" t="s">
        <v>26</v>
      </c>
      <c r="I7162" t="s">
        <v>27</v>
      </c>
      <c r="J7162" t="str">
        <f>"9781118347478"</f>
        <v>9781118347478</v>
      </c>
      <c r="K7162" t="s">
        <v>10664</v>
      </c>
      <c r="L7162">
        <v>13</v>
      </c>
      <c r="O7162" t="s">
        <v>30</v>
      </c>
      <c r="P7162" t="s">
        <v>42</v>
      </c>
      <c r="S7162" t="s">
        <v>31</v>
      </c>
      <c r="T7162" t="s">
        <v>32</v>
      </c>
      <c r="U7162">
        <v>421</v>
      </c>
      <c r="V7162" s="3">
        <v>41101</v>
      </c>
    </row>
    <row r="7163" spans="1:22" x14ac:dyDescent="0.35">
      <c r="A7163" s="1">
        <v>42275.960636574076</v>
      </c>
      <c r="B7163" s="2">
        <v>3.4722222222222222E-5</v>
      </c>
      <c r="C7163" t="s">
        <v>10665</v>
      </c>
      <c r="D7163" t="s">
        <v>23</v>
      </c>
      <c r="E7163" t="s">
        <v>24</v>
      </c>
      <c r="F7163" t="s">
        <v>10666</v>
      </c>
      <c r="G7163">
        <v>1710987</v>
      </c>
      <c r="H7163" t="s">
        <v>84</v>
      </c>
      <c r="I7163" t="s">
        <v>150</v>
      </c>
      <c r="J7163" t="str">
        <f>"9780520958975"</f>
        <v>9780520958975</v>
      </c>
      <c r="K7163" t="s">
        <v>33</v>
      </c>
      <c r="L7163">
        <v>3</v>
      </c>
      <c r="O7163" t="s">
        <v>30</v>
      </c>
      <c r="P7163" t="s">
        <v>47</v>
      </c>
      <c r="Q7163" s="1">
        <v>42275.956435185188</v>
      </c>
      <c r="R7163">
        <v>7</v>
      </c>
      <c r="S7163" t="s">
        <v>31</v>
      </c>
      <c r="T7163" t="s">
        <v>10667</v>
      </c>
      <c r="U7163" t="s">
        <v>10668</v>
      </c>
      <c r="V7163" s="3">
        <v>41904</v>
      </c>
    </row>
    <row r="7164" spans="1:22" x14ac:dyDescent="0.35">
      <c r="A7164" s="1">
        <v>42275.959687499999</v>
      </c>
      <c r="B7164" s="2">
        <v>0</v>
      </c>
      <c r="C7164" t="s">
        <v>10665</v>
      </c>
      <c r="D7164" t="s">
        <v>23</v>
      </c>
      <c r="E7164" t="s">
        <v>24</v>
      </c>
      <c r="F7164" t="s">
        <v>10666</v>
      </c>
      <c r="G7164">
        <v>1710987</v>
      </c>
      <c r="H7164" t="s">
        <v>84</v>
      </c>
      <c r="I7164" t="s">
        <v>150</v>
      </c>
      <c r="J7164" t="str">
        <f>"9780520958975"</f>
        <v>9780520958975</v>
      </c>
      <c r="L7164">
        <v>0</v>
      </c>
      <c r="N7164" t="s">
        <v>10669</v>
      </c>
      <c r="O7164" t="s">
        <v>28</v>
      </c>
      <c r="P7164" t="s">
        <v>47</v>
      </c>
      <c r="Q7164" s="1">
        <v>42275.956435185188</v>
      </c>
      <c r="R7164">
        <v>7</v>
      </c>
      <c r="S7164" t="s">
        <v>31</v>
      </c>
      <c r="T7164" t="s">
        <v>10667</v>
      </c>
      <c r="U7164" t="s">
        <v>10668</v>
      </c>
      <c r="V7164" s="3">
        <v>41904</v>
      </c>
    </row>
    <row r="7165" spans="1:22" x14ac:dyDescent="0.35">
      <c r="A7165" s="1">
        <v>42275.956435185188</v>
      </c>
      <c r="B7165" s="2">
        <v>3.0324074074074073E-3</v>
      </c>
      <c r="C7165" t="s">
        <v>10665</v>
      </c>
      <c r="D7165" t="s">
        <v>23</v>
      </c>
      <c r="E7165" t="s">
        <v>24</v>
      </c>
      <c r="F7165" t="s">
        <v>10666</v>
      </c>
      <c r="G7165">
        <v>1710987</v>
      </c>
      <c r="H7165" t="s">
        <v>84</v>
      </c>
      <c r="I7165" t="s">
        <v>150</v>
      </c>
      <c r="J7165" t="str">
        <f>"9780520958975"</f>
        <v>9780520958975</v>
      </c>
      <c r="K7165" t="s">
        <v>10670</v>
      </c>
      <c r="L7165">
        <v>3</v>
      </c>
      <c r="N7165" t="s">
        <v>10671</v>
      </c>
      <c r="O7165" t="s">
        <v>28</v>
      </c>
      <c r="P7165" t="s">
        <v>47</v>
      </c>
      <c r="Q7165" s="1">
        <v>42275.956435185188</v>
      </c>
      <c r="R7165">
        <v>7</v>
      </c>
      <c r="S7165" t="s">
        <v>31</v>
      </c>
      <c r="T7165" t="s">
        <v>10667</v>
      </c>
      <c r="U7165" t="s">
        <v>10668</v>
      </c>
      <c r="V7165" s="3">
        <v>41904</v>
      </c>
    </row>
    <row r="7166" spans="1:22" x14ac:dyDescent="0.35">
      <c r="A7166" s="1">
        <v>42275.956435185188</v>
      </c>
      <c r="B7166" s="2">
        <v>0</v>
      </c>
      <c r="C7166" t="s">
        <v>10665</v>
      </c>
      <c r="D7166" t="s">
        <v>23</v>
      </c>
      <c r="E7166" t="s">
        <v>24</v>
      </c>
      <c r="F7166" t="s">
        <v>10666</v>
      </c>
      <c r="G7166">
        <v>1710987</v>
      </c>
      <c r="H7166" t="s">
        <v>84</v>
      </c>
      <c r="I7166" t="s">
        <v>150</v>
      </c>
      <c r="J7166" t="str">
        <f>"9780520958975"</f>
        <v>9780520958975</v>
      </c>
      <c r="L7166">
        <v>0</v>
      </c>
      <c r="O7166" t="s">
        <v>30</v>
      </c>
      <c r="P7166" t="s">
        <v>47</v>
      </c>
      <c r="Q7166" s="1">
        <v>42275.956435185188</v>
      </c>
      <c r="R7166">
        <v>7</v>
      </c>
      <c r="S7166" t="s">
        <v>31</v>
      </c>
      <c r="T7166" t="s">
        <v>10667</v>
      </c>
      <c r="U7166" t="s">
        <v>10668</v>
      </c>
      <c r="V7166" s="3">
        <v>41904</v>
      </c>
    </row>
    <row r="7167" spans="1:22" x14ac:dyDescent="0.35">
      <c r="A7167" s="1">
        <v>42275.956192129626</v>
      </c>
      <c r="B7167" s="2">
        <v>2.4305555555555552E-4</v>
      </c>
      <c r="C7167" t="s">
        <v>10665</v>
      </c>
      <c r="D7167" t="s">
        <v>23</v>
      </c>
      <c r="E7167" t="s">
        <v>24</v>
      </c>
      <c r="F7167" t="s">
        <v>10666</v>
      </c>
      <c r="G7167">
        <v>1710987</v>
      </c>
      <c r="H7167" t="s">
        <v>84</v>
      </c>
      <c r="I7167" t="s">
        <v>150</v>
      </c>
      <c r="J7167" t="str">
        <f>"9780520958975"</f>
        <v>9780520958975</v>
      </c>
      <c r="K7167" t="s">
        <v>611</v>
      </c>
      <c r="L7167">
        <v>3</v>
      </c>
      <c r="O7167" t="s">
        <v>30</v>
      </c>
      <c r="P7167" t="s">
        <v>50</v>
      </c>
      <c r="S7167" t="s">
        <v>31</v>
      </c>
      <c r="T7167" t="s">
        <v>10667</v>
      </c>
      <c r="U7167" t="s">
        <v>10668</v>
      </c>
      <c r="V7167" s="3">
        <v>41904</v>
      </c>
    </row>
    <row r="7168" spans="1:22" x14ac:dyDescent="0.35">
      <c r="A7168" s="1">
        <v>42275.937337962961</v>
      </c>
      <c r="B7168" s="2">
        <v>3.0092592592592595E-4</v>
      </c>
      <c r="C7168" t="s">
        <v>10672</v>
      </c>
      <c r="D7168" t="s">
        <v>211</v>
      </c>
      <c r="E7168" t="s">
        <v>212</v>
      </c>
      <c r="F7168" t="s">
        <v>10673</v>
      </c>
      <c r="G7168">
        <v>1173658</v>
      </c>
      <c r="H7168" t="s">
        <v>186</v>
      </c>
      <c r="I7168" t="s">
        <v>247</v>
      </c>
      <c r="J7168" t="str">
        <f>"9781780641317"</f>
        <v>9781780641317</v>
      </c>
      <c r="K7168" t="s">
        <v>33</v>
      </c>
      <c r="L7168">
        <v>3</v>
      </c>
      <c r="O7168" t="s">
        <v>30</v>
      </c>
      <c r="P7168" t="s">
        <v>50</v>
      </c>
      <c r="S7168" t="s">
        <v>214</v>
      </c>
      <c r="T7168" t="s">
        <v>10674</v>
      </c>
      <c r="U7168" t="s">
        <v>10675</v>
      </c>
      <c r="V7168" s="3">
        <v>41275</v>
      </c>
    </row>
    <row r="7169" spans="1:22" x14ac:dyDescent="0.35">
      <c r="A7169" s="1">
        <v>42275.922164351854</v>
      </c>
      <c r="B7169" s="2">
        <v>5.9837962962962961E-3</v>
      </c>
      <c r="C7169" t="s">
        <v>10676</v>
      </c>
      <c r="D7169" t="s">
        <v>23</v>
      </c>
      <c r="E7169" t="s">
        <v>24</v>
      </c>
      <c r="F7169" t="s">
        <v>10677</v>
      </c>
      <c r="G7169">
        <v>1784632</v>
      </c>
      <c r="H7169" t="s">
        <v>45</v>
      </c>
      <c r="I7169" t="s">
        <v>328</v>
      </c>
      <c r="J7169" t="str">
        <f>"9781409448150"</f>
        <v>9781409448150</v>
      </c>
      <c r="K7169" t="s">
        <v>10678</v>
      </c>
      <c r="L7169">
        <v>41</v>
      </c>
      <c r="O7169" t="s">
        <v>30</v>
      </c>
      <c r="P7169" t="s">
        <v>47</v>
      </c>
      <c r="Q7169" s="1">
        <v>42275.922164351854</v>
      </c>
      <c r="R7169">
        <v>1</v>
      </c>
      <c r="S7169" t="s">
        <v>31</v>
      </c>
      <c r="T7169" t="s">
        <v>10679</v>
      </c>
      <c r="U7169" t="s">
        <v>10680</v>
      </c>
      <c r="V7169" s="3">
        <v>41971</v>
      </c>
    </row>
    <row r="7170" spans="1:22" x14ac:dyDescent="0.35">
      <c r="A7170" s="1">
        <v>42275.917372685188</v>
      </c>
      <c r="B7170" s="2">
        <v>4.7916666666666672E-3</v>
      </c>
      <c r="C7170" t="s">
        <v>10676</v>
      </c>
      <c r="D7170" t="s">
        <v>23</v>
      </c>
      <c r="E7170" t="s">
        <v>24</v>
      </c>
      <c r="F7170" t="s">
        <v>10677</v>
      </c>
      <c r="G7170">
        <v>1784632</v>
      </c>
      <c r="H7170" t="s">
        <v>45</v>
      </c>
      <c r="I7170" t="s">
        <v>328</v>
      </c>
      <c r="J7170" t="str">
        <f>"9781409448150"</f>
        <v>9781409448150</v>
      </c>
      <c r="K7170" t="s">
        <v>10681</v>
      </c>
      <c r="L7170">
        <v>22</v>
      </c>
      <c r="O7170" t="s">
        <v>30</v>
      </c>
      <c r="P7170" t="s">
        <v>50</v>
      </c>
      <c r="S7170" t="s">
        <v>31</v>
      </c>
      <c r="T7170" t="s">
        <v>10679</v>
      </c>
      <c r="U7170" t="s">
        <v>10680</v>
      </c>
      <c r="V7170" s="3">
        <v>41971</v>
      </c>
    </row>
    <row r="7171" spans="1:22" x14ac:dyDescent="0.35">
      <c r="A7171" s="1">
        <v>42275.913229166668</v>
      </c>
      <c r="B7171" s="2">
        <v>1.5509259259259261E-3</v>
      </c>
      <c r="C7171" t="s">
        <v>10610</v>
      </c>
      <c r="D7171" t="s">
        <v>1482</v>
      </c>
      <c r="E7171" t="s">
        <v>1483</v>
      </c>
      <c r="F7171" t="s">
        <v>10611</v>
      </c>
      <c r="G7171">
        <v>821901</v>
      </c>
      <c r="H7171" t="s">
        <v>26</v>
      </c>
      <c r="I7171" t="s">
        <v>97</v>
      </c>
      <c r="J7171" t="str">
        <f>"9781118244333"</f>
        <v>9781118244333</v>
      </c>
      <c r="K7171" t="s">
        <v>10682</v>
      </c>
      <c r="L7171">
        <v>1</v>
      </c>
      <c r="M7171" t="s">
        <v>10683</v>
      </c>
      <c r="O7171" t="s">
        <v>30</v>
      </c>
      <c r="P7171" t="s">
        <v>29</v>
      </c>
      <c r="Q7171" s="1">
        <v>42275.913229166668</v>
      </c>
      <c r="R7171">
        <v>7</v>
      </c>
      <c r="S7171" t="s">
        <v>1485</v>
      </c>
      <c r="T7171" t="s">
        <v>10613</v>
      </c>
      <c r="U7171">
        <v>388.1</v>
      </c>
      <c r="V7171" s="3">
        <v>40984</v>
      </c>
    </row>
    <row r="7172" spans="1:22" x14ac:dyDescent="0.35">
      <c r="A7172" s="1">
        <v>42275.908634259256</v>
      </c>
      <c r="B7172" s="2">
        <v>4.5949074074074078E-3</v>
      </c>
      <c r="C7172" t="s">
        <v>10610</v>
      </c>
      <c r="D7172" t="s">
        <v>1482</v>
      </c>
      <c r="E7172" t="s">
        <v>1483</v>
      </c>
      <c r="F7172" t="s">
        <v>10611</v>
      </c>
      <c r="G7172">
        <v>821901</v>
      </c>
      <c r="H7172" t="s">
        <v>26</v>
      </c>
      <c r="I7172" t="s">
        <v>97</v>
      </c>
      <c r="J7172" t="str">
        <f>"9781118244333"</f>
        <v>9781118244333</v>
      </c>
      <c r="K7172" t="s">
        <v>10684</v>
      </c>
      <c r="L7172">
        <v>11</v>
      </c>
      <c r="O7172" t="s">
        <v>30</v>
      </c>
      <c r="P7172" t="s">
        <v>42</v>
      </c>
      <c r="S7172" t="s">
        <v>1485</v>
      </c>
      <c r="T7172" t="s">
        <v>10613</v>
      </c>
      <c r="U7172">
        <v>388.1</v>
      </c>
      <c r="V7172" s="3">
        <v>40984</v>
      </c>
    </row>
    <row r="7173" spans="1:22" x14ac:dyDescent="0.35">
      <c r="A7173" s="1">
        <v>42275.896643518521</v>
      </c>
      <c r="B7173" s="2">
        <v>9.3912037037037044E-2</v>
      </c>
      <c r="C7173" t="s">
        <v>106</v>
      </c>
      <c r="D7173" t="s">
        <v>23</v>
      </c>
      <c r="E7173" t="s">
        <v>24</v>
      </c>
      <c r="F7173" t="s">
        <v>486</v>
      </c>
      <c r="G7173">
        <v>1119505</v>
      </c>
      <c r="H7173" t="s">
        <v>26</v>
      </c>
      <c r="I7173" t="s">
        <v>450</v>
      </c>
      <c r="J7173" t="str">
        <f>"9781118355015"</f>
        <v>9781118355015</v>
      </c>
      <c r="K7173" t="s">
        <v>10685</v>
      </c>
      <c r="L7173">
        <v>16</v>
      </c>
      <c r="O7173" t="s">
        <v>30</v>
      </c>
      <c r="P7173" t="s">
        <v>29</v>
      </c>
      <c r="Q7173" s="1">
        <v>42269.848877314813</v>
      </c>
      <c r="R7173">
        <v>7</v>
      </c>
      <c r="S7173" t="s">
        <v>31</v>
      </c>
      <c r="T7173" t="s">
        <v>487</v>
      </c>
      <c r="U7173" t="s">
        <v>488</v>
      </c>
      <c r="V7173" s="3">
        <v>41302</v>
      </c>
    </row>
    <row r="7174" spans="1:22" x14ac:dyDescent="0.35">
      <c r="A7174" s="1">
        <v>42275.892604166664</v>
      </c>
      <c r="B7174" s="2">
        <v>5.7870370370370366E-5</v>
      </c>
      <c r="C7174" t="s">
        <v>10575</v>
      </c>
      <c r="D7174" t="s">
        <v>23</v>
      </c>
      <c r="E7174" t="s">
        <v>24</v>
      </c>
      <c r="F7174" t="s">
        <v>246</v>
      </c>
      <c r="G7174">
        <v>1682559</v>
      </c>
      <c r="H7174" t="s">
        <v>91</v>
      </c>
      <c r="I7174" t="s">
        <v>247</v>
      </c>
      <c r="J7174" t="str">
        <f>"9781462515431"</f>
        <v>9781462515431</v>
      </c>
      <c r="K7174" t="s">
        <v>33</v>
      </c>
      <c r="L7174">
        <v>3</v>
      </c>
      <c r="O7174" t="s">
        <v>30</v>
      </c>
      <c r="P7174" t="s">
        <v>29</v>
      </c>
      <c r="Q7174" s="1">
        <v>42269.953020833331</v>
      </c>
      <c r="R7174">
        <v>7</v>
      </c>
      <c r="S7174" t="s">
        <v>31</v>
      </c>
      <c r="T7174" t="s">
        <v>249</v>
      </c>
      <c r="U7174">
        <v>616.89</v>
      </c>
      <c r="V7174" s="3">
        <v>41769</v>
      </c>
    </row>
    <row r="7175" spans="1:22" x14ac:dyDescent="0.35">
      <c r="A7175" s="1">
        <v>42275.85423611111</v>
      </c>
      <c r="B7175" s="2">
        <v>5.0983796296296291E-2</v>
      </c>
      <c r="C7175" t="s">
        <v>6724</v>
      </c>
      <c r="D7175" t="s">
        <v>23</v>
      </c>
      <c r="E7175" t="s">
        <v>24</v>
      </c>
      <c r="F7175" t="s">
        <v>486</v>
      </c>
      <c r="G7175">
        <v>1119505</v>
      </c>
      <c r="H7175" t="s">
        <v>26</v>
      </c>
      <c r="I7175" t="s">
        <v>450</v>
      </c>
      <c r="J7175" t="str">
        <f>"9781118355015"</f>
        <v>9781118355015</v>
      </c>
      <c r="K7175" t="s">
        <v>10686</v>
      </c>
      <c r="L7175">
        <v>53</v>
      </c>
      <c r="O7175" t="s">
        <v>30</v>
      </c>
      <c r="P7175" t="s">
        <v>29</v>
      </c>
      <c r="Q7175" s="1">
        <v>42271.593842592592</v>
      </c>
      <c r="R7175">
        <v>7</v>
      </c>
      <c r="S7175" t="s">
        <v>31</v>
      </c>
      <c r="T7175" t="s">
        <v>487</v>
      </c>
      <c r="U7175" t="s">
        <v>488</v>
      </c>
      <c r="V7175" s="3">
        <v>41302</v>
      </c>
    </row>
    <row r="7176" spans="1:22" x14ac:dyDescent="0.35">
      <c r="A7176" s="1">
        <v>42275.84851851852</v>
      </c>
      <c r="B7176" s="2">
        <v>6.2500000000000001E-4</v>
      </c>
      <c r="C7176" t="s">
        <v>5865</v>
      </c>
      <c r="D7176" t="s">
        <v>35</v>
      </c>
      <c r="E7176" t="s">
        <v>36</v>
      </c>
      <c r="F7176" t="s">
        <v>986</v>
      </c>
      <c r="G7176">
        <v>968030</v>
      </c>
      <c r="H7176" t="s">
        <v>26</v>
      </c>
      <c r="I7176" t="s">
        <v>219</v>
      </c>
      <c r="J7176" t="str">
        <f>"9781118285138"</f>
        <v>9781118285138</v>
      </c>
      <c r="K7176" t="s">
        <v>10687</v>
      </c>
      <c r="L7176">
        <v>16</v>
      </c>
      <c r="O7176" t="s">
        <v>30</v>
      </c>
      <c r="P7176" t="s">
        <v>42</v>
      </c>
      <c r="S7176" t="s">
        <v>40</v>
      </c>
      <c r="T7176" t="s">
        <v>987</v>
      </c>
      <c r="U7176">
        <v>158.30000000000001</v>
      </c>
      <c r="V7176" s="3">
        <v>41100</v>
      </c>
    </row>
    <row r="7177" spans="1:22" x14ac:dyDescent="0.35">
      <c r="A7177" s="1">
        <v>42275.833831018521</v>
      </c>
      <c r="B7177" s="2">
        <v>1.9675925925925926E-4</v>
      </c>
      <c r="C7177" t="s">
        <v>10688</v>
      </c>
      <c r="D7177" t="s">
        <v>23</v>
      </c>
      <c r="E7177" t="s">
        <v>24</v>
      </c>
      <c r="F7177" t="s">
        <v>10689</v>
      </c>
      <c r="G7177">
        <v>938873</v>
      </c>
      <c r="H7177" t="s">
        <v>26</v>
      </c>
      <c r="I7177" t="s">
        <v>10690</v>
      </c>
      <c r="J7177" t="str">
        <f>"9781119963127"</f>
        <v>9781119963127</v>
      </c>
      <c r="K7177" t="s">
        <v>10691</v>
      </c>
      <c r="L7177">
        <v>1</v>
      </c>
      <c r="O7177" t="s">
        <v>28</v>
      </c>
      <c r="P7177" t="s">
        <v>29</v>
      </c>
      <c r="Q7177" s="1">
        <v>42275.826851851853</v>
      </c>
      <c r="R7177">
        <v>7</v>
      </c>
      <c r="S7177" t="s">
        <v>31</v>
      </c>
      <c r="T7177" t="s">
        <v>10692</v>
      </c>
      <c r="U7177" t="s">
        <v>10693</v>
      </c>
      <c r="V7177" s="3">
        <v>41064</v>
      </c>
    </row>
    <row r="7178" spans="1:22" x14ac:dyDescent="0.35">
      <c r="A7178" s="1">
        <v>42275.833587962959</v>
      </c>
      <c r="B7178" s="2">
        <v>0</v>
      </c>
      <c r="C7178" t="s">
        <v>10688</v>
      </c>
      <c r="D7178" t="s">
        <v>23</v>
      </c>
      <c r="E7178" t="s">
        <v>24</v>
      </c>
      <c r="F7178" t="s">
        <v>10689</v>
      </c>
      <c r="G7178">
        <v>938873</v>
      </c>
      <c r="H7178" t="s">
        <v>26</v>
      </c>
      <c r="I7178" t="s">
        <v>10690</v>
      </c>
      <c r="J7178" t="str">
        <f>"9781119963127"</f>
        <v>9781119963127</v>
      </c>
      <c r="L7178">
        <v>0</v>
      </c>
      <c r="O7178" t="s">
        <v>28</v>
      </c>
      <c r="P7178" t="s">
        <v>29</v>
      </c>
      <c r="Q7178" s="1">
        <v>42275.826851851853</v>
      </c>
      <c r="R7178">
        <v>7</v>
      </c>
      <c r="S7178" t="s">
        <v>31</v>
      </c>
      <c r="T7178" t="s">
        <v>10692</v>
      </c>
      <c r="U7178" t="s">
        <v>10693</v>
      </c>
      <c r="V7178" s="3">
        <v>41064</v>
      </c>
    </row>
    <row r="7179" spans="1:22" x14ac:dyDescent="0.35">
      <c r="A7179" s="1">
        <v>42275.82885416667</v>
      </c>
      <c r="B7179" s="2">
        <v>1.3078703703703705E-3</v>
      </c>
      <c r="C7179" t="s">
        <v>10688</v>
      </c>
      <c r="D7179" t="s">
        <v>23</v>
      </c>
      <c r="E7179" t="s">
        <v>24</v>
      </c>
      <c r="F7179" t="s">
        <v>10689</v>
      </c>
      <c r="G7179">
        <v>938873</v>
      </c>
      <c r="H7179" t="s">
        <v>26</v>
      </c>
      <c r="I7179" t="s">
        <v>10690</v>
      </c>
      <c r="J7179" t="str">
        <f>"9781119963127"</f>
        <v>9781119963127</v>
      </c>
      <c r="K7179" t="s">
        <v>10694</v>
      </c>
      <c r="L7179">
        <v>16</v>
      </c>
      <c r="O7179" t="s">
        <v>28</v>
      </c>
      <c r="P7179" t="s">
        <v>29</v>
      </c>
      <c r="Q7179" s="1">
        <v>42275.826851851853</v>
      </c>
      <c r="R7179">
        <v>7</v>
      </c>
      <c r="S7179" t="s">
        <v>31</v>
      </c>
      <c r="T7179" t="s">
        <v>10692</v>
      </c>
      <c r="U7179" t="s">
        <v>10693</v>
      </c>
      <c r="V7179" s="3">
        <v>41064</v>
      </c>
    </row>
    <row r="7180" spans="1:22" x14ac:dyDescent="0.35">
      <c r="A7180" s="1">
        <v>42275.827881944446</v>
      </c>
      <c r="B7180" s="2">
        <v>4.8032407407407407E-3</v>
      </c>
      <c r="C7180" t="s">
        <v>10695</v>
      </c>
      <c r="D7180" t="s">
        <v>23</v>
      </c>
      <c r="E7180" t="s">
        <v>24</v>
      </c>
      <c r="F7180" t="s">
        <v>6418</v>
      </c>
      <c r="G7180">
        <v>1168529</v>
      </c>
      <c r="H7180" t="s">
        <v>26</v>
      </c>
      <c r="I7180" t="s">
        <v>297</v>
      </c>
      <c r="J7180" t="str">
        <f>"9781118710944"</f>
        <v>9781118710944</v>
      </c>
      <c r="K7180" t="s">
        <v>10696</v>
      </c>
      <c r="L7180">
        <v>47</v>
      </c>
      <c r="O7180" t="s">
        <v>30</v>
      </c>
      <c r="P7180" t="s">
        <v>29</v>
      </c>
      <c r="Q7180" s="1">
        <v>42275.827881944446</v>
      </c>
      <c r="R7180">
        <v>7</v>
      </c>
      <c r="S7180" t="s">
        <v>31</v>
      </c>
      <c r="T7180" t="s">
        <v>6419</v>
      </c>
      <c r="U7180" t="s">
        <v>6420</v>
      </c>
      <c r="V7180" s="3">
        <v>41372</v>
      </c>
    </row>
    <row r="7181" spans="1:22" x14ac:dyDescent="0.35">
      <c r="A7181" s="1">
        <v>42275.826851851853</v>
      </c>
      <c r="B7181" s="2">
        <v>1.1574074074074073E-3</v>
      </c>
      <c r="C7181" t="s">
        <v>10688</v>
      </c>
      <c r="D7181" t="s">
        <v>23</v>
      </c>
      <c r="E7181" t="s">
        <v>24</v>
      </c>
      <c r="F7181" t="s">
        <v>10689</v>
      </c>
      <c r="G7181">
        <v>938873</v>
      </c>
      <c r="H7181" t="s">
        <v>26</v>
      </c>
      <c r="I7181" t="s">
        <v>10690</v>
      </c>
      <c r="J7181" t="str">
        <f>"9781119963127"</f>
        <v>9781119963127</v>
      </c>
      <c r="K7181" t="s">
        <v>10697</v>
      </c>
      <c r="L7181">
        <v>10</v>
      </c>
      <c r="O7181" t="s">
        <v>28</v>
      </c>
      <c r="P7181" t="s">
        <v>29</v>
      </c>
      <c r="Q7181" s="1">
        <v>42275.826851851853</v>
      </c>
      <c r="R7181">
        <v>7</v>
      </c>
      <c r="S7181" t="s">
        <v>31</v>
      </c>
      <c r="T7181" t="s">
        <v>10692</v>
      </c>
      <c r="U7181" t="s">
        <v>10693</v>
      </c>
      <c r="V7181" s="3">
        <v>41064</v>
      </c>
    </row>
    <row r="7182" spans="1:22" x14ac:dyDescent="0.35">
      <c r="A7182" s="1">
        <v>42275.826851851853</v>
      </c>
      <c r="B7182" s="2">
        <v>0</v>
      </c>
      <c r="C7182" t="s">
        <v>10688</v>
      </c>
      <c r="D7182" t="s">
        <v>23</v>
      </c>
      <c r="E7182" t="s">
        <v>24</v>
      </c>
      <c r="F7182" t="s">
        <v>10689</v>
      </c>
      <c r="G7182">
        <v>938873</v>
      </c>
      <c r="H7182" t="s">
        <v>26</v>
      </c>
      <c r="I7182" t="s">
        <v>10690</v>
      </c>
      <c r="J7182" t="str">
        <f>"9781119963127"</f>
        <v>9781119963127</v>
      </c>
      <c r="L7182">
        <v>0</v>
      </c>
      <c r="O7182" t="s">
        <v>30</v>
      </c>
      <c r="P7182" t="s">
        <v>29</v>
      </c>
      <c r="Q7182" s="1">
        <v>42275.826851851853</v>
      </c>
      <c r="R7182">
        <v>7</v>
      </c>
      <c r="S7182" t="s">
        <v>31</v>
      </c>
      <c r="T7182" t="s">
        <v>10692</v>
      </c>
      <c r="U7182" t="s">
        <v>10693</v>
      </c>
      <c r="V7182" s="3">
        <v>41064</v>
      </c>
    </row>
    <row r="7183" spans="1:22" x14ac:dyDescent="0.35">
      <c r="A7183" s="1">
        <v>42275.826516203706</v>
      </c>
      <c r="B7183" s="2">
        <v>3.3564814814814812E-4</v>
      </c>
      <c r="C7183" t="s">
        <v>10688</v>
      </c>
      <c r="D7183" t="s">
        <v>23</v>
      </c>
      <c r="E7183" t="s">
        <v>24</v>
      </c>
      <c r="F7183" t="s">
        <v>10689</v>
      </c>
      <c r="G7183">
        <v>938873</v>
      </c>
      <c r="H7183" t="s">
        <v>26</v>
      </c>
      <c r="I7183" t="s">
        <v>10690</v>
      </c>
      <c r="J7183" t="str">
        <f>"9781119963127"</f>
        <v>9781119963127</v>
      </c>
      <c r="K7183" t="s">
        <v>10698</v>
      </c>
      <c r="L7183">
        <v>13</v>
      </c>
      <c r="O7183" t="s">
        <v>30</v>
      </c>
      <c r="P7183" t="s">
        <v>42</v>
      </c>
      <c r="S7183" t="s">
        <v>31</v>
      </c>
      <c r="T7183" t="s">
        <v>10692</v>
      </c>
      <c r="U7183" t="s">
        <v>10693</v>
      </c>
      <c r="V7183" s="3">
        <v>41064</v>
      </c>
    </row>
    <row r="7184" spans="1:22" x14ac:dyDescent="0.35">
      <c r="A7184" s="1">
        <v>42275.820833333331</v>
      </c>
      <c r="B7184" s="2">
        <v>7.0486111111111105E-3</v>
      </c>
      <c r="C7184" t="s">
        <v>10695</v>
      </c>
      <c r="D7184" t="s">
        <v>23</v>
      </c>
      <c r="E7184" t="s">
        <v>24</v>
      </c>
      <c r="F7184" t="s">
        <v>6418</v>
      </c>
      <c r="G7184">
        <v>1168529</v>
      </c>
      <c r="H7184" t="s">
        <v>26</v>
      </c>
      <c r="I7184" t="s">
        <v>297</v>
      </c>
      <c r="J7184" t="str">
        <f>"9781118710944"</f>
        <v>9781118710944</v>
      </c>
      <c r="K7184" t="s">
        <v>10699</v>
      </c>
      <c r="L7184">
        <v>122</v>
      </c>
      <c r="O7184" t="s">
        <v>30</v>
      </c>
      <c r="P7184" t="s">
        <v>42</v>
      </c>
      <c r="S7184" t="s">
        <v>31</v>
      </c>
      <c r="T7184" t="s">
        <v>6419</v>
      </c>
      <c r="U7184" t="s">
        <v>6420</v>
      </c>
      <c r="V7184" s="3">
        <v>41372</v>
      </c>
    </row>
    <row r="7185" spans="1:22" x14ac:dyDescent="0.35">
      <c r="A7185" s="1">
        <v>42275.816840277781</v>
      </c>
      <c r="B7185" s="2">
        <v>1.4548611111111111E-2</v>
      </c>
      <c r="C7185" t="s">
        <v>106</v>
      </c>
      <c r="D7185" t="s">
        <v>23</v>
      </c>
      <c r="E7185" t="s">
        <v>24</v>
      </c>
      <c r="F7185" t="s">
        <v>4180</v>
      </c>
      <c r="G7185">
        <v>817932</v>
      </c>
      <c r="H7185" t="s">
        <v>26</v>
      </c>
      <c r="I7185" t="s">
        <v>276</v>
      </c>
      <c r="J7185" t="str">
        <f>"9781118220146"</f>
        <v>9781118220146</v>
      </c>
      <c r="K7185" t="s">
        <v>10700</v>
      </c>
      <c r="L7185">
        <v>21</v>
      </c>
      <c r="O7185" t="s">
        <v>30</v>
      </c>
      <c r="P7185" t="s">
        <v>29</v>
      </c>
      <c r="Q7185" s="1">
        <v>42274.854224537034</v>
      </c>
      <c r="R7185">
        <v>7</v>
      </c>
      <c r="S7185" t="s">
        <v>31</v>
      </c>
      <c r="T7185" t="s">
        <v>4182</v>
      </c>
      <c r="U7185">
        <v>5.133</v>
      </c>
      <c r="V7185" s="3">
        <v>40981</v>
      </c>
    </row>
    <row r="7186" spans="1:22" x14ac:dyDescent="0.35">
      <c r="A7186" s="1">
        <v>42275.815706018519</v>
      </c>
      <c r="B7186" s="2">
        <v>7.6388888888888893E-4</v>
      </c>
      <c r="C7186" t="s">
        <v>106</v>
      </c>
      <c r="D7186" t="s">
        <v>23</v>
      </c>
      <c r="E7186" t="s">
        <v>24</v>
      </c>
      <c r="F7186" t="s">
        <v>10701</v>
      </c>
      <c r="G7186">
        <v>1204737</v>
      </c>
      <c r="H7186" t="s">
        <v>26</v>
      </c>
      <c r="I7186" t="s">
        <v>120</v>
      </c>
      <c r="J7186" t="str">
        <f>"9780857084088"</f>
        <v>9780857084088</v>
      </c>
      <c r="K7186" t="s">
        <v>10702</v>
      </c>
      <c r="L7186">
        <v>3</v>
      </c>
      <c r="M7186" t="s">
        <v>10703</v>
      </c>
      <c r="O7186" t="s">
        <v>30</v>
      </c>
      <c r="P7186" t="s">
        <v>29</v>
      </c>
      <c r="Q7186" s="1">
        <v>42275.815706018519</v>
      </c>
      <c r="R7186">
        <v>7</v>
      </c>
      <c r="S7186" t="s">
        <v>31</v>
      </c>
      <c r="T7186" t="s">
        <v>10704</v>
      </c>
      <c r="U7186">
        <v>302</v>
      </c>
      <c r="V7186" s="3">
        <v>41417</v>
      </c>
    </row>
    <row r="7187" spans="1:22" x14ac:dyDescent="0.35">
      <c r="A7187" s="1">
        <v>42275.814155092594</v>
      </c>
      <c r="B7187" s="2">
        <v>4.5347222222222226E-2</v>
      </c>
      <c r="C7187" t="s">
        <v>106</v>
      </c>
      <c r="D7187" t="s">
        <v>23</v>
      </c>
      <c r="E7187" t="s">
        <v>24</v>
      </c>
      <c r="F7187" t="s">
        <v>486</v>
      </c>
      <c r="G7187">
        <v>1119505</v>
      </c>
      <c r="H7187" t="s">
        <v>26</v>
      </c>
      <c r="I7187" t="s">
        <v>450</v>
      </c>
      <c r="J7187" t="str">
        <f>"9781118355015"</f>
        <v>9781118355015</v>
      </c>
      <c r="K7187" t="s">
        <v>10705</v>
      </c>
      <c r="L7187">
        <v>12</v>
      </c>
      <c r="O7187" t="s">
        <v>30</v>
      </c>
      <c r="P7187" t="s">
        <v>29</v>
      </c>
      <c r="Q7187" s="1">
        <v>42269.848877314813</v>
      </c>
      <c r="R7187">
        <v>7</v>
      </c>
      <c r="S7187" t="s">
        <v>31</v>
      </c>
      <c r="T7187" t="s">
        <v>487</v>
      </c>
      <c r="U7187" t="s">
        <v>488</v>
      </c>
      <c r="V7187" s="3">
        <v>41302</v>
      </c>
    </row>
    <row r="7188" spans="1:22" x14ac:dyDescent="0.35">
      <c r="A7188" s="1">
        <v>42275.813530092593</v>
      </c>
      <c r="B7188" s="2">
        <v>2.1759259259259258E-3</v>
      </c>
      <c r="C7188" t="s">
        <v>106</v>
      </c>
      <c r="D7188" t="s">
        <v>23</v>
      </c>
      <c r="E7188" t="s">
        <v>24</v>
      </c>
      <c r="F7188" t="s">
        <v>10701</v>
      </c>
      <c r="G7188">
        <v>1204737</v>
      </c>
      <c r="H7188" t="s">
        <v>26</v>
      </c>
      <c r="I7188" t="s">
        <v>120</v>
      </c>
      <c r="J7188" t="str">
        <f>"9780857084088"</f>
        <v>9780857084088</v>
      </c>
      <c r="K7188" t="s">
        <v>10706</v>
      </c>
      <c r="L7188">
        <v>10</v>
      </c>
      <c r="O7188" t="s">
        <v>30</v>
      </c>
      <c r="P7188" t="s">
        <v>50</v>
      </c>
      <c r="S7188" t="s">
        <v>31</v>
      </c>
      <c r="T7188" t="s">
        <v>10704</v>
      </c>
      <c r="U7188">
        <v>302</v>
      </c>
      <c r="V7188" s="3">
        <v>41417</v>
      </c>
    </row>
    <row r="7189" spans="1:22" x14ac:dyDescent="0.35">
      <c r="A7189" s="1">
        <v>42275.810208333336</v>
      </c>
      <c r="B7189" s="2">
        <v>2.0601851851851853E-3</v>
      </c>
      <c r="C7189" t="s">
        <v>106</v>
      </c>
      <c r="D7189" t="s">
        <v>23</v>
      </c>
      <c r="E7189" t="s">
        <v>24</v>
      </c>
      <c r="F7189" t="s">
        <v>10707</v>
      </c>
      <c r="G7189">
        <v>1474878</v>
      </c>
      <c r="H7189" t="s">
        <v>68</v>
      </c>
      <c r="I7189" t="s">
        <v>1354</v>
      </c>
      <c r="J7189" t="str">
        <f>"9781135206314"</f>
        <v>9781135206314</v>
      </c>
      <c r="K7189" t="s">
        <v>10708</v>
      </c>
      <c r="L7189">
        <v>18</v>
      </c>
      <c r="O7189" t="s">
        <v>30</v>
      </c>
      <c r="P7189" t="s">
        <v>50</v>
      </c>
      <c r="S7189" t="s">
        <v>31</v>
      </c>
      <c r="T7189" t="s">
        <v>10709</v>
      </c>
      <c r="U7189">
        <v>302.346</v>
      </c>
      <c r="V7189" s="3">
        <v>41561</v>
      </c>
    </row>
    <row r="7190" spans="1:22" x14ac:dyDescent="0.35">
      <c r="A7190" s="1">
        <v>42275.810196759259</v>
      </c>
      <c r="B7190" s="2">
        <v>0</v>
      </c>
      <c r="C7190" t="s">
        <v>10710</v>
      </c>
      <c r="D7190" t="s">
        <v>23</v>
      </c>
      <c r="E7190" t="s">
        <v>24</v>
      </c>
      <c r="F7190" t="s">
        <v>10711</v>
      </c>
      <c r="G7190">
        <v>1698592</v>
      </c>
      <c r="H7190" t="s">
        <v>2998</v>
      </c>
      <c r="I7190" t="s">
        <v>630</v>
      </c>
      <c r="J7190" t="str">
        <f>"9780748689330"</f>
        <v>9780748689330</v>
      </c>
      <c r="L7190">
        <v>0</v>
      </c>
      <c r="O7190" t="s">
        <v>28</v>
      </c>
      <c r="P7190" t="s">
        <v>47</v>
      </c>
      <c r="Q7190" s="1">
        <v>42275.810196759259</v>
      </c>
      <c r="R7190">
        <v>1</v>
      </c>
      <c r="S7190" t="s">
        <v>31</v>
      </c>
      <c r="T7190" t="s">
        <v>10712</v>
      </c>
      <c r="U7190">
        <v>194</v>
      </c>
      <c r="V7190" s="3">
        <v>41717</v>
      </c>
    </row>
    <row r="7191" spans="1:22" x14ac:dyDescent="0.35">
      <c r="A7191" s="1">
        <v>42275.810196759259</v>
      </c>
      <c r="B7191" s="2">
        <v>0</v>
      </c>
      <c r="C7191" t="s">
        <v>10710</v>
      </c>
      <c r="D7191" t="s">
        <v>23</v>
      </c>
      <c r="E7191" t="s">
        <v>24</v>
      </c>
      <c r="F7191" t="s">
        <v>10711</v>
      </c>
      <c r="G7191">
        <v>1698592</v>
      </c>
      <c r="H7191" t="s">
        <v>2998</v>
      </c>
      <c r="I7191" t="s">
        <v>630</v>
      </c>
      <c r="J7191" t="str">
        <f>"9780748689330"</f>
        <v>9780748689330</v>
      </c>
      <c r="L7191">
        <v>0</v>
      </c>
      <c r="O7191" t="s">
        <v>30</v>
      </c>
      <c r="P7191" t="s">
        <v>47</v>
      </c>
      <c r="Q7191" s="1">
        <v>42275.810196759259</v>
      </c>
      <c r="R7191">
        <v>1</v>
      </c>
      <c r="S7191" t="s">
        <v>31</v>
      </c>
      <c r="T7191" t="s">
        <v>10712</v>
      </c>
      <c r="U7191">
        <v>194</v>
      </c>
      <c r="V7191" s="3">
        <v>41717</v>
      </c>
    </row>
    <row r="7192" spans="1:22" x14ac:dyDescent="0.35">
      <c r="A7192" s="1">
        <v>42275.810069444444</v>
      </c>
      <c r="B7192" s="2">
        <v>1.273148148148148E-4</v>
      </c>
      <c r="C7192" t="s">
        <v>10710</v>
      </c>
      <c r="D7192" t="s">
        <v>23</v>
      </c>
      <c r="E7192" t="s">
        <v>24</v>
      </c>
      <c r="F7192" t="s">
        <v>10711</v>
      </c>
      <c r="G7192">
        <v>1698592</v>
      </c>
      <c r="H7192" t="s">
        <v>2998</v>
      </c>
      <c r="I7192" t="s">
        <v>630</v>
      </c>
      <c r="J7192" t="str">
        <f>"9780748689330"</f>
        <v>9780748689330</v>
      </c>
      <c r="K7192" t="s">
        <v>611</v>
      </c>
      <c r="L7192">
        <v>3</v>
      </c>
      <c r="O7192" t="s">
        <v>30</v>
      </c>
      <c r="P7192" t="s">
        <v>50</v>
      </c>
      <c r="S7192" t="s">
        <v>31</v>
      </c>
      <c r="T7192" t="s">
        <v>10712</v>
      </c>
      <c r="U7192">
        <v>194</v>
      </c>
      <c r="V7192" s="3">
        <v>41717</v>
      </c>
    </row>
    <row r="7193" spans="1:22" x14ac:dyDescent="0.35">
      <c r="A7193" s="1">
        <v>42275.807719907411</v>
      </c>
      <c r="B7193" s="2">
        <v>0</v>
      </c>
      <c r="C7193" t="s">
        <v>6518</v>
      </c>
      <c r="D7193" t="s">
        <v>23</v>
      </c>
      <c r="E7193" t="s">
        <v>24</v>
      </c>
      <c r="F7193" t="s">
        <v>486</v>
      </c>
      <c r="G7193">
        <v>1119505</v>
      </c>
      <c r="H7193" t="s">
        <v>26</v>
      </c>
      <c r="I7193" t="s">
        <v>450</v>
      </c>
      <c r="J7193" t="str">
        <f>"9781118355015"</f>
        <v>9781118355015</v>
      </c>
      <c r="L7193">
        <v>0</v>
      </c>
      <c r="N7193" t="s">
        <v>10713</v>
      </c>
      <c r="O7193" t="s">
        <v>30</v>
      </c>
      <c r="P7193" t="s">
        <v>29</v>
      </c>
      <c r="Q7193" s="1">
        <v>42275.807719907411</v>
      </c>
      <c r="R7193">
        <v>7</v>
      </c>
      <c r="S7193" t="s">
        <v>31</v>
      </c>
      <c r="T7193" t="s">
        <v>487</v>
      </c>
      <c r="U7193" t="s">
        <v>488</v>
      </c>
      <c r="V7193" s="3">
        <v>41302</v>
      </c>
    </row>
    <row r="7194" spans="1:22" x14ac:dyDescent="0.35">
      <c r="A7194" s="1">
        <v>42275.807395833333</v>
      </c>
      <c r="B7194" s="2">
        <v>3.2407407407407406E-4</v>
      </c>
      <c r="C7194" t="s">
        <v>6518</v>
      </c>
      <c r="D7194" t="s">
        <v>23</v>
      </c>
      <c r="E7194" t="s">
        <v>24</v>
      </c>
      <c r="F7194" t="s">
        <v>486</v>
      </c>
      <c r="G7194">
        <v>1119505</v>
      </c>
      <c r="H7194" t="s">
        <v>26</v>
      </c>
      <c r="I7194" t="s">
        <v>450</v>
      </c>
      <c r="J7194" t="str">
        <f>"9781118355015"</f>
        <v>9781118355015</v>
      </c>
      <c r="K7194" t="s">
        <v>10570</v>
      </c>
      <c r="L7194">
        <v>12</v>
      </c>
      <c r="O7194" t="s">
        <v>30</v>
      </c>
      <c r="P7194" t="s">
        <v>42</v>
      </c>
      <c r="S7194" t="s">
        <v>31</v>
      </c>
      <c r="T7194" t="s">
        <v>487</v>
      </c>
      <c r="U7194" t="s">
        <v>488</v>
      </c>
      <c r="V7194" s="3">
        <v>41302</v>
      </c>
    </row>
    <row r="7195" spans="1:22" x14ac:dyDescent="0.35">
      <c r="A7195" s="1">
        <v>42275.806064814817</v>
      </c>
      <c r="B7195" s="2">
        <v>2.488425925925926E-3</v>
      </c>
      <c r="C7195" t="s">
        <v>210</v>
      </c>
      <c r="D7195" t="s">
        <v>211</v>
      </c>
      <c r="E7195" t="s">
        <v>212</v>
      </c>
      <c r="F7195" t="s">
        <v>9766</v>
      </c>
      <c r="G7195">
        <v>894258</v>
      </c>
      <c r="H7195" t="s">
        <v>26</v>
      </c>
      <c r="I7195" t="s">
        <v>382</v>
      </c>
      <c r="J7195" t="str">
        <f>"9781118333709"</f>
        <v>9781118333709</v>
      </c>
      <c r="K7195" t="s">
        <v>10714</v>
      </c>
      <c r="L7195">
        <v>15</v>
      </c>
      <c r="O7195" t="s">
        <v>30</v>
      </c>
      <c r="P7195" t="s">
        <v>42</v>
      </c>
      <c r="S7195" t="s">
        <v>214</v>
      </c>
      <c r="T7195" t="s">
        <v>9768</v>
      </c>
      <c r="U7195">
        <v>914.436104</v>
      </c>
      <c r="V7195" s="3">
        <v>41095</v>
      </c>
    </row>
    <row r="7196" spans="1:22" x14ac:dyDescent="0.35">
      <c r="A7196" s="1">
        <v>42275.801099537035</v>
      </c>
      <c r="B7196" s="2">
        <v>1.800925925925926E-2</v>
      </c>
      <c r="C7196" t="s">
        <v>10715</v>
      </c>
      <c r="D7196" t="s">
        <v>35</v>
      </c>
      <c r="E7196" t="s">
        <v>36</v>
      </c>
      <c r="F7196" t="s">
        <v>37</v>
      </c>
      <c r="G7196">
        <v>1684620</v>
      </c>
      <c r="H7196" t="s">
        <v>26</v>
      </c>
      <c r="I7196" t="s">
        <v>38</v>
      </c>
      <c r="J7196" t="str">
        <f>"9781118418925"</f>
        <v>9781118418925</v>
      </c>
      <c r="K7196" t="s">
        <v>63</v>
      </c>
      <c r="L7196">
        <v>1</v>
      </c>
      <c r="O7196" t="s">
        <v>28</v>
      </c>
      <c r="P7196" t="s">
        <v>29</v>
      </c>
      <c r="Q7196" s="1">
        <v>42275.801099537035</v>
      </c>
      <c r="R7196">
        <v>7</v>
      </c>
      <c r="S7196" t="s">
        <v>40</v>
      </c>
      <c r="T7196" t="s">
        <v>41</v>
      </c>
      <c r="U7196">
        <v>362.10680000000002</v>
      </c>
      <c r="V7196" s="3">
        <v>41759</v>
      </c>
    </row>
    <row r="7197" spans="1:22" x14ac:dyDescent="0.35">
      <c r="A7197" s="1">
        <v>42275.801099537035</v>
      </c>
      <c r="B7197" s="2">
        <v>0</v>
      </c>
      <c r="C7197" t="s">
        <v>10715</v>
      </c>
      <c r="D7197" t="s">
        <v>35</v>
      </c>
      <c r="E7197" t="s">
        <v>36</v>
      </c>
      <c r="F7197" t="s">
        <v>37</v>
      </c>
      <c r="G7197">
        <v>1684620</v>
      </c>
      <c r="H7197" t="s">
        <v>26</v>
      </c>
      <c r="I7197" t="s">
        <v>38</v>
      </c>
      <c r="J7197" t="str">
        <f>"9781118418925"</f>
        <v>9781118418925</v>
      </c>
      <c r="L7197">
        <v>0</v>
      </c>
      <c r="O7197" t="s">
        <v>30</v>
      </c>
      <c r="P7197" t="s">
        <v>29</v>
      </c>
      <c r="Q7197" s="1">
        <v>42275.801099537035</v>
      </c>
      <c r="R7197">
        <v>7</v>
      </c>
      <c r="S7197" t="s">
        <v>40</v>
      </c>
      <c r="T7197" t="s">
        <v>41</v>
      </c>
      <c r="U7197">
        <v>362.10680000000002</v>
      </c>
      <c r="V7197" s="3">
        <v>41759</v>
      </c>
    </row>
    <row r="7198" spans="1:22" x14ac:dyDescent="0.35">
      <c r="A7198" s="1">
        <v>42275.800949074073</v>
      </c>
      <c r="B7198" s="2">
        <v>1.5046296296296297E-4</v>
      </c>
      <c r="C7198" t="s">
        <v>10715</v>
      </c>
      <c r="D7198" t="s">
        <v>35</v>
      </c>
      <c r="E7198" t="s">
        <v>36</v>
      </c>
      <c r="F7198" t="s">
        <v>37</v>
      </c>
      <c r="G7198">
        <v>1684620</v>
      </c>
      <c r="H7198" t="s">
        <v>26</v>
      </c>
      <c r="I7198" t="s">
        <v>38</v>
      </c>
      <c r="J7198" t="str">
        <f>"9781118418925"</f>
        <v>9781118418925</v>
      </c>
      <c r="K7198" t="s">
        <v>2752</v>
      </c>
      <c r="L7198">
        <v>3</v>
      </c>
      <c r="O7198" t="s">
        <v>30</v>
      </c>
      <c r="P7198" t="s">
        <v>42</v>
      </c>
      <c r="S7198" t="s">
        <v>40</v>
      </c>
      <c r="T7198" t="s">
        <v>41</v>
      </c>
      <c r="U7198">
        <v>362.10680000000002</v>
      </c>
      <c r="V7198" s="3">
        <v>41759</v>
      </c>
    </row>
    <row r="7199" spans="1:22" x14ac:dyDescent="0.35">
      <c r="A7199" s="1">
        <v>42275.800358796296</v>
      </c>
      <c r="B7199" s="2">
        <v>6.9444444444444444E-5</v>
      </c>
      <c r="C7199" t="s">
        <v>10716</v>
      </c>
      <c r="D7199" t="s">
        <v>360</v>
      </c>
      <c r="E7199" t="s">
        <v>361</v>
      </c>
      <c r="F7199" t="s">
        <v>10717</v>
      </c>
      <c r="G7199">
        <v>1397603</v>
      </c>
      <c r="H7199" t="s">
        <v>68</v>
      </c>
      <c r="I7199" t="s">
        <v>219</v>
      </c>
      <c r="J7199" t="str">
        <f>"9781317988687"</f>
        <v>9781317988687</v>
      </c>
      <c r="K7199" t="s">
        <v>611</v>
      </c>
      <c r="L7199">
        <v>3</v>
      </c>
      <c r="O7199" t="s">
        <v>30</v>
      </c>
      <c r="P7199" t="s">
        <v>50</v>
      </c>
      <c r="S7199" t="s">
        <v>363</v>
      </c>
      <c r="U7199">
        <v>155.93700000000001</v>
      </c>
      <c r="V7199" s="3">
        <v>41530</v>
      </c>
    </row>
    <row r="7200" spans="1:22" x14ac:dyDescent="0.35">
      <c r="A7200" s="1">
        <v>42275.796782407408</v>
      </c>
      <c r="B7200" s="2">
        <v>8.3449074074074085E-3</v>
      </c>
      <c r="C7200" t="s">
        <v>4205</v>
      </c>
      <c r="D7200" t="s">
        <v>597</v>
      </c>
      <c r="E7200" t="s">
        <v>598</v>
      </c>
      <c r="F7200" t="s">
        <v>111</v>
      </c>
      <c r="G7200">
        <v>693176</v>
      </c>
      <c r="H7200" t="s">
        <v>26</v>
      </c>
      <c r="I7200" t="s">
        <v>112</v>
      </c>
      <c r="J7200" t="str">
        <f>"9781118017746"</f>
        <v>9781118017746</v>
      </c>
      <c r="K7200" t="s">
        <v>10718</v>
      </c>
      <c r="L7200">
        <v>9</v>
      </c>
      <c r="O7200" t="s">
        <v>30</v>
      </c>
      <c r="P7200" t="s">
        <v>29</v>
      </c>
      <c r="Q7200" s="1">
        <v>42274.841192129628</v>
      </c>
      <c r="R7200">
        <v>7</v>
      </c>
      <c r="S7200" t="s">
        <v>600</v>
      </c>
      <c r="T7200" t="s">
        <v>114</v>
      </c>
      <c r="U7200" t="s">
        <v>115</v>
      </c>
      <c r="V7200" s="3">
        <v>40835</v>
      </c>
    </row>
    <row r="7201" spans="1:22" x14ac:dyDescent="0.35">
      <c r="A7201" s="1">
        <v>42275.79546296296</v>
      </c>
      <c r="B7201" s="2">
        <v>0</v>
      </c>
      <c r="C7201" t="s">
        <v>10719</v>
      </c>
      <c r="D7201" t="s">
        <v>23</v>
      </c>
      <c r="E7201" t="s">
        <v>24</v>
      </c>
      <c r="F7201" t="s">
        <v>486</v>
      </c>
      <c r="G7201">
        <v>1119505</v>
      </c>
      <c r="H7201" t="s">
        <v>26</v>
      </c>
      <c r="I7201" t="s">
        <v>450</v>
      </c>
      <c r="J7201" t="str">
        <f>"9781118355015"</f>
        <v>9781118355015</v>
      </c>
      <c r="L7201">
        <v>0</v>
      </c>
      <c r="N7201" t="s">
        <v>10720</v>
      </c>
      <c r="O7201" t="s">
        <v>30</v>
      </c>
      <c r="P7201" t="s">
        <v>29</v>
      </c>
      <c r="Q7201" s="1">
        <v>42275.79546296296</v>
      </c>
      <c r="R7201">
        <v>7</v>
      </c>
      <c r="S7201" t="s">
        <v>31</v>
      </c>
      <c r="T7201" t="s">
        <v>487</v>
      </c>
      <c r="U7201" t="s">
        <v>488</v>
      </c>
      <c r="V7201" s="3">
        <v>41302</v>
      </c>
    </row>
    <row r="7202" spans="1:22" x14ac:dyDescent="0.35">
      <c r="A7202" s="1">
        <v>42275.794953703706</v>
      </c>
      <c r="B7202" s="2">
        <v>5.0925925925925921E-4</v>
      </c>
      <c r="C7202" t="s">
        <v>10719</v>
      </c>
      <c r="D7202" t="s">
        <v>23</v>
      </c>
      <c r="E7202" t="s">
        <v>24</v>
      </c>
      <c r="F7202" t="s">
        <v>486</v>
      </c>
      <c r="G7202">
        <v>1119505</v>
      </c>
      <c r="H7202" t="s">
        <v>26</v>
      </c>
      <c r="I7202" t="s">
        <v>450</v>
      </c>
      <c r="J7202" t="str">
        <f>"9781118355015"</f>
        <v>9781118355015</v>
      </c>
      <c r="K7202" t="s">
        <v>10721</v>
      </c>
      <c r="L7202">
        <v>12</v>
      </c>
      <c r="O7202" t="s">
        <v>30</v>
      </c>
      <c r="P7202" t="s">
        <v>42</v>
      </c>
      <c r="S7202" t="s">
        <v>31</v>
      </c>
      <c r="T7202" t="s">
        <v>487</v>
      </c>
      <c r="U7202" t="s">
        <v>488</v>
      </c>
      <c r="V7202" s="3">
        <v>41302</v>
      </c>
    </row>
    <row r="7203" spans="1:22" x14ac:dyDescent="0.35">
      <c r="A7203" s="1">
        <v>42275.782511574071</v>
      </c>
      <c r="B7203" s="2">
        <v>1.1689814814814814E-2</v>
      </c>
      <c r="C7203" t="s">
        <v>106</v>
      </c>
      <c r="D7203" t="s">
        <v>23</v>
      </c>
      <c r="E7203" t="s">
        <v>24</v>
      </c>
      <c r="F7203" t="s">
        <v>486</v>
      </c>
      <c r="G7203">
        <v>1119505</v>
      </c>
      <c r="H7203" t="s">
        <v>26</v>
      </c>
      <c r="I7203" t="s">
        <v>450</v>
      </c>
      <c r="J7203" t="str">
        <f>"9781118355015"</f>
        <v>9781118355015</v>
      </c>
      <c r="K7203" t="s">
        <v>10722</v>
      </c>
      <c r="L7203">
        <v>13</v>
      </c>
      <c r="O7203" t="s">
        <v>30</v>
      </c>
      <c r="P7203" t="s">
        <v>29</v>
      </c>
      <c r="Q7203" s="1">
        <v>42269.848877314813</v>
      </c>
      <c r="R7203">
        <v>7</v>
      </c>
      <c r="S7203" t="s">
        <v>31</v>
      </c>
      <c r="T7203" t="s">
        <v>487</v>
      </c>
      <c r="U7203" t="s">
        <v>488</v>
      </c>
      <c r="V7203" s="3">
        <v>41302</v>
      </c>
    </row>
    <row r="7204" spans="1:22" x14ac:dyDescent="0.35">
      <c r="A7204" s="1">
        <v>42275.7812962963</v>
      </c>
      <c r="B7204" s="2">
        <v>7.9861111111111105E-4</v>
      </c>
      <c r="C7204" t="s">
        <v>10723</v>
      </c>
      <c r="D7204" t="s">
        <v>158</v>
      </c>
      <c r="E7204" t="s">
        <v>159</v>
      </c>
      <c r="F7204" t="s">
        <v>10724</v>
      </c>
      <c r="G7204">
        <v>2011363</v>
      </c>
      <c r="H7204" t="s">
        <v>139</v>
      </c>
      <c r="I7204" t="s">
        <v>1366</v>
      </c>
      <c r="J7204" t="str">
        <f>"9780814744659"</f>
        <v>9780814744659</v>
      </c>
      <c r="K7204" t="s">
        <v>10725</v>
      </c>
      <c r="L7204">
        <v>12</v>
      </c>
      <c r="O7204" t="s">
        <v>30</v>
      </c>
      <c r="P7204" t="s">
        <v>50</v>
      </c>
      <c r="S7204" t="s">
        <v>163</v>
      </c>
      <c r="T7204" t="s">
        <v>10726</v>
      </c>
      <c r="U7204" t="s">
        <v>10727</v>
      </c>
      <c r="V7204" s="3">
        <v>42125</v>
      </c>
    </row>
    <row r="7205" spans="1:22" x14ac:dyDescent="0.35">
      <c r="A7205" s="1">
        <v>42275.779143518521</v>
      </c>
      <c r="B7205" s="2">
        <v>1.7476851851851852E-3</v>
      </c>
      <c r="C7205" t="s">
        <v>10723</v>
      </c>
      <c r="D7205" t="s">
        <v>158</v>
      </c>
      <c r="E7205" t="s">
        <v>159</v>
      </c>
      <c r="F7205" t="s">
        <v>10728</v>
      </c>
      <c r="G7205">
        <v>1986948</v>
      </c>
      <c r="H7205" t="s">
        <v>26</v>
      </c>
      <c r="I7205" t="s">
        <v>1325</v>
      </c>
      <c r="J7205" t="str">
        <f>"9781119098362"</f>
        <v>9781119098362</v>
      </c>
      <c r="K7205" t="s">
        <v>10729</v>
      </c>
      <c r="L7205">
        <v>15</v>
      </c>
      <c r="O7205" t="s">
        <v>30</v>
      </c>
      <c r="P7205" t="s">
        <v>50</v>
      </c>
      <c r="S7205" t="s">
        <v>163</v>
      </c>
      <c r="T7205" t="s">
        <v>10730</v>
      </c>
      <c r="U7205">
        <v>362.29</v>
      </c>
      <c r="V7205" s="3">
        <v>42068</v>
      </c>
    </row>
    <row r="7206" spans="1:22" x14ac:dyDescent="0.35">
      <c r="A7206" s="1">
        <v>42275.754710648151</v>
      </c>
      <c r="B7206" s="2">
        <v>0</v>
      </c>
      <c r="C7206" t="s">
        <v>10710</v>
      </c>
      <c r="D7206" t="s">
        <v>23</v>
      </c>
      <c r="E7206" t="s">
        <v>24</v>
      </c>
      <c r="F7206" t="s">
        <v>10731</v>
      </c>
      <c r="G7206">
        <v>1113794</v>
      </c>
      <c r="H7206" t="s">
        <v>1365</v>
      </c>
      <c r="I7206" t="s">
        <v>630</v>
      </c>
      <c r="J7206" t="str">
        <f>"9781441138194"</f>
        <v>9781441138194</v>
      </c>
      <c r="L7206">
        <v>0</v>
      </c>
      <c r="O7206" t="s">
        <v>28</v>
      </c>
      <c r="P7206" t="s">
        <v>29</v>
      </c>
      <c r="Q7206" s="1">
        <v>42275.754710648151</v>
      </c>
      <c r="R7206">
        <v>7</v>
      </c>
      <c r="S7206" t="s">
        <v>31</v>
      </c>
      <c r="T7206" t="s">
        <v>10732</v>
      </c>
      <c r="U7206">
        <v>193</v>
      </c>
      <c r="V7206" s="3">
        <v>41291</v>
      </c>
    </row>
    <row r="7207" spans="1:22" x14ac:dyDescent="0.35">
      <c r="A7207" s="1">
        <v>42275.754710648151</v>
      </c>
      <c r="B7207" s="2">
        <v>0</v>
      </c>
      <c r="C7207" t="s">
        <v>10710</v>
      </c>
      <c r="D7207" t="s">
        <v>23</v>
      </c>
      <c r="E7207" t="s">
        <v>24</v>
      </c>
      <c r="F7207" t="s">
        <v>10731</v>
      </c>
      <c r="G7207">
        <v>1113794</v>
      </c>
      <c r="H7207" t="s">
        <v>1365</v>
      </c>
      <c r="I7207" t="s">
        <v>630</v>
      </c>
      <c r="J7207" t="str">
        <f>"9781441138194"</f>
        <v>9781441138194</v>
      </c>
      <c r="L7207">
        <v>0</v>
      </c>
      <c r="O7207" t="s">
        <v>30</v>
      </c>
      <c r="P7207" t="s">
        <v>29</v>
      </c>
      <c r="Q7207" s="1">
        <v>42275.754710648151</v>
      </c>
      <c r="R7207">
        <v>7</v>
      </c>
      <c r="S7207" t="s">
        <v>31</v>
      </c>
      <c r="T7207" t="s">
        <v>10732</v>
      </c>
      <c r="U7207">
        <v>193</v>
      </c>
      <c r="V7207" s="3">
        <v>41291</v>
      </c>
    </row>
    <row r="7208" spans="1:22" x14ac:dyDescent="0.35">
      <c r="A7208" s="1">
        <v>42275.754594907405</v>
      </c>
      <c r="B7208" s="2">
        <v>1.1574074074074073E-4</v>
      </c>
      <c r="C7208" t="s">
        <v>10710</v>
      </c>
      <c r="D7208" t="s">
        <v>23</v>
      </c>
      <c r="E7208" t="s">
        <v>24</v>
      </c>
      <c r="F7208" t="s">
        <v>10731</v>
      </c>
      <c r="G7208">
        <v>1113794</v>
      </c>
      <c r="H7208" t="s">
        <v>1365</v>
      </c>
      <c r="I7208" t="s">
        <v>630</v>
      </c>
      <c r="J7208" t="str">
        <f>"9781441138194"</f>
        <v>9781441138194</v>
      </c>
      <c r="K7208" t="s">
        <v>33</v>
      </c>
      <c r="L7208">
        <v>3</v>
      </c>
      <c r="O7208" t="s">
        <v>30</v>
      </c>
      <c r="P7208" t="s">
        <v>42</v>
      </c>
      <c r="S7208" t="s">
        <v>31</v>
      </c>
      <c r="T7208" t="s">
        <v>10732</v>
      </c>
      <c r="U7208">
        <v>193</v>
      </c>
      <c r="V7208" s="3">
        <v>41291</v>
      </c>
    </row>
    <row r="7209" spans="1:22" x14ac:dyDescent="0.35">
      <c r="A7209" s="1">
        <v>42275.73578703704</v>
      </c>
      <c r="B7209" s="2">
        <v>7.8703703703703705E-4</v>
      </c>
      <c r="C7209" t="s">
        <v>10733</v>
      </c>
      <c r="D7209" t="s">
        <v>158</v>
      </c>
      <c r="E7209" t="s">
        <v>159</v>
      </c>
      <c r="F7209" t="s">
        <v>7867</v>
      </c>
      <c r="G7209">
        <v>836633</v>
      </c>
      <c r="H7209" t="s">
        <v>26</v>
      </c>
      <c r="I7209" t="s">
        <v>219</v>
      </c>
      <c r="J7209" t="str">
        <f>"9781119953784"</f>
        <v>9781119953784</v>
      </c>
      <c r="K7209" t="s">
        <v>2846</v>
      </c>
      <c r="L7209">
        <v>5</v>
      </c>
      <c r="O7209" t="s">
        <v>30</v>
      </c>
      <c r="P7209" t="s">
        <v>29</v>
      </c>
      <c r="Q7209" s="1">
        <v>42275.73578703704</v>
      </c>
      <c r="R7209">
        <v>7</v>
      </c>
      <c r="S7209" t="s">
        <v>163</v>
      </c>
      <c r="T7209" t="s">
        <v>7869</v>
      </c>
      <c r="U7209">
        <v>153.69</v>
      </c>
      <c r="V7209" s="3">
        <v>40911</v>
      </c>
    </row>
    <row r="7210" spans="1:22" x14ac:dyDescent="0.35">
      <c r="A7210" s="1">
        <v>42275.731851851851</v>
      </c>
      <c r="B7210" s="2">
        <v>1.5219907407407409E-2</v>
      </c>
      <c r="C7210" t="s">
        <v>9998</v>
      </c>
      <c r="D7210" t="s">
        <v>623</v>
      </c>
      <c r="E7210" t="s">
        <v>624</v>
      </c>
      <c r="F7210" t="s">
        <v>9999</v>
      </c>
      <c r="G7210">
        <v>1546789</v>
      </c>
      <c r="H7210" t="s">
        <v>68</v>
      </c>
      <c r="I7210" t="s">
        <v>172</v>
      </c>
      <c r="J7210" t="str">
        <f>"9781317976431"</f>
        <v>9781317976431</v>
      </c>
      <c r="K7210" t="s">
        <v>10734</v>
      </c>
      <c r="L7210">
        <v>24</v>
      </c>
      <c r="O7210" t="s">
        <v>30</v>
      </c>
      <c r="P7210" t="s">
        <v>47</v>
      </c>
      <c r="Q7210" s="1">
        <v>42275.731851851851</v>
      </c>
      <c r="R7210">
        <v>1</v>
      </c>
      <c r="S7210" t="s">
        <v>627</v>
      </c>
      <c r="T7210" t="s">
        <v>10001</v>
      </c>
      <c r="U7210">
        <v>937.07</v>
      </c>
      <c r="V7210" s="3">
        <v>41585</v>
      </c>
    </row>
    <row r="7211" spans="1:22" x14ac:dyDescent="0.35">
      <c r="A7211" s="1">
        <v>42275.728356481479</v>
      </c>
      <c r="B7211" s="2">
        <v>7.4305555555555548E-3</v>
      </c>
      <c r="C7211" t="s">
        <v>10733</v>
      </c>
      <c r="D7211" t="s">
        <v>158</v>
      </c>
      <c r="E7211" t="s">
        <v>159</v>
      </c>
      <c r="F7211" t="s">
        <v>7867</v>
      </c>
      <c r="G7211">
        <v>836633</v>
      </c>
      <c r="H7211" t="s">
        <v>26</v>
      </c>
      <c r="I7211" t="s">
        <v>219</v>
      </c>
      <c r="J7211" t="str">
        <f>"9781119953784"</f>
        <v>9781119953784</v>
      </c>
      <c r="K7211" t="s">
        <v>10735</v>
      </c>
      <c r="L7211">
        <v>14</v>
      </c>
      <c r="O7211" t="s">
        <v>30</v>
      </c>
      <c r="P7211" t="s">
        <v>42</v>
      </c>
      <c r="S7211" t="s">
        <v>163</v>
      </c>
      <c r="T7211" t="s">
        <v>7869</v>
      </c>
      <c r="U7211">
        <v>153.69</v>
      </c>
      <c r="V7211" s="3">
        <v>40911</v>
      </c>
    </row>
    <row r="7212" spans="1:22" x14ac:dyDescent="0.35">
      <c r="A7212" s="1">
        <v>42275.727326388886</v>
      </c>
      <c r="B7212" s="2">
        <v>4.5254629629629629E-3</v>
      </c>
      <c r="C7212" t="s">
        <v>9998</v>
      </c>
      <c r="D7212" t="s">
        <v>623</v>
      </c>
      <c r="E7212" t="s">
        <v>624</v>
      </c>
      <c r="F7212" t="s">
        <v>9999</v>
      </c>
      <c r="G7212">
        <v>1546789</v>
      </c>
      <c r="H7212" t="s">
        <v>68</v>
      </c>
      <c r="I7212" t="s">
        <v>172</v>
      </c>
      <c r="J7212" t="str">
        <f>"9781317976431"</f>
        <v>9781317976431</v>
      </c>
      <c r="K7212" t="s">
        <v>10736</v>
      </c>
      <c r="L7212">
        <v>21</v>
      </c>
      <c r="O7212" t="s">
        <v>30</v>
      </c>
      <c r="P7212" t="s">
        <v>50</v>
      </c>
      <c r="S7212" t="s">
        <v>627</v>
      </c>
      <c r="T7212" t="s">
        <v>10001</v>
      </c>
      <c r="U7212">
        <v>937.07</v>
      </c>
      <c r="V7212" s="3">
        <v>41585</v>
      </c>
    </row>
    <row r="7213" spans="1:22" x14ac:dyDescent="0.35">
      <c r="A7213" s="1">
        <v>42275.721226851849</v>
      </c>
      <c r="B7213" s="2">
        <v>0</v>
      </c>
      <c r="C7213" t="s">
        <v>10737</v>
      </c>
      <c r="D7213" t="s">
        <v>23</v>
      </c>
      <c r="E7213" t="s">
        <v>24</v>
      </c>
      <c r="F7213" t="s">
        <v>61</v>
      </c>
      <c r="G7213">
        <v>699526</v>
      </c>
      <c r="H7213" t="s">
        <v>26</v>
      </c>
      <c r="I7213" t="s">
        <v>62</v>
      </c>
      <c r="J7213" t="str">
        <f>"9781118586006"</f>
        <v>9781118586006</v>
      </c>
      <c r="L7213">
        <v>0</v>
      </c>
      <c r="O7213" t="s">
        <v>28</v>
      </c>
      <c r="P7213" t="s">
        <v>29</v>
      </c>
      <c r="Q7213" s="1">
        <v>42275.721226851849</v>
      </c>
      <c r="R7213">
        <v>7</v>
      </c>
      <c r="S7213" t="s">
        <v>31</v>
      </c>
      <c r="T7213" t="s">
        <v>64</v>
      </c>
      <c r="U7213">
        <v>6.4</v>
      </c>
      <c r="V7213" s="3">
        <v>41222</v>
      </c>
    </row>
    <row r="7214" spans="1:22" x14ac:dyDescent="0.35">
      <c r="A7214" s="1">
        <v>42275.721226851849</v>
      </c>
      <c r="B7214" s="2">
        <v>0</v>
      </c>
      <c r="C7214" t="s">
        <v>10737</v>
      </c>
      <c r="D7214" t="s">
        <v>23</v>
      </c>
      <c r="E7214" t="s">
        <v>24</v>
      </c>
      <c r="F7214" t="s">
        <v>61</v>
      </c>
      <c r="G7214">
        <v>699526</v>
      </c>
      <c r="H7214" t="s">
        <v>26</v>
      </c>
      <c r="I7214" t="s">
        <v>62</v>
      </c>
      <c r="J7214" t="str">
        <f>"9781118586006"</f>
        <v>9781118586006</v>
      </c>
      <c r="L7214">
        <v>0</v>
      </c>
      <c r="O7214" t="s">
        <v>30</v>
      </c>
      <c r="P7214" t="s">
        <v>29</v>
      </c>
      <c r="Q7214" s="1">
        <v>42275.721226851849</v>
      </c>
      <c r="R7214">
        <v>7</v>
      </c>
      <c r="S7214" t="s">
        <v>31</v>
      </c>
      <c r="T7214" t="s">
        <v>64</v>
      </c>
      <c r="U7214">
        <v>6.4</v>
      </c>
      <c r="V7214" s="3">
        <v>41222</v>
      </c>
    </row>
    <row r="7215" spans="1:22" x14ac:dyDescent="0.35">
      <c r="A7215" s="1">
        <v>42275.720763888887</v>
      </c>
      <c r="B7215" s="2">
        <v>4.6296296296296293E-4</v>
      </c>
      <c r="C7215" t="s">
        <v>10737</v>
      </c>
      <c r="D7215" t="s">
        <v>23</v>
      </c>
      <c r="E7215" t="s">
        <v>24</v>
      </c>
      <c r="F7215" t="s">
        <v>61</v>
      </c>
      <c r="G7215">
        <v>699526</v>
      </c>
      <c r="H7215" t="s">
        <v>26</v>
      </c>
      <c r="I7215" t="s">
        <v>62</v>
      </c>
      <c r="J7215" t="str">
        <f>"9781118586006"</f>
        <v>9781118586006</v>
      </c>
      <c r="K7215" t="s">
        <v>611</v>
      </c>
      <c r="L7215">
        <v>3</v>
      </c>
      <c r="O7215" t="s">
        <v>30</v>
      </c>
      <c r="P7215" t="s">
        <v>42</v>
      </c>
      <c r="S7215" t="s">
        <v>31</v>
      </c>
      <c r="T7215" t="s">
        <v>64</v>
      </c>
      <c r="U7215">
        <v>6.4</v>
      </c>
      <c r="V7215" s="3">
        <v>41222</v>
      </c>
    </row>
    <row r="7216" spans="1:22" x14ac:dyDescent="0.35">
      <c r="A7216" s="1">
        <v>42275.700104166666</v>
      </c>
      <c r="B7216" s="2">
        <v>2.4305555555555552E-4</v>
      </c>
      <c r="C7216" t="s">
        <v>9966</v>
      </c>
      <c r="D7216" t="s">
        <v>2519</v>
      </c>
      <c r="E7216" t="s">
        <v>2520</v>
      </c>
      <c r="F7216" t="s">
        <v>9686</v>
      </c>
      <c r="G7216">
        <v>1501633</v>
      </c>
      <c r="H7216" t="s">
        <v>26</v>
      </c>
      <c r="I7216" t="s">
        <v>27</v>
      </c>
      <c r="J7216" t="str">
        <f>"9781118610701"</f>
        <v>9781118610701</v>
      </c>
      <c r="K7216" t="s">
        <v>4181</v>
      </c>
      <c r="L7216">
        <v>4</v>
      </c>
      <c r="O7216" t="s">
        <v>30</v>
      </c>
      <c r="P7216" t="s">
        <v>29</v>
      </c>
      <c r="Q7216" s="1">
        <v>42275.086863425924</v>
      </c>
      <c r="R7216">
        <v>7</v>
      </c>
      <c r="S7216" t="s">
        <v>3786</v>
      </c>
      <c r="T7216" t="s">
        <v>9687</v>
      </c>
      <c r="U7216">
        <v>480.09</v>
      </c>
      <c r="V7216" s="3">
        <v>41570</v>
      </c>
    </row>
    <row r="7217" spans="1:22" x14ac:dyDescent="0.35">
      <c r="A7217" s="1">
        <v>42275.6796875</v>
      </c>
      <c r="B7217" s="2">
        <v>1.8368055555555554E-2</v>
      </c>
      <c r="C7217" t="s">
        <v>106</v>
      </c>
      <c r="D7217" t="s">
        <v>23</v>
      </c>
      <c r="E7217" t="s">
        <v>24</v>
      </c>
      <c r="F7217" t="s">
        <v>486</v>
      </c>
      <c r="G7217">
        <v>1119505</v>
      </c>
      <c r="H7217" t="s">
        <v>26</v>
      </c>
      <c r="I7217" t="s">
        <v>450</v>
      </c>
      <c r="J7217" t="str">
        <f>"9781118355015"</f>
        <v>9781118355015</v>
      </c>
      <c r="K7217" t="s">
        <v>10738</v>
      </c>
      <c r="L7217">
        <v>24</v>
      </c>
      <c r="M7217" t="s">
        <v>8483</v>
      </c>
      <c r="O7217" t="s">
        <v>30</v>
      </c>
      <c r="P7217" t="s">
        <v>29</v>
      </c>
      <c r="Q7217" s="1">
        <v>42269.848877314813</v>
      </c>
      <c r="R7217">
        <v>7</v>
      </c>
      <c r="S7217" t="s">
        <v>31</v>
      </c>
      <c r="T7217" t="s">
        <v>487</v>
      </c>
      <c r="U7217" t="s">
        <v>488</v>
      </c>
      <c r="V7217" s="3">
        <v>41302</v>
      </c>
    </row>
    <row r="7218" spans="1:22" x14ac:dyDescent="0.35">
      <c r="A7218" s="1">
        <v>42275.652592592596</v>
      </c>
      <c r="B7218" s="2">
        <v>2.4305555555555552E-4</v>
      </c>
      <c r="C7218" t="s">
        <v>9998</v>
      </c>
      <c r="D7218" t="s">
        <v>623</v>
      </c>
      <c r="E7218" t="s">
        <v>624</v>
      </c>
      <c r="F7218" t="s">
        <v>9999</v>
      </c>
      <c r="G7218">
        <v>1546789</v>
      </c>
      <c r="H7218" t="s">
        <v>68</v>
      </c>
      <c r="I7218" t="s">
        <v>172</v>
      </c>
      <c r="J7218" t="str">
        <f>"9781317976431"</f>
        <v>9781317976431</v>
      </c>
      <c r="K7218" t="s">
        <v>10739</v>
      </c>
      <c r="L7218">
        <v>11</v>
      </c>
      <c r="O7218" t="s">
        <v>30</v>
      </c>
      <c r="P7218" t="s">
        <v>50</v>
      </c>
      <c r="S7218" t="s">
        <v>627</v>
      </c>
      <c r="T7218" t="s">
        <v>10001</v>
      </c>
      <c r="U7218">
        <v>937.07</v>
      </c>
      <c r="V7218" s="3">
        <v>41585</v>
      </c>
    </row>
    <row r="7219" spans="1:22" x14ac:dyDescent="0.35">
      <c r="A7219" s="1">
        <v>42275.644861111112</v>
      </c>
      <c r="B7219" s="2">
        <v>7.291666666666667E-4</v>
      </c>
      <c r="C7219" t="s">
        <v>106</v>
      </c>
      <c r="D7219" t="s">
        <v>23</v>
      </c>
      <c r="E7219" t="s">
        <v>24</v>
      </c>
      <c r="F7219" t="s">
        <v>486</v>
      </c>
      <c r="G7219">
        <v>1119505</v>
      </c>
      <c r="H7219" t="s">
        <v>26</v>
      </c>
      <c r="I7219" t="s">
        <v>450</v>
      </c>
      <c r="J7219" t="str">
        <f>"9781118355015"</f>
        <v>9781118355015</v>
      </c>
      <c r="K7219" t="s">
        <v>10740</v>
      </c>
      <c r="L7219">
        <v>10</v>
      </c>
      <c r="N7219" t="s">
        <v>10741</v>
      </c>
      <c r="O7219" t="s">
        <v>30</v>
      </c>
      <c r="P7219" t="s">
        <v>29</v>
      </c>
      <c r="Q7219" s="1">
        <v>42269.848877314813</v>
      </c>
      <c r="R7219">
        <v>7</v>
      </c>
      <c r="S7219" t="s">
        <v>31</v>
      </c>
      <c r="T7219" t="s">
        <v>487</v>
      </c>
      <c r="U7219" t="s">
        <v>488</v>
      </c>
      <c r="V7219" s="3">
        <v>41302</v>
      </c>
    </row>
    <row r="7220" spans="1:22" x14ac:dyDescent="0.35">
      <c r="A7220" s="1">
        <v>42275.626388888886</v>
      </c>
      <c r="B7220" s="2">
        <v>3.0092592592592595E-4</v>
      </c>
      <c r="C7220" t="s">
        <v>10119</v>
      </c>
      <c r="D7220" t="s">
        <v>360</v>
      </c>
      <c r="E7220" t="s">
        <v>361</v>
      </c>
      <c r="F7220" t="s">
        <v>10305</v>
      </c>
      <c r="G7220">
        <v>836567</v>
      </c>
      <c r="H7220" t="s">
        <v>26</v>
      </c>
      <c r="I7220" t="s">
        <v>10306</v>
      </c>
      <c r="J7220" t="str">
        <f>"9781118222034"</f>
        <v>9781118222034</v>
      </c>
      <c r="K7220" t="s">
        <v>10742</v>
      </c>
      <c r="L7220">
        <v>4</v>
      </c>
      <c r="O7220" t="s">
        <v>30</v>
      </c>
      <c r="P7220" t="s">
        <v>42</v>
      </c>
      <c r="S7220" t="s">
        <v>363</v>
      </c>
      <c r="T7220" t="s">
        <v>10743</v>
      </c>
      <c r="U7220">
        <v>651.50426100000004</v>
      </c>
      <c r="V7220" s="3">
        <v>41067</v>
      </c>
    </row>
    <row r="7221" spans="1:22" x14ac:dyDescent="0.35">
      <c r="A7221" s="1">
        <v>42275.592511574076</v>
      </c>
      <c r="B7221" s="2">
        <v>6.9444444444444444E-5</v>
      </c>
      <c r="C7221" t="s">
        <v>210</v>
      </c>
      <c r="D7221" t="s">
        <v>211</v>
      </c>
      <c r="E7221" t="s">
        <v>212</v>
      </c>
      <c r="F7221" t="s">
        <v>3186</v>
      </c>
      <c r="G7221">
        <v>699744</v>
      </c>
      <c r="H7221" t="s">
        <v>26</v>
      </c>
      <c r="I7221" t="s">
        <v>3187</v>
      </c>
      <c r="J7221" t="str">
        <f>"9781118585818"</f>
        <v>9781118585818</v>
      </c>
      <c r="K7221" t="s">
        <v>33</v>
      </c>
      <c r="L7221">
        <v>3</v>
      </c>
      <c r="O7221" t="s">
        <v>30</v>
      </c>
      <c r="P7221" t="s">
        <v>42</v>
      </c>
      <c r="S7221" t="s">
        <v>214</v>
      </c>
      <c r="T7221" t="s">
        <v>3188</v>
      </c>
      <c r="U7221">
        <v>621.36</v>
      </c>
      <c r="V7221" s="3">
        <v>41310</v>
      </c>
    </row>
    <row r="7222" spans="1:22" x14ac:dyDescent="0.35">
      <c r="A7222" s="1">
        <v>42275.586689814816</v>
      </c>
      <c r="B7222" s="2">
        <v>3.2407407407407406E-4</v>
      </c>
      <c r="C7222" t="s">
        <v>10744</v>
      </c>
      <c r="D7222" t="s">
        <v>261</v>
      </c>
      <c r="E7222" t="s">
        <v>262</v>
      </c>
      <c r="F7222" t="s">
        <v>10745</v>
      </c>
      <c r="G7222">
        <v>1666535</v>
      </c>
      <c r="H7222" t="s">
        <v>26</v>
      </c>
      <c r="I7222" t="s">
        <v>187</v>
      </c>
      <c r="J7222" t="str">
        <f>"9781118474365"</f>
        <v>9781118474365</v>
      </c>
      <c r="K7222" t="s">
        <v>10746</v>
      </c>
      <c r="L7222">
        <v>10</v>
      </c>
      <c r="O7222" t="s">
        <v>30</v>
      </c>
      <c r="P7222" t="s">
        <v>50</v>
      </c>
      <c r="S7222" t="s">
        <v>264</v>
      </c>
      <c r="T7222" t="s">
        <v>10747</v>
      </c>
      <c r="U7222" t="s">
        <v>10748</v>
      </c>
      <c r="V7222" s="3">
        <v>41732</v>
      </c>
    </row>
    <row r="7223" spans="1:22" x14ac:dyDescent="0.35">
      <c r="A7223" s="1">
        <v>42275.575115740743</v>
      </c>
      <c r="B7223" s="2">
        <v>1.6435185185185183E-3</v>
      </c>
      <c r="C7223" t="s">
        <v>106</v>
      </c>
      <c r="D7223" t="s">
        <v>23</v>
      </c>
      <c r="E7223" t="s">
        <v>24</v>
      </c>
      <c r="F7223" t="s">
        <v>4095</v>
      </c>
      <c r="G7223">
        <v>1910128</v>
      </c>
      <c r="H7223" t="s">
        <v>91</v>
      </c>
      <c r="I7223" t="s">
        <v>4096</v>
      </c>
      <c r="J7223" t="str">
        <f>"9781462519453"</f>
        <v>9781462519453</v>
      </c>
      <c r="K7223" t="s">
        <v>10749</v>
      </c>
      <c r="L7223">
        <v>24</v>
      </c>
      <c r="O7223" t="s">
        <v>30</v>
      </c>
      <c r="P7223" t="s">
        <v>50</v>
      </c>
      <c r="S7223" t="s">
        <v>31</v>
      </c>
      <c r="T7223" t="s">
        <v>4098</v>
      </c>
      <c r="U7223">
        <v>700</v>
      </c>
      <c r="V7223" s="3">
        <v>42045</v>
      </c>
    </row>
    <row r="7224" spans="1:22" x14ac:dyDescent="0.35">
      <c r="A7224" s="1">
        <v>42275.246134259258</v>
      </c>
      <c r="B7224" s="2">
        <v>4.8379629629629632E-3</v>
      </c>
      <c r="C7224" t="s">
        <v>10750</v>
      </c>
      <c r="D7224" t="s">
        <v>1222</v>
      </c>
      <c r="E7224" t="s">
        <v>1223</v>
      </c>
      <c r="F7224" t="s">
        <v>840</v>
      </c>
      <c r="G7224">
        <v>1166311</v>
      </c>
      <c r="H7224" t="s">
        <v>26</v>
      </c>
      <c r="I7224" t="s">
        <v>841</v>
      </c>
      <c r="J7224" t="str">
        <f>"9781118525616"</f>
        <v>9781118525616</v>
      </c>
      <c r="K7224" t="s">
        <v>10751</v>
      </c>
      <c r="L7224">
        <v>12</v>
      </c>
      <c r="O7224" t="s">
        <v>28</v>
      </c>
      <c r="P7224" t="s">
        <v>29</v>
      </c>
      <c r="Q7224" s="1">
        <v>42275.240891203706</v>
      </c>
      <c r="R7224">
        <v>7</v>
      </c>
      <c r="S7224" t="s">
        <v>1226</v>
      </c>
      <c r="T7224" t="s">
        <v>842</v>
      </c>
      <c r="U7224">
        <v>355.00700000000001</v>
      </c>
      <c r="V7224" s="3">
        <v>41366</v>
      </c>
    </row>
    <row r="7225" spans="1:22" x14ac:dyDescent="0.35">
      <c r="A7225" s="1">
        <v>42275.240891203706</v>
      </c>
      <c r="B7225" s="2">
        <v>5.0347222222222225E-3</v>
      </c>
      <c r="C7225" t="s">
        <v>10750</v>
      </c>
      <c r="D7225" t="s">
        <v>1222</v>
      </c>
      <c r="E7225" t="s">
        <v>1223</v>
      </c>
      <c r="F7225" t="s">
        <v>840</v>
      </c>
      <c r="G7225">
        <v>1166311</v>
      </c>
      <c r="H7225" t="s">
        <v>26</v>
      </c>
      <c r="I7225" t="s">
        <v>841</v>
      </c>
      <c r="J7225" t="str">
        <f>"9781118525616"</f>
        <v>9781118525616</v>
      </c>
      <c r="K7225" t="s">
        <v>10752</v>
      </c>
      <c r="L7225">
        <v>18</v>
      </c>
      <c r="O7225" t="s">
        <v>30</v>
      </c>
      <c r="P7225" t="s">
        <v>29</v>
      </c>
      <c r="Q7225" s="1">
        <v>42275.240891203706</v>
      </c>
      <c r="R7225">
        <v>7</v>
      </c>
      <c r="S7225" t="s">
        <v>1226</v>
      </c>
      <c r="T7225" t="s">
        <v>842</v>
      </c>
      <c r="U7225">
        <v>355.00700000000001</v>
      </c>
      <c r="V7225" s="3">
        <v>41366</v>
      </c>
    </row>
    <row r="7226" spans="1:22" x14ac:dyDescent="0.35">
      <c r="A7226" s="1">
        <v>42275.233796296299</v>
      </c>
      <c r="B7226" s="2">
        <v>7.0949074074074074E-3</v>
      </c>
      <c r="C7226" t="s">
        <v>10750</v>
      </c>
      <c r="D7226" t="s">
        <v>1222</v>
      </c>
      <c r="E7226" t="s">
        <v>1223</v>
      </c>
      <c r="F7226" t="s">
        <v>840</v>
      </c>
      <c r="G7226">
        <v>1166311</v>
      </c>
      <c r="H7226" t="s">
        <v>26</v>
      </c>
      <c r="I7226" t="s">
        <v>841</v>
      </c>
      <c r="J7226" t="str">
        <f>"9781118525616"</f>
        <v>9781118525616</v>
      </c>
      <c r="K7226" t="s">
        <v>10753</v>
      </c>
      <c r="L7226">
        <v>12</v>
      </c>
      <c r="O7226" t="s">
        <v>30</v>
      </c>
      <c r="P7226" t="s">
        <v>42</v>
      </c>
      <c r="S7226" t="s">
        <v>1226</v>
      </c>
      <c r="T7226" t="s">
        <v>842</v>
      </c>
      <c r="U7226">
        <v>355.00700000000001</v>
      </c>
      <c r="V7226" s="3">
        <v>41366</v>
      </c>
    </row>
    <row r="7227" spans="1:22" x14ac:dyDescent="0.35">
      <c r="A7227" s="1">
        <v>42275.156655092593</v>
      </c>
      <c r="B7227" s="2">
        <v>1.0983796296296297E-2</v>
      </c>
      <c r="C7227" t="s">
        <v>106</v>
      </c>
      <c r="D7227" t="s">
        <v>23</v>
      </c>
      <c r="E7227" t="s">
        <v>24</v>
      </c>
      <c r="F7227" t="s">
        <v>486</v>
      </c>
      <c r="G7227">
        <v>1119505</v>
      </c>
      <c r="H7227" t="s">
        <v>26</v>
      </c>
      <c r="I7227" t="s">
        <v>450</v>
      </c>
      <c r="J7227" t="str">
        <f>"9781118355015"</f>
        <v>9781118355015</v>
      </c>
      <c r="K7227" t="s">
        <v>10754</v>
      </c>
      <c r="L7227">
        <v>20</v>
      </c>
      <c r="O7227" t="s">
        <v>30</v>
      </c>
      <c r="P7227" t="s">
        <v>29</v>
      </c>
      <c r="Q7227" s="1">
        <v>42269.848877314813</v>
      </c>
      <c r="R7227">
        <v>7</v>
      </c>
      <c r="S7227" t="s">
        <v>31</v>
      </c>
      <c r="T7227" t="s">
        <v>487</v>
      </c>
      <c r="U7227" t="s">
        <v>488</v>
      </c>
      <c r="V7227" s="3">
        <v>41302</v>
      </c>
    </row>
    <row r="7228" spans="1:22" x14ac:dyDescent="0.35">
      <c r="A7228" s="1">
        <v>42275.13689814815</v>
      </c>
      <c r="B7228" s="2">
        <v>3.4722222222222222E-5</v>
      </c>
      <c r="C7228" t="s">
        <v>10755</v>
      </c>
      <c r="D7228" t="s">
        <v>35</v>
      </c>
      <c r="E7228" t="s">
        <v>36</v>
      </c>
      <c r="F7228" t="s">
        <v>10756</v>
      </c>
      <c r="G7228">
        <v>1650803</v>
      </c>
      <c r="H7228" t="s">
        <v>84</v>
      </c>
      <c r="I7228" t="s">
        <v>150</v>
      </c>
      <c r="J7228" t="str">
        <f>"9780520958340"</f>
        <v>9780520958340</v>
      </c>
      <c r="K7228" t="s">
        <v>33</v>
      </c>
      <c r="L7228">
        <v>3</v>
      </c>
      <c r="O7228" t="s">
        <v>30</v>
      </c>
      <c r="P7228" t="s">
        <v>29</v>
      </c>
      <c r="Q7228" s="1">
        <v>42269.922824074078</v>
      </c>
      <c r="R7228">
        <v>7</v>
      </c>
      <c r="S7228" t="s">
        <v>40</v>
      </c>
      <c r="T7228" t="s">
        <v>10757</v>
      </c>
      <c r="U7228" t="s">
        <v>10758</v>
      </c>
      <c r="V7228" s="3">
        <v>41716</v>
      </c>
    </row>
    <row r="7229" spans="1:22" x14ac:dyDescent="0.35">
      <c r="A7229" s="1">
        <v>42275.113032407404</v>
      </c>
      <c r="B7229" s="2">
        <v>2.2453703703703702E-3</v>
      </c>
      <c r="C7229" t="s">
        <v>6271</v>
      </c>
      <c r="D7229" t="s">
        <v>23</v>
      </c>
      <c r="E7229" t="s">
        <v>24</v>
      </c>
      <c r="F7229" t="s">
        <v>1051</v>
      </c>
      <c r="G7229">
        <v>821663</v>
      </c>
      <c r="H7229" t="s">
        <v>26</v>
      </c>
      <c r="I7229" t="s">
        <v>200</v>
      </c>
      <c r="J7229" t="str">
        <f>"9781118168479"</f>
        <v>9781118168479</v>
      </c>
      <c r="K7229" t="s">
        <v>86</v>
      </c>
      <c r="L7229">
        <v>5</v>
      </c>
      <c r="O7229" t="s">
        <v>30</v>
      </c>
      <c r="P7229" t="s">
        <v>42</v>
      </c>
      <c r="S7229" t="s">
        <v>31</v>
      </c>
      <c r="T7229" t="s">
        <v>1053</v>
      </c>
      <c r="U7229">
        <v>729</v>
      </c>
      <c r="V7229" s="3">
        <v>40973</v>
      </c>
    </row>
    <row r="7230" spans="1:22" x14ac:dyDescent="0.35">
      <c r="A7230" s="1">
        <v>42275.098634259259</v>
      </c>
      <c r="B7230" s="2">
        <v>4.8611111111111104E-4</v>
      </c>
      <c r="C7230" t="s">
        <v>106</v>
      </c>
      <c r="D7230" t="s">
        <v>23</v>
      </c>
      <c r="E7230" t="s">
        <v>24</v>
      </c>
      <c r="F7230" t="s">
        <v>486</v>
      </c>
      <c r="G7230">
        <v>1119505</v>
      </c>
      <c r="H7230" t="s">
        <v>26</v>
      </c>
      <c r="I7230" t="s">
        <v>450</v>
      </c>
      <c r="J7230" t="str">
        <f>"9781118355015"</f>
        <v>9781118355015</v>
      </c>
      <c r="K7230" t="s">
        <v>10759</v>
      </c>
      <c r="L7230">
        <v>8</v>
      </c>
      <c r="O7230" t="s">
        <v>30</v>
      </c>
      <c r="P7230" t="s">
        <v>29</v>
      </c>
      <c r="Q7230" s="1">
        <v>42269.848877314813</v>
      </c>
      <c r="R7230">
        <v>7</v>
      </c>
      <c r="S7230" t="s">
        <v>31</v>
      </c>
      <c r="T7230" t="s">
        <v>487</v>
      </c>
      <c r="U7230" t="s">
        <v>488</v>
      </c>
      <c r="V7230" s="3">
        <v>41302</v>
      </c>
    </row>
    <row r="7231" spans="1:22" x14ac:dyDescent="0.35">
      <c r="A7231" s="1">
        <v>42275.086863425924</v>
      </c>
      <c r="B7231" s="2">
        <v>8.6805555555555551E-4</v>
      </c>
      <c r="C7231" t="s">
        <v>9966</v>
      </c>
      <c r="D7231" t="s">
        <v>2519</v>
      </c>
      <c r="E7231" t="s">
        <v>2520</v>
      </c>
      <c r="F7231" t="s">
        <v>9686</v>
      </c>
      <c r="G7231">
        <v>1501633</v>
      </c>
      <c r="H7231" t="s">
        <v>26</v>
      </c>
      <c r="I7231" t="s">
        <v>27</v>
      </c>
      <c r="J7231" t="str">
        <f>"9781118610701"</f>
        <v>9781118610701</v>
      </c>
      <c r="K7231" t="s">
        <v>10760</v>
      </c>
      <c r="L7231">
        <v>14</v>
      </c>
      <c r="O7231" t="s">
        <v>30</v>
      </c>
      <c r="P7231" t="s">
        <v>29</v>
      </c>
      <c r="Q7231" s="1">
        <v>42275.086863425924</v>
      </c>
      <c r="R7231">
        <v>7</v>
      </c>
      <c r="S7231" t="s">
        <v>3786</v>
      </c>
      <c r="T7231" t="s">
        <v>9687</v>
      </c>
      <c r="U7231">
        <v>480.09</v>
      </c>
      <c r="V7231" s="3">
        <v>41570</v>
      </c>
    </row>
    <row r="7232" spans="1:22" x14ac:dyDescent="0.35">
      <c r="A7232" s="1">
        <v>42275.080729166664</v>
      </c>
      <c r="B7232" s="2">
        <v>1.3888888888888889E-4</v>
      </c>
      <c r="C7232" t="s">
        <v>7442</v>
      </c>
      <c r="D7232" t="s">
        <v>623</v>
      </c>
      <c r="E7232" t="s">
        <v>624</v>
      </c>
      <c r="F7232" t="s">
        <v>7443</v>
      </c>
      <c r="G7232">
        <v>1887746</v>
      </c>
      <c r="H7232" t="s">
        <v>26</v>
      </c>
      <c r="I7232" t="s">
        <v>426</v>
      </c>
      <c r="J7232" t="str">
        <f>"9781118697559"</f>
        <v>9781118697559</v>
      </c>
      <c r="K7232" t="s">
        <v>4072</v>
      </c>
      <c r="L7232">
        <v>8</v>
      </c>
      <c r="O7232" t="s">
        <v>30</v>
      </c>
      <c r="P7232" t="s">
        <v>50</v>
      </c>
      <c r="S7232" t="s">
        <v>627</v>
      </c>
      <c r="T7232" t="s">
        <v>7444</v>
      </c>
      <c r="U7232">
        <v>248</v>
      </c>
      <c r="V7232" s="3">
        <v>41424</v>
      </c>
    </row>
    <row r="7233" spans="1:22" x14ac:dyDescent="0.35">
      <c r="A7233" s="1">
        <v>42275.075104166666</v>
      </c>
      <c r="B7233" s="2">
        <v>3.4722222222222222E-5</v>
      </c>
      <c r="C7233" t="s">
        <v>7442</v>
      </c>
      <c r="D7233" t="s">
        <v>623</v>
      </c>
      <c r="E7233" t="s">
        <v>624</v>
      </c>
      <c r="F7233" t="s">
        <v>10761</v>
      </c>
      <c r="G7233">
        <v>1397071</v>
      </c>
      <c r="H7233" t="s">
        <v>68</v>
      </c>
      <c r="I7233" t="s">
        <v>426</v>
      </c>
      <c r="J7233" t="str">
        <f>"9781317998525"</f>
        <v>9781317998525</v>
      </c>
      <c r="K7233" t="s">
        <v>33</v>
      </c>
      <c r="L7233">
        <v>3</v>
      </c>
      <c r="O7233" t="s">
        <v>30</v>
      </c>
      <c r="P7233" t="s">
        <v>50</v>
      </c>
      <c r="S7233" t="s">
        <v>627</v>
      </c>
      <c r="U7233">
        <v>297</v>
      </c>
      <c r="V7233" s="3">
        <v>41530</v>
      </c>
    </row>
    <row r="7234" spans="1:22" x14ac:dyDescent="0.35">
      <c r="A7234" s="1">
        <v>42275.069363425922</v>
      </c>
      <c r="B7234" s="2">
        <v>5.9027777777777778E-4</v>
      </c>
      <c r="C7234" t="s">
        <v>7442</v>
      </c>
      <c r="D7234" t="s">
        <v>623</v>
      </c>
      <c r="E7234" t="s">
        <v>624</v>
      </c>
      <c r="F7234" t="s">
        <v>7443</v>
      </c>
      <c r="G7234">
        <v>1887746</v>
      </c>
      <c r="H7234" t="s">
        <v>26</v>
      </c>
      <c r="I7234" t="s">
        <v>426</v>
      </c>
      <c r="J7234" t="str">
        <f>"9781118697559"</f>
        <v>9781118697559</v>
      </c>
      <c r="K7234" t="s">
        <v>463</v>
      </c>
      <c r="L7234">
        <v>9</v>
      </c>
      <c r="O7234" t="s">
        <v>30</v>
      </c>
      <c r="P7234" t="s">
        <v>50</v>
      </c>
      <c r="S7234" t="s">
        <v>627</v>
      </c>
      <c r="T7234" t="s">
        <v>7444</v>
      </c>
      <c r="U7234">
        <v>248</v>
      </c>
      <c r="V7234" s="3">
        <v>41424</v>
      </c>
    </row>
    <row r="7235" spans="1:22" x14ac:dyDescent="0.35">
      <c r="A7235" s="1">
        <v>42275.069062499999</v>
      </c>
      <c r="B7235" s="2">
        <v>9.8379629629629642E-4</v>
      </c>
      <c r="C7235" t="s">
        <v>10762</v>
      </c>
      <c r="D7235" t="s">
        <v>623</v>
      </c>
      <c r="E7235" t="s">
        <v>624</v>
      </c>
      <c r="F7235" t="s">
        <v>52</v>
      </c>
      <c r="G7235">
        <v>822040</v>
      </c>
      <c r="H7235" t="s">
        <v>26</v>
      </c>
      <c r="I7235" t="s">
        <v>53</v>
      </c>
      <c r="J7235" t="str">
        <f>"9781118289099"</f>
        <v>9781118289099</v>
      </c>
      <c r="K7235" t="s">
        <v>10763</v>
      </c>
      <c r="L7235">
        <v>24</v>
      </c>
      <c r="O7235" t="s">
        <v>30</v>
      </c>
      <c r="P7235" t="s">
        <v>42</v>
      </c>
      <c r="S7235" t="s">
        <v>627</v>
      </c>
      <c r="T7235" t="s">
        <v>55</v>
      </c>
      <c r="U7235" t="s">
        <v>56</v>
      </c>
      <c r="V7235" s="3">
        <v>40990</v>
      </c>
    </row>
    <row r="7236" spans="1:22" x14ac:dyDescent="0.35">
      <c r="A7236" s="1">
        <v>42275.067094907405</v>
      </c>
      <c r="B7236" s="2">
        <v>6.7129629629629625E-4</v>
      </c>
      <c r="C7236" t="s">
        <v>7442</v>
      </c>
      <c r="D7236" t="s">
        <v>623</v>
      </c>
      <c r="E7236" t="s">
        <v>624</v>
      </c>
      <c r="F7236" t="s">
        <v>7443</v>
      </c>
      <c r="G7236">
        <v>1887746</v>
      </c>
      <c r="H7236" t="s">
        <v>26</v>
      </c>
      <c r="I7236" t="s">
        <v>426</v>
      </c>
      <c r="J7236" t="str">
        <f>"9781118697559"</f>
        <v>9781118697559</v>
      </c>
      <c r="K7236" t="s">
        <v>10764</v>
      </c>
      <c r="L7236">
        <v>13</v>
      </c>
      <c r="O7236" t="s">
        <v>30</v>
      </c>
      <c r="P7236" t="s">
        <v>50</v>
      </c>
      <c r="S7236" t="s">
        <v>627</v>
      </c>
      <c r="T7236" t="s">
        <v>7444</v>
      </c>
      <c r="U7236">
        <v>248</v>
      </c>
      <c r="V7236" s="3">
        <v>41424</v>
      </c>
    </row>
    <row r="7237" spans="1:22" x14ac:dyDescent="0.35">
      <c r="A7237" s="1">
        <v>42275.046979166669</v>
      </c>
      <c r="B7237" s="2">
        <v>5.4398148148148144E-4</v>
      </c>
      <c r="C7237" t="s">
        <v>10765</v>
      </c>
      <c r="D7237" t="s">
        <v>23</v>
      </c>
      <c r="E7237" t="s">
        <v>24</v>
      </c>
      <c r="F7237" t="s">
        <v>246</v>
      </c>
      <c r="G7237">
        <v>1682559</v>
      </c>
      <c r="H7237" t="s">
        <v>91</v>
      </c>
      <c r="I7237" t="s">
        <v>247</v>
      </c>
      <c r="J7237" t="str">
        <f>"9781462515431"</f>
        <v>9781462515431</v>
      </c>
      <c r="K7237" t="s">
        <v>10766</v>
      </c>
      <c r="L7237">
        <v>23</v>
      </c>
      <c r="O7237" t="s">
        <v>30</v>
      </c>
      <c r="P7237" t="s">
        <v>42</v>
      </c>
      <c r="S7237" t="s">
        <v>31</v>
      </c>
      <c r="T7237" t="s">
        <v>249</v>
      </c>
      <c r="U7237">
        <v>616.89</v>
      </c>
      <c r="V7237" s="3">
        <v>41769</v>
      </c>
    </row>
    <row r="7238" spans="1:22" x14ac:dyDescent="0.35">
      <c r="A7238" s="1">
        <v>42275.034733796296</v>
      </c>
      <c r="B7238" s="2">
        <v>3.30787037037037E-2</v>
      </c>
      <c r="C7238" t="s">
        <v>10767</v>
      </c>
      <c r="D7238" t="s">
        <v>23</v>
      </c>
      <c r="E7238" t="s">
        <v>24</v>
      </c>
      <c r="F7238" t="s">
        <v>4180</v>
      </c>
      <c r="G7238">
        <v>1711615</v>
      </c>
      <c r="H7238" t="s">
        <v>26</v>
      </c>
      <c r="I7238" t="s">
        <v>276</v>
      </c>
      <c r="J7238" t="str">
        <f>"9781118461068"</f>
        <v>9781118461068</v>
      </c>
      <c r="K7238" t="s">
        <v>10768</v>
      </c>
      <c r="L7238">
        <v>85</v>
      </c>
      <c r="O7238" t="s">
        <v>30</v>
      </c>
      <c r="P7238" t="s">
        <v>47</v>
      </c>
      <c r="Q7238" s="1">
        <v>42275.034733796296</v>
      </c>
      <c r="R7238">
        <v>1</v>
      </c>
      <c r="S7238" t="s">
        <v>31</v>
      </c>
      <c r="T7238" t="s">
        <v>10769</v>
      </c>
      <c r="U7238">
        <v>5.133</v>
      </c>
      <c r="V7238" s="3">
        <v>41793</v>
      </c>
    </row>
    <row r="7239" spans="1:22" x14ac:dyDescent="0.35">
      <c r="A7239" s="1">
        <v>42275.0315162037</v>
      </c>
      <c r="B7239" s="2">
        <v>4.6296296296296294E-5</v>
      </c>
      <c r="C7239" t="s">
        <v>10770</v>
      </c>
      <c r="D7239" t="s">
        <v>158</v>
      </c>
      <c r="E7239" t="s">
        <v>159</v>
      </c>
      <c r="F7239" t="s">
        <v>3159</v>
      </c>
      <c r="G7239">
        <v>947565</v>
      </c>
      <c r="H7239" t="s">
        <v>26</v>
      </c>
      <c r="I7239" t="s">
        <v>3160</v>
      </c>
      <c r="J7239" t="str">
        <f>"9781118416945"</f>
        <v>9781118416945</v>
      </c>
      <c r="K7239" t="s">
        <v>33</v>
      </c>
      <c r="L7239">
        <v>3</v>
      </c>
      <c r="O7239" t="s">
        <v>30</v>
      </c>
      <c r="P7239" t="s">
        <v>42</v>
      </c>
      <c r="S7239" t="s">
        <v>163</v>
      </c>
      <c r="T7239" t="s">
        <v>3161</v>
      </c>
      <c r="U7239">
        <v>6.6859999999999999</v>
      </c>
      <c r="V7239" s="3">
        <v>41296</v>
      </c>
    </row>
    <row r="7240" spans="1:22" x14ac:dyDescent="0.35">
      <c r="A7240" s="1">
        <v>42275.030509259261</v>
      </c>
      <c r="B7240" s="2">
        <v>4.2245370370370371E-3</v>
      </c>
      <c r="C7240" t="s">
        <v>10767</v>
      </c>
      <c r="D7240" t="s">
        <v>23</v>
      </c>
      <c r="E7240" t="s">
        <v>24</v>
      </c>
      <c r="F7240" t="s">
        <v>4180</v>
      </c>
      <c r="G7240">
        <v>1711615</v>
      </c>
      <c r="H7240" t="s">
        <v>26</v>
      </c>
      <c r="I7240" t="s">
        <v>276</v>
      </c>
      <c r="J7240" t="str">
        <f>"9781118461068"</f>
        <v>9781118461068</v>
      </c>
      <c r="K7240" t="s">
        <v>10771</v>
      </c>
      <c r="L7240">
        <v>21</v>
      </c>
      <c r="O7240" t="s">
        <v>30</v>
      </c>
      <c r="P7240" t="s">
        <v>50</v>
      </c>
      <c r="S7240" t="s">
        <v>31</v>
      </c>
      <c r="T7240" t="s">
        <v>10769</v>
      </c>
      <c r="U7240">
        <v>5.133</v>
      </c>
      <c r="V7240" s="3">
        <v>41793</v>
      </c>
    </row>
    <row r="7241" spans="1:22" x14ac:dyDescent="0.35">
      <c r="A7241" s="1">
        <v>42275.028946759259</v>
      </c>
      <c r="B7241" s="2">
        <v>1.2962962962962963E-3</v>
      </c>
      <c r="C7241" t="s">
        <v>10767</v>
      </c>
      <c r="D7241" t="s">
        <v>23</v>
      </c>
      <c r="E7241" t="s">
        <v>24</v>
      </c>
      <c r="F7241" t="s">
        <v>10772</v>
      </c>
      <c r="G7241">
        <v>1688015</v>
      </c>
      <c r="H7241" t="s">
        <v>26</v>
      </c>
      <c r="I7241" t="s">
        <v>276</v>
      </c>
      <c r="J7241" t="str">
        <f>"9781118461037"</f>
        <v>9781118461037</v>
      </c>
      <c r="K7241" t="s">
        <v>10773</v>
      </c>
      <c r="L7241">
        <v>23</v>
      </c>
      <c r="O7241" t="s">
        <v>30</v>
      </c>
      <c r="P7241" t="s">
        <v>47</v>
      </c>
      <c r="Q7241" s="1">
        <v>42275.028946759259</v>
      </c>
      <c r="R7241">
        <v>1</v>
      </c>
      <c r="S7241" t="s">
        <v>31</v>
      </c>
      <c r="T7241" t="s">
        <v>10769</v>
      </c>
      <c r="U7241">
        <v>5</v>
      </c>
      <c r="V7241" s="3">
        <v>41712</v>
      </c>
    </row>
    <row r="7242" spans="1:22" x14ac:dyDescent="0.35">
      <c r="A7242" s="1">
        <v>42275.026018518518</v>
      </c>
      <c r="B7242" s="2">
        <v>7.291666666666667E-4</v>
      </c>
      <c r="C7242" t="s">
        <v>10767</v>
      </c>
      <c r="D7242" t="s">
        <v>23</v>
      </c>
      <c r="E7242" t="s">
        <v>24</v>
      </c>
      <c r="F7242" t="s">
        <v>10774</v>
      </c>
      <c r="G7242">
        <v>1895661</v>
      </c>
      <c r="H7242" t="s">
        <v>26</v>
      </c>
      <c r="I7242" t="s">
        <v>5989</v>
      </c>
      <c r="J7242" t="str">
        <f>"9781118853276"</f>
        <v>9781118853276</v>
      </c>
      <c r="K7242" t="s">
        <v>10775</v>
      </c>
      <c r="L7242">
        <v>17</v>
      </c>
      <c r="O7242" t="s">
        <v>30</v>
      </c>
      <c r="P7242" t="s">
        <v>50</v>
      </c>
      <c r="S7242" t="s">
        <v>31</v>
      </c>
      <c r="T7242" t="s">
        <v>10776</v>
      </c>
      <c r="U7242">
        <v>530.07600000000002</v>
      </c>
      <c r="V7242" s="3">
        <v>42130</v>
      </c>
    </row>
    <row r="7243" spans="1:22" x14ac:dyDescent="0.35">
      <c r="A7243" s="1">
        <v>42275.025694444441</v>
      </c>
      <c r="B7243" s="2">
        <v>1.0069444444444444E-3</v>
      </c>
      <c r="C7243" t="s">
        <v>7442</v>
      </c>
      <c r="D7243" t="s">
        <v>623</v>
      </c>
      <c r="E7243" t="s">
        <v>624</v>
      </c>
      <c r="F7243" t="s">
        <v>10777</v>
      </c>
      <c r="G7243">
        <v>1763123</v>
      </c>
      <c r="H7243" t="s">
        <v>45</v>
      </c>
      <c r="I7243" t="s">
        <v>426</v>
      </c>
      <c r="J7243" t="str">
        <f>"9781409470267"</f>
        <v>9781409470267</v>
      </c>
      <c r="K7243" t="s">
        <v>10778</v>
      </c>
      <c r="L7243">
        <v>20</v>
      </c>
      <c r="O7243" t="s">
        <v>30</v>
      </c>
      <c r="P7243" t="s">
        <v>50</v>
      </c>
      <c r="S7243" t="s">
        <v>627</v>
      </c>
      <c r="T7243" t="s">
        <v>10779</v>
      </c>
      <c r="U7243" t="s">
        <v>10780</v>
      </c>
      <c r="V7243" s="3">
        <v>41940</v>
      </c>
    </row>
    <row r="7244" spans="1:22" x14ac:dyDescent="0.35">
      <c r="A7244" s="1">
        <v>42275.022175925929</v>
      </c>
      <c r="B7244" s="2">
        <v>6.7708333333333336E-3</v>
      </c>
      <c r="C7244" t="s">
        <v>10767</v>
      </c>
      <c r="D7244" t="s">
        <v>23</v>
      </c>
      <c r="E7244" t="s">
        <v>24</v>
      </c>
      <c r="F7244" t="s">
        <v>10772</v>
      </c>
      <c r="G7244">
        <v>1688015</v>
      </c>
      <c r="H7244" t="s">
        <v>26</v>
      </c>
      <c r="I7244" t="s">
        <v>276</v>
      </c>
      <c r="J7244" t="str">
        <f>"9781118461037"</f>
        <v>9781118461037</v>
      </c>
      <c r="K7244" t="s">
        <v>10781</v>
      </c>
      <c r="L7244">
        <v>10</v>
      </c>
      <c r="O7244" t="s">
        <v>30</v>
      </c>
      <c r="P7244" t="s">
        <v>50</v>
      </c>
      <c r="S7244" t="s">
        <v>31</v>
      </c>
      <c r="T7244" t="s">
        <v>10769</v>
      </c>
      <c r="U7244">
        <v>5</v>
      </c>
      <c r="V7244" s="3">
        <v>41712</v>
      </c>
    </row>
    <row r="7245" spans="1:22" x14ac:dyDescent="0.35">
      <c r="A7245" s="1">
        <v>42275.011030092595</v>
      </c>
      <c r="B7245" s="2">
        <v>7.6226851851851851E-2</v>
      </c>
      <c r="C7245" t="s">
        <v>8508</v>
      </c>
      <c r="D7245" t="s">
        <v>23</v>
      </c>
      <c r="E7245" t="s">
        <v>24</v>
      </c>
      <c r="F7245" t="s">
        <v>5954</v>
      </c>
      <c r="G7245">
        <v>864784</v>
      </c>
      <c r="H7245" t="s">
        <v>492</v>
      </c>
      <c r="I7245" t="s">
        <v>69</v>
      </c>
      <c r="J7245" t="str">
        <f>"9781400841578"</f>
        <v>9781400841578</v>
      </c>
      <c r="K7245" t="s">
        <v>10782</v>
      </c>
      <c r="L7245">
        <v>35</v>
      </c>
      <c r="O7245" t="s">
        <v>30</v>
      </c>
      <c r="P7245" t="s">
        <v>42</v>
      </c>
      <c r="S7245" t="s">
        <v>31</v>
      </c>
      <c r="T7245" t="s">
        <v>5956</v>
      </c>
      <c r="U7245">
        <v>378.73</v>
      </c>
      <c r="V7245" s="3">
        <v>41786</v>
      </c>
    </row>
    <row r="7246" spans="1:22" x14ac:dyDescent="0.35">
      <c r="A7246" s="1">
        <v>42275.006458333337</v>
      </c>
      <c r="B7246" s="2">
        <v>8.0405092592592597E-2</v>
      </c>
      <c r="C7246" t="s">
        <v>9966</v>
      </c>
      <c r="D7246" t="s">
        <v>2519</v>
      </c>
      <c r="E7246" t="s">
        <v>2520</v>
      </c>
      <c r="F7246" t="s">
        <v>9686</v>
      </c>
      <c r="G7246">
        <v>1501633</v>
      </c>
      <c r="H7246" t="s">
        <v>26</v>
      </c>
      <c r="I7246" t="s">
        <v>27</v>
      </c>
      <c r="J7246" t="str">
        <f>"9781118610701"</f>
        <v>9781118610701</v>
      </c>
      <c r="K7246" t="s">
        <v>10783</v>
      </c>
      <c r="L7246">
        <v>8</v>
      </c>
      <c r="O7246" t="s">
        <v>30</v>
      </c>
      <c r="P7246" t="s">
        <v>50</v>
      </c>
      <c r="S7246" t="s">
        <v>3786</v>
      </c>
      <c r="T7246" t="s">
        <v>9687</v>
      </c>
      <c r="U7246">
        <v>480.09</v>
      </c>
      <c r="V7246" s="3">
        <v>41570</v>
      </c>
    </row>
    <row r="7247" spans="1:22" x14ac:dyDescent="0.35">
      <c r="A7247" s="1">
        <v>42274.988425925927</v>
      </c>
      <c r="B7247" s="2">
        <v>6.5972222222222213E-4</v>
      </c>
      <c r="C7247" t="s">
        <v>3185</v>
      </c>
      <c r="D7247" t="s">
        <v>23</v>
      </c>
      <c r="E7247" t="s">
        <v>24</v>
      </c>
      <c r="F7247" t="s">
        <v>3186</v>
      </c>
      <c r="G7247">
        <v>699744</v>
      </c>
      <c r="H7247" t="s">
        <v>26</v>
      </c>
      <c r="I7247" t="s">
        <v>3187</v>
      </c>
      <c r="J7247" t="str">
        <f>"9781118585818"</f>
        <v>9781118585818</v>
      </c>
      <c r="K7247" t="s">
        <v>10784</v>
      </c>
      <c r="L7247">
        <v>10</v>
      </c>
      <c r="O7247" t="s">
        <v>30</v>
      </c>
      <c r="P7247" t="s">
        <v>29</v>
      </c>
      <c r="Q7247" s="1">
        <v>42271.58792824074</v>
      </c>
      <c r="R7247">
        <v>7</v>
      </c>
      <c r="S7247" t="s">
        <v>31</v>
      </c>
      <c r="T7247" t="s">
        <v>3188</v>
      </c>
      <c r="U7247">
        <v>621.36</v>
      </c>
      <c r="V7247" s="3">
        <v>41310</v>
      </c>
    </row>
    <row r="7248" spans="1:22" x14ac:dyDescent="0.35">
      <c r="A7248" s="1">
        <v>42274.949374999997</v>
      </c>
      <c r="B7248" s="2">
        <v>2.615740740740741E-3</v>
      </c>
      <c r="C7248" t="s">
        <v>6390</v>
      </c>
      <c r="D7248" t="s">
        <v>23</v>
      </c>
      <c r="E7248" t="s">
        <v>24</v>
      </c>
      <c r="F7248" t="s">
        <v>486</v>
      </c>
      <c r="G7248">
        <v>1119505</v>
      </c>
      <c r="H7248" t="s">
        <v>26</v>
      </c>
      <c r="I7248" t="s">
        <v>450</v>
      </c>
      <c r="J7248" t="str">
        <f>"9781118355015"</f>
        <v>9781118355015</v>
      </c>
      <c r="K7248" t="s">
        <v>10785</v>
      </c>
      <c r="L7248">
        <v>19</v>
      </c>
      <c r="O7248" t="s">
        <v>30</v>
      </c>
      <c r="P7248" t="s">
        <v>29</v>
      </c>
      <c r="Q7248" s="1">
        <v>42269.945254629631</v>
      </c>
      <c r="R7248">
        <v>7</v>
      </c>
      <c r="S7248" t="s">
        <v>31</v>
      </c>
      <c r="T7248" t="s">
        <v>487</v>
      </c>
      <c r="U7248" t="s">
        <v>488</v>
      </c>
      <c r="V7248" s="3">
        <v>41302</v>
      </c>
    </row>
    <row r="7249" spans="1:22" x14ac:dyDescent="0.35">
      <c r="A7249" s="1">
        <v>42274.942731481482</v>
      </c>
      <c r="B7249" s="2">
        <v>7.291666666666667E-4</v>
      </c>
      <c r="C7249" t="s">
        <v>4205</v>
      </c>
      <c r="D7249" t="s">
        <v>597</v>
      </c>
      <c r="E7249" t="s">
        <v>598</v>
      </c>
      <c r="F7249" t="s">
        <v>111</v>
      </c>
      <c r="G7249">
        <v>693176</v>
      </c>
      <c r="H7249" t="s">
        <v>26</v>
      </c>
      <c r="I7249" t="s">
        <v>112</v>
      </c>
      <c r="J7249" t="str">
        <f>"9781118017746"</f>
        <v>9781118017746</v>
      </c>
      <c r="K7249" t="s">
        <v>10786</v>
      </c>
      <c r="L7249">
        <v>11</v>
      </c>
      <c r="O7249" t="s">
        <v>30</v>
      </c>
      <c r="P7249" t="s">
        <v>29</v>
      </c>
      <c r="Q7249" s="1">
        <v>42274.841192129628</v>
      </c>
      <c r="R7249">
        <v>7</v>
      </c>
      <c r="S7249" t="s">
        <v>600</v>
      </c>
      <c r="T7249" t="s">
        <v>114</v>
      </c>
      <c r="U7249" t="s">
        <v>115</v>
      </c>
      <c r="V7249" s="3">
        <v>40835</v>
      </c>
    </row>
    <row r="7250" spans="1:22" x14ac:dyDescent="0.35">
      <c r="A7250" s="1">
        <v>42274.935937499999</v>
      </c>
      <c r="B7250" s="2">
        <v>8.1793981481481481E-2</v>
      </c>
      <c r="C7250" t="s">
        <v>7408</v>
      </c>
      <c r="D7250" t="s">
        <v>23</v>
      </c>
      <c r="E7250" t="s">
        <v>24</v>
      </c>
      <c r="F7250" t="s">
        <v>486</v>
      </c>
      <c r="G7250">
        <v>1119505</v>
      </c>
      <c r="H7250" t="s">
        <v>26</v>
      </c>
      <c r="I7250" t="s">
        <v>450</v>
      </c>
      <c r="J7250" t="str">
        <f>"9781118355015"</f>
        <v>9781118355015</v>
      </c>
      <c r="K7250" t="s">
        <v>10787</v>
      </c>
      <c r="L7250">
        <v>14</v>
      </c>
      <c r="O7250" t="s">
        <v>30</v>
      </c>
      <c r="P7250" t="s">
        <v>29</v>
      </c>
      <c r="Q7250" s="1">
        <v>42274.935937499999</v>
      </c>
      <c r="R7250">
        <v>7</v>
      </c>
      <c r="S7250" t="s">
        <v>31</v>
      </c>
      <c r="T7250" t="s">
        <v>487</v>
      </c>
      <c r="U7250" t="s">
        <v>488</v>
      </c>
      <c r="V7250" s="3">
        <v>41302</v>
      </c>
    </row>
    <row r="7251" spans="1:22" x14ac:dyDescent="0.35">
      <c r="A7251" s="1">
        <v>42274.925219907411</v>
      </c>
      <c r="B7251" s="2">
        <v>1.0717592592592593E-2</v>
      </c>
      <c r="C7251" t="s">
        <v>7408</v>
      </c>
      <c r="D7251" t="s">
        <v>23</v>
      </c>
      <c r="E7251" t="s">
        <v>24</v>
      </c>
      <c r="F7251" t="s">
        <v>486</v>
      </c>
      <c r="G7251">
        <v>1119505</v>
      </c>
      <c r="H7251" t="s">
        <v>26</v>
      </c>
      <c r="I7251" t="s">
        <v>450</v>
      </c>
      <c r="J7251" t="str">
        <f>"9781118355015"</f>
        <v>9781118355015</v>
      </c>
      <c r="K7251" t="s">
        <v>10788</v>
      </c>
      <c r="L7251">
        <v>11</v>
      </c>
      <c r="O7251" t="s">
        <v>30</v>
      </c>
      <c r="P7251" t="s">
        <v>42</v>
      </c>
      <c r="S7251" t="s">
        <v>31</v>
      </c>
      <c r="T7251" t="s">
        <v>487</v>
      </c>
      <c r="U7251" t="s">
        <v>488</v>
      </c>
      <c r="V7251" s="3">
        <v>41302</v>
      </c>
    </row>
    <row r="7252" spans="1:22" x14ac:dyDescent="0.35">
      <c r="A7252" s="1">
        <v>42274.861990740741</v>
      </c>
      <c r="B7252" s="2">
        <v>1.25E-3</v>
      </c>
      <c r="C7252" t="s">
        <v>3185</v>
      </c>
      <c r="D7252" t="s">
        <v>23</v>
      </c>
      <c r="E7252" t="s">
        <v>24</v>
      </c>
      <c r="F7252" t="s">
        <v>3186</v>
      </c>
      <c r="G7252">
        <v>699744</v>
      </c>
      <c r="H7252" t="s">
        <v>26</v>
      </c>
      <c r="I7252" t="s">
        <v>3187</v>
      </c>
      <c r="J7252" t="str">
        <f>"9781118585818"</f>
        <v>9781118585818</v>
      </c>
      <c r="K7252" t="s">
        <v>10789</v>
      </c>
      <c r="L7252">
        <v>33</v>
      </c>
      <c r="O7252" t="s">
        <v>30</v>
      </c>
      <c r="P7252" t="s">
        <v>29</v>
      </c>
      <c r="Q7252" s="1">
        <v>42271.58792824074</v>
      </c>
      <c r="R7252">
        <v>7</v>
      </c>
      <c r="S7252" t="s">
        <v>31</v>
      </c>
      <c r="T7252" t="s">
        <v>3188</v>
      </c>
      <c r="U7252">
        <v>621.36</v>
      </c>
      <c r="V7252" s="3">
        <v>41310</v>
      </c>
    </row>
    <row r="7253" spans="1:22" x14ac:dyDescent="0.35">
      <c r="A7253" s="1">
        <v>42274.861122685186</v>
      </c>
      <c r="B7253" s="2">
        <v>7.0601851851851847E-4</v>
      </c>
      <c r="C7253" t="s">
        <v>3185</v>
      </c>
      <c r="D7253" t="s">
        <v>23</v>
      </c>
      <c r="E7253" t="s">
        <v>24</v>
      </c>
      <c r="F7253" t="s">
        <v>3186</v>
      </c>
      <c r="G7253">
        <v>699744</v>
      </c>
      <c r="H7253" t="s">
        <v>26</v>
      </c>
      <c r="I7253" t="s">
        <v>3187</v>
      </c>
      <c r="J7253" t="str">
        <f>"9781118585818"</f>
        <v>9781118585818</v>
      </c>
      <c r="K7253" t="s">
        <v>10790</v>
      </c>
      <c r="L7253">
        <v>4</v>
      </c>
      <c r="O7253" t="s">
        <v>28</v>
      </c>
      <c r="P7253" t="s">
        <v>29</v>
      </c>
      <c r="Q7253" s="1">
        <v>42271.58792824074</v>
      </c>
      <c r="R7253">
        <v>7</v>
      </c>
      <c r="S7253" t="s">
        <v>31</v>
      </c>
      <c r="T7253" t="s">
        <v>3188</v>
      </c>
      <c r="U7253">
        <v>621.36</v>
      </c>
      <c r="V7253" s="3">
        <v>41310</v>
      </c>
    </row>
    <row r="7254" spans="1:22" x14ac:dyDescent="0.35">
      <c r="A7254" s="1">
        <v>42274.860625000001</v>
      </c>
      <c r="B7254" s="2">
        <v>0</v>
      </c>
      <c r="C7254" t="s">
        <v>3185</v>
      </c>
      <c r="D7254" t="s">
        <v>23</v>
      </c>
      <c r="E7254" t="s">
        <v>24</v>
      </c>
      <c r="F7254" t="s">
        <v>3186</v>
      </c>
      <c r="G7254">
        <v>699744</v>
      </c>
      <c r="H7254" t="s">
        <v>26</v>
      </c>
      <c r="I7254" t="s">
        <v>3187</v>
      </c>
      <c r="J7254" t="str">
        <f>"9781118585818"</f>
        <v>9781118585818</v>
      </c>
      <c r="L7254">
        <v>0</v>
      </c>
      <c r="O7254" t="s">
        <v>28</v>
      </c>
      <c r="P7254" t="s">
        <v>29</v>
      </c>
      <c r="Q7254" s="1">
        <v>42271.58792824074</v>
      </c>
      <c r="R7254">
        <v>7</v>
      </c>
      <c r="S7254" t="s">
        <v>31</v>
      </c>
      <c r="T7254" t="s">
        <v>3188</v>
      </c>
      <c r="U7254">
        <v>621.36</v>
      </c>
      <c r="V7254" s="3">
        <v>41310</v>
      </c>
    </row>
    <row r="7255" spans="1:22" x14ac:dyDescent="0.35">
      <c r="A7255" s="1">
        <v>42274.857777777775</v>
      </c>
      <c r="B7255" s="2">
        <v>1.1828703703703704E-2</v>
      </c>
      <c r="C7255" t="s">
        <v>10791</v>
      </c>
      <c r="D7255" t="s">
        <v>1482</v>
      </c>
      <c r="E7255" t="s">
        <v>1483</v>
      </c>
      <c r="F7255" t="s">
        <v>1584</v>
      </c>
      <c r="G7255">
        <v>817836</v>
      </c>
      <c r="H7255" t="s">
        <v>26</v>
      </c>
      <c r="I7255" t="s">
        <v>276</v>
      </c>
      <c r="J7255" t="str">
        <f>"9781118203835"</f>
        <v>9781118203835</v>
      </c>
      <c r="K7255" t="s">
        <v>10792</v>
      </c>
      <c r="L7255">
        <v>13</v>
      </c>
      <c r="O7255" t="s">
        <v>30</v>
      </c>
      <c r="P7255" t="s">
        <v>29</v>
      </c>
      <c r="Q7255" s="1">
        <v>42274.857777777775</v>
      </c>
      <c r="R7255">
        <v>7</v>
      </c>
      <c r="S7255" t="s">
        <v>1485</v>
      </c>
      <c r="T7255" t="s">
        <v>1585</v>
      </c>
      <c r="U7255">
        <v>4.6500000000000004</v>
      </c>
      <c r="V7255" s="3">
        <v>40834</v>
      </c>
    </row>
    <row r="7256" spans="1:22" x14ac:dyDescent="0.35">
      <c r="A7256" s="1">
        <v>42274.854513888888</v>
      </c>
      <c r="B7256" s="2">
        <v>6.9444444444444447E-4</v>
      </c>
      <c r="C7256" t="s">
        <v>3185</v>
      </c>
      <c r="D7256" t="s">
        <v>23</v>
      </c>
      <c r="E7256" t="s">
        <v>24</v>
      </c>
      <c r="F7256" t="s">
        <v>3186</v>
      </c>
      <c r="G7256">
        <v>699744</v>
      </c>
      <c r="H7256" t="s">
        <v>26</v>
      </c>
      <c r="I7256" t="s">
        <v>3187</v>
      </c>
      <c r="J7256" t="str">
        <f>"9781118585818"</f>
        <v>9781118585818</v>
      </c>
      <c r="K7256" t="s">
        <v>10793</v>
      </c>
      <c r="L7256">
        <v>4</v>
      </c>
      <c r="M7256" t="s">
        <v>8172</v>
      </c>
      <c r="N7256" t="s">
        <v>10794</v>
      </c>
      <c r="O7256" t="s">
        <v>30</v>
      </c>
      <c r="P7256" t="s">
        <v>29</v>
      </c>
      <c r="Q7256" s="1">
        <v>42271.58792824074</v>
      </c>
      <c r="R7256">
        <v>7</v>
      </c>
      <c r="S7256" t="s">
        <v>31</v>
      </c>
      <c r="T7256" t="s">
        <v>3188</v>
      </c>
      <c r="U7256">
        <v>621.36</v>
      </c>
      <c r="V7256" s="3">
        <v>41310</v>
      </c>
    </row>
    <row r="7257" spans="1:22" x14ac:dyDescent="0.35">
      <c r="A7257" s="1">
        <v>42274.854224537034</v>
      </c>
      <c r="B7257" s="2">
        <v>6.4004629629629628E-3</v>
      </c>
      <c r="C7257" t="s">
        <v>106</v>
      </c>
      <c r="D7257" t="s">
        <v>23</v>
      </c>
      <c r="E7257" t="s">
        <v>24</v>
      </c>
      <c r="F7257" t="s">
        <v>4180</v>
      </c>
      <c r="G7257">
        <v>817932</v>
      </c>
      <c r="H7257" t="s">
        <v>26</v>
      </c>
      <c r="I7257" t="s">
        <v>276</v>
      </c>
      <c r="J7257" t="str">
        <f>"9781118220146"</f>
        <v>9781118220146</v>
      </c>
      <c r="K7257" t="s">
        <v>10795</v>
      </c>
      <c r="L7257">
        <v>10</v>
      </c>
      <c r="O7257" t="s">
        <v>30</v>
      </c>
      <c r="P7257" t="s">
        <v>29</v>
      </c>
      <c r="Q7257" s="1">
        <v>42274.854224537034</v>
      </c>
      <c r="R7257">
        <v>7</v>
      </c>
      <c r="S7257" t="s">
        <v>31</v>
      </c>
      <c r="T7257" t="s">
        <v>4182</v>
      </c>
      <c r="U7257">
        <v>5.133</v>
      </c>
      <c r="V7257" s="3">
        <v>40981</v>
      </c>
    </row>
    <row r="7258" spans="1:22" x14ac:dyDescent="0.35">
      <c r="A7258" s="1">
        <v>42274.853541666664</v>
      </c>
      <c r="B7258" s="2">
        <v>0</v>
      </c>
      <c r="C7258" t="s">
        <v>3185</v>
      </c>
      <c r="D7258" t="s">
        <v>23</v>
      </c>
      <c r="E7258" t="s">
        <v>24</v>
      </c>
      <c r="F7258" t="s">
        <v>3186</v>
      </c>
      <c r="G7258">
        <v>699744</v>
      </c>
      <c r="H7258" t="s">
        <v>26</v>
      </c>
      <c r="I7258" t="s">
        <v>3187</v>
      </c>
      <c r="J7258" t="str">
        <f>"9781118585818"</f>
        <v>9781118585818</v>
      </c>
      <c r="L7258">
        <v>0</v>
      </c>
      <c r="O7258" t="s">
        <v>28</v>
      </c>
      <c r="P7258" t="s">
        <v>29</v>
      </c>
      <c r="Q7258" s="1">
        <v>42271.58792824074</v>
      </c>
      <c r="R7258">
        <v>7</v>
      </c>
      <c r="S7258" t="s">
        <v>31</v>
      </c>
      <c r="T7258" t="s">
        <v>3188</v>
      </c>
      <c r="U7258">
        <v>621.36</v>
      </c>
      <c r="V7258" s="3">
        <v>41310</v>
      </c>
    </row>
    <row r="7259" spans="1:22" x14ac:dyDescent="0.35">
      <c r="A7259" s="1">
        <v>42274.852384259262</v>
      </c>
      <c r="B7259" s="2">
        <v>1.0185185185185186E-3</v>
      </c>
      <c r="C7259" t="s">
        <v>3185</v>
      </c>
      <c r="D7259" t="s">
        <v>23</v>
      </c>
      <c r="E7259" t="s">
        <v>24</v>
      </c>
      <c r="F7259" t="s">
        <v>3186</v>
      </c>
      <c r="G7259">
        <v>699744</v>
      </c>
      <c r="H7259" t="s">
        <v>26</v>
      </c>
      <c r="I7259" t="s">
        <v>3187</v>
      </c>
      <c r="J7259" t="str">
        <f>"9781118585818"</f>
        <v>9781118585818</v>
      </c>
      <c r="K7259" t="s">
        <v>105</v>
      </c>
      <c r="L7259">
        <v>1</v>
      </c>
      <c r="O7259" t="s">
        <v>28</v>
      </c>
      <c r="P7259" t="s">
        <v>29</v>
      </c>
      <c r="Q7259" s="1">
        <v>42271.58792824074</v>
      </c>
      <c r="R7259">
        <v>7</v>
      </c>
      <c r="S7259" t="s">
        <v>31</v>
      </c>
      <c r="T7259" t="s">
        <v>3188</v>
      </c>
      <c r="U7259">
        <v>621.36</v>
      </c>
      <c r="V7259" s="3">
        <v>41310</v>
      </c>
    </row>
    <row r="7260" spans="1:22" x14ac:dyDescent="0.35">
      <c r="A7260" s="1">
        <v>42274.852025462962</v>
      </c>
      <c r="B7260" s="2">
        <v>5.7870370370370366E-5</v>
      </c>
      <c r="C7260" t="s">
        <v>3185</v>
      </c>
      <c r="D7260" t="s">
        <v>23</v>
      </c>
      <c r="E7260" t="s">
        <v>24</v>
      </c>
      <c r="F7260" t="s">
        <v>3186</v>
      </c>
      <c r="G7260">
        <v>699744</v>
      </c>
      <c r="H7260" t="s">
        <v>26</v>
      </c>
      <c r="I7260" t="s">
        <v>3187</v>
      </c>
      <c r="J7260" t="str">
        <f>"9781118585818"</f>
        <v>9781118585818</v>
      </c>
      <c r="K7260" t="s">
        <v>611</v>
      </c>
      <c r="L7260">
        <v>3</v>
      </c>
      <c r="O7260" t="s">
        <v>30</v>
      </c>
      <c r="P7260" t="s">
        <v>29</v>
      </c>
      <c r="Q7260" s="1">
        <v>42271.58792824074</v>
      </c>
      <c r="R7260">
        <v>7</v>
      </c>
      <c r="S7260" t="s">
        <v>31</v>
      </c>
      <c r="T7260" t="s">
        <v>3188</v>
      </c>
      <c r="U7260">
        <v>621.36</v>
      </c>
      <c r="V7260" s="3">
        <v>41310</v>
      </c>
    </row>
    <row r="7261" spans="1:22" x14ac:dyDescent="0.35">
      <c r="A7261" s="1">
        <v>42274.850277777776</v>
      </c>
      <c r="B7261" s="2">
        <v>0</v>
      </c>
      <c r="C7261" t="s">
        <v>3185</v>
      </c>
      <c r="D7261" t="s">
        <v>23</v>
      </c>
      <c r="E7261" t="s">
        <v>24</v>
      </c>
      <c r="F7261" t="s">
        <v>3186</v>
      </c>
      <c r="G7261">
        <v>699744</v>
      </c>
      <c r="H7261" t="s">
        <v>26</v>
      </c>
      <c r="I7261" t="s">
        <v>3187</v>
      </c>
      <c r="J7261" t="str">
        <f>"9781118585818"</f>
        <v>9781118585818</v>
      </c>
      <c r="L7261">
        <v>0</v>
      </c>
      <c r="O7261" t="s">
        <v>28</v>
      </c>
      <c r="P7261" t="s">
        <v>29</v>
      </c>
      <c r="Q7261" s="1">
        <v>42271.58792824074</v>
      </c>
      <c r="R7261">
        <v>7</v>
      </c>
      <c r="S7261" t="s">
        <v>31</v>
      </c>
      <c r="T7261" t="s">
        <v>3188</v>
      </c>
      <c r="U7261">
        <v>621.36</v>
      </c>
      <c r="V7261" s="3">
        <v>41310</v>
      </c>
    </row>
    <row r="7262" spans="1:22" x14ac:dyDescent="0.35">
      <c r="A7262" s="1">
        <v>42274.849976851852</v>
      </c>
      <c r="B7262" s="2">
        <v>2.8935185185185189E-4</v>
      </c>
      <c r="C7262" t="s">
        <v>3185</v>
      </c>
      <c r="D7262" t="s">
        <v>23</v>
      </c>
      <c r="E7262" t="s">
        <v>24</v>
      </c>
      <c r="F7262" t="s">
        <v>3186</v>
      </c>
      <c r="G7262">
        <v>699744</v>
      </c>
      <c r="H7262" t="s">
        <v>26</v>
      </c>
      <c r="I7262" t="s">
        <v>3187</v>
      </c>
      <c r="J7262" t="str">
        <f>"9781118585818"</f>
        <v>9781118585818</v>
      </c>
      <c r="K7262" t="s">
        <v>10796</v>
      </c>
      <c r="L7262">
        <v>8</v>
      </c>
      <c r="O7262" t="s">
        <v>30</v>
      </c>
      <c r="P7262" t="s">
        <v>29</v>
      </c>
      <c r="Q7262" s="1">
        <v>42271.58792824074</v>
      </c>
      <c r="R7262">
        <v>7</v>
      </c>
      <c r="S7262" t="s">
        <v>31</v>
      </c>
      <c r="T7262" t="s">
        <v>3188</v>
      </c>
      <c r="U7262">
        <v>621.36</v>
      </c>
      <c r="V7262" s="3">
        <v>41310</v>
      </c>
    </row>
    <row r="7263" spans="1:22" x14ac:dyDescent="0.35">
      <c r="A7263" s="1">
        <v>42274.846666666665</v>
      </c>
      <c r="B7263" s="2">
        <v>1.1111111111111112E-2</v>
      </c>
      <c r="C7263" t="s">
        <v>10791</v>
      </c>
      <c r="D7263" t="s">
        <v>1482</v>
      </c>
      <c r="E7263" t="s">
        <v>1483</v>
      </c>
      <c r="F7263" t="s">
        <v>1584</v>
      </c>
      <c r="G7263">
        <v>817836</v>
      </c>
      <c r="H7263" t="s">
        <v>26</v>
      </c>
      <c r="I7263" t="s">
        <v>276</v>
      </c>
      <c r="J7263" t="str">
        <f>"9781118203835"</f>
        <v>9781118203835</v>
      </c>
      <c r="K7263" t="s">
        <v>10797</v>
      </c>
      <c r="L7263">
        <v>34</v>
      </c>
      <c r="O7263" t="s">
        <v>30</v>
      </c>
      <c r="P7263" t="s">
        <v>42</v>
      </c>
      <c r="S7263" t="s">
        <v>1485</v>
      </c>
      <c r="T7263" t="s">
        <v>1585</v>
      </c>
      <c r="U7263">
        <v>4.6500000000000004</v>
      </c>
      <c r="V7263" s="3">
        <v>40834</v>
      </c>
    </row>
    <row r="7264" spans="1:22" x14ac:dyDescent="0.35">
      <c r="A7264" s="1">
        <v>42274.844930555555</v>
      </c>
      <c r="B7264" s="2">
        <v>7.175925925925927E-4</v>
      </c>
      <c r="C7264" t="s">
        <v>4205</v>
      </c>
      <c r="D7264" t="s">
        <v>597</v>
      </c>
      <c r="E7264" t="s">
        <v>598</v>
      </c>
      <c r="F7264" t="s">
        <v>111</v>
      </c>
      <c r="G7264">
        <v>693176</v>
      </c>
      <c r="H7264" t="s">
        <v>26</v>
      </c>
      <c r="I7264" t="s">
        <v>112</v>
      </c>
      <c r="J7264" t="str">
        <f>"9781118017746"</f>
        <v>9781118017746</v>
      </c>
      <c r="K7264" t="s">
        <v>10798</v>
      </c>
      <c r="L7264">
        <v>8</v>
      </c>
      <c r="O7264" t="s">
        <v>30</v>
      </c>
      <c r="P7264" t="s">
        <v>29</v>
      </c>
      <c r="Q7264" s="1">
        <v>42274.844930555555</v>
      </c>
      <c r="R7264">
        <v>7</v>
      </c>
      <c r="S7264" t="s">
        <v>600</v>
      </c>
      <c r="T7264" t="s">
        <v>114</v>
      </c>
      <c r="U7264" t="s">
        <v>115</v>
      </c>
      <c r="V7264" s="3">
        <v>40835</v>
      </c>
    </row>
    <row r="7265" spans="1:22" x14ac:dyDescent="0.35">
      <c r="A7265" s="1">
        <v>42274.841192129628</v>
      </c>
      <c r="B7265" s="2">
        <v>1.7476851851851852E-3</v>
      </c>
      <c r="C7265" t="s">
        <v>4205</v>
      </c>
      <c r="D7265" t="s">
        <v>597</v>
      </c>
      <c r="E7265" t="s">
        <v>598</v>
      </c>
      <c r="F7265" t="s">
        <v>111</v>
      </c>
      <c r="G7265">
        <v>693176</v>
      </c>
      <c r="H7265" t="s">
        <v>26</v>
      </c>
      <c r="I7265" t="s">
        <v>112</v>
      </c>
      <c r="J7265" t="str">
        <f>"9781118017746"</f>
        <v>9781118017746</v>
      </c>
      <c r="K7265" t="s">
        <v>10799</v>
      </c>
      <c r="L7265">
        <v>8</v>
      </c>
      <c r="O7265" t="s">
        <v>30</v>
      </c>
      <c r="P7265" t="s">
        <v>29</v>
      </c>
      <c r="Q7265" s="1">
        <v>42274.841192129628</v>
      </c>
      <c r="R7265">
        <v>7</v>
      </c>
      <c r="S7265" t="s">
        <v>600</v>
      </c>
      <c r="T7265" t="s">
        <v>114</v>
      </c>
      <c r="U7265" t="s">
        <v>115</v>
      </c>
      <c r="V7265" s="3">
        <v>40835</v>
      </c>
    </row>
    <row r="7266" spans="1:22" x14ac:dyDescent="0.35">
      <c r="A7266" s="1">
        <v>42274.839583333334</v>
      </c>
      <c r="B7266" s="2">
        <v>1.6087962962962963E-3</v>
      </c>
      <c r="C7266" t="s">
        <v>4205</v>
      </c>
      <c r="D7266" t="s">
        <v>597</v>
      </c>
      <c r="E7266" t="s">
        <v>598</v>
      </c>
      <c r="F7266" t="s">
        <v>111</v>
      </c>
      <c r="G7266">
        <v>693176</v>
      </c>
      <c r="H7266" t="s">
        <v>26</v>
      </c>
      <c r="I7266" t="s">
        <v>112</v>
      </c>
      <c r="J7266" t="str">
        <f>"9781118017746"</f>
        <v>9781118017746</v>
      </c>
      <c r="K7266" t="s">
        <v>10800</v>
      </c>
      <c r="L7266">
        <v>8</v>
      </c>
      <c r="O7266" t="s">
        <v>30</v>
      </c>
      <c r="P7266" t="s">
        <v>42</v>
      </c>
      <c r="S7266" t="s">
        <v>600</v>
      </c>
      <c r="T7266" t="s">
        <v>114</v>
      </c>
      <c r="U7266" t="s">
        <v>115</v>
      </c>
      <c r="V7266" s="3">
        <v>40835</v>
      </c>
    </row>
    <row r="7267" spans="1:22" x14ac:dyDescent="0.35">
      <c r="A7267" s="1">
        <v>42274.836006944446</v>
      </c>
      <c r="B7267" s="2">
        <v>1.8217592592592594E-2</v>
      </c>
      <c r="C7267" t="s">
        <v>106</v>
      </c>
      <c r="D7267" t="s">
        <v>23</v>
      </c>
      <c r="E7267" t="s">
        <v>24</v>
      </c>
      <c r="F7267" t="s">
        <v>4180</v>
      </c>
      <c r="G7267">
        <v>817932</v>
      </c>
      <c r="H7267" t="s">
        <v>26</v>
      </c>
      <c r="I7267" t="s">
        <v>276</v>
      </c>
      <c r="J7267" t="str">
        <f>"9781118220146"</f>
        <v>9781118220146</v>
      </c>
      <c r="K7267" t="s">
        <v>10801</v>
      </c>
      <c r="L7267">
        <v>42</v>
      </c>
      <c r="O7267" t="s">
        <v>30</v>
      </c>
      <c r="P7267" t="s">
        <v>42</v>
      </c>
      <c r="S7267" t="s">
        <v>31</v>
      </c>
      <c r="T7267" t="s">
        <v>4182</v>
      </c>
      <c r="U7267">
        <v>5.133</v>
      </c>
      <c r="V7267" s="3">
        <v>40981</v>
      </c>
    </row>
    <row r="7268" spans="1:22" x14ac:dyDescent="0.35">
      <c r="A7268" s="1">
        <v>42274.826284722221</v>
      </c>
      <c r="B7268" s="2">
        <v>4.6296296296296294E-5</v>
      </c>
      <c r="C7268" t="s">
        <v>4205</v>
      </c>
      <c r="D7268" t="s">
        <v>597</v>
      </c>
      <c r="E7268" t="s">
        <v>598</v>
      </c>
      <c r="F7268" t="s">
        <v>111</v>
      </c>
      <c r="G7268">
        <v>693176</v>
      </c>
      <c r="H7268" t="s">
        <v>26</v>
      </c>
      <c r="I7268" t="s">
        <v>112</v>
      </c>
      <c r="J7268" t="str">
        <f>"9781118017746"</f>
        <v>9781118017746</v>
      </c>
      <c r="K7268" t="s">
        <v>33</v>
      </c>
      <c r="L7268">
        <v>3</v>
      </c>
      <c r="O7268" t="s">
        <v>30</v>
      </c>
      <c r="P7268" t="s">
        <v>42</v>
      </c>
      <c r="S7268" t="s">
        <v>600</v>
      </c>
      <c r="T7268" t="s">
        <v>114</v>
      </c>
      <c r="U7268" t="s">
        <v>115</v>
      </c>
      <c r="V7268" s="3">
        <v>40835</v>
      </c>
    </row>
    <row r="7269" spans="1:22" x14ac:dyDescent="0.35">
      <c r="A7269" s="1">
        <v>42274.811585648145</v>
      </c>
      <c r="B7269" s="2">
        <v>3.3344907407407406E-2</v>
      </c>
      <c r="C7269" t="s">
        <v>4205</v>
      </c>
      <c r="D7269" t="s">
        <v>597</v>
      </c>
      <c r="E7269" t="s">
        <v>598</v>
      </c>
      <c r="F7269" t="s">
        <v>111</v>
      </c>
      <c r="G7269">
        <v>693176</v>
      </c>
      <c r="H7269" t="s">
        <v>26</v>
      </c>
      <c r="I7269" t="s">
        <v>112</v>
      </c>
      <c r="J7269" t="str">
        <f>"9781118017746"</f>
        <v>9781118017746</v>
      </c>
      <c r="K7269" t="s">
        <v>10802</v>
      </c>
      <c r="L7269">
        <v>17</v>
      </c>
      <c r="O7269" t="s">
        <v>30</v>
      </c>
      <c r="P7269" t="s">
        <v>42</v>
      </c>
      <c r="S7269" t="s">
        <v>600</v>
      </c>
      <c r="T7269" t="s">
        <v>114</v>
      </c>
      <c r="U7269" t="s">
        <v>115</v>
      </c>
      <c r="V7269" s="3">
        <v>40835</v>
      </c>
    </row>
    <row r="7270" spans="1:22" x14ac:dyDescent="0.35">
      <c r="A7270" s="1">
        <v>42274.808900462966</v>
      </c>
      <c r="B7270" s="2">
        <v>2.1527777777777778E-3</v>
      </c>
      <c r="C7270" t="s">
        <v>10803</v>
      </c>
      <c r="D7270" t="s">
        <v>23</v>
      </c>
      <c r="E7270" t="s">
        <v>24</v>
      </c>
      <c r="F7270" t="s">
        <v>7867</v>
      </c>
      <c r="G7270">
        <v>836633</v>
      </c>
      <c r="H7270" t="s">
        <v>26</v>
      </c>
      <c r="I7270" t="s">
        <v>219</v>
      </c>
      <c r="J7270" t="str">
        <f>"9781119953784"</f>
        <v>9781119953784</v>
      </c>
      <c r="K7270" t="s">
        <v>10804</v>
      </c>
      <c r="L7270">
        <v>7</v>
      </c>
      <c r="O7270" t="s">
        <v>30</v>
      </c>
      <c r="P7270" t="s">
        <v>29</v>
      </c>
      <c r="Q7270" s="1">
        <v>42274.808888888889</v>
      </c>
      <c r="R7270">
        <v>7</v>
      </c>
      <c r="S7270" t="s">
        <v>31</v>
      </c>
      <c r="T7270" t="s">
        <v>7869</v>
      </c>
      <c r="U7270">
        <v>153.69</v>
      </c>
      <c r="V7270" s="3">
        <v>40911</v>
      </c>
    </row>
    <row r="7271" spans="1:22" x14ac:dyDescent="0.35">
      <c r="A7271" s="1">
        <v>42274.801631944443</v>
      </c>
      <c r="B7271" s="2">
        <v>7.2569444444444443E-3</v>
      </c>
      <c r="C7271" t="s">
        <v>10803</v>
      </c>
      <c r="D7271" t="s">
        <v>23</v>
      </c>
      <c r="E7271" t="s">
        <v>24</v>
      </c>
      <c r="F7271" t="s">
        <v>7867</v>
      </c>
      <c r="G7271">
        <v>836633</v>
      </c>
      <c r="H7271" t="s">
        <v>26</v>
      </c>
      <c r="I7271" t="s">
        <v>219</v>
      </c>
      <c r="J7271" t="str">
        <f>"9781119953784"</f>
        <v>9781119953784</v>
      </c>
      <c r="K7271" t="s">
        <v>10805</v>
      </c>
      <c r="L7271">
        <v>49</v>
      </c>
      <c r="O7271" t="s">
        <v>30</v>
      </c>
      <c r="P7271" t="s">
        <v>42</v>
      </c>
      <c r="S7271" t="s">
        <v>31</v>
      </c>
      <c r="T7271" t="s">
        <v>7869</v>
      </c>
      <c r="U7271">
        <v>153.69</v>
      </c>
      <c r="V7271" s="3">
        <v>40911</v>
      </c>
    </row>
    <row r="7272" spans="1:22" x14ac:dyDescent="0.35">
      <c r="A7272" s="1">
        <v>42274.782175925924</v>
      </c>
      <c r="B7272" s="2">
        <v>6.018518518518519E-4</v>
      </c>
      <c r="C7272" t="s">
        <v>10806</v>
      </c>
      <c r="D7272" t="s">
        <v>23</v>
      </c>
      <c r="E7272" t="s">
        <v>24</v>
      </c>
      <c r="F7272" t="s">
        <v>10807</v>
      </c>
      <c r="G7272">
        <v>1774197</v>
      </c>
      <c r="H7272" t="s">
        <v>45</v>
      </c>
      <c r="I7272" t="s">
        <v>97</v>
      </c>
      <c r="J7272" t="str">
        <f>"9781472437211"</f>
        <v>9781472437211</v>
      </c>
      <c r="K7272" t="s">
        <v>10808</v>
      </c>
      <c r="L7272">
        <v>14</v>
      </c>
      <c r="O7272" t="s">
        <v>30</v>
      </c>
      <c r="P7272" t="s">
        <v>50</v>
      </c>
      <c r="S7272" t="s">
        <v>31</v>
      </c>
      <c r="T7272" t="s">
        <v>10809</v>
      </c>
      <c r="U7272" t="s">
        <v>10810</v>
      </c>
      <c r="V7272" s="3">
        <v>41940</v>
      </c>
    </row>
    <row r="7273" spans="1:22" x14ac:dyDescent="0.35">
      <c r="A7273" s="1">
        <v>42274.737430555557</v>
      </c>
      <c r="B7273" s="2">
        <v>1.8402777777777777E-3</v>
      </c>
      <c r="C7273" t="s">
        <v>106</v>
      </c>
      <c r="D7273" t="s">
        <v>23</v>
      </c>
      <c r="E7273" t="s">
        <v>24</v>
      </c>
      <c r="F7273" t="s">
        <v>7993</v>
      </c>
      <c r="G7273">
        <v>836860</v>
      </c>
      <c r="H7273" t="s">
        <v>91</v>
      </c>
      <c r="I7273" t="s">
        <v>219</v>
      </c>
      <c r="J7273" t="str">
        <f>"9781462503117"</f>
        <v>9781462503117</v>
      </c>
      <c r="K7273" t="s">
        <v>10811</v>
      </c>
      <c r="L7273">
        <v>32</v>
      </c>
      <c r="O7273" t="s">
        <v>30</v>
      </c>
      <c r="P7273" t="s">
        <v>29</v>
      </c>
      <c r="Q7273" s="1">
        <v>42274.737430555557</v>
      </c>
      <c r="R7273">
        <v>7</v>
      </c>
      <c r="S7273" t="s">
        <v>31</v>
      </c>
      <c r="T7273" t="s">
        <v>7994</v>
      </c>
      <c r="U7273">
        <v>155.19999999999999</v>
      </c>
      <c r="V7273" s="3">
        <v>41773</v>
      </c>
    </row>
    <row r="7274" spans="1:22" x14ac:dyDescent="0.35">
      <c r="A7274" s="1">
        <v>42274.708506944444</v>
      </c>
      <c r="B7274" s="2">
        <v>2.8923611111111108E-2</v>
      </c>
      <c r="C7274" t="s">
        <v>106</v>
      </c>
      <c r="D7274" t="s">
        <v>23</v>
      </c>
      <c r="E7274" t="s">
        <v>24</v>
      </c>
      <c r="F7274" t="s">
        <v>7993</v>
      </c>
      <c r="G7274">
        <v>836860</v>
      </c>
      <c r="H7274" t="s">
        <v>91</v>
      </c>
      <c r="I7274" t="s">
        <v>219</v>
      </c>
      <c r="J7274" t="str">
        <f>"9781462503117"</f>
        <v>9781462503117</v>
      </c>
      <c r="K7274" t="s">
        <v>10812</v>
      </c>
      <c r="L7274">
        <v>9</v>
      </c>
      <c r="O7274" t="s">
        <v>30</v>
      </c>
      <c r="P7274" t="s">
        <v>42</v>
      </c>
      <c r="S7274" t="s">
        <v>31</v>
      </c>
      <c r="T7274" t="s">
        <v>7994</v>
      </c>
      <c r="U7274">
        <v>155.19999999999999</v>
      </c>
      <c r="V7274" s="3">
        <v>41773</v>
      </c>
    </row>
    <row r="7275" spans="1:22" x14ac:dyDescent="0.35">
      <c r="A7275" s="1">
        <v>42274.707175925927</v>
      </c>
      <c r="B7275" s="2">
        <v>7.7546296296296304E-4</v>
      </c>
      <c r="C7275" t="s">
        <v>106</v>
      </c>
      <c r="D7275" t="s">
        <v>23</v>
      </c>
      <c r="E7275" t="s">
        <v>24</v>
      </c>
      <c r="F7275" t="s">
        <v>7993</v>
      </c>
      <c r="G7275">
        <v>836860</v>
      </c>
      <c r="H7275" t="s">
        <v>91</v>
      </c>
      <c r="I7275" t="s">
        <v>219</v>
      </c>
      <c r="J7275" t="str">
        <f>"9781462503117"</f>
        <v>9781462503117</v>
      </c>
      <c r="K7275" t="s">
        <v>10813</v>
      </c>
      <c r="L7275">
        <v>41</v>
      </c>
      <c r="O7275" t="s">
        <v>30</v>
      </c>
      <c r="P7275" t="s">
        <v>42</v>
      </c>
      <c r="S7275" t="s">
        <v>31</v>
      </c>
      <c r="T7275" t="s">
        <v>7994</v>
      </c>
      <c r="U7275">
        <v>155.19999999999999</v>
      </c>
      <c r="V7275" s="3">
        <v>41773</v>
      </c>
    </row>
    <row r="7276" spans="1:22" x14ac:dyDescent="0.35">
      <c r="A7276" s="1">
        <v>42274.655289351853</v>
      </c>
      <c r="B7276" s="2">
        <v>0</v>
      </c>
      <c r="C7276" t="s">
        <v>10814</v>
      </c>
      <c r="D7276" t="s">
        <v>23</v>
      </c>
      <c r="E7276" t="s">
        <v>24</v>
      </c>
      <c r="F7276" t="s">
        <v>10815</v>
      </c>
      <c r="G7276">
        <v>1873196</v>
      </c>
      <c r="H7276" t="s">
        <v>84</v>
      </c>
      <c r="I7276" t="s">
        <v>172</v>
      </c>
      <c r="J7276" t="str">
        <f t="shared" ref="J7276:J7282" si="39">"9780520962026"</f>
        <v>9780520962026</v>
      </c>
      <c r="L7276">
        <v>0</v>
      </c>
      <c r="O7276" t="s">
        <v>28</v>
      </c>
      <c r="P7276" t="s">
        <v>29</v>
      </c>
      <c r="Q7276" s="1">
        <v>42274.641909722224</v>
      </c>
      <c r="R7276">
        <v>7</v>
      </c>
      <c r="S7276" t="s">
        <v>31</v>
      </c>
      <c r="T7276" t="s">
        <v>10816</v>
      </c>
      <c r="U7276">
        <v>940.5318092</v>
      </c>
      <c r="V7276" s="3">
        <v>41961</v>
      </c>
    </row>
    <row r="7277" spans="1:22" x14ac:dyDescent="0.35">
      <c r="A7277" s="1">
        <v>42274.655034722222</v>
      </c>
      <c r="B7277" s="2">
        <v>2.3148148148148147E-5</v>
      </c>
      <c r="C7277" t="s">
        <v>10814</v>
      </c>
      <c r="D7277" t="s">
        <v>23</v>
      </c>
      <c r="E7277" t="s">
        <v>24</v>
      </c>
      <c r="F7277" t="s">
        <v>10815</v>
      </c>
      <c r="G7277">
        <v>1873196</v>
      </c>
      <c r="H7277" t="s">
        <v>84</v>
      </c>
      <c r="I7277" t="s">
        <v>172</v>
      </c>
      <c r="J7277" t="str">
        <f t="shared" si="39"/>
        <v>9780520962026</v>
      </c>
      <c r="K7277" t="s">
        <v>33</v>
      </c>
      <c r="L7277">
        <v>3</v>
      </c>
      <c r="O7277" t="s">
        <v>30</v>
      </c>
      <c r="P7277" t="s">
        <v>29</v>
      </c>
      <c r="Q7277" s="1">
        <v>42274.641909722224</v>
      </c>
      <c r="R7277">
        <v>7</v>
      </c>
      <c r="S7277" t="s">
        <v>31</v>
      </c>
      <c r="T7277" t="s">
        <v>10816</v>
      </c>
      <c r="U7277">
        <v>940.5318092</v>
      </c>
      <c r="V7277" s="3">
        <v>41961</v>
      </c>
    </row>
    <row r="7278" spans="1:22" x14ac:dyDescent="0.35">
      <c r="A7278" s="1">
        <v>42274.653773148151</v>
      </c>
      <c r="B7278" s="2">
        <v>0</v>
      </c>
      <c r="C7278" t="s">
        <v>10814</v>
      </c>
      <c r="D7278" t="s">
        <v>23</v>
      </c>
      <c r="E7278" t="s">
        <v>24</v>
      </c>
      <c r="F7278" t="s">
        <v>10815</v>
      </c>
      <c r="G7278">
        <v>1873196</v>
      </c>
      <c r="H7278" t="s">
        <v>84</v>
      </c>
      <c r="I7278" t="s">
        <v>172</v>
      </c>
      <c r="J7278" t="str">
        <f t="shared" si="39"/>
        <v>9780520962026</v>
      </c>
      <c r="L7278">
        <v>0</v>
      </c>
      <c r="O7278" t="s">
        <v>28</v>
      </c>
      <c r="P7278" t="s">
        <v>29</v>
      </c>
      <c r="Q7278" s="1">
        <v>42274.641909722224</v>
      </c>
      <c r="R7278">
        <v>7</v>
      </c>
      <c r="S7278" t="s">
        <v>31</v>
      </c>
      <c r="T7278" t="s">
        <v>10816</v>
      </c>
      <c r="U7278">
        <v>940.5318092</v>
      </c>
      <c r="V7278" s="3">
        <v>41961</v>
      </c>
    </row>
    <row r="7279" spans="1:22" x14ac:dyDescent="0.35">
      <c r="A7279" s="1">
        <v>42274.644594907404</v>
      </c>
      <c r="B7279" s="2">
        <v>9.1550925925925931E-3</v>
      </c>
      <c r="C7279" t="s">
        <v>10814</v>
      </c>
      <c r="D7279" t="s">
        <v>23</v>
      </c>
      <c r="E7279" t="s">
        <v>24</v>
      </c>
      <c r="F7279" t="s">
        <v>10815</v>
      </c>
      <c r="G7279">
        <v>1873196</v>
      </c>
      <c r="H7279" t="s">
        <v>84</v>
      </c>
      <c r="I7279" t="s">
        <v>172</v>
      </c>
      <c r="J7279" t="str">
        <f t="shared" si="39"/>
        <v>9780520962026</v>
      </c>
      <c r="K7279" t="s">
        <v>10817</v>
      </c>
      <c r="L7279">
        <v>13</v>
      </c>
      <c r="O7279" t="s">
        <v>30</v>
      </c>
      <c r="P7279" t="s">
        <v>29</v>
      </c>
      <c r="Q7279" s="1">
        <v>42274.641909722224</v>
      </c>
      <c r="R7279">
        <v>7</v>
      </c>
      <c r="S7279" t="s">
        <v>31</v>
      </c>
      <c r="T7279" t="s">
        <v>10816</v>
      </c>
      <c r="U7279">
        <v>940.5318092</v>
      </c>
      <c r="V7279" s="3">
        <v>41961</v>
      </c>
    </row>
    <row r="7280" spans="1:22" x14ac:dyDescent="0.35">
      <c r="A7280" s="1">
        <v>42274.641909722224</v>
      </c>
      <c r="B7280" s="2">
        <v>0</v>
      </c>
      <c r="C7280" t="s">
        <v>10814</v>
      </c>
      <c r="D7280" t="s">
        <v>23</v>
      </c>
      <c r="E7280" t="s">
        <v>24</v>
      </c>
      <c r="F7280" t="s">
        <v>10815</v>
      </c>
      <c r="G7280">
        <v>1873196</v>
      </c>
      <c r="H7280" t="s">
        <v>84</v>
      </c>
      <c r="I7280" t="s">
        <v>172</v>
      </c>
      <c r="J7280" t="str">
        <f t="shared" si="39"/>
        <v>9780520962026</v>
      </c>
      <c r="L7280">
        <v>0</v>
      </c>
      <c r="O7280" t="s">
        <v>28</v>
      </c>
      <c r="P7280" t="s">
        <v>29</v>
      </c>
      <c r="Q7280" s="1">
        <v>42274.641909722224</v>
      </c>
      <c r="R7280">
        <v>7</v>
      </c>
      <c r="S7280" t="s">
        <v>31</v>
      </c>
      <c r="T7280" t="s">
        <v>10816</v>
      </c>
      <c r="U7280">
        <v>940.5318092</v>
      </c>
      <c r="V7280" s="3">
        <v>41961</v>
      </c>
    </row>
    <row r="7281" spans="1:22" x14ac:dyDescent="0.35">
      <c r="A7281" s="1">
        <v>42274.641909722224</v>
      </c>
      <c r="B7281" s="2">
        <v>0</v>
      </c>
      <c r="C7281" t="s">
        <v>10814</v>
      </c>
      <c r="D7281" t="s">
        <v>23</v>
      </c>
      <c r="E7281" t="s">
        <v>24</v>
      </c>
      <c r="F7281" t="s">
        <v>10815</v>
      </c>
      <c r="G7281">
        <v>1873196</v>
      </c>
      <c r="H7281" t="s">
        <v>84</v>
      </c>
      <c r="I7281" t="s">
        <v>172</v>
      </c>
      <c r="J7281" t="str">
        <f t="shared" si="39"/>
        <v>9780520962026</v>
      </c>
      <c r="L7281">
        <v>0</v>
      </c>
      <c r="O7281" t="s">
        <v>30</v>
      </c>
      <c r="P7281" t="s">
        <v>29</v>
      </c>
      <c r="Q7281" s="1">
        <v>42274.641909722224</v>
      </c>
      <c r="R7281">
        <v>7</v>
      </c>
      <c r="S7281" t="s">
        <v>31</v>
      </c>
      <c r="T7281" t="s">
        <v>10816</v>
      </c>
      <c r="U7281">
        <v>940.5318092</v>
      </c>
      <c r="V7281" s="3">
        <v>41961</v>
      </c>
    </row>
    <row r="7282" spans="1:22" x14ac:dyDescent="0.35">
      <c r="A7282" s="1">
        <v>42274.640451388892</v>
      </c>
      <c r="B7282" s="2">
        <v>1.4583333333333334E-3</v>
      </c>
      <c r="C7282" t="s">
        <v>10814</v>
      </c>
      <c r="D7282" t="s">
        <v>23</v>
      </c>
      <c r="E7282" t="s">
        <v>24</v>
      </c>
      <c r="F7282" t="s">
        <v>10815</v>
      </c>
      <c r="G7282">
        <v>1873196</v>
      </c>
      <c r="H7282" t="s">
        <v>84</v>
      </c>
      <c r="I7282" t="s">
        <v>172</v>
      </c>
      <c r="J7282" t="str">
        <f t="shared" si="39"/>
        <v>9780520962026</v>
      </c>
      <c r="K7282" t="s">
        <v>33</v>
      </c>
      <c r="L7282">
        <v>3</v>
      </c>
      <c r="O7282" t="s">
        <v>30</v>
      </c>
      <c r="P7282" t="s">
        <v>42</v>
      </c>
      <c r="S7282" t="s">
        <v>31</v>
      </c>
      <c r="T7282" t="s">
        <v>10816</v>
      </c>
      <c r="U7282">
        <v>940.5318092</v>
      </c>
      <c r="V7282" s="3">
        <v>41961</v>
      </c>
    </row>
    <row r="7283" spans="1:22" x14ac:dyDescent="0.35">
      <c r="A7283" s="1">
        <v>42274.588784722226</v>
      </c>
      <c r="B7283" s="2">
        <v>2.5462962962962961E-4</v>
      </c>
      <c r="C7283" t="s">
        <v>10818</v>
      </c>
      <c r="D7283" t="s">
        <v>1222</v>
      </c>
      <c r="E7283" t="s">
        <v>1223</v>
      </c>
      <c r="F7283" t="s">
        <v>4572</v>
      </c>
      <c r="G7283">
        <v>1046302</v>
      </c>
      <c r="H7283" t="s">
        <v>84</v>
      </c>
      <c r="I7283" t="s">
        <v>1434</v>
      </c>
      <c r="J7283" t="str">
        <f>"9780520953543"</f>
        <v>9780520953543</v>
      </c>
      <c r="K7283" t="s">
        <v>10819</v>
      </c>
      <c r="L7283">
        <v>4</v>
      </c>
      <c r="O7283" t="s">
        <v>30</v>
      </c>
      <c r="P7283" t="s">
        <v>42</v>
      </c>
      <c r="S7283" t="s">
        <v>1226</v>
      </c>
      <c r="T7283" t="s">
        <v>4574</v>
      </c>
      <c r="U7283">
        <v>322.420973</v>
      </c>
      <c r="V7283" s="3">
        <v>41288</v>
      </c>
    </row>
    <row r="7284" spans="1:22" x14ac:dyDescent="0.35">
      <c r="A7284" s="1">
        <v>42274.576608796298</v>
      </c>
      <c r="B7284" s="2">
        <v>1.6203703703703703E-4</v>
      </c>
      <c r="C7284" t="s">
        <v>10820</v>
      </c>
      <c r="D7284" t="s">
        <v>23</v>
      </c>
      <c r="E7284" t="s">
        <v>24</v>
      </c>
      <c r="F7284" t="s">
        <v>10821</v>
      </c>
      <c r="G7284">
        <v>1652944</v>
      </c>
      <c r="H7284" t="s">
        <v>26</v>
      </c>
      <c r="I7284" t="s">
        <v>1536</v>
      </c>
      <c r="J7284" t="str">
        <f>"9783527665051"</f>
        <v>9783527665051</v>
      </c>
      <c r="K7284" t="s">
        <v>10822</v>
      </c>
      <c r="L7284">
        <v>11</v>
      </c>
      <c r="O7284" t="s">
        <v>30</v>
      </c>
      <c r="P7284" t="s">
        <v>29</v>
      </c>
      <c r="Q7284" s="1">
        <v>42274.576608796298</v>
      </c>
      <c r="R7284">
        <v>7</v>
      </c>
      <c r="S7284" t="s">
        <v>31</v>
      </c>
      <c r="T7284" t="s">
        <v>10823</v>
      </c>
      <c r="U7284">
        <v>523.01969999999994</v>
      </c>
      <c r="V7284" s="3">
        <v>41712</v>
      </c>
    </row>
    <row r="7285" spans="1:22" x14ac:dyDescent="0.35">
      <c r="A7285" s="1">
        <v>42274.561493055553</v>
      </c>
      <c r="B7285" s="2">
        <v>1.511574074074074E-2</v>
      </c>
      <c r="C7285" t="s">
        <v>10820</v>
      </c>
      <c r="D7285" t="s">
        <v>23</v>
      </c>
      <c r="E7285" t="s">
        <v>24</v>
      </c>
      <c r="F7285" t="s">
        <v>10821</v>
      </c>
      <c r="G7285">
        <v>1652944</v>
      </c>
      <c r="H7285" t="s">
        <v>26</v>
      </c>
      <c r="I7285" t="s">
        <v>1536</v>
      </c>
      <c r="J7285" t="str">
        <f>"9783527665051"</f>
        <v>9783527665051</v>
      </c>
      <c r="K7285" t="s">
        <v>10824</v>
      </c>
      <c r="L7285">
        <v>27</v>
      </c>
      <c r="O7285" t="s">
        <v>30</v>
      </c>
      <c r="P7285" t="s">
        <v>42</v>
      </c>
      <c r="S7285" t="s">
        <v>31</v>
      </c>
      <c r="T7285" t="s">
        <v>10823</v>
      </c>
      <c r="U7285">
        <v>523.01969999999994</v>
      </c>
      <c r="V7285" s="3">
        <v>41712</v>
      </c>
    </row>
    <row r="7286" spans="1:22" x14ac:dyDescent="0.35">
      <c r="A7286" s="1">
        <v>42274.551944444444</v>
      </c>
      <c r="B7286" s="2">
        <v>2.4421296296296296E-3</v>
      </c>
      <c r="C7286" t="s">
        <v>10820</v>
      </c>
      <c r="D7286" t="s">
        <v>23</v>
      </c>
      <c r="E7286" t="s">
        <v>24</v>
      </c>
      <c r="F7286" t="s">
        <v>10821</v>
      </c>
      <c r="G7286">
        <v>1652944</v>
      </c>
      <c r="H7286" t="s">
        <v>26</v>
      </c>
      <c r="I7286" t="s">
        <v>1536</v>
      </c>
      <c r="J7286" t="str">
        <f>"9783527665051"</f>
        <v>9783527665051</v>
      </c>
      <c r="K7286" t="s">
        <v>10825</v>
      </c>
      <c r="L7286">
        <v>42</v>
      </c>
      <c r="O7286" t="s">
        <v>30</v>
      </c>
      <c r="P7286" t="s">
        <v>42</v>
      </c>
      <c r="S7286" t="s">
        <v>31</v>
      </c>
      <c r="T7286" t="s">
        <v>10823</v>
      </c>
      <c r="U7286">
        <v>523.01969999999994</v>
      </c>
      <c r="V7286" s="3">
        <v>41712</v>
      </c>
    </row>
    <row r="7287" spans="1:22" x14ac:dyDescent="0.35">
      <c r="A7287" s="1">
        <v>42274.155833333331</v>
      </c>
      <c r="B7287" s="2">
        <v>2.488425925925926E-3</v>
      </c>
      <c r="C7287" t="s">
        <v>10826</v>
      </c>
      <c r="D7287" t="s">
        <v>23</v>
      </c>
      <c r="E7287" t="s">
        <v>24</v>
      </c>
      <c r="F7287" t="s">
        <v>10827</v>
      </c>
      <c r="G7287">
        <v>1759295</v>
      </c>
      <c r="H7287" t="s">
        <v>91</v>
      </c>
      <c r="I7287" t="s">
        <v>247</v>
      </c>
      <c r="J7287" t="str">
        <f>"9781462517084"</f>
        <v>9781462517084</v>
      </c>
      <c r="K7287" t="s">
        <v>10828</v>
      </c>
      <c r="L7287">
        <v>23</v>
      </c>
      <c r="O7287" t="s">
        <v>30</v>
      </c>
      <c r="P7287" t="s">
        <v>50</v>
      </c>
      <c r="S7287" t="s">
        <v>31</v>
      </c>
      <c r="T7287" t="s">
        <v>10829</v>
      </c>
      <c r="U7287">
        <v>618.9289</v>
      </c>
      <c r="V7287" s="3">
        <v>41908</v>
      </c>
    </row>
    <row r="7288" spans="1:22" x14ac:dyDescent="0.35">
      <c r="A7288" s="1">
        <v>42274.149930555555</v>
      </c>
      <c r="B7288" s="2">
        <v>5.7754629629629623E-3</v>
      </c>
      <c r="C7288" t="s">
        <v>106</v>
      </c>
      <c r="D7288" t="s">
        <v>23</v>
      </c>
      <c r="E7288" t="s">
        <v>24</v>
      </c>
      <c r="F7288" t="s">
        <v>1051</v>
      </c>
      <c r="G7288">
        <v>821663</v>
      </c>
      <c r="H7288" t="s">
        <v>26</v>
      </c>
      <c r="I7288" t="s">
        <v>200</v>
      </c>
      <c r="J7288" t="str">
        <f>"9781118168479"</f>
        <v>9781118168479</v>
      </c>
      <c r="K7288" t="s">
        <v>10830</v>
      </c>
      <c r="L7288">
        <v>8</v>
      </c>
      <c r="O7288" t="s">
        <v>30</v>
      </c>
      <c r="P7288" t="s">
        <v>29</v>
      </c>
      <c r="Q7288" s="1">
        <v>42269.035983796297</v>
      </c>
      <c r="R7288">
        <v>7</v>
      </c>
      <c r="S7288" t="s">
        <v>31</v>
      </c>
      <c r="T7288" t="s">
        <v>1053</v>
      </c>
      <c r="U7288">
        <v>729</v>
      </c>
      <c r="V7288" s="3">
        <v>40973</v>
      </c>
    </row>
    <row r="7289" spans="1:22" x14ac:dyDescent="0.35">
      <c r="A7289" s="1">
        <v>42274.106064814812</v>
      </c>
      <c r="B7289" s="2">
        <v>2.4884259259259259E-2</v>
      </c>
      <c r="C7289" t="s">
        <v>8508</v>
      </c>
      <c r="D7289" t="s">
        <v>23</v>
      </c>
      <c r="E7289" t="s">
        <v>24</v>
      </c>
      <c r="F7289" t="s">
        <v>5954</v>
      </c>
      <c r="G7289">
        <v>864784</v>
      </c>
      <c r="H7289" t="s">
        <v>492</v>
      </c>
      <c r="I7289" t="s">
        <v>69</v>
      </c>
      <c r="J7289" t="str">
        <f>"9781400841578"</f>
        <v>9781400841578</v>
      </c>
      <c r="K7289" t="s">
        <v>10831</v>
      </c>
      <c r="L7289">
        <v>26</v>
      </c>
      <c r="O7289" t="s">
        <v>30</v>
      </c>
      <c r="P7289" t="s">
        <v>42</v>
      </c>
      <c r="S7289" t="s">
        <v>31</v>
      </c>
      <c r="T7289" t="s">
        <v>5956</v>
      </c>
      <c r="U7289">
        <v>378.73</v>
      </c>
      <c r="V7289" s="3">
        <v>41786</v>
      </c>
    </row>
    <row r="7290" spans="1:22" x14ac:dyDescent="0.35">
      <c r="A7290" s="1">
        <v>42274.098055555558</v>
      </c>
      <c r="B7290" s="2">
        <v>4.6296296296296294E-5</v>
      </c>
      <c r="C7290" t="s">
        <v>10832</v>
      </c>
      <c r="D7290" t="s">
        <v>211</v>
      </c>
      <c r="E7290" t="s">
        <v>212</v>
      </c>
      <c r="F7290" t="s">
        <v>10833</v>
      </c>
      <c r="G7290">
        <v>738750</v>
      </c>
      <c r="H7290" t="s">
        <v>26</v>
      </c>
      <c r="I7290" t="s">
        <v>179</v>
      </c>
      <c r="J7290" t="str">
        <f>"9781118018170"</f>
        <v>9781118018170</v>
      </c>
      <c r="K7290" t="s">
        <v>33</v>
      </c>
      <c r="L7290">
        <v>3</v>
      </c>
      <c r="O7290" t="s">
        <v>30</v>
      </c>
      <c r="P7290" t="s">
        <v>50</v>
      </c>
      <c r="S7290" t="s">
        <v>214</v>
      </c>
      <c r="T7290" t="s">
        <v>10834</v>
      </c>
      <c r="U7290" t="s">
        <v>10835</v>
      </c>
      <c r="V7290" s="3">
        <v>41946</v>
      </c>
    </row>
    <row r="7291" spans="1:22" x14ac:dyDescent="0.35">
      <c r="A7291" s="1">
        <v>42274.094444444447</v>
      </c>
      <c r="B7291" s="2">
        <v>4.2824074074074075E-4</v>
      </c>
      <c r="C7291" t="s">
        <v>10832</v>
      </c>
      <c r="D7291" t="s">
        <v>211</v>
      </c>
      <c r="E7291" t="s">
        <v>212</v>
      </c>
      <c r="F7291" t="s">
        <v>1344</v>
      </c>
      <c r="G7291">
        <v>1211841</v>
      </c>
      <c r="H7291" t="s">
        <v>26</v>
      </c>
      <c r="I7291" t="s">
        <v>179</v>
      </c>
      <c r="J7291" t="str">
        <f>"9781118507971"</f>
        <v>9781118507971</v>
      </c>
      <c r="K7291" t="s">
        <v>10836</v>
      </c>
      <c r="L7291">
        <v>6</v>
      </c>
      <c r="O7291" t="s">
        <v>30</v>
      </c>
      <c r="P7291" t="s">
        <v>47</v>
      </c>
      <c r="Q7291" s="1">
        <v>42274.094444444447</v>
      </c>
      <c r="R7291">
        <v>1</v>
      </c>
      <c r="S7291" t="s">
        <v>214</v>
      </c>
      <c r="T7291" t="s">
        <v>1346</v>
      </c>
      <c r="U7291" t="s">
        <v>1347</v>
      </c>
      <c r="V7291" s="3">
        <v>41430</v>
      </c>
    </row>
    <row r="7292" spans="1:22" x14ac:dyDescent="0.35">
      <c r="A7292" s="1">
        <v>42274.092939814815</v>
      </c>
      <c r="B7292" s="2">
        <v>6.9444444444444444E-5</v>
      </c>
      <c r="C7292" t="s">
        <v>106</v>
      </c>
      <c r="D7292" t="s">
        <v>23</v>
      </c>
      <c r="E7292" t="s">
        <v>24</v>
      </c>
      <c r="F7292" t="s">
        <v>1484</v>
      </c>
      <c r="G7292">
        <v>800719</v>
      </c>
      <c r="H7292" t="s">
        <v>1286</v>
      </c>
      <c r="I7292" t="s">
        <v>426</v>
      </c>
      <c r="J7292" t="str">
        <f>"9780786487035"</f>
        <v>9780786487035</v>
      </c>
      <c r="K7292" t="s">
        <v>33</v>
      </c>
      <c r="L7292">
        <v>3</v>
      </c>
      <c r="O7292" t="s">
        <v>30</v>
      </c>
      <c r="P7292" t="s">
        <v>42</v>
      </c>
      <c r="S7292" t="s">
        <v>31</v>
      </c>
      <c r="T7292" t="s">
        <v>1486</v>
      </c>
      <c r="U7292" t="s">
        <v>1487</v>
      </c>
      <c r="V7292" s="3">
        <v>40833</v>
      </c>
    </row>
    <row r="7293" spans="1:22" x14ac:dyDescent="0.35">
      <c r="A7293" s="1">
        <v>42274.090277777781</v>
      </c>
      <c r="B7293" s="2">
        <v>4.1666666666666666E-3</v>
      </c>
      <c r="C7293" t="s">
        <v>10832</v>
      </c>
      <c r="D7293" t="s">
        <v>211</v>
      </c>
      <c r="E7293" t="s">
        <v>212</v>
      </c>
      <c r="F7293" t="s">
        <v>1344</v>
      </c>
      <c r="G7293">
        <v>1211841</v>
      </c>
      <c r="H7293" t="s">
        <v>26</v>
      </c>
      <c r="I7293" t="s">
        <v>179</v>
      </c>
      <c r="J7293" t="str">
        <f>"9781118507971"</f>
        <v>9781118507971</v>
      </c>
      <c r="K7293" t="s">
        <v>10837</v>
      </c>
      <c r="L7293">
        <v>32</v>
      </c>
      <c r="O7293" t="s">
        <v>30</v>
      </c>
      <c r="P7293" t="s">
        <v>50</v>
      </c>
      <c r="S7293" t="s">
        <v>214</v>
      </c>
      <c r="T7293" t="s">
        <v>1346</v>
      </c>
      <c r="U7293" t="s">
        <v>1347</v>
      </c>
      <c r="V7293" s="3">
        <v>41430</v>
      </c>
    </row>
    <row r="7294" spans="1:22" x14ac:dyDescent="0.35">
      <c r="A7294" s="1">
        <v>42274.065370370372</v>
      </c>
      <c r="B7294" s="2">
        <v>5.7870370370370378E-4</v>
      </c>
      <c r="C7294" t="s">
        <v>10832</v>
      </c>
      <c r="D7294" t="s">
        <v>211</v>
      </c>
      <c r="E7294" t="s">
        <v>212</v>
      </c>
      <c r="F7294" t="s">
        <v>10838</v>
      </c>
      <c r="G7294">
        <v>1144071</v>
      </c>
      <c r="H7294" t="s">
        <v>26</v>
      </c>
      <c r="I7294" t="s">
        <v>450</v>
      </c>
      <c r="J7294" t="str">
        <f>"9781118472217"</f>
        <v>9781118472217</v>
      </c>
      <c r="K7294" t="s">
        <v>10839</v>
      </c>
      <c r="L7294">
        <v>8</v>
      </c>
      <c r="O7294" t="s">
        <v>30</v>
      </c>
      <c r="P7294" t="s">
        <v>47</v>
      </c>
      <c r="Q7294" s="1">
        <v>42274.049108796295</v>
      </c>
      <c r="R7294">
        <v>1</v>
      </c>
      <c r="S7294" t="s">
        <v>214</v>
      </c>
      <c r="T7294" t="s">
        <v>10840</v>
      </c>
      <c r="U7294">
        <v>547</v>
      </c>
      <c r="V7294" s="3">
        <v>41339</v>
      </c>
    </row>
    <row r="7295" spans="1:22" x14ac:dyDescent="0.35">
      <c r="A7295" s="1">
        <v>42274.060671296298</v>
      </c>
      <c r="B7295" s="2">
        <v>0</v>
      </c>
      <c r="C7295" t="s">
        <v>10832</v>
      </c>
      <c r="D7295" t="s">
        <v>211</v>
      </c>
      <c r="E7295" t="s">
        <v>212</v>
      </c>
      <c r="F7295" t="s">
        <v>10838</v>
      </c>
      <c r="G7295">
        <v>1144071</v>
      </c>
      <c r="H7295" t="s">
        <v>26</v>
      </c>
      <c r="I7295" t="s">
        <v>450</v>
      </c>
      <c r="J7295" t="str">
        <f>"9781118472217"</f>
        <v>9781118472217</v>
      </c>
      <c r="L7295">
        <v>0</v>
      </c>
      <c r="O7295" t="s">
        <v>28</v>
      </c>
      <c r="P7295" t="s">
        <v>47</v>
      </c>
      <c r="Q7295" s="1">
        <v>42274.049108796295</v>
      </c>
      <c r="R7295">
        <v>1</v>
      </c>
      <c r="S7295" t="s">
        <v>214</v>
      </c>
      <c r="T7295" t="s">
        <v>10840</v>
      </c>
      <c r="U7295">
        <v>547</v>
      </c>
      <c r="V7295" s="3">
        <v>41339</v>
      </c>
    </row>
    <row r="7296" spans="1:22" x14ac:dyDescent="0.35">
      <c r="A7296" s="1">
        <v>42274.051932870374</v>
      </c>
      <c r="B7296" s="2">
        <v>6.4467592592592597E-3</v>
      </c>
      <c r="C7296" t="s">
        <v>10832</v>
      </c>
      <c r="D7296" t="s">
        <v>211</v>
      </c>
      <c r="E7296" t="s">
        <v>212</v>
      </c>
      <c r="F7296" t="s">
        <v>10838</v>
      </c>
      <c r="G7296">
        <v>1144071</v>
      </c>
      <c r="H7296" t="s">
        <v>26</v>
      </c>
      <c r="I7296" t="s">
        <v>450</v>
      </c>
      <c r="J7296" t="str">
        <f>"9781118472217"</f>
        <v>9781118472217</v>
      </c>
      <c r="K7296" t="s">
        <v>10841</v>
      </c>
      <c r="L7296">
        <v>12</v>
      </c>
      <c r="O7296" t="s">
        <v>28</v>
      </c>
      <c r="P7296" t="s">
        <v>47</v>
      </c>
      <c r="Q7296" s="1">
        <v>42274.049108796295</v>
      </c>
      <c r="R7296">
        <v>1</v>
      </c>
      <c r="S7296" t="s">
        <v>214</v>
      </c>
      <c r="T7296" t="s">
        <v>10840</v>
      </c>
      <c r="U7296">
        <v>547</v>
      </c>
      <c r="V7296" s="3">
        <v>41339</v>
      </c>
    </row>
    <row r="7297" spans="1:22" x14ac:dyDescent="0.35">
      <c r="A7297" s="1">
        <v>42274.049108796295</v>
      </c>
      <c r="B7297" s="2">
        <v>2.7314814814814819E-3</v>
      </c>
      <c r="C7297" t="s">
        <v>10832</v>
      </c>
      <c r="D7297" t="s">
        <v>211</v>
      </c>
      <c r="E7297" t="s">
        <v>212</v>
      </c>
      <c r="F7297" t="s">
        <v>10838</v>
      </c>
      <c r="G7297">
        <v>1144071</v>
      </c>
      <c r="H7297" t="s">
        <v>26</v>
      </c>
      <c r="I7297" t="s">
        <v>450</v>
      </c>
      <c r="J7297" t="str">
        <f>"9781118472217"</f>
        <v>9781118472217</v>
      </c>
      <c r="K7297" t="s">
        <v>10842</v>
      </c>
      <c r="L7297">
        <v>8</v>
      </c>
      <c r="O7297" t="s">
        <v>30</v>
      </c>
      <c r="P7297" t="s">
        <v>47</v>
      </c>
      <c r="Q7297" s="1">
        <v>42274.049108796295</v>
      </c>
      <c r="R7297">
        <v>1</v>
      </c>
      <c r="S7297" t="s">
        <v>214</v>
      </c>
      <c r="T7297" t="s">
        <v>10840</v>
      </c>
      <c r="U7297">
        <v>547</v>
      </c>
      <c r="V7297" s="3">
        <v>41339</v>
      </c>
    </row>
    <row r="7298" spans="1:22" x14ac:dyDescent="0.35">
      <c r="A7298" s="1">
        <v>42274.04519675926</v>
      </c>
      <c r="B7298" s="2">
        <v>3.9120370370370368E-3</v>
      </c>
      <c r="C7298" t="s">
        <v>10832</v>
      </c>
      <c r="D7298" t="s">
        <v>211</v>
      </c>
      <c r="E7298" t="s">
        <v>212</v>
      </c>
      <c r="F7298" t="s">
        <v>10838</v>
      </c>
      <c r="G7298">
        <v>1144071</v>
      </c>
      <c r="H7298" t="s">
        <v>26</v>
      </c>
      <c r="I7298" t="s">
        <v>450</v>
      </c>
      <c r="J7298" t="str">
        <f>"9781118472217"</f>
        <v>9781118472217</v>
      </c>
      <c r="K7298" t="s">
        <v>10843</v>
      </c>
      <c r="L7298">
        <v>10</v>
      </c>
      <c r="O7298" t="s">
        <v>30</v>
      </c>
      <c r="P7298" t="s">
        <v>50</v>
      </c>
      <c r="S7298" t="s">
        <v>214</v>
      </c>
      <c r="T7298" t="s">
        <v>10840</v>
      </c>
      <c r="U7298">
        <v>547</v>
      </c>
      <c r="V7298" s="3">
        <v>41339</v>
      </c>
    </row>
    <row r="7299" spans="1:22" x14ac:dyDescent="0.35">
      <c r="A7299" s="1">
        <v>42273.958958333336</v>
      </c>
      <c r="B7299" s="2">
        <v>6.9444444444444444E-5</v>
      </c>
      <c r="C7299" t="s">
        <v>6324</v>
      </c>
      <c r="D7299" t="s">
        <v>1222</v>
      </c>
      <c r="E7299" t="s">
        <v>1223</v>
      </c>
      <c r="F7299" t="s">
        <v>6325</v>
      </c>
      <c r="G7299">
        <v>871519</v>
      </c>
      <c r="H7299" t="s">
        <v>26</v>
      </c>
      <c r="I7299" t="s">
        <v>1532</v>
      </c>
      <c r="J7299" t="str">
        <f>"9781444398359"</f>
        <v>9781444398359</v>
      </c>
      <c r="K7299" t="s">
        <v>33</v>
      </c>
      <c r="L7299">
        <v>3</v>
      </c>
      <c r="O7299" t="s">
        <v>30</v>
      </c>
      <c r="P7299" t="s">
        <v>29</v>
      </c>
      <c r="Q7299" s="1">
        <v>42270.157962962963</v>
      </c>
      <c r="R7299">
        <v>7</v>
      </c>
      <c r="S7299" t="s">
        <v>1226</v>
      </c>
      <c r="T7299" t="s">
        <v>6327</v>
      </c>
      <c r="U7299">
        <v>523.20000000000005</v>
      </c>
      <c r="V7299" s="3">
        <v>40968</v>
      </c>
    </row>
    <row r="7300" spans="1:22" x14ac:dyDescent="0.35">
      <c r="A7300" s="1">
        <v>42273.878634259258</v>
      </c>
      <c r="B7300" s="2">
        <v>2.5578703703703705E-3</v>
      </c>
      <c r="C7300" t="s">
        <v>10844</v>
      </c>
      <c r="D7300" t="s">
        <v>23</v>
      </c>
      <c r="E7300" t="s">
        <v>24</v>
      </c>
      <c r="F7300" t="s">
        <v>52</v>
      </c>
      <c r="G7300">
        <v>822040</v>
      </c>
      <c r="H7300" t="s">
        <v>26</v>
      </c>
      <c r="I7300" t="s">
        <v>53</v>
      </c>
      <c r="J7300" t="str">
        <f>"9781118289099"</f>
        <v>9781118289099</v>
      </c>
      <c r="K7300" t="s">
        <v>10845</v>
      </c>
      <c r="L7300">
        <v>18</v>
      </c>
      <c r="O7300" t="s">
        <v>30</v>
      </c>
      <c r="P7300" t="s">
        <v>42</v>
      </c>
      <c r="S7300" t="s">
        <v>31</v>
      </c>
      <c r="T7300" t="s">
        <v>55</v>
      </c>
      <c r="U7300" t="s">
        <v>56</v>
      </c>
      <c r="V7300" s="3">
        <v>40990</v>
      </c>
    </row>
    <row r="7301" spans="1:22" x14ac:dyDescent="0.35">
      <c r="A7301" s="1">
        <v>42273.823483796295</v>
      </c>
      <c r="B7301" s="2">
        <v>1.4884259259259259E-2</v>
      </c>
      <c r="C7301" t="s">
        <v>8975</v>
      </c>
      <c r="D7301" t="s">
        <v>23</v>
      </c>
      <c r="E7301" t="s">
        <v>24</v>
      </c>
      <c r="F7301" t="s">
        <v>246</v>
      </c>
      <c r="G7301">
        <v>1682559</v>
      </c>
      <c r="H7301" t="s">
        <v>91</v>
      </c>
      <c r="I7301" t="s">
        <v>247</v>
      </c>
      <c r="J7301" t="str">
        <f>"9781462515431"</f>
        <v>9781462515431</v>
      </c>
      <c r="K7301" t="s">
        <v>10846</v>
      </c>
      <c r="L7301">
        <v>37</v>
      </c>
      <c r="O7301" t="s">
        <v>30</v>
      </c>
      <c r="P7301" t="s">
        <v>29</v>
      </c>
      <c r="Q7301" s="1">
        <v>42269.635995370372</v>
      </c>
      <c r="R7301">
        <v>7</v>
      </c>
      <c r="S7301" t="s">
        <v>31</v>
      </c>
      <c r="T7301" t="s">
        <v>249</v>
      </c>
      <c r="U7301">
        <v>616.89</v>
      </c>
      <c r="V7301" s="3">
        <v>41769</v>
      </c>
    </row>
    <row r="7302" spans="1:22" x14ac:dyDescent="0.35">
      <c r="A7302" s="1">
        <v>42273.798344907409</v>
      </c>
      <c r="B7302" s="2">
        <v>1.9675925925925926E-4</v>
      </c>
      <c r="C7302" t="s">
        <v>210</v>
      </c>
      <c r="D7302" t="s">
        <v>211</v>
      </c>
      <c r="E7302" t="s">
        <v>212</v>
      </c>
      <c r="F7302" t="s">
        <v>10847</v>
      </c>
      <c r="G7302">
        <v>837600</v>
      </c>
      <c r="H7302" t="s">
        <v>26</v>
      </c>
      <c r="I7302" t="s">
        <v>108</v>
      </c>
      <c r="J7302" t="str">
        <f>"9781118286364"</f>
        <v>9781118286364</v>
      </c>
      <c r="K7302" t="s">
        <v>1404</v>
      </c>
      <c r="L7302">
        <v>8</v>
      </c>
      <c r="O7302" t="s">
        <v>30</v>
      </c>
      <c r="P7302" t="s">
        <v>42</v>
      </c>
      <c r="S7302" t="s">
        <v>214</v>
      </c>
      <c r="T7302" t="s">
        <v>10848</v>
      </c>
      <c r="U7302" t="s">
        <v>10849</v>
      </c>
      <c r="V7302" s="3">
        <v>41059</v>
      </c>
    </row>
    <row r="7303" spans="1:22" x14ac:dyDescent="0.35">
      <c r="A7303" s="1">
        <v>42273.771226851852</v>
      </c>
      <c r="B7303" s="2">
        <v>6.9444444444444447E-4</v>
      </c>
      <c r="C7303" t="s">
        <v>8975</v>
      </c>
      <c r="D7303" t="s">
        <v>23</v>
      </c>
      <c r="E7303" t="s">
        <v>24</v>
      </c>
      <c r="F7303" t="s">
        <v>246</v>
      </c>
      <c r="G7303">
        <v>1682559</v>
      </c>
      <c r="H7303" t="s">
        <v>91</v>
      </c>
      <c r="I7303" t="s">
        <v>247</v>
      </c>
      <c r="J7303" t="str">
        <f>"9781462515431"</f>
        <v>9781462515431</v>
      </c>
      <c r="K7303" t="s">
        <v>10850</v>
      </c>
      <c r="L7303">
        <v>23</v>
      </c>
      <c r="O7303" t="s">
        <v>30</v>
      </c>
      <c r="P7303" t="s">
        <v>29</v>
      </c>
      <c r="Q7303" s="1">
        <v>42269.635995370372</v>
      </c>
      <c r="R7303">
        <v>7</v>
      </c>
      <c r="S7303" t="s">
        <v>31</v>
      </c>
      <c r="T7303" t="s">
        <v>249</v>
      </c>
      <c r="U7303">
        <v>616.89</v>
      </c>
      <c r="V7303" s="3">
        <v>41769</v>
      </c>
    </row>
    <row r="7304" spans="1:22" x14ac:dyDescent="0.35">
      <c r="A7304" s="1">
        <v>42273.65185185185</v>
      </c>
      <c r="B7304" s="2">
        <v>1.8703703703703705E-2</v>
      </c>
      <c r="C7304" t="s">
        <v>10851</v>
      </c>
      <c r="D7304" t="s">
        <v>35</v>
      </c>
      <c r="E7304" t="s">
        <v>36</v>
      </c>
      <c r="F7304" t="s">
        <v>3232</v>
      </c>
      <c r="G7304">
        <v>1109590</v>
      </c>
      <c r="H7304" t="s">
        <v>1286</v>
      </c>
      <c r="I7304" t="s">
        <v>150</v>
      </c>
      <c r="J7304" t="str">
        <f>"9781476600093"</f>
        <v>9781476600093</v>
      </c>
      <c r="K7304" t="s">
        <v>10852</v>
      </c>
      <c r="L7304">
        <v>2</v>
      </c>
      <c r="O7304" t="s">
        <v>30</v>
      </c>
      <c r="P7304" t="s">
        <v>29</v>
      </c>
      <c r="Q7304" s="1">
        <v>42273.65185185185</v>
      </c>
      <c r="R7304">
        <v>7</v>
      </c>
      <c r="S7304" t="s">
        <v>40</v>
      </c>
      <c r="T7304" t="s">
        <v>3234</v>
      </c>
      <c r="U7304" t="s">
        <v>3235</v>
      </c>
      <c r="V7304" s="3">
        <v>41294</v>
      </c>
    </row>
    <row r="7305" spans="1:22" x14ac:dyDescent="0.35">
      <c r="A7305" s="1">
        <v>42273.644525462965</v>
      </c>
      <c r="B7305" s="2">
        <v>7.3263888888888892E-3</v>
      </c>
      <c r="C7305" t="s">
        <v>10851</v>
      </c>
      <c r="D7305" t="s">
        <v>35</v>
      </c>
      <c r="E7305" t="s">
        <v>36</v>
      </c>
      <c r="F7305" t="s">
        <v>3232</v>
      </c>
      <c r="G7305">
        <v>1109590</v>
      </c>
      <c r="H7305" t="s">
        <v>1286</v>
      </c>
      <c r="I7305" t="s">
        <v>150</v>
      </c>
      <c r="J7305" t="str">
        <f>"9781476600093"</f>
        <v>9781476600093</v>
      </c>
      <c r="K7305" t="s">
        <v>10853</v>
      </c>
      <c r="L7305">
        <v>12</v>
      </c>
      <c r="O7305" t="s">
        <v>30</v>
      </c>
      <c r="P7305" t="s">
        <v>42</v>
      </c>
      <c r="S7305" t="s">
        <v>40</v>
      </c>
      <c r="T7305" t="s">
        <v>3234</v>
      </c>
      <c r="U7305" t="s">
        <v>3235</v>
      </c>
      <c r="V7305" s="3">
        <v>41294</v>
      </c>
    </row>
    <row r="7306" spans="1:22" x14ac:dyDescent="0.35">
      <c r="A7306" s="1">
        <v>42273.623923611114</v>
      </c>
      <c r="B7306" s="2">
        <v>1.0497685185185186E-2</v>
      </c>
      <c r="C7306" t="s">
        <v>10470</v>
      </c>
      <c r="D7306" t="s">
        <v>158</v>
      </c>
      <c r="E7306" t="s">
        <v>159</v>
      </c>
      <c r="F7306" t="s">
        <v>6721</v>
      </c>
      <c r="G7306">
        <v>1638687</v>
      </c>
      <c r="H7306" t="s">
        <v>26</v>
      </c>
      <c r="I7306" t="s">
        <v>4527</v>
      </c>
      <c r="J7306" t="str">
        <f>"9781118850152"</f>
        <v>9781118850152</v>
      </c>
      <c r="K7306" t="s">
        <v>10854</v>
      </c>
      <c r="L7306">
        <v>18</v>
      </c>
      <c r="O7306" t="s">
        <v>30</v>
      </c>
      <c r="P7306" t="s">
        <v>29</v>
      </c>
      <c r="Q7306" s="1">
        <v>42273.623923611114</v>
      </c>
      <c r="R7306">
        <v>7</v>
      </c>
      <c r="S7306" t="s">
        <v>163</v>
      </c>
      <c r="T7306" t="s">
        <v>6723</v>
      </c>
      <c r="U7306">
        <v>362.29</v>
      </c>
      <c r="V7306" s="3">
        <v>41691</v>
      </c>
    </row>
    <row r="7307" spans="1:22" x14ac:dyDescent="0.35">
      <c r="A7307" s="1">
        <v>42273.616851851853</v>
      </c>
      <c r="B7307" s="2">
        <v>7.0717592592592594E-3</v>
      </c>
      <c r="C7307" t="s">
        <v>10470</v>
      </c>
      <c r="D7307" t="s">
        <v>158</v>
      </c>
      <c r="E7307" t="s">
        <v>159</v>
      </c>
      <c r="F7307" t="s">
        <v>6721</v>
      </c>
      <c r="G7307">
        <v>1638687</v>
      </c>
      <c r="H7307" t="s">
        <v>26</v>
      </c>
      <c r="I7307" t="s">
        <v>4527</v>
      </c>
      <c r="J7307" t="str">
        <f>"9781118850152"</f>
        <v>9781118850152</v>
      </c>
      <c r="K7307" t="s">
        <v>10855</v>
      </c>
      <c r="L7307">
        <v>50</v>
      </c>
      <c r="O7307" t="s">
        <v>30</v>
      </c>
      <c r="P7307" t="s">
        <v>42</v>
      </c>
      <c r="S7307" t="s">
        <v>163</v>
      </c>
      <c r="T7307" t="s">
        <v>6723</v>
      </c>
      <c r="U7307">
        <v>362.29</v>
      </c>
      <c r="V7307" s="3">
        <v>41691</v>
      </c>
    </row>
    <row r="7308" spans="1:22" x14ac:dyDescent="0.35">
      <c r="A7308" s="1">
        <v>42273.615023148152</v>
      </c>
      <c r="B7308" s="2">
        <v>4.5138888888888892E-4</v>
      </c>
      <c r="C7308" t="s">
        <v>10856</v>
      </c>
      <c r="D7308" t="s">
        <v>35</v>
      </c>
      <c r="E7308" t="s">
        <v>36</v>
      </c>
      <c r="F7308" t="s">
        <v>10857</v>
      </c>
      <c r="G7308">
        <v>1570499</v>
      </c>
      <c r="H7308" t="s">
        <v>45</v>
      </c>
      <c r="I7308" t="s">
        <v>97</v>
      </c>
      <c r="J7308" t="str">
        <f>"9781472413475"</f>
        <v>9781472413475</v>
      </c>
      <c r="K7308" t="s">
        <v>10858</v>
      </c>
      <c r="L7308">
        <v>18</v>
      </c>
      <c r="O7308" t="s">
        <v>30</v>
      </c>
      <c r="P7308" t="s">
        <v>50</v>
      </c>
      <c r="S7308" t="s">
        <v>40</v>
      </c>
      <c r="T7308" t="s">
        <v>10859</v>
      </c>
      <c r="U7308">
        <v>658.7</v>
      </c>
      <c r="V7308" s="3">
        <v>41698</v>
      </c>
    </row>
    <row r="7309" spans="1:22" x14ac:dyDescent="0.35">
      <c r="A7309" s="1">
        <v>42273.600613425922</v>
      </c>
      <c r="B7309" s="2">
        <v>5.3240740740740744E-4</v>
      </c>
      <c r="C7309" t="s">
        <v>10860</v>
      </c>
      <c r="D7309" t="s">
        <v>23</v>
      </c>
      <c r="E7309" t="s">
        <v>24</v>
      </c>
      <c r="F7309" t="s">
        <v>10861</v>
      </c>
      <c r="G7309">
        <v>1711012</v>
      </c>
      <c r="H7309" t="s">
        <v>84</v>
      </c>
      <c r="I7309" t="s">
        <v>150</v>
      </c>
      <c r="J7309" t="str">
        <f>"9780520959552"</f>
        <v>9780520959552</v>
      </c>
      <c r="K7309" t="s">
        <v>10862</v>
      </c>
      <c r="L7309">
        <v>13</v>
      </c>
      <c r="O7309" t="s">
        <v>30</v>
      </c>
      <c r="P7309" t="s">
        <v>50</v>
      </c>
      <c r="S7309" t="s">
        <v>31</v>
      </c>
      <c r="T7309" t="s">
        <v>10863</v>
      </c>
      <c r="U7309" t="s">
        <v>10864</v>
      </c>
      <c r="V7309" s="3">
        <v>41997</v>
      </c>
    </row>
    <row r="7310" spans="1:22" x14ac:dyDescent="0.35">
      <c r="A7310" s="1">
        <v>42273.586574074077</v>
      </c>
      <c r="B7310" s="2">
        <v>7.5231481481481471E-4</v>
      </c>
      <c r="C7310" t="s">
        <v>10856</v>
      </c>
      <c r="D7310" t="s">
        <v>35</v>
      </c>
      <c r="E7310" t="s">
        <v>36</v>
      </c>
      <c r="F7310" t="s">
        <v>10857</v>
      </c>
      <c r="G7310">
        <v>1570499</v>
      </c>
      <c r="H7310" t="s">
        <v>45</v>
      </c>
      <c r="I7310" t="s">
        <v>97</v>
      </c>
      <c r="J7310" t="str">
        <f>"9781472413475"</f>
        <v>9781472413475</v>
      </c>
      <c r="K7310" t="s">
        <v>10865</v>
      </c>
      <c r="L7310">
        <v>39</v>
      </c>
      <c r="O7310" t="s">
        <v>30</v>
      </c>
      <c r="P7310" t="s">
        <v>50</v>
      </c>
      <c r="S7310" t="s">
        <v>40</v>
      </c>
      <c r="T7310" t="s">
        <v>10859</v>
      </c>
      <c r="U7310">
        <v>658.7</v>
      </c>
      <c r="V7310" s="3">
        <v>41698</v>
      </c>
    </row>
    <row r="7311" spans="1:22" x14ac:dyDescent="0.35">
      <c r="A7311" s="1">
        <v>42273.585925925923</v>
      </c>
      <c r="B7311" s="2">
        <v>4.9768518518518521E-4</v>
      </c>
      <c r="C7311" t="s">
        <v>10856</v>
      </c>
      <c r="D7311" t="s">
        <v>35</v>
      </c>
      <c r="E7311" t="s">
        <v>36</v>
      </c>
      <c r="F7311" t="s">
        <v>10857</v>
      </c>
      <c r="G7311">
        <v>1570499</v>
      </c>
      <c r="H7311" t="s">
        <v>45</v>
      </c>
      <c r="I7311" t="s">
        <v>97</v>
      </c>
      <c r="J7311" t="str">
        <f>"9781472413475"</f>
        <v>9781472413475</v>
      </c>
      <c r="K7311" t="s">
        <v>10866</v>
      </c>
      <c r="L7311">
        <v>21</v>
      </c>
      <c r="O7311" t="s">
        <v>30</v>
      </c>
      <c r="P7311" t="s">
        <v>50</v>
      </c>
      <c r="S7311" t="s">
        <v>40</v>
      </c>
      <c r="T7311" t="s">
        <v>10859</v>
      </c>
      <c r="U7311">
        <v>658.7</v>
      </c>
      <c r="V7311" s="3">
        <v>41698</v>
      </c>
    </row>
    <row r="7312" spans="1:22" x14ac:dyDescent="0.35">
      <c r="A7312" s="1">
        <v>42273.177499999998</v>
      </c>
      <c r="B7312" s="2">
        <v>5.7870370370370378E-4</v>
      </c>
      <c r="C7312" t="s">
        <v>10867</v>
      </c>
      <c r="D7312" t="s">
        <v>158</v>
      </c>
      <c r="E7312" t="s">
        <v>159</v>
      </c>
      <c r="F7312" t="s">
        <v>10868</v>
      </c>
      <c r="G7312">
        <v>1204057</v>
      </c>
      <c r="H7312" t="s">
        <v>26</v>
      </c>
      <c r="I7312" t="s">
        <v>2751</v>
      </c>
      <c r="J7312" t="str">
        <f>"9781118598122"</f>
        <v>9781118598122</v>
      </c>
      <c r="K7312" t="s">
        <v>10869</v>
      </c>
      <c r="L7312">
        <v>12</v>
      </c>
      <c r="O7312" t="s">
        <v>30</v>
      </c>
      <c r="P7312" t="s">
        <v>42</v>
      </c>
      <c r="S7312" t="s">
        <v>163</v>
      </c>
      <c r="T7312" t="s">
        <v>10870</v>
      </c>
      <c r="U7312" t="s">
        <v>10871</v>
      </c>
      <c r="V7312" s="3">
        <v>41414</v>
      </c>
    </row>
    <row r="7313" spans="1:22" x14ac:dyDescent="0.35">
      <c r="A7313" s="1">
        <v>42273.15519675926</v>
      </c>
      <c r="B7313" s="2">
        <v>1.7708333333333332E-3</v>
      </c>
      <c r="C7313" t="s">
        <v>2181</v>
      </c>
      <c r="D7313" t="s">
        <v>23</v>
      </c>
      <c r="E7313" t="s">
        <v>24</v>
      </c>
      <c r="F7313" t="s">
        <v>10872</v>
      </c>
      <c r="G7313">
        <v>1434092</v>
      </c>
      <c r="H7313" t="s">
        <v>26</v>
      </c>
      <c r="I7313" t="s">
        <v>10607</v>
      </c>
      <c r="J7313" t="str">
        <f>"9781118555071"</f>
        <v>9781118555071</v>
      </c>
      <c r="K7313" t="s">
        <v>10873</v>
      </c>
      <c r="L7313">
        <v>41</v>
      </c>
      <c r="O7313" t="s">
        <v>30</v>
      </c>
      <c r="P7313" t="s">
        <v>42</v>
      </c>
      <c r="S7313" t="s">
        <v>31</v>
      </c>
      <c r="T7313" t="s">
        <v>10874</v>
      </c>
      <c r="U7313">
        <v>3</v>
      </c>
      <c r="V7313" s="3">
        <v>41491</v>
      </c>
    </row>
    <row r="7314" spans="1:22" x14ac:dyDescent="0.35">
      <c r="A7314" s="1">
        <v>42273.138055555559</v>
      </c>
      <c r="B7314" s="2">
        <v>0</v>
      </c>
      <c r="C7314" t="s">
        <v>10875</v>
      </c>
      <c r="D7314" t="s">
        <v>23</v>
      </c>
      <c r="E7314" t="s">
        <v>24</v>
      </c>
      <c r="F7314" t="s">
        <v>10876</v>
      </c>
      <c r="G7314">
        <v>1589624</v>
      </c>
      <c r="H7314" t="s">
        <v>45</v>
      </c>
      <c r="I7314" t="s">
        <v>172</v>
      </c>
      <c r="J7314" t="str">
        <f>"9781472413772"</f>
        <v>9781472413772</v>
      </c>
      <c r="L7314">
        <v>0</v>
      </c>
      <c r="O7314" t="s">
        <v>28</v>
      </c>
      <c r="P7314" t="s">
        <v>47</v>
      </c>
      <c r="Q7314" s="1">
        <v>42273.138055555559</v>
      </c>
      <c r="R7314">
        <v>7</v>
      </c>
      <c r="S7314" t="s">
        <v>31</v>
      </c>
      <c r="T7314" t="s">
        <v>10877</v>
      </c>
      <c r="U7314">
        <v>973.91</v>
      </c>
      <c r="V7314" s="3">
        <v>41818</v>
      </c>
    </row>
    <row r="7315" spans="1:22" x14ac:dyDescent="0.35">
      <c r="A7315" s="1">
        <v>42273.138055555559</v>
      </c>
      <c r="B7315" s="2">
        <v>0</v>
      </c>
      <c r="C7315" t="s">
        <v>10875</v>
      </c>
      <c r="D7315" t="s">
        <v>23</v>
      </c>
      <c r="E7315" t="s">
        <v>24</v>
      </c>
      <c r="F7315" t="s">
        <v>10876</v>
      </c>
      <c r="G7315">
        <v>1589624</v>
      </c>
      <c r="H7315" t="s">
        <v>45</v>
      </c>
      <c r="I7315" t="s">
        <v>172</v>
      </c>
      <c r="J7315" t="str">
        <f>"9781472413772"</f>
        <v>9781472413772</v>
      </c>
      <c r="L7315">
        <v>0</v>
      </c>
      <c r="O7315" t="s">
        <v>30</v>
      </c>
      <c r="P7315" t="s">
        <v>47</v>
      </c>
      <c r="Q7315" s="1">
        <v>42273.138055555559</v>
      </c>
      <c r="R7315">
        <v>7</v>
      </c>
      <c r="S7315" t="s">
        <v>31</v>
      </c>
      <c r="T7315" t="s">
        <v>10877</v>
      </c>
      <c r="U7315">
        <v>973.91</v>
      </c>
      <c r="V7315" s="3">
        <v>41818</v>
      </c>
    </row>
    <row r="7316" spans="1:22" x14ac:dyDescent="0.35">
      <c r="A7316" s="1">
        <v>42273.137662037036</v>
      </c>
      <c r="B7316" s="2">
        <v>3.9351851851851852E-4</v>
      </c>
      <c r="C7316" t="s">
        <v>10875</v>
      </c>
      <c r="D7316" t="s">
        <v>23</v>
      </c>
      <c r="E7316" t="s">
        <v>24</v>
      </c>
      <c r="F7316" t="s">
        <v>10876</v>
      </c>
      <c r="G7316">
        <v>1589624</v>
      </c>
      <c r="H7316" t="s">
        <v>45</v>
      </c>
      <c r="I7316" t="s">
        <v>172</v>
      </c>
      <c r="J7316" t="str">
        <f>"9781472413772"</f>
        <v>9781472413772</v>
      </c>
      <c r="K7316" t="s">
        <v>33</v>
      </c>
      <c r="L7316">
        <v>3</v>
      </c>
      <c r="O7316" t="s">
        <v>30</v>
      </c>
      <c r="P7316" t="s">
        <v>50</v>
      </c>
      <c r="S7316" t="s">
        <v>31</v>
      </c>
      <c r="T7316" t="s">
        <v>10877</v>
      </c>
      <c r="U7316">
        <v>973.91</v>
      </c>
      <c r="V7316" s="3">
        <v>41818</v>
      </c>
    </row>
    <row r="7317" spans="1:22" x14ac:dyDescent="0.35">
      <c r="A7317" s="1">
        <v>42273.036851851852</v>
      </c>
      <c r="B7317" s="2">
        <v>1.0960648148148148E-2</v>
      </c>
      <c r="C7317" t="s">
        <v>8975</v>
      </c>
      <c r="D7317" t="s">
        <v>23</v>
      </c>
      <c r="E7317" t="s">
        <v>24</v>
      </c>
      <c r="F7317" t="s">
        <v>246</v>
      </c>
      <c r="G7317">
        <v>1682559</v>
      </c>
      <c r="H7317" t="s">
        <v>91</v>
      </c>
      <c r="I7317" t="s">
        <v>247</v>
      </c>
      <c r="J7317" t="str">
        <f>"9781462515431"</f>
        <v>9781462515431</v>
      </c>
      <c r="K7317" t="s">
        <v>10878</v>
      </c>
      <c r="L7317">
        <v>50</v>
      </c>
      <c r="O7317" t="s">
        <v>30</v>
      </c>
      <c r="P7317" t="s">
        <v>29</v>
      </c>
      <c r="Q7317" s="1">
        <v>42269.635995370372</v>
      </c>
      <c r="R7317">
        <v>7</v>
      </c>
      <c r="S7317" t="s">
        <v>31</v>
      </c>
      <c r="T7317" t="s">
        <v>249</v>
      </c>
      <c r="U7317">
        <v>616.89</v>
      </c>
      <c r="V7317" s="3">
        <v>41769</v>
      </c>
    </row>
    <row r="7318" spans="1:22" x14ac:dyDescent="0.35">
      <c r="A7318" s="1">
        <v>42272.906076388892</v>
      </c>
      <c r="B7318" s="2">
        <v>5.6712962962962956E-4</v>
      </c>
      <c r="C7318" t="s">
        <v>10879</v>
      </c>
      <c r="D7318" t="s">
        <v>1482</v>
      </c>
      <c r="E7318" t="s">
        <v>1483</v>
      </c>
      <c r="F7318" t="s">
        <v>10880</v>
      </c>
      <c r="G7318">
        <v>882717</v>
      </c>
      <c r="H7318" t="s">
        <v>26</v>
      </c>
      <c r="I7318" t="s">
        <v>27</v>
      </c>
      <c r="J7318" t="str">
        <f>"9781118286937"</f>
        <v>9781118286937</v>
      </c>
      <c r="K7318" t="s">
        <v>1438</v>
      </c>
      <c r="L7318">
        <v>16</v>
      </c>
      <c r="O7318" t="s">
        <v>30</v>
      </c>
      <c r="P7318" t="s">
        <v>42</v>
      </c>
      <c r="S7318" t="s">
        <v>1485</v>
      </c>
      <c r="T7318" t="s">
        <v>10881</v>
      </c>
      <c r="U7318" t="s">
        <v>10882</v>
      </c>
      <c r="V7318" s="3">
        <v>41156</v>
      </c>
    </row>
    <row r="7319" spans="1:22" x14ac:dyDescent="0.35">
      <c r="A7319" s="1">
        <v>42272.877824074072</v>
      </c>
      <c r="B7319" s="2">
        <v>5.7870370370370366E-5</v>
      </c>
      <c r="C7319" t="s">
        <v>5307</v>
      </c>
      <c r="D7319" t="s">
        <v>35</v>
      </c>
      <c r="E7319" t="s">
        <v>36</v>
      </c>
      <c r="F7319" t="s">
        <v>1353</v>
      </c>
      <c r="G7319">
        <v>860474</v>
      </c>
      <c r="H7319" t="s">
        <v>26</v>
      </c>
      <c r="I7319" t="s">
        <v>1354</v>
      </c>
      <c r="J7319" t="str">
        <f>"9780857082909"</f>
        <v>9780857082909</v>
      </c>
      <c r="K7319" t="s">
        <v>33</v>
      </c>
      <c r="L7319">
        <v>3</v>
      </c>
      <c r="O7319" t="s">
        <v>30</v>
      </c>
      <c r="P7319" t="s">
        <v>42</v>
      </c>
      <c r="S7319" t="s">
        <v>40</v>
      </c>
      <c r="T7319" t="s">
        <v>1356</v>
      </c>
      <c r="U7319" t="s">
        <v>1357</v>
      </c>
      <c r="V7319" s="3">
        <v>40947</v>
      </c>
    </row>
    <row r="7320" spans="1:22" x14ac:dyDescent="0.35">
      <c r="A7320" s="1">
        <v>42272.870138888888</v>
      </c>
      <c r="B7320" s="2">
        <v>7.7546296296296304E-4</v>
      </c>
      <c r="C7320" t="s">
        <v>5307</v>
      </c>
      <c r="D7320" t="s">
        <v>35</v>
      </c>
      <c r="E7320" t="s">
        <v>36</v>
      </c>
      <c r="F7320" t="s">
        <v>1353</v>
      </c>
      <c r="G7320">
        <v>860474</v>
      </c>
      <c r="H7320" t="s">
        <v>26</v>
      </c>
      <c r="I7320" t="s">
        <v>1354</v>
      </c>
      <c r="J7320" t="str">
        <f>"9780857082909"</f>
        <v>9780857082909</v>
      </c>
      <c r="K7320" t="s">
        <v>10883</v>
      </c>
      <c r="L7320">
        <v>23</v>
      </c>
      <c r="O7320" t="s">
        <v>30</v>
      </c>
      <c r="P7320" t="s">
        <v>42</v>
      </c>
      <c r="S7320" t="s">
        <v>40</v>
      </c>
      <c r="T7320" t="s">
        <v>1356</v>
      </c>
      <c r="U7320" t="s">
        <v>1357</v>
      </c>
      <c r="V7320" s="3">
        <v>40947</v>
      </c>
    </row>
    <row r="7321" spans="1:22" x14ac:dyDescent="0.35">
      <c r="A7321" s="1">
        <v>42272.836261574077</v>
      </c>
      <c r="B7321" s="2">
        <v>3.0787037037037037E-3</v>
      </c>
      <c r="C7321" t="s">
        <v>5307</v>
      </c>
      <c r="D7321" t="s">
        <v>35</v>
      </c>
      <c r="E7321" t="s">
        <v>36</v>
      </c>
      <c r="F7321" t="s">
        <v>4223</v>
      </c>
      <c r="G7321">
        <v>980956</v>
      </c>
      <c r="H7321" t="s">
        <v>26</v>
      </c>
      <c r="I7321" t="s">
        <v>4224</v>
      </c>
      <c r="J7321" t="str">
        <f>"9781118227251"</f>
        <v>9781118227251</v>
      </c>
      <c r="K7321" t="s">
        <v>10884</v>
      </c>
      <c r="L7321">
        <v>24</v>
      </c>
      <c r="O7321" t="s">
        <v>30</v>
      </c>
      <c r="P7321" t="s">
        <v>42</v>
      </c>
      <c r="S7321" t="s">
        <v>40</v>
      </c>
      <c r="T7321" t="s">
        <v>4226</v>
      </c>
      <c r="U7321" t="s">
        <v>4227</v>
      </c>
      <c r="V7321" s="3">
        <v>41113</v>
      </c>
    </row>
    <row r="7322" spans="1:22" x14ac:dyDescent="0.35">
      <c r="A7322" s="1">
        <v>42272.834606481483</v>
      </c>
      <c r="B7322" s="2">
        <v>2.7777777777777779E-3</v>
      </c>
      <c r="C7322" t="s">
        <v>10885</v>
      </c>
      <c r="D7322" t="s">
        <v>2519</v>
      </c>
      <c r="E7322" t="s">
        <v>2520</v>
      </c>
      <c r="F7322" t="s">
        <v>10886</v>
      </c>
      <c r="G7322">
        <v>1568418</v>
      </c>
      <c r="H7322" t="s">
        <v>26</v>
      </c>
      <c r="I7322" t="s">
        <v>97</v>
      </c>
      <c r="J7322" t="str">
        <f>"9781118417829"</f>
        <v>9781118417829</v>
      </c>
      <c r="K7322" t="s">
        <v>10887</v>
      </c>
      <c r="L7322">
        <v>27</v>
      </c>
      <c r="O7322" t="s">
        <v>30</v>
      </c>
      <c r="P7322" t="s">
        <v>50</v>
      </c>
      <c r="S7322" t="s">
        <v>2523</v>
      </c>
      <c r="T7322" t="s">
        <v>10888</v>
      </c>
      <c r="U7322">
        <v>658.30079999999998</v>
      </c>
      <c r="V7322" s="3">
        <v>41598</v>
      </c>
    </row>
    <row r="7323" spans="1:22" x14ac:dyDescent="0.35">
      <c r="A7323" s="1">
        <v>42272.815185185187</v>
      </c>
      <c r="B7323" s="2">
        <v>3.096064814814815E-2</v>
      </c>
      <c r="C7323" t="s">
        <v>3556</v>
      </c>
      <c r="D7323" t="s">
        <v>23</v>
      </c>
      <c r="E7323" t="s">
        <v>24</v>
      </c>
      <c r="F7323" t="s">
        <v>3060</v>
      </c>
      <c r="G7323">
        <v>1120279</v>
      </c>
      <c r="H7323" t="s">
        <v>26</v>
      </c>
      <c r="I7323" t="s">
        <v>3061</v>
      </c>
      <c r="J7323" t="str">
        <f>"9781118537671"</f>
        <v>9781118537671</v>
      </c>
      <c r="K7323" t="s">
        <v>10889</v>
      </c>
      <c r="L7323">
        <v>24</v>
      </c>
      <c r="O7323" t="s">
        <v>30</v>
      </c>
      <c r="P7323" t="s">
        <v>29</v>
      </c>
      <c r="Q7323" s="1">
        <v>42266.72446759259</v>
      </c>
      <c r="R7323">
        <v>7</v>
      </c>
      <c r="S7323" t="s">
        <v>31</v>
      </c>
      <c r="T7323" t="s">
        <v>3063</v>
      </c>
      <c r="U7323">
        <v>599.93499999999995</v>
      </c>
      <c r="V7323" s="3">
        <v>41232</v>
      </c>
    </row>
    <row r="7324" spans="1:22" x14ac:dyDescent="0.35">
      <c r="A7324" s="1">
        <v>42272.754583333335</v>
      </c>
      <c r="B7324" s="2">
        <v>3.2407407407407406E-4</v>
      </c>
      <c r="C7324" t="s">
        <v>10890</v>
      </c>
      <c r="D7324" t="s">
        <v>23</v>
      </c>
      <c r="E7324" t="s">
        <v>24</v>
      </c>
      <c r="F7324" t="s">
        <v>4218</v>
      </c>
      <c r="G7324">
        <v>1734072</v>
      </c>
      <c r="H7324" t="s">
        <v>45</v>
      </c>
      <c r="I7324" t="s">
        <v>426</v>
      </c>
      <c r="J7324" t="str">
        <f>"9781472421500"</f>
        <v>9781472421500</v>
      </c>
      <c r="K7324" t="s">
        <v>8786</v>
      </c>
      <c r="L7324">
        <v>9</v>
      </c>
      <c r="O7324" t="s">
        <v>30</v>
      </c>
      <c r="P7324" t="s">
        <v>50</v>
      </c>
      <c r="S7324" t="s">
        <v>31</v>
      </c>
      <c r="T7324" t="s">
        <v>4220</v>
      </c>
      <c r="U7324" t="s">
        <v>4221</v>
      </c>
      <c r="V7324" s="3">
        <v>41910</v>
      </c>
    </row>
    <row r="7325" spans="1:22" x14ac:dyDescent="0.35">
      <c r="A7325" s="1">
        <v>42272.736157407409</v>
      </c>
      <c r="B7325" s="2">
        <v>4.1435185185185186E-3</v>
      </c>
      <c r="C7325" t="s">
        <v>8508</v>
      </c>
      <c r="D7325" t="s">
        <v>23</v>
      </c>
      <c r="E7325" t="s">
        <v>24</v>
      </c>
      <c r="F7325" t="s">
        <v>5954</v>
      </c>
      <c r="G7325">
        <v>864784</v>
      </c>
      <c r="H7325" t="s">
        <v>492</v>
      </c>
      <c r="I7325" t="s">
        <v>69</v>
      </c>
      <c r="J7325" t="str">
        <f>"9781400841578"</f>
        <v>9781400841578</v>
      </c>
      <c r="K7325" t="s">
        <v>10891</v>
      </c>
      <c r="L7325">
        <v>53</v>
      </c>
      <c r="O7325" t="s">
        <v>30</v>
      </c>
      <c r="P7325" t="s">
        <v>42</v>
      </c>
      <c r="S7325" t="s">
        <v>31</v>
      </c>
      <c r="T7325" t="s">
        <v>5956</v>
      </c>
      <c r="U7325">
        <v>378.73</v>
      </c>
      <c r="V7325" s="3">
        <v>41786</v>
      </c>
    </row>
    <row r="7326" spans="1:22" x14ac:dyDescent="0.35">
      <c r="A7326" s="1">
        <v>42272.698541666665</v>
      </c>
      <c r="B7326" s="2">
        <v>1.2847222222222223E-3</v>
      </c>
      <c r="C7326" t="s">
        <v>10892</v>
      </c>
      <c r="D7326" t="s">
        <v>335</v>
      </c>
      <c r="E7326" t="s">
        <v>336</v>
      </c>
      <c r="F7326" t="s">
        <v>10893</v>
      </c>
      <c r="G7326">
        <v>1823058</v>
      </c>
      <c r="H7326" t="s">
        <v>26</v>
      </c>
      <c r="I7326" t="s">
        <v>187</v>
      </c>
      <c r="J7326" t="str">
        <f>"9781118873519"</f>
        <v>9781118873519</v>
      </c>
      <c r="K7326" t="s">
        <v>10894</v>
      </c>
      <c r="L7326">
        <v>18</v>
      </c>
      <c r="O7326" t="s">
        <v>30</v>
      </c>
      <c r="P7326" t="s">
        <v>29</v>
      </c>
      <c r="Q7326" s="1">
        <v>42272.698541666665</v>
      </c>
      <c r="R7326">
        <v>7</v>
      </c>
      <c r="S7326" t="s">
        <v>340</v>
      </c>
      <c r="T7326" t="s">
        <v>10895</v>
      </c>
      <c r="U7326" t="s">
        <v>10896</v>
      </c>
      <c r="V7326" s="3">
        <v>41932</v>
      </c>
    </row>
    <row r="7327" spans="1:22" x14ac:dyDescent="0.35">
      <c r="A7327" s="1">
        <v>42272.694178240738</v>
      </c>
      <c r="B7327" s="2">
        <v>4.363425925925926E-3</v>
      </c>
      <c r="C7327" t="s">
        <v>10892</v>
      </c>
      <c r="D7327" t="s">
        <v>335</v>
      </c>
      <c r="E7327" t="s">
        <v>336</v>
      </c>
      <c r="F7327" t="s">
        <v>10893</v>
      </c>
      <c r="G7327">
        <v>1823058</v>
      </c>
      <c r="H7327" t="s">
        <v>26</v>
      </c>
      <c r="I7327" t="s">
        <v>187</v>
      </c>
      <c r="J7327" t="str">
        <f>"9781118873519"</f>
        <v>9781118873519</v>
      </c>
      <c r="K7327" t="s">
        <v>10897</v>
      </c>
      <c r="L7327">
        <v>14</v>
      </c>
      <c r="O7327" t="s">
        <v>30</v>
      </c>
      <c r="P7327" t="s">
        <v>50</v>
      </c>
      <c r="S7327" t="s">
        <v>340</v>
      </c>
      <c r="T7327" t="s">
        <v>10895</v>
      </c>
      <c r="U7327" t="s">
        <v>10896</v>
      </c>
      <c r="V7327" s="3">
        <v>41932</v>
      </c>
    </row>
    <row r="7328" spans="1:22" x14ac:dyDescent="0.35">
      <c r="A7328" s="1">
        <v>42272.688449074078</v>
      </c>
      <c r="B7328" s="2">
        <v>9.2592592592592588E-5</v>
      </c>
      <c r="C7328" t="s">
        <v>10892</v>
      </c>
      <c r="D7328" t="s">
        <v>335</v>
      </c>
      <c r="E7328" t="s">
        <v>336</v>
      </c>
      <c r="F7328" t="s">
        <v>10898</v>
      </c>
      <c r="G7328">
        <v>1753388</v>
      </c>
      <c r="H7328" t="s">
        <v>26</v>
      </c>
      <c r="I7328" t="s">
        <v>1293</v>
      </c>
      <c r="J7328" t="str">
        <f>"9783527691098"</f>
        <v>9783527691098</v>
      </c>
      <c r="K7328" t="s">
        <v>10899</v>
      </c>
      <c r="L7328">
        <v>5</v>
      </c>
      <c r="O7328" t="s">
        <v>30</v>
      </c>
      <c r="P7328" t="s">
        <v>47</v>
      </c>
      <c r="Q7328" s="1">
        <v>42272.688449074078</v>
      </c>
      <c r="R7328">
        <v>1</v>
      </c>
      <c r="S7328" t="s">
        <v>340</v>
      </c>
      <c r="T7328" t="s">
        <v>10900</v>
      </c>
      <c r="U7328">
        <v>660.6</v>
      </c>
      <c r="V7328" s="3">
        <v>41842</v>
      </c>
    </row>
    <row r="7329" spans="1:22" x14ac:dyDescent="0.35">
      <c r="A7329" s="1">
        <v>42272.684652777774</v>
      </c>
      <c r="B7329" s="2">
        <v>3.7962962962962963E-3</v>
      </c>
      <c r="C7329" t="s">
        <v>10892</v>
      </c>
      <c r="D7329" t="s">
        <v>335</v>
      </c>
      <c r="E7329" t="s">
        <v>336</v>
      </c>
      <c r="F7329" t="s">
        <v>10898</v>
      </c>
      <c r="G7329">
        <v>1753388</v>
      </c>
      <c r="H7329" t="s">
        <v>26</v>
      </c>
      <c r="I7329" t="s">
        <v>1293</v>
      </c>
      <c r="J7329" t="str">
        <f>"9783527691098"</f>
        <v>9783527691098</v>
      </c>
      <c r="K7329" t="s">
        <v>10901</v>
      </c>
      <c r="L7329">
        <v>15</v>
      </c>
      <c r="O7329" t="s">
        <v>30</v>
      </c>
      <c r="P7329" t="s">
        <v>50</v>
      </c>
      <c r="S7329" t="s">
        <v>340</v>
      </c>
      <c r="T7329" t="s">
        <v>10900</v>
      </c>
      <c r="U7329">
        <v>660.6</v>
      </c>
      <c r="V7329" s="3">
        <v>41842</v>
      </c>
    </row>
    <row r="7330" spans="1:22" x14ac:dyDescent="0.35">
      <c r="A7330" s="1">
        <v>42272.683530092596</v>
      </c>
      <c r="B7330" s="2">
        <v>3.4722222222222224E-4</v>
      </c>
      <c r="C7330" t="s">
        <v>10892</v>
      </c>
      <c r="D7330" t="s">
        <v>335</v>
      </c>
      <c r="E7330" t="s">
        <v>336</v>
      </c>
      <c r="F7330" t="s">
        <v>7052</v>
      </c>
      <c r="G7330">
        <v>1895734</v>
      </c>
      <c r="H7330" t="s">
        <v>26</v>
      </c>
      <c r="I7330" t="s">
        <v>970</v>
      </c>
      <c r="J7330" t="str">
        <f>"9781118907221"</f>
        <v>9781118907221</v>
      </c>
      <c r="K7330" t="s">
        <v>10902</v>
      </c>
      <c r="L7330">
        <v>14</v>
      </c>
      <c r="O7330" t="s">
        <v>30</v>
      </c>
      <c r="P7330" t="s">
        <v>50</v>
      </c>
      <c r="S7330" t="s">
        <v>340</v>
      </c>
      <c r="T7330" t="s">
        <v>7054</v>
      </c>
      <c r="U7330">
        <v>615.19000000000005</v>
      </c>
      <c r="V7330" s="3">
        <v>42107</v>
      </c>
    </row>
    <row r="7331" spans="1:22" x14ac:dyDescent="0.35">
      <c r="A7331" s="1">
        <v>42272.681875000002</v>
      </c>
      <c r="B7331" s="2">
        <v>8.4606481481481477E-2</v>
      </c>
      <c r="C7331" t="s">
        <v>4041</v>
      </c>
      <c r="D7331" t="s">
        <v>23</v>
      </c>
      <c r="E7331" t="s">
        <v>24</v>
      </c>
      <c r="F7331" t="s">
        <v>3060</v>
      </c>
      <c r="G7331">
        <v>1120279</v>
      </c>
      <c r="H7331" t="s">
        <v>26</v>
      </c>
      <c r="I7331" t="s">
        <v>3061</v>
      </c>
      <c r="J7331" t="str">
        <f>"9781118537671"</f>
        <v>9781118537671</v>
      </c>
      <c r="K7331" t="s">
        <v>10903</v>
      </c>
      <c r="L7331">
        <v>15</v>
      </c>
      <c r="O7331" t="s">
        <v>30</v>
      </c>
      <c r="P7331" t="s">
        <v>29</v>
      </c>
      <c r="Q7331" s="1">
        <v>42272.681875000002</v>
      </c>
      <c r="R7331">
        <v>7</v>
      </c>
      <c r="S7331" t="s">
        <v>31</v>
      </c>
      <c r="T7331" t="s">
        <v>3063</v>
      </c>
      <c r="U7331">
        <v>599.93499999999995</v>
      </c>
      <c r="V7331" s="3">
        <v>41232</v>
      </c>
    </row>
    <row r="7332" spans="1:22" x14ac:dyDescent="0.35">
      <c r="A7332" s="1">
        <v>42272.673877314817</v>
      </c>
      <c r="B7332" s="2">
        <v>7.9976851851851858E-3</v>
      </c>
      <c r="C7332" t="s">
        <v>4041</v>
      </c>
      <c r="D7332" t="s">
        <v>23</v>
      </c>
      <c r="E7332" t="s">
        <v>24</v>
      </c>
      <c r="F7332" t="s">
        <v>3060</v>
      </c>
      <c r="G7332">
        <v>1120279</v>
      </c>
      <c r="H7332" t="s">
        <v>26</v>
      </c>
      <c r="I7332" t="s">
        <v>3061</v>
      </c>
      <c r="J7332" t="str">
        <f>"9781118537671"</f>
        <v>9781118537671</v>
      </c>
      <c r="K7332" t="s">
        <v>10904</v>
      </c>
      <c r="L7332">
        <v>14</v>
      </c>
      <c r="O7332" t="s">
        <v>30</v>
      </c>
      <c r="P7332" t="s">
        <v>42</v>
      </c>
      <c r="S7332" t="s">
        <v>31</v>
      </c>
      <c r="T7332" t="s">
        <v>3063</v>
      </c>
      <c r="U7332">
        <v>599.93499999999995</v>
      </c>
      <c r="V7332" s="3">
        <v>41232</v>
      </c>
    </row>
    <row r="7333" spans="1:22" x14ac:dyDescent="0.35">
      <c r="A7333" s="1">
        <v>42272.647673611114</v>
      </c>
      <c r="B7333" s="2">
        <v>4.3298611111111107E-2</v>
      </c>
      <c r="C7333" t="s">
        <v>106</v>
      </c>
      <c r="D7333" t="s">
        <v>23</v>
      </c>
      <c r="E7333" t="s">
        <v>24</v>
      </c>
      <c r="F7333" t="s">
        <v>486</v>
      </c>
      <c r="G7333">
        <v>1119505</v>
      </c>
      <c r="H7333" t="s">
        <v>26</v>
      </c>
      <c r="I7333" t="s">
        <v>450</v>
      </c>
      <c r="J7333" t="str">
        <f>"9781118355015"</f>
        <v>9781118355015</v>
      </c>
      <c r="K7333" t="s">
        <v>10905</v>
      </c>
      <c r="L7333">
        <v>25</v>
      </c>
      <c r="O7333" t="s">
        <v>30</v>
      </c>
      <c r="P7333" t="s">
        <v>29</v>
      </c>
      <c r="Q7333" s="1">
        <v>42269.848877314813</v>
      </c>
      <c r="R7333">
        <v>7</v>
      </c>
      <c r="S7333" t="s">
        <v>31</v>
      </c>
      <c r="T7333" t="s">
        <v>487</v>
      </c>
      <c r="U7333" t="s">
        <v>488</v>
      </c>
      <c r="V7333" s="3">
        <v>41302</v>
      </c>
    </row>
    <row r="7334" spans="1:22" x14ac:dyDescent="0.35">
      <c r="A7334" s="1">
        <v>42272.644259259258</v>
      </c>
      <c r="B7334" s="2">
        <v>1.7476851851851852E-3</v>
      </c>
      <c r="C7334" t="s">
        <v>106</v>
      </c>
      <c r="D7334" t="s">
        <v>23</v>
      </c>
      <c r="E7334" t="s">
        <v>24</v>
      </c>
      <c r="F7334" t="s">
        <v>3228</v>
      </c>
      <c r="G7334">
        <v>1115640</v>
      </c>
      <c r="H7334" t="s">
        <v>26</v>
      </c>
      <c r="I7334" t="s">
        <v>3229</v>
      </c>
      <c r="J7334" t="str">
        <f t="shared" ref="J7334:J7347" si="40">"9781118419090"</f>
        <v>9781118419090</v>
      </c>
      <c r="K7334" t="s">
        <v>10906</v>
      </c>
      <c r="L7334">
        <v>19</v>
      </c>
      <c r="O7334" t="s">
        <v>30</v>
      </c>
      <c r="P7334" t="s">
        <v>29</v>
      </c>
      <c r="Q7334" s="1">
        <v>42272.564895833333</v>
      </c>
      <c r="R7334">
        <v>7</v>
      </c>
      <c r="S7334" t="s">
        <v>31</v>
      </c>
      <c r="T7334" t="s">
        <v>3231</v>
      </c>
      <c r="U7334">
        <v>624</v>
      </c>
      <c r="V7334" s="3">
        <v>41296</v>
      </c>
    </row>
    <row r="7335" spans="1:22" x14ac:dyDescent="0.35">
      <c r="A7335" s="1">
        <v>42272.6403587963</v>
      </c>
      <c r="B7335" s="2">
        <v>1.9675925925925928E-3</v>
      </c>
      <c r="C7335" t="s">
        <v>10907</v>
      </c>
      <c r="D7335" t="s">
        <v>23</v>
      </c>
      <c r="E7335" t="s">
        <v>24</v>
      </c>
      <c r="F7335" t="s">
        <v>3228</v>
      </c>
      <c r="G7335">
        <v>1115640</v>
      </c>
      <c r="H7335" t="s">
        <v>26</v>
      </c>
      <c r="I7335" t="s">
        <v>3229</v>
      </c>
      <c r="J7335" t="str">
        <f t="shared" si="40"/>
        <v>9781118419090</v>
      </c>
      <c r="K7335" t="s">
        <v>10908</v>
      </c>
      <c r="L7335">
        <v>28</v>
      </c>
      <c r="O7335" t="s">
        <v>30</v>
      </c>
      <c r="P7335" t="s">
        <v>29</v>
      </c>
      <c r="Q7335" s="1">
        <v>42272.591631944444</v>
      </c>
      <c r="R7335">
        <v>7</v>
      </c>
      <c r="S7335" t="s">
        <v>31</v>
      </c>
      <c r="T7335" t="s">
        <v>3231</v>
      </c>
      <c r="U7335">
        <v>624</v>
      </c>
      <c r="V7335" s="3">
        <v>41296</v>
      </c>
    </row>
    <row r="7336" spans="1:22" x14ac:dyDescent="0.35">
      <c r="A7336" s="1">
        <v>42272.640034722222</v>
      </c>
      <c r="B7336" s="2">
        <v>2.5462962962962961E-4</v>
      </c>
      <c r="C7336" t="s">
        <v>106</v>
      </c>
      <c r="D7336" t="s">
        <v>23</v>
      </c>
      <c r="E7336" t="s">
        <v>24</v>
      </c>
      <c r="F7336" t="s">
        <v>3228</v>
      </c>
      <c r="G7336">
        <v>1115640</v>
      </c>
      <c r="H7336" t="s">
        <v>26</v>
      </c>
      <c r="I7336" t="s">
        <v>3229</v>
      </c>
      <c r="J7336" t="str">
        <f t="shared" si="40"/>
        <v>9781118419090</v>
      </c>
      <c r="K7336" t="s">
        <v>536</v>
      </c>
      <c r="L7336">
        <v>3</v>
      </c>
      <c r="O7336" t="s">
        <v>30</v>
      </c>
      <c r="P7336" t="s">
        <v>29</v>
      </c>
      <c r="Q7336" s="1">
        <v>42272.564895833333</v>
      </c>
      <c r="R7336">
        <v>7</v>
      </c>
      <c r="S7336" t="s">
        <v>31</v>
      </c>
      <c r="T7336" t="s">
        <v>3231</v>
      </c>
      <c r="U7336">
        <v>624</v>
      </c>
      <c r="V7336" s="3">
        <v>41296</v>
      </c>
    </row>
    <row r="7337" spans="1:22" x14ac:dyDescent="0.35">
      <c r="A7337" s="1">
        <v>42272.635208333333</v>
      </c>
      <c r="B7337" s="2">
        <v>6.9907407407407409E-3</v>
      </c>
      <c r="C7337" t="s">
        <v>106</v>
      </c>
      <c r="D7337" t="s">
        <v>23</v>
      </c>
      <c r="E7337" t="s">
        <v>24</v>
      </c>
      <c r="F7337" t="s">
        <v>3228</v>
      </c>
      <c r="G7337">
        <v>1115640</v>
      </c>
      <c r="H7337" t="s">
        <v>26</v>
      </c>
      <c r="I7337" t="s">
        <v>3229</v>
      </c>
      <c r="J7337" t="str">
        <f t="shared" si="40"/>
        <v>9781118419090</v>
      </c>
      <c r="K7337" t="s">
        <v>10909</v>
      </c>
      <c r="L7337">
        <v>41</v>
      </c>
      <c r="O7337" t="s">
        <v>30</v>
      </c>
      <c r="P7337" t="s">
        <v>29</v>
      </c>
      <c r="Q7337" s="1">
        <v>42272.564895833333</v>
      </c>
      <c r="R7337">
        <v>7</v>
      </c>
      <c r="S7337" t="s">
        <v>31</v>
      </c>
      <c r="T7337" t="s">
        <v>3231</v>
      </c>
      <c r="U7337">
        <v>624</v>
      </c>
      <c r="V7337" s="3">
        <v>41296</v>
      </c>
    </row>
    <row r="7338" spans="1:22" x14ac:dyDescent="0.35">
      <c r="A7338" s="1">
        <v>42272.63077546296</v>
      </c>
      <c r="B7338" s="2">
        <v>1.045138888888889E-2</v>
      </c>
      <c r="C7338" t="s">
        <v>10910</v>
      </c>
      <c r="D7338" t="s">
        <v>23</v>
      </c>
      <c r="E7338" t="s">
        <v>24</v>
      </c>
      <c r="F7338" t="s">
        <v>3228</v>
      </c>
      <c r="G7338">
        <v>1115640</v>
      </c>
      <c r="H7338" t="s">
        <v>26</v>
      </c>
      <c r="I7338" t="s">
        <v>3229</v>
      </c>
      <c r="J7338" t="str">
        <f t="shared" si="40"/>
        <v>9781118419090</v>
      </c>
      <c r="K7338" t="s">
        <v>10911</v>
      </c>
      <c r="L7338">
        <v>46</v>
      </c>
      <c r="O7338" t="s">
        <v>30</v>
      </c>
      <c r="P7338" t="s">
        <v>29</v>
      </c>
      <c r="Q7338" s="1">
        <v>42272.63077546296</v>
      </c>
      <c r="R7338">
        <v>7</v>
      </c>
      <c r="S7338" t="s">
        <v>31</v>
      </c>
      <c r="T7338" t="s">
        <v>3231</v>
      </c>
      <c r="U7338">
        <v>624</v>
      </c>
      <c r="V7338" s="3">
        <v>41296</v>
      </c>
    </row>
    <row r="7339" spans="1:22" x14ac:dyDescent="0.35">
      <c r="A7339" s="1">
        <v>42272.627465277779</v>
      </c>
      <c r="B7339" s="2">
        <v>7.6851851851851847E-3</v>
      </c>
      <c r="C7339" t="s">
        <v>10912</v>
      </c>
      <c r="D7339" t="s">
        <v>23</v>
      </c>
      <c r="E7339" t="s">
        <v>24</v>
      </c>
      <c r="F7339" t="s">
        <v>3228</v>
      </c>
      <c r="G7339">
        <v>1115640</v>
      </c>
      <c r="H7339" t="s">
        <v>26</v>
      </c>
      <c r="I7339" t="s">
        <v>3229</v>
      </c>
      <c r="J7339" t="str">
        <f t="shared" si="40"/>
        <v>9781118419090</v>
      </c>
      <c r="K7339" t="s">
        <v>10913</v>
      </c>
      <c r="L7339">
        <v>83</v>
      </c>
      <c r="O7339" t="s">
        <v>30</v>
      </c>
      <c r="P7339" t="s">
        <v>29</v>
      </c>
      <c r="Q7339" s="1">
        <v>42270.88008101852</v>
      </c>
      <c r="R7339">
        <v>7</v>
      </c>
      <c r="S7339" t="s">
        <v>31</v>
      </c>
      <c r="T7339" t="s">
        <v>3231</v>
      </c>
      <c r="U7339">
        <v>624</v>
      </c>
      <c r="V7339" s="3">
        <v>41296</v>
      </c>
    </row>
    <row r="7340" spans="1:22" x14ac:dyDescent="0.35">
      <c r="A7340" s="1">
        <v>42272.626307870371</v>
      </c>
      <c r="B7340" s="2">
        <v>1.074074074074074E-2</v>
      </c>
      <c r="C7340" t="s">
        <v>10914</v>
      </c>
      <c r="D7340" t="s">
        <v>23</v>
      </c>
      <c r="E7340" t="s">
        <v>24</v>
      </c>
      <c r="F7340" t="s">
        <v>3228</v>
      </c>
      <c r="G7340">
        <v>1115640</v>
      </c>
      <c r="H7340" t="s">
        <v>26</v>
      </c>
      <c r="I7340" t="s">
        <v>3229</v>
      </c>
      <c r="J7340" t="str">
        <f t="shared" si="40"/>
        <v>9781118419090</v>
      </c>
      <c r="K7340" t="s">
        <v>10915</v>
      </c>
      <c r="L7340">
        <v>57</v>
      </c>
      <c r="O7340" t="s">
        <v>30</v>
      </c>
      <c r="P7340" t="s">
        <v>29</v>
      </c>
      <c r="Q7340" s="1">
        <v>42272.626307870371</v>
      </c>
      <c r="R7340">
        <v>7</v>
      </c>
      <c r="S7340" t="s">
        <v>31</v>
      </c>
      <c r="T7340" t="s">
        <v>3231</v>
      </c>
      <c r="U7340">
        <v>624</v>
      </c>
      <c r="V7340" s="3">
        <v>41296</v>
      </c>
    </row>
    <row r="7341" spans="1:22" x14ac:dyDescent="0.35">
      <c r="A7341" s="1">
        <v>42272.626076388886</v>
      </c>
      <c r="B7341" s="2">
        <v>3.7962962962962963E-3</v>
      </c>
      <c r="C7341" t="s">
        <v>10916</v>
      </c>
      <c r="D7341" t="s">
        <v>23</v>
      </c>
      <c r="E7341" t="s">
        <v>24</v>
      </c>
      <c r="F7341" t="s">
        <v>3228</v>
      </c>
      <c r="G7341">
        <v>1115640</v>
      </c>
      <c r="H7341" t="s">
        <v>26</v>
      </c>
      <c r="I7341" t="s">
        <v>3229</v>
      </c>
      <c r="J7341" t="str">
        <f t="shared" si="40"/>
        <v>9781118419090</v>
      </c>
      <c r="K7341" t="s">
        <v>10917</v>
      </c>
      <c r="L7341">
        <v>27</v>
      </c>
      <c r="O7341" t="s">
        <v>30</v>
      </c>
      <c r="P7341" t="s">
        <v>29</v>
      </c>
      <c r="Q7341" s="1">
        <v>42272.626076388886</v>
      </c>
      <c r="R7341">
        <v>7</v>
      </c>
      <c r="S7341" t="s">
        <v>31</v>
      </c>
      <c r="T7341" t="s">
        <v>3231</v>
      </c>
      <c r="U7341">
        <v>624</v>
      </c>
      <c r="V7341" s="3">
        <v>41296</v>
      </c>
    </row>
    <row r="7342" spans="1:22" x14ac:dyDescent="0.35">
      <c r="A7342" s="1">
        <v>42272.624467592592</v>
      </c>
      <c r="B7342" s="2">
        <v>5.9375000000000009E-3</v>
      </c>
      <c r="C7342" t="s">
        <v>10918</v>
      </c>
      <c r="D7342" t="s">
        <v>23</v>
      </c>
      <c r="E7342" t="s">
        <v>24</v>
      </c>
      <c r="F7342" t="s">
        <v>3228</v>
      </c>
      <c r="G7342">
        <v>1115640</v>
      </c>
      <c r="H7342" t="s">
        <v>26</v>
      </c>
      <c r="I7342" t="s">
        <v>3229</v>
      </c>
      <c r="J7342" t="str">
        <f t="shared" si="40"/>
        <v>9781118419090</v>
      </c>
      <c r="K7342" t="s">
        <v>10919</v>
      </c>
      <c r="L7342">
        <v>35</v>
      </c>
      <c r="O7342" t="s">
        <v>30</v>
      </c>
      <c r="P7342" t="s">
        <v>29</v>
      </c>
      <c r="Q7342" s="1">
        <v>42272.624467592592</v>
      </c>
      <c r="R7342">
        <v>7</v>
      </c>
      <c r="S7342" t="s">
        <v>31</v>
      </c>
      <c r="T7342" t="s">
        <v>3231</v>
      </c>
      <c r="U7342">
        <v>624</v>
      </c>
      <c r="V7342" s="3">
        <v>41296</v>
      </c>
    </row>
    <row r="7343" spans="1:22" x14ac:dyDescent="0.35">
      <c r="A7343" s="1">
        <v>42272.624386574076</v>
      </c>
      <c r="B7343" s="2">
        <v>1.6944444444444443E-2</v>
      </c>
      <c r="C7343" t="s">
        <v>106</v>
      </c>
      <c r="D7343" t="s">
        <v>23</v>
      </c>
      <c r="E7343" t="s">
        <v>24</v>
      </c>
      <c r="F7343" t="s">
        <v>3228</v>
      </c>
      <c r="G7343">
        <v>1115640</v>
      </c>
      <c r="H7343" t="s">
        <v>26</v>
      </c>
      <c r="I7343" t="s">
        <v>3229</v>
      </c>
      <c r="J7343" t="str">
        <f t="shared" si="40"/>
        <v>9781118419090</v>
      </c>
      <c r="K7343" t="s">
        <v>10920</v>
      </c>
      <c r="L7343">
        <v>33</v>
      </c>
      <c r="O7343" t="s">
        <v>30</v>
      </c>
      <c r="P7343" t="s">
        <v>29</v>
      </c>
      <c r="Q7343" s="1">
        <v>42272.564895833333</v>
      </c>
      <c r="R7343">
        <v>7</v>
      </c>
      <c r="S7343" t="s">
        <v>31</v>
      </c>
      <c r="T7343" t="s">
        <v>3231</v>
      </c>
      <c r="U7343">
        <v>624</v>
      </c>
      <c r="V7343" s="3">
        <v>41296</v>
      </c>
    </row>
    <row r="7344" spans="1:22" x14ac:dyDescent="0.35">
      <c r="A7344" s="1">
        <v>42272.623749999999</v>
      </c>
      <c r="B7344" s="2">
        <v>7.0254629629629634E-3</v>
      </c>
      <c r="C7344" t="s">
        <v>10910</v>
      </c>
      <c r="D7344" t="s">
        <v>23</v>
      </c>
      <c r="E7344" t="s">
        <v>24</v>
      </c>
      <c r="F7344" t="s">
        <v>3228</v>
      </c>
      <c r="G7344">
        <v>1115640</v>
      </c>
      <c r="H7344" t="s">
        <v>26</v>
      </c>
      <c r="I7344" t="s">
        <v>3229</v>
      </c>
      <c r="J7344" t="str">
        <f t="shared" si="40"/>
        <v>9781118419090</v>
      </c>
      <c r="K7344" t="s">
        <v>10921</v>
      </c>
      <c r="L7344">
        <v>33</v>
      </c>
      <c r="O7344" t="s">
        <v>30</v>
      </c>
      <c r="P7344" t="s">
        <v>42</v>
      </c>
      <c r="S7344" t="s">
        <v>31</v>
      </c>
      <c r="T7344" t="s">
        <v>3231</v>
      </c>
      <c r="U7344">
        <v>624</v>
      </c>
      <c r="V7344" s="3">
        <v>41296</v>
      </c>
    </row>
    <row r="7345" spans="1:22" x14ac:dyDescent="0.35">
      <c r="A7345" s="1">
        <v>42272.61922453704</v>
      </c>
      <c r="B7345" s="2">
        <v>7.083333333333333E-3</v>
      </c>
      <c r="C7345" t="s">
        <v>10914</v>
      </c>
      <c r="D7345" t="s">
        <v>23</v>
      </c>
      <c r="E7345" t="s">
        <v>24</v>
      </c>
      <c r="F7345" t="s">
        <v>3228</v>
      </c>
      <c r="G7345">
        <v>1115640</v>
      </c>
      <c r="H7345" t="s">
        <v>26</v>
      </c>
      <c r="I7345" t="s">
        <v>3229</v>
      </c>
      <c r="J7345" t="str">
        <f t="shared" si="40"/>
        <v>9781118419090</v>
      </c>
      <c r="K7345" t="s">
        <v>10922</v>
      </c>
      <c r="L7345">
        <v>24</v>
      </c>
      <c r="O7345" t="s">
        <v>30</v>
      </c>
      <c r="P7345" t="s">
        <v>42</v>
      </c>
      <c r="S7345" t="s">
        <v>31</v>
      </c>
      <c r="T7345" t="s">
        <v>3231</v>
      </c>
      <c r="U7345">
        <v>624</v>
      </c>
      <c r="V7345" s="3">
        <v>41296</v>
      </c>
    </row>
    <row r="7346" spans="1:22" x14ac:dyDescent="0.35">
      <c r="A7346" s="1">
        <v>42272.618449074071</v>
      </c>
      <c r="B7346" s="2">
        <v>7.6273148148148151E-3</v>
      </c>
      <c r="C7346" t="s">
        <v>10916</v>
      </c>
      <c r="D7346" t="s">
        <v>23</v>
      </c>
      <c r="E7346" t="s">
        <v>24</v>
      </c>
      <c r="F7346" t="s">
        <v>3228</v>
      </c>
      <c r="G7346">
        <v>1115640</v>
      </c>
      <c r="H7346" t="s">
        <v>26</v>
      </c>
      <c r="I7346" t="s">
        <v>3229</v>
      </c>
      <c r="J7346" t="str">
        <f t="shared" si="40"/>
        <v>9781118419090</v>
      </c>
      <c r="K7346" t="s">
        <v>2388</v>
      </c>
      <c r="L7346">
        <v>30</v>
      </c>
      <c r="O7346" t="s">
        <v>30</v>
      </c>
      <c r="P7346" t="s">
        <v>42</v>
      </c>
      <c r="S7346" t="s">
        <v>31</v>
      </c>
      <c r="T7346" t="s">
        <v>3231</v>
      </c>
      <c r="U7346">
        <v>624</v>
      </c>
      <c r="V7346" s="3">
        <v>41296</v>
      </c>
    </row>
    <row r="7347" spans="1:22" x14ac:dyDescent="0.35">
      <c r="A7347" s="1">
        <v>42272.617199074077</v>
      </c>
      <c r="B7347" s="2">
        <v>7.2685185185185188E-3</v>
      </c>
      <c r="C7347" t="s">
        <v>10918</v>
      </c>
      <c r="D7347" t="s">
        <v>23</v>
      </c>
      <c r="E7347" t="s">
        <v>24</v>
      </c>
      <c r="F7347" t="s">
        <v>3228</v>
      </c>
      <c r="G7347">
        <v>1115640</v>
      </c>
      <c r="H7347" t="s">
        <v>26</v>
      </c>
      <c r="I7347" t="s">
        <v>3229</v>
      </c>
      <c r="J7347" t="str">
        <f t="shared" si="40"/>
        <v>9781118419090</v>
      </c>
      <c r="K7347" t="s">
        <v>10923</v>
      </c>
      <c r="L7347">
        <v>63</v>
      </c>
      <c r="O7347" t="s">
        <v>30</v>
      </c>
      <c r="P7347" t="s">
        <v>42</v>
      </c>
      <c r="S7347" t="s">
        <v>31</v>
      </c>
      <c r="T7347" t="s">
        <v>3231</v>
      </c>
      <c r="U7347">
        <v>624</v>
      </c>
      <c r="V7347" s="3">
        <v>41296</v>
      </c>
    </row>
    <row r="7348" spans="1:22" x14ac:dyDescent="0.35">
      <c r="A7348" s="1">
        <v>42272.616319444445</v>
      </c>
      <c r="B7348" s="2">
        <v>4.9768518518518521E-4</v>
      </c>
      <c r="C7348" t="s">
        <v>10924</v>
      </c>
      <c r="D7348" t="s">
        <v>23</v>
      </c>
      <c r="E7348" t="s">
        <v>24</v>
      </c>
      <c r="F7348" t="s">
        <v>4984</v>
      </c>
      <c r="G7348">
        <v>1675657</v>
      </c>
      <c r="H7348" t="s">
        <v>91</v>
      </c>
      <c r="I7348" t="s">
        <v>69</v>
      </c>
      <c r="J7348" t="str">
        <f>"9781462515264"</f>
        <v>9781462515264</v>
      </c>
      <c r="K7348" t="s">
        <v>10925</v>
      </c>
      <c r="L7348">
        <v>18</v>
      </c>
      <c r="O7348" t="s">
        <v>30</v>
      </c>
      <c r="P7348" t="s">
        <v>50</v>
      </c>
      <c r="S7348" t="s">
        <v>31</v>
      </c>
      <c r="T7348" t="s">
        <v>4987</v>
      </c>
      <c r="U7348">
        <v>370.71100000000001</v>
      </c>
      <c r="V7348" s="3">
        <v>41830</v>
      </c>
    </row>
    <row r="7349" spans="1:22" x14ac:dyDescent="0.35">
      <c r="A7349" s="1">
        <v>42272.616099537037</v>
      </c>
      <c r="B7349" s="2">
        <v>6.5972222222222213E-4</v>
      </c>
      <c r="C7349" t="s">
        <v>210</v>
      </c>
      <c r="D7349" t="s">
        <v>211</v>
      </c>
      <c r="E7349" t="s">
        <v>212</v>
      </c>
      <c r="F7349" t="s">
        <v>10926</v>
      </c>
      <c r="G7349">
        <v>1527429</v>
      </c>
      <c r="H7349" t="s">
        <v>26</v>
      </c>
      <c r="I7349" t="s">
        <v>120</v>
      </c>
      <c r="J7349" t="str">
        <f>"9780745673622"</f>
        <v>9780745673622</v>
      </c>
      <c r="K7349" t="s">
        <v>10927</v>
      </c>
      <c r="L7349">
        <v>8</v>
      </c>
      <c r="O7349" t="s">
        <v>30</v>
      </c>
      <c r="P7349" t="s">
        <v>50</v>
      </c>
      <c r="S7349" t="s">
        <v>214</v>
      </c>
      <c r="T7349" t="s">
        <v>10928</v>
      </c>
      <c r="U7349">
        <v>305.8</v>
      </c>
      <c r="V7349" s="3">
        <v>41577</v>
      </c>
    </row>
    <row r="7350" spans="1:22" x14ac:dyDescent="0.35">
      <c r="A7350" s="1">
        <v>42272.614166666666</v>
      </c>
      <c r="B7350" s="2">
        <v>2.4074074074074076E-3</v>
      </c>
      <c r="C7350" t="s">
        <v>106</v>
      </c>
      <c r="D7350" t="s">
        <v>23</v>
      </c>
      <c r="E7350" t="s">
        <v>24</v>
      </c>
      <c r="F7350" t="s">
        <v>3228</v>
      </c>
      <c r="G7350">
        <v>1115640</v>
      </c>
      <c r="H7350" t="s">
        <v>26</v>
      </c>
      <c r="I7350" t="s">
        <v>3229</v>
      </c>
      <c r="J7350" t="str">
        <f>"9781118419090"</f>
        <v>9781118419090</v>
      </c>
      <c r="K7350" t="s">
        <v>10929</v>
      </c>
      <c r="L7350">
        <v>32</v>
      </c>
      <c r="O7350" t="s">
        <v>30</v>
      </c>
      <c r="P7350" t="s">
        <v>29</v>
      </c>
      <c r="Q7350" s="1">
        <v>42272.564895833333</v>
      </c>
      <c r="R7350">
        <v>7</v>
      </c>
      <c r="S7350" t="s">
        <v>31</v>
      </c>
      <c r="T7350" t="s">
        <v>3231</v>
      </c>
      <c r="U7350">
        <v>624</v>
      </c>
      <c r="V7350" s="3">
        <v>41296</v>
      </c>
    </row>
    <row r="7351" spans="1:22" x14ac:dyDescent="0.35">
      <c r="A7351" s="1">
        <v>42272.613958333335</v>
      </c>
      <c r="B7351" s="2">
        <v>1.3182870370370371E-2</v>
      </c>
      <c r="C7351" t="s">
        <v>10930</v>
      </c>
      <c r="D7351" t="s">
        <v>23</v>
      </c>
      <c r="E7351" t="s">
        <v>24</v>
      </c>
      <c r="F7351" t="s">
        <v>3228</v>
      </c>
      <c r="G7351">
        <v>1115640</v>
      </c>
      <c r="H7351" t="s">
        <v>26</v>
      </c>
      <c r="I7351" t="s">
        <v>3229</v>
      </c>
      <c r="J7351" t="str">
        <f>"9781118419090"</f>
        <v>9781118419090</v>
      </c>
      <c r="K7351" t="s">
        <v>10931</v>
      </c>
      <c r="L7351">
        <v>47</v>
      </c>
      <c r="O7351" t="s">
        <v>30</v>
      </c>
      <c r="P7351" t="s">
        <v>29</v>
      </c>
      <c r="Q7351" s="1">
        <v>42272.613958333335</v>
      </c>
      <c r="R7351">
        <v>7</v>
      </c>
      <c r="S7351" t="s">
        <v>31</v>
      </c>
      <c r="T7351" t="s">
        <v>3231</v>
      </c>
      <c r="U7351">
        <v>624</v>
      </c>
      <c r="V7351" s="3">
        <v>41296</v>
      </c>
    </row>
    <row r="7352" spans="1:22" x14ac:dyDescent="0.35">
      <c r="A7352" s="1">
        <v>42272.603101851855</v>
      </c>
      <c r="B7352" s="2">
        <v>3.3819444444444451E-2</v>
      </c>
      <c r="C7352" t="s">
        <v>10932</v>
      </c>
      <c r="D7352" t="s">
        <v>23</v>
      </c>
      <c r="E7352" t="s">
        <v>24</v>
      </c>
      <c r="F7352" t="s">
        <v>3228</v>
      </c>
      <c r="G7352">
        <v>1115640</v>
      </c>
      <c r="H7352" t="s">
        <v>26</v>
      </c>
      <c r="I7352" t="s">
        <v>3229</v>
      </c>
      <c r="J7352" t="str">
        <f>"9781118419090"</f>
        <v>9781118419090</v>
      </c>
      <c r="K7352" t="s">
        <v>10933</v>
      </c>
      <c r="L7352">
        <v>61</v>
      </c>
      <c r="O7352" t="s">
        <v>30</v>
      </c>
      <c r="P7352" t="s">
        <v>29</v>
      </c>
      <c r="Q7352" s="1">
        <v>42272.245381944442</v>
      </c>
      <c r="R7352">
        <v>7</v>
      </c>
      <c r="S7352" t="s">
        <v>31</v>
      </c>
      <c r="T7352" t="s">
        <v>3231</v>
      </c>
      <c r="U7352">
        <v>624</v>
      </c>
      <c r="V7352" s="3">
        <v>41296</v>
      </c>
    </row>
    <row r="7353" spans="1:22" x14ac:dyDescent="0.35">
      <c r="A7353" s="1">
        <v>42272.601655092592</v>
      </c>
      <c r="B7353" s="2">
        <v>1.4965277777777779E-2</v>
      </c>
      <c r="C7353" t="s">
        <v>10934</v>
      </c>
      <c r="D7353" t="s">
        <v>23</v>
      </c>
      <c r="E7353" t="s">
        <v>24</v>
      </c>
      <c r="F7353" t="s">
        <v>3228</v>
      </c>
      <c r="G7353">
        <v>1115640</v>
      </c>
      <c r="H7353" t="s">
        <v>26</v>
      </c>
      <c r="I7353" t="s">
        <v>3229</v>
      </c>
      <c r="J7353" t="str">
        <f>"9781118419090"</f>
        <v>9781118419090</v>
      </c>
      <c r="K7353" t="s">
        <v>10935</v>
      </c>
      <c r="L7353">
        <v>54</v>
      </c>
      <c r="O7353" t="s">
        <v>30</v>
      </c>
      <c r="P7353" t="s">
        <v>29</v>
      </c>
      <c r="Q7353" s="1">
        <v>42272.601655092592</v>
      </c>
      <c r="R7353">
        <v>7</v>
      </c>
      <c r="S7353" t="s">
        <v>31</v>
      </c>
      <c r="T7353" t="s">
        <v>3231</v>
      </c>
      <c r="U7353">
        <v>624</v>
      </c>
      <c r="V7353" s="3">
        <v>41296</v>
      </c>
    </row>
    <row r="7354" spans="1:22" x14ac:dyDescent="0.35">
      <c r="A7354" s="1">
        <v>42272.601099537038</v>
      </c>
      <c r="B7354" s="2">
        <v>2.1759259259259258E-3</v>
      </c>
      <c r="C7354" t="s">
        <v>210</v>
      </c>
      <c r="D7354" t="s">
        <v>211</v>
      </c>
      <c r="E7354" t="s">
        <v>212</v>
      </c>
      <c r="F7354" t="s">
        <v>10936</v>
      </c>
      <c r="G7354">
        <v>1887757</v>
      </c>
      <c r="H7354" t="s">
        <v>26</v>
      </c>
      <c r="I7354" t="s">
        <v>2115</v>
      </c>
      <c r="J7354" t="str">
        <f>"9781118940099"</f>
        <v>9781118940099</v>
      </c>
      <c r="K7354" t="s">
        <v>10937</v>
      </c>
      <c r="L7354">
        <v>38</v>
      </c>
      <c r="O7354" t="s">
        <v>30</v>
      </c>
      <c r="P7354" t="s">
        <v>50</v>
      </c>
      <c r="S7354" t="s">
        <v>214</v>
      </c>
      <c r="T7354" t="s">
        <v>10938</v>
      </c>
      <c r="U7354">
        <v>612.00760000000002</v>
      </c>
      <c r="V7354" s="3">
        <v>41992</v>
      </c>
    </row>
    <row r="7355" spans="1:22" x14ac:dyDescent="0.35">
      <c r="A7355" s="1">
        <v>42272.59820601852</v>
      </c>
      <c r="B7355" s="2">
        <v>1.5752314814814813E-2</v>
      </c>
      <c r="C7355" t="s">
        <v>10930</v>
      </c>
      <c r="D7355" t="s">
        <v>23</v>
      </c>
      <c r="E7355" t="s">
        <v>24</v>
      </c>
      <c r="F7355" t="s">
        <v>3228</v>
      </c>
      <c r="G7355">
        <v>1115640</v>
      </c>
      <c r="H7355" t="s">
        <v>26</v>
      </c>
      <c r="I7355" t="s">
        <v>3229</v>
      </c>
      <c r="J7355" t="str">
        <f>"9781118419090"</f>
        <v>9781118419090</v>
      </c>
      <c r="K7355" t="s">
        <v>10939</v>
      </c>
      <c r="L7355">
        <v>30</v>
      </c>
      <c r="O7355" t="s">
        <v>30</v>
      </c>
      <c r="P7355" t="s">
        <v>42</v>
      </c>
      <c r="S7355" t="s">
        <v>31</v>
      </c>
      <c r="T7355" t="s">
        <v>3231</v>
      </c>
      <c r="U7355">
        <v>624</v>
      </c>
      <c r="V7355" s="3">
        <v>41296</v>
      </c>
    </row>
    <row r="7356" spans="1:22" x14ac:dyDescent="0.35">
      <c r="A7356" s="1">
        <v>42272.597546296296</v>
      </c>
      <c r="B7356" s="2">
        <v>3.363425925925926E-2</v>
      </c>
      <c r="C7356" t="s">
        <v>10940</v>
      </c>
      <c r="D7356" t="s">
        <v>23</v>
      </c>
      <c r="E7356" t="s">
        <v>24</v>
      </c>
      <c r="F7356" t="s">
        <v>3228</v>
      </c>
      <c r="G7356">
        <v>1115640</v>
      </c>
      <c r="H7356" t="s">
        <v>26</v>
      </c>
      <c r="I7356" t="s">
        <v>3229</v>
      </c>
      <c r="J7356" t="str">
        <f>"9781118419090"</f>
        <v>9781118419090</v>
      </c>
      <c r="K7356" t="s">
        <v>10941</v>
      </c>
      <c r="L7356">
        <v>73</v>
      </c>
      <c r="O7356" t="s">
        <v>30</v>
      </c>
      <c r="P7356" t="s">
        <v>29</v>
      </c>
      <c r="Q7356" s="1">
        <v>42271.009884259256</v>
      </c>
      <c r="R7356">
        <v>7</v>
      </c>
      <c r="S7356" t="s">
        <v>31</v>
      </c>
      <c r="T7356" t="s">
        <v>3231</v>
      </c>
      <c r="U7356">
        <v>624</v>
      </c>
      <c r="V7356" s="3">
        <v>41296</v>
      </c>
    </row>
    <row r="7357" spans="1:22" x14ac:dyDescent="0.35">
      <c r="A7357" s="1">
        <v>42272.597233796296</v>
      </c>
      <c r="B7357" s="2">
        <v>4.0868055555555553E-2</v>
      </c>
      <c r="C7357" t="s">
        <v>2407</v>
      </c>
      <c r="D7357" t="s">
        <v>23</v>
      </c>
      <c r="E7357" t="s">
        <v>24</v>
      </c>
      <c r="F7357" t="s">
        <v>3228</v>
      </c>
      <c r="G7357">
        <v>1115640</v>
      </c>
      <c r="H7357" t="s">
        <v>26</v>
      </c>
      <c r="I7357" t="s">
        <v>3229</v>
      </c>
      <c r="J7357" t="str">
        <f>"9781118419090"</f>
        <v>9781118419090</v>
      </c>
      <c r="K7357" t="s">
        <v>10942</v>
      </c>
      <c r="L7357">
        <v>68</v>
      </c>
      <c r="O7357" t="s">
        <v>30</v>
      </c>
      <c r="P7357" t="s">
        <v>29</v>
      </c>
      <c r="Q7357" s="1">
        <v>42272.065486111111</v>
      </c>
      <c r="R7357">
        <v>7</v>
      </c>
      <c r="S7357" t="s">
        <v>31</v>
      </c>
      <c r="T7357" t="s">
        <v>3231</v>
      </c>
      <c r="U7357">
        <v>624</v>
      </c>
      <c r="V7357" s="3">
        <v>41296</v>
      </c>
    </row>
    <row r="7358" spans="1:22" x14ac:dyDescent="0.35">
      <c r="A7358" s="1">
        <v>42272.59579861111</v>
      </c>
      <c r="B7358" s="2">
        <v>9.2592592592592588E-5</v>
      </c>
      <c r="C7358" t="s">
        <v>8975</v>
      </c>
      <c r="D7358" t="s">
        <v>23</v>
      </c>
      <c r="E7358" t="s">
        <v>24</v>
      </c>
      <c r="F7358" t="s">
        <v>246</v>
      </c>
      <c r="G7358">
        <v>1682559</v>
      </c>
      <c r="H7358" t="s">
        <v>91</v>
      </c>
      <c r="I7358" t="s">
        <v>247</v>
      </c>
      <c r="J7358" t="str">
        <f>"9781462515431"</f>
        <v>9781462515431</v>
      </c>
      <c r="K7358" t="s">
        <v>33</v>
      </c>
      <c r="L7358">
        <v>3</v>
      </c>
      <c r="O7358" t="s">
        <v>30</v>
      </c>
      <c r="P7358" t="s">
        <v>29</v>
      </c>
      <c r="Q7358" s="1">
        <v>42269.635995370372</v>
      </c>
      <c r="R7358">
        <v>7</v>
      </c>
      <c r="S7358" t="s">
        <v>31</v>
      </c>
      <c r="T7358" t="s">
        <v>249</v>
      </c>
      <c r="U7358">
        <v>616.89</v>
      </c>
      <c r="V7358" s="3">
        <v>41769</v>
      </c>
    </row>
    <row r="7359" spans="1:22" x14ac:dyDescent="0.35">
      <c r="A7359" s="1">
        <v>42272.59578703704</v>
      </c>
      <c r="B7359" s="2">
        <v>9.525462962962963E-3</v>
      </c>
      <c r="C7359" t="s">
        <v>8975</v>
      </c>
      <c r="D7359" t="s">
        <v>23</v>
      </c>
      <c r="E7359" t="s">
        <v>24</v>
      </c>
      <c r="F7359" t="s">
        <v>246</v>
      </c>
      <c r="G7359">
        <v>1682559</v>
      </c>
      <c r="H7359" t="s">
        <v>91</v>
      </c>
      <c r="I7359" t="s">
        <v>247</v>
      </c>
      <c r="J7359" t="str">
        <f>"9781462515431"</f>
        <v>9781462515431</v>
      </c>
      <c r="K7359" t="s">
        <v>10943</v>
      </c>
      <c r="L7359">
        <v>62</v>
      </c>
      <c r="O7359" t="s">
        <v>30</v>
      </c>
      <c r="P7359" t="s">
        <v>29</v>
      </c>
      <c r="Q7359" s="1">
        <v>42269.635995370372</v>
      </c>
      <c r="R7359">
        <v>7</v>
      </c>
      <c r="S7359" t="s">
        <v>31</v>
      </c>
      <c r="T7359" t="s">
        <v>249</v>
      </c>
      <c r="U7359">
        <v>616.89</v>
      </c>
      <c r="V7359" s="3">
        <v>41769</v>
      </c>
    </row>
    <row r="7360" spans="1:22" x14ac:dyDescent="0.35">
      <c r="A7360" s="1">
        <v>42272.594490740739</v>
      </c>
      <c r="B7360" s="2">
        <v>7.1643518518518514E-3</v>
      </c>
      <c r="C7360" t="s">
        <v>10934</v>
      </c>
      <c r="D7360" t="s">
        <v>23</v>
      </c>
      <c r="E7360" t="s">
        <v>24</v>
      </c>
      <c r="F7360" t="s">
        <v>3228</v>
      </c>
      <c r="G7360">
        <v>1115640</v>
      </c>
      <c r="H7360" t="s">
        <v>26</v>
      </c>
      <c r="I7360" t="s">
        <v>3229</v>
      </c>
      <c r="J7360" t="str">
        <f>"9781118419090"</f>
        <v>9781118419090</v>
      </c>
      <c r="K7360" t="s">
        <v>4861</v>
      </c>
      <c r="L7360">
        <v>28</v>
      </c>
      <c r="O7360" t="s">
        <v>30</v>
      </c>
      <c r="P7360" t="s">
        <v>42</v>
      </c>
      <c r="S7360" t="s">
        <v>31</v>
      </c>
      <c r="T7360" t="s">
        <v>3231</v>
      </c>
      <c r="U7360">
        <v>624</v>
      </c>
      <c r="V7360" s="3">
        <v>41296</v>
      </c>
    </row>
    <row r="7361" spans="1:22" x14ac:dyDescent="0.35">
      <c r="A7361" s="1">
        <v>42272.591631944444</v>
      </c>
      <c r="B7361" s="2">
        <v>2.6886574074074077E-2</v>
      </c>
      <c r="C7361" t="s">
        <v>10907</v>
      </c>
      <c r="D7361" t="s">
        <v>23</v>
      </c>
      <c r="E7361" t="s">
        <v>24</v>
      </c>
      <c r="F7361" t="s">
        <v>3228</v>
      </c>
      <c r="G7361">
        <v>1115640</v>
      </c>
      <c r="H7361" t="s">
        <v>26</v>
      </c>
      <c r="I7361" t="s">
        <v>3229</v>
      </c>
      <c r="J7361" t="str">
        <f>"9781118419090"</f>
        <v>9781118419090</v>
      </c>
      <c r="K7361" t="s">
        <v>10944</v>
      </c>
      <c r="L7361">
        <v>64</v>
      </c>
      <c r="O7361" t="s">
        <v>30</v>
      </c>
      <c r="P7361" t="s">
        <v>29</v>
      </c>
      <c r="Q7361" s="1">
        <v>42272.591631944444</v>
      </c>
      <c r="R7361">
        <v>7</v>
      </c>
      <c r="S7361" t="s">
        <v>31</v>
      </c>
      <c r="T7361" t="s">
        <v>3231</v>
      </c>
      <c r="U7361">
        <v>624</v>
      </c>
      <c r="V7361" s="3">
        <v>41296</v>
      </c>
    </row>
    <row r="7362" spans="1:22" x14ac:dyDescent="0.35">
      <c r="A7362" s="1">
        <v>42272.590567129628</v>
      </c>
      <c r="B7362" s="2">
        <v>3.0648148148148147E-2</v>
      </c>
      <c r="C7362" t="s">
        <v>10755</v>
      </c>
      <c r="D7362" t="s">
        <v>35</v>
      </c>
      <c r="E7362" t="s">
        <v>36</v>
      </c>
      <c r="F7362" t="s">
        <v>10756</v>
      </c>
      <c r="G7362">
        <v>1650803</v>
      </c>
      <c r="H7362" t="s">
        <v>84</v>
      </c>
      <c r="I7362" t="s">
        <v>150</v>
      </c>
      <c r="J7362" t="str">
        <f>"9780520958340"</f>
        <v>9780520958340</v>
      </c>
      <c r="K7362" t="s">
        <v>10945</v>
      </c>
      <c r="L7362">
        <v>20</v>
      </c>
      <c r="O7362" t="s">
        <v>30</v>
      </c>
      <c r="P7362" t="s">
        <v>29</v>
      </c>
      <c r="Q7362" s="1">
        <v>42269.922824074078</v>
      </c>
      <c r="R7362">
        <v>7</v>
      </c>
      <c r="S7362" t="s">
        <v>40</v>
      </c>
      <c r="T7362" t="s">
        <v>10757</v>
      </c>
      <c r="U7362" t="s">
        <v>10758</v>
      </c>
      <c r="V7362" s="3">
        <v>41716</v>
      </c>
    </row>
    <row r="7363" spans="1:22" x14ac:dyDescent="0.35">
      <c r="A7363" s="1">
        <v>42272.587384259263</v>
      </c>
      <c r="B7363" s="2">
        <v>3.0312499999999996E-2</v>
      </c>
      <c r="C7363" t="s">
        <v>10946</v>
      </c>
      <c r="D7363" t="s">
        <v>23</v>
      </c>
      <c r="E7363" t="s">
        <v>24</v>
      </c>
      <c r="F7363" t="s">
        <v>3228</v>
      </c>
      <c r="G7363">
        <v>1115640</v>
      </c>
      <c r="H7363" t="s">
        <v>26</v>
      </c>
      <c r="I7363" t="s">
        <v>3229</v>
      </c>
      <c r="J7363" t="str">
        <f t="shared" ref="J7363:J7371" si="41">"9781118419090"</f>
        <v>9781118419090</v>
      </c>
      <c r="K7363" t="s">
        <v>10947</v>
      </c>
      <c r="L7363">
        <v>69</v>
      </c>
      <c r="O7363" t="s">
        <v>30</v>
      </c>
      <c r="P7363" t="s">
        <v>29</v>
      </c>
      <c r="Q7363" s="1">
        <v>42272.063356481478</v>
      </c>
      <c r="R7363">
        <v>7</v>
      </c>
      <c r="S7363" t="s">
        <v>31</v>
      </c>
      <c r="T7363" t="s">
        <v>3231</v>
      </c>
      <c r="U7363">
        <v>624</v>
      </c>
      <c r="V7363" s="3">
        <v>41296</v>
      </c>
    </row>
    <row r="7364" spans="1:22" x14ac:dyDescent="0.35">
      <c r="A7364" s="1">
        <v>42272.583969907406</v>
      </c>
      <c r="B7364" s="2">
        <v>7.6620370370370366E-3</v>
      </c>
      <c r="C7364" t="s">
        <v>10907</v>
      </c>
      <c r="D7364" t="s">
        <v>23</v>
      </c>
      <c r="E7364" t="s">
        <v>24</v>
      </c>
      <c r="F7364" t="s">
        <v>3228</v>
      </c>
      <c r="G7364">
        <v>1115640</v>
      </c>
      <c r="H7364" t="s">
        <v>26</v>
      </c>
      <c r="I7364" t="s">
        <v>3229</v>
      </c>
      <c r="J7364" t="str">
        <f t="shared" si="41"/>
        <v>9781118419090</v>
      </c>
      <c r="K7364" t="s">
        <v>10948</v>
      </c>
      <c r="L7364">
        <v>6</v>
      </c>
      <c r="O7364" t="s">
        <v>30</v>
      </c>
      <c r="P7364" t="s">
        <v>42</v>
      </c>
      <c r="S7364" t="s">
        <v>31</v>
      </c>
      <c r="T7364" t="s">
        <v>3231</v>
      </c>
      <c r="U7364">
        <v>624</v>
      </c>
      <c r="V7364" s="3">
        <v>41296</v>
      </c>
    </row>
    <row r="7365" spans="1:22" x14ac:dyDescent="0.35">
      <c r="A7365" s="1">
        <v>42272.583425925928</v>
      </c>
      <c r="B7365" s="2">
        <v>2.8310185185185185E-2</v>
      </c>
      <c r="C7365" t="s">
        <v>106</v>
      </c>
      <c r="D7365" t="s">
        <v>23</v>
      </c>
      <c r="E7365" t="s">
        <v>24</v>
      </c>
      <c r="F7365" t="s">
        <v>3228</v>
      </c>
      <c r="G7365">
        <v>1115640</v>
      </c>
      <c r="H7365" t="s">
        <v>26</v>
      </c>
      <c r="I7365" t="s">
        <v>3229</v>
      </c>
      <c r="J7365" t="str">
        <f t="shared" si="41"/>
        <v>9781118419090</v>
      </c>
      <c r="K7365" t="s">
        <v>10949</v>
      </c>
      <c r="L7365">
        <v>42</v>
      </c>
      <c r="O7365" t="s">
        <v>30</v>
      </c>
      <c r="P7365" t="s">
        <v>29</v>
      </c>
      <c r="Q7365" s="1">
        <v>42272.564895833333</v>
      </c>
      <c r="R7365">
        <v>7</v>
      </c>
      <c r="S7365" t="s">
        <v>31</v>
      </c>
      <c r="T7365" t="s">
        <v>3231</v>
      </c>
      <c r="U7365">
        <v>624</v>
      </c>
      <c r="V7365" s="3">
        <v>41296</v>
      </c>
    </row>
    <row r="7366" spans="1:22" x14ac:dyDescent="0.35">
      <c r="A7366" s="1">
        <v>42272.578310185185</v>
      </c>
      <c r="B7366" s="2">
        <v>5.6828703703703708E-2</v>
      </c>
      <c r="C7366" t="s">
        <v>10950</v>
      </c>
      <c r="D7366" t="s">
        <v>23</v>
      </c>
      <c r="E7366" t="s">
        <v>24</v>
      </c>
      <c r="F7366" t="s">
        <v>3228</v>
      </c>
      <c r="G7366">
        <v>1115640</v>
      </c>
      <c r="H7366" t="s">
        <v>26</v>
      </c>
      <c r="I7366" t="s">
        <v>3229</v>
      </c>
      <c r="J7366" t="str">
        <f t="shared" si="41"/>
        <v>9781118419090</v>
      </c>
      <c r="K7366" t="s">
        <v>10951</v>
      </c>
      <c r="L7366">
        <v>82</v>
      </c>
      <c r="O7366" t="s">
        <v>30</v>
      </c>
      <c r="P7366" t="s">
        <v>29</v>
      </c>
      <c r="Q7366" s="1">
        <v>42272.578310185185</v>
      </c>
      <c r="R7366">
        <v>7</v>
      </c>
      <c r="S7366" t="s">
        <v>31</v>
      </c>
      <c r="T7366" t="s">
        <v>3231</v>
      </c>
      <c r="U7366">
        <v>624</v>
      </c>
      <c r="V7366" s="3">
        <v>41296</v>
      </c>
    </row>
    <row r="7367" spans="1:22" x14ac:dyDescent="0.35">
      <c r="A7367" s="1">
        <v>42272.577314814815</v>
      </c>
      <c r="B7367" s="2">
        <v>0</v>
      </c>
      <c r="C7367" t="s">
        <v>3507</v>
      </c>
      <c r="D7367" t="s">
        <v>23</v>
      </c>
      <c r="E7367" t="s">
        <v>24</v>
      </c>
      <c r="F7367" t="s">
        <v>3228</v>
      </c>
      <c r="G7367">
        <v>1115640</v>
      </c>
      <c r="H7367" t="s">
        <v>26</v>
      </c>
      <c r="I7367" t="s">
        <v>3229</v>
      </c>
      <c r="J7367" t="str">
        <f t="shared" si="41"/>
        <v>9781118419090</v>
      </c>
      <c r="L7367">
        <v>0</v>
      </c>
      <c r="O7367" t="s">
        <v>28</v>
      </c>
      <c r="P7367" t="s">
        <v>29</v>
      </c>
      <c r="Q7367" s="1">
        <v>42270.911562499998</v>
      </c>
      <c r="R7367">
        <v>7</v>
      </c>
      <c r="S7367" t="s">
        <v>31</v>
      </c>
      <c r="T7367" t="s">
        <v>3231</v>
      </c>
      <c r="U7367">
        <v>624</v>
      </c>
      <c r="V7367" s="3">
        <v>41296</v>
      </c>
    </row>
    <row r="7368" spans="1:22" x14ac:dyDescent="0.35">
      <c r="A7368" s="1">
        <v>42272.576851851853</v>
      </c>
      <c r="B7368" s="2">
        <v>3.788194444444444E-2</v>
      </c>
      <c r="C7368" t="s">
        <v>106</v>
      </c>
      <c r="D7368" t="s">
        <v>23</v>
      </c>
      <c r="E7368" t="s">
        <v>24</v>
      </c>
      <c r="F7368" t="s">
        <v>3228</v>
      </c>
      <c r="G7368">
        <v>1115640</v>
      </c>
      <c r="H7368" t="s">
        <v>26</v>
      </c>
      <c r="I7368" t="s">
        <v>3229</v>
      </c>
      <c r="J7368" t="str">
        <f t="shared" si="41"/>
        <v>9781118419090</v>
      </c>
      <c r="K7368" t="s">
        <v>10952</v>
      </c>
      <c r="L7368">
        <v>47</v>
      </c>
      <c r="O7368" t="s">
        <v>30</v>
      </c>
      <c r="P7368" t="s">
        <v>29</v>
      </c>
      <c r="Q7368" s="1">
        <v>42272.564895833333</v>
      </c>
      <c r="R7368">
        <v>7</v>
      </c>
      <c r="S7368" t="s">
        <v>31</v>
      </c>
      <c r="T7368" t="s">
        <v>3231</v>
      </c>
      <c r="U7368">
        <v>624</v>
      </c>
      <c r="V7368" s="3">
        <v>41296</v>
      </c>
    </row>
    <row r="7369" spans="1:22" x14ac:dyDescent="0.35">
      <c r="A7369" s="1">
        <v>42272.576423611114</v>
      </c>
      <c r="B7369" s="2">
        <v>1.6203703703703703E-4</v>
      </c>
      <c r="C7369" t="s">
        <v>3507</v>
      </c>
      <c r="D7369" t="s">
        <v>23</v>
      </c>
      <c r="E7369" t="s">
        <v>24</v>
      </c>
      <c r="F7369" t="s">
        <v>3228</v>
      </c>
      <c r="G7369">
        <v>1115640</v>
      </c>
      <c r="H7369" t="s">
        <v>26</v>
      </c>
      <c r="I7369" t="s">
        <v>3229</v>
      </c>
      <c r="J7369" t="str">
        <f t="shared" si="41"/>
        <v>9781118419090</v>
      </c>
      <c r="K7369" t="s">
        <v>10953</v>
      </c>
      <c r="L7369">
        <v>8</v>
      </c>
      <c r="O7369" t="s">
        <v>30</v>
      </c>
      <c r="P7369" t="s">
        <v>29</v>
      </c>
      <c r="Q7369" s="1">
        <v>42270.911562499998</v>
      </c>
      <c r="R7369">
        <v>7</v>
      </c>
      <c r="S7369" t="s">
        <v>31</v>
      </c>
      <c r="T7369" t="s">
        <v>3231</v>
      </c>
      <c r="U7369">
        <v>624</v>
      </c>
      <c r="V7369" s="3">
        <v>41296</v>
      </c>
    </row>
    <row r="7370" spans="1:22" x14ac:dyDescent="0.35">
      <c r="A7370" s="1">
        <v>42272.573275462964</v>
      </c>
      <c r="B7370" s="2">
        <v>2.2418981481481481E-2</v>
      </c>
      <c r="C7370" t="s">
        <v>10954</v>
      </c>
      <c r="D7370" t="s">
        <v>23</v>
      </c>
      <c r="E7370" t="s">
        <v>24</v>
      </c>
      <c r="F7370" t="s">
        <v>3228</v>
      </c>
      <c r="G7370">
        <v>1115640</v>
      </c>
      <c r="H7370" t="s">
        <v>26</v>
      </c>
      <c r="I7370" t="s">
        <v>3229</v>
      </c>
      <c r="J7370" t="str">
        <f t="shared" si="41"/>
        <v>9781118419090</v>
      </c>
      <c r="K7370" t="s">
        <v>10955</v>
      </c>
      <c r="L7370">
        <v>22</v>
      </c>
      <c r="O7370" t="s">
        <v>30</v>
      </c>
      <c r="P7370" t="s">
        <v>29</v>
      </c>
      <c r="Q7370" s="1">
        <v>42271.042303240742</v>
      </c>
      <c r="R7370">
        <v>7</v>
      </c>
      <c r="S7370" t="s">
        <v>31</v>
      </c>
      <c r="T7370" t="s">
        <v>3231</v>
      </c>
      <c r="U7370">
        <v>624</v>
      </c>
      <c r="V7370" s="3">
        <v>41296</v>
      </c>
    </row>
    <row r="7371" spans="1:22" x14ac:dyDescent="0.35">
      <c r="A7371" s="1">
        <v>42272.570775462962</v>
      </c>
      <c r="B7371" s="2">
        <v>3.8483796296296294E-2</v>
      </c>
      <c r="C7371" t="s">
        <v>106</v>
      </c>
      <c r="D7371" t="s">
        <v>23</v>
      </c>
      <c r="E7371" t="s">
        <v>24</v>
      </c>
      <c r="F7371" t="s">
        <v>3228</v>
      </c>
      <c r="G7371">
        <v>1115640</v>
      </c>
      <c r="H7371" t="s">
        <v>26</v>
      </c>
      <c r="I7371" t="s">
        <v>3229</v>
      </c>
      <c r="J7371" t="str">
        <f t="shared" si="41"/>
        <v>9781118419090</v>
      </c>
      <c r="K7371" t="s">
        <v>10956</v>
      </c>
      <c r="L7371">
        <v>37</v>
      </c>
      <c r="O7371" t="s">
        <v>30</v>
      </c>
      <c r="P7371" t="s">
        <v>29</v>
      </c>
      <c r="Q7371" s="1">
        <v>42272.564895833333</v>
      </c>
      <c r="R7371">
        <v>7</v>
      </c>
      <c r="S7371" t="s">
        <v>31</v>
      </c>
      <c r="T7371" t="s">
        <v>3231</v>
      </c>
      <c r="U7371">
        <v>624</v>
      </c>
      <c r="V7371" s="3">
        <v>41296</v>
      </c>
    </row>
    <row r="7372" spans="1:22" x14ac:dyDescent="0.35">
      <c r="A7372" s="1">
        <v>42272.569537037038</v>
      </c>
      <c r="B7372" s="2">
        <v>0</v>
      </c>
      <c r="C7372" t="s">
        <v>10957</v>
      </c>
      <c r="D7372" t="s">
        <v>360</v>
      </c>
      <c r="E7372" t="s">
        <v>361</v>
      </c>
      <c r="F7372" t="s">
        <v>10958</v>
      </c>
      <c r="G7372">
        <v>1477463</v>
      </c>
      <c r="H7372" t="s">
        <v>139</v>
      </c>
      <c r="I7372" t="s">
        <v>120</v>
      </c>
      <c r="J7372" t="str">
        <f>"9781479826872"</f>
        <v>9781479826872</v>
      </c>
      <c r="L7372">
        <v>0</v>
      </c>
      <c r="O7372" t="s">
        <v>28</v>
      </c>
      <c r="P7372" t="s">
        <v>47</v>
      </c>
      <c r="Q7372" s="1">
        <v>42272.562476851854</v>
      </c>
      <c r="R7372">
        <v>1</v>
      </c>
      <c r="S7372" t="s">
        <v>363</v>
      </c>
      <c r="T7372" t="s">
        <v>10959</v>
      </c>
      <c r="U7372" t="s">
        <v>10960</v>
      </c>
      <c r="V7372" s="3">
        <v>41610</v>
      </c>
    </row>
    <row r="7373" spans="1:22" x14ac:dyDescent="0.35">
      <c r="A7373" s="1">
        <v>42272.569143518522</v>
      </c>
      <c r="B7373" s="2">
        <v>3.8078703703703707E-3</v>
      </c>
      <c r="C7373" t="s">
        <v>10961</v>
      </c>
      <c r="D7373" t="s">
        <v>23</v>
      </c>
      <c r="E7373" t="s">
        <v>24</v>
      </c>
      <c r="F7373" t="s">
        <v>3228</v>
      </c>
      <c r="G7373">
        <v>1115640</v>
      </c>
      <c r="H7373" t="s">
        <v>26</v>
      </c>
      <c r="I7373" t="s">
        <v>3229</v>
      </c>
      <c r="J7373" t="str">
        <f t="shared" ref="J7373:J7379" si="42">"9781118419090"</f>
        <v>9781118419090</v>
      </c>
      <c r="K7373" t="s">
        <v>10962</v>
      </c>
      <c r="L7373">
        <v>4</v>
      </c>
      <c r="O7373" t="s">
        <v>30</v>
      </c>
      <c r="P7373" t="s">
        <v>29</v>
      </c>
      <c r="Q7373" s="1">
        <v>42272.569143518522</v>
      </c>
      <c r="R7373">
        <v>7</v>
      </c>
      <c r="S7373" t="s">
        <v>31</v>
      </c>
      <c r="T7373" t="s">
        <v>3231</v>
      </c>
      <c r="U7373">
        <v>624</v>
      </c>
      <c r="V7373" s="3">
        <v>41296</v>
      </c>
    </row>
    <row r="7374" spans="1:22" x14ac:dyDescent="0.35">
      <c r="A7374" s="1">
        <v>42272.568912037037</v>
      </c>
      <c r="B7374" s="2">
        <v>8.8541666666666664E-3</v>
      </c>
      <c r="C7374" t="s">
        <v>106</v>
      </c>
      <c r="D7374" t="s">
        <v>23</v>
      </c>
      <c r="E7374" t="s">
        <v>24</v>
      </c>
      <c r="F7374" t="s">
        <v>3228</v>
      </c>
      <c r="G7374">
        <v>1115640</v>
      </c>
      <c r="H7374" t="s">
        <v>26</v>
      </c>
      <c r="I7374" t="s">
        <v>3229</v>
      </c>
      <c r="J7374" t="str">
        <f t="shared" si="42"/>
        <v>9781118419090</v>
      </c>
      <c r="K7374" t="s">
        <v>10963</v>
      </c>
      <c r="L7374">
        <v>47</v>
      </c>
      <c r="O7374" t="s">
        <v>30</v>
      </c>
      <c r="P7374" t="s">
        <v>29</v>
      </c>
      <c r="Q7374" s="1">
        <v>42272.564895833333</v>
      </c>
      <c r="R7374">
        <v>7</v>
      </c>
      <c r="S7374" t="s">
        <v>31</v>
      </c>
      <c r="T7374" t="s">
        <v>3231</v>
      </c>
      <c r="U7374">
        <v>624</v>
      </c>
      <c r="V7374" s="3">
        <v>41296</v>
      </c>
    </row>
    <row r="7375" spans="1:22" x14ac:dyDescent="0.35">
      <c r="A7375" s="1">
        <v>42272.566631944443</v>
      </c>
      <c r="B7375" s="2">
        <v>0</v>
      </c>
      <c r="C7375" t="s">
        <v>3507</v>
      </c>
      <c r="D7375" t="s">
        <v>23</v>
      </c>
      <c r="E7375" t="s">
        <v>24</v>
      </c>
      <c r="F7375" t="s">
        <v>3228</v>
      </c>
      <c r="G7375">
        <v>1115640</v>
      </c>
      <c r="H7375" t="s">
        <v>26</v>
      </c>
      <c r="I7375" t="s">
        <v>3229</v>
      </c>
      <c r="J7375" t="str">
        <f t="shared" si="42"/>
        <v>9781118419090</v>
      </c>
      <c r="L7375">
        <v>0</v>
      </c>
      <c r="O7375" t="s">
        <v>28</v>
      </c>
      <c r="P7375" t="s">
        <v>29</v>
      </c>
      <c r="Q7375" s="1">
        <v>42270.911562499998</v>
      </c>
      <c r="R7375">
        <v>7</v>
      </c>
      <c r="S7375" t="s">
        <v>31</v>
      </c>
      <c r="T7375" t="s">
        <v>3231</v>
      </c>
      <c r="U7375">
        <v>624</v>
      </c>
      <c r="V7375" s="3">
        <v>41296</v>
      </c>
    </row>
    <row r="7376" spans="1:22" x14ac:dyDescent="0.35">
      <c r="A7376" s="1">
        <v>42272.566493055558</v>
      </c>
      <c r="B7376" s="2">
        <v>4.6296296296296294E-5</v>
      </c>
      <c r="C7376" t="s">
        <v>3507</v>
      </c>
      <c r="D7376" t="s">
        <v>23</v>
      </c>
      <c r="E7376" t="s">
        <v>24</v>
      </c>
      <c r="F7376" t="s">
        <v>3228</v>
      </c>
      <c r="G7376">
        <v>1115640</v>
      </c>
      <c r="H7376" t="s">
        <v>26</v>
      </c>
      <c r="I7376" t="s">
        <v>3229</v>
      </c>
      <c r="J7376" t="str">
        <f t="shared" si="42"/>
        <v>9781118419090</v>
      </c>
      <c r="K7376" t="s">
        <v>33</v>
      </c>
      <c r="L7376">
        <v>3</v>
      </c>
      <c r="O7376" t="s">
        <v>30</v>
      </c>
      <c r="P7376" t="s">
        <v>29</v>
      </c>
      <c r="Q7376" s="1">
        <v>42270.911562499998</v>
      </c>
      <c r="R7376">
        <v>7</v>
      </c>
      <c r="S7376" t="s">
        <v>31</v>
      </c>
      <c r="T7376" t="s">
        <v>3231</v>
      </c>
      <c r="U7376">
        <v>624</v>
      </c>
      <c r="V7376" s="3">
        <v>41296</v>
      </c>
    </row>
    <row r="7377" spans="1:22" x14ac:dyDescent="0.35">
      <c r="A7377" s="1">
        <v>42272.564895833333</v>
      </c>
      <c r="B7377" s="2">
        <v>4.4756944444444446E-2</v>
      </c>
      <c r="C7377" t="s">
        <v>106</v>
      </c>
      <c r="D7377" t="s">
        <v>23</v>
      </c>
      <c r="E7377" t="s">
        <v>24</v>
      </c>
      <c r="F7377" t="s">
        <v>3228</v>
      </c>
      <c r="G7377">
        <v>1115640</v>
      </c>
      <c r="H7377" t="s">
        <v>26</v>
      </c>
      <c r="I7377" t="s">
        <v>3229</v>
      </c>
      <c r="J7377" t="str">
        <f t="shared" si="42"/>
        <v>9781118419090</v>
      </c>
      <c r="K7377" t="s">
        <v>10964</v>
      </c>
      <c r="L7377">
        <v>49</v>
      </c>
      <c r="O7377" t="s">
        <v>30</v>
      </c>
      <c r="P7377" t="s">
        <v>29</v>
      </c>
      <c r="Q7377" s="1">
        <v>42272.564895833333</v>
      </c>
      <c r="R7377">
        <v>7</v>
      </c>
      <c r="S7377" t="s">
        <v>31</v>
      </c>
      <c r="T7377" t="s">
        <v>3231</v>
      </c>
      <c r="U7377">
        <v>624</v>
      </c>
      <c r="V7377" s="3">
        <v>41296</v>
      </c>
    </row>
    <row r="7378" spans="1:22" x14ac:dyDescent="0.35">
      <c r="A7378" s="1">
        <v>42272.564641203702</v>
      </c>
      <c r="B7378" s="2">
        <v>2.5462962962962961E-4</v>
      </c>
      <c r="C7378" t="s">
        <v>106</v>
      </c>
      <c r="D7378" t="s">
        <v>23</v>
      </c>
      <c r="E7378" t="s">
        <v>24</v>
      </c>
      <c r="F7378" t="s">
        <v>3228</v>
      </c>
      <c r="G7378">
        <v>1115640</v>
      </c>
      <c r="H7378" t="s">
        <v>26</v>
      </c>
      <c r="I7378" t="s">
        <v>3229</v>
      </c>
      <c r="J7378" t="str">
        <f t="shared" si="42"/>
        <v>9781118419090</v>
      </c>
      <c r="K7378" t="s">
        <v>33</v>
      </c>
      <c r="L7378">
        <v>3</v>
      </c>
      <c r="O7378" t="s">
        <v>30</v>
      </c>
      <c r="P7378" t="s">
        <v>29</v>
      </c>
      <c r="Q7378" s="1">
        <v>42265.564884259256</v>
      </c>
      <c r="R7378">
        <v>7</v>
      </c>
      <c r="S7378" t="s">
        <v>31</v>
      </c>
      <c r="T7378" t="s">
        <v>3231</v>
      </c>
      <c r="U7378">
        <v>624</v>
      </c>
      <c r="V7378" s="3">
        <v>41296</v>
      </c>
    </row>
    <row r="7379" spans="1:22" x14ac:dyDescent="0.35">
      <c r="A7379" s="1">
        <v>42272.56459490741</v>
      </c>
      <c r="B7379" s="2">
        <v>1.3715277777777778E-2</v>
      </c>
      <c r="C7379" t="s">
        <v>10950</v>
      </c>
      <c r="D7379" t="s">
        <v>23</v>
      </c>
      <c r="E7379" t="s">
        <v>24</v>
      </c>
      <c r="F7379" t="s">
        <v>3228</v>
      </c>
      <c r="G7379">
        <v>1115640</v>
      </c>
      <c r="H7379" t="s">
        <v>26</v>
      </c>
      <c r="I7379" t="s">
        <v>3229</v>
      </c>
      <c r="J7379" t="str">
        <f t="shared" si="42"/>
        <v>9781118419090</v>
      </c>
      <c r="K7379" t="s">
        <v>443</v>
      </c>
      <c r="L7379">
        <v>19</v>
      </c>
      <c r="O7379" t="s">
        <v>30</v>
      </c>
      <c r="P7379" t="s">
        <v>42</v>
      </c>
      <c r="S7379" t="s">
        <v>31</v>
      </c>
      <c r="T7379" t="s">
        <v>3231</v>
      </c>
      <c r="U7379">
        <v>624</v>
      </c>
      <c r="V7379" s="3">
        <v>41296</v>
      </c>
    </row>
    <row r="7380" spans="1:22" x14ac:dyDescent="0.35">
      <c r="A7380" s="1">
        <v>42272.563981481479</v>
      </c>
      <c r="B7380" s="2">
        <v>6.7129629629629625E-4</v>
      </c>
      <c r="C7380" t="s">
        <v>7924</v>
      </c>
      <c r="D7380" t="s">
        <v>597</v>
      </c>
      <c r="E7380" t="s">
        <v>598</v>
      </c>
      <c r="F7380" t="s">
        <v>7058</v>
      </c>
      <c r="G7380">
        <v>1249494</v>
      </c>
      <c r="H7380" t="s">
        <v>84</v>
      </c>
      <c r="I7380" t="s">
        <v>7059</v>
      </c>
      <c r="J7380" t="str">
        <f>"9780520954571"</f>
        <v>9780520954571</v>
      </c>
      <c r="K7380" t="s">
        <v>10965</v>
      </c>
      <c r="L7380">
        <v>2</v>
      </c>
      <c r="O7380" t="s">
        <v>30</v>
      </c>
      <c r="P7380" t="s">
        <v>29</v>
      </c>
      <c r="Q7380" s="1">
        <v>42272.563981481479</v>
      </c>
      <c r="R7380">
        <v>7</v>
      </c>
      <c r="S7380" t="s">
        <v>600</v>
      </c>
      <c r="T7380" t="s">
        <v>7060</v>
      </c>
      <c r="U7380">
        <v>362.29300000000001</v>
      </c>
      <c r="V7380" s="3">
        <v>41518</v>
      </c>
    </row>
    <row r="7381" spans="1:22" x14ac:dyDescent="0.35">
      <c r="A7381" s="1">
        <v>42272.563148148147</v>
      </c>
      <c r="B7381" s="2">
        <v>2.4467592592592593E-2</v>
      </c>
      <c r="C7381" t="s">
        <v>10966</v>
      </c>
      <c r="D7381" t="s">
        <v>23</v>
      </c>
      <c r="E7381" t="s">
        <v>24</v>
      </c>
      <c r="F7381" t="s">
        <v>3228</v>
      </c>
      <c r="G7381">
        <v>1115640</v>
      </c>
      <c r="H7381" t="s">
        <v>26</v>
      </c>
      <c r="I7381" t="s">
        <v>3229</v>
      </c>
      <c r="J7381" t="str">
        <f>"9781118419090"</f>
        <v>9781118419090</v>
      </c>
      <c r="K7381" t="s">
        <v>10967</v>
      </c>
      <c r="L7381">
        <v>18</v>
      </c>
      <c r="O7381" t="s">
        <v>30</v>
      </c>
      <c r="P7381" t="s">
        <v>29</v>
      </c>
      <c r="Q7381" s="1">
        <v>42268.549120370371</v>
      </c>
      <c r="R7381">
        <v>7</v>
      </c>
      <c r="S7381" t="s">
        <v>31</v>
      </c>
      <c r="T7381" t="s">
        <v>3231</v>
      </c>
      <c r="U7381">
        <v>624</v>
      </c>
      <c r="V7381" s="3">
        <v>41296</v>
      </c>
    </row>
    <row r="7382" spans="1:22" x14ac:dyDescent="0.35">
      <c r="A7382" s="1">
        <v>42272.562719907408</v>
      </c>
      <c r="B7382" s="2">
        <v>2.1759259259259259E-2</v>
      </c>
      <c r="C7382" t="s">
        <v>10968</v>
      </c>
      <c r="D7382" t="s">
        <v>23</v>
      </c>
      <c r="E7382" t="s">
        <v>24</v>
      </c>
      <c r="F7382" t="s">
        <v>3228</v>
      </c>
      <c r="G7382">
        <v>1115640</v>
      </c>
      <c r="H7382" t="s">
        <v>26</v>
      </c>
      <c r="I7382" t="s">
        <v>3229</v>
      </c>
      <c r="J7382" t="str">
        <f>"9781118419090"</f>
        <v>9781118419090</v>
      </c>
      <c r="K7382" t="s">
        <v>10969</v>
      </c>
      <c r="L7382">
        <v>34</v>
      </c>
      <c r="O7382" t="s">
        <v>30</v>
      </c>
      <c r="P7382" t="s">
        <v>29</v>
      </c>
      <c r="Q7382" s="1">
        <v>42272.562719907408</v>
      </c>
      <c r="R7382">
        <v>7</v>
      </c>
      <c r="S7382" t="s">
        <v>31</v>
      </c>
      <c r="T7382" t="s">
        <v>3231</v>
      </c>
      <c r="U7382">
        <v>624</v>
      </c>
      <c r="V7382" s="3">
        <v>41296</v>
      </c>
    </row>
    <row r="7383" spans="1:22" x14ac:dyDescent="0.35">
      <c r="A7383" s="1">
        <v>42272.562476851854</v>
      </c>
      <c r="B7383" s="2">
        <v>6.030092592592593E-3</v>
      </c>
      <c r="C7383" t="s">
        <v>10957</v>
      </c>
      <c r="D7383" t="s">
        <v>360</v>
      </c>
      <c r="E7383" t="s">
        <v>361</v>
      </c>
      <c r="F7383" t="s">
        <v>10958</v>
      </c>
      <c r="G7383">
        <v>1477463</v>
      </c>
      <c r="H7383" t="s">
        <v>139</v>
      </c>
      <c r="I7383" t="s">
        <v>120</v>
      </c>
      <c r="J7383" t="str">
        <f>"9781479826872"</f>
        <v>9781479826872</v>
      </c>
      <c r="K7383" t="s">
        <v>10970</v>
      </c>
      <c r="L7383">
        <v>26</v>
      </c>
      <c r="O7383" t="s">
        <v>28</v>
      </c>
      <c r="P7383" t="s">
        <v>47</v>
      </c>
      <c r="Q7383" s="1">
        <v>42272.562476851854</v>
      </c>
      <c r="R7383">
        <v>1</v>
      </c>
      <c r="S7383" t="s">
        <v>363</v>
      </c>
      <c r="T7383" t="s">
        <v>10959</v>
      </c>
      <c r="U7383" t="s">
        <v>10960</v>
      </c>
      <c r="V7383" s="3">
        <v>41610</v>
      </c>
    </row>
    <row r="7384" spans="1:22" x14ac:dyDescent="0.35">
      <c r="A7384" s="1">
        <v>42272.562476851854</v>
      </c>
      <c r="B7384" s="2">
        <v>0</v>
      </c>
      <c r="C7384" t="s">
        <v>10957</v>
      </c>
      <c r="D7384" t="s">
        <v>360</v>
      </c>
      <c r="E7384" t="s">
        <v>361</v>
      </c>
      <c r="F7384" t="s">
        <v>10958</v>
      </c>
      <c r="G7384">
        <v>1477463</v>
      </c>
      <c r="H7384" t="s">
        <v>139</v>
      </c>
      <c r="I7384" t="s">
        <v>120</v>
      </c>
      <c r="J7384" t="str">
        <f>"9781479826872"</f>
        <v>9781479826872</v>
      </c>
      <c r="L7384">
        <v>0</v>
      </c>
      <c r="O7384" t="s">
        <v>30</v>
      </c>
      <c r="P7384" t="s">
        <v>47</v>
      </c>
      <c r="Q7384" s="1">
        <v>42272.562476851854</v>
      </c>
      <c r="R7384">
        <v>1</v>
      </c>
      <c r="S7384" t="s">
        <v>363</v>
      </c>
      <c r="T7384" t="s">
        <v>10959</v>
      </c>
      <c r="U7384" t="s">
        <v>10960</v>
      </c>
      <c r="V7384" s="3">
        <v>41610</v>
      </c>
    </row>
    <row r="7385" spans="1:22" x14ac:dyDescent="0.35">
      <c r="A7385" s="1">
        <v>42272.561759259261</v>
      </c>
      <c r="B7385" s="2">
        <v>7.3842592592592597E-3</v>
      </c>
      <c r="C7385" t="s">
        <v>10961</v>
      </c>
      <c r="D7385" t="s">
        <v>23</v>
      </c>
      <c r="E7385" t="s">
        <v>24</v>
      </c>
      <c r="F7385" t="s">
        <v>3228</v>
      </c>
      <c r="G7385">
        <v>1115640</v>
      </c>
      <c r="H7385" t="s">
        <v>26</v>
      </c>
      <c r="I7385" t="s">
        <v>3229</v>
      </c>
      <c r="J7385" t="str">
        <f>"9781118419090"</f>
        <v>9781118419090</v>
      </c>
      <c r="K7385" t="s">
        <v>10971</v>
      </c>
      <c r="L7385">
        <v>20</v>
      </c>
      <c r="O7385" t="s">
        <v>30</v>
      </c>
      <c r="P7385" t="s">
        <v>42</v>
      </c>
      <c r="S7385" t="s">
        <v>31</v>
      </c>
      <c r="T7385" t="s">
        <v>3231</v>
      </c>
      <c r="U7385">
        <v>624</v>
      </c>
      <c r="V7385" s="3">
        <v>41296</v>
      </c>
    </row>
    <row r="7386" spans="1:22" x14ac:dyDescent="0.35">
      <c r="A7386" s="1">
        <v>42272.561064814814</v>
      </c>
      <c r="B7386" s="2">
        <v>1.4120370370370369E-3</v>
      </c>
      <c r="C7386" t="s">
        <v>10957</v>
      </c>
      <c r="D7386" t="s">
        <v>360</v>
      </c>
      <c r="E7386" t="s">
        <v>361</v>
      </c>
      <c r="F7386" t="s">
        <v>10958</v>
      </c>
      <c r="G7386">
        <v>1477463</v>
      </c>
      <c r="H7386" t="s">
        <v>139</v>
      </c>
      <c r="I7386" t="s">
        <v>120</v>
      </c>
      <c r="J7386" t="str">
        <f>"9781479826872"</f>
        <v>9781479826872</v>
      </c>
      <c r="K7386" t="s">
        <v>463</v>
      </c>
      <c r="L7386">
        <v>9</v>
      </c>
      <c r="O7386" t="s">
        <v>30</v>
      </c>
      <c r="P7386" t="s">
        <v>50</v>
      </c>
      <c r="S7386" t="s">
        <v>363</v>
      </c>
      <c r="T7386" t="s">
        <v>10959</v>
      </c>
      <c r="U7386" t="s">
        <v>10960</v>
      </c>
      <c r="V7386" s="3">
        <v>41610</v>
      </c>
    </row>
    <row r="7387" spans="1:22" x14ac:dyDescent="0.35">
      <c r="A7387" s="1">
        <v>42272.553842592592</v>
      </c>
      <c r="B7387" s="2">
        <v>2.2453703703703708E-2</v>
      </c>
      <c r="C7387" t="s">
        <v>10972</v>
      </c>
      <c r="D7387" t="s">
        <v>23</v>
      </c>
      <c r="E7387" t="s">
        <v>24</v>
      </c>
      <c r="F7387" t="s">
        <v>3228</v>
      </c>
      <c r="G7387">
        <v>1115640</v>
      </c>
      <c r="H7387" t="s">
        <v>26</v>
      </c>
      <c r="I7387" t="s">
        <v>3229</v>
      </c>
      <c r="J7387" t="str">
        <f>"9781118419090"</f>
        <v>9781118419090</v>
      </c>
      <c r="K7387" t="s">
        <v>10973</v>
      </c>
      <c r="L7387">
        <v>55</v>
      </c>
      <c r="O7387" t="s">
        <v>30</v>
      </c>
      <c r="P7387" t="s">
        <v>29</v>
      </c>
      <c r="Q7387" s="1">
        <v>42271.661261574074</v>
      </c>
      <c r="R7387">
        <v>7</v>
      </c>
      <c r="S7387" t="s">
        <v>31</v>
      </c>
      <c r="T7387" t="s">
        <v>3231</v>
      </c>
      <c r="U7387">
        <v>624</v>
      </c>
      <c r="V7387" s="3">
        <v>41296</v>
      </c>
    </row>
    <row r="7388" spans="1:22" x14ac:dyDescent="0.35">
      <c r="A7388" s="1">
        <v>42272.551851851851</v>
      </c>
      <c r="B7388" s="2">
        <v>1.0868055555555556E-2</v>
      </c>
      <c r="C7388" t="s">
        <v>10968</v>
      </c>
      <c r="D7388" t="s">
        <v>23</v>
      </c>
      <c r="E7388" t="s">
        <v>24</v>
      </c>
      <c r="F7388" t="s">
        <v>3228</v>
      </c>
      <c r="G7388">
        <v>1115640</v>
      </c>
      <c r="H7388" t="s">
        <v>26</v>
      </c>
      <c r="I7388" t="s">
        <v>3229</v>
      </c>
      <c r="J7388" t="str">
        <f>"9781118419090"</f>
        <v>9781118419090</v>
      </c>
      <c r="K7388" t="s">
        <v>10974</v>
      </c>
      <c r="L7388">
        <v>32</v>
      </c>
      <c r="O7388" t="s">
        <v>30</v>
      </c>
      <c r="P7388" t="s">
        <v>42</v>
      </c>
      <c r="S7388" t="s">
        <v>31</v>
      </c>
      <c r="T7388" t="s">
        <v>3231</v>
      </c>
      <c r="U7388">
        <v>624</v>
      </c>
      <c r="V7388" s="3">
        <v>41296</v>
      </c>
    </row>
    <row r="7389" spans="1:22" x14ac:dyDescent="0.35">
      <c r="A7389" s="1">
        <v>42272.551724537036</v>
      </c>
      <c r="B7389" s="2">
        <v>6.9444444444444444E-5</v>
      </c>
      <c r="C7389" t="s">
        <v>10968</v>
      </c>
      <c r="D7389" t="s">
        <v>23</v>
      </c>
      <c r="E7389" t="s">
        <v>24</v>
      </c>
      <c r="F7389" t="s">
        <v>3228</v>
      </c>
      <c r="G7389">
        <v>1115640</v>
      </c>
      <c r="H7389" t="s">
        <v>26</v>
      </c>
      <c r="I7389" t="s">
        <v>3229</v>
      </c>
      <c r="J7389" t="str">
        <f>"9781118419090"</f>
        <v>9781118419090</v>
      </c>
      <c r="K7389" t="s">
        <v>786</v>
      </c>
      <c r="L7389">
        <v>3</v>
      </c>
      <c r="O7389" t="s">
        <v>30</v>
      </c>
      <c r="P7389" t="s">
        <v>42</v>
      </c>
      <c r="S7389" t="s">
        <v>31</v>
      </c>
      <c r="T7389" t="s">
        <v>3231</v>
      </c>
      <c r="U7389">
        <v>624</v>
      </c>
      <c r="V7389" s="3">
        <v>41296</v>
      </c>
    </row>
    <row r="7390" spans="1:22" x14ac:dyDescent="0.35">
      <c r="A7390" s="1">
        <v>42272.551342592589</v>
      </c>
      <c r="B7390" s="2">
        <v>2.199074074074074E-4</v>
      </c>
      <c r="C7390" t="s">
        <v>10968</v>
      </c>
      <c r="D7390" t="s">
        <v>23</v>
      </c>
      <c r="E7390" t="s">
        <v>24</v>
      </c>
      <c r="F7390" t="s">
        <v>3228</v>
      </c>
      <c r="G7390">
        <v>1115640</v>
      </c>
      <c r="H7390" t="s">
        <v>26</v>
      </c>
      <c r="I7390" t="s">
        <v>3229</v>
      </c>
      <c r="J7390" t="str">
        <f>"9781118419090"</f>
        <v>9781118419090</v>
      </c>
      <c r="K7390" t="s">
        <v>10975</v>
      </c>
      <c r="L7390">
        <v>4</v>
      </c>
      <c r="O7390" t="s">
        <v>30</v>
      </c>
      <c r="P7390" t="s">
        <v>42</v>
      </c>
      <c r="S7390" t="s">
        <v>31</v>
      </c>
      <c r="T7390" t="s">
        <v>3231</v>
      </c>
      <c r="U7390">
        <v>624</v>
      </c>
      <c r="V7390" s="3">
        <v>41296</v>
      </c>
    </row>
    <row r="7391" spans="1:22" x14ac:dyDescent="0.35">
      <c r="A7391" s="1">
        <v>42272.545532407406</v>
      </c>
      <c r="B7391" s="2">
        <v>1.8449074074074073E-2</v>
      </c>
      <c r="C7391" t="s">
        <v>7924</v>
      </c>
      <c r="D7391" t="s">
        <v>597</v>
      </c>
      <c r="E7391" t="s">
        <v>598</v>
      </c>
      <c r="F7391" t="s">
        <v>7058</v>
      </c>
      <c r="G7391">
        <v>1249494</v>
      </c>
      <c r="H7391" t="s">
        <v>84</v>
      </c>
      <c r="I7391" t="s">
        <v>7059</v>
      </c>
      <c r="J7391" t="str">
        <f>"9780520954571"</f>
        <v>9780520954571</v>
      </c>
      <c r="K7391" t="s">
        <v>10976</v>
      </c>
      <c r="L7391">
        <v>14</v>
      </c>
      <c r="O7391" t="s">
        <v>30</v>
      </c>
      <c r="P7391" t="s">
        <v>42</v>
      </c>
      <c r="S7391" t="s">
        <v>600</v>
      </c>
      <c r="T7391" t="s">
        <v>7060</v>
      </c>
      <c r="U7391">
        <v>362.29300000000001</v>
      </c>
      <c r="V7391" s="3">
        <v>41518</v>
      </c>
    </row>
    <row r="7392" spans="1:22" x14ac:dyDescent="0.35">
      <c r="A7392" s="1">
        <v>42272.537395833337</v>
      </c>
      <c r="B7392" s="2">
        <v>6.3912037037037031E-2</v>
      </c>
      <c r="C7392" t="s">
        <v>3519</v>
      </c>
      <c r="D7392" t="s">
        <v>23</v>
      </c>
      <c r="E7392" t="s">
        <v>24</v>
      </c>
      <c r="F7392" t="s">
        <v>3228</v>
      </c>
      <c r="G7392">
        <v>1115640</v>
      </c>
      <c r="H7392" t="s">
        <v>26</v>
      </c>
      <c r="I7392" t="s">
        <v>3229</v>
      </c>
      <c r="J7392" t="str">
        <f t="shared" ref="J7392:J7410" si="43">"9781118419090"</f>
        <v>9781118419090</v>
      </c>
      <c r="K7392" t="s">
        <v>10977</v>
      </c>
      <c r="L7392">
        <v>29</v>
      </c>
      <c r="O7392" t="s">
        <v>30</v>
      </c>
      <c r="P7392" t="s">
        <v>29</v>
      </c>
      <c r="Q7392" s="1">
        <v>42265.688692129632</v>
      </c>
      <c r="R7392">
        <v>7</v>
      </c>
      <c r="S7392" t="s">
        <v>31</v>
      </c>
      <c r="T7392" t="s">
        <v>3231</v>
      </c>
      <c r="U7392">
        <v>624</v>
      </c>
      <c r="V7392" s="3">
        <v>41296</v>
      </c>
    </row>
    <row r="7393" spans="1:22" x14ac:dyDescent="0.35">
      <c r="A7393" s="1">
        <v>42272.52853009259</v>
      </c>
      <c r="B7393" s="2">
        <v>3.2407407407407406E-4</v>
      </c>
      <c r="C7393" t="s">
        <v>10978</v>
      </c>
      <c r="D7393" t="s">
        <v>23</v>
      </c>
      <c r="E7393" t="s">
        <v>24</v>
      </c>
      <c r="F7393" t="s">
        <v>3228</v>
      </c>
      <c r="G7393">
        <v>1115640</v>
      </c>
      <c r="H7393" t="s">
        <v>26</v>
      </c>
      <c r="I7393" t="s">
        <v>3229</v>
      </c>
      <c r="J7393" t="str">
        <f t="shared" si="43"/>
        <v>9781118419090</v>
      </c>
      <c r="K7393" t="s">
        <v>10979</v>
      </c>
      <c r="L7393">
        <v>16</v>
      </c>
      <c r="O7393" t="s">
        <v>30</v>
      </c>
      <c r="P7393" t="s">
        <v>29</v>
      </c>
      <c r="Q7393" s="1">
        <v>42268.138773148145</v>
      </c>
      <c r="R7393">
        <v>7</v>
      </c>
      <c r="S7393" t="s">
        <v>31</v>
      </c>
      <c r="T7393" t="s">
        <v>3231</v>
      </c>
      <c r="U7393">
        <v>624</v>
      </c>
      <c r="V7393" s="3">
        <v>41296</v>
      </c>
    </row>
    <row r="7394" spans="1:22" x14ac:dyDescent="0.35">
      <c r="A7394" s="1">
        <v>42272.521087962959</v>
      </c>
      <c r="B7394" s="2">
        <v>0.1193287037037037</v>
      </c>
      <c r="C7394" t="s">
        <v>10980</v>
      </c>
      <c r="D7394" t="s">
        <v>23</v>
      </c>
      <c r="E7394" t="s">
        <v>24</v>
      </c>
      <c r="F7394" t="s">
        <v>3228</v>
      </c>
      <c r="G7394">
        <v>1115640</v>
      </c>
      <c r="H7394" t="s">
        <v>26</v>
      </c>
      <c r="I7394" t="s">
        <v>3229</v>
      </c>
      <c r="J7394" t="str">
        <f t="shared" si="43"/>
        <v>9781118419090</v>
      </c>
      <c r="K7394" t="s">
        <v>10981</v>
      </c>
      <c r="L7394">
        <v>27</v>
      </c>
      <c r="O7394" t="s">
        <v>30</v>
      </c>
      <c r="P7394" t="s">
        <v>29</v>
      </c>
      <c r="Q7394" s="1">
        <v>42272.521087962959</v>
      </c>
      <c r="R7394">
        <v>7</v>
      </c>
      <c r="S7394" t="s">
        <v>31</v>
      </c>
      <c r="T7394" t="s">
        <v>3231</v>
      </c>
      <c r="U7394">
        <v>624</v>
      </c>
      <c r="V7394" s="3">
        <v>41296</v>
      </c>
    </row>
    <row r="7395" spans="1:22" x14ac:dyDescent="0.35">
      <c r="A7395" s="1">
        <v>42272.519212962965</v>
      </c>
      <c r="B7395" s="2">
        <v>7.7094907407407418E-2</v>
      </c>
      <c r="C7395" t="s">
        <v>3572</v>
      </c>
      <c r="D7395" t="s">
        <v>23</v>
      </c>
      <c r="E7395" t="s">
        <v>24</v>
      </c>
      <c r="F7395" t="s">
        <v>3228</v>
      </c>
      <c r="G7395">
        <v>1115640</v>
      </c>
      <c r="H7395" t="s">
        <v>26</v>
      </c>
      <c r="I7395" t="s">
        <v>3229</v>
      </c>
      <c r="J7395" t="str">
        <f t="shared" si="43"/>
        <v>9781118419090</v>
      </c>
      <c r="K7395" t="s">
        <v>10982</v>
      </c>
      <c r="L7395">
        <v>69</v>
      </c>
      <c r="O7395" t="s">
        <v>30</v>
      </c>
      <c r="P7395" t="s">
        <v>29</v>
      </c>
      <c r="Q7395" s="1">
        <v>42272.519212962965</v>
      </c>
      <c r="R7395">
        <v>7</v>
      </c>
      <c r="S7395" t="s">
        <v>31</v>
      </c>
      <c r="T7395" t="s">
        <v>3231</v>
      </c>
      <c r="U7395">
        <v>624</v>
      </c>
      <c r="V7395" s="3">
        <v>41296</v>
      </c>
    </row>
    <row r="7396" spans="1:22" x14ac:dyDescent="0.35">
      <c r="A7396" s="1">
        <v>42272.513483796298</v>
      </c>
      <c r="B7396" s="2">
        <v>7.6041666666666662E-3</v>
      </c>
      <c r="C7396" t="s">
        <v>10980</v>
      </c>
      <c r="D7396" t="s">
        <v>23</v>
      </c>
      <c r="E7396" t="s">
        <v>24</v>
      </c>
      <c r="F7396" t="s">
        <v>3228</v>
      </c>
      <c r="G7396">
        <v>1115640</v>
      </c>
      <c r="H7396" t="s">
        <v>26</v>
      </c>
      <c r="I7396" t="s">
        <v>3229</v>
      </c>
      <c r="J7396" t="str">
        <f t="shared" si="43"/>
        <v>9781118419090</v>
      </c>
      <c r="K7396" t="s">
        <v>10983</v>
      </c>
      <c r="L7396">
        <v>20</v>
      </c>
      <c r="O7396" t="s">
        <v>30</v>
      </c>
      <c r="P7396" t="s">
        <v>42</v>
      </c>
      <c r="S7396" t="s">
        <v>31</v>
      </c>
      <c r="T7396" t="s">
        <v>3231</v>
      </c>
      <c r="U7396">
        <v>624</v>
      </c>
      <c r="V7396" s="3">
        <v>41296</v>
      </c>
    </row>
    <row r="7397" spans="1:22" x14ac:dyDescent="0.35">
      <c r="A7397" s="1">
        <v>42272.511701388888</v>
      </c>
      <c r="B7397" s="2">
        <v>7.5115740740740742E-3</v>
      </c>
      <c r="C7397" t="s">
        <v>3572</v>
      </c>
      <c r="D7397" t="s">
        <v>23</v>
      </c>
      <c r="E7397" t="s">
        <v>24</v>
      </c>
      <c r="F7397" t="s">
        <v>3228</v>
      </c>
      <c r="G7397">
        <v>1115640</v>
      </c>
      <c r="H7397" t="s">
        <v>26</v>
      </c>
      <c r="I7397" t="s">
        <v>3229</v>
      </c>
      <c r="J7397" t="str">
        <f t="shared" si="43"/>
        <v>9781118419090</v>
      </c>
      <c r="K7397" t="s">
        <v>10984</v>
      </c>
      <c r="L7397">
        <v>12</v>
      </c>
      <c r="O7397" t="s">
        <v>30</v>
      </c>
      <c r="P7397" t="s">
        <v>42</v>
      </c>
      <c r="S7397" t="s">
        <v>31</v>
      </c>
      <c r="T7397" t="s">
        <v>3231</v>
      </c>
      <c r="U7397">
        <v>624</v>
      </c>
      <c r="V7397" s="3">
        <v>41296</v>
      </c>
    </row>
    <row r="7398" spans="1:22" x14ac:dyDescent="0.35">
      <c r="A7398" s="1">
        <v>42272.507939814815</v>
      </c>
      <c r="B7398" s="2">
        <v>2.7847222222222221E-2</v>
      </c>
      <c r="C7398" t="s">
        <v>10985</v>
      </c>
      <c r="D7398" t="s">
        <v>23</v>
      </c>
      <c r="E7398" t="s">
        <v>24</v>
      </c>
      <c r="F7398" t="s">
        <v>3228</v>
      </c>
      <c r="G7398">
        <v>1115640</v>
      </c>
      <c r="H7398" t="s">
        <v>26</v>
      </c>
      <c r="I7398" t="s">
        <v>3229</v>
      </c>
      <c r="J7398" t="str">
        <f t="shared" si="43"/>
        <v>9781118419090</v>
      </c>
      <c r="K7398" t="s">
        <v>10986</v>
      </c>
      <c r="L7398">
        <v>62</v>
      </c>
      <c r="O7398" t="s">
        <v>30</v>
      </c>
      <c r="P7398" t="s">
        <v>29</v>
      </c>
      <c r="Q7398" s="1">
        <v>42272.005833333336</v>
      </c>
      <c r="R7398">
        <v>7</v>
      </c>
      <c r="S7398" t="s">
        <v>31</v>
      </c>
      <c r="T7398" t="s">
        <v>3231</v>
      </c>
      <c r="U7398">
        <v>624</v>
      </c>
      <c r="V7398" s="3">
        <v>41296</v>
      </c>
    </row>
    <row r="7399" spans="1:22" x14ac:dyDescent="0.35">
      <c r="A7399" s="1">
        <v>42272.506793981483</v>
      </c>
      <c r="B7399" s="2">
        <v>4.6030092592592588E-2</v>
      </c>
      <c r="C7399" t="s">
        <v>10987</v>
      </c>
      <c r="D7399" t="s">
        <v>23</v>
      </c>
      <c r="E7399" t="s">
        <v>24</v>
      </c>
      <c r="F7399" t="s">
        <v>3228</v>
      </c>
      <c r="G7399">
        <v>1115640</v>
      </c>
      <c r="H7399" t="s">
        <v>26</v>
      </c>
      <c r="I7399" t="s">
        <v>3229</v>
      </c>
      <c r="J7399" t="str">
        <f t="shared" si="43"/>
        <v>9781118419090</v>
      </c>
      <c r="K7399" t="s">
        <v>10988</v>
      </c>
      <c r="L7399">
        <v>96</v>
      </c>
      <c r="O7399" t="s">
        <v>30</v>
      </c>
      <c r="P7399" t="s">
        <v>29</v>
      </c>
      <c r="Q7399" s="1">
        <v>42272.105682870373</v>
      </c>
      <c r="R7399">
        <v>7</v>
      </c>
      <c r="S7399" t="s">
        <v>31</v>
      </c>
      <c r="T7399" t="s">
        <v>3231</v>
      </c>
      <c r="U7399">
        <v>624</v>
      </c>
      <c r="V7399" s="3">
        <v>41296</v>
      </c>
    </row>
    <row r="7400" spans="1:22" x14ac:dyDescent="0.35">
      <c r="A7400" s="1">
        <v>42272.501030092593</v>
      </c>
      <c r="B7400" s="2">
        <v>2.3981481481481479E-2</v>
      </c>
      <c r="C7400" t="s">
        <v>10989</v>
      </c>
      <c r="D7400" t="s">
        <v>23</v>
      </c>
      <c r="E7400" t="s">
        <v>24</v>
      </c>
      <c r="F7400" t="s">
        <v>3228</v>
      </c>
      <c r="G7400">
        <v>1115640</v>
      </c>
      <c r="H7400" t="s">
        <v>26</v>
      </c>
      <c r="I7400" t="s">
        <v>3229</v>
      </c>
      <c r="J7400" t="str">
        <f t="shared" si="43"/>
        <v>9781118419090</v>
      </c>
      <c r="K7400" t="s">
        <v>10990</v>
      </c>
      <c r="L7400">
        <v>33</v>
      </c>
      <c r="O7400" t="s">
        <v>30</v>
      </c>
      <c r="P7400" t="s">
        <v>29</v>
      </c>
      <c r="Q7400" s="1">
        <v>42271.491967592592</v>
      </c>
      <c r="R7400">
        <v>7</v>
      </c>
      <c r="S7400" t="s">
        <v>31</v>
      </c>
      <c r="T7400" t="s">
        <v>3231</v>
      </c>
      <c r="U7400">
        <v>624</v>
      </c>
      <c r="V7400" s="3">
        <v>41296</v>
      </c>
    </row>
    <row r="7401" spans="1:22" x14ac:dyDescent="0.35">
      <c r="A7401" s="1">
        <v>42272.489317129628</v>
      </c>
      <c r="B7401" s="2">
        <v>1.4502314814814815E-2</v>
      </c>
      <c r="C7401" t="s">
        <v>10972</v>
      </c>
      <c r="D7401" t="s">
        <v>23</v>
      </c>
      <c r="E7401" t="s">
        <v>24</v>
      </c>
      <c r="F7401" t="s">
        <v>3228</v>
      </c>
      <c r="G7401">
        <v>1115640</v>
      </c>
      <c r="H7401" t="s">
        <v>26</v>
      </c>
      <c r="I7401" t="s">
        <v>3229</v>
      </c>
      <c r="J7401" t="str">
        <f t="shared" si="43"/>
        <v>9781118419090</v>
      </c>
      <c r="K7401" t="s">
        <v>10991</v>
      </c>
      <c r="L7401">
        <v>41</v>
      </c>
      <c r="O7401" t="s">
        <v>30</v>
      </c>
      <c r="P7401" t="s">
        <v>29</v>
      </c>
      <c r="Q7401" s="1">
        <v>42271.661261574074</v>
      </c>
      <c r="R7401">
        <v>7</v>
      </c>
      <c r="S7401" t="s">
        <v>31</v>
      </c>
      <c r="T7401" t="s">
        <v>3231</v>
      </c>
      <c r="U7401">
        <v>624</v>
      </c>
      <c r="V7401" s="3">
        <v>41296</v>
      </c>
    </row>
    <row r="7402" spans="1:22" x14ac:dyDescent="0.35">
      <c r="A7402" s="1">
        <v>42272.487199074072</v>
      </c>
      <c r="B7402" s="2">
        <v>1.0069444444444444E-3</v>
      </c>
      <c r="C7402" t="s">
        <v>10972</v>
      </c>
      <c r="D7402" t="s">
        <v>23</v>
      </c>
      <c r="E7402" t="s">
        <v>24</v>
      </c>
      <c r="F7402" t="s">
        <v>3228</v>
      </c>
      <c r="G7402">
        <v>1115640</v>
      </c>
      <c r="H7402" t="s">
        <v>26</v>
      </c>
      <c r="I7402" t="s">
        <v>3229</v>
      </c>
      <c r="J7402" t="str">
        <f t="shared" si="43"/>
        <v>9781118419090</v>
      </c>
      <c r="K7402" t="s">
        <v>10992</v>
      </c>
      <c r="L7402">
        <v>20</v>
      </c>
      <c r="O7402" t="s">
        <v>30</v>
      </c>
      <c r="P7402" t="s">
        <v>29</v>
      </c>
      <c r="Q7402" s="1">
        <v>42271.661261574074</v>
      </c>
      <c r="R7402">
        <v>7</v>
      </c>
      <c r="S7402" t="s">
        <v>31</v>
      </c>
      <c r="T7402" t="s">
        <v>3231</v>
      </c>
      <c r="U7402">
        <v>624</v>
      </c>
      <c r="V7402" s="3">
        <v>41296</v>
      </c>
    </row>
    <row r="7403" spans="1:22" x14ac:dyDescent="0.35">
      <c r="A7403" s="1">
        <v>42272.483993055554</v>
      </c>
      <c r="B7403" s="2">
        <v>5.8437499999999996E-2</v>
      </c>
      <c r="C7403" t="s">
        <v>10993</v>
      </c>
      <c r="D7403" t="s">
        <v>23</v>
      </c>
      <c r="E7403" t="s">
        <v>24</v>
      </c>
      <c r="F7403" t="s">
        <v>3228</v>
      </c>
      <c r="G7403">
        <v>1115640</v>
      </c>
      <c r="H7403" t="s">
        <v>26</v>
      </c>
      <c r="I7403" t="s">
        <v>3229</v>
      </c>
      <c r="J7403" t="str">
        <f t="shared" si="43"/>
        <v>9781118419090</v>
      </c>
      <c r="K7403" t="s">
        <v>10994</v>
      </c>
      <c r="L7403">
        <v>81</v>
      </c>
      <c r="O7403" t="s">
        <v>30</v>
      </c>
      <c r="P7403" t="s">
        <v>29</v>
      </c>
      <c r="Q7403" s="1">
        <v>42272.477025462962</v>
      </c>
      <c r="R7403">
        <v>7</v>
      </c>
      <c r="S7403" t="s">
        <v>31</v>
      </c>
      <c r="T7403" t="s">
        <v>3231</v>
      </c>
      <c r="U7403">
        <v>624</v>
      </c>
      <c r="V7403" s="3">
        <v>41296</v>
      </c>
    </row>
    <row r="7404" spans="1:22" x14ac:dyDescent="0.35">
      <c r="A7404" s="1">
        <v>42272.483749999999</v>
      </c>
      <c r="B7404" s="2">
        <v>0.10879629629629629</v>
      </c>
      <c r="C7404" t="s">
        <v>10995</v>
      </c>
      <c r="D7404" t="s">
        <v>23</v>
      </c>
      <c r="E7404" t="s">
        <v>24</v>
      </c>
      <c r="F7404" t="s">
        <v>3228</v>
      </c>
      <c r="G7404">
        <v>1115640</v>
      </c>
      <c r="H7404" t="s">
        <v>26</v>
      </c>
      <c r="I7404" t="s">
        <v>3229</v>
      </c>
      <c r="J7404" t="str">
        <f t="shared" si="43"/>
        <v>9781118419090</v>
      </c>
      <c r="K7404" t="s">
        <v>10996</v>
      </c>
      <c r="L7404">
        <v>36</v>
      </c>
      <c r="O7404" t="s">
        <v>30</v>
      </c>
      <c r="P7404" t="s">
        <v>29</v>
      </c>
      <c r="Q7404" s="1">
        <v>42270.995648148149</v>
      </c>
      <c r="R7404">
        <v>7</v>
      </c>
      <c r="S7404" t="s">
        <v>31</v>
      </c>
      <c r="T7404" t="s">
        <v>3231</v>
      </c>
      <c r="U7404">
        <v>624</v>
      </c>
      <c r="V7404" s="3">
        <v>41296</v>
      </c>
    </row>
    <row r="7405" spans="1:22" x14ac:dyDescent="0.35">
      <c r="A7405" s="1">
        <v>42272.480011574073</v>
      </c>
      <c r="B7405" s="2">
        <v>8.9814814814814809E-3</v>
      </c>
      <c r="C7405" t="s">
        <v>10989</v>
      </c>
      <c r="D7405" t="s">
        <v>23</v>
      </c>
      <c r="E7405" t="s">
        <v>24</v>
      </c>
      <c r="F7405" t="s">
        <v>3228</v>
      </c>
      <c r="G7405">
        <v>1115640</v>
      </c>
      <c r="H7405" t="s">
        <v>26</v>
      </c>
      <c r="I7405" t="s">
        <v>3229</v>
      </c>
      <c r="J7405" t="str">
        <f t="shared" si="43"/>
        <v>9781118419090</v>
      </c>
      <c r="K7405" t="s">
        <v>10997</v>
      </c>
      <c r="L7405">
        <v>25</v>
      </c>
      <c r="O7405" t="s">
        <v>30</v>
      </c>
      <c r="P7405" t="s">
        <v>29</v>
      </c>
      <c r="Q7405" s="1">
        <v>42271.491967592592</v>
      </c>
      <c r="R7405">
        <v>7</v>
      </c>
      <c r="S7405" t="s">
        <v>31</v>
      </c>
      <c r="T7405" t="s">
        <v>3231</v>
      </c>
      <c r="U7405">
        <v>624</v>
      </c>
      <c r="V7405" s="3">
        <v>41296</v>
      </c>
    </row>
    <row r="7406" spans="1:22" x14ac:dyDescent="0.35">
      <c r="A7406" s="1">
        <v>42272.477025462962</v>
      </c>
      <c r="B7406" s="2">
        <v>2.3148148148148147E-5</v>
      </c>
      <c r="C7406" t="s">
        <v>10993</v>
      </c>
      <c r="D7406" t="s">
        <v>23</v>
      </c>
      <c r="E7406" t="s">
        <v>24</v>
      </c>
      <c r="F7406" t="s">
        <v>3228</v>
      </c>
      <c r="G7406">
        <v>1115640</v>
      </c>
      <c r="H7406" t="s">
        <v>26</v>
      </c>
      <c r="I7406" t="s">
        <v>3229</v>
      </c>
      <c r="J7406" t="str">
        <f t="shared" si="43"/>
        <v>9781118419090</v>
      </c>
      <c r="K7406" t="s">
        <v>10998</v>
      </c>
      <c r="L7406">
        <v>3</v>
      </c>
      <c r="O7406" t="s">
        <v>30</v>
      </c>
      <c r="P7406" t="s">
        <v>29</v>
      </c>
      <c r="Q7406" s="1">
        <v>42272.477025462962</v>
      </c>
      <c r="R7406">
        <v>7</v>
      </c>
      <c r="S7406" t="s">
        <v>31</v>
      </c>
      <c r="T7406" t="s">
        <v>3231</v>
      </c>
      <c r="U7406">
        <v>624</v>
      </c>
      <c r="V7406" s="3">
        <v>41296</v>
      </c>
    </row>
    <row r="7407" spans="1:22" x14ac:dyDescent="0.35">
      <c r="A7407" s="1">
        <v>42272.468888888892</v>
      </c>
      <c r="B7407" s="2">
        <v>8.1365740740740738E-3</v>
      </c>
      <c r="C7407" t="s">
        <v>10993</v>
      </c>
      <c r="D7407" t="s">
        <v>23</v>
      </c>
      <c r="E7407" t="s">
        <v>24</v>
      </c>
      <c r="F7407" t="s">
        <v>3228</v>
      </c>
      <c r="G7407">
        <v>1115640</v>
      </c>
      <c r="H7407" t="s">
        <v>26</v>
      </c>
      <c r="I7407" t="s">
        <v>3229</v>
      </c>
      <c r="J7407" t="str">
        <f t="shared" si="43"/>
        <v>9781118419090</v>
      </c>
      <c r="K7407" t="s">
        <v>10999</v>
      </c>
      <c r="L7407">
        <v>19</v>
      </c>
      <c r="O7407" t="s">
        <v>30</v>
      </c>
      <c r="P7407" t="s">
        <v>42</v>
      </c>
      <c r="S7407" t="s">
        <v>31</v>
      </c>
      <c r="T7407" t="s">
        <v>3231</v>
      </c>
      <c r="U7407">
        <v>624</v>
      </c>
      <c r="V7407" s="3">
        <v>41296</v>
      </c>
    </row>
    <row r="7408" spans="1:22" x14ac:dyDescent="0.35">
      <c r="A7408" s="1">
        <v>42272.461064814815</v>
      </c>
      <c r="B7408" s="2">
        <v>4.3981481481481481E-4</v>
      </c>
      <c r="C7408" t="s">
        <v>11000</v>
      </c>
      <c r="D7408" t="s">
        <v>23</v>
      </c>
      <c r="E7408" t="s">
        <v>24</v>
      </c>
      <c r="F7408" t="s">
        <v>3228</v>
      </c>
      <c r="G7408">
        <v>1115640</v>
      </c>
      <c r="H7408" t="s">
        <v>26</v>
      </c>
      <c r="I7408" t="s">
        <v>3229</v>
      </c>
      <c r="J7408" t="str">
        <f t="shared" si="43"/>
        <v>9781118419090</v>
      </c>
      <c r="K7408" t="s">
        <v>11001</v>
      </c>
      <c r="L7408">
        <v>18</v>
      </c>
      <c r="O7408" t="s">
        <v>30</v>
      </c>
      <c r="P7408" t="s">
        <v>29</v>
      </c>
      <c r="Q7408" s="1">
        <v>42272.120219907411</v>
      </c>
      <c r="R7408">
        <v>7</v>
      </c>
      <c r="S7408" t="s">
        <v>31</v>
      </c>
      <c r="T7408" t="s">
        <v>3231</v>
      </c>
      <c r="U7408">
        <v>624</v>
      </c>
      <c r="V7408" s="3">
        <v>41296</v>
      </c>
    </row>
    <row r="7409" spans="1:22" x14ac:dyDescent="0.35">
      <c r="A7409" s="1">
        <v>42272.353252314817</v>
      </c>
      <c r="B7409" s="2">
        <v>2.2638888888888889E-2</v>
      </c>
      <c r="C7409" t="s">
        <v>11002</v>
      </c>
      <c r="D7409" t="s">
        <v>23</v>
      </c>
      <c r="E7409" t="s">
        <v>24</v>
      </c>
      <c r="F7409" t="s">
        <v>3228</v>
      </c>
      <c r="G7409">
        <v>1115640</v>
      </c>
      <c r="H7409" t="s">
        <v>26</v>
      </c>
      <c r="I7409" t="s">
        <v>3229</v>
      </c>
      <c r="J7409" t="str">
        <f t="shared" si="43"/>
        <v>9781118419090</v>
      </c>
      <c r="K7409" t="s">
        <v>11003</v>
      </c>
      <c r="L7409">
        <v>62</v>
      </c>
      <c r="O7409" t="s">
        <v>30</v>
      </c>
      <c r="P7409" t="s">
        <v>29</v>
      </c>
      <c r="Q7409" s="1">
        <v>42272.353252314817</v>
      </c>
      <c r="R7409">
        <v>7</v>
      </c>
      <c r="S7409" t="s">
        <v>31</v>
      </c>
      <c r="T7409" t="s">
        <v>3231</v>
      </c>
      <c r="U7409">
        <v>624</v>
      </c>
      <c r="V7409" s="3">
        <v>41296</v>
      </c>
    </row>
    <row r="7410" spans="1:22" x14ac:dyDescent="0.35">
      <c r="A7410" s="1">
        <v>42272.344583333332</v>
      </c>
      <c r="B7410" s="2">
        <v>8.6689814814814806E-3</v>
      </c>
      <c r="C7410" t="s">
        <v>11002</v>
      </c>
      <c r="D7410" t="s">
        <v>23</v>
      </c>
      <c r="E7410" t="s">
        <v>24</v>
      </c>
      <c r="F7410" t="s">
        <v>3228</v>
      </c>
      <c r="G7410">
        <v>1115640</v>
      </c>
      <c r="H7410" t="s">
        <v>26</v>
      </c>
      <c r="I7410" t="s">
        <v>3229</v>
      </c>
      <c r="J7410" t="str">
        <f t="shared" si="43"/>
        <v>9781118419090</v>
      </c>
      <c r="K7410" t="s">
        <v>443</v>
      </c>
      <c r="L7410">
        <v>19</v>
      </c>
      <c r="O7410" t="s">
        <v>30</v>
      </c>
      <c r="P7410" t="s">
        <v>42</v>
      </c>
      <c r="S7410" t="s">
        <v>31</v>
      </c>
      <c r="T7410" t="s">
        <v>3231</v>
      </c>
      <c r="U7410">
        <v>624</v>
      </c>
      <c r="V7410" s="3">
        <v>41296</v>
      </c>
    </row>
    <row r="7411" spans="1:22" x14ac:dyDescent="0.35">
      <c r="A7411" s="1">
        <v>42272.332685185182</v>
      </c>
      <c r="B7411" s="2">
        <v>4.3981481481481481E-4</v>
      </c>
      <c r="C7411" t="s">
        <v>11004</v>
      </c>
      <c r="D7411" t="s">
        <v>23</v>
      </c>
      <c r="E7411" t="s">
        <v>24</v>
      </c>
      <c r="F7411" t="s">
        <v>11005</v>
      </c>
      <c r="G7411">
        <v>1711848</v>
      </c>
      <c r="H7411" t="s">
        <v>45</v>
      </c>
      <c r="I7411" t="s">
        <v>79</v>
      </c>
      <c r="J7411" t="str">
        <f>"9781409465348"</f>
        <v>9781409465348</v>
      </c>
      <c r="K7411" t="s">
        <v>33</v>
      </c>
      <c r="L7411">
        <v>3</v>
      </c>
      <c r="O7411" t="s">
        <v>30</v>
      </c>
      <c r="P7411" t="s">
        <v>50</v>
      </c>
      <c r="S7411" t="s">
        <v>31</v>
      </c>
      <c r="T7411" t="s">
        <v>11006</v>
      </c>
      <c r="U7411">
        <v>345.00099999999998</v>
      </c>
      <c r="V7411" s="3">
        <v>41879</v>
      </c>
    </row>
    <row r="7412" spans="1:22" x14ac:dyDescent="0.35">
      <c r="A7412" s="1">
        <v>42272.277430555558</v>
      </c>
      <c r="B7412" s="2">
        <v>6.6527777777777783E-2</v>
      </c>
      <c r="C7412" t="s">
        <v>5315</v>
      </c>
      <c r="D7412" t="s">
        <v>23</v>
      </c>
      <c r="E7412" t="s">
        <v>24</v>
      </c>
      <c r="F7412" t="s">
        <v>3228</v>
      </c>
      <c r="G7412">
        <v>1115640</v>
      </c>
      <c r="H7412" t="s">
        <v>26</v>
      </c>
      <c r="I7412" t="s">
        <v>3229</v>
      </c>
      <c r="J7412" t="str">
        <f t="shared" ref="J7412:J7443" si="44">"9781118419090"</f>
        <v>9781118419090</v>
      </c>
      <c r="K7412" t="s">
        <v>11007</v>
      </c>
      <c r="L7412">
        <v>51</v>
      </c>
      <c r="O7412" t="s">
        <v>30</v>
      </c>
      <c r="P7412" t="s">
        <v>29</v>
      </c>
      <c r="Q7412" s="1">
        <v>42272.039849537039</v>
      </c>
      <c r="R7412">
        <v>7</v>
      </c>
      <c r="S7412" t="s">
        <v>31</v>
      </c>
      <c r="T7412" t="s">
        <v>3231</v>
      </c>
      <c r="U7412">
        <v>624</v>
      </c>
      <c r="V7412" s="3">
        <v>41296</v>
      </c>
    </row>
    <row r="7413" spans="1:22" x14ac:dyDescent="0.35">
      <c r="A7413" s="1">
        <v>42272.245381944442</v>
      </c>
      <c r="B7413" s="2">
        <v>3.9988425925925927E-2</v>
      </c>
      <c r="C7413" t="s">
        <v>10932</v>
      </c>
      <c r="D7413" t="s">
        <v>23</v>
      </c>
      <c r="E7413" t="s">
        <v>24</v>
      </c>
      <c r="F7413" t="s">
        <v>3228</v>
      </c>
      <c r="G7413">
        <v>1115640</v>
      </c>
      <c r="H7413" t="s">
        <v>26</v>
      </c>
      <c r="I7413" t="s">
        <v>3229</v>
      </c>
      <c r="J7413" t="str">
        <f t="shared" si="44"/>
        <v>9781118419090</v>
      </c>
      <c r="K7413" t="s">
        <v>11008</v>
      </c>
      <c r="L7413">
        <v>9</v>
      </c>
      <c r="O7413" t="s">
        <v>30</v>
      </c>
      <c r="P7413" t="s">
        <v>29</v>
      </c>
      <c r="Q7413" s="1">
        <v>42272.245381944442</v>
      </c>
      <c r="R7413">
        <v>7</v>
      </c>
      <c r="S7413" t="s">
        <v>31</v>
      </c>
      <c r="T7413" t="s">
        <v>3231</v>
      </c>
      <c r="U7413">
        <v>624</v>
      </c>
      <c r="V7413" s="3">
        <v>41296</v>
      </c>
    </row>
    <row r="7414" spans="1:22" x14ac:dyDescent="0.35">
      <c r="A7414" s="1">
        <v>42272.238032407404</v>
      </c>
      <c r="B7414" s="2">
        <v>4.162037037037037E-2</v>
      </c>
      <c r="C7414" t="s">
        <v>106</v>
      </c>
      <c r="D7414" t="s">
        <v>23</v>
      </c>
      <c r="E7414" t="s">
        <v>24</v>
      </c>
      <c r="F7414" t="s">
        <v>3228</v>
      </c>
      <c r="G7414">
        <v>1115640</v>
      </c>
      <c r="H7414" t="s">
        <v>26</v>
      </c>
      <c r="I7414" t="s">
        <v>3229</v>
      </c>
      <c r="J7414" t="str">
        <f t="shared" si="44"/>
        <v>9781118419090</v>
      </c>
      <c r="K7414" t="s">
        <v>11009</v>
      </c>
      <c r="L7414">
        <v>15</v>
      </c>
      <c r="O7414" t="s">
        <v>30</v>
      </c>
      <c r="P7414" t="s">
        <v>29</v>
      </c>
      <c r="Q7414" s="1">
        <v>42265.564884259256</v>
      </c>
      <c r="R7414">
        <v>7</v>
      </c>
      <c r="S7414" t="s">
        <v>31</v>
      </c>
      <c r="T7414" t="s">
        <v>3231</v>
      </c>
      <c r="U7414">
        <v>624</v>
      </c>
      <c r="V7414" s="3">
        <v>41296</v>
      </c>
    </row>
    <row r="7415" spans="1:22" x14ac:dyDescent="0.35">
      <c r="A7415" s="1">
        <v>42272.234432870369</v>
      </c>
      <c r="B7415" s="2">
        <v>1.0949074074074075E-2</v>
      </c>
      <c r="C7415" t="s">
        <v>10932</v>
      </c>
      <c r="D7415" t="s">
        <v>23</v>
      </c>
      <c r="E7415" t="s">
        <v>24</v>
      </c>
      <c r="F7415" t="s">
        <v>3228</v>
      </c>
      <c r="G7415">
        <v>1115640</v>
      </c>
      <c r="H7415" t="s">
        <v>26</v>
      </c>
      <c r="I7415" t="s">
        <v>3229</v>
      </c>
      <c r="J7415" t="str">
        <f t="shared" si="44"/>
        <v>9781118419090</v>
      </c>
      <c r="K7415" t="s">
        <v>11010</v>
      </c>
      <c r="L7415">
        <v>22</v>
      </c>
      <c r="O7415" t="s">
        <v>30</v>
      </c>
      <c r="P7415" t="s">
        <v>42</v>
      </c>
      <c r="S7415" t="s">
        <v>31</v>
      </c>
      <c r="T7415" t="s">
        <v>3231</v>
      </c>
      <c r="U7415">
        <v>624</v>
      </c>
      <c r="V7415" s="3">
        <v>41296</v>
      </c>
    </row>
    <row r="7416" spans="1:22" x14ac:dyDescent="0.35">
      <c r="A7416" s="1">
        <v>42272.224097222221</v>
      </c>
      <c r="B7416" s="2">
        <v>1.3564814814814816E-2</v>
      </c>
      <c r="C7416" t="s">
        <v>11011</v>
      </c>
      <c r="D7416" t="s">
        <v>23</v>
      </c>
      <c r="E7416" t="s">
        <v>24</v>
      </c>
      <c r="F7416" t="s">
        <v>3228</v>
      </c>
      <c r="G7416">
        <v>1115640</v>
      </c>
      <c r="H7416" t="s">
        <v>26</v>
      </c>
      <c r="I7416" t="s">
        <v>3229</v>
      </c>
      <c r="J7416" t="str">
        <f t="shared" si="44"/>
        <v>9781118419090</v>
      </c>
      <c r="K7416" t="s">
        <v>11012</v>
      </c>
      <c r="L7416">
        <v>25</v>
      </c>
      <c r="O7416" t="s">
        <v>30</v>
      </c>
      <c r="P7416" t="s">
        <v>29</v>
      </c>
      <c r="Q7416" s="1">
        <v>42271.610821759263</v>
      </c>
      <c r="R7416">
        <v>7</v>
      </c>
      <c r="S7416" t="s">
        <v>31</v>
      </c>
      <c r="T7416" t="s">
        <v>3231</v>
      </c>
      <c r="U7416">
        <v>624</v>
      </c>
      <c r="V7416" s="3">
        <v>41296</v>
      </c>
    </row>
    <row r="7417" spans="1:22" x14ac:dyDescent="0.35">
      <c r="A7417" s="1">
        <v>42272.211631944447</v>
      </c>
      <c r="B7417" s="2">
        <v>9.1666666666666667E-3</v>
      </c>
      <c r="C7417" t="s">
        <v>11013</v>
      </c>
      <c r="D7417" t="s">
        <v>23</v>
      </c>
      <c r="E7417" t="s">
        <v>24</v>
      </c>
      <c r="F7417" t="s">
        <v>3228</v>
      </c>
      <c r="G7417">
        <v>1115640</v>
      </c>
      <c r="H7417" t="s">
        <v>26</v>
      </c>
      <c r="I7417" t="s">
        <v>3229</v>
      </c>
      <c r="J7417" t="str">
        <f t="shared" si="44"/>
        <v>9781118419090</v>
      </c>
      <c r="K7417" t="s">
        <v>11014</v>
      </c>
      <c r="L7417">
        <v>46</v>
      </c>
      <c r="O7417" t="s">
        <v>30</v>
      </c>
      <c r="P7417" t="s">
        <v>29</v>
      </c>
      <c r="Q7417" s="1">
        <v>42272.211631944447</v>
      </c>
      <c r="R7417">
        <v>7</v>
      </c>
      <c r="S7417" t="s">
        <v>31</v>
      </c>
      <c r="T7417" t="s">
        <v>3231</v>
      </c>
      <c r="U7417">
        <v>624</v>
      </c>
      <c r="V7417" s="3">
        <v>41296</v>
      </c>
    </row>
    <row r="7418" spans="1:22" x14ac:dyDescent="0.35">
      <c r="A7418" s="1">
        <v>42272.204317129632</v>
      </c>
      <c r="B7418" s="2">
        <v>7.3148148148148148E-3</v>
      </c>
      <c r="C7418" t="s">
        <v>11013</v>
      </c>
      <c r="D7418" t="s">
        <v>23</v>
      </c>
      <c r="E7418" t="s">
        <v>24</v>
      </c>
      <c r="F7418" t="s">
        <v>3228</v>
      </c>
      <c r="G7418">
        <v>1115640</v>
      </c>
      <c r="H7418" t="s">
        <v>26</v>
      </c>
      <c r="I7418" t="s">
        <v>3229</v>
      </c>
      <c r="J7418" t="str">
        <f t="shared" si="44"/>
        <v>9781118419090</v>
      </c>
      <c r="K7418" t="s">
        <v>11015</v>
      </c>
      <c r="L7418">
        <v>22</v>
      </c>
      <c r="O7418" t="s">
        <v>30</v>
      </c>
      <c r="P7418" t="s">
        <v>42</v>
      </c>
      <c r="S7418" t="s">
        <v>31</v>
      </c>
      <c r="T7418" t="s">
        <v>3231</v>
      </c>
      <c r="U7418">
        <v>624</v>
      </c>
      <c r="V7418" s="3">
        <v>41296</v>
      </c>
    </row>
    <row r="7419" spans="1:22" x14ac:dyDescent="0.35">
      <c r="A7419" s="1">
        <v>42272.198055555556</v>
      </c>
      <c r="B7419" s="2">
        <v>3.1828703703703706E-2</v>
      </c>
      <c r="C7419" t="s">
        <v>10940</v>
      </c>
      <c r="D7419" t="s">
        <v>23</v>
      </c>
      <c r="E7419" t="s">
        <v>24</v>
      </c>
      <c r="F7419" t="s">
        <v>3228</v>
      </c>
      <c r="G7419">
        <v>1115640</v>
      </c>
      <c r="H7419" t="s">
        <v>26</v>
      </c>
      <c r="I7419" t="s">
        <v>3229</v>
      </c>
      <c r="J7419" t="str">
        <f t="shared" si="44"/>
        <v>9781118419090</v>
      </c>
      <c r="K7419" t="s">
        <v>11016</v>
      </c>
      <c r="L7419">
        <v>48</v>
      </c>
      <c r="O7419" t="s">
        <v>30</v>
      </c>
      <c r="P7419" t="s">
        <v>29</v>
      </c>
      <c r="Q7419" s="1">
        <v>42271.009884259256</v>
      </c>
      <c r="R7419">
        <v>7</v>
      </c>
      <c r="S7419" t="s">
        <v>31</v>
      </c>
      <c r="T7419" t="s">
        <v>3231</v>
      </c>
      <c r="U7419">
        <v>624</v>
      </c>
      <c r="V7419" s="3">
        <v>41296</v>
      </c>
    </row>
    <row r="7420" spans="1:22" x14ac:dyDescent="0.35">
      <c r="A7420" s="1">
        <v>42272.194282407407</v>
      </c>
      <c r="B7420" s="2">
        <v>5.063657407407407E-2</v>
      </c>
      <c r="C7420" t="s">
        <v>5315</v>
      </c>
      <c r="D7420" t="s">
        <v>23</v>
      </c>
      <c r="E7420" t="s">
        <v>24</v>
      </c>
      <c r="F7420" t="s">
        <v>3228</v>
      </c>
      <c r="G7420">
        <v>1115640</v>
      </c>
      <c r="H7420" t="s">
        <v>26</v>
      </c>
      <c r="I7420" t="s">
        <v>3229</v>
      </c>
      <c r="J7420" t="str">
        <f t="shared" si="44"/>
        <v>9781118419090</v>
      </c>
      <c r="K7420" t="s">
        <v>11017</v>
      </c>
      <c r="L7420">
        <v>45</v>
      </c>
      <c r="O7420" t="s">
        <v>30</v>
      </c>
      <c r="P7420" t="s">
        <v>29</v>
      </c>
      <c r="Q7420" s="1">
        <v>42272.039849537039</v>
      </c>
      <c r="R7420">
        <v>7</v>
      </c>
      <c r="S7420" t="s">
        <v>31</v>
      </c>
      <c r="T7420" t="s">
        <v>3231</v>
      </c>
      <c r="U7420">
        <v>624</v>
      </c>
      <c r="V7420" s="3">
        <v>41296</v>
      </c>
    </row>
    <row r="7421" spans="1:22" x14ac:dyDescent="0.35">
      <c r="A7421" s="1">
        <v>42272.193229166667</v>
      </c>
      <c r="B7421" s="2">
        <v>4.5138888888888892E-4</v>
      </c>
      <c r="C7421" t="s">
        <v>5315</v>
      </c>
      <c r="D7421" t="s">
        <v>23</v>
      </c>
      <c r="E7421" t="s">
        <v>24</v>
      </c>
      <c r="F7421" t="s">
        <v>3228</v>
      </c>
      <c r="G7421">
        <v>1115640</v>
      </c>
      <c r="H7421" t="s">
        <v>26</v>
      </c>
      <c r="I7421" t="s">
        <v>3229</v>
      </c>
      <c r="J7421" t="str">
        <f t="shared" si="44"/>
        <v>9781118419090</v>
      </c>
      <c r="K7421" t="s">
        <v>33</v>
      </c>
      <c r="L7421">
        <v>3</v>
      </c>
      <c r="O7421" t="s">
        <v>30</v>
      </c>
      <c r="P7421" t="s">
        <v>29</v>
      </c>
      <c r="Q7421" s="1">
        <v>42272.039849537039</v>
      </c>
      <c r="R7421">
        <v>7</v>
      </c>
      <c r="S7421" t="s">
        <v>31</v>
      </c>
      <c r="T7421" t="s">
        <v>3231</v>
      </c>
      <c r="U7421">
        <v>624</v>
      </c>
      <c r="V7421" s="3">
        <v>41296</v>
      </c>
    </row>
    <row r="7422" spans="1:22" x14ac:dyDescent="0.35">
      <c r="A7422" s="1">
        <v>42272.187627314815</v>
      </c>
      <c r="B7422" s="2">
        <v>4.6180555555555558E-3</v>
      </c>
      <c r="C7422" t="s">
        <v>106</v>
      </c>
      <c r="D7422" t="s">
        <v>23</v>
      </c>
      <c r="E7422" t="s">
        <v>24</v>
      </c>
      <c r="F7422" t="s">
        <v>3228</v>
      </c>
      <c r="G7422">
        <v>1115640</v>
      </c>
      <c r="H7422" t="s">
        <v>26</v>
      </c>
      <c r="I7422" t="s">
        <v>3229</v>
      </c>
      <c r="J7422" t="str">
        <f t="shared" si="44"/>
        <v>9781118419090</v>
      </c>
      <c r="K7422" t="s">
        <v>11018</v>
      </c>
      <c r="L7422">
        <v>13</v>
      </c>
      <c r="O7422" t="s">
        <v>30</v>
      </c>
      <c r="P7422" t="s">
        <v>29</v>
      </c>
      <c r="Q7422" s="1">
        <v>42265.564884259256</v>
      </c>
      <c r="R7422">
        <v>7</v>
      </c>
      <c r="S7422" t="s">
        <v>31</v>
      </c>
      <c r="T7422" t="s">
        <v>3231</v>
      </c>
      <c r="U7422">
        <v>624</v>
      </c>
      <c r="V7422" s="3">
        <v>41296</v>
      </c>
    </row>
    <row r="7423" spans="1:22" x14ac:dyDescent="0.35">
      <c r="A7423" s="1">
        <v>42272.181527777779</v>
      </c>
      <c r="B7423" s="2">
        <v>6.5972222222222213E-4</v>
      </c>
      <c r="C7423" t="s">
        <v>11013</v>
      </c>
      <c r="D7423" t="s">
        <v>23</v>
      </c>
      <c r="E7423" t="s">
        <v>24</v>
      </c>
      <c r="F7423" t="s">
        <v>3228</v>
      </c>
      <c r="G7423">
        <v>1115640</v>
      </c>
      <c r="H7423" t="s">
        <v>26</v>
      </c>
      <c r="I7423" t="s">
        <v>3229</v>
      </c>
      <c r="J7423" t="str">
        <f t="shared" si="44"/>
        <v>9781118419090</v>
      </c>
      <c r="K7423" t="s">
        <v>11019</v>
      </c>
      <c r="L7423">
        <v>35</v>
      </c>
      <c r="O7423" t="s">
        <v>30</v>
      </c>
      <c r="P7423" t="s">
        <v>42</v>
      </c>
      <c r="S7423" t="s">
        <v>31</v>
      </c>
      <c r="T7423" t="s">
        <v>3231</v>
      </c>
      <c r="U7423">
        <v>624</v>
      </c>
      <c r="V7423" s="3">
        <v>41296</v>
      </c>
    </row>
    <row r="7424" spans="1:22" x14ac:dyDescent="0.35">
      <c r="A7424" s="1">
        <v>42272.176631944443</v>
      </c>
      <c r="B7424" s="2">
        <v>6.9097222222222213E-2</v>
      </c>
      <c r="C7424" t="s">
        <v>11020</v>
      </c>
      <c r="D7424" t="s">
        <v>23</v>
      </c>
      <c r="E7424" t="s">
        <v>24</v>
      </c>
      <c r="F7424" t="s">
        <v>3228</v>
      </c>
      <c r="G7424">
        <v>1115640</v>
      </c>
      <c r="H7424" t="s">
        <v>26</v>
      </c>
      <c r="I7424" t="s">
        <v>3229</v>
      </c>
      <c r="J7424" t="str">
        <f t="shared" si="44"/>
        <v>9781118419090</v>
      </c>
      <c r="K7424" t="s">
        <v>11021</v>
      </c>
      <c r="L7424">
        <v>45</v>
      </c>
      <c r="O7424" t="s">
        <v>30</v>
      </c>
      <c r="P7424" t="s">
        <v>29</v>
      </c>
      <c r="Q7424" s="1">
        <v>42272.176631944443</v>
      </c>
      <c r="R7424">
        <v>7</v>
      </c>
      <c r="S7424" t="s">
        <v>31</v>
      </c>
      <c r="T7424" t="s">
        <v>3231</v>
      </c>
      <c r="U7424">
        <v>624</v>
      </c>
      <c r="V7424" s="3">
        <v>41296</v>
      </c>
    </row>
    <row r="7425" spans="1:22" x14ac:dyDescent="0.35">
      <c r="A7425" s="1">
        <v>42272.169305555559</v>
      </c>
      <c r="B7425" s="2">
        <v>7.3263888888888892E-3</v>
      </c>
      <c r="C7425" t="s">
        <v>11020</v>
      </c>
      <c r="D7425" t="s">
        <v>23</v>
      </c>
      <c r="E7425" t="s">
        <v>24</v>
      </c>
      <c r="F7425" t="s">
        <v>3228</v>
      </c>
      <c r="G7425">
        <v>1115640</v>
      </c>
      <c r="H7425" t="s">
        <v>26</v>
      </c>
      <c r="I7425" t="s">
        <v>3229</v>
      </c>
      <c r="J7425" t="str">
        <f t="shared" si="44"/>
        <v>9781118419090</v>
      </c>
      <c r="K7425" t="s">
        <v>11022</v>
      </c>
      <c r="L7425">
        <v>9</v>
      </c>
      <c r="O7425" t="s">
        <v>30</v>
      </c>
      <c r="P7425" t="s">
        <v>42</v>
      </c>
      <c r="S7425" t="s">
        <v>31</v>
      </c>
      <c r="T7425" t="s">
        <v>3231</v>
      </c>
      <c r="U7425">
        <v>624</v>
      </c>
      <c r="V7425" s="3">
        <v>41296</v>
      </c>
    </row>
    <row r="7426" spans="1:22" x14ac:dyDescent="0.35">
      <c r="A7426" s="1">
        <v>42272.162488425929</v>
      </c>
      <c r="B7426" s="2">
        <v>7.4375000000000011E-2</v>
      </c>
      <c r="C7426" t="s">
        <v>11023</v>
      </c>
      <c r="D7426" t="s">
        <v>23</v>
      </c>
      <c r="E7426" t="s">
        <v>24</v>
      </c>
      <c r="F7426" t="s">
        <v>3228</v>
      </c>
      <c r="G7426">
        <v>1115640</v>
      </c>
      <c r="H7426" t="s">
        <v>26</v>
      </c>
      <c r="I7426" t="s">
        <v>3229</v>
      </c>
      <c r="J7426" t="str">
        <f t="shared" si="44"/>
        <v>9781118419090</v>
      </c>
      <c r="K7426" t="s">
        <v>11024</v>
      </c>
      <c r="L7426">
        <v>40</v>
      </c>
      <c r="O7426" t="s">
        <v>30</v>
      </c>
      <c r="P7426" t="s">
        <v>29</v>
      </c>
      <c r="Q7426" s="1">
        <v>42272.162488425929</v>
      </c>
      <c r="R7426">
        <v>7</v>
      </c>
      <c r="S7426" t="s">
        <v>31</v>
      </c>
      <c r="T7426" t="s">
        <v>3231</v>
      </c>
      <c r="U7426">
        <v>624</v>
      </c>
      <c r="V7426" s="3">
        <v>41296</v>
      </c>
    </row>
    <row r="7427" spans="1:22" x14ac:dyDescent="0.35">
      <c r="A7427" s="1">
        <v>42272.161863425928</v>
      </c>
      <c r="B7427" s="2">
        <v>8.0729166666666671E-2</v>
      </c>
      <c r="C7427" t="s">
        <v>106</v>
      </c>
      <c r="D7427" t="s">
        <v>23</v>
      </c>
      <c r="E7427" t="s">
        <v>24</v>
      </c>
      <c r="F7427" t="s">
        <v>3228</v>
      </c>
      <c r="G7427">
        <v>1115640</v>
      </c>
      <c r="H7427" t="s">
        <v>26</v>
      </c>
      <c r="I7427" t="s">
        <v>3229</v>
      </c>
      <c r="J7427" t="str">
        <f t="shared" si="44"/>
        <v>9781118419090</v>
      </c>
      <c r="K7427" t="s">
        <v>11025</v>
      </c>
      <c r="L7427">
        <v>87</v>
      </c>
      <c r="O7427" t="s">
        <v>30</v>
      </c>
      <c r="P7427" t="s">
        <v>29</v>
      </c>
      <c r="Q7427" s="1">
        <v>42265.564884259256</v>
      </c>
      <c r="R7427">
        <v>7</v>
      </c>
      <c r="S7427" t="s">
        <v>31</v>
      </c>
      <c r="T7427" t="s">
        <v>3231</v>
      </c>
      <c r="U7427">
        <v>624</v>
      </c>
      <c r="V7427" s="3">
        <v>41296</v>
      </c>
    </row>
    <row r="7428" spans="1:22" x14ac:dyDescent="0.35">
      <c r="A7428" s="1">
        <v>42272.152187500003</v>
      </c>
      <c r="B7428" s="2">
        <v>1.0300925925925927E-2</v>
      </c>
      <c r="C7428" t="s">
        <v>11023</v>
      </c>
      <c r="D7428" t="s">
        <v>23</v>
      </c>
      <c r="E7428" t="s">
        <v>24</v>
      </c>
      <c r="F7428" t="s">
        <v>3228</v>
      </c>
      <c r="G7428">
        <v>1115640</v>
      </c>
      <c r="H7428" t="s">
        <v>26</v>
      </c>
      <c r="I7428" t="s">
        <v>3229</v>
      </c>
      <c r="J7428" t="str">
        <f t="shared" si="44"/>
        <v>9781118419090</v>
      </c>
      <c r="K7428" t="s">
        <v>11026</v>
      </c>
      <c r="L7428">
        <v>23</v>
      </c>
      <c r="O7428" t="s">
        <v>30</v>
      </c>
      <c r="P7428" t="s">
        <v>42</v>
      </c>
      <c r="S7428" t="s">
        <v>31</v>
      </c>
      <c r="T7428" t="s">
        <v>3231</v>
      </c>
      <c r="U7428">
        <v>624</v>
      </c>
      <c r="V7428" s="3">
        <v>41296</v>
      </c>
    </row>
    <row r="7429" spans="1:22" x14ac:dyDescent="0.35">
      <c r="A7429" s="1">
        <v>42272.126539351855</v>
      </c>
      <c r="B7429" s="2">
        <v>6.0196759259259262E-2</v>
      </c>
      <c r="C7429" t="s">
        <v>106</v>
      </c>
      <c r="D7429" t="s">
        <v>23</v>
      </c>
      <c r="E7429" t="s">
        <v>24</v>
      </c>
      <c r="F7429" t="s">
        <v>3228</v>
      </c>
      <c r="G7429">
        <v>1115640</v>
      </c>
      <c r="H7429" t="s">
        <v>26</v>
      </c>
      <c r="I7429" t="s">
        <v>3229</v>
      </c>
      <c r="J7429" t="str">
        <f t="shared" si="44"/>
        <v>9781118419090</v>
      </c>
      <c r="K7429" t="s">
        <v>11027</v>
      </c>
      <c r="L7429">
        <v>27</v>
      </c>
      <c r="O7429" t="s">
        <v>30</v>
      </c>
      <c r="P7429" t="s">
        <v>29</v>
      </c>
      <c r="Q7429" s="1">
        <v>42265.564884259256</v>
      </c>
      <c r="R7429">
        <v>7</v>
      </c>
      <c r="S7429" t="s">
        <v>31</v>
      </c>
      <c r="T7429" t="s">
        <v>3231</v>
      </c>
      <c r="U7429">
        <v>624</v>
      </c>
      <c r="V7429" s="3">
        <v>41296</v>
      </c>
    </row>
    <row r="7430" spans="1:22" x14ac:dyDescent="0.35">
      <c r="A7430" s="1">
        <v>42272.12427083333</v>
      </c>
      <c r="B7430" s="2">
        <v>1.7592592592592592E-3</v>
      </c>
      <c r="C7430" t="s">
        <v>11028</v>
      </c>
      <c r="D7430" t="s">
        <v>23</v>
      </c>
      <c r="E7430" t="s">
        <v>24</v>
      </c>
      <c r="F7430" t="s">
        <v>3228</v>
      </c>
      <c r="G7430">
        <v>1115640</v>
      </c>
      <c r="H7430" t="s">
        <v>26</v>
      </c>
      <c r="I7430" t="s">
        <v>3229</v>
      </c>
      <c r="J7430" t="str">
        <f t="shared" si="44"/>
        <v>9781118419090</v>
      </c>
      <c r="K7430" t="s">
        <v>11029</v>
      </c>
      <c r="L7430">
        <v>15</v>
      </c>
      <c r="O7430" t="s">
        <v>30</v>
      </c>
      <c r="P7430" t="s">
        <v>42</v>
      </c>
      <c r="S7430" t="s">
        <v>31</v>
      </c>
      <c r="T7430" t="s">
        <v>3231</v>
      </c>
      <c r="U7430">
        <v>624</v>
      </c>
      <c r="V7430" s="3">
        <v>41296</v>
      </c>
    </row>
    <row r="7431" spans="1:22" x14ac:dyDescent="0.35">
      <c r="A7431" s="1">
        <v>42272.120219907411</v>
      </c>
      <c r="B7431" s="2">
        <v>3.6724537037037035E-2</v>
      </c>
      <c r="C7431" t="s">
        <v>11000</v>
      </c>
      <c r="D7431" t="s">
        <v>23</v>
      </c>
      <c r="E7431" t="s">
        <v>24</v>
      </c>
      <c r="F7431" t="s">
        <v>3228</v>
      </c>
      <c r="G7431">
        <v>1115640</v>
      </c>
      <c r="H7431" t="s">
        <v>26</v>
      </c>
      <c r="I7431" t="s">
        <v>3229</v>
      </c>
      <c r="J7431" t="str">
        <f t="shared" si="44"/>
        <v>9781118419090</v>
      </c>
      <c r="K7431" t="s">
        <v>11030</v>
      </c>
      <c r="L7431">
        <v>12</v>
      </c>
      <c r="O7431" t="s">
        <v>30</v>
      </c>
      <c r="P7431" t="s">
        <v>29</v>
      </c>
      <c r="Q7431" s="1">
        <v>42272.120219907411</v>
      </c>
      <c r="R7431">
        <v>7</v>
      </c>
      <c r="S7431" t="s">
        <v>31</v>
      </c>
      <c r="T7431" t="s">
        <v>3231</v>
      </c>
      <c r="U7431">
        <v>624</v>
      </c>
      <c r="V7431" s="3">
        <v>41296</v>
      </c>
    </row>
    <row r="7432" spans="1:22" x14ac:dyDescent="0.35">
      <c r="A7432" s="1">
        <v>42272.118483796294</v>
      </c>
      <c r="B7432" s="2">
        <v>1.0520833333333333E-2</v>
      </c>
      <c r="C7432" t="s">
        <v>5315</v>
      </c>
      <c r="D7432" t="s">
        <v>23</v>
      </c>
      <c r="E7432" t="s">
        <v>24</v>
      </c>
      <c r="F7432" t="s">
        <v>3228</v>
      </c>
      <c r="G7432">
        <v>1115640</v>
      </c>
      <c r="H7432" t="s">
        <v>26</v>
      </c>
      <c r="I7432" t="s">
        <v>3229</v>
      </c>
      <c r="J7432" t="str">
        <f t="shared" si="44"/>
        <v>9781118419090</v>
      </c>
      <c r="K7432" t="s">
        <v>11031</v>
      </c>
      <c r="L7432">
        <v>32</v>
      </c>
      <c r="O7432" t="s">
        <v>30</v>
      </c>
      <c r="P7432" t="s">
        <v>29</v>
      </c>
      <c r="Q7432" s="1">
        <v>42272.039849537039</v>
      </c>
      <c r="R7432">
        <v>7</v>
      </c>
      <c r="S7432" t="s">
        <v>31</v>
      </c>
      <c r="T7432" t="s">
        <v>3231</v>
      </c>
      <c r="U7432">
        <v>624</v>
      </c>
      <c r="V7432" s="3">
        <v>41296</v>
      </c>
    </row>
    <row r="7433" spans="1:22" x14ac:dyDescent="0.35">
      <c r="A7433" s="1">
        <v>42272.117256944446</v>
      </c>
      <c r="B7433" s="2">
        <v>5.5555555555555556E-4</v>
      </c>
      <c r="C7433" t="s">
        <v>5315</v>
      </c>
      <c r="D7433" t="s">
        <v>23</v>
      </c>
      <c r="E7433" t="s">
        <v>24</v>
      </c>
      <c r="F7433" t="s">
        <v>3228</v>
      </c>
      <c r="G7433">
        <v>1115640</v>
      </c>
      <c r="H7433" t="s">
        <v>26</v>
      </c>
      <c r="I7433" t="s">
        <v>3229</v>
      </c>
      <c r="J7433" t="str">
        <f t="shared" si="44"/>
        <v>9781118419090</v>
      </c>
      <c r="K7433" t="s">
        <v>11032</v>
      </c>
      <c r="L7433">
        <v>14</v>
      </c>
      <c r="O7433" t="s">
        <v>30</v>
      </c>
      <c r="P7433" t="s">
        <v>29</v>
      </c>
      <c r="Q7433" s="1">
        <v>42272.039849537039</v>
      </c>
      <c r="R7433">
        <v>7</v>
      </c>
      <c r="S7433" t="s">
        <v>31</v>
      </c>
      <c r="T7433" t="s">
        <v>3231</v>
      </c>
      <c r="U7433">
        <v>624</v>
      </c>
      <c r="V7433" s="3">
        <v>41296</v>
      </c>
    </row>
    <row r="7434" spans="1:22" x14ac:dyDescent="0.35">
      <c r="A7434" s="1">
        <v>42272.112002314818</v>
      </c>
      <c r="B7434" s="2">
        <v>8.217592592592594E-3</v>
      </c>
      <c r="C7434" t="s">
        <v>11000</v>
      </c>
      <c r="D7434" t="s">
        <v>23</v>
      </c>
      <c r="E7434" t="s">
        <v>24</v>
      </c>
      <c r="F7434" t="s">
        <v>3228</v>
      </c>
      <c r="G7434">
        <v>1115640</v>
      </c>
      <c r="H7434" t="s">
        <v>26</v>
      </c>
      <c r="I7434" t="s">
        <v>3229</v>
      </c>
      <c r="J7434" t="str">
        <f t="shared" si="44"/>
        <v>9781118419090</v>
      </c>
      <c r="K7434" t="s">
        <v>11033</v>
      </c>
      <c r="L7434">
        <v>21</v>
      </c>
      <c r="O7434" t="s">
        <v>30</v>
      </c>
      <c r="P7434" t="s">
        <v>42</v>
      </c>
      <c r="S7434" t="s">
        <v>31</v>
      </c>
      <c r="T7434" t="s">
        <v>3231</v>
      </c>
      <c r="U7434">
        <v>624</v>
      </c>
      <c r="V7434" s="3">
        <v>41296</v>
      </c>
    </row>
    <row r="7435" spans="1:22" x14ac:dyDescent="0.35">
      <c r="A7435" s="1">
        <v>42272.106990740744</v>
      </c>
      <c r="B7435" s="2">
        <v>3.0555555555555557E-3</v>
      </c>
      <c r="C7435" t="s">
        <v>10987</v>
      </c>
      <c r="D7435" t="s">
        <v>23</v>
      </c>
      <c r="E7435" t="s">
        <v>24</v>
      </c>
      <c r="F7435" t="s">
        <v>3228</v>
      </c>
      <c r="G7435">
        <v>1115640</v>
      </c>
      <c r="H7435" t="s">
        <v>26</v>
      </c>
      <c r="I7435" t="s">
        <v>3229</v>
      </c>
      <c r="J7435" t="str">
        <f t="shared" si="44"/>
        <v>9781118419090</v>
      </c>
      <c r="K7435" t="s">
        <v>11034</v>
      </c>
      <c r="L7435">
        <v>69</v>
      </c>
      <c r="O7435" t="s">
        <v>28</v>
      </c>
      <c r="P7435" t="s">
        <v>29</v>
      </c>
      <c r="Q7435" s="1">
        <v>42272.105682870373</v>
      </c>
      <c r="R7435">
        <v>7</v>
      </c>
      <c r="S7435" t="s">
        <v>31</v>
      </c>
      <c r="T7435" t="s">
        <v>3231</v>
      </c>
      <c r="U7435">
        <v>624</v>
      </c>
      <c r="V7435" s="3">
        <v>41296</v>
      </c>
    </row>
    <row r="7436" spans="1:22" x14ac:dyDescent="0.35">
      <c r="A7436" s="1">
        <v>42272.10665509259</v>
      </c>
      <c r="B7436" s="2">
        <v>2.7777777777777778E-4</v>
      </c>
      <c r="C7436" t="s">
        <v>10987</v>
      </c>
      <c r="D7436" t="s">
        <v>23</v>
      </c>
      <c r="E7436" t="s">
        <v>24</v>
      </c>
      <c r="F7436" t="s">
        <v>3228</v>
      </c>
      <c r="G7436">
        <v>1115640</v>
      </c>
      <c r="H7436" t="s">
        <v>26</v>
      </c>
      <c r="I7436" t="s">
        <v>3229</v>
      </c>
      <c r="J7436" t="str">
        <f t="shared" si="44"/>
        <v>9781118419090</v>
      </c>
      <c r="K7436" t="s">
        <v>11035</v>
      </c>
      <c r="L7436">
        <v>5</v>
      </c>
      <c r="O7436" t="s">
        <v>30</v>
      </c>
      <c r="P7436" t="s">
        <v>29</v>
      </c>
      <c r="Q7436" s="1">
        <v>42272.105682870373</v>
      </c>
      <c r="R7436">
        <v>7</v>
      </c>
      <c r="S7436" t="s">
        <v>31</v>
      </c>
      <c r="T7436" t="s">
        <v>3231</v>
      </c>
      <c r="U7436">
        <v>624</v>
      </c>
      <c r="V7436" s="3">
        <v>41296</v>
      </c>
    </row>
    <row r="7437" spans="1:22" x14ac:dyDescent="0.35">
      <c r="A7437" s="1">
        <v>42272.106365740743</v>
      </c>
      <c r="B7437" s="2">
        <v>0</v>
      </c>
      <c r="C7437" t="s">
        <v>10987</v>
      </c>
      <c r="D7437" t="s">
        <v>23</v>
      </c>
      <c r="E7437" t="s">
        <v>24</v>
      </c>
      <c r="F7437" t="s">
        <v>3228</v>
      </c>
      <c r="G7437">
        <v>1115640</v>
      </c>
      <c r="H7437" t="s">
        <v>26</v>
      </c>
      <c r="I7437" t="s">
        <v>3229</v>
      </c>
      <c r="J7437" t="str">
        <f t="shared" si="44"/>
        <v>9781118419090</v>
      </c>
      <c r="L7437">
        <v>0</v>
      </c>
      <c r="O7437" t="s">
        <v>28</v>
      </c>
      <c r="P7437" t="s">
        <v>29</v>
      </c>
      <c r="Q7437" s="1">
        <v>42272.105682870373</v>
      </c>
      <c r="R7437">
        <v>7</v>
      </c>
      <c r="S7437" t="s">
        <v>31</v>
      </c>
      <c r="T7437" t="s">
        <v>3231</v>
      </c>
      <c r="U7437">
        <v>624</v>
      </c>
      <c r="V7437" s="3">
        <v>41296</v>
      </c>
    </row>
    <row r="7438" spans="1:22" x14ac:dyDescent="0.35">
      <c r="A7438" s="1">
        <v>42272.105787037035</v>
      </c>
      <c r="B7438" s="2">
        <v>3.8194444444444446E-4</v>
      </c>
      <c r="C7438" t="s">
        <v>10987</v>
      </c>
      <c r="D7438" t="s">
        <v>23</v>
      </c>
      <c r="E7438" t="s">
        <v>24</v>
      </c>
      <c r="F7438" t="s">
        <v>3228</v>
      </c>
      <c r="G7438">
        <v>1115640</v>
      </c>
      <c r="H7438" t="s">
        <v>26</v>
      </c>
      <c r="I7438" t="s">
        <v>3229</v>
      </c>
      <c r="J7438" t="str">
        <f t="shared" si="44"/>
        <v>9781118419090</v>
      </c>
      <c r="K7438" t="s">
        <v>11036</v>
      </c>
      <c r="L7438">
        <v>2</v>
      </c>
      <c r="O7438" t="s">
        <v>28</v>
      </c>
      <c r="P7438" t="s">
        <v>29</v>
      </c>
      <c r="Q7438" s="1">
        <v>42272.105682870373</v>
      </c>
      <c r="R7438">
        <v>7</v>
      </c>
      <c r="S7438" t="s">
        <v>31</v>
      </c>
      <c r="T7438" t="s">
        <v>3231</v>
      </c>
      <c r="U7438">
        <v>624</v>
      </c>
      <c r="V7438" s="3">
        <v>41296</v>
      </c>
    </row>
    <row r="7439" spans="1:22" x14ac:dyDescent="0.35">
      <c r="A7439" s="1">
        <v>42272.105775462966</v>
      </c>
      <c r="B7439" s="2">
        <v>0.18344907407407407</v>
      </c>
      <c r="C7439" t="s">
        <v>106</v>
      </c>
      <c r="D7439" t="s">
        <v>23</v>
      </c>
      <c r="E7439" t="s">
        <v>24</v>
      </c>
      <c r="F7439" t="s">
        <v>3228</v>
      </c>
      <c r="G7439">
        <v>1115640</v>
      </c>
      <c r="H7439" t="s">
        <v>26</v>
      </c>
      <c r="I7439" t="s">
        <v>3229</v>
      </c>
      <c r="J7439" t="str">
        <f t="shared" si="44"/>
        <v>9781118419090</v>
      </c>
      <c r="K7439" t="s">
        <v>11037</v>
      </c>
      <c r="L7439">
        <v>68</v>
      </c>
      <c r="O7439" t="s">
        <v>30</v>
      </c>
      <c r="P7439" t="s">
        <v>29</v>
      </c>
      <c r="Q7439" s="1">
        <v>42265.564884259256</v>
      </c>
      <c r="R7439">
        <v>7</v>
      </c>
      <c r="S7439" t="s">
        <v>31</v>
      </c>
      <c r="T7439" t="s">
        <v>3231</v>
      </c>
      <c r="U7439">
        <v>624</v>
      </c>
      <c r="V7439" s="3">
        <v>41296</v>
      </c>
    </row>
    <row r="7440" spans="1:22" x14ac:dyDescent="0.35">
      <c r="A7440" s="1">
        <v>42272.105682870373</v>
      </c>
      <c r="B7440" s="2">
        <v>0</v>
      </c>
      <c r="C7440" t="s">
        <v>10987</v>
      </c>
      <c r="D7440" t="s">
        <v>23</v>
      </c>
      <c r="E7440" t="s">
        <v>24</v>
      </c>
      <c r="F7440" t="s">
        <v>3228</v>
      </c>
      <c r="G7440">
        <v>1115640</v>
      </c>
      <c r="H7440" t="s">
        <v>26</v>
      </c>
      <c r="I7440" t="s">
        <v>3229</v>
      </c>
      <c r="J7440" t="str">
        <f t="shared" si="44"/>
        <v>9781118419090</v>
      </c>
      <c r="L7440">
        <v>0</v>
      </c>
      <c r="O7440" t="s">
        <v>28</v>
      </c>
      <c r="P7440" t="s">
        <v>29</v>
      </c>
      <c r="Q7440" s="1">
        <v>42272.105682870373</v>
      </c>
      <c r="R7440">
        <v>7</v>
      </c>
      <c r="S7440" t="s">
        <v>31</v>
      </c>
      <c r="T7440" t="s">
        <v>3231</v>
      </c>
      <c r="U7440">
        <v>624</v>
      </c>
      <c r="V7440" s="3">
        <v>41296</v>
      </c>
    </row>
    <row r="7441" spans="1:22" x14ac:dyDescent="0.35">
      <c r="A7441" s="1">
        <v>42272.105682870373</v>
      </c>
      <c r="B7441" s="2">
        <v>0</v>
      </c>
      <c r="C7441" t="s">
        <v>10987</v>
      </c>
      <c r="D7441" t="s">
        <v>23</v>
      </c>
      <c r="E7441" t="s">
        <v>24</v>
      </c>
      <c r="F7441" t="s">
        <v>3228</v>
      </c>
      <c r="G7441">
        <v>1115640</v>
      </c>
      <c r="H7441" t="s">
        <v>26</v>
      </c>
      <c r="I7441" t="s">
        <v>3229</v>
      </c>
      <c r="J7441" t="str">
        <f t="shared" si="44"/>
        <v>9781118419090</v>
      </c>
      <c r="L7441">
        <v>0</v>
      </c>
      <c r="O7441" t="s">
        <v>30</v>
      </c>
      <c r="P7441" t="s">
        <v>29</v>
      </c>
      <c r="Q7441" s="1">
        <v>42272.105682870373</v>
      </c>
      <c r="R7441">
        <v>7</v>
      </c>
      <c r="S7441" t="s">
        <v>31</v>
      </c>
      <c r="T7441" t="s">
        <v>3231</v>
      </c>
      <c r="U7441">
        <v>624</v>
      </c>
      <c r="V7441" s="3">
        <v>41296</v>
      </c>
    </row>
    <row r="7442" spans="1:22" x14ac:dyDescent="0.35">
      <c r="A7442" s="1">
        <v>42272.103784722225</v>
      </c>
      <c r="B7442" s="2">
        <v>1.8981481481481482E-3</v>
      </c>
      <c r="C7442" t="s">
        <v>10987</v>
      </c>
      <c r="D7442" t="s">
        <v>23</v>
      </c>
      <c r="E7442" t="s">
        <v>24</v>
      </c>
      <c r="F7442" t="s">
        <v>3228</v>
      </c>
      <c r="G7442">
        <v>1115640</v>
      </c>
      <c r="H7442" t="s">
        <v>26</v>
      </c>
      <c r="I7442" t="s">
        <v>3229</v>
      </c>
      <c r="J7442" t="str">
        <f t="shared" si="44"/>
        <v>9781118419090</v>
      </c>
      <c r="K7442" t="s">
        <v>443</v>
      </c>
      <c r="L7442">
        <v>19</v>
      </c>
      <c r="O7442" t="s">
        <v>30</v>
      </c>
      <c r="P7442" t="s">
        <v>42</v>
      </c>
      <c r="S7442" t="s">
        <v>31</v>
      </c>
      <c r="T7442" t="s">
        <v>3231</v>
      </c>
      <c r="U7442">
        <v>624</v>
      </c>
      <c r="V7442" s="3">
        <v>41296</v>
      </c>
    </row>
    <row r="7443" spans="1:22" x14ac:dyDescent="0.35">
      <c r="A7443" s="1">
        <v>42272.102951388886</v>
      </c>
      <c r="B7443" s="2">
        <v>0.13570601851851852</v>
      </c>
      <c r="C7443" t="s">
        <v>106</v>
      </c>
      <c r="D7443" t="s">
        <v>23</v>
      </c>
      <c r="E7443" t="s">
        <v>24</v>
      </c>
      <c r="F7443" t="s">
        <v>3228</v>
      </c>
      <c r="G7443">
        <v>1115640</v>
      </c>
      <c r="H7443" t="s">
        <v>26</v>
      </c>
      <c r="I7443" t="s">
        <v>3229</v>
      </c>
      <c r="J7443" t="str">
        <f t="shared" si="44"/>
        <v>9781118419090</v>
      </c>
      <c r="K7443" t="s">
        <v>11038</v>
      </c>
      <c r="L7443">
        <v>69</v>
      </c>
      <c r="O7443" t="s">
        <v>30</v>
      </c>
      <c r="P7443" t="s">
        <v>29</v>
      </c>
      <c r="Q7443" s="1">
        <v>42265.564884259256</v>
      </c>
      <c r="R7443">
        <v>7</v>
      </c>
      <c r="S7443" t="s">
        <v>31</v>
      </c>
      <c r="T7443" t="s">
        <v>3231</v>
      </c>
      <c r="U7443">
        <v>624</v>
      </c>
      <c r="V7443" s="3">
        <v>41296</v>
      </c>
    </row>
    <row r="7444" spans="1:22" x14ac:dyDescent="0.35">
      <c r="A7444" s="1">
        <v>42272.098449074074</v>
      </c>
      <c r="B7444" s="2">
        <v>2.9224537037037038E-2</v>
      </c>
      <c r="C7444" t="s">
        <v>11039</v>
      </c>
      <c r="D7444" t="s">
        <v>23</v>
      </c>
      <c r="E7444" t="s">
        <v>24</v>
      </c>
      <c r="F7444" t="s">
        <v>3228</v>
      </c>
      <c r="G7444">
        <v>1115640</v>
      </c>
      <c r="H7444" t="s">
        <v>26</v>
      </c>
      <c r="I7444" t="s">
        <v>3229</v>
      </c>
      <c r="J7444" t="str">
        <f t="shared" ref="J7444:J7472" si="45">"9781118419090"</f>
        <v>9781118419090</v>
      </c>
      <c r="K7444" t="s">
        <v>11040</v>
      </c>
      <c r="L7444">
        <v>63</v>
      </c>
      <c r="O7444" t="s">
        <v>30</v>
      </c>
      <c r="P7444" t="s">
        <v>29</v>
      </c>
      <c r="Q7444" s="1">
        <v>42272.098449074074</v>
      </c>
      <c r="R7444">
        <v>7</v>
      </c>
      <c r="S7444" t="s">
        <v>31</v>
      </c>
      <c r="T7444" t="s">
        <v>3231</v>
      </c>
      <c r="U7444">
        <v>624</v>
      </c>
      <c r="V7444" s="3">
        <v>41296</v>
      </c>
    </row>
    <row r="7445" spans="1:22" x14ac:dyDescent="0.35">
      <c r="A7445" s="1">
        <v>42272.0856712963</v>
      </c>
      <c r="B7445" s="2">
        <v>1.2777777777777777E-2</v>
      </c>
      <c r="C7445" t="s">
        <v>11039</v>
      </c>
      <c r="D7445" t="s">
        <v>23</v>
      </c>
      <c r="E7445" t="s">
        <v>24</v>
      </c>
      <c r="F7445" t="s">
        <v>3228</v>
      </c>
      <c r="G7445">
        <v>1115640</v>
      </c>
      <c r="H7445" t="s">
        <v>26</v>
      </c>
      <c r="I7445" t="s">
        <v>3229</v>
      </c>
      <c r="J7445" t="str">
        <f t="shared" si="45"/>
        <v>9781118419090</v>
      </c>
      <c r="K7445" t="s">
        <v>11041</v>
      </c>
      <c r="L7445">
        <v>17</v>
      </c>
      <c r="O7445" t="s">
        <v>30</v>
      </c>
      <c r="P7445" t="s">
        <v>42</v>
      </c>
      <c r="S7445" t="s">
        <v>31</v>
      </c>
      <c r="T7445" t="s">
        <v>3231</v>
      </c>
      <c r="U7445">
        <v>624</v>
      </c>
      <c r="V7445" s="3">
        <v>41296</v>
      </c>
    </row>
    <row r="7446" spans="1:22" x14ac:dyDescent="0.35">
      <c r="A7446" s="1">
        <v>42272.079236111109</v>
      </c>
      <c r="B7446" s="2">
        <v>7.8784722222222228E-2</v>
      </c>
      <c r="C7446" t="s">
        <v>3519</v>
      </c>
      <c r="D7446" t="s">
        <v>23</v>
      </c>
      <c r="E7446" t="s">
        <v>24</v>
      </c>
      <c r="F7446" t="s">
        <v>3228</v>
      </c>
      <c r="G7446">
        <v>1115640</v>
      </c>
      <c r="H7446" t="s">
        <v>26</v>
      </c>
      <c r="I7446" t="s">
        <v>3229</v>
      </c>
      <c r="J7446" t="str">
        <f t="shared" si="45"/>
        <v>9781118419090</v>
      </c>
      <c r="K7446" t="s">
        <v>11042</v>
      </c>
      <c r="L7446">
        <v>18</v>
      </c>
      <c r="M7446" t="s">
        <v>2541</v>
      </c>
      <c r="O7446" t="s">
        <v>30</v>
      </c>
      <c r="P7446" t="s">
        <v>29</v>
      </c>
      <c r="Q7446" s="1">
        <v>42265.688692129632</v>
      </c>
      <c r="R7446">
        <v>7</v>
      </c>
      <c r="S7446" t="s">
        <v>31</v>
      </c>
      <c r="T7446" t="s">
        <v>3231</v>
      </c>
      <c r="U7446">
        <v>624</v>
      </c>
      <c r="V7446" s="3">
        <v>41296</v>
      </c>
    </row>
    <row r="7447" spans="1:22" x14ac:dyDescent="0.35">
      <c r="A7447" s="1">
        <v>42272.078136574077</v>
      </c>
      <c r="B7447" s="2">
        <v>8.9050925925925936E-2</v>
      </c>
      <c r="C7447" t="s">
        <v>10966</v>
      </c>
      <c r="D7447" t="s">
        <v>23</v>
      </c>
      <c r="E7447" t="s">
        <v>24</v>
      </c>
      <c r="F7447" t="s">
        <v>3228</v>
      </c>
      <c r="G7447">
        <v>1115640</v>
      </c>
      <c r="H7447" t="s">
        <v>26</v>
      </c>
      <c r="I7447" t="s">
        <v>3229</v>
      </c>
      <c r="J7447" t="str">
        <f t="shared" si="45"/>
        <v>9781118419090</v>
      </c>
      <c r="K7447" t="s">
        <v>11043</v>
      </c>
      <c r="L7447">
        <v>47</v>
      </c>
      <c r="O7447" t="s">
        <v>30</v>
      </c>
      <c r="P7447" t="s">
        <v>29</v>
      </c>
      <c r="Q7447" s="1">
        <v>42268.549120370371</v>
      </c>
      <c r="R7447">
        <v>7</v>
      </c>
      <c r="S7447" t="s">
        <v>31</v>
      </c>
      <c r="T7447" t="s">
        <v>3231</v>
      </c>
      <c r="U7447">
        <v>624</v>
      </c>
      <c r="V7447" s="3">
        <v>41296</v>
      </c>
    </row>
    <row r="7448" spans="1:22" x14ac:dyDescent="0.35">
      <c r="A7448" s="1">
        <v>42272.071527777778</v>
      </c>
      <c r="B7448" s="2">
        <v>0.12178240740740741</v>
      </c>
      <c r="C7448" t="s">
        <v>106</v>
      </c>
      <c r="D7448" t="s">
        <v>23</v>
      </c>
      <c r="E7448" t="s">
        <v>24</v>
      </c>
      <c r="F7448" t="s">
        <v>3228</v>
      </c>
      <c r="G7448">
        <v>1115640</v>
      </c>
      <c r="H7448" t="s">
        <v>26</v>
      </c>
      <c r="I7448" t="s">
        <v>3229</v>
      </c>
      <c r="J7448" t="str">
        <f t="shared" si="45"/>
        <v>9781118419090</v>
      </c>
      <c r="K7448" t="s">
        <v>11044</v>
      </c>
      <c r="L7448">
        <v>85</v>
      </c>
      <c r="O7448" t="s">
        <v>30</v>
      </c>
      <c r="P7448" t="s">
        <v>29</v>
      </c>
      <c r="Q7448" s="1">
        <v>42265.564884259256</v>
      </c>
      <c r="R7448">
        <v>7</v>
      </c>
      <c r="S7448" t="s">
        <v>31</v>
      </c>
      <c r="T7448" t="s">
        <v>3231</v>
      </c>
      <c r="U7448">
        <v>624</v>
      </c>
      <c r="V7448" s="3">
        <v>41296</v>
      </c>
    </row>
    <row r="7449" spans="1:22" x14ac:dyDescent="0.35">
      <c r="A7449" s="1">
        <v>42272.071168981478</v>
      </c>
      <c r="B7449" s="2">
        <v>8.4293981481481484E-2</v>
      </c>
      <c r="C7449" t="s">
        <v>11045</v>
      </c>
      <c r="D7449" t="s">
        <v>23</v>
      </c>
      <c r="E7449" t="s">
        <v>24</v>
      </c>
      <c r="F7449" t="s">
        <v>3228</v>
      </c>
      <c r="G7449">
        <v>1115640</v>
      </c>
      <c r="H7449" t="s">
        <v>26</v>
      </c>
      <c r="I7449" t="s">
        <v>3229</v>
      </c>
      <c r="J7449" t="str">
        <f t="shared" si="45"/>
        <v>9781118419090</v>
      </c>
      <c r="K7449" t="s">
        <v>11046</v>
      </c>
      <c r="L7449">
        <v>67</v>
      </c>
      <c r="O7449" t="s">
        <v>28</v>
      </c>
      <c r="P7449" t="s">
        <v>29</v>
      </c>
      <c r="Q7449" s="1">
        <v>42272.071030092593</v>
      </c>
      <c r="R7449">
        <v>7</v>
      </c>
      <c r="S7449" t="s">
        <v>31</v>
      </c>
      <c r="T7449" t="s">
        <v>3231</v>
      </c>
      <c r="U7449">
        <v>624</v>
      </c>
      <c r="V7449" s="3">
        <v>41296</v>
      </c>
    </row>
    <row r="7450" spans="1:22" x14ac:dyDescent="0.35">
      <c r="A7450" s="1">
        <v>42272.071030092593</v>
      </c>
      <c r="B7450" s="2">
        <v>0</v>
      </c>
      <c r="C7450" t="s">
        <v>11045</v>
      </c>
      <c r="D7450" t="s">
        <v>23</v>
      </c>
      <c r="E7450" t="s">
        <v>24</v>
      </c>
      <c r="F7450" t="s">
        <v>3228</v>
      </c>
      <c r="G7450">
        <v>1115640</v>
      </c>
      <c r="H7450" t="s">
        <v>26</v>
      </c>
      <c r="I7450" t="s">
        <v>3229</v>
      </c>
      <c r="J7450" t="str">
        <f t="shared" si="45"/>
        <v>9781118419090</v>
      </c>
      <c r="L7450">
        <v>0</v>
      </c>
      <c r="M7450" t="s">
        <v>9327</v>
      </c>
      <c r="O7450" t="s">
        <v>30</v>
      </c>
      <c r="P7450" t="s">
        <v>29</v>
      </c>
      <c r="Q7450" s="1">
        <v>42272.071030092593</v>
      </c>
      <c r="R7450">
        <v>7</v>
      </c>
      <c r="S7450" t="s">
        <v>31</v>
      </c>
      <c r="T7450" t="s">
        <v>3231</v>
      </c>
      <c r="U7450">
        <v>624</v>
      </c>
      <c r="V7450" s="3">
        <v>41296</v>
      </c>
    </row>
    <row r="7451" spans="1:22" x14ac:dyDescent="0.35">
      <c r="A7451" s="1">
        <v>42272.066388888888</v>
      </c>
      <c r="B7451" s="2">
        <v>6.4340277777777774E-2</v>
      </c>
      <c r="C7451" t="s">
        <v>106</v>
      </c>
      <c r="D7451" t="s">
        <v>23</v>
      </c>
      <c r="E7451" t="s">
        <v>24</v>
      </c>
      <c r="F7451" t="s">
        <v>3228</v>
      </c>
      <c r="G7451">
        <v>1115640</v>
      </c>
      <c r="H7451" t="s">
        <v>26</v>
      </c>
      <c r="I7451" t="s">
        <v>3229</v>
      </c>
      <c r="J7451" t="str">
        <f t="shared" si="45"/>
        <v>9781118419090</v>
      </c>
      <c r="K7451" t="s">
        <v>11047</v>
      </c>
      <c r="L7451">
        <v>83</v>
      </c>
      <c r="O7451" t="s">
        <v>30</v>
      </c>
      <c r="P7451" t="s">
        <v>29</v>
      </c>
      <c r="Q7451" s="1">
        <v>42265.564884259256</v>
      </c>
      <c r="R7451">
        <v>7</v>
      </c>
      <c r="S7451" t="s">
        <v>31</v>
      </c>
      <c r="T7451" t="s">
        <v>3231</v>
      </c>
      <c r="U7451">
        <v>624</v>
      </c>
      <c r="V7451" s="3">
        <v>41296</v>
      </c>
    </row>
    <row r="7452" spans="1:22" x14ac:dyDescent="0.35">
      <c r="A7452" s="1">
        <v>42272.065486111111</v>
      </c>
      <c r="B7452" s="2">
        <v>2.736111111111111E-2</v>
      </c>
      <c r="C7452" t="s">
        <v>2407</v>
      </c>
      <c r="D7452" t="s">
        <v>23</v>
      </c>
      <c r="E7452" t="s">
        <v>24</v>
      </c>
      <c r="F7452" t="s">
        <v>3228</v>
      </c>
      <c r="G7452">
        <v>1115640</v>
      </c>
      <c r="H7452" t="s">
        <v>26</v>
      </c>
      <c r="I7452" t="s">
        <v>3229</v>
      </c>
      <c r="J7452" t="str">
        <f t="shared" si="45"/>
        <v>9781118419090</v>
      </c>
      <c r="K7452" t="s">
        <v>11048</v>
      </c>
      <c r="L7452">
        <v>31</v>
      </c>
      <c r="O7452" t="s">
        <v>30</v>
      </c>
      <c r="P7452" t="s">
        <v>29</v>
      </c>
      <c r="Q7452" s="1">
        <v>42272.065486111111</v>
      </c>
      <c r="R7452">
        <v>7</v>
      </c>
      <c r="S7452" t="s">
        <v>31</v>
      </c>
      <c r="T7452" t="s">
        <v>3231</v>
      </c>
      <c r="U7452">
        <v>624</v>
      </c>
      <c r="V7452" s="3">
        <v>41296</v>
      </c>
    </row>
    <row r="7453" spans="1:22" x14ac:dyDescent="0.35">
      <c r="A7453" s="1">
        <v>42272.063356481478</v>
      </c>
      <c r="B7453" s="2">
        <v>2.3819444444444445E-2</v>
      </c>
      <c r="C7453" t="s">
        <v>10946</v>
      </c>
      <c r="D7453" t="s">
        <v>23</v>
      </c>
      <c r="E7453" t="s">
        <v>24</v>
      </c>
      <c r="F7453" t="s">
        <v>3228</v>
      </c>
      <c r="G7453">
        <v>1115640</v>
      </c>
      <c r="H7453" t="s">
        <v>26</v>
      </c>
      <c r="I7453" t="s">
        <v>3229</v>
      </c>
      <c r="J7453" t="str">
        <f t="shared" si="45"/>
        <v>9781118419090</v>
      </c>
      <c r="K7453" t="s">
        <v>11049</v>
      </c>
      <c r="L7453">
        <v>16</v>
      </c>
      <c r="O7453" t="s">
        <v>30</v>
      </c>
      <c r="P7453" t="s">
        <v>29</v>
      </c>
      <c r="Q7453" s="1">
        <v>42272.063356481478</v>
      </c>
      <c r="R7453">
        <v>7</v>
      </c>
      <c r="S7453" t="s">
        <v>31</v>
      </c>
      <c r="T7453" t="s">
        <v>3231</v>
      </c>
      <c r="U7453">
        <v>624</v>
      </c>
      <c r="V7453" s="3">
        <v>41296</v>
      </c>
    </row>
    <row r="7454" spans="1:22" x14ac:dyDescent="0.35">
      <c r="A7454" s="1">
        <v>42272.060590277775</v>
      </c>
      <c r="B7454" s="2">
        <v>8.6770833333333339E-2</v>
      </c>
      <c r="C7454" t="s">
        <v>11050</v>
      </c>
      <c r="D7454" t="s">
        <v>23</v>
      </c>
      <c r="E7454" t="s">
        <v>24</v>
      </c>
      <c r="F7454" t="s">
        <v>3228</v>
      </c>
      <c r="G7454">
        <v>1115640</v>
      </c>
      <c r="H7454" t="s">
        <v>26</v>
      </c>
      <c r="I7454" t="s">
        <v>3229</v>
      </c>
      <c r="J7454" t="str">
        <f t="shared" si="45"/>
        <v>9781118419090</v>
      </c>
      <c r="K7454" t="s">
        <v>11051</v>
      </c>
      <c r="L7454">
        <v>54</v>
      </c>
      <c r="O7454" t="s">
        <v>30</v>
      </c>
      <c r="P7454" t="s">
        <v>29</v>
      </c>
      <c r="Q7454" s="1">
        <v>42272.060590277775</v>
      </c>
      <c r="R7454">
        <v>7</v>
      </c>
      <c r="S7454" t="s">
        <v>31</v>
      </c>
      <c r="T7454" t="s">
        <v>3231</v>
      </c>
      <c r="U7454">
        <v>624</v>
      </c>
      <c r="V7454" s="3">
        <v>41296</v>
      </c>
    </row>
    <row r="7455" spans="1:22" x14ac:dyDescent="0.35">
      <c r="A7455" s="1">
        <v>42272.058831018519</v>
      </c>
      <c r="B7455" s="2">
        <v>1.0300925925925926E-3</v>
      </c>
      <c r="C7455" t="s">
        <v>10950</v>
      </c>
      <c r="D7455" t="s">
        <v>23</v>
      </c>
      <c r="E7455" t="s">
        <v>24</v>
      </c>
      <c r="F7455" t="s">
        <v>3228</v>
      </c>
      <c r="G7455">
        <v>1115640</v>
      </c>
      <c r="H7455" t="s">
        <v>26</v>
      </c>
      <c r="I7455" t="s">
        <v>3229</v>
      </c>
      <c r="J7455" t="str">
        <f t="shared" si="45"/>
        <v>9781118419090</v>
      </c>
      <c r="K7455" t="s">
        <v>2663</v>
      </c>
      <c r="L7455">
        <v>15</v>
      </c>
      <c r="O7455" t="s">
        <v>30</v>
      </c>
      <c r="P7455" t="s">
        <v>42</v>
      </c>
      <c r="S7455" t="s">
        <v>31</v>
      </c>
      <c r="T7455" t="s">
        <v>3231</v>
      </c>
      <c r="U7455">
        <v>624</v>
      </c>
      <c r="V7455" s="3">
        <v>41296</v>
      </c>
    </row>
    <row r="7456" spans="1:22" x14ac:dyDescent="0.35">
      <c r="A7456" s="1">
        <v>42272.052905092591</v>
      </c>
      <c r="B7456" s="2">
        <v>7.6851851851851847E-3</v>
      </c>
      <c r="C7456" t="s">
        <v>11050</v>
      </c>
      <c r="D7456" t="s">
        <v>23</v>
      </c>
      <c r="E7456" t="s">
        <v>24</v>
      </c>
      <c r="F7456" t="s">
        <v>3228</v>
      </c>
      <c r="G7456">
        <v>1115640</v>
      </c>
      <c r="H7456" t="s">
        <v>26</v>
      </c>
      <c r="I7456" t="s">
        <v>3229</v>
      </c>
      <c r="J7456" t="str">
        <f t="shared" si="45"/>
        <v>9781118419090</v>
      </c>
      <c r="K7456" t="s">
        <v>11052</v>
      </c>
      <c r="L7456">
        <v>19</v>
      </c>
      <c r="O7456" t="s">
        <v>30</v>
      </c>
      <c r="P7456" t="s">
        <v>42</v>
      </c>
      <c r="S7456" t="s">
        <v>31</v>
      </c>
      <c r="T7456" t="s">
        <v>3231</v>
      </c>
      <c r="U7456">
        <v>624</v>
      </c>
      <c r="V7456" s="3">
        <v>41296</v>
      </c>
    </row>
    <row r="7457" spans="1:22" x14ac:dyDescent="0.35">
      <c r="A7457" s="1">
        <v>42272.048391203702</v>
      </c>
      <c r="B7457" s="2">
        <v>1.4965277777777779E-2</v>
      </c>
      <c r="C7457" t="s">
        <v>10946</v>
      </c>
      <c r="D7457" t="s">
        <v>23</v>
      </c>
      <c r="E7457" t="s">
        <v>24</v>
      </c>
      <c r="F7457" t="s">
        <v>3228</v>
      </c>
      <c r="G7457">
        <v>1115640</v>
      </c>
      <c r="H7457" t="s">
        <v>26</v>
      </c>
      <c r="I7457" t="s">
        <v>3229</v>
      </c>
      <c r="J7457" t="str">
        <f t="shared" si="45"/>
        <v>9781118419090</v>
      </c>
      <c r="K7457" t="s">
        <v>278</v>
      </c>
      <c r="L7457">
        <v>21</v>
      </c>
      <c r="O7457" t="s">
        <v>30</v>
      </c>
      <c r="P7457" t="s">
        <v>42</v>
      </c>
      <c r="S7457" t="s">
        <v>31</v>
      </c>
      <c r="T7457" t="s">
        <v>3231</v>
      </c>
      <c r="U7457">
        <v>624</v>
      </c>
      <c r="V7457" s="3">
        <v>41296</v>
      </c>
    </row>
    <row r="7458" spans="1:22" x14ac:dyDescent="0.35">
      <c r="A7458" s="1">
        <v>42272.043043981481</v>
      </c>
      <c r="B7458" s="2">
        <v>0.1219675925925926</v>
      </c>
      <c r="C7458" t="s">
        <v>10954</v>
      </c>
      <c r="D7458" t="s">
        <v>23</v>
      </c>
      <c r="E7458" t="s">
        <v>24</v>
      </c>
      <c r="F7458" t="s">
        <v>3228</v>
      </c>
      <c r="G7458">
        <v>1115640</v>
      </c>
      <c r="H7458" t="s">
        <v>26</v>
      </c>
      <c r="I7458" t="s">
        <v>3229</v>
      </c>
      <c r="J7458" t="str">
        <f t="shared" si="45"/>
        <v>9781118419090</v>
      </c>
      <c r="K7458" t="s">
        <v>11053</v>
      </c>
      <c r="L7458">
        <v>69</v>
      </c>
      <c r="O7458" t="s">
        <v>30</v>
      </c>
      <c r="P7458" t="s">
        <v>29</v>
      </c>
      <c r="Q7458" s="1">
        <v>42271.042303240742</v>
      </c>
      <c r="R7458">
        <v>7</v>
      </c>
      <c r="S7458" t="s">
        <v>31</v>
      </c>
      <c r="T7458" t="s">
        <v>3231</v>
      </c>
      <c r="U7458">
        <v>624</v>
      </c>
      <c r="V7458" s="3">
        <v>41296</v>
      </c>
    </row>
    <row r="7459" spans="1:22" x14ac:dyDescent="0.35">
      <c r="A7459" s="1">
        <v>42272.039849537039</v>
      </c>
      <c r="B7459" s="2">
        <v>3.1400462962962963E-2</v>
      </c>
      <c r="C7459" t="s">
        <v>5315</v>
      </c>
      <c r="D7459" t="s">
        <v>23</v>
      </c>
      <c r="E7459" t="s">
        <v>24</v>
      </c>
      <c r="F7459" t="s">
        <v>3228</v>
      </c>
      <c r="G7459">
        <v>1115640</v>
      </c>
      <c r="H7459" t="s">
        <v>26</v>
      </c>
      <c r="I7459" t="s">
        <v>3229</v>
      </c>
      <c r="J7459" t="str">
        <f t="shared" si="45"/>
        <v>9781118419090</v>
      </c>
      <c r="K7459" t="s">
        <v>2585</v>
      </c>
      <c r="L7459">
        <v>7</v>
      </c>
      <c r="O7459" t="s">
        <v>30</v>
      </c>
      <c r="P7459" t="s">
        <v>29</v>
      </c>
      <c r="Q7459" s="1">
        <v>42272.039849537039</v>
      </c>
      <c r="R7459">
        <v>7</v>
      </c>
      <c r="S7459" t="s">
        <v>31</v>
      </c>
      <c r="T7459" t="s">
        <v>3231</v>
      </c>
      <c r="U7459">
        <v>624</v>
      </c>
      <c r="V7459" s="3">
        <v>41296</v>
      </c>
    </row>
    <row r="7460" spans="1:22" x14ac:dyDescent="0.35">
      <c r="A7460" s="1">
        <v>42272.038113425922</v>
      </c>
      <c r="B7460" s="2">
        <v>6.3657407407407402E-4</v>
      </c>
      <c r="C7460" t="s">
        <v>10940</v>
      </c>
      <c r="D7460" t="s">
        <v>23</v>
      </c>
      <c r="E7460" t="s">
        <v>24</v>
      </c>
      <c r="F7460" t="s">
        <v>3228</v>
      </c>
      <c r="G7460">
        <v>1115640</v>
      </c>
      <c r="H7460" t="s">
        <v>26</v>
      </c>
      <c r="I7460" t="s">
        <v>3229</v>
      </c>
      <c r="J7460" t="str">
        <f t="shared" si="45"/>
        <v>9781118419090</v>
      </c>
      <c r="K7460" t="s">
        <v>11054</v>
      </c>
      <c r="L7460">
        <v>28</v>
      </c>
      <c r="O7460" t="s">
        <v>30</v>
      </c>
      <c r="P7460" t="s">
        <v>29</v>
      </c>
      <c r="Q7460" s="1">
        <v>42271.009884259256</v>
      </c>
      <c r="R7460">
        <v>7</v>
      </c>
      <c r="S7460" t="s">
        <v>31</v>
      </c>
      <c r="T7460" t="s">
        <v>3231</v>
      </c>
      <c r="U7460">
        <v>624</v>
      </c>
      <c r="V7460" s="3">
        <v>41296</v>
      </c>
    </row>
    <row r="7461" spans="1:22" x14ac:dyDescent="0.35">
      <c r="A7461" s="1">
        <v>42272.033402777779</v>
      </c>
      <c r="B7461" s="2">
        <v>1.7152777777777777E-2</v>
      </c>
      <c r="C7461" t="s">
        <v>11055</v>
      </c>
      <c r="D7461" t="s">
        <v>23</v>
      </c>
      <c r="E7461" t="s">
        <v>24</v>
      </c>
      <c r="F7461" t="s">
        <v>3228</v>
      </c>
      <c r="G7461">
        <v>1115640</v>
      </c>
      <c r="H7461" t="s">
        <v>26</v>
      </c>
      <c r="I7461" t="s">
        <v>3229</v>
      </c>
      <c r="J7461" t="str">
        <f t="shared" si="45"/>
        <v>9781118419090</v>
      </c>
      <c r="K7461" t="s">
        <v>11056</v>
      </c>
      <c r="L7461">
        <v>62</v>
      </c>
      <c r="O7461" t="s">
        <v>30</v>
      </c>
      <c r="P7461" t="s">
        <v>29</v>
      </c>
      <c r="Q7461" s="1">
        <v>42272.033402777779</v>
      </c>
      <c r="R7461">
        <v>7</v>
      </c>
      <c r="S7461" t="s">
        <v>31</v>
      </c>
      <c r="T7461" t="s">
        <v>3231</v>
      </c>
      <c r="U7461">
        <v>624</v>
      </c>
      <c r="V7461" s="3">
        <v>41296</v>
      </c>
    </row>
    <row r="7462" spans="1:22" x14ac:dyDescent="0.35">
      <c r="A7462" s="1">
        <v>42272.026446759257</v>
      </c>
      <c r="B7462" s="2">
        <v>6.5601851851851856E-2</v>
      </c>
      <c r="C7462" t="s">
        <v>106</v>
      </c>
      <c r="D7462" t="s">
        <v>23</v>
      </c>
      <c r="E7462" t="s">
        <v>24</v>
      </c>
      <c r="F7462" t="s">
        <v>3228</v>
      </c>
      <c r="G7462">
        <v>1115640</v>
      </c>
      <c r="H7462" t="s">
        <v>26</v>
      </c>
      <c r="I7462" t="s">
        <v>3229</v>
      </c>
      <c r="J7462" t="str">
        <f t="shared" si="45"/>
        <v>9781118419090</v>
      </c>
      <c r="K7462" t="s">
        <v>11057</v>
      </c>
      <c r="L7462">
        <v>47</v>
      </c>
      <c r="O7462" t="s">
        <v>30</v>
      </c>
      <c r="P7462" t="s">
        <v>29</v>
      </c>
      <c r="Q7462" s="1">
        <v>42265.564884259256</v>
      </c>
      <c r="R7462">
        <v>7</v>
      </c>
      <c r="S7462" t="s">
        <v>31</v>
      </c>
      <c r="T7462" t="s">
        <v>3231</v>
      </c>
      <c r="U7462">
        <v>624</v>
      </c>
      <c r="V7462" s="3">
        <v>41296</v>
      </c>
    </row>
    <row r="7463" spans="1:22" x14ac:dyDescent="0.35">
      <c r="A7463" s="1">
        <v>42272.025636574072</v>
      </c>
      <c r="B7463" s="2">
        <v>3.9849537037037037E-2</v>
      </c>
      <c r="C7463" t="s">
        <v>2407</v>
      </c>
      <c r="D7463" t="s">
        <v>23</v>
      </c>
      <c r="E7463" t="s">
        <v>24</v>
      </c>
      <c r="F7463" t="s">
        <v>3228</v>
      </c>
      <c r="G7463">
        <v>1115640</v>
      </c>
      <c r="H7463" t="s">
        <v>26</v>
      </c>
      <c r="I7463" t="s">
        <v>3229</v>
      </c>
      <c r="J7463" t="str">
        <f t="shared" si="45"/>
        <v>9781118419090</v>
      </c>
      <c r="K7463" t="s">
        <v>11058</v>
      </c>
      <c r="L7463">
        <v>21</v>
      </c>
      <c r="O7463" t="s">
        <v>30</v>
      </c>
      <c r="P7463" t="s">
        <v>42</v>
      </c>
      <c r="S7463" t="s">
        <v>31</v>
      </c>
      <c r="T7463" t="s">
        <v>3231</v>
      </c>
      <c r="U7463">
        <v>624</v>
      </c>
      <c r="V7463" s="3">
        <v>41296</v>
      </c>
    </row>
    <row r="7464" spans="1:22" x14ac:dyDescent="0.35">
      <c r="A7464" s="1">
        <v>42272.025370370371</v>
      </c>
      <c r="B7464" s="2">
        <v>8.0324074074074065E-3</v>
      </c>
      <c r="C7464" t="s">
        <v>11055</v>
      </c>
      <c r="D7464" t="s">
        <v>23</v>
      </c>
      <c r="E7464" t="s">
        <v>24</v>
      </c>
      <c r="F7464" t="s">
        <v>3228</v>
      </c>
      <c r="G7464">
        <v>1115640</v>
      </c>
      <c r="H7464" t="s">
        <v>26</v>
      </c>
      <c r="I7464" t="s">
        <v>3229</v>
      </c>
      <c r="J7464" t="str">
        <f t="shared" si="45"/>
        <v>9781118419090</v>
      </c>
      <c r="K7464" t="s">
        <v>11059</v>
      </c>
      <c r="L7464">
        <v>13</v>
      </c>
      <c r="O7464" t="s">
        <v>30</v>
      </c>
      <c r="P7464" t="s">
        <v>42</v>
      </c>
      <c r="S7464" t="s">
        <v>31</v>
      </c>
      <c r="T7464" t="s">
        <v>3231</v>
      </c>
      <c r="U7464">
        <v>624</v>
      </c>
      <c r="V7464" s="3">
        <v>41296</v>
      </c>
    </row>
    <row r="7465" spans="1:22" x14ac:dyDescent="0.35">
      <c r="A7465" s="1">
        <v>42272.025254629632</v>
      </c>
      <c r="B7465" s="2">
        <v>9.0277777777777784E-4</v>
      </c>
      <c r="C7465" t="s">
        <v>106</v>
      </c>
      <c r="D7465" t="s">
        <v>23</v>
      </c>
      <c r="E7465" t="s">
        <v>24</v>
      </c>
      <c r="F7465" t="s">
        <v>3228</v>
      </c>
      <c r="G7465">
        <v>1115640</v>
      </c>
      <c r="H7465" t="s">
        <v>26</v>
      </c>
      <c r="I7465" t="s">
        <v>3229</v>
      </c>
      <c r="J7465" t="str">
        <f t="shared" si="45"/>
        <v>9781118419090</v>
      </c>
      <c r="K7465" t="s">
        <v>11060</v>
      </c>
      <c r="L7465">
        <v>30</v>
      </c>
      <c r="O7465" t="s">
        <v>30</v>
      </c>
      <c r="P7465" t="s">
        <v>29</v>
      </c>
      <c r="Q7465" s="1">
        <v>42265.564884259256</v>
      </c>
      <c r="R7465">
        <v>7</v>
      </c>
      <c r="S7465" t="s">
        <v>31</v>
      </c>
      <c r="T7465" t="s">
        <v>3231</v>
      </c>
      <c r="U7465">
        <v>624</v>
      </c>
      <c r="V7465" s="3">
        <v>41296</v>
      </c>
    </row>
    <row r="7466" spans="1:22" x14ac:dyDescent="0.35">
      <c r="A7466" s="1">
        <v>42272.020879629628</v>
      </c>
      <c r="B7466" s="2">
        <v>5.0150462962962966E-2</v>
      </c>
      <c r="C7466" t="s">
        <v>11045</v>
      </c>
      <c r="D7466" t="s">
        <v>23</v>
      </c>
      <c r="E7466" t="s">
        <v>24</v>
      </c>
      <c r="F7466" t="s">
        <v>3228</v>
      </c>
      <c r="G7466">
        <v>1115640</v>
      </c>
      <c r="H7466" t="s">
        <v>26</v>
      </c>
      <c r="I7466" t="s">
        <v>3229</v>
      </c>
      <c r="J7466" t="str">
        <f t="shared" si="45"/>
        <v>9781118419090</v>
      </c>
      <c r="K7466" t="s">
        <v>11061</v>
      </c>
      <c r="L7466">
        <v>17</v>
      </c>
      <c r="O7466" t="s">
        <v>30</v>
      </c>
      <c r="P7466" t="s">
        <v>42</v>
      </c>
      <c r="S7466" t="s">
        <v>31</v>
      </c>
      <c r="T7466" t="s">
        <v>3231</v>
      </c>
      <c r="U7466">
        <v>624</v>
      </c>
      <c r="V7466" s="3">
        <v>41296</v>
      </c>
    </row>
    <row r="7467" spans="1:22" x14ac:dyDescent="0.35">
      <c r="A7467" s="1">
        <v>42272.017858796295</v>
      </c>
      <c r="B7467" s="2">
        <v>2.1990740740740741E-2</v>
      </c>
      <c r="C7467" t="s">
        <v>5315</v>
      </c>
      <c r="D7467" t="s">
        <v>23</v>
      </c>
      <c r="E7467" t="s">
        <v>24</v>
      </c>
      <c r="F7467" t="s">
        <v>3228</v>
      </c>
      <c r="G7467">
        <v>1115640</v>
      </c>
      <c r="H7467" t="s">
        <v>26</v>
      </c>
      <c r="I7467" t="s">
        <v>3229</v>
      </c>
      <c r="J7467" t="str">
        <f t="shared" si="45"/>
        <v>9781118419090</v>
      </c>
      <c r="K7467" t="s">
        <v>11062</v>
      </c>
      <c r="L7467">
        <v>19</v>
      </c>
      <c r="O7467" t="s">
        <v>30</v>
      </c>
      <c r="P7467" t="s">
        <v>42</v>
      </c>
      <c r="S7467" t="s">
        <v>31</v>
      </c>
      <c r="T7467" t="s">
        <v>3231</v>
      </c>
      <c r="U7467">
        <v>624</v>
      </c>
      <c r="V7467" s="3">
        <v>41296</v>
      </c>
    </row>
    <row r="7468" spans="1:22" x14ac:dyDescent="0.35">
      <c r="A7468" s="1">
        <v>42272.015451388892</v>
      </c>
      <c r="B7468" s="2">
        <v>6.3009259259259265E-2</v>
      </c>
      <c r="C7468" t="s">
        <v>11063</v>
      </c>
      <c r="D7468" t="s">
        <v>23</v>
      </c>
      <c r="E7468" t="s">
        <v>24</v>
      </c>
      <c r="F7468" t="s">
        <v>3228</v>
      </c>
      <c r="G7468">
        <v>1115640</v>
      </c>
      <c r="H7468" t="s">
        <v>26</v>
      </c>
      <c r="I7468" t="s">
        <v>3229</v>
      </c>
      <c r="J7468" t="str">
        <f t="shared" si="45"/>
        <v>9781118419090</v>
      </c>
      <c r="K7468" t="s">
        <v>11064</v>
      </c>
      <c r="L7468">
        <v>55</v>
      </c>
      <c r="O7468" t="s">
        <v>30</v>
      </c>
      <c r="P7468" t="s">
        <v>29</v>
      </c>
      <c r="Q7468" s="1">
        <v>42272.015451388892</v>
      </c>
      <c r="R7468">
        <v>7</v>
      </c>
      <c r="S7468" t="s">
        <v>31</v>
      </c>
      <c r="T7468" t="s">
        <v>3231</v>
      </c>
      <c r="U7468">
        <v>624</v>
      </c>
      <c r="V7468" s="3">
        <v>41296</v>
      </c>
    </row>
    <row r="7469" spans="1:22" x14ac:dyDescent="0.35">
      <c r="A7469" s="1">
        <v>42272.008553240739</v>
      </c>
      <c r="B7469" s="2">
        <v>6.8981481481481489E-3</v>
      </c>
      <c r="C7469" t="s">
        <v>11063</v>
      </c>
      <c r="D7469" t="s">
        <v>23</v>
      </c>
      <c r="E7469" t="s">
        <v>24</v>
      </c>
      <c r="F7469" t="s">
        <v>3228</v>
      </c>
      <c r="G7469">
        <v>1115640</v>
      </c>
      <c r="H7469" t="s">
        <v>26</v>
      </c>
      <c r="I7469" t="s">
        <v>3229</v>
      </c>
      <c r="J7469" t="str">
        <f t="shared" si="45"/>
        <v>9781118419090</v>
      </c>
      <c r="K7469" t="s">
        <v>11065</v>
      </c>
      <c r="L7469">
        <v>27</v>
      </c>
      <c r="O7469" t="s">
        <v>30</v>
      </c>
      <c r="P7469" t="s">
        <v>42</v>
      </c>
      <c r="S7469" t="s">
        <v>31</v>
      </c>
      <c r="T7469" t="s">
        <v>3231</v>
      </c>
      <c r="U7469">
        <v>624</v>
      </c>
      <c r="V7469" s="3">
        <v>41296</v>
      </c>
    </row>
    <row r="7470" spans="1:22" x14ac:dyDescent="0.35">
      <c r="A7470" s="1">
        <v>42272.005833333336</v>
      </c>
      <c r="B7470" s="2">
        <v>0.11672453703703704</v>
      </c>
      <c r="C7470" t="s">
        <v>10985</v>
      </c>
      <c r="D7470" t="s">
        <v>23</v>
      </c>
      <c r="E7470" t="s">
        <v>24</v>
      </c>
      <c r="F7470" t="s">
        <v>3228</v>
      </c>
      <c r="G7470">
        <v>1115640</v>
      </c>
      <c r="H7470" t="s">
        <v>26</v>
      </c>
      <c r="I7470" t="s">
        <v>3229</v>
      </c>
      <c r="J7470" t="str">
        <f t="shared" si="45"/>
        <v>9781118419090</v>
      </c>
      <c r="K7470" t="s">
        <v>11066</v>
      </c>
      <c r="L7470">
        <v>28</v>
      </c>
      <c r="O7470" t="s">
        <v>30</v>
      </c>
      <c r="P7470" t="s">
        <v>29</v>
      </c>
      <c r="Q7470" s="1">
        <v>42272.005833333336</v>
      </c>
      <c r="R7470">
        <v>7</v>
      </c>
      <c r="S7470" t="s">
        <v>31</v>
      </c>
      <c r="T7470" t="s">
        <v>3231</v>
      </c>
      <c r="U7470">
        <v>624</v>
      </c>
      <c r="V7470" s="3">
        <v>41296</v>
      </c>
    </row>
    <row r="7471" spans="1:22" x14ac:dyDescent="0.35">
      <c r="A7471" s="1">
        <v>42271.993159722224</v>
      </c>
      <c r="B7471" s="2">
        <v>1.2673611111111109E-2</v>
      </c>
      <c r="C7471" t="s">
        <v>10985</v>
      </c>
      <c r="D7471" t="s">
        <v>23</v>
      </c>
      <c r="E7471" t="s">
        <v>24</v>
      </c>
      <c r="F7471" t="s">
        <v>3228</v>
      </c>
      <c r="G7471">
        <v>1115640</v>
      </c>
      <c r="H7471" t="s">
        <v>26</v>
      </c>
      <c r="I7471" t="s">
        <v>3229</v>
      </c>
      <c r="J7471" t="str">
        <f t="shared" si="45"/>
        <v>9781118419090</v>
      </c>
      <c r="K7471" t="s">
        <v>1073</v>
      </c>
      <c r="L7471">
        <v>25</v>
      </c>
      <c r="O7471" t="s">
        <v>30</v>
      </c>
      <c r="P7471" t="s">
        <v>42</v>
      </c>
      <c r="S7471" t="s">
        <v>31</v>
      </c>
      <c r="T7471" t="s">
        <v>3231</v>
      </c>
      <c r="U7471">
        <v>624</v>
      </c>
      <c r="V7471" s="3">
        <v>41296</v>
      </c>
    </row>
    <row r="7472" spans="1:22" x14ac:dyDescent="0.35">
      <c r="A7472" s="1">
        <v>42271.980127314811</v>
      </c>
      <c r="B7472" s="2">
        <v>6.2500000000000001E-4</v>
      </c>
      <c r="C7472" t="s">
        <v>11067</v>
      </c>
      <c r="D7472" t="s">
        <v>23</v>
      </c>
      <c r="E7472" t="s">
        <v>24</v>
      </c>
      <c r="F7472" t="s">
        <v>3228</v>
      </c>
      <c r="G7472">
        <v>1115640</v>
      </c>
      <c r="H7472" t="s">
        <v>26</v>
      </c>
      <c r="I7472" t="s">
        <v>3229</v>
      </c>
      <c r="J7472" t="str">
        <f t="shared" si="45"/>
        <v>9781118419090</v>
      </c>
      <c r="K7472" t="s">
        <v>209</v>
      </c>
      <c r="L7472">
        <v>4</v>
      </c>
      <c r="M7472" t="s">
        <v>105</v>
      </c>
      <c r="O7472" t="s">
        <v>30</v>
      </c>
      <c r="P7472" t="s">
        <v>29</v>
      </c>
      <c r="Q7472" s="1">
        <v>42271.177361111113</v>
      </c>
      <c r="R7472">
        <v>7</v>
      </c>
      <c r="S7472" t="s">
        <v>31</v>
      </c>
      <c r="T7472" t="s">
        <v>3231</v>
      </c>
      <c r="U7472">
        <v>624</v>
      </c>
      <c r="V7472" s="3">
        <v>41296</v>
      </c>
    </row>
    <row r="7473" spans="1:22" x14ac:dyDescent="0.35">
      <c r="A7473" s="1">
        <v>42271.974560185183</v>
      </c>
      <c r="B7473" s="2">
        <v>3.2986111111111111E-3</v>
      </c>
      <c r="C7473" t="s">
        <v>6410</v>
      </c>
      <c r="D7473" t="s">
        <v>23</v>
      </c>
      <c r="E7473" t="s">
        <v>24</v>
      </c>
      <c r="F7473" t="s">
        <v>9918</v>
      </c>
      <c r="G7473">
        <v>1790819</v>
      </c>
      <c r="H7473" t="s">
        <v>526</v>
      </c>
      <c r="I7473" t="s">
        <v>426</v>
      </c>
      <c r="J7473" t="str">
        <f>"9780226169095"</f>
        <v>9780226169095</v>
      </c>
      <c r="K7473" t="s">
        <v>11068</v>
      </c>
      <c r="L7473">
        <v>32</v>
      </c>
      <c r="O7473" t="s">
        <v>30</v>
      </c>
      <c r="P7473" t="s">
        <v>42</v>
      </c>
      <c r="S7473" t="s">
        <v>31</v>
      </c>
      <c r="T7473" t="s">
        <v>9920</v>
      </c>
      <c r="U7473" t="s">
        <v>9921</v>
      </c>
      <c r="V7473" s="3">
        <v>41932</v>
      </c>
    </row>
    <row r="7474" spans="1:22" x14ac:dyDescent="0.35">
      <c r="A7474" s="1">
        <v>42271.96162037037</v>
      </c>
      <c r="B7474" s="2">
        <v>9.4629629629629619E-2</v>
      </c>
      <c r="C7474" t="s">
        <v>11069</v>
      </c>
      <c r="D7474" t="s">
        <v>23</v>
      </c>
      <c r="E7474" t="s">
        <v>24</v>
      </c>
      <c r="F7474" t="s">
        <v>3228</v>
      </c>
      <c r="G7474">
        <v>1115640</v>
      </c>
      <c r="H7474" t="s">
        <v>26</v>
      </c>
      <c r="I7474" t="s">
        <v>3229</v>
      </c>
      <c r="J7474" t="str">
        <f t="shared" ref="J7474:J7483" si="46">"9781118419090"</f>
        <v>9781118419090</v>
      </c>
      <c r="K7474" t="s">
        <v>11070</v>
      </c>
      <c r="L7474">
        <v>65</v>
      </c>
      <c r="O7474" t="s">
        <v>30</v>
      </c>
      <c r="P7474" t="s">
        <v>29</v>
      </c>
      <c r="Q7474" s="1">
        <v>42271.96162037037</v>
      </c>
      <c r="R7474">
        <v>7</v>
      </c>
      <c r="S7474" t="s">
        <v>31</v>
      </c>
      <c r="T7474" t="s">
        <v>3231</v>
      </c>
      <c r="U7474">
        <v>624</v>
      </c>
      <c r="V7474" s="3">
        <v>41296</v>
      </c>
    </row>
    <row r="7475" spans="1:22" x14ac:dyDescent="0.35">
      <c r="A7475" s="1">
        <v>42271.953356481485</v>
      </c>
      <c r="B7475" s="2">
        <v>8.2638888888888883E-3</v>
      </c>
      <c r="C7475" t="s">
        <v>11069</v>
      </c>
      <c r="D7475" t="s">
        <v>23</v>
      </c>
      <c r="E7475" t="s">
        <v>24</v>
      </c>
      <c r="F7475" t="s">
        <v>3228</v>
      </c>
      <c r="G7475">
        <v>1115640</v>
      </c>
      <c r="H7475" t="s">
        <v>26</v>
      </c>
      <c r="I7475" t="s">
        <v>3229</v>
      </c>
      <c r="J7475" t="str">
        <f t="shared" si="46"/>
        <v>9781118419090</v>
      </c>
      <c r="K7475" t="s">
        <v>1073</v>
      </c>
      <c r="L7475">
        <v>25</v>
      </c>
      <c r="O7475" t="s">
        <v>30</v>
      </c>
      <c r="P7475" t="s">
        <v>42</v>
      </c>
      <c r="S7475" t="s">
        <v>31</v>
      </c>
      <c r="T7475" t="s">
        <v>3231</v>
      </c>
      <c r="U7475">
        <v>624</v>
      </c>
      <c r="V7475" s="3">
        <v>41296</v>
      </c>
    </row>
    <row r="7476" spans="1:22" x14ac:dyDescent="0.35">
      <c r="A7476" s="1">
        <v>42271.924745370372</v>
      </c>
      <c r="B7476" s="2">
        <v>7.3807870370370371E-2</v>
      </c>
      <c r="C7476" t="s">
        <v>11071</v>
      </c>
      <c r="D7476" t="s">
        <v>23</v>
      </c>
      <c r="E7476" t="s">
        <v>24</v>
      </c>
      <c r="F7476" t="s">
        <v>3228</v>
      </c>
      <c r="G7476">
        <v>1115640</v>
      </c>
      <c r="H7476" t="s">
        <v>26</v>
      </c>
      <c r="I7476" t="s">
        <v>3229</v>
      </c>
      <c r="J7476" t="str">
        <f t="shared" si="46"/>
        <v>9781118419090</v>
      </c>
      <c r="K7476" t="s">
        <v>11072</v>
      </c>
      <c r="L7476">
        <v>9</v>
      </c>
      <c r="O7476" t="s">
        <v>30</v>
      </c>
      <c r="P7476" t="s">
        <v>29</v>
      </c>
      <c r="Q7476" s="1">
        <v>42271.924745370372</v>
      </c>
      <c r="R7476">
        <v>7</v>
      </c>
      <c r="S7476" t="s">
        <v>31</v>
      </c>
      <c r="T7476" t="s">
        <v>3231</v>
      </c>
      <c r="U7476">
        <v>624</v>
      </c>
      <c r="V7476" s="3">
        <v>41296</v>
      </c>
    </row>
    <row r="7477" spans="1:22" x14ac:dyDescent="0.35">
      <c r="A7477" s="1">
        <v>42271.923506944448</v>
      </c>
      <c r="B7477" s="2">
        <v>1.0416666666666667E-3</v>
      </c>
      <c r="C7477" t="s">
        <v>11073</v>
      </c>
      <c r="D7477" t="s">
        <v>23</v>
      </c>
      <c r="E7477" t="s">
        <v>24</v>
      </c>
      <c r="F7477" t="s">
        <v>3228</v>
      </c>
      <c r="G7477">
        <v>1115640</v>
      </c>
      <c r="H7477" t="s">
        <v>26</v>
      </c>
      <c r="I7477" t="s">
        <v>3229</v>
      </c>
      <c r="J7477" t="str">
        <f t="shared" si="46"/>
        <v>9781118419090</v>
      </c>
      <c r="K7477" t="s">
        <v>11074</v>
      </c>
      <c r="L7477">
        <v>20</v>
      </c>
      <c r="O7477" t="s">
        <v>30</v>
      </c>
      <c r="P7477" t="s">
        <v>42</v>
      </c>
      <c r="S7477" t="s">
        <v>31</v>
      </c>
      <c r="T7477" t="s">
        <v>3231</v>
      </c>
      <c r="U7477">
        <v>624</v>
      </c>
      <c r="V7477" s="3">
        <v>41296</v>
      </c>
    </row>
    <row r="7478" spans="1:22" x14ac:dyDescent="0.35">
      <c r="A7478" s="1">
        <v>42271.913229166668</v>
      </c>
      <c r="B7478" s="2">
        <v>2.7592592592592596E-2</v>
      </c>
      <c r="C7478" t="s">
        <v>10954</v>
      </c>
      <c r="D7478" t="s">
        <v>23</v>
      </c>
      <c r="E7478" t="s">
        <v>24</v>
      </c>
      <c r="F7478" t="s">
        <v>3228</v>
      </c>
      <c r="G7478">
        <v>1115640</v>
      </c>
      <c r="H7478" t="s">
        <v>26</v>
      </c>
      <c r="I7478" t="s">
        <v>3229</v>
      </c>
      <c r="J7478" t="str">
        <f t="shared" si="46"/>
        <v>9781118419090</v>
      </c>
      <c r="K7478" t="s">
        <v>2322</v>
      </c>
      <c r="L7478">
        <v>23</v>
      </c>
      <c r="O7478" t="s">
        <v>30</v>
      </c>
      <c r="P7478" t="s">
        <v>29</v>
      </c>
      <c r="Q7478" s="1">
        <v>42271.042303240742</v>
      </c>
      <c r="R7478">
        <v>7</v>
      </c>
      <c r="S7478" t="s">
        <v>31</v>
      </c>
      <c r="T7478" t="s">
        <v>3231</v>
      </c>
      <c r="U7478">
        <v>624</v>
      </c>
      <c r="V7478" s="3">
        <v>41296</v>
      </c>
    </row>
    <row r="7479" spans="1:22" x14ac:dyDescent="0.35">
      <c r="A7479" s="1">
        <v>42271.909849537034</v>
      </c>
      <c r="B7479" s="2">
        <v>2.685185185185185E-3</v>
      </c>
      <c r="C7479" t="s">
        <v>106</v>
      </c>
      <c r="D7479" t="s">
        <v>23</v>
      </c>
      <c r="E7479" t="s">
        <v>24</v>
      </c>
      <c r="F7479" t="s">
        <v>3228</v>
      </c>
      <c r="G7479">
        <v>1115640</v>
      </c>
      <c r="H7479" t="s">
        <v>26</v>
      </c>
      <c r="I7479" t="s">
        <v>3229</v>
      </c>
      <c r="J7479" t="str">
        <f t="shared" si="46"/>
        <v>9781118419090</v>
      </c>
      <c r="K7479" t="s">
        <v>11075</v>
      </c>
      <c r="L7479">
        <v>20</v>
      </c>
      <c r="O7479" t="s">
        <v>30</v>
      </c>
      <c r="P7479" t="s">
        <v>29</v>
      </c>
      <c r="Q7479" s="1">
        <v>42265.564884259256</v>
      </c>
      <c r="R7479">
        <v>7</v>
      </c>
      <c r="S7479" t="s">
        <v>31</v>
      </c>
      <c r="T7479" t="s">
        <v>3231</v>
      </c>
      <c r="U7479">
        <v>624</v>
      </c>
      <c r="V7479" s="3">
        <v>41296</v>
      </c>
    </row>
    <row r="7480" spans="1:22" x14ac:dyDescent="0.35">
      <c r="A7480" s="1">
        <v>42271.905578703707</v>
      </c>
      <c r="B7480" s="2">
        <v>1.9166666666666669E-2</v>
      </c>
      <c r="C7480" t="s">
        <v>11071</v>
      </c>
      <c r="D7480" t="s">
        <v>23</v>
      </c>
      <c r="E7480" t="s">
        <v>24</v>
      </c>
      <c r="F7480" t="s">
        <v>3228</v>
      </c>
      <c r="G7480">
        <v>1115640</v>
      </c>
      <c r="H7480" t="s">
        <v>26</v>
      </c>
      <c r="I7480" t="s">
        <v>3229</v>
      </c>
      <c r="J7480" t="str">
        <f t="shared" si="46"/>
        <v>9781118419090</v>
      </c>
      <c r="K7480" t="s">
        <v>11076</v>
      </c>
      <c r="L7480">
        <v>34</v>
      </c>
      <c r="O7480" t="s">
        <v>30</v>
      </c>
      <c r="P7480" t="s">
        <v>42</v>
      </c>
      <c r="S7480" t="s">
        <v>31</v>
      </c>
      <c r="T7480" t="s">
        <v>3231</v>
      </c>
      <c r="U7480">
        <v>624</v>
      </c>
      <c r="V7480" s="3">
        <v>41296</v>
      </c>
    </row>
    <row r="7481" spans="1:22" x14ac:dyDescent="0.35">
      <c r="A7481" s="1">
        <v>42271.904537037037</v>
      </c>
      <c r="B7481" s="2">
        <v>0.10305555555555555</v>
      </c>
      <c r="C7481" t="s">
        <v>106</v>
      </c>
      <c r="D7481" t="s">
        <v>23</v>
      </c>
      <c r="E7481" t="s">
        <v>24</v>
      </c>
      <c r="F7481" t="s">
        <v>3228</v>
      </c>
      <c r="G7481">
        <v>1115640</v>
      </c>
      <c r="H7481" t="s">
        <v>26</v>
      </c>
      <c r="I7481" t="s">
        <v>3229</v>
      </c>
      <c r="J7481" t="str">
        <f t="shared" si="46"/>
        <v>9781118419090</v>
      </c>
      <c r="K7481" t="s">
        <v>11077</v>
      </c>
      <c r="L7481">
        <v>28</v>
      </c>
      <c r="O7481" t="s">
        <v>30</v>
      </c>
      <c r="P7481" t="s">
        <v>29</v>
      </c>
      <c r="Q7481" s="1">
        <v>42265.564884259256</v>
      </c>
      <c r="R7481">
        <v>7</v>
      </c>
      <c r="S7481" t="s">
        <v>31</v>
      </c>
      <c r="T7481" t="s">
        <v>3231</v>
      </c>
      <c r="U7481">
        <v>624</v>
      </c>
      <c r="V7481" s="3">
        <v>41296</v>
      </c>
    </row>
    <row r="7482" spans="1:22" x14ac:dyDescent="0.35">
      <c r="A7482" s="1">
        <v>42271.900324074071</v>
      </c>
      <c r="B7482" s="2">
        <v>7.5231481481481471E-4</v>
      </c>
      <c r="C7482" t="s">
        <v>11078</v>
      </c>
      <c r="D7482" t="s">
        <v>23</v>
      </c>
      <c r="E7482" t="s">
        <v>24</v>
      </c>
      <c r="F7482" t="s">
        <v>3228</v>
      </c>
      <c r="G7482">
        <v>1115640</v>
      </c>
      <c r="H7482" t="s">
        <v>26</v>
      </c>
      <c r="I7482" t="s">
        <v>3229</v>
      </c>
      <c r="J7482" t="str">
        <f t="shared" si="46"/>
        <v>9781118419090</v>
      </c>
      <c r="K7482" t="s">
        <v>443</v>
      </c>
      <c r="L7482">
        <v>19</v>
      </c>
      <c r="O7482" t="s">
        <v>30</v>
      </c>
      <c r="P7482" t="s">
        <v>42</v>
      </c>
      <c r="S7482" t="s">
        <v>31</v>
      </c>
      <c r="T7482" t="s">
        <v>3231</v>
      </c>
      <c r="U7482">
        <v>624</v>
      </c>
      <c r="V7482" s="3">
        <v>41296</v>
      </c>
    </row>
    <row r="7483" spans="1:22" x14ac:dyDescent="0.35">
      <c r="A7483" s="1">
        <v>42271.896053240744</v>
      </c>
      <c r="B7483" s="2">
        <v>4.7453703703703704E-4</v>
      </c>
      <c r="C7483" t="s">
        <v>11063</v>
      </c>
      <c r="D7483" t="s">
        <v>23</v>
      </c>
      <c r="E7483" t="s">
        <v>24</v>
      </c>
      <c r="F7483" t="s">
        <v>3228</v>
      </c>
      <c r="G7483">
        <v>1115640</v>
      </c>
      <c r="H7483" t="s">
        <v>26</v>
      </c>
      <c r="I7483" t="s">
        <v>3229</v>
      </c>
      <c r="J7483" t="str">
        <f t="shared" si="46"/>
        <v>9781118419090</v>
      </c>
      <c r="K7483" t="s">
        <v>1520</v>
      </c>
      <c r="L7483">
        <v>20</v>
      </c>
      <c r="O7483" t="s">
        <v>30</v>
      </c>
      <c r="P7483" t="s">
        <v>42</v>
      </c>
      <c r="S7483" t="s">
        <v>31</v>
      </c>
      <c r="T7483" t="s">
        <v>3231</v>
      </c>
      <c r="U7483">
        <v>624</v>
      </c>
      <c r="V7483" s="3">
        <v>41296</v>
      </c>
    </row>
    <row r="7484" spans="1:22" x14ac:dyDescent="0.35">
      <c r="A7484" s="1">
        <v>42271.892268518517</v>
      </c>
      <c r="B7484" s="2">
        <v>3.5185185185185185E-3</v>
      </c>
      <c r="C7484" t="s">
        <v>11079</v>
      </c>
      <c r="D7484" t="s">
        <v>23</v>
      </c>
      <c r="E7484" t="s">
        <v>24</v>
      </c>
      <c r="F7484" t="s">
        <v>11080</v>
      </c>
      <c r="G7484">
        <v>1661227</v>
      </c>
      <c r="H7484" t="s">
        <v>45</v>
      </c>
      <c r="I7484" t="s">
        <v>11081</v>
      </c>
      <c r="J7484" t="str">
        <f>"9781409450450"</f>
        <v>9781409450450</v>
      </c>
      <c r="K7484" t="s">
        <v>11082</v>
      </c>
      <c r="L7484">
        <v>7</v>
      </c>
      <c r="N7484" t="s">
        <v>11083</v>
      </c>
      <c r="O7484" t="s">
        <v>30</v>
      </c>
      <c r="P7484" t="s">
        <v>47</v>
      </c>
      <c r="Q7484" s="1">
        <v>42271.892268518517</v>
      </c>
      <c r="R7484">
        <v>1</v>
      </c>
      <c r="S7484" t="s">
        <v>31</v>
      </c>
      <c r="T7484" t="s">
        <v>11084</v>
      </c>
      <c r="U7484" t="s">
        <v>11085</v>
      </c>
      <c r="V7484" s="3">
        <v>41787</v>
      </c>
    </row>
    <row r="7485" spans="1:22" x14ac:dyDescent="0.35">
      <c r="A7485" s="1">
        <v>42271.8905787037</v>
      </c>
      <c r="B7485" s="2">
        <v>1.689814814814815E-3</v>
      </c>
      <c r="C7485" t="s">
        <v>11079</v>
      </c>
      <c r="D7485" t="s">
        <v>23</v>
      </c>
      <c r="E7485" t="s">
        <v>24</v>
      </c>
      <c r="F7485" t="s">
        <v>11080</v>
      </c>
      <c r="G7485">
        <v>1661227</v>
      </c>
      <c r="H7485" t="s">
        <v>45</v>
      </c>
      <c r="I7485" t="s">
        <v>11081</v>
      </c>
      <c r="J7485" t="str">
        <f>"9781409450450"</f>
        <v>9781409450450</v>
      </c>
      <c r="K7485" t="s">
        <v>11086</v>
      </c>
      <c r="L7485">
        <v>24</v>
      </c>
      <c r="O7485" t="s">
        <v>30</v>
      </c>
      <c r="P7485" t="s">
        <v>50</v>
      </c>
      <c r="S7485" t="s">
        <v>31</v>
      </c>
      <c r="T7485" t="s">
        <v>11084</v>
      </c>
      <c r="U7485" t="s">
        <v>11085</v>
      </c>
      <c r="V7485" s="3">
        <v>41787</v>
      </c>
    </row>
    <row r="7486" spans="1:22" x14ac:dyDescent="0.35">
      <c r="A7486" s="1">
        <v>42271.887199074074</v>
      </c>
      <c r="B7486" s="2">
        <v>1.1145833333333334E-2</v>
      </c>
      <c r="C7486" t="s">
        <v>10995</v>
      </c>
      <c r="D7486" t="s">
        <v>23</v>
      </c>
      <c r="E7486" t="s">
        <v>24</v>
      </c>
      <c r="F7486" t="s">
        <v>3228</v>
      </c>
      <c r="G7486">
        <v>1115640</v>
      </c>
      <c r="H7486" t="s">
        <v>26</v>
      </c>
      <c r="I7486" t="s">
        <v>3229</v>
      </c>
      <c r="J7486" t="str">
        <f>"9781118419090"</f>
        <v>9781118419090</v>
      </c>
      <c r="K7486" t="s">
        <v>11087</v>
      </c>
      <c r="L7486">
        <v>17</v>
      </c>
      <c r="O7486" t="s">
        <v>30</v>
      </c>
      <c r="P7486" t="s">
        <v>29</v>
      </c>
      <c r="Q7486" s="1">
        <v>42270.995648148149</v>
      </c>
      <c r="R7486">
        <v>7</v>
      </c>
      <c r="S7486" t="s">
        <v>31</v>
      </c>
      <c r="T7486" t="s">
        <v>3231</v>
      </c>
      <c r="U7486">
        <v>624</v>
      </c>
      <c r="V7486" s="3">
        <v>41296</v>
      </c>
    </row>
    <row r="7487" spans="1:22" x14ac:dyDescent="0.35">
      <c r="A7487" s="1">
        <v>42271.886736111112</v>
      </c>
      <c r="B7487" s="2">
        <v>0.10804398148148148</v>
      </c>
      <c r="C7487" t="s">
        <v>11011</v>
      </c>
      <c r="D7487" t="s">
        <v>23</v>
      </c>
      <c r="E7487" t="s">
        <v>24</v>
      </c>
      <c r="F7487" t="s">
        <v>3228</v>
      </c>
      <c r="G7487">
        <v>1115640</v>
      </c>
      <c r="H7487" t="s">
        <v>26</v>
      </c>
      <c r="I7487" t="s">
        <v>3229</v>
      </c>
      <c r="J7487" t="str">
        <f>"9781118419090"</f>
        <v>9781118419090</v>
      </c>
      <c r="K7487" t="s">
        <v>11088</v>
      </c>
      <c r="L7487">
        <v>37</v>
      </c>
      <c r="O7487" t="s">
        <v>30</v>
      </c>
      <c r="P7487" t="s">
        <v>29</v>
      </c>
      <c r="Q7487" s="1">
        <v>42271.610821759263</v>
      </c>
      <c r="R7487">
        <v>7</v>
      </c>
      <c r="S7487" t="s">
        <v>31</v>
      </c>
      <c r="T7487" t="s">
        <v>3231</v>
      </c>
      <c r="U7487">
        <v>624</v>
      </c>
      <c r="V7487" s="3">
        <v>41296</v>
      </c>
    </row>
    <row r="7488" spans="1:22" x14ac:dyDescent="0.35">
      <c r="A7488" s="1">
        <v>42271.88653935185</v>
      </c>
      <c r="B7488" s="2">
        <v>7.0254629629629634E-3</v>
      </c>
      <c r="C7488" t="s">
        <v>106</v>
      </c>
      <c r="D7488" t="s">
        <v>23</v>
      </c>
      <c r="E7488" t="s">
        <v>24</v>
      </c>
      <c r="F7488" t="s">
        <v>3228</v>
      </c>
      <c r="G7488">
        <v>1115640</v>
      </c>
      <c r="H7488" t="s">
        <v>26</v>
      </c>
      <c r="I7488" t="s">
        <v>3229</v>
      </c>
      <c r="J7488" t="str">
        <f>"9781118419090"</f>
        <v>9781118419090</v>
      </c>
      <c r="K7488" t="s">
        <v>11089</v>
      </c>
      <c r="L7488">
        <v>19</v>
      </c>
      <c r="O7488" t="s">
        <v>30</v>
      </c>
      <c r="P7488" t="s">
        <v>29</v>
      </c>
      <c r="Q7488" s="1">
        <v>42265.564884259256</v>
      </c>
      <c r="R7488">
        <v>7</v>
      </c>
      <c r="S7488" t="s">
        <v>31</v>
      </c>
      <c r="T7488" t="s">
        <v>3231</v>
      </c>
      <c r="U7488">
        <v>624</v>
      </c>
      <c r="V7488" s="3">
        <v>41296</v>
      </c>
    </row>
    <row r="7489" spans="1:22" x14ac:dyDescent="0.35">
      <c r="A7489" s="1">
        <v>42271.885995370372</v>
      </c>
      <c r="B7489" s="2">
        <v>1.1203703703703704E-2</v>
      </c>
      <c r="C7489" t="s">
        <v>11090</v>
      </c>
      <c r="D7489" t="s">
        <v>23</v>
      </c>
      <c r="E7489" t="s">
        <v>24</v>
      </c>
      <c r="F7489" t="s">
        <v>52</v>
      </c>
      <c r="G7489">
        <v>822040</v>
      </c>
      <c r="H7489" t="s">
        <v>26</v>
      </c>
      <c r="I7489" t="s">
        <v>53</v>
      </c>
      <c r="J7489" t="str">
        <f>"9781118289099"</f>
        <v>9781118289099</v>
      </c>
      <c r="K7489" t="s">
        <v>11091</v>
      </c>
      <c r="L7489">
        <v>11</v>
      </c>
      <c r="O7489" t="s">
        <v>30</v>
      </c>
      <c r="P7489" t="s">
        <v>29</v>
      </c>
      <c r="Q7489" s="1">
        <v>42271.885995370372</v>
      </c>
      <c r="R7489">
        <v>7</v>
      </c>
      <c r="S7489" t="s">
        <v>31</v>
      </c>
      <c r="T7489" t="s">
        <v>55</v>
      </c>
      <c r="U7489" t="s">
        <v>56</v>
      </c>
      <c r="V7489" s="3">
        <v>40990</v>
      </c>
    </row>
    <row r="7490" spans="1:22" x14ac:dyDescent="0.35">
      <c r="A7490" s="1">
        <v>42271.884629629632</v>
      </c>
      <c r="B7490" s="2">
        <v>5.5555555555555556E-4</v>
      </c>
      <c r="C7490" t="s">
        <v>11079</v>
      </c>
      <c r="D7490" t="s">
        <v>23</v>
      </c>
      <c r="E7490" t="s">
        <v>24</v>
      </c>
      <c r="F7490" t="s">
        <v>11080</v>
      </c>
      <c r="G7490">
        <v>1661227</v>
      </c>
      <c r="H7490" t="s">
        <v>45</v>
      </c>
      <c r="I7490" t="s">
        <v>11081</v>
      </c>
      <c r="J7490" t="str">
        <f>"9781409450450"</f>
        <v>9781409450450</v>
      </c>
      <c r="K7490" t="s">
        <v>11092</v>
      </c>
      <c r="L7490">
        <v>9</v>
      </c>
      <c r="O7490" t="s">
        <v>30</v>
      </c>
      <c r="P7490" t="s">
        <v>50</v>
      </c>
      <c r="S7490" t="s">
        <v>31</v>
      </c>
      <c r="T7490" t="s">
        <v>11084</v>
      </c>
      <c r="U7490" t="s">
        <v>11085</v>
      </c>
      <c r="V7490" s="3">
        <v>41787</v>
      </c>
    </row>
    <row r="7491" spans="1:22" x14ac:dyDescent="0.35">
      <c r="A7491" s="1">
        <v>42271.880729166667</v>
      </c>
      <c r="B7491" s="2">
        <v>5.2662037037037035E-3</v>
      </c>
      <c r="C7491" t="s">
        <v>11090</v>
      </c>
      <c r="D7491" t="s">
        <v>23</v>
      </c>
      <c r="E7491" t="s">
        <v>24</v>
      </c>
      <c r="F7491" t="s">
        <v>52</v>
      </c>
      <c r="G7491">
        <v>822040</v>
      </c>
      <c r="H7491" t="s">
        <v>26</v>
      </c>
      <c r="I7491" t="s">
        <v>53</v>
      </c>
      <c r="J7491" t="str">
        <f>"9781118289099"</f>
        <v>9781118289099</v>
      </c>
      <c r="K7491" t="s">
        <v>11093</v>
      </c>
      <c r="L7491">
        <v>11</v>
      </c>
      <c r="O7491" t="s">
        <v>30</v>
      </c>
      <c r="P7491" t="s">
        <v>42</v>
      </c>
      <c r="S7491" t="s">
        <v>31</v>
      </c>
      <c r="T7491" t="s">
        <v>55</v>
      </c>
      <c r="U7491" t="s">
        <v>56</v>
      </c>
      <c r="V7491" s="3">
        <v>40990</v>
      </c>
    </row>
    <row r="7492" spans="1:22" x14ac:dyDescent="0.35">
      <c r="A7492" s="1">
        <v>42271.870636574073</v>
      </c>
      <c r="B7492" s="2">
        <v>2.4305555555555552E-4</v>
      </c>
      <c r="C7492" t="s">
        <v>3519</v>
      </c>
      <c r="D7492" t="s">
        <v>23</v>
      </c>
      <c r="E7492" t="s">
        <v>24</v>
      </c>
      <c r="F7492" t="s">
        <v>3228</v>
      </c>
      <c r="G7492">
        <v>1115640</v>
      </c>
      <c r="H7492" t="s">
        <v>26</v>
      </c>
      <c r="I7492" t="s">
        <v>3229</v>
      </c>
      <c r="J7492" t="str">
        <f t="shared" ref="J7492:J7499" si="47">"9781118419090"</f>
        <v>9781118419090</v>
      </c>
      <c r="K7492" t="s">
        <v>11094</v>
      </c>
      <c r="L7492">
        <v>7</v>
      </c>
      <c r="N7492" t="s">
        <v>11095</v>
      </c>
      <c r="O7492" t="s">
        <v>30</v>
      </c>
      <c r="P7492" t="s">
        <v>29</v>
      </c>
      <c r="Q7492" s="1">
        <v>42265.688692129632</v>
      </c>
      <c r="R7492">
        <v>7</v>
      </c>
      <c r="S7492" t="s">
        <v>31</v>
      </c>
      <c r="T7492" t="s">
        <v>3231</v>
      </c>
      <c r="U7492">
        <v>624</v>
      </c>
      <c r="V7492" s="3">
        <v>41296</v>
      </c>
    </row>
    <row r="7493" spans="1:22" x14ac:dyDescent="0.35">
      <c r="A7493" s="1">
        <v>42271.870578703703</v>
      </c>
      <c r="B7493" s="2">
        <v>3.4722222222222222E-5</v>
      </c>
      <c r="C7493" t="s">
        <v>3519</v>
      </c>
      <c r="D7493" t="s">
        <v>23</v>
      </c>
      <c r="E7493" t="s">
        <v>24</v>
      </c>
      <c r="F7493" t="s">
        <v>3228</v>
      </c>
      <c r="G7493">
        <v>1115640</v>
      </c>
      <c r="H7493" t="s">
        <v>26</v>
      </c>
      <c r="I7493" t="s">
        <v>3229</v>
      </c>
      <c r="J7493" t="str">
        <f t="shared" si="47"/>
        <v>9781118419090</v>
      </c>
      <c r="K7493" t="s">
        <v>105</v>
      </c>
      <c r="L7493">
        <v>1</v>
      </c>
      <c r="O7493" t="s">
        <v>30</v>
      </c>
      <c r="P7493" t="s">
        <v>29</v>
      </c>
      <c r="Q7493" s="1">
        <v>42265.688692129632</v>
      </c>
      <c r="R7493">
        <v>7</v>
      </c>
      <c r="S7493" t="s">
        <v>31</v>
      </c>
      <c r="T7493" t="s">
        <v>3231</v>
      </c>
      <c r="U7493">
        <v>624</v>
      </c>
      <c r="V7493" s="3">
        <v>41296</v>
      </c>
    </row>
    <row r="7494" spans="1:22" x14ac:dyDescent="0.35">
      <c r="A7494" s="1">
        <v>42271.866909722223</v>
      </c>
      <c r="B7494" s="2">
        <v>1.6643518518518519E-2</v>
      </c>
      <c r="C7494" t="s">
        <v>106</v>
      </c>
      <c r="D7494" t="s">
        <v>23</v>
      </c>
      <c r="E7494" t="s">
        <v>24</v>
      </c>
      <c r="F7494" t="s">
        <v>3228</v>
      </c>
      <c r="G7494">
        <v>1115640</v>
      </c>
      <c r="H7494" t="s">
        <v>26</v>
      </c>
      <c r="I7494" t="s">
        <v>3229</v>
      </c>
      <c r="J7494" t="str">
        <f t="shared" si="47"/>
        <v>9781118419090</v>
      </c>
      <c r="K7494" t="s">
        <v>11096</v>
      </c>
      <c r="L7494">
        <v>25</v>
      </c>
      <c r="O7494" t="s">
        <v>30</v>
      </c>
      <c r="P7494" t="s">
        <v>29</v>
      </c>
      <c r="Q7494" s="1">
        <v>42265.564884259256</v>
      </c>
      <c r="R7494">
        <v>7</v>
      </c>
      <c r="S7494" t="s">
        <v>31</v>
      </c>
      <c r="T7494" t="s">
        <v>3231</v>
      </c>
      <c r="U7494">
        <v>624</v>
      </c>
      <c r="V7494" s="3">
        <v>41296</v>
      </c>
    </row>
    <row r="7495" spans="1:22" x14ac:dyDescent="0.35">
      <c r="A7495" s="1">
        <v>42271.841319444444</v>
      </c>
      <c r="B7495" s="2">
        <v>2.0775462962962964E-2</v>
      </c>
      <c r="C7495" t="s">
        <v>106</v>
      </c>
      <c r="D7495" t="s">
        <v>23</v>
      </c>
      <c r="E7495" t="s">
        <v>24</v>
      </c>
      <c r="F7495" t="s">
        <v>3228</v>
      </c>
      <c r="G7495">
        <v>1115640</v>
      </c>
      <c r="H7495" t="s">
        <v>26</v>
      </c>
      <c r="I7495" t="s">
        <v>3229</v>
      </c>
      <c r="J7495" t="str">
        <f t="shared" si="47"/>
        <v>9781118419090</v>
      </c>
      <c r="K7495" t="s">
        <v>11097</v>
      </c>
      <c r="L7495">
        <v>52</v>
      </c>
      <c r="O7495" t="s">
        <v>30</v>
      </c>
      <c r="P7495" t="s">
        <v>29</v>
      </c>
      <c r="Q7495" s="1">
        <v>42265.564884259256</v>
      </c>
      <c r="R7495">
        <v>7</v>
      </c>
      <c r="S7495" t="s">
        <v>31</v>
      </c>
      <c r="T7495" t="s">
        <v>3231</v>
      </c>
      <c r="U7495">
        <v>624</v>
      </c>
      <c r="V7495" s="3">
        <v>41296</v>
      </c>
    </row>
    <row r="7496" spans="1:22" x14ac:dyDescent="0.35">
      <c r="A7496" s="1">
        <v>42271.827268518522</v>
      </c>
      <c r="B7496" s="2">
        <v>1.03125E-2</v>
      </c>
      <c r="C7496" t="s">
        <v>3519</v>
      </c>
      <c r="D7496" t="s">
        <v>23</v>
      </c>
      <c r="E7496" t="s">
        <v>24</v>
      </c>
      <c r="F7496" t="s">
        <v>3228</v>
      </c>
      <c r="G7496">
        <v>1115640</v>
      </c>
      <c r="H7496" t="s">
        <v>26</v>
      </c>
      <c r="I7496" t="s">
        <v>3229</v>
      </c>
      <c r="J7496" t="str">
        <f t="shared" si="47"/>
        <v>9781118419090</v>
      </c>
      <c r="K7496" t="s">
        <v>11098</v>
      </c>
      <c r="L7496">
        <v>14</v>
      </c>
      <c r="O7496" t="s">
        <v>30</v>
      </c>
      <c r="P7496" t="s">
        <v>29</v>
      </c>
      <c r="Q7496" s="1">
        <v>42265.688692129632</v>
      </c>
      <c r="R7496">
        <v>7</v>
      </c>
      <c r="S7496" t="s">
        <v>31</v>
      </c>
      <c r="T7496" t="s">
        <v>3231</v>
      </c>
      <c r="U7496">
        <v>624</v>
      </c>
      <c r="V7496" s="3">
        <v>41296</v>
      </c>
    </row>
    <row r="7497" spans="1:22" x14ac:dyDescent="0.35">
      <c r="A7497" s="1">
        <v>42271.824849537035</v>
      </c>
      <c r="B7497" s="2">
        <v>2.6921296296296294E-2</v>
      </c>
      <c r="C7497" t="s">
        <v>106</v>
      </c>
      <c r="D7497" t="s">
        <v>23</v>
      </c>
      <c r="E7497" t="s">
        <v>24</v>
      </c>
      <c r="F7497" t="s">
        <v>3228</v>
      </c>
      <c r="G7497">
        <v>1115640</v>
      </c>
      <c r="H7497" t="s">
        <v>26</v>
      </c>
      <c r="I7497" t="s">
        <v>3229</v>
      </c>
      <c r="J7497" t="str">
        <f t="shared" si="47"/>
        <v>9781118419090</v>
      </c>
      <c r="K7497" t="s">
        <v>11099</v>
      </c>
      <c r="L7497">
        <v>18</v>
      </c>
      <c r="O7497" t="s">
        <v>30</v>
      </c>
      <c r="P7497" t="s">
        <v>29</v>
      </c>
      <c r="Q7497" s="1">
        <v>42265.564884259256</v>
      </c>
      <c r="R7497">
        <v>7</v>
      </c>
      <c r="S7497" t="s">
        <v>31</v>
      </c>
      <c r="T7497" t="s">
        <v>3231</v>
      </c>
      <c r="U7497">
        <v>624</v>
      </c>
      <c r="V7497" s="3">
        <v>41296</v>
      </c>
    </row>
    <row r="7498" spans="1:22" x14ac:dyDescent="0.35">
      <c r="A7498" s="1">
        <v>42271.82130787037</v>
      </c>
      <c r="B7498" s="2">
        <v>3.2372685185185185E-2</v>
      </c>
      <c r="C7498" t="s">
        <v>11067</v>
      </c>
      <c r="D7498" t="s">
        <v>23</v>
      </c>
      <c r="E7498" t="s">
        <v>24</v>
      </c>
      <c r="F7498" t="s">
        <v>3228</v>
      </c>
      <c r="G7498">
        <v>1115640</v>
      </c>
      <c r="H7498" t="s">
        <v>26</v>
      </c>
      <c r="I7498" t="s">
        <v>3229</v>
      </c>
      <c r="J7498" t="str">
        <f t="shared" si="47"/>
        <v>9781118419090</v>
      </c>
      <c r="K7498" t="s">
        <v>11100</v>
      </c>
      <c r="L7498">
        <v>9</v>
      </c>
      <c r="O7498" t="s">
        <v>30</v>
      </c>
      <c r="P7498" t="s">
        <v>29</v>
      </c>
      <c r="Q7498" s="1">
        <v>42271.177361111113</v>
      </c>
      <c r="R7498">
        <v>7</v>
      </c>
      <c r="S7498" t="s">
        <v>31</v>
      </c>
      <c r="T7498" t="s">
        <v>3231</v>
      </c>
      <c r="U7498">
        <v>624</v>
      </c>
      <c r="V7498" s="3">
        <v>41296</v>
      </c>
    </row>
    <row r="7499" spans="1:22" x14ac:dyDescent="0.35">
      <c r="A7499" s="1">
        <v>42271.820706018516</v>
      </c>
      <c r="B7499" s="2">
        <v>5.1504629629629629E-2</v>
      </c>
      <c r="C7499" t="s">
        <v>11101</v>
      </c>
      <c r="D7499" t="s">
        <v>23</v>
      </c>
      <c r="E7499" t="s">
        <v>24</v>
      </c>
      <c r="F7499" t="s">
        <v>3228</v>
      </c>
      <c r="G7499">
        <v>1115640</v>
      </c>
      <c r="H7499" t="s">
        <v>26</v>
      </c>
      <c r="I7499" t="s">
        <v>3229</v>
      </c>
      <c r="J7499" t="str">
        <f t="shared" si="47"/>
        <v>9781118419090</v>
      </c>
      <c r="K7499" t="s">
        <v>11102</v>
      </c>
      <c r="L7499">
        <v>23</v>
      </c>
      <c r="O7499" t="s">
        <v>30</v>
      </c>
      <c r="P7499" t="s">
        <v>29</v>
      </c>
      <c r="Q7499" s="1">
        <v>42267.806284722225</v>
      </c>
      <c r="R7499">
        <v>7</v>
      </c>
      <c r="S7499" t="s">
        <v>31</v>
      </c>
      <c r="T7499" t="s">
        <v>3231</v>
      </c>
      <c r="U7499">
        <v>624</v>
      </c>
      <c r="V7499" s="3">
        <v>41296</v>
      </c>
    </row>
    <row r="7500" spans="1:22" x14ac:dyDescent="0.35">
      <c r="A7500" s="1">
        <v>42271.817546296297</v>
      </c>
      <c r="B7500" s="2">
        <v>6.134259259259259E-4</v>
      </c>
      <c r="C7500" t="s">
        <v>1098</v>
      </c>
      <c r="D7500" t="s">
        <v>360</v>
      </c>
      <c r="E7500" t="s">
        <v>361</v>
      </c>
      <c r="F7500" t="s">
        <v>11103</v>
      </c>
      <c r="G7500">
        <v>801732</v>
      </c>
      <c r="H7500" t="s">
        <v>68</v>
      </c>
      <c r="I7500" t="s">
        <v>3152</v>
      </c>
      <c r="J7500" t="str">
        <f>"9780203824733"</f>
        <v>9780203824733</v>
      </c>
      <c r="K7500" t="s">
        <v>11104</v>
      </c>
      <c r="L7500">
        <v>15</v>
      </c>
      <c r="O7500" t="s">
        <v>30</v>
      </c>
      <c r="P7500" t="s">
        <v>50</v>
      </c>
      <c r="S7500" t="s">
        <v>363</v>
      </c>
      <c r="T7500" t="s">
        <v>11105</v>
      </c>
      <c r="U7500" t="s">
        <v>11106</v>
      </c>
      <c r="V7500" s="3">
        <v>41285</v>
      </c>
    </row>
    <row r="7501" spans="1:22" x14ac:dyDescent="0.35">
      <c r="A7501" s="1">
        <v>42271.812060185184</v>
      </c>
      <c r="B7501" s="2">
        <v>8.7962962962962968E-3</v>
      </c>
      <c r="C7501" t="s">
        <v>11067</v>
      </c>
      <c r="D7501" t="s">
        <v>23</v>
      </c>
      <c r="E7501" t="s">
        <v>24</v>
      </c>
      <c r="F7501" t="s">
        <v>3228</v>
      </c>
      <c r="G7501">
        <v>1115640</v>
      </c>
      <c r="H7501" t="s">
        <v>26</v>
      </c>
      <c r="I7501" t="s">
        <v>3229</v>
      </c>
      <c r="J7501" t="str">
        <f t="shared" ref="J7501:J7506" si="48">"9781118419090"</f>
        <v>9781118419090</v>
      </c>
      <c r="K7501" t="s">
        <v>11107</v>
      </c>
      <c r="L7501">
        <v>8</v>
      </c>
      <c r="O7501" t="s">
        <v>30</v>
      </c>
      <c r="P7501" t="s">
        <v>29</v>
      </c>
      <c r="Q7501" s="1">
        <v>42271.177361111113</v>
      </c>
      <c r="R7501">
        <v>7</v>
      </c>
      <c r="S7501" t="s">
        <v>31</v>
      </c>
      <c r="T7501" t="s">
        <v>3231</v>
      </c>
      <c r="U7501">
        <v>624</v>
      </c>
      <c r="V7501" s="3">
        <v>41296</v>
      </c>
    </row>
    <row r="7502" spans="1:22" x14ac:dyDescent="0.35">
      <c r="A7502" s="1">
        <v>42271.796759259261</v>
      </c>
      <c r="B7502" s="2">
        <v>5.4398148148148144E-4</v>
      </c>
      <c r="C7502" t="s">
        <v>106</v>
      </c>
      <c r="D7502" t="s">
        <v>23</v>
      </c>
      <c r="E7502" t="s">
        <v>24</v>
      </c>
      <c r="F7502" t="s">
        <v>3228</v>
      </c>
      <c r="G7502">
        <v>1115640</v>
      </c>
      <c r="H7502" t="s">
        <v>26</v>
      </c>
      <c r="I7502" t="s">
        <v>3229</v>
      </c>
      <c r="J7502" t="str">
        <f t="shared" si="48"/>
        <v>9781118419090</v>
      </c>
      <c r="K7502" t="s">
        <v>11108</v>
      </c>
      <c r="L7502">
        <v>25</v>
      </c>
      <c r="O7502" t="s">
        <v>30</v>
      </c>
      <c r="P7502" t="s">
        <v>29</v>
      </c>
      <c r="Q7502" s="1">
        <v>42265.564884259256</v>
      </c>
      <c r="R7502">
        <v>7</v>
      </c>
      <c r="S7502" t="s">
        <v>31</v>
      </c>
      <c r="T7502" t="s">
        <v>3231</v>
      </c>
      <c r="U7502">
        <v>624</v>
      </c>
      <c r="V7502" s="3">
        <v>41296</v>
      </c>
    </row>
    <row r="7503" spans="1:22" x14ac:dyDescent="0.35">
      <c r="A7503" s="1">
        <v>42271.793587962966</v>
      </c>
      <c r="B7503" s="2">
        <v>2.0833333333333335E-4</v>
      </c>
      <c r="C7503" t="s">
        <v>10995</v>
      </c>
      <c r="D7503" t="s">
        <v>23</v>
      </c>
      <c r="E7503" t="s">
        <v>24</v>
      </c>
      <c r="F7503" t="s">
        <v>3228</v>
      </c>
      <c r="G7503">
        <v>1115640</v>
      </c>
      <c r="H7503" t="s">
        <v>26</v>
      </c>
      <c r="I7503" t="s">
        <v>3229</v>
      </c>
      <c r="J7503" t="str">
        <f t="shared" si="48"/>
        <v>9781118419090</v>
      </c>
      <c r="K7503" t="s">
        <v>11109</v>
      </c>
      <c r="L7503">
        <v>10</v>
      </c>
      <c r="O7503" t="s">
        <v>30</v>
      </c>
      <c r="P7503" t="s">
        <v>29</v>
      </c>
      <c r="Q7503" s="1">
        <v>42270.995648148149</v>
      </c>
      <c r="R7503">
        <v>7</v>
      </c>
      <c r="S7503" t="s">
        <v>31</v>
      </c>
      <c r="T7503" t="s">
        <v>3231</v>
      </c>
      <c r="U7503">
        <v>624</v>
      </c>
      <c r="V7503" s="3">
        <v>41296</v>
      </c>
    </row>
    <row r="7504" spans="1:22" x14ac:dyDescent="0.35">
      <c r="A7504" s="1">
        <v>42271.781863425924</v>
      </c>
      <c r="B7504" s="2">
        <v>1.2731481481481483E-3</v>
      </c>
      <c r="C7504" t="s">
        <v>2407</v>
      </c>
      <c r="D7504" t="s">
        <v>23</v>
      </c>
      <c r="E7504" t="s">
        <v>24</v>
      </c>
      <c r="F7504" t="s">
        <v>3228</v>
      </c>
      <c r="G7504">
        <v>1115640</v>
      </c>
      <c r="H7504" t="s">
        <v>26</v>
      </c>
      <c r="I7504" t="s">
        <v>3229</v>
      </c>
      <c r="J7504" t="str">
        <f t="shared" si="48"/>
        <v>9781118419090</v>
      </c>
      <c r="K7504" t="s">
        <v>443</v>
      </c>
      <c r="L7504">
        <v>19</v>
      </c>
      <c r="O7504" t="s">
        <v>30</v>
      </c>
      <c r="P7504" t="s">
        <v>42</v>
      </c>
      <c r="S7504" t="s">
        <v>31</v>
      </c>
      <c r="T7504" t="s">
        <v>3231</v>
      </c>
      <c r="U7504">
        <v>624</v>
      </c>
      <c r="V7504" s="3">
        <v>41296</v>
      </c>
    </row>
    <row r="7505" spans="1:22" x14ac:dyDescent="0.35">
      <c r="A7505" s="1">
        <v>42271.779907407406</v>
      </c>
      <c r="B7505" s="2">
        <v>1.8171296296296297E-2</v>
      </c>
      <c r="C7505" t="s">
        <v>106</v>
      </c>
      <c r="D7505" t="s">
        <v>23</v>
      </c>
      <c r="E7505" t="s">
        <v>24</v>
      </c>
      <c r="F7505" t="s">
        <v>3228</v>
      </c>
      <c r="G7505">
        <v>1115640</v>
      </c>
      <c r="H7505" t="s">
        <v>26</v>
      </c>
      <c r="I7505" t="s">
        <v>3229</v>
      </c>
      <c r="J7505" t="str">
        <f t="shared" si="48"/>
        <v>9781118419090</v>
      </c>
      <c r="K7505" t="s">
        <v>11110</v>
      </c>
      <c r="L7505">
        <v>4</v>
      </c>
      <c r="O7505" t="s">
        <v>28</v>
      </c>
      <c r="P7505" t="s">
        <v>29</v>
      </c>
      <c r="Q7505" s="1">
        <v>42265.564884259256</v>
      </c>
      <c r="R7505">
        <v>7</v>
      </c>
      <c r="S7505" t="s">
        <v>31</v>
      </c>
      <c r="T7505" t="s">
        <v>3231</v>
      </c>
      <c r="U7505">
        <v>624</v>
      </c>
      <c r="V7505" s="3">
        <v>41296</v>
      </c>
    </row>
    <row r="7506" spans="1:22" x14ac:dyDescent="0.35">
      <c r="A7506" s="1">
        <v>42271.777673611112</v>
      </c>
      <c r="B7506" s="2">
        <v>2.1064814814814813E-3</v>
      </c>
      <c r="C7506" t="s">
        <v>106</v>
      </c>
      <c r="D7506" t="s">
        <v>23</v>
      </c>
      <c r="E7506" t="s">
        <v>24</v>
      </c>
      <c r="F7506" t="s">
        <v>3228</v>
      </c>
      <c r="G7506">
        <v>1115640</v>
      </c>
      <c r="H7506" t="s">
        <v>26</v>
      </c>
      <c r="I7506" t="s">
        <v>3229</v>
      </c>
      <c r="J7506" t="str">
        <f t="shared" si="48"/>
        <v>9781118419090</v>
      </c>
      <c r="K7506" t="s">
        <v>11111</v>
      </c>
      <c r="L7506">
        <v>19</v>
      </c>
      <c r="O7506" t="s">
        <v>30</v>
      </c>
      <c r="P7506" t="s">
        <v>29</v>
      </c>
      <c r="Q7506" s="1">
        <v>42265.564884259256</v>
      </c>
      <c r="R7506">
        <v>7</v>
      </c>
      <c r="S7506" t="s">
        <v>31</v>
      </c>
      <c r="T7506" t="s">
        <v>3231</v>
      </c>
      <c r="U7506">
        <v>624</v>
      </c>
      <c r="V7506" s="3">
        <v>41296</v>
      </c>
    </row>
    <row r="7507" spans="1:22" x14ac:dyDescent="0.35">
      <c r="A7507" s="1">
        <v>42271.761354166665</v>
      </c>
      <c r="B7507" s="2">
        <v>3.4062500000000002E-2</v>
      </c>
      <c r="C7507" t="s">
        <v>11112</v>
      </c>
      <c r="D7507" t="s">
        <v>597</v>
      </c>
      <c r="E7507" t="s">
        <v>598</v>
      </c>
      <c r="F7507" t="s">
        <v>2649</v>
      </c>
      <c r="G7507">
        <v>1143522</v>
      </c>
      <c r="H7507" t="s">
        <v>26</v>
      </c>
      <c r="I7507" t="s">
        <v>172</v>
      </c>
      <c r="J7507" t="str">
        <f>"9781118257197"</f>
        <v>9781118257197</v>
      </c>
      <c r="K7507" t="s">
        <v>11113</v>
      </c>
      <c r="L7507">
        <v>36</v>
      </c>
      <c r="O7507" t="s">
        <v>30</v>
      </c>
      <c r="P7507" t="s">
        <v>29</v>
      </c>
      <c r="Q7507" s="1">
        <v>42271.761354166665</v>
      </c>
      <c r="R7507">
        <v>7</v>
      </c>
      <c r="S7507" t="s">
        <v>600</v>
      </c>
      <c r="T7507" t="s">
        <v>2651</v>
      </c>
      <c r="U7507">
        <v>972</v>
      </c>
      <c r="V7507" s="3">
        <v>41334</v>
      </c>
    </row>
    <row r="7508" spans="1:22" x14ac:dyDescent="0.35">
      <c r="A7508" s="1">
        <v>42271.760833333334</v>
      </c>
      <c r="B7508" s="2">
        <v>0.11024305555555557</v>
      </c>
      <c r="C7508" t="s">
        <v>106</v>
      </c>
      <c r="D7508" t="s">
        <v>23</v>
      </c>
      <c r="E7508" t="s">
        <v>24</v>
      </c>
      <c r="F7508" t="s">
        <v>3228</v>
      </c>
      <c r="G7508">
        <v>1115640</v>
      </c>
      <c r="H7508" t="s">
        <v>26</v>
      </c>
      <c r="I7508" t="s">
        <v>3229</v>
      </c>
      <c r="J7508" t="str">
        <f>"9781118419090"</f>
        <v>9781118419090</v>
      </c>
      <c r="K7508" t="s">
        <v>11114</v>
      </c>
      <c r="L7508">
        <v>44</v>
      </c>
      <c r="O7508" t="s">
        <v>30</v>
      </c>
      <c r="P7508" t="s">
        <v>29</v>
      </c>
      <c r="Q7508" s="1">
        <v>42265.564884259256</v>
      </c>
      <c r="R7508">
        <v>7</v>
      </c>
      <c r="S7508" t="s">
        <v>31</v>
      </c>
      <c r="T7508" t="s">
        <v>3231</v>
      </c>
      <c r="U7508">
        <v>624</v>
      </c>
      <c r="V7508" s="3">
        <v>41296</v>
      </c>
    </row>
    <row r="7509" spans="1:22" x14ac:dyDescent="0.35">
      <c r="A7509" s="1">
        <v>42271.760555555556</v>
      </c>
      <c r="B7509" s="2">
        <v>2.2523148148148143E-2</v>
      </c>
      <c r="C7509" t="s">
        <v>11115</v>
      </c>
      <c r="D7509" t="s">
        <v>23</v>
      </c>
      <c r="E7509" t="s">
        <v>24</v>
      </c>
      <c r="F7509" t="s">
        <v>3228</v>
      </c>
      <c r="G7509">
        <v>1115640</v>
      </c>
      <c r="H7509" t="s">
        <v>26</v>
      </c>
      <c r="I7509" t="s">
        <v>3229</v>
      </c>
      <c r="J7509" t="str">
        <f>"9781118419090"</f>
        <v>9781118419090</v>
      </c>
      <c r="K7509" t="s">
        <v>11116</v>
      </c>
      <c r="L7509">
        <v>52</v>
      </c>
      <c r="O7509" t="s">
        <v>30</v>
      </c>
      <c r="P7509" t="s">
        <v>29</v>
      </c>
      <c r="Q7509" s="1">
        <v>42267.206365740742</v>
      </c>
      <c r="R7509">
        <v>7</v>
      </c>
      <c r="S7509" t="s">
        <v>31</v>
      </c>
      <c r="T7509" t="s">
        <v>3231</v>
      </c>
      <c r="U7509">
        <v>624</v>
      </c>
      <c r="V7509" s="3">
        <v>41296</v>
      </c>
    </row>
    <row r="7510" spans="1:22" x14ac:dyDescent="0.35">
      <c r="A7510" s="1">
        <v>42271.75644675926</v>
      </c>
      <c r="B7510" s="2">
        <v>5.4861111111111117E-3</v>
      </c>
      <c r="C7510" t="s">
        <v>11117</v>
      </c>
      <c r="D7510" t="s">
        <v>35</v>
      </c>
      <c r="E7510" t="s">
        <v>36</v>
      </c>
      <c r="F7510" t="s">
        <v>5376</v>
      </c>
      <c r="G7510">
        <v>1645284</v>
      </c>
      <c r="H7510" t="s">
        <v>526</v>
      </c>
      <c r="I7510" t="s">
        <v>998</v>
      </c>
      <c r="J7510" t="str">
        <f>"9780226122595"</f>
        <v>9780226122595</v>
      </c>
      <c r="K7510" t="s">
        <v>11118</v>
      </c>
      <c r="L7510">
        <v>67</v>
      </c>
      <c r="O7510" t="s">
        <v>30</v>
      </c>
      <c r="P7510" t="s">
        <v>47</v>
      </c>
      <c r="Q7510" s="1">
        <v>42271.75644675926</v>
      </c>
      <c r="R7510">
        <v>1</v>
      </c>
      <c r="S7510" t="s">
        <v>40</v>
      </c>
      <c r="T7510" t="s">
        <v>5378</v>
      </c>
      <c r="U7510">
        <v>304.80973</v>
      </c>
      <c r="V7510" s="3">
        <v>41726</v>
      </c>
    </row>
    <row r="7511" spans="1:22" x14ac:dyDescent="0.35">
      <c r="A7511" s="1">
        <v>42271.753819444442</v>
      </c>
      <c r="B7511" s="2">
        <v>7.0486111111111105E-3</v>
      </c>
      <c r="C7511" t="s">
        <v>11067</v>
      </c>
      <c r="D7511" t="s">
        <v>23</v>
      </c>
      <c r="E7511" t="s">
        <v>24</v>
      </c>
      <c r="F7511" t="s">
        <v>3228</v>
      </c>
      <c r="G7511">
        <v>1115640</v>
      </c>
      <c r="H7511" t="s">
        <v>26</v>
      </c>
      <c r="I7511" t="s">
        <v>3229</v>
      </c>
      <c r="J7511" t="str">
        <f>"9781118419090"</f>
        <v>9781118419090</v>
      </c>
      <c r="K7511" t="s">
        <v>11119</v>
      </c>
      <c r="L7511">
        <v>19</v>
      </c>
      <c r="N7511" t="s">
        <v>11120</v>
      </c>
      <c r="O7511" t="s">
        <v>30</v>
      </c>
      <c r="P7511" t="s">
        <v>29</v>
      </c>
      <c r="Q7511" s="1">
        <v>42271.177361111113</v>
      </c>
      <c r="R7511">
        <v>7</v>
      </c>
      <c r="S7511" t="s">
        <v>31</v>
      </c>
      <c r="T7511" t="s">
        <v>3231</v>
      </c>
      <c r="U7511">
        <v>624</v>
      </c>
      <c r="V7511" s="3">
        <v>41296</v>
      </c>
    </row>
    <row r="7512" spans="1:22" x14ac:dyDescent="0.35">
      <c r="A7512" s="1">
        <v>42271.752881944441</v>
      </c>
      <c r="B7512" s="2">
        <v>3.5648148148148154E-3</v>
      </c>
      <c r="C7512" t="s">
        <v>11117</v>
      </c>
      <c r="D7512" t="s">
        <v>35</v>
      </c>
      <c r="E7512" t="s">
        <v>36</v>
      </c>
      <c r="F7512" t="s">
        <v>5376</v>
      </c>
      <c r="G7512">
        <v>1645284</v>
      </c>
      <c r="H7512" t="s">
        <v>526</v>
      </c>
      <c r="I7512" t="s">
        <v>998</v>
      </c>
      <c r="J7512" t="str">
        <f>"9780226122595"</f>
        <v>9780226122595</v>
      </c>
      <c r="K7512" t="s">
        <v>11121</v>
      </c>
      <c r="L7512">
        <v>34</v>
      </c>
      <c r="O7512" t="s">
        <v>30</v>
      </c>
      <c r="P7512" t="s">
        <v>50</v>
      </c>
      <c r="S7512" t="s">
        <v>40</v>
      </c>
      <c r="T7512" t="s">
        <v>5378</v>
      </c>
      <c r="U7512">
        <v>304.80973</v>
      </c>
      <c r="V7512" s="3">
        <v>41726</v>
      </c>
    </row>
    <row r="7513" spans="1:22" x14ac:dyDescent="0.35">
      <c r="A7513" s="1">
        <v>42271.751597222225</v>
      </c>
      <c r="B7513" s="2">
        <v>9.7569444444444448E-3</v>
      </c>
      <c r="C7513" t="s">
        <v>11112</v>
      </c>
      <c r="D7513" t="s">
        <v>597</v>
      </c>
      <c r="E7513" t="s">
        <v>598</v>
      </c>
      <c r="F7513" t="s">
        <v>2649</v>
      </c>
      <c r="G7513">
        <v>1143522</v>
      </c>
      <c r="H7513" t="s">
        <v>26</v>
      </c>
      <c r="I7513" t="s">
        <v>172</v>
      </c>
      <c r="J7513" t="str">
        <f>"9781118257197"</f>
        <v>9781118257197</v>
      </c>
      <c r="K7513" t="s">
        <v>11122</v>
      </c>
      <c r="L7513">
        <v>27</v>
      </c>
      <c r="O7513" t="s">
        <v>30</v>
      </c>
      <c r="P7513" t="s">
        <v>42</v>
      </c>
      <c r="S7513" t="s">
        <v>600</v>
      </c>
      <c r="T7513" t="s">
        <v>2651</v>
      </c>
      <c r="U7513">
        <v>972</v>
      </c>
      <c r="V7513" s="3">
        <v>41334</v>
      </c>
    </row>
    <row r="7514" spans="1:22" x14ac:dyDescent="0.35">
      <c r="A7514" s="1">
        <v>42271.748703703706</v>
      </c>
      <c r="B7514" s="2">
        <v>1.2326388888888888E-2</v>
      </c>
      <c r="C7514" t="s">
        <v>106</v>
      </c>
      <c r="D7514" t="s">
        <v>23</v>
      </c>
      <c r="E7514" t="s">
        <v>24</v>
      </c>
      <c r="F7514" t="s">
        <v>3228</v>
      </c>
      <c r="G7514">
        <v>1115640</v>
      </c>
      <c r="H7514" t="s">
        <v>26</v>
      </c>
      <c r="I7514" t="s">
        <v>3229</v>
      </c>
      <c r="J7514" t="str">
        <f>"9781118419090"</f>
        <v>9781118419090</v>
      </c>
      <c r="K7514" t="s">
        <v>11123</v>
      </c>
      <c r="L7514">
        <v>33</v>
      </c>
      <c r="O7514" t="s">
        <v>30</v>
      </c>
      <c r="P7514" t="s">
        <v>29</v>
      </c>
      <c r="Q7514" s="1">
        <v>42265.564884259256</v>
      </c>
      <c r="R7514">
        <v>7</v>
      </c>
      <c r="S7514" t="s">
        <v>31</v>
      </c>
      <c r="T7514" t="s">
        <v>3231</v>
      </c>
      <c r="U7514">
        <v>624</v>
      </c>
      <c r="V7514" s="3">
        <v>41296</v>
      </c>
    </row>
    <row r="7515" spans="1:22" x14ac:dyDescent="0.35">
      <c r="A7515" s="1">
        <v>42271.746412037035</v>
      </c>
      <c r="B7515" s="2">
        <v>3.4722222222222222E-5</v>
      </c>
      <c r="C7515" t="s">
        <v>11112</v>
      </c>
      <c r="D7515" t="s">
        <v>597</v>
      </c>
      <c r="E7515" t="s">
        <v>598</v>
      </c>
      <c r="F7515" t="s">
        <v>2649</v>
      </c>
      <c r="G7515">
        <v>1143522</v>
      </c>
      <c r="H7515" t="s">
        <v>26</v>
      </c>
      <c r="I7515" t="s">
        <v>172</v>
      </c>
      <c r="J7515" t="str">
        <f>"9781118257197"</f>
        <v>9781118257197</v>
      </c>
      <c r="K7515" t="s">
        <v>33</v>
      </c>
      <c r="L7515">
        <v>3</v>
      </c>
      <c r="O7515" t="s">
        <v>30</v>
      </c>
      <c r="P7515" t="s">
        <v>42</v>
      </c>
      <c r="S7515" t="s">
        <v>600</v>
      </c>
      <c r="T7515" t="s">
        <v>2651</v>
      </c>
      <c r="U7515">
        <v>972</v>
      </c>
      <c r="V7515" s="3">
        <v>41334</v>
      </c>
    </row>
    <row r="7516" spans="1:22" x14ac:dyDescent="0.35">
      <c r="A7516" s="1">
        <v>42271.736354166664</v>
      </c>
      <c r="B7516" s="2">
        <v>9.67824074074074E-2</v>
      </c>
      <c r="C7516" t="s">
        <v>10966</v>
      </c>
      <c r="D7516" t="s">
        <v>23</v>
      </c>
      <c r="E7516" t="s">
        <v>24</v>
      </c>
      <c r="F7516" t="s">
        <v>3228</v>
      </c>
      <c r="G7516">
        <v>1115640</v>
      </c>
      <c r="H7516" t="s">
        <v>26</v>
      </c>
      <c r="I7516" t="s">
        <v>3229</v>
      </c>
      <c r="J7516" t="str">
        <f>"9781118419090"</f>
        <v>9781118419090</v>
      </c>
      <c r="K7516" t="s">
        <v>11124</v>
      </c>
      <c r="L7516">
        <v>32</v>
      </c>
      <c r="O7516" t="s">
        <v>30</v>
      </c>
      <c r="P7516" t="s">
        <v>29</v>
      </c>
      <c r="Q7516" s="1">
        <v>42268.549120370371</v>
      </c>
      <c r="R7516">
        <v>7</v>
      </c>
      <c r="S7516" t="s">
        <v>31</v>
      </c>
      <c r="T7516" t="s">
        <v>3231</v>
      </c>
      <c r="U7516">
        <v>624</v>
      </c>
      <c r="V7516" s="3">
        <v>41296</v>
      </c>
    </row>
    <row r="7517" spans="1:22" x14ac:dyDescent="0.35">
      <c r="A7517" s="1">
        <v>42271.735844907409</v>
      </c>
      <c r="B7517" s="2">
        <v>4.2824074074074075E-4</v>
      </c>
      <c r="C7517" t="s">
        <v>11125</v>
      </c>
      <c r="D7517" t="s">
        <v>597</v>
      </c>
      <c r="E7517" t="s">
        <v>598</v>
      </c>
      <c r="F7517" t="s">
        <v>2649</v>
      </c>
      <c r="G7517">
        <v>1143522</v>
      </c>
      <c r="H7517" t="s">
        <v>26</v>
      </c>
      <c r="I7517" t="s">
        <v>172</v>
      </c>
      <c r="J7517" t="str">
        <f>"9781118257197"</f>
        <v>9781118257197</v>
      </c>
      <c r="K7517" t="s">
        <v>11126</v>
      </c>
      <c r="L7517">
        <v>13</v>
      </c>
      <c r="O7517" t="s">
        <v>30</v>
      </c>
      <c r="P7517" t="s">
        <v>42</v>
      </c>
      <c r="S7517" t="s">
        <v>600</v>
      </c>
      <c r="T7517" t="s">
        <v>2651</v>
      </c>
      <c r="U7517">
        <v>972</v>
      </c>
      <c r="V7517" s="3">
        <v>41334</v>
      </c>
    </row>
    <row r="7518" spans="1:22" x14ac:dyDescent="0.35">
      <c r="A7518" s="1">
        <v>42271.728391203702</v>
      </c>
      <c r="B7518" s="2">
        <v>4.6250000000000006E-2</v>
      </c>
      <c r="C7518" t="s">
        <v>106</v>
      </c>
      <c r="D7518" t="s">
        <v>23</v>
      </c>
      <c r="E7518" t="s">
        <v>24</v>
      </c>
      <c r="F7518" t="s">
        <v>3228</v>
      </c>
      <c r="G7518">
        <v>1115640</v>
      </c>
      <c r="H7518" t="s">
        <v>26</v>
      </c>
      <c r="I7518" t="s">
        <v>3229</v>
      </c>
      <c r="J7518" t="str">
        <f>"9781118419090"</f>
        <v>9781118419090</v>
      </c>
      <c r="K7518" t="s">
        <v>11127</v>
      </c>
      <c r="L7518">
        <v>17</v>
      </c>
      <c r="O7518" t="s">
        <v>30</v>
      </c>
      <c r="P7518" t="s">
        <v>29</v>
      </c>
      <c r="Q7518" s="1">
        <v>42265.564884259256</v>
      </c>
      <c r="R7518">
        <v>7</v>
      </c>
      <c r="S7518" t="s">
        <v>31</v>
      </c>
      <c r="T7518" t="s">
        <v>3231</v>
      </c>
      <c r="U7518">
        <v>624</v>
      </c>
      <c r="V7518" s="3">
        <v>41296</v>
      </c>
    </row>
    <row r="7519" spans="1:22" x14ac:dyDescent="0.35">
      <c r="A7519" s="1">
        <v>42271.719004629631</v>
      </c>
      <c r="B7519" s="2">
        <v>1.4814814814814814E-3</v>
      </c>
      <c r="C7519" t="s">
        <v>6324</v>
      </c>
      <c r="D7519" t="s">
        <v>1222</v>
      </c>
      <c r="E7519" t="s">
        <v>1223</v>
      </c>
      <c r="F7519" t="s">
        <v>6325</v>
      </c>
      <c r="G7519">
        <v>871519</v>
      </c>
      <c r="H7519" t="s">
        <v>26</v>
      </c>
      <c r="I7519" t="s">
        <v>1532</v>
      </c>
      <c r="J7519" t="str">
        <f>"9781444398359"</f>
        <v>9781444398359</v>
      </c>
      <c r="K7519" t="s">
        <v>11128</v>
      </c>
      <c r="L7519">
        <v>24</v>
      </c>
      <c r="M7519" t="s">
        <v>105</v>
      </c>
      <c r="O7519" t="s">
        <v>28</v>
      </c>
      <c r="P7519" t="s">
        <v>29</v>
      </c>
      <c r="Q7519" s="1">
        <v>42270.157962962963</v>
      </c>
      <c r="R7519">
        <v>7</v>
      </c>
      <c r="S7519" t="s">
        <v>1226</v>
      </c>
      <c r="T7519" t="s">
        <v>6327</v>
      </c>
      <c r="U7519">
        <v>523.20000000000005</v>
      </c>
      <c r="V7519" s="3">
        <v>40968</v>
      </c>
    </row>
    <row r="7520" spans="1:22" x14ac:dyDescent="0.35">
      <c r="A7520" s="1">
        <v>42271.71875</v>
      </c>
      <c r="B7520" s="2">
        <v>3.4722222222222222E-5</v>
      </c>
      <c r="C7520" t="s">
        <v>6324</v>
      </c>
      <c r="D7520" t="s">
        <v>1222</v>
      </c>
      <c r="E7520" t="s">
        <v>1223</v>
      </c>
      <c r="F7520" t="s">
        <v>6325</v>
      </c>
      <c r="G7520">
        <v>871519</v>
      </c>
      <c r="H7520" t="s">
        <v>26</v>
      </c>
      <c r="I7520" t="s">
        <v>1532</v>
      </c>
      <c r="J7520" t="str">
        <f>"9781444398359"</f>
        <v>9781444398359</v>
      </c>
      <c r="K7520" t="s">
        <v>33</v>
      </c>
      <c r="L7520">
        <v>3</v>
      </c>
      <c r="O7520" t="s">
        <v>30</v>
      </c>
      <c r="P7520" t="s">
        <v>29</v>
      </c>
      <c r="Q7520" s="1">
        <v>42270.157962962963</v>
      </c>
      <c r="R7520">
        <v>7</v>
      </c>
      <c r="S7520" t="s">
        <v>1226</v>
      </c>
      <c r="T7520" t="s">
        <v>6327</v>
      </c>
      <c r="U7520">
        <v>523.20000000000005</v>
      </c>
      <c r="V7520" s="3">
        <v>40968</v>
      </c>
    </row>
    <row r="7521" spans="1:22" x14ac:dyDescent="0.35">
      <c r="A7521" s="1">
        <v>42271.718680555554</v>
      </c>
      <c r="B7521" s="2">
        <v>3.4722222222222222E-5</v>
      </c>
      <c r="C7521" t="s">
        <v>6324</v>
      </c>
      <c r="D7521" t="s">
        <v>1222</v>
      </c>
      <c r="E7521" t="s">
        <v>1223</v>
      </c>
      <c r="F7521" t="s">
        <v>6325</v>
      </c>
      <c r="G7521">
        <v>871519</v>
      </c>
      <c r="H7521" t="s">
        <v>26</v>
      </c>
      <c r="I7521" t="s">
        <v>1532</v>
      </c>
      <c r="J7521" t="str">
        <f>"9781444398359"</f>
        <v>9781444398359</v>
      </c>
      <c r="K7521" t="s">
        <v>33</v>
      </c>
      <c r="L7521">
        <v>3</v>
      </c>
      <c r="O7521" t="s">
        <v>30</v>
      </c>
      <c r="P7521" t="s">
        <v>29</v>
      </c>
      <c r="Q7521" s="1">
        <v>42270.157962962963</v>
      </c>
      <c r="R7521">
        <v>7</v>
      </c>
      <c r="S7521" t="s">
        <v>1226</v>
      </c>
      <c r="T7521" t="s">
        <v>6327</v>
      </c>
      <c r="U7521">
        <v>523.20000000000005</v>
      </c>
      <c r="V7521" s="3">
        <v>40968</v>
      </c>
    </row>
    <row r="7522" spans="1:22" x14ac:dyDescent="0.35">
      <c r="A7522" s="1">
        <v>42271.717465277776</v>
      </c>
      <c r="B7522" s="2">
        <v>8.3333333333333339E-4</v>
      </c>
      <c r="C7522" t="s">
        <v>6324</v>
      </c>
      <c r="D7522" t="s">
        <v>1222</v>
      </c>
      <c r="E7522" t="s">
        <v>1223</v>
      </c>
      <c r="F7522" t="s">
        <v>6325</v>
      </c>
      <c r="G7522">
        <v>871519</v>
      </c>
      <c r="H7522" t="s">
        <v>26</v>
      </c>
      <c r="I7522" t="s">
        <v>1532</v>
      </c>
      <c r="J7522" t="str">
        <f>"9781444398359"</f>
        <v>9781444398359</v>
      </c>
      <c r="K7522" t="s">
        <v>11129</v>
      </c>
      <c r="L7522">
        <v>5</v>
      </c>
      <c r="O7522" t="s">
        <v>30</v>
      </c>
      <c r="P7522" t="s">
        <v>29</v>
      </c>
      <c r="Q7522" s="1">
        <v>42270.157962962963</v>
      </c>
      <c r="R7522">
        <v>7</v>
      </c>
      <c r="S7522" t="s">
        <v>1226</v>
      </c>
      <c r="T7522" t="s">
        <v>6327</v>
      </c>
      <c r="U7522">
        <v>523.20000000000005</v>
      </c>
      <c r="V7522" s="3">
        <v>40968</v>
      </c>
    </row>
    <row r="7523" spans="1:22" x14ac:dyDescent="0.35">
      <c r="A7523" s="1">
        <v>42271.701990740738</v>
      </c>
      <c r="B7523" s="2">
        <v>4.9201388888888892E-2</v>
      </c>
      <c r="C7523" t="s">
        <v>106</v>
      </c>
      <c r="D7523" t="s">
        <v>23</v>
      </c>
      <c r="E7523" t="s">
        <v>24</v>
      </c>
      <c r="F7523" t="s">
        <v>3228</v>
      </c>
      <c r="G7523">
        <v>1115640</v>
      </c>
      <c r="H7523" t="s">
        <v>26</v>
      </c>
      <c r="I7523" t="s">
        <v>3229</v>
      </c>
      <c r="J7523" t="str">
        <f>"9781118419090"</f>
        <v>9781118419090</v>
      </c>
      <c r="K7523" t="s">
        <v>11130</v>
      </c>
      <c r="L7523">
        <v>27</v>
      </c>
      <c r="O7523" t="s">
        <v>30</v>
      </c>
      <c r="P7523" t="s">
        <v>29</v>
      </c>
      <c r="Q7523" s="1">
        <v>42265.564884259256</v>
      </c>
      <c r="R7523">
        <v>7</v>
      </c>
      <c r="S7523" t="s">
        <v>31</v>
      </c>
      <c r="T7523" t="s">
        <v>3231</v>
      </c>
      <c r="U7523">
        <v>624</v>
      </c>
      <c r="V7523" s="3">
        <v>41296</v>
      </c>
    </row>
    <row r="7524" spans="1:22" x14ac:dyDescent="0.35">
      <c r="A7524" s="1">
        <v>42271.661261574074</v>
      </c>
      <c r="B7524" s="2">
        <v>2.0960648148148148E-2</v>
      </c>
      <c r="C7524" t="s">
        <v>10972</v>
      </c>
      <c r="D7524" t="s">
        <v>23</v>
      </c>
      <c r="E7524" t="s">
        <v>24</v>
      </c>
      <c r="F7524" t="s">
        <v>3228</v>
      </c>
      <c r="G7524">
        <v>1115640</v>
      </c>
      <c r="H7524" t="s">
        <v>26</v>
      </c>
      <c r="I7524" t="s">
        <v>3229</v>
      </c>
      <c r="J7524" t="str">
        <f>"9781118419090"</f>
        <v>9781118419090</v>
      </c>
      <c r="K7524" t="s">
        <v>11131</v>
      </c>
      <c r="L7524">
        <v>11</v>
      </c>
      <c r="O7524" t="s">
        <v>30</v>
      </c>
      <c r="P7524" t="s">
        <v>29</v>
      </c>
      <c r="Q7524" s="1">
        <v>42271.661261574074</v>
      </c>
      <c r="R7524">
        <v>7</v>
      </c>
      <c r="S7524" t="s">
        <v>31</v>
      </c>
      <c r="T7524" t="s">
        <v>3231</v>
      </c>
      <c r="U7524">
        <v>624</v>
      </c>
      <c r="V7524" s="3">
        <v>41296</v>
      </c>
    </row>
    <row r="7525" spans="1:22" x14ac:dyDescent="0.35">
      <c r="A7525" s="1">
        <v>42271.654178240744</v>
      </c>
      <c r="B7525" s="2">
        <v>7.083333333333333E-3</v>
      </c>
      <c r="C7525" t="s">
        <v>10972</v>
      </c>
      <c r="D7525" t="s">
        <v>23</v>
      </c>
      <c r="E7525" t="s">
        <v>24</v>
      </c>
      <c r="F7525" t="s">
        <v>3228</v>
      </c>
      <c r="G7525">
        <v>1115640</v>
      </c>
      <c r="H7525" t="s">
        <v>26</v>
      </c>
      <c r="I7525" t="s">
        <v>3229</v>
      </c>
      <c r="J7525" t="str">
        <f>"9781118419090"</f>
        <v>9781118419090</v>
      </c>
      <c r="K7525" t="s">
        <v>11132</v>
      </c>
      <c r="L7525">
        <v>31</v>
      </c>
      <c r="O7525" t="s">
        <v>30</v>
      </c>
      <c r="P7525" t="s">
        <v>42</v>
      </c>
      <c r="S7525" t="s">
        <v>31</v>
      </c>
      <c r="T7525" t="s">
        <v>3231</v>
      </c>
      <c r="U7525">
        <v>624</v>
      </c>
      <c r="V7525" s="3">
        <v>41296</v>
      </c>
    </row>
    <row r="7526" spans="1:22" x14ac:dyDescent="0.35">
      <c r="A7526" s="1">
        <v>42271.642372685186</v>
      </c>
      <c r="B7526" s="2">
        <v>2.6458333333333334E-2</v>
      </c>
      <c r="C7526" t="s">
        <v>106</v>
      </c>
      <c r="D7526" t="s">
        <v>23</v>
      </c>
      <c r="E7526" t="s">
        <v>24</v>
      </c>
      <c r="F7526" t="s">
        <v>3228</v>
      </c>
      <c r="G7526">
        <v>1115640</v>
      </c>
      <c r="H7526" t="s">
        <v>26</v>
      </c>
      <c r="I7526" t="s">
        <v>3229</v>
      </c>
      <c r="J7526" t="str">
        <f>"9781118419090"</f>
        <v>9781118419090</v>
      </c>
      <c r="K7526" t="s">
        <v>11133</v>
      </c>
      <c r="L7526">
        <v>22</v>
      </c>
      <c r="O7526" t="s">
        <v>30</v>
      </c>
      <c r="P7526" t="s">
        <v>29</v>
      </c>
      <c r="Q7526" s="1">
        <v>42265.564884259256</v>
      </c>
      <c r="R7526">
        <v>7</v>
      </c>
      <c r="S7526" t="s">
        <v>31</v>
      </c>
      <c r="T7526" t="s">
        <v>3231</v>
      </c>
      <c r="U7526">
        <v>624</v>
      </c>
      <c r="V7526" s="3">
        <v>41296</v>
      </c>
    </row>
    <row r="7527" spans="1:22" x14ac:dyDescent="0.35">
      <c r="A7527" s="1">
        <v>42271.63040509259</v>
      </c>
      <c r="B7527" s="2">
        <v>4.0509259259259258E-4</v>
      </c>
      <c r="C7527" t="s">
        <v>11134</v>
      </c>
      <c r="D7527" t="s">
        <v>1222</v>
      </c>
      <c r="E7527" t="s">
        <v>1223</v>
      </c>
      <c r="F7527" t="s">
        <v>1656</v>
      </c>
      <c r="G7527">
        <v>902995</v>
      </c>
      <c r="H7527" t="s">
        <v>149</v>
      </c>
      <c r="I7527" t="s">
        <v>247</v>
      </c>
      <c r="J7527" t="str">
        <f>"9781438139234"</f>
        <v>9781438139234</v>
      </c>
      <c r="K7527" t="s">
        <v>11135</v>
      </c>
      <c r="L7527">
        <v>18</v>
      </c>
      <c r="O7527" t="s">
        <v>30</v>
      </c>
      <c r="P7527" t="s">
        <v>42</v>
      </c>
      <c r="S7527" t="s">
        <v>1226</v>
      </c>
      <c r="T7527" t="s">
        <v>1657</v>
      </c>
      <c r="U7527" t="s">
        <v>1658</v>
      </c>
      <c r="V7527" s="3">
        <v>40969</v>
      </c>
    </row>
    <row r="7528" spans="1:22" x14ac:dyDescent="0.35">
      <c r="A7528" s="1">
        <v>42271.610821759263</v>
      </c>
      <c r="B7528" s="2">
        <v>3.2129629629629626E-2</v>
      </c>
      <c r="C7528" t="s">
        <v>11011</v>
      </c>
      <c r="D7528" t="s">
        <v>23</v>
      </c>
      <c r="E7528" t="s">
        <v>24</v>
      </c>
      <c r="F7528" t="s">
        <v>3228</v>
      </c>
      <c r="G7528">
        <v>1115640</v>
      </c>
      <c r="H7528" t="s">
        <v>26</v>
      </c>
      <c r="I7528" t="s">
        <v>3229</v>
      </c>
      <c r="J7528" t="str">
        <f>"9781118419090"</f>
        <v>9781118419090</v>
      </c>
      <c r="K7528" t="s">
        <v>11136</v>
      </c>
      <c r="L7528">
        <v>4</v>
      </c>
      <c r="O7528" t="s">
        <v>30</v>
      </c>
      <c r="P7528" t="s">
        <v>29</v>
      </c>
      <c r="Q7528" s="1">
        <v>42271.610821759263</v>
      </c>
      <c r="R7528">
        <v>7</v>
      </c>
      <c r="S7528" t="s">
        <v>31</v>
      </c>
      <c r="T7528" t="s">
        <v>3231</v>
      </c>
      <c r="U7528">
        <v>624</v>
      </c>
      <c r="V7528" s="3">
        <v>41296</v>
      </c>
    </row>
    <row r="7529" spans="1:22" x14ac:dyDescent="0.35">
      <c r="A7529" s="1">
        <v>42271.598333333335</v>
      </c>
      <c r="B7529" s="2">
        <v>1.2488425925925925E-2</v>
      </c>
      <c r="C7529" t="s">
        <v>11011</v>
      </c>
      <c r="D7529" t="s">
        <v>23</v>
      </c>
      <c r="E7529" t="s">
        <v>24</v>
      </c>
      <c r="F7529" t="s">
        <v>3228</v>
      </c>
      <c r="G7529">
        <v>1115640</v>
      </c>
      <c r="H7529" t="s">
        <v>26</v>
      </c>
      <c r="I7529" t="s">
        <v>3229</v>
      </c>
      <c r="J7529" t="str">
        <f>"9781118419090"</f>
        <v>9781118419090</v>
      </c>
      <c r="K7529" t="s">
        <v>11137</v>
      </c>
      <c r="L7529">
        <v>19</v>
      </c>
      <c r="O7529" t="s">
        <v>30</v>
      </c>
      <c r="P7529" t="s">
        <v>42</v>
      </c>
      <c r="S7529" t="s">
        <v>31</v>
      </c>
      <c r="T7529" t="s">
        <v>3231</v>
      </c>
      <c r="U7529">
        <v>624</v>
      </c>
      <c r="V7529" s="3">
        <v>41296</v>
      </c>
    </row>
    <row r="7530" spans="1:22" x14ac:dyDescent="0.35">
      <c r="A7530" s="1">
        <v>42271.597291666665</v>
      </c>
      <c r="B7530" s="2">
        <v>0</v>
      </c>
      <c r="C7530" t="s">
        <v>3185</v>
      </c>
      <c r="D7530" t="s">
        <v>23</v>
      </c>
      <c r="E7530" t="s">
        <v>24</v>
      </c>
      <c r="F7530" t="s">
        <v>3186</v>
      </c>
      <c r="G7530">
        <v>699744</v>
      </c>
      <c r="H7530" t="s">
        <v>26</v>
      </c>
      <c r="I7530" t="s">
        <v>3187</v>
      </c>
      <c r="J7530" t="str">
        <f>"9781118585818"</f>
        <v>9781118585818</v>
      </c>
      <c r="L7530">
        <v>0</v>
      </c>
      <c r="O7530" t="s">
        <v>28</v>
      </c>
      <c r="P7530" t="s">
        <v>29</v>
      </c>
      <c r="Q7530" s="1">
        <v>42271.58792824074</v>
      </c>
      <c r="R7530">
        <v>7</v>
      </c>
      <c r="S7530" t="s">
        <v>31</v>
      </c>
      <c r="T7530" t="s">
        <v>3188</v>
      </c>
      <c r="U7530">
        <v>621.36</v>
      </c>
      <c r="V7530" s="3">
        <v>41310</v>
      </c>
    </row>
    <row r="7531" spans="1:22" x14ac:dyDescent="0.35">
      <c r="A7531" s="1">
        <v>42271.596956018519</v>
      </c>
      <c r="B7531" s="2">
        <v>3.3564814814814812E-4</v>
      </c>
      <c r="C7531" t="s">
        <v>3185</v>
      </c>
      <c r="D7531" t="s">
        <v>23</v>
      </c>
      <c r="E7531" t="s">
        <v>24</v>
      </c>
      <c r="F7531" t="s">
        <v>3186</v>
      </c>
      <c r="G7531">
        <v>699744</v>
      </c>
      <c r="H7531" t="s">
        <v>26</v>
      </c>
      <c r="I7531" t="s">
        <v>3187</v>
      </c>
      <c r="J7531" t="str">
        <f>"9781118585818"</f>
        <v>9781118585818</v>
      </c>
      <c r="K7531" t="s">
        <v>648</v>
      </c>
      <c r="L7531">
        <v>1</v>
      </c>
      <c r="O7531" t="s">
        <v>28</v>
      </c>
      <c r="P7531" t="s">
        <v>29</v>
      </c>
      <c r="Q7531" s="1">
        <v>42271.58792824074</v>
      </c>
      <c r="R7531">
        <v>7</v>
      </c>
      <c r="S7531" t="s">
        <v>31</v>
      </c>
      <c r="T7531" t="s">
        <v>3188</v>
      </c>
      <c r="U7531">
        <v>621.36</v>
      </c>
      <c r="V7531" s="3">
        <v>41310</v>
      </c>
    </row>
    <row r="7532" spans="1:22" x14ac:dyDescent="0.35">
      <c r="A7532" s="1">
        <v>42271.59684027778</v>
      </c>
      <c r="B7532" s="2">
        <v>4.6296296296296294E-5</v>
      </c>
      <c r="C7532" t="s">
        <v>3185</v>
      </c>
      <c r="D7532" t="s">
        <v>23</v>
      </c>
      <c r="E7532" t="s">
        <v>24</v>
      </c>
      <c r="F7532" t="s">
        <v>3186</v>
      </c>
      <c r="G7532">
        <v>699744</v>
      </c>
      <c r="H7532" t="s">
        <v>26</v>
      </c>
      <c r="I7532" t="s">
        <v>3187</v>
      </c>
      <c r="J7532" t="str">
        <f>"9781118585818"</f>
        <v>9781118585818</v>
      </c>
      <c r="K7532" t="s">
        <v>33</v>
      </c>
      <c r="L7532">
        <v>3</v>
      </c>
      <c r="O7532" t="s">
        <v>30</v>
      </c>
      <c r="P7532" t="s">
        <v>29</v>
      </c>
      <c r="Q7532" s="1">
        <v>42271.58792824074</v>
      </c>
      <c r="R7532">
        <v>7</v>
      </c>
      <c r="S7532" t="s">
        <v>31</v>
      </c>
      <c r="T7532" t="s">
        <v>3188</v>
      </c>
      <c r="U7532">
        <v>621.36</v>
      </c>
      <c r="V7532" s="3">
        <v>41310</v>
      </c>
    </row>
    <row r="7533" spans="1:22" x14ac:dyDescent="0.35">
      <c r="A7533" s="1">
        <v>42271.593842592592</v>
      </c>
      <c r="B7533" s="2">
        <v>6.2847222222222228E-3</v>
      </c>
      <c r="C7533" t="s">
        <v>6724</v>
      </c>
      <c r="D7533" t="s">
        <v>23</v>
      </c>
      <c r="E7533" t="s">
        <v>24</v>
      </c>
      <c r="F7533" t="s">
        <v>486</v>
      </c>
      <c r="G7533">
        <v>1119505</v>
      </c>
      <c r="H7533" t="s">
        <v>26</v>
      </c>
      <c r="I7533" t="s">
        <v>450</v>
      </c>
      <c r="J7533" t="str">
        <f>"9781118355015"</f>
        <v>9781118355015</v>
      </c>
      <c r="K7533" t="s">
        <v>11138</v>
      </c>
      <c r="L7533">
        <v>6</v>
      </c>
      <c r="O7533" t="s">
        <v>30</v>
      </c>
      <c r="P7533" t="s">
        <v>29</v>
      </c>
      <c r="Q7533" s="1">
        <v>42271.593842592592</v>
      </c>
      <c r="R7533">
        <v>7</v>
      </c>
      <c r="S7533" t="s">
        <v>31</v>
      </c>
      <c r="T7533" t="s">
        <v>487</v>
      </c>
      <c r="U7533" t="s">
        <v>488</v>
      </c>
      <c r="V7533" s="3">
        <v>41302</v>
      </c>
    </row>
    <row r="7534" spans="1:22" x14ac:dyDescent="0.35">
      <c r="A7534" s="1">
        <v>42271.58792824074</v>
      </c>
      <c r="B7534" s="2">
        <v>0</v>
      </c>
      <c r="C7534" t="s">
        <v>3185</v>
      </c>
      <c r="D7534" t="s">
        <v>23</v>
      </c>
      <c r="E7534" t="s">
        <v>24</v>
      </c>
      <c r="F7534" t="s">
        <v>3186</v>
      </c>
      <c r="G7534">
        <v>699744</v>
      </c>
      <c r="H7534" t="s">
        <v>26</v>
      </c>
      <c r="I7534" t="s">
        <v>3187</v>
      </c>
      <c r="J7534" t="str">
        <f>"9781118585818"</f>
        <v>9781118585818</v>
      </c>
      <c r="L7534">
        <v>0</v>
      </c>
      <c r="O7534" t="s">
        <v>28</v>
      </c>
      <c r="P7534" t="s">
        <v>29</v>
      </c>
      <c r="Q7534" s="1">
        <v>42271.58792824074</v>
      </c>
      <c r="R7534">
        <v>7</v>
      </c>
      <c r="S7534" t="s">
        <v>31</v>
      </c>
      <c r="T7534" t="s">
        <v>3188</v>
      </c>
      <c r="U7534">
        <v>621.36</v>
      </c>
      <c r="V7534" s="3">
        <v>41310</v>
      </c>
    </row>
    <row r="7535" spans="1:22" x14ac:dyDescent="0.35">
      <c r="A7535" s="1">
        <v>42271.58792824074</v>
      </c>
      <c r="B7535" s="2">
        <v>0</v>
      </c>
      <c r="C7535" t="s">
        <v>3185</v>
      </c>
      <c r="D7535" t="s">
        <v>23</v>
      </c>
      <c r="E7535" t="s">
        <v>24</v>
      </c>
      <c r="F7535" t="s">
        <v>3186</v>
      </c>
      <c r="G7535">
        <v>699744</v>
      </c>
      <c r="H7535" t="s">
        <v>26</v>
      </c>
      <c r="I7535" t="s">
        <v>3187</v>
      </c>
      <c r="J7535" t="str">
        <f>"9781118585818"</f>
        <v>9781118585818</v>
      </c>
      <c r="L7535">
        <v>0</v>
      </c>
      <c r="O7535" t="s">
        <v>30</v>
      </c>
      <c r="P7535" t="s">
        <v>29</v>
      </c>
      <c r="Q7535" s="1">
        <v>42271.58792824074</v>
      </c>
      <c r="R7535">
        <v>7</v>
      </c>
      <c r="S7535" t="s">
        <v>31</v>
      </c>
      <c r="T7535" t="s">
        <v>3188</v>
      </c>
      <c r="U7535">
        <v>621.36</v>
      </c>
      <c r="V7535" s="3">
        <v>41310</v>
      </c>
    </row>
    <row r="7536" spans="1:22" x14ac:dyDescent="0.35">
      <c r="A7536" s="1">
        <v>42271.587442129632</v>
      </c>
      <c r="B7536" s="2">
        <v>9.8726851851851857E-3</v>
      </c>
      <c r="C7536" t="s">
        <v>6390</v>
      </c>
      <c r="D7536" t="s">
        <v>23</v>
      </c>
      <c r="E7536" t="s">
        <v>24</v>
      </c>
      <c r="F7536" t="s">
        <v>486</v>
      </c>
      <c r="G7536">
        <v>1119505</v>
      </c>
      <c r="H7536" t="s">
        <v>26</v>
      </c>
      <c r="I7536" t="s">
        <v>450</v>
      </c>
      <c r="J7536" t="str">
        <f>"9781118355015"</f>
        <v>9781118355015</v>
      </c>
      <c r="K7536" t="s">
        <v>11139</v>
      </c>
      <c r="L7536">
        <v>11</v>
      </c>
      <c r="O7536" t="s">
        <v>30</v>
      </c>
      <c r="P7536" t="s">
        <v>29</v>
      </c>
      <c r="Q7536" s="1">
        <v>42269.945254629631</v>
      </c>
      <c r="R7536">
        <v>7</v>
      </c>
      <c r="S7536" t="s">
        <v>31</v>
      </c>
      <c r="T7536" t="s">
        <v>487</v>
      </c>
      <c r="U7536" t="s">
        <v>488</v>
      </c>
      <c r="V7536" s="3">
        <v>41302</v>
      </c>
    </row>
    <row r="7537" spans="1:22" x14ac:dyDescent="0.35">
      <c r="A7537" s="1">
        <v>42271.587106481478</v>
      </c>
      <c r="B7537" s="2">
        <v>8.1018518518518516E-4</v>
      </c>
      <c r="C7537" t="s">
        <v>3185</v>
      </c>
      <c r="D7537" t="s">
        <v>23</v>
      </c>
      <c r="E7537" t="s">
        <v>24</v>
      </c>
      <c r="F7537" t="s">
        <v>3186</v>
      </c>
      <c r="G7537">
        <v>699744</v>
      </c>
      <c r="H7537" t="s">
        <v>26</v>
      </c>
      <c r="I7537" t="s">
        <v>3187</v>
      </c>
      <c r="J7537" t="str">
        <f>"9781118585818"</f>
        <v>9781118585818</v>
      </c>
      <c r="K7537" t="s">
        <v>11140</v>
      </c>
      <c r="L7537">
        <v>4</v>
      </c>
      <c r="O7537" t="s">
        <v>30</v>
      </c>
      <c r="P7537" t="s">
        <v>42</v>
      </c>
      <c r="S7537" t="s">
        <v>31</v>
      </c>
      <c r="T7537" t="s">
        <v>3188</v>
      </c>
      <c r="U7537">
        <v>621.36</v>
      </c>
      <c r="V7537" s="3">
        <v>41310</v>
      </c>
    </row>
    <row r="7538" spans="1:22" x14ac:dyDescent="0.35">
      <c r="A7538" s="1">
        <v>42271.582314814812</v>
      </c>
      <c r="B7538" s="2">
        <v>1.1527777777777777E-2</v>
      </c>
      <c r="C7538" t="s">
        <v>6724</v>
      </c>
      <c r="D7538" t="s">
        <v>23</v>
      </c>
      <c r="E7538" t="s">
        <v>24</v>
      </c>
      <c r="F7538" t="s">
        <v>486</v>
      </c>
      <c r="G7538">
        <v>1119505</v>
      </c>
      <c r="H7538" t="s">
        <v>26</v>
      </c>
      <c r="I7538" t="s">
        <v>450</v>
      </c>
      <c r="J7538" t="str">
        <f>"9781118355015"</f>
        <v>9781118355015</v>
      </c>
      <c r="K7538" t="s">
        <v>11141</v>
      </c>
      <c r="L7538">
        <v>16</v>
      </c>
      <c r="O7538" t="s">
        <v>30</v>
      </c>
      <c r="P7538" t="s">
        <v>29</v>
      </c>
      <c r="Q7538" s="1">
        <v>42264.590648148151</v>
      </c>
      <c r="R7538">
        <v>7</v>
      </c>
      <c r="S7538" t="s">
        <v>31</v>
      </c>
      <c r="T7538" t="s">
        <v>487</v>
      </c>
      <c r="U7538" t="s">
        <v>488</v>
      </c>
      <c r="V7538" s="3">
        <v>41302</v>
      </c>
    </row>
    <row r="7539" spans="1:22" x14ac:dyDescent="0.35">
      <c r="A7539" s="1">
        <v>42271.577627314815</v>
      </c>
      <c r="B7539" s="2">
        <v>2.8935185185185189E-4</v>
      </c>
      <c r="C7539" t="s">
        <v>106</v>
      </c>
      <c r="D7539" t="s">
        <v>23</v>
      </c>
      <c r="E7539" t="s">
        <v>24</v>
      </c>
      <c r="F7539" t="s">
        <v>3228</v>
      </c>
      <c r="G7539">
        <v>1115640</v>
      </c>
      <c r="H7539" t="s">
        <v>26</v>
      </c>
      <c r="I7539" t="s">
        <v>3229</v>
      </c>
      <c r="J7539" t="str">
        <f>"9781118419090"</f>
        <v>9781118419090</v>
      </c>
      <c r="K7539" t="s">
        <v>11142</v>
      </c>
      <c r="L7539">
        <v>11</v>
      </c>
      <c r="O7539" t="s">
        <v>30</v>
      </c>
      <c r="P7539" t="s">
        <v>29</v>
      </c>
      <c r="Q7539" s="1">
        <v>42265.564884259256</v>
      </c>
      <c r="R7539">
        <v>7</v>
      </c>
      <c r="S7539" t="s">
        <v>31</v>
      </c>
      <c r="T7539" t="s">
        <v>3231</v>
      </c>
      <c r="U7539">
        <v>624</v>
      </c>
      <c r="V7539" s="3">
        <v>41296</v>
      </c>
    </row>
    <row r="7540" spans="1:22" x14ac:dyDescent="0.35">
      <c r="A7540" s="1">
        <v>42271.573599537034</v>
      </c>
      <c r="B7540" s="2">
        <v>5.4594907407407411E-2</v>
      </c>
      <c r="C7540" t="s">
        <v>10995</v>
      </c>
      <c r="D7540" t="s">
        <v>23</v>
      </c>
      <c r="E7540" t="s">
        <v>24</v>
      </c>
      <c r="F7540" t="s">
        <v>3228</v>
      </c>
      <c r="G7540">
        <v>1115640</v>
      </c>
      <c r="H7540" t="s">
        <v>26</v>
      </c>
      <c r="I7540" t="s">
        <v>3229</v>
      </c>
      <c r="J7540" t="str">
        <f>"9781118419090"</f>
        <v>9781118419090</v>
      </c>
      <c r="K7540" t="s">
        <v>11143</v>
      </c>
      <c r="L7540">
        <v>27</v>
      </c>
      <c r="O7540" t="s">
        <v>30</v>
      </c>
      <c r="P7540" t="s">
        <v>29</v>
      </c>
      <c r="Q7540" s="1">
        <v>42270.995648148149</v>
      </c>
      <c r="R7540">
        <v>7</v>
      </c>
      <c r="S7540" t="s">
        <v>31</v>
      </c>
      <c r="T7540" t="s">
        <v>3231</v>
      </c>
      <c r="U7540">
        <v>624</v>
      </c>
      <c r="V7540" s="3">
        <v>41296</v>
      </c>
    </row>
    <row r="7541" spans="1:22" x14ac:dyDescent="0.35">
      <c r="A7541" s="1">
        <v>42271.56826388889</v>
      </c>
      <c r="B7541" s="2">
        <v>2.4305555555555552E-4</v>
      </c>
      <c r="C7541" t="s">
        <v>7408</v>
      </c>
      <c r="D7541" t="s">
        <v>23</v>
      </c>
      <c r="E7541" t="s">
        <v>24</v>
      </c>
      <c r="F7541" t="s">
        <v>486</v>
      </c>
      <c r="G7541">
        <v>1119505</v>
      </c>
      <c r="H7541" t="s">
        <v>26</v>
      </c>
      <c r="I7541" t="s">
        <v>450</v>
      </c>
      <c r="J7541" t="str">
        <f>"9781118355015"</f>
        <v>9781118355015</v>
      </c>
      <c r="K7541" t="s">
        <v>11144</v>
      </c>
      <c r="L7541">
        <v>8</v>
      </c>
      <c r="N7541" t="s">
        <v>10741</v>
      </c>
      <c r="O7541" t="s">
        <v>30</v>
      </c>
      <c r="P7541" t="s">
        <v>29</v>
      </c>
      <c r="Q7541" s="1">
        <v>42264.600462962961</v>
      </c>
      <c r="R7541">
        <v>7</v>
      </c>
      <c r="S7541" t="s">
        <v>31</v>
      </c>
      <c r="T7541" t="s">
        <v>487</v>
      </c>
      <c r="U7541" t="s">
        <v>488</v>
      </c>
      <c r="V7541" s="3">
        <v>41302</v>
      </c>
    </row>
    <row r="7542" spans="1:22" x14ac:dyDescent="0.35">
      <c r="A7542" s="1">
        <v>42271.503252314818</v>
      </c>
      <c r="B7542" s="2">
        <v>2.3287037037037037E-2</v>
      </c>
      <c r="C7542" t="s">
        <v>106</v>
      </c>
      <c r="D7542" t="s">
        <v>23</v>
      </c>
      <c r="E7542" t="s">
        <v>24</v>
      </c>
      <c r="F7542" t="s">
        <v>3228</v>
      </c>
      <c r="G7542">
        <v>1115640</v>
      </c>
      <c r="H7542" t="s">
        <v>26</v>
      </c>
      <c r="I7542" t="s">
        <v>3229</v>
      </c>
      <c r="J7542" t="str">
        <f>"9781118419090"</f>
        <v>9781118419090</v>
      </c>
      <c r="K7542" t="s">
        <v>11145</v>
      </c>
      <c r="L7542">
        <v>37</v>
      </c>
      <c r="O7542" t="s">
        <v>30</v>
      </c>
      <c r="P7542" t="s">
        <v>29</v>
      </c>
      <c r="Q7542" s="1">
        <v>42265.564884259256</v>
      </c>
      <c r="R7542">
        <v>7</v>
      </c>
      <c r="S7542" t="s">
        <v>31</v>
      </c>
      <c r="T7542" t="s">
        <v>3231</v>
      </c>
      <c r="U7542">
        <v>624</v>
      </c>
      <c r="V7542" s="3">
        <v>41296</v>
      </c>
    </row>
    <row r="7543" spans="1:22" x14ac:dyDescent="0.35">
      <c r="A7543" s="1">
        <v>42271.491967592592</v>
      </c>
      <c r="B7543" s="2">
        <v>9.0000000000000011E-2</v>
      </c>
      <c r="C7543" t="s">
        <v>10989</v>
      </c>
      <c r="D7543" t="s">
        <v>23</v>
      </c>
      <c r="E7543" t="s">
        <v>24</v>
      </c>
      <c r="F7543" t="s">
        <v>3228</v>
      </c>
      <c r="G7543">
        <v>1115640</v>
      </c>
      <c r="H7543" t="s">
        <v>26</v>
      </c>
      <c r="I7543" t="s">
        <v>3229</v>
      </c>
      <c r="J7543" t="str">
        <f>"9781118419090"</f>
        <v>9781118419090</v>
      </c>
      <c r="K7543" t="s">
        <v>11146</v>
      </c>
      <c r="L7543">
        <v>38</v>
      </c>
      <c r="O7543" t="s">
        <v>30</v>
      </c>
      <c r="P7543" t="s">
        <v>29</v>
      </c>
      <c r="Q7543" s="1">
        <v>42271.491967592592</v>
      </c>
      <c r="R7543">
        <v>7</v>
      </c>
      <c r="S7543" t="s">
        <v>31</v>
      </c>
      <c r="T7543" t="s">
        <v>3231</v>
      </c>
      <c r="U7543">
        <v>624</v>
      </c>
      <c r="V7543" s="3">
        <v>41296</v>
      </c>
    </row>
    <row r="7544" spans="1:22" x14ac:dyDescent="0.35">
      <c r="A7544" s="1">
        <v>42271.481539351851</v>
      </c>
      <c r="B7544" s="2">
        <v>1.2905092592592591E-2</v>
      </c>
      <c r="C7544" t="s">
        <v>10978</v>
      </c>
      <c r="D7544" t="s">
        <v>23</v>
      </c>
      <c r="E7544" t="s">
        <v>24</v>
      </c>
      <c r="F7544" t="s">
        <v>3228</v>
      </c>
      <c r="G7544">
        <v>1115640</v>
      </c>
      <c r="H7544" t="s">
        <v>26</v>
      </c>
      <c r="I7544" t="s">
        <v>3229</v>
      </c>
      <c r="J7544" t="str">
        <f>"9781118419090"</f>
        <v>9781118419090</v>
      </c>
      <c r="K7544" t="s">
        <v>11147</v>
      </c>
      <c r="L7544">
        <v>16</v>
      </c>
      <c r="O7544" t="s">
        <v>30</v>
      </c>
      <c r="P7544" t="s">
        <v>29</v>
      </c>
      <c r="Q7544" s="1">
        <v>42268.138773148145</v>
      </c>
      <c r="R7544">
        <v>7</v>
      </c>
      <c r="S7544" t="s">
        <v>31</v>
      </c>
      <c r="T7544" t="s">
        <v>3231</v>
      </c>
      <c r="U7544">
        <v>624</v>
      </c>
      <c r="V7544" s="3">
        <v>41296</v>
      </c>
    </row>
    <row r="7545" spans="1:22" x14ac:dyDescent="0.35">
      <c r="A7545" s="1">
        <v>42271.479895833334</v>
      </c>
      <c r="B7545" s="2">
        <v>1.207175925925926E-2</v>
      </c>
      <c r="C7545" t="s">
        <v>10989</v>
      </c>
      <c r="D7545" t="s">
        <v>23</v>
      </c>
      <c r="E7545" t="s">
        <v>24</v>
      </c>
      <c r="F7545" t="s">
        <v>3228</v>
      </c>
      <c r="G7545">
        <v>1115640</v>
      </c>
      <c r="H7545" t="s">
        <v>26</v>
      </c>
      <c r="I7545" t="s">
        <v>3229</v>
      </c>
      <c r="J7545" t="str">
        <f>"9781118419090"</f>
        <v>9781118419090</v>
      </c>
      <c r="K7545" t="s">
        <v>11148</v>
      </c>
      <c r="L7545">
        <v>16</v>
      </c>
      <c r="O7545" t="s">
        <v>30</v>
      </c>
      <c r="P7545" t="s">
        <v>42</v>
      </c>
      <c r="S7545" t="s">
        <v>31</v>
      </c>
      <c r="T7545" t="s">
        <v>3231</v>
      </c>
      <c r="U7545">
        <v>624</v>
      </c>
      <c r="V7545" s="3">
        <v>41296</v>
      </c>
    </row>
    <row r="7546" spans="1:22" x14ac:dyDescent="0.35">
      <c r="A7546" s="1">
        <v>42271.420937499999</v>
      </c>
      <c r="B7546" s="2">
        <v>2.3495370370370371E-3</v>
      </c>
      <c r="C7546" t="s">
        <v>11149</v>
      </c>
      <c r="D7546" t="s">
        <v>211</v>
      </c>
      <c r="E7546" t="s">
        <v>212</v>
      </c>
      <c r="F7546" t="s">
        <v>11150</v>
      </c>
      <c r="G7546">
        <v>1647465</v>
      </c>
      <c r="H7546" t="s">
        <v>84</v>
      </c>
      <c r="I7546" t="s">
        <v>11151</v>
      </c>
      <c r="J7546" t="str">
        <f>"9780520957930"</f>
        <v>9780520957930</v>
      </c>
      <c r="K7546" t="s">
        <v>11152</v>
      </c>
      <c r="L7546">
        <v>26</v>
      </c>
      <c r="O7546" t="s">
        <v>28</v>
      </c>
      <c r="P7546" t="s">
        <v>47</v>
      </c>
      <c r="Q7546" s="1">
        <v>42271.420937499999</v>
      </c>
      <c r="R7546">
        <v>1</v>
      </c>
      <c r="S7546" t="s">
        <v>214</v>
      </c>
      <c r="T7546" t="s">
        <v>11153</v>
      </c>
      <c r="U7546" t="s">
        <v>11154</v>
      </c>
      <c r="V7546" s="3">
        <v>41692</v>
      </c>
    </row>
    <row r="7547" spans="1:22" x14ac:dyDescent="0.35">
      <c r="A7547" s="1">
        <v>42271.420937499999</v>
      </c>
      <c r="B7547" s="2">
        <v>0</v>
      </c>
      <c r="C7547" t="s">
        <v>11149</v>
      </c>
      <c r="D7547" t="s">
        <v>211</v>
      </c>
      <c r="E7547" t="s">
        <v>212</v>
      </c>
      <c r="F7547" t="s">
        <v>11150</v>
      </c>
      <c r="G7547">
        <v>1647465</v>
      </c>
      <c r="H7547" t="s">
        <v>84</v>
      </c>
      <c r="I7547" t="s">
        <v>11151</v>
      </c>
      <c r="J7547" t="str">
        <f>"9780520957930"</f>
        <v>9780520957930</v>
      </c>
      <c r="L7547">
        <v>0</v>
      </c>
      <c r="O7547" t="s">
        <v>30</v>
      </c>
      <c r="P7547" t="s">
        <v>47</v>
      </c>
      <c r="Q7547" s="1">
        <v>42271.420937499999</v>
      </c>
      <c r="R7547">
        <v>1</v>
      </c>
      <c r="S7547" t="s">
        <v>214</v>
      </c>
      <c r="T7547" t="s">
        <v>11153</v>
      </c>
      <c r="U7547" t="s">
        <v>11154</v>
      </c>
      <c r="V7547" s="3">
        <v>41692</v>
      </c>
    </row>
    <row r="7548" spans="1:22" x14ac:dyDescent="0.35">
      <c r="A7548" s="1">
        <v>42271.420555555553</v>
      </c>
      <c r="B7548" s="2">
        <v>3.8194444444444446E-4</v>
      </c>
      <c r="C7548" t="s">
        <v>11149</v>
      </c>
      <c r="D7548" t="s">
        <v>211</v>
      </c>
      <c r="E7548" t="s">
        <v>212</v>
      </c>
      <c r="F7548" t="s">
        <v>11150</v>
      </c>
      <c r="G7548">
        <v>1647465</v>
      </c>
      <c r="H7548" t="s">
        <v>84</v>
      </c>
      <c r="I7548" t="s">
        <v>11151</v>
      </c>
      <c r="J7548" t="str">
        <f>"9780520957930"</f>
        <v>9780520957930</v>
      </c>
      <c r="K7548" t="s">
        <v>33</v>
      </c>
      <c r="L7548">
        <v>3</v>
      </c>
      <c r="O7548" t="s">
        <v>30</v>
      </c>
      <c r="P7548" t="s">
        <v>50</v>
      </c>
      <c r="S7548" t="s">
        <v>214</v>
      </c>
      <c r="T7548" t="s">
        <v>11153</v>
      </c>
      <c r="U7548" t="s">
        <v>11154</v>
      </c>
      <c r="V7548" s="3">
        <v>41692</v>
      </c>
    </row>
    <row r="7549" spans="1:22" x14ac:dyDescent="0.35">
      <c r="A7549" s="1">
        <v>42271.420208333337</v>
      </c>
      <c r="B7549" s="2">
        <v>2.1180555555555553E-3</v>
      </c>
      <c r="C7549" t="s">
        <v>11155</v>
      </c>
      <c r="D7549" t="s">
        <v>23</v>
      </c>
      <c r="E7549" t="s">
        <v>24</v>
      </c>
      <c r="F7549" t="s">
        <v>52</v>
      </c>
      <c r="G7549">
        <v>822040</v>
      </c>
      <c r="H7549" t="s">
        <v>26</v>
      </c>
      <c r="I7549" t="s">
        <v>53</v>
      </c>
      <c r="J7549" t="str">
        <f>"9781118289099"</f>
        <v>9781118289099</v>
      </c>
      <c r="K7549" t="s">
        <v>11156</v>
      </c>
      <c r="L7549">
        <v>19</v>
      </c>
      <c r="O7549" t="s">
        <v>30</v>
      </c>
      <c r="P7549" t="s">
        <v>42</v>
      </c>
      <c r="S7549" t="s">
        <v>31</v>
      </c>
      <c r="T7549" t="s">
        <v>55</v>
      </c>
      <c r="U7549" t="s">
        <v>56</v>
      </c>
      <c r="V7549" s="3">
        <v>40990</v>
      </c>
    </row>
    <row r="7550" spans="1:22" x14ac:dyDescent="0.35">
      <c r="A7550" s="1">
        <v>42271.304594907408</v>
      </c>
      <c r="B7550" s="2">
        <v>0</v>
      </c>
      <c r="C7550" t="s">
        <v>11157</v>
      </c>
      <c r="D7550" t="s">
        <v>360</v>
      </c>
      <c r="E7550" t="s">
        <v>361</v>
      </c>
      <c r="F7550" t="s">
        <v>11158</v>
      </c>
      <c r="G7550">
        <v>2034315</v>
      </c>
      <c r="H7550" t="s">
        <v>26</v>
      </c>
      <c r="I7550" t="s">
        <v>11159</v>
      </c>
      <c r="J7550" t="str">
        <f>"9780745690414"</f>
        <v>9780745690414</v>
      </c>
      <c r="L7550">
        <v>0</v>
      </c>
      <c r="O7550" t="s">
        <v>28</v>
      </c>
      <c r="P7550" t="s">
        <v>29</v>
      </c>
      <c r="Q7550" s="1">
        <v>42271.304594907408</v>
      </c>
      <c r="R7550">
        <v>7</v>
      </c>
      <c r="S7550" t="s">
        <v>363</v>
      </c>
      <c r="T7550" t="s">
        <v>11160</v>
      </c>
      <c r="U7550">
        <v>338.47302230000003</v>
      </c>
      <c r="V7550" s="3">
        <v>42116</v>
      </c>
    </row>
    <row r="7551" spans="1:22" x14ac:dyDescent="0.35">
      <c r="A7551" s="1">
        <v>42271.304594907408</v>
      </c>
      <c r="B7551" s="2">
        <v>0</v>
      </c>
      <c r="C7551" t="s">
        <v>11157</v>
      </c>
      <c r="D7551" t="s">
        <v>360</v>
      </c>
      <c r="E7551" t="s">
        <v>361</v>
      </c>
      <c r="F7551" t="s">
        <v>11158</v>
      </c>
      <c r="G7551">
        <v>2034315</v>
      </c>
      <c r="H7551" t="s">
        <v>26</v>
      </c>
      <c r="I7551" t="s">
        <v>11159</v>
      </c>
      <c r="J7551" t="str">
        <f>"9780745690414"</f>
        <v>9780745690414</v>
      </c>
      <c r="L7551">
        <v>0</v>
      </c>
      <c r="O7551" t="s">
        <v>30</v>
      </c>
      <c r="P7551" t="s">
        <v>29</v>
      </c>
      <c r="Q7551" s="1">
        <v>42271.304594907408</v>
      </c>
      <c r="R7551">
        <v>7</v>
      </c>
      <c r="S7551" t="s">
        <v>363</v>
      </c>
      <c r="T7551" t="s">
        <v>11160</v>
      </c>
      <c r="U7551">
        <v>338.47302230000003</v>
      </c>
      <c r="V7551" s="3">
        <v>42116</v>
      </c>
    </row>
    <row r="7552" spans="1:22" x14ac:dyDescent="0.35">
      <c r="A7552" s="1">
        <v>42271.303888888891</v>
      </c>
      <c r="B7552" s="2">
        <v>6.9444444444444447E-4</v>
      </c>
      <c r="C7552" t="s">
        <v>11157</v>
      </c>
      <c r="D7552" t="s">
        <v>360</v>
      </c>
      <c r="E7552" t="s">
        <v>361</v>
      </c>
      <c r="F7552" t="s">
        <v>11158</v>
      </c>
      <c r="G7552">
        <v>2034315</v>
      </c>
      <c r="H7552" t="s">
        <v>26</v>
      </c>
      <c r="I7552" t="s">
        <v>11159</v>
      </c>
      <c r="J7552" t="str">
        <f>"9780745690414"</f>
        <v>9780745690414</v>
      </c>
      <c r="K7552" t="s">
        <v>355</v>
      </c>
      <c r="L7552">
        <v>8</v>
      </c>
      <c r="O7552" t="s">
        <v>30</v>
      </c>
      <c r="P7552" t="s">
        <v>50</v>
      </c>
      <c r="S7552" t="s">
        <v>363</v>
      </c>
      <c r="T7552" t="s">
        <v>11160</v>
      </c>
      <c r="U7552">
        <v>338.47302230000003</v>
      </c>
      <c r="V7552" s="3">
        <v>42116</v>
      </c>
    </row>
    <row r="7553" spans="1:22" x14ac:dyDescent="0.35">
      <c r="A7553" s="1">
        <v>42271.303807870368</v>
      </c>
      <c r="B7553" s="2">
        <v>0</v>
      </c>
      <c r="C7553" t="s">
        <v>11157</v>
      </c>
      <c r="D7553" t="s">
        <v>360</v>
      </c>
      <c r="E7553" t="s">
        <v>361</v>
      </c>
      <c r="F7553" t="s">
        <v>11161</v>
      </c>
      <c r="G7553">
        <v>2034316</v>
      </c>
      <c r="H7553" t="s">
        <v>26</v>
      </c>
      <c r="I7553" t="s">
        <v>11162</v>
      </c>
      <c r="J7553" t="str">
        <f>"9780745691404"</f>
        <v>9780745691404</v>
      </c>
      <c r="L7553">
        <v>0</v>
      </c>
      <c r="O7553" t="s">
        <v>28</v>
      </c>
      <c r="P7553" t="s">
        <v>29</v>
      </c>
      <c r="Q7553" s="1">
        <v>42270.656192129631</v>
      </c>
      <c r="R7553">
        <v>7</v>
      </c>
      <c r="S7553" t="s">
        <v>363</v>
      </c>
      <c r="T7553" t="s">
        <v>11163</v>
      </c>
      <c r="U7553" t="s">
        <v>11164</v>
      </c>
      <c r="V7553" s="3">
        <v>42116</v>
      </c>
    </row>
    <row r="7554" spans="1:22" x14ac:dyDescent="0.35">
      <c r="A7554" s="1">
        <v>42271.302824074075</v>
      </c>
      <c r="B7554" s="2">
        <v>0</v>
      </c>
      <c r="C7554" t="s">
        <v>11157</v>
      </c>
      <c r="D7554" t="s">
        <v>360</v>
      </c>
      <c r="E7554" t="s">
        <v>361</v>
      </c>
      <c r="F7554" t="s">
        <v>11165</v>
      </c>
      <c r="G7554">
        <v>1895706</v>
      </c>
      <c r="H7554" t="s">
        <v>26</v>
      </c>
      <c r="I7554" t="s">
        <v>120</v>
      </c>
      <c r="J7554" t="str">
        <f>"9781118885925"</f>
        <v>9781118885925</v>
      </c>
      <c r="L7554">
        <v>0</v>
      </c>
      <c r="O7554" t="s">
        <v>28</v>
      </c>
      <c r="P7554" t="s">
        <v>29</v>
      </c>
      <c r="Q7554" s="1">
        <v>42270.655150462961</v>
      </c>
      <c r="R7554">
        <v>7</v>
      </c>
      <c r="S7554" t="s">
        <v>363</v>
      </c>
      <c r="T7554" t="s">
        <v>11166</v>
      </c>
      <c r="U7554" t="s">
        <v>4160</v>
      </c>
      <c r="V7554" s="3">
        <v>42121</v>
      </c>
    </row>
    <row r="7555" spans="1:22" x14ac:dyDescent="0.35">
      <c r="A7555" s="1">
        <v>42271.302777777775</v>
      </c>
      <c r="B7555" s="2">
        <v>6.018518518518519E-4</v>
      </c>
      <c r="C7555" t="s">
        <v>11157</v>
      </c>
      <c r="D7555" t="s">
        <v>360</v>
      </c>
      <c r="E7555" t="s">
        <v>361</v>
      </c>
      <c r="F7555" t="s">
        <v>11161</v>
      </c>
      <c r="G7555">
        <v>2034316</v>
      </c>
      <c r="H7555" t="s">
        <v>26</v>
      </c>
      <c r="I7555" t="s">
        <v>11162</v>
      </c>
      <c r="J7555" t="str">
        <f>"9780745691404"</f>
        <v>9780745691404</v>
      </c>
      <c r="K7555" t="s">
        <v>11167</v>
      </c>
      <c r="L7555">
        <v>8</v>
      </c>
      <c r="O7555" t="s">
        <v>30</v>
      </c>
      <c r="P7555" t="s">
        <v>29</v>
      </c>
      <c r="Q7555" s="1">
        <v>42270.656192129631</v>
      </c>
      <c r="R7555">
        <v>7</v>
      </c>
      <c r="S7555" t="s">
        <v>363</v>
      </c>
      <c r="T7555" t="s">
        <v>11163</v>
      </c>
      <c r="U7555" t="s">
        <v>11164</v>
      </c>
      <c r="V7555" s="3">
        <v>42116</v>
      </c>
    </row>
    <row r="7556" spans="1:22" x14ac:dyDescent="0.35">
      <c r="A7556" s="1">
        <v>42271.302233796298</v>
      </c>
      <c r="B7556" s="2">
        <v>1.1574074074074073E-4</v>
      </c>
      <c r="C7556" t="s">
        <v>11157</v>
      </c>
      <c r="D7556" t="s">
        <v>360</v>
      </c>
      <c r="E7556" t="s">
        <v>361</v>
      </c>
      <c r="F7556" t="s">
        <v>11165</v>
      </c>
      <c r="G7556">
        <v>1895706</v>
      </c>
      <c r="H7556" t="s">
        <v>26</v>
      </c>
      <c r="I7556" t="s">
        <v>120</v>
      </c>
      <c r="J7556" t="str">
        <f>"9781118885925"</f>
        <v>9781118885925</v>
      </c>
      <c r="K7556" t="s">
        <v>1278</v>
      </c>
      <c r="L7556">
        <v>3</v>
      </c>
      <c r="O7556" t="s">
        <v>30</v>
      </c>
      <c r="P7556" t="s">
        <v>29</v>
      </c>
      <c r="Q7556" s="1">
        <v>42270.655150462961</v>
      </c>
      <c r="R7556">
        <v>7</v>
      </c>
      <c r="S7556" t="s">
        <v>363</v>
      </c>
      <c r="T7556" t="s">
        <v>11166</v>
      </c>
      <c r="U7556" t="s">
        <v>4160</v>
      </c>
      <c r="V7556" s="3">
        <v>42121</v>
      </c>
    </row>
    <row r="7557" spans="1:22" x14ac:dyDescent="0.35">
      <c r="A7557" s="1">
        <v>42271.301122685189</v>
      </c>
      <c r="B7557" s="2">
        <v>3.5879629629629635E-4</v>
      </c>
      <c r="C7557" t="s">
        <v>11157</v>
      </c>
      <c r="D7557" t="s">
        <v>360</v>
      </c>
      <c r="E7557" t="s">
        <v>361</v>
      </c>
      <c r="F7557" t="s">
        <v>8287</v>
      </c>
      <c r="G7557">
        <v>284081</v>
      </c>
      <c r="H7557" t="s">
        <v>26</v>
      </c>
      <c r="I7557" t="s">
        <v>120</v>
      </c>
      <c r="J7557" t="str">
        <f>"9781405172776"</f>
        <v>9781405172776</v>
      </c>
      <c r="K7557" t="s">
        <v>86</v>
      </c>
      <c r="L7557">
        <v>5</v>
      </c>
      <c r="O7557" t="s">
        <v>30</v>
      </c>
      <c r="P7557" t="s">
        <v>50</v>
      </c>
      <c r="S7557" t="s">
        <v>363</v>
      </c>
      <c r="U7557">
        <v>301.09199999999998</v>
      </c>
      <c r="V7557" s="3">
        <v>42125</v>
      </c>
    </row>
    <row r="7558" spans="1:22" x14ac:dyDescent="0.35">
      <c r="A7558" s="1">
        <v>42271.300150462965</v>
      </c>
      <c r="B7558" s="2">
        <v>0</v>
      </c>
      <c r="C7558" t="s">
        <v>11157</v>
      </c>
      <c r="D7558" t="s">
        <v>360</v>
      </c>
      <c r="E7558" t="s">
        <v>361</v>
      </c>
      <c r="F7558" t="s">
        <v>11168</v>
      </c>
      <c r="G7558">
        <v>1998213</v>
      </c>
      <c r="H7558" t="s">
        <v>26</v>
      </c>
      <c r="I7558" t="s">
        <v>8547</v>
      </c>
      <c r="J7558" t="str">
        <f>"9780745690186"</f>
        <v>9780745690186</v>
      </c>
      <c r="L7558">
        <v>0</v>
      </c>
      <c r="O7558" t="s">
        <v>28</v>
      </c>
      <c r="P7558" t="s">
        <v>29</v>
      </c>
      <c r="Q7558" s="1">
        <v>42271.300150462965</v>
      </c>
      <c r="R7558">
        <v>7</v>
      </c>
      <c r="S7558" t="s">
        <v>363</v>
      </c>
      <c r="T7558" t="s">
        <v>11169</v>
      </c>
      <c r="U7558">
        <v>126</v>
      </c>
      <c r="V7558" s="3">
        <v>42143</v>
      </c>
    </row>
    <row r="7559" spans="1:22" x14ac:dyDescent="0.35">
      <c r="A7559" s="1">
        <v>42271.300150462965</v>
      </c>
      <c r="B7559" s="2">
        <v>0</v>
      </c>
      <c r="C7559" t="s">
        <v>11157</v>
      </c>
      <c r="D7559" t="s">
        <v>360</v>
      </c>
      <c r="E7559" t="s">
        <v>361</v>
      </c>
      <c r="F7559" t="s">
        <v>11168</v>
      </c>
      <c r="G7559">
        <v>1998213</v>
      </c>
      <c r="H7559" t="s">
        <v>26</v>
      </c>
      <c r="I7559" t="s">
        <v>8547</v>
      </c>
      <c r="J7559" t="str">
        <f>"9780745690186"</f>
        <v>9780745690186</v>
      </c>
      <c r="L7559">
        <v>0</v>
      </c>
      <c r="O7559" t="s">
        <v>30</v>
      </c>
      <c r="P7559" t="s">
        <v>29</v>
      </c>
      <c r="Q7559" s="1">
        <v>42271.300150462965</v>
      </c>
      <c r="R7559">
        <v>7</v>
      </c>
      <c r="S7559" t="s">
        <v>363</v>
      </c>
      <c r="T7559" t="s">
        <v>11169</v>
      </c>
      <c r="U7559">
        <v>126</v>
      </c>
      <c r="V7559" s="3">
        <v>42143</v>
      </c>
    </row>
    <row r="7560" spans="1:22" x14ac:dyDescent="0.35">
      <c r="A7560" s="1">
        <v>42271.299270833333</v>
      </c>
      <c r="B7560" s="2">
        <v>0</v>
      </c>
      <c r="C7560" t="s">
        <v>11157</v>
      </c>
      <c r="D7560" t="s">
        <v>360</v>
      </c>
      <c r="E7560" t="s">
        <v>361</v>
      </c>
      <c r="F7560" t="s">
        <v>10123</v>
      </c>
      <c r="G7560">
        <v>1985762</v>
      </c>
      <c r="H7560" t="s">
        <v>26</v>
      </c>
      <c r="I7560" t="s">
        <v>10124</v>
      </c>
      <c r="J7560" t="str">
        <f>"9780745688374"</f>
        <v>9780745688374</v>
      </c>
      <c r="L7560">
        <v>0</v>
      </c>
      <c r="O7560" t="s">
        <v>28</v>
      </c>
      <c r="P7560" t="s">
        <v>29</v>
      </c>
      <c r="Q7560" s="1">
        <v>42271.299270833333</v>
      </c>
      <c r="R7560">
        <v>7</v>
      </c>
      <c r="S7560" t="s">
        <v>363</v>
      </c>
      <c r="T7560" t="s">
        <v>10126</v>
      </c>
      <c r="U7560">
        <v>335.40100000000001</v>
      </c>
      <c r="V7560" s="3">
        <v>42135</v>
      </c>
    </row>
    <row r="7561" spans="1:22" x14ac:dyDescent="0.35">
      <c r="A7561" s="1">
        <v>42271.299270833333</v>
      </c>
      <c r="B7561" s="2">
        <v>0</v>
      </c>
      <c r="C7561" t="s">
        <v>11157</v>
      </c>
      <c r="D7561" t="s">
        <v>360</v>
      </c>
      <c r="E7561" t="s">
        <v>361</v>
      </c>
      <c r="F7561" t="s">
        <v>10123</v>
      </c>
      <c r="G7561">
        <v>1985762</v>
      </c>
      <c r="H7561" t="s">
        <v>26</v>
      </c>
      <c r="I7561" t="s">
        <v>10124</v>
      </c>
      <c r="J7561" t="str">
        <f>"9780745688374"</f>
        <v>9780745688374</v>
      </c>
      <c r="L7561">
        <v>0</v>
      </c>
      <c r="O7561" t="s">
        <v>30</v>
      </c>
      <c r="P7561" t="s">
        <v>29</v>
      </c>
      <c r="Q7561" s="1">
        <v>42271.299270833333</v>
      </c>
      <c r="R7561">
        <v>7</v>
      </c>
      <c r="S7561" t="s">
        <v>363</v>
      </c>
      <c r="T7561" t="s">
        <v>10126</v>
      </c>
      <c r="U7561">
        <v>335.40100000000001</v>
      </c>
      <c r="V7561" s="3">
        <v>42135</v>
      </c>
    </row>
    <row r="7562" spans="1:22" x14ac:dyDescent="0.35">
      <c r="A7562" s="1">
        <v>42271.29923611111</v>
      </c>
      <c r="B7562" s="2">
        <v>9.1435185185185185E-4</v>
      </c>
      <c r="C7562" t="s">
        <v>11157</v>
      </c>
      <c r="D7562" t="s">
        <v>360</v>
      </c>
      <c r="E7562" t="s">
        <v>361</v>
      </c>
      <c r="F7562" t="s">
        <v>11168</v>
      </c>
      <c r="G7562">
        <v>1998213</v>
      </c>
      <c r="H7562" t="s">
        <v>26</v>
      </c>
      <c r="I7562" t="s">
        <v>8547</v>
      </c>
      <c r="J7562" t="str">
        <f>"9780745690186"</f>
        <v>9780745690186</v>
      </c>
      <c r="K7562" t="s">
        <v>33</v>
      </c>
      <c r="L7562">
        <v>3</v>
      </c>
      <c r="O7562" t="s">
        <v>30</v>
      </c>
      <c r="P7562" t="s">
        <v>50</v>
      </c>
      <c r="S7562" t="s">
        <v>363</v>
      </c>
      <c r="T7562" t="s">
        <v>11169</v>
      </c>
      <c r="U7562">
        <v>126</v>
      </c>
      <c r="V7562" s="3">
        <v>42143</v>
      </c>
    </row>
    <row r="7563" spans="1:22" x14ac:dyDescent="0.35">
      <c r="A7563" s="1">
        <v>42271.298831018517</v>
      </c>
      <c r="B7563" s="2">
        <v>4.3981481481481481E-4</v>
      </c>
      <c r="C7563" t="s">
        <v>11157</v>
      </c>
      <c r="D7563" t="s">
        <v>360</v>
      </c>
      <c r="E7563" t="s">
        <v>361</v>
      </c>
      <c r="F7563" t="s">
        <v>10123</v>
      </c>
      <c r="G7563">
        <v>1985762</v>
      </c>
      <c r="H7563" t="s">
        <v>26</v>
      </c>
      <c r="I7563" t="s">
        <v>10124</v>
      </c>
      <c r="J7563" t="str">
        <f>"9780745688374"</f>
        <v>9780745688374</v>
      </c>
      <c r="K7563" t="s">
        <v>1278</v>
      </c>
      <c r="L7563">
        <v>3</v>
      </c>
      <c r="O7563" t="s">
        <v>30</v>
      </c>
      <c r="P7563" t="s">
        <v>50</v>
      </c>
      <c r="S7563" t="s">
        <v>363</v>
      </c>
      <c r="T7563" t="s">
        <v>10126</v>
      </c>
      <c r="U7563">
        <v>335.40100000000001</v>
      </c>
      <c r="V7563" s="3">
        <v>42135</v>
      </c>
    </row>
    <row r="7564" spans="1:22" x14ac:dyDescent="0.35">
      <c r="A7564" s="1">
        <v>42271.298182870371</v>
      </c>
      <c r="B7564" s="2">
        <v>0</v>
      </c>
      <c r="C7564" t="s">
        <v>11157</v>
      </c>
      <c r="D7564" t="s">
        <v>360</v>
      </c>
      <c r="E7564" t="s">
        <v>361</v>
      </c>
      <c r="F7564" t="s">
        <v>11170</v>
      </c>
      <c r="G7564">
        <v>2056177</v>
      </c>
      <c r="H7564" t="s">
        <v>26</v>
      </c>
      <c r="I7564" t="s">
        <v>998</v>
      </c>
      <c r="J7564" t="str">
        <f>"9780745686424"</f>
        <v>9780745686424</v>
      </c>
      <c r="L7564">
        <v>0</v>
      </c>
      <c r="O7564" t="s">
        <v>28</v>
      </c>
      <c r="P7564" t="s">
        <v>29</v>
      </c>
      <c r="Q7564" s="1">
        <v>42271.298182870371</v>
      </c>
      <c r="R7564">
        <v>7</v>
      </c>
      <c r="S7564" t="s">
        <v>363</v>
      </c>
      <c r="T7564" t="s">
        <v>11171</v>
      </c>
      <c r="U7564">
        <v>305.86</v>
      </c>
      <c r="V7564" s="3">
        <v>42143</v>
      </c>
    </row>
    <row r="7565" spans="1:22" x14ac:dyDescent="0.35">
      <c r="A7565" s="1">
        <v>42271.298182870371</v>
      </c>
      <c r="B7565" s="2">
        <v>0</v>
      </c>
      <c r="C7565" t="s">
        <v>11157</v>
      </c>
      <c r="D7565" t="s">
        <v>360</v>
      </c>
      <c r="E7565" t="s">
        <v>361</v>
      </c>
      <c r="F7565" t="s">
        <v>11170</v>
      </c>
      <c r="G7565">
        <v>2056177</v>
      </c>
      <c r="H7565" t="s">
        <v>26</v>
      </c>
      <c r="I7565" t="s">
        <v>998</v>
      </c>
      <c r="J7565" t="str">
        <f>"9780745686424"</f>
        <v>9780745686424</v>
      </c>
      <c r="L7565">
        <v>0</v>
      </c>
      <c r="O7565" t="s">
        <v>30</v>
      </c>
      <c r="P7565" t="s">
        <v>29</v>
      </c>
      <c r="Q7565" s="1">
        <v>42271.298182870371</v>
      </c>
      <c r="R7565">
        <v>7</v>
      </c>
      <c r="S7565" t="s">
        <v>363</v>
      </c>
      <c r="T7565" t="s">
        <v>11171</v>
      </c>
      <c r="U7565">
        <v>305.86</v>
      </c>
      <c r="V7565" s="3">
        <v>42143</v>
      </c>
    </row>
    <row r="7566" spans="1:22" x14ac:dyDescent="0.35">
      <c r="A7566" s="1">
        <v>42271.297361111108</v>
      </c>
      <c r="B7566" s="2">
        <v>8.2175925925925917E-4</v>
      </c>
      <c r="C7566" t="s">
        <v>11157</v>
      </c>
      <c r="D7566" t="s">
        <v>360</v>
      </c>
      <c r="E7566" t="s">
        <v>361</v>
      </c>
      <c r="F7566" t="s">
        <v>11170</v>
      </c>
      <c r="G7566">
        <v>2056177</v>
      </c>
      <c r="H7566" t="s">
        <v>26</v>
      </c>
      <c r="I7566" t="s">
        <v>998</v>
      </c>
      <c r="J7566" t="str">
        <f>"9780745686424"</f>
        <v>9780745686424</v>
      </c>
      <c r="K7566" t="s">
        <v>11172</v>
      </c>
      <c r="L7566">
        <v>11</v>
      </c>
      <c r="O7566" t="s">
        <v>30</v>
      </c>
      <c r="P7566" t="s">
        <v>50</v>
      </c>
      <c r="S7566" t="s">
        <v>363</v>
      </c>
      <c r="T7566" t="s">
        <v>11171</v>
      </c>
      <c r="U7566">
        <v>305.86</v>
      </c>
      <c r="V7566" s="3">
        <v>42143</v>
      </c>
    </row>
    <row r="7567" spans="1:22" x14ac:dyDescent="0.35">
      <c r="A7567" s="1">
        <v>42271.297326388885</v>
      </c>
      <c r="B7567" s="2">
        <v>1.0532407407407407E-3</v>
      </c>
      <c r="C7567" t="s">
        <v>11157</v>
      </c>
      <c r="D7567" t="s">
        <v>360</v>
      </c>
      <c r="E7567" t="s">
        <v>361</v>
      </c>
      <c r="F7567" t="s">
        <v>11173</v>
      </c>
      <c r="G7567">
        <v>2030731</v>
      </c>
      <c r="H7567" t="s">
        <v>26</v>
      </c>
      <c r="I7567" t="s">
        <v>445</v>
      </c>
      <c r="J7567" t="str">
        <f>"9781119059936"</f>
        <v>9781119059936</v>
      </c>
      <c r="K7567" t="s">
        <v>11174</v>
      </c>
      <c r="L7567">
        <v>10</v>
      </c>
      <c r="O7567" t="s">
        <v>30</v>
      </c>
      <c r="P7567" t="s">
        <v>50</v>
      </c>
      <c r="S7567" t="s">
        <v>363</v>
      </c>
      <c r="T7567" t="s">
        <v>11175</v>
      </c>
      <c r="U7567">
        <v>338.12093764000002</v>
      </c>
      <c r="V7567" s="3">
        <v>42117</v>
      </c>
    </row>
    <row r="7568" spans="1:22" x14ac:dyDescent="0.35">
      <c r="A7568" s="1">
        <v>42271.295937499999</v>
      </c>
      <c r="B7568" s="2">
        <v>0</v>
      </c>
      <c r="C7568" t="s">
        <v>11157</v>
      </c>
      <c r="D7568" t="s">
        <v>360</v>
      </c>
      <c r="E7568" t="s">
        <v>361</v>
      </c>
      <c r="F7568" t="s">
        <v>4079</v>
      </c>
      <c r="G7568">
        <v>1998231</v>
      </c>
      <c r="H7568" t="s">
        <v>26</v>
      </c>
      <c r="I7568" t="s">
        <v>120</v>
      </c>
      <c r="J7568" t="str">
        <f>"9780745695778"</f>
        <v>9780745695778</v>
      </c>
      <c r="L7568">
        <v>0</v>
      </c>
      <c r="O7568" t="s">
        <v>28</v>
      </c>
      <c r="P7568" t="s">
        <v>29</v>
      </c>
      <c r="Q7568" s="1">
        <v>42271.293449074074</v>
      </c>
      <c r="R7568">
        <v>7</v>
      </c>
      <c r="S7568" t="s">
        <v>363</v>
      </c>
      <c r="T7568" t="s">
        <v>4080</v>
      </c>
      <c r="U7568">
        <v>302.23099999999999</v>
      </c>
      <c r="V7568" s="3">
        <v>42118</v>
      </c>
    </row>
    <row r="7569" spans="1:22" x14ac:dyDescent="0.35">
      <c r="A7569" s="1">
        <v>42271.295162037037</v>
      </c>
      <c r="B7569" s="2">
        <v>0</v>
      </c>
      <c r="C7569" t="s">
        <v>11157</v>
      </c>
      <c r="D7569" t="s">
        <v>360</v>
      </c>
      <c r="E7569" t="s">
        <v>361</v>
      </c>
      <c r="F7569" t="s">
        <v>11176</v>
      </c>
      <c r="G7569">
        <v>2006073</v>
      </c>
      <c r="H7569" t="s">
        <v>26</v>
      </c>
      <c r="I7569" t="s">
        <v>85</v>
      </c>
      <c r="J7569" t="str">
        <f>"9780745688602"</f>
        <v>9780745688602</v>
      </c>
      <c r="L7569">
        <v>0</v>
      </c>
      <c r="O7569" t="s">
        <v>28</v>
      </c>
      <c r="P7569" t="s">
        <v>29</v>
      </c>
      <c r="Q7569" s="1">
        <v>42271.295162037037</v>
      </c>
      <c r="R7569">
        <v>7</v>
      </c>
      <c r="S7569" t="s">
        <v>363</v>
      </c>
      <c r="T7569" t="s">
        <v>11177</v>
      </c>
      <c r="U7569">
        <v>322.39999999999998</v>
      </c>
      <c r="V7569" s="3">
        <v>42114</v>
      </c>
    </row>
    <row r="7570" spans="1:22" x14ac:dyDescent="0.35">
      <c r="A7570" s="1">
        <v>42271.295162037037</v>
      </c>
      <c r="B7570" s="2">
        <v>0</v>
      </c>
      <c r="C7570" t="s">
        <v>11157</v>
      </c>
      <c r="D7570" t="s">
        <v>360</v>
      </c>
      <c r="E7570" t="s">
        <v>361</v>
      </c>
      <c r="F7570" t="s">
        <v>11176</v>
      </c>
      <c r="G7570">
        <v>2006073</v>
      </c>
      <c r="H7570" t="s">
        <v>26</v>
      </c>
      <c r="I7570" t="s">
        <v>85</v>
      </c>
      <c r="J7570" t="str">
        <f>"9780745688602"</f>
        <v>9780745688602</v>
      </c>
      <c r="L7570">
        <v>0</v>
      </c>
      <c r="O7570" t="s">
        <v>30</v>
      </c>
      <c r="P7570" t="s">
        <v>29</v>
      </c>
      <c r="Q7570" s="1">
        <v>42271.295162037037</v>
      </c>
      <c r="R7570">
        <v>7</v>
      </c>
      <c r="S7570" t="s">
        <v>363</v>
      </c>
      <c r="T7570" t="s">
        <v>11177</v>
      </c>
      <c r="U7570">
        <v>322.39999999999998</v>
      </c>
      <c r="V7570" s="3">
        <v>42114</v>
      </c>
    </row>
    <row r="7571" spans="1:22" x14ac:dyDescent="0.35">
      <c r="A7571" s="1">
        <v>42271.293576388889</v>
      </c>
      <c r="B7571" s="2">
        <v>1.5856481481481479E-3</v>
      </c>
      <c r="C7571" t="s">
        <v>11157</v>
      </c>
      <c r="D7571" t="s">
        <v>360</v>
      </c>
      <c r="E7571" t="s">
        <v>361</v>
      </c>
      <c r="F7571" t="s">
        <v>11176</v>
      </c>
      <c r="G7571">
        <v>2006073</v>
      </c>
      <c r="H7571" t="s">
        <v>26</v>
      </c>
      <c r="I7571" t="s">
        <v>85</v>
      </c>
      <c r="J7571" t="str">
        <f>"9780745688602"</f>
        <v>9780745688602</v>
      </c>
      <c r="K7571" t="s">
        <v>11167</v>
      </c>
      <c r="L7571">
        <v>8</v>
      </c>
      <c r="O7571" t="s">
        <v>30</v>
      </c>
      <c r="P7571" t="s">
        <v>50</v>
      </c>
      <c r="S7571" t="s">
        <v>363</v>
      </c>
      <c r="T7571" t="s">
        <v>11177</v>
      </c>
      <c r="U7571">
        <v>322.39999999999998</v>
      </c>
      <c r="V7571" s="3">
        <v>42114</v>
      </c>
    </row>
    <row r="7572" spans="1:22" x14ac:dyDescent="0.35">
      <c r="A7572" s="1">
        <v>42271.293449074074</v>
      </c>
      <c r="B7572" s="2">
        <v>0</v>
      </c>
      <c r="C7572" t="s">
        <v>11157</v>
      </c>
      <c r="D7572" t="s">
        <v>360</v>
      </c>
      <c r="E7572" t="s">
        <v>361</v>
      </c>
      <c r="F7572" t="s">
        <v>4079</v>
      </c>
      <c r="G7572">
        <v>1998231</v>
      </c>
      <c r="H7572" t="s">
        <v>26</v>
      </c>
      <c r="I7572" t="s">
        <v>120</v>
      </c>
      <c r="J7572" t="str">
        <f>"9780745695778"</f>
        <v>9780745695778</v>
      </c>
      <c r="L7572">
        <v>0</v>
      </c>
      <c r="O7572" t="s">
        <v>28</v>
      </c>
      <c r="P7572" t="s">
        <v>29</v>
      </c>
      <c r="Q7572" s="1">
        <v>42271.293449074074</v>
      </c>
      <c r="R7572">
        <v>7</v>
      </c>
      <c r="S7572" t="s">
        <v>363</v>
      </c>
      <c r="T7572" t="s">
        <v>4080</v>
      </c>
      <c r="U7572">
        <v>302.23099999999999</v>
      </c>
      <c r="V7572" s="3">
        <v>42118</v>
      </c>
    </row>
    <row r="7573" spans="1:22" x14ac:dyDescent="0.35">
      <c r="A7573" s="1">
        <v>42271.293449074074</v>
      </c>
      <c r="B7573" s="2">
        <v>0</v>
      </c>
      <c r="C7573" t="s">
        <v>11157</v>
      </c>
      <c r="D7573" t="s">
        <v>360</v>
      </c>
      <c r="E7573" t="s">
        <v>361</v>
      </c>
      <c r="F7573" t="s">
        <v>4079</v>
      </c>
      <c r="G7573">
        <v>1998231</v>
      </c>
      <c r="H7573" t="s">
        <v>26</v>
      </c>
      <c r="I7573" t="s">
        <v>120</v>
      </c>
      <c r="J7573" t="str">
        <f>"9780745695778"</f>
        <v>9780745695778</v>
      </c>
      <c r="L7573">
        <v>0</v>
      </c>
      <c r="O7573" t="s">
        <v>30</v>
      </c>
      <c r="P7573" t="s">
        <v>29</v>
      </c>
      <c r="Q7573" s="1">
        <v>42271.293449074074</v>
      </c>
      <c r="R7573">
        <v>7</v>
      </c>
      <c r="S7573" t="s">
        <v>363</v>
      </c>
      <c r="T7573" t="s">
        <v>4080</v>
      </c>
      <c r="U7573">
        <v>302.23099999999999</v>
      </c>
      <c r="V7573" s="3">
        <v>42118</v>
      </c>
    </row>
    <row r="7574" spans="1:22" x14ac:dyDescent="0.35">
      <c r="A7574" s="1">
        <v>42271.293240740742</v>
      </c>
      <c r="B7574" s="2">
        <v>0</v>
      </c>
      <c r="C7574" t="s">
        <v>11157</v>
      </c>
      <c r="D7574" t="s">
        <v>360</v>
      </c>
      <c r="E7574" t="s">
        <v>361</v>
      </c>
      <c r="F7574" t="s">
        <v>11178</v>
      </c>
      <c r="G7574">
        <v>2065772</v>
      </c>
      <c r="H7574" t="s">
        <v>26</v>
      </c>
      <c r="I7574" t="s">
        <v>5789</v>
      </c>
      <c r="J7574" t="str">
        <f>"9780745684871"</f>
        <v>9780745684871</v>
      </c>
      <c r="L7574">
        <v>0</v>
      </c>
      <c r="O7574" t="s">
        <v>28</v>
      </c>
      <c r="P7574" t="s">
        <v>29</v>
      </c>
      <c r="Q7574" s="1">
        <v>42271.293240740742</v>
      </c>
      <c r="R7574">
        <v>7</v>
      </c>
      <c r="S7574" t="s">
        <v>363</v>
      </c>
      <c r="T7574" t="s">
        <v>11179</v>
      </c>
      <c r="U7574">
        <v>302.8</v>
      </c>
      <c r="V7574" s="3">
        <v>42158</v>
      </c>
    </row>
    <row r="7575" spans="1:22" x14ac:dyDescent="0.35">
      <c r="A7575" s="1">
        <v>42271.293240740742</v>
      </c>
      <c r="B7575" s="2">
        <v>0</v>
      </c>
      <c r="C7575" t="s">
        <v>11157</v>
      </c>
      <c r="D7575" t="s">
        <v>360</v>
      </c>
      <c r="E7575" t="s">
        <v>361</v>
      </c>
      <c r="F7575" t="s">
        <v>11178</v>
      </c>
      <c r="G7575">
        <v>2065772</v>
      </c>
      <c r="H7575" t="s">
        <v>26</v>
      </c>
      <c r="I7575" t="s">
        <v>5789</v>
      </c>
      <c r="J7575" t="str">
        <f>"9780745684871"</f>
        <v>9780745684871</v>
      </c>
      <c r="L7575">
        <v>0</v>
      </c>
      <c r="O7575" t="s">
        <v>30</v>
      </c>
      <c r="P7575" t="s">
        <v>29</v>
      </c>
      <c r="Q7575" s="1">
        <v>42271.293240740742</v>
      </c>
      <c r="R7575">
        <v>7</v>
      </c>
      <c r="S7575" t="s">
        <v>363</v>
      </c>
      <c r="T7575" t="s">
        <v>11179</v>
      </c>
      <c r="U7575">
        <v>302.8</v>
      </c>
      <c r="V7575" s="3">
        <v>42158</v>
      </c>
    </row>
    <row r="7576" spans="1:22" x14ac:dyDescent="0.35">
      <c r="A7576" s="1">
        <v>42271.29210648148</v>
      </c>
      <c r="B7576" s="2">
        <v>1.1342592592592591E-3</v>
      </c>
      <c r="C7576" t="s">
        <v>11157</v>
      </c>
      <c r="D7576" t="s">
        <v>360</v>
      </c>
      <c r="E7576" t="s">
        <v>361</v>
      </c>
      <c r="F7576" t="s">
        <v>11178</v>
      </c>
      <c r="G7576">
        <v>2065772</v>
      </c>
      <c r="H7576" t="s">
        <v>26</v>
      </c>
      <c r="I7576" t="s">
        <v>5789</v>
      </c>
      <c r="J7576" t="str">
        <f>"9780745684871"</f>
        <v>9780745684871</v>
      </c>
      <c r="K7576" t="s">
        <v>4072</v>
      </c>
      <c r="L7576">
        <v>8</v>
      </c>
      <c r="O7576" t="s">
        <v>30</v>
      </c>
      <c r="P7576" t="s">
        <v>50</v>
      </c>
      <c r="S7576" t="s">
        <v>363</v>
      </c>
      <c r="T7576" t="s">
        <v>11179</v>
      </c>
      <c r="U7576">
        <v>302.8</v>
      </c>
      <c r="V7576" s="3">
        <v>42158</v>
      </c>
    </row>
    <row r="7577" spans="1:22" x14ac:dyDescent="0.35">
      <c r="A7577" s="1">
        <v>42271.291967592595</v>
      </c>
      <c r="B7577" s="2">
        <v>2.6620370370370372E-4</v>
      </c>
      <c r="C7577" t="s">
        <v>11157</v>
      </c>
      <c r="D7577" t="s">
        <v>360</v>
      </c>
      <c r="E7577" t="s">
        <v>361</v>
      </c>
      <c r="F7577" t="s">
        <v>2692</v>
      </c>
      <c r="G7577">
        <v>1895411</v>
      </c>
      <c r="H7577" t="s">
        <v>26</v>
      </c>
      <c r="I7577" t="s">
        <v>120</v>
      </c>
      <c r="J7577" t="str">
        <f>"9780745688961"</f>
        <v>9780745688961</v>
      </c>
      <c r="K7577" t="s">
        <v>355</v>
      </c>
      <c r="L7577">
        <v>8</v>
      </c>
      <c r="O7577" t="s">
        <v>30</v>
      </c>
      <c r="P7577" t="s">
        <v>29</v>
      </c>
      <c r="Q7577" s="1">
        <v>42270.647361111114</v>
      </c>
      <c r="R7577">
        <v>7</v>
      </c>
      <c r="S7577" t="s">
        <v>363</v>
      </c>
      <c r="T7577" t="s">
        <v>2696</v>
      </c>
      <c r="U7577">
        <v>301.09199999999998</v>
      </c>
      <c r="V7577" s="3">
        <v>42100</v>
      </c>
    </row>
    <row r="7578" spans="1:22" x14ac:dyDescent="0.35">
      <c r="A7578" s="1">
        <v>42271.290868055556</v>
      </c>
      <c r="B7578" s="2">
        <v>0</v>
      </c>
      <c r="C7578" t="s">
        <v>11157</v>
      </c>
      <c r="D7578" t="s">
        <v>360</v>
      </c>
      <c r="E7578" t="s">
        <v>361</v>
      </c>
      <c r="F7578" t="s">
        <v>11180</v>
      </c>
      <c r="G7578">
        <v>2030712</v>
      </c>
      <c r="H7578" t="s">
        <v>26</v>
      </c>
      <c r="I7578" t="s">
        <v>11181</v>
      </c>
      <c r="J7578" t="str">
        <f>"9780745686851"</f>
        <v>9780745686851</v>
      </c>
      <c r="L7578">
        <v>0</v>
      </c>
      <c r="O7578" t="s">
        <v>28</v>
      </c>
      <c r="P7578" t="s">
        <v>29</v>
      </c>
      <c r="Q7578" s="1">
        <v>42271.290868055556</v>
      </c>
      <c r="R7578">
        <v>7</v>
      </c>
      <c r="S7578" t="s">
        <v>363</v>
      </c>
      <c r="T7578" t="s">
        <v>11182</v>
      </c>
      <c r="U7578">
        <v>320.94</v>
      </c>
      <c r="V7578" s="3">
        <v>42159</v>
      </c>
    </row>
    <row r="7579" spans="1:22" x14ac:dyDescent="0.35">
      <c r="A7579" s="1">
        <v>42271.290868055556</v>
      </c>
      <c r="B7579" s="2">
        <v>0</v>
      </c>
      <c r="C7579" t="s">
        <v>11157</v>
      </c>
      <c r="D7579" t="s">
        <v>360</v>
      </c>
      <c r="E7579" t="s">
        <v>361</v>
      </c>
      <c r="F7579" t="s">
        <v>11180</v>
      </c>
      <c r="G7579">
        <v>2030712</v>
      </c>
      <c r="H7579" t="s">
        <v>26</v>
      </c>
      <c r="I7579" t="s">
        <v>11181</v>
      </c>
      <c r="J7579" t="str">
        <f>"9780745686851"</f>
        <v>9780745686851</v>
      </c>
      <c r="L7579">
        <v>0</v>
      </c>
      <c r="O7579" t="s">
        <v>30</v>
      </c>
      <c r="P7579" t="s">
        <v>29</v>
      </c>
      <c r="Q7579" s="1">
        <v>42271.290868055556</v>
      </c>
      <c r="R7579">
        <v>7</v>
      </c>
      <c r="S7579" t="s">
        <v>363</v>
      </c>
      <c r="T7579" t="s">
        <v>11182</v>
      </c>
      <c r="U7579">
        <v>320.94</v>
      </c>
      <c r="V7579" s="3">
        <v>42159</v>
      </c>
    </row>
    <row r="7580" spans="1:22" x14ac:dyDescent="0.35">
      <c r="A7580" s="1">
        <v>42271.289560185185</v>
      </c>
      <c r="B7580" s="2">
        <v>3.8888888888888883E-3</v>
      </c>
      <c r="C7580" t="s">
        <v>11157</v>
      </c>
      <c r="D7580" t="s">
        <v>360</v>
      </c>
      <c r="E7580" t="s">
        <v>361</v>
      </c>
      <c r="F7580" t="s">
        <v>4079</v>
      </c>
      <c r="G7580">
        <v>1998231</v>
      </c>
      <c r="H7580" t="s">
        <v>26</v>
      </c>
      <c r="I7580" t="s">
        <v>120</v>
      </c>
      <c r="J7580" t="str">
        <f>"9780745695778"</f>
        <v>9780745695778</v>
      </c>
      <c r="K7580" t="s">
        <v>11183</v>
      </c>
      <c r="L7580">
        <v>7</v>
      </c>
      <c r="O7580" t="s">
        <v>30</v>
      </c>
      <c r="P7580" t="s">
        <v>50</v>
      </c>
      <c r="S7580" t="s">
        <v>363</v>
      </c>
      <c r="T7580" t="s">
        <v>4080</v>
      </c>
      <c r="U7580">
        <v>302.23099999999999</v>
      </c>
      <c r="V7580" s="3">
        <v>42118</v>
      </c>
    </row>
    <row r="7581" spans="1:22" x14ac:dyDescent="0.35">
      <c r="A7581" s="1">
        <v>42271.289375</v>
      </c>
      <c r="B7581" s="2">
        <v>1.4930555555555556E-3</v>
      </c>
      <c r="C7581" t="s">
        <v>11157</v>
      </c>
      <c r="D7581" t="s">
        <v>360</v>
      </c>
      <c r="E7581" t="s">
        <v>361</v>
      </c>
      <c r="F7581" t="s">
        <v>11180</v>
      </c>
      <c r="G7581">
        <v>2030712</v>
      </c>
      <c r="H7581" t="s">
        <v>26</v>
      </c>
      <c r="I7581" t="s">
        <v>11181</v>
      </c>
      <c r="J7581" t="str">
        <f>"9780745686851"</f>
        <v>9780745686851</v>
      </c>
      <c r="K7581" t="s">
        <v>11167</v>
      </c>
      <c r="L7581">
        <v>8</v>
      </c>
      <c r="O7581" t="s">
        <v>30</v>
      </c>
      <c r="P7581" t="s">
        <v>50</v>
      </c>
      <c r="S7581" t="s">
        <v>363</v>
      </c>
      <c r="T7581" t="s">
        <v>11182</v>
      </c>
      <c r="U7581">
        <v>320.94</v>
      </c>
      <c r="V7581" s="3">
        <v>42159</v>
      </c>
    </row>
    <row r="7582" spans="1:22" x14ac:dyDescent="0.35">
      <c r="A7582" s="1">
        <v>42271.289305555554</v>
      </c>
      <c r="B7582" s="2">
        <v>1.6087962962962963E-3</v>
      </c>
      <c r="C7582" t="s">
        <v>11157</v>
      </c>
      <c r="D7582" t="s">
        <v>360</v>
      </c>
      <c r="E7582" t="s">
        <v>361</v>
      </c>
      <c r="F7582" t="s">
        <v>11184</v>
      </c>
      <c r="G7582">
        <v>2065775</v>
      </c>
      <c r="H7582" t="s">
        <v>26</v>
      </c>
      <c r="I7582" t="s">
        <v>630</v>
      </c>
      <c r="J7582" t="str">
        <f>"9780745691459"</f>
        <v>9780745691459</v>
      </c>
      <c r="K7582" t="s">
        <v>11185</v>
      </c>
      <c r="L7582">
        <v>4</v>
      </c>
      <c r="O7582" t="s">
        <v>30</v>
      </c>
      <c r="P7582" t="s">
        <v>29</v>
      </c>
      <c r="Q7582" s="1">
        <v>42270.643379629626</v>
      </c>
      <c r="R7582">
        <v>7</v>
      </c>
      <c r="S7582" t="s">
        <v>363</v>
      </c>
      <c r="T7582" t="s">
        <v>11186</v>
      </c>
      <c r="U7582">
        <v>170</v>
      </c>
      <c r="V7582" s="3">
        <v>42159</v>
      </c>
    </row>
    <row r="7583" spans="1:22" x14ac:dyDescent="0.35">
      <c r="A7583" s="1">
        <v>42271.289120370369</v>
      </c>
      <c r="B7583" s="2">
        <v>1.9675925925925926E-4</v>
      </c>
      <c r="C7583" t="s">
        <v>11157</v>
      </c>
      <c r="D7583" t="s">
        <v>360</v>
      </c>
      <c r="E7583" t="s">
        <v>361</v>
      </c>
      <c r="F7583" t="s">
        <v>11187</v>
      </c>
      <c r="G7583">
        <v>2066658</v>
      </c>
      <c r="H7583" t="s">
        <v>26</v>
      </c>
      <c r="I7583" t="s">
        <v>1211</v>
      </c>
      <c r="J7583" t="str">
        <f>"9780745690452"</f>
        <v>9780745690452</v>
      </c>
      <c r="K7583" t="s">
        <v>33</v>
      </c>
      <c r="L7583">
        <v>3</v>
      </c>
      <c r="O7583" t="s">
        <v>30</v>
      </c>
      <c r="P7583" t="s">
        <v>29</v>
      </c>
      <c r="Q7583" s="1">
        <v>42270.641030092593</v>
      </c>
      <c r="R7583">
        <v>7</v>
      </c>
      <c r="S7583" t="s">
        <v>363</v>
      </c>
      <c r="T7583" t="s">
        <v>11188</v>
      </c>
      <c r="U7583">
        <v>305.8</v>
      </c>
      <c r="V7583" s="3">
        <v>42160</v>
      </c>
    </row>
    <row r="7584" spans="1:22" x14ac:dyDescent="0.35">
      <c r="A7584" s="1">
        <v>42271.288576388892</v>
      </c>
      <c r="B7584" s="2">
        <v>0</v>
      </c>
      <c r="C7584" t="s">
        <v>11157</v>
      </c>
      <c r="D7584" t="s">
        <v>360</v>
      </c>
      <c r="E7584" t="s">
        <v>361</v>
      </c>
      <c r="F7584" t="s">
        <v>11189</v>
      </c>
      <c r="G7584">
        <v>1985781</v>
      </c>
      <c r="H7584" t="s">
        <v>26</v>
      </c>
      <c r="I7584" t="s">
        <v>172</v>
      </c>
      <c r="J7584" t="str">
        <f>"9781118714331"</f>
        <v>9781118714331</v>
      </c>
      <c r="L7584">
        <v>0</v>
      </c>
      <c r="O7584" t="s">
        <v>28</v>
      </c>
      <c r="P7584" t="s">
        <v>29</v>
      </c>
      <c r="Q7584" s="1">
        <v>42271.288576388892</v>
      </c>
      <c r="R7584">
        <v>7</v>
      </c>
      <c r="S7584" t="s">
        <v>363</v>
      </c>
      <c r="T7584" t="s">
        <v>11190</v>
      </c>
      <c r="U7584">
        <v>970.00496999999996</v>
      </c>
      <c r="V7584" s="3">
        <v>40193</v>
      </c>
    </row>
    <row r="7585" spans="1:22" x14ac:dyDescent="0.35">
      <c r="A7585" s="1">
        <v>42271.288576388892</v>
      </c>
      <c r="B7585" s="2">
        <v>0</v>
      </c>
      <c r="C7585" t="s">
        <v>11157</v>
      </c>
      <c r="D7585" t="s">
        <v>360</v>
      </c>
      <c r="E7585" t="s">
        <v>361</v>
      </c>
      <c r="F7585" t="s">
        <v>11189</v>
      </c>
      <c r="G7585">
        <v>1985781</v>
      </c>
      <c r="H7585" t="s">
        <v>26</v>
      </c>
      <c r="I7585" t="s">
        <v>172</v>
      </c>
      <c r="J7585" t="str">
        <f>"9781118714331"</f>
        <v>9781118714331</v>
      </c>
      <c r="L7585">
        <v>0</v>
      </c>
      <c r="O7585" t="s">
        <v>30</v>
      </c>
      <c r="P7585" t="s">
        <v>29</v>
      </c>
      <c r="Q7585" s="1">
        <v>42271.288576388892</v>
      </c>
      <c r="R7585">
        <v>7</v>
      </c>
      <c r="S7585" t="s">
        <v>363</v>
      </c>
      <c r="T7585" t="s">
        <v>11190</v>
      </c>
      <c r="U7585">
        <v>970.00496999999996</v>
      </c>
      <c r="V7585" s="3">
        <v>40193</v>
      </c>
    </row>
    <row r="7586" spans="1:22" x14ac:dyDescent="0.35">
      <c r="A7586" s="1">
        <v>42271.287916666668</v>
      </c>
      <c r="B7586" s="2">
        <v>0</v>
      </c>
      <c r="C7586" t="s">
        <v>11157</v>
      </c>
      <c r="D7586" t="s">
        <v>360</v>
      </c>
      <c r="E7586" t="s">
        <v>361</v>
      </c>
      <c r="F7586" t="s">
        <v>11191</v>
      </c>
      <c r="G7586">
        <v>2075660</v>
      </c>
      <c r="H7586" t="s">
        <v>26</v>
      </c>
      <c r="I7586" t="s">
        <v>120</v>
      </c>
      <c r="J7586" t="str">
        <f>"9780745687100"</f>
        <v>9780745687100</v>
      </c>
      <c r="L7586">
        <v>0</v>
      </c>
      <c r="O7586" t="s">
        <v>28</v>
      </c>
      <c r="P7586" t="s">
        <v>29</v>
      </c>
      <c r="Q7586" s="1">
        <v>42271.287916666668</v>
      </c>
      <c r="R7586">
        <v>7</v>
      </c>
      <c r="S7586" t="s">
        <v>363</v>
      </c>
      <c r="T7586" t="s">
        <v>11192</v>
      </c>
      <c r="U7586">
        <v>364.15100000000001</v>
      </c>
      <c r="V7586" s="3">
        <v>42179</v>
      </c>
    </row>
    <row r="7587" spans="1:22" x14ac:dyDescent="0.35">
      <c r="A7587" s="1">
        <v>42271.287916666668</v>
      </c>
      <c r="B7587" s="2">
        <v>0</v>
      </c>
      <c r="C7587" t="s">
        <v>11157</v>
      </c>
      <c r="D7587" t="s">
        <v>360</v>
      </c>
      <c r="E7587" t="s">
        <v>361</v>
      </c>
      <c r="F7587" t="s">
        <v>11191</v>
      </c>
      <c r="G7587">
        <v>2075660</v>
      </c>
      <c r="H7587" t="s">
        <v>26</v>
      </c>
      <c r="I7587" t="s">
        <v>120</v>
      </c>
      <c r="J7587" t="str">
        <f>"9780745687100"</f>
        <v>9780745687100</v>
      </c>
      <c r="L7587">
        <v>0</v>
      </c>
      <c r="O7587" t="s">
        <v>30</v>
      </c>
      <c r="P7587" t="s">
        <v>29</v>
      </c>
      <c r="Q7587" s="1">
        <v>42271.287916666668</v>
      </c>
      <c r="R7587">
        <v>7</v>
      </c>
      <c r="S7587" t="s">
        <v>363</v>
      </c>
      <c r="T7587" t="s">
        <v>11192</v>
      </c>
      <c r="U7587">
        <v>364.15100000000001</v>
      </c>
      <c r="V7587" s="3">
        <v>42179</v>
      </c>
    </row>
    <row r="7588" spans="1:22" x14ac:dyDescent="0.35">
      <c r="A7588" s="1">
        <v>42271.287453703706</v>
      </c>
      <c r="B7588" s="2">
        <v>1.1226851851851851E-3</v>
      </c>
      <c r="C7588" t="s">
        <v>11157</v>
      </c>
      <c r="D7588" t="s">
        <v>360</v>
      </c>
      <c r="E7588" t="s">
        <v>361</v>
      </c>
      <c r="F7588" t="s">
        <v>11189</v>
      </c>
      <c r="G7588">
        <v>1985781</v>
      </c>
      <c r="H7588" t="s">
        <v>26</v>
      </c>
      <c r="I7588" t="s">
        <v>172</v>
      </c>
      <c r="J7588" t="str">
        <f>"9781118714331"</f>
        <v>9781118714331</v>
      </c>
      <c r="K7588" t="s">
        <v>11193</v>
      </c>
      <c r="L7588">
        <v>8</v>
      </c>
      <c r="O7588" t="s">
        <v>30</v>
      </c>
      <c r="P7588" t="s">
        <v>50</v>
      </c>
      <c r="S7588" t="s">
        <v>363</v>
      </c>
      <c r="T7588" t="s">
        <v>11190</v>
      </c>
      <c r="U7588">
        <v>970.00496999999996</v>
      </c>
      <c r="V7588" s="3">
        <v>40193</v>
      </c>
    </row>
    <row r="7589" spans="1:22" x14ac:dyDescent="0.35">
      <c r="A7589" s="1">
        <v>42271.28733796296</v>
      </c>
      <c r="B7589" s="2">
        <v>5.7870370370370378E-4</v>
      </c>
      <c r="C7589" t="s">
        <v>11157</v>
      </c>
      <c r="D7589" t="s">
        <v>360</v>
      </c>
      <c r="E7589" t="s">
        <v>361</v>
      </c>
      <c r="F7589" t="s">
        <v>11191</v>
      </c>
      <c r="G7589">
        <v>2075660</v>
      </c>
      <c r="H7589" t="s">
        <v>26</v>
      </c>
      <c r="I7589" t="s">
        <v>120</v>
      </c>
      <c r="J7589" t="str">
        <f>"9780745687100"</f>
        <v>9780745687100</v>
      </c>
      <c r="K7589" t="s">
        <v>11194</v>
      </c>
      <c r="L7589">
        <v>10</v>
      </c>
      <c r="O7589" t="s">
        <v>30</v>
      </c>
      <c r="P7589" t="s">
        <v>50</v>
      </c>
      <c r="S7589" t="s">
        <v>363</v>
      </c>
      <c r="T7589" t="s">
        <v>11192</v>
      </c>
      <c r="U7589">
        <v>364.15100000000001</v>
      </c>
      <c r="V7589" s="3">
        <v>42179</v>
      </c>
    </row>
    <row r="7590" spans="1:22" x14ac:dyDescent="0.35">
      <c r="A7590" s="1">
        <v>42271.286782407406</v>
      </c>
      <c r="B7590" s="2">
        <v>0</v>
      </c>
      <c r="C7590" t="s">
        <v>11157</v>
      </c>
      <c r="D7590" t="s">
        <v>360</v>
      </c>
      <c r="E7590" t="s">
        <v>361</v>
      </c>
      <c r="F7590" t="s">
        <v>11195</v>
      </c>
      <c r="G7590">
        <v>2081167</v>
      </c>
      <c r="H7590" t="s">
        <v>26</v>
      </c>
      <c r="I7590" t="s">
        <v>1434</v>
      </c>
      <c r="J7590" t="str">
        <f>"9780745696003"</f>
        <v>9780745696003</v>
      </c>
      <c r="L7590">
        <v>0</v>
      </c>
      <c r="O7590" t="s">
        <v>28</v>
      </c>
      <c r="P7590" t="s">
        <v>29</v>
      </c>
      <c r="Q7590" s="1">
        <v>42271.286782407406</v>
      </c>
      <c r="R7590">
        <v>7</v>
      </c>
      <c r="S7590" t="s">
        <v>363</v>
      </c>
      <c r="T7590" t="s">
        <v>11196</v>
      </c>
      <c r="U7590">
        <v>320.95694420000001</v>
      </c>
      <c r="V7590" s="3">
        <v>42153</v>
      </c>
    </row>
    <row r="7591" spans="1:22" x14ac:dyDescent="0.35">
      <c r="A7591" s="1">
        <v>42271.286782407406</v>
      </c>
      <c r="B7591" s="2">
        <v>0</v>
      </c>
      <c r="C7591" t="s">
        <v>11157</v>
      </c>
      <c r="D7591" t="s">
        <v>360</v>
      </c>
      <c r="E7591" t="s">
        <v>361</v>
      </c>
      <c r="F7591" t="s">
        <v>11195</v>
      </c>
      <c r="G7591">
        <v>2081167</v>
      </c>
      <c r="H7591" t="s">
        <v>26</v>
      </c>
      <c r="I7591" t="s">
        <v>1434</v>
      </c>
      <c r="J7591" t="str">
        <f>"9780745696003"</f>
        <v>9780745696003</v>
      </c>
      <c r="L7591">
        <v>0</v>
      </c>
      <c r="O7591" t="s">
        <v>30</v>
      </c>
      <c r="P7591" t="s">
        <v>29</v>
      </c>
      <c r="Q7591" s="1">
        <v>42271.286782407406</v>
      </c>
      <c r="R7591">
        <v>7</v>
      </c>
      <c r="S7591" t="s">
        <v>363</v>
      </c>
      <c r="T7591" t="s">
        <v>11196</v>
      </c>
      <c r="U7591">
        <v>320.95694420000001</v>
      </c>
      <c r="V7591" s="3">
        <v>42153</v>
      </c>
    </row>
    <row r="7592" spans="1:22" x14ac:dyDescent="0.35">
      <c r="A7592" s="1">
        <v>42271.286319444444</v>
      </c>
      <c r="B7592" s="2">
        <v>0</v>
      </c>
      <c r="C7592" t="s">
        <v>11157</v>
      </c>
      <c r="D7592" t="s">
        <v>360</v>
      </c>
      <c r="E7592" t="s">
        <v>361</v>
      </c>
      <c r="F7592" t="s">
        <v>11197</v>
      </c>
      <c r="G7592">
        <v>2089472</v>
      </c>
      <c r="H7592" t="s">
        <v>26</v>
      </c>
      <c r="I7592" t="s">
        <v>630</v>
      </c>
      <c r="J7592" t="str">
        <f>"9780745687582"</f>
        <v>9780745687582</v>
      </c>
      <c r="L7592">
        <v>0</v>
      </c>
      <c r="O7592" t="s">
        <v>28</v>
      </c>
      <c r="P7592" t="s">
        <v>29</v>
      </c>
      <c r="Q7592" s="1">
        <v>42271.286319444444</v>
      </c>
      <c r="R7592">
        <v>7</v>
      </c>
      <c r="S7592" t="s">
        <v>363</v>
      </c>
      <c r="T7592" t="s">
        <v>11198</v>
      </c>
      <c r="U7592">
        <v>111</v>
      </c>
      <c r="V7592" s="3">
        <v>42191</v>
      </c>
    </row>
    <row r="7593" spans="1:22" x14ac:dyDescent="0.35">
      <c r="A7593" s="1">
        <v>42271.286319444444</v>
      </c>
      <c r="B7593" s="2">
        <v>0</v>
      </c>
      <c r="C7593" t="s">
        <v>11157</v>
      </c>
      <c r="D7593" t="s">
        <v>360</v>
      </c>
      <c r="E7593" t="s">
        <v>361</v>
      </c>
      <c r="F7593" t="s">
        <v>11197</v>
      </c>
      <c r="G7593">
        <v>2089472</v>
      </c>
      <c r="H7593" t="s">
        <v>26</v>
      </c>
      <c r="I7593" t="s">
        <v>630</v>
      </c>
      <c r="J7593" t="str">
        <f>"9780745687582"</f>
        <v>9780745687582</v>
      </c>
      <c r="L7593">
        <v>0</v>
      </c>
      <c r="O7593" t="s">
        <v>30</v>
      </c>
      <c r="P7593" t="s">
        <v>29</v>
      </c>
      <c r="Q7593" s="1">
        <v>42271.286319444444</v>
      </c>
      <c r="R7593">
        <v>7</v>
      </c>
      <c r="S7593" t="s">
        <v>363</v>
      </c>
      <c r="T7593" t="s">
        <v>11198</v>
      </c>
      <c r="U7593">
        <v>111</v>
      </c>
      <c r="V7593" s="3">
        <v>42191</v>
      </c>
    </row>
    <row r="7594" spans="1:22" x14ac:dyDescent="0.35">
      <c r="A7594" s="1">
        <v>42271.286076388889</v>
      </c>
      <c r="B7594" s="2">
        <v>7.0601851851851847E-4</v>
      </c>
      <c r="C7594" t="s">
        <v>11157</v>
      </c>
      <c r="D7594" t="s">
        <v>360</v>
      </c>
      <c r="E7594" t="s">
        <v>361</v>
      </c>
      <c r="F7594" t="s">
        <v>11195</v>
      </c>
      <c r="G7594">
        <v>2081167</v>
      </c>
      <c r="H7594" t="s">
        <v>26</v>
      </c>
      <c r="I7594" t="s">
        <v>1434</v>
      </c>
      <c r="J7594" t="str">
        <f>"9780745696003"</f>
        <v>9780745696003</v>
      </c>
      <c r="K7594" t="s">
        <v>11193</v>
      </c>
      <c r="L7594">
        <v>8</v>
      </c>
      <c r="O7594" t="s">
        <v>30</v>
      </c>
      <c r="P7594" t="s">
        <v>50</v>
      </c>
      <c r="S7594" t="s">
        <v>363</v>
      </c>
      <c r="T7594" t="s">
        <v>11196</v>
      </c>
      <c r="U7594">
        <v>320.95694420000001</v>
      </c>
      <c r="V7594" s="3">
        <v>42153</v>
      </c>
    </row>
    <row r="7595" spans="1:22" x14ac:dyDescent="0.35">
      <c r="A7595" s="1">
        <v>42271.285740740743</v>
      </c>
      <c r="B7595" s="2">
        <v>5.7870370370370378E-4</v>
      </c>
      <c r="C7595" t="s">
        <v>11157</v>
      </c>
      <c r="D7595" t="s">
        <v>360</v>
      </c>
      <c r="E7595" t="s">
        <v>361</v>
      </c>
      <c r="F7595" t="s">
        <v>11197</v>
      </c>
      <c r="G7595">
        <v>2089472</v>
      </c>
      <c r="H7595" t="s">
        <v>26</v>
      </c>
      <c r="I7595" t="s">
        <v>630</v>
      </c>
      <c r="J7595" t="str">
        <f>"9780745687582"</f>
        <v>9780745687582</v>
      </c>
      <c r="K7595" t="s">
        <v>355</v>
      </c>
      <c r="L7595">
        <v>8</v>
      </c>
      <c r="O7595" t="s">
        <v>30</v>
      </c>
      <c r="P7595" t="s">
        <v>50</v>
      </c>
      <c r="S7595" t="s">
        <v>363</v>
      </c>
      <c r="T7595" t="s">
        <v>11198</v>
      </c>
      <c r="U7595">
        <v>111</v>
      </c>
      <c r="V7595" s="3">
        <v>42191</v>
      </c>
    </row>
    <row r="7596" spans="1:22" x14ac:dyDescent="0.35">
      <c r="A7596" s="1">
        <v>42271.285150462965</v>
      </c>
      <c r="B7596" s="2">
        <v>0</v>
      </c>
      <c r="C7596" t="s">
        <v>11157</v>
      </c>
      <c r="D7596" t="s">
        <v>360</v>
      </c>
      <c r="E7596" t="s">
        <v>361</v>
      </c>
      <c r="F7596" t="s">
        <v>11199</v>
      </c>
      <c r="G7596">
        <v>2075649</v>
      </c>
      <c r="H7596" t="s">
        <v>26</v>
      </c>
      <c r="I7596" t="s">
        <v>348</v>
      </c>
      <c r="J7596" t="str">
        <f>"9780745682709"</f>
        <v>9780745682709</v>
      </c>
      <c r="L7596">
        <v>0</v>
      </c>
      <c r="O7596" t="s">
        <v>28</v>
      </c>
      <c r="P7596" t="s">
        <v>29</v>
      </c>
      <c r="Q7596" s="1">
        <v>42271.285150462965</v>
      </c>
      <c r="R7596">
        <v>7</v>
      </c>
      <c r="S7596" t="s">
        <v>363</v>
      </c>
      <c r="T7596" t="s">
        <v>11200</v>
      </c>
      <c r="U7596">
        <v>323.04399999999998</v>
      </c>
      <c r="V7596" s="3">
        <v>42194</v>
      </c>
    </row>
    <row r="7597" spans="1:22" x14ac:dyDescent="0.35">
      <c r="A7597" s="1">
        <v>42271.285150462965</v>
      </c>
      <c r="B7597" s="2">
        <v>0</v>
      </c>
      <c r="C7597" t="s">
        <v>11157</v>
      </c>
      <c r="D7597" t="s">
        <v>360</v>
      </c>
      <c r="E7597" t="s">
        <v>361</v>
      </c>
      <c r="F7597" t="s">
        <v>11199</v>
      </c>
      <c r="G7597">
        <v>2075649</v>
      </c>
      <c r="H7597" t="s">
        <v>26</v>
      </c>
      <c r="I7597" t="s">
        <v>348</v>
      </c>
      <c r="J7597" t="str">
        <f>"9780745682709"</f>
        <v>9780745682709</v>
      </c>
      <c r="L7597">
        <v>0</v>
      </c>
      <c r="O7597" t="s">
        <v>30</v>
      </c>
      <c r="P7597" t="s">
        <v>29</v>
      </c>
      <c r="Q7597" s="1">
        <v>42271.285150462965</v>
      </c>
      <c r="R7597">
        <v>7</v>
      </c>
      <c r="S7597" t="s">
        <v>363</v>
      </c>
      <c r="T7597" t="s">
        <v>11200</v>
      </c>
      <c r="U7597">
        <v>323.04399999999998</v>
      </c>
      <c r="V7597" s="3">
        <v>42194</v>
      </c>
    </row>
    <row r="7598" spans="1:22" x14ac:dyDescent="0.35">
      <c r="A7598" s="1">
        <v>42271.284502314818</v>
      </c>
      <c r="B7598" s="2">
        <v>6.4814814814814813E-4</v>
      </c>
      <c r="C7598" t="s">
        <v>11157</v>
      </c>
      <c r="D7598" t="s">
        <v>360</v>
      </c>
      <c r="E7598" t="s">
        <v>361</v>
      </c>
      <c r="F7598" t="s">
        <v>11199</v>
      </c>
      <c r="G7598">
        <v>2075649</v>
      </c>
      <c r="H7598" t="s">
        <v>26</v>
      </c>
      <c r="I7598" t="s">
        <v>348</v>
      </c>
      <c r="J7598" t="str">
        <f>"9780745682709"</f>
        <v>9780745682709</v>
      </c>
      <c r="K7598" t="s">
        <v>463</v>
      </c>
      <c r="L7598">
        <v>9</v>
      </c>
      <c r="O7598" t="s">
        <v>30</v>
      </c>
      <c r="P7598" t="s">
        <v>50</v>
      </c>
      <c r="S7598" t="s">
        <v>363</v>
      </c>
      <c r="T7598" t="s">
        <v>11200</v>
      </c>
      <c r="U7598">
        <v>323.04399999999998</v>
      </c>
      <c r="V7598" s="3">
        <v>42194</v>
      </c>
    </row>
    <row r="7599" spans="1:22" x14ac:dyDescent="0.35">
      <c r="A7599" s="1">
        <v>42271.28328703704</v>
      </c>
      <c r="B7599" s="2">
        <v>0</v>
      </c>
      <c r="C7599" t="s">
        <v>11157</v>
      </c>
      <c r="D7599" t="s">
        <v>360</v>
      </c>
      <c r="E7599" t="s">
        <v>361</v>
      </c>
      <c r="F7599" t="s">
        <v>4169</v>
      </c>
      <c r="G7599">
        <v>2006091</v>
      </c>
      <c r="H7599" t="s">
        <v>26</v>
      </c>
      <c r="I7599" t="s">
        <v>310</v>
      </c>
      <c r="J7599" t="str">
        <f>"9781118780961"</f>
        <v>9781118780961</v>
      </c>
      <c r="L7599">
        <v>0</v>
      </c>
      <c r="O7599" t="s">
        <v>28</v>
      </c>
      <c r="P7599" t="s">
        <v>29</v>
      </c>
      <c r="Q7599" s="1">
        <v>42270.634467592594</v>
      </c>
      <c r="R7599">
        <v>7</v>
      </c>
      <c r="S7599" t="s">
        <v>363</v>
      </c>
      <c r="T7599" t="s">
        <v>4171</v>
      </c>
      <c r="U7599" t="s">
        <v>4172</v>
      </c>
      <c r="V7599" s="3">
        <v>41936</v>
      </c>
    </row>
    <row r="7600" spans="1:22" x14ac:dyDescent="0.35">
      <c r="A7600" s="1">
        <v>42271.282511574071</v>
      </c>
      <c r="B7600" s="2">
        <v>1.273148148148148E-4</v>
      </c>
      <c r="C7600" t="s">
        <v>11157</v>
      </c>
      <c r="D7600" t="s">
        <v>360</v>
      </c>
      <c r="E7600" t="s">
        <v>361</v>
      </c>
      <c r="F7600" t="s">
        <v>4169</v>
      </c>
      <c r="G7600">
        <v>2006091</v>
      </c>
      <c r="H7600" t="s">
        <v>26</v>
      </c>
      <c r="I7600" t="s">
        <v>310</v>
      </c>
      <c r="J7600" t="str">
        <f>"9781118780961"</f>
        <v>9781118780961</v>
      </c>
      <c r="K7600" t="s">
        <v>11201</v>
      </c>
      <c r="L7600">
        <v>3</v>
      </c>
      <c r="O7600" t="s">
        <v>30</v>
      </c>
      <c r="P7600" t="s">
        <v>29</v>
      </c>
      <c r="Q7600" s="1">
        <v>42270.634467592594</v>
      </c>
      <c r="R7600">
        <v>7</v>
      </c>
      <c r="S7600" t="s">
        <v>363</v>
      </c>
      <c r="T7600" t="s">
        <v>4171</v>
      </c>
      <c r="U7600" t="s">
        <v>4172</v>
      </c>
      <c r="V7600" s="3">
        <v>41936</v>
      </c>
    </row>
    <row r="7601" spans="1:22" x14ac:dyDescent="0.35">
      <c r="A7601" s="1">
        <v>42271.28125</v>
      </c>
      <c r="B7601" s="2">
        <v>0</v>
      </c>
      <c r="C7601" t="s">
        <v>11157</v>
      </c>
      <c r="D7601" t="s">
        <v>360</v>
      </c>
      <c r="E7601" t="s">
        <v>361</v>
      </c>
      <c r="F7601" t="s">
        <v>11202</v>
      </c>
      <c r="G7601">
        <v>2075667</v>
      </c>
      <c r="H7601" t="s">
        <v>26</v>
      </c>
      <c r="I7601" t="s">
        <v>338</v>
      </c>
      <c r="J7601" t="str">
        <f>"9780745698045"</f>
        <v>9780745698045</v>
      </c>
      <c r="L7601">
        <v>0</v>
      </c>
      <c r="O7601" t="s">
        <v>28</v>
      </c>
      <c r="P7601" t="s">
        <v>29</v>
      </c>
      <c r="Q7601" s="1">
        <v>42271.28125</v>
      </c>
      <c r="R7601">
        <v>7</v>
      </c>
      <c r="S7601" t="s">
        <v>363</v>
      </c>
      <c r="T7601" t="s">
        <v>11203</v>
      </c>
      <c r="U7601">
        <v>362.27</v>
      </c>
      <c r="V7601" s="3">
        <v>42222</v>
      </c>
    </row>
    <row r="7602" spans="1:22" x14ac:dyDescent="0.35">
      <c r="A7602" s="1">
        <v>42271.28125</v>
      </c>
      <c r="B7602" s="2">
        <v>0</v>
      </c>
      <c r="C7602" t="s">
        <v>11157</v>
      </c>
      <c r="D7602" t="s">
        <v>360</v>
      </c>
      <c r="E7602" t="s">
        <v>361</v>
      </c>
      <c r="F7602" t="s">
        <v>11202</v>
      </c>
      <c r="G7602">
        <v>2075667</v>
      </c>
      <c r="H7602" t="s">
        <v>26</v>
      </c>
      <c r="I7602" t="s">
        <v>338</v>
      </c>
      <c r="J7602" t="str">
        <f>"9780745698045"</f>
        <v>9780745698045</v>
      </c>
      <c r="L7602">
        <v>0</v>
      </c>
      <c r="O7602" t="s">
        <v>30</v>
      </c>
      <c r="P7602" t="s">
        <v>29</v>
      </c>
      <c r="Q7602" s="1">
        <v>42271.28125</v>
      </c>
      <c r="R7602">
        <v>7</v>
      </c>
      <c r="S7602" t="s">
        <v>363</v>
      </c>
      <c r="T7602" t="s">
        <v>11203</v>
      </c>
      <c r="U7602">
        <v>362.27</v>
      </c>
      <c r="V7602" s="3">
        <v>42222</v>
      </c>
    </row>
    <row r="7603" spans="1:22" x14ac:dyDescent="0.35">
      <c r="A7603" s="1">
        <v>42271.280173611114</v>
      </c>
      <c r="B7603" s="2">
        <v>9.2592592592592588E-5</v>
      </c>
      <c r="C7603" t="s">
        <v>11157</v>
      </c>
      <c r="D7603" t="s">
        <v>360</v>
      </c>
      <c r="E7603" t="s">
        <v>361</v>
      </c>
      <c r="F7603" t="s">
        <v>10421</v>
      </c>
      <c r="G7603">
        <v>2072491</v>
      </c>
      <c r="H7603" t="s">
        <v>26</v>
      </c>
      <c r="I7603" t="s">
        <v>120</v>
      </c>
      <c r="J7603" t="str">
        <f>"9780745698175"</f>
        <v>9780745698175</v>
      </c>
      <c r="K7603" t="s">
        <v>11204</v>
      </c>
      <c r="L7603">
        <v>3</v>
      </c>
      <c r="O7603" t="s">
        <v>30</v>
      </c>
      <c r="P7603" t="s">
        <v>29</v>
      </c>
      <c r="Q7603" s="1">
        <v>42270.633125</v>
      </c>
      <c r="R7603">
        <v>7</v>
      </c>
      <c r="S7603" t="s">
        <v>363</v>
      </c>
      <c r="T7603" t="s">
        <v>10422</v>
      </c>
      <c r="U7603" t="s">
        <v>10423</v>
      </c>
      <c r="V7603" s="3">
        <v>42222</v>
      </c>
    </row>
    <row r="7604" spans="1:22" x14ac:dyDescent="0.35">
      <c r="A7604" s="1">
        <v>42271.280127314814</v>
      </c>
      <c r="B7604" s="2">
        <v>1.1226851851851851E-3</v>
      </c>
      <c r="C7604" t="s">
        <v>11157</v>
      </c>
      <c r="D7604" t="s">
        <v>360</v>
      </c>
      <c r="E7604" t="s">
        <v>361</v>
      </c>
      <c r="F7604" t="s">
        <v>11202</v>
      </c>
      <c r="G7604">
        <v>2075667</v>
      </c>
      <c r="H7604" t="s">
        <v>26</v>
      </c>
      <c r="I7604" t="s">
        <v>338</v>
      </c>
      <c r="J7604" t="str">
        <f>"9780745698045"</f>
        <v>9780745698045</v>
      </c>
      <c r="K7604" t="s">
        <v>11205</v>
      </c>
      <c r="L7604">
        <v>7</v>
      </c>
      <c r="O7604" t="s">
        <v>30</v>
      </c>
      <c r="P7604" t="s">
        <v>50</v>
      </c>
      <c r="S7604" t="s">
        <v>363</v>
      </c>
      <c r="T7604" t="s">
        <v>11203</v>
      </c>
      <c r="U7604">
        <v>362.27</v>
      </c>
      <c r="V7604" s="3">
        <v>42222</v>
      </c>
    </row>
    <row r="7605" spans="1:22" x14ac:dyDescent="0.35">
      <c r="A7605" s="1">
        <v>42271.277337962965</v>
      </c>
      <c r="B7605" s="2">
        <v>0</v>
      </c>
      <c r="C7605" t="s">
        <v>11157</v>
      </c>
      <c r="D7605" t="s">
        <v>360</v>
      </c>
      <c r="E7605" t="s">
        <v>361</v>
      </c>
      <c r="F7605" t="s">
        <v>4081</v>
      </c>
      <c r="G7605">
        <v>2198556</v>
      </c>
      <c r="H7605" t="s">
        <v>26</v>
      </c>
      <c r="J7605" t="str">
        <f>"9781118905166"</f>
        <v>9781118905166</v>
      </c>
      <c r="L7605">
        <v>0</v>
      </c>
      <c r="O7605" t="s">
        <v>28</v>
      </c>
      <c r="P7605" t="s">
        <v>29</v>
      </c>
      <c r="Q7605" s="1">
        <v>42271.277337962965</v>
      </c>
      <c r="R7605">
        <v>7</v>
      </c>
      <c r="S7605" t="s">
        <v>363</v>
      </c>
      <c r="V7605" s="3">
        <v>42243</v>
      </c>
    </row>
    <row r="7606" spans="1:22" x14ac:dyDescent="0.35">
      <c r="A7606" s="1">
        <v>42271.277337962965</v>
      </c>
      <c r="B7606" s="2">
        <v>0</v>
      </c>
      <c r="C7606" t="s">
        <v>11157</v>
      </c>
      <c r="D7606" t="s">
        <v>360</v>
      </c>
      <c r="E7606" t="s">
        <v>361</v>
      </c>
      <c r="F7606" t="s">
        <v>4081</v>
      </c>
      <c r="G7606">
        <v>2198556</v>
      </c>
      <c r="H7606" t="s">
        <v>26</v>
      </c>
      <c r="J7606" t="str">
        <f>"9781118905166"</f>
        <v>9781118905166</v>
      </c>
      <c r="L7606">
        <v>0</v>
      </c>
      <c r="O7606" t="s">
        <v>30</v>
      </c>
      <c r="P7606" t="s">
        <v>29</v>
      </c>
      <c r="Q7606" s="1">
        <v>42271.277337962965</v>
      </c>
      <c r="R7606">
        <v>7</v>
      </c>
      <c r="S7606" t="s">
        <v>363</v>
      </c>
      <c r="V7606" s="3">
        <v>42243</v>
      </c>
    </row>
    <row r="7607" spans="1:22" x14ac:dyDescent="0.35">
      <c r="A7607" s="1">
        <v>42271.277002314811</v>
      </c>
      <c r="B7607" s="2">
        <v>1.8634259259259261E-3</v>
      </c>
      <c r="C7607" t="s">
        <v>11206</v>
      </c>
      <c r="D7607" t="s">
        <v>35</v>
      </c>
      <c r="E7607" t="s">
        <v>36</v>
      </c>
      <c r="F7607" t="s">
        <v>11207</v>
      </c>
      <c r="G7607">
        <v>1610017</v>
      </c>
      <c r="H7607" t="s">
        <v>45</v>
      </c>
      <c r="I7607" t="s">
        <v>328</v>
      </c>
      <c r="J7607" t="str">
        <f>"9781472412362"</f>
        <v>9781472412362</v>
      </c>
      <c r="K7607" t="s">
        <v>11208</v>
      </c>
      <c r="L7607">
        <v>9</v>
      </c>
      <c r="O7607" t="s">
        <v>30</v>
      </c>
      <c r="P7607" t="s">
        <v>50</v>
      </c>
      <c r="S7607" t="s">
        <v>40</v>
      </c>
      <c r="T7607" t="s">
        <v>11209</v>
      </c>
      <c r="U7607">
        <v>362</v>
      </c>
      <c r="V7607" s="3">
        <v>41726</v>
      </c>
    </row>
    <row r="7608" spans="1:22" x14ac:dyDescent="0.35">
      <c r="A7608" s="1">
        <v>42271.276689814818</v>
      </c>
      <c r="B7608" s="2">
        <v>6.4814814814814813E-4</v>
      </c>
      <c r="C7608" t="s">
        <v>11157</v>
      </c>
      <c r="D7608" t="s">
        <v>360</v>
      </c>
      <c r="E7608" t="s">
        <v>361</v>
      </c>
      <c r="F7608" t="s">
        <v>4081</v>
      </c>
      <c r="G7608">
        <v>2198556</v>
      </c>
      <c r="H7608" t="s">
        <v>26</v>
      </c>
      <c r="J7608" t="str">
        <f>"9781118905166"</f>
        <v>9781118905166</v>
      </c>
      <c r="K7608" t="s">
        <v>11210</v>
      </c>
      <c r="L7608">
        <v>5</v>
      </c>
      <c r="O7608" t="s">
        <v>30</v>
      </c>
      <c r="P7608" t="s">
        <v>50</v>
      </c>
      <c r="S7608" t="s">
        <v>363</v>
      </c>
      <c r="V7608" s="3">
        <v>42243</v>
      </c>
    </row>
    <row r="7609" spans="1:22" x14ac:dyDescent="0.35">
      <c r="A7609" s="1">
        <v>42271.198472222219</v>
      </c>
      <c r="B7609" s="2">
        <v>4.0509259259259258E-4</v>
      </c>
      <c r="C7609" t="s">
        <v>11211</v>
      </c>
      <c r="D7609" t="s">
        <v>23</v>
      </c>
      <c r="E7609" t="s">
        <v>24</v>
      </c>
      <c r="F7609" t="s">
        <v>3228</v>
      </c>
      <c r="G7609">
        <v>1115640</v>
      </c>
      <c r="H7609" t="s">
        <v>26</v>
      </c>
      <c r="I7609" t="s">
        <v>3229</v>
      </c>
      <c r="J7609" t="str">
        <f>"9781118419090"</f>
        <v>9781118419090</v>
      </c>
      <c r="K7609" t="s">
        <v>1268</v>
      </c>
      <c r="L7609">
        <v>9</v>
      </c>
      <c r="O7609" t="s">
        <v>30</v>
      </c>
      <c r="P7609" t="s">
        <v>42</v>
      </c>
      <c r="S7609" t="s">
        <v>31</v>
      </c>
      <c r="T7609" t="s">
        <v>3231</v>
      </c>
      <c r="U7609">
        <v>624</v>
      </c>
      <c r="V7609" s="3">
        <v>41296</v>
      </c>
    </row>
    <row r="7610" spans="1:22" x14ac:dyDescent="0.35">
      <c r="A7610" s="1">
        <v>42271.194537037038</v>
      </c>
      <c r="B7610" s="2">
        <v>2.2106481481481478E-3</v>
      </c>
      <c r="C7610" t="s">
        <v>106</v>
      </c>
      <c r="D7610" t="s">
        <v>23</v>
      </c>
      <c r="E7610" t="s">
        <v>24</v>
      </c>
      <c r="F7610" t="s">
        <v>486</v>
      </c>
      <c r="G7610">
        <v>1119505</v>
      </c>
      <c r="H7610" t="s">
        <v>26</v>
      </c>
      <c r="I7610" t="s">
        <v>450</v>
      </c>
      <c r="J7610" t="str">
        <f>"9781118355015"</f>
        <v>9781118355015</v>
      </c>
      <c r="K7610" t="s">
        <v>11212</v>
      </c>
      <c r="L7610">
        <v>10</v>
      </c>
      <c r="O7610" t="s">
        <v>30</v>
      </c>
      <c r="P7610" t="s">
        <v>29</v>
      </c>
      <c r="Q7610" s="1">
        <v>42269.848877314813</v>
      </c>
      <c r="R7610">
        <v>7</v>
      </c>
      <c r="S7610" t="s">
        <v>31</v>
      </c>
      <c r="T7610" t="s">
        <v>487</v>
      </c>
      <c r="U7610" t="s">
        <v>488</v>
      </c>
      <c r="V7610" s="3">
        <v>41302</v>
      </c>
    </row>
    <row r="7611" spans="1:22" x14ac:dyDescent="0.35">
      <c r="A7611" s="1">
        <v>42271.192986111113</v>
      </c>
      <c r="B7611" s="2">
        <v>2.5462962962962961E-4</v>
      </c>
      <c r="C7611" t="s">
        <v>3487</v>
      </c>
      <c r="D7611" t="s">
        <v>23</v>
      </c>
      <c r="E7611" t="s">
        <v>24</v>
      </c>
      <c r="F7611" t="s">
        <v>11213</v>
      </c>
      <c r="G7611">
        <v>2058094</v>
      </c>
      <c r="H7611" t="s">
        <v>45</v>
      </c>
      <c r="I7611" t="s">
        <v>200</v>
      </c>
      <c r="J7611" t="str">
        <f>"9781472416537"</f>
        <v>9781472416537</v>
      </c>
      <c r="K7611" t="s">
        <v>11214</v>
      </c>
      <c r="L7611">
        <v>8</v>
      </c>
      <c r="O7611" t="s">
        <v>30</v>
      </c>
      <c r="P7611" t="s">
        <v>50</v>
      </c>
      <c r="S7611" t="s">
        <v>31</v>
      </c>
      <c r="T7611" t="s">
        <v>11215</v>
      </c>
      <c r="U7611" t="s">
        <v>11216</v>
      </c>
      <c r="V7611" s="3">
        <v>42213</v>
      </c>
    </row>
    <row r="7612" spans="1:22" x14ac:dyDescent="0.35">
      <c r="A7612" s="1">
        <v>42271.181203703702</v>
      </c>
      <c r="B7612" s="2">
        <v>2.5578703703703705E-3</v>
      </c>
      <c r="C7612" t="s">
        <v>106</v>
      </c>
      <c r="D7612" t="s">
        <v>23</v>
      </c>
      <c r="E7612" t="s">
        <v>24</v>
      </c>
      <c r="F7612" t="s">
        <v>3228</v>
      </c>
      <c r="G7612">
        <v>1115640</v>
      </c>
      <c r="H7612" t="s">
        <v>26</v>
      </c>
      <c r="I7612" t="s">
        <v>3229</v>
      </c>
      <c r="J7612" t="str">
        <f t="shared" ref="J7612:J7628" si="49">"9781118419090"</f>
        <v>9781118419090</v>
      </c>
      <c r="K7612" t="s">
        <v>11217</v>
      </c>
      <c r="L7612">
        <v>93</v>
      </c>
      <c r="O7612" t="s">
        <v>30</v>
      </c>
      <c r="P7612" t="s">
        <v>29</v>
      </c>
      <c r="Q7612" s="1">
        <v>42265.564884259256</v>
      </c>
      <c r="R7612">
        <v>7</v>
      </c>
      <c r="S7612" t="s">
        <v>31</v>
      </c>
      <c r="T7612" t="s">
        <v>3231</v>
      </c>
      <c r="U7612">
        <v>624</v>
      </c>
      <c r="V7612" s="3">
        <v>41296</v>
      </c>
    </row>
    <row r="7613" spans="1:22" x14ac:dyDescent="0.35">
      <c r="A7613" s="1">
        <v>42271.177361111113</v>
      </c>
      <c r="B7613" s="2">
        <v>1.1574074074074073E-5</v>
      </c>
      <c r="C7613" t="s">
        <v>11067</v>
      </c>
      <c r="D7613" t="s">
        <v>23</v>
      </c>
      <c r="E7613" t="s">
        <v>24</v>
      </c>
      <c r="F7613" t="s">
        <v>3228</v>
      </c>
      <c r="G7613">
        <v>1115640</v>
      </c>
      <c r="H7613" t="s">
        <v>26</v>
      </c>
      <c r="I7613" t="s">
        <v>3229</v>
      </c>
      <c r="J7613" t="str">
        <f t="shared" si="49"/>
        <v>9781118419090</v>
      </c>
      <c r="K7613" t="s">
        <v>318</v>
      </c>
      <c r="L7613">
        <v>1</v>
      </c>
      <c r="O7613" t="s">
        <v>30</v>
      </c>
      <c r="P7613" t="s">
        <v>29</v>
      </c>
      <c r="Q7613" s="1">
        <v>42271.177361111113</v>
      </c>
      <c r="R7613">
        <v>7</v>
      </c>
      <c r="S7613" t="s">
        <v>31</v>
      </c>
      <c r="T7613" t="s">
        <v>3231</v>
      </c>
      <c r="U7613">
        <v>624</v>
      </c>
      <c r="V7613" s="3">
        <v>41296</v>
      </c>
    </row>
    <row r="7614" spans="1:22" x14ac:dyDescent="0.35">
      <c r="A7614" s="1">
        <v>42271.170023148145</v>
      </c>
      <c r="B7614" s="2">
        <v>0</v>
      </c>
      <c r="C7614" t="s">
        <v>11218</v>
      </c>
      <c r="D7614" t="s">
        <v>23</v>
      </c>
      <c r="E7614" t="s">
        <v>24</v>
      </c>
      <c r="F7614" t="s">
        <v>3228</v>
      </c>
      <c r="G7614">
        <v>1115640</v>
      </c>
      <c r="H7614" t="s">
        <v>26</v>
      </c>
      <c r="I7614" t="s">
        <v>3229</v>
      </c>
      <c r="J7614" t="str">
        <f t="shared" si="49"/>
        <v>9781118419090</v>
      </c>
      <c r="L7614">
        <v>0</v>
      </c>
      <c r="N7614" t="s">
        <v>11219</v>
      </c>
      <c r="O7614" t="s">
        <v>30</v>
      </c>
      <c r="P7614" t="s">
        <v>29</v>
      </c>
      <c r="Q7614" s="1">
        <v>42271.170023148145</v>
      </c>
      <c r="R7614">
        <v>7</v>
      </c>
      <c r="S7614" t="s">
        <v>31</v>
      </c>
      <c r="T7614" t="s">
        <v>3231</v>
      </c>
      <c r="U7614">
        <v>624</v>
      </c>
      <c r="V7614" s="3">
        <v>41296</v>
      </c>
    </row>
    <row r="7615" spans="1:22" x14ac:dyDescent="0.35">
      <c r="A7615" s="1">
        <v>42271.16914351852</v>
      </c>
      <c r="B7615" s="2">
        <v>8.7962962962962962E-4</v>
      </c>
      <c r="C7615" t="s">
        <v>11218</v>
      </c>
      <c r="D7615" t="s">
        <v>23</v>
      </c>
      <c r="E7615" t="s">
        <v>24</v>
      </c>
      <c r="F7615" t="s">
        <v>3228</v>
      </c>
      <c r="G7615">
        <v>1115640</v>
      </c>
      <c r="H7615" t="s">
        <v>26</v>
      </c>
      <c r="I7615" t="s">
        <v>3229</v>
      </c>
      <c r="J7615" t="str">
        <f t="shared" si="49"/>
        <v>9781118419090</v>
      </c>
      <c r="K7615" t="s">
        <v>209</v>
      </c>
      <c r="L7615">
        <v>4</v>
      </c>
      <c r="O7615" t="s">
        <v>30</v>
      </c>
      <c r="P7615" t="s">
        <v>42</v>
      </c>
      <c r="S7615" t="s">
        <v>31</v>
      </c>
      <c r="T7615" t="s">
        <v>3231</v>
      </c>
      <c r="U7615">
        <v>624</v>
      </c>
      <c r="V7615" s="3">
        <v>41296</v>
      </c>
    </row>
    <row r="7616" spans="1:22" x14ac:dyDescent="0.35">
      <c r="A7616" s="1">
        <v>42271.168969907405</v>
      </c>
      <c r="B7616" s="2">
        <v>0</v>
      </c>
      <c r="C7616" t="s">
        <v>11220</v>
      </c>
      <c r="D7616" t="s">
        <v>23</v>
      </c>
      <c r="E7616" t="s">
        <v>24</v>
      </c>
      <c r="F7616" t="s">
        <v>3228</v>
      </c>
      <c r="G7616">
        <v>1115640</v>
      </c>
      <c r="H7616" t="s">
        <v>26</v>
      </c>
      <c r="I7616" t="s">
        <v>3229</v>
      </c>
      <c r="J7616" t="str">
        <f t="shared" si="49"/>
        <v>9781118419090</v>
      </c>
      <c r="L7616">
        <v>0</v>
      </c>
      <c r="N7616" t="s">
        <v>11219</v>
      </c>
      <c r="O7616" t="s">
        <v>30</v>
      </c>
      <c r="P7616" t="s">
        <v>29</v>
      </c>
      <c r="Q7616" s="1">
        <v>42271.168969907405</v>
      </c>
      <c r="R7616">
        <v>7</v>
      </c>
      <c r="S7616" t="s">
        <v>31</v>
      </c>
      <c r="T7616" t="s">
        <v>3231</v>
      </c>
      <c r="U7616">
        <v>624</v>
      </c>
      <c r="V7616" s="3">
        <v>41296</v>
      </c>
    </row>
    <row r="7617" spans="1:22" x14ac:dyDescent="0.35">
      <c r="A7617" s="1">
        <v>42271.168715277781</v>
      </c>
      <c r="B7617" s="2">
        <v>2.5462962962962961E-4</v>
      </c>
      <c r="C7617" t="s">
        <v>11220</v>
      </c>
      <c r="D7617" t="s">
        <v>23</v>
      </c>
      <c r="E7617" t="s">
        <v>24</v>
      </c>
      <c r="F7617" t="s">
        <v>3228</v>
      </c>
      <c r="G7617">
        <v>1115640</v>
      </c>
      <c r="H7617" t="s">
        <v>26</v>
      </c>
      <c r="I7617" t="s">
        <v>3229</v>
      </c>
      <c r="J7617" t="str">
        <f t="shared" si="49"/>
        <v>9781118419090</v>
      </c>
      <c r="K7617" t="s">
        <v>611</v>
      </c>
      <c r="L7617">
        <v>3</v>
      </c>
      <c r="O7617" t="s">
        <v>30</v>
      </c>
      <c r="P7617" t="s">
        <v>42</v>
      </c>
      <c r="S7617" t="s">
        <v>31</v>
      </c>
      <c r="T7617" t="s">
        <v>3231</v>
      </c>
      <c r="U7617">
        <v>624</v>
      </c>
      <c r="V7617" s="3">
        <v>41296</v>
      </c>
    </row>
    <row r="7618" spans="1:22" x14ac:dyDescent="0.35">
      <c r="A7618" s="1">
        <v>42271.166018518517</v>
      </c>
      <c r="B7618" s="2">
        <v>4.3391203703703703E-2</v>
      </c>
      <c r="C7618" t="s">
        <v>106</v>
      </c>
      <c r="D7618" t="s">
        <v>23</v>
      </c>
      <c r="E7618" t="s">
        <v>24</v>
      </c>
      <c r="F7618" t="s">
        <v>3228</v>
      </c>
      <c r="G7618">
        <v>1115640</v>
      </c>
      <c r="H7618" t="s">
        <v>26</v>
      </c>
      <c r="I7618" t="s">
        <v>3229</v>
      </c>
      <c r="J7618" t="str">
        <f t="shared" si="49"/>
        <v>9781118419090</v>
      </c>
      <c r="K7618" t="s">
        <v>11221</v>
      </c>
      <c r="L7618">
        <v>51</v>
      </c>
      <c r="O7618" t="s">
        <v>30</v>
      </c>
      <c r="P7618" t="s">
        <v>29</v>
      </c>
      <c r="Q7618" s="1">
        <v>42265.564884259256</v>
      </c>
      <c r="R7618">
        <v>7</v>
      </c>
      <c r="S7618" t="s">
        <v>31</v>
      </c>
      <c r="T7618" t="s">
        <v>3231</v>
      </c>
      <c r="U7618">
        <v>624</v>
      </c>
      <c r="V7618" s="3">
        <v>41296</v>
      </c>
    </row>
    <row r="7619" spans="1:22" x14ac:dyDescent="0.35">
      <c r="A7619" s="1">
        <v>42271.161851851852</v>
      </c>
      <c r="B7619" s="2">
        <v>4.280092592592593E-2</v>
      </c>
      <c r="C7619" t="s">
        <v>106</v>
      </c>
      <c r="D7619" t="s">
        <v>23</v>
      </c>
      <c r="E7619" t="s">
        <v>24</v>
      </c>
      <c r="F7619" t="s">
        <v>3228</v>
      </c>
      <c r="G7619">
        <v>1115640</v>
      </c>
      <c r="H7619" t="s">
        <v>26</v>
      </c>
      <c r="I7619" t="s">
        <v>3229</v>
      </c>
      <c r="J7619" t="str">
        <f t="shared" si="49"/>
        <v>9781118419090</v>
      </c>
      <c r="K7619" t="s">
        <v>11222</v>
      </c>
      <c r="L7619">
        <v>37</v>
      </c>
      <c r="O7619" t="s">
        <v>30</v>
      </c>
      <c r="P7619" t="s">
        <v>29</v>
      </c>
      <c r="Q7619" s="1">
        <v>42265.564884259256</v>
      </c>
      <c r="R7619">
        <v>7</v>
      </c>
      <c r="S7619" t="s">
        <v>31</v>
      </c>
      <c r="T7619" t="s">
        <v>3231</v>
      </c>
      <c r="U7619">
        <v>624</v>
      </c>
      <c r="V7619" s="3">
        <v>41296</v>
      </c>
    </row>
    <row r="7620" spans="1:22" x14ac:dyDescent="0.35">
      <c r="A7620" s="1">
        <v>42271.154664351852</v>
      </c>
      <c r="B7620" s="2">
        <v>2.269675925925926E-2</v>
      </c>
      <c r="C7620" t="s">
        <v>11067</v>
      </c>
      <c r="D7620" t="s">
        <v>23</v>
      </c>
      <c r="E7620" t="s">
        <v>24</v>
      </c>
      <c r="F7620" t="s">
        <v>3228</v>
      </c>
      <c r="G7620">
        <v>1115640</v>
      </c>
      <c r="H7620" t="s">
        <v>26</v>
      </c>
      <c r="I7620" t="s">
        <v>3229</v>
      </c>
      <c r="J7620" t="str">
        <f t="shared" si="49"/>
        <v>9781118419090</v>
      </c>
      <c r="K7620" t="s">
        <v>11223</v>
      </c>
      <c r="L7620">
        <v>13</v>
      </c>
      <c r="O7620" t="s">
        <v>30</v>
      </c>
      <c r="P7620" t="s">
        <v>42</v>
      </c>
      <c r="S7620" t="s">
        <v>31</v>
      </c>
      <c r="T7620" t="s">
        <v>3231</v>
      </c>
      <c r="U7620">
        <v>624</v>
      </c>
      <c r="V7620" s="3">
        <v>41296</v>
      </c>
    </row>
    <row r="7621" spans="1:22" x14ac:dyDescent="0.35">
      <c r="A7621" s="1">
        <v>42271.151574074072</v>
      </c>
      <c r="B7621" s="2">
        <v>9.3750000000000007E-4</v>
      </c>
      <c r="C7621" t="s">
        <v>106</v>
      </c>
      <c r="D7621" t="s">
        <v>23</v>
      </c>
      <c r="E7621" t="s">
        <v>24</v>
      </c>
      <c r="F7621" t="s">
        <v>3228</v>
      </c>
      <c r="G7621">
        <v>1115640</v>
      </c>
      <c r="H7621" t="s">
        <v>26</v>
      </c>
      <c r="I7621" t="s">
        <v>3229</v>
      </c>
      <c r="J7621" t="str">
        <f t="shared" si="49"/>
        <v>9781118419090</v>
      </c>
      <c r="K7621" t="s">
        <v>1185</v>
      </c>
      <c r="L7621">
        <v>2</v>
      </c>
      <c r="M7621" t="s">
        <v>11224</v>
      </c>
      <c r="N7621" t="s">
        <v>11219</v>
      </c>
      <c r="O7621" t="s">
        <v>28</v>
      </c>
      <c r="P7621" t="s">
        <v>29</v>
      </c>
      <c r="Q7621" s="1">
        <v>42265.564884259256</v>
      </c>
      <c r="R7621">
        <v>7</v>
      </c>
      <c r="S7621" t="s">
        <v>31</v>
      </c>
      <c r="T7621" t="s">
        <v>3231</v>
      </c>
      <c r="U7621">
        <v>624</v>
      </c>
      <c r="V7621" s="3">
        <v>41296</v>
      </c>
    </row>
    <row r="7622" spans="1:22" x14ac:dyDescent="0.35">
      <c r="A7622" s="1">
        <v>42271.151388888888</v>
      </c>
      <c r="B7622" s="2">
        <v>0</v>
      </c>
      <c r="C7622" t="s">
        <v>106</v>
      </c>
      <c r="D7622" t="s">
        <v>23</v>
      </c>
      <c r="E7622" t="s">
        <v>24</v>
      </c>
      <c r="F7622" t="s">
        <v>3228</v>
      </c>
      <c r="G7622">
        <v>1115640</v>
      </c>
      <c r="H7622" t="s">
        <v>26</v>
      </c>
      <c r="I7622" t="s">
        <v>3229</v>
      </c>
      <c r="J7622" t="str">
        <f t="shared" si="49"/>
        <v>9781118419090</v>
      </c>
      <c r="L7622">
        <v>0</v>
      </c>
      <c r="O7622" t="s">
        <v>28</v>
      </c>
      <c r="P7622" t="s">
        <v>29</v>
      </c>
      <c r="Q7622" s="1">
        <v>42265.564884259256</v>
      </c>
      <c r="R7622">
        <v>7</v>
      </c>
      <c r="S7622" t="s">
        <v>31</v>
      </c>
      <c r="T7622" t="s">
        <v>3231</v>
      </c>
      <c r="U7622">
        <v>624</v>
      </c>
      <c r="V7622" s="3">
        <v>41296</v>
      </c>
    </row>
    <row r="7623" spans="1:22" x14ac:dyDescent="0.35">
      <c r="A7623" s="1">
        <v>42271.15115740741</v>
      </c>
      <c r="B7623" s="2">
        <v>0</v>
      </c>
      <c r="C7623" t="s">
        <v>106</v>
      </c>
      <c r="D7623" t="s">
        <v>23</v>
      </c>
      <c r="E7623" t="s">
        <v>24</v>
      </c>
      <c r="F7623" t="s">
        <v>3228</v>
      </c>
      <c r="G7623">
        <v>1115640</v>
      </c>
      <c r="H7623" t="s">
        <v>26</v>
      </c>
      <c r="I7623" t="s">
        <v>3229</v>
      </c>
      <c r="J7623" t="str">
        <f t="shared" si="49"/>
        <v>9781118419090</v>
      </c>
      <c r="L7623">
        <v>0</v>
      </c>
      <c r="O7623" t="s">
        <v>28</v>
      </c>
      <c r="P7623" t="s">
        <v>29</v>
      </c>
      <c r="Q7623" s="1">
        <v>42265.564884259256</v>
      </c>
      <c r="R7623">
        <v>7</v>
      </c>
      <c r="S7623" t="s">
        <v>31</v>
      </c>
      <c r="T7623" t="s">
        <v>3231</v>
      </c>
      <c r="U7623">
        <v>624</v>
      </c>
      <c r="V7623" s="3">
        <v>41296</v>
      </c>
    </row>
    <row r="7624" spans="1:22" x14ac:dyDescent="0.35">
      <c r="A7624" s="1">
        <v>42271.150775462964</v>
      </c>
      <c r="B7624" s="2">
        <v>7.0601851851851847E-4</v>
      </c>
      <c r="C7624" t="s">
        <v>11067</v>
      </c>
      <c r="D7624" t="s">
        <v>23</v>
      </c>
      <c r="E7624" t="s">
        <v>24</v>
      </c>
      <c r="F7624" t="s">
        <v>3228</v>
      </c>
      <c r="G7624">
        <v>1115640</v>
      </c>
      <c r="H7624" t="s">
        <v>26</v>
      </c>
      <c r="I7624" t="s">
        <v>3229</v>
      </c>
      <c r="J7624" t="str">
        <f t="shared" si="49"/>
        <v>9781118419090</v>
      </c>
      <c r="K7624" t="s">
        <v>7753</v>
      </c>
      <c r="L7624">
        <v>13</v>
      </c>
      <c r="O7624" t="s">
        <v>30</v>
      </c>
      <c r="P7624" t="s">
        <v>42</v>
      </c>
      <c r="S7624" t="s">
        <v>31</v>
      </c>
      <c r="T7624" t="s">
        <v>3231</v>
      </c>
      <c r="U7624">
        <v>624</v>
      </c>
      <c r="V7624" s="3">
        <v>41296</v>
      </c>
    </row>
    <row r="7625" spans="1:22" x14ac:dyDescent="0.35">
      <c r="A7625" s="1">
        <v>42271.150509259256</v>
      </c>
      <c r="B7625" s="2">
        <v>0</v>
      </c>
      <c r="C7625" t="s">
        <v>106</v>
      </c>
      <c r="D7625" t="s">
        <v>23</v>
      </c>
      <c r="E7625" t="s">
        <v>24</v>
      </c>
      <c r="F7625" t="s">
        <v>3228</v>
      </c>
      <c r="G7625">
        <v>1115640</v>
      </c>
      <c r="H7625" t="s">
        <v>26</v>
      </c>
      <c r="I7625" t="s">
        <v>3229</v>
      </c>
      <c r="J7625" t="str">
        <f t="shared" si="49"/>
        <v>9781118419090</v>
      </c>
      <c r="L7625">
        <v>0</v>
      </c>
      <c r="O7625" t="s">
        <v>28</v>
      </c>
      <c r="P7625" t="s">
        <v>29</v>
      </c>
      <c r="Q7625" s="1">
        <v>42265.564884259256</v>
      </c>
      <c r="R7625">
        <v>7</v>
      </c>
      <c r="S7625" t="s">
        <v>31</v>
      </c>
      <c r="T7625" t="s">
        <v>3231</v>
      </c>
      <c r="U7625">
        <v>624</v>
      </c>
      <c r="V7625" s="3">
        <v>41296</v>
      </c>
    </row>
    <row r="7626" spans="1:22" x14ac:dyDescent="0.35">
      <c r="A7626" s="1">
        <v>42271.148530092592</v>
      </c>
      <c r="B7626" s="2">
        <v>1.7592592592592592E-3</v>
      </c>
      <c r="C7626" t="s">
        <v>106</v>
      </c>
      <c r="D7626" t="s">
        <v>23</v>
      </c>
      <c r="E7626" t="s">
        <v>24</v>
      </c>
      <c r="F7626" t="s">
        <v>3228</v>
      </c>
      <c r="G7626">
        <v>1115640</v>
      </c>
      <c r="H7626" t="s">
        <v>26</v>
      </c>
      <c r="I7626" t="s">
        <v>3229</v>
      </c>
      <c r="J7626" t="str">
        <f t="shared" si="49"/>
        <v>9781118419090</v>
      </c>
      <c r="K7626" t="s">
        <v>443</v>
      </c>
      <c r="L7626">
        <v>19</v>
      </c>
      <c r="O7626" t="s">
        <v>30</v>
      </c>
      <c r="P7626" t="s">
        <v>29</v>
      </c>
      <c r="Q7626" s="1">
        <v>42265.564884259256</v>
      </c>
      <c r="R7626">
        <v>7</v>
      </c>
      <c r="S7626" t="s">
        <v>31</v>
      </c>
      <c r="T7626" t="s">
        <v>3231</v>
      </c>
      <c r="U7626">
        <v>624</v>
      </c>
      <c r="V7626" s="3">
        <v>41296</v>
      </c>
    </row>
    <row r="7627" spans="1:22" x14ac:dyDescent="0.35">
      <c r="A7627" s="1">
        <v>42271.144201388888</v>
      </c>
      <c r="B7627" s="2">
        <v>2.3148148148148146E-4</v>
      </c>
      <c r="C7627" t="s">
        <v>11067</v>
      </c>
      <c r="D7627" t="s">
        <v>23</v>
      </c>
      <c r="E7627" t="s">
        <v>24</v>
      </c>
      <c r="F7627" t="s">
        <v>3228</v>
      </c>
      <c r="G7627">
        <v>1115640</v>
      </c>
      <c r="H7627" t="s">
        <v>26</v>
      </c>
      <c r="I7627" t="s">
        <v>3229</v>
      </c>
      <c r="J7627" t="str">
        <f t="shared" si="49"/>
        <v>9781118419090</v>
      </c>
      <c r="K7627" t="s">
        <v>835</v>
      </c>
      <c r="L7627">
        <v>5</v>
      </c>
      <c r="O7627" t="s">
        <v>30</v>
      </c>
      <c r="P7627" t="s">
        <v>42</v>
      </c>
      <c r="S7627" t="s">
        <v>31</v>
      </c>
      <c r="T7627" t="s">
        <v>3231</v>
      </c>
      <c r="U7627">
        <v>624</v>
      </c>
      <c r="V7627" s="3">
        <v>41296</v>
      </c>
    </row>
    <row r="7628" spans="1:22" x14ac:dyDescent="0.35">
      <c r="A7628" s="1">
        <v>42271.134143518517</v>
      </c>
      <c r="B7628" s="2">
        <v>1.0185185185185186E-3</v>
      </c>
      <c r="C7628" t="s">
        <v>106</v>
      </c>
      <c r="D7628" t="s">
        <v>23</v>
      </c>
      <c r="E7628" t="s">
        <v>24</v>
      </c>
      <c r="F7628" t="s">
        <v>3228</v>
      </c>
      <c r="G7628">
        <v>1115640</v>
      </c>
      <c r="H7628" t="s">
        <v>26</v>
      </c>
      <c r="I7628" t="s">
        <v>3229</v>
      </c>
      <c r="J7628" t="str">
        <f t="shared" si="49"/>
        <v>9781118419090</v>
      </c>
      <c r="K7628" t="s">
        <v>11225</v>
      </c>
      <c r="L7628">
        <v>21</v>
      </c>
      <c r="O7628" t="s">
        <v>30</v>
      </c>
      <c r="P7628" t="s">
        <v>29</v>
      </c>
      <c r="Q7628" s="1">
        <v>42265.564884259256</v>
      </c>
      <c r="R7628">
        <v>7</v>
      </c>
      <c r="S7628" t="s">
        <v>31</v>
      </c>
      <c r="T7628" t="s">
        <v>3231</v>
      </c>
      <c r="U7628">
        <v>624</v>
      </c>
      <c r="V7628" s="3">
        <v>41296</v>
      </c>
    </row>
    <row r="7629" spans="1:22" x14ac:dyDescent="0.35">
      <c r="A7629" s="1">
        <v>42271.123784722222</v>
      </c>
      <c r="B7629" s="2">
        <v>1.9791666666666668E-3</v>
      </c>
      <c r="C7629" t="s">
        <v>4947</v>
      </c>
      <c r="D7629" t="s">
        <v>1222</v>
      </c>
      <c r="E7629" t="s">
        <v>1223</v>
      </c>
      <c r="F7629" t="s">
        <v>3263</v>
      </c>
      <c r="G7629">
        <v>1840835</v>
      </c>
      <c r="H7629" t="s">
        <v>26</v>
      </c>
      <c r="I7629" t="s">
        <v>108</v>
      </c>
      <c r="J7629" t="str">
        <f>"9781118950166"</f>
        <v>9781118950166</v>
      </c>
      <c r="K7629" t="s">
        <v>11226</v>
      </c>
      <c r="L7629">
        <v>12</v>
      </c>
      <c r="O7629" t="s">
        <v>30</v>
      </c>
      <c r="P7629" t="s">
        <v>29</v>
      </c>
      <c r="Q7629" s="1">
        <v>42269.861967592595</v>
      </c>
      <c r="R7629">
        <v>7</v>
      </c>
      <c r="S7629" t="s">
        <v>1226</v>
      </c>
      <c r="T7629" t="s">
        <v>3264</v>
      </c>
      <c r="U7629">
        <v>338.10923789999998</v>
      </c>
      <c r="V7629" s="3">
        <v>41953</v>
      </c>
    </row>
    <row r="7630" spans="1:22" x14ac:dyDescent="0.35">
      <c r="A7630" s="1">
        <v>42271.117256944446</v>
      </c>
      <c r="B7630" s="2">
        <v>6.8645833333333336E-2</v>
      </c>
      <c r="C7630" t="s">
        <v>106</v>
      </c>
      <c r="D7630" t="s">
        <v>23</v>
      </c>
      <c r="E7630" t="s">
        <v>24</v>
      </c>
      <c r="F7630" t="s">
        <v>486</v>
      </c>
      <c r="G7630">
        <v>1119505</v>
      </c>
      <c r="H7630" t="s">
        <v>26</v>
      </c>
      <c r="I7630" t="s">
        <v>450</v>
      </c>
      <c r="J7630" t="str">
        <f>"9781118355015"</f>
        <v>9781118355015</v>
      </c>
      <c r="K7630" t="s">
        <v>11227</v>
      </c>
      <c r="L7630">
        <v>33</v>
      </c>
      <c r="O7630" t="s">
        <v>30</v>
      </c>
      <c r="P7630" t="s">
        <v>29</v>
      </c>
      <c r="Q7630" s="1">
        <v>42269.848877314813</v>
      </c>
      <c r="R7630">
        <v>7</v>
      </c>
      <c r="S7630" t="s">
        <v>31</v>
      </c>
      <c r="T7630" t="s">
        <v>487</v>
      </c>
      <c r="U7630" t="s">
        <v>488</v>
      </c>
      <c r="V7630" s="3">
        <v>41302</v>
      </c>
    </row>
    <row r="7631" spans="1:22" x14ac:dyDescent="0.35">
      <c r="A7631" s="1">
        <v>42271.110671296294</v>
      </c>
      <c r="B7631" s="2">
        <v>2.7418981481481485E-2</v>
      </c>
      <c r="C7631" t="s">
        <v>106</v>
      </c>
      <c r="D7631" t="s">
        <v>23</v>
      </c>
      <c r="E7631" t="s">
        <v>24</v>
      </c>
      <c r="F7631" t="s">
        <v>3228</v>
      </c>
      <c r="G7631">
        <v>1115640</v>
      </c>
      <c r="H7631" t="s">
        <v>26</v>
      </c>
      <c r="I7631" t="s">
        <v>3229</v>
      </c>
      <c r="J7631" t="str">
        <f>"9781118419090"</f>
        <v>9781118419090</v>
      </c>
      <c r="K7631" t="s">
        <v>11228</v>
      </c>
      <c r="L7631">
        <v>30</v>
      </c>
      <c r="O7631" t="s">
        <v>30</v>
      </c>
      <c r="P7631" t="s">
        <v>29</v>
      </c>
      <c r="Q7631" s="1">
        <v>42265.564884259256</v>
      </c>
      <c r="R7631">
        <v>7</v>
      </c>
      <c r="S7631" t="s">
        <v>31</v>
      </c>
      <c r="T7631" t="s">
        <v>3231</v>
      </c>
      <c r="U7631">
        <v>624</v>
      </c>
      <c r="V7631" s="3">
        <v>41296</v>
      </c>
    </row>
    <row r="7632" spans="1:22" x14ac:dyDescent="0.35">
      <c r="A7632" s="1">
        <v>42271.105520833335</v>
      </c>
      <c r="B7632" s="2">
        <v>2.1527777777777778E-3</v>
      </c>
      <c r="C7632" t="s">
        <v>11090</v>
      </c>
      <c r="D7632" t="s">
        <v>23</v>
      </c>
      <c r="E7632" t="s">
        <v>24</v>
      </c>
      <c r="F7632" t="s">
        <v>52</v>
      </c>
      <c r="G7632">
        <v>822040</v>
      </c>
      <c r="H7632" t="s">
        <v>26</v>
      </c>
      <c r="I7632" t="s">
        <v>53</v>
      </c>
      <c r="J7632" t="str">
        <f>"9781118289099"</f>
        <v>9781118289099</v>
      </c>
      <c r="K7632" t="s">
        <v>11229</v>
      </c>
      <c r="L7632">
        <v>12</v>
      </c>
      <c r="O7632" t="s">
        <v>30</v>
      </c>
      <c r="P7632" t="s">
        <v>42</v>
      </c>
      <c r="S7632" t="s">
        <v>31</v>
      </c>
      <c r="T7632" t="s">
        <v>55</v>
      </c>
      <c r="U7632" t="s">
        <v>56</v>
      </c>
      <c r="V7632" s="3">
        <v>40990</v>
      </c>
    </row>
    <row r="7633" spans="1:22" x14ac:dyDescent="0.35">
      <c r="A7633" s="1">
        <v>42271.102685185186</v>
      </c>
      <c r="B7633" s="2">
        <v>2.685185185185185E-3</v>
      </c>
      <c r="C7633" t="s">
        <v>11090</v>
      </c>
      <c r="D7633" t="s">
        <v>23</v>
      </c>
      <c r="E7633" t="s">
        <v>24</v>
      </c>
      <c r="F7633" t="s">
        <v>52</v>
      </c>
      <c r="G7633">
        <v>822040</v>
      </c>
      <c r="H7633" t="s">
        <v>26</v>
      </c>
      <c r="I7633" t="s">
        <v>53</v>
      </c>
      <c r="J7633" t="str">
        <f>"9781118289099"</f>
        <v>9781118289099</v>
      </c>
      <c r="K7633" t="s">
        <v>11230</v>
      </c>
      <c r="L7633">
        <v>36</v>
      </c>
      <c r="O7633" t="s">
        <v>30</v>
      </c>
      <c r="P7633" t="s">
        <v>42</v>
      </c>
      <c r="S7633" t="s">
        <v>31</v>
      </c>
      <c r="T7633" t="s">
        <v>55</v>
      </c>
      <c r="U7633" t="s">
        <v>56</v>
      </c>
      <c r="V7633" s="3">
        <v>40990</v>
      </c>
    </row>
    <row r="7634" spans="1:22" x14ac:dyDescent="0.35">
      <c r="A7634" s="1">
        <v>42271.101712962962</v>
      </c>
      <c r="B7634" s="2">
        <v>1.315972222222222E-2</v>
      </c>
      <c r="C7634" t="s">
        <v>10575</v>
      </c>
      <c r="D7634" t="s">
        <v>23</v>
      </c>
      <c r="E7634" t="s">
        <v>24</v>
      </c>
      <c r="F7634" t="s">
        <v>246</v>
      </c>
      <c r="G7634">
        <v>1682559</v>
      </c>
      <c r="H7634" t="s">
        <v>91</v>
      </c>
      <c r="I7634" t="s">
        <v>247</v>
      </c>
      <c r="J7634" t="str">
        <f>"9781462515431"</f>
        <v>9781462515431</v>
      </c>
      <c r="K7634" t="s">
        <v>11231</v>
      </c>
      <c r="L7634">
        <v>55</v>
      </c>
      <c r="O7634" t="s">
        <v>30</v>
      </c>
      <c r="P7634" t="s">
        <v>29</v>
      </c>
      <c r="Q7634" s="1">
        <v>42269.953020833331</v>
      </c>
      <c r="R7634">
        <v>7</v>
      </c>
      <c r="S7634" t="s">
        <v>31</v>
      </c>
      <c r="T7634" t="s">
        <v>249</v>
      </c>
      <c r="U7634">
        <v>616.89</v>
      </c>
      <c r="V7634" s="3">
        <v>41769</v>
      </c>
    </row>
    <row r="7635" spans="1:22" x14ac:dyDescent="0.35">
      <c r="A7635" s="1">
        <v>42271.10087962963</v>
      </c>
      <c r="B7635" s="2">
        <v>2.1539351851851851E-2</v>
      </c>
      <c r="C7635" t="s">
        <v>11232</v>
      </c>
      <c r="D7635" t="s">
        <v>23</v>
      </c>
      <c r="E7635" t="s">
        <v>24</v>
      </c>
      <c r="F7635" t="s">
        <v>4594</v>
      </c>
      <c r="G7635">
        <v>1872281</v>
      </c>
      <c r="H7635" t="s">
        <v>91</v>
      </c>
      <c r="I7635" t="s">
        <v>2133</v>
      </c>
      <c r="J7635" t="str">
        <f>"9781462519606"</f>
        <v>9781462519606</v>
      </c>
      <c r="K7635" t="s">
        <v>11233</v>
      </c>
      <c r="L7635">
        <v>45</v>
      </c>
      <c r="O7635" t="s">
        <v>30</v>
      </c>
      <c r="P7635" t="s">
        <v>29</v>
      </c>
      <c r="Q7635" s="1">
        <v>42267.971597222226</v>
      </c>
      <c r="R7635">
        <v>7</v>
      </c>
      <c r="S7635" t="s">
        <v>31</v>
      </c>
      <c r="T7635" t="s">
        <v>4596</v>
      </c>
      <c r="U7635">
        <v>378.101</v>
      </c>
      <c r="V7635" s="3">
        <v>42150</v>
      </c>
    </row>
    <row r="7636" spans="1:22" x14ac:dyDescent="0.35">
      <c r="A7636" s="1">
        <v>42271.090011574073</v>
      </c>
      <c r="B7636" s="2">
        <v>1.0648148148148147E-3</v>
      </c>
      <c r="C7636" t="s">
        <v>106</v>
      </c>
      <c r="D7636" t="s">
        <v>23</v>
      </c>
      <c r="E7636" t="s">
        <v>24</v>
      </c>
      <c r="F7636" t="s">
        <v>3228</v>
      </c>
      <c r="G7636">
        <v>1115640</v>
      </c>
      <c r="H7636" t="s">
        <v>26</v>
      </c>
      <c r="I7636" t="s">
        <v>3229</v>
      </c>
      <c r="J7636" t="str">
        <f>"9781118419090"</f>
        <v>9781118419090</v>
      </c>
      <c r="K7636" t="s">
        <v>11234</v>
      </c>
      <c r="L7636">
        <v>20</v>
      </c>
      <c r="O7636" t="s">
        <v>30</v>
      </c>
      <c r="P7636" t="s">
        <v>29</v>
      </c>
      <c r="Q7636" s="1">
        <v>42265.564884259256</v>
      </c>
      <c r="R7636">
        <v>7</v>
      </c>
      <c r="S7636" t="s">
        <v>31</v>
      </c>
      <c r="T7636" t="s">
        <v>3231</v>
      </c>
      <c r="U7636">
        <v>624</v>
      </c>
      <c r="V7636" s="3">
        <v>41296</v>
      </c>
    </row>
    <row r="7637" spans="1:22" x14ac:dyDescent="0.35">
      <c r="A7637" s="1">
        <v>42271.079641203702</v>
      </c>
      <c r="B7637" s="2">
        <v>1.423611111111111E-3</v>
      </c>
      <c r="C7637" t="s">
        <v>11235</v>
      </c>
      <c r="D7637" t="s">
        <v>23</v>
      </c>
      <c r="E7637" t="s">
        <v>24</v>
      </c>
      <c r="F7637" t="s">
        <v>52</v>
      </c>
      <c r="G7637">
        <v>822040</v>
      </c>
      <c r="H7637" t="s">
        <v>26</v>
      </c>
      <c r="I7637" t="s">
        <v>53</v>
      </c>
      <c r="J7637" t="str">
        <f>"9781118289099"</f>
        <v>9781118289099</v>
      </c>
      <c r="K7637" t="s">
        <v>11236</v>
      </c>
      <c r="L7637">
        <v>12</v>
      </c>
      <c r="O7637" t="s">
        <v>30</v>
      </c>
      <c r="P7637" t="s">
        <v>42</v>
      </c>
      <c r="S7637" t="s">
        <v>31</v>
      </c>
      <c r="T7637" t="s">
        <v>55</v>
      </c>
      <c r="U7637" t="s">
        <v>56</v>
      </c>
      <c r="V7637" s="3">
        <v>40990</v>
      </c>
    </row>
    <row r="7638" spans="1:22" x14ac:dyDescent="0.35">
      <c r="A7638" s="1">
        <v>42271.053622685184</v>
      </c>
      <c r="B7638" s="2">
        <v>5.932870370370371E-2</v>
      </c>
      <c r="C7638" t="s">
        <v>10978</v>
      </c>
      <c r="D7638" t="s">
        <v>23</v>
      </c>
      <c r="E7638" t="s">
        <v>24</v>
      </c>
      <c r="F7638" t="s">
        <v>3228</v>
      </c>
      <c r="G7638">
        <v>1115640</v>
      </c>
      <c r="H7638" t="s">
        <v>26</v>
      </c>
      <c r="I7638" t="s">
        <v>3229</v>
      </c>
      <c r="J7638" t="str">
        <f t="shared" ref="J7638:J7652" si="50">"9781118419090"</f>
        <v>9781118419090</v>
      </c>
      <c r="K7638" t="s">
        <v>11237</v>
      </c>
      <c r="L7638">
        <v>42</v>
      </c>
      <c r="O7638" t="s">
        <v>30</v>
      </c>
      <c r="P7638" t="s">
        <v>29</v>
      </c>
      <c r="Q7638" s="1">
        <v>42268.138773148145</v>
      </c>
      <c r="R7638">
        <v>7</v>
      </c>
      <c r="S7638" t="s">
        <v>31</v>
      </c>
      <c r="T7638" t="s">
        <v>3231</v>
      </c>
      <c r="U7638">
        <v>624</v>
      </c>
      <c r="V7638" s="3">
        <v>41296</v>
      </c>
    </row>
    <row r="7639" spans="1:22" x14ac:dyDescent="0.35">
      <c r="A7639" s="1">
        <v>42271.047789351855</v>
      </c>
      <c r="B7639" s="2">
        <v>0.12159722222222223</v>
      </c>
      <c r="C7639" t="s">
        <v>11238</v>
      </c>
      <c r="D7639" t="s">
        <v>23</v>
      </c>
      <c r="E7639" t="s">
        <v>24</v>
      </c>
      <c r="F7639" t="s">
        <v>3228</v>
      </c>
      <c r="G7639">
        <v>1115640</v>
      </c>
      <c r="H7639" t="s">
        <v>26</v>
      </c>
      <c r="I7639" t="s">
        <v>3229</v>
      </c>
      <c r="J7639" t="str">
        <f t="shared" si="50"/>
        <v>9781118419090</v>
      </c>
      <c r="K7639" t="s">
        <v>11239</v>
      </c>
      <c r="L7639">
        <v>57</v>
      </c>
      <c r="O7639" t="s">
        <v>28</v>
      </c>
      <c r="P7639" t="s">
        <v>29</v>
      </c>
      <c r="Q7639" s="1">
        <v>42271.035486111112</v>
      </c>
      <c r="R7639">
        <v>7</v>
      </c>
      <c r="S7639" t="s">
        <v>31</v>
      </c>
      <c r="T7639" t="s">
        <v>3231</v>
      </c>
      <c r="U7639">
        <v>624</v>
      </c>
      <c r="V7639" s="3">
        <v>41296</v>
      </c>
    </row>
    <row r="7640" spans="1:22" x14ac:dyDescent="0.35">
      <c r="A7640" s="1">
        <v>42271.047754629632</v>
      </c>
      <c r="B7640" s="2">
        <v>5.7870370370370366E-5</v>
      </c>
      <c r="C7640" t="s">
        <v>11240</v>
      </c>
      <c r="D7640" t="s">
        <v>23</v>
      </c>
      <c r="E7640" t="s">
        <v>24</v>
      </c>
      <c r="F7640" t="s">
        <v>3228</v>
      </c>
      <c r="G7640">
        <v>1115640</v>
      </c>
      <c r="H7640" t="s">
        <v>26</v>
      </c>
      <c r="I7640" t="s">
        <v>3229</v>
      </c>
      <c r="J7640" t="str">
        <f t="shared" si="50"/>
        <v>9781118419090</v>
      </c>
      <c r="K7640" t="s">
        <v>611</v>
      </c>
      <c r="L7640">
        <v>3</v>
      </c>
      <c r="N7640" t="s">
        <v>11241</v>
      </c>
      <c r="O7640" t="s">
        <v>30</v>
      </c>
      <c r="P7640" t="s">
        <v>29</v>
      </c>
      <c r="Q7640" s="1">
        <v>42270.181076388886</v>
      </c>
      <c r="R7640">
        <v>7</v>
      </c>
      <c r="S7640" t="s">
        <v>31</v>
      </c>
      <c r="T7640" t="s">
        <v>3231</v>
      </c>
      <c r="U7640">
        <v>624</v>
      </c>
      <c r="V7640" s="3">
        <v>41296</v>
      </c>
    </row>
    <row r="7641" spans="1:22" x14ac:dyDescent="0.35">
      <c r="A7641" s="1">
        <v>42271.0465625</v>
      </c>
      <c r="B7641" s="2">
        <v>4.4131944444444439E-2</v>
      </c>
      <c r="C7641" t="s">
        <v>106</v>
      </c>
      <c r="D7641" t="s">
        <v>23</v>
      </c>
      <c r="E7641" t="s">
        <v>24</v>
      </c>
      <c r="F7641" t="s">
        <v>3228</v>
      </c>
      <c r="G7641">
        <v>1115640</v>
      </c>
      <c r="H7641" t="s">
        <v>26</v>
      </c>
      <c r="I7641" t="s">
        <v>3229</v>
      </c>
      <c r="J7641" t="str">
        <f t="shared" si="50"/>
        <v>9781118419090</v>
      </c>
      <c r="K7641" t="s">
        <v>11242</v>
      </c>
      <c r="L7641">
        <v>71</v>
      </c>
      <c r="O7641" t="s">
        <v>30</v>
      </c>
      <c r="P7641" t="s">
        <v>29</v>
      </c>
      <c r="Q7641" s="1">
        <v>42265.564884259256</v>
      </c>
      <c r="R7641">
        <v>7</v>
      </c>
      <c r="S7641" t="s">
        <v>31</v>
      </c>
      <c r="T7641" t="s">
        <v>3231</v>
      </c>
      <c r="U7641">
        <v>624</v>
      </c>
      <c r="V7641" s="3">
        <v>41296</v>
      </c>
    </row>
    <row r="7642" spans="1:22" x14ac:dyDescent="0.35">
      <c r="A7642" s="1">
        <v>42271.042303240742</v>
      </c>
      <c r="B7642" s="2">
        <v>4.8611111111111104E-4</v>
      </c>
      <c r="C7642" t="s">
        <v>10954</v>
      </c>
      <c r="D7642" t="s">
        <v>23</v>
      </c>
      <c r="E7642" t="s">
        <v>24</v>
      </c>
      <c r="F7642" t="s">
        <v>3228</v>
      </c>
      <c r="G7642">
        <v>1115640</v>
      </c>
      <c r="H7642" t="s">
        <v>26</v>
      </c>
      <c r="I7642" t="s">
        <v>3229</v>
      </c>
      <c r="J7642" t="str">
        <f t="shared" si="50"/>
        <v>9781118419090</v>
      </c>
      <c r="K7642" t="s">
        <v>11243</v>
      </c>
      <c r="L7642">
        <v>14</v>
      </c>
      <c r="O7642" t="s">
        <v>30</v>
      </c>
      <c r="P7642" t="s">
        <v>29</v>
      </c>
      <c r="Q7642" s="1">
        <v>42271.042303240742</v>
      </c>
      <c r="R7642">
        <v>7</v>
      </c>
      <c r="S7642" t="s">
        <v>31</v>
      </c>
      <c r="T7642" t="s">
        <v>3231</v>
      </c>
      <c r="U7642">
        <v>624</v>
      </c>
      <c r="V7642" s="3">
        <v>41296</v>
      </c>
    </row>
    <row r="7643" spans="1:22" x14ac:dyDescent="0.35">
      <c r="A7643" s="1">
        <v>42271.038078703707</v>
      </c>
      <c r="B7643" s="2">
        <v>1.2326388888888888E-2</v>
      </c>
      <c r="C7643" t="s">
        <v>10978</v>
      </c>
      <c r="D7643" t="s">
        <v>23</v>
      </c>
      <c r="E7643" t="s">
        <v>24</v>
      </c>
      <c r="F7643" t="s">
        <v>3228</v>
      </c>
      <c r="G7643">
        <v>1115640</v>
      </c>
      <c r="H7643" t="s">
        <v>26</v>
      </c>
      <c r="I7643" t="s">
        <v>3229</v>
      </c>
      <c r="J7643" t="str">
        <f t="shared" si="50"/>
        <v>9781118419090</v>
      </c>
      <c r="K7643" t="s">
        <v>11244</v>
      </c>
      <c r="L7643">
        <v>9</v>
      </c>
      <c r="O7643" t="s">
        <v>30</v>
      </c>
      <c r="P7643" t="s">
        <v>29</v>
      </c>
      <c r="Q7643" s="1">
        <v>42268.138773148145</v>
      </c>
      <c r="R7643">
        <v>7</v>
      </c>
      <c r="S7643" t="s">
        <v>31</v>
      </c>
      <c r="T7643" t="s">
        <v>3231</v>
      </c>
      <c r="U7643">
        <v>624</v>
      </c>
      <c r="V7643" s="3">
        <v>41296</v>
      </c>
    </row>
    <row r="7644" spans="1:22" x14ac:dyDescent="0.35">
      <c r="A7644" s="1">
        <v>42271.035486111112</v>
      </c>
      <c r="B7644" s="2">
        <v>1.2083333333333333E-2</v>
      </c>
      <c r="C7644" t="s">
        <v>11238</v>
      </c>
      <c r="D7644" t="s">
        <v>23</v>
      </c>
      <c r="E7644" t="s">
        <v>24</v>
      </c>
      <c r="F7644" t="s">
        <v>3228</v>
      </c>
      <c r="G7644">
        <v>1115640</v>
      </c>
      <c r="H7644" t="s">
        <v>26</v>
      </c>
      <c r="I7644" t="s">
        <v>3229</v>
      </c>
      <c r="J7644" t="str">
        <f t="shared" si="50"/>
        <v>9781118419090</v>
      </c>
      <c r="K7644" t="s">
        <v>7352</v>
      </c>
      <c r="L7644">
        <v>5</v>
      </c>
      <c r="O7644" t="s">
        <v>30</v>
      </c>
      <c r="P7644" t="s">
        <v>29</v>
      </c>
      <c r="Q7644" s="1">
        <v>42271.035486111112</v>
      </c>
      <c r="R7644">
        <v>7</v>
      </c>
      <c r="S7644" t="s">
        <v>31</v>
      </c>
      <c r="T7644" t="s">
        <v>3231</v>
      </c>
      <c r="U7644">
        <v>624</v>
      </c>
      <c r="V7644" s="3">
        <v>41296</v>
      </c>
    </row>
    <row r="7645" spans="1:22" x14ac:dyDescent="0.35">
      <c r="A7645" s="1">
        <v>42271.03429398148</v>
      </c>
      <c r="B7645" s="2">
        <v>8.0092592592592594E-3</v>
      </c>
      <c r="C7645" t="s">
        <v>10954</v>
      </c>
      <c r="D7645" t="s">
        <v>23</v>
      </c>
      <c r="E7645" t="s">
        <v>24</v>
      </c>
      <c r="F7645" t="s">
        <v>3228</v>
      </c>
      <c r="G7645">
        <v>1115640</v>
      </c>
      <c r="H7645" t="s">
        <v>26</v>
      </c>
      <c r="I7645" t="s">
        <v>3229</v>
      </c>
      <c r="J7645" t="str">
        <f t="shared" si="50"/>
        <v>9781118419090</v>
      </c>
      <c r="K7645" t="s">
        <v>1964</v>
      </c>
      <c r="L7645">
        <v>22</v>
      </c>
      <c r="O7645" t="s">
        <v>30</v>
      </c>
      <c r="P7645" t="s">
        <v>42</v>
      </c>
      <c r="S7645" t="s">
        <v>31</v>
      </c>
      <c r="T7645" t="s">
        <v>3231</v>
      </c>
      <c r="U7645">
        <v>624</v>
      </c>
      <c r="V7645" s="3">
        <v>41296</v>
      </c>
    </row>
    <row r="7646" spans="1:22" x14ac:dyDescent="0.35">
      <c r="A7646" s="1">
        <v>42271.033761574072</v>
      </c>
      <c r="B7646" s="2">
        <v>1.7245370370370372E-3</v>
      </c>
      <c r="C7646" t="s">
        <v>11238</v>
      </c>
      <c r="D7646" t="s">
        <v>23</v>
      </c>
      <c r="E7646" t="s">
        <v>24</v>
      </c>
      <c r="F7646" t="s">
        <v>3228</v>
      </c>
      <c r="G7646">
        <v>1115640</v>
      </c>
      <c r="H7646" t="s">
        <v>26</v>
      </c>
      <c r="I7646" t="s">
        <v>3229</v>
      </c>
      <c r="J7646" t="str">
        <f t="shared" si="50"/>
        <v>9781118419090</v>
      </c>
      <c r="K7646" t="s">
        <v>11245</v>
      </c>
      <c r="L7646">
        <v>6</v>
      </c>
      <c r="O7646" t="s">
        <v>30</v>
      </c>
      <c r="P7646" t="s">
        <v>42</v>
      </c>
      <c r="S7646" t="s">
        <v>31</v>
      </c>
      <c r="T7646" t="s">
        <v>3231</v>
      </c>
      <c r="U7646">
        <v>624</v>
      </c>
      <c r="V7646" s="3">
        <v>41296</v>
      </c>
    </row>
    <row r="7647" spans="1:22" x14ac:dyDescent="0.35">
      <c r="A7647" s="1">
        <v>42271.026770833334</v>
      </c>
      <c r="B7647" s="2">
        <v>0.13326388888888888</v>
      </c>
      <c r="C7647" t="s">
        <v>106</v>
      </c>
      <c r="D7647" t="s">
        <v>23</v>
      </c>
      <c r="E7647" t="s">
        <v>24</v>
      </c>
      <c r="F7647" t="s">
        <v>3228</v>
      </c>
      <c r="G7647">
        <v>1115640</v>
      </c>
      <c r="H7647" t="s">
        <v>26</v>
      </c>
      <c r="I7647" t="s">
        <v>3229</v>
      </c>
      <c r="J7647" t="str">
        <f t="shared" si="50"/>
        <v>9781118419090</v>
      </c>
      <c r="K7647" t="s">
        <v>11246</v>
      </c>
      <c r="L7647">
        <v>37</v>
      </c>
      <c r="O7647" t="s">
        <v>30</v>
      </c>
      <c r="P7647" t="s">
        <v>29</v>
      </c>
      <c r="Q7647" s="1">
        <v>42265.564884259256</v>
      </c>
      <c r="R7647">
        <v>7</v>
      </c>
      <c r="S7647" t="s">
        <v>31</v>
      </c>
      <c r="T7647" t="s">
        <v>3231</v>
      </c>
      <c r="U7647">
        <v>624</v>
      </c>
      <c r="V7647" s="3">
        <v>41296</v>
      </c>
    </row>
    <row r="7648" spans="1:22" x14ac:dyDescent="0.35">
      <c r="A7648" s="1">
        <v>42271.009884259256</v>
      </c>
      <c r="B7648" s="2">
        <v>1.9976851851851853E-2</v>
      </c>
      <c r="C7648" t="s">
        <v>10940</v>
      </c>
      <c r="D7648" t="s">
        <v>23</v>
      </c>
      <c r="E7648" t="s">
        <v>24</v>
      </c>
      <c r="F7648" t="s">
        <v>3228</v>
      </c>
      <c r="G7648">
        <v>1115640</v>
      </c>
      <c r="H7648" t="s">
        <v>26</v>
      </c>
      <c r="I7648" t="s">
        <v>3229</v>
      </c>
      <c r="J7648" t="str">
        <f t="shared" si="50"/>
        <v>9781118419090</v>
      </c>
      <c r="K7648" t="s">
        <v>11247</v>
      </c>
      <c r="L7648">
        <v>21</v>
      </c>
      <c r="M7648" t="s">
        <v>10703</v>
      </c>
      <c r="O7648" t="s">
        <v>30</v>
      </c>
      <c r="P7648" t="s">
        <v>29</v>
      </c>
      <c r="Q7648" s="1">
        <v>42271.009884259256</v>
      </c>
      <c r="R7648">
        <v>7</v>
      </c>
      <c r="S7648" t="s">
        <v>31</v>
      </c>
      <c r="T7648" t="s">
        <v>3231</v>
      </c>
      <c r="U7648">
        <v>624</v>
      </c>
      <c r="V7648" s="3">
        <v>41296</v>
      </c>
    </row>
    <row r="7649" spans="1:22" x14ac:dyDescent="0.35">
      <c r="A7649" s="1">
        <v>42271.009652777779</v>
      </c>
      <c r="B7649" s="2">
        <v>2.3148148148148146E-4</v>
      </c>
      <c r="C7649" t="s">
        <v>10940</v>
      </c>
      <c r="D7649" t="s">
        <v>23</v>
      </c>
      <c r="E7649" t="s">
        <v>24</v>
      </c>
      <c r="F7649" t="s">
        <v>3228</v>
      </c>
      <c r="G7649">
        <v>1115640</v>
      </c>
      <c r="H7649" t="s">
        <v>26</v>
      </c>
      <c r="I7649" t="s">
        <v>3229</v>
      </c>
      <c r="J7649" t="str">
        <f t="shared" si="50"/>
        <v>9781118419090</v>
      </c>
      <c r="K7649" t="s">
        <v>11248</v>
      </c>
      <c r="L7649">
        <v>8</v>
      </c>
      <c r="O7649" t="s">
        <v>30</v>
      </c>
      <c r="P7649" t="s">
        <v>42</v>
      </c>
      <c r="S7649" t="s">
        <v>31</v>
      </c>
      <c r="T7649" t="s">
        <v>3231</v>
      </c>
      <c r="U7649">
        <v>624</v>
      </c>
      <c r="V7649" s="3">
        <v>41296</v>
      </c>
    </row>
    <row r="7650" spans="1:22" x14ac:dyDescent="0.35">
      <c r="A7650" s="1">
        <v>42270.995648148149</v>
      </c>
      <c r="B7650" s="2">
        <v>8.0393518518518517E-2</v>
      </c>
      <c r="C7650" t="s">
        <v>10995</v>
      </c>
      <c r="D7650" t="s">
        <v>23</v>
      </c>
      <c r="E7650" t="s">
        <v>24</v>
      </c>
      <c r="F7650" t="s">
        <v>3228</v>
      </c>
      <c r="G7650">
        <v>1115640</v>
      </c>
      <c r="H7650" t="s">
        <v>26</v>
      </c>
      <c r="I7650" t="s">
        <v>3229</v>
      </c>
      <c r="J7650" t="str">
        <f t="shared" si="50"/>
        <v>9781118419090</v>
      </c>
      <c r="K7650" t="s">
        <v>11249</v>
      </c>
      <c r="L7650">
        <v>32</v>
      </c>
      <c r="O7650" t="s">
        <v>30</v>
      </c>
      <c r="P7650" t="s">
        <v>29</v>
      </c>
      <c r="Q7650" s="1">
        <v>42270.995648148149</v>
      </c>
      <c r="R7650">
        <v>7</v>
      </c>
      <c r="S7650" t="s">
        <v>31</v>
      </c>
      <c r="T7650" t="s">
        <v>3231</v>
      </c>
      <c r="U7650">
        <v>624</v>
      </c>
      <c r="V7650" s="3">
        <v>41296</v>
      </c>
    </row>
    <row r="7651" spans="1:22" x14ac:dyDescent="0.35">
      <c r="A7651" s="1">
        <v>42270.989988425928</v>
      </c>
      <c r="B7651" s="2">
        <v>5.6597222222222222E-3</v>
      </c>
      <c r="C7651" t="s">
        <v>10995</v>
      </c>
      <c r="D7651" t="s">
        <v>23</v>
      </c>
      <c r="E7651" t="s">
        <v>24</v>
      </c>
      <c r="F7651" t="s">
        <v>3228</v>
      </c>
      <c r="G7651">
        <v>1115640</v>
      </c>
      <c r="H7651" t="s">
        <v>26</v>
      </c>
      <c r="I7651" t="s">
        <v>3229</v>
      </c>
      <c r="J7651" t="str">
        <f t="shared" si="50"/>
        <v>9781118419090</v>
      </c>
      <c r="K7651" t="s">
        <v>11250</v>
      </c>
      <c r="L7651">
        <v>86</v>
      </c>
      <c r="O7651" t="s">
        <v>30</v>
      </c>
      <c r="P7651" t="s">
        <v>42</v>
      </c>
      <c r="S7651" t="s">
        <v>31</v>
      </c>
      <c r="T7651" t="s">
        <v>3231</v>
      </c>
      <c r="U7651">
        <v>624</v>
      </c>
      <c r="V7651" s="3">
        <v>41296</v>
      </c>
    </row>
    <row r="7652" spans="1:22" x14ac:dyDescent="0.35">
      <c r="A7652" s="1">
        <v>42270.979537037034</v>
      </c>
      <c r="B7652" s="2">
        <v>3.2743055555555553E-2</v>
      </c>
      <c r="C7652" t="s">
        <v>106</v>
      </c>
      <c r="D7652" t="s">
        <v>23</v>
      </c>
      <c r="E7652" t="s">
        <v>24</v>
      </c>
      <c r="F7652" t="s">
        <v>3228</v>
      </c>
      <c r="G7652">
        <v>1115640</v>
      </c>
      <c r="H7652" t="s">
        <v>26</v>
      </c>
      <c r="I7652" t="s">
        <v>3229</v>
      </c>
      <c r="J7652" t="str">
        <f t="shared" si="50"/>
        <v>9781118419090</v>
      </c>
      <c r="K7652" t="s">
        <v>5402</v>
      </c>
      <c r="L7652">
        <v>29</v>
      </c>
      <c r="O7652" t="s">
        <v>30</v>
      </c>
      <c r="P7652" t="s">
        <v>29</v>
      </c>
      <c r="Q7652" s="1">
        <v>42265.564884259256</v>
      </c>
      <c r="R7652">
        <v>7</v>
      </c>
      <c r="S7652" t="s">
        <v>31</v>
      </c>
      <c r="T7652" t="s">
        <v>3231</v>
      </c>
      <c r="U7652">
        <v>624</v>
      </c>
      <c r="V7652" s="3">
        <v>41296</v>
      </c>
    </row>
    <row r="7653" spans="1:22" x14ac:dyDescent="0.35">
      <c r="A7653" s="1">
        <v>42270.941874999997</v>
      </c>
      <c r="B7653" s="2">
        <v>2.5462962962962961E-4</v>
      </c>
      <c r="C7653" t="s">
        <v>11251</v>
      </c>
      <c r="D7653" t="s">
        <v>23</v>
      </c>
      <c r="E7653" t="s">
        <v>24</v>
      </c>
      <c r="F7653" t="s">
        <v>11252</v>
      </c>
      <c r="G7653">
        <v>1774373</v>
      </c>
      <c r="H7653" t="s">
        <v>91</v>
      </c>
      <c r="I7653" t="s">
        <v>247</v>
      </c>
      <c r="J7653" t="str">
        <f>"9781462518609"</f>
        <v>9781462518609</v>
      </c>
      <c r="K7653" t="s">
        <v>11253</v>
      </c>
      <c r="L7653">
        <v>13</v>
      </c>
      <c r="O7653" t="s">
        <v>30</v>
      </c>
      <c r="P7653" t="s">
        <v>50</v>
      </c>
      <c r="S7653" t="s">
        <v>31</v>
      </c>
      <c r="T7653" t="s">
        <v>11254</v>
      </c>
      <c r="U7653" t="s">
        <v>11255</v>
      </c>
      <c r="V7653" s="3">
        <v>41992</v>
      </c>
    </row>
    <row r="7654" spans="1:22" x14ac:dyDescent="0.35">
      <c r="A7654" s="1">
        <v>42270.938321759262</v>
      </c>
      <c r="B7654" s="2">
        <v>0.16829861111111111</v>
      </c>
      <c r="C7654" t="s">
        <v>106</v>
      </c>
      <c r="D7654" t="s">
        <v>23</v>
      </c>
      <c r="E7654" t="s">
        <v>24</v>
      </c>
      <c r="F7654" t="s">
        <v>486</v>
      </c>
      <c r="G7654">
        <v>1119505</v>
      </c>
      <c r="H7654" t="s">
        <v>26</v>
      </c>
      <c r="I7654" t="s">
        <v>450</v>
      </c>
      <c r="J7654" t="str">
        <f>"9781118355015"</f>
        <v>9781118355015</v>
      </c>
      <c r="K7654" t="s">
        <v>11256</v>
      </c>
      <c r="L7654">
        <v>32</v>
      </c>
      <c r="O7654" t="s">
        <v>30</v>
      </c>
      <c r="P7654" t="s">
        <v>29</v>
      </c>
      <c r="Q7654" s="1">
        <v>42269.848877314813</v>
      </c>
      <c r="R7654">
        <v>7</v>
      </c>
      <c r="S7654" t="s">
        <v>31</v>
      </c>
      <c r="T7654" t="s">
        <v>487</v>
      </c>
      <c r="U7654" t="s">
        <v>488</v>
      </c>
      <c r="V7654" s="3">
        <v>41302</v>
      </c>
    </row>
    <row r="7655" spans="1:22" x14ac:dyDescent="0.35">
      <c r="A7655" s="1">
        <v>42270.935532407406</v>
      </c>
      <c r="B7655" s="2">
        <v>1.1805555555555556E-3</v>
      </c>
      <c r="C7655" t="s">
        <v>11238</v>
      </c>
      <c r="D7655" t="s">
        <v>23</v>
      </c>
      <c r="E7655" t="s">
        <v>24</v>
      </c>
      <c r="F7655" t="s">
        <v>3228</v>
      </c>
      <c r="G7655">
        <v>1115640</v>
      </c>
      <c r="H7655" t="s">
        <v>26</v>
      </c>
      <c r="I7655" t="s">
        <v>3229</v>
      </c>
      <c r="J7655" t="str">
        <f t="shared" ref="J7655:J7663" si="51">"9781118419090"</f>
        <v>9781118419090</v>
      </c>
      <c r="K7655" t="s">
        <v>11257</v>
      </c>
      <c r="L7655">
        <v>8</v>
      </c>
      <c r="O7655" t="s">
        <v>30</v>
      </c>
      <c r="P7655" t="s">
        <v>42</v>
      </c>
      <c r="S7655" t="s">
        <v>31</v>
      </c>
      <c r="T7655" t="s">
        <v>3231</v>
      </c>
      <c r="U7655">
        <v>624</v>
      </c>
      <c r="V7655" s="3">
        <v>41296</v>
      </c>
    </row>
    <row r="7656" spans="1:22" x14ac:dyDescent="0.35">
      <c r="A7656" s="1">
        <v>42270.935347222221</v>
      </c>
      <c r="B7656" s="2">
        <v>1.5740740740740741E-3</v>
      </c>
      <c r="C7656" t="s">
        <v>10995</v>
      </c>
      <c r="D7656" t="s">
        <v>23</v>
      </c>
      <c r="E7656" t="s">
        <v>24</v>
      </c>
      <c r="F7656" t="s">
        <v>3228</v>
      </c>
      <c r="G7656">
        <v>1115640</v>
      </c>
      <c r="H7656" t="s">
        <v>26</v>
      </c>
      <c r="I7656" t="s">
        <v>3229</v>
      </c>
      <c r="J7656" t="str">
        <f t="shared" si="51"/>
        <v>9781118419090</v>
      </c>
      <c r="K7656" t="s">
        <v>11258</v>
      </c>
      <c r="L7656">
        <v>33</v>
      </c>
      <c r="O7656" t="s">
        <v>30</v>
      </c>
      <c r="P7656" t="s">
        <v>42</v>
      </c>
      <c r="S7656" t="s">
        <v>31</v>
      </c>
      <c r="T7656" t="s">
        <v>3231</v>
      </c>
      <c r="U7656">
        <v>624</v>
      </c>
      <c r="V7656" s="3">
        <v>41296</v>
      </c>
    </row>
    <row r="7657" spans="1:22" x14ac:dyDescent="0.35">
      <c r="A7657" s="1">
        <v>42270.919988425929</v>
      </c>
      <c r="B7657" s="2">
        <v>1.1805555555555556E-3</v>
      </c>
      <c r="C7657" t="s">
        <v>5315</v>
      </c>
      <c r="D7657" t="s">
        <v>23</v>
      </c>
      <c r="E7657" t="s">
        <v>24</v>
      </c>
      <c r="F7657" t="s">
        <v>3228</v>
      </c>
      <c r="G7657">
        <v>1115640</v>
      </c>
      <c r="H7657" t="s">
        <v>26</v>
      </c>
      <c r="I7657" t="s">
        <v>3229</v>
      </c>
      <c r="J7657" t="str">
        <f t="shared" si="51"/>
        <v>9781118419090</v>
      </c>
      <c r="K7657" t="s">
        <v>835</v>
      </c>
      <c r="L7657">
        <v>5</v>
      </c>
      <c r="O7657" t="s">
        <v>30</v>
      </c>
      <c r="P7657" t="s">
        <v>42</v>
      </c>
      <c r="S7657" t="s">
        <v>31</v>
      </c>
      <c r="T7657" t="s">
        <v>3231</v>
      </c>
      <c r="U7657">
        <v>624</v>
      </c>
      <c r="V7657" s="3">
        <v>41296</v>
      </c>
    </row>
    <row r="7658" spans="1:22" x14ac:dyDescent="0.35">
      <c r="A7658" s="1">
        <v>42270.913437499999</v>
      </c>
      <c r="B7658" s="2">
        <v>2.4305555555555552E-4</v>
      </c>
      <c r="C7658" t="s">
        <v>3507</v>
      </c>
      <c r="D7658" t="s">
        <v>23</v>
      </c>
      <c r="E7658" t="s">
        <v>24</v>
      </c>
      <c r="F7658" t="s">
        <v>3228</v>
      </c>
      <c r="G7658">
        <v>1115640</v>
      </c>
      <c r="H7658" t="s">
        <v>26</v>
      </c>
      <c r="I7658" t="s">
        <v>3229</v>
      </c>
      <c r="J7658" t="str">
        <f t="shared" si="51"/>
        <v>9781118419090</v>
      </c>
      <c r="K7658" t="s">
        <v>11259</v>
      </c>
      <c r="L7658">
        <v>2</v>
      </c>
      <c r="O7658" t="s">
        <v>28</v>
      </c>
      <c r="P7658" t="s">
        <v>29</v>
      </c>
      <c r="Q7658" s="1">
        <v>42270.911562499998</v>
      </c>
      <c r="R7658">
        <v>7</v>
      </c>
      <c r="S7658" t="s">
        <v>31</v>
      </c>
      <c r="T7658" t="s">
        <v>3231</v>
      </c>
      <c r="U7658">
        <v>624</v>
      </c>
      <c r="V7658" s="3">
        <v>41296</v>
      </c>
    </row>
    <row r="7659" spans="1:22" x14ac:dyDescent="0.35">
      <c r="A7659" s="1">
        <v>42270.913310185184</v>
      </c>
      <c r="B7659" s="2">
        <v>4.6296296296296294E-5</v>
      </c>
      <c r="C7659" t="s">
        <v>3507</v>
      </c>
      <c r="D7659" t="s">
        <v>23</v>
      </c>
      <c r="E7659" t="s">
        <v>24</v>
      </c>
      <c r="F7659" t="s">
        <v>3228</v>
      </c>
      <c r="G7659">
        <v>1115640</v>
      </c>
      <c r="H7659" t="s">
        <v>26</v>
      </c>
      <c r="I7659" t="s">
        <v>3229</v>
      </c>
      <c r="J7659" t="str">
        <f t="shared" si="51"/>
        <v>9781118419090</v>
      </c>
      <c r="K7659" t="s">
        <v>33</v>
      </c>
      <c r="L7659">
        <v>3</v>
      </c>
      <c r="O7659" t="s">
        <v>30</v>
      </c>
      <c r="P7659" t="s">
        <v>29</v>
      </c>
      <c r="Q7659" s="1">
        <v>42270.911562499998</v>
      </c>
      <c r="R7659">
        <v>7</v>
      </c>
      <c r="S7659" t="s">
        <v>31</v>
      </c>
      <c r="T7659" t="s">
        <v>3231</v>
      </c>
      <c r="U7659">
        <v>624</v>
      </c>
      <c r="V7659" s="3">
        <v>41296</v>
      </c>
    </row>
    <row r="7660" spans="1:22" x14ac:dyDescent="0.35">
      <c r="A7660" s="1">
        <v>42270.913136574076</v>
      </c>
      <c r="B7660" s="2">
        <v>0</v>
      </c>
      <c r="C7660" t="s">
        <v>3507</v>
      </c>
      <c r="D7660" t="s">
        <v>23</v>
      </c>
      <c r="E7660" t="s">
        <v>24</v>
      </c>
      <c r="F7660" t="s">
        <v>3228</v>
      </c>
      <c r="G7660">
        <v>1115640</v>
      </c>
      <c r="H7660" t="s">
        <v>26</v>
      </c>
      <c r="I7660" t="s">
        <v>3229</v>
      </c>
      <c r="J7660" t="str">
        <f t="shared" si="51"/>
        <v>9781118419090</v>
      </c>
      <c r="L7660">
        <v>0</v>
      </c>
      <c r="O7660" t="s">
        <v>28</v>
      </c>
      <c r="P7660" t="s">
        <v>29</v>
      </c>
      <c r="Q7660" s="1">
        <v>42270.911562499998</v>
      </c>
      <c r="R7660">
        <v>7</v>
      </c>
      <c r="S7660" t="s">
        <v>31</v>
      </c>
      <c r="T7660" t="s">
        <v>3231</v>
      </c>
      <c r="U7660">
        <v>624</v>
      </c>
      <c r="V7660" s="3">
        <v>41296</v>
      </c>
    </row>
    <row r="7661" spans="1:22" x14ac:dyDescent="0.35">
      <c r="A7661" s="1">
        <v>42270.911562499998</v>
      </c>
      <c r="B7661" s="2">
        <v>0</v>
      </c>
      <c r="C7661" t="s">
        <v>3507</v>
      </c>
      <c r="D7661" t="s">
        <v>23</v>
      </c>
      <c r="E7661" t="s">
        <v>24</v>
      </c>
      <c r="F7661" t="s">
        <v>3228</v>
      </c>
      <c r="G7661">
        <v>1115640</v>
      </c>
      <c r="H7661" t="s">
        <v>26</v>
      </c>
      <c r="I7661" t="s">
        <v>3229</v>
      </c>
      <c r="J7661" t="str">
        <f t="shared" si="51"/>
        <v>9781118419090</v>
      </c>
      <c r="L7661">
        <v>0</v>
      </c>
      <c r="O7661" t="s">
        <v>28</v>
      </c>
      <c r="P7661" t="s">
        <v>29</v>
      </c>
      <c r="Q7661" s="1">
        <v>42270.911562499998</v>
      </c>
      <c r="R7661">
        <v>7</v>
      </c>
      <c r="S7661" t="s">
        <v>31</v>
      </c>
      <c r="T7661" t="s">
        <v>3231</v>
      </c>
      <c r="U7661">
        <v>624</v>
      </c>
      <c r="V7661" s="3">
        <v>41296</v>
      </c>
    </row>
    <row r="7662" spans="1:22" x14ac:dyDescent="0.35">
      <c r="A7662" s="1">
        <v>42270.911562499998</v>
      </c>
      <c r="B7662" s="2">
        <v>0</v>
      </c>
      <c r="C7662" t="s">
        <v>3507</v>
      </c>
      <c r="D7662" t="s">
        <v>23</v>
      </c>
      <c r="E7662" t="s">
        <v>24</v>
      </c>
      <c r="F7662" t="s">
        <v>3228</v>
      </c>
      <c r="G7662">
        <v>1115640</v>
      </c>
      <c r="H7662" t="s">
        <v>26</v>
      </c>
      <c r="I7662" t="s">
        <v>3229</v>
      </c>
      <c r="J7662" t="str">
        <f t="shared" si="51"/>
        <v>9781118419090</v>
      </c>
      <c r="L7662">
        <v>0</v>
      </c>
      <c r="O7662" t="s">
        <v>30</v>
      </c>
      <c r="P7662" t="s">
        <v>29</v>
      </c>
      <c r="Q7662" s="1">
        <v>42270.911562499998</v>
      </c>
      <c r="R7662">
        <v>7</v>
      </c>
      <c r="S7662" t="s">
        <v>31</v>
      </c>
      <c r="T7662" t="s">
        <v>3231</v>
      </c>
      <c r="U7662">
        <v>624</v>
      </c>
      <c r="V7662" s="3">
        <v>41296</v>
      </c>
    </row>
    <row r="7663" spans="1:22" x14ac:dyDescent="0.35">
      <c r="A7663" s="1">
        <v>42270.910046296296</v>
      </c>
      <c r="B7663" s="2">
        <v>1.5162037037037036E-3</v>
      </c>
      <c r="C7663" t="s">
        <v>3507</v>
      </c>
      <c r="D7663" t="s">
        <v>23</v>
      </c>
      <c r="E7663" t="s">
        <v>24</v>
      </c>
      <c r="F7663" t="s">
        <v>3228</v>
      </c>
      <c r="G7663">
        <v>1115640</v>
      </c>
      <c r="H7663" t="s">
        <v>26</v>
      </c>
      <c r="I7663" t="s">
        <v>3229</v>
      </c>
      <c r="J7663" t="str">
        <f t="shared" si="51"/>
        <v>9781118419090</v>
      </c>
      <c r="K7663" t="s">
        <v>11260</v>
      </c>
      <c r="L7663">
        <v>18</v>
      </c>
      <c r="O7663" t="s">
        <v>30</v>
      </c>
      <c r="P7663" t="s">
        <v>42</v>
      </c>
      <c r="S7663" t="s">
        <v>31</v>
      </c>
      <c r="T7663" t="s">
        <v>3231</v>
      </c>
      <c r="U7663">
        <v>624</v>
      </c>
      <c r="V7663" s="3">
        <v>41296</v>
      </c>
    </row>
    <row r="7664" spans="1:22" x14ac:dyDescent="0.35">
      <c r="A7664" s="1">
        <v>42270.903310185182</v>
      </c>
      <c r="B7664" s="2">
        <v>2.3032407407407407E-3</v>
      </c>
      <c r="C7664" t="s">
        <v>11261</v>
      </c>
      <c r="D7664" t="s">
        <v>261</v>
      </c>
      <c r="E7664" t="s">
        <v>262</v>
      </c>
      <c r="F7664" t="s">
        <v>11262</v>
      </c>
      <c r="G7664">
        <v>1882089</v>
      </c>
      <c r="H7664" t="s">
        <v>84</v>
      </c>
      <c r="I7664" t="s">
        <v>11263</v>
      </c>
      <c r="J7664" t="str">
        <f>"9780520961333"</f>
        <v>9780520961333</v>
      </c>
      <c r="K7664" t="s">
        <v>11264</v>
      </c>
      <c r="L7664">
        <v>54</v>
      </c>
      <c r="O7664" t="s">
        <v>30</v>
      </c>
      <c r="P7664" t="s">
        <v>50</v>
      </c>
      <c r="S7664" t="s">
        <v>264</v>
      </c>
      <c r="T7664" t="s">
        <v>11265</v>
      </c>
      <c r="U7664">
        <v>641</v>
      </c>
      <c r="V7664" s="3">
        <v>42124</v>
      </c>
    </row>
    <row r="7665" spans="1:22" x14ac:dyDescent="0.35">
      <c r="A7665" s="1">
        <v>42270.90253472222</v>
      </c>
      <c r="B7665" s="2">
        <v>2.488425925925926E-3</v>
      </c>
      <c r="C7665" t="s">
        <v>11266</v>
      </c>
      <c r="D7665" t="s">
        <v>35</v>
      </c>
      <c r="E7665" t="s">
        <v>36</v>
      </c>
      <c r="F7665" t="s">
        <v>11267</v>
      </c>
      <c r="G7665">
        <v>1711036</v>
      </c>
      <c r="H7665" t="s">
        <v>84</v>
      </c>
      <c r="I7665" t="s">
        <v>1897</v>
      </c>
      <c r="J7665" t="str">
        <f>"9780520959347"</f>
        <v>9780520959347</v>
      </c>
      <c r="K7665" t="s">
        <v>11268</v>
      </c>
      <c r="L7665">
        <v>10</v>
      </c>
      <c r="O7665" t="s">
        <v>30</v>
      </c>
      <c r="P7665" t="s">
        <v>47</v>
      </c>
      <c r="Q7665" s="1">
        <v>42270.90253472222</v>
      </c>
      <c r="R7665">
        <v>1</v>
      </c>
      <c r="S7665" t="s">
        <v>40</v>
      </c>
      <c r="T7665" t="s">
        <v>11269</v>
      </c>
      <c r="U7665">
        <v>641.29999999999995</v>
      </c>
      <c r="V7665" s="3">
        <v>41967</v>
      </c>
    </row>
    <row r="7666" spans="1:22" x14ac:dyDescent="0.35">
      <c r="A7666" s="1">
        <v>42270.897326388891</v>
      </c>
      <c r="B7666" s="2">
        <v>5.208333333333333E-3</v>
      </c>
      <c r="C7666" t="s">
        <v>11266</v>
      </c>
      <c r="D7666" t="s">
        <v>35</v>
      </c>
      <c r="E7666" t="s">
        <v>36</v>
      </c>
      <c r="F7666" t="s">
        <v>11267</v>
      </c>
      <c r="G7666">
        <v>1711036</v>
      </c>
      <c r="H7666" t="s">
        <v>84</v>
      </c>
      <c r="I7666" t="s">
        <v>1897</v>
      </c>
      <c r="J7666" t="str">
        <f>"9780520959347"</f>
        <v>9780520959347</v>
      </c>
      <c r="K7666" t="s">
        <v>11270</v>
      </c>
      <c r="L7666">
        <v>10</v>
      </c>
      <c r="O7666" t="s">
        <v>30</v>
      </c>
      <c r="P7666" t="s">
        <v>50</v>
      </c>
      <c r="S7666" t="s">
        <v>40</v>
      </c>
      <c r="T7666" t="s">
        <v>11269</v>
      </c>
      <c r="U7666">
        <v>641.29999999999995</v>
      </c>
      <c r="V7666" s="3">
        <v>41967</v>
      </c>
    </row>
    <row r="7667" spans="1:22" x14ac:dyDescent="0.35">
      <c r="A7667" s="1">
        <v>42270.893275462964</v>
      </c>
      <c r="B7667" s="2">
        <v>1.7361111111111112E-2</v>
      </c>
      <c r="C7667" t="s">
        <v>4947</v>
      </c>
      <c r="D7667" t="s">
        <v>1222</v>
      </c>
      <c r="E7667" t="s">
        <v>1223</v>
      </c>
      <c r="F7667" t="s">
        <v>3263</v>
      </c>
      <c r="G7667">
        <v>1840835</v>
      </c>
      <c r="H7667" t="s">
        <v>26</v>
      </c>
      <c r="I7667" t="s">
        <v>108</v>
      </c>
      <c r="J7667" t="str">
        <f>"9781118950166"</f>
        <v>9781118950166</v>
      </c>
      <c r="K7667" t="s">
        <v>11271</v>
      </c>
      <c r="L7667">
        <v>14</v>
      </c>
      <c r="O7667" t="s">
        <v>30</v>
      </c>
      <c r="P7667" t="s">
        <v>29</v>
      </c>
      <c r="Q7667" s="1">
        <v>42269.861967592595</v>
      </c>
      <c r="R7667">
        <v>7</v>
      </c>
      <c r="S7667" t="s">
        <v>1226</v>
      </c>
      <c r="T7667" t="s">
        <v>3264</v>
      </c>
      <c r="U7667">
        <v>338.10923789999998</v>
      </c>
      <c r="V7667" s="3">
        <v>41953</v>
      </c>
    </row>
    <row r="7668" spans="1:22" x14ac:dyDescent="0.35">
      <c r="A7668" s="1">
        <v>42270.892858796295</v>
      </c>
      <c r="B7668" s="2">
        <v>2.1990740740740742E-3</v>
      </c>
      <c r="C7668" t="s">
        <v>11261</v>
      </c>
      <c r="D7668" t="s">
        <v>261</v>
      </c>
      <c r="E7668" t="s">
        <v>262</v>
      </c>
      <c r="F7668" t="s">
        <v>11272</v>
      </c>
      <c r="G7668">
        <v>1691731</v>
      </c>
      <c r="H7668" t="s">
        <v>84</v>
      </c>
      <c r="I7668" t="s">
        <v>120</v>
      </c>
      <c r="J7668" t="str">
        <f>"9780520958968"</f>
        <v>9780520958968</v>
      </c>
      <c r="K7668" t="s">
        <v>11273</v>
      </c>
      <c r="L7668">
        <v>42</v>
      </c>
      <c r="O7668" t="s">
        <v>30</v>
      </c>
      <c r="P7668" t="s">
        <v>50</v>
      </c>
      <c r="S7668" t="s">
        <v>264</v>
      </c>
      <c r="T7668" t="s">
        <v>11274</v>
      </c>
      <c r="U7668">
        <v>394.12</v>
      </c>
      <c r="V7668" s="3">
        <v>41827</v>
      </c>
    </row>
    <row r="7669" spans="1:22" x14ac:dyDescent="0.35">
      <c r="A7669" s="1">
        <v>42270.8908912037</v>
      </c>
      <c r="B7669" s="2">
        <v>4.108796296296297E-3</v>
      </c>
      <c r="C7669" t="s">
        <v>8979</v>
      </c>
      <c r="D7669" t="s">
        <v>23</v>
      </c>
      <c r="E7669" t="s">
        <v>24</v>
      </c>
      <c r="F7669" t="s">
        <v>3351</v>
      </c>
      <c r="G7669">
        <v>1760720</v>
      </c>
      <c r="H7669" t="s">
        <v>91</v>
      </c>
      <c r="I7669" t="s">
        <v>247</v>
      </c>
      <c r="J7669" t="str">
        <f>"9781462517459"</f>
        <v>9781462517459</v>
      </c>
      <c r="K7669" t="s">
        <v>11275</v>
      </c>
      <c r="L7669">
        <v>13</v>
      </c>
      <c r="O7669" t="s">
        <v>30</v>
      </c>
      <c r="P7669" t="s">
        <v>42</v>
      </c>
      <c r="S7669" t="s">
        <v>31</v>
      </c>
      <c r="T7669" t="s">
        <v>3353</v>
      </c>
      <c r="U7669">
        <v>616.89142000000004</v>
      </c>
      <c r="V7669" s="3">
        <v>41996</v>
      </c>
    </row>
    <row r="7670" spans="1:22" x14ac:dyDescent="0.35">
      <c r="A7670" s="1">
        <v>42270.88008101852</v>
      </c>
      <c r="B7670" s="2">
        <v>0.24376157407407406</v>
      </c>
      <c r="C7670" t="s">
        <v>10912</v>
      </c>
      <c r="D7670" t="s">
        <v>23</v>
      </c>
      <c r="E7670" t="s">
        <v>24</v>
      </c>
      <c r="F7670" t="s">
        <v>3228</v>
      </c>
      <c r="G7670">
        <v>1115640</v>
      </c>
      <c r="H7670" t="s">
        <v>26</v>
      </c>
      <c r="I7670" t="s">
        <v>3229</v>
      </c>
      <c r="J7670" t="str">
        <f>"9781118419090"</f>
        <v>9781118419090</v>
      </c>
      <c r="K7670" t="s">
        <v>11276</v>
      </c>
      <c r="L7670">
        <v>65</v>
      </c>
      <c r="O7670" t="s">
        <v>30</v>
      </c>
      <c r="P7670" t="s">
        <v>29</v>
      </c>
      <c r="Q7670" s="1">
        <v>42270.88008101852</v>
      </c>
      <c r="R7670">
        <v>7</v>
      </c>
      <c r="S7670" t="s">
        <v>31</v>
      </c>
      <c r="T7670" t="s">
        <v>3231</v>
      </c>
      <c r="U7670">
        <v>624</v>
      </c>
      <c r="V7670" s="3">
        <v>41296</v>
      </c>
    </row>
    <row r="7671" spans="1:22" x14ac:dyDescent="0.35">
      <c r="A7671" s="1">
        <v>42270.872569444444</v>
      </c>
      <c r="B7671" s="2">
        <v>6.5138888888888885E-2</v>
      </c>
      <c r="C7671" t="s">
        <v>11277</v>
      </c>
      <c r="D7671" t="s">
        <v>23</v>
      </c>
      <c r="E7671" t="s">
        <v>24</v>
      </c>
      <c r="F7671" t="s">
        <v>3228</v>
      </c>
      <c r="G7671">
        <v>1115640</v>
      </c>
      <c r="H7671" t="s">
        <v>26</v>
      </c>
      <c r="I7671" t="s">
        <v>3229</v>
      </c>
      <c r="J7671" t="str">
        <f>"9781118419090"</f>
        <v>9781118419090</v>
      </c>
      <c r="K7671" t="s">
        <v>11278</v>
      </c>
      <c r="L7671">
        <v>8</v>
      </c>
      <c r="O7671" t="s">
        <v>30</v>
      </c>
      <c r="P7671" t="s">
        <v>29</v>
      </c>
      <c r="Q7671" s="1">
        <v>42270.872569444444</v>
      </c>
      <c r="R7671">
        <v>7</v>
      </c>
      <c r="S7671" t="s">
        <v>31</v>
      </c>
      <c r="T7671" t="s">
        <v>3231</v>
      </c>
      <c r="U7671">
        <v>624</v>
      </c>
      <c r="V7671" s="3">
        <v>41296</v>
      </c>
    </row>
    <row r="7672" spans="1:22" x14ac:dyDescent="0.35">
      <c r="A7672" s="1">
        <v>42270.870891203704</v>
      </c>
      <c r="B7672" s="2">
        <v>9.1898148148148139E-3</v>
      </c>
      <c r="C7672" t="s">
        <v>10912</v>
      </c>
      <c r="D7672" t="s">
        <v>23</v>
      </c>
      <c r="E7672" t="s">
        <v>24</v>
      </c>
      <c r="F7672" t="s">
        <v>3228</v>
      </c>
      <c r="G7672">
        <v>1115640</v>
      </c>
      <c r="H7672" t="s">
        <v>26</v>
      </c>
      <c r="I7672" t="s">
        <v>3229</v>
      </c>
      <c r="J7672" t="str">
        <f>"9781118419090"</f>
        <v>9781118419090</v>
      </c>
      <c r="K7672" t="s">
        <v>11279</v>
      </c>
      <c r="L7672">
        <v>19</v>
      </c>
      <c r="O7672" t="s">
        <v>30</v>
      </c>
      <c r="P7672" t="s">
        <v>42</v>
      </c>
      <c r="S7672" t="s">
        <v>31</v>
      </c>
      <c r="T7672" t="s">
        <v>3231</v>
      </c>
      <c r="U7672">
        <v>624</v>
      </c>
      <c r="V7672" s="3">
        <v>41296</v>
      </c>
    </row>
    <row r="7673" spans="1:22" x14ac:dyDescent="0.35">
      <c r="A7673" s="1">
        <v>42270.864432870374</v>
      </c>
      <c r="B7673" s="2">
        <v>8.1365740740740738E-3</v>
      </c>
      <c r="C7673" t="s">
        <v>11277</v>
      </c>
      <c r="D7673" t="s">
        <v>23</v>
      </c>
      <c r="E7673" t="s">
        <v>24</v>
      </c>
      <c r="F7673" t="s">
        <v>3228</v>
      </c>
      <c r="G7673">
        <v>1115640</v>
      </c>
      <c r="H7673" t="s">
        <v>26</v>
      </c>
      <c r="I7673" t="s">
        <v>3229</v>
      </c>
      <c r="J7673" t="str">
        <f>"9781118419090"</f>
        <v>9781118419090</v>
      </c>
      <c r="K7673" t="s">
        <v>11280</v>
      </c>
      <c r="L7673">
        <v>14</v>
      </c>
      <c r="O7673" t="s">
        <v>30</v>
      </c>
      <c r="P7673" t="s">
        <v>42</v>
      </c>
      <c r="S7673" t="s">
        <v>31</v>
      </c>
      <c r="T7673" t="s">
        <v>3231</v>
      </c>
      <c r="U7673">
        <v>624</v>
      </c>
      <c r="V7673" s="3">
        <v>41296</v>
      </c>
    </row>
    <row r="7674" spans="1:22" x14ac:dyDescent="0.35">
      <c r="A7674" s="1">
        <v>42270.852152777778</v>
      </c>
      <c r="B7674" s="2">
        <v>9.9189814814814817E-3</v>
      </c>
      <c r="C7674" t="s">
        <v>4728</v>
      </c>
      <c r="D7674" t="s">
        <v>623</v>
      </c>
      <c r="E7674" t="s">
        <v>624</v>
      </c>
      <c r="F7674" t="s">
        <v>4494</v>
      </c>
      <c r="G7674">
        <v>565082</v>
      </c>
      <c r="H7674" t="s">
        <v>26</v>
      </c>
      <c r="I7674" t="s">
        <v>69</v>
      </c>
      <c r="J7674" t="str">
        <f>"9781118041567"</f>
        <v>9781118041567</v>
      </c>
      <c r="K7674" t="s">
        <v>11281</v>
      </c>
      <c r="L7674">
        <v>13</v>
      </c>
      <c r="O7674" t="s">
        <v>30</v>
      </c>
      <c r="P7674" t="s">
        <v>29</v>
      </c>
      <c r="Q7674" s="1">
        <v>42270.852152777778</v>
      </c>
      <c r="R7674">
        <v>7</v>
      </c>
      <c r="S7674" t="s">
        <v>627</v>
      </c>
      <c r="T7674" t="s">
        <v>4496</v>
      </c>
      <c r="U7674" t="s">
        <v>4497</v>
      </c>
      <c r="V7674" s="3">
        <v>40337</v>
      </c>
    </row>
    <row r="7675" spans="1:22" x14ac:dyDescent="0.35">
      <c r="A7675" s="1">
        <v>42270.844166666669</v>
      </c>
      <c r="B7675" s="2">
        <v>7.9861111111111122E-3</v>
      </c>
      <c r="C7675" t="s">
        <v>4728</v>
      </c>
      <c r="D7675" t="s">
        <v>623</v>
      </c>
      <c r="E7675" t="s">
        <v>624</v>
      </c>
      <c r="F7675" t="s">
        <v>4494</v>
      </c>
      <c r="G7675">
        <v>565082</v>
      </c>
      <c r="H7675" t="s">
        <v>26</v>
      </c>
      <c r="I7675" t="s">
        <v>69</v>
      </c>
      <c r="J7675" t="str">
        <f>"9781118041567"</f>
        <v>9781118041567</v>
      </c>
      <c r="K7675" t="s">
        <v>11282</v>
      </c>
      <c r="L7675">
        <v>16</v>
      </c>
      <c r="O7675" t="s">
        <v>30</v>
      </c>
      <c r="P7675" t="s">
        <v>42</v>
      </c>
      <c r="S7675" t="s">
        <v>627</v>
      </c>
      <c r="T7675" t="s">
        <v>4496</v>
      </c>
      <c r="U7675" t="s">
        <v>4497</v>
      </c>
      <c r="V7675" s="3">
        <v>40337</v>
      </c>
    </row>
    <row r="7676" spans="1:22" x14ac:dyDescent="0.35">
      <c r="A7676" s="1">
        <v>42270.838726851849</v>
      </c>
      <c r="B7676" s="2">
        <v>3.2986111111111111E-3</v>
      </c>
      <c r="C7676" t="s">
        <v>11283</v>
      </c>
      <c r="D7676" t="s">
        <v>1222</v>
      </c>
      <c r="E7676" t="s">
        <v>1223</v>
      </c>
      <c r="F7676" t="s">
        <v>8830</v>
      </c>
      <c r="G7676">
        <v>1732138</v>
      </c>
      <c r="H7676" t="s">
        <v>84</v>
      </c>
      <c r="I7676" t="s">
        <v>120</v>
      </c>
      <c r="J7676" t="str">
        <f>"9780520958746"</f>
        <v>9780520958746</v>
      </c>
      <c r="K7676" t="s">
        <v>11284</v>
      </c>
      <c r="L7676">
        <v>9</v>
      </c>
      <c r="O7676" t="s">
        <v>30</v>
      </c>
      <c r="P7676" t="s">
        <v>50</v>
      </c>
      <c r="S7676" t="s">
        <v>1226</v>
      </c>
      <c r="T7676" t="s">
        <v>8832</v>
      </c>
      <c r="U7676">
        <v>364.15230000000003</v>
      </c>
      <c r="V7676" s="3">
        <v>42075</v>
      </c>
    </row>
    <row r="7677" spans="1:22" x14ac:dyDescent="0.35">
      <c r="A7677" s="1">
        <v>42270.836041666669</v>
      </c>
      <c r="B7677" s="2">
        <v>1.0937500000000001E-2</v>
      </c>
      <c r="C7677" t="s">
        <v>106</v>
      </c>
      <c r="D7677" t="s">
        <v>23</v>
      </c>
      <c r="E7677" t="s">
        <v>24</v>
      </c>
      <c r="F7677" t="s">
        <v>486</v>
      </c>
      <c r="G7677">
        <v>1119505</v>
      </c>
      <c r="H7677" t="s">
        <v>26</v>
      </c>
      <c r="I7677" t="s">
        <v>450</v>
      </c>
      <c r="J7677" t="str">
        <f>"9781118355015"</f>
        <v>9781118355015</v>
      </c>
      <c r="K7677" t="s">
        <v>11285</v>
      </c>
      <c r="L7677">
        <v>36</v>
      </c>
      <c r="O7677" t="s">
        <v>30</v>
      </c>
      <c r="P7677" t="s">
        <v>29</v>
      </c>
      <c r="Q7677" s="1">
        <v>42269.848877314813</v>
      </c>
      <c r="R7677">
        <v>7</v>
      </c>
      <c r="S7677" t="s">
        <v>31</v>
      </c>
      <c r="T7677" t="s">
        <v>487</v>
      </c>
      <c r="U7677" t="s">
        <v>488</v>
      </c>
      <c r="V7677" s="3">
        <v>41302</v>
      </c>
    </row>
    <row r="7678" spans="1:22" x14ac:dyDescent="0.35">
      <c r="A7678" s="1">
        <v>42270.823969907404</v>
      </c>
      <c r="B7678" s="2">
        <v>0</v>
      </c>
      <c r="C7678" t="s">
        <v>11286</v>
      </c>
      <c r="D7678" t="s">
        <v>23</v>
      </c>
      <c r="E7678" t="s">
        <v>24</v>
      </c>
      <c r="F7678" t="s">
        <v>6807</v>
      </c>
      <c r="G7678">
        <v>1655589</v>
      </c>
      <c r="H7678" t="s">
        <v>84</v>
      </c>
      <c r="I7678" t="s">
        <v>426</v>
      </c>
      <c r="J7678" t="str">
        <f>"9780520957985"</f>
        <v>9780520957985</v>
      </c>
      <c r="L7678">
        <v>0</v>
      </c>
      <c r="O7678" t="s">
        <v>28</v>
      </c>
      <c r="P7678" t="s">
        <v>47</v>
      </c>
      <c r="Q7678" s="1">
        <v>42270.823969907404</v>
      </c>
      <c r="R7678">
        <v>1</v>
      </c>
      <c r="S7678" t="s">
        <v>31</v>
      </c>
      <c r="T7678" t="s">
        <v>6809</v>
      </c>
      <c r="U7678" t="s">
        <v>6810</v>
      </c>
      <c r="V7678" s="3">
        <v>41741</v>
      </c>
    </row>
    <row r="7679" spans="1:22" x14ac:dyDescent="0.35">
      <c r="A7679" s="1">
        <v>42270.823969907404</v>
      </c>
      <c r="B7679" s="2">
        <v>0</v>
      </c>
      <c r="C7679" t="s">
        <v>11286</v>
      </c>
      <c r="D7679" t="s">
        <v>23</v>
      </c>
      <c r="E7679" t="s">
        <v>24</v>
      </c>
      <c r="F7679" t="s">
        <v>6807</v>
      </c>
      <c r="G7679">
        <v>1655589</v>
      </c>
      <c r="H7679" t="s">
        <v>84</v>
      </c>
      <c r="I7679" t="s">
        <v>426</v>
      </c>
      <c r="J7679" t="str">
        <f>"9780520957985"</f>
        <v>9780520957985</v>
      </c>
      <c r="L7679">
        <v>0</v>
      </c>
      <c r="O7679" t="s">
        <v>30</v>
      </c>
      <c r="P7679" t="s">
        <v>47</v>
      </c>
      <c r="Q7679" s="1">
        <v>42270.823969907404</v>
      </c>
      <c r="R7679">
        <v>1</v>
      </c>
      <c r="S7679" t="s">
        <v>31</v>
      </c>
      <c r="T7679" t="s">
        <v>6809</v>
      </c>
      <c r="U7679" t="s">
        <v>6810</v>
      </c>
      <c r="V7679" s="3">
        <v>41741</v>
      </c>
    </row>
    <row r="7680" spans="1:22" x14ac:dyDescent="0.35">
      <c r="A7680" s="1">
        <v>42270.823807870373</v>
      </c>
      <c r="B7680" s="2">
        <v>1.6203703703703703E-4</v>
      </c>
      <c r="C7680" t="s">
        <v>11286</v>
      </c>
      <c r="D7680" t="s">
        <v>23</v>
      </c>
      <c r="E7680" t="s">
        <v>24</v>
      </c>
      <c r="F7680" t="s">
        <v>6807</v>
      </c>
      <c r="G7680">
        <v>1655589</v>
      </c>
      <c r="H7680" t="s">
        <v>84</v>
      </c>
      <c r="I7680" t="s">
        <v>426</v>
      </c>
      <c r="J7680" t="str">
        <f>"9780520957985"</f>
        <v>9780520957985</v>
      </c>
      <c r="K7680" t="s">
        <v>33</v>
      </c>
      <c r="L7680">
        <v>3</v>
      </c>
      <c r="O7680" t="s">
        <v>30</v>
      </c>
      <c r="P7680" t="s">
        <v>50</v>
      </c>
      <c r="S7680" t="s">
        <v>31</v>
      </c>
      <c r="T7680" t="s">
        <v>6809</v>
      </c>
      <c r="U7680" t="s">
        <v>6810</v>
      </c>
      <c r="V7680" s="3">
        <v>41741</v>
      </c>
    </row>
    <row r="7681" spans="1:22" x14ac:dyDescent="0.35">
      <c r="A7681" s="1">
        <v>42270.817349537036</v>
      </c>
      <c r="B7681" s="2">
        <v>3.0405092592592591E-2</v>
      </c>
      <c r="C7681" t="s">
        <v>6081</v>
      </c>
      <c r="D7681" t="s">
        <v>1222</v>
      </c>
      <c r="E7681" t="s">
        <v>1223</v>
      </c>
      <c r="F7681" t="s">
        <v>6082</v>
      </c>
      <c r="G7681">
        <v>1925073</v>
      </c>
      <c r="H7681" t="s">
        <v>91</v>
      </c>
      <c r="I7681" t="s">
        <v>69</v>
      </c>
      <c r="J7681" t="str">
        <f>"9781462521128"</f>
        <v>9781462521128</v>
      </c>
      <c r="K7681" t="s">
        <v>11287</v>
      </c>
      <c r="L7681">
        <v>36</v>
      </c>
      <c r="O7681" t="s">
        <v>30</v>
      </c>
      <c r="P7681" t="s">
        <v>47</v>
      </c>
      <c r="Q7681" s="1">
        <v>42270.817349537036</v>
      </c>
      <c r="R7681">
        <v>1</v>
      </c>
      <c r="S7681" t="s">
        <v>1226</v>
      </c>
      <c r="T7681" t="s">
        <v>6085</v>
      </c>
      <c r="U7681">
        <v>372.48</v>
      </c>
      <c r="V7681" s="3">
        <v>42178</v>
      </c>
    </row>
    <row r="7682" spans="1:22" x14ac:dyDescent="0.35">
      <c r="A7682" s="1">
        <v>42270.804756944446</v>
      </c>
      <c r="B7682" s="2">
        <v>8.1018518518518516E-5</v>
      </c>
      <c r="C7682" t="s">
        <v>11288</v>
      </c>
      <c r="D7682" t="s">
        <v>125</v>
      </c>
      <c r="E7682" t="s">
        <v>126</v>
      </c>
      <c r="F7682" t="s">
        <v>11289</v>
      </c>
      <c r="G7682">
        <v>2002087</v>
      </c>
      <c r="H7682" t="s">
        <v>84</v>
      </c>
      <c r="I7682" t="s">
        <v>247</v>
      </c>
      <c r="J7682" t="str">
        <f>"9780520960763"</f>
        <v>9780520960763</v>
      </c>
      <c r="K7682" t="s">
        <v>33</v>
      </c>
      <c r="L7682">
        <v>3</v>
      </c>
      <c r="O7682" t="s">
        <v>30</v>
      </c>
      <c r="P7682" t="s">
        <v>50</v>
      </c>
      <c r="S7682" t="s">
        <v>128</v>
      </c>
      <c r="T7682" t="s">
        <v>11290</v>
      </c>
      <c r="U7682" t="s">
        <v>11291</v>
      </c>
      <c r="V7682" s="3">
        <v>42160</v>
      </c>
    </row>
    <row r="7683" spans="1:22" x14ac:dyDescent="0.35">
      <c r="A7683" s="1">
        <v>42270.803229166668</v>
      </c>
      <c r="B7683" s="2">
        <v>5.0925925925925921E-4</v>
      </c>
      <c r="C7683" t="s">
        <v>11288</v>
      </c>
      <c r="D7683" t="s">
        <v>125</v>
      </c>
      <c r="E7683" t="s">
        <v>126</v>
      </c>
      <c r="F7683" t="s">
        <v>11289</v>
      </c>
      <c r="G7683">
        <v>2002087</v>
      </c>
      <c r="H7683" t="s">
        <v>84</v>
      </c>
      <c r="I7683" t="s">
        <v>247</v>
      </c>
      <c r="J7683" t="str">
        <f>"9780520960763"</f>
        <v>9780520960763</v>
      </c>
      <c r="K7683" t="s">
        <v>11292</v>
      </c>
      <c r="L7683">
        <v>7</v>
      </c>
      <c r="O7683" t="s">
        <v>30</v>
      </c>
      <c r="P7683" t="s">
        <v>50</v>
      </c>
      <c r="S7683" t="s">
        <v>128</v>
      </c>
      <c r="T7683" t="s">
        <v>11290</v>
      </c>
      <c r="U7683" t="s">
        <v>11291</v>
      </c>
      <c r="V7683" s="3">
        <v>42160</v>
      </c>
    </row>
    <row r="7684" spans="1:22" x14ac:dyDescent="0.35">
      <c r="A7684" s="1">
        <v>42270.790289351855</v>
      </c>
      <c r="B7684" s="2">
        <v>3.4606481481481485E-3</v>
      </c>
      <c r="C7684" t="s">
        <v>6081</v>
      </c>
      <c r="D7684" t="s">
        <v>1222</v>
      </c>
      <c r="E7684" t="s">
        <v>1223</v>
      </c>
      <c r="F7684" t="s">
        <v>6082</v>
      </c>
      <c r="G7684">
        <v>1925073</v>
      </c>
      <c r="H7684" t="s">
        <v>91</v>
      </c>
      <c r="I7684" t="s">
        <v>69</v>
      </c>
      <c r="J7684" t="str">
        <f>"9781462521128"</f>
        <v>9781462521128</v>
      </c>
      <c r="K7684" t="s">
        <v>11293</v>
      </c>
      <c r="L7684">
        <v>10</v>
      </c>
      <c r="O7684" t="s">
        <v>30</v>
      </c>
      <c r="P7684" t="s">
        <v>47</v>
      </c>
      <c r="Q7684" s="1">
        <v>42269.809131944443</v>
      </c>
      <c r="R7684">
        <v>1</v>
      </c>
      <c r="S7684" t="s">
        <v>1226</v>
      </c>
      <c r="T7684" t="s">
        <v>6085</v>
      </c>
      <c r="U7684">
        <v>372.48</v>
      </c>
      <c r="V7684" s="3">
        <v>42178</v>
      </c>
    </row>
    <row r="7685" spans="1:22" x14ac:dyDescent="0.35">
      <c r="A7685" s="1">
        <v>42270.788124999999</v>
      </c>
      <c r="B7685" s="2">
        <v>1.1574074074074073E-4</v>
      </c>
      <c r="C7685" t="s">
        <v>11294</v>
      </c>
      <c r="D7685" t="s">
        <v>117</v>
      </c>
      <c r="E7685" t="s">
        <v>118</v>
      </c>
      <c r="F7685" t="s">
        <v>11295</v>
      </c>
      <c r="G7685">
        <v>2079218</v>
      </c>
      <c r="H7685" t="s">
        <v>45</v>
      </c>
      <c r="I7685" t="s">
        <v>97</v>
      </c>
      <c r="J7685" t="str">
        <f>"9781472433695"</f>
        <v>9781472433695</v>
      </c>
      <c r="K7685" t="s">
        <v>611</v>
      </c>
      <c r="L7685">
        <v>3</v>
      </c>
      <c r="O7685" t="s">
        <v>30</v>
      </c>
      <c r="P7685" t="s">
        <v>50</v>
      </c>
      <c r="S7685" t="s">
        <v>121</v>
      </c>
      <c r="T7685" t="s">
        <v>11296</v>
      </c>
      <c r="U7685" t="s">
        <v>11297</v>
      </c>
      <c r="V7685" s="3">
        <v>42244</v>
      </c>
    </row>
    <row r="7686" spans="1:22" x14ac:dyDescent="0.35">
      <c r="A7686" s="1">
        <v>42270.783495370371</v>
      </c>
      <c r="B7686" s="2">
        <v>2.8888888888888891E-2</v>
      </c>
      <c r="C7686" t="s">
        <v>9911</v>
      </c>
      <c r="D7686" t="s">
        <v>2519</v>
      </c>
      <c r="E7686" t="s">
        <v>2520</v>
      </c>
      <c r="F7686" t="s">
        <v>9719</v>
      </c>
      <c r="G7686">
        <v>2049501</v>
      </c>
      <c r="H7686" t="s">
        <v>45</v>
      </c>
      <c r="I7686" t="s">
        <v>79</v>
      </c>
      <c r="J7686" t="str">
        <f>"9781472414816"</f>
        <v>9781472414816</v>
      </c>
      <c r="K7686" t="s">
        <v>11298</v>
      </c>
      <c r="L7686">
        <v>31</v>
      </c>
      <c r="O7686" t="s">
        <v>30</v>
      </c>
      <c r="P7686" t="s">
        <v>47</v>
      </c>
      <c r="Q7686" s="1">
        <v>42270.783495370371</v>
      </c>
      <c r="R7686">
        <v>1</v>
      </c>
      <c r="S7686" t="s">
        <v>3786</v>
      </c>
      <c r="T7686" t="s">
        <v>9721</v>
      </c>
      <c r="U7686">
        <v>342.00099999999998</v>
      </c>
      <c r="V7686" s="3">
        <v>42213</v>
      </c>
    </row>
    <row r="7687" spans="1:22" x14ac:dyDescent="0.35">
      <c r="A7687" s="1">
        <v>42270.779826388891</v>
      </c>
      <c r="B7687" s="2">
        <v>3.6689814814814814E-3</v>
      </c>
      <c r="C7687" t="s">
        <v>9911</v>
      </c>
      <c r="D7687" t="s">
        <v>2519</v>
      </c>
      <c r="E7687" t="s">
        <v>2520</v>
      </c>
      <c r="F7687" t="s">
        <v>9719</v>
      </c>
      <c r="G7687">
        <v>2049501</v>
      </c>
      <c r="H7687" t="s">
        <v>45</v>
      </c>
      <c r="I7687" t="s">
        <v>79</v>
      </c>
      <c r="J7687" t="str">
        <f>"9781472414816"</f>
        <v>9781472414816</v>
      </c>
      <c r="K7687" t="s">
        <v>11299</v>
      </c>
      <c r="L7687">
        <v>8</v>
      </c>
      <c r="O7687" t="s">
        <v>30</v>
      </c>
      <c r="P7687" t="s">
        <v>50</v>
      </c>
      <c r="S7687" t="s">
        <v>3786</v>
      </c>
      <c r="T7687" t="s">
        <v>9721</v>
      </c>
      <c r="U7687">
        <v>342.00099999999998</v>
      </c>
      <c r="V7687" s="3">
        <v>42213</v>
      </c>
    </row>
    <row r="7688" spans="1:22" x14ac:dyDescent="0.35">
      <c r="A7688" s="1">
        <v>42270.773923611108</v>
      </c>
      <c r="B7688" s="2">
        <v>1.1111111111111111E-3</v>
      </c>
      <c r="C7688" t="s">
        <v>9911</v>
      </c>
      <c r="D7688" t="s">
        <v>2519</v>
      </c>
      <c r="E7688" t="s">
        <v>2520</v>
      </c>
      <c r="F7688" t="s">
        <v>11300</v>
      </c>
      <c r="G7688">
        <v>1774217</v>
      </c>
      <c r="H7688" t="s">
        <v>45</v>
      </c>
      <c r="I7688" t="s">
        <v>1434</v>
      </c>
      <c r="J7688" t="str">
        <f>"9781472422859"</f>
        <v>9781472422859</v>
      </c>
      <c r="K7688" t="s">
        <v>11301</v>
      </c>
      <c r="L7688">
        <v>4</v>
      </c>
      <c r="O7688" t="s">
        <v>30</v>
      </c>
      <c r="P7688" t="s">
        <v>47</v>
      </c>
      <c r="Q7688" s="1">
        <v>42270.773923611108</v>
      </c>
      <c r="R7688">
        <v>1</v>
      </c>
      <c r="S7688" t="s">
        <v>3786</v>
      </c>
      <c r="T7688" t="s">
        <v>11302</v>
      </c>
      <c r="U7688">
        <v>320.01</v>
      </c>
      <c r="V7688" s="3">
        <v>41940</v>
      </c>
    </row>
    <row r="7689" spans="1:22" x14ac:dyDescent="0.35">
      <c r="A7689" s="1">
        <v>42270.771215277775</v>
      </c>
      <c r="B7689" s="2">
        <v>4.6134259259259264E-2</v>
      </c>
      <c r="C7689" t="s">
        <v>6081</v>
      </c>
      <c r="D7689" t="s">
        <v>1222</v>
      </c>
      <c r="E7689" t="s">
        <v>1223</v>
      </c>
      <c r="F7689" t="s">
        <v>6082</v>
      </c>
      <c r="G7689">
        <v>1925073</v>
      </c>
      <c r="H7689" t="s">
        <v>91</v>
      </c>
      <c r="I7689" t="s">
        <v>69</v>
      </c>
      <c r="J7689" t="str">
        <f>"9781462521128"</f>
        <v>9781462521128</v>
      </c>
      <c r="K7689" t="s">
        <v>11303</v>
      </c>
      <c r="L7689">
        <v>39</v>
      </c>
      <c r="N7689" t="s">
        <v>11304</v>
      </c>
      <c r="O7689" t="s">
        <v>30</v>
      </c>
      <c r="P7689" t="s">
        <v>47</v>
      </c>
      <c r="Q7689" s="1">
        <v>42269.809131944443</v>
      </c>
      <c r="R7689">
        <v>1</v>
      </c>
      <c r="S7689" t="s">
        <v>1226</v>
      </c>
      <c r="T7689" t="s">
        <v>6085</v>
      </c>
      <c r="U7689">
        <v>372.48</v>
      </c>
      <c r="V7689" s="3">
        <v>42178</v>
      </c>
    </row>
    <row r="7690" spans="1:22" x14ac:dyDescent="0.35">
      <c r="A7690" s="1">
        <v>42270.770416666666</v>
      </c>
      <c r="B7690" s="2">
        <v>3.5069444444444445E-3</v>
      </c>
      <c r="C7690" t="s">
        <v>9911</v>
      </c>
      <c r="D7690" t="s">
        <v>2519</v>
      </c>
      <c r="E7690" t="s">
        <v>2520</v>
      </c>
      <c r="F7690" t="s">
        <v>11300</v>
      </c>
      <c r="G7690">
        <v>1774217</v>
      </c>
      <c r="H7690" t="s">
        <v>45</v>
      </c>
      <c r="I7690" t="s">
        <v>1434</v>
      </c>
      <c r="J7690" t="str">
        <f>"9781472422859"</f>
        <v>9781472422859</v>
      </c>
      <c r="K7690" t="s">
        <v>11305</v>
      </c>
      <c r="L7690">
        <v>5</v>
      </c>
      <c r="O7690" t="s">
        <v>30</v>
      </c>
      <c r="P7690" t="s">
        <v>50</v>
      </c>
      <c r="S7690" t="s">
        <v>3786</v>
      </c>
      <c r="T7690" t="s">
        <v>11302</v>
      </c>
      <c r="U7690">
        <v>320.01</v>
      </c>
      <c r="V7690" s="3">
        <v>41940</v>
      </c>
    </row>
    <row r="7691" spans="1:22" x14ac:dyDescent="0.35">
      <c r="A7691" s="1">
        <v>42270.732581018521</v>
      </c>
      <c r="B7691" s="2">
        <v>8.1828703703703709E-2</v>
      </c>
      <c r="C7691" t="s">
        <v>9415</v>
      </c>
      <c r="D7691" t="s">
        <v>23</v>
      </c>
      <c r="E7691" t="s">
        <v>24</v>
      </c>
      <c r="F7691" t="s">
        <v>486</v>
      </c>
      <c r="G7691">
        <v>1119505</v>
      </c>
      <c r="H7691" t="s">
        <v>26</v>
      </c>
      <c r="I7691" t="s">
        <v>450</v>
      </c>
      <c r="J7691" t="str">
        <f>"9781118355015"</f>
        <v>9781118355015</v>
      </c>
      <c r="K7691" t="s">
        <v>11306</v>
      </c>
      <c r="L7691">
        <v>43</v>
      </c>
      <c r="O7691" t="s">
        <v>30</v>
      </c>
      <c r="P7691" t="s">
        <v>29</v>
      </c>
      <c r="Q7691" s="1">
        <v>42270.01190972222</v>
      </c>
      <c r="R7691">
        <v>7</v>
      </c>
      <c r="S7691" t="s">
        <v>31</v>
      </c>
      <c r="T7691" t="s">
        <v>487</v>
      </c>
      <c r="U7691" t="s">
        <v>488</v>
      </c>
      <c r="V7691" s="3">
        <v>41302</v>
      </c>
    </row>
    <row r="7692" spans="1:22" x14ac:dyDescent="0.35">
      <c r="A7692" s="1">
        <v>42270.730879629627</v>
      </c>
      <c r="B7692" s="2">
        <v>5.6712962962962956E-4</v>
      </c>
      <c r="C7692" t="s">
        <v>11307</v>
      </c>
      <c r="D7692" t="s">
        <v>23</v>
      </c>
      <c r="E7692" t="s">
        <v>24</v>
      </c>
      <c r="F7692" t="s">
        <v>3228</v>
      </c>
      <c r="G7692">
        <v>1115640</v>
      </c>
      <c r="H7692" t="s">
        <v>26</v>
      </c>
      <c r="I7692" t="s">
        <v>3229</v>
      </c>
      <c r="J7692" t="str">
        <f>"9781118419090"</f>
        <v>9781118419090</v>
      </c>
      <c r="K7692" t="s">
        <v>11308</v>
      </c>
      <c r="L7692">
        <v>8</v>
      </c>
      <c r="N7692" t="s">
        <v>11309</v>
      </c>
      <c r="O7692" t="s">
        <v>30</v>
      </c>
      <c r="P7692" t="s">
        <v>29</v>
      </c>
      <c r="Q7692" s="1">
        <v>42270.712013888886</v>
      </c>
      <c r="R7692">
        <v>7</v>
      </c>
      <c r="S7692" t="s">
        <v>31</v>
      </c>
      <c r="T7692" t="s">
        <v>3231</v>
      </c>
      <c r="U7692">
        <v>624</v>
      </c>
      <c r="V7692" s="3">
        <v>41296</v>
      </c>
    </row>
    <row r="7693" spans="1:22" x14ac:dyDescent="0.35">
      <c r="A7693" s="1">
        <v>42270.726620370369</v>
      </c>
      <c r="B7693" s="2">
        <v>1.4467592592592594E-3</v>
      </c>
      <c r="C7693" t="s">
        <v>11310</v>
      </c>
      <c r="D7693" t="s">
        <v>158</v>
      </c>
      <c r="E7693" t="s">
        <v>159</v>
      </c>
      <c r="F7693" t="s">
        <v>8399</v>
      </c>
      <c r="G7693">
        <v>1184746</v>
      </c>
      <c r="H7693" t="s">
        <v>26</v>
      </c>
      <c r="I7693" t="s">
        <v>8400</v>
      </c>
      <c r="J7693" t="str">
        <f>"9781118327531"</f>
        <v>9781118327531</v>
      </c>
      <c r="K7693" t="s">
        <v>11311</v>
      </c>
      <c r="L7693">
        <v>20</v>
      </c>
      <c r="O7693" t="s">
        <v>30</v>
      </c>
      <c r="P7693" t="s">
        <v>42</v>
      </c>
      <c r="S7693" t="s">
        <v>163</v>
      </c>
      <c r="T7693" t="s">
        <v>8402</v>
      </c>
      <c r="U7693">
        <v>363.34089999999998</v>
      </c>
      <c r="V7693" s="3">
        <v>41397</v>
      </c>
    </row>
    <row r="7694" spans="1:22" x14ac:dyDescent="0.35">
      <c r="A7694" s="1">
        <v>42270.712013888886</v>
      </c>
      <c r="B7694" s="2">
        <v>0</v>
      </c>
      <c r="C7694" t="s">
        <v>11307</v>
      </c>
      <c r="D7694" t="s">
        <v>23</v>
      </c>
      <c r="E7694" t="s">
        <v>24</v>
      </c>
      <c r="F7694" t="s">
        <v>3228</v>
      </c>
      <c r="G7694">
        <v>1115640</v>
      </c>
      <c r="H7694" t="s">
        <v>26</v>
      </c>
      <c r="I7694" t="s">
        <v>3229</v>
      </c>
      <c r="J7694" t="str">
        <f>"9781118419090"</f>
        <v>9781118419090</v>
      </c>
      <c r="L7694">
        <v>0</v>
      </c>
      <c r="N7694" t="s">
        <v>11219</v>
      </c>
      <c r="O7694" t="s">
        <v>30</v>
      </c>
      <c r="P7694" t="s">
        <v>29</v>
      </c>
      <c r="Q7694" s="1">
        <v>42270.712013888886</v>
      </c>
      <c r="R7694">
        <v>7</v>
      </c>
      <c r="S7694" t="s">
        <v>31</v>
      </c>
      <c r="T7694" t="s">
        <v>3231</v>
      </c>
      <c r="U7694">
        <v>624</v>
      </c>
      <c r="V7694" s="3">
        <v>41296</v>
      </c>
    </row>
    <row r="7695" spans="1:22" x14ac:dyDescent="0.35">
      <c r="A7695" s="1">
        <v>42270.710706018515</v>
      </c>
      <c r="B7695" s="2">
        <v>1.9745370370370371E-2</v>
      </c>
      <c r="C7695" t="s">
        <v>106</v>
      </c>
      <c r="D7695" t="s">
        <v>23</v>
      </c>
      <c r="E7695" t="s">
        <v>24</v>
      </c>
      <c r="F7695" t="s">
        <v>486</v>
      </c>
      <c r="G7695">
        <v>1119505</v>
      </c>
      <c r="H7695" t="s">
        <v>26</v>
      </c>
      <c r="I7695" t="s">
        <v>450</v>
      </c>
      <c r="J7695" t="str">
        <f>"9781118355015"</f>
        <v>9781118355015</v>
      </c>
      <c r="K7695" t="s">
        <v>11312</v>
      </c>
      <c r="L7695">
        <v>29</v>
      </c>
      <c r="O7695" t="s">
        <v>30</v>
      </c>
      <c r="P7695" t="s">
        <v>29</v>
      </c>
      <c r="Q7695" s="1">
        <v>42269.848877314813</v>
      </c>
      <c r="R7695">
        <v>7</v>
      </c>
      <c r="S7695" t="s">
        <v>31</v>
      </c>
      <c r="T7695" t="s">
        <v>487</v>
      </c>
      <c r="U7695" t="s">
        <v>488</v>
      </c>
      <c r="V7695" s="3">
        <v>41302</v>
      </c>
    </row>
    <row r="7696" spans="1:22" x14ac:dyDescent="0.35">
      <c r="A7696" s="1">
        <v>42270.707268518519</v>
      </c>
      <c r="B7696" s="2">
        <v>4.7453703703703703E-3</v>
      </c>
      <c r="C7696" t="s">
        <v>11307</v>
      </c>
      <c r="D7696" t="s">
        <v>23</v>
      </c>
      <c r="E7696" t="s">
        <v>24</v>
      </c>
      <c r="F7696" t="s">
        <v>3228</v>
      </c>
      <c r="G7696">
        <v>1115640</v>
      </c>
      <c r="H7696" t="s">
        <v>26</v>
      </c>
      <c r="I7696" t="s">
        <v>3229</v>
      </c>
      <c r="J7696" t="str">
        <f>"9781118419090"</f>
        <v>9781118419090</v>
      </c>
      <c r="K7696" t="s">
        <v>11313</v>
      </c>
      <c r="L7696">
        <v>17</v>
      </c>
      <c r="O7696" t="s">
        <v>30</v>
      </c>
      <c r="P7696" t="s">
        <v>42</v>
      </c>
      <c r="S7696" t="s">
        <v>31</v>
      </c>
      <c r="T7696" t="s">
        <v>3231</v>
      </c>
      <c r="U7696">
        <v>624</v>
      </c>
      <c r="V7696" s="3">
        <v>41296</v>
      </c>
    </row>
    <row r="7697" spans="1:22" x14ac:dyDescent="0.35">
      <c r="A7697" s="1">
        <v>42270.693923611114</v>
      </c>
      <c r="B7697" s="2">
        <v>1.6203703703703703E-4</v>
      </c>
      <c r="C7697" t="s">
        <v>11314</v>
      </c>
      <c r="D7697" t="s">
        <v>35</v>
      </c>
      <c r="E7697" t="s">
        <v>36</v>
      </c>
      <c r="F7697" t="s">
        <v>1833</v>
      </c>
      <c r="G7697">
        <v>1635364</v>
      </c>
      <c r="H7697" t="s">
        <v>26</v>
      </c>
      <c r="I7697" t="s">
        <v>297</v>
      </c>
      <c r="J7697" t="str">
        <f>"9781118710449"</f>
        <v>9781118710449</v>
      </c>
      <c r="K7697" t="s">
        <v>209</v>
      </c>
      <c r="L7697">
        <v>4</v>
      </c>
      <c r="O7697" t="s">
        <v>30</v>
      </c>
      <c r="P7697" t="s">
        <v>42</v>
      </c>
      <c r="S7697" t="s">
        <v>40</v>
      </c>
      <c r="T7697" t="s">
        <v>1835</v>
      </c>
      <c r="U7697">
        <v>510.71273000000002</v>
      </c>
      <c r="V7697" s="3">
        <v>41684</v>
      </c>
    </row>
    <row r="7698" spans="1:22" x14ac:dyDescent="0.35">
      <c r="A7698" s="1">
        <v>42270.66474537037</v>
      </c>
      <c r="B7698" s="2">
        <v>1.6203703703703703E-4</v>
      </c>
      <c r="C7698" t="s">
        <v>11315</v>
      </c>
      <c r="D7698" t="s">
        <v>360</v>
      </c>
      <c r="E7698" t="s">
        <v>361</v>
      </c>
      <c r="F7698" t="s">
        <v>11316</v>
      </c>
      <c r="G7698">
        <v>1965989</v>
      </c>
      <c r="H7698" t="s">
        <v>26</v>
      </c>
      <c r="I7698" t="s">
        <v>247</v>
      </c>
      <c r="J7698" t="str">
        <f>"9781118904725"</f>
        <v>9781118904725</v>
      </c>
      <c r="K7698" t="s">
        <v>4613</v>
      </c>
      <c r="L7698">
        <v>3</v>
      </c>
      <c r="O7698" t="s">
        <v>30</v>
      </c>
      <c r="P7698" t="s">
        <v>50</v>
      </c>
      <c r="S7698" t="s">
        <v>363</v>
      </c>
      <c r="T7698" t="s">
        <v>11317</v>
      </c>
      <c r="U7698" t="s">
        <v>11318</v>
      </c>
      <c r="V7698" s="3">
        <v>42052</v>
      </c>
    </row>
    <row r="7699" spans="1:22" x14ac:dyDescent="0.35">
      <c r="A7699" s="1">
        <v>42270.661423611113</v>
      </c>
      <c r="B7699" s="2">
        <v>0</v>
      </c>
      <c r="C7699" t="s">
        <v>10966</v>
      </c>
      <c r="D7699" t="s">
        <v>23</v>
      </c>
      <c r="E7699" t="s">
        <v>24</v>
      </c>
      <c r="F7699" t="s">
        <v>3228</v>
      </c>
      <c r="G7699">
        <v>1115640</v>
      </c>
      <c r="H7699" t="s">
        <v>26</v>
      </c>
      <c r="I7699" t="s">
        <v>3229</v>
      </c>
      <c r="J7699" t="str">
        <f>"9781118419090"</f>
        <v>9781118419090</v>
      </c>
      <c r="L7699">
        <v>0</v>
      </c>
      <c r="N7699" t="s">
        <v>11319</v>
      </c>
      <c r="O7699" t="s">
        <v>28</v>
      </c>
      <c r="P7699" t="s">
        <v>29</v>
      </c>
      <c r="Q7699" s="1">
        <v>42268.549120370371</v>
      </c>
      <c r="R7699">
        <v>7</v>
      </c>
      <c r="S7699" t="s">
        <v>31</v>
      </c>
      <c r="T7699" t="s">
        <v>3231</v>
      </c>
      <c r="U7699">
        <v>624</v>
      </c>
      <c r="V7699" s="3">
        <v>41296</v>
      </c>
    </row>
    <row r="7700" spans="1:22" x14ac:dyDescent="0.35">
      <c r="A7700" s="1">
        <v>42270.66070601852</v>
      </c>
      <c r="B7700" s="2">
        <v>5.0925925925925921E-4</v>
      </c>
      <c r="C7700" t="s">
        <v>10966</v>
      </c>
      <c r="D7700" t="s">
        <v>23</v>
      </c>
      <c r="E7700" t="s">
        <v>24</v>
      </c>
      <c r="F7700" t="s">
        <v>3228</v>
      </c>
      <c r="G7700">
        <v>1115640</v>
      </c>
      <c r="H7700" t="s">
        <v>26</v>
      </c>
      <c r="I7700" t="s">
        <v>3229</v>
      </c>
      <c r="J7700" t="str">
        <f>"9781118419090"</f>
        <v>9781118419090</v>
      </c>
      <c r="K7700" t="s">
        <v>11320</v>
      </c>
      <c r="L7700">
        <v>9</v>
      </c>
      <c r="O7700" t="s">
        <v>30</v>
      </c>
      <c r="P7700" t="s">
        <v>29</v>
      </c>
      <c r="Q7700" s="1">
        <v>42268.549120370371</v>
      </c>
      <c r="R7700">
        <v>7</v>
      </c>
      <c r="S7700" t="s">
        <v>31</v>
      </c>
      <c r="T7700" t="s">
        <v>3231</v>
      </c>
      <c r="U7700">
        <v>624</v>
      </c>
      <c r="V7700" s="3">
        <v>41296</v>
      </c>
    </row>
    <row r="7701" spans="1:22" x14ac:dyDescent="0.35">
      <c r="A7701" s="1">
        <v>42270.658530092594</v>
      </c>
      <c r="B7701" s="2">
        <v>0</v>
      </c>
      <c r="C7701" t="s">
        <v>11157</v>
      </c>
      <c r="D7701" t="s">
        <v>360</v>
      </c>
      <c r="E7701" t="s">
        <v>361</v>
      </c>
      <c r="F7701" t="s">
        <v>11321</v>
      </c>
      <c r="G7701">
        <v>2034314</v>
      </c>
      <c r="H7701" t="s">
        <v>26</v>
      </c>
      <c r="I7701" t="s">
        <v>11322</v>
      </c>
      <c r="J7701" t="str">
        <f>"9780745686783"</f>
        <v>9780745686783</v>
      </c>
      <c r="L7701">
        <v>0</v>
      </c>
      <c r="O7701" t="s">
        <v>28</v>
      </c>
      <c r="P7701" t="s">
        <v>29</v>
      </c>
      <c r="Q7701" s="1">
        <v>42270.658530092594</v>
      </c>
      <c r="R7701">
        <v>7</v>
      </c>
      <c r="S7701" t="s">
        <v>363</v>
      </c>
      <c r="T7701" t="s">
        <v>11323</v>
      </c>
      <c r="U7701">
        <v>301.09199999999998</v>
      </c>
      <c r="V7701" s="3">
        <v>42116</v>
      </c>
    </row>
    <row r="7702" spans="1:22" x14ac:dyDescent="0.35">
      <c r="A7702" s="1">
        <v>42270.658530092594</v>
      </c>
      <c r="B7702" s="2">
        <v>0</v>
      </c>
      <c r="C7702" t="s">
        <v>11157</v>
      </c>
      <c r="D7702" t="s">
        <v>360</v>
      </c>
      <c r="E7702" t="s">
        <v>361</v>
      </c>
      <c r="F7702" t="s">
        <v>11321</v>
      </c>
      <c r="G7702">
        <v>2034314</v>
      </c>
      <c r="H7702" t="s">
        <v>26</v>
      </c>
      <c r="I7702" t="s">
        <v>11322</v>
      </c>
      <c r="J7702" t="str">
        <f>"9780745686783"</f>
        <v>9780745686783</v>
      </c>
      <c r="L7702">
        <v>0</v>
      </c>
      <c r="O7702" t="s">
        <v>30</v>
      </c>
      <c r="P7702" t="s">
        <v>29</v>
      </c>
      <c r="Q7702" s="1">
        <v>42270.658530092594</v>
      </c>
      <c r="R7702">
        <v>7</v>
      </c>
      <c r="S7702" t="s">
        <v>363</v>
      </c>
      <c r="T7702" t="s">
        <v>11323</v>
      </c>
      <c r="U7702">
        <v>301.09199999999998</v>
      </c>
      <c r="V7702" s="3">
        <v>42116</v>
      </c>
    </row>
    <row r="7703" spans="1:22" x14ac:dyDescent="0.35">
      <c r="A7703" s="1">
        <v>42270.658067129632</v>
      </c>
      <c r="B7703" s="2">
        <v>2.4421296296296296E-3</v>
      </c>
      <c r="C7703" t="s">
        <v>10966</v>
      </c>
      <c r="D7703" t="s">
        <v>23</v>
      </c>
      <c r="E7703" t="s">
        <v>24</v>
      </c>
      <c r="F7703" t="s">
        <v>3228</v>
      </c>
      <c r="G7703">
        <v>1115640</v>
      </c>
      <c r="H7703" t="s">
        <v>26</v>
      </c>
      <c r="I7703" t="s">
        <v>3229</v>
      </c>
      <c r="J7703" t="str">
        <f>"9781118419090"</f>
        <v>9781118419090</v>
      </c>
      <c r="K7703" t="s">
        <v>11324</v>
      </c>
      <c r="L7703">
        <v>18</v>
      </c>
      <c r="N7703" t="s">
        <v>11325</v>
      </c>
      <c r="O7703" t="s">
        <v>30</v>
      </c>
      <c r="P7703" t="s">
        <v>29</v>
      </c>
      <c r="Q7703" s="1">
        <v>42268.549120370371</v>
      </c>
      <c r="R7703">
        <v>7</v>
      </c>
      <c r="S7703" t="s">
        <v>31</v>
      </c>
      <c r="T7703" t="s">
        <v>3231</v>
      </c>
      <c r="U7703">
        <v>624</v>
      </c>
      <c r="V7703" s="3">
        <v>41296</v>
      </c>
    </row>
    <row r="7704" spans="1:22" x14ac:dyDescent="0.35">
      <c r="A7704" s="1">
        <v>42270.657118055555</v>
      </c>
      <c r="B7704" s="2">
        <v>0</v>
      </c>
      <c r="C7704" t="s">
        <v>11157</v>
      </c>
      <c r="D7704" t="s">
        <v>360</v>
      </c>
      <c r="E7704" t="s">
        <v>361</v>
      </c>
      <c r="F7704" t="s">
        <v>11161</v>
      </c>
      <c r="G7704">
        <v>2034316</v>
      </c>
      <c r="H7704" t="s">
        <v>26</v>
      </c>
      <c r="I7704" t="s">
        <v>11162</v>
      </c>
      <c r="J7704" t="str">
        <f>"9780745691404"</f>
        <v>9780745691404</v>
      </c>
      <c r="L7704">
        <v>0</v>
      </c>
      <c r="O7704" t="s">
        <v>28</v>
      </c>
      <c r="P7704" t="s">
        <v>29</v>
      </c>
      <c r="Q7704" s="1">
        <v>42270.656192129631</v>
      </c>
      <c r="R7704">
        <v>7</v>
      </c>
      <c r="S7704" t="s">
        <v>363</v>
      </c>
      <c r="T7704" t="s">
        <v>11163</v>
      </c>
      <c r="U7704" t="s">
        <v>11164</v>
      </c>
      <c r="V7704" s="3">
        <v>42116</v>
      </c>
    </row>
    <row r="7705" spans="1:22" x14ac:dyDescent="0.35">
      <c r="A7705" s="1">
        <v>42270.657037037039</v>
      </c>
      <c r="B7705" s="2">
        <v>1.4930555555555556E-3</v>
      </c>
      <c r="C7705" t="s">
        <v>11157</v>
      </c>
      <c r="D7705" t="s">
        <v>360</v>
      </c>
      <c r="E7705" t="s">
        <v>361</v>
      </c>
      <c r="F7705" t="s">
        <v>11321</v>
      </c>
      <c r="G7705">
        <v>2034314</v>
      </c>
      <c r="H7705" t="s">
        <v>26</v>
      </c>
      <c r="I7705" t="s">
        <v>11322</v>
      </c>
      <c r="J7705" t="str">
        <f>"9780745686783"</f>
        <v>9780745686783</v>
      </c>
      <c r="K7705" t="s">
        <v>11201</v>
      </c>
      <c r="L7705">
        <v>3</v>
      </c>
      <c r="O7705" t="s">
        <v>30</v>
      </c>
      <c r="P7705" t="s">
        <v>50</v>
      </c>
      <c r="S7705" t="s">
        <v>363</v>
      </c>
      <c r="T7705" t="s">
        <v>11323</v>
      </c>
      <c r="U7705">
        <v>301.09199999999998</v>
      </c>
      <c r="V7705" s="3">
        <v>42116</v>
      </c>
    </row>
    <row r="7706" spans="1:22" x14ac:dyDescent="0.35">
      <c r="A7706" s="1">
        <v>42270.656192129631</v>
      </c>
      <c r="B7706" s="2">
        <v>0</v>
      </c>
      <c r="C7706" t="s">
        <v>11157</v>
      </c>
      <c r="D7706" t="s">
        <v>360</v>
      </c>
      <c r="E7706" t="s">
        <v>361</v>
      </c>
      <c r="F7706" t="s">
        <v>11161</v>
      </c>
      <c r="G7706">
        <v>2034316</v>
      </c>
      <c r="H7706" t="s">
        <v>26</v>
      </c>
      <c r="I7706" t="s">
        <v>11162</v>
      </c>
      <c r="J7706" t="str">
        <f>"9780745691404"</f>
        <v>9780745691404</v>
      </c>
      <c r="L7706">
        <v>0</v>
      </c>
      <c r="O7706" t="s">
        <v>28</v>
      </c>
      <c r="P7706" t="s">
        <v>29</v>
      </c>
      <c r="Q7706" s="1">
        <v>42270.656192129631</v>
      </c>
      <c r="R7706">
        <v>7</v>
      </c>
      <c r="S7706" t="s">
        <v>363</v>
      </c>
      <c r="T7706" t="s">
        <v>11163</v>
      </c>
      <c r="U7706" t="s">
        <v>11164</v>
      </c>
      <c r="V7706" s="3">
        <v>42116</v>
      </c>
    </row>
    <row r="7707" spans="1:22" x14ac:dyDescent="0.35">
      <c r="A7707" s="1">
        <v>42270.656192129631</v>
      </c>
      <c r="B7707" s="2">
        <v>0</v>
      </c>
      <c r="C7707" t="s">
        <v>11157</v>
      </c>
      <c r="D7707" t="s">
        <v>360</v>
      </c>
      <c r="E7707" t="s">
        <v>361</v>
      </c>
      <c r="F7707" t="s">
        <v>11161</v>
      </c>
      <c r="G7707">
        <v>2034316</v>
      </c>
      <c r="H7707" t="s">
        <v>26</v>
      </c>
      <c r="I7707" t="s">
        <v>11162</v>
      </c>
      <c r="J7707" t="str">
        <f>"9780745691404"</f>
        <v>9780745691404</v>
      </c>
      <c r="L7707">
        <v>0</v>
      </c>
      <c r="O7707" t="s">
        <v>30</v>
      </c>
      <c r="P7707" t="s">
        <v>29</v>
      </c>
      <c r="Q7707" s="1">
        <v>42270.656192129631</v>
      </c>
      <c r="R7707">
        <v>7</v>
      </c>
      <c r="S7707" t="s">
        <v>363</v>
      </c>
      <c r="T7707" t="s">
        <v>11163</v>
      </c>
      <c r="U7707" t="s">
        <v>11164</v>
      </c>
      <c r="V7707" s="3">
        <v>42116</v>
      </c>
    </row>
    <row r="7708" spans="1:22" x14ac:dyDescent="0.35">
      <c r="A7708" s="1">
        <v>42270.655150462961</v>
      </c>
      <c r="B7708" s="2">
        <v>0</v>
      </c>
      <c r="C7708" t="s">
        <v>11157</v>
      </c>
      <c r="D7708" t="s">
        <v>360</v>
      </c>
      <c r="E7708" t="s">
        <v>361</v>
      </c>
      <c r="F7708" t="s">
        <v>11165</v>
      </c>
      <c r="G7708">
        <v>1895706</v>
      </c>
      <c r="H7708" t="s">
        <v>26</v>
      </c>
      <c r="I7708" t="s">
        <v>120</v>
      </c>
      <c r="J7708" t="str">
        <f>"9781118885925"</f>
        <v>9781118885925</v>
      </c>
      <c r="L7708">
        <v>0</v>
      </c>
      <c r="O7708" t="s">
        <v>28</v>
      </c>
      <c r="P7708" t="s">
        <v>29</v>
      </c>
      <c r="Q7708" s="1">
        <v>42270.655150462961</v>
      </c>
      <c r="R7708">
        <v>7</v>
      </c>
      <c r="S7708" t="s">
        <v>363</v>
      </c>
      <c r="T7708" t="s">
        <v>11166</v>
      </c>
      <c r="U7708" t="s">
        <v>4160</v>
      </c>
      <c r="V7708" s="3">
        <v>42121</v>
      </c>
    </row>
    <row r="7709" spans="1:22" x14ac:dyDescent="0.35">
      <c r="A7709" s="1">
        <v>42270.655150462961</v>
      </c>
      <c r="B7709" s="2">
        <v>0</v>
      </c>
      <c r="C7709" t="s">
        <v>11157</v>
      </c>
      <c r="D7709" t="s">
        <v>360</v>
      </c>
      <c r="E7709" t="s">
        <v>361</v>
      </c>
      <c r="F7709" t="s">
        <v>11165</v>
      </c>
      <c r="G7709">
        <v>1895706</v>
      </c>
      <c r="H7709" t="s">
        <v>26</v>
      </c>
      <c r="I7709" t="s">
        <v>120</v>
      </c>
      <c r="J7709" t="str">
        <f>"9781118885925"</f>
        <v>9781118885925</v>
      </c>
      <c r="L7709">
        <v>0</v>
      </c>
      <c r="O7709" t="s">
        <v>30</v>
      </c>
      <c r="P7709" t="s">
        <v>29</v>
      </c>
      <c r="Q7709" s="1">
        <v>42270.655150462961</v>
      </c>
      <c r="R7709">
        <v>7</v>
      </c>
      <c r="S7709" t="s">
        <v>363</v>
      </c>
      <c r="T7709" t="s">
        <v>11166</v>
      </c>
      <c r="U7709" t="s">
        <v>4160</v>
      </c>
      <c r="V7709" s="3">
        <v>42121</v>
      </c>
    </row>
    <row r="7710" spans="1:22" x14ac:dyDescent="0.35">
      <c r="A7710" s="1">
        <v>42270.655011574076</v>
      </c>
      <c r="B7710" s="2">
        <v>1.1805555555555556E-3</v>
      </c>
      <c r="C7710" t="s">
        <v>11157</v>
      </c>
      <c r="D7710" t="s">
        <v>360</v>
      </c>
      <c r="E7710" t="s">
        <v>361</v>
      </c>
      <c r="F7710" t="s">
        <v>11161</v>
      </c>
      <c r="G7710">
        <v>2034316</v>
      </c>
      <c r="H7710" t="s">
        <v>26</v>
      </c>
      <c r="I7710" t="s">
        <v>11162</v>
      </c>
      <c r="J7710" t="str">
        <f>"9780745691404"</f>
        <v>9780745691404</v>
      </c>
      <c r="K7710" t="s">
        <v>11326</v>
      </c>
      <c r="L7710">
        <v>7</v>
      </c>
      <c r="O7710" t="s">
        <v>30</v>
      </c>
      <c r="P7710" t="s">
        <v>50</v>
      </c>
      <c r="S7710" t="s">
        <v>363</v>
      </c>
      <c r="T7710" t="s">
        <v>11163</v>
      </c>
      <c r="U7710" t="s">
        <v>11164</v>
      </c>
      <c r="V7710" s="3">
        <v>42116</v>
      </c>
    </row>
    <row r="7711" spans="1:22" x14ac:dyDescent="0.35">
      <c r="A7711" s="1">
        <v>42270.654432870368</v>
      </c>
      <c r="B7711" s="2">
        <v>7.0601851851851847E-4</v>
      </c>
      <c r="C7711" t="s">
        <v>11157</v>
      </c>
      <c r="D7711" t="s">
        <v>360</v>
      </c>
      <c r="E7711" t="s">
        <v>361</v>
      </c>
      <c r="F7711" t="s">
        <v>11165</v>
      </c>
      <c r="G7711">
        <v>1895706</v>
      </c>
      <c r="H7711" t="s">
        <v>26</v>
      </c>
      <c r="I7711" t="s">
        <v>120</v>
      </c>
      <c r="J7711" t="str">
        <f>"9781118885925"</f>
        <v>9781118885925</v>
      </c>
      <c r="K7711" t="s">
        <v>11327</v>
      </c>
      <c r="L7711">
        <v>5</v>
      </c>
      <c r="O7711" t="s">
        <v>30</v>
      </c>
      <c r="P7711" t="s">
        <v>50</v>
      </c>
      <c r="S7711" t="s">
        <v>363</v>
      </c>
      <c r="T7711" t="s">
        <v>11166</v>
      </c>
      <c r="U7711" t="s">
        <v>4160</v>
      </c>
      <c r="V7711" s="3">
        <v>42121</v>
      </c>
    </row>
    <row r="7712" spans="1:22" x14ac:dyDescent="0.35">
      <c r="A7712" s="1">
        <v>42270.654131944444</v>
      </c>
      <c r="B7712" s="2">
        <v>3.2407407407407406E-4</v>
      </c>
      <c r="C7712" t="s">
        <v>11157</v>
      </c>
      <c r="D7712" t="s">
        <v>360</v>
      </c>
      <c r="E7712" t="s">
        <v>361</v>
      </c>
      <c r="F7712" t="s">
        <v>11328</v>
      </c>
      <c r="G7712">
        <v>1711005</v>
      </c>
      <c r="H7712" t="s">
        <v>84</v>
      </c>
      <c r="I7712" t="s">
        <v>3425</v>
      </c>
      <c r="J7712" t="str">
        <f>"9780520957992"</f>
        <v>9780520957992</v>
      </c>
      <c r="K7712" t="s">
        <v>4181</v>
      </c>
      <c r="L7712">
        <v>4</v>
      </c>
      <c r="O7712" t="s">
        <v>30</v>
      </c>
      <c r="P7712" t="s">
        <v>50</v>
      </c>
      <c r="S7712" t="s">
        <v>363</v>
      </c>
      <c r="T7712" t="s">
        <v>11329</v>
      </c>
      <c r="U7712">
        <v>964.04</v>
      </c>
      <c r="V7712" s="3">
        <v>41892</v>
      </c>
    </row>
    <row r="7713" spans="1:22" x14ac:dyDescent="0.35">
      <c r="A7713" s="1">
        <v>42270.653541666667</v>
      </c>
      <c r="B7713" s="2">
        <v>0</v>
      </c>
      <c r="C7713" t="s">
        <v>11157</v>
      </c>
      <c r="D7713" t="s">
        <v>360</v>
      </c>
      <c r="E7713" t="s">
        <v>361</v>
      </c>
      <c r="F7713" t="s">
        <v>1213</v>
      </c>
      <c r="G7713">
        <v>2030288</v>
      </c>
      <c r="H7713" t="s">
        <v>26</v>
      </c>
      <c r="I7713" t="s">
        <v>493</v>
      </c>
      <c r="J7713" t="str">
        <f>"9780745689371"</f>
        <v>9780745689371</v>
      </c>
      <c r="L7713">
        <v>0</v>
      </c>
      <c r="O7713" t="s">
        <v>28</v>
      </c>
      <c r="P7713" t="s">
        <v>29</v>
      </c>
      <c r="Q7713" s="1">
        <v>42270.653541666667</v>
      </c>
      <c r="R7713">
        <v>7</v>
      </c>
      <c r="S7713" t="s">
        <v>363</v>
      </c>
      <c r="T7713" t="s">
        <v>1215</v>
      </c>
      <c r="U7713">
        <v>907.20439999999996</v>
      </c>
      <c r="V7713" s="3">
        <v>42024</v>
      </c>
    </row>
    <row r="7714" spans="1:22" x14ac:dyDescent="0.35">
      <c r="A7714" s="1">
        <v>42270.653541666667</v>
      </c>
      <c r="B7714" s="2">
        <v>0</v>
      </c>
      <c r="C7714" t="s">
        <v>11157</v>
      </c>
      <c r="D7714" t="s">
        <v>360</v>
      </c>
      <c r="E7714" t="s">
        <v>361</v>
      </c>
      <c r="F7714" t="s">
        <v>1213</v>
      </c>
      <c r="G7714">
        <v>2030288</v>
      </c>
      <c r="H7714" t="s">
        <v>26</v>
      </c>
      <c r="I7714" t="s">
        <v>493</v>
      </c>
      <c r="J7714" t="str">
        <f>"9780745689371"</f>
        <v>9780745689371</v>
      </c>
      <c r="L7714">
        <v>0</v>
      </c>
      <c r="O7714" t="s">
        <v>30</v>
      </c>
      <c r="P7714" t="s">
        <v>29</v>
      </c>
      <c r="Q7714" s="1">
        <v>42270.653541666667</v>
      </c>
      <c r="R7714">
        <v>7</v>
      </c>
      <c r="S7714" t="s">
        <v>363</v>
      </c>
      <c r="T7714" t="s">
        <v>1215</v>
      </c>
      <c r="U7714">
        <v>907.20439999999996</v>
      </c>
      <c r="V7714" s="3">
        <v>42024</v>
      </c>
    </row>
    <row r="7715" spans="1:22" x14ac:dyDescent="0.35">
      <c r="A7715" s="1">
        <v>42270.653275462966</v>
      </c>
      <c r="B7715" s="2">
        <v>2.6620370370370372E-4</v>
      </c>
      <c r="C7715" t="s">
        <v>11157</v>
      </c>
      <c r="D7715" t="s">
        <v>360</v>
      </c>
      <c r="E7715" t="s">
        <v>361</v>
      </c>
      <c r="F7715" t="s">
        <v>1213</v>
      </c>
      <c r="G7715">
        <v>2030288</v>
      </c>
      <c r="H7715" t="s">
        <v>26</v>
      </c>
      <c r="I7715" t="s">
        <v>493</v>
      </c>
      <c r="J7715" t="str">
        <f>"9780745689371"</f>
        <v>9780745689371</v>
      </c>
      <c r="K7715" t="s">
        <v>33</v>
      </c>
      <c r="L7715">
        <v>3</v>
      </c>
      <c r="O7715" t="s">
        <v>30</v>
      </c>
      <c r="P7715" t="s">
        <v>50</v>
      </c>
      <c r="S7715" t="s">
        <v>363</v>
      </c>
      <c r="T7715" t="s">
        <v>1215</v>
      </c>
      <c r="U7715">
        <v>907.20439999999996</v>
      </c>
      <c r="V7715" s="3">
        <v>42024</v>
      </c>
    </row>
    <row r="7716" spans="1:22" x14ac:dyDescent="0.35">
      <c r="A7716" s="1">
        <v>42270.651655092595</v>
      </c>
      <c r="B7716" s="2">
        <v>0</v>
      </c>
      <c r="C7716" t="s">
        <v>11157</v>
      </c>
      <c r="D7716" t="s">
        <v>360</v>
      </c>
      <c r="E7716" t="s">
        <v>361</v>
      </c>
      <c r="F7716" t="s">
        <v>11330</v>
      </c>
      <c r="G7716">
        <v>1977567</v>
      </c>
      <c r="H7716" t="s">
        <v>26</v>
      </c>
      <c r="I7716" t="s">
        <v>630</v>
      </c>
      <c r="J7716" t="str">
        <f>"9780745690667"</f>
        <v>9780745690667</v>
      </c>
      <c r="L7716">
        <v>0</v>
      </c>
      <c r="O7716" t="s">
        <v>28</v>
      </c>
      <c r="P7716" t="s">
        <v>29</v>
      </c>
      <c r="Q7716" s="1">
        <v>42270.651655092595</v>
      </c>
      <c r="R7716">
        <v>7</v>
      </c>
      <c r="S7716" t="s">
        <v>363</v>
      </c>
      <c r="T7716" t="s">
        <v>11331</v>
      </c>
      <c r="U7716">
        <v>110</v>
      </c>
      <c r="V7716" s="3">
        <v>42177</v>
      </c>
    </row>
    <row r="7717" spans="1:22" x14ac:dyDescent="0.35">
      <c r="A7717" s="1">
        <v>42270.651655092595</v>
      </c>
      <c r="B7717" s="2">
        <v>0</v>
      </c>
      <c r="C7717" t="s">
        <v>11157</v>
      </c>
      <c r="D7717" t="s">
        <v>360</v>
      </c>
      <c r="E7717" t="s">
        <v>361</v>
      </c>
      <c r="F7717" t="s">
        <v>11330</v>
      </c>
      <c r="G7717">
        <v>1977567</v>
      </c>
      <c r="H7717" t="s">
        <v>26</v>
      </c>
      <c r="I7717" t="s">
        <v>630</v>
      </c>
      <c r="J7717" t="str">
        <f>"9780745690667"</f>
        <v>9780745690667</v>
      </c>
      <c r="L7717">
        <v>0</v>
      </c>
      <c r="O7717" t="s">
        <v>30</v>
      </c>
      <c r="P7717" t="s">
        <v>29</v>
      </c>
      <c r="Q7717" s="1">
        <v>42270.651655092595</v>
      </c>
      <c r="R7717">
        <v>7</v>
      </c>
      <c r="S7717" t="s">
        <v>363</v>
      </c>
      <c r="T7717" t="s">
        <v>11331</v>
      </c>
      <c r="U7717">
        <v>110</v>
      </c>
      <c r="V7717" s="3">
        <v>42177</v>
      </c>
    </row>
    <row r="7718" spans="1:22" x14ac:dyDescent="0.35">
      <c r="A7718" s="1">
        <v>42270.651250000003</v>
      </c>
      <c r="B7718" s="2">
        <v>4.0509259259259258E-4</v>
      </c>
      <c r="C7718" t="s">
        <v>11157</v>
      </c>
      <c r="D7718" t="s">
        <v>360</v>
      </c>
      <c r="E7718" t="s">
        <v>361</v>
      </c>
      <c r="F7718" t="s">
        <v>11330</v>
      </c>
      <c r="G7718">
        <v>1977567</v>
      </c>
      <c r="H7718" t="s">
        <v>26</v>
      </c>
      <c r="I7718" t="s">
        <v>630</v>
      </c>
      <c r="J7718" t="str">
        <f>"9780745690667"</f>
        <v>9780745690667</v>
      </c>
      <c r="K7718" t="s">
        <v>33</v>
      </c>
      <c r="L7718">
        <v>3</v>
      </c>
      <c r="O7718" t="s">
        <v>30</v>
      </c>
      <c r="P7718" t="s">
        <v>50</v>
      </c>
      <c r="S7718" t="s">
        <v>363</v>
      </c>
      <c r="T7718" t="s">
        <v>11331</v>
      </c>
      <c r="U7718">
        <v>110</v>
      </c>
      <c r="V7718" s="3">
        <v>42177</v>
      </c>
    </row>
    <row r="7719" spans="1:22" x14ac:dyDescent="0.35">
      <c r="A7719" s="1">
        <v>42270.650636574072</v>
      </c>
      <c r="B7719" s="2">
        <v>2.9050925925925928E-3</v>
      </c>
      <c r="C7719" t="s">
        <v>7774</v>
      </c>
      <c r="D7719" t="s">
        <v>23</v>
      </c>
      <c r="E7719" t="s">
        <v>24</v>
      </c>
      <c r="F7719" t="s">
        <v>1051</v>
      </c>
      <c r="G7719">
        <v>821663</v>
      </c>
      <c r="H7719" t="s">
        <v>26</v>
      </c>
      <c r="I7719" t="s">
        <v>200</v>
      </c>
      <c r="J7719" t="str">
        <f>"9781118168479"</f>
        <v>9781118168479</v>
      </c>
      <c r="K7719" t="s">
        <v>11332</v>
      </c>
      <c r="L7719">
        <v>35</v>
      </c>
      <c r="O7719" t="s">
        <v>30</v>
      </c>
      <c r="P7719" t="s">
        <v>42</v>
      </c>
      <c r="S7719" t="s">
        <v>31</v>
      </c>
      <c r="T7719" t="s">
        <v>1053</v>
      </c>
      <c r="U7719">
        <v>729</v>
      </c>
      <c r="V7719" s="3">
        <v>40973</v>
      </c>
    </row>
    <row r="7720" spans="1:22" x14ac:dyDescent="0.35">
      <c r="A7720" s="1">
        <v>42270.650266203702</v>
      </c>
      <c r="B7720" s="2">
        <v>0</v>
      </c>
      <c r="C7720" t="s">
        <v>11157</v>
      </c>
      <c r="D7720" t="s">
        <v>360</v>
      </c>
      <c r="E7720" t="s">
        <v>361</v>
      </c>
      <c r="F7720" t="s">
        <v>11333</v>
      </c>
      <c r="G7720">
        <v>1991751</v>
      </c>
      <c r="H7720" t="s">
        <v>26</v>
      </c>
      <c r="I7720" t="s">
        <v>348</v>
      </c>
      <c r="J7720" t="str">
        <f>"9780745691480"</f>
        <v>9780745691480</v>
      </c>
      <c r="L7720">
        <v>0</v>
      </c>
      <c r="O7720" t="s">
        <v>28</v>
      </c>
      <c r="P7720" t="s">
        <v>29</v>
      </c>
      <c r="Q7720" s="1">
        <v>42270.650254629632</v>
      </c>
      <c r="R7720">
        <v>7</v>
      </c>
      <c r="S7720" t="s">
        <v>363</v>
      </c>
      <c r="T7720" t="s">
        <v>11334</v>
      </c>
      <c r="U7720">
        <v>321.8</v>
      </c>
      <c r="V7720" s="3">
        <v>42146</v>
      </c>
    </row>
    <row r="7721" spans="1:22" x14ac:dyDescent="0.35">
      <c r="A7721" s="1">
        <v>42270.650254629632</v>
      </c>
      <c r="B7721" s="2">
        <v>0</v>
      </c>
      <c r="C7721" t="s">
        <v>11157</v>
      </c>
      <c r="D7721" t="s">
        <v>360</v>
      </c>
      <c r="E7721" t="s">
        <v>361</v>
      </c>
      <c r="F7721" t="s">
        <v>11333</v>
      </c>
      <c r="G7721">
        <v>1991751</v>
      </c>
      <c r="H7721" t="s">
        <v>26</v>
      </c>
      <c r="I7721" t="s">
        <v>348</v>
      </c>
      <c r="J7721" t="str">
        <f>"9780745691480"</f>
        <v>9780745691480</v>
      </c>
      <c r="L7721">
        <v>0</v>
      </c>
      <c r="O7721" t="s">
        <v>30</v>
      </c>
      <c r="P7721" t="s">
        <v>29</v>
      </c>
      <c r="Q7721" s="1">
        <v>42270.650254629632</v>
      </c>
      <c r="R7721">
        <v>7</v>
      </c>
      <c r="S7721" t="s">
        <v>363</v>
      </c>
      <c r="T7721" t="s">
        <v>11334</v>
      </c>
      <c r="U7721">
        <v>321.8</v>
      </c>
      <c r="V7721" s="3">
        <v>42146</v>
      </c>
    </row>
    <row r="7722" spans="1:22" x14ac:dyDescent="0.35">
      <c r="A7722" s="1">
        <v>42270.649293981478</v>
      </c>
      <c r="B7722" s="2">
        <v>9.6064814814814808E-4</v>
      </c>
      <c r="C7722" t="s">
        <v>11157</v>
      </c>
      <c r="D7722" t="s">
        <v>360</v>
      </c>
      <c r="E7722" t="s">
        <v>361</v>
      </c>
      <c r="F7722" t="s">
        <v>11333</v>
      </c>
      <c r="G7722">
        <v>1991751</v>
      </c>
      <c r="H7722" t="s">
        <v>26</v>
      </c>
      <c r="I7722" t="s">
        <v>348</v>
      </c>
      <c r="J7722" t="str">
        <f>"9780745691480"</f>
        <v>9780745691480</v>
      </c>
      <c r="K7722" t="s">
        <v>11335</v>
      </c>
      <c r="L7722">
        <v>4</v>
      </c>
      <c r="O7722" t="s">
        <v>30</v>
      </c>
      <c r="P7722" t="s">
        <v>50</v>
      </c>
      <c r="S7722" t="s">
        <v>363</v>
      </c>
      <c r="T7722" t="s">
        <v>11334</v>
      </c>
      <c r="U7722">
        <v>321.8</v>
      </c>
      <c r="V7722" s="3">
        <v>42146</v>
      </c>
    </row>
    <row r="7723" spans="1:22" x14ac:dyDescent="0.35">
      <c r="A7723" s="1">
        <v>42270.648182870369</v>
      </c>
      <c r="B7723" s="2">
        <v>0</v>
      </c>
      <c r="C7723" t="s">
        <v>11157</v>
      </c>
      <c r="D7723" t="s">
        <v>360</v>
      </c>
      <c r="E7723" t="s">
        <v>361</v>
      </c>
      <c r="F7723" t="s">
        <v>11336</v>
      </c>
      <c r="G7723">
        <v>2056178</v>
      </c>
      <c r="H7723" t="s">
        <v>26</v>
      </c>
      <c r="I7723" t="s">
        <v>348</v>
      </c>
      <c r="J7723" t="str">
        <f>"9780745690513"</f>
        <v>9780745690513</v>
      </c>
      <c r="L7723">
        <v>0</v>
      </c>
      <c r="O7723" t="s">
        <v>28</v>
      </c>
      <c r="P7723" t="s">
        <v>29</v>
      </c>
      <c r="Q7723" s="1">
        <v>42270.648182870369</v>
      </c>
      <c r="R7723">
        <v>7</v>
      </c>
      <c r="S7723" t="s">
        <v>363</v>
      </c>
      <c r="T7723" t="s">
        <v>11337</v>
      </c>
      <c r="U7723">
        <v>321.8</v>
      </c>
      <c r="V7723" s="3">
        <v>42143</v>
      </c>
    </row>
    <row r="7724" spans="1:22" x14ac:dyDescent="0.35">
      <c r="A7724" s="1">
        <v>42270.648182870369</v>
      </c>
      <c r="B7724" s="2">
        <v>0</v>
      </c>
      <c r="C7724" t="s">
        <v>11157</v>
      </c>
      <c r="D7724" t="s">
        <v>360</v>
      </c>
      <c r="E7724" t="s">
        <v>361</v>
      </c>
      <c r="F7724" t="s">
        <v>11336</v>
      </c>
      <c r="G7724">
        <v>2056178</v>
      </c>
      <c r="H7724" t="s">
        <v>26</v>
      </c>
      <c r="I7724" t="s">
        <v>348</v>
      </c>
      <c r="J7724" t="str">
        <f>"9780745690513"</f>
        <v>9780745690513</v>
      </c>
      <c r="L7724">
        <v>0</v>
      </c>
      <c r="O7724" t="s">
        <v>30</v>
      </c>
      <c r="P7724" t="s">
        <v>29</v>
      </c>
      <c r="Q7724" s="1">
        <v>42270.648182870369</v>
      </c>
      <c r="R7724">
        <v>7</v>
      </c>
      <c r="S7724" t="s">
        <v>363</v>
      </c>
      <c r="T7724" t="s">
        <v>11337</v>
      </c>
      <c r="U7724">
        <v>321.8</v>
      </c>
      <c r="V7724" s="3">
        <v>42143</v>
      </c>
    </row>
    <row r="7725" spans="1:22" x14ac:dyDescent="0.35">
      <c r="A7725" s="1">
        <v>42270.647685185184</v>
      </c>
      <c r="B7725" s="2">
        <v>1.0416666666666667E-3</v>
      </c>
      <c r="C7725" t="s">
        <v>8975</v>
      </c>
      <c r="D7725" t="s">
        <v>23</v>
      </c>
      <c r="E7725" t="s">
        <v>24</v>
      </c>
      <c r="F7725" t="s">
        <v>246</v>
      </c>
      <c r="G7725">
        <v>1682559</v>
      </c>
      <c r="H7725" t="s">
        <v>91</v>
      </c>
      <c r="I7725" t="s">
        <v>247</v>
      </c>
      <c r="J7725" t="str">
        <f>"9781462515431"</f>
        <v>9781462515431</v>
      </c>
      <c r="K7725" t="s">
        <v>11338</v>
      </c>
      <c r="L7725">
        <v>9</v>
      </c>
      <c r="O7725" t="s">
        <v>30</v>
      </c>
      <c r="P7725" t="s">
        <v>29</v>
      </c>
      <c r="Q7725" s="1">
        <v>42269.635995370372</v>
      </c>
      <c r="R7725">
        <v>7</v>
      </c>
      <c r="S7725" t="s">
        <v>31</v>
      </c>
      <c r="T7725" t="s">
        <v>249</v>
      </c>
      <c r="U7725">
        <v>616.89</v>
      </c>
      <c r="V7725" s="3">
        <v>41769</v>
      </c>
    </row>
    <row r="7726" spans="1:22" x14ac:dyDescent="0.35">
      <c r="A7726" s="1">
        <v>42270.647361111114</v>
      </c>
      <c r="B7726" s="2">
        <v>0</v>
      </c>
      <c r="C7726" t="s">
        <v>11157</v>
      </c>
      <c r="D7726" t="s">
        <v>360</v>
      </c>
      <c r="E7726" t="s">
        <v>361</v>
      </c>
      <c r="F7726" t="s">
        <v>2692</v>
      </c>
      <c r="G7726">
        <v>1895411</v>
      </c>
      <c r="H7726" t="s">
        <v>26</v>
      </c>
      <c r="I7726" t="s">
        <v>120</v>
      </c>
      <c r="J7726" t="str">
        <f>"9780745688961"</f>
        <v>9780745688961</v>
      </c>
      <c r="L7726">
        <v>0</v>
      </c>
      <c r="O7726" t="s">
        <v>28</v>
      </c>
      <c r="P7726" t="s">
        <v>29</v>
      </c>
      <c r="Q7726" s="1">
        <v>42270.647361111114</v>
      </c>
      <c r="R7726">
        <v>7</v>
      </c>
      <c r="S7726" t="s">
        <v>363</v>
      </c>
      <c r="T7726" t="s">
        <v>2696</v>
      </c>
      <c r="U7726">
        <v>301.09199999999998</v>
      </c>
      <c r="V7726" s="3">
        <v>42100</v>
      </c>
    </row>
    <row r="7727" spans="1:22" x14ac:dyDescent="0.35">
      <c r="A7727" s="1">
        <v>42270.647361111114</v>
      </c>
      <c r="B7727" s="2">
        <v>0</v>
      </c>
      <c r="C7727" t="s">
        <v>11157</v>
      </c>
      <c r="D7727" t="s">
        <v>360</v>
      </c>
      <c r="E7727" t="s">
        <v>361</v>
      </c>
      <c r="F7727" t="s">
        <v>2692</v>
      </c>
      <c r="G7727">
        <v>1895411</v>
      </c>
      <c r="H7727" t="s">
        <v>26</v>
      </c>
      <c r="I7727" t="s">
        <v>120</v>
      </c>
      <c r="J7727" t="str">
        <f>"9780745688961"</f>
        <v>9780745688961</v>
      </c>
      <c r="L7727">
        <v>0</v>
      </c>
      <c r="O7727" t="s">
        <v>30</v>
      </c>
      <c r="P7727" t="s">
        <v>29</v>
      </c>
      <c r="Q7727" s="1">
        <v>42270.647361111114</v>
      </c>
      <c r="R7727">
        <v>7</v>
      </c>
      <c r="S7727" t="s">
        <v>363</v>
      </c>
      <c r="T7727" t="s">
        <v>2696</v>
      </c>
      <c r="U7727">
        <v>301.09199999999998</v>
      </c>
      <c r="V7727" s="3">
        <v>42100</v>
      </c>
    </row>
    <row r="7728" spans="1:22" x14ac:dyDescent="0.35">
      <c r="A7728" s="1">
        <v>42270.647199074076</v>
      </c>
      <c r="B7728" s="2">
        <v>9.7222222222222209E-4</v>
      </c>
      <c r="C7728" t="s">
        <v>11157</v>
      </c>
      <c r="D7728" t="s">
        <v>360</v>
      </c>
      <c r="E7728" t="s">
        <v>361</v>
      </c>
      <c r="F7728" t="s">
        <v>11336</v>
      </c>
      <c r="G7728">
        <v>2056178</v>
      </c>
      <c r="H7728" t="s">
        <v>26</v>
      </c>
      <c r="I7728" t="s">
        <v>348</v>
      </c>
      <c r="J7728" t="str">
        <f>"9780745690513"</f>
        <v>9780745690513</v>
      </c>
      <c r="K7728" t="s">
        <v>98</v>
      </c>
      <c r="L7728">
        <v>7</v>
      </c>
      <c r="O7728" t="s">
        <v>30</v>
      </c>
      <c r="P7728" t="s">
        <v>50</v>
      </c>
      <c r="S7728" t="s">
        <v>363</v>
      </c>
      <c r="T7728" t="s">
        <v>11337</v>
      </c>
      <c r="U7728">
        <v>321.8</v>
      </c>
      <c r="V7728" s="3">
        <v>42143</v>
      </c>
    </row>
    <row r="7729" spans="1:22" x14ac:dyDescent="0.35">
      <c r="A7729" s="1">
        <v>42270.646180555559</v>
      </c>
      <c r="B7729" s="2">
        <v>1.1805555555555556E-3</v>
      </c>
      <c r="C7729" t="s">
        <v>11157</v>
      </c>
      <c r="D7729" t="s">
        <v>360</v>
      </c>
      <c r="E7729" t="s">
        <v>361</v>
      </c>
      <c r="F7729" t="s">
        <v>2692</v>
      </c>
      <c r="G7729">
        <v>1895411</v>
      </c>
      <c r="H7729" t="s">
        <v>26</v>
      </c>
      <c r="I7729" t="s">
        <v>120</v>
      </c>
      <c r="J7729" t="str">
        <f>"9780745688961"</f>
        <v>9780745688961</v>
      </c>
      <c r="K7729" t="s">
        <v>827</v>
      </c>
      <c r="L7729">
        <v>6</v>
      </c>
      <c r="O7729" t="s">
        <v>30</v>
      </c>
      <c r="P7729" t="s">
        <v>50</v>
      </c>
      <c r="S7729" t="s">
        <v>363</v>
      </c>
      <c r="T7729" t="s">
        <v>2696</v>
      </c>
      <c r="U7729">
        <v>301.09199999999998</v>
      </c>
      <c r="V7729" s="3">
        <v>42100</v>
      </c>
    </row>
    <row r="7730" spans="1:22" x14ac:dyDescent="0.35">
      <c r="A7730" s="1">
        <v>42270.645462962966</v>
      </c>
      <c r="B7730" s="2">
        <v>0</v>
      </c>
      <c r="C7730" t="s">
        <v>11157</v>
      </c>
      <c r="D7730" t="s">
        <v>360</v>
      </c>
      <c r="E7730" t="s">
        <v>361</v>
      </c>
      <c r="F7730" t="s">
        <v>11339</v>
      </c>
      <c r="G7730">
        <v>2006074</v>
      </c>
      <c r="H7730" t="s">
        <v>26</v>
      </c>
      <c r="I7730" t="s">
        <v>172</v>
      </c>
      <c r="J7730" t="str">
        <f>"9780745695907"</f>
        <v>9780745695907</v>
      </c>
      <c r="L7730">
        <v>0</v>
      </c>
      <c r="O7730" t="s">
        <v>28</v>
      </c>
      <c r="P7730" t="s">
        <v>29</v>
      </c>
      <c r="Q7730" s="1">
        <v>42270.645462962966</v>
      </c>
      <c r="R7730">
        <v>7</v>
      </c>
      <c r="S7730" t="s">
        <v>363</v>
      </c>
      <c r="T7730" t="s">
        <v>11340</v>
      </c>
      <c r="U7730">
        <v>973.04960730000005</v>
      </c>
      <c r="V7730" s="3">
        <v>42159</v>
      </c>
    </row>
    <row r="7731" spans="1:22" x14ac:dyDescent="0.35">
      <c r="A7731" s="1">
        <v>42270.645462962966</v>
      </c>
      <c r="B7731" s="2">
        <v>0</v>
      </c>
      <c r="C7731" t="s">
        <v>11157</v>
      </c>
      <c r="D7731" t="s">
        <v>360</v>
      </c>
      <c r="E7731" t="s">
        <v>361</v>
      </c>
      <c r="F7731" t="s">
        <v>11339</v>
      </c>
      <c r="G7731">
        <v>2006074</v>
      </c>
      <c r="H7731" t="s">
        <v>26</v>
      </c>
      <c r="I7731" t="s">
        <v>172</v>
      </c>
      <c r="J7731" t="str">
        <f>"9780745695907"</f>
        <v>9780745695907</v>
      </c>
      <c r="L7731">
        <v>0</v>
      </c>
      <c r="O7731" t="s">
        <v>30</v>
      </c>
      <c r="P7731" t="s">
        <v>29</v>
      </c>
      <c r="Q7731" s="1">
        <v>42270.645462962966</v>
      </c>
      <c r="R7731">
        <v>7</v>
      </c>
      <c r="S7731" t="s">
        <v>363</v>
      </c>
      <c r="T7731" t="s">
        <v>11340</v>
      </c>
      <c r="U7731">
        <v>973.04960730000005</v>
      </c>
      <c r="V7731" s="3">
        <v>42159</v>
      </c>
    </row>
    <row r="7732" spans="1:22" x14ac:dyDescent="0.35">
      <c r="A7732" s="1">
        <v>42270.644918981481</v>
      </c>
      <c r="B7732" s="2">
        <v>0</v>
      </c>
      <c r="C7732" t="s">
        <v>11157</v>
      </c>
      <c r="D7732" t="s">
        <v>360</v>
      </c>
      <c r="E7732" t="s">
        <v>361</v>
      </c>
      <c r="F7732" t="s">
        <v>11184</v>
      </c>
      <c r="G7732">
        <v>2065775</v>
      </c>
      <c r="H7732" t="s">
        <v>26</v>
      </c>
      <c r="I7732" t="s">
        <v>630</v>
      </c>
      <c r="J7732" t="str">
        <f>"9780745691459"</f>
        <v>9780745691459</v>
      </c>
      <c r="L7732">
        <v>0</v>
      </c>
      <c r="O7732" t="s">
        <v>28</v>
      </c>
      <c r="P7732" t="s">
        <v>29</v>
      </c>
      <c r="Q7732" s="1">
        <v>42270.643379629626</v>
      </c>
      <c r="R7732">
        <v>7</v>
      </c>
      <c r="S7732" t="s">
        <v>363</v>
      </c>
      <c r="T7732" t="s">
        <v>11186</v>
      </c>
      <c r="U7732">
        <v>170</v>
      </c>
      <c r="V7732" s="3">
        <v>42159</v>
      </c>
    </row>
    <row r="7733" spans="1:22" x14ac:dyDescent="0.35">
      <c r="A7733" s="1">
        <v>42270.644629629627</v>
      </c>
      <c r="B7733" s="2">
        <v>8.3333333333333339E-4</v>
      </c>
      <c r="C7733" t="s">
        <v>11157</v>
      </c>
      <c r="D7733" t="s">
        <v>360</v>
      </c>
      <c r="E7733" t="s">
        <v>361</v>
      </c>
      <c r="F7733" t="s">
        <v>11339</v>
      </c>
      <c r="G7733">
        <v>2006074</v>
      </c>
      <c r="H7733" t="s">
        <v>26</v>
      </c>
      <c r="I7733" t="s">
        <v>172</v>
      </c>
      <c r="J7733" t="str">
        <f>"9780745695907"</f>
        <v>9780745695907</v>
      </c>
      <c r="K7733" t="s">
        <v>4181</v>
      </c>
      <c r="L7733">
        <v>4</v>
      </c>
      <c r="O7733" t="s">
        <v>30</v>
      </c>
      <c r="P7733" t="s">
        <v>50</v>
      </c>
      <c r="S7733" t="s">
        <v>363</v>
      </c>
      <c r="T7733" t="s">
        <v>11340</v>
      </c>
      <c r="U7733">
        <v>973.04960730000005</v>
      </c>
      <c r="V7733" s="3">
        <v>42159</v>
      </c>
    </row>
    <row r="7734" spans="1:22" x14ac:dyDescent="0.35">
      <c r="A7734" s="1">
        <v>42270.644143518519</v>
      </c>
      <c r="B7734" s="2">
        <v>0</v>
      </c>
      <c r="C7734" t="s">
        <v>11157</v>
      </c>
      <c r="D7734" t="s">
        <v>360</v>
      </c>
      <c r="E7734" t="s">
        <v>361</v>
      </c>
      <c r="F7734" t="s">
        <v>11341</v>
      </c>
      <c r="G7734">
        <v>2081781</v>
      </c>
      <c r="H7734" t="s">
        <v>139</v>
      </c>
      <c r="I7734" t="s">
        <v>998</v>
      </c>
      <c r="J7734" t="str">
        <f>"9781479863778"</f>
        <v>9781479863778</v>
      </c>
      <c r="L7734">
        <v>0</v>
      </c>
      <c r="O7734" t="s">
        <v>28</v>
      </c>
      <c r="P7734" t="s">
        <v>29</v>
      </c>
      <c r="Q7734" s="1">
        <v>42270.640324074076</v>
      </c>
      <c r="R7734">
        <v>7</v>
      </c>
      <c r="S7734" t="s">
        <v>363</v>
      </c>
      <c r="T7734" t="s">
        <v>11342</v>
      </c>
      <c r="U7734">
        <v>305.80098500000003</v>
      </c>
      <c r="V7734" s="3">
        <v>42230</v>
      </c>
    </row>
    <row r="7735" spans="1:22" x14ac:dyDescent="0.35">
      <c r="A7735" s="1">
        <v>42270.64398148148</v>
      </c>
      <c r="B7735" s="2">
        <v>6.7129629629629625E-4</v>
      </c>
      <c r="C7735" t="s">
        <v>11157</v>
      </c>
      <c r="D7735" t="s">
        <v>360</v>
      </c>
      <c r="E7735" t="s">
        <v>361</v>
      </c>
      <c r="F7735" t="s">
        <v>11184</v>
      </c>
      <c r="G7735">
        <v>2065775</v>
      </c>
      <c r="H7735" t="s">
        <v>26</v>
      </c>
      <c r="I7735" t="s">
        <v>630</v>
      </c>
      <c r="J7735" t="str">
        <f>"9780745691459"</f>
        <v>9780745691459</v>
      </c>
      <c r="K7735" t="s">
        <v>11343</v>
      </c>
      <c r="L7735">
        <v>4</v>
      </c>
      <c r="O7735" t="s">
        <v>30</v>
      </c>
      <c r="P7735" t="s">
        <v>29</v>
      </c>
      <c r="Q7735" s="1">
        <v>42270.643379629626</v>
      </c>
      <c r="R7735">
        <v>7</v>
      </c>
      <c r="S7735" t="s">
        <v>363</v>
      </c>
      <c r="T7735" t="s">
        <v>11186</v>
      </c>
      <c r="U7735">
        <v>170</v>
      </c>
      <c r="V7735" s="3">
        <v>42159</v>
      </c>
    </row>
    <row r="7736" spans="1:22" x14ac:dyDescent="0.35">
      <c r="A7736" s="1">
        <v>42270.643761574072</v>
      </c>
      <c r="B7736" s="2">
        <v>0</v>
      </c>
      <c r="C7736" t="s">
        <v>11157</v>
      </c>
      <c r="D7736" t="s">
        <v>360</v>
      </c>
      <c r="E7736" t="s">
        <v>361</v>
      </c>
      <c r="F7736" t="s">
        <v>3650</v>
      </c>
      <c r="G7736">
        <v>2065773</v>
      </c>
      <c r="H7736" t="s">
        <v>26</v>
      </c>
      <c r="I7736" t="s">
        <v>120</v>
      </c>
      <c r="J7736" t="str">
        <f>"9780745690490"</f>
        <v>9780745690490</v>
      </c>
      <c r="L7736">
        <v>0</v>
      </c>
      <c r="O7736" t="s">
        <v>28</v>
      </c>
      <c r="P7736" t="s">
        <v>29</v>
      </c>
      <c r="Q7736" s="1">
        <v>42270.643750000003</v>
      </c>
      <c r="R7736">
        <v>7</v>
      </c>
      <c r="S7736" t="s">
        <v>363</v>
      </c>
      <c r="T7736" t="s">
        <v>3652</v>
      </c>
      <c r="U7736">
        <v>303.61</v>
      </c>
      <c r="V7736" s="3">
        <v>42159</v>
      </c>
    </row>
    <row r="7737" spans="1:22" x14ac:dyDescent="0.35">
      <c r="A7737" s="1">
        <v>42270.643750000003</v>
      </c>
      <c r="B7737" s="2">
        <v>0</v>
      </c>
      <c r="C7737" t="s">
        <v>11157</v>
      </c>
      <c r="D7737" t="s">
        <v>360</v>
      </c>
      <c r="E7737" t="s">
        <v>361</v>
      </c>
      <c r="F7737" t="s">
        <v>3650</v>
      </c>
      <c r="G7737">
        <v>2065773</v>
      </c>
      <c r="H7737" t="s">
        <v>26</v>
      </c>
      <c r="I7737" t="s">
        <v>120</v>
      </c>
      <c r="J7737" t="str">
        <f>"9780745690490"</f>
        <v>9780745690490</v>
      </c>
      <c r="L7737">
        <v>0</v>
      </c>
      <c r="O7737" t="s">
        <v>30</v>
      </c>
      <c r="P7737" t="s">
        <v>29</v>
      </c>
      <c r="Q7737" s="1">
        <v>42270.643750000003</v>
      </c>
      <c r="R7737">
        <v>7</v>
      </c>
      <c r="S7737" t="s">
        <v>363</v>
      </c>
      <c r="T7737" t="s">
        <v>3652</v>
      </c>
      <c r="U7737">
        <v>303.61</v>
      </c>
      <c r="V7737" s="3">
        <v>42159</v>
      </c>
    </row>
    <row r="7738" spans="1:22" x14ac:dyDescent="0.35">
      <c r="A7738" s="1">
        <v>42270.643587962964</v>
      </c>
      <c r="B7738" s="2">
        <v>0</v>
      </c>
      <c r="C7738" t="s">
        <v>11157</v>
      </c>
      <c r="D7738" t="s">
        <v>360</v>
      </c>
      <c r="E7738" t="s">
        <v>361</v>
      </c>
      <c r="F7738" t="s">
        <v>11184</v>
      </c>
      <c r="G7738">
        <v>2065775</v>
      </c>
      <c r="H7738" t="s">
        <v>26</v>
      </c>
      <c r="I7738" t="s">
        <v>630</v>
      </c>
      <c r="J7738" t="str">
        <f>"9780745691459"</f>
        <v>9780745691459</v>
      </c>
      <c r="L7738">
        <v>0</v>
      </c>
      <c r="O7738" t="s">
        <v>28</v>
      </c>
      <c r="P7738" t="s">
        <v>29</v>
      </c>
      <c r="Q7738" s="1">
        <v>42270.643379629626</v>
      </c>
      <c r="R7738">
        <v>7</v>
      </c>
      <c r="S7738" t="s">
        <v>363</v>
      </c>
      <c r="T7738" t="s">
        <v>11186</v>
      </c>
      <c r="U7738">
        <v>170</v>
      </c>
      <c r="V7738" s="3">
        <v>42159</v>
      </c>
    </row>
    <row r="7739" spans="1:22" x14ac:dyDescent="0.35">
      <c r="A7739" s="1">
        <v>42270.643379629626</v>
      </c>
      <c r="B7739" s="2">
        <v>0</v>
      </c>
      <c r="C7739" t="s">
        <v>11157</v>
      </c>
      <c r="D7739" t="s">
        <v>360</v>
      </c>
      <c r="E7739" t="s">
        <v>361</v>
      </c>
      <c r="F7739" t="s">
        <v>11184</v>
      </c>
      <c r="G7739">
        <v>2065775</v>
      </c>
      <c r="H7739" t="s">
        <v>26</v>
      </c>
      <c r="I7739" t="s">
        <v>630</v>
      </c>
      <c r="J7739" t="str">
        <f>"9780745691459"</f>
        <v>9780745691459</v>
      </c>
      <c r="L7739">
        <v>0</v>
      </c>
      <c r="O7739" t="s">
        <v>28</v>
      </c>
      <c r="P7739" t="s">
        <v>29</v>
      </c>
      <c r="Q7739" s="1">
        <v>42270.643379629626</v>
      </c>
      <c r="R7739">
        <v>7</v>
      </c>
      <c r="S7739" t="s">
        <v>363</v>
      </c>
      <c r="T7739" t="s">
        <v>11186</v>
      </c>
      <c r="U7739">
        <v>170</v>
      </c>
      <c r="V7739" s="3">
        <v>42159</v>
      </c>
    </row>
    <row r="7740" spans="1:22" x14ac:dyDescent="0.35">
      <c r="A7740" s="1">
        <v>42270.643379629626</v>
      </c>
      <c r="B7740" s="2">
        <v>0</v>
      </c>
      <c r="C7740" t="s">
        <v>11157</v>
      </c>
      <c r="D7740" t="s">
        <v>360</v>
      </c>
      <c r="E7740" t="s">
        <v>361</v>
      </c>
      <c r="F7740" t="s">
        <v>11184</v>
      </c>
      <c r="G7740">
        <v>2065775</v>
      </c>
      <c r="H7740" t="s">
        <v>26</v>
      </c>
      <c r="I7740" t="s">
        <v>630</v>
      </c>
      <c r="J7740" t="str">
        <f>"9780745691459"</f>
        <v>9780745691459</v>
      </c>
      <c r="L7740">
        <v>0</v>
      </c>
      <c r="O7740" t="s">
        <v>30</v>
      </c>
      <c r="P7740" t="s">
        <v>29</v>
      </c>
      <c r="Q7740" s="1">
        <v>42270.643379629626</v>
      </c>
      <c r="R7740">
        <v>7</v>
      </c>
      <c r="S7740" t="s">
        <v>363</v>
      </c>
      <c r="T7740" t="s">
        <v>11186</v>
      </c>
      <c r="U7740">
        <v>170</v>
      </c>
      <c r="V7740" s="3">
        <v>42159</v>
      </c>
    </row>
    <row r="7741" spans="1:22" x14ac:dyDescent="0.35">
      <c r="A7741" s="1">
        <v>42270.64298611111</v>
      </c>
      <c r="B7741" s="2">
        <v>7.6388888888888893E-4</v>
      </c>
      <c r="C7741" t="s">
        <v>11157</v>
      </c>
      <c r="D7741" t="s">
        <v>360</v>
      </c>
      <c r="E7741" t="s">
        <v>361</v>
      </c>
      <c r="F7741" t="s">
        <v>3650</v>
      </c>
      <c r="G7741">
        <v>2065773</v>
      </c>
      <c r="H7741" t="s">
        <v>26</v>
      </c>
      <c r="I7741" t="s">
        <v>120</v>
      </c>
      <c r="J7741" t="str">
        <f>"9780745690490"</f>
        <v>9780745690490</v>
      </c>
      <c r="K7741" t="s">
        <v>209</v>
      </c>
      <c r="L7741">
        <v>4</v>
      </c>
      <c r="O7741" t="s">
        <v>30</v>
      </c>
      <c r="P7741" t="s">
        <v>50</v>
      </c>
      <c r="S7741" t="s">
        <v>363</v>
      </c>
      <c r="T7741" t="s">
        <v>3652</v>
      </c>
      <c r="U7741">
        <v>303.61</v>
      </c>
      <c r="V7741" s="3">
        <v>42159</v>
      </c>
    </row>
    <row r="7742" spans="1:22" x14ac:dyDescent="0.35">
      <c r="A7742" s="1">
        <v>42270.64261574074</v>
      </c>
      <c r="B7742" s="2">
        <v>7.6388888888888893E-4</v>
      </c>
      <c r="C7742" t="s">
        <v>11157</v>
      </c>
      <c r="D7742" t="s">
        <v>360</v>
      </c>
      <c r="E7742" t="s">
        <v>361</v>
      </c>
      <c r="F7742" t="s">
        <v>11184</v>
      </c>
      <c r="G7742">
        <v>2065775</v>
      </c>
      <c r="H7742" t="s">
        <v>26</v>
      </c>
      <c r="I7742" t="s">
        <v>630</v>
      </c>
      <c r="J7742" t="str">
        <f>"9780745691459"</f>
        <v>9780745691459</v>
      </c>
      <c r="K7742" t="s">
        <v>11204</v>
      </c>
      <c r="L7742">
        <v>3</v>
      </c>
      <c r="O7742" t="s">
        <v>30</v>
      </c>
      <c r="P7742" t="s">
        <v>50</v>
      </c>
      <c r="S7742" t="s">
        <v>363</v>
      </c>
      <c r="T7742" t="s">
        <v>11186</v>
      </c>
      <c r="U7742">
        <v>170</v>
      </c>
      <c r="V7742" s="3">
        <v>42159</v>
      </c>
    </row>
    <row r="7743" spans="1:22" x14ac:dyDescent="0.35">
      <c r="A7743" s="1">
        <v>42270.642442129632</v>
      </c>
      <c r="B7743" s="2">
        <v>1.7361111111111112E-4</v>
      </c>
      <c r="C7743" t="s">
        <v>11157</v>
      </c>
      <c r="D7743" t="s">
        <v>360</v>
      </c>
      <c r="E7743" t="s">
        <v>361</v>
      </c>
      <c r="F7743" t="s">
        <v>11341</v>
      </c>
      <c r="G7743">
        <v>2081781</v>
      </c>
      <c r="H7743" t="s">
        <v>139</v>
      </c>
      <c r="I7743" t="s">
        <v>998</v>
      </c>
      <c r="J7743" t="str">
        <f>"9781479863778"</f>
        <v>9781479863778</v>
      </c>
      <c r="K7743" t="s">
        <v>1278</v>
      </c>
      <c r="L7743">
        <v>3</v>
      </c>
      <c r="O7743" t="s">
        <v>30</v>
      </c>
      <c r="P7743" t="s">
        <v>29</v>
      </c>
      <c r="Q7743" s="1">
        <v>42270.640324074076</v>
      </c>
      <c r="R7743">
        <v>7</v>
      </c>
      <c r="S7743" t="s">
        <v>363</v>
      </c>
      <c r="T7743" t="s">
        <v>11342</v>
      </c>
      <c r="U7743">
        <v>305.80098500000003</v>
      </c>
      <c r="V7743" s="3">
        <v>42230</v>
      </c>
    </row>
    <row r="7744" spans="1:22" x14ac:dyDescent="0.35">
      <c r="A7744" s="1">
        <v>42270.641516203701</v>
      </c>
      <c r="B7744" s="2">
        <v>0</v>
      </c>
      <c r="C7744" t="s">
        <v>11157</v>
      </c>
      <c r="D7744" t="s">
        <v>360</v>
      </c>
      <c r="E7744" t="s">
        <v>361</v>
      </c>
      <c r="F7744" t="s">
        <v>11344</v>
      </c>
      <c r="G7744">
        <v>2067185</v>
      </c>
      <c r="H7744" t="s">
        <v>139</v>
      </c>
      <c r="I7744" t="s">
        <v>120</v>
      </c>
      <c r="J7744" t="str">
        <f>"9781479881956"</f>
        <v>9781479881956</v>
      </c>
      <c r="L7744">
        <v>0</v>
      </c>
      <c r="O7744" t="s">
        <v>28</v>
      </c>
      <c r="P7744" t="s">
        <v>29</v>
      </c>
      <c r="Q7744" s="1">
        <v>42270.641516203701</v>
      </c>
      <c r="R7744">
        <v>7</v>
      </c>
      <c r="S7744" t="s">
        <v>363</v>
      </c>
      <c r="T7744" t="s">
        <v>11345</v>
      </c>
      <c r="U7744">
        <v>364</v>
      </c>
      <c r="V7744" s="3">
        <v>42195</v>
      </c>
    </row>
    <row r="7745" spans="1:22" x14ac:dyDescent="0.35">
      <c r="A7745" s="1">
        <v>42270.641516203701</v>
      </c>
      <c r="B7745" s="2">
        <v>0</v>
      </c>
      <c r="C7745" t="s">
        <v>11157</v>
      </c>
      <c r="D7745" t="s">
        <v>360</v>
      </c>
      <c r="E7745" t="s">
        <v>361</v>
      </c>
      <c r="F7745" t="s">
        <v>11344</v>
      </c>
      <c r="G7745">
        <v>2067185</v>
      </c>
      <c r="H7745" t="s">
        <v>139</v>
      </c>
      <c r="I7745" t="s">
        <v>120</v>
      </c>
      <c r="J7745" t="str">
        <f>"9781479881956"</f>
        <v>9781479881956</v>
      </c>
      <c r="L7745">
        <v>0</v>
      </c>
      <c r="O7745" t="s">
        <v>30</v>
      </c>
      <c r="P7745" t="s">
        <v>29</v>
      </c>
      <c r="Q7745" s="1">
        <v>42270.641516203701</v>
      </c>
      <c r="R7745">
        <v>7</v>
      </c>
      <c r="S7745" t="s">
        <v>363</v>
      </c>
      <c r="T7745" t="s">
        <v>11345</v>
      </c>
      <c r="U7745">
        <v>364</v>
      </c>
      <c r="V7745" s="3">
        <v>42195</v>
      </c>
    </row>
    <row r="7746" spans="1:22" x14ac:dyDescent="0.35">
      <c r="A7746" s="1">
        <v>42270.641030092593</v>
      </c>
      <c r="B7746" s="2">
        <v>0</v>
      </c>
      <c r="C7746" t="s">
        <v>11157</v>
      </c>
      <c r="D7746" t="s">
        <v>360</v>
      </c>
      <c r="E7746" t="s">
        <v>361</v>
      </c>
      <c r="F7746" t="s">
        <v>11187</v>
      </c>
      <c r="G7746">
        <v>2066658</v>
      </c>
      <c r="H7746" t="s">
        <v>26</v>
      </c>
      <c r="I7746" t="s">
        <v>1211</v>
      </c>
      <c r="J7746" t="str">
        <f>"9780745690452"</f>
        <v>9780745690452</v>
      </c>
      <c r="L7746">
        <v>0</v>
      </c>
      <c r="O7746" t="s">
        <v>28</v>
      </c>
      <c r="P7746" t="s">
        <v>29</v>
      </c>
      <c r="Q7746" s="1">
        <v>42270.641030092593</v>
      </c>
      <c r="R7746">
        <v>7</v>
      </c>
      <c r="S7746" t="s">
        <v>363</v>
      </c>
      <c r="T7746" t="s">
        <v>11188</v>
      </c>
      <c r="U7746">
        <v>305.8</v>
      </c>
      <c r="V7746" s="3">
        <v>42160</v>
      </c>
    </row>
    <row r="7747" spans="1:22" x14ac:dyDescent="0.35">
      <c r="A7747" s="1">
        <v>42270.641030092593</v>
      </c>
      <c r="B7747" s="2">
        <v>0</v>
      </c>
      <c r="C7747" t="s">
        <v>11157</v>
      </c>
      <c r="D7747" t="s">
        <v>360</v>
      </c>
      <c r="E7747" t="s">
        <v>361</v>
      </c>
      <c r="F7747" t="s">
        <v>11187</v>
      </c>
      <c r="G7747">
        <v>2066658</v>
      </c>
      <c r="H7747" t="s">
        <v>26</v>
      </c>
      <c r="I7747" t="s">
        <v>1211</v>
      </c>
      <c r="J7747" t="str">
        <f>"9780745690452"</f>
        <v>9780745690452</v>
      </c>
      <c r="L7747">
        <v>0</v>
      </c>
      <c r="O7747" t="s">
        <v>30</v>
      </c>
      <c r="P7747" t="s">
        <v>29</v>
      </c>
      <c r="Q7747" s="1">
        <v>42270.641030092593</v>
      </c>
      <c r="R7747">
        <v>7</v>
      </c>
      <c r="S7747" t="s">
        <v>363</v>
      </c>
      <c r="T7747" t="s">
        <v>11188</v>
      </c>
      <c r="U7747">
        <v>305.8</v>
      </c>
      <c r="V7747" s="3">
        <v>42160</v>
      </c>
    </row>
    <row r="7748" spans="1:22" x14ac:dyDescent="0.35">
      <c r="A7748" s="1">
        <v>42270.640324074076</v>
      </c>
      <c r="B7748" s="2">
        <v>0</v>
      </c>
      <c r="C7748" t="s">
        <v>11157</v>
      </c>
      <c r="D7748" t="s">
        <v>360</v>
      </c>
      <c r="E7748" t="s">
        <v>361</v>
      </c>
      <c r="F7748" t="s">
        <v>11341</v>
      </c>
      <c r="G7748">
        <v>2081781</v>
      </c>
      <c r="H7748" t="s">
        <v>139</v>
      </c>
      <c r="I7748" t="s">
        <v>998</v>
      </c>
      <c r="J7748" t="str">
        <f>"9781479863778"</f>
        <v>9781479863778</v>
      </c>
      <c r="L7748">
        <v>0</v>
      </c>
      <c r="O7748" t="s">
        <v>28</v>
      </c>
      <c r="P7748" t="s">
        <v>29</v>
      </c>
      <c r="Q7748" s="1">
        <v>42270.640324074076</v>
      </c>
      <c r="R7748">
        <v>7</v>
      </c>
      <c r="S7748" t="s">
        <v>363</v>
      </c>
      <c r="T7748" t="s">
        <v>11342</v>
      </c>
      <c r="U7748">
        <v>305.80098500000003</v>
      </c>
      <c r="V7748" s="3">
        <v>42230</v>
      </c>
    </row>
    <row r="7749" spans="1:22" x14ac:dyDescent="0.35">
      <c r="A7749" s="1">
        <v>42270.640324074076</v>
      </c>
      <c r="B7749" s="2">
        <v>0</v>
      </c>
      <c r="C7749" t="s">
        <v>11157</v>
      </c>
      <c r="D7749" t="s">
        <v>360</v>
      </c>
      <c r="E7749" t="s">
        <v>361</v>
      </c>
      <c r="F7749" t="s">
        <v>11341</v>
      </c>
      <c r="G7749">
        <v>2081781</v>
      </c>
      <c r="H7749" t="s">
        <v>139</v>
      </c>
      <c r="I7749" t="s">
        <v>998</v>
      </c>
      <c r="J7749" t="str">
        <f>"9781479863778"</f>
        <v>9781479863778</v>
      </c>
      <c r="L7749">
        <v>0</v>
      </c>
      <c r="O7749" t="s">
        <v>30</v>
      </c>
      <c r="P7749" t="s">
        <v>29</v>
      </c>
      <c r="Q7749" s="1">
        <v>42270.640324074076</v>
      </c>
      <c r="R7749">
        <v>7</v>
      </c>
      <c r="S7749" t="s">
        <v>363</v>
      </c>
      <c r="T7749" t="s">
        <v>11342</v>
      </c>
      <c r="U7749">
        <v>305.80098500000003</v>
      </c>
      <c r="V7749" s="3">
        <v>42230</v>
      </c>
    </row>
    <row r="7750" spans="1:22" x14ac:dyDescent="0.35">
      <c r="A7750" s="1">
        <v>42270.640081018515</v>
      </c>
      <c r="B7750" s="2">
        <v>9.4907407407407408E-4</v>
      </c>
      <c r="C7750" t="s">
        <v>11157</v>
      </c>
      <c r="D7750" t="s">
        <v>360</v>
      </c>
      <c r="E7750" t="s">
        <v>361</v>
      </c>
      <c r="F7750" t="s">
        <v>11187</v>
      </c>
      <c r="G7750">
        <v>2066658</v>
      </c>
      <c r="H7750" t="s">
        <v>26</v>
      </c>
      <c r="I7750" t="s">
        <v>1211</v>
      </c>
      <c r="J7750" t="str">
        <f>"9780745690452"</f>
        <v>9780745690452</v>
      </c>
      <c r="K7750" t="s">
        <v>11346</v>
      </c>
      <c r="L7750">
        <v>3</v>
      </c>
      <c r="O7750" t="s">
        <v>30</v>
      </c>
      <c r="P7750" t="s">
        <v>50</v>
      </c>
      <c r="S7750" t="s">
        <v>363</v>
      </c>
      <c r="T7750" t="s">
        <v>11188</v>
      </c>
      <c r="U7750">
        <v>305.8</v>
      </c>
      <c r="V7750" s="3">
        <v>42160</v>
      </c>
    </row>
    <row r="7751" spans="1:22" x14ac:dyDescent="0.35">
      <c r="A7751" s="1">
        <v>42270.639641203707</v>
      </c>
      <c r="B7751" s="2">
        <v>0</v>
      </c>
      <c r="C7751" t="s">
        <v>11157</v>
      </c>
      <c r="D7751" t="s">
        <v>360</v>
      </c>
      <c r="E7751" t="s">
        <v>361</v>
      </c>
      <c r="F7751" t="s">
        <v>11347</v>
      </c>
      <c r="G7751">
        <v>2082217</v>
      </c>
      <c r="H7751" t="s">
        <v>139</v>
      </c>
      <c r="I7751" t="s">
        <v>11348</v>
      </c>
      <c r="J7751" t="str">
        <f>"9781479812516"</f>
        <v>9781479812516</v>
      </c>
      <c r="L7751">
        <v>0</v>
      </c>
      <c r="O7751" t="s">
        <v>28</v>
      </c>
      <c r="P7751" t="s">
        <v>29</v>
      </c>
      <c r="Q7751" s="1">
        <v>42270.639641203707</v>
      </c>
      <c r="R7751">
        <v>7</v>
      </c>
      <c r="S7751" t="s">
        <v>363</v>
      </c>
      <c r="T7751" t="s">
        <v>11349</v>
      </c>
      <c r="U7751" t="s">
        <v>11350</v>
      </c>
      <c r="V7751" s="3">
        <v>42293</v>
      </c>
    </row>
    <row r="7752" spans="1:22" x14ac:dyDescent="0.35">
      <c r="A7752" s="1">
        <v>42270.639641203707</v>
      </c>
      <c r="B7752" s="2">
        <v>0</v>
      </c>
      <c r="C7752" t="s">
        <v>11157</v>
      </c>
      <c r="D7752" t="s">
        <v>360</v>
      </c>
      <c r="E7752" t="s">
        <v>361</v>
      </c>
      <c r="F7752" t="s">
        <v>11347</v>
      </c>
      <c r="G7752">
        <v>2082217</v>
      </c>
      <c r="H7752" t="s">
        <v>139</v>
      </c>
      <c r="I7752" t="s">
        <v>11348</v>
      </c>
      <c r="J7752" t="str">
        <f>"9781479812516"</f>
        <v>9781479812516</v>
      </c>
      <c r="L7752">
        <v>0</v>
      </c>
      <c r="O7752" t="s">
        <v>30</v>
      </c>
      <c r="P7752" t="s">
        <v>29</v>
      </c>
      <c r="Q7752" s="1">
        <v>42270.639641203707</v>
      </c>
      <c r="R7752">
        <v>7</v>
      </c>
      <c r="S7752" t="s">
        <v>363</v>
      </c>
      <c r="T7752" t="s">
        <v>11349</v>
      </c>
      <c r="U7752" t="s">
        <v>11350</v>
      </c>
      <c r="V7752" s="3">
        <v>42293</v>
      </c>
    </row>
    <row r="7753" spans="1:22" x14ac:dyDescent="0.35">
      <c r="A7753" s="1">
        <v>42270.639513888891</v>
      </c>
      <c r="B7753" s="2">
        <v>2.0023148148148148E-3</v>
      </c>
      <c r="C7753" t="s">
        <v>11157</v>
      </c>
      <c r="D7753" t="s">
        <v>360</v>
      </c>
      <c r="E7753" t="s">
        <v>361</v>
      </c>
      <c r="F7753" t="s">
        <v>11344</v>
      </c>
      <c r="G7753">
        <v>2067185</v>
      </c>
      <c r="H7753" t="s">
        <v>139</v>
      </c>
      <c r="I7753" t="s">
        <v>120</v>
      </c>
      <c r="J7753" t="str">
        <f>"9781479881956"</f>
        <v>9781479881956</v>
      </c>
      <c r="K7753" t="s">
        <v>11351</v>
      </c>
      <c r="L7753">
        <v>5</v>
      </c>
      <c r="O7753" t="s">
        <v>30</v>
      </c>
      <c r="P7753" t="s">
        <v>50</v>
      </c>
      <c r="S7753" t="s">
        <v>363</v>
      </c>
      <c r="T7753" t="s">
        <v>11345</v>
      </c>
      <c r="U7753">
        <v>364</v>
      </c>
      <c r="V7753" s="3">
        <v>42195</v>
      </c>
    </row>
    <row r="7754" spans="1:22" x14ac:dyDescent="0.35">
      <c r="A7754" s="1">
        <v>42270.639293981483</v>
      </c>
      <c r="B7754" s="2">
        <v>3.5462962962962967E-2</v>
      </c>
      <c r="C7754" t="s">
        <v>106</v>
      </c>
      <c r="D7754" t="s">
        <v>23</v>
      </c>
      <c r="E7754" t="s">
        <v>24</v>
      </c>
      <c r="F7754" t="s">
        <v>486</v>
      </c>
      <c r="G7754">
        <v>1119505</v>
      </c>
      <c r="H7754" t="s">
        <v>26</v>
      </c>
      <c r="I7754" t="s">
        <v>450</v>
      </c>
      <c r="J7754" t="str">
        <f>"9781118355015"</f>
        <v>9781118355015</v>
      </c>
      <c r="K7754" t="s">
        <v>11352</v>
      </c>
      <c r="L7754">
        <v>22</v>
      </c>
      <c r="O7754" t="s">
        <v>30</v>
      </c>
      <c r="P7754" t="s">
        <v>29</v>
      </c>
      <c r="Q7754" s="1">
        <v>42269.848877314813</v>
      </c>
      <c r="R7754">
        <v>7</v>
      </c>
      <c r="S7754" t="s">
        <v>31</v>
      </c>
      <c r="T7754" t="s">
        <v>487</v>
      </c>
      <c r="U7754" t="s">
        <v>488</v>
      </c>
      <c r="V7754" s="3">
        <v>41302</v>
      </c>
    </row>
    <row r="7755" spans="1:22" x14ac:dyDescent="0.35">
      <c r="A7755" s="1">
        <v>42270.639282407406</v>
      </c>
      <c r="B7755" s="2">
        <v>1.0416666666666667E-3</v>
      </c>
      <c r="C7755" t="s">
        <v>11157</v>
      </c>
      <c r="D7755" t="s">
        <v>360</v>
      </c>
      <c r="E7755" t="s">
        <v>361</v>
      </c>
      <c r="F7755" t="s">
        <v>11341</v>
      </c>
      <c r="G7755">
        <v>2081781</v>
      </c>
      <c r="H7755" t="s">
        <v>139</v>
      </c>
      <c r="I7755" t="s">
        <v>998</v>
      </c>
      <c r="J7755" t="str">
        <f>"9781479863778"</f>
        <v>9781479863778</v>
      </c>
      <c r="K7755" t="s">
        <v>11351</v>
      </c>
      <c r="L7755">
        <v>5</v>
      </c>
      <c r="O7755" t="s">
        <v>30</v>
      </c>
      <c r="P7755" t="s">
        <v>50</v>
      </c>
      <c r="S7755" t="s">
        <v>363</v>
      </c>
      <c r="T7755" t="s">
        <v>11342</v>
      </c>
      <c r="U7755">
        <v>305.80098500000003</v>
      </c>
      <c r="V7755" s="3">
        <v>42230</v>
      </c>
    </row>
    <row r="7756" spans="1:22" x14ac:dyDescent="0.35">
      <c r="A7756" s="1">
        <v>42270.639016203706</v>
      </c>
      <c r="B7756" s="2">
        <v>6.2500000000000001E-4</v>
      </c>
      <c r="C7756" t="s">
        <v>11157</v>
      </c>
      <c r="D7756" t="s">
        <v>360</v>
      </c>
      <c r="E7756" t="s">
        <v>361</v>
      </c>
      <c r="F7756" t="s">
        <v>11347</v>
      </c>
      <c r="G7756">
        <v>2082217</v>
      </c>
      <c r="H7756" t="s">
        <v>139</v>
      </c>
      <c r="I7756" t="s">
        <v>11348</v>
      </c>
      <c r="J7756" t="str">
        <f>"9781479812516"</f>
        <v>9781479812516</v>
      </c>
      <c r="K7756" t="s">
        <v>11335</v>
      </c>
      <c r="L7756">
        <v>4</v>
      </c>
      <c r="O7756" t="s">
        <v>30</v>
      </c>
      <c r="P7756" t="s">
        <v>50</v>
      </c>
      <c r="S7756" t="s">
        <v>363</v>
      </c>
      <c r="T7756" t="s">
        <v>11349</v>
      </c>
      <c r="U7756" t="s">
        <v>11350</v>
      </c>
      <c r="V7756" s="3">
        <v>42293</v>
      </c>
    </row>
    <row r="7757" spans="1:22" x14ac:dyDescent="0.35">
      <c r="A7757" s="1">
        <v>42270.637187499997</v>
      </c>
      <c r="B7757" s="2">
        <v>0</v>
      </c>
      <c r="C7757" t="s">
        <v>11157</v>
      </c>
      <c r="D7757" t="s">
        <v>360</v>
      </c>
      <c r="E7757" t="s">
        <v>361</v>
      </c>
      <c r="F7757" t="s">
        <v>11353</v>
      </c>
      <c r="G7757">
        <v>1998771</v>
      </c>
      <c r="H7757" t="s">
        <v>26</v>
      </c>
      <c r="I7757" t="s">
        <v>4400</v>
      </c>
      <c r="J7757" t="str">
        <f>"9781118896150"</f>
        <v>9781118896150</v>
      </c>
      <c r="L7757">
        <v>0</v>
      </c>
      <c r="O7757" t="s">
        <v>28</v>
      </c>
      <c r="P7757" t="s">
        <v>29</v>
      </c>
      <c r="Q7757" s="1">
        <v>42270.637187499997</v>
      </c>
      <c r="R7757">
        <v>7</v>
      </c>
      <c r="S7757" t="s">
        <v>363</v>
      </c>
      <c r="T7757" t="s">
        <v>11354</v>
      </c>
      <c r="U7757">
        <v>383.10923480000002</v>
      </c>
      <c r="V7757" s="3">
        <v>42184</v>
      </c>
    </row>
    <row r="7758" spans="1:22" x14ac:dyDescent="0.35">
      <c r="A7758" s="1">
        <v>42270.637187499997</v>
      </c>
      <c r="B7758" s="2">
        <v>0</v>
      </c>
      <c r="C7758" t="s">
        <v>11157</v>
      </c>
      <c r="D7758" t="s">
        <v>360</v>
      </c>
      <c r="E7758" t="s">
        <v>361</v>
      </c>
      <c r="F7758" t="s">
        <v>11353</v>
      </c>
      <c r="G7758">
        <v>1998771</v>
      </c>
      <c r="H7758" t="s">
        <v>26</v>
      </c>
      <c r="I7758" t="s">
        <v>4400</v>
      </c>
      <c r="J7758" t="str">
        <f>"9781118896150"</f>
        <v>9781118896150</v>
      </c>
      <c r="L7758">
        <v>0</v>
      </c>
      <c r="O7758" t="s">
        <v>30</v>
      </c>
      <c r="P7758" t="s">
        <v>29</v>
      </c>
      <c r="Q7758" s="1">
        <v>42270.637187499997</v>
      </c>
      <c r="R7758">
        <v>7</v>
      </c>
      <c r="S7758" t="s">
        <v>363</v>
      </c>
      <c r="T7758" t="s">
        <v>11354</v>
      </c>
      <c r="U7758">
        <v>383.10923480000002</v>
      </c>
      <c r="V7758" s="3">
        <v>42184</v>
      </c>
    </row>
    <row r="7759" spans="1:22" x14ac:dyDescent="0.35">
      <c r="A7759" s="1">
        <v>42270.636793981481</v>
      </c>
      <c r="B7759" s="2">
        <v>3.9351851851851852E-4</v>
      </c>
      <c r="C7759" t="s">
        <v>11157</v>
      </c>
      <c r="D7759" t="s">
        <v>360</v>
      </c>
      <c r="E7759" t="s">
        <v>361</v>
      </c>
      <c r="F7759" t="s">
        <v>11353</v>
      </c>
      <c r="G7759">
        <v>1998771</v>
      </c>
      <c r="H7759" t="s">
        <v>26</v>
      </c>
      <c r="I7759" t="s">
        <v>4400</v>
      </c>
      <c r="J7759" t="str">
        <f>"9781118896150"</f>
        <v>9781118896150</v>
      </c>
      <c r="K7759" t="s">
        <v>1278</v>
      </c>
      <c r="L7759">
        <v>3</v>
      </c>
      <c r="O7759" t="s">
        <v>30</v>
      </c>
      <c r="P7759" t="s">
        <v>50</v>
      </c>
      <c r="S7759" t="s">
        <v>363</v>
      </c>
      <c r="T7759" t="s">
        <v>11354</v>
      </c>
      <c r="U7759">
        <v>383.10923480000002</v>
      </c>
      <c r="V7759" s="3">
        <v>42184</v>
      </c>
    </row>
    <row r="7760" spans="1:22" x14ac:dyDescent="0.35">
      <c r="A7760" s="1">
        <v>42270.635289351849</v>
      </c>
      <c r="B7760" s="2">
        <v>0</v>
      </c>
      <c r="C7760" t="s">
        <v>11157</v>
      </c>
      <c r="D7760" t="s">
        <v>360</v>
      </c>
      <c r="E7760" t="s">
        <v>361</v>
      </c>
      <c r="F7760" t="s">
        <v>11355</v>
      </c>
      <c r="G7760">
        <v>1991752</v>
      </c>
      <c r="H7760" t="s">
        <v>26</v>
      </c>
      <c r="I7760" t="s">
        <v>545</v>
      </c>
      <c r="J7760" t="str">
        <f>"9780745694948"</f>
        <v>9780745694948</v>
      </c>
      <c r="L7760">
        <v>0</v>
      </c>
      <c r="O7760" t="s">
        <v>28</v>
      </c>
      <c r="P7760" t="s">
        <v>29</v>
      </c>
      <c r="Q7760" s="1">
        <v>42270.635289351849</v>
      </c>
      <c r="R7760">
        <v>7</v>
      </c>
      <c r="S7760" t="s">
        <v>363</v>
      </c>
      <c r="T7760" t="s">
        <v>11356</v>
      </c>
      <c r="U7760">
        <v>142.69999999999999</v>
      </c>
      <c r="V7760" s="3">
        <v>42200</v>
      </c>
    </row>
    <row r="7761" spans="1:22" x14ac:dyDescent="0.35">
      <c r="A7761" s="1">
        <v>42270.635289351849</v>
      </c>
      <c r="B7761" s="2">
        <v>0</v>
      </c>
      <c r="C7761" t="s">
        <v>11157</v>
      </c>
      <c r="D7761" t="s">
        <v>360</v>
      </c>
      <c r="E7761" t="s">
        <v>361</v>
      </c>
      <c r="F7761" t="s">
        <v>11355</v>
      </c>
      <c r="G7761">
        <v>1991752</v>
      </c>
      <c r="H7761" t="s">
        <v>26</v>
      </c>
      <c r="I7761" t="s">
        <v>545</v>
      </c>
      <c r="J7761" t="str">
        <f>"9780745694948"</f>
        <v>9780745694948</v>
      </c>
      <c r="L7761">
        <v>0</v>
      </c>
      <c r="O7761" t="s">
        <v>30</v>
      </c>
      <c r="P7761" t="s">
        <v>29</v>
      </c>
      <c r="Q7761" s="1">
        <v>42270.635289351849</v>
      </c>
      <c r="R7761">
        <v>7</v>
      </c>
      <c r="S7761" t="s">
        <v>363</v>
      </c>
      <c r="T7761" t="s">
        <v>11356</v>
      </c>
      <c r="U7761">
        <v>142.69999999999999</v>
      </c>
      <c r="V7761" s="3">
        <v>42200</v>
      </c>
    </row>
    <row r="7762" spans="1:22" x14ac:dyDescent="0.35">
      <c r="A7762" s="1">
        <v>42270.634467592594</v>
      </c>
      <c r="B7762" s="2">
        <v>0</v>
      </c>
      <c r="C7762" t="s">
        <v>11157</v>
      </c>
      <c r="D7762" t="s">
        <v>360</v>
      </c>
      <c r="E7762" t="s">
        <v>361</v>
      </c>
      <c r="F7762" t="s">
        <v>4169</v>
      </c>
      <c r="G7762">
        <v>2006091</v>
      </c>
      <c r="H7762" t="s">
        <v>26</v>
      </c>
      <c r="I7762" t="s">
        <v>310</v>
      </c>
      <c r="J7762" t="str">
        <f>"9781118780961"</f>
        <v>9781118780961</v>
      </c>
      <c r="L7762">
        <v>0</v>
      </c>
      <c r="O7762" t="s">
        <v>28</v>
      </c>
      <c r="P7762" t="s">
        <v>29</v>
      </c>
      <c r="Q7762" s="1">
        <v>42270.634467592594</v>
      </c>
      <c r="R7762">
        <v>7</v>
      </c>
      <c r="S7762" t="s">
        <v>363</v>
      </c>
      <c r="T7762" t="s">
        <v>4171</v>
      </c>
      <c r="U7762" t="s">
        <v>4172</v>
      </c>
      <c r="V7762" s="3">
        <v>41936</v>
      </c>
    </row>
    <row r="7763" spans="1:22" x14ac:dyDescent="0.35">
      <c r="A7763" s="1">
        <v>42270.634467592594</v>
      </c>
      <c r="B7763" s="2">
        <v>0</v>
      </c>
      <c r="C7763" t="s">
        <v>11157</v>
      </c>
      <c r="D7763" t="s">
        <v>360</v>
      </c>
      <c r="E7763" t="s">
        <v>361</v>
      </c>
      <c r="F7763" t="s">
        <v>4169</v>
      </c>
      <c r="G7763">
        <v>2006091</v>
      </c>
      <c r="H7763" t="s">
        <v>26</v>
      </c>
      <c r="I7763" t="s">
        <v>310</v>
      </c>
      <c r="J7763" t="str">
        <f>"9781118780961"</f>
        <v>9781118780961</v>
      </c>
      <c r="L7763">
        <v>0</v>
      </c>
      <c r="O7763" t="s">
        <v>30</v>
      </c>
      <c r="P7763" t="s">
        <v>29</v>
      </c>
      <c r="Q7763" s="1">
        <v>42270.634467592594</v>
      </c>
      <c r="R7763">
        <v>7</v>
      </c>
      <c r="S7763" t="s">
        <v>363</v>
      </c>
      <c r="T7763" t="s">
        <v>4171</v>
      </c>
      <c r="U7763" t="s">
        <v>4172</v>
      </c>
      <c r="V7763" s="3">
        <v>41936</v>
      </c>
    </row>
    <row r="7764" spans="1:22" x14ac:dyDescent="0.35">
      <c r="A7764" s="1">
        <v>42270.633877314816</v>
      </c>
      <c r="B7764" s="2">
        <v>5.9027777777777778E-4</v>
      </c>
      <c r="C7764" t="s">
        <v>11157</v>
      </c>
      <c r="D7764" t="s">
        <v>360</v>
      </c>
      <c r="E7764" t="s">
        <v>361</v>
      </c>
      <c r="F7764" t="s">
        <v>4169</v>
      </c>
      <c r="G7764">
        <v>2006091</v>
      </c>
      <c r="H7764" t="s">
        <v>26</v>
      </c>
      <c r="I7764" t="s">
        <v>310</v>
      </c>
      <c r="J7764" t="str">
        <f>"9781118780961"</f>
        <v>9781118780961</v>
      </c>
      <c r="K7764" t="s">
        <v>11327</v>
      </c>
      <c r="L7764">
        <v>5</v>
      </c>
      <c r="O7764" t="s">
        <v>30</v>
      </c>
      <c r="P7764" t="s">
        <v>50</v>
      </c>
      <c r="S7764" t="s">
        <v>363</v>
      </c>
      <c r="T7764" t="s">
        <v>4171</v>
      </c>
      <c r="U7764" t="s">
        <v>4172</v>
      </c>
      <c r="V7764" s="3">
        <v>41936</v>
      </c>
    </row>
    <row r="7765" spans="1:22" x14ac:dyDescent="0.35">
      <c r="A7765" s="1">
        <v>42270.633680555555</v>
      </c>
      <c r="B7765" s="2">
        <v>1.6087962962962963E-3</v>
      </c>
      <c r="C7765" t="s">
        <v>11157</v>
      </c>
      <c r="D7765" t="s">
        <v>360</v>
      </c>
      <c r="E7765" t="s">
        <v>361</v>
      </c>
      <c r="F7765" t="s">
        <v>11355</v>
      </c>
      <c r="G7765">
        <v>1991752</v>
      </c>
      <c r="H7765" t="s">
        <v>26</v>
      </c>
      <c r="I7765" t="s">
        <v>545</v>
      </c>
      <c r="J7765" t="str">
        <f>"9780745694948"</f>
        <v>9780745694948</v>
      </c>
      <c r="K7765" t="s">
        <v>209</v>
      </c>
      <c r="L7765">
        <v>4</v>
      </c>
      <c r="O7765" t="s">
        <v>30</v>
      </c>
      <c r="P7765" t="s">
        <v>50</v>
      </c>
      <c r="S7765" t="s">
        <v>363</v>
      </c>
      <c r="T7765" t="s">
        <v>11356</v>
      </c>
      <c r="U7765">
        <v>142.69999999999999</v>
      </c>
      <c r="V7765" s="3">
        <v>42200</v>
      </c>
    </row>
    <row r="7766" spans="1:22" x14ac:dyDescent="0.35">
      <c r="A7766" s="1">
        <v>42270.633125</v>
      </c>
      <c r="B7766" s="2">
        <v>0</v>
      </c>
      <c r="C7766" t="s">
        <v>11157</v>
      </c>
      <c r="D7766" t="s">
        <v>360</v>
      </c>
      <c r="E7766" t="s">
        <v>361</v>
      </c>
      <c r="F7766" t="s">
        <v>10421</v>
      </c>
      <c r="G7766">
        <v>2072491</v>
      </c>
      <c r="H7766" t="s">
        <v>26</v>
      </c>
      <c r="I7766" t="s">
        <v>120</v>
      </c>
      <c r="J7766" t="str">
        <f>"9780745698175"</f>
        <v>9780745698175</v>
      </c>
      <c r="L7766">
        <v>0</v>
      </c>
      <c r="O7766" t="s">
        <v>28</v>
      </c>
      <c r="P7766" t="s">
        <v>29</v>
      </c>
      <c r="Q7766" s="1">
        <v>42270.633125</v>
      </c>
      <c r="R7766">
        <v>7</v>
      </c>
      <c r="S7766" t="s">
        <v>363</v>
      </c>
      <c r="T7766" t="s">
        <v>10422</v>
      </c>
      <c r="U7766" t="s">
        <v>10423</v>
      </c>
      <c r="V7766" s="3">
        <v>42222</v>
      </c>
    </row>
    <row r="7767" spans="1:22" x14ac:dyDescent="0.35">
      <c r="A7767" s="1">
        <v>42270.633125</v>
      </c>
      <c r="B7767" s="2">
        <v>0</v>
      </c>
      <c r="C7767" t="s">
        <v>11157</v>
      </c>
      <c r="D7767" t="s">
        <v>360</v>
      </c>
      <c r="E7767" t="s">
        <v>361</v>
      </c>
      <c r="F7767" t="s">
        <v>10421</v>
      </c>
      <c r="G7767">
        <v>2072491</v>
      </c>
      <c r="H7767" t="s">
        <v>26</v>
      </c>
      <c r="I7767" t="s">
        <v>120</v>
      </c>
      <c r="J7767" t="str">
        <f>"9780745698175"</f>
        <v>9780745698175</v>
      </c>
      <c r="L7767">
        <v>0</v>
      </c>
      <c r="O7767" t="s">
        <v>30</v>
      </c>
      <c r="P7767" t="s">
        <v>29</v>
      </c>
      <c r="Q7767" s="1">
        <v>42270.633125</v>
      </c>
      <c r="R7767">
        <v>7</v>
      </c>
      <c r="S7767" t="s">
        <v>363</v>
      </c>
      <c r="T7767" t="s">
        <v>10422</v>
      </c>
      <c r="U7767" t="s">
        <v>10423</v>
      </c>
      <c r="V7767" s="3">
        <v>42222</v>
      </c>
    </row>
    <row r="7768" spans="1:22" x14ac:dyDescent="0.35">
      <c r="A7768" s="1">
        <v>42270.631469907406</v>
      </c>
      <c r="B7768" s="2">
        <v>0</v>
      </c>
      <c r="C7768" t="s">
        <v>11157</v>
      </c>
      <c r="D7768" t="s">
        <v>360</v>
      </c>
      <c r="E7768" t="s">
        <v>361</v>
      </c>
      <c r="F7768" t="s">
        <v>11357</v>
      </c>
      <c r="G7768">
        <v>2144896</v>
      </c>
      <c r="H7768" t="s">
        <v>26</v>
      </c>
      <c r="I7768" t="s">
        <v>4224</v>
      </c>
      <c r="J7768" t="str">
        <f>"9780745689838"</f>
        <v>9780745689838</v>
      </c>
      <c r="L7768">
        <v>0</v>
      </c>
      <c r="O7768" t="s">
        <v>28</v>
      </c>
      <c r="P7768" t="s">
        <v>29</v>
      </c>
      <c r="Q7768" s="1">
        <v>42270.630057870374</v>
      </c>
      <c r="R7768">
        <v>7</v>
      </c>
      <c r="S7768" t="s">
        <v>363</v>
      </c>
      <c r="T7768" t="s">
        <v>11358</v>
      </c>
      <c r="U7768">
        <v>301.01</v>
      </c>
      <c r="V7768" s="3">
        <v>42167</v>
      </c>
    </row>
    <row r="7769" spans="1:22" x14ac:dyDescent="0.35">
      <c r="A7769" s="1">
        <v>42270.631122685183</v>
      </c>
      <c r="B7769" s="2">
        <v>2.0023148148148148E-3</v>
      </c>
      <c r="C7769" t="s">
        <v>11157</v>
      </c>
      <c r="D7769" t="s">
        <v>360</v>
      </c>
      <c r="E7769" t="s">
        <v>361</v>
      </c>
      <c r="F7769" t="s">
        <v>10421</v>
      </c>
      <c r="G7769">
        <v>2072491</v>
      </c>
      <c r="H7769" t="s">
        <v>26</v>
      </c>
      <c r="I7769" t="s">
        <v>120</v>
      </c>
      <c r="J7769" t="str">
        <f>"9780745698175"</f>
        <v>9780745698175</v>
      </c>
      <c r="K7769" t="s">
        <v>11359</v>
      </c>
      <c r="L7769">
        <v>5</v>
      </c>
      <c r="O7769" t="s">
        <v>30</v>
      </c>
      <c r="P7769" t="s">
        <v>50</v>
      </c>
      <c r="S7769" t="s">
        <v>363</v>
      </c>
      <c r="T7769" t="s">
        <v>10422</v>
      </c>
      <c r="U7769" t="s">
        <v>10423</v>
      </c>
      <c r="V7769" s="3">
        <v>42222</v>
      </c>
    </row>
    <row r="7770" spans="1:22" x14ac:dyDescent="0.35">
      <c r="A7770" s="1">
        <v>42270.630833333336</v>
      </c>
      <c r="B7770" s="2">
        <v>0</v>
      </c>
      <c r="C7770" t="s">
        <v>11157</v>
      </c>
      <c r="D7770" t="s">
        <v>360</v>
      </c>
      <c r="E7770" t="s">
        <v>361</v>
      </c>
      <c r="F7770" t="s">
        <v>7765</v>
      </c>
      <c r="G7770">
        <v>2144890</v>
      </c>
      <c r="H7770" t="s">
        <v>26</v>
      </c>
      <c r="I7770" t="s">
        <v>998</v>
      </c>
      <c r="J7770" t="str">
        <f>"9780745695853"</f>
        <v>9780745695853</v>
      </c>
      <c r="L7770">
        <v>0</v>
      </c>
      <c r="O7770" t="s">
        <v>28</v>
      </c>
      <c r="P7770" t="s">
        <v>29</v>
      </c>
      <c r="Q7770" s="1">
        <v>42270.630833333336</v>
      </c>
      <c r="R7770">
        <v>7</v>
      </c>
      <c r="S7770" t="s">
        <v>363</v>
      </c>
      <c r="T7770" t="s">
        <v>7766</v>
      </c>
      <c r="U7770" t="s">
        <v>7767</v>
      </c>
      <c r="V7770" s="3">
        <v>42222</v>
      </c>
    </row>
    <row r="7771" spans="1:22" x14ac:dyDescent="0.35">
      <c r="A7771" s="1">
        <v>42270.630833333336</v>
      </c>
      <c r="B7771" s="2">
        <v>0</v>
      </c>
      <c r="C7771" t="s">
        <v>11157</v>
      </c>
      <c r="D7771" t="s">
        <v>360</v>
      </c>
      <c r="E7771" t="s">
        <v>361</v>
      </c>
      <c r="F7771" t="s">
        <v>7765</v>
      </c>
      <c r="G7771">
        <v>2144890</v>
      </c>
      <c r="H7771" t="s">
        <v>26</v>
      </c>
      <c r="I7771" t="s">
        <v>998</v>
      </c>
      <c r="J7771" t="str">
        <f>"9780745695853"</f>
        <v>9780745695853</v>
      </c>
      <c r="L7771">
        <v>0</v>
      </c>
      <c r="O7771" t="s">
        <v>30</v>
      </c>
      <c r="P7771" t="s">
        <v>29</v>
      </c>
      <c r="Q7771" s="1">
        <v>42270.630833333336</v>
      </c>
      <c r="R7771">
        <v>7</v>
      </c>
      <c r="S7771" t="s">
        <v>363</v>
      </c>
      <c r="T7771" t="s">
        <v>7766</v>
      </c>
      <c r="U7771" t="s">
        <v>7767</v>
      </c>
      <c r="V7771" s="3">
        <v>42222</v>
      </c>
    </row>
    <row r="7772" spans="1:22" x14ac:dyDescent="0.35">
      <c r="A7772" s="1">
        <v>42270.630520833336</v>
      </c>
      <c r="B7772" s="2">
        <v>3.1250000000000001E-4</v>
      </c>
      <c r="C7772" t="s">
        <v>11157</v>
      </c>
      <c r="D7772" t="s">
        <v>360</v>
      </c>
      <c r="E7772" t="s">
        <v>361</v>
      </c>
      <c r="F7772" t="s">
        <v>7765</v>
      </c>
      <c r="G7772">
        <v>2144890</v>
      </c>
      <c r="H7772" t="s">
        <v>26</v>
      </c>
      <c r="I7772" t="s">
        <v>998</v>
      </c>
      <c r="J7772" t="str">
        <f>"9780745695853"</f>
        <v>9780745695853</v>
      </c>
      <c r="K7772" t="s">
        <v>835</v>
      </c>
      <c r="L7772">
        <v>5</v>
      </c>
      <c r="O7772" t="s">
        <v>30</v>
      </c>
      <c r="P7772" t="s">
        <v>50</v>
      </c>
      <c r="S7772" t="s">
        <v>363</v>
      </c>
      <c r="T7772" t="s">
        <v>7766</v>
      </c>
      <c r="U7772" t="s">
        <v>7767</v>
      </c>
      <c r="V7772" s="3">
        <v>42222</v>
      </c>
    </row>
    <row r="7773" spans="1:22" x14ac:dyDescent="0.35">
      <c r="A7773" s="1">
        <v>42270.630057870374</v>
      </c>
      <c r="B7773" s="2">
        <v>0</v>
      </c>
      <c r="C7773" t="s">
        <v>11157</v>
      </c>
      <c r="D7773" t="s">
        <v>360</v>
      </c>
      <c r="E7773" t="s">
        <v>361</v>
      </c>
      <c r="F7773" t="s">
        <v>11357</v>
      </c>
      <c r="G7773">
        <v>2144896</v>
      </c>
      <c r="H7773" t="s">
        <v>26</v>
      </c>
      <c r="I7773" t="s">
        <v>4224</v>
      </c>
      <c r="J7773" t="str">
        <f>"9780745689838"</f>
        <v>9780745689838</v>
      </c>
      <c r="L7773">
        <v>0</v>
      </c>
      <c r="O7773" t="s">
        <v>28</v>
      </c>
      <c r="P7773" t="s">
        <v>29</v>
      </c>
      <c r="Q7773" s="1">
        <v>42270.630057870374</v>
      </c>
      <c r="R7773">
        <v>7</v>
      </c>
      <c r="S7773" t="s">
        <v>363</v>
      </c>
      <c r="T7773" t="s">
        <v>11358</v>
      </c>
      <c r="U7773">
        <v>301.01</v>
      </c>
      <c r="V7773" s="3">
        <v>42167</v>
      </c>
    </row>
    <row r="7774" spans="1:22" x14ac:dyDescent="0.35">
      <c r="A7774" s="1">
        <v>42270.630057870374</v>
      </c>
      <c r="B7774" s="2">
        <v>0</v>
      </c>
      <c r="C7774" t="s">
        <v>11157</v>
      </c>
      <c r="D7774" t="s">
        <v>360</v>
      </c>
      <c r="E7774" t="s">
        <v>361</v>
      </c>
      <c r="F7774" t="s">
        <v>11357</v>
      </c>
      <c r="G7774">
        <v>2144896</v>
      </c>
      <c r="H7774" t="s">
        <v>26</v>
      </c>
      <c r="I7774" t="s">
        <v>4224</v>
      </c>
      <c r="J7774" t="str">
        <f>"9780745689838"</f>
        <v>9780745689838</v>
      </c>
      <c r="L7774">
        <v>0</v>
      </c>
      <c r="O7774" t="s">
        <v>30</v>
      </c>
      <c r="P7774" t="s">
        <v>29</v>
      </c>
      <c r="Q7774" s="1">
        <v>42270.630057870374</v>
      </c>
      <c r="R7774">
        <v>7</v>
      </c>
      <c r="S7774" t="s">
        <v>363</v>
      </c>
      <c r="T7774" t="s">
        <v>11358</v>
      </c>
      <c r="U7774">
        <v>301.01</v>
      </c>
      <c r="V7774" s="3">
        <v>42167</v>
      </c>
    </row>
    <row r="7775" spans="1:22" x14ac:dyDescent="0.35">
      <c r="A7775" s="1">
        <v>42270.629236111112</v>
      </c>
      <c r="B7775" s="2">
        <v>8.2175925925925917E-4</v>
      </c>
      <c r="C7775" t="s">
        <v>11157</v>
      </c>
      <c r="D7775" t="s">
        <v>360</v>
      </c>
      <c r="E7775" t="s">
        <v>361</v>
      </c>
      <c r="F7775" t="s">
        <v>11357</v>
      </c>
      <c r="G7775">
        <v>2144896</v>
      </c>
      <c r="H7775" t="s">
        <v>26</v>
      </c>
      <c r="I7775" t="s">
        <v>4224</v>
      </c>
      <c r="J7775" t="str">
        <f>"9780745689838"</f>
        <v>9780745689838</v>
      </c>
      <c r="K7775" t="s">
        <v>11167</v>
      </c>
      <c r="L7775">
        <v>8</v>
      </c>
      <c r="O7775" t="s">
        <v>30</v>
      </c>
      <c r="P7775" t="s">
        <v>50</v>
      </c>
      <c r="S7775" t="s">
        <v>363</v>
      </c>
      <c r="T7775" t="s">
        <v>11358</v>
      </c>
      <c r="U7775">
        <v>301.01</v>
      </c>
      <c r="V7775" s="3">
        <v>42167</v>
      </c>
    </row>
    <row r="7776" spans="1:22" x14ac:dyDescent="0.35">
      <c r="A7776" s="1">
        <v>42270.626909722225</v>
      </c>
      <c r="B7776" s="2">
        <v>0</v>
      </c>
      <c r="C7776" t="s">
        <v>11157</v>
      </c>
      <c r="D7776" t="s">
        <v>360</v>
      </c>
      <c r="E7776" t="s">
        <v>361</v>
      </c>
      <c r="F7776" t="s">
        <v>11360</v>
      </c>
      <c r="G7776">
        <v>2050920</v>
      </c>
      <c r="H7776" t="s">
        <v>26</v>
      </c>
      <c r="I7776" t="s">
        <v>630</v>
      </c>
      <c r="J7776" t="str">
        <f>"9780745685410"</f>
        <v>9780745685410</v>
      </c>
      <c r="L7776">
        <v>0</v>
      </c>
      <c r="O7776" t="s">
        <v>28</v>
      </c>
      <c r="P7776" t="s">
        <v>29</v>
      </c>
      <c r="Q7776" s="1">
        <v>42270.626909722225</v>
      </c>
      <c r="R7776">
        <v>7</v>
      </c>
      <c r="S7776" t="s">
        <v>363</v>
      </c>
      <c r="T7776" t="s">
        <v>11361</v>
      </c>
      <c r="U7776">
        <v>194</v>
      </c>
      <c r="V7776" s="3">
        <v>42156</v>
      </c>
    </row>
    <row r="7777" spans="1:22" x14ac:dyDescent="0.35">
      <c r="A7777" s="1">
        <v>42270.626909722225</v>
      </c>
      <c r="B7777" s="2">
        <v>0</v>
      </c>
      <c r="C7777" t="s">
        <v>11157</v>
      </c>
      <c r="D7777" t="s">
        <v>360</v>
      </c>
      <c r="E7777" t="s">
        <v>361</v>
      </c>
      <c r="F7777" t="s">
        <v>11360</v>
      </c>
      <c r="G7777">
        <v>2050920</v>
      </c>
      <c r="H7777" t="s">
        <v>26</v>
      </c>
      <c r="I7777" t="s">
        <v>630</v>
      </c>
      <c r="J7777" t="str">
        <f>"9780745685410"</f>
        <v>9780745685410</v>
      </c>
      <c r="L7777">
        <v>0</v>
      </c>
      <c r="O7777" t="s">
        <v>30</v>
      </c>
      <c r="P7777" t="s">
        <v>29</v>
      </c>
      <c r="Q7777" s="1">
        <v>42270.626909722225</v>
      </c>
      <c r="R7777">
        <v>7</v>
      </c>
      <c r="S7777" t="s">
        <v>363</v>
      </c>
      <c r="T7777" t="s">
        <v>11361</v>
      </c>
      <c r="U7777">
        <v>194</v>
      </c>
      <c r="V7777" s="3">
        <v>42156</v>
      </c>
    </row>
    <row r="7778" spans="1:22" x14ac:dyDescent="0.35">
      <c r="A7778" s="1">
        <v>42270.626296296294</v>
      </c>
      <c r="B7778" s="2">
        <v>6.018518518518519E-4</v>
      </c>
      <c r="C7778" t="s">
        <v>11157</v>
      </c>
      <c r="D7778" t="s">
        <v>360</v>
      </c>
      <c r="E7778" t="s">
        <v>361</v>
      </c>
      <c r="F7778" t="s">
        <v>11360</v>
      </c>
      <c r="G7778">
        <v>2050920</v>
      </c>
      <c r="H7778" t="s">
        <v>26</v>
      </c>
      <c r="I7778" t="s">
        <v>630</v>
      </c>
      <c r="J7778" t="str">
        <f>"9780745685410"</f>
        <v>9780745685410</v>
      </c>
      <c r="K7778" t="s">
        <v>1278</v>
      </c>
      <c r="L7778">
        <v>3</v>
      </c>
      <c r="O7778" t="s">
        <v>30</v>
      </c>
      <c r="P7778" t="s">
        <v>50</v>
      </c>
      <c r="S7778" t="s">
        <v>363</v>
      </c>
      <c r="T7778" t="s">
        <v>11361</v>
      </c>
      <c r="U7778">
        <v>194</v>
      </c>
      <c r="V7778" s="3">
        <v>42156</v>
      </c>
    </row>
    <row r="7779" spans="1:22" x14ac:dyDescent="0.35">
      <c r="A7779" s="1">
        <v>42270.605694444443</v>
      </c>
      <c r="B7779" s="2">
        <v>9.0509259259259248E-2</v>
      </c>
      <c r="C7779" t="s">
        <v>11362</v>
      </c>
      <c r="D7779" t="s">
        <v>23</v>
      </c>
      <c r="E7779" t="s">
        <v>24</v>
      </c>
      <c r="F7779" t="s">
        <v>11363</v>
      </c>
      <c r="G7779">
        <v>1173637</v>
      </c>
      <c r="H7779" t="s">
        <v>2998</v>
      </c>
      <c r="I7779" t="s">
        <v>310</v>
      </c>
      <c r="J7779" t="str">
        <f>"9780748676446"</f>
        <v>9780748676446</v>
      </c>
      <c r="K7779" t="s">
        <v>11364</v>
      </c>
      <c r="L7779">
        <v>39</v>
      </c>
      <c r="O7779" t="s">
        <v>30</v>
      </c>
      <c r="P7779" t="s">
        <v>47</v>
      </c>
      <c r="Q7779" s="1">
        <v>42270.066145833334</v>
      </c>
      <c r="R7779">
        <v>1</v>
      </c>
      <c r="S7779" t="s">
        <v>31</v>
      </c>
      <c r="T7779" t="s">
        <v>11365</v>
      </c>
      <c r="U7779">
        <v>823.91200000000003</v>
      </c>
      <c r="V7779" s="3">
        <v>41350</v>
      </c>
    </row>
    <row r="7780" spans="1:22" x14ac:dyDescent="0.35">
      <c r="A7780" s="1">
        <v>42270.601747685185</v>
      </c>
      <c r="B7780" s="2">
        <v>1.5393518518518519E-3</v>
      </c>
      <c r="C7780" t="s">
        <v>106</v>
      </c>
      <c r="D7780" t="s">
        <v>23</v>
      </c>
      <c r="E7780" t="s">
        <v>24</v>
      </c>
      <c r="F7780" t="s">
        <v>3559</v>
      </c>
      <c r="G7780">
        <v>1217954</v>
      </c>
      <c r="H7780" t="s">
        <v>45</v>
      </c>
      <c r="I7780" t="s">
        <v>3560</v>
      </c>
      <c r="J7780" t="str">
        <f>"9781409457558"</f>
        <v>9781409457558</v>
      </c>
      <c r="K7780" t="s">
        <v>11366</v>
      </c>
      <c r="L7780">
        <v>18</v>
      </c>
      <c r="O7780" t="s">
        <v>30</v>
      </c>
      <c r="P7780" t="s">
        <v>42</v>
      </c>
      <c r="S7780" t="s">
        <v>31</v>
      </c>
      <c r="T7780" t="s">
        <v>3562</v>
      </c>
      <c r="U7780" t="s">
        <v>3563</v>
      </c>
      <c r="V7780" s="3">
        <v>41575</v>
      </c>
    </row>
    <row r="7781" spans="1:22" x14ac:dyDescent="0.35">
      <c r="A7781" s="1">
        <v>42270.571817129632</v>
      </c>
      <c r="B7781" s="2">
        <v>1.0648148148148147E-3</v>
      </c>
      <c r="C7781" t="s">
        <v>11238</v>
      </c>
      <c r="D7781" t="s">
        <v>23</v>
      </c>
      <c r="E7781" t="s">
        <v>24</v>
      </c>
      <c r="F7781" t="s">
        <v>3228</v>
      </c>
      <c r="G7781">
        <v>1115640</v>
      </c>
      <c r="H7781" t="s">
        <v>26</v>
      </c>
      <c r="I7781" t="s">
        <v>3229</v>
      </c>
      <c r="J7781" t="str">
        <f>"9781118419090"</f>
        <v>9781118419090</v>
      </c>
      <c r="K7781" t="s">
        <v>11367</v>
      </c>
      <c r="L7781">
        <v>9</v>
      </c>
      <c r="O7781" t="s">
        <v>30</v>
      </c>
      <c r="P7781" t="s">
        <v>42</v>
      </c>
      <c r="S7781" t="s">
        <v>31</v>
      </c>
      <c r="T7781" t="s">
        <v>3231</v>
      </c>
      <c r="U7781">
        <v>624</v>
      </c>
      <c r="V7781" s="3">
        <v>41296</v>
      </c>
    </row>
    <row r="7782" spans="1:22" x14ac:dyDescent="0.35">
      <c r="A7782" s="1">
        <v>42270.565520833334</v>
      </c>
      <c r="B7782" s="2">
        <v>0</v>
      </c>
      <c r="C7782" t="s">
        <v>11368</v>
      </c>
      <c r="D7782" t="s">
        <v>211</v>
      </c>
      <c r="E7782" t="s">
        <v>212</v>
      </c>
      <c r="F7782" t="s">
        <v>11369</v>
      </c>
      <c r="G7782">
        <v>1645638</v>
      </c>
      <c r="H7782" t="s">
        <v>26</v>
      </c>
      <c r="I7782" t="s">
        <v>69</v>
      </c>
      <c r="J7782" t="str">
        <f>"9781118837955"</f>
        <v>9781118837955</v>
      </c>
      <c r="L7782">
        <v>0</v>
      </c>
      <c r="M7782" t="s">
        <v>105</v>
      </c>
      <c r="O7782" t="s">
        <v>30</v>
      </c>
      <c r="P7782" t="s">
        <v>47</v>
      </c>
      <c r="Q7782" s="1">
        <v>42270.565520833334</v>
      </c>
      <c r="R7782">
        <v>1</v>
      </c>
      <c r="S7782" t="s">
        <v>214</v>
      </c>
      <c r="T7782" t="s">
        <v>11370</v>
      </c>
      <c r="U7782" t="s">
        <v>11371</v>
      </c>
      <c r="V7782" s="3">
        <v>41703</v>
      </c>
    </row>
    <row r="7783" spans="1:22" x14ac:dyDescent="0.35">
      <c r="A7783" s="1">
        <v>42270.565138888887</v>
      </c>
      <c r="B7783" s="2">
        <v>3.8194444444444446E-4</v>
      </c>
      <c r="C7783" t="s">
        <v>11368</v>
      </c>
      <c r="D7783" t="s">
        <v>211</v>
      </c>
      <c r="E7783" t="s">
        <v>212</v>
      </c>
      <c r="F7783" t="s">
        <v>11369</v>
      </c>
      <c r="G7783">
        <v>1645638</v>
      </c>
      <c r="H7783" t="s">
        <v>26</v>
      </c>
      <c r="I7783" t="s">
        <v>69</v>
      </c>
      <c r="J7783" t="str">
        <f>"9781118837955"</f>
        <v>9781118837955</v>
      </c>
      <c r="K7783" t="s">
        <v>4181</v>
      </c>
      <c r="L7783">
        <v>4</v>
      </c>
      <c r="O7783" t="s">
        <v>30</v>
      </c>
      <c r="P7783" t="s">
        <v>50</v>
      </c>
      <c r="S7783" t="s">
        <v>214</v>
      </c>
      <c r="T7783" t="s">
        <v>11370</v>
      </c>
      <c r="U7783" t="s">
        <v>11371</v>
      </c>
      <c r="V7783" s="3">
        <v>41703</v>
      </c>
    </row>
    <row r="7784" spans="1:22" x14ac:dyDescent="0.35">
      <c r="A7784" s="1">
        <v>42270.562488425923</v>
      </c>
      <c r="B7784" s="2">
        <v>9.479166666666667E-3</v>
      </c>
      <c r="C7784" t="s">
        <v>10634</v>
      </c>
      <c r="D7784" t="s">
        <v>23</v>
      </c>
      <c r="E7784" t="s">
        <v>24</v>
      </c>
      <c r="F7784" t="s">
        <v>4594</v>
      </c>
      <c r="G7784">
        <v>1872281</v>
      </c>
      <c r="H7784" t="s">
        <v>91</v>
      </c>
      <c r="I7784" t="s">
        <v>2133</v>
      </c>
      <c r="J7784" t="str">
        <f>"9781462519606"</f>
        <v>9781462519606</v>
      </c>
      <c r="K7784" t="s">
        <v>11372</v>
      </c>
      <c r="L7784">
        <v>6</v>
      </c>
      <c r="M7784" t="s">
        <v>11373</v>
      </c>
      <c r="N7784" t="s">
        <v>11374</v>
      </c>
      <c r="O7784" t="s">
        <v>30</v>
      </c>
      <c r="P7784" t="s">
        <v>29</v>
      </c>
      <c r="Q7784" s="1">
        <v>42270.562476851854</v>
      </c>
      <c r="R7784">
        <v>7</v>
      </c>
      <c r="S7784" t="s">
        <v>31</v>
      </c>
      <c r="T7784" t="s">
        <v>4596</v>
      </c>
      <c r="U7784">
        <v>378.101</v>
      </c>
      <c r="V7784" s="3">
        <v>42150</v>
      </c>
    </row>
    <row r="7785" spans="1:22" x14ac:dyDescent="0.35">
      <c r="A7785" s="1">
        <v>42270.56181712963</v>
      </c>
      <c r="B7785" s="2">
        <v>6.5972222222222213E-4</v>
      </c>
      <c r="C7785" t="s">
        <v>10634</v>
      </c>
      <c r="D7785" t="s">
        <v>23</v>
      </c>
      <c r="E7785" t="s">
        <v>24</v>
      </c>
      <c r="F7785" t="s">
        <v>4594</v>
      </c>
      <c r="G7785">
        <v>1872281</v>
      </c>
      <c r="H7785" t="s">
        <v>91</v>
      </c>
      <c r="I7785" t="s">
        <v>2133</v>
      </c>
      <c r="J7785" t="str">
        <f>"9781462519606"</f>
        <v>9781462519606</v>
      </c>
      <c r="K7785" t="s">
        <v>11375</v>
      </c>
      <c r="L7785">
        <v>8</v>
      </c>
      <c r="O7785" t="s">
        <v>30</v>
      </c>
      <c r="P7785" t="s">
        <v>42</v>
      </c>
      <c r="S7785" t="s">
        <v>31</v>
      </c>
      <c r="T7785" t="s">
        <v>4596</v>
      </c>
      <c r="U7785">
        <v>378.101</v>
      </c>
      <c r="V7785" s="3">
        <v>42150</v>
      </c>
    </row>
    <row r="7786" spans="1:22" x14ac:dyDescent="0.35">
      <c r="A7786" s="1">
        <v>42270.540706018517</v>
      </c>
      <c r="B7786" s="2">
        <v>3.530092592592592E-3</v>
      </c>
      <c r="C7786" t="s">
        <v>4681</v>
      </c>
      <c r="D7786" t="s">
        <v>1222</v>
      </c>
      <c r="E7786" t="s">
        <v>1223</v>
      </c>
      <c r="F7786" t="s">
        <v>3263</v>
      </c>
      <c r="G7786">
        <v>1840835</v>
      </c>
      <c r="H7786" t="s">
        <v>26</v>
      </c>
      <c r="I7786" t="s">
        <v>108</v>
      </c>
      <c r="J7786" t="str">
        <f>"9781118950166"</f>
        <v>9781118950166</v>
      </c>
      <c r="K7786" t="s">
        <v>11376</v>
      </c>
      <c r="L7786">
        <v>11</v>
      </c>
      <c r="O7786" t="s">
        <v>30</v>
      </c>
      <c r="P7786" t="s">
        <v>29</v>
      </c>
      <c r="Q7786" s="1">
        <v>42265.764155092591</v>
      </c>
      <c r="R7786">
        <v>7</v>
      </c>
      <c r="S7786" t="s">
        <v>1226</v>
      </c>
      <c r="T7786" t="s">
        <v>3264</v>
      </c>
      <c r="U7786">
        <v>338.10923789999998</v>
      </c>
      <c r="V7786" s="3">
        <v>41953</v>
      </c>
    </row>
    <row r="7787" spans="1:22" x14ac:dyDescent="0.35">
      <c r="A7787" s="1">
        <v>42270.406099537038</v>
      </c>
      <c r="B7787" s="2">
        <v>2.9166666666666668E-3</v>
      </c>
      <c r="C7787" t="s">
        <v>3595</v>
      </c>
      <c r="D7787" t="s">
        <v>23</v>
      </c>
      <c r="E7787" t="s">
        <v>24</v>
      </c>
      <c r="F7787" t="s">
        <v>3559</v>
      </c>
      <c r="G7787">
        <v>1217954</v>
      </c>
      <c r="H7787" t="s">
        <v>45</v>
      </c>
      <c r="I7787" t="s">
        <v>3560</v>
      </c>
      <c r="J7787" t="str">
        <f>"9781409457558"</f>
        <v>9781409457558</v>
      </c>
      <c r="K7787" t="s">
        <v>11377</v>
      </c>
      <c r="L7787">
        <v>24</v>
      </c>
      <c r="M7787" t="s">
        <v>11378</v>
      </c>
      <c r="N7787" t="s">
        <v>11379</v>
      </c>
      <c r="O7787" t="s">
        <v>30</v>
      </c>
      <c r="P7787" t="s">
        <v>29</v>
      </c>
      <c r="Q7787" s="1">
        <v>42270.095324074071</v>
      </c>
      <c r="R7787">
        <v>7</v>
      </c>
      <c r="S7787" t="s">
        <v>31</v>
      </c>
      <c r="T7787" t="s">
        <v>3562</v>
      </c>
      <c r="U7787" t="s">
        <v>3563</v>
      </c>
      <c r="V7787" s="3">
        <v>41575</v>
      </c>
    </row>
    <row r="7788" spans="1:22" x14ac:dyDescent="0.35">
      <c r="A7788" s="1">
        <v>42270.212268518517</v>
      </c>
      <c r="B7788" s="2">
        <v>9.3402777777777772E-3</v>
      </c>
      <c r="C7788" t="s">
        <v>11380</v>
      </c>
      <c r="D7788" t="s">
        <v>23</v>
      </c>
      <c r="E7788" t="s">
        <v>24</v>
      </c>
      <c r="F7788" t="s">
        <v>3559</v>
      </c>
      <c r="G7788">
        <v>1217954</v>
      </c>
      <c r="H7788" t="s">
        <v>45</v>
      </c>
      <c r="I7788" t="s">
        <v>3560</v>
      </c>
      <c r="J7788" t="str">
        <f>"9781409457558"</f>
        <v>9781409457558</v>
      </c>
      <c r="K7788" t="s">
        <v>11381</v>
      </c>
      <c r="L7788">
        <v>16</v>
      </c>
      <c r="O7788" t="s">
        <v>30</v>
      </c>
      <c r="P7788" t="s">
        <v>29</v>
      </c>
      <c r="Q7788" s="1">
        <v>42265.002164351848</v>
      </c>
      <c r="R7788">
        <v>7</v>
      </c>
      <c r="S7788" t="s">
        <v>31</v>
      </c>
      <c r="T7788" t="s">
        <v>3562</v>
      </c>
      <c r="U7788" t="s">
        <v>3563</v>
      </c>
      <c r="V7788" s="3">
        <v>41575</v>
      </c>
    </row>
    <row r="7789" spans="1:22" x14ac:dyDescent="0.35">
      <c r="A7789" s="1">
        <v>42270.196145833332</v>
      </c>
      <c r="B7789" s="2">
        <v>8.4722222222222213E-3</v>
      </c>
      <c r="C7789" t="s">
        <v>3595</v>
      </c>
      <c r="D7789" t="s">
        <v>23</v>
      </c>
      <c r="E7789" t="s">
        <v>24</v>
      </c>
      <c r="F7789" t="s">
        <v>3559</v>
      </c>
      <c r="G7789">
        <v>1217954</v>
      </c>
      <c r="H7789" t="s">
        <v>45</v>
      </c>
      <c r="I7789" t="s">
        <v>3560</v>
      </c>
      <c r="J7789" t="str">
        <f>"9781409457558"</f>
        <v>9781409457558</v>
      </c>
      <c r="K7789" t="s">
        <v>11382</v>
      </c>
      <c r="L7789">
        <v>36</v>
      </c>
      <c r="M7789" t="s">
        <v>11383</v>
      </c>
      <c r="O7789" t="s">
        <v>30</v>
      </c>
      <c r="P7789" t="s">
        <v>29</v>
      </c>
      <c r="Q7789" s="1">
        <v>42270.095324074071</v>
      </c>
      <c r="R7789">
        <v>7</v>
      </c>
      <c r="S7789" t="s">
        <v>31</v>
      </c>
      <c r="T7789" t="s">
        <v>3562</v>
      </c>
      <c r="U7789" t="s">
        <v>3563</v>
      </c>
      <c r="V7789" s="3">
        <v>41575</v>
      </c>
    </row>
    <row r="7790" spans="1:22" x14ac:dyDescent="0.35">
      <c r="A7790" s="1">
        <v>42270.189629629633</v>
      </c>
      <c r="B7790" s="2">
        <v>2.3032407407407407E-3</v>
      </c>
      <c r="C7790" t="s">
        <v>10966</v>
      </c>
      <c r="D7790" t="s">
        <v>23</v>
      </c>
      <c r="E7790" t="s">
        <v>24</v>
      </c>
      <c r="F7790" t="s">
        <v>3228</v>
      </c>
      <c r="G7790">
        <v>1115640</v>
      </c>
      <c r="H7790" t="s">
        <v>26</v>
      </c>
      <c r="I7790" t="s">
        <v>3229</v>
      </c>
      <c r="J7790" t="str">
        <f>"9781118419090"</f>
        <v>9781118419090</v>
      </c>
      <c r="K7790" t="s">
        <v>11384</v>
      </c>
      <c r="L7790">
        <v>9</v>
      </c>
      <c r="O7790" t="s">
        <v>30</v>
      </c>
      <c r="P7790" t="s">
        <v>29</v>
      </c>
      <c r="Q7790" s="1">
        <v>42268.549120370371</v>
      </c>
      <c r="R7790">
        <v>7</v>
      </c>
      <c r="S7790" t="s">
        <v>31</v>
      </c>
      <c r="T7790" t="s">
        <v>3231</v>
      </c>
      <c r="U7790">
        <v>624</v>
      </c>
      <c r="V7790" s="3">
        <v>41296</v>
      </c>
    </row>
    <row r="7791" spans="1:22" x14ac:dyDescent="0.35">
      <c r="A7791" s="1">
        <v>42270.181076388886</v>
      </c>
      <c r="B7791" s="2">
        <v>0</v>
      </c>
      <c r="C7791" t="s">
        <v>11240</v>
      </c>
      <c r="D7791" t="s">
        <v>23</v>
      </c>
      <c r="E7791" t="s">
        <v>24</v>
      </c>
      <c r="F7791" t="s">
        <v>3228</v>
      </c>
      <c r="G7791">
        <v>1115640</v>
      </c>
      <c r="H7791" t="s">
        <v>26</v>
      </c>
      <c r="I7791" t="s">
        <v>3229</v>
      </c>
      <c r="J7791" t="str">
        <f>"9781118419090"</f>
        <v>9781118419090</v>
      </c>
      <c r="L7791">
        <v>0</v>
      </c>
      <c r="N7791" t="s">
        <v>11385</v>
      </c>
      <c r="O7791" t="s">
        <v>30</v>
      </c>
      <c r="P7791" t="s">
        <v>29</v>
      </c>
      <c r="Q7791" s="1">
        <v>42270.181076388886</v>
      </c>
      <c r="R7791">
        <v>7</v>
      </c>
      <c r="S7791" t="s">
        <v>31</v>
      </c>
      <c r="T7791" t="s">
        <v>3231</v>
      </c>
      <c r="U7791">
        <v>624</v>
      </c>
      <c r="V7791" s="3">
        <v>41296</v>
      </c>
    </row>
    <row r="7792" spans="1:22" x14ac:dyDescent="0.35">
      <c r="A7792" s="1">
        <v>42270.179930555554</v>
      </c>
      <c r="B7792" s="2">
        <v>1.1458333333333333E-3</v>
      </c>
      <c r="C7792" t="s">
        <v>11240</v>
      </c>
      <c r="D7792" t="s">
        <v>23</v>
      </c>
      <c r="E7792" t="s">
        <v>24</v>
      </c>
      <c r="F7792" t="s">
        <v>3228</v>
      </c>
      <c r="G7792">
        <v>1115640</v>
      </c>
      <c r="H7792" t="s">
        <v>26</v>
      </c>
      <c r="I7792" t="s">
        <v>3229</v>
      </c>
      <c r="J7792" t="str">
        <f>"9781118419090"</f>
        <v>9781118419090</v>
      </c>
      <c r="K7792" t="s">
        <v>11386</v>
      </c>
      <c r="L7792">
        <v>14</v>
      </c>
      <c r="O7792" t="s">
        <v>30</v>
      </c>
      <c r="P7792" t="s">
        <v>42</v>
      </c>
      <c r="S7792" t="s">
        <v>31</v>
      </c>
      <c r="T7792" t="s">
        <v>3231</v>
      </c>
      <c r="U7792">
        <v>624</v>
      </c>
      <c r="V7792" s="3">
        <v>41296</v>
      </c>
    </row>
    <row r="7793" spans="1:22" x14ac:dyDescent="0.35">
      <c r="A7793" s="1">
        <v>42270.157962962963</v>
      </c>
      <c r="B7793" s="2">
        <v>4.5138888888888892E-4</v>
      </c>
      <c r="C7793" t="s">
        <v>6324</v>
      </c>
      <c r="D7793" t="s">
        <v>1222</v>
      </c>
      <c r="E7793" t="s">
        <v>1223</v>
      </c>
      <c r="F7793" t="s">
        <v>6325</v>
      </c>
      <c r="G7793">
        <v>871519</v>
      </c>
      <c r="H7793" t="s">
        <v>26</v>
      </c>
      <c r="I7793" t="s">
        <v>1532</v>
      </c>
      <c r="J7793" t="str">
        <f>"9781444398359"</f>
        <v>9781444398359</v>
      </c>
      <c r="K7793" t="s">
        <v>224</v>
      </c>
      <c r="L7793">
        <v>1</v>
      </c>
      <c r="O7793" t="s">
        <v>28</v>
      </c>
      <c r="P7793" t="s">
        <v>29</v>
      </c>
      <c r="Q7793" s="1">
        <v>42270.157962962963</v>
      </c>
      <c r="R7793">
        <v>7</v>
      </c>
      <c r="S7793" t="s">
        <v>1226</v>
      </c>
      <c r="T7793" t="s">
        <v>6327</v>
      </c>
      <c r="U7793">
        <v>523.20000000000005</v>
      </c>
      <c r="V7793" s="3">
        <v>40968</v>
      </c>
    </row>
    <row r="7794" spans="1:22" x14ac:dyDescent="0.35">
      <c r="A7794" s="1">
        <v>42270.157962962963</v>
      </c>
      <c r="B7794" s="2">
        <v>0</v>
      </c>
      <c r="C7794" t="s">
        <v>6324</v>
      </c>
      <c r="D7794" t="s">
        <v>1222</v>
      </c>
      <c r="E7794" t="s">
        <v>1223</v>
      </c>
      <c r="F7794" t="s">
        <v>6325</v>
      </c>
      <c r="G7794">
        <v>871519</v>
      </c>
      <c r="H7794" t="s">
        <v>26</v>
      </c>
      <c r="I7794" t="s">
        <v>1532</v>
      </c>
      <c r="J7794" t="str">
        <f>"9781444398359"</f>
        <v>9781444398359</v>
      </c>
      <c r="L7794">
        <v>0</v>
      </c>
      <c r="O7794" t="s">
        <v>30</v>
      </c>
      <c r="P7794" t="s">
        <v>29</v>
      </c>
      <c r="Q7794" s="1">
        <v>42270.157962962963</v>
      </c>
      <c r="R7794">
        <v>7</v>
      </c>
      <c r="S7794" t="s">
        <v>1226</v>
      </c>
      <c r="T7794" t="s">
        <v>6327</v>
      </c>
      <c r="U7794">
        <v>523.20000000000005</v>
      </c>
      <c r="V7794" s="3">
        <v>40968</v>
      </c>
    </row>
    <row r="7795" spans="1:22" x14ac:dyDescent="0.35">
      <c r="A7795" s="1">
        <v>42270.157523148147</v>
      </c>
      <c r="B7795" s="2">
        <v>4.3981481481481481E-4</v>
      </c>
      <c r="C7795" t="s">
        <v>6324</v>
      </c>
      <c r="D7795" t="s">
        <v>1222</v>
      </c>
      <c r="E7795" t="s">
        <v>1223</v>
      </c>
      <c r="F7795" t="s">
        <v>6325</v>
      </c>
      <c r="G7795">
        <v>871519</v>
      </c>
      <c r="H7795" t="s">
        <v>26</v>
      </c>
      <c r="I7795" t="s">
        <v>1532</v>
      </c>
      <c r="J7795" t="str">
        <f>"9781444398359"</f>
        <v>9781444398359</v>
      </c>
      <c r="K7795" t="s">
        <v>33</v>
      </c>
      <c r="L7795">
        <v>3</v>
      </c>
      <c r="O7795" t="s">
        <v>30</v>
      </c>
      <c r="P7795" t="s">
        <v>42</v>
      </c>
      <c r="S7795" t="s">
        <v>1226</v>
      </c>
      <c r="T7795" t="s">
        <v>6327</v>
      </c>
      <c r="U7795">
        <v>523.20000000000005</v>
      </c>
      <c r="V7795" s="3">
        <v>40968</v>
      </c>
    </row>
    <row r="7796" spans="1:22" x14ac:dyDescent="0.35">
      <c r="A7796" s="1">
        <v>42270.129374999997</v>
      </c>
      <c r="B7796" s="2">
        <v>2.6365740740740742E-2</v>
      </c>
      <c r="C7796" t="s">
        <v>11362</v>
      </c>
      <c r="D7796" t="s">
        <v>23</v>
      </c>
      <c r="E7796" t="s">
        <v>24</v>
      </c>
      <c r="F7796" t="s">
        <v>11363</v>
      </c>
      <c r="G7796">
        <v>1173637</v>
      </c>
      <c r="H7796" t="s">
        <v>2998</v>
      </c>
      <c r="I7796" t="s">
        <v>310</v>
      </c>
      <c r="J7796" t="str">
        <f>"9780748676446"</f>
        <v>9780748676446</v>
      </c>
      <c r="K7796" t="s">
        <v>11387</v>
      </c>
      <c r="L7796">
        <v>44</v>
      </c>
      <c r="O7796" t="s">
        <v>30</v>
      </c>
      <c r="P7796" t="s">
        <v>47</v>
      </c>
      <c r="Q7796" s="1">
        <v>42270.066145833334</v>
      </c>
      <c r="R7796">
        <v>1</v>
      </c>
      <c r="S7796" t="s">
        <v>31</v>
      </c>
      <c r="T7796" t="s">
        <v>11365</v>
      </c>
      <c r="U7796">
        <v>823.91200000000003</v>
      </c>
      <c r="V7796" s="3">
        <v>41350</v>
      </c>
    </row>
    <row r="7797" spans="1:22" x14ac:dyDescent="0.35">
      <c r="A7797" s="1">
        <v>42270.110937500001</v>
      </c>
      <c r="B7797" s="2">
        <v>2.9398148148148148E-3</v>
      </c>
      <c r="C7797" t="s">
        <v>11232</v>
      </c>
      <c r="D7797" t="s">
        <v>23</v>
      </c>
      <c r="E7797" t="s">
        <v>24</v>
      </c>
      <c r="F7797" t="s">
        <v>4594</v>
      </c>
      <c r="G7797">
        <v>1872281</v>
      </c>
      <c r="H7797" t="s">
        <v>91</v>
      </c>
      <c r="I7797" t="s">
        <v>2133</v>
      </c>
      <c r="J7797" t="str">
        <f>"9781462519606"</f>
        <v>9781462519606</v>
      </c>
      <c r="K7797" t="s">
        <v>11388</v>
      </c>
      <c r="L7797">
        <v>8</v>
      </c>
      <c r="M7797" t="s">
        <v>10636</v>
      </c>
      <c r="O7797" t="s">
        <v>30</v>
      </c>
      <c r="P7797" t="s">
        <v>29</v>
      </c>
      <c r="Q7797" s="1">
        <v>42267.971597222226</v>
      </c>
      <c r="R7797">
        <v>7</v>
      </c>
      <c r="S7797" t="s">
        <v>31</v>
      </c>
      <c r="T7797" t="s">
        <v>4596</v>
      </c>
      <c r="U7797">
        <v>378.101</v>
      </c>
      <c r="V7797" s="3">
        <v>42150</v>
      </c>
    </row>
    <row r="7798" spans="1:22" x14ac:dyDescent="0.35">
      <c r="A7798" s="1">
        <v>42270.107754629629</v>
      </c>
      <c r="B7798" s="2">
        <v>2.1342592592592594E-2</v>
      </c>
      <c r="C7798" t="s">
        <v>11389</v>
      </c>
      <c r="D7798" t="s">
        <v>158</v>
      </c>
      <c r="E7798" t="s">
        <v>159</v>
      </c>
      <c r="F7798" t="s">
        <v>10868</v>
      </c>
      <c r="G7798">
        <v>1204057</v>
      </c>
      <c r="H7798" t="s">
        <v>26</v>
      </c>
      <c r="I7798" t="s">
        <v>2751</v>
      </c>
      <c r="J7798" t="str">
        <f>"9781118598122"</f>
        <v>9781118598122</v>
      </c>
      <c r="K7798" t="s">
        <v>11390</v>
      </c>
      <c r="L7798">
        <v>18</v>
      </c>
      <c r="O7798" t="s">
        <v>30</v>
      </c>
      <c r="P7798" t="s">
        <v>29</v>
      </c>
      <c r="Q7798" s="1">
        <v>42270.107754629629</v>
      </c>
      <c r="R7798">
        <v>7</v>
      </c>
      <c r="S7798" t="s">
        <v>163</v>
      </c>
      <c r="T7798" t="s">
        <v>10870</v>
      </c>
      <c r="U7798" t="s">
        <v>10871</v>
      </c>
      <c r="V7798" s="3">
        <v>41414</v>
      </c>
    </row>
    <row r="7799" spans="1:22" x14ac:dyDescent="0.35">
      <c r="A7799" s="1">
        <v>42270.104097222225</v>
      </c>
      <c r="B7799" s="2">
        <v>5.7754629629629623E-3</v>
      </c>
      <c r="C7799" t="s">
        <v>11232</v>
      </c>
      <c r="D7799" t="s">
        <v>23</v>
      </c>
      <c r="E7799" t="s">
        <v>24</v>
      </c>
      <c r="F7799" t="s">
        <v>4594</v>
      </c>
      <c r="G7799">
        <v>1872281</v>
      </c>
      <c r="H7799" t="s">
        <v>91</v>
      </c>
      <c r="I7799" t="s">
        <v>2133</v>
      </c>
      <c r="J7799" t="str">
        <f>"9781462519606"</f>
        <v>9781462519606</v>
      </c>
      <c r="K7799" t="s">
        <v>11391</v>
      </c>
      <c r="L7799">
        <v>5</v>
      </c>
      <c r="O7799" t="s">
        <v>28</v>
      </c>
      <c r="P7799" t="s">
        <v>29</v>
      </c>
      <c r="Q7799" s="1">
        <v>42267.971597222226</v>
      </c>
      <c r="R7799">
        <v>7</v>
      </c>
      <c r="S7799" t="s">
        <v>31</v>
      </c>
      <c r="T7799" t="s">
        <v>4596</v>
      </c>
      <c r="U7799">
        <v>378.101</v>
      </c>
      <c r="V7799" s="3">
        <v>42150</v>
      </c>
    </row>
    <row r="7800" spans="1:22" x14ac:dyDescent="0.35">
      <c r="A7800" s="1">
        <v>42270.100393518522</v>
      </c>
      <c r="B7800" s="2">
        <v>0</v>
      </c>
      <c r="C7800" t="s">
        <v>1393</v>
      </c>
      <c r="D7800" t="s">
        <v>23</v>
      </c>
      <c r="E7800" t="s">
        <v>24</v>
      </c>
      <c r="F7800" t="s">
        <v>4197</v>
      </c>
      <c r="G7800">
        <v>1742841</v>
      </c>
      <c r="H7800" t="s">
        <v>91</v>
      </c>
      <c r="I7800" t="s">
        <v>247</v>
      </c>
      <c r="J7800" t="str">
        <f>"9781462516445"</f>
        <v>9781462516445</v>
      </c>
      <c r="L7800">
        <v>0</v>
      </c>
      <c r="O7800" t="s">
        <v>28</v>
      </c>
      <c r="P7800" t="s">
        <v>29</v>
      </c>
      <c r="Q7800" s="1">
        <v>42266.953298611108</v>
      </c>
      <c r="R7800">
        <v>7</v>
      </c>
      <c r="S7800" t="s">
        <v>31</v>
      </c>
      <c r="T7800" t="s">
        <v>4199</v>
      </c>
      <c r="U7800">
        <v>616.85270000000003</v>
      </c>
      <c r="V7800" s="3">
        <v>41934</v>
      </c>
    </row>
    <row r="7801" spans="1:22" x14ac:dyDescent="0.35">
      <c r="A7801" s="1">
        <v>42270.099710648145</v>
      </c>
      <c r="B7801" s="2">
        <v>8.0439814814814818E-3</v>
      </c>
      <c r="C7801" t="s">
        <v>11389</v>
      </c>
      <c r="D7801" t="s">
        <v>158</v>
      </c>
      <c r="E7801" t="s">
        <v>159</v>
      </c>
      <c r="F7801" t="s">
        <v>10868</v>
      </c>
      <c r="G7801">
        <v>1204057</v>
      </c>
      <c r="H7801" t="s">
        <v>26</v>
      </c>
      <c r="I7801" t="s">
        <v>2751</v>
      </c>
      <c r="J7801" t="str">
        <f>"9781118598122"</f>
        <v>9781118598122</v>
      </c>
      <c r="K7801" t="s">
        <v>11392</v>
      </c>
      <c r="L7801">
        <v>17</v>
      </c>
      <c r="O7801" t="s">
        <v>30</v>
      </c>
      <c r="P7801" t="s">
        <v>42</v>
      </c>
      <c r="S7801" t="s">
        <v>163</v>
      </c>
      <c r="T7801" t="s">
        <v>10870</v>
      </c>
      <c r="U7801" t="s">
        <v>10871</v>
      </c>
      <c r="V7801" s="3">
        <v>41414</v>
      </c>
    </row>
    <row r="7802" spans="1:22" x14ac:dyDescent="0.35">
      <c r="A7802" s="1">
        <v>42270.097268518519</v>
      </c>
      <c r="B7802" s="2">
        <v>6.8171296296296287E-3</v>
      </c>
      <c r="C7802" t="s">
        <v>11232</v>
      </c>
      <c r="D7802" t="s">
        <v>23</v>
      </c>
      <c r="E7802" t="s">
        <v>24</v>
      </c>
      <c r="F7802" t="s">
        <v>4594</v>
      </c>
      <c r="G7802">
        <v>1872281</v>
      </c>
      <c r="H7802" t="s">
        <v>91</v>
      </c>
      <c r="I7802" t="s">
        <v>2133</v>
      </c>
      <c r="J7802" t="str">
        <f>"9781462519606"</f>
        <v>9781462519606</v>
      </c>
      <c r="K7802" t="s">
        <v>11393</v>
      </c>
      <c r="L7802">
        <v>19</v>
      </c>
      <c r="O7802" t="s">
        <v>30</v>
      </c>
      <c r="P7802" t="s">
        <v>29</v>
      </c>
      <c r="Q7802" s="1">
        <v>42267.971597222226</v>
      </c>
      <c r="R7802">
        <v>7</v>
      </c>
      <c r="S7802" t="s">
        <v>31</v>
      </c>
      <c r="T7802" t="s">
        <v>4596</v>
      </c>
      <c r="U7802">
        <v>378.101</v>
      </c>
      <c r="V7802" s="3">
        <v>42150</v>
      </c>
    </row>
    <row r="7803" spans="1:22" x14ac:dyDescent="0.35">
      <c r="A7803" s="1">
        <v>42270.095578703702</v>
      </c>
      <c r="B7803" s="2">
        <v>4.5138888888888893E-3</v>
      </c>
      <c r="C7803" t="s">
        <v>1393</v>
      </c>
      <c r="D7803" t="s">
        <v>23</v>
      </c>
      <c r="E7803" t="s">
        <v>24</v>
      </c>
      <c r="F7803" t="s">
        <v>4197</v>
      </c>
      <c r="G7803">
        <v>1742841</v>
      </c>
      <c r="H7803" t="s">
        <v>91</v>
      </c>
      <c r="I7803" t="s">
        <v>247</v>
      </c>
      <c r="J7803" t="str">
        <f>"9781462516445"</f>
        <v>9781462516445</v>
      </c>
      <c r="K7803" t="s">
        <v>11394</v>
      </c>
      <c r="L7803">
        <v>21</v>
      </c>
      <c r="N7803" t="s">
        <v>11395</v>
      </c>
      <c r="O7803" t="s">
        <v>30</v>
      </c>
      <c r="P7803" t="s">
        <v>29</v>
      </c>
      <c r="Q7803" s="1">
        <v>42266.953298611108</v>
      </c>
      <c r="R7803">
        <v>7</v>
      </c>
      <c r="S7803" t="s">
        <v>31</v>
      </c>
      <c r="T7803" t="s">
        <v>4199</v>
      </c>
      <c r="U7803">
        <v>616.85270000000003</v>
      </c>
      <c r="V7803" s="3">
        <v>41934</v>
      </c>
    </row>
    <row r="7804" spans="1:22" x14ac:dyDescent="0.35">
      <c r="A7804" s="1">
        <v>42270.095324074071</v>
      </c>
      <c r="B7804" s="2">
        <v>4.1666666666666669E-4</v>
      </c>
      <c r="C7804" t="s">
        <v>3595</v>
      </c>
      <c r="D7804" t="s">
        <v>23</v>
      </c>
      <c r="E7804" t="s">
        <v>24</v>
      </c>
      <c r="F7804" t="s">
        <v>3559</v>
      </c>
      <c r="G7804">
        <v>1217954</v>
      </c>
      <c r="H7804" t="s">
        <v>45</v>
      </c>
      <c r="I7804" t="s">
        <v>3560</v>
      </c>
      <c r="J7804" t="str">
        <f>"9781409457558"</f>
        <v>9781409457558</v>
      </c>
      <c r="K7804" t="s">
        <v>11396</v>
      </c>
      <c r="L7804">
        <v>3</v>
      </c>
      <c r="M7804" t="s">
        <v>11397</v>
      </c>
      <c r="O7804" t="s">
        <v>30</v>
      </c>
      <c r="P7804" t="s">
        <v>29</v>
      </c>
      <c r="Q7804" s="1">
        <v>42270.095324074071</v>
      </c>
      <c r="R7804">
        <v>7</v>
      </c>
      <c r="S7804" t="s">
        <v>31</v>
      </c>
      <c r="T7804" t="s">
        <v>3562</v>
      </c>
      <c r="U7804" t="s">
        <v>3563</v>
      </c>
      <c r="V7804" s="3">
        <v>41575</v>
      </c>
    </row>
    <row r="7805" spans="1:22" x14ac:dyDescent="0.35">
      <c r="A7805" s="1">
        <v>42270.086597222224</v>
      </c>
      <c r="B7805" s="2">
        <v>8.726851851851852E-3</v>
      </c>
      <c r="C7805" t="s">
        <v>3595</v>
      </c>
      <c r="D7805" t="s">
        <v>23</v>
      </c>
      <c r="E7805" t="s">
        <v>24</v>
      </c>
      <c r="F7805" t="s">
        <v>3559</v>
      </c>
      <c r="G7805">
        <v>1217954</v>
      </c>
      <c r="H7805" t="s">
        <v>45</v>
      </c>
      <c r="I7805" t="s">
        <v>3560</v>
      </c>
      <c r="J7805" t="str">
        <f>"9781409457558"</f>
        <v>9781409457558</v>
      </c>
      <c r="K7805" t="s">
        <v>11398</v>
      </c>
      <c r="L7805">
        <v>10</v>
      </c>
      <c r="O7805" t="s">
        <v>30</v>
      </c>
      <c r="P7805" t="s">
        <v>42</v>
      </c>
      <c r="S7805" t="s">
        <v>31</v>
      </c>
      <c r="T7805" t="s">
        <v>3562</v>
      </c>
      <c r="U7805" t="s">
        <v>3563</v>
      </c>
      <c r="V7805" s="3">
        <v>41575</v>
      </c>
    </row>
    <row r="7806" spans="1:22" x14ac:dyDescent="0.35">
      <c r="A7806" s="1">
        <v>42270.085648148146</v>
      </c>
      <c r="B7806" s="2">
        <v>0.2356365740740741</v>
      </c>
      <c r="C7806" t="s">
        <v>106</v>
      </c>
      <c r="D7806" t="s">
        <v>23</v>
      </c>
      <c r="E7806" t="s">
        <v>24</v>
      </c>
      <c r="F7806" t="s">
        <v>486</v>
      </c>
      <c r="G7806">
        <v>1119505</v>
      </c>
      <c r="H7806" t="s">
        <v>26</v>
      </c>
      <c r="I7806" t="s">
        <v>450</v>
      </c>
      <c r="J7806" t="str">
        <f>"9781118355015"</f>
        <v>9781118355015</v>
      </c>
      <c r="K7806" t="s">
        <v>11399</v>
      </c>
      <c r="L7806">
        <v>42</v>
      </c>
      <c r="O7806" t="s">
        <v>30</v>
      </c>
      <c r="P7806" t="s">
        <v>29</v>
      </c>
      <c r="Q7806" s="1">
        <v>42269.848877314813</v>
      </c>
      <c r="R7806">
        <v>7</v>
      </c>
      <c r="S7806" t="s">
        <v>31</v>
      </c>
      <c r="T7806" t="s">
        <v>487</v>
      </c>
      <c r="U7806" t="s">
        <v>488</v>
      </c>
      <c r="V7806" s="3">
        <v>41302</v>
      </c>
    </row>
    <row r="7807" spans="1:22" x14ac:dyDescent="0.35">
      <c r="A7807" s="1">
        <v>42270.080081018517</v>
      </c>
      <c r="B7807" s="2">
        <v>1.3888888888888889E-4</v>
      </c>
      <c r="C7807" t="s">
        <v>11400</v>
      </c>
      <c r="D7807" t="s">
        <v>23</v>
      </c>
      <c r="E7807" t="s">
        <v>24</v>
      </c>
      <c r="F7807" t="s">
        <v>5449</v>
      </c>
      <c r="G7807">
        <v>1332527</v>
      </c>
      <c r="H7807" t="s">
        <v>26</v>
      </c>
      <c r="I7807" t="s">
        <v>97</v>
      </c>
      <c r="J7807" t="str">
        <f>"9781118720882"</f>
        <v>9781118720882</v>
      </c>
      <c r="K7807" t="s">
        <v>33</v>
      </c>
      <c r="L7807">
        <v>3</v>
      </c>
      <c r="O7807" t="s">
        <v>30</v>
      </c>
      <c r="P7807" t="s">
        <v>42</v>
      </c>
      <c r="S7807" t="s">
        <v>31</v>
      </c>
      <c r="T7807" t="s">
        <v>5451</v>
      </c>
      <c r="U7807">
        <v>658.11</v>
      </c>
      <c r="V7807" s="3">
        <v>41486</v>
      </c>
    </row>
    <row r="7808" spans="1:22" x14ac:dyDescent="0.35">
      <c r="A7808" s="1">
        <v>42270.070335648146</v>
      </c>
      <c r="B7808" s="2">
        <v>1.7939814814814815E-3</v>
      </c>
      <c r="C7808" t="s">
        <v>10946</v>
      </c>
      <c r="D7808" t="s">
        <v>23</v>
      </c>
      <c r="E7808" t="s">
        <v>24</v>
      </c>
      <c r="F7808" t="s">
        <v>3228</v>
      </c>
      <c r="G7808">
        <v>1115640</v>
      </c>
      <c r="H7808" t="s">
        <v>26</v>
      </c>
      <c r="I7808" t="s">
        <v>3229</v>
      </c>
      <c r="J7808" t="str">
        <f>"9781118419090"</f>
        <v>9781118419090</v>
      </c>
      <c r="K7808" t="s">
        <v>1651</v>
      </c>
      <c r="L7808">
        <v>11</v>
      </c>
      <c r="O7808" t="s">
        <v>30</v>
      </c>
      <c r="P7808" t="s">
        <v>42</v>
      </c>
      <c r="S7808" t="s">
        <v>31</v>
      </c>
      <c r="T7808" t="s">
        <v>3231</v>
      </c>
      <c r="U7808">
        <v>624</v>
      </c>
      <c r="V7808" s="3">
        <v>41296</v>
      </c>
    </row>
    <row r="7809" spans="1:22" x14ac:dyDescent="0.35">
      <c r="A7809" s="1">
        <v>42270.068715277775</v>
      </c>
      <c r="B7809" s="2">
        <v>2.4305555555555552E-4</v>
      </c>
      <c r="C7809" t="s">
        <v>10634</v>
      </c>
      <c r="D7809" t="s">
        <v>23</v>
      </c>
      <c r="E7809" t="s">
        <v>24</v>
      </c>
      <c r="F7809" t="s">
        <v>4594</v>
      </c>
      <c r="G7809">
        <v>1872281</v>
      </c>
      <c r="H7809" t="s">
        <v>91</v>
      </c>
      <c r="I7809" t="s">
        <v>2133</v>
      </c>
      <c r="J7809" t="str">
        <f>"9781462519606"</f>
        <v>9781462519606</v>
      </c>
      <c r="K7809" t="s">
        <v>11035</v>
      </c>
      <c r="L7809">
        <v>5</v>
      </c>
      <c r="O7809" t="s">
        <v>30</v>
      </c>
      <c r="P7809" t="s">
        <v>42</v>
      </c>
      <c r="S7809" t="s">
        <v>31</v>
      </c>
      <c r="T7809" t="s">
        <v>4596</v>
      </c>
      <c r="U7809">
        <v>378.101</v>
      </c>
      <c r="V7809" s="3">
        <v>42150</v>
      </c>
    </row>
    <row r="7810" spans="1:22" x14ac:dyDescent="0.35">
      <c r="A7810" s="1">
        <v>42270.066145833334</v>
      </c>
      <c r="B7810" s="2">
        <v>2.9166666666666668E-3</v>
      </c>
      <c r="C7810" t="s">
        <v>11362</v>
      </c>
      <c r="D7810" t="s">
        <v>23</v>
      </c>
      <c r="E7810" t="s">
        <v>24</v>
      </c>
      <c r="F7810" t="s">
        <v>11363</v>
      </c>
      <c r="G7810">
        <v>1173637</v>
      </c>
      <c r="H7810" t="s">
        <v>2998</v>
      </c>
      <c r="I7810" t="s">
        <v>310</v>
      </c>
      <c r="J7810" t="str">
        <f>"9780748676446"</f>
        <v>9780748676446</v>
      </c>
      <c r="K7810" t="s">
        <v>11401</v>
      </c>
      <c r="L7810">
        <v>13</v>
      </c>
      <c r="O7810" t="s">
        <v>30</v>
      </c>
      <c r="P7810" t="s">
        <v>47</v>
      </c>
      <c r="Q7810" s="1">
        <v>42270.066145833334</v>
      </c>
      <c r="R7810">
        <v>1</v>
      </c>
      <c r="S7810" t="s">
        <v>31</v>
      </c>
      <c r="T7810" t="s">
        <v>11365</v>
      </c>
      <c r="U7810">
        <v>823.91200000000003</v>
      </c>
      <c r="V7810" s="3">
        <v>41350</v>
      </c>
    </row>
    <row r="7811" spans="1:22" x14ac:dyDescent="0.35">
      <c r="A7811" s="1">
        <v>42270.049479166664</v>
      </c>
      <c r="B7811" s="2">
        <v>1.1342592592592591E-3</v>
      </c>
      <c r="C7811" t="s">
        <v>11402</v>
      </c>
      <c r="D7811" t="s">
        <v>261</v>
      </c>
      <c r="E7811" t="s">
        <v>262</v>
      </c>
      <c r="F7811" t="s">
        <v>11403</v>
      </c>
      <c r="G7811">
        <v>1507824</v>
      </c>
      <c r="H7811" t="s">
        <v>139</v>
      </c>
      <c r="I7811" t="s">
        <v>85</v>
      </c>
      <c r="J7811" t="str">
        <f>"9780814738221"</f>
        <v>9780814738221</v>
      </c>
      <c r="K7811" t="s">
        <v>11404</v>
      </c>
      <c r="L7811">
        <v>14</v>
      </c>
      <c r="O7811" t="s">
        <v>30</v>
      </c>
      <c r="P7811" t="s">
        <v>50</v>
      </c>
      <c r="S7811" t="s">
        <v>264</v>
      </c>
      <c r="T7811" t="s">
        <v>11405</v>
      </c>
      <c r="U7811">
        <v>305.90691208999999</v>
      </c>
      <c r="V7811" s="3">
        <v>41642</v>
      </c>
    </row>
    <row r="7812" spans="1:22" x14ac:dyDescent="0.35">
      <c r="A7812" s="1">
        <v>42270.047094907408</v>
      </c>
      <c r="B7812" s="2">
        <v>5.2083333333333333E-4</v>
      </c>
      <c r="C7812" t="s">
        <v>106</v>
      </c>
      <c r="D7812" t="s">
        <v>23</v>
      </c>
      <c r="E7812" t="s">
        <v>24</v>
      </c>
      <c r="F7812" t="s">
        <v>3559</v>
      </c>
      <c r="G7812">
        <v>1217954</v>
      </c>
      <c r="H7812" t="s">
        <v>45</v>
      </c>
      <c r="I7812" t="s">
        <v>3560</v>
      </c>
      <c r="J7812" t="str">
        <f>"9781409457558"</f>
        <v>9781409457558</v>
      </c>
      <c r="K7812" t="s">
        <v>11406</v>
      </c>
      <c r="L7812">
        <v>8</v>
      </c>
      <c r="O7812" t="s">
        <v>30</v>
      </c>
      <c r="P7812" t="s">
        <v>42</v>
      </c>
      <c r="S7812" t="s">
        <v>31</v>
      </c>
      <c r="T7812" t="s">
        <v>3562</v>
      </c>
      <c r="U7812" t="s">
        <v>3563</v>
      </c>
      <c r="V7812" s="3">
        <v>41575</v>
      </c>
    </row>
    <row r="7813" spans="1:22" x14ac:dyDescent="0.35">
      <c r="A7813" s="1">
        <v>42270.01190972222</v>
      </c>
      <c r="B7813" s="2">
        <v>2.3379629629629631E-3</v>
      </c>
      <c r="C7813" t="s">
        <v>9415</v>
      </c>
      <c r="D7813" t="s">
        <v>23</v>
      </c>
      <c r="E7813" t="s">
        <v>24</v>
      </c>
      <c r="F7813" t="s">
        <v>486</v>
      </c>
      <c r="G7813">
        <v>1119505</v>
      </c>
      <c r="H7813" t="s">
        <v>26</v>
      </c>
      <c r="I7813" t="s">
        <v>450</v>
      </c>
      <c r="J7813" t="str">
        <f>"9781118355015"</f>
        <v>9781118355015</v>
      </c>
      <c r="K7813" t="s">
        <v>11407</v>
      </c>
      <c r="L7813">
        <v>6</v>
      </c>
      <c r="O7813" t="s">
        <v>30</v>
      </c>
      <c r="P7813" t="s">
        <v>29</v>
      </c>
      <c r="Q7813" s="1">
        <v>42270.01190972222</v>
      </c>
      <c r="R7813">
        <v>7</v>
      </c>
      <c r="S7813" t="s">
        <v>31</v>
      </c>
      <c r="T7813" t="s">
        <v>487</v>
      </c>
      <c r="U7813" t="s">
        <v>488</v>
      </c>
      <c r="V7813" s="3">
        <v>41302</v>
      </c>
    </row>
    <row r="7814" spans="1:22" x14ac:dyDescent="0.35">
      <c r="A7814" s="1">
        <v>42270.010717592595</v>
      </c>
      <c r="B7814" s="2">
        <v>5.5428240740740743E-2</v>
      </c>
      <c r="C7814" t="s">
        <v>11362</v>
      </c>
      <c r="D7814" t="s">
        <v>23</v>
      </c>
      <c r="E7814" t="s">
        <v>24</v>
      </c>
      <c r="F7814" t="s">
        <v>11363</v>
      </c>
      <c r="G7814">
        <v>1173637</v>
      </c>
      <c r="H7814" t="s">
        <v>2998</v>
      </c>
      <c r="I7814" t="s">
        <v>310</v>
      </c>
      <c r="J7814" t="str">
        <f>"9780748676446"</f>
        <v>9780748676446</v>
      </c>
      <c r="K7814" t="s">
        <v>11408</v>
      </c>
      <c r="L7814">
        <v>11</v>
      </c>
      <c r="O7814" t="s">
        <v>30</v>
      </c>
      <c r="P7814" t="s">
        <v>50</v>
      </c>
      <c r="S7814" t="s">
        <v>31</v>
      </c>
      <c r="T7814" t="s">
        <v>11365</v>
      </c>
      <c r="U7814">
        <v>823.91200000000003</v>
      </c>
      <c r="V7814" s="3">
        <v>41350</v>
      </c>
    </row>
    <row r="7815" spans="1:22" x14ac:dyDescent="0.35">
      <c r="A7815" s="1">
        <v>42270.004432870373</v>
      </c>
      <c r="B7815" s="2">
        <v>7.4768518518518526E-3</v>
      </c>
      <c r="C7815" t="s">
        <v>9415</v>
      </c>
      <c r="D7815" t="s">
        <v>23</v>
      </c>
      <c r="E7815" t="s">
        <v>24</v>
      </c>
      <c r="F7815" t="s">
        <v>486</v>
      </c>
      <c r="G7815">
        <v>1119505</v>
      </c>
      <c r="H7815" t="s">
        <v>26</v>
      </c>
      <c r="I7815" t="s">
        <v>450</v>
      </c>
      <c r="J7815" t="str">
        <f>"9781118355015"</f>
        <v>9781118355015</v>
      </c>
      <c r="K7815" t="s">
        <v>11409</v>
      </c>
      <c r="L7815">
        <v>26</v>
      </c>
      <c r="O7815" t="s">
        <v>30</v>
      </c>
      <c r="P7815" t="s">
        <v>42</v>
      </c>
      <c r="S7815" t="s">
        <v>31</v>
      </c>
      <c r="T7815" t="s">
        <v>487</v>
      </c>
      <c r="U7815" t="s">
        <v>488</v>
      </c>
      <c r="V7815" s="3">
        <v>41302</v>
      </c>
    </row>
    <row r="7816" spans="1:22" x14ac:dyDescent="0.35">
      <c r="A7816" s="1">
        <v>42269.999652777777</v>
      </c>
      <c r="B7816" s="2">
        <v>8.1018518518518516E-5</v>
      </c>
      <c r="C7816" t="s">
        <v>3558</v>
      </c>
      <c r="D7816" t="s">
        <v>23</v>
      </c>
      <c r="E7816" t="s">
        <v>24</v>
      </c>
      <c r="F7816" t="s">
        <v>3559</v>
      </c>
      <c r="G7816">
        <v>1217954</v>
      </c>
      <c r="H7816" t="s">
        <v>45</v>
      </c>
      <c r="I7816" t="s">
        <v>3560</v>
      </c>
      <c r="J7816" t="str">
        <f>"9781409457558"</f>
        <v>9781409457558</v>
      </c>
      <c r="K7816" t="s">
        <v>11410</v>
      </c>
      <c r="L7816">
        <v>5</v>
      </c>
      <c r="O7816" t="s">
        <v>30</v>
      </c>
      <c r="P7816" t="s">
        <v>29</v>
      </c>
      <c r="Q7816" s="1">
        <v>42269.999652777777</v>
      </c>
      <c r="R7816">
        <v>7</v>
      </c>
      <c r="S7816" t="s">
        <v>31</v>
      </c>
      <c r="T7816" t="s">
        <v>3562</v>
      </c>
      <c r="U7816" t="s">
        <v>3563</v>
      </c>
      <c r="V7816" s="3">
        <v>41575</v>
      </c>
    </row>
    <row r="7817" spans="1:22" x14ac:dyDescent="0.35">
      <c r="A7817" s="1">
        <v>42269.976770833331</v>
      </c>
      <c r="B7817" s="2">
        <v>2.2881944444444444E-2</v>
      </c>
      <c r="C7817" t="s">
        <v>3558</v>
      </c>
      <c r="D7817" t="s">
        <v>23</v>
      </c>
      <c r="E7817" t="s">
        <v>24</v>
      </c>
      <c r="F7817" t="s">
        <v>3559</v>
      </c>
      <c r="G7817">
        <v>1217954</v>
      </c>
      <c r="H7817" t="s">
        <v>45</v>
      </c>
      <c r="I7817" t="s">
        <v>3560</v>
      </c>
      <c r="J7817" t="str">
        <f>"9781409457558"</f>
        <v>9781409457558</v>
      </c>
      <c r="K7817" t="s">
        <v>611</v>
      </c>
      <c r="L7817">
        <v>3</v>
      </c>
      <c r="O7817" t="s">
        <v>30</v>
      </c>
      <c r="P7817" t="s">
        <v>42</v>
      </c>
      <c r="S7817" t="s">
        <v>31</v>
      </c>
      <c r="T7817" t="s">
        <v>3562</v>
      </c>
      <c r="U7817" t="s">
        <v>3563</v>
      </c>
      <c r="V7817" s="3">
        <v>41575</v>
      </c>
    </row>
    <row r="7818" spans="1:22" x14ac:dyDescent="0.35">
      <c r="A7818" s="1">
        <v>42269.971689814818</v>
      </c>
      <c r="B7818" s="2">
        <v>1.3425925925925925E-3</v>
      </c>
      <c r="C7818" t="s">
        <v>11411</v>
      </c>
      <c r="D7818" t="s">
        <v>23</v>
      </c>
      <c r="E7818" t="s">
        <v>24</v>
      </c>
      <c r="F7818" t="s">
        <v>3228</v>
      </c>
      <c r="G7818">
        <v>1115640</v>
      </c>
      <c r="H7818" t="s">
        <v>26</v>
      </c>
      <c r="I7818" t="s">
        <v>3229</v>
      </c>
      <c r="J7818" t="str">
        <f>"9781118419090"</f>
        <v>9781118419090</v>
      </c>
      <c r="K7818" t="s">
        <v>11412</v>
      </c>
      <c r="L7818">
        <v>15</v>
      </c>
      <c r="M7818" t="s">
        <v>105</v>
      </c>
      <c r="N7818" t="s">
        <v>11219</v>
      </c>
      <c r="O7818" t="s">
        <v>30</v>
      </c>
      <c r="P7818" t="s">
        <v>29</v>
      </c>
      <c r="Q7818" s="1">
        <v>42269.968738425923</v>
      </c>
      <c r="R7818">
        <v>7</v>
      </c>
      <c r="S7818" t="s">
        <v>31</v>
      </c>
      <c r="T7818" t="s">
        <v>3231</v>
      </c>
      <c r="U7818">
        <v>624</v>
      </c>
      <c r="V7818" s="3">
        <v>41296</v>
      </c>
    </row>
    <row r="7819" spans="1:22" x14ac:dyDescent="0.35">
      <c r="A7819" s="1">
        <v>42269.968738425923</v>
      </c>
      <c r="B7819" s="2">
        <v>0</v>
      </c>
      <c r="C7819" t="s">
        <v>11411</v>
      </c>
      <c r="D7819" t="s">
        <v>23</v>
      </c>
      <c r="E7819" t="s">
        <v>24</v>
      </c>
      <c r="F7819" t="s">
        <v>3228</v>
      </c>
      <c r="G7819">
        <v>1115640</v>
      </c>
      <c r="H7819" t="s">
        <v>26</v>
      </c>
      <c r="I7819" t="s">
        <v>3229</v>
      </c>
      <c r="J7819" t="str">
        <f>"9781118419090"</f>
        <v>9781118419090</v>
      </c>
      <c r="L7819">
        <v>0</v>
      </c>
      <c r="O7819" t="s">
        <v>30</v>
      </c>
      <c r="P7819" t="s">
        <v>29</v>
      </c>
      <c r="Q7819" s="1">
        <v>42269.968738425923</v>
      </c>
      <c r="R7819">
        <v>7</v>
      </c>
      <c r="S7819" t="s">
        <v>31</v>
      </c>
      <c r="T7819" t="s">
        <v>3231</v>
      </c>
      <c r="U7819">
        <v>624</v>
      </c>
      <c r="V7819" s="3">
        <v>41296</v>
      </c>
    </row>
    <row r="7820" spans="1:22" x14ac:dyDescent="0.35">
      <c r="A7820" s="1">
        <v>42269.968402777777</v>
      </c>
      <c r="B7820" s="2">
        <v>3.3564814814814812E-4</v>
      </c>
      <c r="C7820" t="s">
        <v>11411</v>
      </c>
      <c r="D7820" t="s">
        <v>23</v>
      </c>
      <c r="E7820" t="s">
        <v>24</v>
      </c>
      <c r="F7820" t="s">
        <v>3228</v>
      </c>
      <c r="G7820">
        <v>1115640</v>
      </c>
      <c r="H7820" t="s">
        <v>26</v>
      </c>
      <c r="I7820" t="s">
        <v>3229</v>
      </c>
      <c r="J7820" t="str">
        <f>"9781118419090"</f>
        <v>9781118419090</v>
      </c>
      <c r="K7820" t="s">
        <v>209</v>
      </c>
      <c r="L7820">
        <v>4</v>
      </c>
      <c r="O7820" t="s">
        <v>30</v>
      </c>
      <c r="P7820" t="s">
        <v>42</v>
      </c>
      <c r="S7820" t="s">
        <v>31</v>
      </c>
      <c r="T7820" t="s">
        <v>3231</v>
      </c>
      <c r="U7820">
        <v>624</v>
      </c>
      <c r="V7820" s="3">
        <v>41296</v>
      </c>
    </row>
    <row r="7821" spans="1:22" x14ac:dyDescent="0.35">
      <c r="A7821" s="1">
        <v>42269.963125000002</v>
      </c>
      <c r="B7821" s="2">
        <v>3.8912037037037037E-2</v>
      </c>
      <c r="C7821" t="s">
        <v>11380</v>
      </c>
      <c r="D7821" t="s">
        <v>23</v>
      </c>
      <c r="E7821" t="s">
        <v>24</v>
      </c>
      <c r="F7821" t="s">
        <v>3559</v>
      </c>
      <c r="G7821">
        <v>1217954</v>
      </c>
      <c r="H7821" t="s">
        <v>45</v>
      </c>
      <c r="I7821" t="s">
        <v>3560</v>
      </c>
      <c r="J7821" t="str">
        <f>"9781409457558"</f>
        <v>9781409457558</v>
      </c>
      <c r="K7821" t="s">
        <v>11413</v>
      </c>
      <c r="L7821">
        <v>14</v>
      </c>
      <c r="O7821" t="s">
        <v>30</v>
      </c>
      <c r="P7821" t="s">
        <v>29</v>
      </c>
      <c r="Q7821" s="1">
        <v>42265.002164351848</v>
      </c>
      <c r="R7821">
        <v>7</v>
      </c>
      <c r="S7821" t="s">
        <v>31</v>
      </c>
      <c r="T7821" t="s">
        <v>3562</v>
      </c>
      <c r="U7821" t="s">
        <v>3563</v>
      </c>
      <c r="V7821" s="3">
        <v>41575</v>
      </c>
    </row>
    <row r="7822" spans="1:22" x14ac:dyDescent="0.35">
      <c r="A7822" s="1">
        <v>42269.953020833331</v>
      </c>
      <c r="B7822" s="2">
        <v>3.1678240740740743E-2</v>
      </c>
      <c r="C7822" t="s">
        <v>10575</v>
      </c>
      <c r="D7822" t="s">
        <v>23</v>
      </c>
      <c r="E7822" t="s">
        <v>24</v>
      </c>
      <c r="F7822" t="s">
        <v>246</v>
      </c>
      <c r="G7822">
        <v>1682559</v>
      </c>
      <c r="H7822" t="s">
        <v>91</v>
      </c>
      <c r="I7822" t="s">
        <v>247</v>
      </c>
      <c r="J7822" t="str">
        <f>"9781462515431"</f>
        <v>9781462515431</v>
      </c>
      <c r="K7822" t="s">
        <v>11414</v>
      </c>
      <c r="L7822">
        <v>33</v>
      </c>
      <c r="O7822" t="s">
        <v>30</v>
      </c>
      <c r="P7822" t="s">
        <v>29</v>
      </c>
      <c r="Q7822" s="1">
        <v>42269.953020833331</v>
      </c>
      <c r="R7822">
        <v>7</v>
      </c>
      <c r="S7822" t="s">
        <v>31</v>
      </c>
      <c r="T7822" t="s">
        <v>249</v>
      </c>
      <c r="U7822">
        <v>616.89</v>
      </c>
      <c r="V7822" s="3">
        <v>41769</v>
      </c>
    </row>
    <row r="7823" spans="1:22" x14ac:dyDescent="0.35">
      <c r="A7823" s="1">
        <v>42269.945972222224</v>
      </c>
      <c r="B7823" s="2">
        <v>7.0486111111111105E-3</v>
      </c>
      <c r="C7823" t="s">
        <v>10575</v>
      </c>
      <c r="D7823" t="s">
        <v>23</v>
      </c>
      <c r="E7823" t="s">
        <v>24</v>
      </c>
      <c r="F7823" t="s">
        <v>246</v>
      </c>
      <c r="G7823">
        <v>1682559</v>
      </c>
      <c r="H7823" t="s">
        <v>91</v>
      </c>
      <c r="I7823" t="s">
        <v>247</v>
      </c>
      <c r="J7823" t="str">
        <f>"9781462515431"</f>
        <v>9781462515431</v>
      </c>
      <c r="K7823" t="s">
        <v>11415</v>
      </c>
      <c r="L7823">
        <v>25</v>
      </c>
      <c r="O7823" t="s">
        <v>30</v>
      </c>
      <c r="P7823" t="s">
        <v>42</v>
      </c>
      <c r="S7823" t="s">
        <v>31</v>
      </c>
      <c r="T7823" t="s">
        <v>249</v>
      </c>
      <c r="U7823">
        <v>616.89</v>
      </c>
      <c r="V7823" s="3">
        <v>41769</v>
      </c>
    </row>
    <row r="7824" spans="1:22" x14ac:dyDescent="0.35">
      <c r="A7824" s="1">
        <v>42269.945254629631</v>
      </c>
      <c r="B7824" s="2">
        <v>0.14627314814814815</v>
      </c>
      <c r="C7824" t="s">
        <v>6390</v>
      </c>
      <c r="D7824" t="s">
        <v>23</v>
      </c>
      <c r="E7824" t="s">
        <v>24</v>
      </c>
      <c r="F7824" t="s">
        <v>486</v>
      </c>
      <c r="G7824">
        <v>1119505</v>
      </c>
      <c r="H7824" t="s">
        <v>26</v>
      </c>
      <c r="I7824" t="s">
        <v>450</v>
      </c>
      <c r="J7824" t="str">
        <f>"9781118355015"</f>
        <v>9781118355015</v>
      </c>
      <c r="K7824" t="s">
        <v>11416</v>
      </c>
      <c r="L7824">
        <v>56</v>
      </c>
      <c r="M7824" t="s">
        <v>11417</v>
      </c>
      <c r="O7824" t="s">
        <v>30</v>
      </c>
      <c r="P7824" t="s">
        <v>29</v>
      </c>
      <c r="Q7824" s="1">
        <v>42269.945254629631</v>
      </c>
      <c r="R7824">
        <v>7</v>
      </c>
      <c r="S7824" t="s">
        <v>31</v>
      </c>
      <c r="T7824" t="s">
        <v>487</v>
      </c>
      <c r="U7824" t="s">
        <v>488</v>
      </c>
      <c r="V7824" s="3">
        <v>41302</v>
      </c>
    </row>
    <row r="7825" spans="1:22" x14ac:dyDescent="0.35">
      <c r="A7825" s="1">
        <v>42269.935682870368</v>
      </c>
      <c r="B7825" s="2">
        <v>9.571759259259259E-3</v>
      </c>
      <c r="C7825" t="s">
        <v>6390</v>
      </c>
      <c r="D7825" t="s">
        <v>23</v>
      </c>
      <c r="E7825" t="s">
        <v>24</v>
      </c>
      <c r="F7825" t="s">
        <v>486</v>
      </c>
      <c r="G7825">
        <v>1119505</v>
      </c>
      <c r="H7825" t="s">
        <v>26</v>
      </c>
      <c r="I7825" t="s">
        <v>450</v>
      </c>
      <c r="J7825" t="str">
        <f>"9781118355015"</f>
        <v>9781118355015</v>
      </c>
      <c r="K7825" t="s">
        <v>11418</v>
      </c>
      <c r="L7825">
        <v>19</v>
      </c>
      <c r="O7825" t="s">
        <v>30</v>
      </c>
      <c r="P7825" t="s">
        <v>42</v>
      </c>
      <c r="S7825" t="s">
        <v>31</v>
      </c>
      <c r="T7825" t="s">
        <v>487</v>
      </c>
      <c r="U7825" t="s">
        <v>488</v>
      </c>
      <c r="V7825" s="3">
        <v>41302</v>
      </c>
    </row>
    <row r="7826" spans="1:22" x14ac:dyDescent="0.35">
      <c r="A7826" s="1">
        <v>42269.922824074078</v>
      </c>
      <c r="B7826" s="2">
        <v>0</v>
      </c>
      <c r="C7826" t="s">
        <v>10755</v>
      </c>
      <c r="D7826" t="s">
        <v>35</v>
      </c>
      <c r="E7826" t="s">
        <v>36</v>
      </c>
      <c r="F7826" t="s">
        <v>10756</v>
      </c>
      <c r="G7826">
        <v>1650803</v>
      </c>
      <c r="H7826" t="s">
        <v>84</v>
      </c>
      <c r="I7826" t="s">
        <v>150</v>
      </c>
      <c r="J7826" t="str">
        <f>"9780520958340"</f>
        <v>9780520958340</v>
      </c>
      <c r="L7826">
        <v>0</v>
      </c>
      <c r="O7826" t="s">
        <v>30</v>
      </c>
      <c r="P7826" t="s">
        <v>29</v>
      </c>
      <c r="Q7826" s="1">
        <v>42269.922824074078</v>
      </c>
      <c r="R7826">
        <v>7</v>
      </c>
      <c r="S7826" t="s">
        <v>40</v>
      </c>
      <c r="T7826" t="s">
        <v>10757</v>
      </c>
      <c r="U7826" t="s">
        <v>10758</v>
      </c>
      <c r="V7826" s="3">
        <v>41716</v>
      </c>
    </row>
    <row r="7827" spans="1:22" x14ac:dyDescent="0.35">
      <c r="A7827" s="1">
        <v>42269.917662037034</v>
      </c>
      <c r="B7827" s="2">
        <v>1.9791666666666668E-3</v>
      </c>
      <c r="C7827" t="s">
        <v>10966</v>
      </c>
      <c r="D7827" t="s">
        <v>23</v>
      </c>
      <c r="E7827" t="s">
        <v>24</v>
      </c>
      <c r="F7827" t="s">
        <v>3228</v>
      </c>
      <c r="G7827">
        <v>1115640</v>
      </c>
      <c r="H7827" t="s">
        <v>26</v>
      </c>
      <c r="I7827" t="s">
        <v>3229</v>
      </c>
      <c r="J7827" t="str">
        <f>"9781118419090"</f>
        <v>9781118419090</v>
      </c>
      <c r="K7827" t="s">
        <v>11419</v>
      </c>
      <c r="L7827">
        <v>38</v>
      </c>
      <c r="N7827" t="s">
        <v>11420</v>
      </c>
      <c r="O7827" t="s">
        <v>30</v>
      </c>
      <c r="P7827" t="s">
        <v>29</v>
      </c>
      <c r="Q7827" s="1">
        <v>42268.549120370371</v>
      </c>
      <c r="R7827">
        <v>7</v>
      </c>
      <c r="S7827" t="s">
        <v>31</v>
      </c>
      <c r="T7827" t="s">
        <v>3231</v>
      </c>
      <c r="U7827">
        <v>624</v>
      </c>
      <c r="V7827" s="3">
        <v>41296</v>
      </c>
    </row>
    <row r="7828" spans="1:22" x14ac:dyDescent="0.35">
      <c r="A7828" s="1">
        <v>42269.911354166667</v>
      </c>
      <c r="B7828" s="2">
        <v>0</v>
      </c>
      <c r="C7828" t="s">
        <v>11421</v>
      </c>
      <c r="D7828" t="s">
        <v>23</v>
      </c>
      <c r="E7828" t="s">
        <v>24</v>
      </c>
      <c r="F7828" t="s">
        <v>3186</v>
      </c>
      <c r="G7828">
        <v>699744</v>
      </c>
      <c r="H7828" t="s">
        <v>26</v>
      </c>
      <c r="I7828" t="s">
        <v>3187</v>
      </c>
      <c r="J7828" t="str">
        <f>"9781118585818"</f>
        <v>9781118585818</v>
      </c>
      <c r="L7828">
        <v>0</v>
      </c>
      <c r="M7828" t="s">
        <v>834</v>
      </c>
      <c r="O7828" t="s">
        <v>30</v>
      </c>
      <c r="P7828" t="s">
        <v>29</v>
      </c>
      <c r="Q7828" s="1">
        <v>42269.91134259259</v>
      </c>
      <c r="R7828">
        <v>7</v>
      </c>
      <c r="S7828" t="s">
        <v>31</v>
      </c>
      <c r="T7828" t="s">
        <v>3188</v>
      </c>
      <c r="U7828">
        <v>621.36</v>
      </c>
      <c r="V7828" s="3">
        <v>41310</v>
      </c>
    </row>
    <row r="7829" spans="1:22" x14ac:dyDescent="0.35">
      <c r="A7829" s="1">
        <v>42269.91065972222</v>
      </c>
      <c r="B7829" s="2">
        <v>6.8287037037037025E-4</v>
      </c>
      <c r="C7829" t="s">
        <v>11421</v>
      </c>
      <c r="D7829" t="s">
        <v>23</v>
      </c>
      <c r="E7829" t="s">
        <v>24</v>
      </c>
      <c r="F7829" t="s">
        <v>3186</v>
      </c>
      <c r="G7829">
        <v>699744</v>
      </c>
      <c r="H7829" t="s">
        <v>26</v>
      </c>
      <c r="I7829" t="s">
        <v>3187</v>
      </c>
      <c r="J7829" t="str">
        <f>"9781118585818"</f>
        <v>9781118585818</v>
      </c>
      <c r="K7829" t="s">
        <v>11422</v>
      </c>
      <c r="L7829">
        <v>5</v>
      </c>
      <c r="O7829" t="s">
        <v>30</v>
      </c>
      <c r="P7829" t="s">
        <v>42</v>
      </c>
      <c r="S7829" t="s">
        <v>31</v>
      </c>
      <c r="T7829" t="s">
        <v>3188</v>
      </c>
      <c r="U7829">
        <v>621.36</v>
      </c>
      <c r="V7829" s="3">
        <v>41310</v>
      </c>
    </row>
    <row r="7830" spans="1:22" x14ac:dyDescent="0.35">
      <c r="A7830" s="1">
        <v>42269.907442129632</v>
      </c>
      <c r="B7830" s="2">
        <v>1.5381944444444443E-2</v>
      </c>
      <c r="C7830" t="s">
        <v>10755</v>
      </c>
      <c r="D7830" t="s">
        <v>35</v>
      </c>
      <c r="E7830" t="s">
        <v>36</v>
      </c>
      <c r="F7830" t="s">
        <v>10756</v>
      </c>
      <c r="G7830">
        <v>1650803</v>
      </c>
      <c r="H7830" t="s">
        <v>84</v>
      </c>
      <c r="I7830" t="s">
        <v>150</v>
      </c>
      <c r="J7830" t="str">
        <f>"9780520958340"</f>
        <v>9780520958340</v>
      </c>
      <c r="K7830" t="s">
        <v>33</v>
      </c>
      <c r="L7830">
        <v>3</v>
      </c>
      <c r="O7830" t="s">
        <v>30</v>
      </c>
      <c r="P7830" t="s">
        <v>50</v>
      </c>
      <c r="S7830" t="s">
        <v>40</v>
      </c>
      <c r="T7830" t="s">
        <v>10757</v>
      </c>
      <c r="U7830" t="s">
        <v>10758</v>
      </c>
      <c r="V7830" s="3">
        <v>41716</v>
      </c>
    </row>
    <row r="7831" spans="1:22" x14ac:dyDescent="0.35">
      <c r="A7831" s="1">
        <v>42269.885659722226</v>
      </c>
      <c r="B7831" s="2">
        <v>1.8518518518518518E-4</v>
      </c>
      <c r="C7831" t="s">
        <v>11423</v>
      </c>
      <c r="D7831" t="s">
        <v>35</v>
      </c>
      <c r="E7831" t="s">
        <v>36</v>
      </c>
      <c r="F7831" t="s">
        <v>9205</v>
      </c>
      <c r="G7831">
        <v>1875898</v>
      </c>
      <c r="H7831" t="s">
        <v>26</v>
      </c>
      <c r="I7831" t="s">
        <v>276</v>
      </c>
      <c r="J7831" t="str">
        <f>"9781118908891"</f>
        <v>9781118908891</v>
      </c>
      <c r="K7831" t="s">
        <v>11424</v>
      </c>
      <c r="L7831">
        <v>9</v>
      </c>
      <c r="O7831" t="s">
        <v>30</v>
      </c>
      <c r="P7831" t="s">
        <v>42</v>
      </c>
      <c r="S7831" t="s">
        <v>40</v>
      </c>
      <c r="T7831" t="s">
        <v>9207</v>
      </c>
      <c r="U7831">
        <v>5.133</v>
      </c>
      <c r="V7831" s="3">
        <v>41967</v>
      </c>
    </row>
    <row r="7832" spans="1:22" x14ac:dyDescent="0.35">
      <c r="A7832" s="1">
        <v>42269.861967592595</v>
      </c>
      <c r="B7832" s="2">
        <v>8.7037037037037031E-3</v>
      </c>
      <c r="C7832" t="s">
        <v>4947</v>
      </c>
      <c r="D7832" t="s">
        <v>1222</v>
      </c>
      <c r="E7832" t="s">
        <v>1223</v>
      </c>
      <c r="F7832" t="s">
        <v>3263</v>
      </c>
      <c r="G7832">
        <v>1840835</v>
      </c>
      <c r="H7832" t="s">
        <v>26</v>
      </c>
      <c r="I7832" t="s">
        <v>108</v>
      </c>
      <c r="J7832" t="str">
        <f>"9781118950166"</f>
        <v>9781118950166</v>
      </c>
      <c r="K7832" t="s">
        <v>11425</v>
      </c>
      <c r="L7832">
        <v>3</v>
      </c>
      <c r="O7832" t="s">
        <v>30</v>
      </c>
      <c r="P7832" t="s">
        <v>29</v>
      </c>
      <c r="Q7832" s="1">
        <v>42269.861967592595</v>
      </c>
      <c r="R7832">
        <v>7</v>
      </c>
      <c r="S7832" t="s">
        <v>1226</v>
      </c>
      <c r="T7832" t="s">
        <v>3264</v>
      </c>
      <c r="U7832">
        <v>338.10923789999998</v>
      </c>
      <c r="V7832" s="3">
        <v>41953</v>
      </c>
    </row>
    <row r="7833" spans="1:22" x14ac:dyDescent="0.35">
      <c r="A7833" s="1">
        <v>42269.851898148147</v>
      </c>
      <c r="B7833" s="2">
        <v>1.0069444444444445E-2</v>
      </c>
      <c r="C7833" t="s">
        <v>4947</v>
      </c>
      <c r="D7833" t="s">
        <v>1222</v>
      </c>
      <c r="E7833" t="s">
        <v>1223</v>
      </c>
      <c r="F7833" t="s">
        <v>3263</v>
      </c>
      <c r="G7833">
        <v>1840835</v>
      </c>
      <c r="H7833" t="s">
        <v>26</v>
      </c>
      <c r="I7833" t="s">
        <v>108</v>
      </c>
      <c r="J7833" t="str">
        <f>"9781118950166"</f>
        <v>9781118950166</v>
      </c>
      <c r="K7833" t="s">
        <v>5402</v>
      </c>
      <c r="L7833">
        <v>29</v>
      </c>
      <c r="O7833" t="s">
        <v>30</v>
      </c>
      <c r="P7833" t="s">
        <v>42</v>
      </c>
      <c r="S7833" t="s">
        <v>1226</v>
      </c>
      <c r="T7833" t="s">
        <v>3264</v>
      </c>
      <c r="U7833">
        <v>338.10923789999998</v>
      </c>
      <c r="V7833" s="3">
        <v>41953</v>
      </c>
    </row>
    <row r="7834" spans="1:22" x14ac:dyDescent="0.35">
      <c r="A7834" s="1">
        <v>42269.851331018515</v>
      </c>
      <c r="B7834" s="2">
        <v>1.3599537037037037E-2</v>
      </c>
      <c r="C7834" t="s">
        <v>4681</v>
      </c>
      <c r="D7834" t="s">
        <v>1222</v>
      </c>
      <c r="E7834" t="s">
        <v>1223</v>
      </c>
      <c r="F7834" t="s">
        <v>3263</v>
      </c>
      <c r="G7834">
        <v>1840835</v>
      </c>
      <c r="H7834" t="s">
        <v>26</v>
      </c>
      <c r="I7834" t="s">
        <v>108</v>
      </c>
      <c r="J7834" t="str">
        <f>"9781118950166"</f>
        <v>9781118950166</v>
      </c>
      <c r="K7834" t="s">
        <v>11426</v>
      </c>
      <c r="L7834">
        <v>23</v>
      </c>
      <c r="O7834" t="s">
        <v>30</v>
      </c>
      <c r="P7834" t="s">
        <v>29</v>
      </c>
      <c r="Q7834" s="1">
        <v>42265.764155092591</v>
      </c>
      <c r="R7834">
        <v>7</v>
      </c>
      <c r="S7834" t="s">
        <v>1226</v>
      </c>
      <c r="T7834" t="s">
        <v>3264</v>
      </c>
      <c r="U7834">
        <v>338.10923789999998</v>
      </c>
      <c r="V7834" s="3">
        <v>41953</v>
      </c>
    </row>
    <row r="7835" spans="1:22" x14ac:dyDescent="0.35">
      <c r="A7835" s="1">
        <v>42269.84888888889</v>
      </c>
      <c r="B7835" s="2">
        <v>2.8703703703703708E-3</v>
      </c>
      <c r="C7835" t="s">
        <v>106</v>
      </c>
      <c r="D7835" t="s">
        <v>23</v>
      </c>
      <c r="E7835" t="s">
        <v>24</v>
      </c>
      <c r="F7835" t="s">
        <v>486</v>
      </c>
      <c r="G7835">
        <v>1119505</v>
      </c>
      <c r="H7835" t="s">
        <v>26</v>
      </c>
      <c r="I7835" t="s">
        <v>450</v>
      </c>
      <c r="J7835" t="str">
        <f>"9781118355015"</f>
        <v>9781118355015</v>
      </c>
      <c r="K7835" t="s">
        <v>11427</v>
      </c>
      <c r="L7835">
        <v>16</v>
      </c>
      <c r="O7835" t="s">
        <v>30</v>
      </c>
      <c r="P7835" t="s">
        <v>29</v>
      </c>
      <c r="Q7835" s="1">
        <v>42269.848877314813</v>
      </c>
      <c r="R7835">
        <v>7</v>
      </c>
      <c r="S7835" t="s">
        <v>31</v>
      </c>
      <c r="T7835" t="s">
        <v>487</v>
      </c>
      <c r="U7835" t="s">
        <v>488</v>
      </c>
      <c r="V7835" s="3">
        <v>41302</v>
      </c>
    </row>
    <row r="7836" spans="1:22" x14ac:dyDescent="0.35">
      <c r="A7836" s="1">
        <v>42269.842951388891</v>
      </c>
      <c r="B7836" s="2">
        <v>5.9259259259259256E-3</v>
      </c>
      <c r="C7836" t="s">
        <v>106</v>
      </c>
      <c r="D7836" t="s">
        <v>23</v>
      </c>
      <c r="E7836" t="s">
        <v>24</v>
      </c>
      <c r="F7836" t="s">
        <v>486</v>
      </c>
      <c r="G7836">
        <v>1119505</v>
      </c>
      <c r="H7836" t="s">
        <v>26</v>
      </c>
      <c r="I7836" t="s">
        <v>450</v>
      </c>
      <c r="J7836" t="str">
        <f>"9781118355015"</f>
        <v>9781118355015</v>
      </c>
      <c r="K7836" t="s">
        <v>11428</v>
      </c>
      <c r="L7836">
        <v>14</v>
      </c>
      <c r="O7836" t="s">
        <v>30</v>
      </c>
      <c r="P7836" t="s">
        <v>42</v>
      </c>
      <c r="S7836" t="s">
        <v>31</v>
      </c>
      <c r="T7836" t="s">
        <v>487</v>
      </c>
      <c r="U7836" t="s">
        <v>488</v>
      </c>
      <c r="V7836" s="3">
        <v>41302</v>
      </c>
    </row>
    <row r="7837" spans="1:22" x14ac:dyDescent="0.35">
      <c r="A7837" s="1">
        <v>42269.839212962965</v>
      </c>
      <c r="B7837" s="2">
        <v>0</v>
      </c>
      <c r="C7837" t="s">
        <v>11157</v>
      </c>
      <c r="D7837" t="s">
        <v>360</v>
      </c>
      <c r="E7837" t="s">
        <v>361</v>
      </c>
      <c r="F7837" t="s">
        <v>4922</v>
      </c>
      <c r="G7837">
        <v>1964196</v>
      </c>
      <c r="H7837" t="s">
        <v>26</v>
      </c>
      <c r="I7837" t="s">
        <v>630</v>
      </c>
      <c r="J7837" t="str">
        <f>"9781509500864"</f>
        <v>9781509500864</v>
      </c>
      <c r="L7837">
        <v>0</v>
      </c>
      <c r="O7837" t="s">
        <v>28</v>
      </c>
      <c r="P7837" t="s">
        <v>29</v>
      </c>
      <c r="Q7837" s="1">
        <v>42269.839212962965</v>
      </c>
      <c r="R7837">
        <v>7</v>
      </c>
      <c r="S7837" t="s">
        <v>363</v>
      </c>
      <c r="T7837" t="s">
        <v>4924</v>
      </c>
      <c r="U7837">
        <v>191</v>
      </c>
      <c r="V7837" s="3">
        <v>42048</v>
      </c>
    </row>
    <row r="7838" spans="1:22" x14ac:dyDescent="0.35">
      <c r="A7838" s="1">
        <v>42269.839212962965</v>
      </c>
      <c r="B7838" s="2">
        <v>0</v>
      </c>
      <c r="C7838" t="s">
        <v>11157</v>
      </c>
      <c r="D7838" t="s">
        <v>360</v>
      </c>
      <c r="E7838" t="s">
        <v>361</v>
      </c>
      <c r="F7838" t="s">
        <v>4922</v>
      </c>
      <c r="G7838">
        <v>1964196</v>
      </c>
      <c r="H7838" t="s">
        <v>26</v>
      </c>
      <c r="I7838" t="s">
        <v>630</v>
      </c>
      <c r="J7838" t="str">
        <f>"9781509500864"</f>
        <v>9781509500864</v>
      </c>
      <c r="L7838">
        <v>0</v>
      </c>
      <c r="O7838" t="s">
        <v>30</v>
      </c>
      <c r="P7838" t="s">
        <v>29</v>
      </c>
      <c r="Q7838" s="1">
        <v>42269.839212962965</v>
      </c>
      <c r="R7838">
        <v>7</v>
      </c>
      <c r="S7838" t="s">
        <v>363</v>
      </c>
      <c r="T7838" t="s">
        <v>4924</v>
      </c>
      <c r="U7838">
        <v>191</v>
      </c>
      <c r="V7838" s="3">
        <v>42048</v>
      </c>
    </row>
    <row r="7839" spans="1:22" x14ac:dyDescent="0.35">
      <c r="A7839" s="1">
        <v>42269.83902777778</v>
      </c>
      <c r="B7839" s="2">
        <v>1.8518518518518518E-4</v>
      </c>
      <c r="C7839" t="s">
        <v>11157</v>
      </c>
      <c r="D7839" t="s">
        <v>360</v>
      </c>
      <c r="E7839" t="s">
        <v>361</v>
      </c>
      <c r="F7839" t="s">
        <v>4922</v>
      </c>
      <c r="G7839">
        <v>1964196</v>
      </c>
      <c r="H7839" t="s">
        <v>26</v>
      </c>
      <c r="I7839" t="s">
        <v>630</v>
      </c>
      <c r="J7839" t="str">
        <f>"9781509500864"</f>
        <v>9781509500864</v>
      </c>
      <c r="K7839" t="s">
        <v>4613</v>
      </c>
      <c r="L7839">
        <v>3</v>
      </c>
      <c r="O7839" t="s">
        <v>30</v>
      </c>
      <c r="P7839" t="s">
        <v>50</v>
      </c>
      <c r="S7839" t="s">
        <v>363</v>
      </c>
      <c r="T7839" t="s">
        <v>4924</v>
      </c>
      <c r="U7839">
        <v>191</v>
      </c>
      <c r="V7839" s="3">
        <v>42048</v>
      </c>
    </row>
    <row r="7840" spans="1:22" x14ac:dyDescent="0.35">
      <c r="A7840" s="1">
        <v>42269.837453703702</v>
      </c>
      <c r="B7840" s="2">
        <v>0</v>
      </c>
      <c r="C7840" t="s">
        <v>11157</v>
      </c>
      <c r="D7840" t="s">
        <v>360</v>
      </c>
      <c r="E7840" t="s">
        <v>361</v>
      </c>
      <c r="F7840" t="s">
        <v>11429</v>
      </c>
      <c r="G7840">
        <v>2037988</v>
      </c>
      <c r="H7840" t="s">
        <v>26</v>
      </c>
      <c r="I7840" t="s">
        <v>630</v>
      </c>
      <c r="J7840" t="str">
        <f>"9781118950678"</f>
        <v>9781118950678</v>
      </c>
      <c r="L7840">
        <v>0</v>
      </c>
      <c r="O7840" t="s">
        <v>28</v>
      </c>
      <c r="P7840" t="s">
        <v>29</v>
      </c>
      <c r="Q7840" s="1">
        <v>42269.837453703702</v>
      </c>
      <c r="R7840">
        <v>7</v>
      </c>
      <c r="S7840" t="s">
        <v>363</v>
      </c>
      <c r="T7840" t="s">
        <v>11430</v>
      </c>
      <c r="U7840" t="s">
        <v>11431</v>
      </c>
      <c r="V7840" s="3">
        <v>42116</v>
      </c>
    </row>
    <row r="7841" spans="1:22" x14ac:dyDescent="0.35">
      <c r="A7841" s="1">
        <v>42269.837453703702</v>
      </c>
      <c r="B7841" s="2">
        <v>0</v>
      </c>
      <c r="C7841" t="s">
        <v>11157</v>
      </c>
      <c r="D7841" t="s">
        <v>360</v>
      </c>
      <c r="E7841" t="s">
        <v>361</v>
      </c>
      <c r="F7841" t="s">
        <v>11429</v>
      </c>
      <c r="G7841">
        <v>2037988</v>
      </c>
      <c r="H7841" t="s">
        <v>26</v>
      </c>
      <c r="I7841" t="s">
        <v>630</v>
      </c>
      <c r="J7841" t="str">
        <f>"9781118950678"</f>
        <v>9781118950678</v>
      </c>
      <c r="L7841">
        <v>0</v>
      </c>
      <c r="O7841" t="s">
        <v>30</v>
      </c>
      <c r="P7841" t="s">
        <v>29</v>
      </c>
      <c r="Q7841" s="1">
        <v>42269.837453703702</v>
      </c>
      <c r="R7841">
        <v>7</v>
      </c>
      <c r="S7841" t="s">
        <v>363</v>
      </c>
      <c r="T7841" t="s">
        <v>11430</v>
      </c>
      <c r="U7841" t="s">
        <v>11431</v>
      </c>
      <c r="V7841" s="3">
        <v>42116</v>
      </c>
    </row>
    <row r="7842" spans="1:22" x14ac:dyDescent="0.35">
      <c r="A7842" s="1">
        <v>42269.837175925924</v>
      </c>
      <c r="B7842" s="2">
        <v>2.7777777777777778E-4</v>
      </c>
      <c r="C7842" t="s">
        <v>11157</v>
      </c>
      <c r="D7842" t="s">
        <v>360</v>
      </c>
      <c r="E7842" t="s">
        <v>361</v>
      </c>
      <c r="F7842" t="s">
        <v>11429</v>
      </c>
      <c r="G7842">
        <v>2037988</v>
      </c>
      <c r="H7842" t="s">
        <v>26</v>
      </c>
      <c r="I7842" t="s">
        <v>630</v>
      </c>
      <c r="J7842" t="str">
        <f>"9781118950678"</f>
        <v>9781118950678</v>
      </c>
      <c r="K7842" t="s">
        <v>86</v>
      </c>
      <c r="L7842">
        <v>5</v>
      </c>
      <c r="O7842" t="s">
        <v>30</v>
      </c>
      <c r="P7842" t="s">
        <v>50</v>
      </c>
      <c r="S7842" t="s">
        <v>363</v>
      </c>
      <c r="T7842" t="s">
        <v>11430</v>
      </c>
      <c r="U7842" t="s">
        <v>11431</v>
      </c>
      <c r="V7842" s="3">
        <v>42116</v>
      </c>
    </row>
    <row r="7843" spans="1:22" x14ac:dyDescent="0.35">
      <c r="A7843" s="1">
        <v>42269.836736111109</v>
      </c>
      <c r="B7843" s="2">
        <v>2.0833333333333335E-4</v>
      </c>
      <c r="C7843" t="s">
        <v>11157</v>
      </c>
      <c r="D7843" t="s">
        <v>360</v>
      </c>
      <c r="E7843" t="s">
        <v>361</v>
      </c>
      <c r="F7843" t="s">
        <v>11432</v>
      </c>
      <c r="G7843">
        <v>1963821</v>
      </c>
      <c r="H7843" t="s">
        <v>26</v>
      </c>
      <c r="I7843" t="s">
        <v>630</v>
      </c>
      <c r="J7843" t="str">
        <f>"9780745688701"</f>
        <v>9780745688701</v>
      </c>
      <c r="K7843" t="s">
        <v>209</v>
      </c>
      <c r="L7843">
        <v>4</v>
      </c>
      <c r="O7843" t="s">
        <v>30</v>
      </c>
      <c r="P7843" t="s">
        <v>50</v>
      </c>
      <c r="S7843" t="s">
        <v>363</v>
      </c>
      <c r="T7843" t="s">
        <v>11433</v>
      </c>
      <c r="U7843">
        <v>192.10928372999999</v>
      </c>
      <c r="V7843" s="3">
        <v>42037</v>
      </c>
    </row>
    <row r="7844" spans="1:22" x14ac:dyDescent="0.35">
      <c r="A7844" s="1">
        <v>42269.809479166666</v>
      </c>
      <c r="B7844" s="2">
        <v>2.2453703703703702E-3</v>
      </c>
      <c r="C7844" t="s">
        <v>6081</v>
      </c>
      <c r="D7844" t="s">
        <v>1222</v>
      </c>
      <c r="E7844" t="s">
        <v>1223</v>
      </c>
      <c r="F7844" t="s">
        <v>6082</v>
      </c>
      <c r="G7844">
        <v>1925073</v>
      </c>
      <c r="H7844" t="s">
        <v>91</v>
      </c>
      <c r="I7844" t="s">
        <v>69</v>
      </c>
      <c r="J7844" t="str">
        <f>"9781462521128"</f>
        <v>9781462521128</v>
      </c>
      <c r="K7844" t="s">
        <v>11434</v>
      </c>
      <c r="L7844">
        <v>22</v>
      </c>
      <c r="O7844" t="s">
        <v>28</v>
      </c>
      <c r="P7844" t="s">
        <v>47</v>
      </c>
      <c r="Q7844" s="1">
        <v>42269.809131944443</v>
      </c>
      <c r="R7844">
        <v>1</v>
      </c>
      <c r="S7844" t="s">
        <v>1226</v>
      </c>
      <c r="T7844" t="s">
        <v>6085</v>
      </c>
      <c r="U7844">
        <v>372.48</v>
      </c>
      <c r="V7844" s="3">
        <v>42178</v>
      </c>
    </row>
    <row r="7845" spans="1:22" x14ac:dyDescent="0.35">
      <c r="A7845" s="1">
        <v>42269.809131944443</v>
      </c>
      <c r="B7845" s="2">
        <v>2.8935185185185189E-4</v>
      </c>
      <c r="C7845" t="s">
        <v>6081</v>
      </c>
      <c r="D7845" t="s">
        <v>1222</v>
      </c>
      <c r="E7845" t="s">
        <v>1223</v>
      </c>
      <c r="F7845" t="s">
        <v>6082</v>
      </c>
      <c r="G7845">
        <v>1925073</v>
      </c>
      <c r="H7845" t="s">
        <v>91</v>
      </c>
      <c r="I7845" t="s">
        <v>69</v>
      </c>
      <c r="J7845" t="str">
        <f>"9781462521128"</f>
        <v>9781462521128</v>
      </c>
      <c r="K7845" t="s">
        <v>11435</v>
      </c>
      <c r="L7845">
        <v>3</v>
      </c>
      <c r="O7845" t="s">
        <v>30</v>
      </c>
      <c r="P7845" t="s">
        <v>47</v>
      </c>
      <c r="Q7845" s="1">
        <v>42269.809131944443</v>
      </c>
      <c r="R7845">
        <v>1</v>
      </c>
      <c r="S7845" t="s">
        <v>1226</v>
      </c>
      <c r="T7845" t="s">
        <v>6085</v>
      </c>
      <c r="U7845">
        <v>372.48</v>
      </c>
      <c r="V7845" s="3">
        <v>42178</v>
      </c>
    </row>
    <row r="7846" spans="1:22" x14ac:dyDescent="0.35">
      <c r="A7846" s="1">
        <v>42269.808831018519</v>
      </c>
      <c r="B7846" s="2">
        <v>4.8611111111111104E-4</v>
      </c>
      <c r="C7846" t="s">
        <v>106</v>
      </c>
      <c r="D7846" t="s">
        <v>23</v>
      </c>
      <c r="E7846" t="s">
        <v>24</v>
      </c>
      <c r="F7846" t="s">
        <v>3559</v>
      </c>
      <c r="G7846">
        <v>1217954</v>
      </c>
      <c r="H7846" t="s">
        <v>45</v>
      </c>
      <c r="I7846" t="s">
        <v>3560</v>
      </c>
      <c r="J7846" t="str">
        <f>"9781409457558"</f>
        <v>9781409457558</v>
      </c>
      <c r="K7846" t="s">
        <v>11436</v>
      </c>
      <c r="L7846">
        <v>12</v>
      </c>
      <c r="O7846" t="s">
        <v>30</v>
      </c>
      <c r="P7846" t="s">
        <v>42</v>
      </c>
      <c r="S7846" t="s">
        <v>31</v>
      </c>
      <c r="T7846" t="s">
        <v>3562</v>
      </c>
      <c r="U7846" t="s">
        <v>3563</v>
      </c>
      <c r="V7846" s="3">
        <v>41575</v>
      </c>
    </row>
    <row r="7847" spans="1:22" x14ac:dyDescent="0.35">
      <c r="A7847" s="1">
        <v>42269.803356481483</v>
      </c>
      <c r="B7847" s="2">
        <v>1.5046296296296297E-4</v>
      </c>
      <c r="C7847" t="s">
        <v>11437</v>
      </c>
      <c r="D7847" t="s">
        <v>23</v>
      </c>
      <c r="E7847" t="s">
        <v>24</v>
      </c>
      <c r="F7847" t="s">
        <v>1571</v>
      </c>
      <c r="G7847">
        <v>1707328</v>
      </c>
      <c r="H7847" t="s">
        <v>84</v>
      </c>
      <c r="I7847" t="s">
        <v>150</v>
      </c>
      <c r="J7847" t="str">
        <f>"9780520958876"</f>
        <v>9780520958876</v>
      </c>
      <c r="K7847" t="s">
        <v>11438</v>
      </c>
      <c r="L7847">
        <v>11</v>
      </c>
      <c r="O7847" t="s">
        <v>30</v>
      </c>
      <c r="P7847" t="s">
        <v>42</v>
      </c>
      <c r="S7847" t="s">
        <v>31</v>
      </c>
      <c r="T7847" t="s">
        <v>1573</v>
      </c>
      <c r="U7847">
        <v>780.90329999999994</v>
      </c>
      <c r="V7847" s="3">
        <v>41797</v>
      </c>
    </row>
    <row r="7848" spans="1:22" x14ac:dyDescent="0.35">
      <c r="A7848" s="1">
        <v>42269.80201388889</v>
      </c>
      <c r="B7848" s="2">
        <v>3.4722222222222224E-4</v>
      </c>
      <c r="C7848" t="s">
        <v>11288</v>
      </c>
      <c r="D7848" t="s">
        <v>125</v>
      </c>
      <c r="E7848" t="s">
        <v>126</v>
      </c>
      <c r="F7848" t="s">
        <v>11439</v>
      </c>
      <c r="G7848">
        <v>1884239</v>
      </c>
      <c r="H7848" t="s">
        <v>526</v>
      </c>
      <c r="I7848" t="s">
        <v>150</v>
      </c>
      <c r="J7848" t="str">
        <f>"9780226174624"</f>
        <v>9780226174624</v>
      </c>
      <c r="K7848" t="s">
        <v>11440</v>
      </c>
      <c r="L7848">
        <v>14</v>
      </c>
      <c r="O7848" t="s">
        <v>30</v>
      </c>
      <c r="P7848" t="s">
        <v>50</v>
      </c>
      <c r="S7848" t="s">
        <v>128</v>
      </c>
      <c r="T7848" t="s">
        <v>11441</v>
      </c>
      <c r="U7848" t="s">
        <v>11442</v>
      </c>
      <c r="V7848" s="3">
        <v>42030</v>
      </c>
    </row>
    <row r="7849" spans="1:22" x14ac:dyDescent="0.35">
      <c r="A7849" s="1">
        <v>42269.801481481481</v>
      </c>
      <c r="B7849" s="2">
        <v>7.6504629629629631E-3</v>
      </c>
      <c r="C7849" t="s">
        <v>6081</v>
      </c>
      <c r="D7849" t="s">
        <v>1222</v>
      </c>
      <c r="E7849" t="s">
        <v>1223</v>
      </c>
      <c r="F7849" t="s">
        <v>6082</v>
      </c>
      <c r="G7849">
        <v>1925073</v>
      </c>
      <c r="H7849" t="s">
        <v>91</v>
      </c>
      <c r="I7849" t="s">
        <v>69</v>
      </c>
      <c r="J7849" t="str">
        <f>"9781462521128"</f>
        <v>9781462521128</v>
      </c>
      <c r="K7849" t="s">
        <v>11443</v>
      </c>
      <c r="L7849">
        <v>23</v>
      </c>
      <c r="O7849" t="s">
        <v>30</v>
      </c>
      <c r="P7849" t="s">
        <v>50</v>
      </c>
      <c r="S7849" t="s">
        <v>1226</v>
      </c>
      <c r="T7849" t="s">
        <v>6085</v>
      </c>
      <c r="U7849">
        <v>372.48</v>
      </c>
      <c r="V7849" s="3">
        <v>42178</v>
      </c>
    </row>
    <row r="7850" spans="1:22" x14ac:dyDescent="0.35">
      <c r="A7850" s="1">
        <v>42269.768333333333</v>
      </c>
      <c r="B7850" s="2">
        <v>3.3564814814814812E-4</v>
      </c>
      <c r="C7850" t="s">
        <v>11444</v>
      </c>
      <c r="D7850" t="s">
        <v>35</v>
      </c>
      <c r="E7850" t="s">
        <v>36</v>
      </c>
      <c r="F7850" t="s">
        <v>3186</v>
      </c>
      <c r="G7850">
        <v>699744</v>
      </c>
      <c r="H7850" t="s">
        <v>26</v>
      </c>
      <c r="I7850" t="s">
        <v>3187</v>
      </c>
      <c r="J7850" t="str">
        <f>"9781118585818"</f>
        <v>9781118585818</v>
      </c>
      <c r="K7850" t="s">
        <v>11445</v>
      </c>
      <c r="L7850">
        <v>9</v>
      </c>
      <c r="O7850" t="s">
        <v>30</v>
      </c>
      <c r="P7850" t="s">
        <v>42</v>
      </c>
      <c r="S7850" t="s">
        <v>40</v>
      </c>
      <c r="T7850" t="s">
        <v>3188</v>
      </c>
      <c r="U7850">
        <v>621.36</v>
      </c>
      <c r="V7850" s="3">
        <v>41310</v>
      </c>
    </row>
    <row r="7851" spans="1:22" x14ac:dyDescent="0.35">
      <c r="A7851" s="1">
        <v>42269.768113425926</v>
      </c>
      <c r="B7851" s="2">
        <v>3.0787037037037037E-3</v>
      </c>
      <c r="C7851" t="s">
        <v>2383</v>
      </c>
      <c r="D7851" t="s">
        <v>35</v>
      </c>
      <c r="E7851" t="s">
        <v>36</v>
      </c>
      <c r="F7851" t="s">
        <v>3186</v>
      </c>
      <c r="G7851">
        <v>699744</v>
      </c>
      <c r="H7851" t="s">
        <v>26</v>
      </c>
      <c r="I7851" t="s">
        <v>3187</v>
      </c>
      <c r="J7851" t="str">
        <f>"9781118585818"</f>
        <v>9781118585818</v>
      </c>
      <c r="K7851" t="s">
        <v>11446</v>
      </c>
      <c r="L7851">
        <v>18</v>
      </c>
      <c r="O7851" t="s">
        <v>30</v>
      </c>
      <c r="P7851" t="s">
        <v>42</v>
      </c>
      <c r="S7851" t="s">
        <v>40</v>
      </c>
      <c r="T7851" t="s">
        <v>3188</v>
      </c>
      <c r="U7851">
        <v>621.36</v>
      </c>
      <c r="V7851" s="3">
        <v>41310</v>
      </c>
    </row>
    <row r="7852" spans="1:22" x14ac:dyDescent="0.35">
      <c r="A7852" s="1">
        <v>42269.767974537041</v>
      </c>
      <c r="B7852" s="2">
        <v>1.1921296296296296E-3</v>
      </c>
      <c r="C7852" t="s">
        <v>11447</v>
      </c>
      <c r="D7852" t="s">
        <v>35</v>
      </c>
      <c r="E7852" t="s">
        <v>36</v>
      </c>
      <c r="F7852" t="s">
        <v>3186</v>
      </c>
      <c r="G7852">
        <v>699744</v>
      </c>
      <c r="H7852" t="s">
        <v>26</v>
      </c>
      <c r="I7852" t="s">
        <v>3187</v>
      </c>
      <c r="J7852" t="str">
        <f>"9781118585818"</f>
        <v>9781118585818</v>
      </c>
      <c r="K7852" t="s">
        <v>11448</v>
      </c>
      <c r="L7852">
        <v>13</v>
      </c>
      <c r="O7852" t="s">
        <v>30</v>
      </c>
      <c r="P7852" t="s">
        <v>42</v>
      </c>
      <c r="S7852" t="s">
        <v>40</v>
      </c>
      <c r="T7852" t="s">
        <v>3188</v>
      </c>
      <c r="U7852">
        <v>621.36</v>
      </c>
      <c r="V7852" s="3">
        <v>41310</v>
      </c>
    </row>
    <row r="7853" spans="1:22" x14ac:dyDescent="0.35">
      <c r="A7853" s="1">
        <v>42269.767881944441</v>
      </c>
      <c r="B7853" s="2">
        <v>1.1574074074074073E-3</v>
      </c>
      <c r="C7853" t="s">
        <v>11449</v>
      </c>
      <c r="D7853" t="s">
        <v>35</v>
      </c>
      <c r="E7853" t="s">
        <v>36</v>
      </c>
      <c r="F7853" t="s">
        <v>3186</v>
      </c>
      <c r="G7853">
        <v>699744</v>
      </c>
      <c r="H7853" t="s">
        <v>26</v>
      </c>
      <c r="I7853" t="s">
        <v>3187</v>
      </c>
      <c r="J7853" t="str">
        <f>"9781118585818"</f>
        <v>9781118585818</v>
      </c>
      <c r="K7853" t="s">
        <v>11450</v>
      </c>
      <c r="L7853">
        <v>16</v>
      </c>
      <c r="O7853" t="s">
        <v>30</v>
      </c>
      <c r="P7853" t="s">
        <v>42</v>
      </c>
      <c r="S7853" t="s">
        <v>40</v>
      </c>
      <c r="T7853" t="s">
        <v>3188</v>
      </c>
      <c r="U7853">
        <v>621.36</v>
      </c>
      <c r="V7853" s="3">
        <v>41310</v>
      </c>
    </row>
    <row r="7854" spans="1:22" x14ac:dyDescent="0.35">
      <c r="A7854" s="1">
        <v>42269.753657407404</v>
      </c>
      <c r="B7854" s="2">
        <v>4.2731481481481481E-2</v>
      </c>
      <c r="C7854" t="s">
        <v>11380</v>
      </c>
      <c r="D7854" t="s">
        <v>23</v>
      </c>
      <c r="E7854" t="s">
        <v>24</v>
      </c>
      <c r="F7854" t="s">
        <v>3559</v>
      </c>
      <c r="G7854">
        <v>1217954</v>
      </c>
      <c r="H7854" t="s">
        <v>45</v>
      </c>
      <c r="I7854" t="s">
        <v>3560</v>
      </c>
      <c r="J7854" t="str">
        <f>"9781409457558"</f>
        <v>9781409457558</v>
      </c>
      <c r="K7854" t="s">
        <v>11451</v>
      </c>
      <c r="L7854">
        <v>20</v>
      </c>
      <c r="O7854" t="s">
        <v>30</v>
      </c>
      <c r="P7854" t="s">
        <v>29</v>
      </c>
      <c r="Q7854" s="1">
        <v>42265.002164351848</v>
      </c>
      <c r="R7854">
        <v>7</v>
      </c>
      <c r="S7854" t="s">
        <v>31</v>
      </c>
      <c r="T7854" t="s">
        <v>3562</v>
      </c>
      <c r="U7854" t="s">
        <v>3563</v>
      </c>
      <c r="V7854" s="3">
        <v>41575</v>
      </c>
    </row>
    <row r="7855" spans="1:22" x14ac:dyDescent="0.35">
      <c r="A7855" s="1">
        <v>42269.750034722223</v>
      </c>
      <c r="B7855" s="2">
        <v>4.6296296296296294E-5</v>
      </c>
      <c r="C7855" t="s">
        <v>3519</v>
      </c>
      <c r="D7855" t="s">
        <v>23</v>
      </c>
      <c r="E7855" t="s">
        <v>24</v>
      </c>
      <c r="F7855" t="s">
        <v>3228</v>
      </c>
      <c r="G7855">
        <v>1115640</v>
      </c>
      <c r="H7855" t="s">
        <v>26</v>
      </c>
      <c r="I7855" t="s">
        <v>3229</v>
      </c>
      <c r="J7855" t="str">
        <f>"9781118419090"</f>
        <v>9781118419090</v>
      </c>
      <c r="K7855" t="s">
        <v>33</v>
      </c>
      <c r="L7855">
        <v>3</v>
      </c>
      <c r="O7855" t="s">
        <v>30</v>
      </c>
      <c r="P7855" t="s">
        <v>29</v>
      </c>
      <c r="Q7855" s="1">
        <v>42265.688692129632</v>
      </c>
      <c r="R7855">
        <v>7</v>
      </c>
      <c r="S7855" t="s">
        <v>31</v>
      </c>
      <c r="T7855" t="s">
        <v>3231</v>
      </c>
      <c r="U7855">
        <v>624</v>
      </c>
      <c r="V7855" s="3">
        <v>41296</v>
      </c>
    </row>
    <row r="7856" spans="1:22" x14ac:dyDescent="0.35">
      <c r="A7856" s="1">
        <v>42269.741423611114</v>
      </c>
      <c r="B7856" s="2">
        <v>3.9560185185185184E-2</v>
      </c>
      <c r="C7856" t="s">
        <v>106</v>
      </c>
      <c r="D7856" t="s">
        <v>23</v>
      </c>
      <c r="E7856" t="s">
        <v>24</v>
      </c>
      <c r="F7856" t="s">
        <v>3228</v>
      </c>
      <c r="G7856">
        <v>1115640</v>
      </c>
      <c r="H7856" t="s">
        <v>26</v>
      </c>
      <c r="I7856" t="s">
        <v>3229</v>
      </c>
      <c r="J7856" t="str">
        <f>"9781118419090"</f>
        <v>9781118419090</v>
      </c>
      <c r="K7856" t="s">
        <v>11452</v>
      </c>
      <c r="L7856">
        <v>43</v>
      </c>
      <c r="O7856" t="s">
        <v>30</v>
      </c>
      <c r="P7856" t="s">
        <v>29</v>
      </c>
      <c r="Q7856" s="1">
        <v>42265.564884259256</v>
      </c>
      <c r="R7856">
        <v>7</v>
      </c>
      <c r="S7856" t="s">
        <v>31</v>
      </c>
      <c r="T7856" t="s">
        <v>3231</v>
      </c>
      <c r="U7856">
        <v>624</v>
      </c>
      <c r="V7856" s="3">
        <v>41296</v>
      </c>
    </row>
    <row r="7857" spans="1:22" x14ac:dyDescent="0.35">
      <c r="A7857" s="1">
        <v>42269.694189814814</v>
      </c>
      <c r="B7857" s="2">
        <v>6.7129629629629622E-3</v>
      </c>
      <c r="C7857" t="s">
        <v>4681</v>
      </c>
      <c r="D7857" t="s">
        <v>1222</v>
      </c>
      <c r="E7857" t="s">
        <v>1223</v>
      </c>
      <c r="F7857" t="s">
        <v>3263</v>
      </c>
      <c r="G7857">
        <v>1840835</v>
      </c>
      <c r="H7857" t="s">
        <v>26</v>
      </c>
      <c r="I7857" t="s">
        <v>108</v>
      </c>
      <c r="J7857" t="str">
        <f>"9781118950166"</f>
        <v>9781118950166</v>
      </c>
      <c r="K7857" t="s">
        <v>11453</v>
      </c>
      <c r="L7857">
        <v>5</v>
      </c>
      <c r="O7857" t="s">
        <v>28</v>
      </c>
      <c r="P7857" t="s">
        <v>29</v>
      </c>
      <c r="Q7857" s="1">
        <v>42265.764155092591</v>
      </c>
      <c r="R7857">
        <v>7</v>
      </c>
      <c r="S7857" t="s">
        <v>1226</v>
      </c>
      <c r="T7857" t="s">
        <v>3264</v>
      </c>
      <c r="U7857">
        <v>338.10923789999998</v>
      </c>
      <c r="V7857" s="3">
        <v>41953</v>
      </c>
    </row>
    <row r="7858" spans="1:22" x14ac:dyDescent="0.35">
      <c r="A7858" s="1">
        <v>42269.693518518521</v>
      </c>
      <c r="B7858" s="2">
        <v>0</v>
      </c>
      <c r="C7858" t="s">
        <v>4681</v>
      </c>
      <c r="D7858" t="s">
        <v>1222</v>
      </c>
      <c r="E7858" t="s">
        <v>1223</v>
      </c>
      <c r="F7858" t="s">
        <v>3263</v>
      </c>
      <c r="G7858">
        <v>1840835</v>
      </c>
      <c r="H7858" t="s">
        <v>26</v>
      </c>
      <c r="I7858" t="s">
        <v>108</v>
      </c>
      <c r="J7858" t="str">
        <f>"9781118950166"</f>
        <v>9781118950166</v>
      </c>
      <c r="L7858">
        <v>0</v>
      </c>
      <c r="O7858" t="s">
        <v>28</v>
      </c>
      <c r="P7858" t="s">
        <v>29</v>
      </c>
      <c r="Q7858" s="1">
        <v>42265.764155092591</v>
      </c>
      <c r="R7858">
        <v>7</v>
      </c>
      <c r="S7858" t="s">
        <v>1226</v>
      </c>
      <c r="T7858" t="s">
        <v>3264</v>
      </c>
      <c r="U7858">
        <v>338.10923789999998</v>
      </c>
      <c r="V7858" s="3">
        <v>41953</v>
      </c>
    </row>
    <row r="7859" spans="1:22" x14ac:dyDescent="0.35">
      <c r="A7859" s="1">
        <v>42269.692847222221</v>
      </c>
      <c r="B7859" s="2">
        <v>0</v>
      </c>
      <c r="C7859" t="s">
        <v>4681</v>
      </c>
      <c r="D7859" t="s">
        <v>1222</v>
      </c>
      <c r="E7859" t="s">
        <v>1223</v>
      </c>
      <c r="F7859" t="s">
        <v>3263</v>
      </c>
      <c r="G7859">
        <v>1840835</v>
      </c>
      <c r="H7859" t="s">
        <v>26</v>
      </c>
      <c r="I7859" t="s">
        <v>108</v>
      </c>
      <c r="J7859" t="str">
        <f>"9781118950166"</f>
        <v>9781118950166</v>
      </c>
      <c r="L7859">
        <v>0</v>
      </c>
      <c r="O7859" t="s">
        <v>28</v>
      </c>
      <c r="P7859" t="s">
        <v>29</v>
      </c>
      <c r="Q7859" s="1">
        <v>42265.764155092591</v>
      </c>
      <c r="R7859">
        <v>7</v>
      </c>
      <c r="S7859" t="s">
        <v>1226</v>
      </c>
      <c r="T7859" t="s">
        <v>3264</v>
      </c>
      <c r="U7859">
        <v>338.10923789999998</v>
      </c>
      <c r="V7859" s="3">
        <v>41953</v>
      </c>
    </row>
    <row r="7860" spans="1:22" x14ac:dyDescent="0.35">
      <c r="A7860" s="1">
        <v>42269.692696759259</v>
      </c>
      <c r="B7860" s="2">
        <v>1.7361111111111112E-4</v>
      </c>
      <c r="C7860" t="s">
        <v>210</v>
      </c>
      <c r="D7860" t="s">
        <v>211</v>
      </c>
      <c r="E7860" t="s">
        <v>212</v>
      </c>
      <c r="F7860" t="s">
        <v>11454</v>
      </c>
      <c r="G7860">
        <v>1163670</v>
      </c>
      <c r="H7860" t="s">
        <v>26</v>
      </c>
      <c r="I7860" t="s">
        <v>27</v>
      </c>
      <c r="J7860" t="str">
        <f>"9781118502501"</f>
        <v>9781118502501</v>
      </c>
      <c r="K7860" t="s">
        <v>11455</v>
      </c>
      <c r="L7860">
        <v>7</v>
      </c>
      <c r="O7860" t="s">
        <v>30</v>
      </c>
      <c r="P7860" t="s">
        <v>47</v>
      </c>
      <c r="Q7860" s="1">
        <v>42269.692696759259</v>
      </c>
      <c r="R7860">
        <v>1</v>
      </c>
      <c r="S7860" t="s">
        <v>214</v>
      </c>
      <c r="T7860" t="s">
        <v>11456</v>
      </c>
      <c r="U7860">
        <v>448.24209999999999</v>
      </c>
      <c r="V7860" s="3">
        <v>41362</v>
      </c>
    </row>
    <row r="7861" spans="1:22" x14ac:dyDescent="0.35">
      <c r="A7861" s="1">
        <v>42269.687986111108</v>
      </c>
      <c r="B7861" s="2">
        <v>4.31712962962963E-3</v>
      </c>
      <c r="C7861" t="s">
        <v>4681</v>
      </c>
      <c r="D7861" t="s">
        <v>1222</v>
      </c>
      <c r="E7861" t="s">
        <v>1223</v>
      </c>
      <c r="F7861" t="s">
        <v>3263</v>
      </c>
      <c r="G7861">
        <v>1840835</v>
      </c>
      <c r="H7861" t="s">
        <v>26</v>
      </c>
      <c r="I7861" t="s">
        <v>108</v>
      </c>
      <c r="J7861" t="str">
        <f>"9781118950166"</f>
        <v>9781118950166</v>
      </c>
      <c r="K7861" t="s">
        <v>11457</v>
      </c>
      <c r="L7861">
        <v>19</v>
      </c>
      <c r="O7861" t="s">
        <v>30</v>
      </c>
      <c r="P7861" t="s">
        <v>29</v>
      </c>
      <c r="Q7861" s="1">
        <v>42265.764155092591</v>
      </c>
      <c r="R7861">
        <v>7</v>
      </c>
      <c r="S7861" t="s">
        <v>1226</v>
      </c>
      <c r="T7861" t="s">
        <v>3264</v>
      </c>
      <c r="U7861">
        <v>338.10923789999998</v>
      </c>
      <c r="V7861" s="3">
        <v>41953</v>
      </c>
    </row>
    <row r="7862" spans="1:22" x14ac:dyDescent="0.35">
      <c r="A7862" s="1">
        <v>42269.683032407411</v>
      </c>
      <c r="B7862" s="2">
        <v>5.3240740740740744E-4</v>
      </c>
      <c r="C7862" t="s">
        <v>11458</v>
      </c>
      <c r="D7862" t="s">
        <v>23</v>
      </c>
      <c r="E7862" t="s">
        <v>24</v>
      </c>
      <c r="F7862" t="s">
        <v>11459</v>
      </c>
      <c r="G7862">
        <v>1661235</v>
      </c>
      <c r="H7862" t="s">
        <v>45</v>
      </c>
      <c r="I7862" t="s">
        <v>445</v>
      </c>
      <c r="J7862" t="str">
        <f>"9781472412515"</f>
        <v>9781472412515</v>
      </c>
      <c r="K7862" t="s">
        <v>11460</v>
      </c>
      <c r="L7862">
        <v>17</v>
      </c>
      <c r="O7862" t="s">
        <v>30</v>
      </c>
      <c r="P7862" t="s">
        <v>50</v>
      </c>
      <c r="S7862" t="s">
        <v>31</v>
      </c>
      <c r="T7862" t="s">
        <v>11461</v>
      </c>
      <c r="U7862">
        <v>332.024</v>
      </c>
      <c r="V7862" s="3">
        <v>41787</v>
      </c>
    </row>
    <row r="7863" spans="1:22" x14ac:dyDescent="0.35">
      <c r="A7863" s="1">
        <v>42269.681770833333</v>
      </c>
      <c r="B7863" s="2">
        <v>1.0925925925925924E-2</v>
      </c>
      <c r="C7863" t="s">
        <v>210</v>
      </c>
      <c r="D7863" t="s">
        <v>211</v>
      </c>
      <c r="E7863" t="s">
        <v>212</v>
      </c>
      <c r="F7863" t="s">
        <v>11454</v>
      </c>
      <c r="G7863">
        <v>1163670</v>
      </c>
      <c r="H7863" t="s">
        <v>26</v>
      </c>
      <c r="I7863" t="s">
        <v>27</v>
      </c>
      <c r="J7863" t="str">
        <f>"9781118502501"</f>
        <v>9781118502501</v>
      </c>
      <c r="K7863" t="s">
        <v>5482</v>
      </c>
      <c r="L7863">
        <v>13</v>
      </c>
      <c r="O7863" t="s">
        <v>30</v>
      </c>
      <c r="P7863" t="s">
        <v>50</v>
      </c>
      <c r="S7863" t="s">
        <v>214</v>
      </c>
      <c r="T7863" t="s">
        <v>11456</v>
      </c>
      <c r="U7863">
        <v>448.24209999999999</v>
      </c>
      <c r="V7863" s="3">
        <v>41362</v>
      </c>
    </row>
    <row r="7864" spans="1:22" x14ac:dyDescent="0.35">
      <c r="A7864" s="1">
        <v>42269.681284722225</v>
      </c>
      <c r="B7864" s="2">
        <v>1.3888888888888889E-4</v>
      </c>
      <c r="C7864" t="s">
        <v>1405</v>
      </c>
      <c r="D7864" t="s">
        <v>423</v>
      </c>
      <c r="E7864" t="s">
        <v>424</v>
      </c>
      <c r="F7864" t="s">
        <v>11462</v>
      </c>
      <c r="G7864">
        <v>1908949</v>
      </c>
      <c r="H7864" t="s">
        <v>26</v>
      </c>
      <c r="I7864" t="s">
        <v>69</v>
      </c>
      <c r="J7864" t="str">
        <f>"9781118314869"</f>
        <v>9781118314869</v>
      </c>
      <c r="K7864" t="s">
        <v>209</v>
      </c>
      <c r="L7864">
        <v>4</v>
      </c>
      <c r="O7864" t="s">
        <v>30</v>
      </c>
      <c r="P7864" t="s">
        <v>50</v>
      </c>
      <c r="S7864" t="s">
        <v>1409</v>
      </c>
      <c r="T7864" t="s">
        <v>11463</v>
      </c>
      <c r="U7864">
        <v>371.94</v>
      </c>
      <c r="V7864" s="3">
        <v>41990</v>
      </c>
    </row>
    <row r="7865" spans="1:22" x14ac:dyDescent="0.35">
      <c r="A7865" s="1">
        <v>42269.66033564815</v>
      </c>
      <c r="B7865" s="2">
        <v>6.9444444444444444E-5</v>
      </c>
      <c r="C7865" t="s">
        <v>2383</v>
      </c>
      <c r="D7865" t="s">
        <v>35</v>
      </c>
      <c r="E7865" t="s">
        <v>36</v>
      </c>
      <c r="F7865" t="s">
        <v>3186</v>
      </c>
      <c r="G7865">
        <v>699744</v>
      </c>
      <c r="H7865" t="s">
        <v>26</v>
      </c>
      <c r="I7865" t="s">
        <v>3187</v>
      </c>
      <c r="J7865" t="str">
        <f>"9781118585818"</f>
        <v>9781118585818</v>
      </c>
      <c r="K7865" t="s">
        <v>7979</v>
      </c>
      <c r="L7865">
        <v>3</v>
      </c>
      <c r="O7865" t="s">
        <v>30</v>
      </c>
      <c r="P7865" t="s">
        <v>42</v>
      </c>
      <c r="S7865" t="s">
        <v>40</v>
      </c>
      <c r="T7865" t="s">
        <v>3188</v>
      </c>
      <c r="U7865">
        <v>621.36</v>
      </c>
      <c r="V7865" s="3">
        <v>41310</v>
      </c>
    </row>
    <row r="7866" spans="1:22" x14ac:dyDescent="0.35">
      <c r="A7866" s="1">
        <v>42269.65216435185</v>
      </c>
      <c r="B7866" s="2">
        <v>6.134259259259259E-4</v>
      </c>
      <c r="C7866" t="s">
        <v>8975</v>
      </c>
      <c r="D7866" t="s">
        <v>23</v>
      </c>
      <c r="E7866" t="s">
        <v>24</v>
      </c>
      <c r="F7866" t="s">
        <v>246</v>
      </c>
      <c r="G7866">
        <v>1682559</v>
      </c>
      <c r="H7866" t="s">
        <v>91</v>
      </c>
      <c r="I7866" t="s">
        <v>247</v>
      </c>
      <c r="J7866" t="str">
        <f>"9781462515431"</f>
        <v>9781462515431</v>
      </c>
      <c r="K7866" t="s">
        <v>11464</v>
      </c>
      <c r="L7866">
        <v>1</v>
      </c>
      <c r="O7866" t="s">
        <v>28</v>
      </c>
      <c r="P7866" t="s">
        <v>29</v>
      </c>
      <c r="Q7866" s="1">
        <v>42269.635995370372</v>
      </c>
      <c r="R7866">
        <v>7</v>
      </c>
      <c r="S7866" t="s">
        <v>31</v>
      </c>
      <c r="T7866" t="s">
        <v>249</v>
      </c>
      <c r="U7866">
        <v>616.89</v>
      </c>
      <c r="V7866" s="3">
        <v>41769</v>
      </c>
    </row>
    <row r="7867" spans="1:22" x14ac:dyDescent="0.35">
      <c r="A7867" s="1">
        <v>42269.643425925926</v>
      </c>
      <c r="B7867" s="2">
        <v>4.6296296296296294E-5</v>
      </c>
      <c r="C7867" t="s">
        <v>11465</v>
      </c>
      <c r="D7867" t="s">
        <v>23</v>
      </c>
      <c r="E7867" t="s">
        <v>24</v>
      </c>
      <c r="F7867" t="s">
        <v>6635</v>
      </c>
      <c r="G7867">
        <v>817871</v>
      </c>
      <c r="H7867" t="s">
        <v>26</v>
      </c>
      <c r="I7867" t="s">
        <v>276</v>
      </c>
      <c r="J7867" t="str">
        <f>"9781118206911"</f>
        <v>9781118206911</v>
      </c>
      <c r="K7867" t="s">
        <v>33</v>
      </c>
      <c r="L7867">
        <v>3</v>
      </c>
      <c r="O7867" t="s">
        <v>30</v>
      </c>
      <c r="P7867" t="s">
        <v>42</v>
      </c>
      <c r="S7867" t="s">
        <v>31</v>
      </c>
      <c r="T7867" t="s">
        <v>6637</v>
      </c>
      <c r="U7867">
        <v>6.74</v>
      </c>
      <c r="V7867" s="3">
        <v>40897</v>
      </c>
    </row>
    <row r="7868" spans="1:22" x14ac:dyDescent="0.35">
      <c r="A7868" s="1">
        <v>42269.635995370372</v>
      </c>
      <c r="B7868" s="2">
        <v>1.383101851851852E-2</v>
      </c>
      <c r="C7868" t="s">
        <v>8975</v>
      </c>
      <c r="D7868" t="s">
        <v>23</v>
      </c>
      <c r="E7868" t="s">
        <v>24</v>
      </c>
      <c r="F7868" t="s">
        <v>246</v>
      </c>
      <c r="G7868">
        <v>1682559</v>
      </c>
      <c r="H7868" t="s">
        <v>91</v>
      </c>
      <c r="I7868" t="s">
        <v>247</v>
      </c>
      <c r="J7868" t="str">
        <f>"9781462515431"</f>
        <v>9781462515431</v>
      </c>
      <c r="K7868" t="s">
        <v>11466</v>
      </c>
      <c r="L7868">
        <v>5</v>
      </c>
      <c r="M7868" t="s">
        <v>11467</v>
      </c>
      <c r="O7868" t="s">
        <v>30</v>
      </c>
      <c r="P7868" t="s">
        <v>29</v>
      </c>
      <c r="Q7868" s="1">
        <v>42269.635995370372</v>
      </c>
      <c r="R7868">
        <v>7</v>
      </c>
      <c r="S7868" t="s">
        <v>31</v>
      </c>
      <c r="T7868" t="s">
        <v>249</v>
      </c>
      <c r="U7868">
        <v>616.89</v>
      </c>
      <c r="V7868" s="3">
        <v>41769</v>
      </c>
    </row>
    <row r="7869" spans="1:22" x14ac:dyDescent="0.35">
      <c r="A7869" s="1">
        <v>42269.63486111111</v>
      </c>
      <c r="B7869" s="2">
        <v>1.1342592592592591E-3</v>
      </c>
      <c r="C7869" t="s">
        <v>8975</v>
      </c>
      <c r="D7869" t="s">
        <v>23</v>
      </c>
      <c r="E7869" t="s">
        <v>24</v>
      </c>
      <c r="F7869" t="s">
        <v>246</v>
      </c>
      <c r="G7869">
        <v>1682559</v>
      </c>
      <c r="H7869" t="s">
        <v>91</v>
      </c>
      <c r="I7869" t="s">
        <v>247</v>
      </c>
      <c r="J7869" t="str">
        <f>"9781462515431"</f>
        <v>9781462515431</v>
      </c>
      <c r="K7869" t="s">
        <v>11468</v>
      </c>
      <c r="L7869">
        <v>24</v>
      </c>
      <c r="O7869" t="s">
        <v>30</v>
      </c>
      <c r="P7869" t="s">
        <v>42</v>
      </c>
      <c r="S7869" t="s">
        <v>31</v>
      </c>
      <c r="T7869" t="s">
        <v>249</v>
      </c>
      <c r="U7869">
        <v>616.89</v>
      </c>
      <c r="V7869" s="3">
        <v>41769</v>
      </c>
    </row>
    <row r="7870" spans="1:22" x14ac:dyDescent="0.35">
      <c r="A7870" s="1">
        <v>42269.63003472222</v>
      </c>
      <c r="B7870" s="2">
        <v>1.6319444444444445E-3</v>
      </c>
      <c r="C7870" t="s">
        <v>11469</v>
      </c>
      <c r="D7870" t="s">
        <v>23</v>
      </c>
      <c r="E7870" t="s">
        <v>24</v>
      </c>
      <c r="F7870" t="s">
        <v>3559</v>
      </c>
      <c r="G7870">
        <v>1217954</v>
      </c>
      <c r="H7870" t="s">
        <v>45</v>
      </c>
      <c r="I7870" t="s">
        <v>3560</v>
      </c>
      <c r="J7870" t="str">
        <f>"9781409457558"</f>
        <v>9781409457558</v>
      </c>
      <c r="K7870" t="s">
        <v>11470</v>
      </c>
      <c r="L7870">
        <v>3</v>
      </c>
      <c r="O7870" t="s">
        <v>28</v>
      </c>
      <c r="P7870" t="s">
        <v>29</v>
      </c>
      <c r="Q7870" s="1">
        <v>42265.174618055556</v>
      </c>
      <c r="R7870">
        <v>7</v>
      </c>
      <c r="S7870" t="s">
        <v>31</v>
      </c>
      <c r="T7870" t="s">
        <v>3562</v>
      </c>
      <c r="U7870" t="s">
        <v>3563</v>
      </c>
      <c r="V7870" s="3">
        <v>41575</v>
      </c>
    </row>
    <row r="7871" spans="1:22" x14ac:dyDescent="0.35">
      <c r="A7871" s="1">
        <v>42269.627453703702</v>
      </c>
      <c r="B7871" s="2">
        <v>4.6296296296296294E-5</v>
      </c>
      <c r="C7871" t="s">
        <v>11471</v>
      </c>
      <c r="D7871" t="s">
        <v>23</v>
      </c>
      <c r="E7871" t="s">
        <v>24</v>
      </c>
      <c r="F7871" t="s">
        <v>6635</v>
      </c>
      <c r="G7871">
        <v>817871</v>
      </c>
      <c r="H7871" t="s">
        <v>26</v>
      </c>
      <c r="I7871" t="s">
        <v>276</v>
      </c>
      <c r="J7871" t="str">
        <f>"9781118206911"</f>
        <v>9781118206911</v>
      </c>
      <c r="K7871" t="s">
        <v>33</v>
      </c>
      <c r="L7871">
        <v>3</v>
      </c>
      <c r="O7871" t="s">
        <v>30</v>
      </c>
      <c r="P7871" t="s">
        <v>42</v>
      </c>
      <c r="S7871" t="s">
        <v>31</v>
      </c>
      <c r="T7871" t="s">
        <v>6637</v>
      </c>
      <c r="U7871">
        <v>6.74</v>
      </c>
      <c r="V7871" s="3">
        <v>40897</v>
      </c>
    </row>
    <row r="7872" spans="1:22" x14ac:dyDescent="0.35">
      <c r="A7872" s="1">
        <v>42269.625671296293</v>
      </c>
      <c r="B7872" s="2">
        <v>1.8171296296296297E-3</v>
      </c>
      <c r="C7872" t="s">
        <v>11469</v>
      </c>
      <c r="D7872" t="s">
        <v>23</v>
      </c>
      <c r="E7872" t="s">
        <v>24</v>
      </c>
      <c r="F7872" t="s">
        <v>3559</v>
      </c>
      <c r="G7872">
        <v>1217954</v>
      </c>
      <c r="H7872" t="s">
        <v>45</v>
      </c>
      <c r="I7872" t="s">
        <v>3560</v>
      </c>
      <c r="J7872" t="str">
        <f>"9781409457558"</f>
        <v>9781409457558</v>
      </c>
      <c r="K7872" t="s">
        <v>11472</v>
      </c>
      <c r="L7872">
        <v>26</v>
      </c>
      <c r="N7872" t="s">
        <v>2404</v>
      </c>
      <c r="O7872" t="s">
        <v>30</v>
      </c>
      <c r="P7872" t="s">
        <v>29</v>
      </c>
      <c r="Q7872" s="1">
        <v>42265.174618055556</v>
      </c>
      <c r="R7872">
        <v>7</v>
      </c>
      <c r="S7872" t="s">
        <v>31</v>
      </c>
      <c r="T7872" t="s">
        <v>3562</v>
      </c>
      <c r="U7872" t="s">
        <v>3563</v>
      </c>
      <c r="V7872" s="3">
        <v>41575</v>
      </c>
    </row>
    <row r="7873" spans="1:22" x14ac:dyDescent="0.35">
      <c r="A7873" s="1">
        <v>42269.619618055556</v>
      </c>
      <c r="B7873" s="2">
        <v>4.1666666666666669E-4</v>
      </c>
      <c r="C7873" t="s">
        <v>3731</v>
      </c>
      <c r="D7873" t="s">
        <v>360</v>
      </c>
      <c r="E7873" t="s">
        <v>361</v>
      </c>
      <c r="F7873" t="s">
        <v>11473</v>
      </c>
      <c r="G7873">
        <v>2057199</v>
      </c>
      <c r="H7873" t="s">
        <v>26</v>
      </c>
      <c r="I7873" t="s">
        <v>10087</v>
      </c>
      <c r="J7873" t="str">
        <f>"9781118756355"</f>
        <v>9781118756355</v>
      </c>
      <c r="K7873" t="s">
        <v>11474</v>
      </c>
      <c r="L7873">
        <v>14</v>
      </c>
      <c r="O7873" t="s">
        <v>30</v>
      </c>
      <c r="P7873" t="s">
        <v>50</v>
      </c>
      <c r="S7873" t="s">
        <v>363</v>
      </c>
      <c r="T7873" t="s">
        <v>11475</v>
      </c>
      <c r="U7873" t="s">
        <v>11476</v>
      </c>
      <c r="V7873" s="3">
        <v>42146</v>
      </c>
    </row>
    <row r="7874" spans="1:22" x14ac:dyDescent="0.35">
      <c r="A7874" s="1">
        <v>42269.619062500002</v>
      </c>
      <c r="B7874" s="2">
        <v>3.5879629629629635E-4</v>
      </c>
      <c r="C7874" t="s">
        <v>3731</v>
      </c>
      <c r="D7874" t="s">
        <v>360</v>
      </c>
      <c r="E7874" t="s">
        <v>361</v>
      </c>
      <c r="F7874" t="s">
        <v>11477</v>
      </c>
      <c r="G7874">
        <v>1936761</v>
      </c>
      <c r="H7874" t="s">
        <v>26</v>
      </c>
      <c r="I7874" t="s">
        <v>10087</v>
      </c>
      <c r="J7874" t="str">
        <f>"9781118522561"</f>
        <v>9781118522561</v>
      </c>
      <c r="K7874" t="s">
        <v>11478</v>
      </c>
      <c r="L7874">
        <v>8</v>
      </c>
      <c r="O7874" t="s">
        <v>30</v>
      </c>
      <c r="P7874" t="s">
        <v>50</v>
      </c>
      <c r="S7874" t="s">
        <v>363</v>
      </c>
      <c r="T7874" t="s">
        <v>11479</v>
      </c>
      <c r="U7874">
        <v>610.73072000000002</v>
      </c>
      <c r="V7874" s="3">
        <v>42033</v>
      </c>
    </row>
    <row r="7875" spans="1:22" x14ac:dyDescent="0.35">
      <c r="A7875" s="1">
        <v>42269.581018518518</v>
      </c>
      <c r="B7875" s="2">
        <v>4.2847222222222224E-2</v>
      </c>
      <c r="C7875" t="s">
        <v>106</v>
      </c>
      <c r="D7875" t="s">
        <v>23</v>
      </c>
      <c r="E7875" t="s">
        <v>24</v>
      </c>
      <c r="F7875" t="s">
        <v>3228</v>
      </c>
      <c r="G7875">
        <v>1115640</v>
      </c>
      <c r="H7875" t="s">
        <v>26</v>
      </c>
      <c r="I7875" t="s">
        <v>3229</v>
      </c>
      <c r="J7875" t="str">
        <f>"9781118419090"</f>
        <v>9781118419090</v>
      </c>
      <c r="K7875" t="s">
        <v>11480</v>
      </c>
      <c r="L7875">
        <v>33</v>
      </c>
      <c r="O7875" t="s">
        <v>30</v>
      </c>
      <c r="P7875" t="s">
        <v>29</v>
      </c>
      <c r="Q7875" s="1">
        <v>42265.564884259256</v>
      </c>
      <c r="R7875">
        <v>7</v>
      </c>
      <c r="S7875" t="s">
        <v>31</v>
      </c>
      <c r="T7875" t="s">
        <v>3231</v>
      </c>
      <c r="U7875">
        <v>624</v>
      </c>
      <c r="V7875" s="3">
        <v>41296</v>
      </c>
    </row>
    <row r="7876" spans="1:22" x14ac:dyDescent="0.35">
      <c r="A7876" s="1">
        <v>42269.568148148152</v>
      </c>
      <c r="B7876" s="2">
        <v>4.6296296296296293E-4</v>
      </c>
      <c r="C7876" t="s">
        <v>11481</v>
      </c>
      <c r="D7876" t="s">
        <v>23</v>
      </c>
      <c r="E7876" t="s">
        <v>24</v>
      </c>
      <c r="F7876" t="s">
        <v>3228</v>
      </c>
      <c r="G7876">
        <v>1115640</v>
      </c>
      <c r="H7876" t="s">
        <v>26</v>
      </c>
      <c r="I7876" t="s">
        <v>3229</v>
      </c>
      <c r="J7876" t="str">
        <f>"9781118419090"</f>
        <v>9781118419090</v>
      </c>
      <c r="K7876" t="s">
        <v>443</v>
      </c>
      <c r="L7876">
        <v>19</v>
      </c>
      <c r="O7876" t="s">
        <v>30</v>
      </c>
      <c r="P7876" t="s">
        <v>42</v>
      </c>
      <c r="S7876" t="s">
        <v>31</v>
      </c>
      <c r="T7876" t="s">
        <v>3231</v>
      </c>
      <c r="U7876">
        <v>624</v>
      </c>
      <c r="V7876" s="3">
        <v>41296</v>
      </c>
    </row>
    <row r="7877" spans="1:22" x14ac:dyDescent="0.35">
      <c r="A7877" s="1">
        <v>42269.549247685187</v>
      </c>
      <c r="B7877" s="2">
        <v>7.4884259259259262E-3</v>
      </c>
      <c r="C7877" t="s">
        <v>4681</v>
      </c>
      <c r="D7877" t="s">
        <v>1222</v>
      </c>
      <c r="E7877" t="s">
        <v>1223</v>
      </c>
      <c r="F7877" t="s">
        <v>3263</v>
      </c>
      <c r="G7877">
        <v>1840835</v>
      </c>
      <c r="H7877" t="s">
        <v>26</v>
      </c>
      <c r="I7877" t="s">
        <v>108</v>
      </c>
      <c r="J7877" t="str">
        <f>"9781118950166"</f>
        <v>9781118950166</v>
      </c>
      <c r="K7877" t="s">
        <v>11482</v>
      </c>
      <c r="L7877">
        <v>30</v>
      </c>
      <c r="O7877" t="s">
        <v>30</v>
      </c>
      <c r="P7877" t="s">
        <v>29</v>
      </c>
      <c r="Q7877" s="1">
        <v>42265.764155092591</v>
      </c>
      <c r="R7877">
        <v>7</v>
      </c>
      <c r="S7877" t="s">
        <v>1226</v>
      </c>
      <c r="T7877" t="s">
        <v>3264</v>
      </c>
      <c r="U7877">
        <v>338.10923789999998</v>
      </c>
      <c r="V7877" s="3">
        <v>41953</v>
      </c>
    </row>
    <row r="7878" spans="1:22" x14ac:dyDescent="0.35">
      <c r="A7878" s="1">
        <v>42269.540648148148</v>
      </c>
      <c r="B7878" s="2">
        <v>4.4189814814814814E-2</v>
      </c>
      <c r="C7878" t="s">
        <v>5411</v>
      </c>
      <c r="D7878" t="s">
        <v>23</v>
      </c>
      <c r="E7878" t="s">
        <v>24</v>
      </c>
      <c r="F7878" t="s">
        <v>1051</v>
      </c>
      <c r="G7878">
        <v>821663</v>
      </c>
      <c r="H7878" t="s">
        <v>26</v>
      </c>
      <c r="I7878" t="s">
        <v>200</v>
      </c>
      <c r="J7878" t="str">
        <f>"9781118168479"</f>
        <v>9781118168479</v>
      </c>
      <c r="K7878" t="s">
        <v>11483</v>
      </c>
      <c r="L7878">
        <v>37</v>
      </c>
      <c r="O7878" t="s">
        <v>30</v>
      </c>
      <c r="P7878" t="s">
        <v>29</v>
      </c>
      <c r="Q7878" s="1">
        <v>42269.454918981479</v>
      </c>
      <c r="R7878">
        <v>7</v>
      </c>
      <c r="S7878" t="s">
        <v>31</v>
      </c>
      <c r="T7878" t="s">
        <v>1053</v>
      </c>
      <c r="U7878">
        <v>729</v>
      </c>
      <c r="V7878" s="3">
        <v>40973</v>
      </c>
    </row>
    <row r="7879" spans="1:22" x14ac:dyDescent="0.35">
      <c r="A7879" s="1">
        <v>42269.538784722223</v>
      </c>
      <c r="B7879" s="2">
        <v>1.1574074074074073E-4</v>
      </c>
      <c r="C7879" t="s">
        <v>11484</v>
      </c>
      <c r="D7879" t="s">
        <v>23</v>
      </c>
      <c r="E7879" t="s">
        <v>24</v>
      </c>
      <c r="F7879" t="s">
        <v>4223</v>
      </c>
      <c r="G7879">
        <v>980956</v>
      </c>
      <c r="H7879" t="s">
        <v>26</v>
      </c>
      <c r="I7879" t="s">
        <v>4224</v>
      </c>
      <c r="J7879" t="str">
        <f>"9781118227251"</f>
        <v>9781118227251</v>
      </c>
      <c r="K7879" t="s">
        <v>209</v>
      </c>
      <c r="L7879">
        <v>4</v>
      </c>
      <c r="O7879" t="s">
        <v>30</v>
      </c>
      <c r="P7879" t="s">
        <v>42</v>
      </c>
      <c r="S7879" t="s">
        <v>31</v>
      </c>
      <c r="T7879" t="s">
        <v>4226</v>
      </c>
      <c r="U7879" t="s">
        <v>4227</v>
      </c>
      <c r="V7879" s="3">
        <v>41113</v>
      </c>
    </row>
    <row r="7880" spans="1:22" x14ac:dyDescent="0.35">
      <c r="A7880" s="1">
        <v>42269.470590277779</v>
      </c>
      <c r="B7880" s="2">
        <v>2.199074074074074E-4</v>
      </c>
      <c r="C7880" t="s">
        <v>4717</v>
      </c>
      <c r="D7880" t="s">
        <v>1222</v>
      </c>
      <c r="E7880" t="s">
        <v>1223</v>
      </c>
      <c r="F7880" t="s">
        <v>3263</v>
      </c>
      <c r="G7880">
        <v>1840835</v>
      </c>
      <c r="H7880" t="s">
        <v>26</v>
      </c>
      <c r="I7880" t="s">
        <v>108</v>
      </c>
      <c r="J7880" t="str">
        <f>"9781118950166"</f>
        <v>9781118950166</v>
      </c>
      <c r="K7880" t="s">
        <v>11485</v>
      </c>
      <c r="L7880">
        <v>8</v>
      </c>
      <c r="O7880" t="s">
        <v>30</v>
      </c>
      <c r="P7880" t="s">
        <v>29</v>
      </c>
      <c r="Q7880" s="1">
        <v>42269.186631944445</v>
      </c>
      <c r="R7880">
        <v>7</v>
      </c>
      <c r="S7880" t="s">
        <v>1226</v>
      </c>
      <c r="T7880" t="s">
        <v>3264</v>
      </c>
      <c r="U7880">
        <v>338.10923789999998</v>
      </c>
      <c r="V7880" s="3">
        <v>41953</v>
      </c>
    </row>
    <row r="7881" spans="1:22" x14ac:dyDescent="0.35">
      <c r="A7881" s="1">
        <v>42269.454918981479</v>
      </c>
      <c r="B7881" s="2">
        <v>3.4722222222222222E-5</v>
      </c>
      <c r="C7881" t="s">
        <v>5411</v>
      </c>
      <c r="D7881" t="s">
        <v>23</v>
      </c>
      <c r="E7881" t="s">
        <v>24</v>
      </c>
      <c r="F7881" t="s">
        <v>1051</v>
      </c>
      <c r="G7881">
        <v>821663</v>
      </c>
      <c r="H7881" t="s">
        <v>26</v>
      </c>
      <c r="I7881" t="s">
        <v>200</v>
      </c>
      <c r="J7881" t="str">
        <f>"9781118168479"</f>
        <v>9781118168479</v>
      </c>
      <c r="K7881" t="s">
        <v>209</v>
      </c>
      <c r="L7881">
        <v>4</v>
      </c>
      <c r="O7881" t="s">
        <v>30</v>
      </c>
      <c r="P7881" t="s">
        <v>29</v>
      </c>
      <c r="Q7881" s="1">
        <v>42269.454918981479</v>
      </c>
      <c r="R7881">
        <v>7</v>
      </c>
      <c r="S7881" t="s">
        <v>31</v>
      </c>
      <c r="T7881" t="s">
        <v>1053</v>
      </c>
      <c r="U7881">
        <v>729</v>
      </c>
      <c r="V7881" s="3">
        <v>40973</v>
      </c>
    </row>
    <row r="7882" spans="1:22" x14ac:dyDescent="0.35">
      <c r="A7882" s="1">
        <v>42269.454918981479</v>
      </c>
      <c r="B7882" s="2">
        <v>0</v>
      </c>
      <c r="C7882" t="s">
        <v>5411</v>
      </c>
      <c r="D7882" t="s">
        <v>23</v>
      </c>
      <c r="E7882" t="s">
        <v>24</v>
      </c>
      <c r="F7882" t="s">
        <v>1051</v>
      </c>
      <c r="G7882">
        <v>821663</v>
      </c>
      <c r="H7882" t="s">
        <v>26</v>
      </c>
      <c r="I7882" t="s">
        <v>200</v>
      </c>
      <c r="J7882" t="str">
        <f>"9781118168479"</f>
        <v>9781118168479</v>
      </c>
      <c r="L7882">
        <v>0</v>
      </c>
      <c r="O7882" t="s">
        <v>30</v>
      </c>
      <c r="P7882" t="s">
        <v>42</v>
      </c>
      <c r="S7882" t="s">
        <v>31</v>
      </c>
      <c r="T7882" t="s">
        <v>1053</v>
      </c>
      <c r="U7882">
        <v>729</v>
      </c>
      <c r="V7882" s="3">
        <v>40973</v>
      </c>
    </row>
    <row r="7883" spans="1:22" x14ac:dyDescent="0.35">
      <c r="A7883" s="1">
        <v>42269.420740740738</v>
      </c>
      <c r="B7883" s="2">
        <v>3.4166666666666672E-2</v>
      </c>
      <c r="C7883" t="s">
        <v>5411</v>
      </c>
      <c r="D7883" t="s">
        <v>23</v>
      </c>
      <c r="E7883" t="s">
        <v>24</v>
      </c>
      <c r="F7883" t="s">
        <v>1051</v>
      </c>
      <c r="G7883">
        <v>821663</v>
      </c>
      <c r="H7883" t="s">
        <v>26</v>
      </c>
      <c r="I7883" t="s">
        <v>200</v>
      </c>
      <c r="J7883" t="str">
        <f>"9781118168479"</f>
        <v>9781118168479</v>
      </c>
      <c r="K7883" t="s">
        <v>11486</v>
      </c>
      <c r="L7883">
        <v>12</v>
      </c>
      <c r="O7883" t="s">
        <v>30</v>
      </c>
      <c r="P7883" t="s">
        <v>29</v>
      </c>
      <c r="Q7883" s="1">
        <v>42262.453344907408</v>
      </c>
      <c r="R7883">
        <v>7</v>
      </c>
      <c r="S7883" t="s">
        <v>31</v>
      </c>
      <c r="T7883" t="s">
        <v>1053</v>
      </c>
      <c r="U7883">
        <v>729</v>
      </c>
      <c r="V7883" s="3">
        <v>40973</v>
      </c>
    </row>
    <row r="7884" spans="1:22" x14ac:dyDescent="0.35">
      <c r="A7884" s="1">
        <v>42269.289837962962</v>
      </c>
      <c r="B7884" s="2">
        <v>4.9305555555555552E-3</v>
      </c>
      <c r="C7884" t="s">
        <v>5411</v>
      </c>
      <c r="D7884" t="s">
        <v>23</v>
      </c>
      <c r="E7884" t="s">
        <v>24</v>
      </c>
      <c r="F7884" t="s">
        <v>1051</v>
      </c>
      <c r="G7884">
        <v>821663</v>
      </c>
      <c r="H7884" t="s">
        <v>26</v>
      </c>
      <c r="I7884" t="s">
        <v>200</v>
      </c>
      <c r="J7884" t="str">
        <f>"9781118168479"</f>
        <v>9781118168479</v>
      </c>
      <c r="K7884" t="s">
        <v>7728</v>
      </c>
      <c r="L7884">
        <v>3</v>
      </c>
      <c r="O7884" t="s">
        <v>28</v>
      </c>
      <c r="P7884" t="s">
        <v>29</v>
      </c>
      <c r="Q7884" s="1">
        <v>42262.453344907408</v>
      </c>
      <c r="R7884">
        <v>7</v>
      </c>
      <c r="S7884" t="s">
        <v>31</v>
      </c>
      <c r="T7884" t="s">
        <v>1053</v>
      </c>
      <c r="U7884">
        <v>729</v>
      </c>
      <c r="V7884" s="3">
        <v>40973</v>
      </c>
    </row>
    <row r="7885" spans="1:22" x14ac:dyDescent="0.35">
      <c r="A7885" s="1">
        <v>42269.227268518516</v>
      </c>
      <c r="B7885" s="2">
        <v>1.292824074074074E-2</v>
      </c>
      <c r="C7885" t="s">
        <v>4717</v>
      </c>
      <c r="D7885" t="s">
        <v>1222</v>
      </c>
      <c r="E7885" t="s">
        <v>1223</v>
      </c>
      <c r="F7885" t="s">
        <v>3263</v>
      </c>
      <c r="G7885">
        <v>1840835</v>
      </c>
      <c r="H7885" t="s">
        <v>26</v>
      </c>
      <c r="I7885" t="s">
        <v>108</v>
      </c>
      <c r="J7885" t="str">
        <f>"9781118950166"</f>
        <v>9781118950166</v>
      </c>
      <c r="K7885" t="s">
        <v>11487</v>
      </c>
      <c r="L7885">
        <v>32</v>
      </c>
      <c r="O7885" t="s">
        <v>30</v>
      </c>
      <c r="P7885" t="s">
        <v>29</v>
      </c>
      <c r="Q7885" s="1">
        <v>42269.186631944445</v>
      </c>
      <c r="R7885">
        <v>7</v>
      </c>
      <c r="S7885" t="s">
        <v>1226</v>
      </c>
      <c r="T7885" t="s">
        <v>3264</v>
      </c>
      <c r="U7885">
        <v>338.10923789999998</v>
      </c>
      <c r="V7885" s="3">
        <v>41953</v>
      </c>
    </row>
    <row r="7886" spans="1:22" x14ac:dyDescent="0.35">
      <c r="A7886" s="1">
        <v>42269.224270833336</v>
      </c>
      <c r="B7886" s="2">
        <v>1.689814814814815E-3</v>
      </c>
      <c r="C7886" t="s">
        <v>4717</v>
      </c>
      <c r="D7886" t="s">
        <v>1222</v>
      </c>
      <c r="E7886" t="s">
        <v>1223</v>
      </c>
      <c r="F7886" t="s">
        <v>3263</v>
      </c>
      <c r="G7886">
        <v>1840835</v>
      </c>
      <c r="H7886" t="s">
        <v>26</v>
      </c>
      <c r="I7886" t="s">
        <v>108</v>
      </c>
      <c r="J7886" t="str">
        <f>"9781118950166"</f>
        <v>9781118950166</v>
      </c>
      <c r="K7886" t="s">
        <v>11488</v>
      </c>
      <c r="L7886">
        <v>20</v>
      </c>
      <c r="O7886" t="s">
        <v>28</v>
      </c>
      <c r="P7886" t="s">
        <v>29</v>
      </c>
      <c r="Q7886" s="1">
        <v>42269.186631944445</v>
      </c>
      <c r="R7886">
        <v>7</v>
      </c>
      <c r="S7886" t="s">
        <v>1226</v>
      </c>
      <c r="T7886" t="s">
        <v>3264</v>
      </c>
      <c r="U7886">
        <v>338.10923789999998</v>
      </c>
      <c r="V7886" s="3">
        <v>41953</v>
      </c>
    </row>
    <row r="7887" spans="1:22" x14ac:dyDescent="0.35">
      <c r="A7887" s="1">
        <v>42269.224016203705</v>
      </c>
      <c r="B7887" s="2">
        <v>4.6296296296296294E-5</v>
      </c>
      <c r="C7887" t="s">
        <v>4717</v>
      </c>
      <c r="D7887" t="s">
        <v>1222</v>
      </c>
      <c r="E7887" t="s">
        <v>1223</v>
      </c>
      <c r="F7887" t="s">
        <v>3263</v>
      </c>
      <c r="G7887">
        <v>1840835</v>
      </c>
      <c r="H7887" t="s">
        <v>26</v>
      </c>
      <c r="I7887" t="s">
        <v>108</v>
      </c>
      <c r="J7887" t="str">
        <f>"9781118950166"</f>
        <v>9781118950166</v>
      </c>
      <c r="K7887" t="s">
        <v>33</v>
      </c>
      <c r="L7887">
        <v>3</v>
      </c>
      <c r="O7887" t="s">
        <v>30</v>
      </c>
      <c r="P7887" t="s">
        <v>29</v>
      </c>
      <c r="Q7887" s="1">
        <v>42269.186631944445</v>
      </c>
      <c r="R7887">
        <v>7</v>
      </c>
      <c r="S7887" t="s">
        <v>1226</v>
      </c>
      <c r="T7887" t="s">
        <v>3264</v>
      </c>
      <c r="U7887">
        <v>338.10923789999998</v>
      </c>
      <c r="V7887" s="3">
        <v>41953</v>
      </c>
    </row>
    <row r="7888" spans="1:22" x14ac:dyDescent="0.35">
      <c r="A7888" s="1">
        <v>42269.22320601852</v>
      </c>
      <c r="B7888" s="2">
        <v>3.1250000000000001E-4</v>
      </c>
      <c r="C7888" t="s">
        <v>4717</v>
      </c>
      <c r="D7888" t="s">
        <v>1222</v>
      </c>
      <c r="E7888" t="s">
        <v>1223</v>
      </c>
      <c r="F7888" t="s">
        <v>3263</v>
      </c>
      <c r="G7888">
        <v>1840835</v>
      </c>
      <c r="H7888" t="s">
        <v>26</v>
      </c>
      <c r="I7888" t="s">
        <v>108</v>
      </c>
      <c r="J7888" t="str">
        <f>"9781118950166"</f>
        <v>9781118950166</v>
      </c>
      <c r="K7888" t="s">
        <v>11489</v>
      </c>
      <c r="L7888">
        <v>27</v>
      </c>
      <c r="O7888" t="s">
        <v>30</v>
      </c>
      <c r="P7888" t="s">
        <v>29</v>
      </c>
      <c r="Q7888" s="1">
        <v>42269.186631944445</v>
      </c>
      <c r="R7888">
        <v>7</v>
      </c>
      <c r="S7888" t="s">
        <v>1226</v>
      </c>
      <c r="T7888" t="s">
        <v>3264</v>
      </c>
      <c r="U7888">
        <v>338.10923789999998</v>
      </c>
      <c r="V7888" s="3">
        <v>41953</v>
      </c>
    </row>
    <row r="7889" spans="1:22" x14ac:dyDescent="0.35">
      <c r="A7889" s="1">
        <v>42269.222129629627</v>
      </c>
      <c r="B7889" s="2">
        <v>3.2407407407407406E-4</v>
      </c>
      <c r="C7889" t="s">
        <v>4717</v>
      </c>
      <c r="D7889" t="s">
        <v>1222</v>
      </c>
      <c r="E7889" t="s">
        <v>1223</v>
      </c>
      <c r="F7889" t="s">
        <v>3263</v>
      </c>
      <c r="G7889">
        <v>1840835</v>
      </c>
      <c r="H7889" t="s">
        <v>26</v>
      </c>
      <c r="I7889" t="s">
        <v>108</v>
      </c>
      <c r="J7889" t="str">
        <f>"9781118950166"</f>
        <v>9781118950166</v>
      </c>
      <c r="K7889" t="s">
        <v>1239</v>
      </c>
      <c r="L7889">
        <v>3</v>
      </c>
      <c r="O7889" t="s">
        <v>30</v>
      </c>
      <c r="P7889" t="s">
        <v>29</v>
      </c>
      <c r="Q7889" s="1">
        <v>42269.186631944445</v>
      </c>
      <c r="R7889">
        <v>7</v>
      </c>
      <c r="S7889" t="s">
        <v>1226</v>
      </c>
      <c r="T7889" t="s">
        <v>3264</v>
      </c>
      <c r="U7889">
        <v>338.10923789999998</v>
      </c>
      <c r="V7889" s="3">
        <v>41953</v>
      </c>
    </row>
    <row r="7890" spans="1:22" x14ac:dyDescent="0.35">
      <c r="A7890" s="1">
        <v>42269.217534722222</v>
      </c>
      <c r="B7890" s="2">
        <v>7.1261574074074074E-2</v>
      </c>
      <c r="C7890" t="s">
        <v>5411</v>
      </c>
      <c r="D7890" t="s">
        <v>23</v>
      </c>
      <c r="E7890" t="s">
        <v>24</v>
      </c>
      <c r="F7890" t="s">
        <v>1051</v>
      </c>
      <c r="G7890">
        <v>821663</v>
      </c>
      <c r="H7890" t="s">
        <v>26</v>
      </c>
      <c r="I7890" t="s">
        <v>200</v>
      </c>
      <c r="J7890" t="str">
        <f>"9781118168479"</f>
        <v>9781118168479</v>
      </c>
      <c r="K7890" t="s">
        <v>11490</v>
      </c>
      <c r="L7890">
        <v>25</v>
      </c>
      <c r="O7890" t="s">
        <v>30</v>
      </c>
      <c r="P7890" t="s">
        <v>29</v>
      </c>
      <c r="Q7890" s="1">
        <v>42262.453344907408</v>
      </c>
      <c r="R7890">
        <v>7</v>
      </c>
      <c r="S7890" t="s">
        <v>31</v>
      </c>
      <c r="T7890" t="s">
        <v>1053</v>
      </c>
      <c r="U7890">
        <v>729</v>
      </c>
      <c r="V7890" s="3">
        <v>40973</v>
      </c>
    </row>
    <row r="7891" spans="1:22" x14ac:dyDescent="0.35">
      <c r="A7891" s="1">
        <v>42269.206712962965</v>
      </c>
      <c r="B7891" s="2">
        <v>9.2592592592592585E-4</v>
      </c>
      <c r="C7891" t="s">
        <v>11232</v>
      </c>
      <c r="D7891" t="s">
        <v>23</v>
      </c>
      <c r="E7891" t="s">
        <v>24</v>
      </c>
      <c r="F7891" t="s">
        <v>4594</v>
      </c>
      <c r="G7891">
        <v>1872281</v>
      </c>
      <c r="H7891" t="s">
        <v>91</v>
      </c>
      <c r="I7891" t="s">
        <v>2133</v>
      </c>
      <c r="J7891" t="str">
        <f>"9781462519606"</f>
        <v>9781462519606</v>
      </c>
      <c r="K7891" t="s">
        <v>11491</v>
      </c>
      <c r="L7891">
        <v>28</v>
      </c>
      <c r="O7891" t="s">
        <v>30</v>
      </c>
      <c r="P7891" t="s">
        <v>29</v>
      </c>
      <c r="Q7891" s="1">
        <v>42267.971597222226</v>
      </c>
      <c r="R7891">
        <v>7</v>
      </c>
      <c r="S7891" t="s">
        <v>31</v>
      </c>
      <c r="T7891" t="s">
        <v>4596</v>
      </c>
      <c r="U7891">
        <v>378.101</v>
      </c>
      <c r="V7891" s="3">
        <v>42150</v>
      </c>
    </row>
    <row r="7892" spans="1:22" x14ac:dyDescent="0.35">
      <c r="A7892" s="1">
        <v>42269.199548611112</v>
      </c>
      <c r="B7892" s="2">
        <v>2.8703703703703708E-3</v>
      </c>
      <c r="C7892" t="s">
        <v>11492</v>
      </c>
      <c r="D7892" t="s">
        <v>211</v>
      </c>
      <c r="E7892" t="s">
        <v>212</v>
      </c>
      <c r="F7892" t="s">
        <v>1639</v>
      </c>
      <c r="G7892">
        <v>821827</v>
      </c>
      <c r="H7892" t="s">
        <v>26</v>
      </c>
      <c r="I7892" t="s">
        <v>120</v>
      </c>
      <c r="J7892" t="str">
        <f>"9781118225349"</f>
        <v>9781118225349</v>
      </c>
      <c r="K7892" t="s">
        <v>11493</v>
      </c>
      <c r="L7892">
        <v>74</v>
      </c>
      <c r="O7892" t="s">
        <v>30</v>
      </c>
      <c r="P7892" t="s">
        <v>29</v>
      </c>
      <c r="Q7892" s="1">
        <v>42268.799814814818</v>
      </c>
      <c r="R7892">
        <v>7</v>
      </c>
      <c r="S7892" t="s">
        <v>214</v>
      </c>
      <c r="T7892" t="s">
        <v>1641</v>
      </c>
      <c r="U7892">
        <v>302</v>
      </c>
      <c r="V7892" s="3">
        <v>41029</v>
      </c>
    </row>
    <row r="7893" spans="1:22" x14ac:dyDescent="0.35">
      <c r="A7893" s="1">
        <v>42269.186631944445</v>
      </c>
      <c r="B7893" s="2">
        <v>3.9791666666666663E-2</v>
      </c>
      <c r="C7893" t="s">
        <v>4717</v>
      </c>
      <c r="D7893" t="s">
        <v>1222</v>
      </c>
      <c r="E7893" t="s">
        <v>1223</v>
      </c>
      <c r="F7893" t="s">
        <v>3263</v>
      </c>
      <c r="G7893">
        <v>1840835</v>
      </c>
      <c r="H7893" t="s">
        <v>26</v>
      </c>
      <c r="I7893" t="s">
        <v>108</v>
      </c>
      <c r="J7893" t="str">
        <f>"9781118950166"</f>
        <v>9781118950166</v>
      </c>
      <c r="K7893" t="s">
        <v>11494</v>
      </c>
      <c r="L7893">
        <v>34</v>
      </c>
      <c r="O7893" t="s">
        <v>30</v>
      </c>
      <c r="P7893" t="s">
        <v>29</v>
      </c>
      <c r="Q7893" s="1">
        <v>42269.186631944445</v>
      </c>
      <c r="R7893">
        <v>7</v>
      </c>
      <c r="S7893" t="s">
        <v>1226</v>
      </c>
      <c r="T7893" t="s">
        <v>3264</v>
      </c>
      <c r="U7893">
        <v>338.10923789999998</v>
      </c>
      <c r="V7893" s="3">
        <v>41953</v>
      </c>
    </row>
    <row r="7894" spans="1:22" x14ac:dyDescent="0.35">
      <c r="A7894" s="1">
        <v>42269.176817129628</v>
      </c>
      <c r="B7894" s="2">
        <v>9.8148148148148144E-3</v>
      </c>
      <c r="C7894" t="s">
        <v>4717</v>
      </c>
      <c r="D7894" t="s">
        <v>1222</v>
      </c>
      <c r="E7894" t="s">
        <v>1223</v>
      </c>
      <c r="F7894" t="s">
        <v>3263</v>
      </c>
      <c r="G7894">
        <v>1840835</v>
      </c>
      <c r="H7894" t="s">
        <v>26</v>
      </c>
      <c r="I7894" t="s">
        <v>108</v>
      </c>
      <c r="J7894" t="str">
        <f>"9781118950166"</f>
        <v>9781118950166</v>
      </c>
      <c r="K7894" t="s">
        <v>11495</v>
      </c>
      <c r="L7894">
        <v>33</v>
      </c>
      <c r="O7894" t="s">
        <v>30</v>
      </c>
      <c r="P7894" t="s">
        <v>42</v>
      </c>
      <c r="S7894" t="s">
        <v>1226</v>
      </c>
      <c r="T7894" t="s">
        <v>3264</v>
      </c>
      <c r="U7894">
        <v>338.10923789999998</v>
      </c>
      <c r="V7894" s="3">
        <v>41953</v>
      </c>
    </row>
    <row r="7895" spans="1:22" x14ac:dyDescent="0.35">
      <c r="A7895" s="1">
        <v>42269.161006944443</v>
      </c>
      <c r="B7895" s="2">
        <v>1.4224537037037037E-2</v>
      </c>
      <c r="C7895" t="s">
        <v>11496</v>
      </c>
      <c r="D7895" t="s">
        <v>1222</v>
      </c>
      <c r="E7895" t="s">
        <v>1223</v>
      </c>
      <c r="F7895" t="s">
        <v>8136</v>
      </c>
      <c r="G7895">
        <v>1190428</v>
      </c>
      <c r="H7895" t="s">
        <v>84</v>
      </c>
      <c r="I7895" t="s">
        <v>38</v>
      </c>
      <c r="J7895" t="str">
        <f>"9780520955066"</f>
        <v>9780520955066</v>
      </c>
      <c r="K7895" t="s">
        <v>11497</v>
      </c>
      <c r="L7895">
        <v>30</v>
      </c>
      <c r="O7895" t="s">
        <v>30</v>
      </c>
      <c r="P7895" t="s">
        <v>29</v>
      </c>
      <c r="Q7895" s="1">
        <v>42269.161006944443</v>
      </c>
      <c r="R7895">
        <v>7</v>
      </c>
      <c r="S7895" t="s">
        <v>1226</v>
      </c>
      <c r="T7895" t="s">
        <v>8138</v>
      </c>
      <c r="U7895" t="s">
        <v>8139</v>
      </c>
      <c r="V7895" s="3">
        <v>41408</v>
      </c>
    </row>
    <row r="7896" spans="1:22" x14ac:dyDescent="0.35">
      <c r="A7896" s="1">
        <v>42269.151863425926</v>
      </c>
      <c r="B7896" s="2">
        <v>5.8854166666666673E-2</v>
      </c>
      <c r="C7896" t="s">
        <v>5552</v>
      </c>
      <c r="D7896" t="s">
        <v>23</v>
      </c>
      <c r="E7896" t="s">
        <v>24</v>
      </c>
      <c r="F7896" t="s">
        <v>3060</v>
      </c>
      <c r="G7896">
        <v>1120279</v>
      </c>
      <c r="H7896" t="s">
        <v>26</v>
      </c>
      <c r="I7896" t="s">
        <v>3061</v>
      </c>
      <c r="J7896" t="str">
        <f>"9781118537671"</f>
        <v>9781118537671</v>
      </c>
      <c r="K7896" t="s">
        <v>2293</v>
      </c>
      <c r="L7896">
        <v>10</v>
      </c>
      <c r="O7896" t="s">
        <v>30</v>
      </c>
      <c r="P7896" t="s">
        <v>29</v>
      </c>
      <c r="Q7896" s="1">
        <v>42269.151863425926</v>
      </c>
      <c r="R7896">
        <v>7</v>
      </c>
      <c r="S7896" t="s">
        <v>31</v>
      </c>
      <c r="T7896" t="s">
        <v>3063</v>
      </c>
      <c r="U7896">
        <v>599.93499999999995</v>
      </c>
      <c r="V7896" s="3">
        <v>41232</v>
      </c>
    </row>
    <row r="7897" spans="1:22" x14ac:dyDescent="0.35">
      <c r="A7897" s="1">
        <v>42269.151597222219</v>
      </c>
      <c r="B7897" s="2">
        <v>2.6620370370370372E-4</v>
      </c>
      <c r="C7897" t="s">
        <v>5552</v>
      </c>
      <c r="D7897" t="s">
        <v>23</v>
      </c>
      <c r="E7897" t="s">
        <v>24</v>
      </c>
      <c r="F7897" t="s">
        <v>3060</v>
      </c>
      <c r="G7897">
        <v>1120279</v>
      </c>
      <c r="H7897" t="s">
        <v>26</v>
      </c>
      <c r="I7897" t="s">
        <v>3061</v>
      </c>
      <c r="J7897" t="str">
        <f>"9781118537671"</f>
        <v>9781118537671</v>
      </c>
      <c r="K7897" t="s">
        <v>202</v>
      </c>
      <c r="L7897">
        <v>3</v>
      </c>
      <c r="O7897" t="s">
        <v>30</v>
      </c>
      <c r="P7897" t="s">
        <v>42</v>
      </c>
      <c r="S7897" t="s">
        <v>31</v>
      </c>
      <c r="T7897" t="s">
        <v>3063</v>
      </c>
      <c r="U7897">
        <v>599.93499999999995</v>
      </c>
      <c r="V7897" s="3">
        <v>41232</v>
      </c>
    </row>
    <row r="7898" spans="1:22" x14ac:dyDescent="0.35">
      <c r="A7898" s="1">
        <v>42269.151319444441</v>
      </c>
      <c r="B7898" s="2">
        <v>9.6874999999999999E-3</v>
      </c>
      <c r="C7898" t="s">
        <v>11496</v>
      </c>
      <c r="D7898" t="s">
        <v>1222</v>
      </c>
      <c r="E7898" t="s">
        <v>1223</v>
      </c>
      <c r="F7898" t="s">
        <v>8136</v>
      </c>
      <c r="G7898">
        <v>1190428</v>
      </c>
      <c r="H7898" t="s">
        <v>84</v>
      </c>
      <c r="I7898" t="s">
        <v>38</v>
      </c>
      <c r="J7898" t="str">
        <f>"9780520955066"</f>
        <v>9780520955066</v>
      </c>
      <c r="K7898" t="s">
        <v>209</v>
      </c>
      <c r="L7898">
        <v>4</v>
      </c>
      <c r="O7898" t="s">
        <v>30</v>
      </c>
      <c r="P7898" t="s">
        <v>42</v>
      </c>
      <c r="S7898" t="s">
        <v>1226</v>
      </c>
      <c r="T7898" t="s">
        <v>8138</v>
      </c>
      <c r="U7898" t="s">
        <v>8139</v>
      </c>
      <c r="V7898" s="3">
        <v>41408</v>
      </c>
    </row>
    <row r="7899" spans="1:22" x14ac:dyDescent="0.35">
      <c r="A7899" s="1">
        <v>42269.139907407407</v>
      </c>
      <c r="B7899" s="2">
        <v>7.291666666666667E-4</v>
      </c>
      <c r="C7899" t="s">
        <v>11498</v>
      </c>
      <c r="D7899" t="s">
        <v>597</v>
      </c>
      <c r="E7899" t="s">
        <v>598</v>
      </c>
      <c r="F7899" t="s">
        <v>2023</v>
      </c>
      <c r="G7899">
        <v>1895286</v>
      </c>
      <c r="H7899" t="s">
        <v>26</v>
      </c>
      <c r="I7899" t="s">
        <v>841</v>
      </c>
      <c r="J7899" t="str">
        <f>"9781119038351"</f>
        <v>9781119038351</v>
      </c>
      <c r="K7899" t="s">
        <v>11499</v>
      </c>
      <c r="L7899">
        <v>6</v>
      </c>
      <c r="O7899" t="s">
        <v>30</v>
      </c>
      <c r="P7899" t="s">
        <v>29</v>
      </c>
      <c r="Q7899" s="1">
        <v>42269.139907407407</v>
      </c>
      <c r="R7899">
        <v>7</v>
      </c>
      <c r="S7899" t="s">
        <v>600</v>
      </c>
      <c r="T7899" t="s">
        <v>2025</v>
      </c>
      <c r="U7899">
        <v>355.61</v>
      </c>
      <c r="V7899" s="3">
        <v>42131</v>
      </c>
    </row>
    <row r="7900" spans="1:22" x14ac:dyDescent="0.35">
      <c r="A7900" s="1">
        <v>42269.134386574071</v>
      </c>
      <c r="B7900" s="2">
        <v>1.5659722222222224E-2</v>
      </c>
      <c r="C7900" t="s">
        <v>106</v>
      </c>
      <c r="D7900" t="s">
        <v>23</v>
      </c>
      <c r="E7900" t="s">
        <v>24</v>
      </c>
      <c r="F7900" t="s">
        <v>3228</v>
      </c>
      <c r="G7900">
        <v>1115640</v>
      </c>
      <c r="H7900" t="s">
        <v>26</v>
      </c>
      <c r="I7900" t="s">
        <v>3229</v>
      </c>
      <c r="J7900" t="str">
        <f>"9781118419090"</f>
        <v>9781118419090</v>
      </c>
      <c r="K7900" t="s">
        <v>11500</v>
      </c>
      <c r="L7900">
        <v>23</v>
      </c>
      <c r="O7900" t="s">
        <v>30</v>
      </c>
      <c r="P7900" t="s">
        <v>29</v>
      </c>
      <c r="Q7900" s="1">
        <v>42265.564884259256</v>
      </c>
      <c r="R7900">
        <v>7</v>
      </c>
      <c r="S7900" t="s">
        <v>31</v>
      </c>
      <c r="T7900" t="s">
        <v>3231</v>
      </c>
      <c r="U7900">
        <v>624</v>
      </c>
      <c r="V7900" s="3">
        <v>41296</v>
      </c>
    </row>
    <row r="7901" spans="1:22" x14ac:dyDescent="0.35">
      <c r="A7901" s="1">
        <v>42269.070300925923</v>
      </c>
      <c r="B7901" s="2">
        <v>6.9606481481481478E-2</v>
      </c>
      <c r="C7901" t="s">
        <v>11498</v>
      </c>
      <c r="D7901" t="s">
        <v>597</v>
      </c>
      <c r="E7901" t="s">
        <v>598</v>
      </c>
      <c r="F7901" t="s">
        <v>2023</v>
      </c>
      <c r="G7901">
        <v>1895286</v>
      </c>
      <c r="H7901" t="s">
        <v>26</v>
      </c>
      <c r="I7901" t="s">
        <v>841</v>
      </c>
      <c r="J7901" t="str">
        <f>"9781119038351"</f>
        <v>9781119038351</v>
      </c>
      <c r="K7901" t="s">
        <v>11501</v>
      </c>
      <c r="L7901">
        <v>15</v>
      </c>
      <c r="O7901" t="s">
        <v>30</v>
      </c>
      <c r="P7901" t="s">
        <v>50</v>
      </c>
      <c r="S7901" t="s">
        <v>600</v>
      </c>
      <c r="T7901" t="s">
        <v>2025</v>
      </c>
      <c r="U7901">
        <v>355.61</v>
      </c>
      <c r="V7901" s="3">
        <v>42131</v>
      </c>
    </row>
    <row r="7902" spans="1:22" x14ac:dyDescent="0.35">
      <c r="A7902" s="1">
        <v>42269.069953703707</v>
      </c>
      <c r="B7902" s="2">
        <v>4.6296296296296294E-5</v>
      </c>
      <c r="C7902" t="s">
        <v>11498</v>
      </c>
      <c r="D7902" t="s">
        <v>597</v>
      </c>
      <c r="E7902" t="s">
        <v>598</v>
      </c>
      <c r="F7902" t="s">
        <v>6985</v>
      </c>
      <c r="G7902">
        <v>1183913</v>
      </c>
      <c r="H7902" t="s">
        <v>26</v>
      </c>
      <c r="I7902" t="s">
        <v>5549</v>
      </c>
      <c r="J7902" t="str">
        <f>"9781118446423"</f>
        <v>9781118446423</v>
      </c>
      <c r="K7902" t="s">
        <v>1300</v>
      </c>
      <c r="L7902">
        <v>2</v>
      </c>
      <c r="O7902" t="s">
        <v>30</v>
      </c>
      <c r="P7902" t="s">
        <v>42</v>
      </c>
      <c r="S7902" t="s">
        <v>600</v>
      </c>
      <c r="T7902" t="s">
        <v>6987</v>
      </c>
      <c r="U7902">
        <v>621.38099999999997</v>
      </c>
      <c r="V7902" s="3">
        <v>41393</v>
      </c>
    </row>
    <row r="7903" spans="1:22" x14ac:dyDescent="0.35">
      <c r="A7903" s="1">
        <v>42269.054675925923</v>
      </c>
      <c r="B7903" s="2">
        <v>8.1249999999999985E-3</v>
      </c>
      <c r="C7903" t="s">
        <v>11469</v>
      </c>
      <c r="D7903" t="s">
        <v>23</v>
      </c>
      <c r="E7903" t="s">
        <v>24</v>
      </c>
      <c r="F7903" t="s">
        <v>3559</v>
      </c>
      <c r="G7903">
        <v>1217954</v>
      </c>
      <c r="H7903" t="s">
        <v>45</v>
      </c>
      <c r="I7903" t="s">
        <v>3560</v>
      </c>
      <c r="J7903" t="str">
        <f>"9781409457558"</f>
        <v>9781409457558</v>
      </c>
      <c r="K7903" t="s">
        <v>11502</v>
      </c>
      <c r="L7903">
        <v>20</v>
      </c>
      <c r="M7903" t="s">
        <v>1309</v>
      </c>
      <c r="N7903" t="s">
        <v>11503</v>
      </c>
      <c r="O7903" t="s">
        <v>30</v>
      </c>
      <c r="P7903" t="s">
        <v>29</v>
      </c>
      <c r="Q7903" s="1">
        <v>42265.174618055556</v>
      </c>
      <c r="R7903">
        <v>7</v>
      </c>
      <c r="S7903" t="s">
        <v>31</v>
      </c>
      <c r="T7903" t="s">
        <v>3562</v>
      </c>
      <c r="U7903" t="s">
        <v>3563</v>
      </c>
      <c r="V7903" s="3">
        <v>41575</v>
      </c>
    </row>
    <row r="7904" spans="1:22" x14ac:dyDescent="0.35">
      <c r="A7904" s="1">
        <v>42269.045937499999</v>
      </c>
      <c r="B7904" s="2">
        <v>2.4189814814814816E-3</v>
      </c>
      <c r="C7904" t="s">
        <v>11504</v>
      </c>
      <c r="D7904" t="s">
        <v>1222</v>
      </c>
      <c r="E7904" t="s">
        <v>1223</v>
      </c>
      <c r="F7904" t="s">
        <v>11505</v>
      </c>
      <c r="G7904">
        <v>1652965</v>
      </c>
      <c r="H7904" t="s">
        <v>45</v>
      </c>
      <c r="I7904" t="s">
        <v>79</v>
      </c>
      <c r="J7904" t="str">
        <f>"9781472430410"</f>
        <v>9781472430410</v>
      </c>
      <c r="K7904" t="s">
        <v>11506</v>
      </c>
      <c r="L7904">
        <v>17</v>
      </c>
      <c r="O7904" t="s">
        <v>30</v>
      </c>
      <c r="P7904" t="s">
        <v>50</v>
      </c>
      <c r="S7904" t="s">
        <v>1226</v>
      </c>
      <c r="T7904" t="s">
        <v>11507</v>
      </c>
      <c r="U7904" t="s">
        <v>11508</v>
      </c>
      <c r="V7904" s="3">
        <v>41787</v>
      </c>
    </row>
    <row r="7905" spans="1:22" x14ac:dyDescent="0.35">
      <c r="A7905" s="1">
        <v>42269.038715277777</v>
      </c>
      <c r="B7905" s="2">
        <v>3.2407407407407406E-4</v>
      </c>
      <c r="C7905" t="s">
        <v>11509</v>
      </c>
      <c r="D7905" t="s">
        <v>35</v>
      </c>
      <c r="E7905" t="s">
        <v>36</v>
      </c>
      <c r="F7905" t="s">
        <v>11510</v>
      </c>
      <c r="G7905">
        <v>1675474</v>
      </c>
      <c r="H7905" t="s">
        <v>91</v>
      </c>
      <c r="I7905" t="s">
        <v>69</v>
      </c>
      <c r="J7905" t="str">
        <f>"9781462514250"</f>
        <v>9781462514250</v>
      </c>
      <c r="K7905" t="s">
        <v>217</v>
      </c>
      <c r="L7905">
        <v>12</v>
      </c>
      <c r="O7905" t="s">
        <v>30</v>
      </c>
      <c r="P7905" t="s">
        <v>50</v>
      </c>
      <c r="S7905" t="s">
        <v>40</v>
      </c>
      <c r="T7905" t="s">
        <v>11511</v>
      </c>
      <c r="U7905">
        <v>371.1</v>
      </c>
      <c r="V7905" s="3">
        <v>41743</v>
      </c>
    </row>
    <row r="7906" spans="1:22" x14ac:dyDescent="0.35">
      <c r="A7906" s="1">
        <v>42269.035983796297</v>
      </c>
      <c r="B7906" s="2">
        <v>0.15550925925925926</v>
      </c>
      <c r="C7906" t="s">
        <v>106</v>
      </c>
      <c r="D7906" t="s">
        <v>23</v>
      </c>
      <c r="E7906" t="s">
        <v>24</v>
      </c>
      <c r="F7906" t="s">
        <v>1051</v>
      </c>
      <c r="G7906">
        <v>821663</v>
      </c>
      <c r="H7906" t="s">
        <v>26</v>
      </c>
      <c r="I7906" t="s">
        <v>200</v>
      </c>
      <c r="J7906" t="str">
        <f>"9781118168479"</f>
        <v>9781118168479</v>
      </c>
      <c r="K7906" t="s">
        <v>11512</v>
      </c>
      <c r="L7906">
        <v>44</v>
      </c>
      <c r="O7906" t="s">
        <v>30</v>
      </c>
      <c r="P7906" t="s">
        <v>29</v>
      </c>
      <c r="Q7906" s="1">
        <v>42269.035983796297</v>
      </c>
      <c r="R7906">
        <v>7</v>
      </c>
      <c r="S7906" t="s">
        <v>31</v>
      </c>
      <c r="T7906" t="s">
        <v>1053</v>
      </c>
      <c r="U7906">
        <v>729</v>
      </c>
      <c r="V7906" s="3">
        <v>40973</v>
      </c>
    </row>
    <row r="7907" spans="1:22" x14ac:dyDescent="0.35">
      <c r="A7907" s="1">
        <v>42269.026377314818</v>
      </c>
      <c r="B7907" s="2">
        <v>9.6064814814814815E-3</v>
      </c>
      <c r="C7907" t="s">
        <v>106</v>
      </c>
      <c r="D7907" t="s">
        <v>23</v>
      </c>
      <c r="E7907" t="s">
        <v>24</v>
      </c>
      <c r="F7907" t="s">
        <v>1051</v>
      </c>
      <c r="G7907">
        <v>821663</v>
      </c>
      <c r="H7907" t="s">
        <v>26</v>
      </c>
      <c r="I7907" t="s">
        <v>200</v>
      </c>
      <c r="J7907" t="str">
        <f>"9781118168479"</f>
        <v>9781118168479</v>
      </c>
      <c r="K7907" t="s">
        <v>33</v>
      </c>
      <c r="L7907">
        <v>3</v>
      </c>
      <c r="O7907" t="s">
        <v>30</v>
      </c>
      <c r="P7907" t="s">
        <v>42</v>
      </c>
      <c r="S7907" t="s">
        <v>31</v>
      </c>
      <c r="T7907" t="s">
        <v>1053</v>
      </c>
      <c r="U7907">
        <v>729</v>
      </c>
      <c r="V7907" s="3">
        <v>40973</v>
      </c>
    </row>
    <row r="7908" spans="1:22" x14ac:dyDescent="0.35">
      <c r="A7908" s="1">
        <v>42268.984930555554</v>
      </c>
      <c r="B7908" s="2">
        <v>1.9594907407407405E-2</v>
      </c>
      <c r="C7908" t="s">
        <v>4713</v>
      </c>
      <c r="D7908" t="s">
        <v>1222</v>
      </c>
      <c r="E7908" t="s">
        <v>1223</v>
      </c>
      <c r="F7908" t="s">
        <v>3263</v>
      </c>
      <c r="G7908">
        <v>1840835</v>
      </c>
      <c r="H7908" t="s">
        <v>26</v>
      </c>
      <c r="I7908" t="s">
        <v>108</v>
      </c>
      <c r="J7908" t="str">
        <f>"9781118950166"</f>
        <v>9781118950166</v>
      </c>
      <c r="K7908" t="s">
        <v>11513</v>
      </c>
      <c r="L7908">
        <v>42</v>
      </c>
      <c r="O7908" t="s">
        <v>30</v>
      </c>
      <c r="P7908" t="s">
        <v>29</v>
      </c>
      <c r="Q7908" s="1">
        <v>42267.073344907411</v>
      </c>
      <c r="R7908">
        <v>7</v>
      </c>
      <c r="S7908" t="s">
        <v>1226</v>
      </c>
      <c r="T7908" t="s">
        <v>3264</v>
      </c>
      <c r="U7908">
        <v>338.10923789999998</v>
      </c>
      <c r="V7908" s="3">
        <v>41953</v>
      </c>
    </row>
    <row r="7909" spans="1:22" x14ac:dyDescent="0.35">
      <c r="A7909" s="1">
        <v>42268.959722222222</v>
      </c>
      <c r="B7909" s="2">
        <v>0</v>
      </c>
      <c r="C7909" t="s">
        <v>11514</v>
      </c>
      <c r="D7909" t="s">
        <v>35</v>
      </c>
      <c r="E7909" t="s">
        <v>36</v>
      </c>
      <c r="F7909" t="s">
        <v>37</v>
      </c>
      <c r="G7909">
        <v>1684620</v>
      </c>
      <c r="H7909" t="s">
        <v>26</v>
      </c>
      <c r="I7909" t="s">
        <v>38</v>
      </c>
      <c r="J7909" t="str">
        <f>"9781118418925"</f>
        <v>9781118418925</v>
      </c>
      <c r="L7909">
        <v>0</v>
      </c>
      <c r="O7909" t="s">
        <v>28</v>
      </c>
      <c r="P7909" t="s">
        <v>29</v>
      </c>
      <c r="Q7909" s="1">
        <v>42268.959722222222</v>
      </c>
      <c r="R7909">
        <v>7</v>
      </c>
      <c r="S7909" t="s">
        <v>40</v>
      </c>
      <c r="T7909" t="s">
        <v>41</v>
      </c>
      <c r="U7909">
        <v>362.10680000000002</v>
      </c>
      <c r="V7909" s="3">
        <v>41759</v>
      </c>
    </row>
    <row r="7910" spans="1:22" x14ac:dyDescent="0.35">
      <c r="A7910" s="1">
        <v>42268.959722222222</v>
      </c>
      <c r="B7910" s="2">
        <v>0</v>
      </c>
      <c r="C7910" t="s">
        <v>11514</v>
      </c>
      <c r="D7910" t="s">
        <v>35</v>
      </c>
      <c r="E7910" t="s">
        <v>36</v>
      </c>
      <c r="F7910" t="s">
        <v>37</v>
      </c>
      <c r="G7910">
        <v>1684620</v>
      </c>
      <c r="H7910" t="s">
        <v>26</v>
      </c>
      <c r="I7910" t="s">
        <v>38</v>
      </c>
      <c r="J7910" t="str">
        <f>"9781118418925"</f>
        <v>9781118418925</v>
      </c>
      <c r="L7910">
        <v>0</v>
      </c>
      <c r="O7910" t="s">
        <v>30</v>
      </c>
      <c r="P7910" t="s">
        <v>29</v>
      </c>
      <c r="Q7910" s="1">
        <v>42268.959722222222</v>
      </c>
      <c r="R7910">
        <v>7</v>
      </c>
      <c r="S7910" t="s">
        <v>40</v>
      </c>
      <c r="T7910" t="s">
        <v>41</v>
      </c>
      <c r="U7910">
        <v>362.10680000000002</v>
      </c>
      <c r="V7910" s="3">
        <v>41759</v>
      </c>
    </row>
    <row r="7911" spans="1:22" x14ac:dyDescent="0.35">
      <c r="A7911" s="1">
        <v>42268.952881944446</v>
      </c>
      <c r="B7911" s="2">
        <v>6.8402777777777776E-3</v>
      </c>
      <c r="C7911" t="s">
        <v>11514</v>
      </c>
      <c r="D7911" t="s">
        <v>35</v>
      </c>
      <c r="E7911" t="s">
        <v>36</v>
      </c>
      <c r="F7911" t="s">
        <v>37</v>
      </c>
      <c r="G7911">
        <v>1684620</v>
      </c>
      <c r="H7911" t="s">
        <v>26</v>
      </c>
      <c r="I7911" t="s">
        <v>38</v>
      </c>
      <c r="J7911" t="str">
        <f>"9781118418925"</f>
        <v>9781118418925</v>
      </c>
      <c r="K7911" t="s">
        <v>11515</v>
      </c>
      <c r="L7911">
        <v>38</v>
      </c>
      <c r="O7911" t="s">
        <v>30</v>
      </c>
      <c r="P7911" t="s">
        <v>42</v>
      </c>
      <c r="S7911" t="s">
        <v>40</v>
      </c>
      <c r="T7911" t="s">
        <v>41</v>
      </c>
      <c r="U7911">
        <v>362.10680000000002</v>
      </c>
      <c r="V7911" s="3">
        <v>41759</v>
      </c>
    </row>
    <row r="7912" spans="1:22" x14ac:dyDescent="0.35">
      <c r="A7912" s="1">
        <v>42268.91915509259</v>
      </c>
      <c r="B7912" s="2">
        <v>6.9444444444444444E-5</v>
      </c>
      <c r="C7912" t="s">
        <v>11481</v>
      </c>
      <c r="D7912" t="s">
        <v>23</v>
      </c>
      <c r="E7912" t="s">
        <v>24</v>
      </c>
      <c r="F7912" t="s">
        <v>3228</v>
      </c>
      <c r="G7912">
        <v>1115640</v>
      </c>
      <c r="H7912" t="s">
        <v>26</v>
      </c>
      <c r="I7912" t="s">
        <v>3229</v>
      </c>
      <c r="J7912" t="str">
        <f>"9781118419090"</f>
        <v>9781118419090</v>
      </c>
      <c r="K7912" t="s">
        <v>33</v>
      </c>
      <c r="L7912">
        <v>3</v>
      </c>
      <c r="O7912" t="s">
        <v>30</v>
      </c>
      <c r="P7912" t="s">
        <v>42</v>
      </c>
      <c r="S7912" t="s">
        <v>31</v>
      </c>
      <c r="T7912" t="s">
        <v>3231</v>
      </c>
      <c r="U7912">
        <v>624</v>
      </c>
      <c r="V7912" s="3">
        <v>41296</v>
      </c>
    </row>
    <row r="7913" spans="1:22" x14ac:dyDescent="0.35">
      <c r="A7913" s="1">
        <v>42268.899062500001</v>
      </c>
      <c r="B7913" s="2">
        <v>1.4131944444444445E-2</v>
      </c>
      <c r="C7913" t="s">
        <v>11232</v>
      </c>
      <c r="D7913" t="s">
        <v>23</v>
      </c>
      <c r="E7913" t="s">
        <v>24</v>
      </c>
      <c r="F7913" t="s">
        <v>4594</v>
      </c>
      <c r="G7913">
        <v>1872281</v>
      </c>
      <c r="H7913" t="s">
        <v>91</v>
      </c>
      <c r="I7913" t="s">
        <v>2133</v>
      </c>
      <c r="J7913" t="str">
        <f>"9781462519606"</f>
        <v>9781462519606</v>
      </c>
      <c r="K7913" t="s">
        <v>11516</v>
      </c>
      <c r="L7913">
        <v>97</v>
      </c>
      <c r="N7913" t="s">
        <v>11517</v>
      </c>
      <c r="O7913" t="s">
        <v>30</v>
      </c>
      <c r="P7913" t="s">
        <v>29</v>
      </c>
      <c r="Q7913" s="1">
        <v>42267.971597222226</v>
      </c>
      <c r="R7913">
        <v>7</v>
      </c>
      <c r="S7913" t="s">
        <v>31</v>
      </c>
      <c r="T7913" t="s">
        <v>4596</v>
      </c>
      <c r="U7913">
        <v>378.101</v>
      </c>
      <c r="V7913" s="3">
        <v>42150</v>
      </c>
    </row>
    <row r="7914" spans="1:22" x14ac:dyDescent="0.35">
      <c r="A7914" s="1">
        <v>42268.878946759258</v>
      </c>
      <c r="B7914" s="2">
        <v>1.954861111111111E-2</v>
      </c>
      <c r="C7914" t="s">
        <v>11518</v>
      </c>
      <c r="D7914" t="s">
        <v>35</v>
      </c>
      <c r="E7914" t="s">
        <v>36</v>
      </c>
      <c r="F7914" t="s">
        <v>37</v>
      </c>
      <c r="G7914">
        <v>1684620</v>
      </c>
      <c r="H7914" t="s">
        <v>26</v>
      </c>
      <c r="I7914" t="s">
        <v>38</v>
      </c>
      <c r="J7914" t="str">
        <f>"9781118418925"</f>
        <v>9781118418925</v>
      </c>
      <c r="K7914" t="s">
        <v>11519</v>
      </c>
      <c r="L7914">
        <v>43</v>
      </c>
      <c r="O7914" t="s">
        <v>30</v>
      </c>
      <c r="P7914" t="s">
        <v>29</v>
      </c>
      <c r="Q7914" s="1">
        <v>42268.802407407406</v>
      </c>
      <c r="R7914">
        <v>7</v>
      </c>
      <c r="S7914" t="s">
        <v>40</v>
      </c>
      <c r="T7914" t="s">
        <v>41</v>
      </c>
      <c r="U7914">
        <v>362.10680000000002</v>
      </c>
      <c r="V7914" s="3">
        <v>41759</v>
      </c>
    </row>
    <row r="7915" spans="1:22" x14ac:dyDescent="0.35">
      <c r="A7915" s="1">
        <v>42268.875706018516</v>
      </c>
      <c r="B7915" s="2">
        <v>3.9282407407407412E-2</v>
      </c>
      <c r="C7915" t="s">
        <v>11520</v>
      </c>
      <c r="D7915" t="s">
        <v>35</v>
      </c>
      <c r="E7915" t="s">
        <v>36</v>
      </c>
      <c r="F7915" t="s">
        <v>37</v>
      </c>
      <c r="G7915">
        <v>1684620</v>
      </c>
      <c r="H7915" t="s">
        <v>26</v>
      </c>
      <c r="I7915" t="s">
        <v>38</v>
      </c>
      <c r="J7915" t="str">
        <f>"9781118418925"</f>
        <v>9781118418925</v>
      </c>
      <c r="K7915" t="s">
        <v>11521</v>
      </c>
      <c r="L7915">
        <v>38</v>
      </c>
      <c r="O7915" t="s">
        <v>30</v>
      </c>
      <c r="P7915" t="s">
        <v>29</v>
      </c>
      <c r="Q7915" s="1">
        <v>42267.927210648151</v>
      </c>
      <c r="R7915">
        <v>7</v>
      </c>
      <c r="S7915" t="s">
        <v>40</v>
      </c>
      <c r="T7915" t="s">
        <v>41</v>
      </c>
      <c r="U7915">
        <v>362.10680000000002</v>
      </c>
      <c r="V7915" s="3">
        <v>41759</v>
      </c>
    </row>
    <row r="7916" spans="1:22" x14ac:dyDescent="0.35">
      <c r="A7916" s="1">
        <v>42268.862650462965</v>
      </c>
      <c r="B7916" s="2">
        <v>2.1874999999999998E-3</v>
      </c>
      <c r="C7916" t="s">
        <v>6693</v>
      </c>
      <c r="D7916" t="s">
        <v>6396</v>
      </c>
      <c r="E7916" t="s">
        <v>6397</v>
      </c>
      <c r="F7916" t="s">
        <v>10476</v>
      </c>
      <c r="G7916">
        <v>1895793</v>
      </c>
      <c r="H7916" t="s">
        <v>26</v>
      </c>
      <c r="I7916" t="s">
        <v>276</v>
      </c>
      <c r="J7916" t="str">
        <f>"9781118949290"</f>
        <v>9781118949290</v>
      </c>
      <c r="K7916" t="s">
        <v>11522</v>
      </c>
      <c r="L7916">
        <v>27</v>
      </c>
      <c r="O7916" t="s">
        <v>30</v>
      </c>
      <c r="P7916" t="s">
        <v>50</v>
      </c>
      <c r="S7916" t="s">
        <v>6400</v>
      </c>
      <c r="T7916" t="s">
        <v>10477</v>
      </c>
      <c r="U7916">
        <v>4.16</v>
      </c>
      <c r="V7916" s="3">
        <v>42047</v>
      </c>
    </row>
    <row r="7917" spans="1:22" x14ac:dyDescent="0.35">
      <c r="A7917" s="1">
        <v>42268.861689814818</v>
      </c>
      <c r="B7917" s="2">
        <v>3.9583333333333337E-3</v>
      </c>
      <c r="C7917" t="s">
        <v>6693</v>
      </c>
      <c r="D7917" t="s">
        <v>6396</v>
      </c>
      <c r="E7917" t="s">
        <v>6397</v>
      </c>
      <c r="F7917" t="s">
        <v>11523</v>
      </c>
      <c r="G7917">
        <v>1895243</v>
      </c>
      <c r="H7917" t="s">
        <v>26</v>
      </c>
      <c r="I7917" t="s">
        <v>4938</v>
      </c>
      <c r="J7917" t="str">
        <f>"9781119010203"</f>
        <v>9781119010203</v>
      </c>
      <c r="K7917" t="s">
        <v>536</v>
      </c>
      <c r="L7917">
        <v>3</v>
      </c>
      <c r="O7917" t="s">
        <v>30</v>
      </c>
      <c r="P7917" t="s">
        <v>50</v>
      </c>
      <c r="S7917" t="s">
        <v>6400</v>
      </c>
      <c r="T7917" t="s">
        <v>11524</v>
      </c>
      <c r="U7917">
        <v>5.5</v>
      </c>
      <c r="V7917" s="3">
        <v>42100</v>
      </c>
    </row>
    <row r="7918" spans="1:22" x14ac:dyDescent="0.35">
      <c r="A7918" s="1">
        <v>42268.855995370373</v>
      </c>
      <c r="B7918" s="2">
        <v>2.5347222222222221E-3</v>
      </c>
      <c r="C7918" t="s">
        <v>106</v>
      </c>
      <c r="D7918" t="s">
        <v>23</v>
      </c>
      <c r="E7918" t="s">
        <v>24</v>
      </c>
      <c r="F7918" t="s">
        <v>486</v>
      </c>
      <c r="G7918">
        <v>1119505</v>
      </c>
      <c r="H7918" t="s">
        <v>26</v>
      </c>
      <c r="I7918" t="s">
        <v>450</v>
      </c>
      <c r="J7918" t="str">
        <f>"9781118355015"</f>
        <v>9781118355015</v>
      </c>
      <c r="K7918" t="s">
        <v>11525</v>
      </c>
      <c r="L7918">
        <v>10</v>
      </c>
      <c r="O7918" t="s">
        <v>30</v>
      </c>
      <c r="P7918" t="s">
        <v>42</v>
      </c>
      <c r="S7918" t="s">
        <v>31</v>
      </c>
      <c r="T7918" t="s">
        <v>487</v>
      </c>
      <c r="U7918" t="s">
        <v>488</v>
      </c>
      <c r="V7918" s="3">
        <v>41302</v>
      </c>
    </row>
    <row r="7919" spans="1:22" x14ac:dyDescent="0.35">
      <c r="A7919" s="1">
        <v>42268.850601851853</v>
      </c>
      <c r="B7919" s="2">
        <v>8.1377314814814819E-2</v>
      </c>
      <c r="C7919" t="s">
        <v>11492</v>
      </c>
      <c r="D7919" t="s">
        <v>211</v>
      </c>
      <c r="E7919" t="s">
        <v>212</v>
      </c>
      <c r="F7919" t="s">
        <v>1639</v>
      </c>
      <c r="G7919">
        <v>821827</v>
      </c>
      <c r="H7919" t="s">
        <v>26</v>
      </c>
      <c r="I7919" t="s">
        <v>120</v>
      </c>
      <c r="J7919" t="str">
        <f>"9781118225349"</f>
        <v>9781118225349</v>
      </c>
      <c r="K7919" t="s">
        <v>11526</v>
      </c>
      <c r="L7919">
        <v>55</v>
      </c>
      <c r="O7919" t="s">
        <v>30</v>
      </c>
      <c r="P7919" t="s">
        <v>29</v>
      </c>
      <c r="Q7919" s="1">
        <v>42268.799814814818</v>
      </c>
      <c r="R7919">
        <v>7</v>
      </c>
      <c r="S7919" t="s">
        <v>214</v>
      </c>
      <c r="T7919" t="s">
        <v>1641</v>
      </c>
      <c r="U7919">
        <v>302</v>
      </c>
      <c r="V7919" s="3">
        <v>41029</v>
      </c>
    </row>
    <row r="7920" spans="1:22" x14ac:dyDescent="0.35">
      <c r="A7920" s="1">
        <v>42268.802407407406</v>
      </c>
      <c r="B7920" s="2">
        <v>2.4305555555555552E-4</v>
      </c>
      <c r="C7920" t="s">
        <v>11518</v>
      </c>
      <c r="D7920" t="s">
        <v>35</v>
      </c>
      <c r="E7920" t="s">
        <v>36</v>
      </c>
      <c r="F7920" t="s">
        <v>37</v>
      </c>
      <c r="G7920">
        <v>1684620</v>
      </c>
      <c r="H7920" t="s">
        <v>26</v>
      </c>
      <c r="I7920" t="s">
        <v>38</v>
      </c>
      <c r="J7920" t="str">
        <f>"9781118418925"</f>
        <v>9781118418925</v>
      </c>
      <c r="K7920" t="s">
        <v>11527</v>
      </c>
      <c r="L7920">
        <v>13</v>
      </c>
      <c r="O7920" t="s">
        <v>30</v>
      </c>
      <c r="P7920" t="s">
        <v>29</v>
      </c>
      <c r="Q7920" s="1">
        <v>42268.802407407406</v>
      </c>
      <c r="R7920">
        <v>7</v>
      </c>
      <c r="S7920" t="s">
        <v>40</v>
      </c>
      <c r="T7920" t="s">
        <v>41</v>
      </c>
      <c r="U7920">
        <v>362.10680000000002</v>
      </c>
      <c r="V7920" s="3">
        <v>41759</v>
      </c>
    </row>
    <row r="7921" spans="1:22" x14ac:dyDescent="0.35">
      <c r="A7921" s="1">
        <v>42268.799814814818</v>
      </c>
      <c r="B7921" s="2">
        <v>1.1979166666666666E-2</v>
      </c>
      <c r="C7921" t="s">
        <v>11492</v>
      </c>
      <c r="D7921" t="s">
        <v>211</v>
      </c>
      <c r="E7921" t="s">
        <v>212</v>
      </c>
      <c r="F7921" t="s">
        <v>1639</v>
      </c>
      <c r="G7921">
        <v>821827</v>
      </c>
      <c r="H7921" t="s">
        <v>26</v>
      </c>
      <c r="I7921" t="s">
        <v>120</v>
      </c>
      <c r="J7921" t="str">
        <f>"9781118225349"</f>
        <v>9781118225349</v>
      </c>
      <c r="K7921" t="s">
        <v>11528</v>
      </c>
      <c r="L7921">
        <v>33</v>
      </c>
      <c r="O7921" t="s">
        <v>30</v>
      </c>
      <c r="P7921" t="s">
        <v>29</v>
      </c>
      <c r="Q7921" s="1">
        <v>42268.799814814818</v>
      </c>
      <c r="R7921">
        <v>7</v>
      </c>
      <c r="S7921" t="s">
        <v>214</v>
      </c>
      <c r="T7921" t="s">
        <v>1641</v>
      </c>
      <c r="U7921">
        <v>302</v>
      </c>
      <c r="V7921" s="3">
        <v>41029</v>
      </c>
    </row>
    <row r="7922" spans="1:22" x14ac:dyDescent="0.35">
      <c r="A7922" s="1">
        <v>42268.792060185187</v>
      </c>
      <c r="B7922" s="2">
        <v>1.0347222222222223E-2</v>
      </c>
      <c r="C7922" t="s">
        <v>11518</v>
      </c>
      <c r="D7922" t="s">
        <v>35</v>
      </c>
      <c r="E7922" t="s">
        <v>36</v>
      </c>
      <c r="F7922" t="s">
        <v>37</v>
      </c>
      <c r="G7922">
        <v>1684620</v>
      </c>
      <c r="H7922" t="s">
        <v>26</v>
      </c>
      <c r="I7922" t="s">
        <v>38</v>
      </c>
      <c r="J7922" t="str">
        <f>"9781118418925"</f>
        <v>9781118418925</v>
      </c>
      <c r="K7922" t="s">
        <v>11529</v>
      </c>
      <c r="L7922">
        <v>12</v>
      </c>
      <c r="O7922" t="s">
        <v>30</v>
      </c>
      <c r="P7922" t="s">
        <v>42</v>
      </c>
      <c r="S7922" t="s">
        <v>40</v>
      </c>
      <c r="T7922" t="s">
        <v>41</v>
      </c>
      <c r="U7922">
        <v>362.10680000000002</v>
      </c>
      <c r="V7922" s="3">
        <v>41759</v>
      </c>
    </row>
    <row r="7923" spans="1:22" x14ac:dyDescent="0.35">
      <c r="A7923" s="1">
        <v>42268.779652777775</v>
      </c>
      <c r="B7923" s="2">
        <v>1.8055555555555557E-3</v>
      </c>
      <c r="C7923" t="s">
        <v>5411</v>
      </c>
      <c r="D7923" t="s">
        <v>23</v>
      </c>
      <c r="E7923" t="s">
        <v>24</v>
      </c>
      <c r="F7923" t="s">
        <v>1051</v>
      </c>
      <c r="G7923">
        <v>821663</v>
      </c>
      <c r="H7923" t="s">
        <v>26</v>
      </c>
      <c r="I7923" t="s">
        <v>200</v>
      </c>
      <c r="J7923" t="str">
        <f>"9781118168479"</f>
        <v>9781118168479</v>
      </c>
      <c r="K7923" t="s">
        <v>11530</v>
      </c>
      <c r="L7923">
        <v>8</v>
      </c>
      <c r="O7923" t="s">
        <v>30</v>
      </c>
      <c r="P7923" t="s">
        <v>29</v>
      </c>
      <c r="Q7923" s="1">
        <v>42262.453344907408</v>
      </c>
      <c r="R7923">
        <v>7</v>
      </c>
      <c r="S7923" t="s">
        <v>31</v>
      </c>
      <c r="T7923" t="s">
        <v>1053</v>
      </c>
      <c r="U7923">
        <v>729</v>
      </c>
      <c r="V7923" s="3">
        <v>40973</v>
      </c>
    </row>
    <row r="7924" spans="1:22" x14ac:dyDescent="0.35">
      <c r="A7924" s="1">
        <v>42268.760520833333</v>
      </c>
      <c r="B7924" s="2">
        <v>7.3148148148148148E-3</v>
      </c>
      <c r="C7924" t="s">
        <v>106</v>
      </c>
      <c r="D7924" t="s">
        <v>23</v>
      </c>
      <c r="E7924" t="s">
        <v>24</v>
      </c>
      <c r="F7924" t="s">
        <v>3488</v>
      </c>
      <c r="G7924">
        <v>1294909</v>
      </c>
      <c r="H7924" t="s">
        <v>84</v>
      </c>
      <c r="I7924" t="s">
        <v>445</v>
      </c>
      <c r="J7924" t="str">
        <f>"9780520956797"</f>
        <v>9780520956797</v>
      </c>
      <c r="K7924" t="s">
        <v>11531</v>
      </c>
      <c r="L7924">
        <v>39</v>
      </c>
      <c r="O7924" t="s">
        <v>28</v>
      </c>
      <c r="P7924" t="s">
        <v>29</v>
      </c>
      <c r="Q7924" s="1">
        <v>42265.725902777776</v>
      </c>
      <c r="R7924">
        <v>7</v>
      </c>
      <c r="S7924" t="s">
        <v>31</v>
      </c>
      <c r="T7924" t="s">
        <v>3490</v>
      </c>
      <c r="U7924" t="s">
        <v>3491</v>
      </c>
      <c r="V7924" s="3">
        <v>41487</v>
      </c>
    </row>
    <row r="7925" spans="1:22" x14ac:dyDescent="0.35">
      <c r="A7925" s="1">
        <v>42268.760231481479</v>
      </c>
      <c r="B7925" s="2">
        <v>0</v>
      </c>
      <c r="C7925" t="s">
        <v>106</v>
      </c>
      <c r="D7925" t="s">
        <v>23</v>
      </c>
      <c r="E7925" t="s">
        <v>24</v>
      </c>
      <c r="F7925" t="s">
        <v>3488</v>
      </c>
      <c r="G7925">
        <v>1294909</v>
      </c>
      <c r="H7925" t="s">
        <v>84</v>
      </c>
      <c r="I7925" t="s">
        <v>445</v>
      </c>
      <c r="J7925" t="str">
        <f>"9780520956797"</f>
        <v>9780520956797</v>
      </c>
      <c r="L7925">
        <v>0</v>
      </c>
      <c r="O7925" t="s">
        <v>28</v>
      </c>
      <c r="P7925" t="s">
        <v>29</v>
      </c>
      <c r="Q7925" s="1">
        <v>42265.725902777776</v>
      </c>
      <c r="R7925">
        <v>7</v>
      </c>
      <c r="S7925" t="s">
        <v>31</v>
      </c>
      <c r="T7925" t="s">
        <v>3490</v>
      </c>
      <c r="U7925" t="s">
        <v>3491</v>
      </c>
      <c r="V7925" s="3">
        <v>41487</v>
      </c>
    </row>
    <row r="7926" spans="1:22" x14ac:dyDescent="0.35">
      <c r="A7926" s="1">
        <v>42268.75990740741</v>
      </c>
      <c r="B7926" s="2">
        <v>2.5462962962962961E-4</v>
      </c>
      <c r="C7926" t="s">
        <v>106</v>
      </c>
      <c r="D7926" t="s">
        <v>23</v>
      </c>
      <c r="E7926" t="s">
        <v>24</v>
      </c>
      <c r="F7926" t="s">
        <v>3488</v>
      </c>
      <c r="G7926">
        <v>1294909</v>
      </c>
      <c r="H7926" t="s">
        <v>84</v>
      </c>
      <c r="I7926" t="s">
        <v>445</v>
      </c>
      <c r="J7926" t="str">
        <f>"9780520956797"</f>
        <v>9780520956797</v>
      </c>
      <c r="K7926" t="s">
        <v>2800</v>
      </c>
      <c r="L7926">
        <v>3</v>
      </c>
      <c r="O7926" t="s">
        <v>30</v>
      </c>
      <c r="P7926" t="s">
        <v>29</v>
      </c>
      <c r="Q7926" s="1">
        <v>42265.725902777776</v>
      </c>
      <c r="R7926">
        <v>7</v>
      </c>
      <c r="S7926" t="s">
        <v>31</v>
      </c>
      <c r="T7926" t="s">
        <v>3490</v>
      </c>
      <c r="U7926" t="s">
        <v>3491</v>
      </c>
      <c r="V7926" s="3">
        <v>41487</v>
      </c>
    </row>
    <row r="7927" spans="1:22" x14ac:dyDescent="0.35">
      <c r="A7927" s="1">
        <v>42268.759606481479</v>
      </c>
      <c r="B7927" s="2">
        <v>0</v>
      </c>
      <c r="C7927" t="s">
        <v>106</v>
      </c>
      <c r="D7927" t="s">
        <v>23</v>
      </c>
      <c r="E7927" t="s">
        <v>24</v>
      </c>
      <c r="F7927" t="s">
        <v>3488</v>
      </c>
      <c r="G7927">
        <v>1294909</v>
      </c>
      <c r="H7927" t="s">
        <v>84</v>
      </c>
      <c r="I7927" t="s">
        <v>445</v>
      </c>
      <c r="J7927" t="str">
        <f>"9780520956797"</f>
        <v>9780520956797</v>
      </c>
      <c r="L7927">
        <v>0</v>
      </c>
      <c r="O7927" t="s">
        <v>28</v>
      </c>
      <c r="P7927" t="s">
        <v>29</v>
      </c>
      <c r="Q7927" s="1">
        <v>42265.725902777776</v>
      </c>
      <c r="R7927">
        <v>7</v>
      </c>
      <c r="S7927" t="s">
        <v>31</v>
      </c>
      <c r="T7927" t="s">
        <v>3490</v>
      </c>
      <c r="U7927" t="s">
        <v>3491</v>
      </c>
      <c r="V7927" s="3">
        <v>41487</v>
      </c>
    </row>
    <row r="7928" spans="1:22" x14ac:dyDescent="0.35">
      <c r="A7928" s="1">
        <v>42268.757187499999</v>
      </c>
      <c r="B7928" s="2">
        <v>4.2627314814814819E-2</v>
      </c>
      <c r="C7928" t="s">
        <v>11492</v>
      </c>
      <c r="D7928" t="s">
        <v>211</v>
      </c>
      <c r="E7928" t="s">
        <v>212</v>
      </c>
      <c r="F7928" t="s">
        <v>1639</v>
      </c>
      <c r="G7928">
        <v>821827</v>
      </c>
      <c r="H7928" t="s">
        <v>26</v>
      </c>
      <c r="I7928" t="s">
        <v>120</v>
      </c>
      <c r="J7928" t="str">
        <f>"9781118225349"</f>
        <v>9781118225349</v>
      </c>
      <c r="K7928" t="s">
        <v>11532</v>
      </c>
      <c r="L7928">
        <v>39</v>
      </c>
      <c r="O7928" t="s">
        <v>30</v>
      </c>
      <c r="P7928" t="s">
        <v>42</v>
      </c>
      <c r="S7928" t="s">
        <v>214</v>
      </c>
      <c r="T7928" t="s">
        <v>1641</v>
      </c>
      <c r="U7928">
        <v>302</v>
      </c>
      <c r="V7928" s="3">
        <v>41029</v>
      </c>
    </row>
    <row r="7929" spans="1:22" x14ac:dyDescent="0.35">
      <c r="A7929" s="1">
        <v>42268.752488425926</v>
      </c>
      <c r="B7929" s="2">
        <v>7.291666666666667E-4</v>
      </c>
      <c r="C7929" t="s">
        <v>106</v>
      </c>
      <c r="D7929" t="s">
        <v>23</v>
      </c>
      <c r="E7929" t="s">
        <v>24</v>
      </c>
      <c r="F7929" t="s">
        <v>3488</v>
      </c>
      <c r="G7929">
        <v>1294909</v>
      </c>
      <c r="H7929" t="s">
        <v>84</v>
      </c>
      <c r="I7929" t="s">
        <v>445</v>
      </c>
      <c r="J7929" t="str">
        <f>"9780520956797"</f>
        <v>9780520956797</v>
      </c>
      <c r="K7929" t="s">
        <v>11533</v>
      </c>
      <c r="L7929">
        <v>36</v>
      </c>
      <c r="O7929" t="s">
        <v>28</v>
      </c>
      <c r="P7929" t="s">
        <v>29</v>
      </c>
      <c r="Q7929" s="1">
        <v>42265.725902777776</v>
      </c>
      <c r="R7929">
        <v>7</v>
      </c>
      <c r="S7929" t="s">
        <v>31</v>
      </c>
      <c r="T7929" t="s">
        <v>3490</v>
      </c>
      <c r="U7929" t="s">
        <v>3491</v>
      </c>
      <c r="V7929" s="3">
        <v>41487</v>
      </c>
    </row>
    <row r="7930" spans="1:22" x14ac:dyDescent="0.35">
      <c r="A7930" s="1">
        <v>42268.752280092594</v>
      </c>
      <c r="B7930" s="2">
        <v>1.6203703703703703E-4</v>
      </c>
      <c r="C7930" t="s">
        <v>106</v>
      </c>
      <c r="D7930" t="s">
        <v>23</v>
      </c>
      <c r="E7930" t="s">
        <v>24</v>
      </c>
      <c r="F7930" t="s">
        <v>3488</v>
      </c>
      <c r="G7930">
        <v>1294909</v>
      </c>
      <c r="H7930" t="s">
        <v>84</v>
      </c>
      <c r="I7930" t="s">
        <v>445</v>
      </c>
      <c r="J7930" t="str">
        <f>"9780520956797"</f>
        <v>9780520956797</v>
      </c>
      <c r="K7930" t="s">
        <v>63</v>
      </c>
      <c r="L7930">
        <v>1</v>
      </c>
      <c r="O7930" t="s">
        <v>28</v>
      </c>
      <c r="P7930" t="s">
        <v>29</v>
      </c>
      <c r="Q7930" s="1">
        <v>42265.725902777776</v>
      </c>
      <c r="R7930">
        <v>7</v>
      </c>
      <c r="S7930" t="s">
        <v>31</v>
      </c>
      <c r="T7930" t="s">
        <v>3490</v>
      </c>
      <c r="U7930" t="s">
        <v>3491</v>
      </c>
      <c r="V7930" s="3">
        <v>41487</v>
      </c>
    </row>
    <row r="7931" spans="1:22" x14ac:dyDescent="0.35">
      <c r="A7931" s="1">
        <v>42268.752199074072</v>
      </c>
      <c r="B7931" s="2">
        <v>4.6296296296296294E-5</v>
      </c>
      <c r="C7931" t="s">
        <v>106</v>
      </c>
      <c r="D7931" t="s">
        <v>23</v>
      </c>
      <c r="E7931" t="s">
        <v>24</v>
      </c>
      <c r="F7931" t="s">
        <v>3488</v>
      </c>
      <c r="G7931">
        <v>1294909</v>
      </c>
      <c r="H7931" t="s">
        <v>84</v>
      </c>
      <c r="I7931" t="s">
        <v>445</v>
      </c>
      <c r="J7931" t="str">
        <f>"9780520956797"</f>
        <v>9780520956797</v>
      </c>
      <c r="K7931" t="s">
        <v>621</v>
      </c>
      <c r="L7931">
        <v>3</v>
      </c>
      <c r="O7931" t="s">
        <v>30</v>
      </c>
      <c r="P7931" t="s">
        <v>29</v>
      </c>
      <c r="Q7931" s="1">
        <v>42265.725902777776</v>
      </c>
      <c r="R7931">
        <v>7</v>
      </c>
      <c r="S7931" t="s">
        <v>31</v>
      </c>
      <c r="T7931" t="s">
        <v>3490</v>
      </c>
      <c r="U7931" t="s">
        <v>3491</v>
      </c>
      <c r="V7931" s="3">
        <v>41487</v>
      </c>
    </row>
    <row r="7932" spans="1:22" x14ac:dyDescent="0.35">
      <c r="A7932" s="1">
        <v>42268.751018518517</v>
      </c>
      <c r="B7932" s="2">
        <v>5.3356481481481484E-3</v>
      </c>
      <c r="C7932" t="s">
        <v>106</v>
      </c>
      <c r="D7932" t="s">
        <v>23</v>
      </c>
      <c r="E7932" t="s">
        <v>24</v>
      </c>
      <c r="F7932" t="s">
        <v>3488</v>
      </c>
      <c r="G7932">
        <v>1294909</v>
      </c>
      <c r="H7932" t="s">
        <v>84</v>
      </c>
      <c r="I7932" t="s">
        <v>445</v>
      </c>
      <c r="J7932" t="str">
        <f>"9780520956797"</f>
        <v>9780520956797</v>
      </c>
      <c r="K7932" t="s">
        <v>11534</v>
      </c>
      <c r="L7932">
        <v>16</v>
      </c>
      <c r="O7932" t="s">
        <v>30</v>
      </c>
      <c r="P7932" t="s">
        <v>29</v>
      </c>
      <c r="Q7932" s="1">
        <v>42265.725902777776</v>
      </c>
      <c r="R7932">
        <v>7</v>
      </c>
      <c r="S7932" t="s">
        <v>31</v>
      </c>
      <c r="T7932" t="s">
        <v>3490</v>
      </c>
      <c r="U7932" t="s">
        <v>3491</v>
      </c>
      <c r="V7932" s="3">
        <v>41487</v>
      </c>
    </row>
    <row r="7933" spans="1:22" x14ac:dyDescent="0.35">
      <c r="A7933" s="1">
        <v>42268.749131944445</v>
      </c>
      <c r="B7933" s="2">
        <v>3.4722222222222222E-5</v>
      </c>
      <c r="C7933" t="s">
        <v>9548</v>
      </c>
      <c r="D7933" t="s">
        <v>2519</v>
      </c>
      <c r="E7933" t="s">
        <v>2520</v>
      </c>
      <c r="F7933" t="s">
        <v>823</v>
      </c>
      <c r="G7933">
        <v>1221573</v>
      </c>
      <c r="H7933" t="s">
        <v>26</v>
      </c>
      <c r="I7933" t="s">
        <v>824</v>
      </c>
      <c r="J7933" t="str">
        <f>"9781118658116"</f>
        <v>9781118658116</v>
      </c>
      <c r="K7933" t="s">
        <v>33</v>
      </c>
      <c r="L7933">
        <v>3</v>
      </c>
      <c r="O7933" t="s">
        <v>30</v>
      </c>
      <c r="P7933" t="s">
        <v>50</v>
      </c>
      <c r="S7933" t="s">
        <v>3786</v>
      </c>
      <c r="T7933" t="s">
        <v>826</v>
      </c>
      <c r="U7933">
        <v>174.4</v>
      </c>
      <c r="V7933" s="3">
        <v>41444</v>
      </c>
    </row>
    <row r="7934" spans="1:22" x14ac:dyDescent="0.35">
      <c r="A7934" s="1">
        <v>42268.748124999998</v>
      </c>
      <c r="B7934" s="2">
        <v>8.8541666666666664E-3</v>
      </c>
      <c r="C7934" t="s">
        <v>11535</v>
      </c>
      <c r="D7934" t="s">
        <v>23</v>
      </c>
      <c r="E7934" t="s">
        <v>24</v>
      </c>
      <c r="F7934" t="s">
        <v>3488</v>
      </c>
      <c r="G7934">
        <v>1294909</v>
      </c>
      <c r="H7934" t="s">
        <v>84</v>
      </c>
      <c r="I7934" t="s">
        <v>445</v>
      </c>
      <c r="J7934" t="str">
        <f>"9780520956797"</f>
        <v>9780520956797</v>
      </c>
      <c r="K7934" t="s">
        <v>11536</v>
      </c>
      <c r="L7934">
        <v>11</v>
      </c>
      <c r="O7934" t="s">
        <v>30</v>
      </c>
      <c r="P7934" t="s">
        <v>29</v>
      </c>
      <c r="Q7934" s="1">
        <v>42268.748124999998</v>
      </c>
      <c r="R7934">
        <v>7</v>
      </c>
      <c r="S7934" t="s">
        <v>31</v>
      </c>
      <c r="T7934" t="s">
        <v>3490</v>
      </c>
      <c r="U7934" t="s">
        <v>3491</v>
      </c>
      <c r="V7934" s="3">
        <v>41487</v>
      </c>
    </row>
    <row r="7935" spans="1:22" x14ac:dyDescent="0.35">
      <c r="A7935" s="1">
        <v>42268.746249999997</v>
      </c>
      <c r="B7935" s="2">
        <v>5.7870370370370378E-4</v>
      </c>
      <c r="C7935" t="s">
        <v>210</v>
      </c>
      <c r="D7935" t="s">
        <v>211</v>
      </c>
      <c r="E7935" t="s">
        <v>212</v>
      </c>
      <c r="F7935" t="s">
        <v>9125</v>
      </c>
      <c r="G7935">
        <v>1895721</v>
      </c>
      <c r="H7935" t="s">
        <v>26</v>
      </c>
      <c r="I7935" t="s">
        <v>297</v>
      </c>
      <c r="J7935" t="str">
        <f>"9781118898833"</f>
        <v>9781118898833</v>
      </c>
      <c r="K7935" t="s">
        <v>11537</v>
      </c>
      <c r="L7935">
        <v>12</v>
      </c>
      <c r="O7935" t="s">
        <v>30</v>
      </c>
      <c r="P7935" t="s">
        <v>50</v>
      </c>
      <c r="S7935" t="s">
        <v>214</v>
      </c>
      <c r="T7935" t="s">
        <v>9126</v>
      </c>
      <c r="U7935">
        <v>519.20000000000005</v>
      </c>
      <c r="V7935" s="3">
        <v>42002</v>
      </c>
    </row>
    <row r="7936" spans="1:22" x14ac:dyDescent="0.35">
      <c r="A7936" s="1">
        <v>42268.744710648149</v>
      </c>
      <c r="B7936" s="2">
        <v>2.4305555555555552E-4</v>
      </c>
      <c r="C7936" t="s">
        <v>11538</v>
      </c>
      <c r="D7936" t="s">
        <v>1222</v>
      </c>
      <c r="E7936" t="s">
        <v>1223</v>
      </c>
      <c r="F7936" t="s">
        <v>11539</v>
      </c>
      <c r="G7936">
        <v>1698606</v>
      </c>
      <c r="H7936" t="s">
        <v>45</v>
      </c>
      <c r="I7936" t="s">
        <v>247</v>
      </c>
      <c r="J7936" t="str">
        <f>"9781409445500"</f>
        <v>9781409445500</v>
      </c>
      <c r="K7936" t="s">
        <v>11540</v>
      </c>
      <c r="L7936">
        <v>8</v>
      </c>
      <c r="O7936" t="s">
        <v>30</v>
      </c>
      <c r="P7936" t="s">
        <v>50</v>
      </c>
      <c r="S7936" t="s">
        <v>1226</v>
      </c>
      <c r="T7936" t="s">
        <v>11541</v>
      </c>
      <c r="U7936" t="s">
        <v>11542</v>
      </c>
      <c r="V7936" s="3">
        <v>41848</v>
      </c>
    </row>
    <row r="7937" spans="1:22" x14ac:dyDescent="0.35">
      <c r="A7937" s="1">
        <v>42268.742743055554</v>
      </c>
      <c r="B7937" s="2">
        <v>0</v>
      </c>
      <c r="C7937" t="s">
        <v>11543</v>
      </c>
      <c r="D7937" t="s">
        <v>23</v>
      </c>
      <c r="E7937" t="s">
        <v>24</v>
      </c>
      <c r="F7937" t="s">
        <v>4594</v>
      </c>
      <c r="G7937">
        <v>1872281</v>
      </c>
      <c r="H7937" t="s">
        <v>91</v>
      </c>
      <c r="I7937" t="s">
        <v>2133</v>
      </c>
      <c r="J7937" t="str">
        <f>"9781462519606"</f>
        <v>9781462519606</v>
      </c>
      <c r="L7937">
        <v>0</v>
      </c>
      <c r="N7937" t="s">
        <v>11544</v>
      </c>
      <c r="O7937" t="s">
        <v>30</v>
      </c>
      <c r="P7937" t="s">
        <v>29</v>
      </c>
      <c r="Q7937" s="1">
        <v>42268.742743055554</v>
      </c>
      <c r="R7937">
        <v>7</v>
      </c>
      <c r="S7937" t="s">
        <v>31</v>
      </c>
      <c r="T7937" t="s">
        <v>4596</v>
      </c>
      <c r="U7937">
        <v>378.101</v>
      </c>
      <c r="V7937" s="3">
        <v>42150</v>
      </c>
    </row>
    <row r="7938" spans="1:22" x14ac:dyDescent="0.35">
      <c r="A7938" s="1">
        <v>42268.742685185185</v>
      </c>
      <c r="B7938" s="2">
        <v>5.7870370370370366E-5</v>
      </c>
      <c r="C7938" t="s">
        <v>11543</v>
      </c>
      <c r="D7938" t="s">
        <v>23</v>
      </c>
      <c r="E7938" t="s">
        <v>24</v>
      </c>
      <c r="F7938" t="s">
        <v>4594</v>
      </c>
      <c r="G7938">
        <v>1872281</v>
      </c>
      <c r="H7938" t="s">
        <v>91</v>
      </c>
      <c r="I7938" t="s">
        <v>2133</v>
      </c>
      <c r="J7938" t="str">
        <f>"9781462519606"</f>
        <v>9781462519606</v>
      </c>
      <c r="K7938" t="s">
        <v>33</v>
      </c>
      <c r="L7938">
        <v>3</v>
      </c>
      <c r="O7938" t="s">
        <v>30</v>
      </c>
      <c r="P7938" t="s">
        <v>42</v>
      </c>
      <c r="S7938" t="s">
        <v>31</v>
      </c>
      <c r="T7938" t="s">
        <v>4596</v>
      </c>
      <c r="U7938">
        <v>378.101</v>
      </c>
      <c r="V7938" s="3">
        <v>42150</v>
      </c>
    </row>
    <row r="7939" spans="1:22" x14ac:dyDescent="0.35">
      <c r="A7939" s="1">
        <v>42268.738298611112</v>
      </c>
      <c r="B7939" s="2">
        <v>0</v>
      </c>
      <c r="C7939" t="s">
        <v>5033</v>
      </c>
      <c r="D7939" t="s">
        <v>23</v>
      </c>
      <c r="E7939" t="s">
        <v>24</v>
      </c>
      <c r="F7939" t="s">
        <v>4594</v>
      </c>
      <c r="G7939">
        <v>1872281</v>
      </c>
      <c r="H7939" t="s">
        <v>91</v>
      </c>
      <c r="I7939" t="s">
        <v>2133</v>
      </c>
      <c r="J7939" t="str">
        <f>"9781462519606"</f>
        <v>9781462519606</v>
      </c>
      <c r="L7939">
        <v>0</v>
      </c>
      <c r="N7939" t="s">
        <v>11545</v>
      </c>
      <c r="O7939" t="s">
        <v>30</v>
      </c>
      <c r="P7939" t="s">
        <v>29</v>
      </c>
      <c r="Q7939" s="1">
        <v>42268.738298611112</v>
      </c>
      <c r="R7939">
        <v>7</v>
      </c>
      <c r="S7939" t="s">
        <v>31</v>
      </c>
      <c r="T7939" t="s">
        <v>4596</v>
      </c>
      <c r="U7939">
        <v>378.101</v>
      </c>
      <c r="V7939" s="3">
        <v>42150</v>
      </c>
    </row>
    <row r="7940" spans="1:22" x14ac:dyDescent="0.35">
      <c r="A7940" s="1">
        <v>42268.738240740742</v>
      </c>
      <c r="B7940" s="2">
        <v>5.7870370370370366E-5</v>
      </c>
      <c r="C7940" t="s">
        <v>5033</v>
      </c>
      <c r="D7940" t="s">
        <v>23</v>
      </c>
      <c r="E7940" t="s">
        <v>24</v>
      </c>
      <c r="F7940" t="s">
        <v>4594</v>
      </c>
      <c r="G7940">
        <v>1872281</v>
      </c>
      <c r="H7940" t="s">
        <v>91</v>
      </c>
      <c r="I7940" t="s">
        <v>2133</v>
      </c>
      <c r="J7940" t="str">
        <f>"9781462519606"</f>
        <v>9781462519606</v>
      </c>
      <c r="K7940" t="s">
        <v>33</v>
      </c>
      <c r="L7940">
        <v>3</v>
      </c>
      <c r="O7940" t="s">
        <v>30</v>
      </c>
      <c r="P7940" t="s">
        <v>42</v>
      </c>
      <c r="S7940" t="s">
        <v>31</v>
      </c>
      <c r="T7940" t="s">
        <v>4596</v>
      </c>
      <c r="U7940">
        <v>378.101</v>
      </c>
      <c r="V7940" s="3">
        <v>42150</v>
      </c>
    </row>
    <row r="7941" spans="1:22" x14ac:dyDescent="0.35">
      <c r="A7941" s="1">
        <v>42268.729363425926</v>
      </c>
      <c r="B7941" s="2">
        <v>1.8761574074074073E-2</v>
      </c>
      <c r="C7941" t="s">
        <v>11535</v>
      </c>
      <c r="D7941" t="s">
        <v>23</v>
      </c>
      <c r="E7941" t="s">
        <v>24</v>
      </c>
      <c r="F7941" t="s">
        <v>3488</v>
      </c>
      <c r="G7941">
        <v>1294909</v>
      </c>
      <c r="H7941" t="s">
        <v>84</v>
      </c>
      <c r="I7941" t="s">
        <v>445</v>
      </c>
      <c r="J7941" t="str">
        <f>"9780520956797"</f>
        <v>9780520956797</v>
      </c>
      <c r="K7941" t="s">
        <v>11546</v>
      </c>
      <c r="L7941">
        <v>14</v>
      </c>
      <c r="O7941" t="s">
        <v>30</v>
      </c>
      <c r="P7941" t="s">
        <v>42</v>
      </c>
      <c r="S7941" t="s">
        <v>31</v>
      </c>
      <c r="T7941" t="s">
        <v>3490</v>
      </c>
      <c r="U7941" t="s">
        <v>3491</v>
      </c>
      <c r="V7941" s="3">
        <v>41487</v>
      </c>
    </row>
    <row r="7942" spans="1:22" x14ac:dyDescent="0.35">
      <c r="A7942" s="1">
        <v>42268.724872685183</v>
      </c>
      <c r="B7942" s="2">
        <v>2.1759259259259258E-3</v>
      </c>
      <c r="C7942" t="s">
        <v>11547</v>
      </c>
      <c r="D7942" t="s">
        <v>23</v>
      </c>
      <c r="E7942" t="s">
        <v>24</v>
      </c>
      <c r="F7942" t="s">
        <v>3488</v>
      </c>
      <c r="G7942">
        <v>1294909</v>
      </c>
      <c r="H7942" t="s">
        <v>84</v>
      </c>
      <c r="I7942" t="s">
        <v>445</v>
      </c>
      <c r="J7942" t="str">
        <f>"9780520956797"</f>
        <v>9780520956797</v>
      </c>
      <c r="K7942" t="s">
        <v>11548</v>
      </c>
      <c r="L7942">
        <v>28</v>
      </c>
      <c r="O7942" t="s">
        <v>30</v>
      </c>
      <c r="P7942" t="s">
        <v>29</v>
      </c>
      <c r="Q7942" s="1">
        <v>42268.108414351853</v>
      </c>
      <c r="R7942">
        <v>7</v>
      </c>
      <c r="S7942" t="s">
        <v>31</v>
      </c>
      <c r="T7942" t="s">
        <v>3490</v>
      </c>
      <c r="U7942" t="s">
        <v>3491</v>
      </c>
      <c r="V7942" s="3">
        <v>41487</v>
      </c>
    </row>
    <row r="7943" spans="1:22" x14ac:dyDescent="0.35">
      <c r="A7943" s="1">
        <v>42268.718773148146</v>
      </c>
      <c r="B7943" s="2">
        <v>3.7418981481481477E-2</v>
      </c>
      <c r="C7943" t="s">
        <v>3670</v>
      </c>
      <c r="D7943" t="s">
        <v>35</v>
      </c>
      <c r="E7943" t="s">
        <v>36</v>
      </c>
      <c r="F7943" t="s">
        <v>37</v>
      </c>
      <c r="G7943">
        <v>1684620</v>
      </c>
      <c r="H7943" t="s">
        <v>26</v>
      </c>
      <c r="I7943" t="s">
        <v>38</v>
      </c>
      <c r="J7943" t="str">
        <f>"9781118418925"</f>
        <v>9781118418925</v>
      </c>
      <c r="K7943" t="s">
        <v>11549</v>
      </c>
      <c r="L7943">
        <v>53</v>
      </c>
      <c r="O7943" t="s">
        <v>30</v>
      </c>
      <c r="P7943" t="s">
        <v>29</v>
      </c>
      <c r="Q7943" s="1">
        <v>42268.718773148146</v>
      </c>
      <c r="R7943">
        <v>7</v>
      </c>
      <c r="S7943" t="s">
        <v>40</v>
      </c>
      <c r="T7943" t="s">
        <v>41</v>
      </c>
      <c r="U7943">
        <v>362.10680000000002</v>
      </c>
      <c r="V7943" s="3">
        <v>41759</v>
      </c>
    </row>
    <row r="7944" spans="1:22" x14ac:dyDescent="0.35">
      <c r="A7944" s="1">
        <v>42268.711365740739</v>
      </c>
      <c r="B7944" s="2">
        <v>2.0254629629629629E-3</v>
      </c>
      <c r="C7944" t="s">
        <v>210</v>
      </c>
      <c r="D7944" t="s">
        <v>211</v>
      </c>
      <c r="E7944" t="s">
        <v>212</v>
      </c>
      <c r="F7944" t="s">
        <v>11550</v>
      </c>
      <c r="G7944">
        <v>1272243</v>
      </c>
      <c r="H7944" t="s">
        <v>26</v>
      </c>
      <c r="I7944" t="s">
        <v>247</v>
      </c>
      <c r="J7944" t="str">
        <f>"9781118592199"</f>
        <v>9781118592199</v>
      </c>
      <c r="K7944" t="s">
        <v>11551</v>
      </c>
      <c r="L7944">
        <v>23</v>
      </c>
      <c r="O7944" t="s">
        <v>30</v>
      </c>
      <c r="P7944" t="s">
        <v>50</v>
      </c>
      <c r="S7944" t="s">
        <v>214</v>
      </c>
      <c r="T7944" t="s">
        <v>11552</v>
      </c>
      <c r="U7944">
        <v>616.99406539999995</v>
      </c>
      <c r="V7944" s="3">
        <v>41472</v>
      </c>
    </row>
    <row r="7945" spans="1:22" x14ac:dyDescent="0.35">
      <c r="A7945" s="1">
        <v>42268.710601851853</v>
      </c>
      <c r="B7945" s="2">
        <v>8.1712962962962963E-3</v>
      </c>
      <c r="C7945" t="s">
        <v>3670</v>
      </c>
      <c r="D7945" t="s">
        <v>35</v>
      </c>
      <c r="E7945" t="s">
        <v>36</v>
      </c>
      <c r="F7945" t="s">
        <v>37</v>
      </c>
      <c r="G7945">
        <v>1684620</v>
      </c>
      <c r="H7945" t="s">
        <v>26</v>
      </c>
      <c r="I7945" t="s">
        <v>38</v>
      </c>
      <c r="J7945" t="str">
        <f>"9781118418925"</f>
        <v>9781118418925</v>
      </c>
      <c r="K7945" t="s">
        <v>11553</v>
      </c>
      <c r="L7945">
        <v>10</v>
      </c>
      <c r="O7945" t="s">
        <v>30</v>
      </c>
      <c r="P7945" t="s">
        <v>42</v>
      </c>
      <c r="S7945" t="s">
        <v>40</v>
      </c>
      <c r="T7945" t="s">
        <v>41</v>
      </c>
      <c r="U7945">
        <v>362.10680000000002</v>
      </c>
      <c r="V7945" s="3">
        <v>41759</v>
      </c>
    </row>
    <row r="7946" spans="1:22" x14ac:dyDescent="0.35">
      <c r="A7946" s="1">
        <v>42268.707199074073</v>
      </c>
      <c r="B7946" s="2">
        <v>3.4722222222222224E-4</v>
      </c>
      <c r="C7946" t="s">
        <v>106</v>
      </c>
      <c r="D7946" t="s">
        <v>23</v>
      </c>
      <c r="E7946" t="s">
        <v>24</v>
      </c>
      <c r="F7946" t="s">
        <v>3488</v>
      </c>
      <c r="G7946">
        <v>1294909</v>
      </c>
      <c r="H7946" t="s">
        <v>84</v>
      </c>
      <c r="I7946" t="s">
        <v>445</v>
      </c>
      <c r="J7946" t="str">
        <f>"9780520956797"</f>
        <v>9780520956797</v>
      </c>
      <c r="K7946" t="s">
        <v>11554</v>
      </c>
      <c r="L7946">
        <v>22</v>
      </c>
      <c r="O7946" t="s">
        <v>30</v>
      </c>
      <c r="P7946" t="s">
        <v>29</v>
      </c>
      <c r="Q7946" s="1">
        <v>42265.725902777776</v>
      </c>
      <c r="R7946">
        <v>7</v>
      </c>
      <c r="S7946" t="s">
        <v>31</v>
      </c>
      <c r="T7946" t="s">
        <v>3490</v>
      </c>
      <c r="U7946" t="s">
        <v>3491</v>
      </c>
      <c r="V7946" s="3">
        <v>41487</v>
      </c>
    </row>
    <row r="7947" spans="1:22" x14ac:dyDescent="0.35">
      <c r="A7947" s="1">
        <v>42268.706944444442</v>
      </c>
      <c r="B7947" s="2">
        <v>9.7106481481481471E-3</v>
      </c>
      <c r="C7947" t="s">
        <v>106</v>
      </c>
      <c r="D7947" t="s">
        <v>23</v>
      </c>
      <c r="E7947" t="s">
        <v>24</v>
      </c>
      <c r="F7947" t="s">
        <v>3488</v>
      </c>
      <c r="G7947">
        <v>1294909</v>
      </c>
      <c r="H7947" t="s">
        <v>84</v>
      </c>
      <c r="I7947" t="s">
        <v>445</v>
      </c>
      <c r="J7947" t="str">
        <f>"9780520956797"</f>
        <v>9780520956797</v>
      </c>
      <c r="K7947" t="s">
        <v>11555</v>
      </c>
      <c r="L7947">
        <v>43</v>
      </c>
      <c r="O7947" t="s">
        <v>30</v>
      </c>
      <c r="P7947" t="s">
        <v>29</v>
      </c>
      <c r="Q7947" s="1">
        <v>42265.725902777776</v>
      </c>
      <c r="R7947">
        <v>7</v>
      </c>
      <c r="S7947" t="s">
        <v>31</v>
      </c>
      <c r="T7947" t="s">
        <v>3490</v>
      </c>
      <c r="U7947" t="s">
        <v>3491</v>
      </c>
      <c r="V7947" s="3">
        <v>41487</v>
      </c>
    </row>
    <row r="7948" spans="1:22" x14ac:dyDescent="0.35">
      <c r="A7948" s="1">
        <v>42268.704456018517</v>
      </c>
      <c r="B7948" s="2">
        <v>8.7962962962962962E-4</v>
      </c>
      <c r="C7948" t="s">
        <v>11556</v>
      </c>
      <c r="D7948" t="s">
        <v>35</v>
      </c>
      <c r="E7948" t="s">
        <v>36</v>
      </c>
      <c r="F7948" t="s">
        <v>7557</v>
      </c>
      <c r="G7948">
        <v>1774374</v>
      </c>
      <c r="H7948" t="s">
        <v>91</v>
      </c>
      <c r="I7948" t="s">
        <v>219</v>
      </c>
      <c r="J7948" t="str">
        <f>"9781462519040"</f>
        <v>9781462519040</v>
      </c>
      <c r="K7948" t="s">
        <v>11557</v>
      </c>
      <c r="L7948">
        <v>13</v>
      </c>
      <c r="O7948" t="s">
        <v>30</v>
      </c>
      <c r="P7948" t="s">
        <v>47</v>
      </c>
      <c r="Q7948" s="1">
        <v>42268.704456018517</v>
      </c>
      <c r="R7948">
        <v>1</v>
      </c>
      <c r="S7948" t="s">
        <v>40</v>
      </c>
      <c r="T7948" t="s">
        <v>7559</v>
      </c>
      <c r="U7948">
        <v>158</v>
      </c>
      <c r="V7948" s="3">
        <v>41997</v>
      </c>
    </row>
    <row r="7949" spans="1:22" x14ac:dyDescent="0.35">
      <c r="A7949" s="1">
        <v>42268.700810185182</v>
      </c>
      <c r="B7949" s="2">
        <v>5.8969907407407408E-2</v>
      </c>
      <c r="C7949" t="s">
        <v>11520</v>
      </c>
      <c r="D7949" t="s">
        <v>35</v>
      </c>
      <c r="E7949" t="s">
        <v>36</v>
      </c>
      <c r="F7949" t="s">
        <v>37</v>
      </c>
      <c r="G7949">
        <v>1684620</v>
      </c>
      <c r="H7949" t="s">
        <v>26</v>
      </c>
      <c r="I7949" t="s">
        <v>38</v>
      </c>
      <c r="J7949" t="str">
        <f>"9781118418925"</f>
        <v>9781118418925</v>
      </c>
      <c r="K7949" t="s">
        <v>11558</v>
      </c>
      <c r="L7949">
        <v>49</v>
      </c>
      <c r="O7949" t="s">
        <v>30</v>
      </c>
      <c r="P7949" t="s">
        <v>29</v>
      </c>
      <c r="Q7949" s="1">
        <v>42267.927210648151</v>
      </c>
      <c r="R7949">
        <v>7</v>
      </c>
      <c r="S7949" t="s">
        <v>40</v>
      </c>
      <c r="T7949" t="s">
        <v>41</v>
      </c>
      <c r="U7949">
        <v>362.10680000000002</v>
      </c>
      <c r="V7949" s="3">
        <v>41759</v>
      </c>
    </row>
    <row r="7950" spans="1:22" x14ac:dyDescent="0.35">
      <c r="A7950" s="1">
        <v>42268.696747685186</v>
      </c>
      <c r="B7950" s="2">
        <v>0</v>
      </c>
      <c r="C7950" t="s">
        <v>9645</v>
      </c>
      <c r="D7950" t="s">
        <v>23</v>
      </c>
      <c r="E7950" t="s">
        <v>24</v>
      </c>
      <c r="F7950" t="s">
        <v>3488</v>
      </c>
      <c r="G7950">
        <v>1294909</v>
      </c>
      <c r="H7950" t="s">
        <v>84</v>
      </c>
      <c r="I7950" t="s">
        <v>445</v>
      </c>
      <c r="J7950" t="str">
        <f>"9780520956797"</f>
        <v>9780520956797</v>
      </c>
      <c r="L7950">
        <v>0</v>
      </c>
      <c r="N7950" t="s">
        <v>11559</v>
      </c>
      <c r="O7950" t="s">
        <v>30</v>
      </c>
      <c r="P7950" t="s">
        <v>29</v>
      </c>
      <c r="Q7950" s="1">
        <v>42268.696747685186</v>
      </c>
      <c r="R7950">
        <v>7</v>
      </c>
      <c r="S7950" t="s">
        <v>31</v>
      </c>
      <c r="T7950" t="s">
        <v>3490</v>
      </c>
      <c r="U7950" t="s">
        <v>3491</v>
      </c>
      <c r="V7950" s="3">
        <v>41487</v>
      </c>
    </row>
    <row r="7951" spans="1:22" x14ac:dyDescent="0.35">
      <c r="A7951" s="1">
        <v>42268.696377314816</v>
      </c>
      <c r="B7951" s="2">
        <v>3.7037037037037035E-4</v>
      </c>
      <c r="C7951" t="s">
        <v>9645</v>
      </c>
      <c r="D7951" t="s">
        <v>23</v>
      </c>
      <c r="E7951" t="s">
        <v>24</v>
      </c>
      <c r="F7951" t="s">
        <v>3488</v>
      </c>
      <c r="G7951">
        <v>1294909</v>
      </c>
      <c r="H7951" t="s">
        <v>84</v>
      </c>
      <c r="I7951" t="s">
        <v>445</v>
      </c>
      <c r="J7951" t="str">
        <f>"9780520956797"</f>
        <v>9780520956797</v>
      </c>
      <c r="K7951" t="s">
        <v>11560</v>
      </c>
      <c r="L7951">
        <v>13</v>
      </c>
      <c r="O7951" t="s">
        <v>30</v>
      </c>
      <c r="P7951" t="s">
        <v>42</v>
      </c>
      <c r="S7951" t="s">
        <v>31</v>
      </c>
      <c r="T7951" t="s">
        <v>3490</v>
      </c>
      <c r="U7951" t="s">
        <v>3491</v>
      </c>
      <c r="V7951" s="3">
        <v>41487</v>
      </c>
    </row>
    <row r="7952" spans="1:22" x14ac:dyDescent="0.35">
      <c r="A7952" s="1">
        <v>42268.695115740738</v>
      </c>
      <c r="B7952" s="2">
        <v>1.7743055555555557E-2</v>
      </c>
      <c r="C7952" t="s">
        <v>9950</v>
      </c>
      <c r="D7952" t="s">
        <v>23</v>
      </c>
      <c r="E7952" t="s">
        <v>24</v>
      </c>
      <c r="F7952" t="s">
        <v>3488</v>
      </c>
      <c r="G7952">
        <v>1294909</v>
      </c>
      <c r="H7952" t="s">
        <v>84</v>
      </c>
      <c r="I7952" t="s">
        <v>445</v>
      </c>
      <c r="J7952" t="str">
        <f>"9780520956797"</f>
        <v>9780520956797</v>
      </c>
      <c r="K7952" t="s">
        <v>11561</v>
      </c>
      <c r="L7952">
        <v>23</v>
      </c>
      <c r="O7952" t="s">
        <v>30</v>
      </c>
      <c r="P7952" t="s">
        <v>29</v>
      </c>
      <c r="Q7952" s="1">
        <v>42268.185173611113</v>
      </c>
      <c r="R7952">
        <v>7</v>
      </c>
      <c r="S7952" t="s">
        <v>31</v>
      </c>
      <c r="T7952" t="s">
        <v>3490</v>
      </c>
      <c r="U7952" t="s">
        <v>3491</v>
      </c>
      <c r="V7952" s="3">
        <v>41487</v>
      </c>
    </row>
    <row r="7953" spans="1:22" x14ac:dyDescent="0.35">
      <c r="A7953" s="1">
        <v>42268.695011574076</v>
      </c>
      <c r="B7953" s="2">
        <v>9.4444444444444445E-3</v>
      </c>
      <c r="C7953" t="s">
        <v>11556</v>
      </c>
      <c r="D7953" t="s">
        <v>35</v>
      </c>
      <c r="E7953" t="s">
        <v>36</v>
      </c>
      <c r="F7953" t="s">
        <v>7557</v>
      </c>
      <c r="G7953">
        <v>1774374</v>
      </c>
      <c r="H7953" t="s">
        <v>91</v>
      </c>
      <c r="I7953" t="s">
        <v>219</v>
      </c>
      <c r="J7953" t="str">
        <f>"9781462519040"</f>
        <v>9781462519040</v>
      </c>
      <c r="K7953" t="s">
        <v>11562</v>
      </c>
      <c r="L7953">
        <v>17</v>
      </c>
      <c r="O7953" t="s">
        <v>30</v>
      </c>
      <c r="P7953" t="s">
        <v>50</v>
      </c>
      <c r="S7953" t="s">
        <v>40</v>
      </c>
      <c r="T7953" t="s">
        <v>7559</v>
      </c>
      <c r="U7953">
        <v>158</v>
      </c>
      <c r="V7953" s="3">
        <v>41997</v>
      </c>
    </row>
    <row r="7954" spans="1:22" x14ac:dyDescent="0.35">
      <c r="A7954" s="1">
        <v>42268.668229166666</v>
      </c>
      <c r="B7954" s="2">
        <v>5.649305555555556E-2</v>
      </c>
      <c r="C7954" t="s">
        <v>11563</v>
      </c>
      <c r="D7954" t="s">
        <v>35</v>
      </c>
      <c r="E7954" t="s">
        <v>36</v>
      </c>
      <c r="F7954" t="s">
        <v>37</v>
      </c>
      <c r="G7954">
        <v>1684620</v>
      </c>
      <c r="H7954" t="s">
        <v>26</v>
      </c>
      <c r="I7954" t="s">
        <v>38</v>
      </c>
      <c r="J7954" t="str">
        <f>"9781118418925"</f>
        <v>9781118418925</v>
      </c>
      <c r="K7954" t="s">
        <v>11564</v>
      </c>
      <c r="L7954">
        <v>43</v>
      </c>
      <c r="O7954" t="s">
        <v>30</v>
      </c>
      <c r="P7954" t="s">
        <v>29</v>
      </c>
      <c r="Q7954" s="1">
        <v>42268.668229166666</v>
      </c>
      <c r="R7954">
        <v>7</v>
      </c>
      <c r="S7954" t="s">
        <v>40</v>
      </c>
      <c r="T7954" t="s">
        <v>41</v>
      </c>
      <c r="U7954">
        <v>362.10680000000002</v>
      </c>
      <c r="V7954" s="3">
        <v>41759</v>
      </c>
    </row>
    <row r="7955" spans="1:22" x14ac:dyDescent="0.35">
      <c r="A7955" s="1">
        <v>42268.658877314818</v>
      </c>
      <c r="B7955" s="2">
        <v>9.3518518518518525E-3</v>
      </c>
      <c r="C7955" t="s">
        <v>11563</v>
      </c>
      <c r="D7955" t="s">
        <v>35</v>
      </c>
      <c r="E7955" t="s">
        <v>36</v>
      </c>
      <c r="F7955" t="s">
        <v>37</v>
      </c>
      <c r="G7955">
        <v>1684620</v>
      </c>
      <c r="H7955" t="s">
        <v>26</v>
      </c>
      <c r="I7955" t="s">
        <v>38</v>
      </c>
      <c r="J7955" t="str">
        <f>"9781118418925"</f>
        <v>9781118418925</v>
      </c>
      <c r="K7955" t="s">
        <v>11565</v>
      </c>
      <c r="L7955">
        <v>15</v>
      </c>
      <c r="O7955" t="s">
        <v>30</v>
      </c>
      <c r="P7955" t="s">
        <v>42</v>
      </c>
      <c r="S7955" t="s">
        <v>40</v>
      </c>
      <c r="T7955" t="s">
        <v>41</v>
      </c>
      <c r="U7955">
        <v>362.10680000000002</v>
      </c>
      <c r="V7955" s="3">
        <v>41759</v>
      </c>
    </row>
    <row r="7956" spans="1:22" x14ac:dyDescent="0.35">
      <c r="A7956" s="1">
        <v>42268.652812499997</v>
      </c>
      <c r="B7956" s="2">
        <v>6.5277777777777782E-3</v>
      </c>
      <c r="C7956" t="s">
        <v>9966</v>
      </c>
      <c r="D7956" t="s">
        <v>2519</v>
      </c>
      <c r="E7956" t="s">
        <v>2520</v>
      </c>
      <c r="F7956" t="s">
        <v>2649</v>
      </c>
      <c r="G7956">
        <v>1143522</v>
      </c>
      <c r="H7956" t="s">
        <v>26</v>
      </c>
      <c r="I7956" t="s">
        <v>172</v>
      </c>
      <c r="J7956" t="str">
        <f>"9781118257197"</f>
        <v>9781118257197</v>
      </c>
      <c r="K7956" t="s">
        <v>11566</v>
      </c>
      <c r="L7956">
        <v>11</v>
      </c>
      <c r="O7956" t="s">
        <v>30</v>
      </c>
      <c r="P7956" t="s">
        <v>29</v>
      </c>
      <c r="Q7956" s="1">
        <v>42268.652812499997</v>
      </c>
      <c r="R7956">
        <v>7</v>
      </c>
      <c r="S7956" t="s">
        <v>2523</v>
      </c>
      <c r="T7956" t="s">
        <v>2651</v>
      </c>
      <c r="U7956">
        <v>972</v>
      </c>
      <c r="V7956" s="3">
        <v>41334</v>
      </c>
    </row>
    <row r="7957" spans="1:22" x14ac:dyDescent="0.35">
      <c r="A7957" s="1">
        <v>42268.645451388889</v>
      </c>
      <c r="B7957" s="2">
        <v>7.3611111111111108E-3</v>
      </c>
      <c r="C7957" t="s">
        <v>9966</v>
      </c>
      <c r="D7957" t="s">
        <v>2519</v>
      </c>
      <c r="E7957" t="s">
        <v>2520</v>
      </c>
      <c r="F7957" t="s">
        <v>2649</v>
      </c>
      <c r="G7957">
        <v>1143522</v>
      </c>
      <c r="H7957" t="s">
        <v>26</v>
      </c>
      <c r="I7957" t="s">
        <v>172</v>
      </c>
      <c r="J7957" t="str">
        <f>"9781118257197"</f>
        <v>9781118257197</v>
      </c>
      <c r="K7957" t="s">
        <v>11567</v>
      </c>
      <c r="L7957">
        <v>26</v>
      </c>
      <c r="O7957" t="s">
        <v>30</v>
      </c>
      <c r="P7957" t="s">
        <v>42</v>
      </c>
      <c r="S7957" t="s">
        <v>2523</v>
      </c>
      <c r="T7957" t="s">
        <v>2651</v>
      </c>
      <c r="U7957">
        <v>972</v>
      </c>
      <c r="V7957" s="3">
        <v>41334</v>
      </c>
    </row>
    <row r="7958" spans="1:22" x14ac:dyDescent="0.35">
      <c r="A7958" s="1">
        <v>42268.644687499997</v>
      </c>
      <c r="B7958" s="2">
        <v>1.1574074074074073E-4</v>
      </c>
      <c r="C7958" t="s">
        <v>9966</v>
      </c>
      <c r="D7958" t="s">
        <v>2519</v>
      </c>
      <c r="E7958" t="s">
        <v>2520</v>
      </c>
      <c r="F7958" t="s">
        <v>11568</v>
      </c>
      <c r="G7958">
        <v>771072</v>
      </c>
      <c r="H7958" t="s">
        <v>3465</v>
      </c>
      <c r="I7958" t="s">
        <v>172</v>
      </c>
      <c r="J7958" t="str">
        <f>"9781608707539"</f>
        <v>9781608707539</v>
      </c>
      <c r="K7958" t="s">
        <v>889</v>
      </c>
      <c r="L7958">
        <v>6</v>
      </c>
      <c r="O7958" t="s">
        <v>30</v>
      </c>
      <c r="P7958" t="s">
        <v>42</v>
      </c>
      <c r="S7958" t="s">
        <v>2523</v>
      </c>
      <c r="T7958" t="s">
        <v>11569</v>
      </c>
      <c r="U7958">
        <v>972</v>
      </c>
      <c r="V7958" s="3">
        <v>40909</v>
      </c>
    </row>
    <row r="7959" spans="1:22" x14ac:dyDescent="0.35">
      <c r="A7959" s="1">
        <v>42268.640439814815</v>
      </c>
      <c r="B7959" s="2">
        <v>3.3217592592592591E-3</v>
      </c>
      <c r="C7959" t="s">
        <v>9966</v>
      </c>
      <c r="D7959" t="s">
        <v>2519</v>
      </c>
      <c r="E7959" t="s">
        <v>2520</v>
      </c>
      <c r="F7959" t="s">
        <v>9686</v>
      </c>
      <c r="G7959">
        <v>1501633</v>
      </c>
      <c r="H7959" t="s">
        <v>26</v>
      </c>
      <c r="I7959" t="s">
        <v>27</v>
      </c>
      <c r="J7959" t="str">
        <f>"9781118610701"</f>
        <v>9781118610701</v>
      </c>
      <c r="K7959" t="s">
        <v>11570</v>
      </c>
      <c r="L7959">
        <v>33</v>
      </c>
      <c r="O7959" t="s">
        <v>30</v>
      </c>
      <c r="P7959" t="s">
        <v>47</v>
      </c>
      <c r="Q7959" s="1">
        <v>42268.022650462961</v>
      </c>
      <c r="R7959">
        <v>1</v>
      </c>
      <c r="S7959" t="s">
        <v>2523</v>
      </c>
      <c r="T7959" t="s">
        <v>9687</v>
      </c>
      <c r="U7959">
        <v>480.09</v>
      </c>
      <c r="V7959" s="3">
        <v>41570</v>
      </c>
    </row>
    <row r="7960" spans="1:22" x14ac:dyDescent="0.35">
      <c r="A7960" s="1">
        <v>42268.636377314811</v>
      </c>
      <c r="B7960" s="2">
        <v>0</v>
      </c>
      <c r="C7960" t="s">
        <v>11157</v>
      </c>
      <c r="D7960" t="s">
        <v>360</v>
      </c>
      <c r="E7960" t="s">
        <v>361</v>
      </c>
      <c r="F7960" t="s">
        <v>11571</v>
      </c>
      <c r="G7960">
        <v>1084822</v>
      </c>
      <c r="H7960" t="s">
        <v>492</v>
      </c>
      <c r="I7960" t="s">
        <v>108</v>
      </c>
      <c r="J7960" t="str">
        <f>"9781400846573"</f>
        <v>9781400846573</v>
      </c>
      <c r="L7960">
        <v>0</v>
      </c>
      <c r="O7960" t="s">
        <v>28</v>
      </c>
      <c r="P7960" t="s">
        <v>29</v>
      </c>
      <c r="Q7960" s="1">
        <v>42268.636377314811</v>
      </c>
      <c r="R7960">
        <v>7</v>
      </c>
      <c r="S7960" t="s">
        <v>363</v>
      </c>
      <c r="T7960" t="s">
        <v>11572</v>
      </c>
      <c r="U7960" t="s">
        <v>11573</v>
      </c>
      <c r="V7960" s="3">
        <v>41316</v>
      </c>
    </row>
    <row r="7961" spans="1:22" x14ac:dyDescent="0.35">
      <c r="A7961" s="1">
        <v>42268.635868055557</v>
      </c>
      <c r="B7961" s="2">
        <v>5.0925925925925921E-4</v>
      </c>
      <c r="C7961" t="s">
        <v>11157</v>
      </c>
      <c r="D7961" t="s">
        <v>360</v>
      </c>
      <c r="E7961" t="s">
        <v>361</v>
      </c>
      <c r="F7961" t="s">
        <v>11571</v>
      </c>
      <c r="G7961">
        <v>1084822</v>
      </c>
      <c r="H7961" t="s">
        <v>492</v>
      </c>
      <c r="I7961" t="s">
        <v>108</v>
      </c>
      <c r="J7961" t="str">
        <f>"9781400846573"</f>
        <v>9781400846573</v>
      </c>
      <c r="K7961" t="s">
        <v>33</v>
      </c>
      <c r="L7961">
        <v>3</v>
      </c>
      <c r="O7961" t="s">
        <v>30</v>
      </c>
      <c r="P7961" t="s">
        <v>42</v>
      </c>
      <c r="S7961" t="s">
        <v>363</v>
      </c>
      <c r="T7961" t="s">
        <v>11572</v>
      </c>
      <c r="U7961" t="s">
        <v>11573</v>
      </c>
      <c r="V7961" s="3">
        <v>41316</v>
      </c>
    </row>
    <row r="7962" spans="1:22" x14ac:dyDescent="0.35">
      <c r="A7962" s="1">
        <v>42268.627905092595</v>
      </c>
      <c r="B7962" s="2">
        <v>1.0995370370370371E-3</v>
      </c>
      <c r="C7962" t="s">
        <v>11574</v>
      </c>
      <c r="D7962" t="s">
        <v>35</v>
      </c>
      <c r="E7962" t="s">
        <v>36</v>
      </c>
      <c r="F7962" t="s">
        <v>3275</v>
      </c>
      <c r="G7962">
        <v>822662</v>
      </c>
      <c r="H7962" t="s">
        <v>26</v>
      </c>
      <c r="I7962" t="s">
        <v>172</v>
      </c>
      <c r="J7962" t="str">
        <f>"9781444355130"</f>
        <v>9781444355130</v>
      </c>
      <c r="K7962" t="s">
        <v>11575</v>
      </c>
      <c r="L7962">
        <v>54</v>
      </c>
      <c r="O7962" t="s">
        <v>30</v>
      </c>
      <c r="P7962" t="s">
        <v>42</v>
      </c>
      <c r="S7962" t="s">
        <v>40</v>
      </c>
      <c r="T7962" t="s">
        <v>3277</v>
      </c>
      <c r="U7962">
        <v>960.3</v>
      </c>
      <c r="V7962" s="3">
        <v>40858</v>
      </c>
    </row>
    <row r="7963" spans="1:22" x14ac:dyDescent="0.35">
      <c r="A7963" s="1">
        <v>42268.621666666666</v>
      </c>
      <c r="B7963" s="2">
        <v>2.0555555555555556E-2</v>
      </c>
      <c r="C7963" t="s">
        <v>5271</v>
      </c>
      <c r="D7963" t="s">
        <v>23</v>
      </c>
      <c r="E7963" t="s">
        <v>24</v>
      </c>
      <c r="F7963" t="s">
        <v>1051</v>
      </c>
      <c r="G7963">
        <v>821663</v>
      </c>
      <c r="H7963" t="s">
        <v>26</v>
      </c>
      <c r="I7963" t="s">
        <v>200</v>
      </c>
      <c r="J7963" t="str">
        <f>"9781118168479"</f>
        <v>9781118168479</v>
      </c>
      <c r="K7963" t="s">
        <v>11576</v>
      </c>
      <c r="L7963">
        <v>19</v>
      </c>
      <c r="O7963" t="s">
        <v>30</v>
      </c>
      <c r="P7963" t="s">
        <v>29</v>
      </c>
      <c r="Q7963" s="1">
        <v>42261.669652777775</v>
      </c>
      <c r="R7963">
        <v>7</v>
      </c>
      <c r="S7963" t="s">
        <v>31</v>
      </c>
      <c r="T7963" t="s">
        <v>1053</v>
      </c>
      <c r="U7963">
        <v>729</v>
      </c>
      <c r="V7963" s="3">
        <v>40973</v>
      </c>
    </row>
    <row r="7964" spans="1:22" x14ac:dyDescent="0.35">
      <c r="A7964" s="1">
        <v>42268.617812500001</v>
      </c>
      <c r="B7964" s="2">
        <v>4.6296296296296294E-5</v>
      </c>
      <c r="C7964" t="s">
        <v>11577</v>
      </c>
      <c r="D7964" t="s">
        <v>360</v>
      </c>
      <c r="E7964" t="s">
        <v>361</v>
      </c>
      <c r="F7964" t="s">
        <v>2827</v>
      </c>
      <c r="G7964">
        <v>707971</v>
      </c>
      <c r="H7964" t="s">
        <v>26</v>
      </c>
      <c r="I7964" t="s">
        <v>247</v>
      </c>
      <c r="J7964" t="str">
        <f>"9781118293973"</f>
        <v>9781118293973</v>
      </c>
      <c r="K7964" t="s">
        <v>33</v>
      </c>
      <c r="L7964">
        <v>3</v>
      </c>
      <c r="O7964" t="s">
        <v>30</v>
      </c>
      <c r="P7964" t="s">
        <v>42</v>
      </c>
      <c r="S7964" t="s">
        <v>363</v>
      </c>
      <c r="T7964" t="s">
        <v>2829</v>
      </c>
      <c r="U7964" t="s">
        <v>2830</v>
      </c>
      <c r="V7964" s="3">
        <v>40868</v>
      </c>
    </row>
    <row r="7965" spans="1:22" x14ac:dyDescent="0.35">
      <c r="A7965" s="1">
        <v>42268.617488425924</v>
      </c>
      <c r="B7965" s="2">
        <v>2.3148148148148147E-5</v>
      </c>
      <c r="C7965" t="s">
        <v>210</v>
      </c>
      <c r="D7965" t="s">
        <v>211</v>
      </c>
      <c r="E7965" t="s">
        <v>212</v>
      </c>
      <c r="F7965" t="s">
        <v>3232</v>
      </c>
      <c r="G7965">
        <v>1109590</v>
      </c>
      <c r="H7965" t="s">
        <v>1286</v>
      </c>
      <c r="I7965" t="s">
        <v>150</v>
      </c>
      <c r="J7965" t="str">
        <f>"9781476600093"</f>
        <v>9781476600093</v>
      </c>
      <c r="K7965" t="s">
        <v>11578</v>
      </c>
      <c r="L7965">
        <v>5</v>
      </c>
      <c r="O7965" t="s">
        <v>30</v>
      </c>
      <c r="P7965" t="s">
        <v>29</v>
      </c>
      <c r="Q7965" s="1">
        <v>42268.617488425924</v>
      </c>
      <c r="R7965">
        <v>7</v>
      </c>
      <c r="S7965" t="s">
        <v>214</v>
      </c>
      <c r="T7965" t="s">
        <v>3234</v>
      </c>
      <c r="U7965" t="s">
        <v>3235</v>
      </c>
      <c r="V7965" s="3">
        <v>41294</v>
      </c>
    </row>
    <row r="7966" spans="1:22" x14ac:dyDescent="0.35">
      <c r="A7966" s="1">
        <v>42268.614317129628</v>
      </c>
      <c r="B7966" s="2">
        <v>1.1770833333333333E-2</v>
      </c>
      <c r="C7966" t="s">
        <v>10890</v>
      </c>
      <c r="D7966" t="s">
        <v>23</v>
      </c>
      <c r="E7966" t="s">
        <v>24</v>
      </c>
      <c r="F7966" t="s">
        <v>11579</v>
      </c>
      <c r="G7966">
        <v>2077488</v>
      </c>
      <c r="H7966" t="s">
        <v>526</v>
      </c>
      <c r="I7966" t="s">
        <v>630</v>
      </c>
      <c r="J7966" t="str">
        <f>"9780226259796"</f>
        <v>9780226259796</v>
      </c>
      <c r="K7966" t="s">
        <v>11580</v>
      </c>
      <c r="L7966">
        <v>57</v>
      </c>
      <c r="O7966" t="s">
        <v>30</v>
      </c>
      <c r="P7966" t="s">
        <v>47</v>
      </c>
      <c r="Q7966" s="1">
        <v>42268.614317129628</v>
      </c>
      <c r="R7966">
        <v>1</v>
      </c>
      <c r="S7966" t="s">
        <v>31</v>
      </c>
      <c r="T7966" t="s">
        <v>11581</v>
      </c>
      <c r="U7966">
        <v>193</v>
      </c>
      <c r="V7966" s="3">
        <v>42206</v>
      </c>
    </row>
    <row r="7967" spans="1:22" x14ac:dyDescent="0.35">
      <c r="A7967" s="1">
        <v>42268.613032407404</v>
      </c>
      <c r="B7967" s="2">
        <v>0</v>
      </c>
      <c r="C7967" t="s">
        <v>320</v>
      </c>
      <c r="D7967" t="s">
        <v>23</v>
      </c>
      <c r="E7967" t="s">
        <v>24</v>
      </c>
      <c r="F7967" t="s">
        <v>1051</v>
      </c>
      <c r="G7967">
        <v>821663</v>
      </c>
      <c r="H7967" t="s">
        <v>26</v>
      </c>
      <c r="I7967" t="s">
        <v>200</v>
      </c>
      <c r="J7967" t="str">
        <f>"9781118168479"</f>
        <v>9781118168479</v>
      </c>
      <c r="L7967">
        <v>0</v>
      </c>
      <c r="N7967" t="s">
        <v>1888</v>
      </c>
      <c r="O7967" t="s">
        <v>30</v>
      </c>
      <c r="P7967" t="s">
        <v>29</v>
      </c>
      <c r="Q7967" s="1">
        <v>42268.613020833334</v>
      </c>
      <c r="R7967">
        <v>7</v>
      </c>
      <c r="S7967" t="s">
        <v>31</v>
      </c>
      <c r="T7967" t="s">
        <v>1053</v>
      </c>
      <c r="U7967">
        <v>729</v>
      </c>
      <c r="V7967" s="3">
        <v>40973</v>
      </c>
    </row>
    <row r="7968" spans="1:22" x14ac:dyDescent="0.35">
      <c r="A7968" s="1">
        <v>42268.612835648149</v>
      </c>
      <c r="B7968" s="2">
        <v>2.9062500000000002E-2</v>
      </c>
      <c r="C7968" t="s">
        <v>106</v>
      </c>
      <c r="D7968" t="s">
        <v>23</v>
      </c>
      <c r="E7968" t="s">
        <v>24</v>
      </c>
      <c r="F7968" t="s">
        <v>3488</v>
      </c>
      <c r="G7968">
        <v>1294909</v>
      </c>
      <c r="H7968" t="s">
        <v>84</v>
      </c>
      <c r="I7968" t="s">
        <v>445</v>
      </c>
      <c r="J7968" t="str">
        <f>"9780520956797"</f>
        <v>9780520956797</v>
      </c>
      <c r="K7968" t="s">
        <v>11582</v>
      </c>
      <c r="L7968">
        <v>65</v>
      </c>
      <c r="O7968" t="s">
        <v>30</v>
      </c>
      <c r="P7968" t="s">
        <v>29</v>
      </c>
      <c r="Q7968" s="1">
        <v>42265.725902777776</v>
      </c>
      <c r="R7968">
        <v>7</v>
      </c>
      <c r="S7968" t="s">
        <v>31</v>
      </c>
      <c r="T7968" t="s">
        <v>3490</v>
      </c>
      <c r="U7968" t="s">
        <v>3491</v>
      </c>
      <c r="V7968" s="3">
        <v>41487</v>
      </c>
    </row>
    <row r="7969" spans="1:22" x14ac:dyDescent="0.35">
      <c r="A7969" s="1">
        <v>42268.611076388886</v>
      </c>
      <c r="B7969" s="2">
        <v>0</v>
      </c>
      <c r="C7969" t="s">
        <v>5520</v>
      </c>
      <c r="D7969" t="s">
        <v>23</v>
      </c>
      <c r="E7969" t="s">
        <v>24</v>
      </c>
      <c r="F7969" t="s">
        <v>3559</v>
      </c>
      <c r="G7969">
        <v>1217954</v>
      </c>
      <c r="H7969" t="s">
        <v>45</v>
      </c>
      <c r="I7969" t="s">
        <v>3560</v>
      </c>
      <c r="J7969" t="str">
        <f>"9781409457558"</f>
        <v>9781409457558</v>
      </c>
      <c r="L7969">
        <v>0</v>
      </c>
      <c r="O7969" t="s">
        <v>28</v>
      </c>
      <c r="P7969" t="s">
        <v>29</v>
      </c>
      <c r="Q7969" s="1">
        <v>42268.611076388886</v>
      </c>
      <c r="R7969">
        <v>7</v>
      </c>
      <c r="S7969" t="s">
        <v>31</v>
      </c>
      <c r="T7969" t="s">
        <v>3562</v>
      </c>
      <c r="U7969" t="s">
        <v>3563</v>
      </c>
      <c r="V7969" s="3">
        <v>41575</v>
      </c>
    </row>
    <row r="7970" spans="1:22" x14ac:dyDescent="0.35">
      <c r="A7970" s="1">
        <v>42268.611076388886</v>
      </c>
      <c r="B7970" s="2">
        <v>0</v>
      </c>
      <c r="C7970" t="s">
        <v>5520</v>
      </c>
      <c r="D7970" t="s">
        <v>23</v>
      </c>
      <c r="E7970" t="s">
        <v>24</v>
      </c>
      <c r="F7970" t="s">
        <v>3559</v>
      </c>
      <c r="G7970">
        <v>1217954</v>
      </c>
      <c r="H7970" t="s">
        <v>45</v>
      </c>
      <c r="I7970" t="s">
        <v>3560</v>
      </c>
      <c r="J7970" t="str">
        <f>"9781409457558"</f>
        <v>9781409457558</v>
      </c>
      <c r="L7970">
        <v>0</v>
      </c>
      <c r="O7970" t="s">
        <v>30</v>
      </c>
      <c r="P7970" t="s">
        <v>29</v>
      </c>
      <c r="Q7970" s="1">
        <v>42268.611076388886</v>
      </c>
      <c r="R7970">
        <v>7</v>
      </c>
      <c r="S7970" t="s">
        <v>31</v>
      </c>
      <c r="T7970" t="s">
        <v>3562</v>
      </c>
      <c r="U7970" t="s">
        <v>3563</v>
      </c>
      <c r="V7970" s="3">
        <v>41575</v>
      </c>
    </row>
    <row r="7971" spans="1:22" x14ac:dyDescent="0.35">
      <c r="A7971" s="1">
        <v>42268.610833333332</v>
      </c>
      <c r="B7971" s="2">
        <v>3.483796296296296E-3</v>
      </c>
      <c r="C7971" t="s">
        <v>10890</v>
      </c>
      <c r="D7971" t="s">
        <v>23</v>
      </c>
      <c r="E7971" t="s">
        <v>24</v>
      </c>
      <c r="F7971" t="s">
        <v>11579</v>
      </c>
      <c r="G7971">
        <v>2077488</v>
      </c>
      <c r="H7971" t="s">
        <v>526</v>
      </c>
      <c r="I7971" t="s">
        <v>630</v>
      </c>
      <c r="J7971" t="str">
        <f>"9780226259796"</f>
        <v>9780226259796</v>
      </c>
      <c r="K7971" t="s">
        <v>11583</v>
      </c>
      <c r="L7971">
        <v>38</v>
      </c>
      <c r="O7971" t="s">
        <v>30</v>
      </c>
      <c r="P7971" t="s">
        <v>50</v>
      </c>
      <c r="S7971" t="s">
        <v>31</v>
      </c>
      <c r="T7971" t="s">
        <v>11581</v>
      </c>
      <c r="U7971">
        <v>193</v>
      </c>
      <c r="V7971" s="3">
        <v>42206</v>
      </c>
    </row>
    <row r="7972" spans="1:22" x14ac:dyDescent="0.35">
      <c r="A7972" s="1">
        <v>42268.609537037039</v>
      </c>
      <c r="B7972" s="2">
        <v>7.951388888888888E-3</v>
      </c>
      <c r="C7972" t="s">
        <v>210</v>
      </c>
      <c r="D7972" t="s">
        <v>211</v>
      </c>
      <c r="E7972" t="s">
        <v>212</v>
      </c>
      <c r="F7972" t="s">
        <v>3232</v>
      </c>
      <c r="G7972">
        <v>1109590</v>
      </c>
      <c r="H7972" t="s">
        <v>1286</v>
      </c>
      <c r="I7972" t="s">
        <v>150</v>
      </c>
      <c r="J7972" t="str">
        <f>"9781476600093"</f>
        <v>9781476600093</v>
      </c>
      <c r="K7972" t="s">
        <v>11584</v>
      </c>
      <c r="L7972">
        <v>13</v>
      </c>
      <c r="O7972" t="s">
        <v>30</v>
      </c>
      <c r="P7972" t="s">
        <v>42</v>
      </c>
      <c r="S7972" t="s">
        <v>214</v>
      </c>
      <c r="T7972" t="s">
        <v>3234</v>
      </c>
      <c r="U7972" t="s">
        <v>3235</v>
      </c>
      <c r="V7972" s="3">
        <v>41294</v>
      </c>
    </row>
    <row r="7973" spans="1:22" x14ac:dyDescent="0.35">
      <c r="A7973" s="1">
        <v>42268.609432870369</v>
      </c>
      <c r="B7973" s="2">
        <v>1.6435185185185183E-3</v>
      </c>
      <c r="C7973" t="s">
        <v>5520</v>
      </c>
      <c r="D7973" t="s">
        <v>23</v>
      </c>
      <c r="E7973" t="s">
        <v>24</v>
      </c>
      <c r="F7973" t="s">
        <v>3559</v>
      </c>
      <c r="G7973">
        <v>1217954</v>
      </c>
      <c r="H7973" t="s">
        <v>45</v>
      </c>
      <c r="I7973" t="s">
        <v>3560</v>
      </c>
      <c r="J7973" t="str">
        <f>"9781409457558"</f>
        <v>9781409457558</v>
      </c>
      <c r="K7973" t="s">
        <v>11585</v>
      </c>
      <c r="L7973">
        <v>16</v>
      </c>
      <c r="O7973" t="s">
        <v>30</v>
      </c>
      <c r="P7973" t="s">
        <v>42</v>
      </c>
      <c r="S7973" t="s">
        <v>31</v>
      </c>
      <c r="T7973" t="s">
        <v>3562</v>
      </c>
      <c r="U7973" t="s">
        <v>3563</v>
      </c>
      <c r="V7973" s="3">
        <v>41575</v>
      </c>
    </row>
    <row r="7974" spans="1:22" x14ac:dyDescent="0.35">
      <c r="A7974" s="1">
        <v>42268.608657407407</v>
      </c>
      <c r="B7974" s="2">
        <v>4.363425925925926E-3</v>
      </c>
      <c r="C7974" t="s">
        <v>320</v>
      </c>
      <c r="D7974" t="s">
        <v>23</v>
      </c>
      <c r="E7974" t="s">
        <v>24</v>
      </c>
      <c r="F7974" t="s">
        <v>1051</v>
      </c>
      <c r="G7974">
        <v>821663</v>
      </c>
      <c r="H7974" t="s">
        <v>26</v>
      </c>
      <c r="I7974" t="s">
        <v>200</v>
      </c>
      <c r="J7974" t="str">
        <f>"9781118168479"</f>
        <v>9781118168479</v>
      </c>
      <c r="K7974" t="s">
        <v>11586</v>
      </c>
      <c r="L7974">
        <v>13</v>
      </c>
      <c r="O7974" t="s">
        <v>30</v>
      </c>
      <c r="P7974" t="s">
        <v>42</v>
      </c>
      <c r="S7974" t="s">
        <v>31</v>
      </c>
      <c r="T7974" t="s">
        <v>1053</v>
      </c>
      <c r="U7974">
        <v>729</v>
      </c>
      <c r="V7974" s="3">
        <v>40973</v>
      </c>
    </row>
    <row r="7975" spans="1:22" x14ac:dyDescent="0.35">
      <c r="A7975" s="1">
        <v>42268.595208333332</v>
      </c>
      <c r="B7975" s="2">
        <v>0</v>
      </c>
      <c r="C7975" t="s">
        <v>106</v>
      </c>
      <c r="D7975" t="s">
        <v>23</v>
      </c>
      <c r="E7975" t="s">
        <v>24</v>
      </c>
      <c r="F7975" t="s">
        <v>3953</v>
      </c>
      <c r="G7975">
        <v>1675480</v>
      </c>
      <c r="H7975" t="s">
        <v>26</v>
      </c>
      <c r="I7975" t="s">
        <v>450</v>
      </c>
      <c r="J7975" t="str">
        <f>"9781118828137"</f>
        <v>9781118828137</v>
      </c>
      <c r="L7975">
        <v>0</v>
      </c>
      <c r="O7975" t="s">
        <v>28</v>
      </c>
      <c r="P7975" t="s">
        <v>29</v>
      </c>
      <c r="Q7975" s="1">
        <v>42268.595208333332</v>
      </c>
      <c r="R7975">
        <v>7</v>
      </c>
      <c r="S7975" t="s">
        <v>31</v>
      </c>
      <c r="T7975" t="s">
        <v>3955</v>
      </c>
      <c r="U7975">
        <v>547</v>
      </c>
      <c r="V7975" s="3">
        <v>41725</v>
      </c>
    </row>
    <row r="7976" spans="1:22" x14ac:dyDescent="0.35">
      <c r="A7976" s="1">
        <v>42268.595208333332</v>
      </c>
      <c r="B7976" s="2">
        <v>0</v>
      </c>
      <c r="C7976" t="s">
        <v>106</v>
      </c>
      <c r="D7976" t="s">
        <v>23</v>
      </c>
      <c r="E7976" t="s">
        <v>24</v>
      </c>
      <c r="F7976" t="s">
        <v>3953</v>
      </c>
      <c r="G7976">
        <v>1675480</v>
      </c>
      <c r="H7976" t="s">
        <v>26</v>
      </c>
      <c r="I7976" t="s">
        <v>450</v>
      </c>
      <c r="J7976" t="str">
        <f>"9781118828137"</f>
        <v>9781118828137</v>
      </c>
      <c r="L7976">
        <v>0</v>
      </c>
      <c r="O7976" t="s">
        <v>30</v>
      </c>
      <c r="P7976" t="s">
        <v>29</v>
      </c>
      <c r="Q7976" s="1">
        <v>42268.595208333332</v>
      </c>
      <c r="R7976">
        <v>7</v>
      </c>
      <c r="S7976" t="s">
        <v>31</v>
      </c>
      <c r="T7976" t="s">
        <v>3955</v>
      </c>
      <c r="U7976">
        <v>547</v>
      </c>
      <c r="V7976" s="3">
        <v>41725</v>
      </c>
    </row>
    <row r="7977" spans="1:22" x14ac:dyDescent="0.35">
      <c r="A7977" s="1">
        <v>42268.594930555555</v>
      </c>
      <c r="B7977" s="2">
        <v>2.7777777777777778E-4</v>
      </c>
      <c r="C7977" t="s">
        <v>106</v>
      </c>
      <c r="D7977" t="s">
        <v>23</v>
      </c>
      <c r="E7977" t="s">
        <v>24</v>
      </c>
      <c r="F7977" t="s">
        <v>3953</v>
      </c>
      <c r="G7977">
        <v>1675480</v>
      </c>
      <c r="H7977" t="s">
        <v>26</v>
      </c>
      <c r="I7977" t="s">
        <v>450</v>
      </c>
      <c r="J7977" t="str">
        <f>"9781118828137"</f>
        <v>9781118828137</v>
      </c>
      <c r="K7977" t="s">
        <v>33</v>
      </c>
      <c r="L7977">
        <v>3</v>
      </c>
      <c r="O7977" t="s">
        <v>30</v>
      </c>
      <c r="P7977" t="s">
        <v>42</v>
      </c>
      <c r="S7977" t="s">
        <v>31</v>
      </c>
      <c r="T7977" t="s">
        <v>3955</v>
      </c>
      <c r="U7977">
        <v>547</v>
      </c>
      <c r="V7977" s="3">
        <v>41725</v>
      </c>
    </row>
    <row r="7978" spans="1:22" x14ac:dyDescent="0.35">
      <c r="A7978" s="1">
        <v>42268.586655092593</v>
      </c>
      <c r="B7978" s="2">
        <v>2.4305555555555552E-4</v>
      </c>
      <c r="C7978" t="s">
        <v>106</v>
      </c>
      <c r="D7978" t="s">
        <v>23</v>
      </c>
      <c r="E7978" t="s">
        <v>24</v>
      </c>
      <c r="F7978" t="s">
        <v>5390</v>
      </c>
      <c r="G7978">
        <v>1732123</v>
      </c>
      <c r="H7978" t="s">
        <v>26</v>
      </c>
      <c r="I7978" t="s">
        <v>445</v>
      </c>
      <c r="J7978" t="str">
        <f>"9781118884942"</f>
        <v>9781118884942</v>
      </c>
      <c r="K7978" t="s">
        <v>11587</v>
      </c>
      <c r="L7978">
        <v>12</v>
      </c>
      <c r="O7978" t="s">
        <v>30</v>
      </c>
      <c r="P7978" t="s">
        <v>42</v>
      </c>
      <c r="S7978" t="s">
        <v>31</v>
      </c>
      <c r="T7978" t="s">
        <v>5392</v>
      </c>
      <c r="U7978">
        <v>332.024</v>
      </c>
      <c r="V7978" s="3">
        <v>41827</v>
      </c>
    </row>
    <row r="7979" spans="1:22" x14ac:dyDescent="0.35">
      <c r="A7979" s="1">
        <v>42268.549120370371</v>
      </c>
      <c r="B7979" s="2">
        <v>2.0868055555555556E-2</v>
      </c>
      <c r="C7979" t="s">
        <v>10966</v>
      </c>
      <c r="D7979" t="s">
        <v>23</v>
      </c>
      <c r="E7979" t="s">
        <v>24</v>
      </c>
      <c r="F7979" t="s">
        <v>3228</v>
      </c>
      <c r="G7979">
        <v>1115640</v>
      </c>
      <c r="H7979" t="s">
        <v>26</v>
      </c>
      <c r="I7979" t="s">
        <v>3229</v>
      </c>
      <c r="J7979" t="str">
        <f>"9781118419090"</f>
        <v>9781118419090</v>
      </c>
      <c r="K7979" t="s">
        <v>11588</v>
      </c>
      <c r="L7979">
        <v>9</v>
      </c>
      <c r="O7979" t="s">
        <v>30</v>
      </c>
      <c r="P7979" t="s">
        <v>29</v>
      </c>
      <c r="Q7979" s="1">
        <v>42268.549120370371</v>
      </c>
      <c r="R7979">
        <v>7</v>
      </c>
      <c r="S7979" t="s">
        <v>31</v>
      </c>
      <c r="T7979" t="s">
        <v>3231</v>
      </c>
      <c r="U7979">
        <v>624</v>
      </c>
      <c r="V7979" s="3">
        <v>41296</v>
      </c>
    </row>
    <row r="7980" spans="1:22" x14ac:dyDescent="0.35">
      <c r="A7980" s="1">
        <v>42268.547465277778</v>
      </c>
      <c r="B7980" s="2">
        <v>2.7662037037037034E-3</v>
      </c>
      <c r="C7980" t="s">
        <v>9911</v>
      </c>
      <c r="D7980" t="s">
        <v>2519</v>
      </c>
      <c r="E7980" t="s">
        <v>2520</v>
      </c>
      <c r="F7980" t="s">
        <v>11300</v>
      </c>
      <c r="G7980">
        <v>1774217</v>
      </c>
      <c r="H7980" t="s">
        <v>45</v>
      </c>
      <c r="I7980" t="s">
        <v>1434</v>
      </c>
      <c r="J7980" t="str">
        <f>"9781472422859"</f>
        <v>9781472422859</v>
      </c>
      <c r="K7980" t="s">
        <v>413</v>
      </c>
      <c r="L7980">
        <v>9</v>
      </c>
      <c r="O7980" t="s">
        <v>30</v>
      </c>
      <c r="P7980" t="s">
        <v>50</v>
      </c>
      <c r="S7980" t="s">
        <v>2523</v>
      </c>
      <c r="T7980" t="s">
        <v>11302</v>
      </c>
      <c r="U7980">
        <v>320.01</v>
      </c>
      <c r="V7980" s="3">
        <v>41940</v>
      </c>
    </row>
    <row r="7981" spans="1:22" x14ac:dyDescent="0.35">
      <c r="A7981" s="1">
        <v>42268.54724537037</v>
      </c>
      <c r="B7981" s="2">
        <v>1.8750000000000001E-3</v>
      </c>
      <c r="C7981" t="s">
        <v>10966</v>
      </c>
      <c r="D7981" t="s">
        <v>23</v>
      </c>
      <c r="E7981" t="s">
        <v>24</v>
      </c>
      <c r="F7981" t="s">
        <v>3228</v>
      </c>
      <c r="G7981">
        <v>1115640</v>
      </c>
      <c r="H7981" t="s">
        <v>26</v>
      </c>
      <c r="I7981" t="s">
        <v>3229</v>
      </c>
      <c r="J7981" t="str">
        <f>"9781118419090"</f>
        <v>9781118419090</v>
      </c>
      <c r="K7981" t="s">
        <v>11589</v>
      </c>
      <c r="L7981">
        <v>14</v>
      </c>
      <c r="O7981" t="s">
        <v>30</v>
      </c>
      <c r="P7981" t="s">
        <v>42</v>
      </c>
      <c r="S7981" t="s">
        <v>31</v>
      </c>
      <c r="T7981" t="s">
        <v>3231</v>
      </c>
      <c r="U7981">
        <v>624</v>
      </c>
      <c r="V7981" s="3">
        <v>41296</v>
      </c>
    </row>
    <row r="7982" spans="1:22" x14ac:dyDescent="0.35">
      <c r="A7982" s="1">
        <v>42268.513287037036</v>
      </c>
      <c r="B7982" s="2">
        <v>1.3692129629629629E-2</v>
      </c>
      <c r="C7982" t="s">
        <v>106</v>
      </c>
      <c r="D7982" t="s">
        <v>23</v>
      </c>
      <c r="E7982" t="s">
        <v>24</v>
      </c>
      <c r="F7982" t="s">
        <v>3228</v>
      </c>
      <c r="G7982">
        <v>1115640</v>
      </c>
      <c r="H7982" t="s">
        <v>26</v>
      </c>
      <c r="I7982" t="s">
        <v>3229</v>
      </c>
      <c r="J7982" t="str">
        <f>"9781118419090"</f>
        <v>9781118419090</v>
      </c>
      <c r="K7982" t="s">
        <v>11590</v>
      </c>
      <c r="L7982">
        <v>17</v>
      </c>
      <c r="O7982" t="s">
        <v>30</v>
      </c>
      <c r="P7982" t="s">
        <v>29</v>
      </c>
      <c r="Q7982" s="1">
        <v>42265.564884259256</v>
      </c>
      <c r="R7982">
        <v>7</v>
      </c>
      <c r="S7982" t="s">
        <v>31</v>
      </c>
      <c r="T7982" t="s">
        <v>3231</v>
      </c>
      <c r="U7982">
        <v>624</v>
      </c>
      <c r="V7982" s="3">
        <v>41296</v>
      </c>
    </row>
    <row r="7983" spans="1:22" x14ac:dyDescent="0.35">
      <c r="A7983" s="1">
        <v>42268.473634259259</v>
      </c>
      <c r="B7983" s="2">
        <v>1.6203703703703703E-4</v>
      </c>
      <c r="C7983" t="s">
        <v>2148</v>
      </c>
      <c r="D7983" t="s">
        <v>23</v>
      </c>
      <c r="E7983" t="s">
        <v>24</v>
      </c>
      <c r="F7983" t="s">
        <v>11591</v>
      </c>
      <c r="G7983">
        <v>1829617</v>
      </c>
      <c r="H7983" t="s">
        <v>526</v>
      </c>
      <c r="I7983" t="s">
        <v>120</v>
      </c>
      <c r="J7983" t="str">
        <f>"9780226186757"</f>
        <v>9780226186757</v>
      </c>
      <c r="K7983" t="s">
        <v>11592</v>
      </c>
      <c r="L7983">
        <v>3</v>
      </c>
      <c r="O7983" t="s">
        <v>30</v>
      </c>
      <c r="P7983" t="s">
        <v>47</v>
      </c>
      <c r="Q7983" s="1">
        <v>42268.473634259259</v>
      </c>
      <c r="R7983">
        <v>1</v>
      </c>
      <c r="S7983" t="s">
        <v>31</v>
      </c>
      <c r="T7983" t="s">
        <v>11593</v>
      </c>
      <c r="U7983">
        <v>306.7</v>
      </c>
      <c r="V7983" s="3">
        <v>41992</v>
      </c>
    </row>
    <row r="7984" spans="1:22" x14ac:dyDescent="0.35">
      <c r="A7984" s="1">
        <v>42268.470069444447</v>
      </c>
      <c r="B7984" s="2">
        <v>3.5648148148148154E-3</v>
      </c>
      <c r="C7984" t="s">
        <v>2148</v>
      </c>
      <c r="D7984" t="s">
        <v>23</v>
      </c>
      <c r="E7984" t="s">
        <v>24</v>
      </c>
      <c r="F7984" t="s">
        <v>11591</v>
      </c>
      <c r="G7984">
        <v>1829617</v>
      </c>
      <c r="H7984" t="s">
        <v>526</v>
      </c>
      <c r="I7984" t="s">
        <v>120</v>
      </c>
      <c r="J7984" t="str">
        <f>"9780226186757"</f>
        <v>9780226186757</v>
      </c>
      <c r="K7984" t="s">
        <v>634</v>
      </c>
      <c r="L7984">
        <v>24</v>
      </c>
      <c r="O7984" t="s">
        <v>30</v>
      </c>
      <c r="P7984" t="s">
        <v>50</v>
      </c>
      <c r="S7984" t="s">
        <v>31</v>
      </c>
      <c r="T7984" t="s">
        <v>11593</v>
      </c>
      <c r="U7984">
        <v>306.7</v>
      </c>
      <c r="V7984" s="3">
        <v>41992</v>
      </c>
    </row>
    <row r="7985" spans="1:22" x14ac:dyDescent="0.35">
      <c r="A7985" s="1">
        <v>42268.378958333335</v>
      </c>
      <c r="B7985" s="2">
        <v>1.6203703703703703E-4</v>
      </c>
      <c r="C7985" t="s">
        <v>7498</v>
      </c>
      <c r="D7985" t="s">
        <v>35</v>
      </c>
      <c r="E7985" t="s">
        <v>36</v>
      </c>
      <c r="F7985" t="s">
        <v>3275</v>
      </c>
      <c r="G7985">
        <v>822662</v>
      </c>
      <c r="H7985" t="s">
        <v>26</v>
      </c>
      <c r="I7985" t="s">
        <v>172</v>
      </c>
      <c r="J7985" t="str">
        <f>"9781444355130"</f>
        <v>9781444355130</v>
      </c>
      <c r="K7985" t="s">
        <v>11594</v>
      </c>
      <c r="L7985">
        <v>14</v>
      </c>
      <c r="O7985" t="s">
        <v>30</v>
      </c>
      <c r="P7985" t="s">
        <v>29</v>
      </c>
      <c r="Q7985" s="1">
        <v>42268.378958333335</v>
      </c>
      <c r="R7985">
        <v>7</v>
      </c>
      <c r="S7985" t="s">
        <v>40</v>
      </c>
      <c r="T7985" t="s">
        <v>3277</v>
      </c>
      <c r="U7985">
        <v>960.3</v>
      </c>
      <c r="V7985" s="3">
        <v>40858</v>
      </c>
    </row>
    <row r="7986" spans="1:22" x14ac:dyDescent="0.35">
      <c r="A7986" s="1">
        <v>42268.347303240742</v>
      </c>
      <c r="B7986" s="2">
        <v>3.1655092592592596E-2</v>
      </c>
      <c r="C7986" t="s">
        <v>7498</v>
      </c>
      <c r="D7986" t="s">
        <v>35</v>
      </c>
      <c r="E7986" t="s">
        <v>36</v>
      </c>
      <c r="F7986" t="s">
        <v>3275</v>
      </c>
      <c r="G7986">
        <v>822662</v>
      </c>
      <c r="H7986" t="s">
        <v>26</v>
      </c>
      <c r="I7986" t="s">
        <v>172</v>
      </c>
      <c r="J7986" t="str">
        <f>"9781444355130"</f>
        <v>9781444355130</v>
      </c>
      <c r="K7986" t="s">
        <v>33</v>
      </c>
      <c r="L7986">
        <v>3</v>
      </c>
      <c r="O7986" t="s">
        <v>30</v>
      </c>
      <c r="P7986" t="s">
        <v>42</v>
      </c>
      <c r="S7986" t="s">
        <v>40</v>
      </c>
      <c r="T7986" t="s">
        <v>3277</v>
      </c>
      <c r="U7986">
        <v>960.3</v>
      </c>
      <c r="V7986" s="3">
        <v>40858</v>
      </c>
    </row>
    <row r="7987" spans="1:22" x14ac:dyDescent="0.35">
      <c r="A7987" s="1">
        <v>42268.308796296296</v>
      </c>
      <c r="B7987" s="2">
        <v>5.2546296296296299E-3</v>
      </c>
      <c r="C7987" t="s">
        <v>10966</v>
      </c>
      <c r="D7987" t="s">
        <v>23</v>
      </c>
      <c r="E7987" t="s">
        <v>24</v>
      </c>
      <c r="F7987" t="s">
        <v>3228</v>
      </c>
      <c r="G7987">
        <v>1115640</v>
      </c>
      <c r="H7987" t="s">
        <v>26</v>
      </c>
      <c r="I7987" t="s">
        <v>3229</v>
      </c>
      <c r="J7987" t="str">
        <f>"9781118419090"</f>
        <v>9781118419090</v>
      </c>
      <c r="K7987" t="s">
        <v>1964</v>
      </c>
      <c r="L7987">
        <v>22</v>
      </c>
      <c r="O7987" t="s">
        <v>30</v>
      </c>
      <c r="P7987" t="s">
        <v>42</v>
      </c>
      <c r="S7987" t="s">
        <v>31</v>
      </c>
      <c r="T7987" t="s">
        <v>3231</v>
      </c>
      <c r="U7987">
        <v>624</v>
      </c>
      <c r="V7987" s="3">
        <v>41296</v>
      </c>
    </row>
    <row r="7988" spans="1:22" x14ac:dyDescent="0.35">
      <c r="A7988" s="1">
        <v>42268.277326388888</v>
      </c>
      <c r="B7988" s="2">
        <v>4.8611111111111104E-4</v>
      </c>
      <c r="C7988" t="s">
        <v>9950</v>
      </c>
      <c r="D7988" t="s">
        <v>23</v>
      </c>
      <c r="E7988" t="s">
        <v>24</v>
      </c>
      <c r="F7988" t="s">
        <v>3488</v>
      </c>
      <c r="G7988">
        <v>1294909</v>
      </c>
      <c r="H7988" t="s">
        <v>84</v>
      </c>
      <c r="I7988" t="s">
        <v>445</v>
      </c>
      <c r="J7988" t="str">
        <f>"9780520956797"</f>
        <v>9780520956797</v>
      </c>
      <c r="K7988" t="s">
        <v>11595</v>
      </c>
      <c r="L7988">
        <v>13</v>
      </c>
      <c r="O7988" t="s">
        <v>30</v>
      </c>
      <c r="P7988" t="s">
        <v>29</v>
      </c>
      <c r="Q7988" s="1">
        <v>42268.185173611113</v>
      </c>
      <c r="R7988">
        <v>7</v>
      </c>
      <c r="S7988" t="s">
        <v>31</v>
      </c>
      <c r="T7988" t="s">
        <v>3490</v>
      </c>
      <c r="U7988" t="s">
        <v>3491</v>
      </c>
      <c r="V7988" s="3">
        <v>41487</v>
      </c>
    </row>
    <row r="7989" spans="1:22" x14ac:dyDescent="0.35">
      <c r="A7989" s="1">
        <v>42268.258391203701</v>
      </c>
      <c r="B7989" s="2">
        <v>5.4398148148148144E-4</v>
      </c>
      <c r="C7989" t="s">
        <v>11596</v>
      </c>
      <c r="D7989" t="s">
        <v>23</v>
      </c>
      <c r="E7989" t="s">
        <v>24</v>
      </c>
      <c r="F7989" t="s">
        <v>3228</v>
      </c>
      <c r="G7989">
        <v>1115640</v>
      </c>
      <c r="H7989" t="s">
        <v>26</v>
      </c>
      <c r="I7989" t="s">
        <v>3229</v>
      </c>
      <c r="J7989" t="str">
        <f>"9781118419090"</f>
        <v>9781118419090</v>
      </c>
      <c r="K7989" t="s">
        <v>11597</v>
      </c>
      <c r="L7989">
        <v>35</v>
      </c>
      <c r="N7989" t="s">
        <v>11219</v>
      </c>
      <c r="O7989" t="s">
        <v>30</v>
      </c>
      <c r="P7989" t="s">
        <v>29</v>
      </c>
      <c r="Q7989" s="1">
        <v>42268.258391203701</v>
      </c>
      <c r="R7989">
        <v>7</v>
      </c>
      <c r="S7989" t="s">
        <v>31</v>
      </c>
      <c r="T7989" t="s">
        <v>3231</v>
      </c>
      <c r="U7989">
        <v>624</v>
      </c>
      <c r="V7989" s="3">
        <v>41296</v>
      </c>
    </row>
    <row r="7990" spans="1:22" x14ac:dyDescent="0.35">
      <c r="A7990" s="1">
        <v>42268.258252314816</v>
      </c>
      <c r="B7990" s="2">
        <v>1.3888888888888889E-4</v>
      </c>
      <c r="C7990" t="s">
        <v>11596</v>
      </c>
      <c r="D7990" t="s">
        <v>23</v>
      </c>
      <c r="E7990" t="s">
        <v>24</v>
      </c>
      <c r="F7990" t="s">
        <v>3228</v>
      </c>
      <c r="G7990">
        <v>1115640</v>
      </c>
      <c r="H7990" t="s">
        <v>26</v>
      </c>
      <c r="I7990" t="s">
        <v>3229</v>
      </c>
      <c r="J7990" t="str">
        <f>"9781118419090"</f>
        <v>9781118419090</v>
      </c>
      <c r="K7990" t="s">
        <v>33</v>
      </c>
      <c r="L7990">
        <v>3</v>
      </c>
      <c r="O7990" t="s">
        <v>30</v>
      </c>
      <c r="P7990" t="s">
        <v>42</v>
      </c>
      <c r="S7990" t="s">
        <v>31</v>
      </c>
      <c r="T7990" t="s">
        <v>3231</v>
      </c>
      <c r="U7990">
        <v>624</v>
      </c>
      <c r="V7990" s="3">
        <v>41296</v>
      </c>
    </row>
    <row r="7991" spans="1:22" x14ac:dyDescent="0.35">
      <c r="A7991" s="1">
        <v>42268.20034722222</v>
      </c>
      <c r="B7991" s="2">
        <v>0.10697916666666667</v>
      </c>
      <c r="C7991" t="s">
        <v>3487</v>
      </c>
      <c r="D7991" t="s">
        <v>23</v>
      </c>
      <c r="E7991" t="s">
        <v>24</v>
      </c>
      <c r="F7991" t="s">
        <v>3488</v>
      </c>
      <c r="G7991">
        <v>1294909</v>
      </c>
      <c r="H7991" t="s">
        <v>84</v>
      </c>
      <c r="I7991" t="s">
        <v>445</v>
      </c>
      <c r="J7991" t="str">
        <f t="shared" ref="J7991:J7997" si="52">"9780520956797"</f>
        <v>9780520956797</v>
      </c>
      <c r="K7991" t="s">
        <v>11598</v>
      </c>
      <c r="L7991">
        <v>58</v>
      </c>
      <c r="O7991" t="s">
        <v>30</v>
      </c>
      <c r="P7991" t="s">
        <v>29</v>
      </c>
      <c r="Q7991" s="1">
        <v>42268.20034722222</v>
      </c>
      <c r="R7991">
        <v>7</v>
      </c>
      <c r="S7991" t="s">
        <v>31</v>
      </c>
      <c r="T7991" t="s">
        <v>3490</v>
      </c>
      <c r="U7991" t="s">
        <v>3491</v>
      </c>
      <c r="V7991" s="3">
        <v>41487</v>
      </c>
    </row>
    <row r="7992" spans="1:22" x14ac:dyDescent="0.35">
      <c r="A7992" s="1">
        <v>42268.186215277776</v>
      </c>
      <c r="B7992" s="2">
        <v>0</v>
      </c>
      <c r="C7992" t="s">
        <v>9950</v>
      </c>
      <c r="D7992" t="s">
        <v>23</v>
      </c>
      <c r="E7992" t="s">
        <v>24</v>
      </c>
      <c r="F7992" t="s">
        <v>3488</v>
      </c>
      <c r="G7992">
        <v>1294909</v>
      </c>
      <c r="H7992" t="s">
        <v>84</v>
      </c>
      <c r="I7992" t="s">
        <v>445</v>
      </c>
      <c r="J7992" t="str">
        <f t="shared" si="52"/>
        <v>9780520956797</v>
      </c>
      <c r="L7992">
        <v>0</v>
      </c>
      <c r="O7992" t="s">
        <v>28</v>
      </c>
      <c r="P7992" t="s">
        <v>29</v>
      </c>
      <c r="Q7992" s="1">
        <v>42268.185173611113</v>
      </c>
      <c r="R7992">
        <v>7</v>
      </c>
      <c r="S7992" t="s">
        <v>31</v>
      </c>
      <c r="T7992" t="s">
        <v>3490</v>
      </c>
      <c r="U7992" t="s">
        <v>3491</v>
      </c>
      <c r="V7992" s="3">
        <v>41487</v>
      </c>
    </row>
    <row r="7993" spans="1:22" x14ac:dyDescent="0.35">
      <c r="A7993" s="1">
        <v>42268.185752314814</v>
      </c>
      <c r="B7993" s="2">
        <v>0</v>
      </c>
      <c r="C7993" t="s">
        <v>9950</v>
      </c>
      <c r="D7993" t="s">
        <v>23</v>
      </c>
      <c r="E7993" t="s">
        <v>24</v>
      </c>
      <c r="F7993" t="s">
        <v>3488</v>
      </c>
      <c r="G7993">
        <v>1294909</v>
      </c>
      <c r="H7993" t="s">
        <v>84</v>
      </c>
      <c r="I7993" t="s">
        <v>445</v>
      </c>
      <c r="J7993" t="str">
        <f t="shared" si="52"/>
        <v>9780520956797</v>
      </c>
      <c r="L7993">
        <v>0</v>
      </c>
      <c r="O7993" t="s">
        <v>28</v>
      </c>
      <c r="P7993" t="s">
        <v>29</v>
      </c>
      <c r="Q7993" s="1">
        <v>42268.185173611113</v>
      </c>
      <c r="R7993">
        <v>7</v>
      </c>
      <c r="S7993" t="s">
        <v>31</v>
      </c>
      <c r="T7993" t="s">
        <v>3490</v>
      </c>
      <c r="U7993" t="s">
        <v>3491</v>
      </c>
      <c r="V7993" s="3">
        <v>41487</v>
      </c>
    </row>
    <row r="7994" spans="1:22" x14ac:dyDescent="0.35">
      <c r="A7994" s="1">
        <v>42268.185173611113</v>
      </c>
      <c r="B7994" s="2">
        <v>0</v>
      </c>
      <c r="C7994" t="s">
        <v>9950</v>
      </c>
      <c r="D7994" t="s">
        <v>23</v>
      </c>
      <c r="E7994" t="s">
        <v>24</v>
      </c>
      <c r="F7994" t="s">
        <v>3488</v>
      </c>
      <c r="G7994">
        <v>1294909</v>
      </c>
      <c r="H7994" t="s">
        <v>84</v>
      </c>
      <c r="I7994" t="s">
        <v>445</v>
      </c>
      <c r="J7994" t="str">
        <f t="shared" si="52"/>
        <v>9780520956797</v>
      </c>
      <c r="L7994">
        <v>0</v>
      </c>
      <c r="M7994" t="s">
        <v>2999</v>
      </c>
      <c r="O7994" t="s">
        <v>30</v>
      </c>
      <c r="P7994" t="s">
        <v>29</v>
      </c>
      <c r="Q7994" s="1">
        <v>42268.185173611113</v>
      </c>
      <c r="R7994">
        <v>7</v>
      </c>
      <c r="S7994" t="s">
        <v>31</v>
      </c>
      <c r="T7994" t="s">
        <v>3490</v>
      </c>
      <c r="U7994" t="s">
        <v>3491</v>
      </c>
      <c r="V7994" s="3">
        <v>41487</v>
      </c>
    </row>
    <row r="7995" spans="1:22" x14ac:dyDescent="0.35">
      <c r="A7995" s="1">
        <v>42268.184641203705</v>
      </c>
      <c r="B7995" s="2">
        <v>5.3240740740740744E-4</v>
      </c>
      <c r="C7995" t="s">
        <v>9950</v>
      </c>
      <c r="D7995" t="s">
        <v>23</v>
      </c>
      <c r="E7995" t="s">
        <v>24</v>
      </c>
      <c r="F7995" t="s">
        <v>3488</v>
      </c>
      <c r="G7995">
        <v>1294909</v>
      </c>
      <c r="H7995" t="s">
        <v>84</v>
      </c>
      <c r="I7995" t="s">
        <v>445</v>
      </c>
      <c r="J7995" t="str">
        <f t="shared" si="52"/>
        <v>9780520956797</v>
      </c>
      <c r="K7995" t="s">
        <v>11599</v>
      </c>
      <c r="L7995">
        <v>8</v>
      </c>
      <c r="O7995" t="s">
        <v>30</v>
      </c>
      <c r="P7995" t="s">
        <v>42</v>
      </c>
      <c r="S7995" t="s">
        <v>31</v>
      </c>
      <c r="T7995" t="s">
        <v>3490</v>
      </c>
      <c r="U7995" t="s">
        <v>3491</v>
      </c>
      <c r="V7995" s="3">
        <v>41487</v>
      </c>
    </row>
    <row r="7996" spans="1:22" x14ac:dyDescent="0.35">
      <c r="A7996" s="1">
        <v>42268.18445601852</v>
      </c>
      <c r="B7996" s="2">
        <v>7.5462962962962968E-2</v>
      </c>
      <c r="C7996" t="s">
        <v>106</v>
      </c>
      <c r="D7996" t="s">
        <v>23</v>
      </c>
      <c r="E7996" t="s">
        <v>24</v>
      </c>
      <c r="F7996" t="s">
        <v>3488</v>
      </c>
      <c r="G7996">
        <v>1294909</v>
      </c>
      <c r="H7996" t="s">
        <v>84</v>
      </c>
      <c r="I7996" t="s">
        <v>445</v>
      </c>
      <c r="J7996" t="str">
        <f t="shared" si="52"/>
        <v>9780520956797</v>
      </c>
      <c r="K7996" t="s">
        <v>11600</v>
      </c>
      <c r="L7996">
        <v>45</v>
      </c>
      <c r="O7996" t="s">
        <v>30</v>
      </c>
      <c r="P7996" t="s">
        <v>29</v>
      </c>
      <c r="Q7996" s="1">
        <v>42265.725902777776</v>
      </c>
      <c r="R7996">
        <v>7</v>
      </c>
      <c r="S7996" t="s">
        <v>31</v>
      </c>
      <c r="T7996" t="s">
        <v>3490</v>
      </c>
      <c r="U7996" t="s">
        <v>3491</v>
      </c>
      <c r="V7996" s="3">
        <v>41487</v>
      </c>
    </row>
    <row r="7997" spans="1:22" x14ac:dyDescent="0.35">
      <c r="A7997" s="1">
        <v>42268.182685185187</v>
      </c>
      <c r="B7997" s="2">
        <v>1.7662037037037035E-2</v>
      </c>
      <c r="C7997" t="s">
        <v>3487</v>
      </c>
      <c r="D7997" t="s">
        <v>23</v>
      </c>
      <c r="E7997" t="s">
        <v>24</v>
      </c>
      <c r="F7997" t="s">
        <v>3488</v>
      </c>
      <c r="G7997">
        <v>1294909</v>
      </c>
      <c r="H7997" t="s">
        <v>84</v>
      </c>
      <c r="I7997" t="s">
        <v>445</v>
      </c>
      <c r="J7997" t="str">
        <f t="shared" si="52"/>
        <v>9780520956797</v>
      </c>
      <c r="K7997" t="s">
        <v>11601</v>
      </c>
      <c r="L7997">
        <v>16</v>
      </c>
      <c r="O7997" t="s">
        <v>30</v>
      </c>
      <c r="P7997" t="s">
        <v>42</v>
      </c>
      <c r="S7997" t="s">
        <v>31</v>
      </c>
      <c r="T7997" t="s">
        <v>3490</v>
      </c>
      <c r="U7997" t="s">
        <v>3491</v>
      </c>
      <c r="V7997" s="3">
        <v>41487</v>
      </c>
    </row>
    <row r="7998" spans="1:22" x14ac:dyDescent="0.35">
      <c r="A7998" s="1">
        <v>42268.181400462963</v>
      </c>
      <c r="B7998" s="2">
        <v>3.7268518518518514E-3</v>
      </c>
      <c r="C7998" t="s">
        <v>2407</v>
      </c>
      <c r="D7998" t="s">
        <v>23</v>
      </c>
      <c r="E7998" t="s">
        <v>24</v>
      </c>
      <c r="F7998" t="s">
        <v>3228</v>
      </c>
      <c r="G7998">
        <v>1115640</v>
      </c>
      <c r="H7998" t="s">
        <v>26</v>
      </c>
      <c r="I7998" t="s">
        <v>3229</v>
      </c>
      <c r="J7998" t="str">
        <f>"9781118419090"</f>
        <v>9781118419090</v>
      </c>
      <c r="K7998" t="s">
        <v>11602</v>
      </c>
      <c r="L7998">
        <v>21</v>
      </c>
      <c r="O7998" t="s">
        <v>30</v>
      </c>
      <c r="P7998" t="s">
        <v>42</v>
      </c>
      <c r="S7998" t="s">
        <v>31</v>
      </c>
      <c r="T7998" t="s">
        <v>3231</v>
      </c>
      <c r="U7998">
        <v>624</v>
      </c>
      <c r="V7998" s="3">
        <v>41296</v>
      </c>
    </row>
    <row r="7999" spans="1:22" x14ac:dyDescent="0.35">
      <c r="A7999" s="1">
        <v>42268.172349537039</v>
      </c>
      <c r="B7999" s="2">
        <v>4.0509259259259258E-4</v>
      </c>
      <c r="C7999" t="s">
        <v>11603</v>
      </c>
      <c r="D7999" t="s">
        <v>23</v>
      </c>
      <c r="E7999" t="s">
        <v>24</v>
      </c>
      <c r="F7999" t="s">
        <v>52</v>
      </c>
      <c r="G7999">
        <v>822040</v>
      </c>
      <c r="H7999" t="s">
        <v>26</v>
      </c>
      <c r="I7999" t="s">
        <v>53</v>
      </c>
      <c r="J7999" t="str">
        <f>"9781118289099"</f>
        <v>9781118289099</v>
      </c>
      <c r="K7999" t="s">
        <v>11604</v>
      </c>
      <c r="L7999">
        <v>15</v>
      </c>
      <c r="O7999" t="s">
        <v>30</v>
      </c>
      <c r="P7999" t="s">
        <v>42</v>
      </c>
      <c r="S7999" t="s">
        <v>31</v>
      </c>
      <c r="T7999" t="s">
        <v>55</v>
      </c>
      <c r="U7999" t="s">
        <v>56</v>
      </c>
      <c r="V7999" s="3">
        <v>40990</v>
      </c>
    </row>
    <row r="8000" spans="1:22" x14ac:dyDescent="0.35">
      <c r="A8000" s="1">
        <v>42268.168275462966</v>
      </c>
      <c r="B8000" s="2">
        <v>4.3981481481481481E-4</v>
      </c>
      <c r="C8000" t="s">
        <v>11605</v>
      </c>
      <c r="D8000" t="s">
        <v>623</v>
      </c>
      <c r="E8000" t="s">
        <v>624</v>
      </c>
      <c r="F8000" t="s">
        <v>11606</v>
      </c>
      <c r="G8000">
        <v>1774195</v>
      </c>
      <c r="H8000" t="s">
        <v>45</v>
      </c>
      <c r="I8000" t="s">
        <v>150</v>
      </c>
      <c r="J8000" t="str">
        <f>"9781472421807"</f>
        <v>9781472421807</v>
      </c>
      <c r="K8000" t="s">
        <v>11607</v>
      </c>
      <c r="L8000">
        <v>11</v>
      </c>
      <c r="O8000" t="s">
        <v>30</v>
      </c>
      <c r="P8000" t="s">
        <v>50</v>
      </c>
      <c r="S8000" t="s">
        <v>627</v>
      </c>
      <c r="T8000" t="s">
        <v>11608</v>
      </c>
      <c r="U8000">
        <v>781.64089999999999</v>
      </c>
      <c r="V8000" s="3">
        <v>41940</v>
      </c>
    </row>
    <row r="8001" spans="1:22" x14ac:dyDescent="0.35">
      <c r="A8001" s="1">
        <v>42268.150787037041</v>
      </c>
      <c r="B8001" s="2">
        <v>3.6111111111111114E-3</v>
      </c>
      <c r="C8001" t="s">
        <v>106</v>
      </c>
      <c r="D8001" t="s">
        <v>23</v>
      </c>
      <c r="E8001" t="s">
        <v>24</v>
      </c>
      <c r="F8001" t="s">
        <v>3559</v>
      </c>
      <c r="G8001">
        <v>1217954</v>
      </c>
      <c r="H8001" t="s">
        <v>45</v>
      </c>
      <c r="I8001" t="s">
        <v>3560</v>
      </c>
      <c r="J8001" t="str">
        <f>"9781409457558"</f>
        <v>9781409457558</v>
      </c>
      <c r="K8001" t="s">
        <v>11609</v>
      </c>
      <c r="L8001">
        <v>12</v>
      </c>
      <c r="O8001" t="s">
        <v>30</v>
      </c>
      <c r="P8001" t="s">
        <v>29</v>
      </c>
      <c r="Q8001" s="1">
        <v>42261.622696759259</v>
      </c>
      <c r="R8001">
        <v>7</v>
      </c>
      <c r="S8001" t="s">
        <v>31</v>
      </c>
      <c r="T8001" t="s">
        <v>3562</v>
      </c>
      <c r="U8001" t="s">
        <v>3563</v>
      </c>
      <c r="V8001" s="3">
        <v>41575</v>
      </c>
    </row>
    <row r="8002" spans="1:22" x14ac:dyDescent="0.35">
      <c r="A8002" s="1">
        <v>42268.150185185186</v>
      </c>
      <c r="B8002" s="2">
        <v>1.9212962962962962E-3</v>
      </c>
      <c r="C8002" t="s">
        <v>106</v>
      </c>
      <c r="D8002" t="s">
        <v>23</v>
      </c>
      <c r="E8002" t="s">
        <v>24</v>
      </c>
      <c r="F8002" t="s">
        <v>486</v>
      </c>
      <c r="G8002">
        <v>1119505</v>
      </c>
      <c r="H8002" t="s">
        <v>26</v>
      </c>
      <c r="I8002" t="s">
        <v>450</v>
      </c>
      <c r="J8002" t="str">
        <f>"9781118355015"</f>
        <v>9781118355015</v>
      </c>
      <c r="K8002" t="s">
        <v>11610</v>
      </c>
      <c r="L8002">
        <v>15</v>
      </c>
      <c r="O8002" t="s">
        <v>30</v>
      </c>
      <c r="P8002" t="s">
        <v>42</v>
      </c>
      <c r="S8002" t="s">
        <v>31</v>
      </c>
      <c r="T8002" t="s">
        <v>487</v>
      </c>
      <c r="U8002" t="s">
        <v>488</v>
      </c>
      <c r="V8002" s="3">
        <v>41302</v>
      </c>
    </row>
    <row r="8003" spans="1:22" x14ac:dyDescent="0.35">
      <c r="A8003" s="1">
        <v>42268.14947916667</v>
      </c>
      <c r="B8003" s="2">
        <v>5.0925925925925921E-4</v>
      </c>
      <c r="C8003" t="s">
        <v>106</v>
      </c>
      <c r="D8003" t="s">
        <v>23</v>
      </c>
      <c r="E8003" t="s">
        <v>24</v>
      </c>
      <c r="F8003" t="s">
        <v>486</v>
      </c>
      <c r="G8003">
        <v>1119505</v>
      </c>
      <c r="H8003" t="s">
        <v>26</v>
      </c>
      <c r="I8003" t="s">
        <v>450</v>
      </c>
      <c r="J8003" t="str">
        <f>"9781118355015"</f>
        <v>9781118355015</v>
      </c>
      <c r="K8003" t="s">
        <v>11611</v>
      </c>
      <c r="L8003">
        <v>5</v>
      </c>
      <c r="O8003" t="s">
        <v>30</v>
      </c>
      <c r="P8003" t="s">
        <v>42</v>
      </c>
      <c r="S8003" t="s">
        <v>31</v>
      </c>
      <c r="T8003" t="s">
        <v>487</v>
      </c>
      <c r="U8003" t="s">
        <v>488</v>
      </c>
      <c r="V8003" s="3">
        <v>41302</v>
      </c>
    </row>
    <row r="8004" spans="1:22" x14ac:dyDescent="0.35">
      <c r="A8004" s="1">
        <v>42268.14744212963</v>
      </c>
      <c r="B8004" s="2">
        <v>9.0277777777777784E-4</v>
      </c>
      <c r="C8004" t="s">
        <v>11612</v>
      </c>
      <c r="D8004" t="s">
        <v>23</v>
      </c>
      <c r="E8004" t="s">
        <v>24</v>
      </c>
      <c r="F8004" t="s">
        <v>3961</v>
      </c>
      <c r="G8004">
        <v>1610008</v>
      </c>
      <c r="H8004" t="s">
        <v>45</v>
      </c>
      <c r="I8004" t="s">
        <v>3962</v>
      </c>
      <c r="J8004" t="str">
        <f>"9781409457206"</f>
        <v>9781409457206</v>
      </c>
      <c r="K8004" t="s">
        <v>11613</v>
      </c>
      <c r="L8004">
        <v>7</v>
      </c>
      <c r="O8004" t="s">
        <v>30</v>
      </c>
      <c r="P8004" t="s">
        <v>29</v>
      </c>
      <c r="Q8004" s="1">
        <v>42268.136134259257</v>
      </c>
      <c r="R8004">
        <v>7</v>
      </c>
      <c r="S8004" t="s">
        <v>31</v>
      </c>
      <c r="T8004" t="s">
        <v>3964</v>
      </c>
      <c r="U8004">
        <v>364.66</v>
      </c>
      <c r="V8004" s="3">
        <v>41726</v>
      </c>
    </row>
    <row r="8005" spans="1:22" x14ac:dyDescent="0.35">
      <c r="A8005" s="1">
        <v>42268.143888888888</v>
      </c>
      <c r="B8005" s="2">
        <v>8.1018518518518516E-5</v>
      </c>
      <c r="C8005" t="s">
        <v>106</v>
      </c>
      <c r="D8005" t="s">
        <v>23</v>
      </c>
      <c r="E8005" t="s">
        <v>24</v>
      </c>
      <c r="F8005" t="s">
        <v>3228</v>
      </c>
      <c r="G8005">
        <v>1115640</v>
      </c>
      <c r="H8005" t="s">
        <v>26</v>
      </c>
      <c r="I8005" t="s">
        <v>3229</v>
      </c>
      <c r="J8005" t="str">
        <f>"9781118419090"</f>
        <v>9781118419090</v>
      </c>
      <c r="K8005" t="s">
        <v>33</v>
      </c>
      <c r="L8005">
        <v>3</v>
      </c>
      <c r="O8005" t="s">
        <v>30</v>
      </c>
      <c r="P8005" t="s">
        <v>29</v>
      </c>
      <c r="Q8005" s="1">
        <v>42265.564884259256</v>
      </c>
      <c r="R8005">
        <v>7</v>
      </c>
      <c r="S8005" t="s">
        <v>31</v>
      </c>
      <c r="T8005" t="s">
        <v>3231</v>
      </c>
      <c r="U8005">
        <v>624</v>
      </c>
      <c r="V8005" s="3">
        <v>41296</v>
      </c>
    </row>
    <row r="8006" spans="1:22" x14ac:dyDescent="0.35">
      <c r="A8006" s="1">
        <v>42268.138773148145</v>
      </c>
      <c r="B8006" s="2">
        <v>0</v>
      </c>
      <c r="C8006" t="s">
        <v>10978</v>
      </c>
      <c r="D8006" t="s">
        <v>23</v>
      </c>
      <c r="E8006" t="s">
        <v>24</v>
      </c>
      <c r="F8006" t="s">
        <v>3228</v>
      </c>
      <c r="G8006">
        <v>1115640</v>
      </c>
      <c r="H8006" t="s">
        <v>26</v>
      </c>
      <c r="I8006" t="s">
        <v>3229</v>
      </c>
      <c r="J8006" t="str">
        <f>"9781118419090"</f>
        <v>9781118419090</v>
      </c>
      <c r="K8006" t="s">
        <v>3778</v>
      </c>
      <c r="L8006">
        <v>1</v>
      </c>
      <c r="O8006" t="s">
        <v>30</v>
      </c>
      <c r="P8006" t="s">
        <v>29</v>
      </c>
      <c r="Q8006" s="1">
        <v>42268.138773148145</v>
      </c>
      <c r="R8006">
        <v>7</v>
      </c>
      <c r="S8006" t="s">
        <v>31</v>
      </c>
      <c r="T8006" t="s">
        <v>3231</v>
      </c>
      <c r="U8006">
        <v>624</v>
      </c>
      <c r="V8006" s="3">
        <v>41296</v>
      </c>
    </row>
    <row r="8007" spans="1:22" x14ac:dyDescent="0.35">
      <c r="A8007" s="1">
        <v>42268.137129629627</v>
      </c>
      <c r="B8007" s="2">
        <v>0</v>
      </c>
      <c r="C8007" t="s">
        <v>11612</v>
      </c>
      <c r="D8007" t="s">
        <v>23</v>
      </c>
      <c r="E8007" t="s">
        <v>24</v>
      </c>
      <c r="F8007" t="s">
        <v>3961</v>
      </c>
      <c r="G8007">
        <v>1610008</v>
      </c>
      <c r="H8007" t="s">
        <v>45</v>
      </c>
      <c r="I8007" t="s">
        <v>3962</v>
      </c>
      <c r="J8007" t="str">
        <f>"9781409457206"</f>
        <v>9781409457206</v>
      </c>
      <c r="L8007">
        <v>0</v>
      </c>
      <c r="O8007" t="s">
        <v>28</v>
      </c>
      <c r="P8007" t="s">
        <v>29</v>
      </c>
      <c r="Q8007" s="1">
        <v>42268.136134259257</v>
      </c>
      <c r="R8007">
        <v>7</v>
      </c>
      <c r="S8007" t="s">
        <v>31</v>
      </c>
      <c r="T8007" t="s">
        <v>3964</v>
      </c>
      <c r="U8007">
        <v>364.66</v>
      </c>
      <c r="V8007" s="3">
        <v>41726</v>
      </c>
    </row>
    <row r="8008" spans="1:22" x14ac:dyDescent="0.35">
      <c r="A8008" s="1">
        <v>42268.137025462966</v>
      </c>
      <c r="B8008" s="2">
        <v>0</v>
      </c>
      <c r="C8008" t="s">
        <v>11612</v>
      </c>
      <c r="D8008" t="s">
        <v>23</v>
      </c>
      <c r="E8008" t="s">
        <v>24</v>
      </c>
      <c r="F8008" t="s">
        <v>3961</v>
      </c>
      <c r="G8008">
        <v>1610008</v>
      </c>
      <c r="H8008" t="s">
        <v>45</v>
      </c>
      <c r="I8008" t="s">
        <v>3962</v>
      </c>
      <c r="J8008" t="str">
        <f>"9781409457206"</f>
        <v>9781409457206</v>
      </c>
      <c r="L8008">
        <v>0</v>
      </c>
      <c r="O8008" t="s">
        <v>28</v>
      </c>
      <c r="P8008" t="s">
        <v>29</v>
      </c>
      <c r="Q8008" s="1">
        <v>42268.136134259257</v>
      </c>
      <c r="R8008">
        <v>7</v>
      </c>
      <c r="S8008" t="s">
        <v>31</v>
      </c>
      <c r="T8008" t="s">
        <v>3964</v>
      </c>
      <c r="U8008">
        <v>364.66</v>
      </c>
      <c r="V8008" s="3">
        <v>41726</v>
      </c>
    </row>
    <row r="8009" spans="1:22" x14ac:dyDescent="0.35">
      <c r="A8009" s="1">
        <v>42268.136134259257</v>
      </c>
      <c r="B8009" s="2">
        <v>7.5231481481481471E-4</v>
      </c>
      <c r="C8009" t="s">
        <v>11612</v>
      </c>
      <c r="D8009" t="s">
        <v>23</v>
      </c>
      <c r="E8009" t="s">
        <v>24</v>
      </c>
      <c r="F8009" t="s">
        <v>3961</v>
      </c>
      <c r="G8009">
        <v>1610008</v>
      </c>
      <c r="H8009" t="s">
        <v>45</v>
      </c>
      <c r="I8009" t="s">
        <v>3962</v>
      </c>
      <c r="J8009" t="str">
        <f>"9781409457206"</f>
        <v>9781409457206</v>
      </c>
      <c r="K8009" t="s">
        <v>11614</v>
      </c>
      <c r="L8009">
        <v>9</v>
      </c>
      <c r="O8009" t="s">
        <v>28</v>
      </c>
      <c r="P8009" t="s">
        <v>29</v>
      </c>
      <c r="Q8009" s="1">
        <v>42268.136134259257</v>
      </c>
      <c r="R8009">
        <v>7</v>
      </c>
      <c r="S8009" t="s">
        <v>31</v>
      </c>
      <c r="T8009" t="s">
        <v>3964</v>
      </c>
      <c r="U8009">
        <v>364.66</v>
      </c>
      <c r="V8009" s="3">
        <v>41726</v>
      </c>
    </row>
    <row r="8010" spans="1:22" x14ac:dyDescent="0.35">
      <c r="A8010" s="1">
        <v>42268.136134259257</v>
      </c>
      <c r="B8010" s="2">
        <v>0</v>
      </c>
      <c r="C8010" t="s">
        <v>11612</v>
      </c>
      <c r="D8010" t="s">
        <v>23</v>
      </c>
      <c r="E8010" t="s">
        <v>24</v>
      </c>
      <c r="F8010" t="s">
        <v>3961</v>
      </c>
      <c r="G8010">
        <v>1610008</v>
      </c>
      <c r="H8010" t="s">
        <v>45</v>
      </c>
      <c r="I8010" t="s">
        <v>3962</v>
      </c>
      <c r="J8010" t="str">
        <f>"9781409457206"</f>
        <v>9781409457206</v>
      </c>
      <c r="L8010">
        <v>0</v>
      </c>
      <c r="O8010" t="s">
        <v>30</v>
      </c>
      <c r="P8010" t="s">
        <v>29</v>
      </c>
      <c r="Q8010" s="1">
        <v>42268.136134259257</v>
      </c>
      <c r="R8010">
        <v>7</v>
      </c>
      <c r="S8010" t="s">
        <v>31</v>
      </c>
      <c r="T8010" t="s">
        <v>3964</v>
      </c>
      <c r="U8010">
        <v>364.66</v>
      </c>
      <c r="V8010" s="3">
        <v>41726</v>
      </c>
    </row>
    <row r="8011" spans="1:22" x14ac:dyDescent="0.35">
      <c r="A8011" s="1">
        <v>42268.134722222225</v>
      </c>
      <c r="B8011" s="2">
        <v>1.4120370370370369E-3</v>
      </c>
      <c r="C8011" t="s">
        <v>11612</v>
      </c>
      <c r="D8011" t="s">
        <v>23</v>
      </c>
      <c r="E8011" t="s">
        <v>24</v>
      </c>
      <c r="F8011" t="s">
        <v>3961</v>
      </c>
      <c r="G8011">
        <v>1610008</v>
      </c>
      <c r="H8011" t="s">
        <v>45</v>
      </c>
      <c r="I8011" t="s">
        <v>3962</v>
      </c>
      <c r="J8011" t="str">
        <f>"9781409457206"</f>
        <v>9781409457206</v>
      </c>
      <c r="K8011" t="s">
        <v>11615</v>
      </c>
      <c r="L8011">
        <v>9</v>
      </c>
      <c r="O8011" t="s">
        <v>30</v>
      </c>
      <c r="P8011" t="s">
        <v>42</v>
      </c>
      <c r="S8011" t="s">
        <v>31</v>
      </c>
      <c r="T8011" t="s">
        <v>3964</v>
      </c>
      <c r="U8011">
        <v>364.66</v>
      </c>
      <c r="V8011" s="3">
        <v>41726</v>
      </c>
    </row>
    <row r="8012" spans="1:22" x14ac:dyDescent="0.35">
      <c r="A8012" s="1">
        <v>42268.108414351853</v>
      </c>
      <c r="B8012" s="2">
        <v>0.1001851851851852</v>
      </c>
      <c r="C8012" t="s">
        <v>11547</v>
      </c>
      <c r="D8012" t="s">
        <v>23</v>
      </c>
      <c r="E8012" t="s">
        <v>24</v>
      </c>
      <c r="F8012" t="s">
        <v>3488</v>
      </c>
      <c r="G8012">
        <v>1294909</v>
      </c>
      <c r="H8012" t="s">
        <v>84</v>
      </c>
      <c r="I8012" t="s">
        <v>445</v>
      </c>
      <c r="J8012" t="str">
        <f>"9780520956797"</f>
        <v>9780520956797</v>
      </c>
      <c r="K8012" t="s">
        <v>11616</v>
      </c>
      <c r="L8012">
        <v>47</v>
      </c>
      <c r="O8012" t="s">
        <v>30</v>
      </c>
      <c r="P8012" t="s">
        <v>29</v>
      </c>
      <c r="Q8012" s="1">
        <v>42268.108414351853</v>
      </c>
      <c r="R8012">
        <v>7</v>
      </c>
      <c r="S8012" t="s">
        <v>31</v>
      </c>
      <c r="T8012" t="s">
        <v>3490</v>
      </c>
      <c r="U8012" t="s">
        <v>3491</v>
      </c>
      <c r="V8012" s="3">
        <v>41487</v>
      </c>
    </row>
    <row r="8013" spans="1:22" x14ac:dyDescent="0.35">
      <c r="A8013" s="1">
        <v>42268.107986111114</v>
      </c>
      <c r="B8013" s="2">
        <v>3.078703703703704E-2</v>
      </c>
      <c r="C8013" t="s">
        <v>10978</v>
      </c>
      <c r="D8013" t="s">
        <v>23</v>
      </c>
      <c r="E8013" t="s">
        <v>24</v>
      </c>
      <c r="F8013" t="s">
        <v>3228</v>
      </c>
      <c r="G8013">
        <v>1115640</v>
      </c>
      <c r="H8013" t="s">
        <v>26</v>
      </c>
      <c r="I8013" t="s">
        <v>3229</v>
      </c>
      <c r="J8013" t="str">
        <f>"9781118419090"</f>
        <v>9781118419090</v>
      </c>
      <c r="K8013" t="s">
        <v>11617</v>
      </c>
      <c r="L8013">
        <v>20</v>
      </c>
      <c r="O8013" t="s">
        <v>30</v>
      </c>
      <c r="P8013" t="s">
        <v>42</v>
      </c>
      <c r="S8013" t="s">
        <v>31</v>
      </c>
      <c r="T8013" t="s">
        <v>3231</v>
      </c>
      <c r="U8013">
        <v>624</v>
      </c>
      <c r="V8013" s="3">
        <v>41296</v>
      </c>
    </row>
    <row r="8014" spans="1:22" x14ac:dyDescent="0.35">
      <c r="A8014" s="1">
        <v>42268.106921296298</v>
      </c>
      <c r="B8014" s="2">
        <v>2.3379629629629631E-3</v>
      </c>
      <c r="C8014" t="s">
        <v>11469</v>
      </c>
      <c r="D8014" t="s">
        <v>23</v>
      </c>
      <c r="E8014" t="s">
        <v>24</v>
      </c>
      <c r="F8014" t="s">
        <v>3559</v>
      </c>
      <c r="G8014">
        <v>1217954</v>
      </c>
      <c r="H8014" t="s">
        <v>45</v>
      </c>
      <c r="I8014" t="s">
        <v>3560</v>
      </c>
      <c r="J8014" t="str">
        <f>"9781409457558"</f>
        <v>9781409457558</v>
      </c>
      <c r="K8014" t="s">
        <v>11618</v>
      </c>
      <c r="L8014">
        <v>15</v>
      </c>
      <c r="M8014" t="s">
        <v>11619</v>
      </c>
      <c r="O8014" t="s">
        <v>30</v>
      </c>
      <c r="P8014" t="s">
        <v>29</v>
      </c>
      <c r="Q8014" s="1">
        <v>42265.174618055556</v>
      </c>
      <c r="R8014">
        <v>7</v>
      </c>
      <c r="S8014" t="s">
        <v>31</v>
      </c>
      <c r="T8014" t="s">
        <v>3562</v>
      </c>
      <c r="U8014" t="s">
        <v>3563</v>
      </c>
      <c r="V8014" s="3">
        <v>41575</v>
      </c>
    </row>
    <row r="8015" spans="1:22" x14ac:dyDescent="0.35">
      <c r="A8015" s="1">
        <v>42268.104456018518</v>
      </c>
      <c r="B8015" s="2">
        <v>0</v>
      </c>
      <c r="C8015" t="s">
        <v>11469</v>
      </c>
      <c r="D8015" t="s">
        <v>23</v>
      </c>
      <c r="E8015" t="s">
        <v>24</v>
      </c>
      <c r="F8015" t="s">
        <v>3559</v>
      </c>
      <c r="G8015">
        <v>1217954</v>
      </c>
      <c r="H8015" t="s">
        <v>45</v>
      </c>
      <c r="I8015" t="s">
        <v>3560</v>
      </c>
      <c r="J8015" t="str">
        <f>"9781409457558"</f>
        <v>9781409457558</v>
      </c>
      <c r="L8015">
        <v>0</v>
      </c>
      <c r="M8015" t="s">
        <v>11620</v>
      </c>
      <c r="O8015" t="s">
        <v>28</v>
      </c>
      <c r="P8015" t="s">
        <v>29</v>
      </c>
      <c r="Q8015" s="1">
        <v>42265.174618055556</v>
      </c>
      <c r="R8015">
        <v>7</v>
      </c>
      <c r="S8015" t="s">
        <v>31</v>
      </c>
      <c r="T8015" t="s">
        <v>3562</v>
      </c>
      <c r="U8015" t="s">
        <v>3563</v>
      </c>
      <c r="V8015" s="3">
        <v>41575</v>
      </c>
    </row>
    <row r="8016" spans="1:22" x14ac:dyDescent="0.35">
      <c r="A8016" s="1">
        <v>42268.102418981478</v>
      </c>
      <c r="B8016" s="2">
        <v>0</v>
      </c>
      <c r="C8016" t="s">
        <v>11469</v>
      </c>
      <c r="D8016" t="s">
        <v>23</v>
      </c>
      <c r="E8016" t="s">
        <v>24</v>
      </c>
      <c r="F8016" t="s">
        <v>3559</v>
      </c>
      <c r="G8016">
        <v>1217954</v>
      </c>
      <c r="H8016" t="s">
        <v>45</v>
      </c>
      <c r="I8016" t="s">
        <v>3560</v>
      </c>
      <c r="J8016" t="str">
        <f>"9781409457558"</f>
        <v>9781409457558</v>
      </c>
      <c r="L8016">
        <v>0</v>
      </c>
      <c r="O8016" t="s">
        <v>28</v>
      </c>
      <c r="P8016" t="s">
        <v>29</v>
      </c>
      <c r="Q8016" s="1">
        <v>42265.174618055556</v>
      </c>
      <c r="R8016">
        <v>7</v>
      </c>
      <c r="S8016" t="s">
        <v>31</v>
      </c>
      <c r="T8016" t="s">
        <v>3562</v>
      </c>
      <c r="U8016" t="s">
        <v>3563</v>
      </c>
      <c r="V8016" s="3">
        <v>41575</v>
      </c>
    </row>
    <row r="8017" spans="1:22" x14ac:dyDescent="0.35">
      <c r="A8017" s="1">
        <v>42268.102083333331</v>
      </c>
      <c r="B8017" s="2">
        <v>3.0092592592592595E-4</v>
      </c>
      <c r="C8017" t="s">
        <v>11469</v>
      </c>
      <c r="D8017" t="s">
        <v>23</v>
      </c>
      <c r="E8017" t="s">
        <v>24</v>
      </c>
      <c r="F8017" t="s">
        <v>3559</v>
      </c>
      <c r="G8017">
        <v>1217954</v>
      </c>
      <c r="H8017" t="s">
        <v>45</v>
      </c>
      <c r="I8017" t="s">
        <v>3560</v>
      </c>
      <c r="J8017" t="str">
        <f>"9781409457558"</f>
        <v>9781409457558</v>
      </c>
      <c r="K8017" t="s">
        <v>11621</v>
      </c>
      <c r="L8017">
        <v>7</v>
      </c>
      <c r="O8017" t="s">
        <v>30</v>
      </c>
      <c r="P8017" t="s">
        <v>29</v>
      </c>
      <c r="Q8017" s="1">
        <v>42265.174618055556</v>
      </c>
      <c r="R8017">
        <v>7</v>
      </c>
      <c r="S8017" t="s">
        <v>31</v>
      </c>
      <c r="T8017" t="s">
        <v>3562</v>
      </c>
      <c r="U8017" t="s">
        <v>3563</v>
      </c>
      <c r="V8017" s="3">
        <v>41575</v>
      </c>
    </row>
    <row r="8018" spans="1:22" x14ac:dyDescent="0.35">
      <c r="A8018" s="1">
        <v>42268.100254629629</v>
      </c>
      <c r="B8018" s="2">
        <v>8.1597222222222227E-3</v>
      </c>
      <c r="C8018" t="s">
        <v>11547</v>
      </c>
      <c r="D8018" t="s">
        <v>23</v>
      </c>
      <c r="E8018" t="s">
        <v>24</v>
      </c>
      <c r="F8018" t="s">
        <v>3488</v>
      </c>
      <c r="G8018">
        <v>1294909</v>
      </c>
      <c r="H8018" t="s">
        <v>84</v>
      </c>
      <c r="I8018" t="s">
        <v>445</v>
      </c>
      <c r="J8018" t="str">
        <f>"9780520956797"</f>
        <v>9780520956797</v>
      </c>
      <c r="K8018" t="s">
        <v>11622</v>
      </c>
      <c r="L8018">
        <v>8</v>
      </c>
      <c r="O8018" t="s">
        <v>30</v>
      </c>
      <c r="P8018" t="s">
        <v>42</v>
      </c>
      <c r="S8018" t="s">
        <v>31</v>
      </c>
      <c r="T8018" t="s">
        <v>3490</v>
      </c>
      <c r="U8018" t="s">
        <v>3491</v>
      </c>
      <c r="V8018" s="3">
        <v>41487</v>
      </c>
    </row>
    <row r="8019" spans="1:22" x14ac:dyDescent="0.35">
      <c r="A8019" s="1">
        <v>42268.03266203704</v>
      </c>
      <c r="B8019" s="2">
        <v>6.9050925925925918E-2</v>
      </c>
      <c r="C8019" t="s">
        <v>11469</v>
      </c>
      <c r="D8019" t="s">
        <v>23</v>
      </c>
      <c r="E8019" t="s">
        <v>24</v>
      </c>
      <c r="F8019" t="s">
        <v>3559</v>
      </c>
      <c r="G8019">
        <v>1217954</v>
      </c>
      <c r="H8019" t="s">
        <v>45</v>
      </c>
      <c r="I8019" t="s">
        <v>3560</v>
      </c>
      <c r="J8019" t="str">
        <f>"9781409457558"</f>
        <v>9781409457558</v>
      </c>
      <c r="K8019" t="s">
        <v>11623</v>
      </c>
      <c r="L8019">
        <v>20</v>
      </c>
      <c r="O8019" t="s">
        <v>30</v>
      </c>
      <c r="P8019" t="s">
        <v>29</v>
      </c>
      <c r="Q8019" s="1">
        <v>42265.174618055556</v>
      </c>
      <c r="R8019">
        <v>7</v>
      </c>
      <c r="S8019" t="s">
        <v>31</v>
      </c>
      <c r="T8019" t="s">
        <v>3562</v>
      </c>
      <c r="U8019" t="s">
        <v>3563</v>
      </c>
      <c r="V8019" s="3">
        <v>41575</v>
      </c>
    </row>
    <row r="8020" spans="1:22" x14ac:dyDescent="0.35">
      <c r="A8020" s="1">
        <v>42268.022662037038</v>
      </c>
      <c r="B8020" s="2">
        <v>4.6296296296296294E-5</v>
      </c>
      <c r="C8020" t="s">
        <v>9911</v>
      </c>
      <c r="D8020" t="s">
        <v>2519</v>
      </c>
      <c r="E8020" t="s">
        <v>2520</v>
      </c>
      <c r="F8020" t="s">
        <v>11300</v>
      </c>
      <c r="G8020">
        <v>1774217</v>
      </c>
      <c r="H8020" t="s">
        <v>45</v>
      </c>
      <c r="I8020" t="s">
        <v>1434</v>
      </c>
      <c r="J8020" t="str">
        <f>"9781472422859"</f>
        <v>9781472422859</v>
      </c>
      <c r="K8020" t="s">
        <v>33</v>
      </c>
      <c r="L8020">
        <v>3</v>
      </c>
      <c r="O8020" t="s">
        <v>30</v>
      </c>
      <c r="P8020" t="s">
        <v>50</v>
      </c>
      <c r="S8020" t="s">
        <v>2523</v>
      </c>
      <c r="T8020" t="s">
        <v>11302</v>
      </c>
      <c r="U8020">
        <v>320.01</v>
      </c>
      <c r="V8020" s="3">
        <v>41940</v>
      </c>
    </row>
    <row r="8021" spans="1:22" x14ac:dyDescent="0.35">
      <c r="A8021" s="1">
        <v>42268.022650462961</v>
      </c>
      <c r="B8021" s="2">
        <v>3.2407407407407406E-4</v>
      </c>
      <c r="C8021" t="s">
        <v>9966</v>
      </c>
      <c r="D8021" t="s">
        <v>2519</v>
      </c>
      <c r="E8021" t="s">
        <v>2520</v>
      </c>
      <c r="F8021" t="s">
        <v>9686</v>
      </c>
      <c r="G8021">
        <v>1501633</v>
      </c>
      <c r="H8021" t="s">
        <v>26</v>
      </c>
      <c r="I8021" t="s">
        <v>27</v>
      </c>
      <c r="J8021" t="str">
        <f>"9781118610701"</f>
        <v>9781118610701</v>
      </c>
      <c r="K8021" t="s">
        <v>11624</v>
      </c>
      <c r="L8021">
        <v>7</v>
      </c>
      <c r="O8021" t="s">
        <v>30</v>
      </c>
      <c r="P8021" t="s">
        <v>47</v>
      </c>
      <c r="Q8021" s="1">
        <v>42268.022650462961</v>
      </c>
      <c r="R8021">
        <v>1</v>
      </c>
      <c r="S8021" t="s">
        <v>2523</v>
      </c>
      <c r="T8021" t="s">
        <v>9687</v>
      </c>
      <c r="U8021">
        <v>480.09</v>
      </c>
      <c r="V8021" s="3">
        <v>41570</v>
      </c>
    </row>
    <row r="8022" spans="1:22" x14ac:dyDescent="0.35">
      <c r="A8022" s="1">
        <v>42268.012395833335</v>
      </c>
      <c r="B8022" s="2">
        <v>1.0254629629629629E-2</v>
      </c>
      <c r="C8022" t="s">
        <v>9966</v>
      </c>
      <c r="D8022" t="s">
        <v>2519</v>
      </c>
      <c r="E8022" t="s">
        <v>2520</v>
      </c>
      <c r="F8022" t="s">
        <v>9686</v>
      </c>
      <c r="G8022">
        <v>1501633</v>
      </c>
      <c r="H8022" t="s">
        <v>26</v>
      </c>
      <c r="I8022" t="s">
        <v>27</v>
      </c>
      <c r="J8022" t="str">
        <f>"9781118610701"</f>
        <v>9781118610701</v>
      </c>
      <c r="K8022" t="s">
        <v>11625</v>
      </c>
      <c r="L8022">
        <v>12</v>
      </c>
      <c r="O8022" t="s">
        <v>30</v>
      </c>
      <c r="P8022" t="s">
        <v>50</v>
      </c>
      <c r="S8022" t="s">
        <v>2523</v>
      </c>
      <c r="T8022" t="s">
        <v>9687</v>
      </c>
      <c r="U8022">
        <v>480.09</v>
      </c>
      <c r="V8022" s="3">
        <v>41570</v>
      </c>
    </row>
    <row r="8023" spans="1:22" x14ac:dyDescent="0.35">
      <c r="A8023" s="1">
        <v>42268.007696759261</v>
      </c>
      <c r="B8023" s="2">
        <v>0.10039351851851852</v>
      </c>
      <c r="C8023" t="s">
        <v>11626</v>
      </c>
      <c r="D8023" t="s">
        <v>23</v>
      </c>
      <c r="E8023" t="s">
        <v>24</v>
      </c>
      <c r="F8023" t="s">
        <v>3228</v>
      </c>
      <c r="G8023">
        <v>1115640</v>
      </c>
      <c r="H8023" t="s">
        <v>26</v>
      </c>
      <c r="I8023" t="s">
        <v>3229</v>
      </c>
      <c r="J8023" t="str">
        <f>"9781118419090"</f>
        <v>9781118419090</v>
      </c>
      <c r="K8023" t="s">
        <v>11627</v>
      </c>
      <c r="L8023">
        <v>57</v>
      </c>
      <c r="O8023" t="s">
        <v>30</v>
      </c>
      <c r="P8023" t="s">
        <v>29</v>
      </c>
      <c r="Q8023" s="1">
        <v>42267.915000000001</v>
      </c>
      <c r="R8023">
        <v>7</v>
      </c>
      <c r="S8023" t="s">
        <v>31</v>
      </c>
      <c r="T8023" t="s">
        <v>3231</v>
      </c>
      <c r="U8023">
        <v>624</v>
      </c>
      <c r="V8023" s="3">
        <v>41296</v>
      </c>
    </row>
    <row r="8024" spans="1:22" x14ac:dyDescent="0.35">
      <c r="A8024" s="1">
        <v>42267.982569444444</v>
      </c>
      <c r="B8024" s="2">
        <v>5.8263888888888893E-2</v>
      </c>
      <c r="C8024" t="s">
        <v>106</v>
      </c>
      <c r="D8024" t="s">
        <v>23</v>
      </c>
      <c r="E8024" t="s">
        <v>24</v>
      </c>
      <c r="F8024" t="s">
        <v>3488</v>
      </c>
      <c r="G8024">
        <v>1294909</v>
      </c>
      <c r="H8024" t="s">
        <v>84</v>
      </c>
      <c r="I8024" t="s">
        <v>445</v>
      </c>
      <c r="J8024" t="str">
        <f>"9780520956797"</f>
        <v>9780520956797</v>
      </c>
      <c r="K8024" t="s">
        <v>11628</v>
      </c>
      <c r="L8024">
        <v>58</v>
      </c>
      <c r="O8024" t="s">
        <v>30</v>
      </c>
      <c r="P8024" t="s">
        <v>29</v>
      </c>
      <c r="Q8024" s="1">
        <v>42265.725902777776</v>
      </c>
      <c r="R8024">
        <v>7</v>
      </c>
      <c r="S8024" t="s">
        <v>31</v>
      </c>
      <c r="T8024" t="s">
        <v>3490</v>
      </c>
      <c r="U8024" t="s">
        <v>3491</v>
      </c>
      <c r="V8024" s="3">
        <v>41487</v>
      </c>
    </row>
    <row r="8025" spans="1:22" x14ac:dyDescent="0.35">
      <c r="A8025" s="1">
        <v>42267.98097222222</v>
      </c>
      <c r="B8025" s="2">
        <v>8.1018518518518516E-5</v>
      </c>
      <c r="C8025" t="s">
        <v>4673</v>
      </c>
      <c r="D8025" t="s">
        <v>23</v>
      </c>
      <c r="E8025" t="s">
        <v>24</v>
      </c>
      <c r="F8025" t="s">
        <v>745</v>
      </c>
      <c r="G8025">
        <v>1166322</v>
      </c>
      <c r="H8025" t="s">
        <v>26</v>
      </c>
      <c r="I8025" t="s">
        <v>200</v>
      </c>
      <c r="J8025" t="str">
        <f>"9781118418512"</f>
        <v>9781118418512</v>
      </c>
      <c r="K8025" t="s">
        <v>33</v>
      </c>
      <c r="L8025">
        <v>3</v>
      </c>
      <c r="O8025" t="s">
        <v>30</v>
      </c>
      <c r="P8025" t="s">
        <v>42</v>
      </c>
      <c r="S8025" t="s">
        <v>31</v>
      </c>
      <c r="T8025" t="s">
        <v>747</v>
      </c>
      <c r="U8025">
        <v>720.072</v>
      </c>
      <c r="V8025" s="3">
        <v>41367</v>
      </c>
    </row>
    <row r="8026" spans="1:22" x14ac:dyDescent="0.35">
      <c r="A8026" s="1">
        <v>42267.976377314815</v>
      </c>
      <c r="B8026" s="2">
        <v>0</v>
      </c>
      <c r="C8026" t="s">
        <v>11232</v>
      </c>
      <c r="D8026" t="s">
        <v>23</v>
      </c>
      <c r="E8026" t="s">
        <v>24</v>
      </c>
      <c r="F8026" t="s">
        <v>4594</v>
      </c>
      <c r="G8026">
        <v>1872281</v>
      </c>
      <c r="H8026" t="s">
        <v>91</v>
      </c>
      <c r="I8026" t="s">
        <v>2133</v>
      </c>
      <c r="J8026" t="str">
        <f>"9781462519606"</f>
        <v>9781462519606</v>
      </c>
      <c r="L8026">
        <v>0</v>
      </c>
      <c r="O8026" t="s">
        <v>28</v>
      </c>
      <c r="P8026" t="s">
        <v>29</v>
      </c>
      <c r="Q8026" s="1">
        <v>42267.971597222226</v>
      </c>
      <c r="R8026">
        <v>7</v>
      </c>
      <c r="S8026" t="s">
        <v>31</v>
      </c>
      <c r="T8026" t="s">
        <v>4596</v>
      </c>
      <c r="U8026">
        <v>378.101</v>
      </c>
      <c r="V8026" s="3">
        <v>42150</v>
      </c>
    </row>
    <row r="8027" spans="1:22" x14ac:dyDescent="0.35">
      <c r="A8027" s="1">
        <v>42267.973738425928</v>
      </c>
      <c r="B8027" s="2">
        <v>9.2592592592592588E-5</v>
      </c>
      <c r="C8027" t="s">
        <v>11232</v>
      </c>
      <c r="D8027" t="s">
        <v>23</v>
      </c>
      <c r="E8027" t="s">
        <v>24</v>
      </c>
      <c r="F8027" t="s">
        <v>4594</v>
      </c>
      <c r="G8027">
        <v>1872281</v>
      </c>
      <c r="H8027" t="s">
        <v>91</v>
      </c>
      <c r="I8027" t="s">
        <v>2133</v>
      </c>
      <c r="J8027" t="str">
        <f>"9781462519606"</f>
        <v>9781462519606</v>
      </c>
      <c r="K8027" t="s">
        <v>33</v>
      </c>
      <c r="L8027">
        <v>3</v>
      </c>
      <c r="O8027" t="s">
        <v>30</v>
      </c>
      <c r="P8027" t="s">
        <v>29</v>
      </c>
      <c r="Q8027" s="1">
        <v>42267.971597222226</v>
      </c>
      <c r="R8027">
        <v>7</v>
      </c>
      <c r="S8027" t="s">
        <v>31</v>
      </c>
      <c r="T8027" t="s">
        <v>4596</v>
      </c>
      <c r="U8027">
        <v>378.101</v>
      </c>
      <c r="V8027" s="3">
        <v>42150</v>
      </c>
    </row>
    <row r="8028" spans="1:22" x14ac:dyDescent="0.35">
      <c r="A8028" s="1">
        <v>42267.971597222226</v>
      </c>
      <c r="B8028" s="2">
        <v>4.5138888888888893E-3</v>
      </c>
      <c r="C8028" t="s">
        <v>11232</v>
      </c>
      <c r="D8028" t="s">
        <v>23</v>
      </c>
      <c r="E8028" t="s">
        <v>24</v>
      </c>
      <c r="F8028" t="s">
        <v>4594</v>
      </c>
      <c r="G8028">
        <v>1872281</v>
      </c>
      <c r="H8028" t="s">
        <v>91</v>
      </c>
      <c r="I8028" t="s">
        <v>2133</v>
      </c>
      <c r="J8028" t="str">
        <f>"9781462519606"</f>
        <v>9781462519606</v>
      </c>
      <c r="K8028" t="s">
        <v>11629</v>
      </c>
      <c r="L8028">
        <v>5</v>
      </c>
      <c r="O8028" t="s">
        <v>28</v>
      </c>
      <c r="P8028" t="s">
        <v>29</v>
      </c>
      <c r="Q8028" s="1">
        <v>42267.971597222226</v>
      </c>
      <c r="R8028">
        <v>7</v>
      </c>
      <c r="S8028" t="s">
        <v>31</v>
      </c>
      <c r="T8028" t="s">
        <v>4596</v>
      </c>
      <c r="U8028">
        <v>378.101</v>
      </c>
      <c r="V8028" s="3">
        <v>42150</v>
      </c>
    </row>
    <row r="8029" spans="1:22" x14ac:dyDescent="0.35">
      <c r="A8029" s="1">
        <v>42267.971597222226</v>
      </c>
      <c r="B8029" s="2">
        <v>0</v>
      </c>
      <c r="C8029" t="s">
        <v>11232</v>
      </c>
      <c r="D8029" t="s">
        <v>23</v>
      </c>
      <c r="E8029" t="s">
        <v>24</v>
      </c>
      <c r="F8029" t="s">
        <v>4594</v>
      </c>
      <c r="G8029">
        <v>1872281</v>
      </c>
      <c r="H8029" t="s">
        <v>91</v>
      </c>
      <c r="I8029" t="s">
        <v>2133</v>
      </c>
      <c r="J8029" t="str">
        <f>"9781462519606"</f>
        <v>9781462519606</v>
      </c>
      <c r="L8029">
        <v>0</v>
      </c>
      <c r="O8029" t="s">
        <v>30</v>
      </c>
      <c r="P8029" t="s">
        <v>29</v>
      </c>
      <c r="Q8029" s="1">
        <v>42267.971597222226</v>
      </c>
      <c r="R8029">
        <v>7</v>
      </c>
      <c r="S8029" t="s">
        <v>31</v>
      </c>
      <c r="T8029" t="s">
        <v>4596</v>
      </c>
      <c r="U8029">
        <v>378.101</v>
      </c>
      <c r="V8029" s="3">
        <v>42150</v>
      </c>
    </row>
    <row r="8030" spans="1:22" x14ac:dyDescent="0.35">
      <c r="A8030" s="1">
        <v>42267.971168981479</v>
      </c>
      <c r="B8030" s="2">
        <v>4.2824074074074075E-4</v>
      </c>
      <c r="C8030" t="s">
        <v>11232</v>
      </c>
      <c r="D8030" t="s">
        <v>23</v>
      </c>
      <c r="E8030" t="s">
        <v>24</v>
      </c>
      <c r="F8030" t="s">
        <v>4594</v>
      </c>
      <c r="G8030">
        <v>1872281</v>
      </c>
      <c r="H8030" t="s">
        <v>91</v>
      </c>
      <c r="I8030" t="s">
        <v>2133</v>
      </c>
      <c r="J8030" t="str">
        <f>"9781462519606"</f>
        <v>9781462519606</v>
      </c>
      <c r="K8030" t="s">
        <v>1049</v>
      </c>
      <c r="L8030">
        <v>4</v>
      </c>
      <c r="O8030" t="s">
        <v>30</v>
      </c>
      <c r="P8030" t="s">
        <v>42</v>
      </c>
      <c r="S8030" t="s">
        <v>31</v>
      </c>
      <c r="T8030" t="s">
        <v>4596</v>
      </c>
      <c r="U8030">
        <v>378.101</v>
      </c>
      <c r="V8030" s="3">
        <v>42150</v>
      </c>
    </row>
    <row r="8031" spans="1:22" x14ac:dyDescent="0.35">
      <c r="A8031" s="1">
        <v>42267.927210648151</v>
      </c>
      <c r="B8031" s="2">
        <v>0</v>
      </c>
      <c r="C8031" t="s">
        <v>11520</v>
      </c>
      <c r="D8031" t="s">
        <v>35</v>
      </c>
      <c r="E8031" t="s">
        <v>36</v>
      </c>
      <c r="F8031" t="s">
        <v>37</v>
      </c>
      <c r="G8031">
        <v>1684620</v>
      </c>
      <c r="H8031" t="s">
        <v>26</v>
      </c>
      <c r="I8031" t="s">
        <v>38</v>
      </c>
      <c r="J8031" t="str">
        <f>"9781118418925"</f>
        <v>9781118418925</v>
      </c>
      <c r="K8031" t="s">
        <v>11630</v>
      </c>
      <c r="L8031">
        <v>1</v>
      </c>
      <c r="O8031" t="s">
        <v>30</v>
      </c>
      <c r="P8031" t="s">
        <v>29</v>
      </c>
      <c r="Q8031" s="1">
        <v>42267.927210648151</v>
      </c>
      <c r="R8031">
        <v>7</v>
      </c>
      <c r="S8031" t="s">
        <v>40</v>
      </c>
      <c r="T8031" t="s">
        <v>41</v>
      </c>
      <c r="U8031">
        <v>362.10680000000002</v>
      </c>
      <c r="V8031" s="3">
        <v>41759</v>
      </c>
    </row>
    <row r="8032" spans="1:22" x14ac:dyDescent="0.35">
      <c r="A8032" s="1">
        <v>42267.916412037041</v>
      </c>
      <c r="B8032" s="2">
        <v>9.6064814814814808E-4</v>
      </c>
      <c r="C8032" t="s">
        <v>4673</v>
      </c>
      <c r="D8032" t="s">
        <v>23</v>
      </c>
      <c r="E8032" t="s">
        <v>24</v>
      </c>
      <c r="F8032" t="s">
        <v>745</v>
      </c>
      <c r="G8032">
        <v>1166322</v>
      </c>
      <c r="H8032" t="s">
        <v>26</v>
      </c>
      <c r="I8032" t="s">
        <v>200</v>
      </c>
      <c r="J8032" t="str">
        <f>"9781118418512"</f>
        <v>9781118418512</v>
      </c>
      <c r="K8032" t="s">
        <v>889</v>
      </c>
      <c r="L8032">
        <v>6</v>
      </c>
      <c r="O8032" t="s">
        <v>30</v>
      </c>
      <c r="P8032" t="s">
        <v>42</v>
      </c>
      <c r="S8032" t="s">
        <v>31</v>
      </c>
      <c r="T8032" t="s">
        <v>747</v>
      </c>
      <c r="U8032">
        <v>720.072</v>
      </c>
      <c r="V8032" s="3">
        <v>41367</v>
      </c>
    </row>
    <row r="8033" spans="1:22" x14ac:dyDescent="0.35">
      <c r="A8033" s="1">
        <v>42267.915000000001</v>
      </c>
      <c r="B8033" s="2">
        <v>3.6412037037037034E-2</v>
      </c>
      <c r="C8033" t="s">
        <v>11626</v>
      </c>
      <c r="D8033" t="s">
        <v>23</v>
      </c>
      <c r="E8033" t="s">
        <v>24</v>
      </c>
      <c r="F8033" t="s">
        <v>3228</v>
      </c>
      <c r="G8033">
        <v>1115640</v>
      </c>
      <c r="H8033" t="s">
        <v>26</v>
      </c>
      <c r="I8033" t="s">
        <v>3229</v>
      </c>
      <c r="J8033" t="str">
        <f>"9781118419090"</f>
        <v>9781118419090</v>
      </c>
      <c r="K8033" t="s">
        <v>11631</v>
      </c>
      <c r="L8033">
        <v>13</v>
      </c>
      <c r="O8033" t="s">
        <v>30</v>
      </c>
      <c r="P8033" t="s">
        <v>29</v>
      </c>
      <c r="Q8033" s="1">
        <v>42267.915000000001</v>
      </c>
      <c r="R8033">
        <v>7</v>
      </c>
      <c r="S8033" t="s">
        <v>31</v>
      </c>
      <c r="T8033" t="s">
        <v>3231</v>
      </c>
      <c r="U8033">
        <v>624</v>
      </c>
      <c r="V8033" s="3">
        <v>41296</v>
      </c>
    </row>
    <row r="8034" spans="1:22" x14ac:dyDescent="0.35">
      <c r="A8034" s="1">
        <v>42267.914814814816</v>
      </c>
      <c r="B8034" s="2">
        <v>1.2395833333333335E-2</v>
      </c>
      <c r="C8034" t="s">
        <v>11520</v>
      </c>
      <c r="D8034" t="s">
        <v>35</v>
      </c>
      <c r="E8034" t="s">
        <v>36</v>
      </c>
      <c r="F8034" t="s">
        <v>37</v>
      </c>
      <c r="G8034">
        <v>1684620</v>
      </c>
      <c r="H8034" t="s">
        <v>26</v>
      </c>
      <c r="I8034" t="s">
        <v>38</v>
      </c>
      <c r="J8034" t="str">
        <f>"9781118418925"</f>
        <v>9781118418925</v>
      </c>
      <c r="K8034" t="s">
        <v>11632</v>
      </c>
      <c r="L8034">
        <v>10</v>
      </c>
      <c r="O8034" t="s">
        <v>30</v>
      </c>
      <c r="P8034" t="s">
        <v>42</v>
      </c>
      <c r="S8034" t="s">
        <v>40</v>
      </c>
      <c r="T8034" t="s">
        <v>41</v>
      </c>
      <c r="U8034">
        <v>362.10680000000002</v>
      </c>
      <c r="V8034" s="3">
        <v>41759</v>
      </c>
    </row>
    <row r="8035" spans="1:22" x14ac:dyDescent="0.35">
      <c r="A8035" s="1">
        <v>42267.90152777778</v>
      </c>
      <c r="B8035" s="2">
        <v>1.3472222222222221E-2</v>
      </c>
      <c r="C8035" t="s">
        <v>11626</v>
      </c>
      <c r="D8035" t="s">
        <v>23</v>
      </c>
      <c r="E8035" t="s">
        <v>24</v>
      </c>
      <c r="F8035" t="s">
        <v>3228</v>
      </c>
      <c r="G8035">
        <v>1115640</v>
      </c>
      <c r="H8035" t="s">
        <v>26</v>
      </c>
      <c r="I8035" t="s">
        <v>3229</v>
      </c>
      <c r="J8035" t="str">
        <f>"9781118419090"</f>
        <v>9781118419090</v>
      </c>
      <c r="K8035" t="s">
        <v>11633</v>
      </c>
      <c r="L8035">
        <v>26</v>
      </c>
      <c r="O8035" t="s">
        <v>30</v>
      </c>
      <c r="P8035" t="s">
        <v>42</v>
      </c>
      <c r="S8035" t="s">
        <v>31</v>
      </c>
      <c r="T8035" t="s">
        <v>3231</v>
      </c>
      <c r="U8035">
        <v>624</v>
      </c>
      <c r="V8035" s="3">
        <v>41296</v>
      </c>
    </row>
    <row r="8036" spans="1:22" x14ac:dyDescent="0.35">
      <c r="A8036" s="1">
        <v>42267.879942129628</v>
      </c>
      <c r="B8036" s="2">
        <v>5.5787037037037038E-3</v>
      </c>
      <c r="C8036" t="s">
        <v>5865</v>
      </c>
      <c r="D8036" t="s">
        <v>35</v>
      </c>
      <c r="E8036" t="s">
        <v>36</v>
      </c>
      <c r="F8036" t="s">
        <v>986</v>
      </c>
      <c r="G8036">
        <v>968030</v>
      </c>
      <c r="H8036" t="s">
        <v>26</v>
      </c>
      <c r="I8036" t="s">
        <v>219</v>
      </c>
      <c r="J8036" t="str">
        <f>"9781118285138"</f>
        <v>9781118285138</v>
      </c>
      <c r="K8036" t="s">
        <v>11634</v>
      </c>
      <c r="L8036">
        <v>6</v>
      </c>
      <c r="O8036" t="s">
        <v>30</v>
      </c>
      <c r="P8036" t="s">
        <v>42</v>
      </c>
      <c r="S8036" t="s">
        <v>40</v>
      </c>
      <c r="T8036" t="s">
        <v>987</v>
      </c>
      <c r="U8036">
        <v>158.30000000000001</v>
      </c>
      <c r="V8036" s="3">
        <v>41100</v>
      </c>
    </row>
    <row r="8037" spans="1:22" x14ac:dyDescent="0.35">
      <c r="A8037" s="1">
        <v>42267.854537037034</v>
      </c>
      <c r="B8037" s="2">
        <v>5.7152777777777775E-2</v>
      </c>
      <c r="C8037" t="s">
        <v>5887</v>
      </c>
      <c r="D8037" t="s">
        <v>23</v>
      </c>
      <c r="E8037" t="s">
        <v>24</v>
      </c>
      <c r="F8037" t="s">
        <v>1051</v>
      </c>
      <c r="G8037">
        <v>821663</v>
      </c>
      <c r="H8037" t="s">
        <v>26</v>
      </c>
      <c r="I8037" t="s">
        <v>200</v>
      </c>
      <c r="J8037" t="str">
        <f>"9781118168479"</f>
        <v>9781118168479</v>
      </c>
      <c r="K8037" t="s">
        <v>11635</v>
      </c>
      <c r="L8037">
        <v>32</v>
      </c>
      <c r="O8037" t="s">
        <v>30</v>
      </c>
      <c r="P8037" t="s">
        <v>29</v>
      </c>
      <c r="Q8037" s="1">
        <v>42267.039942129632</v>
      </c>
      <c r="R8037">
        <v>7</v>
      </c>
      <c r="S8037" t="s">
        <v>31</v>
      </c>
      <c r="T8037" t="s">
        <v>1053</v>
      </c>
      <c r="U8037">
        <v>729</v>
      </c>
      <c r="V8037" s="3">
        <v>40973</v>
      </c>
    </row>
    <row r="8038" spans="1:22" x14ac:dyDescent="0.35">
      <c r="A8038" s="1">
        <v>42267.826493055552</v>
      </c>
      <c r="B8038" s="2">
        <v>1.7361111111111112E-4</v>
      </c>
      <c r="C8038" t="s">
        <v>106</v>
      </c>
      <c r="D8038" t="s">
        <v>23</v>
      </c>
      <c r="E8038" t="s">
        <v>24</v>
      </c>
      <c r="F8038" t="s">
        <v>3488</v>
      </c>
      <c r="G8038">
        <v>1294909</v>
      </c>
      <c r="H8038" t="s">
        <v>84</v>
      </c>
      <c r="I8038" t="s">
        <v>445</v>
      </c>
      <c r="J8038" t="str">
        <f>"9780520956797"</f>
        <v>9780520956797</v>
      </c>
      <c r="K8038" t="s">
        <v>11636</v>
      </c>
      <c r="L8038">
        <v>9</v>
      </c>
      <c r="O8038" t="s">
        <v>30</v>
      </c>
      <c r="P8038" t="s">
        <v>29</v>
      </c>
      <c r="Q8038" s="1">
        <v>42265.725902777776</v>
      </c>
      <c r="R8038">
        <v>7</v>
      </c>
      <c r="S8038" t="s">
        <v>31</v>
      </c>
      <c r="T8038" t="s">
        <v>3490</v>
      </c>
      <c r="U8038" t="s">
        <v>3491</v>
      </c>
      <c r="V8038" s="3">
        <v>41487</v>
      </c>
    </row>
    <row r="8039" spans="1:22" x14ac:dyDescent="0.35">
      <c r="A8039" s="1">
        <v>42267.820520833331</v>
      </c>
      <c r="B8039" s="2">
        <v>9.1435185185185185E-4</v>
      </c>
      <c r="C8039" t="s">
        <v>106</v>
      </c>
      <c r="D8039" t="s">
        <v>23</v>
      </c>
      <c r="E8039" t="s">
        <v>24</v>
      </c>
      <c r="F8039" t="s">
        <v>982</v>
      </c>
      <c r="G8039">
        <v>1882108</v>
      </c>
      <c r="H8039" t="s">
        <v>84</v>
      </c>
      <c r="I8039" t="s">
        <v>310</v>
      </c>
      <c r="J8039" t="str">
        <f>"9780520961326"</f>
        <v>9780520961326</v>
      </c>
      <c r="K8039" t="s">
        <v>11637</v>
      </c>
      <c r="L8039">
        <v>24</v>
      </c>
      <c r="O8039" t="s">
        <v>30</v>
      </c>
      <c r="P8039" t="s">
        <v>47</v>
      </c>
      <c r="Q8039" s="1">
        <v>42267.820520833331</v>
      </c>
      <c r="R8039">
        <v>1</v>
      </c>
      <c r="S8039" t="s">
        <v>31</v>
      </c>
      <c r="T8039" t="s">
        <v>983</v>
      </c>
      <c r="U8039">
        <v>883</v>
      </c>
      <c r="V8039" s="3">
        <v>42138</v>
      </c>
    </row>
    <row r="8040" spans="1:22" x14ac:dyDescent="0.35">
      <c r="A8040" s="1">
        <v>42267.816840277781</v>
      </c>
      <c r="B8040" s="2">
        <v>3.6805555555555554E-3</v>
      </c>
      <c r="C8040" t="s">
        <v>106</v>
      </c>
      <c r="D8040" t="s">
        <v>23</v>
      </c>
      <c r="E8040" t="s">
        <v>24</v>
      </c>
      <c r="F8040" t="s">
        <v>982</v>
      </c>
      <c r="G8040">
        <v>1882108</v>
      </c>
      <c r="H8040" t="s">
        <v>84</v>
      </c>
      <c r="I8040" t="s">
        <v>310</v>
      </c>
      <c r="J8040" t="str">
        <f>"9780520961326"</f>
        <v>9780520961326</v>
      </c>
      <c r="K8040" t="s">
        <v>11638</v>
      </c>
      <c r="L8040">
        <v>101</v>
      </c>
      <c r="O8040" t="s">
        <v>30</v>
      </c>
      <c r="P8040" t="s">
        <v>50</v>
      </c>
      <c r="S8040" t="s">
        <v>31</v>
      </c>
      <c r="T8040" t="s">
        <v>983</v>
      </c>
      <c r="U8040">
        <v>883</v>
      </c>
      <c r="V8040" s="3">
        <v>42138</v>
      </c>
    </row>
    <row r="8041" spans="1:22" x14ac:dyDescent="0.35">
      <c r="A8041" s="1">
        <v>42267.806284722225</v>
      </c>
      <c r="B8041" s="2">
        <v>3.005787037037037E-2</v>
      </c>
      <c r="C8041" t="s">
        <v>11101</v>
      </c>
      <c r="D8041" t="s">
        <v>23</v>
      </c>
      <c r="E8041" t="s">
        <v>24</v>
      </c>
      <c r="F8041" t="s">
        <v>3228</v>
      </c>
      <c r="G8041">
        <v>1115640</v>
      </c>
      <c r="H8041" t="s">
        <v>26</v>
      </c>
      <c r="I8041" t="s">
        <v>3229</v>
      </c>
      <c r="J8041" t="str">
        <f>"9781118419090"</f>
        <v>9781118419090</v>
      </c>
      <c r="K8041" t="s">
        <v>11639</v>
      </c>
      <c r="L8041">
        <v>19</v>
      </c>
      <c r="O8041" t="s">
        <v>30</v>
      </c>
      <c r="P8041" t="s">
        <v>29</v>
      </c>
      <c r="Q8041" s="1">
        <v>42267.806284722225</v>
      </c>
      <c r="R8041">
        <v>7</v>
      </c>
      <c r="S8041" t="s">
        <v>31</v>
      </c>
      <c r="T8041" t="s">
        <v>3231</v>
      </c>
      <c r="U8041">
        <v>624</v>
      </c>
      <c r="V8041" s="3">
        <v>41296</v>
      </c>
    </row>
    <row r="8042" spans="1:22" x14ac:dyDescent="0.35">
      <c r="A8042" s="1">
        <v>42267.79146990741</v>
      </c>
      <c r="B8042" s="2">
        <v>8.0208333333333329E-3</v>
      </c>
      <c r="C8042" t="s">
        <v>9785</v>
      </c>
      <c r="D8042" t="s">
        <v>23</v>
      </c>
      <c r="E8042" t="s">
        <v>24</v>
      </c>
      <c r="F8042" t="s">
        <v>3488</v>
      </c>
      <c r="G8042">
        <v>1294909</v>
      </c>
      <c r="H8042" t="s">
        <v>84</v>
      </c>
      <c r="I8042" t="s">
        <v>445</v>
      </c>
      <c r="J8042" t="str">
        <f>"9780520956797"</f>
        <v>9780520956797</v>
      </c>
      <c r="K8042" t="s">
        <v>11640</v>
      </c>
      <c r="L8042">
        <v>15</v>
      </c>
      <c r="O8042" t="s">
        <v>30</v>
      </c>
      <c r="P8042" t="s">
        <v>29</v>
      </c>
      <c r="Q8042" s="1">
        <v>42267.79146990741</v>
      </c>
      <c r="R8042">
        <v>7</v>
      </c>
      <c r="S8042" t="s">
        <v>31</v>
      </c>
      <c r="T8042" t="s">
        <v>3490</v>
      </c>
      <c r="U8042" t="s">
        <v>3491</v>
      </c>
      <c r="V8042" s="3">
        <v>41487</v>
      </c>
    </row>
    <row r="8043" spans="1:22" x14ac:dyDescent="0.35">
      <c r="A8043" s="1">
        <v>42267.7893287037</v>
      </c>
      <c r="B8043" s="2">
        <v>2.4768518518518516E-3</v>
      </c>
      <c r="C8043" t="s">
        <v>3132</v>
      </c>
      <c r="D8043" t="s">
        <v>158</v>
      </c>
      <c r="E8043" t="s">
        <v>159</v>
      </c>
      <c r="F8043" t="s">
        <v>11641</v>
      </c>
      <c r="G8043">
        <v>1589679</v>
      </c>
      <c r="H8043" t="s">
        <v>45</v>
      </c>
      <c r="I8043" t="s">
        <v>150</v>
      </c>
      <c r="J8043" t="str">
        <f>"9781409461982"</f>
        <v>9781409461982</v>
      </c>
      <c r="K8043" t="s">
        <v>11642</v>
      </c>
      <c r="L8043">
        <v>32</v>
      </c>
      <c r="O8043" t="s">
        <v>30</v>
      </c>
      <c r="P8043" t="s">
        <v>47</v>
      </c>
      <c r="Q8043" s="1">
        <v>42267.115844907406</v>
      </c>
      <c r="R8043">
        <v>1</v>
      </c>
      <c r="S8043" t="s">
        <v>163</v>
      </c>
      <c r="T8043" t="s">
        <v>11643</v>
      </c>
      <c r="U8043">
        <v>709.4</v>
      </c>
      <c r="V8043" s="3">
        <v>41787</v>
      </c>
    </row>
    <row r="8044" spans="1:22" x14ac:dyDescent="0.35">
      <c r="A8044" s="1">
        <v>42267.787928240738</v>
      </c>
      <c r="B8044" s="2">
        <v>1.8356481481481481E-2</v>
      </c>
      <c r="C8044" t="s">
        <v>11101</v>
      </c>
      <c r="D8044" t="s">
        <v>23</v>
      </c>
      <c r="E8044" t="s">
        <v>24</v>
      </c>
      <c r="F8044" t="s">
        <v>3228</v>
      </c>
      <c r="G8044">
        <v>1115640</v>
      </c>
      <c r="H8044" t="s">
        <v>26</v>
      </c>
      <c r="I8044" t="s">
        <v>3229</v>
      </c>
      <c r="J8044" t="str">
        <f>"9781118419090"</f>
        <v>9781118419090</v>
      </c>
      <c r="K8044" t="s">
        <v>11644</v>
      </c>
      <c r="L8044">
        <v>13</v>
      </c>
      <c r="O8044" t="s">
        <v>30</v>
      </c>
      <c r="P8044" t="s">
        <v>42</v>
      </c>
      <c r="S8044" t="s">
        <v>31</v>
      </c>
      <c r="T8044" t="s">
        <v>3231</v>
      </c>
      <c r="U8044">
        <v>624</v>
      </c>
      <c r="V8044" s="3">
        <v>41296</v>
      </c>
    </row>
    <row r="8045" spans="1:22" x14ac:dyDescent="0.35">
      <c r="A8045" s="1">
        <v>42267.781921296293</v>
      </c>
      <c r="B8045" s="2">
        <v>9.5486111111111101E-3</v>
      </c>
      <c r="C8045" t="s">
        <v>9785</v>
      </c>
      <c r="D8045" t="s">
        <v>23</v>
      </c>
      <c r="E8045" t="s">
        <v>24</v>
      </c>
      <c r="F8045" t="s">
        <v>3488</v>
      </c>
      <c r="G8045">
        <v>1294909</v>
      </c>
      <c r="H8045" t="s">
        <v>84</v>
      </c>
      <c r="I8045" t="s">
        <v>445</v>
      </c>
      <c r="J8045" t="str">
        <f>"9780520956797"</f>
        <v>9780520956797</v>
      </c>
      <c r="K8045" t="s">
        <v>11645</v>
      </c>
      <c r="L8045">
        <v>9</v>
      </c>
      <c r="O8045" t="s">
        <v>30</v>
      </c>
      <c r="P8045" t="s">
        <v>42</v>
      </c>
      <c r="S8045" t="s">
        <v>31</v>
      </c>
      <c r="T8045" t="s">
        <v>3490</v>
      </c>
      <c r="U8045" t="s">
        <v>3491</v>
      </c>
      <c r="V8045" s="3">
        <v>41487</v>
      </c>
    </row>
    <row r="8046" spans="1:22" x14ac:dyDescent="0.35">
      <c r="A8046" s="1">
        <v>42267.760358796295</v>
      </c>
      <c r="B8046" s="2">
        <v>1.2962962962962963E-3</v>
      </c>
      <c r="C8046" t="s">
        <v>11646</v>
      </c>
      <c r="D8046" t="s">
        <v>23</v>
      </c>
      <c r="E8046" t="s">
        <v>24</v>
      </c>
      <c r="F8046" t="s">
        <v>3488</v>
      </c>
      <c r="G8046">
        <v>1294909</v>
      </c>
      <c r="H8046" t="s">
        <v>84</v>
      </c>
      <c r="I8046" t="s">
        <v>445</v>
      </c>
      <c r="J8046" t="str">
        <f>"9780520956797"</f>
        <v>9780520956797</v>
      </c>
      <c r="K8046" t="s">
        <v>11647</v>
      </c>
      <c r="L8046">
        <v>9</v>
      </c>
      <c r="O8046" t="s">
        <v>30</v>
      </c>
      <c r="P8046" t="s">
        <v>42</v>
      </c>
      <c r="S8046" t="s">
        <v>31</v>
      </c>
      <c r="T8046" t="s">
        <v>3490</v>
      </c>
      <c r="U8046" t="s">
        <v>3491</v>
      </c>
      <c r="V8046" s="3">
        <v>41487</v>
      </c>
    </row>
    <row r="8047" spans="1:22" x14ac:dyDescent="0.35">
      <c r="A8047" s="1">
        <v>42267.754571759258</v>
      </c>
      <c r="B8047" s="2">
        <v>3.3564814814814812E-4</v>
      </c>
      <c r="C8047" t="s">
        <v>11648</v>
      </c>
      <c r="D8047" t="s">
        <v>1222</v>
      </c>
      <c r="E8047" t="s">
        <v>1223</v>
      </c>
      <c r="F8047" t="s">
        <v>52</v>
      </c>
      <c r="G8047">
        <v>822040</v>
      </c>
      <c r="H8047" t="s">
        <v>26</v>
      </c>
      <c r="I8047" t="s">
        <v>53</v>
      </c>
      <c r="J8047" t="str">
        <f>"9781118289099"</f>
        <v>9781118289099</v>
      </c>
      <c r="K8047" t="s">
        <v>11649</v>
      </c>
      <c r="L8047">
        <v>8</v>
      </c>
      <c r="O8047" t="s">
        <v>30</v>
      </c>
      <c r="P8047" t="s">
        <v>42</v>
      </c>
      <c r="S8047" t="s">
        <v>1226</v>
      </c>
      <c r="T8047" t="s">
        <v>55</v>
      </c>
      <c r="U8047" t="s">
        <v>56</v>
      </c>
      <c r="V8047" s="3">
        <v>40990</v>
      </c>
    </row>
    <row r="8048" spans="1:22" x14ac:dyDescent="0.35">
      <c r="A8048" s="1">
        <v>42267.648402777777</v>
      </c>
      <c r="B8048" s="2">
        <v>0</v>
      </c>
      <c r="C8048" t="s">
        <v>106</v>
      </c>
      <c r="D8048" t="s">
        <v>23</v>
      </c>
      <c r="E8048" t="s">
        <v>24</v>
      </c>
      <c r="F8048" t="s">
        <v>6215</v>
      </c>
      <c r="G8048">
        <v>1718748</v>
      </c>
      <c r="H8048" t="s">
        <v>26</v>
      </c>
      <c r="I8048" t="s">
        <v>297</v>
      </c>
      <c r="J8048" t="str">
        <f>"9781118791080"</f>
        <v>9781118791080</v>
      </c>
      <c r="L8048">
        <v>0</v>
      </c>
      <c r="O8048" t="s">
        <v>28</v>
      </c>
      <c r="P8048" t="s">
        <v>29</v>
      </c>
      <c r="Q8048" s="1">
        <v>42267.648032407407</v>
      </c>
      <c r="R8048">
        <v>7</v>
      </c>
      <c r="S8048" t="s">
        <v>31</v>
      </c>
      <c r="T8048" t="s">
        <v>6217</v>
      </c>
      <c r="U8048">
        <v>515</v>
      </c>
      <c r="V8048" s="3">
        <v>41813</v>
      </c>
    </row>
    <row r="8049" spans="1:22" x14ac:dyDescent="0.35">
      <c r="A8049" s="1">
        <v>42267.6483912037</v>
      </c>
      <c r="B8049" s="2">
        <v>0</v>
      </c>
      <c r="C8049" t="s">
        <v>106</v>
      </c>
      <c r="D8049" t="s">
        <v>23</v>
      </c>
      <c r="E8049" t="s">
        <v>24</v>
      </c>
      <c r="F8049" t="s">
        <v>6215</v>
      </c>
      <c r="G8049">
        <v>1718748</v>
      </c>
      <c r="H8049" t="s">
        <v>26</v>
      </c>
      <c r="I8049" t="s">
        <v>297</v>
      </c>
      <c r="J8049" t="str">
        <f>"9781118791080"</f>
        <v>9781118791080</v>
      </c>
      <c r="L8049">
        <v>0</v>
      </c>
      <c r="O8049" t="s">
        <v>28</v>
      </c>
      <c r="P8049" t="s">
        <v>29</v>
      </c>
      <c r="Q8049" s="1">
        <v>42267.648032407407</v>
      </c>
      <c r="R8049">
        <v>7</v>
      </c>
      <c r="S8049" t="s">
        <v>31</v>
      </c>
      <c r="T8049" t="s">
        <v>6217</v>
      </c>
      <c r="U8049">
        <v>515</v>
      </c>
      <c r="V8049" s="3">
        <v>41813</v>
      </c>
    </row>
    <row r="8050" spans="1:22" x14ac:dyDescent="0.35">
      <c r="A8050" s="1">
        <v>42267.648287037038</v>
      </c>
      <c r="B8050" s="2">
        <v>0</v>
      </c>
      <c r="C8050" t="s">
        <v>11650</v>
      </c>
      <c r="D8050" t="s">
        <v>23</v>
      </c>
      <c r="E8050" t="s">
        <v>24</v>
      </c>
      <c r="F8050" t="s">
        <v>3228</v>
      </c>
      <c r="G8050">
        <v>1115640</v>
      </c>
      <c r="H8050" t="s">
        <v>26</v>
      </c>
      <c r="I8050" t="s">
        <v>3229</v>
      </c>
      <c r="J8050" t="str">
        <f>"9781118419090"</f>
        <v>9781118419090</v>
      </c>
      <c r="L8050">
        <v>0</v>
      </c>
      <c r="N8050" t="s">
        <v>11219</v>
      </c>
      <c r="O8050" t="s">
        <v>30</v>
      </c>
      <c r="P8050" t="s">
        <v>29</v>
      </c>
      <c r="Q8050" s="1">
        <v>42267.648287037038</v>
      </c>
      <c r="R8050">
        <v>7</v>
      </c>
      <c r="S8050" t="s">
        <v>31</v>
      </c>
      <c r="T8050" t="s">
        <v>3231</v>
      </c>
      <c r="U8050">
        <v>624</v>
      </c>
      <c r="V8050" s="3">
        <v>41296</v>
      </c>
    </row>
    <row r="8051" spans="1:22" x14ac:dyDescent="0.35">
      <c r="A8051" s="1">
        <v>42267.648032407407</v>
      </c>
      <c r="B8051" s="2">
        <v>1.0416666666666667E-4</v>
      </c>
      <c r="C8051" t="s">
        <v>106</v>
      </c>
      <c r="D8051" t="s">
        <v>23</v>
      </c>
      <c r="E8051" t="s">
        <v>24</v>
      </c>
      <c r="F8051" t="s">
        <v>6215</v>
      </c>
      <c r="G8051">
        <v>1718748</v>
      </c>
      <c r="H8051" t="s">
        <v>26</v>
      </c>
      <c r="I8051" t="s">
        <v>297</v>
      </c>
      <c r="J8051" t="str">
        <f>"9781118791080"</f>
        <v>9781118791080</v>
      </c>
      <c r="K8051" t="s">
        <v>63</v>
      </c>
      <c r="L8051">
        <v>1</v>
      </c>
      <c r="O8051" t="s">
        <v>28</v>
      </c>
      <c r="P8051" t="s">
        <v>29</v>
      </c>
      <c r="Q8051" s="1">
        <v>42267.648032407407</v>
      </c>
      <c r="R8051">
        <v>7</v>
      </c>
      <c r="S8051" t="s">
        <v>31</v>
      </c>
      <c r="T8051" t="s">
        <v>6217</v>
      </c>
      <c r="U8051">
        <v>515</v>
      </c>
      <c r="V8051" s="3">
        <v>41813</v>
      </c>
    </row>
    <row r="8052" spans="1:22" x14ac:dyDescent="0.35">
      <c r="A8052" s="1">
        <v>42267.648032407407</v>
      </c>
      <c r="B8052" s="2">
        <v>0</v>
      </c>
      <c r="C8052" t="s">
        <v>106</v>
      </c>
      <c r="D8052" t="s">
        <v>23</v>
      </c>
      <c r="E8052" t="s">
        <v>24</v>
      </c>
      <c r="F8052" t="s">
        <v>6215</v>
      </c>
      <c r="G8052">
        <v>1718748</v>
      </c>
      <c r="H8052" t="s">
        <v>26</v>
      </c>
      <c r="I8052" t="s">
        <v>297</v>
      </c>
      <c r="J8052" t="str">
        <f>"9781118791080"</f>
        <v>9781118791080</v>
      </c>
      <c r="L8052">
        <v>0</v>
      </c>
      <c r="O8052" t="s">
        <v>30</v>
      </c>
      <c r="P8052" t="s">
        <v>29</v>
      </c>
      <c r="Q8052" s="1">
        <v>42267.648032407407</v>
      </c>
      <c r="R8052">
        <v>7</v>
      </c>
      <c r="S8052" t="s">
        <v>31</v>
      </c>
      <c r="T8052" t="s">
        <v>6217</v>
      </c>
      <c r="U8052">
        <v>515</v>
      </c>
      <c r="V8052" s="3">
        <v>41813</v>
      </c>
    </row>
    <row r="8053" spans="1:22" x14ac:dyDescent="0.35">
      <c r="A8053" s="1">
        <v>42267.647870370369</v>
      </c>
      <c r="B8053" s="2">
        <v>1.6203703703703703E-4</v>
      </c>
      <c r="C8053" t="s">
        <v>106</v>
      </c>
      <c r="D8053" t="s">
        <v>23</v>
      </c>
      <c r="E8053" t="s">
        <v>24</v>
      </c>
      <c r="F8053" t="s">
        <v>6215</v>
      </c>
      <c r="G8053">
        <v>1718748</v>
      </c>
      <c r="H8053" t="s">
        <v>26</v>
      </c>
      <c r="I8053" t="s">
        <v>297</v>
      </c>
      <c r="J8053" t="str">
        <f>"9781118791080"</f>
        <v>9781118791080</v>
      </c>
      <c r="K8053" t="s">
        <v>7979</v>
      </c>
      <c r="L8053">
        <v>3</v>
      </c>
      <c r="O8053" t="s">
        <v>30</v>
      </c>
      <c r="P8053" t="s">
        <v>42</v>
      </c>
      <c r="S8053" t="s">
        <v>31</v>
      </c>
      <c r="T8053" t="s">
        <v>6217</v>
      </c>
      <c r="U8053">
        <v>515</v>
      </c>
      <c r="V8053" s="3">
        <v>41813</v>
      </c>
    </row>
    <row r="8054" spans="1:22" x14ac:dyDescent="0.35">
      <c r="A8054" s="1">
        <v>42267.647696759261</v>
      </c>
      <c r="B8054" s="2">
        <v>5.9027777777777778E-4</v>
      </c>
      <c r="C8054" t="s">
        <v>11650</v>
      </c>
      <c r="D8054" t="s">
        <v>23</v>
      </c>
      <c r="E8054" t="s">
        <v>24</v>
      </c>
      <c r="F8054" t="s">
        <v>3228</v>
      </c>
      <c r="G8054">
        <v>1115640</v>
      </c>
      <c r="H8054" t="s">
        <v>26</v>
      </c>
      <c r="I8054" t="s">
        <v>3229</v>
      </c>
      <c r="J8054" t="str">
        <f>"9781118419090"</f>
        <v>9781118419090</v>
      </c>
      <c r="K8054" t="s">
        <v>11651</v>
      </c>
      <c r="L8054">
        <v>27</v>
      </c>
      <c r="O8054" t="s">
        <v>30</v>
      </c>
      <c r="P8054" t="s">
        <v>42</v>
      </c>
      <c r="S8054" t="s">
        <v>31</v>
      </c>
      <c r="T8054" t="s">
        <v>3231</v>
      </c>
      <c r="U8054">
        <v>624</v>
      </c>
      <c r="V8054" s="3">
        <v>41296</v>
      </c>
    </row>
    <row r="8055" spans="1:22" x14ac:dyDescent="0.35">
      <c r="A8055" s="1">
        <v>42267.644583333335</v>
      </c>
      <c r="B8055" s="2">
        <v>3.8194444444444443E-3</v>
      </c>
      <c r="C8055" t="s">
        <v>106</v>
      </c>
      <c r="D8055" t="s">
        <v>23</v>
      </c>
      <c r="E8055" t="s">
        <v>24</v>
      </c>
      <c r="F8055" t="s">
        <v>10606</v>
      </c>
      <c r="G8055">
        <v>2146552</v>
      </c>
      <c r="H8055" t="s">
        <v>26</v>
      </c>
      <c r="I8055" t="s">
        <v>10607</v>
      </c>
      <c r="J8055" t="str">
        <f>"9781119042174"</f>
        <v>9781119042174</v>
      </c>
      <c r="K8055" t="s">
        <v>11652</v>
      </c>
      <c r="L8055">
        <v>20</v>
      </c>
      <c r="O8055" t="s">
        <v>30</v>
      </c>
      <c r="P8055" t="s">
        <v>50</v>
      </c>
      <c r="S8055" t="s">
        <v>31</v>
      </c>
      <c r="T8055" t="s">
        <v>10608</v>
      </c>
      <c r="U8055">
        <v>4.1020938740000004</v>
      </c>
      <c r="V8055" s="3">
        <v>42226</v>
      </c>
    </row>
    <row r="8056" spans="1:22" x14ac:dyDescent="0.35">
      <c r="A8056" s="1">
        <v>42267.643807870372</v>
      </c>
      <c r="B8056" s="2">
        <v>7.175925925925927E-4</v>
      </c>
      <c r="C8056" t="s">
        <v>106</v>
      </c>
      <c r="D8056" t="s">
        <v>23</v>
      </c>
      <c r="E8056" t="s">
        <v>24</v>
      </c>
      <c r="F8056" t="s">
        <v>10606</v>
      </c>
      <c r="G8056">
        <v>2146552</v>
      </c>
      <c r="H8056" t="s">
        <v>26</v>
      </c>
      <c r="I8056" t="s">
        <v>10607</v>
      </c>
      <c r="J8056" t="str">
        <f>"9781119042174"</f>
        <v>9781119042174</v>
      </c>
      <c r="K8056" t="s">
        <v>11653</v>
      </c>
      <c r="L8056">
        <v>10</v>
      </c>
      <c r="O8056" t="s">
        <v>30</v>
      </c>
      <c r="P8056" t="s">
        <v>50</v>
      </c>
      <c r="S8056" t="s">
        <v>31</v>
      </c>
      <c r="T8056" t="s">
        <v>10608</v>
      </c>
      <c r="U8056">
        <v>4.1020938740000004</v>
      </c>
      <c r="V8056" s="3">
        <v>42226</v>
      </c>
    </row>
    <row r="8057" spans="1:22" x14ac:dyDescent="0.35">
      <c r="A8057" s="1">
        <v>42267.642870370371</v>
      </c>
      <c r="B8057" s="2">
        <v>1.0416666666666667E-4</v>
      </c>
      <c r="C8057" t="s">
        <v>106</v>
      </c>
      <c r="D8057" t="s">
        <v>23</v>
      </c>
      <c r="E8057" t="s">
        <v>24</v>
      </c>
      <c r="F8057" t="s">
        <v>5036</v>
      </c>
      <c r="G8057">
        <v>1318206</v>
      </c>
      <c r="H8057" t="s">
        <v>26</v>
      </c>
      <c r="I8057" t="s">
        <v>5037</v>
      </c>
      <c r="J8057" t="str">
        <f>"9781118363560"</f>
        <v>9781118363560</v>
      </c>
      <c r="K8057" t="s">
        <v>63</v>
      </c>
      <c r="L8057">
        <v>1</v>
      </c>
      <c r="O8057" t="s">
        <v>28</v>
      </c>
      <c r="P8057" t="s">
        <v>29</v>
      </c>
      <c r="Q8057" s="1">
        <v>42267.642870370371</v>
      </c>
      <c r="R8057">
        <v>7</v>
      </c>
      <c r="S8057" t="s">
        <v>31</v>
      </c>
      <c r="T8057" t="s">
        <v>5038</v>
      </c>
      <c r="U8057" t="s">
        <v>5039</v>
      </c>
      <c r="V8057" s="3">
        <v>41470</v>
      </c>
    </row>
    <row r="8058" spans="1:22" x14ac:dyDescent="0.35">
      <c r="A8058" s="1">
        <v>42267.642870370371</v>
      </c>
      <c r="B8058" s="2">
        <v>0</v>
      </c>
      <c r="C8058" t="s">
        <v>106</v>
      </c>
      <c r="D8058" t="s">
        <v>23</v>
      </c>
      <c r="E8058" t="s">
        <v>24</v>
      </c>
      <c r="F8058" t="s">
        <v>5036</v>
      </c>
      <c r="G8058">
        <v>1318206</v>
      </c>
      <c r="H8058" t="s">
        <v>26</v>
      </c>
      <c r="I8058" t="s">
        <v>5037</v>
      </c>
      <c r="J8058" t="str">
        <f>"9781118363560"</f>
        <v>9781118363560</v>
      </c>
      <c r="L8058">
        <v>0</v>
      </c>
      <c r="O8058" t="s">
        <v>30</v>
      </c>
      <c r="P8058" t="s">
        <v>29</v>
      </c>
      <c r="Q8058" s="1">
        <v>42267.642870370371</v>
      </c>
      <c r="R8058">
        <v>7</v>
      </c>
      <c r="S8058" t="s">
        <v>31</v>
      </c>
      <c r="T8058" t="s">
        <v>5038</v>
      </c>
      <c r="U8058" t="s">
        <v>5039</v>
      </c>
      <c r="V8058" s="3">
        <v>41470</v>
      </c>
    </row>
    <row r="8059" spans="1:22" x14ac:dyDescent="0.35">
      <c r="A8059" s="1">
        <v>42267.64271990741</v>
      </c>
      <c r="B8059" s="2">
        <v>1.5046296296296297E-4</v>
      </c>
      <c r="C8059" t="s">
        <v>106</v>
      </c>
      <c r="D8059" t="s">
        <v>23</v>
      </c>
      <c r="E8059" t="s">
        <v>24</v>
      </c>
      <c r="F8059" t="s">
        <v>5036</v>
      </c>
      <c r="G8059">
        <v>1318206</v>
      </c>
      <c r="H8059" t="s">
        <v>26</v>
      </c>
      <c r="I8059" t="s">
        <v>5037</v>
      </c>
      <c r="J8059" t="str">
        <f>"9781118363560"</f>
        <v>9781118363560</v>
      </c>
      <c r="K8059" t="s">
        <v>10629</v>
      </c>
      <c r="L8059">
        <v>4</v>
      </c>
      <c r="O8059" t="s">
        <v>30</v>
      </c>
      <c r="P8059" t="s">
        <v>42</v>
      </c>
      <c r="S8059" t="s">
        <v>31</v>
      </c>
      <c r="T8059" t="s">
        <v>5038</v>
      </c>
      <c r="U8059" t="s">
        <v>5039</v>
      </c>
      <c r="V8059" s="3">
        <v>41470</v>
      </c>
    </row>
    <row r="8060" spans="1:22" x14ac:dyDescent="0.35">
      <c r="A8060" s="1">
        <v>42267.615486111114</v>
      </c>
      <c r="B8060" s="2">
        <v>6.3483796296296302E-2</v>
      </c>
      <c r="C8060" t="s">
        <v>5271</v>
      </c>
      <c r="D8060" t="s">
        <v>23</v>
      </c>
      <c r="E8060" t="s">
        <v>24</v>
      </c>
      <c r="F8060" t="s">
        <v>1051</v>
      </c>
      <c r="G8060">
        <v>821663</v>
      </c>
      <c r="H8060" t="s">
        <v>26</v>
      </c>
      <c r="I8060" t="s">
        <v>200</v>
      </c>
      <c r="J8060" t="str">
        <f>"9781118168479"</f>
        <v>9781118168479</v>
      </c>
      <c r="K8060" t="s">
        <v>11654</v>
      </c>
      <c r="L8060">
        <v>19</v>
      </c>
      <c r="O8060" t="s">
        <v>30</v>
      </c>
      <c r="P8060" t="s">
        <v>29</v>
      </c>
      <c r="Q8060" s="1">
        <v>42261.669652777775</v>
      </c>
      <c r="R8060">
        <v>7</v>
      </c>
      <c r="S8060" t="s">
        <v>31</v>
      </c>
      <c r="T8060" t="s">
        <v>1053</v>
      </c>
      <c r="U8060">
        <v>729</v>
      </c>
      <c r="V8060" s="3">
        <v>40973</v>
      </c>
    </row>
    <row r="8061" spans="1:22" x14ac:dyDescent="0.35">
      <c r="A8061" s="1">
        <v>42267.552083333336</v>
      </c>
      <c r="B8061" s="2">
        <v>2.199074074074074E-4</v>
      </c>
      <c r="C8061" t="s">
        <v>5887</v>
      </c>
      <c r="D8061" t="s">
        <v>23</v>
      </c>
      <c r="E8061" t="s">
        <v>24</v>
      </c>
      <c r="F8061" t="s">
        <v>1051</v>
      </c>
      <c r="G8061">
        <v>821663</v>
      </c>
      <c r="H8061" t="s">
        <v>26</v>
      </c>
      <c r="I8061" t="s">
        <v>200</v>
      </c>
      <c r="J8061" t="str">
        <f>"9781118168479"</f>
        <v>9781118168479</v>
      </c>
      <c r="K8061" t="s">
        <v>11655</v>
      </c>
      <c r="L8061">
        <v>11</v>
      </c>
      <c r="O8061" t="s">
        <v>30</v>
      </c>
      <c r="P8061" t="s">
        <v>29</v>
      </c>
      <c r="Q8061" s="1">
        <v>42267.039942129632</v>
      </c>
      <c r="R8061">
        <v>7</v>
      </c>
      <c r="S8061" t="s">
        <v>31</v>
      </c>
      <c r="T8061" t="s">
        <v>1053</v>
      </c>
      <c r="U8061">
        <v>729</v>
      </c>
      <c r="V8061" s="3">
        <v>40973</v>
      </c>
    </row>
    <row r="8062" spans="1:22" x14ac:dyDescent="0.35">
      <c r="A8062" s="1">
        <v>42267.505289351851</v>
      </c>
      <c r="B8062" s="2">
        <v>1.2604166666666666E-2</v>
      </c>
      <c r="C8062" t="s">
        <v>5271</v>
      </c>
      <c r="D8062" t="s">
        <v>23</v>
      </c>
      <c r="E8062" t="s">
        <v>24</v>
      </c>
      <c r="F8062" t="s">
        <v>1051</v>
      </c>
      <c r="G8062">
        <v>821663</v>
      </c>
      <c r="H8062" t="s">
        <v>26</v>
      </c>
      <c r="I8062" t="s">
        <v>200</v>
      </c>
      <c r="J8062" t="str">
        <f>"9781118168479"</f>
        <v>9781118168479</v>
      </c>
      <c r="K8062" t="s">
        <v>11656</v>
      </c>
      <c r="L8062">
        <v>10</v>
      </c>
      <c r="O8062" t="s">
        <v>30</v>
      </c>
      <c r="P8062" t="s">
        <v>29</v>
      </c>
      <c r="Q8062" s="1">
        <v>42261.669652777775</v>
      </c>
      <c r="R8062">
        <v>7</v>
      </c>
      <c r="S8062" t="s">
        <v>31</v>
      </c>
      <c r="T8062" t="s">
        <v>1053</v>
      </c>
      <c r="U8062">
        <v>729</v>
      </c>
      <c r="V8062" s="3">
        <v>40973</v>
      </c>
    </row>
    <row r="8063" spans="1:22" x14ac:dyDescent="0.35">
      <c r="A8063" s="1">
        <v>42267.477141203701</v>
      </c>
      <c r="B8063" s="2">
        <v>0</v>
      </c>
      <c r="C8063" t="s">
        <v>11657</v>
      </c>
      <c r="D8063" t="s">
        <v>23</v>
      </c>
      <c r="E8063" t="s">
        <v>24</v>
      </c>
      <c r="F8063" t="s">
        <v>3449</v>
      </c>
      <c r="G8063">
        <v>1809344</v>
      </c>
      <c r="H8063" t="s">
        <v>1474</v>
      </c>
      <c r="I8063" t="s">
        <v>120</v>
      </c>
      <c r="J8063" t="str">
        <f>"9781137356192"</f>
        <v>9781137356192</v>
      </c>
      <c r="L8063">
        <v>0</v>
      </c>
      <c r="O8063" t="s">
        <v>30</v>
      </c>
      <c r="P8063" t="s">
        <v>29</v>
      </c>
      <c r="Q8063" s="1">
        <v>42267.477141203701</v>
      </c>
      <c r="R8063">
        <v>7</v>
      </c>
      <c r="S8063" t="s">
        <v>31</v>
      </c>
      <c r="T8063" t="s">
        <v>3451</v>
      </c>
      <c r="U8063">
        <v>364.4</v>
      </c>
      <c r="V8063" s="3">
        <v>41915</v>
      </c>
    </row>
    <row r="8064" spans="1:22" x14ac:dyDescent="0.35">
      <c r="A8064" s="1">
        <v>42267.476539351854</v>
      </c>
      <c r="B8064" s="2">
        <v>6.018518518518519E-4</v>
      </c>
      <c r="C8064" t="s">
        <v>11657</v>
      </c>
      <c r="D8064" t="s">
        <v>23</v>
      </c>
      <c r="E8064" t="s">
        <v>24</v>
      </c>
      <c r="F8064" t="s">
        <v>3449</v>
      </c>
      <c r="G8064">
        <v>1809344</v>
      </c>
      <c r="H8064" t="s">
        <v>1474</v>
      </c>
      <c r="I8064" t="s">
        <v>120</v>
      </c>
      <c r="J8064" t="str">
        <f>"9781137356192"</f>
        <v>9781137356192</v>
      </c>
      <c r="K8064" t="s">
        <v>202</v>
      </c>
      <c r="L8064">
        <v>3</v>
      </c>
      <c r="O8064" t="s">
        <v>30</v>
      </c>
      <c r="P8064" t="s">
        <v>42</v>
      </c>
      <c r="S8064" t="s">
        <v>31</v>
      </c>
      <c r="T8064" t="s">
        <v>3451</v>
      </c>
      <c r="U8064">
        <v>364.4</v>
      </c>
      <c r="V8064" s="3">
        <v>41915</v>
      </c>
    </row>
    <row r="8065" spans="1:22" x14ac:dyDescent="0.35">
      <c r="A8065" s="1">
        <v>42267.302939814814</v>
      </c>
      <c r="B8065" s="2">
        <v>5.9027777777777776E-3</v>
      </c>
      <c r="C8065" t="s">
        <v>6693</v>
      </c>
      <c r="D8065" t="s">
        <v>6396</v>
      </c>
      <c r="E8065" t="s">
        <v>6397</v>
      </c>
      <c r="F8065" t="s">
        <v>10134</v>
      </c>
      <c r="G8065">
        <v>2009818</v>
      </c>
      <c r="H8065" t="s">
        <v>26</v>
      </c>
      <c r="I8065" t="s">
        <v>1407</v>
      </c>
      <c r="J8065" t="str">
        <f>"9781118525241"</f>
        <v>9781118525241</v>
      </c>
      <c r="K8065" t="s">
        <v>33</v>
      </c>
      <c r="L8065">
        <v>3</v>
      </c>
      <c r="O8065" t="s">
        <v>30</v>
      </c>
      <c r="P8065" t="s">
        <v>50</v>
      </c>
      <c r="S8065" t="s">
        <v>6400</v>
      </c>
      <c r="T8065" t="s">
        <v>10135</v>
      </c>
      <c r="U8065" t="s">
        <v>10136</v>
      </c>
      <c r="V8065" s="3">
        <v>42242</v>
      </c>
    </row>
    <row r="8066" spans="1:22" x14ac:dyDescent="0.35">
      <c r="A8066" s="1">
        <v>42267.302465277775</v>
      </c>
      <c r="B8066" s="2">
        <v>0</v>
      </c>
      <c r="C8066" t="s">
        <v>6693</v>
      </c>
      <c r="D8066" t="s">
        <v>6396</v>
      </c>
      <c r="E8066" t="s">
        <v>6397</v>
      </c>
      <c r="F8066" t="s">
        <v>11658</v>
      </c>
      <c r="G8066">
        <v>2063927</v>
      </c>
      <c r="H8066" t="s">
        <v>26</v>
      </c>
      <c r="I8066" t="s">
        <v>27</v>
      </c>
      <c r="J8066" t="str">
        <f>"9781118455449"</f>
        <v>9781118455449</v>
      </c>
      <c r="L8066">
        <v>0</v>
      </c>
      <c r="O8066" t="s">
        <v>30</v>
      </c>
      <c r="P8066" t="s">
        <v>50</v>
      </c>
      <c r="S8066" t="s">
        <v>6400</v>
      </c>
      <c r="T8066" t="s">
        <v>11659</v>
      </c>
      <c r="U8066" t="s">
        <v>11660</v>
      </c>
      <c r="V8066" s="3">
        <v>42241</v>
      </c>
    </row>
    <row r="8067" spans="1:22" x14ac:dyDescent="0.35">
      <c r="A8067" s="1">
        <v>42267.206365740742</v>
      </c>
      <c r="B8067" s="2">
        <v>5.5555555555555556E-4</v>
      </c>
      <c r="C8067" t="s">
        <v>11115</v>
      </c>
      <c r="D8067" t="s">
        <v>23</v>
      </c>
      <c r="E8067" t="s">
        <v>24</v>
      </c>
      <c r="F8067" t="s">
        <v>3228</v>
      </c>
      <c r="G8067">
        <v>1115640</v>
      </c>
      <c r="H8067" t="s">
        <v>26</v>
      </c>
      <c r="I8067" t="s">
        <v>3229</v>
      </c>
      <c r="J8067" t="str">
        <f>"9781118419090"</f>
        <v>9781118419090</v>
      </c>
      <c r="K8067" t="s">
        <v>11661</v>
      </c>
      <c r="L8067">
        <v>16</v>
      </c>
      <c r="M8067" t="s">
        <v>9332</v>
      </c>
      <c r="O8067" t="s">
        <v>30</v>
      </c>
      <c r="P8067" t="s">
        <v>29</v>
      </c>
      <c r="Q8067" s="1">
        <v>42267.206365740742</v>
      </c>
      <c r="R8067">
        <v>7</v>
      </c>
      <c r="S8067" t="s">
        <v>31</v>
      </c>
      <c r="T8067" t="s">
        <v>3231</v>
      </c>
      <c r="U8067">
        <v>624</v>
      </c>
      <c r="V8067" s="3">
        <v>41296</v>
      </c>
    </row>
    <row r="8068" spans="1:22" x14ac:dyDescent="0.35">
      <c r="A8068" s="1">
        <v>42267.206111111111</v>
      </c>
      <c r="B8068" s="2">
        <v>2.5462962962962961E-4</v>
      </c>
      <c r="C8068" t="s">
        <v>11115</v>
      </c>
      <c r="D8068" t="s">
        <v>23</v>
      </c>
      <c r="E8068" t="s">
        <v>24</v>
      </c>
      <c r="F8068" t="s">
        <v>3228</v>
      </c>
      <c r="G8068">
        <v>1115640</v>
      </c>
      <c r="H8068" t="s">
        <v>26</v>
      </c>
      <c r="I8068" t="s">
        <v>3229</v>
      </c>
      <c r="J8068" t="str">
        <f>"9781118419090"</f>
        <v>9781118419090</v>
      </c>
      <c r="K8068" t="s">
        <v>889</v>
      </c>
      <c r="L8068">
        <v>6</v>
      </c>
      <c r="O8068" t="s">
        <v>30</v>
      </c>
      <c r="P8068" t="s">
        <v>42</v>
      </c>
      <c r="S8068" t="s">
        <v>31</v>
      </c>
      <c r="T8068" t="s">
        <v>3231</v>
      </c>
      <c r="U8068">
        <v>624</v>
      </c>
      <c r="V8068" s="3">
        <v>41296</v>
      </c>
    </row>
    <row r="8069" spans="1:22" x14ac:dyDescent="0.35">
      <c r="A8069" s="1">
        <v>42267.202141203707</v>
      </c>
      <c r="B8069" s="2">
        <v>1.375E-2</v>
      </c>
      <c r="C8069" t="s">
        <v>106</v>
      </c>
      <c r="D8069" t="s">
        <v>23</v>
      </c>
      <c r="E8069" t="s">
        <v>24</v>
      </c>
      <c r="F8069" t="s">
        <v>3488</v>
      </c>
      <c r="G8069">
        <v>1294909</v>
      </c>
      <c r="H8069" t="s">
        <v>84</v>
      </c>
      <c r="I8069" t="s">
        <v>445</v>
      </c>
      <c r="J8069" t="str">
        <f>"9780520956797"</f>
        <v>9780520956797</v>
      </c>
      <c r="K8069" t="s">
        <v>11662</v>
      </c>
      <c r="L8069">
        <v>36</v>
      </c>
      <c r="O8069" t="s">
        <v>30</v>
      </c>
      <c r="P8069" t="s">
        <v>29</v>
      </c>
      <c r="Q8069" s="1">
        <v>42265.725902777776</v>
      </c>
      <c r="R8069">
        <v>7</v>
      </c>
      <c r="S8069" t="s">
        <v>31</v>
      </c>
      <c r="T8069" t="s">
        <v>3490</v>
      </c>
      <c r="U8069" t="s">
        <v>3491</v>
      </c>
      <c r="V8069" s="3">
        <v>41487</v>
      </c>
    </row>
    <row r="8070" spans="1:22" x14ac:dyDescent="0.35">
      <c r="A8070" s="1">
        <v>42267.191423611112</v>
      </c>
      <c r="B8070" s="2">
        <v>9.0856481481481483E-3</v>
      </c>
      <c r="C8070" t="s">
        <v>106</v>
      </c>
      <c r="D8070" t="s">
        <v>23</v>
      </c>
      <c r="E8070" t="s">
        <v>24</v>
      </c>
      <c r="F8070" t="s">
        <v>3488</v>
      </c>
      <c r="G8070">
        <v>1294909</v>
      </c>
      <c r="H8070" t="s">
        <v>84</v>
      </c>
      <c r="I8070" t="s">
        <v>445</v>
      </c>
      <c r="J8070" t="str">
        <f>"9780520956797"</f>
        <v>9780520956797</v>
      </c>
      <c r="K8070" t="s">
        <v>11663</v>
      </c>
      <c r="L8070">
        <v>24</v>
      </c>
      <c r="O8070" t="s">
        <v>30</v>
      </c>
      <c r="P8070" t="s">
        <v>29</v>
      </c>
      <c r="Q8070" s="1">
        <v>42265.725902777776</v>
      </c>
      <c r="R8070">
        <v>7</v>
      </c>
      <c r="S8070" t="s">
        <v>31</v>
      </c>
      <c r="T8070" t="s">
        <v>3490</v>
      </c>
      <c r="U8070" t="s">
        <v>3491</v>
      </c>
      <c r="V8070" s="3">
        <v>41487</v>
      </c>
    </row>
    <row r="8071" spans="1:22" x14ac:dyDescent="0.35">
      <c r="A8071" s="1">
        <v>42267.181585648148</v>
      </c>
      <c r="B8071" s="2">
        <v>8.5763888888888886E-3</v>
      </c>
      <c r="C8071" t="s">
        <v>106</v>
      </c>
      <c r="D8071" t="s">
        <v>23</v>
      </c>
      <c r="E8071" t="s">
        <v>24</v>
      </c>
      <c r="F8071" t="s">
        <v>3488</v>
      </c>
      <c r="G8071">
        <v>1294909</v>
      </c>
      <c r="H8071" t="s">
        <v>84</v>
      </c>
      <c r="I8071" t="s">
        <v>445</v>
      </c>
      <c r="J8071" t="str">
        <f>"9780520956797"</f>
        <v>9780520956797</v>
      </c>
      <c r="K8071" t="s">
        <v>11664</v>
      </c>
      <c r="L8071">
        <v>19</v>
      </c>
      <c r="O8071" t="s">
        <v>30</v>
      </c>
      <c r="P8071" t="s">
        <v>29</v>
      </c>
      <c r="Q8071" s="1">
        <v>42265.725902777776</v>
      </c>
      <c r="R8071">
        <v>7</v>
      </c>
      <c r="S8071" t="s">
        <v>31</v>
      </c>
      <c r="T8071" t="s">
        <v>3490</v>
      </c>
      <c r="U8071" t="s">
        <v>3491</v>
      </c>
      <c r="V8071" s="3">
        <v>41487</v>
      </c>
    </row>
    <row r="8072" spans="1:22" x14ac:dyDescent="0.35">
      <c r="A8072" s="1">
        <v>42267.174340277779</v>
      </c>
      <c r="B8072" s="2">
        <v>6.4467592592592597E-3</v>
      </c>
      <c r="C8072" t="s">
        <v>106</v>
      </c>
      <c r="D8072" t="s">
        <v>23</v>
      </c>
      <c r="E8072" t="s">
        <v>24</v>
      </c>
      <c r="F8072" t="s">
        <v>3488</v>
      </c>
      <c r="G8072">
        <v>1294909</v>
      </c>
      <c r="H8072" t="s">
        <v>84</v>
      </c>
      <c r="I8072" t="s">
        <v>445</v>
      </c>
      <c r="J8072" t="str">
        <f>"9780520956797"</f>
        <v>9780520956797</v>
      </c>
      <c r="K8072" t="s">
        <v>11665</v>
      </c>
      <c r="L8072">
        <v>16</v>
      </c>
      <c r="O8072" t="s">
        <v>30</v>
      </c>
      <c r="P8072" t="s">
        <v>29</v>
      </c>
      <c r="Q8072" s="1">
        <v>42265.725902777776</v>
      </c>
      <c r="R8072">
        <v>7</v>
      </c>
      <c r="S8072" t="s">
        <v>31</v>
      </c>
      <c r="T8072" t="s">
        <v>3490</v>
      </c>
      <c r="U8072" t="s">
        <v>3491</v>
      </c>
      <c r="V8072" s="3">
        <v>41487</v>
      </c>
    </row>
    <row r="8073" spans="1:22" x14ac:dyDescent="0.35">
      <c r="A8073" s="1">
        <v>42267.172349537039</v>
      </c>
      <c r="B8073" s="2">
        <v>1.3657407407407409E-3</v>
      </c>
      <c r="C8073" t="s">
        <v>106</v>
      </c>
      <c r="D8073" t="s">
        <v>23</v>
      </c>
      <c r="E8073" t="s">
        <v>24</v>
      </c>
      <c r="F8073" t="s">
        <v>3488</v>
      </c>
      <c r="G8073">
        <v>1294909</v>
      </c>
      <c r="H8073" t="s">
        <v>84</v>
      </c>
      <c r="I8073" t="s">
        <v>445</v>
      </c>
      <c r="J8073" t="str">
        <f>"9780520956797"</f>
        <v>9780520956797</v>
      </c>
      <c r="K8073" t="s">
        <v>11666</v>
      </c>
      <c r="L8073">
        <v>9</v>
      </c>
      <c r="O8073" t="s">
        <v>30</v>
      </c>
      <c r="P8073" t="s">
        <v>29</v>
      </c>
      <c r="Q8073" s="1">
        <v>42265.725902777776</v>
      </c>
      <c r="R8073">
        <v>7</v>
      </c>
      <c r="S8073" t="s">
        <v>31</v>
      </c>
      <c r="T8073" t="s">
        <v>3490</v>
      </c>
      <c r="U8073" t="s">
        <v>3491</v>
      </c>
      <c r="V8073" s="3">
        <v>41487</v>
      </c>
    </row>
    <row r="8074" spans="1:22" x14ac:dyDescent="0.35">
      <c r="A8074" s="1">
        <v>42267.122118055559</v>
      </c>
      <c r="B8074" s="2">
        <v>4.6296296296296294E-5</v>
      </c>
      <c r="C8074" t="s">
        <v>3132</v>
      </c>
      <c r="D8074" t="s">
        <v>158</v>
      </c>
      <c r="E8074" t="s">
        <v>159</v>
      </c>
      <c r="F8074" t="s">
        <v>11667</v>
      </c>
      <c r="G8074">
        <v>1674395</v>
      </c>
      <c r="H8074" t="s">
        <v>26</v>
      </c>
      <c r="I8074" t="s">
        <v>6928</v>
      </c>
      <c r="J8074" t="str">
        <f>"9781118877210"</f>
        <v>9781118877210</v>
      </c>
      <c r="K8074" t="s">
        <v>33</v>
      </c>
      <c r="L8074">
        <v>3</v>
      </c>
      <c r="O8074" t="s">
        <v>30</v>
      </c>
      <c r="P8074" t="s">
        <v>50</v>
      </c>
      <c r="S8074" t="s">
        <v>163</v>
      </c>
      <c r="T8074" t="s">
        <v>11668</v>
      </c>
      <c r="U8074">
        <v>794.81536000000006</v>
      </c>
      <c r="V8074" s="3">
        <v>41740</v>
      </c>
    </row>
    <row r="8075" spans="1:22" x14ac:dyDescent="0.35">
      <c r="A8075" s="1">
        <v>42267.115844907406</v>
      </c>
      <c r="B8075" s="2">
        <v>3.4722222222222222E-5</v>
      </c>
      <c r="C8075" t="s">
        <v>3132</v>
      </c>
      <c r="D8075" t="s">
        <v>158</v>
      </c>
      <c r="E8075" t="s">
        <v>159</v>
      </c>
      <c r="F8075" t="s">
        <v>11641</v>
      </c>
      <c r="G8075">
        <v>1589679</v>
      </c>
      <c r="H8075" t="s">
        <v>45</v>
      </c>
      <c r="I8075" t="s">
        <v>150</v>
      </c>
      <c r="J8075" t="str">
        <f>"9781409461982"</f>
        <v>9781409461982</v>
      </c>
      <c r="K8075" t="s">
        <v>11669</v>
      </c>
      <c r="L8075">
        <v>5</v>
      </c>
      <c r="O8075" t="s">
        <v>30</v>
      </c>
      <c r="P8075" t="s">
        <v>47</v>
      </c>
      <c r="Q8075" s="1">
        <v>42267.115844907406</v>
      </c>
      <c r="R8075">
        <v>1</v>
      </c>
      <c r="S8075" t="s">
        <v>163</v>
      </c>
      <c r="T8075" t="s">
        <v>11643</v>
      </c>
      <c r="U8075">
        <v>709.4</v>
      </c>
      <c r="V8075" s="3">
        <v>41787</v>
      </c>
    </row>
    <row r="8076" spans="1:22" x14ac:dyDescent="0.35">
      <c r="A8076" s="1">
        <v>42267.112129629626</v>
      </c>
      <c r="B8076" s="2">
        <v>3.7152777777777774E-3</v>
      </c>
      <c r="C8076" t="s">
        <v>3132</v>
      </c>
      <c r="D8076" t="s">
        <v>158</v>
      </c>
      <c r="E8076" t="s">
        <v>159</v>
      </c>
      <c r="F8076" t="s">
        <v>11641</v>
      </c>
      <c r="G8076">
        <v>1589679</v>
      </c>
      <c r="H8076" t="s">
        <v>45</v>
      </c>
      <c r="I8076" t="s">
        <v>150</v>
      </c>
      <c r="J8076" t="str">
        <f>"9781409461982"</f>
        <v>9781409461982</v>
      </c>
      <c r="K8076" t="s">
        <v>11670</v>
      </c>
      <c r="L8076">
        <v>19</v>
      </c>
      <c r="O8076" t="s">
        <v>30</v>
      </c>
      <c r="P8076" t="s">
        <v>50</v>
      </c>
      <c r="S8076" t="s">
        <v>163</v>
      </c>
      <c r="T8076" t="s">
        <v>11643</v>
      </c>
      <c r="U8076">
        <v>709.4</v>
      </c>
      <c r="V8076" s="3">
        <v>41787</v>
      </c>
    </row>
    <row r="8077" spans="1:22" x14ac:dyDescent="0.35">
      <c r="A8077" s="1">
        <v>42267.073344907411</v>
      </c>
      <c r="B8077" s="2">
        <v>2.6944444444444441E-2</v>
      </c>
      <c r="C8077" t="s">
        <v>4713</v>
      </c>
      <c r="D8077" t="s">
        <v>1222</v>
      </c>
      <c r="E8077" t="s">
        <v>1223</v>
      </c>
      <c r="F8077" t="s">
        <v>3263</v>
      </c>
      <c r="G8077">
        <v>1840835</v>
      </c>
      <c r="H8077" t="s">
        <v>26</v>
      </c>
      <c r="I8077" t="s">
        <v>108</v>
      </c>
      <c r="J8077" t="str">
        <f>"9781118950166"</f>
        <v>9781118950166</v>
      </c>
      <c r="K8077" t="s">
        <v>11671</v>
      </c>
      <c r="L8077">
        <v>11</v>
      </c>
      <c r="O8077" t="s">
        <v>30</v>
      </c>
      <c r="P8077" t="s">
        <v>29</v>
      </c>
      <c r="Q8077" s="1">
        <v>42267.073344907411</v>
      </c>
      <c r="R8077">
        <v>7</v>
      </c>
      <c r="S8077" t="s">
        <v>1226</v>
      </c>
      <c r="T8077" t="s">
        <v>3264</v>
      </c>
      <c r="U8077">
        <v>338.10923789999998</v>
      </c>
      <c r="V8077" s="3">
        <v>41953</v>
      </c>
    </row>
    <row r="8078" spans="1:22" x14ac:dyDescent="0.35">
      <c r="A8078" s="1">
        <v>42267.0703125</v>
      </c>
      <c r="B8078" s="2">
        <v>3.0324074074074073E-3</v>
      </c>
      <c r="C8078" t="s">
        <v>4713</v>
      </c>
      <c r="D8078" t="s">
        <v>1222</v>
      </c>
      <c r="E8078" t="s">
        <v>1223</v>
      </c>
      <c r="F8078" t="s">
        <v>3263</v>
      </c>
      <c r="G8078">
        <v>1840835</v>
      </c>
      <c r="H8078" t="s">
        <v>26</v>
      </c>
      <c r="I8078" t="s">
        <v>108</v>
      </c>
      <c r="J8078" t="str">
        <f>"9781118950166"</f>
        <v>9781118950166</v>
      </c>
      <c r="K8078" t="s">
        <v>11672</v>
      </c>
      <c r="L8078">
        <v>21</v>
      </c>
      <c r="O8078" t="s">
        <v>30</v>
      </c>
      <c r="P8078" t="s">
        <v>42</v>
      </c>
      <c r="S8078" t="s">
        <v>1226</v>
      </c>
      <c r="T8078" t="s">
        <v>3264</v>
      </c>
      <c r="U8078">
        <v>338.10923789999998</v>
      </c>
      <c r="V8078" s="3">
        <v>41953</v>
      </c>
    </row>
    <row r="8079" spans="1:22" x14ac:dyDescent="0.35">
      <c r="A8079" s="1">
        <v>42267.057905092595</v>
      </c>
      <c r="B8079" s="2">
        <v>4.6840277777777779E-2</v>
      </c>
      <c r="C8079" t="s">
        <v>6790</v>
      </c>
      <c r="D8079" t="s">
        <v>23</v>
      </c>
      <c r="E8079" t="s">
        <v>24</v>
      </c>
      <c r="F8079" t="s">
        <v>486</v>
      </c>
      <c r="G8079">
        <v>1119505</v>
      </c>
      <c r="H8079" t="s">
        <v>26</v>
      </c>
      <c r="I8079" t="s">
        <v>450</v>
      </c>
      <c r="J8079" t="str">
        <f>"9781118355015"</f>
        <v>9781118355015</v>
      </c>
      <c r="K8079" t="s">
        <v>11673</v>
      </c>
      <c r="L8079">
        <v>32</v>
      </c>
      <c r="O8079" t="s">
        <v>30</v>
      </c>
      <c r="P8079" t="s">
        <v>29</v>
      </c>
      <c r="Q8079" s="1">
        <v>42262.05263888889</v>
      </c>
      <c r="R8079">
        <v>7</v>
      </c>
      <c r="S8079" t="s">
        <v>31</v>
      </c>
      <c r="T8079" t="s">
        <v>487</v>
      </c>
      <c r="U8079" t="s">
        <v>488</v>
      </c>
      <c r="V8079" s="3">
        <v>41302</v>
      </c>
    </row>
    <row r="8080" spans="1:22" x14ac:dyDescent="0.35">
      <c r="A8080" s="1">
        <v>42267.048657407409</v>
      </c>
      <c r="B8080" s="2">
        <v>7.8703703703703705E-4</v>
      </c>
      <c r="C8080" t="s">
        <v>106</v>
      </c>
      <c r="D8080" t="s">
        <v>23</v>
      </c>
      <c r="E8080" t="s">
        <v>24</v>
      </c>
      <c r="F8080" t="s">
        <v>486</v>
      </c>
      <c r="G8080">
        <v>1119505</v>
      </c>
      <c r="H8080" t="s">
        <v>26</v>
      </c>
      <c r="I8080" t="s">
        <v>450</v>
      </c>
      <c r="J8080" t="str">
        <f>"9781118355015"</f>
        <v>9781118355015</v>
      </c>
      <c r="K8080" t="s">
        <v>11674</v>
      </c>
      <c r="L8080">
        <v>10</v>
      </c>
      <c r="O8080" t="s">
        <v>30</v>
      </c>
      <c r="P8080" t="s">
        <v>42</v>
      </c>
      <c r="S8080" t="s">
        <v>31</v>
      </c>
      <c r="T8080" t="s">
        <v>487</v>
      </c>
      <c r="U8080" t="s">
        <v>488</v>
      </c>
      <c r="V8080" s="3">
        <v>41302</v>
      </c>
    </row>
    <row r="8081" spans="1:22" x14ac:dyDescent="0.35">
      <c r="A8081" s="1">
        <v>42267.039942129632</v>
      </c>
      <c r="B8081" s="2">
        <v>1.8113425925925925E-2</v>
      </c>
      <c r="C8081" t="s">
        <v>5887</v>
      </c>
      <c r="D8081" t="s">
        <v>23</v>
      </c>
      <c r="E8081" t="s">
        <v>24</v>
      </c>
      <c r="F8081" t="s">
        <v>1051</v>
      </c>
      <c r="G8081">
        <v>821663</v>
      </c>
      <c r="H8081" t="s">
        <v>26</v>
      </c>
      <c r="I8081" t="s">
        <v>200</v>
      </c>
      <c r="J8081" t="str">
        <f>"9781118168479"</f>
        <v>9781118168479</v>
      </c>
      <c r="K8081" t="s">
        <v>11675</v>
      </c>
      <c r="L8081">
        <v>7</v>
      </c>
      <c r="O8081" t="s">
        <v>30</v>
      </c>
      <c r="P8081" t="s">
        <v>29</v>
      </c>
      <c r="Q8081" s="1">
        <v>42267.039942129632</v>
      </c>
      <c r="R8081">
        <v>7</v>
      </c>
      <c r="S8081" t="s">
        <v>31</v>
      </c>
      <c r="T8081" t="s">
        <v>1053</v>
      </c>
      <c r="U8081">
        <v>729</v>
      </c>
      <c r="V8081" s="3">
        <v>40973</v>
      </c>
    </row>
    <row r="8082" spans="1:22" x14ac:dyDescent="0.35">
      <c r="A8082" s="1">
        <v>42267.033321759256</v>
      </c>
      <c r="B8082" s="2">
        <v>6.6203703703703702E-3</v>
      </c>
      <c r="C8082" t="s">
        <v>5887</v>
      </c>
      <c r="D8082" t="s">
        <v>23</v>
      </c>
      <c r="E8082" t="s">
        <v>24</v>
      </c>
      <c r="F8082" t="s">
        <v>1051</v>
      </c>
      <c r="G8082">
        <v>821663</v>
      </c>
      <c r="H8082" t="s">
        <v>26</v>
      </c>
      <c r="I8082" t="s">
        <v>200</v>
      </c>
      <c r="J8082" t="str">
        <f>"9781118168479"</f>
        <v>9781118168479</v>
      </c>
      <c r="K8082" t="s">
        <v>11676</v>
      </c>
      <c r="L8082">
        <v>14</v>
      </c>
      <c r="O8082" t="s">
        <v>30</v>
      </c>
      <c r="P8082" t="s">
        <v>42</v>
      </c>
      <c r="S8082" t="s">
        <v>31</v>
      </c>
      <c r="T8082" t="s">
        <v>1053</v>
      </c>
      <c r="U8082">
        <v>729</v>
      </c>
      <c r="V8082" s="3">
        <v>40973</v>
      </c>
    </row>
    <row r="8083" spans="1:22" x14ac:dyDescent="0.35">
      <c r="A8083" s="1">
        <v>42266.953298611108</v>
      </c>
      <c r="B8083" s="2">
        <v>1.5624999999999999E-3</v>
      </c>
      <c r="C8083" t="s">
        <v>1393</v>
      </c>
      <c r="D8083" t="s">
        <v>23</v>
      </c>
      <c r="E8083" t="s">
        <v>24</v>
      </c>
      <c r="F8083" t="s">
        <v>4197</v>
      </c>
      <c r="G8083">
        <v>1742841</v>
      </c>
      <c r="H8083" t="s">
        <v>91</v>
      </c>
      <c r="I8083" t="s">
        <v>247</v>
      </c>
      <c r="J8083" t="str">
        <f>"9781462516445"</f>
        <v>9781462516445</v>
      </c>
      <c r="K8083" t="s">
        <v>11677</v>
      </c>
      <c r="L8083">
        <v>11</v>
      </c>
      <c r="N8083" t="s">
        <v>11678</v>
      </c>
      <c r="O8083" t="s">
        <v>30</v>
      </c>
      <c r="P8083" t="s">
        <v>29</v>
      </c>
      <c r="Q8083" s="1">
        <v>42266.953298611108</v>
      </c>
      <c r="R8083">
        <v>7</v>
      </c>
      <c r="S8083" t="s">
        <v>31</v>
      </c>
      <c r="T8083" t="s">
        <v>4199</v>
      </c>
      <c r="U8083">
        <v>616.85270000000003</v>
      </c>
      <c r="V8083" s="3">
        <v>41934</v>
      </c>
    </row>
    <row r="8084" spans="1:22" x14ac:dyDescent="0.35">
      <c r="A8084" s="1">
        <v>42266.952939814815</v>
      </c>
      <c r="B8084" s="2">
        <v>3.5879629629629635E-4</v>
      </c>
      <c r="C8084" t="s">
        <v>1393</v>
      </c>
      <c r="D8084" t="s">
        <v>23</v>
      </c>
      <c r="E8084" t="s">
        <v>24</v>
      </c>
      <c r="F8084" t="s">
        <v>4197</v>
      </c>
      <c r="G8084">
        <v>1742841</v>
      </c>
      <c r="H8084" t="s">
        <v>91</v>
      </c>
      <c r="I8084" t="s">
        <v>247</v>
      </c>
      <c r="J8084" t="str">
        <f>"9781462516445"</f>
        <v>9781462516445</v>
      </c>
      <c r="K8084" t="s">
        <v>11679</v>
      </c>
      <c r="L8084">
        <v>8</v>
      </c>
      <c r="O8084" t="s">
        <v>30</v>
      </c>
      <c r="P8084" t="s">
        <v>42</v>
      </c>
      <c r="S8084" t="s">
        <v>31</v>
      </c>
      <c r="T8084" t="s">
        <v>4199</v>
      </c>
      <c r="U8084">
        <v>616.85270000000003</v>
      </c>
      <c r="V8084" s="3">
        <v>41934</v>
      </c>
    </row>
    <row r="8085" spans="1:22" x14ac:dyDescent="0.35">
      <c r="A8085" s="1">
        <v>42266.94730324074</v>
      </c>
      <c r="B8085" s="2">
        <v>7.175925925925927E-4</v>
      </c>
      <c r="C8085" t="s">
        <v>5887</v>
      </c>
      <c r="D8085" t="s">
        <v>23</v>
      </c>
      <c r="E8085" t="s">
        <v>24</v>
      </c>
      <c r="F8085" t="s">
        <v>1051</v>
      </c>
      <c r="G8085">
        <v>821663</v>
      </c>
      <c r="H8085" t="s">
        <v>26</v>
      </c>
      <c r="I8085" t="s">
        <v>200</v>
      </c>
      <c r="J8085" t="str">
        <f>"9781118168479"</f>
        <v>9781118168479</v>
      </c>
      <c r="K8085" t="s">
        <v>11680</v>
      </c>
      <c r="L8085">
        <v>14</v>
      </c>
      <c r="O8085" t="s">
        <v>30</v>
      </c>
      <c r="P8085" t="s">
        <v>42</v>
      </c>
      <c r="S8085" t="s">
        <v>31</v>
      </c>
      <c r="T8085" t="s">
        <v>1053</v>
      </c>
      <c r="U8085">
        <v>729</v>
      </c>
      <c r="V8085" s="3">
        <v>40973</v>
      </c>
    </row>
    <row r="8086" spans="1:22" x14ac:dyDescent="0.35">
      <c r="A8086" s="1">
        <v>42266.943553240744</v>
      </c>
      <c r="B8086" s="2">
        <v>4.1666666666666669E-4</v>
      </c>
      <c r="C8086" t="s">
        <v>106</v>
      </c>
      <c r="D8086" t="s">
        <v>23</v>
      </c>
      <c r="E8086" t="s">
        <v>24</v>
      </c>
      <c r="F8086" t="s">
        <v>486</v>
      </c>
      <c r="G8086">
        <v>1119505</v>
      </c>
      <c r="H8086" t="s">
        <v>26</v>
      </c>
      <c r="I8086" t="s">
        <v>450</v>
      </c>
      <c r="J8086" t="str">
        <f>"9781118355015"</f>
        <v>9781118355015</v>
      </c>
      <c r="K8086" t="s">
        <v>11681</v>
      </c>
      <c r="L8086">
        <v>9</v>
      </c>
      <c r="O8086" t="s">
        <v>30</v>
      </c>
      <c r="P8086" t="s">
        <v>42</v>
      </c>
      <c r="S8086" t="s">
        <v>31</v>
      </c>
      <c r="T8086" t="s">
        <v>487</v>
      </c>
      <c r="U8086" t="s">
        <v>488</v>
      </c>
      <c r="V8086" s="3">
        <v>41302</v>
      </c>
    </row>
    <row r="8087" spans="1:22" x14ac:dyDescent="0.35">
      <c r="A8087" s="1">
        <v>42266.941192129627</v>
      </c>
      <c r="B8087" s="2">
        <v>1.5659722222222224E-2</v>
      </c>
      <c r="C8087" t="s">
        <v>7408</v>
      </c>
      <c r="D8087" t="s">
        <v>23</v>
      </c>
      <c r="E8087" t="s">
        <v>24</v>
      </c>
      <c r="F8087" t="s">
        <v>486</v>
      </c>
      <c r="G8087">
        <v>1119505</v>
      </c>
      <c r="H8087" t="s">
        <v>26</v>
      </c>
      <c r="I8087" t="s">
        <v>450</v>
      </c>
      <c r="J8087" t="str">
        <f>"9781118355015"</f>
        <v>9781118355015</v>
      </c>
      <c r="K8087" t="s">
        <v>11682</v>
      </c>
      <c r="L8087">
        <v>10</v>
      </c>
      <c r="O8087" t="s">
        <v>30</v>
      </c>
      <c r="P8087" t="s">
        <v>29</v>
      </c>
      <c r="Q8087" s="1">
        <v>42264.600462962961</v>
      </c>
      <c r="R8087">
        <v>7</v>
      </c>
      <c r="S8087" t="s">
        <v>31</v>
      </c>
      <c r="T8087" t="s">
        <v>487</v>
      </c>
      <c r="U8087" t="s">
        <v>488</v>
      </c>
      <c r="V8087" s="3">
        <v>41302</v>
      </c>
    </row>
    <row r="8088" spans="1:22" x14ac:dyDescent="0.35">
      <c r="A8088" s="1">
        <v>42266.848703703705</v>
      </c>
      <c r="B8088" s="2">
        <v>1.1006944444444444E-2</v>
      </c>
      <c r="C8088" t="s">
        <v>106</v>
      </c>
      <c r="D8088" t="s">
        <v>23</v>
      </c>
      <c r="E8088" t="s">
        <v>24</v>
      </c>
      <c r="F8088" t="s">
        <v>3228</v>
      </c>
      <c r="G8088">
        <v>1115640</v>
      </c>
      <c r="H8088" t="s">
        <v>26</v>
      </c>
      <c r="I8088" t="s">
        <v>3229</v>
      </c>
      <c r="J8088" t="str">
        <f>"9781118419090"</f>
        <v>9781118419090</v>
      </c>
      <c r="K8088" t="s">
        <v>11683</v>
      </c>
      <c r="L8088">
        <v>15</v>
      </c>
      <c r="O8088" t="s">
        <v>30</v>
      </c>
      <c r="P8088" t="s">
        <v>29</v>
      </c>
      <c r="Q8088" s="1">
        <v>42265.564884259256</v>
      </c>
      <c r="R8088">
        <v>7</v>
      </c>
      <c r="S8088" t="s">
        <v>31</v>
      </c>
      <c r="T8088" t="s">
        <v>3231</v>
      </c>
      <c r="U8088">
        <v>624</v>
      </c>
      <c r="V8088" s="3">
        <v>41296</v>
      </c>
    </row>
    <row r="8089" spans="1:22" x14ac:dyDescent="0.35">
      <c r="A8089" s="1">
        <v>42266.840833333335</v>
      </c>
      <c r="B8089" s="2">
        <v>5.0324074074074077E-2</v>
      </c>
      <c r="C8089" t="s">
        <v>11563</v>
      </c>
      <c r="D8089" t="s">
        <v>35</v>
      </c>
      <c r="E8089" t="s">
        <v>36</v>
      </c>
      <c r="F8089" t="s">
        <v>37</v>
      </c>
      <c r="G8089">
        <v>1684620</v>
      </c>
      <c r="H8089" t="s">
        <v>26</v>
      </c>
      <c r="I8089" t="s">
        <v>38</v>
      </c>
      <c r="J8089" t="str">
        <f>"9781118418925"</f>
        <v>9781118418925</v>
      </c>
      <c r="K8089" t="s">
        <v>11684</v>
      </c>
      <c r="L8089">
        <v>36</v>
      </c>
      <c r="O8089" t="s">
        <v>30</v>
      </c>
      <c r="P8089" t="s">
        <v>29</v>
      </c>
      <c r="Q8089" s="1">
        <v>42261.213599537034</v>
      </c>
      <c r="R8089">
        <v>7</v>
      </c>
      <c r="S8089" t="s">
        <v>40</v>
      </c>
      <c r="T8089" t="s">
        <v>41</v>
      </c>
      <c r="U8089">
        <v>362.10680000000002</v>
      </c>
      <c r="V8089" s="3">
        <v>41759</v>
      </c>
    </row>
    <row r="8090" spans="1:22" x14ac:dyDescent="0.35">
      <c r="A8090" s="1">
        <v>42266.792581018519</v>
      </c>
      <c r="B8090" s="2">
        <v>2.0833333333333335E-4</v>
      </c>
      <c r="C8090" t="s">
        <v>11685</v>
      </c>
      <c r="D8090" t="s">
        <v>1222</v>
      </c>
      <c r="E8090" t="s">
        <v>1223</v>
      </c>
      <c r="F8090" t="s">
        <v>11686</v>
      </c>
      <c r="G8090">
        <v>1590674</v>
      </c>
      <c r="H8090" t="s">
        <v>45</v>
      </c>
      <c r="I8090" t="s">
        <v>426</v>
      </c>
      <c r="J8090" t="str">
        <f>"9781472410887"</f>
        <v>9781472410887</v>
      </c>
      <c r="K8090" t="s">
        <v>11687</v>
      </c>
      <c r="L8090">
        <v>14</v>
      </c>
      <c r="O8090" t="s">
        <v>30</v>
      </c>
      <c r="P8090" t="s">
        <v>50</v>
      </c>
      <c r="S8090" t="s">
        <v>1226</v>
      </c>
      <c r="T8090" t="s">
        <v>11688</v>
      </c>
      <c r="U8090">
        <v>230</v>
      </c>
      <c r="V8090" s="3">
        <v>41698</v>
      </c>
    </row>
    <row r="8091" spans="1:22" x14ac:dyDescent="0.35">
      <c r="A8091" s="1">
        <v>42266.774074074077</v>
      </c>
      <c r="B8091" s="2">
        <v>3.9467592592592592E-3</v>
      </c>
      <c r="C8091" t="s">
        <v>11689</v>
      </c>
      <c r="D8091" t="s">
        <v>23</v>
      </c>
      <c r="E8091" t="s">
        <v>24</v>
      </c>
      <c r="F8091" t="s">
        <v>52</v>
      </c>
      <c r="G8091">
        <v>822040</v>
      </c>
      <c r="H8091" t="s">
        <v>26</v>
      </c>
      <c r="I8091" t="s">
        <v>53</v>
      </c>
      <c r="J8091" t="str">
        <f>"9781118289099"</f>
        <v>9781118289099</v>
      </c>
      <c r="K8091" t="s">
        <v>11690</v>
      </c>
      <c r="L8091">
        <v>20</v>
      </c>
      <c r="O8091" t="s">
        <v>30</v>
      </c>
      <c r="P8091" t="s">
        <v>42</v>
      </c>
      <c r="S8091" t="s">
        <v>31</v>
      </c>
      <c r="T8091" t="s">
        <v>55</v>
      </c>
      <c r="U8091" t="s">
        <v>56</v>
      </c>
      <c r="V8091" s="3">
        <v>40990</v>
      </c>
    </row>
    <row r="8092" spans="1:22" x14ac:dyDescent="0.35">
      <c r="A8092" s="1">
        <v>42266.7344212963</v>
      </c>
      <c r="B8092" s="2">
        <v>0</v>
      </c>
      <c r="C8092" t="s">
        <v>6518</v>
      </c>
      <c r="D8092" t="s">
        <v>23</v>
      </c>
      <c r="E8092" t="s">
        <v>24</v>
      </c>
      <c r="F8092" t="s">
        <v>486</v>
      </c>
      <c r="G8092">
        <v>1119505</v>
      </c>
      <c r="H8092" t="s">
        <v>26</v>
      </c>
      <c r="I8092" t="s">
        <v>450</v>
      </c>
      <c r="J8092" t="str">
        <f>"9781118355015"</f>
        <v>9781118355015</v>
      </c>
      <c r="L8092">
        <v>0</v>
      </c>
      <c r="N8092" t="s">
        <v>11691</v>
      </c>
      <c r="O8092" t="s">
        <v>30</v>
      </c>
      <c r="P8092" t="s">
        <v>29</v>
      </c>
      <c r="Q8092" s="1">
        <v>42266.7344212963</v>
      </c>
      <c r="R8092">
        <v>7</v>
      </c>
      <c r="S8092" t="s">
        <v>31</v>
      </c>
      <c r="T8092" t="s">
        <v>487</v>
      </c>
      <c r="U8092" t="s">
        <v>488</v>
      </c>
      <c r="V8092" s="3">
        <v>41302</v>
      </c>
    </row>
    <row r="8093" spans="1:22" x14ac:dyDescent="0.35">
      <c r="A8093" s="1">
        <v>42266.734270833331</v>
      </c>
      <c r="B8093" s="2">
        <v>1.5046296296296297E-4</v>
      </c>
      <c r="C8093" t="s">
        <v>6518</v>
      </c>
      <c r="D8093" t="s">
        <v>23</v>
      </c>
      <c r="E8093" t="s">
        <v>24</v>
      </c>
      <c r="F8093" t="s">
        <v>486</v>
      </c>
      <c r="G8093">
        <v>1119505</v>
      </c>
      <c r="H8093" t="s">
        <v>26</v>
      </c>
      <c r="I8093" t="s">
        <v>450</v>
      </c>
      <c r="J8093" t="str">
        <f>"9781118355015"</f>
        <v>9781118355015</v>
      </c>
      <c r="K8093" t="s">
        <v>11692</v>
      </c>
      <c r="L8093">
        <v>8</v>
      </c>
      <c r="O8093" t="s">
        <v>30</v>
      </c>
      <c r="P8093" t="s">
        <v>42</v>
      </c>
      <c r="S8093" t="s">
        <v>31</v>
      </c>
      <c r="T8093" t="s">
        <v>487</v>
      </c>
      <c r="U8093" t="s">
        <v>488</v>
      </c>
      <c r="V8093" s="3">
        <v>41302</v>
      </c>
    </row>
    <row r="8094" spans="1:22" x14ac:dyDescent="0.35">
      <c r="A8094" s="1">
        <v>42266.72446759259</v>
      </c>
      <c r="B8094" s="2">
        <v>2.6458333333333334E-2</v>
      </c>
      <c r="C8094" t="s">
        <v>3556</v>
      </c>
      <c r="D8094" t="s">
        <v>23</v>
      </c>
      <c r="E8094" t="s">
        <v>24</v>
      </c>
      <c r="F8094" t="s">
        <v>3060</v>
      </c>
      <c r="G8094">
        <v>1120279</v>
      </c>
      <c r="H8094" t="s">
        <v>26</v>
      </c>
      <c r="I8094" t="s">
        <v>3061</v>
      </c>
      <c r="J8094" t="str">
        <f>"9781118537671"</f>
        <v>9781118537671</v>
      </c>
      <c r="K8094" t="s">
        <v>11693</v>
      </c>
      <c r="L8094">
        <v>10</v>
      </c>
      <c r="O8094" t="s">
        <v>30</v>
      </c>
      <c r="P8094" t="s">
        <v>29</v>
      </c>
      <c r="Q8094" s="1">
        <v>42266.72446759259</v>
      </c>
      <c r="R8094">
        <v>7</v>
      </c>
      <c r="S8094" t="s">
        <v>31</v>
      </c>
      <c r="T8094" t="s">
        <v>3063</v>
      </c>
      <c r="U8094">
        <v>599.93499999999995</v>
      </c>
      <c r="V8094" s="3">
        <v>41232</v>
      </c>
    </row>
    <row r="8095" spans="1:22" x14ac:dyDescent="0.35">
      <c r="A8095" s="1">
        <v>42266.721770833334</v>
      </c>
      <c r="B8095" s="2">
        <v>1.7476851851851852E-3</v>
      </c>
      <c r="C8095" t="s">
        <v>106</v>
      </c>
      <c r="D8095" t="s">
        <v>23</v>
      </c>
      <c r="E8095" t="s">
        <v>24</v>
      </c>
      <c r="F8095" t="s">
        <v>486</v>
      </c>
      <c r="G8095">
        <v>1119505</v>
      </c>
      <c r="H8095" t="s">
        <v>26</v>
      </c>
      <c r="I8095" t="s">
        <v>450</v>
      </c>
      <c r="J8095" t="str">
        <f>"9781118355015"</f>
        <v>9781118355015</v>
      </c>
      <c r="K8095" t="s">
        <v>11694</v>
      </c>
      <c r="L8095">
        <v>16</v>
      </c>
      <c r="O8095" t="s">
        <v>30</v>
      </c>
      <c r="P8095" t="s">
        <v>42</v>
      </c>
      <c r="S8095" t="s">
        <v>31</v>
      </c>
      <c r="T8095" t="s">
        <v>487</v>
      </c>
      <c r="U8095" t="s">
        <v>488</v>
      </c>
      <c r="V8095" s="3">
        <v>41302</v>
      </c>
    </row>
    <row r="8096" spans="1:22" x14ac:dyDescent="0.35">
      <c r="A8096" s="1">
        <v>42266.712430555555</v>
      </c>
      <c r="B8096" s="2">
        <v>1.2037037037037035E-2</v>
      </c>
      <c r="C8096" t="s">
        <v>3556</v>
      </c>
      <c r="D8096" t="s">
        <v>23</v>
      </c>
      <c r="E8096" t="s">
        <v>24</v>
      </c>
      <c r="F8096" t="s">
        <v>3060</v>
      </c>
      <c r="G8096">
        <v>1120279</v>
      </c>
      <c r="H8096" t="s">
        <v>26</v>
      </c>
      <c r="I8096" t="s">
        <v>3061</v>
      </c>
      <c r="J8096" t="str">
        <f>"9781118537671"</f>
        <v>9781118537671</v>
      </c>
      <c r="K8096" t="s">
        <v>11695</v>
      </c>
      <c r="L8096">
        <v>14</v>
      </c>
      <c r="O8096" t="s">
        <v>30</v>
      </c>
      <c r="P8096" t="s">
        <v>42</v>
      </c>
      <c r="S8096" t="s">
        <v>31</v>
      </c>
      <c r="T8096" t="s">
        <v>3063</v>
      </c>
      <c r="U8096">
        <v>599.93499999999995</v>
      </c>
      <c r="V8096" s="3">
        <v>41232</v>
      </c>
    </row>
    <row r="8097" spans="1:22" x14ac:dyDescent="0.35">
      <c r="A8097" s="1">
        <v>42266.676562499997</v>
      </c>
      <c r="B8097" s="2">
        <v>2.1979166666666664E-2</v>
      </c>
      <c r="C8097" t="s">
        <v>3906</v>
      </c>
      <c r="D8097" t="s">
        <v>35</v>
      </c>
      <c r="E8097" t="s">
        <v>36</v>
      </c>
      <c r="F8097" t="s">
        <v>37</v>
      </c>
      <c r="G8097">
        <v>1684620</v>
      </c>
      <c r="H8097" t="s">
        <v>26</v>
      </c>
      <c r="I8097" t="s">
        <v>38</v>
      </c>
      <c r="J8097" t="str">
        <f>"9781118418925"</f>
        <v>9781118418925</v>
      </c>
      <c r="K8097" t="s">
        <v>11696</v>
      </c>
      <c r="L8097">
        <v>53</v>
      </c>
      <c r="O8097" t="s">
        <v>30</v>
      </c>
      <c r="P8097" t="s">
        <v>29</v>
      </c>
      <c r="Q8097" s="1">
        <v>42266.676562499997</v>
      </c>
      <c r="R8097">
        <v>7</v>
      </c>
      <c r="S8097" t="s">
        <v>40</v>
      </c>
      <c r="T8097" t="s">
        <v>41</v>
      </c>
      <c r="U8097">
        <v>362.10680000000002</v>
      </c>
      <c r="V8097" s="3">
        <v>41759</v>
      </c>
    </row>
    <row r="8098" spans="1:22" x14ac:dyDescent="0.35">
      <c r="A8098" s="1">
        <v>42266.668078703704</v>
      </c>
      <c r="B8098" s="2">
        <v>8.4837962962962966E-3</v>
      </c>
      <c r="C8098" t="s">
        <v>3906</v>
      </c>
      <c r="D8098" t="s">
        <v>35</v>
      </c>
      <c r="E8098" t="s">
        <v>36</v>
      </c>
      <c r="F8098" t="s">
        <v>37</v>
      </c>
      <c r="G8098">
        <v>1684620</v>
      </c>
      <c r="H8098" t="s">
        <v>26</v>
      </c>
      <c r="I8098" t="s">
        <v>38</v>
      </c>
      <c r="J8098" t="str">
        <f>"9781118418925"</f>
        <v>9781118418925</v>
      </c>
      <c r="K8098" t="s">
        <v>11697</v>
      </c>
      <c r="L8098">
        <v>11</v>
      </c>
      <c r="O8098" t="s">
        <v>30</v>
      </c>
      <c r="P8098" t="s">
        <v>42</v>
      </c>
      <c r="S8098" t="s">
        <v>40</v>
      </c>
      <c r="T8098" t="s">
        <v>41</v>
      </c>
      <c r="U8098">
        <v>362.10680000000002</v>
      </c>
      <c r="V8098" s="3">
        <v>41759</v>
      </c>
    </row>
    <row r="8099" spans="1:22" x14ac:dyDescent="0.35">
      <c r="A8099" s="1">
        <v>42266.564328703702</v>
      </c>
      <c r="B8099" s="2">
        <v>2.8703703703703708E-3</v>
      </c>
      <c r="C8099" t="s">
        <v>11698</v>
      </c>
      <c r="D8099" t="s">
        <v>23</v>
      </c>
      <c r="E8099" t="s">
        <v>24</v>
      </c>
      <c r="F8099" t="s">
        <v>11699</v>
      </c>
      <c r="G8099">
        <v>2049507</v>
      </c>
      <c r="H8099" t="s">
        <v>45</v>
      </c>
      <c r="I8099" t="s">
        <v>445</v>
      </c>
      <c r="J8099" t="str">
        <f>"9781472439123"</f>
        <v>9781472439123</v>
      </c>
      <c r="K8099" t="s">
        <v>9327</v>
      </c>
      <c r="L8099">
        <v>1</v>
      </c>
      <c r="N8099" t="s">
        <v>11700</v>
      </c>
      <c r="O8099" t="s">
        <v>30</v>
      </c>
      <c r="P8099" t="s">
        <v>47</v>
      </c>
      <c r="Q8099" s="1">
        <v>42266.564328703702</v>
      </c>
      <c r="R8099">
        <v>1</v>
      </c>
      <c r="S8099" t="s">
        <v>31</v>
      </c>
      <c r="T8099" t="s">
        <v>11701</v>
      </c>
      <c r="U8099" t="s">
        <v>11702</v>
      </c>
      <c r="V8099" s="3">
        <v>42213</v>
      </c>
    </row>
    <row r="8100" spans="1:22" x14ac:dyDescent="0.35">
      <c r="A8100" s="1">
        <v>42266.563726851855</v>
      </c>
      <c r="B8100" s="2">
        <v>6.018518518518519E-4</v>
      </c>
      <c r="C8100" t="s">
        <v>11698</v>
      </c>
      <c r="D8100" t="s">
        <v>23</v>
      </c>
      <c r="E8100" t="s">
        <v>24</v>
      </c>
      <c r="F8100" t="s">
        <v>11699</v>
      </c>
      <c r="G8100">
        <v>2049507</v>
      </c>
      <c r="H8100" t="s">
        <v>45</v>
      </c>
      <c r="I8100" t="s">
        <v>445</v>
      </c>
      <c r="J8100" t="str">
        <f>"9781472439123"</f>
        <v>9781472439123</v>
      </c>
      <c r="K8100" t="s">
        <v>11703</v>
      </c>
      <c r="L8100">
        <v>10</v>
      </c>
      <c r="O8100" t="s">
        <v>30</v>
      </c>
      <c r="P8100" t="s">
        <v>50</v>
      </c>
      <c r="S8100" t="s">
        <v>31</v>
      </c>
      <c r="T8100" t="s">
        <v>11701</v>
      </c>
      <c r="U8100" t="s">
        <v>11702</v>
      </c>
      <c r="V8100" s="3">
        <v>42213</v>
      </c>
    </row>
    <row r="8101" spans="1:22" x14ac:dyDescent="0.35">
      <c r="A8101" s="1">
        <v>42266.153090277781</v>
      </c>
      <c r="B8101" s="2">
        <v>1.3761574074074074E-2</v>
      </c>
      <c r="C8101" t="s">
        <v>11157</v>
      </c>
      <c r="D8101" t="s">
        <v>360</v>
      </c>
      <c r="E8101" t="s">
        <v>361</v>
      </c>
      <c r="F8101" t="s">
        <v>11704</v>
      </c>
      <c r="G8101">
        <v>1707854</v>
      </c>
      <c r="H8101" t="s">
        <v>84</v>
      </c>
      <c r="I8101" t="s">
        <v>4070</v>
      </c>
      <c r="J8101" t="str">
        <f>"9780520958432"</f>
        <v>9780520958432</v>
      </c>
      <c r="K8101" t="s">
        <v>11705</v>
      </c>
      <c r="L8101">
        <v>87</v>
      </c>
      <c r="O8101" t="s">
        <v>28</v>
      </c>
      <c r="P8101" t="s">
        <v>47</v>
      </c>
      <c r="Q8101" s="1">
        <v>42266.15185185185</v>
      </c>
      <c r="R8101">
        <v>1</v>
      </c>
      <c r="S8101" t="s">
        <v>363</v>
      </c>
      <c r="T8101" t="s">
        <v>11706</v>
      </c>
      <c r="U8101">
        <v>584.74</v>
      </c>
      <c r="V8101" s="3">
        <v>41894</v>
      </c>
    </row>
    <row r="8102" spans="1:22" x14ac:dyDescent="0.35">
      <c r="A8102" s="1">
        <v>42266.15185185185</v>
      </c>
      <c r="B8102" s="2">
        <v>0</v>
      </c>
      <c r="C8102" t="s">
        <v>11157</v>
      </c>
      <c r="D8102" t="s">
        <v>360</v>
      </c>
      <c r="E8102" t="s">
        <v>361</v>
      </c>
      <c r="F8102" t="s">
        <v>11704</v>
      </c>
      <c r="G8102">
        <v>1707854</v>
      </c>
      <c r="H8102" t="s">
        <v>84</v>
      </c>
      <c r="I8102" t="s">
        <v>4070</v>
      </c>
      <c r="J8102" t="str">
        <f>"9780520958432"</f>
        <v>9780520958432</v>
      </c>
      <c r="L8102">
        <v>0</v>
      </c>
      <c r="O8102" t="s">
        <v>28</v>
      </c>
      <c r="P8102" t="s">
        <v>47</v>
      </c>
      <c r="Q8102" s="1">
        <v>42266.15185185185</v>
      </c>
      <c r="R8102">
        <v>1</v>
      </c>
      <c r="S8102" t="s">
        <v>363</v>
      </c>
      <c r="T8102" t="s">
        <v>11706</v>
      </c>
      <c r="U8102">
        <v>584.74</v>
      </c>
      <c r="V8102" s="3">
        <v>41894</v>
      </c>
    </row>
    <row r="8103" spans="1:22" x14ac:dyDescent="0.35">
      <c r="A8103" s="1">
        <v>42266.15185185185</v>
      </c>
      <c r="B8103" s="2">
        <v>0</v>
      </c>
      <c r="C8103" t="s">
        <v>11157</v>
      </c>
      <c r="D8103" t="s">
        <v>360</v>
      </c>
      <c r="E8103" t="s">
        <v>361</v>
      </c>
      <c r="F8103" t="s">
        <v>11704</v>
      </c>
      <c r="G8103">
        <v>1707854</v>
      </c>
      <c r="H8103" t="s">
        <v>84</v>
      </c>
      <c r="I8103" t="s">
        <v>4070</v>
      </c>
      <c r="J8103" t="str">
        <f>"9780520958432"</f>
        <v>9780520958432</v>
      </c>
      <c r="L8103">
        <v>0</v>
      </c>
      <c r="O8103" t="s">
        <v>30</v>
      </c>
      <c r="P8103" t="s">
        <v>47</v>
      </c>
      <c r="Q8103" s="1">
        <v>42266.15185185185</v>
      </c>
      <c r="R8103">
        <v>1</v>
      </c>
      <c r="S8103" t="s">
        <v>363</v>
      </c>
      <c r="T8103" t="s">
        <v>11706</v>
      </c>
      <c r="U8103">
        <v>584.74</v>
      </c>
      <c r="V8103" s="3">
        <v>41894</v>
      </c>
    </row>
    <row r="8104" spans="1:22" x14ac:dyDescent="0.35">
      <c r="A8104" s="1">
        <v>42266.149699074071</v>
      </c>
      <c r="B8104" s="2">
        <v>2.1527777777777778E-3</v>
      </c>
      <c r="C8104" t="s">
        <v>11157</v>
      </c>
      <c r="D8104" t="s">
        <v>360</v>
      </c>
      <c r="E8104" t="s">
        <v>361</v>
      </c>
      <c r="F8104" t="s">
        <v>11704</v>
      </c>
      <c r="G8104">
        <v>1707854</v>
      </c>
      <c r="H8104" t="s">
        <v>84</v>
      </c>
      <c r="I8104" t="s">
        <v>4070</v>
      </c>
      <c r="J8104" t="str">
        <f>"9780520958432"</f>
        <v>9780520958432</v>
      </c>
      <c r="K8104" t="s">
        <v>11707</v>
      </c>
      <c r="L8104">
        <v>6</v>
      </c>
      <c r="O8104" t="s">
        <v>30</v>
      </c>
      <c r="P8104" t="s">
        <v>50</v>
      </c>
      <c r="S8104" t="s">
        <v>363</v>
      </c>
      <c r="T8104" t="s">
        <v>11706</v>
      </c>
      <c r="U8104">
        <v>584.74</v>
      </c>
      <c r="V8104" s="3">
        <v>41894</v>
      </c>
    </row>
    <row r="8105" spans="1:22" x14ac:dyDescent="0.35">
      <c r="A8105" s="1">
        <v>42266.147962962961</v>
      </c>
      <c r="B8105" s="2">
        <v>0</v>
      </c>
      <c r="C8105" t="s">
        <v>11157</v>
      </c>
      <c r="D8105" t="s">
        <v>360</v>
      </c>
      <c r="E8105" t="s">
        <v>361</v>
      </c>
      <c r="F8105" t="s">
        <v>11708</v>
      </c>
      <c r="G8105">
        <v>1637201</v>
      </c>
      <c r="H8105" t="s">
        <v>186</v>
      </c>
      <c r="I8105" t="s">
        <v>4662</v>
      </c>
      <c r="J8105" t="str">
        <f>"9781780641843"</f>
        <v>9781780641843</v>
      </c>
      <c r="L8105">
        <v>0</v>
      </c>
      <c r="O8105" t="s">
        <v>28</v>
      </c>
      <c r="P8105" t="s">
        <v>47</v>
      </c>
      <c r="Q8105" s="1">
        <v>42266.147280092591</v>
      </c>
      <c r="R8105">
        <v>1</v>
      </c>
      <c r="S8105" t="s">
        <v>363</v>
      </c>
      <c r="T8105" t="s">
        <v>11709</v>
      </c>
      <c r="U8105" t="s">
        <v>11710</v>
      </c>
      <c r="V8105" s="3">
        <v>41275</v>
      </c>
    </row>
    <row r="8106" spans="1:22" x14ac:dyDescent="0.35">
      <c r="A8106" s="1">
        <v>42266.147280092591</v>
      </c>
      <c r="B8106" s="2">
        <v>0</v>
      </c>
      <c r="C8106" t="s">
        <v>11157</v>
      </c>
      <c r="D8106" t="s">
        <v>360</v>
      </c>
      <c r="E8106" t="s">
        <v>361</v>
      </c>
      <c r="F8106" t="s">
        <v>11708</v>
      </c>
      <c r="G8106">
        <v>1637201</v>
      </c>
      <c r="H8106" t="s">
        <v>186</v>
      </c>
      <c r="I8106" t="s">
        <v>4662</v>
      </c>
      <c r="J8106" t="str">
        <f>"9781780641843"</f>
        <v>9781780641843</v>
      </c>
      <c r="L8106">
        <v>0</v>
      </c>
      <c r="M8106" t="s">
        <v>105</v>
      </c>
      <c r="O8106" t="s">
        <v>30</v>
      </c>
      <c r="P8106" t="s">
        <v>47</v>
      </c>
      <c r="Q8106" s="1">
        <v>42266.147280092591</v>
      </c>
      <c r="R8106">
        <v>1</v>
      </c>
      <c r="S8106" t="s">
        <v>363</v>
      </c>
      <c r="T8106" t="s">
        <v>11709</v>
      </c>
      <c r="U8106" t="s">
        <v>11710</v>
      </c>
      <c r="V8106" s="3">
        <v>41275</v>
      </c>
    </row>
    <row r="8107" spans="1:22" x14ac:dyDescent="0.35">
      <c r="A8107" s="1">
        <v>42266.147060185183</v>
      </c>
      <c r="B8107" s="2">
        <v>2.199074074074074E-4</v>
      </c>
      <c r="C8107" t="s">
        <v>11157</v>
      </c>
      <c r="D8107" t="s">
        <v>360</v>
      </c>
      <c r="E8107" t="s">
        <v>361</v>
      </c>
      <c r="F8107" t="s">
        <v>11708</v>
      </c>
      <c r="G8107">
        <v>1637201</v>
      </c>
      <c r="H8107" t="s">
        <v>186</v>
      </c>
      <c r="I8107" t="s">
        <v>4662</v>
      </c>
      <c r="J8107" t="str">
        <f>"9781780641843"</f>
        <v>9781780641843</v>
      </c>
      <c r="K8107" t="s">
        <v>611</v>
      </c>
      <c r="L8107">
        <v>3</v>
      </c>
      <c r="O8107" t="s">
        <v>30</v>
      </c>
      <c r="P8107" t="s">
        <v>50</v>
      </c>
      <c r="S8107" t="s">
        <v>363</v>
      </c>
      <c r="T8107" t="s">
        <v>11709</v>
      </c>
      <c r="U8107" t="s">
        <v>11710</v>
      </c>
      <c r="V8107" s="3">
        <v>41275</v>
      </c>
    </row>
    <row r="8108" spans="1:22" x14ac:dyDescent="0.35">
      <c r="A8108" s="1">
        <v>42266.14434027778</v>
      </c>
      <c r="B8108" s="2">
        <v>1.6203703703703703E-3</v>
      </c>
      <c r="C8108" t="s">
        <v>11157</v>
      </c>
      <c r="D8108" t="s">
        <v>360</v>
      </c>
      <c r="E8108" t="s">
        <v>361</v>
      </c>
      <c r="F8108" t="s">
        <v>11711</v>
      </c>
      <c r="G8108">
        <v>1895512</v>
      </c>
      <c r="H8108" t="s">
        <v>26</v>
      </c>
      <c r="I8108" t="s">
        <v>187</v>
      </c>
      <c r="J8108" t="str">
        <f>"9781118629208"</f>
        <v>9781118629208</v>
      </c>
      <c r="K8108" t="s">
        <v>11712</v>
      </c>
      <c r="L8108">
        <v>15</v>
      </c>
      <c r="O8108" t="s">
        <v>30</v>
      </c>
      <c r="P8108" t="s">
        <v>50</v>
      </c>
      <c r="S8108" t="s">
        <v>363</v>
      </c>
      <c r="T8108" t="s">
        <v>11713</v>
      </c>
      <c r="U8108" t="s">
        <v>11714</v>
      </c>
      <c r="V8108" s="3">
        <v>42121</v>
      </c>
    </row>
    <row r="8109" spans="1:22" x14ac:dyDescent="0.35">
      <c r="A8109" s="1">
        <v>42266.120740740742</v>
      </c>
      <c r="B8109" s="2">
        <v>7.7546296296296304E-4</v>
      </c>
      <c r="C8109" t="s">
        <v>8208</v>
      </c>
      <c r="D8109" t="s">
        <v>23</v>
      </c>
      <c r="E8109" t="s">
        <v>24</v>
      </c>
      <c r="F8109" t="s">
        <v>1787</v>
      </c>
      <c r="G8109">
        <v>1815426</v>
      </c>
      <c r="H8109" t="s">
        <v>91</v>
      </c>
      <c r="I8109" t="s">
        <v>69</v>
      </c>
      <c r="J8109" t="str">
        <f>"9781462519781"</f>
        <v>9781462519781</v>
      </c>
      <c r="K8109" t="s">
        <v>11715</v>
      </c>
      <c r="L8109">
        <v>8</v>
      </c>
      <c r="O8109" t="s">
        <v>30</v>
      </c>
      <c r="P8109" t="s">
        <v>50</v>
      </c>
      <c r="S8109" t="s">
        <v>31</v>
      </c>
      <c r="T8109" t="s">
        <v>1789</v>
      </c>
      <c r="U8109">
        <v>372.47</v>
      </c>
      <c r="V8109" s="3">
        <v>42039</v>
      </c>
    </row>
    <row r="8110" spans="1:22" x14ac:dyDescent="0.35">
      <c r="A8110" s="1">
        <v>42266.120717592596</v>
      </c>
      <c r="B8110" s="2">
        <v>0</v>
      </c>
      <c r="C8110" t="s">
        <v>8208</v>
      </c>
      <c r="D8110" t="s">
        <v>23</v>
      </c>
      <c r="E8110" t="s">
        <v>24</v>
      </c>
      <c r="F8110" t="s">
        <v>1787</v>
      </c>
      <c r="G8110">
        <v>1815426</v>
      </c>
      <c r="H8110" t="s">
        <v>91</v>
      </c>
      <c r="I8110" t="s">
        <v>69</v>
      </c>
      <c r="J8110" t="str">
        <f>"9781462519781"</f>
        <v>9781462519781</v>
      </c>
      <c r="L8110">
        <v>0</v>
      </c>
      <c r="O8110" t="s">
        <v>30</v>
      </c>
      <c r="P8110" t="s">
        <v>50</v>
      </c>
      <c r="S8110" t="s">
        <v>31</v>
      </c>
      <c r="T8110" t="s">
        <v>1789</v>
      </c>
      <c r="U8110">
        <v>372.47</v>
      </c>
      <c r="V8110" s="3">
        <v>42039</v>
      </c>
    </row>
    <row r="8111" spans="1:22" x14ac:dyDescent="0.35">
      <c r="A8111" s="1">
        <v>42266.103449074071</v>
      </c>
      <c r="B8111" s="2">
        <v>2.6620370370370374E-3</v>
      </c>
      <c r="C8111" t="s">
        <v>9028</v>
      </c>
      <c r="D8111" t="s">
        <v>23</v>
      </c>
      <c r="E8111" t="s">
        <v>24</v>
      </c>
      <c r="F8111" t="s">
        <v>10606</v>
      </c>
      <c r="G8111">
        <v>2146552</v>
      </c>
      <c r="H8111" t="s">
        <v>26</v>
      </c>
      <c r="I8111" t="s">
        <v>10607</v>
      </c>
      <c r="J8111" t="str">
        <f>"9781119042174"</f>
        <v>9781119042174</v>
      </c>
      <c r="K8111" t="s">
        <v>11716</v>
      </c>
      <c r="L8111">
        <v>50</v>
      </c>
      <c r="O8111" t="s">
        <v>30</v>
      </c>
      <c r="P8111" t="s">
        <v>50</v>
      </c>
      <c r="S8111" t="s">
        <v>31</v>
      </c>
      <c r="T8111" t="s">
        <v>10608</v>
      </c>
      <c r="U8111">
        <v>4.1020938740000004</v>
      </c>
      <c r="V8111" s="3">
        <v>42226</v>
      </c>
    </row>
    <row r="8112" spans="1:22" x14ac:dyDescent="0.35">
      <c r="A8112" s="1">
        <v>42266.1016087963</v>
      </c>
      <c r="B8112" s="2">
        <v>0</v>
      </c>
      <c r="C8112" t="s">
        <v>9028</v>
      </c>
      <c r="D8112" t="s">
        <v>23</v>
      </c>
      <c r="E8112" t="s">
        <v>24</v>
      </c>
      <c r="F8112" t="s">
        <v>3640</v>
      </c>
      <c r="G8112">
        <v>1662670</v>
      </c>
      <c r="H8112" t="s">
        <v>26</v>
      </c>
      <c r="I8112" t="s">
        <v>3641</v>
      </c>
      <c r="J8112" t="str">
        <f>"9781118821251"</f>
        <v>9781118821251</v>
      </c>
      <c r="L8112">
        <v>0</v>
      </c>
      <c r="O8112" t="s">
        <v>28</v>
      </c>
      <c r="P8112" t="s">
        <v>29</v>
      </c>
      <c r="Q8112" s="1">
        <v>42266.1016087963</v>
      </c>
      <c r="R8112">
        <v>7</v>
      </c>
      <c r="S8112" t="s">
        <v>31</v>
      </c>
      <c r="T8112" t="s">
        <v>3642</v>
      </c>
      <c r="U8112" t="s">
        <v>3643</v>
      </c>
      <c r="V8112" s="3">
        <v>41724</v>
      </c>
    </row>
    <row r="8113" spans="1:22" x14ac:dyDescent="0.35">
      <c r="A8113" s="1">
        <v>42266.1016087963</v>
      </c>
      <c r="B8113" s="2">
        <v>0</v>
      </c>
      <c r="C8113" t="s">
        <v>9028</v>
      </c>
      <c r="D8113" t="s">
        <v>23</v>
      </c>
      <c r="E8113" t="s">
        <v>24</v>
      </c>
      <c r="F8113" t="s">
        <v>3640</v>
      </c>
      <c r="G8113">
        <v>1662670</v>
      </c>
      <c r="H8113" t="s">
        <v>26</v>
      </c>
      <c r="I8113" t="s">
        <v>3641</v>
      </c>
      <c r="J8113" t="str">
        <f>"9781118821251"</f>
        <v>9781118821251</v>
      </c>
      <c r="L8113">
        <v>0</v>
      </c>
      <c r="O8113" t="s">
        <v>30</v>
      </c>
      <c r="P8113" t="s">
        <v>29</v>
      </c>
      <c r="Q8113" s="1">
        <v>42266.1016087963</v>
      </c>
      <c r="R8113">
        <v>7</v>
      </c>
      <c r="S8113" t="s">
        <v>31</v>
      </c>
      <c r="T8113" t="s">
        <v>3642</v>
      </c>
      <c r="U8113" t="s">
        <v>3643</v>
      </c>
      <c r="V8113" s="3">
        <v>41724</v>
      </c>
    </row>
    <row r="8114" spans="1:22" x14ac:dyDescent="0.35">
      <c r="A8114" s="1">
        <v>42266.101284722223</v>
      </c>
      <c r="B8114" s="2">
        <v>3.2407407407407406E-4</v>
      </c>
      <c r="C8114" t="s">
        <v>9028</v>
      </c>
      <c r="D8114" t="s">
        <v>23</v>
      </c>
      <c r="E8114" t="s">
        <v>24</v>
      </c>
      <c r="F8114" t="s">
        <v>3640</v>
      </c>
      <c r="G8114">
        <v>1662670</v>
      </c>
      <c r="H8114" t="s">
        <v>26</v>
      </c>
      <c r="I8114" t="s">
        <v>3641</v>
      </c>
      <c r="J8114" t="str">
        <f>"9781118821251"</f>
        <v>9781118821251</v>
      </c>
      <c r="K8114" t="s">
        <v>33</v>
      </c>
      <c r="L8114">
        <v>3</v>
      </c>
      <c r="O8114" t="s">
        <v>30</v>
      </c>
      <c r="P8114" t="s">
        <v>42</v>
      </c>
      <c r="S8114" t="s">
        <v>31</v>
      </c>
      <c r="T8114" t="s">
        <v>3642</v>
      </c>
      <c r="U8114" t="s">
        <v>3643</v>
      </c>
      <c r="V8114" s="3">
        <v>41724</v>
      </c>
    </row>
    <row r="8115" spans="1:22" x14ac:dyDescent="0.35">
      <c r="A8115" s="1">
        <v>42266.048773148148</v>
      </c>
      <c r="B8115" s="2">
        <v>2.5925925925925925E-3</v>
      </c>
      <c r="C8115" t="s">
        <v>11469</v>
      </c>
      <c r="D8115" t="s">
        <v>23</v>
      </c>
      <c r="E8115" t="s">
        <v>24</v>
      </c>
      <c r="F8115" t="s">
        <v>3559</v>
      </c>
      <c r="G8115">
        <v>1217954</v>
      </c>
      <c r="H8115" t="s">
        <v>45</v>
      </c>
      <c r="I8115" t="s">
        <v>3560</v>
      </c>
      <c r="J8115" t="str">
        <f>"9781409457558"</f>
        <v>9781409457558</v>
      </c>
      <c r="K8115" t="s">
        <v>11717</v>
      </c>
      <c r="L8115">
        <v>73</v>
      </c>
      <c r="O8115" t="s">
        <v>30</v>
      </c>
      <c r="P8115" t="s">
        <v>29</v>
      </c>
      <c r="Q8115" s="1">
        <v>42265.174618055556</v>
      </c>
      <c r="R8115">
        <v>7</v>
      </c>
      <c r="S8115" t="s">
        <v>31</v>
      </c>
      <c r="T8115" t="s">
        <v>3562</v>
      </c>
      <c r="U8115" t="s">
        <v>3563</v>
      </c>
      <c r="V8115" s="3">
        <v>41575</v>
      </c>
    </row>
    <row r="8116" spans="1:22" x14ac:dyDescent="0.35">
      <c r="A8116" s="1">
        <v>42266.042164351849</v>
      </c>
      <c r="B8116" s="2">
        <v>6.5046296296296302E-3</v>
      </c>
      <c r="C8116" t="s">
        <v>4681</v>
      </c>
      <c r="D8116" t="s">
        <v>1222</v>
      </c>
      <c r="E8116" t="s">
        <v>1223</v>
      </c>
      <c r="F8116" t="s">
        <v>3263</v>
      </c>
      <c r="G8116">
        <v>1840835</v>
      </c>
      <c r="H8116" t="s">
        <v>26</v>
      </c>
      <c r="I8116" t="s">
        <v>108</v>
      </c>
      <c r="J8116" t="str">
        <f>"9781118950166"</f>
        <v>9781118950166</v>
      </c>
      <c r="K8116" t="s">
        <v>11718</v>
      </c>
      <c r="L8116">
        <v>16</v>
      </c>
      <c r="O8116" t="s">
        <v>30</v>
      </c>
      <c r="P8116" t="s">
        <v>29</v>
      </c>
      <c r="Q8116" s="1">
        <v>42265.764155092591</v>
      </c>
      <c r="R8116">
        <v>7</v>
      </c>
      <c r="S8116" t="s">
        <v>1226</v>
      </c>
      <c r="T8116" t="s">
        <v>3264</v>
      </c>
      <c r="U8116">
        <v>338.10923789999998</v>
      </c>
      <c r="V8116" s="3">
        <v>41953</v>
      </c>
    </row>
    <row r="8117" spans="1:22" x14ac:dyDescent="0.35">
      <c r="A8117" s="1">
        <v>42265.935636574075</v>
      </c>
      <c r="B8117" s="2">
        <v>0</v>
      </c>
      <c r="C8117" t="s">
        <v>11719</v>
      </c>
      <c r="D8117" t="s">
        <v>23</v>
      </c>
      <c r="E8117" t="s">
        <v>24</v>
      </c>
      <c r="F8117" t="s">
        <v>3186</v>
      </c>
      <c r="G8117">
        <v>699744</v>
      </c>
      <c r="H8117" t="s">
        <v>26</v>
      </c>
      <c r="I8117" t="s">
        <v>3187</v>
      </c>
      <c r="J8117" t="str">
        <f>"9781118585818"</f>
        <v>9781118585818</v>
      </c>
      <c r="L8117">
        <v>0</v>
      </c>
      <c r="O8117" t="s">
        <v>28</v>
      </c>
      <c r="P8117" t="s">
        <v>29</v>
      </c>
      <c r="Q8117" s="1">
        <v>42265.905462962961</v>
      </c>
      <c r="R8117">
        <v>7</v>
      </c>
      <c r="S8117" t="s">
        <v>31</v>
      </c>
      <c r="T8117" t="s">
        <v>3188</v>
      </c>
      <c r="U8117">
        <v>621.36</v>
      </c>
      <c r="V8117" s="3">
        <v>41310</v>
      </c>
    </row>
    <row r="8118" spans="1:22" x14ac:dyDescent="0.35">
      <c r="A8118" s="1">
        <v>42265.924166666664</v>
      </c>
      <c r="B8118" s="2">
        <v>0</v>
      </c>
      <c r="C8118" t="s">
        <v>11719</v>
      </c>
      <c r="D8118" t="s">
        <v>23</v>
      </c>
      <c r="E8118" t="s">
        <v>24</v>
      </c>
      <c r="F8118" t="s">
        <v>3186</v>
      </c>
      <c r="G8118">
        <v>699744</v>
      </c>
      <c r="H8118" t="s">
        <v>26</v>
      </c>
      <c r="I8118" t="s">
        <v>3187</v>
      </c>
      <c r="J8118" t="str">
        <f>"9781118585818"</f>
        <v>9781118585818</v>
      </c>
      <c r="L8118">
        <v>0</v>
      </c>
      <c r="O8118" t="s">
        <v>28</v>
      </c>
      <c r="P8118" t="s">
        <v>29</v>
      </c>
      <c r="Q8118" s="1">
        <v>42265.905462962961</v>
      </c>
      <c r="R8118">
        <v>7</v>
      </c>
      <c r="S8118" t="s">
        <v>31</v>
      </c>
      <c r="T8118" t="s">
        <v>3188</v>
      </c>
      <c r="U8118">
        <v>621.36</v>
      </c>
      <c r="V8118" s="3">
        <v>41310</v>
      </c>
    </row>
    <row r="8119" spans="1:22" x14ac:dyDescent="0.35">
      <c r="A8119" s="1">
        <v>42265.906180555554</v>
      </c>
      <c r="B8119" s="2">
        <v>1.7754629629629631E-2</v>
      </c>
      <c r="C8119" t="s">
        <v>11719</v>
      </c>
      <c r="D8119" t="s">
        <v>23</v>
      </c>
      <c r="E8119" t="s">
        <v>24</v>
      </c>
      <c r="F8119" t="s">
        <v>3186</v>
      </c>
      <c r="G8119">
        <v>699744</v>
      </c>
      <c r="H8119" t="s">
        <v>26</v>
      </c>
      <c r="I8119" t="s">
        <v>3187</v>
      </c>
      <c r="J8119" t="str">
        <f>"9781118585818"</f>
        <v>9781118585818</v>
      </c>
      <c r="K8119" t="s">
        <v>11720</v>
      </c>
      <c r="L8119">
        <v>85</v>
      </c>
      <c r="M8119" t="s">
        <v>11721</v>
      </c>
      <c r="O8119" t="s">
        <v>30</v>
      </c>
      <c r="P8119" t="s">
        <v>29</v>
      </c>
      <c r="Q8119" s="1">
        <v>42265.905462962961</v>
      </c>
      <c r="R8119">
        <v>7</v>
      </c>
      <c r="S8119" t="s">
        <v>31</v>
      </c>
      <c r="T8119" t="s">
        <v>3188</v>
      </c>
      <c r="U8119">
        <v>621.36</v>
      </c>
      <c r="V8119" s="3">
        <v>41310</v>
      </c>
    </row>
    <row r="8120" spans="1:22" x14ac:dyDescent="0.35">
      <c r="A8120" s="1">
        <v>42265.905462962961</v>
      </c>
      <c r="B8120" s="2">
        <v>5.2083333333333333E-4</v>
      </c>
      <c r="C8120" t="s">
        <v>11719</v>
      </c>
      <c r="D8120" t="s">
        <v>23</v>
      </c>
      <c r="E8120" t="s">
        <v>24</v>
      </c>
      <c r="F8120" t="s">
        <v>3186</v>
      </c>
      <c r="G8120">
        <v>699744</v>
      </c>
      <c r="H8120" t="s">
        <v>26</v>
      </c>
      <c r="I8120" t="s">
        <v>3187</v>
      </c>
      <c r="J8120" t="str">
        <f>"9781118585818"</f>
        <v>9781118585818</v>
      </c>
      <c r="K8120" t="s">
        <v>11722</v>
      </c>
      <c r="L8120">
        <v>3</v>
      </c>
      <c r="M8120" t="s">
        <v>2111</v>
      </c>
      <c r="O8120" t="s">
        <v>30</v>
      </c>
      <c r="P8120" t="s">
        <v>29</v>
      </c>
      <c r="Q8120" s="1">
        <v>42265.905462962961</v>
      </c>
      <c r="R8120">
        <v>7</v>
      </c>
      <c r="S8120" t="s">
        <v>31</v>
      </c>
      <c r="T8120" t="s">
        <v>3188</v>
      </c>
      <c r="U8120">
        <v>621.36</v>
      </c>
      <c r="V8120" s="3">
        <v>41310</v>
      </c>
    </row>
    <row r="8121" spans="1:22" x14ac:dyDescent="0.35">
      <c r="A8121" s="1">
        <v>42265.903761574074</v>
      </c>
      <c r="B8121" s="2">
        <v>1.7013888888888892E-3</v>
      </c>
      <c r="C8121" t="s">
        <v>11719</v>
      </c>
      <c r="D8121" t="s">
        <v>23</v>
      </c>
      <c r="E8121" t="s">
        <v>24</v>
      </c>
      <c r="F8121" t="s">
        <v>3186</v>
      </c>
      <c r="G8121">
        <v>699744</v>
      </c>
      <c r="H8121" t="s">
        <v>26</v>
      </c>
      <c r="I8121" t="s">
        <v>3187</v>
      </c>
      <c r="J8121" t="str">
        <f>"9781118585818"</f>
        <v>9781118585818</v>
      </c>
      <c r="K8121" t="s">
        <v>11723</v>
      </c>
      <c r="L8121">
        <v>15</v>
      </c>
      <c r="O8121" t="s">
        <v>30</v>
      </c>
      <c r="P8121" t="s">
        <v>42</v>
      </c>
      <c r="S8121" t="s">
        <v>31</v>
      </c>
      <c r="T8121" t="s">
        <v>3188</v>
      </c>
      <c r="U8121">
        <v>621.36</v>
      </c>
      <c r="V8121" s="3">
        <v>41310</v>
      </c>
    </row>
    <row r="8122" spans="1:22" x14ac:dyDescent="0.35">
      <c r="A8122" s="1">
        <v>42265.888518518521</v>
      </c>
      <c r="B8122" s="2">
        <v>4.4907407407407405E-3</v>
      </c>
      <c r="C8122" t="s">
        <v>10590</v>
      </c>
      <c r="D8122" t="s">
        <v>23</v>
      </c>
      <c r="E8122" t="s">
        <v>24</v>
      </c>
      <c r="F8122" t="s">
        <v>3060</v>
      </c>
      <c r="G8122">
        <v>1120279</v>
      </c>
      <c r="H8122" t="s">
        <v>26</v>
      </c>
      <c r="I8122" t="s">
        <v>3061</v>
      </c>
      <c r="J8122" t="str">
        <f>"9781118537671"</f>
        <v>9781118537671</v>
      </c>
      <c r="K8122" t="s">
        <v>11724</v>
      </c>
      <c r="L8122">
        <v>32</v>
      </c>
      <c r="O8122" t="s">
        <v>30</v>
      </c>
      <c r="P8122" t="s">
        <v>29</v>
      </c>
      <c r="Q8122" s="1">
        <v>42265.843414351853</v>
      </c>
      <c r="R8122">
        <v>7</v>
      </c>
      <c r="S8122" t="s">
        <v>31</v>
      </c>
      <c r="T8122" t="s">
        <v>3063</v>
      </c>
      <c r="U8122">
        <v>599.93499999999995</v>
      </c>
      <c r="V8122" s="3">
        <v>41232</v>
      </c>
    </row>
    <row r="8123" spans="1:22" x14ac:dyDescent="0.35">
      <c r="A8123" s="1">
        <v>42265.843414351853</v>
      </c>
      <c r="B8123" s="2">
        <v>4.3043981481481482E-2</v>
      </c>
      <c r="C8123" t="s">
        <v>10590</v>
      </c>
      <c r="D8123" t="s">
        <v>23</v>
      </c>
      <c r="E8123" t="s">
        <v>24</v>
      </c>
      <c r="F8123" t="s">
        <v>3060</v>
      </c>
      <c r="G8123">
        <v>1120279</v>
      </c>
      <c r="H8123" t="s">
        <v>26</v>
      </c>
      <c r="I8123" t="s">
        <v>3061</v>
      </c>
      <c r="J8123" t="str">
        <f>"9781118537671"</f>
        <v>9781118537671</v>
      </c>
      <c r="K8123" t="s">
        <v>11725</v>
      </c>
      <c r="L8123">
        <v>4</v>
      </c>
      <c r="O8123" t="s">
        <v>30</v>
      </c>
      <c r="P8123" t="s">
        <v>29</v>
      </c>
      <c r="Q8123" s="1">
        <v>42265.843414351853</v>
      </c>
      <c r="R8123">
        <v>7</v>
      </c>
      <c r="S8123" t="s">
        <v>31</v>
      </c>
      <c r="T8123" t="s">
        <v>3063</v>
      </c>
      <c r="U8123">
        <v>599.93499999999995</v>
      </c>
      <c r="V8123" s="3">
        <v>41232</v>
      </c>
    </row>
    <row r="8124" spans="1:22" x14ac:dyDescent="0.35">
      <c r="A8124" s="1">
        <v>42265.83865740741</v>
      </c>
      <c r="B8124" s="2">
        <v>4.7569444444444447E-3</v>
      </c>
      <c r="C8124" t="s">
        <v>10590</v>
      </c>
      <c r="D8124" t="s">
        <v>23</v>
      </c>
      <c r="E8124" t="s">
        <v>24</v>
      </c>
      <c r="F8124" t="s">
        <v>3060</v>
      </c>
      <c r="G8124">
        <v>1120279</v>
      </c>
      <c r="H8124" t="s">
        <v>26</v>
      </c>
      <c r="I8124" t="s">
        <v>3061</v>
      </c>
      <c r="J8124" t="str">
        <f>"9781118537671"</f>
        <v>9781118537671</v>
      </c>
      <c r="K8124" t="s">
        <v>1520</v>
      </c>
      <c r="L8124">
        <v>20</v>
      </c>
      <c r="O8124" t="s">
        <v>30</v>
      </c>
      <c r="P8124" t="s">
        <v>42</v>
      </c>
      <c r="S8124" t="s">
        <v>31</v>
      </c>
      <c r="T8124" t="s">
        <v>3063</v>
      </c>
      <c r="U8124">
        <v>599.93499999999995</v>
      </c>
      <c r="V8124" s="3">
        <v>41232</v>
      </c>
    </row>
    <row r="8125" spans="1:22" x14ac:dyDescent="0.35">
      <c r="A8125" s="1">
        <v>42265.810543981483</v>
      </c>
      <c r="B8125" s="2">
        <v>0</v>
      </c>
      <c r="C8125" t="s">
        <v>11157</v>
      </c>
      <c r="D8125" t="s">
        <v>360</v>
      </c>
      <c r="E8125" t="s">
        <v>361</v>
      </c>
      <c r="F8125" t="s">
        <v>11726</v>
      </c>
      <c r="G8125">
        <v>1162068</v>
      </c>
      <c r="H8125" t="s">
        <v>26</v>
      </c>
      <c r="I8125" t="s">
        <v>348</v>
      </c>
      <c r="J8125" t="str">
        <f>"9781118561607"</f>
        <v>9781118561607</v>
      </c>
      <c r="L8125">
        <v>0</v>
      </c>
      <c r="O8125" t="s">
        <v>28</v>
      </c>
      <c r="P8125" t="s">
        <v>29</v>
      </c>
      <c r="Q8125" s="1">
        <v>42265.810543981483</v>
      </c>
      <c r="R8125">
        <v>7</v>
      </c>
      <c r="S8125" t="s">
        <v>363</v>
      </c>
      <c r="T8125" t="s">
        <v>11727</v>
      </c>
      <c r="U8125" t="s">
        <v>11728</v>
      </c>
      <c r="V8125" s="3">
        <v>41393</v>
      </c>
    </row>
    <row r="8126" spans="1:22" x14ac:dyDescent="0.35">
      <c r="A8126" s="1">
        <v>42265.810543981483</v>
      </c>
      <c r="B8126" s="2">
        <v>0</v>
      </c>
      <c r="C8126" t="s">
        <v>11157</v>
      </c>
      <c r="D8126" t="s">
        <v>360</v>
      </c>
      <c r="E8126" t="s">
        <v>361</v>
      </c>
      <c r="F8126" t="s">
        <v>11726</v>
      </c>
      <c r="G8126">
        <v>1162068</v>
      </c>
      <c r="H8126" t="s">
        <v>26</v>
      </c>
      <c r="I8126" t="s">
        <v>348</v>
      </c>
      <c r="J8126" t="str">
        <f>"9781118561607"</f>
        <v>9781118561607</v>
      </c>
      <c r="L8126">
        <v>0</v>
      </c>
      <c r="O8126" t="s">
        <v>30</v>
      </c>
      <c r="P8126" t="s">
        <v>29</v>
      </c>
      <c r="Q8126" s="1">
        <v>42265.810543981483</v>
      </c>
      <c r="R8126">
        <v>7</v>
      </c>
      <c r="S8126" t="s">
        <v>363</v>
      </c>
      <c r="T8126" t="s">
        <v>11727</v>
      </c>
      <c r="U8126" t="s">
        <v>11728</v>
      </c>
      <c r="V8126" s="3">
        <v>41393</v>
      </c>
    </row>
    <row r="8127" spans="1:22" x14ac:dyDescent="0.35">
      <c r="A8127" s="1">
        <v>42265.810231481482</v>
      </c>
      <c r="B8127" s="2">
        <v>3.0092592592592595E-4</v>
      </c>
      <c r="C8127" t="s">
        <v>11157</v>
      </c>
      <c r="D8127" t="s">
        <v>360</v>
      </c>
      <c r="E8127" t="s">
        <v>361</v>
      </c>
      <c r="F8127" t="s">
        <v>11726</v>
      </c>
      <c r="G8127">
        <v>1162068</v>
      </c>
      <c r="H8127" t="s">
        <v>26</v>
      </c>
      <c r="I8127" t="s">
        <v>348</v>
      </c>
      <c r="J8127" t="str">
        <f>"9781118561607"</f>
        <v>9781118561607</v>
      </c>
      <c r="K8127" t="s">
        <v>33</v>
      </c>
      <c r="L8127">
        <v>3</v>
      </c>
      <c r="O8127" t="s">
        <v>30</v>
      </c>
      <c r="P8127" t="s">
        <v>50</v>
      </c>
      <c r="S8127" t="s">
        <v>363</v>
      </c>
      <c r="T8127" t="s">
        <v>11727</v>
      </c>
      <c r="U8127" t="s">
        <v>11728</v>
      </c>
      <c r="V8127" s="3">
        <v>41393</v>
      </c>
    </row>
    <row r="8128" spans="1:22" x14ac:dyDescent="0.35">
      <c r="A8128" s="1">
        <v>42265.809282407405</v>
      </c>
      <c r="B8128" s="2">
        <v>0</v>
      </c>
      <c r="C8128" t="s">
        <v>11157</v>
      </c>
      <c r="D8128" t="s">
        <v>360</v>
      </c>
      <c r="E8128" t="s">
        <v>361</v>
      </c>
      <c r="F8128" t="s">
        <v>11729</v>
      </c>
      <c r="G8128">
        <v>1564107</v>
      </c>
      <c r="H8128" t="s">
        <v>26</v>
      </c>
      <c r="I8128" t="s">
        <v>348</v>
      </c>
      <c r="J8128" t="str">
        <f>"9781118624746"</f>
        <v>9781118624746</v>
      </c>
      <c r="L8128">
        <v>0</v>
      </c>
      <c r="O8128" t="s">
        <v>28</v>
      </c>
      <c r="P8128" t="s">
        <v>47</v>
      </c>
      <c r="Q8128" s="1">
        <v>42265.809282407405</v>
      </c>
      <c r="R8128">
        <v>1</v>
      </c>
      <c r="S8128" t="s">
        <v>363</v>
      </c>
      <c r="T8128" t="s">
        <v>11730</v>
      </c>
      <c r="U8128">
        <v>327.101</v>
      </c>
      <c r="V8128" s="3">
        <v>41592</v>
      </c>
    </row>
    <row r="8129" spans="1:22" x14ac:dyDescent="0.35">
      <c r="A8129" s="1">
        <v>42265.809282407405</v>
      </c>
      <c r="B8129" s="2">
        <v>0</v>
      </c>
      <c r="C8129" t="s">
        <v>11157</v>
      </c>
      <c r="D8129" t="s">
        <v>360</v>
      </c>
      <c r="E8129" t="s">
        <v>361</v>
      </c>
      <c r="F8129" t="s">
        <v>11729</v>
      </c>
      <c r="G8129">
        <v>1564107</v>
      </c>
      <c r="H8129" t="s">
        <v>26</v>
      </c>
      <c r="I8129" t="s">
        <v>348</v>
      </c>
      <c r="J8129" t="str">
        <f>"9781118624746"</f>
        <v>9781118624746</v>
      </c>
      <c r="L8129">
        <v>0</v>
      </c>
      <c r="O8129" t="s">
        <v>30</v>
      </c>
      <c r="P8129" t="s">
        <v>47</v>
      </c>
      <c r="Q8129" s="1">
        <v>42265.809282407405</v>
      </c>
      <c r="R8129">
        <v>1</v>
      </c>
      <c r="S8129" t="s">
        <v>363</v>
      </c>
      <c r="T8129" t="s">
        <v>11730</v>
      </c>
      <c r="U8129">
        <v>327.101</v>
      </c>
      <c r="V8129" s="3">
        <v>41592</v>
      </c>
    </row>
    <row r="8130" spans="1:22" x14ac:dyDescent="0.35">
      <c r="A8130" s="1">
        <v>42265.808634259258</v>
      </c>
      <c r="B8130" s="2">
        <v>6.4814814814814813E-4</v>
      </c>
      <c r="C8130" t="s">
        <v>11157</v>
      </c>
      <c r="D8130" t="s">
        <v>360</v>
      </c>
      <c r="E8130" t="s">
        <v>361</v>
      </c>
      <c r="F8130" t="s">
        <v>11729</v>
      </c>
      <c r="G8130">
        <v>1564107</v>
      </c>
      <c r="H8130" t="s">
        <v>26</v>
      </c>
      <c r="I8130" t="s">
        <v>348</v>
      </c>
      <c r="J8130" t="str">
        <f>"9781118624746"</f>
        <v>9781118624746</v>
      </c>
      <c r="K8130" t="s">
        <v>1278</v>
      </c>
      <c r="L8130">
        <v>3</v>
      </c>
      <c r="O8130" t="s">
        <v>30</v>
      </c>
      <c r="P8130" t="s">
        <v>50</v>
      </c>
      <c r="S8130" t="s">
        <v>363</v>
      </c>
      <c r="T8130" t="s">
        <v>11730</v>
      </c>
      <c r="U8130">
        <v>327.101</v>
      </c>
      <c r="V8130" s="3">
        <v>41592</v>
      </c>
    </row>
    <row r="8131" spans="1:22" x14ac:dyDescent="0.35">
      <c r="A8131" s="1">
        <v>42265.804791666669</v>
      </c>
      <c r="B8131" s="2">
        <v>4.6759259259259263E-3</v>
      </c>
      <c r="C8131" t="s">
        <v>10590</v>
      </c>
      <c r="D8131" t="s">
        <v>23</v>
      </c>
      <c r="E8131" t="s">
        <v>24</v>
      </c>
      <c r="F8131" t="s">
        <v>3060</v>
      </c>
      <c r="G8131">
        <v>1120279</v>
      </c>
      <c r="H8131" t="s">
        <v>26</v>
      </c>
      <c r="I8131" t="s">
        <v>3061</v>
      </c>
      <c r="J8131" t="str">
        <f>"9781118537671"</f>
        <v>9781118537671</v>
      </c>
      <c r="K8131" t="s">
        <v>1606</v>
      </c>
      <c r="L8131">
        <v>34</v>
      </c>
      <c r="O8131" t="s">
        <v>30</v>
      </c>
      <c r="P8131" t="s">
        <v>42</v>
      </c>
      <c r="S8131" t="s">
        <v>31</v>
      </c>
      <c r="T8131" t="s">
        <v>3063</v>
      </c>
      <c r="U8131">
        <v>599.93499999999995</v>
      </c>
      <c r="V8131" s="3">
        <v>41232</v>
      </c>
    </row>
    <row r="8132" spans="1:22" x14ac:dyDescent="0.35">
      <c r="A8132" s="1">
        <v>42265.8046875</v>
      </c>
      <c r="B8132" s="2">
        <v>0</v>
      </c>
      <c r="C8132" t="s">
        <v>11157</v>
      </c>
      <c r="D8132" t="s">
        <v>360</v>
      </c>
      <c r="E8132" t="s">
        <v>361</v>
      </c>
      <c r="F8132" t="s">
        <v>11731</v>
      </c>
      <c r="G8132">
        <v>1651183</v>
      </c>
      <c r="H8132" t="s">
        <v>26</v>
      </c>
      <c r="I8132" t="s">
        <v>5789</v>
      </c>
      <c r="J8132" t="str">
        <f>"9780745680064"</f>
        <v>9780745680064</v>
      </c>
      <c r="L8132">
        <v>0</v>
      </c>
      <c r="O8132" t="s">
        <v>28</v>
      </c>
      <c r="P8132" t="s">
        <v>47</v>
      </c>
      <c r="Q8132" s="1">
        <v>42265.8046875</v>
      </c>
      <c r="R8132">
        <v>1</v>
      </c>
      <c r="S8132" t="s">
        <v>363</v>
      </c>
      <c r="T8132" t="s">
        <v>11732</v>
      </c>
      <c r="U8132">
        <v>172.2</v>
      </c>
      <c r="V8132" s="3">
        <v>41709</v>
      </c>
    </row>
    <row r="8133" spans="1:22" x14ac:dyDescent="0.35">
      <c r="A8133" s="1">
        <v>42265.8046875</v>
      </c>
      <c r="B8133" s="2">
        <v>0</v>
      </c>
      <c r="C8133" t="s">
        <v>11157</v>
      </c>
      <c r="D8133" t="s">
        <v>360</v>
      </c>
      <c r="E8133" t="s">
        <v>361</v>
      </c>
      <c r="F8133" t="s">
        <v>11731</v>
      </c>
      <c r="G8133">
        <v>1651183</v>
      </c>
      <c r="H8133" t="s">
        <v>26</v>
      </c>
      <c r="I8133" t="s">
        <v>5789</v>
      </c>
      <c r="J8133" t="str">
        <f>"9780745680064"</f>
        <v>9780745680064</v>
      </c>
      <c r="L8133">
        <v>0</v>
      </c>
      <c r="O8133" t="s">
        <v>30</v>
      </c>
      <c r="P8133" t="s">
        <v>47</v>
      </c>
      <c r="Q8133" s="1">
        <v>42265.8046875</v>
      </c>
      <c r="R8133">
        <v>1</v>
      </c>
      <c r="S8133" t="s">
        <v>363</v>
      </c>
      <c r="T8133" t="s">
        <v>11732</v>
      </c>
      <c r="U8133">
        <v>172.2</v>
      </c>
      <c r="V8133" s="3">
        <v>41709</v>
      </c>
    </row>
    <row r="8134" spans="1:22" x14ac:dyDescent="0.35">
      <c r="A8134" s="1">
        <v>42265.803946759261</v>
      </c>
      <c r="B8134" s="2">
        <v>7.407407407407407E-4</v>
      </c>
      <c r="C8134" t="s">
        <v>11157</v>
      </c>
      <c r="D8134" t="s">
        <v>360</v>
      </c>
      <c r="E8134" t="s">
        <v>361</v>
      </c>
      <c r="F8134" t="s">
        <v>11731</v>
      </c>
      <c r="G8134">
        <v>1651183</v>
      </c>
      <c r="H8134" t="s">
        <v>26</v>
      </c>
      <c r="I8134" t="s">
        <v>5789</v>
      </c>
      <c r="J8134" t="str">
        <f>"9780745680064"</f>
        <v>9780745680064</v>
      </c>
      <c r="K8134" t="s">
        <v>3050</v>
      </c>
      <c r="L8134">
        <v>3</v>
      </c>
      <c r="O8134" t="s">
        <v>30</v>
      </c>
      <c r="P8134" t="s">
        <v>50</v>
      </c>
      <c r="S8134" t="s">
        <v>363</v>
      </c>
      <c r="T8134" t="s">
        <v>11732</v>
      </c>
      <c r="U8134">
        <v>172.2</v>
      </c>
      <c r="V8134" s="3">
        <v>41709</v>
      </c>
    </row>
    <row r="8135" spans="1:22" x14ac:dyDescent="0.35">
      <c r="A8135" s="1">
        <v>42265.800543981481</v>
      </c>
      <c r="B8135" s="2">
        <v>3.4722222222222222E-5</v>
      </c>
      <c r="C8135" t="s">
        <v>11733</v>
      </c>
      <c r="D8135" t="s">
        <v>23</v>
      </c>
      <c r="E8135" t="s">
        <v>24</v>
      </c>
      <c r="F8135" t="s">
        <v>3060</v>
      </c>
      <c r="G8135">
        <v>1120279</v>
      </c>
      <c r="H8135" t="s">
        <v>26</v>
      </c>
      <c r="I8135" t="s">
        <v>3061</v>
      </c>
      <c r="J8135" t="str">
        <f>"9781118537671"</f>
        <v>9781118537671</v>
      </c>
      <c r="K8135" t="s">
        <v>33</v>
      </c>
      <c r="L8135">
        <v>3</v>
      </c>
      <c r="O8135" t="s">
        <v>30</v>
      </c>
      <c r="P8135" t="s">
        <v>42</v>
      </c>
      <c r="S8135" t="s">
        <v>31</v>
      </c>
      <c r="T8135" t="s">
        <v>3063</v>
      </c>
      <c r="U8135">
        <v>599.93499999999995</v>
      </c>
      <c r="V8135" s="3">
        <v>41232</v>
      </c>
    </row>
    <row r="8136" spans="1:22" x14ac:dyDescent="0.35">
      <c r="A8136" s="1">
        <v>42265.797962962963</v>
      </c>
      <c r="B8136" s="2">
        <v>0</v>
      </c>
      <c r="C8136" t="s">
        <v>11157</v>
      </c>
      <c r="D8136" t="s">
        <v>360</v>
      </c>
      <c r="E8136" t="s">
        <v>361</v>
      </c>
      <c r="F8136" t="s">
        <v>11734</v>
      </c>
      <c r="G8136">
        <v>1656355</v>
      </c>
      <c r="H8136" t="s">
        <v>26</v>
      </c>
      <c r="I8136" t="s">
        <v>85</v>
      </c>
      <c r="J8136" t="str">
        <f>"9780745681467"</f>
        <v>9780745681467</v>
      </c>
      <c r="L8136">
        <v>0</v>
      </c>
      <c r="O8136" t="s">
        <v>28</v>
      </c>
      <c r="P8136" t="s">
        <v>47</v>
      </c>
      <c r="Q8136" s="1">
        <v>42265.797962962963</v>
      </c>
      <c r="R8136">
        <v>1</v>
      </c>
      <c r="S8136" t="s">
        <v>363</v>
      </c>
      <c r="T8136" t="s">
        <v>11735</v>
      </c>
      <c r="U8136">
        <v>304.82089999999999</v>
      </c>
      <c r="V8136" s="3">
        <v>41716</v>
      </c>
    </row>
    <row r="8137" spans="1:22" x14ac:dyDescent="0.35">
      <c r="A8137" s="1">
        <v>42265.797962962963</v>
      </c>
      <c r="B8137" s="2">
        <v>0</v>
      </c>
      <c r="C8137" t="s">
        <v>11157</v>
      </c>
      <c r="D8137" t="s">
        <v>360</v>
      </c>
      <c r="E8137" t="s">
        <v>361</v>
      </c>
      <c r="F8137" t="s">
        <v>11734</v>
      </c>
      <c r="G8137">
        <v>1656355</v>
      </c>
      <c r="H8137" t="s">
        <v>26</v>
      </c>
      <c r="I8137" t="s">
        <v>85</v>
      </c>
      <c r="J8137" t="str">
        <f>"9780745681467"</f>
        <v>9780745681467</v>
      </c>
      <c r="L8137">
        <v>0</v>
      </c>
      <c r="O8137" t="s">
        <v>30</v>
      </c>
      <c r="P8137" t="s">
        <v>47</v>
      </c>
      <c r="Q8137" s="1">
        <v>42265.797962962963</v>
      </c>
      <c r="R8137">
        <v>1</v>
      </c>
      <c r="S8137" t="s">
        <v>363</v>
      </c>
      <c r="T8137" t="s">
        <v>11735</v>
      </c>
      <c r="U8137">
        <v>304.82089999999999</v>
      </c>
      <c r="V8137" s="3">
        <v>41716</v>
      </c>
    </row>
    <row r="8138" spans="1:22" x14ac:dyDescent="0.35">
      <c r="A8138" s="1">
        <v>42265.7971412037</v>
      </c>
      <c r="B8138" s="2">
        <v>8.2175925925925917E-4</v>
      </c>
      <c r="C8138" t="s">
        <v>11157</v>
      </c>
      <c r="D8138" t="s">
        <v>360</v>
      </c>
      <c r="E8138" t="s">
        <v>361</v>
      </c>
      <c r="F8138" t="s">
        <v>11734</v>
      </c>
      <c r="G8138">
        <v>1656355</v>
      </c>
      <c r="H8138" t="s">
        <v>26</v>
      </c>
      <c r="I8138" t="s">
        <v>85</v>
      </c>
      <c r="J8138" t="str">
        <f>"9780745681467"</f>
        <v>9780745681467</v>
      </c>
      <c r="K8138" t="s">
        <v>4181</v>
      </c>
      <c r="L8138">
        <v>4</v>
      </c>
      <c r="O8138" t="s">
        <v>30</v>
      </c>
      <c r="P8138" t="s">
        <v>50</v>
      </c>
      <c r="S8138" t="s">
        <v>363</v>
      </c>
      <c r="T8138" t="s">
        <v>11735</v>
      </c>
      <c r="U8138">
        <v>304.82089999999999</v>
      </c>
      <c r="V8138" s="3">
        <v>41716</v>
      </c>
    </row>
    <row r="8139" spans="1:22" x14ac:dyDescent="0.35">
      <c r="A8139" s="1">
        <v>42265.795567129629</v>
      </c>
      <c r="B8139" s="2">
        <v>0</v>
      </c>
      <c r="C8139" t="s">
        <v>11157</v>
      </c>
      <c r="D8139" t="s">
        <v>360</v>
      </c>
      <c r="E8139" t="s">
        <v>361</v>
      </c>
      <c r="F8139" t="s">
        <v>11736</v>
      </c>
      <c r="G8139">
        <v>1729062</v>
      </c>
      <c r="H8139" t="s">
        <v>26</v>
      </c>
      <c r="I8139" t="s">
        <v>348</v>
      </c>
      <c r="J8139" t="str">
        <f>"9780745685366"</f>
        <v>9780745685366</v>
      </c>
      <c r="L8139">
        <v>0</v>
      </c>
      <c r="O8139" t="s">
        <v>28</v>
      </c>
      <c r="P8139" t="s">
        <v>47</v>
      </c>
      <c r="Q8139" s="1">
        <v>42265.795567129629</v>
      </c>
      <c r="R8139">
        <v>1</v>
      </c>
      <c r="S8139" t="s">
        <v>363</v>
      </c>
      <c r="T8139" t="s">
        <v>11737</v>
      </c>
      <c r="U8139">
        <v>327</v>
      </c>
      <c r="V8139" s="3">
        <v>41822</v>
      </c>
    </row>
    <row r="8140" spans="1:22" x14ac:dyDescent="0.35">
      <c r="A8140" s="1">
        <v>42265.795567129629</v>
      </c>
      <c r="B8140" s="2">
        <v>0</v>
      </c>
      <c r="C8140" t="s">
        <v>11157</v>
      </c>
      <c r="D8140" t="s">
        <v>360</v>
      </c>
      <c r="E8140" t="s">
        <v>361</v>
      </c>
      <c r="F8140" t="s">
        <v>11736</v>
      </c>
      <c r="G8140">
        <v>1729062</v>
      </c>
      <c r="H8140" t="s">
        <v>26</v>
      </c>
      <c r="I8140" t="s">
        <v>348</v>
      </c>
      <c r="J8140" t="str">
        <f>"9780745685366"</f>
        <v>9780745685366</v>
      </c>
      <c r="L8140">
        <v>0</v>
      </c>
      <c r="O8140" t="s">
        <v>30</v>
      </c>
      <c r="P8140" t="s">
        <v>47</v>
      </c>
      <c r="Q8140" s="1">
        <v>42265.795567129629</v>
      </c>
      <c r="R8140">
        <v>1</v>
      </c>
      <c r="S8140" t="s">
        <v>363</v>
      </c>
      <c r="T8140" t="s">
        <v>11737</v>
      </c>
      <c r="U8140">
        <v>327</v>
      </c>
      <c r="V8140" s="3">
        <v>41822</v>
      </c>
    </row>
    <row r="8141" spans="1:22" x14ac:dyDescent="0.35">
      <c r="A8141" s="1">
        <v>42265.795405092591</v>
      </c>
      <c r="B8141" s="2">
        <v>1.6203703703703703E-4</v>
      </c>
      <c r="C8141" t="s">
        <v>11157</v>
      </c>
      <c r="D8141" t="s">
        <v>360</v>
      </c>
      <c r="E8141" t="s">
        <v>361</v>
      </c>
      <c r="F8141" t="s">
        <v>11736</v>
      </c>
      <c r="G8141">
        <v>1729062</v>
      </c>
      <c r="H8141" t="s">
        <v>26</v>
      </c>
      <c r="I8141" t="s">
        <v>348</v>
      </c>
      <c r="J8141" t="str">
        <f>"9780745685366"</f>
        <v>9780745685366</v>
      </c>
      <c r="K8141" t="s">
        <v>33</v>
      </c>
      <c r="L8141">
        <v>3</v>
      </c>
      <c r="O8141" t="s">
        <v>30</v>
      </c>
      <c r="P8141" t="s">
        <v>50</v>
      </c>
      <c r="S8141" t="s">
        <v>363</v>
      </c>
      <c r="T8141" t="s">
        <v>11737</v>
      </c>
      <c r="U8141">
        <v>327</v>
      </c>
      <c r="V8141" s="3">
        <v>41822</v>
      </c>
    </row>
    <row r="8142" spans="1:22" x14ac:dyDescent="0.35">
      <c r="A8142" s="1">
        <v>42265.793229166666</v>
      </c>
      <c r="B8142" s="2">
        <v>0</v>
      </c>
      <c r="C8142" t="s">
        <v>11157</v>
      </c>
      <c r="D8142" t="s">
        <v>360</v>
      </c>
      <c r="E8142" t="s">
        <v>361</v>
      </c>
      <c r="F8142" t="s">
        <v>11738</v>
      </c>
      <c r="G8142">
        <v>2004767</v>
      </c>
      <c r="H8142" t="s">
        <v>45</v>
      </c>
      <c r="I8142" t="s">
        <v>578</v>
      </c>
      <c r="J8142" t="str">
        <f>"9781472430342"</f>
        <v>9781472430342</v>
      </c>
      <c r="L8142">
        <v>0</v>
      </c>
      <c r="O8142" t="s">
        <v>28</v>
      </c>
      <c r="P8142" t="s">
        <v>47</v>
      </c>
      <c r="Q8142" s="1">
        <v>42265.793229166666</v>
      </c>
      <c r="R8142">
        <v>1</v>
      </c>
      <c r="S8142" t="s">
        <v>363</v>
      </c>
      <c r="T8142" t="s">
        <v>11739</v>
      </c>
      <c r="U8142" t="s">
        <v>11740</v>
      </c>
      <c r="V8142" s="3">
        <v>42122</v>
      </c>
    </row>
    <row r="8143" spans="1:22" x14ac:dyDescent="0.35">
      <c r="A8143" s="1">
        <v>42265.793229166666</v>
      </c>
      <c r="B8143" s="2">
        <v>0</v>
      </c>
      <c r="C8143" t="s">
        <v>11157</v>
      </c>
      <c r="D8143" t="s">
        <v>360</v>
      </c>
      <c r="E8143" t="s">
        <v>361</v>
      </c>
      <c r="F8143" t="s">
        <v>11738</v>
      </c>
      <c r="G8143">
        <v>2004767</v>
      </c>
      <c r="H8143" t="s">
        <v>45</v>
      </c>
      <c r="I8143" t="s">
        <v>578</v>
      </c>
      <c r="J8143" t="str">
        <f>"9781472430342"</f>
        <v>9781472430342</v>
      </c>
      <c r="L8143">
        <v>0</v>
      </c>
      <c r="O8143" t="s">
        <v>30</v>
      </c>
      <c r="P8143" t="s">
        <v>47</v>
      </c>
      <c r="Q8143" s="1">
        <v>42265.793229166666</v>
      </c>
      <c r="R8143">
        <v>1</v>
      </c>
      <c r="S8143" t="s">
        <v>363</v>
      </c>
      <c r="T8143" t="s">
        <v>11739</v>
      </c>
      <c r="U8143" t="s">
        <v>11740</v>
      </c>
      <c r="V8143" s="3">
        <v>42122</v>
      </c>
    </row>
    <row r="8144" spans="1:22" x14ac:dyDescent="0.35">
      <c r="A8144" s="1">
        <v>42265.792233796295</v>
      </c>
      <c r="B8144" s="2">
        <v>9.9537037037037042E-4</v>
      </c>
      <c r="C8144" t="s">
        <v>11157</v>
      </c>
      <c r="D8144" t="s">
        <v>360</v>
      </c>
      <c r="E8144" t="s">
        <v>361</v>
      </c>
      <c r="F8144" t="s">
        <v>11738</v>
      </c>
      <c r="G8144">
        <v>2004767</v>
      </c>
      <c r="H8144" t="s">
        <v>45</v>
      </c>
      <c r="I8144" t="s">
        <v>578</v>
      </c>
      <c r="J8144" t="str">
        <f>"9781472430342"</f>
        <v>9781472430342</v>
      </c>
      <c r="K8144" t="s">
        <v>33</v>
      </c>
      <c r="L8144">
        <v>3</v>
      </c>
      <c r="O8144" t="s">
        <v>30</v>
      </c>
      <c r="P8144" t="s">
        <v>50</v>
      </c>
      <c r="S8144" t="s">
        <v>363</v>
      </c>
      <c r="T8144" t="s">
        <v>11739</v>
      </c>
      <c r="U8144" t="s">
        <v>11740</v>
      </c>
      <c r="V8144" s="3">
        <v>42122</v>
      </c>
    </row>
    <row r="8145" spans="1:22" x14ac:dyDescent="0.35">
      <c r="A8145" s="1">
        <v>42265.782893518517</v>
      </c>
      <c r="B8145" s="2">
        <v>0</v>
      </c>
      <c r="C8145" t="s">
        <v>11157</v>
      </c>
      <c r="D8145" t="s">
        <v>360</v>
      </c>
      <c r="E8145" t="s">
        <v>361</v>
      </c>
      <c r="F8145" t="s">
        <v>11741</v>
      </c>
      <c r="G8145">
        <v>1645633</v>
      </c>
      <c r="H8145" t="s">
        <v>26</v>
      </c>
      <c r="I8145" t="s">
        <v>382</v>
      </c>
      <c r="J8145" t="str">
        <f>"9780745683683"</f>
        <v>9780745683683</v>
      </c>
      <c r="L8145">
        <v>0</v>
      </c>
      <c r="O8145" t="s">
        <v>28</v>
      </c>
      <c r="P8145" t="s">
        <v>47</v>
      </c>
      <c r="Q8145" s="1">
        <v>42265.782893518517</v>
      </c>
      <c r="R8145">
        <v>1</v>
      </c>
      <c r="S8145" t="s">
        <v>363</v>
      </c>
      <c r="T8145" t="s">
        <v>11742</v>
      </c>
      <c r="U8145">
        <v>909.5</v>
      </c>
      <c r="V8145" s="3">
        <v>41698</v>
      </c>
    </row>
    <row r="8146" spans="1:22" x14ac:dyDescent="0.35">
      <c r="A8146" s="1">
        <v>42265.782893518517</v>
      </c>
      <c r="B8146" s="2">
        <v>0</v>
      </c>
      <c r="C8146" t="s">
        <v>11157</v>
      </c>
      <c r="D8146" t="s">
        <v>360</v>
      </c>
      <c r="E8146" t="s">
        <v>361</v>
      </c>
      <c r="F8146" t="s">
        <v>11741</v>
      </c>
      <c r="G8146">
        <v>1645633</v>
      </c>
      <c r="H8146" t="s">
        <v>26</v>
      </c>
      <c r="I8146" t="s">
        <v>382</v>
      </c>
      <c r="J8146" t="str">
        <f>"9780745683683"</f>
        <v>9780745683683</v>
      </c>
      <c r="L8146">
        <v>0</v>
      </c>
      <c r="O8146" t="s">
        <v>30</v>
      </c>
      <c r="P8146" t="s">
        <v>47</v>
      </c>
      <c r="Q8146" s="1">
        <v>42265.782893518517</v>
      </c>
      <c r="R8146">
        <v>1</v>
      </c>
      <c r="S8146" t="s">
        <v>363</v>
      </c>
      <c r="T8146" t="s">
        <v>11742</v>
      </c>
      <c r="U8146">
        <v>909.5</v>
      </c>
      <c r="V8146" s="3">
        <v>41698</v>
      </c>
    </row>
    <row r="8147" spans="1:22" x14ac:dyDescent="0.35">
      <c r="A8147" s="1">
        <v>42265.780590277776</v>
      </c>
      <c r="B8147" s="2">
        <v>2.3032407407407407E-3</v>
      </c>
      <c r="C8147" t="s">
        <v>11157</v>
      </c>
      <c r="D8147" t="s">
        <v>360</v>
      </c>
      <c r="E8147" t="s">
        <v>361</v>
      </c>
      <c r="F8147" t="s">
        <v>11741</v>
      </c>
      <c r="G8147">
        <v>1645633</v>
      </c>
      <c r="H8147" t="s">
        <v>26</v>
      </c>
      <c r="I8147" t="s">
        <v>382</v>
      </c>
      <c r="J8147" t="str">
        <f>"9780745683683"</f>
        <v>9780745683683</v>
      </c>
      <c r="K8147" t="s">
        <v>11327</v>
      </c>
      <c r="L8147">
        <v>5</v>
      </c>
      <c r="O8147" t="s">
        <v>30</v>
      </c>
      <c r="P8147" t="s">
        <v>50</v>
      </c>
      <c r="S8147" t="s">
        <v>363</v>
      </c>
      <c r="T8147" t="s">
        <v>11742</v>
      </c>
      <c r="U8147">
        <v>909.5</v>
      </c>
      <c r="V8147" s="3">
        <v>41698</v>
      </c>
    </row>
    <row r="8148" spans="1:22" x14ac:dyDescent="0.35">
      <c r="A8148" s="1">
        <v>42265.779791666668</v>
      </c>
      <c r="B8148" s="2">
        <v>0</v>
      </c>
      <c r="C8148" t="s">
        <v>11157</v>
      </c>
      <c r="D8148" t="s">
        <v>360</v>
      </c>
      <c r="E8148" t="s">
        <v>361</v>
      </c>
      <c r="F8148" t="s">
        <v>11743</v>
      </c>
      <c r="G8148">
        <v>707969</v>
      </c>
      <c r="H8148" t="s">
        <v>26</v>
      </c>
      <c r="I8148" t="s">
        <v>11744</v>
      </c>
      <c r="J8148" t="str">
        <f>"9781444397338"</f>
        <v>9781444397338</v>
      </c>
      <c r="L8148">
        <v>0</v>
      </c>
      <c r="O8148" t="s">
        <v>28</v>
      </c>
      <c r="P8148" t="s">
        <v>47</v>
      </c>
      <c r="Q8148" s="1">
        <v>42265.779791666668</v>
      </c>
      <c r="R8148">
        <v>1</v>
      </c>
      <c r="S8148" t="s">
        <v>363</v>
      </c>
      <c r="T8148" t="s">
        <v>11745</v>
      </c>
      <c r="U8148" t="s">
        <v>8369</v>
      </c>
      <c r="V8148" s="3">
        <v>41632</v>
      </c>
    </row>
    <row r="8149" spans="1:22" x14ac:dyDescent="0.35">
      <c r="A8149" s="1">
        <v>42265.779791666668</v>
      </c>
      <c r="B8149" s="2">
        <v>0</v>
      </c>
      <c r="C8149" t="s">
        <v>11157</v>
      </c>
      <c r="D8149" t="s">
        <v>360</v>
      </c>
      <c r="E8149" t="s">
        <v>361</v>
      </c>
      <c r="F8149" t="s">
        <v>11743</v>
      </c>
      <c r="G8149">
        <v>707969</v>
      </c>
      <c r="H8149" t="s">
        <v>26</v>
      </c>
      <c r="I8149" t="s">
        <v>11744</v>
      </c>
      <c r="J8149" t="str">
        <f>"9781444397338"</f>
        <v>9781444397338</v>
      </c>
      <c r="L8149">
        <v>0</v>
      </c>
      <c r="O8149" t="s">
        <v>30</v>
      </c>
      <c r="P8149" t="s">
        <v>47</v>
      </c>
      <c r="Q8149" s="1">
        <v>42265.779791666668</v>
      </c>
      <c r="R8149">
        <v>1</v>
      </c>
      <c r="S8149" t="s">
        <v>363</v>
      </c>
      <c r="T8149" t="s">
        <v>11745</v>
      </c>
      <c r="U8149" t="s">
        <v>8369</v>
      </c>
      <c r="V8149" s="3">
        <v>41632</v>
      </c>
    </row>
    <row r="8150" spans="1:22" x14ac:dyDescent="0.35">
      <c r="A8150" s="1">
        <v>42265.779328703706</v>
      </c>
      <c r="B8150" s="2">
        <v>4.6296296296296293E-4</v>
      </c>
      <c r="C8150" t="s">
        <v>11157</v>
      </c>
      <c r="D8150" t="s">
        <v>360</v>
      </c>
      <c r="E8150" t="s">
        <v>361</v>
      </c>
      <c r="F8150" t="s">
        <v>11743</v>
      </c>
      <c r="G8150">
        <v>707969</v>
      </c>
      <c r="H8150" t="s">
        <v>26</v>
      </c>
      <c r="I8150" t="s">
        <v>11744</v>
      </c>
      <c r="J8150" t="str">
        <f>"9781444397338"</f>
        <v>9781444397338</v>
      </c>
      <c r="K8150" t="s">
        <v>33</v>
      </c>
      <c r="L8150">
        <v>3</v>
      </c>
      <c r="O8150" t="s">
        <v>30</v>
      </c>
      <c r="P8150" t="s">
        <v>50</v>
      </c>
      <c r="S8150" t="s">
        <v>363</v>
      </c>
      <c r="T8150" t="s">
        <v>11745</v>
      </c>
      <c r="U8150" t="s">
        <v>8369</v>
      </c>
      <c r="V8150" s="3">
        <v>41632</v>
      </c>
    </row>
    <row r="8151" spans="1:22" x14ac:dyDescent="0.35">
      <c r="A8151" s="1">
        <v>42265.778240740743</v>
      </c>
      <c r="B8151" s="2">
        <v>4.4907407407407405E-3</v>
      </c>
      <c r="C8151" t="s">
        <v>11746</v>
      </c>
      <c r="D8151" t="s">
        <v>23</v>
      </c>
      <c r="E8151" t="s">
        <v>24</v>
      </c>
      <c r="F8151" t="s">
        <v>3488</v>
      </c>
      <c r="G8151">
        <v>1294909</v>
      </c>
      <c r="H8151" t="s">
        <v>84</v>
      </c>
      <c r="I8151" t="s">
        <v>445</v>
      </c>
      <c r="J8151" t="str">
        <f>"9780520956797"</f>
        <v>9780520956797</v>
      </c>
      <c r="K8151" t="s">
        <v>11747</v>
      </c>
      <c r="L8151">
        <v>4</v>
      </c>
      <c r="O8151" t="s">
        <v>30</v>
      </c>
      <c r="P8151" t="s">
        <v>29</v>
      </c>
      <c r="Q8151" s="1">
        <v>42265.778240740743</v>
      </c>
      <c r="R8151">
        <v>7</v>
      </c>
      <c r="S8151" t="s">
        <v>31</v>
      </c>
      <c r="T8151" t="s">
        <v>3490</v>
      </c>
      <c r="U8151" t="s">
        <v>3491</v>
      </c>
      <c r="V8151" s="3">
        <v>41487</v>
      </c>
    </row>
    <row r="8152" spans="1:22" x14ac:dyDescent="0.35">
      <c r="A8152" s="1">
        <v>42265.777881944443</v>
      </c>
      <c r="B8152" s="2">
        <v>0</v>
      </c>
      <c r="C8152" t="s">
        <v>11157</v>
      </c>
      <c r="D8152" t="s">
        <v>360</v>
      </c>
      <c r="E8152" t="s">
        <v>361</v>
      </c>
      <c r="F8152" t="s">
        <v>8587</v>
      </c>
      <c r="G8152">
        <v>1323948</v>
      </c>
      <c r="H8152" t="s">
        <v>26</v>
      </c>
      <c r="I8152" t="s">
        <v>172</v>
      </c>
      <c r="J8152" t="str">
        <f>"9781118473443"</f>
        <v>9781118473443</v>
      </c>
      <c r="L8152">
        <v>0</v>
      </c>
      <c r="O8152" t="s">
        <v>28</v>
      </c>
      <c r="P8152" t="s">
        <v>29</v>
      </c>
      <c r="Q8152" s="1">
        <v>42265.777881944443</v>
      </c>
      <c r="R8152">
        <v>7</v>
      </c>
      <c r="S8152" t="s">
        <v>363</v>
      </c>
      <c r="T8152" t="s">
        <v>8589</v>
      </c>
      <c r="U8152">
        <v>951</v>
      </c>
      <c r="V8152" s="3">
        <v>41478</v>
      </c>
    </row>
    <row r="8153" spans="1:22" x14ac:dyDescent="0.35">
      <c r="A8153" s="1">
        <v>42265.777881944443</v>
      </c>
      <c r="B8153" s="2">
        <v>0</v>
      </c>
      <c r="C8153" t="s">
        <v>11157</v>
      </c>
      <c r="D8153" t="s">
        <v>360</v>
      </c>
      <c r="E8153" t="s">
        <v>361</v>
      </c>
      <c r="F8153" t="s">
        <v>8587</v>
      </c>
      <c r="G8153">
        <v>1323948</v>
      </c>
      <c r="H8153" t="s">
        <v>26</v>
      </c>
      <c r="I8153" t="s">
        <v>172</v>
      </c>
      <c r="J8153" t="str">
        <f>"9781118473443"</f>
        <v>9781118473443</v>
      </c>
      <c r="L8153">
        <v>0</v>
      </c>
      <c r="O8153" t="s">
        <v>30</v>
      </c>
      <c r="P8153" t="s">
        <v>29</v>
      </c>
      <c r="Q8153" s="1">
        <v>42265.777881944443</v>
      </c>
      <c r="R8153">
        <v>7</v>
      </c>
      <c r="S8153" t="s">
        <v>363</v>
      </c>
      <c r="T8153" t="s">
        <v>8589</v>
      </c>
      <c r="U8153">
        <v>951</v>
      </c>
      <c r="V8153" s="3">
        <v>41478</v>
      </c>
    </row>
    <row r="8154" spans="1:22" x14ac:dyDescent="0.35">
      <c r="A8154" s="1">
        <v>42265.777581018519</v>
      </c>
      <c r="B8154" s="2">
        <v>3.0092592592592595E-4</v>
      </c>
      <c r="C8154" t="s">
        <v>11157</v>
      </c>
      <c r="D8154" t="s">
        <v>360</v>
      </c>
      <c r="E8154" t="s">
        <v>361</v>
      </c>
      <c r="F8154" t="s">
        <v>8587</v>
      </c>
      <c r="G8154">
        <v>1323948</v>
      </c>
      <c r="H8154" t="s">
        <v>26</v>
      </c>
      <c r="I8154" t="s">
        <v>172</v>
      </c>
      <c r="J8154" t="str">
        <f>"9781118473443"</f>
        <v>9781118473443</v>
      </c>
      <c r="K8154" t="s">
        <v>11204</v>
      </c>
      <c r="L8154">
        <v>3</v>
      </c>
      <c r="O8154" t="s">
        <v>30</v>
      </c>
      <c r="P8154" t="s">
        <v>50</v>
      </c>
      <c r="S8154" t="s">
        <v>363</v>
      </c>
      <c r="T8154" t="s">
        <v>8589</v>
      </c>
      <c r="U8154">
        <v>951</v>
      </c>
      <c r="V8154" s="3">
        <v>41478</v>
      </c>
    </row>
    <row r="8155" spans="1:22" x14ac:dyDescent="0.35">
      <c r="A8155" s="1">
        <v>42265.777430555558</v>
      </c>
      <c r="B8155" s="2">
        <v>5.8912037037037032E-3</v>
      </c>
      <c r="C8155" t="s">
        <v>11748</v>
      </c>
      <c r="D8155" t="s">
        <v>23</v>
      </c>
      <c r="E8155" t="s">
        <v>24</v>
      </c>
      <c r="F8155" t="s">
        <v>3488</v>
      </c>
      <c r="G8155">
        <v>1294909</v>
      </c>
      <c r="H8155" t="s">
        <v>84</v>
      </c>
      <c r="I8155" t="s">
        <v>445</v>
      </c>
      <c r="J8155" t="str">
        <f>"9780520956797"</f>
        <v>9780520956797</v>
      </c>
      <c r="K8155" t="s">
        <v>11749</v>
      </c>
      <c r="L8155">
        <v>46</v>
      </c>
      <c r="O8155" t="s">
        <v>30</v>
      </c>
      <c r="P8155" t="s">
        <v>29</v>
      </c>
      <c r="Q8155" s="1">
        <v>42265.777430555558</v>
      </c>
      <c r="R8155">
        <v>7</v>
      </c>
      <c r="S8155" t="s">
        <v>31</v>
      </c>
      <c r="T8155" t="s">
        <v>3490</v>
      </c>
      <c r="U8155" t="s">
        <v>3491</v>
      </c>
      <c r="V8155" s="3">
        <v>41487</v>
      </c>
    </row>
    <row r="8156" spans="1:22" x14ac:dyDescent="0.35">
      <c r="A8156" s="1">
        <v>42265.775879629633</v>
      </c>
      <c r="B8156" s="2">
        <v>6.053240740740741E-3</v>
      </c>
      <c r="C8156" t="s">
        <v>11750</v>
      </c>
      <c r="D8156" t="s">
        <v>23</v>
      </c>
      <c r="E8156" t="s">
        <v>24</v>
      </c>
      <c r="F8156" t="s">
        <v>3488</v>
      </c>
      <c r="G8156">
        <v>1294909</v>
      </c>
      <c r="H8156" t="s">
        <v>84</v>
      </c>
      <c r="I8156" t="s">
        <v>445</v>
      </c>
      <c r="J8156" t="str">
        <f>"9780520956797"</f>
        <v>9780520956797</v>
      </c>
      <c r="K8156" t="s">
        <v>11751</v>
      </c>
      <c r="L8156">
        <v>13</v>
      </c>
      <c r="O8156" t="s">
        <v>30</v>
      </c>
      <c r="P8156" t="s">
        <v>29</v>
      </c>
      <c r="Q8156" s="1">
        <v>42265.775879629633</v>
      </c>
      <c r="R8156">
        <v>7</v>
      </c>
      <c r="S8156" t="s">
        <v>31</v>
      </c>
      <c r="T8156" t="s">
        <v>3490</v>
      </c>
      <c r="U8156" t="s">
        <v>3491</v>
      </c>
      <c r="V8156" s="3">
        <v>41487</v>
      </c>
    </row>
    <row r="8157" spans="1:22" x14ac:dyDescent="0.35">
      <c r="A8157" s="1">
        <v>42265.767974537041</v>
      </c>
      <c r="B8157" s="2">
        <v>1.0266203703703703E-2</v>
      </c>
      <c r="C8157" t="s">
        <v>11746</v>
      </c>
      <c r="D8157" t="s">
        <v>23</v>
      </c>
      <c r="E8157" t="s">
        <v>24</v>
      </c>
      <c r="F8157" t="s">
        <v>3488</v>
      </c>
      <c r="G8157">
        <v>1294909</v>
      </c>
      <c r="H8157" t="s">
        <v>84</v>
      </c>
      <c r="I8157" t="s">
        <v>445</v>
      </c>
      <c r="J8157" t="str">
        <f>"9780520956797"</f>
        <v>9780520956797</v>
      </c>
      <c r="K8157" t="s">
        <v>11752</v>
      </c>
      <c r="L8157">
        <v>10</v>
      </c>
      <c r="O8157" t="s">
        <v>30</v>
      </c>
      <c r="P8157" t="s">
        <v>42</v>
      </c>
      <c r="S8157" t="s">
        <v>31</v>
      </c>
      <c r="T8157" t="s">
        <v>3490</v>
      </c>
      <c r="U8157" t="s">
        <v>3491</v>
      </c>
      <c r="V8157" s="3">
        <v>41487</v>
      </c>
    </row>
    <row r="8158" spans="1:22" x14ac:dyDescent="0.35">
      <c r="A8158" s="1">
        <v>42265.766504629632</v>
      </c>
      <c r="B8158" s="2">
        <v>0</v>
      </c>
      <c r="C8158" t="s">
        <v>210</v>
      </c>
      <c r="D8158" t="s">
        <v>211</v>
      </c>
      <c r="E8158" t="s">
        <v>212</v>
      </c>
      <c r="F8158" t="s">
        <v>11753</v>
      </c>
      <c r="G8158">
        <v>1204636</v>
      </c>
      <c r="H8158" t="s">
        <v>526</v>
      </c>
      <c r="I8158" t="s">
        <v>11754</v>
      </c>
      <c r="J8158" t="str">
        <f>"9780226020952"</f>
        <v>9780226020952</v>
      </c>
      <c r="L8158">
        <v>0</v>
      </c>
      <c r="O8158" t="s">
        <v>28</v>
      </c>
      <c r="P8158" t="s">
        <v>47</v>
      </c>
      <c r="Q8158" s="1">
        <v>42265.766504629632</v>
      </c>
      <c r="R8158">
        <v>7</v>
      </c>
      <c r="S8158" t="s">
        <v>214</v>
      </c>
      <c r="T8158" t="s">
        <v>11755</v>
      </c>
      <c r="U8158" t="s">
        <v>11756</v>
      </c>
      <c r="V8158" s="3">
        <v>41395</v>
      </c>
    </row>
    <row r="8159" spans="1:22" x14ac:dyDescent="0.35">
      <c r="A8159" s="1">
        <v>42265.766504629632</v>
      </c>
      <c r="B8159" s="2">
        <v>0</v>
      </c>
      <c r="C8159" t="s">
        <v>210</v>
      </c>
      <c r="D8159" t="s">
        <v>211</v>
      </c>
      <c r="E8159" t="s">
        <v>212</v>
      </c>
      <c r="F8159" t="s">
        <v>11753</v>
      </c>
      <c r="G8159">
        <v>1204636</v>
      </c>
      <c r="H8159" t="s">
        <v>526</v>
      </c>
      <c r="I8159" t="s">
        <v>11754</v>
      </c>
      <c r="J8159" t="str">
        <f>"9780226020952"</f>
        <v>9780226020952</v>
      </c>
      <c r="L8159">
        <v>0</v>
      </c>
      <c r="O8159" t="s">
        <v>30</v>
      </c>
      <c r="P8159" t="s">
        <v>47</v>
      </c>
      <c r="Q8159" s="1">
        <v>42265.766504629632</v>
      </c>
      <c r="R8159">
        <v>7</v>
      </c>
      <c r="S8159" t="s">
        <v>214</v>
      </c>
      <c r="T8159" t="s">
        <v>11755</v>
      </c>
      <c r="U8159" t="s">
        <v>11756</v>
      </c>
      <c r="V8159" s="3">
        <v>41395</v>
      </c>
    </row>
    <row r="8160" spans="1:22" x14ac:dyDescent="0.35">
      <c r="A8160" s="1">
        <v>42265.765787037039</v>
      </c>
      <c r="B8160" s="2">
        <v>1.1643518518518518E-2</v>
      </c>
      <c r="C8160" t="s">
        <v>11748</v>
      </c>
      <c r="D8160" t="s">
        <v>23</v>
      </c>
      <c r="E8160" t="s">
        <v>24</v>
      </c>
      <c r="F8160" t="s">
        <v>3488</v>
      </c>
      <c r="G8160">
        <v>1294909</v>
      </c>
      <c r="H8160" t="s">
        <v>84</v>
      </c>
      <c r="I8160" t="s">
        <v>445</v>
      </c>
      <c r="J8160" t="str">
        <f>"9780520956797"</f>
        <v>9780520956797</v>
      </c>
      <c r="K8160" t="s">
        <v>11757</v>
      </c>
      <c r="L8160">
        <v>13</v>
      </c>
      <c r="O8160" t="s">
        <v>30</v>
      </c>
      <c r="P8160" t="s">
        <v>42</v>
      </c>
      <c r="S8160" t="s">
        <v>31</v>
      </c>
      <c r="T8160" t="s">
        <v>3490</v>
      </c>
      <c r="U8160" t="s">
        <v>3491</v>
      </c>
      <c r="V8160" s="3">
        <v>41487</v>
      </c>
    </row>
    <row r="8161" spans="1:22" x14ac:dyDescent="0.35">
      <c r="A8161" s="1">
        <v>42265.765717592592</v>
      </c>
      <c r="B8161" s="2">
        <v>7.8703703703703705E-4</v>
      </c>
      <c r="C8161" t="s">
        <v>210</v>
      </c>
      <c r="D8161" t="s">
        <v>211</v>
      </c>
      <c r="E8161" t="s">
        <v>212</v>
      </c>
      <c r="F8161" t="s">
        <v>11753</v>
      </c>
      <c r="G8161">
        <v>1204636</v>
      </c>
      <c r="H8161" t="s">
        <v>526</v>
      </c>
      <c r="I8161" t="s">
        <v>11754</v>
      </c>
      <c r="J8161" t="str">
        <f>"9780226020952"</f>
        <v>9780226020952</v>
      </c>
      <c r="K8161" t="s">
        <v>11758</v>
      </c>
      <c r="L8161">
        <v>12</v>
      </c>
      <c r="O8161" t="s">
        <v>30</v>
      </c>
      <c r="P8161" t="s">
        <v>50</v>
      </c>
      <c r="S8161" t="s">
        <v>214</v>
      </c>
      <c r="T8161" t="s">
        <v>11755</v>
      </c>
      <c r="U8161" t="s">
        <v>11756</v>
      </c>
      <c r="V8161" s="3">
        <v>41395</v>
      </c>
    </row>
    <row r="8162" spans="1:22" x14ac:dyDescent="0.35">
      <c r="A8162" s="1">
        <v>42265.765057870369</v>
      </c>
      <c r="B8162" s="2">
        <v>1.4224537037037037E-2</v>
      </c>
      <c r="C8162" t="s">
        <v>106</v>
      </c>
      <c r="D8162" t="s">
        <v>23</v>
      </c>
      <c r="E8162" t="s">
        <v>24</v>
      </c>
      <c r="F8162" t="s">
        <v>3488</v>
      </c>
      <c r="G8162">
        <v>1294909</v>
      </c>
      <c r="H8162" t="s">
        <v>84</v>
      </c>
      <c r="I8162" t="s">
        <v>445</v>
      </c>
      <c r="J8162" t="str">
        <f t="shared" ref="J8162:J8167" si="53">"9780520956797"</f>
        <v>9780520956797</v>
      </c>
      <c r="K8162" t="s">
        <v>11759</v>
      </c>
      <c r="L8162">
        <v>16</v>
      </c>
      <c r="O8162" t="s">
        <v>30</v>
      </c>
      <c r="P8162" t="s">
        <v>29</v>
      </c>
      <c r="Q8162" s="1">
        <v>42265.725902777776</v>
      </c>
      <c r="R8162">
        <v>7</v>
      </c>
      <c r="S8162" t="s">
        <v>31</v>
      </c>
      <c r="T8162" t="s">
        <v>3490</v>
      </c>
      <c r="U8162" t="s">
        <v>3491</v>
      </c>
      <c r="V8162" s="3">
        <v>41487</v>
      </c>
    </row>
    <row r="8163" spans="1:22" x14ac:dyDescent="0.35">
      <c r="A8163" s="1">
        <v>42265.764999999999</v>
      </c>
      <c r="B8163" s="2">
        <v>1.087962962962963E-2</v>
      </c>
      <c r="C8163" t="s">
        <v>11750</v>
      </c>
      <c r="D8163" t="s">
        <v>23</v>
      </c>
      <c r="E8163" t="s">
        <v>24</v>
      </c>
      <c r="F8163" t="s">
        <v>3488</v>
      </c>
      <c r="G8163">
        <v>1294909</v>
      </c>
      <c r="H8163" t="s">
        <v>84</v>
      </c>
      <c r="I8163" t="s">
        <v>445</v>
      </c>
      <c r="J8163" t="str">
        <f t="shared" si="53"/>
        <v>9780520956797</v>
      </c>
      <c r="K8163" t="s">
        <v>11760</v>
      </c>
      <c r="L8163">
        <v>18</v>
      </c>
      <c r="O8163" t="s">
        <v>30</v>
      </c>
      <c r="P8163" t="s">
        <v>42</v>
      </c>
      <c r="S8163" t="s">
        <v>31</v>
      </c>
      <c r="T8163" t="s">
        <v>3490</v>
      </c>
      <c r="U8163" t="s">
        <v>3491</v>
      </c>
      <c r="V8163" s="3">
        <v>41487</v>
      </c>
    </row>
    <row r="8164" spans="1:22" x14ac:dyDescent="0.35">
      <c r="A8164" s="1">
        <v>42265.764618055553</v>
      </c>
      <c r="B8164" s="2">
        <v>1.5381944444444443E-2</v>
      </c>
      <c r="C8164" t="s">
        <v>106</v>
      </c>
      <c r="D8164" t="s">
        <v>23</v>
      </c>
      <c r="E8164" t="s">
        <v>24</v>
      </c>
      <c r="F8164" t="s">
        <v>3488</v>
      </c>
      <c r="G8164">
        <v>1294909</v>
      </c>
      <c r="H8164" t="s">
        <v>84</v>
      </c>
      <c r="I8164" t="s">
        <v>445</v>
      </c>
      <c r="J8164" t="str">
        <f t="shared" si="53"/>
        <v>9780520956797</v>
      </c>
      <c r="K8164" t="s">
        <v>11761</v>
      </c>
      <c r="L8164">
        <v>18</v>
      </c>
      <c r="O8164" t="s">
        <v>30</v>
      </c>
      <c r="P8164" t="s">
        <v>29</v>
      </c>
      <c r="Q8164" s="1">
        <v>42265.725902777776</v>
      </c>
      <c r="R8164">
        <v>7</v>
      </c>
      <c r="S8164" t="s">
        <v>31</v>
      </c>
      <c r="T8164" t="s">
        <v>3490</v>
      </c>
      <c r="U8164" t="s">
        <v>3491</v>
      </c>
      <c r="V8164" s="3">
        <v>41487</v>
      </c>
    </row>
    <row r="8165" spans="1:22" x14ac:dyDescent="0.35">
      <c r="A8165" s="1">
        <v>42265.764548611114</v>
      </c>
      <c r="B8165" s="2">
        <v>1.8020833333333333E-2</v>
      </c>
      <c r="C8165" t="s">
        <v>106</v>
      </c>
      <c r="D8165" t="s">
        <v>23</v>
      </c>
      <c r="E8165" t="s">
        <v>24</v>
      </c>
      <c r="F8165" t="s">
        <v>3488</v>
      </c>
      <c r="G8165">
        <v>1294909</v>
      </c>
      <c r="H8165" t="s">
        <v>84</v>
      </c>
      <c r="I8165" t="s">
        <v>445</v>
      </c>
      <c r="J8165" t="str">
        <f t="shared" si="53"/>
        <v>9780520956797</v>
      </c>
      <c r="K8165" t="s">
        <v>11762</v>
      </c>
      <c r="L8165">
        <v>22</v>
      </c>
      <c r="O8165" t="s">
        <v>30</v>
      </c>
      <c r="P8165" t="s">
        <v>29</v>
      </c>
      <c r="Q8165" s="1">
        <v>42265.725902777776</v>
      </c>
      <c r="R8165">
        <v>7</v>
      </c>
      <c r="S8165" t="s">
        <v>31</v>
      </c>
      <c r="T8165" t="s">
        <v>3490</v>
      </c>
      <c r="U8165" t="s">
        <v>3491</v>
      </c>
      <c r="V8165" s="3">
        <v>41487</v>
      </c>
    </row>
    <row r="8166" spans="1:22" x14ac:dyDescent="0.35">
      <c r="A8166" s="1">
        <v>42265.764502314814</v>
      </c>
      <c r="B8166" s="2">
        <v>1.1574074074074073E-5</v>
      </c>
      <c r="C8166" t="s">
        <v>106</v>
      </c>
      <c r="D8166" t="s">
        <v>23</v>
      </c>
      <c r="E8166" t="s">
        <v>24</v>
      </c>
      <c r="F8166" t="s">
        <v>3488</v>
      </c>
      <c r="G8166">
        <v>1294909</v>
      </c>
      <c r="H8166" t="s">
        <v>84</v>
      </c>
      <c r="I8166" t="s">
        <v>445</v>
      </c>
      <c r="J8166" t="str">
        <f t="shared" si="53"/>
        <v>9780520956797</v>
      </c>
      <c r="K8166" t="s">
        <v>63</v>
      </c>
      <c r="L8166">
        <v>1</v>
      </c>
      <c r="O8166" t="s">
        <v>28</v>
      </c>
      <c r="P8166" t="s">
        <v>29</v>
      </c>
      <c r="Q8166" s="1">
        <v>42265.725902777776</v>
      </c>
      <c r="R8166">
        <v>7</v>
      </c>
      <c r="S8166" t="s">
        <v>31</v>
      </c>
      <c r="T8166" t="s">
        <v>3490</v>
      </c>
      <c r="U8166" t="s">
        <v>3491</v>
      </c>
      <c r="V8166" s="3">
        <v>41487</v>
      </c>
    </row>
    <row r="8167" spans="1:22" x14ac:dyDescent="0.35">
      <c r="A8167" s="1">
        <v>42265.76425925926</v>
      </c>
      <c r="B8167" s="2">
        <v>5.7870370370370366E-5</v>
      </c>
      <c r="C8167" t="s">
        <v>106</v>
      </c>
      <c r="D8167" t="s">
        <v>23</v>
      </c>
      <c r="E8167" t="s">
        <v>24</v>
      </c>
      <c r="F8167" t="s">
        <v>3488</v>
      </c>
      <c r="G8167">
        <v>1294909</v>
      </c>
      <c r="H8167" t="s">
        <v>84</v>
      </c>
      <c r="I8167" t="s">
        <v>445</v>
      </c>
      <c r="J8167" t="str">
        <f t="shared" si="53"/>
        <v>9780520956797</v>
      </c>
      <c r="K8167" t="s">
        <v>777</v>
      </c>
      <c r="L8167">
        <v>3</v>
      </c>
      <c r="O8167" t="s">
        <v>30</v>
      </c>
      <c r="P8167" t="s">
        <v>29</v>
      </c>
      <c r="Q8167" s="1">
        <v>42265.725902777776</v>
      </c>
      <c r="R8167">
        <v>7</v>
      </c>
      <c r="S8167" t="s">
        <v>31</v>
      </c>
      <c r="T8167" t="s">
        <v>3490</v>
      </c>
      <c r="U8167" t="s">
        <v>3491</v>
      </c>
      <c r="V8167" s="3">
        <v>41487</v>
      </c>
    </row>
    <row r="8168" spans="1:22" x14ac:dyDescent="0.35">
      <c r="A8168" s="1">
        <v>42265.764155092591</v>
      </c>
      <c r="B8168" s="2">
        <v>1.736111111111111E-3</v>
      </c>
      <c r="C8168" t="s">
        <v>4681</v>
      </c>
      <c r="D8168" t="s">
        <v>1222</v>
      </c>
      <c r="E8168" t="s">
        <v>1223</v>
      </c>
      <c r="F8168" t="s">
        <v>3263</v>
      </c>
      <c r="G8168">
        <v>1840835</v>
      </c>
      <c r="H8168" t="s">
        <v>26</v>
      </c>
      <c r="I8168" t="s">
        <v>108</v>
      </c>
      <c r="J8168" t="str">
        <f>"9781118950166"</f>
        <v>9781118950166</v>
      </c>
      <c r="K8168" t="s">
        <v>1568</v>
      </c>
      <c r="L8168">
        <v>2</v>
      </c>
      <c r="O8168" t="s">
        <v>30</v>
      </c>
      <c r="P8168" t="s">
        <v>29</v>
      </c>
      <c r="Q8168" s="1">
        <v>42265.764155092591</v>
      </c>
      <c r="R8168">
        <v>7</v>
      </c>
      <c r="S8168" t="s">
        <v>1226</v>
      </c>
      <c r="T8168" t="s">
        <v>3264</v>
      </c>
      <c r="U8168">
        <v>338.10923789999998</v>
      </c>
      <c r="V8168" s="3">
        <v>41953</v>
      </c>
    </row>
    <row r="8169" spans="1:22" x14ac:dyDescent="0.35">
      <c r="A8169" s="1">
        <v>42265.76394675926</v>
      </c>
      <c r="B8169" s="2">
        <v>1.6122685185185184E-2</v>
      </c>
      <c r="C8169" t="s">
        <v>106</v>
      </c>
      <c r="D8169" t="s">
        <v>23</v>
      </c>
      <c r="E8169" t="s">
        <v>24</v>
      </c>
      <c r="F8169" t="s">
        <v>3488</v>
      </c>
      <c r="G8169">
        <v>1294909</v>
      </c>
      <c r="H8169" t="s">
        <v>84</v>
      </c>
      <c r="I8169" t="s">
        <v>445</v>
      </c>
      <c r="J8169" t="str">
        <f>"9780520956797"</f>
        <v>9780520956797</v>
      </c>
      <c r="K8169" t="s">
        <v>11763</v>
      </c>
      <c r="L8169">
        <v>24</v>
      </c>
      <c r="O8169" t="s">
        <v>30</v>
      </c>
      <c r="P8169" t="s">
        <v>29</v>
      </c>
      <c r="Q8169" s="1">
        <v>42265.725902777776</v>
      </c>
      <c r="R8169">
        <v>7</v>
      </c>
      <c r="S8169" t="s">
        <v>31</v>
      </c>
      <c r="T8169" t="s">
        <v>3490</v>
      </c>
      <c r="U8169" t="s">
        <v>3491</v>
      </c>
      <c r="V8169" s="3">
        <v>41487</v>
      </c>
    </row>
    <row r="8170" spans="1:22" x14ac:dyDescent="0.35">
      <c r="A8170" s="1">
        <v>42265.762499999997</v>
      </c>
      <c r="B8170" s="2">
        <v>2.0578703703703703E-2</v>
      </c>
      <c r="C8170" t="s">
        <v>106</v>
      </c>
      <c r="D8170" t="s">
        <v>23</v>
      </c>
      <c r="E8170" t="s">
        <v>24</v>
      </c>
      <c r="F8170" t="s">
        <v>3488</v>
      </c>
      <c r="G8170">
        <v>1294909</v>
      </c>
      <c r="H8170" t="s">
        <v>84</v>
      </c>
      <c r="I8170" t="s">
        <v>445</v>
      </c>
      <c r="J8170" t="str">
        <f>"9780520956797"</f>
        <v>9780520956797</v>
      </c>
      <c r="K8170" t="s">
        <v>11764</v>
      </c>
      <c r="L8170">
        <v>13</v>
      </c>
      <c r="O8170" t="s">
        <v>30</v>
      </c>
      <c r="P8170" t="s">
        <v>29</v>
      </c>
      <c r="Q8170" s="1">
        <v>42265.725902777776</v>
      </c>
      <c r="R8170">
        <v>7</v>
      </c>
      <c r="S8170" t="s">
        <v>31</v>
      </c>
      <c r="T8170" t="s">
        <v>3490</v>
      </c>
      <c r="U8170" t="s">
        <v>3491</v>
      </c>
      <c r="V8170" s="3">
        <v>41487</v>
      </c>
    </row>
    <row r="8171" spans="1:22" x14ac:dyDescent="0.35">
      <c r="A8171" s="1">
        <v>42265.761932870373</v>
      </c>
      <c r="B8171" s="2">
        <v>0</v>
      </c>
      <c r="C8171" t="s">
        <v>11765</v>
      </c>
      <c r="D8171" t="s">
        <v>23</v>
      </c>
      <c r="E8171" t="s">
        <v>24</v>
      </c>
      <c r="F8171" t="s">
        <v>439</v>
      </c>
      <c r="G8171">
        <v>836614</v>
      </c>
      <c r="H8171" t="s">
        <v>440</v>
      </c>
      <c r="I8171" t="s">
        <v>27</v>
      </c>
      <c r="J8171" t="str">
        <f>"9781118315958"</f>
        <v>9781118315958</v>
      </c>
      <c r="L8171">
        <v>0</v>
      </c>
      <c r="N8171" t="s">
        <v>11766</v>
      </c>
      <c r="O8171" t="s">
        <v>30</v>
      </c>
      <c r="P8171" t="s">
        <v>29</v>
      </c>
      <c r="Q8171" s="1">
        <v>42265.761932870373</v>
      </c>
      <c r="R8171">
        <v>7</v>
      </c>
      <c r="S8171" t="s">
        <v>31</v>
      </c>
      <c r="T8171" t="s">
        <v>442</v>
      </c>
      <c r="U8171">
        <v>414</v>
      </c>
      <c r="V8171" s="3">
        <v>40892</v>
      </c>
    </row>
    <row r="8172" spans="1:22" x14ac:dyDescent="0.35">
      <c r="A8172" s="1">
        <v>42265.760752314818</v>
      </c>
      <c r="B8172" s="2">
        <v>1.1805555555555556E-3</v>
      </c>
      <c r="C8172" t="s">
        <v>11765</v>
      </c>
      <c r="D8172" t="s">
        <v>23</v>
      </c>
      <c r="E8172" t="s">
        <v>24</v>
      </c>
      <c r="F8172" t="s">
        <v>439</v>
      </c>
      <c r="G8172">
        <v>836614</v>
      </c>
      <c r="H8172" t="s">
        <v>440</v>
      </c>
      <c r="I8172" t="s">
        <v>27</v>
      </c>
      <c r="J8172" t="str">
        <f>"9781118315958"</f>
        <v>9781118315958</v>
      </c>
      <c r="K8172" t="s">
        <v>11767</v>
      </c>
      <c r="L8172">
        <v>44</v>
      </c>
      <c r="O8172" t="s">
        <v>30</v>
      </c>
      <c r="P8172" t="s">
        <v>42</v>
      </c>
      <c r="S8172" t="s">
        <v>31</v>
      </c>
      <c r="T8172" t="s">
        <v>442</v>
      </c>
      <c r="U8172">
        <v>414</v>
      </c>
      <c r="V8172" s="3">
        <v>40892</v>
      </c>
    </row>
    <row r="8173" spans="1:22" x14ac:dyDescent="0.35">
      <c r="A8173" s="1">
        <v>42265.757037037038</v>
      </c>
      <c r="B8173" s="2">
        <v>7.106481481481481E-3</v>
      </c>
      <c r="C8173" t="s">
        <v>4681</v>
      </c>
      <c r="D8173" t="s">
        <v>1222</v>
      </c>
      <c r="E8173" t="s">
        <v>1223</v>
      </c>
      <c r="F8173" t="s">
        <v>3263</v>
      </c>
      <c r="G8173">
        <v>1840835</v>
      </c>
      <c r="H8173" t="s">
        <v>26</v>
      </c>
      <c r="I8173" t="s">
        <v>108</v>
      </c>
      <c r="J8173" t="str">
        <f>"9781118950166"</f>
        <v>9781118950166</v>
      </c>
      <c r="K8173" t="s">
        <v>11768</v>
      </c>
      <c r="L8173">
        <v>25</v>
      </c>
      <c r="O8173" t="s">
        <v>30</v>
      </c>
      <c r="P8173" t="s">
        <v>42</v>
      </c>
      <c r="S8173" t="s">
        <v>1226</v>
      </c>
      <c r="T8173" t="s">
        <v>3264</v>
      </c>
      <c r="U8173">
        <v>338.10923789999998</v>
      </c>
      <c r="V8173" s="3">
        <v>41953</v>
      </c>
    </row>
    <row r="8174" spans="1:22" x14ac:dyDescent="0.35">
      <c r="A8174" s="1">
        <v>42265.748194444444</v>
      </c>
      <c r="B8174" s="2">
        <v>2.4305555555555552E-4</v>
      </c>
      <c r="C8174" t="s">
        <v>11769</v>
      </c>
      <c r="D8174" t="s">
        <v>23</v>
      </c>
      <c r="E8174" t="s">
        <v>24</v>
      </c>
      <c r="F8174" t="s">
        <v>246</v>
      </c>
      <c r="G8174">
        <v>1682559</v>
      </c>
      <c r="H8174" t="s">
        <v>91</v>
      </c>
      <c r="I8174" t="s">
        <v>247</v>
      </c>
      <c r="J8174" t="str">
        <f>"9781462515431"</f>
        <v>9781462515431</v>
      </c>
      <c r="K8174" t="s">
        <v>11770</v>
      </c>
      <c r="L8174">
        <v>13</v>
      </c>
      <c r="O8174" t="s">
        <v>30</v>
      </c>
      <c r="P8174" t="s">
        <v>42</v>
      </c>
      <c r="S8174" t="s">
        <v>31</v>
      </c>
      <c r="T8174" t="s">
        <v>249</v>
      </c>
      <c r="U8174">
        <v>616.89</v>
      </c>
      <c r="V8174" s="3">
        <v>41769</v>
      </c>
    </row>
    <row r="8175" spans="1:22" x14ac:dyDescent="0.35">
      <c r="A8175" s="1">
        <v>42265.730370370373</v>
      </c>
      <c r="B8175" s="2">
        <v>1.087962962962963E-2</v>
      </c>
      <c r="C8175" t="s">
        <v>11771</v>
      </c>
      <c r="D8175" t="s">
        <v>35</v>
      </c>
      <c r="E8175" t="s">
        <v>36</v>
      </c>
      <c r="F8175" t="s">
        <v>37</v>
      </c>
      <c r="G8175">
        <v>1684620</v>
      </c>
      <c r="H8175" t="s">
        <v>26</v>
      </c>
      <c r="I8175" t="s">
        <v>38</v>
      </c>
      <c r="J8175" t="str">
        <f>"9781118418925"</f>
        <v>9781118418925</v>
      </c>
      <c r="K8175" t="s">
        <v>11772</v>
      </c>
      <c r="L8175">
        <v>32</v>
      </c>
      <c r="O8175" t="s">
        <v>30</v>
      </c>
      <c r="P8175" t="s">
        <v>29</v>
      </c>
      <c r="Q8175" s="1">
        <v>42265.730370370373</v>
      </c>
      <c r="R8175">
        <v>7</v>
      </c>
      <c r="S8175" t="s">
        <v>40</v>
      </c>
      <c r="T8175" t="s">
        <v>41</v>
      </c>
      <c r="U8175">
        <v>362.10680000000002</v>
      </c>
      <c r="V8175" s="3">
        <v>41759</v>
      </c>
    </row>
    <row r="8176" spans="1:22" x14ac:dyDescent="0.35">
      <c r="A8176" s="1">
        <v>42265.725902777776</v>
      </c>
      <c r="B8176" s="2">
        <v>4.7569444444444447E-3</v>
      </c>
      <c r="C8176" t="s">
        <v>106</v>
      </c>
      <c r="D8176" t="s">
        <v>23</v>
      </c>
      <c r="E8176" t="s">
        <v>24</v>
      </c>
      <c r="F8176" t="s">
        <v>3488</v>
      </c>
      <c r="G8176">
        <v>1294909</v>
      </c>
      <c r="H8176" t="s">
        <v>84</v>
      </c>
      <c r="I8176" t="s">
        <v>445</v>
      </c>
      <c r="J8176" t="str">
        <f>"9780520956797"</f>
        <v>9780520956797</v>
      </c>
      <c r="K8176" t="s">
        <v>11773</v>
      </c>
      <c r="L8176">
        <v>10</v>
      </c>
      <c r="O8176" t="s">
        <v>30</v>
      </c>
      <c r="P8176" t="s">
        <v>29</v>
      </c>
      <c r="Q8176" s="1">
        <v>42265.725902777776</v>
      </c>
      <c r="R8176">
        <v>7</v>
      </c>
      <c r="S8176" t="s">
        <v>31</v>
      </c>
      <c r="T8176" t="s">
        <v>3490</v>
      </c>
      <c r="U8176" t="s">
        <v>3491</v>
      </c>
      <c r="V8176" s="3">
        <v>41487</v>
      </c>
    </row>
    <row r="8177" spans="1:22" x14ac:dyDescent="0.35">
      <c r="A8177" s="1">
        <v>42265.723124999997</v>
      </c>
      <c r="B8177" s="2">
        <v>1.0416666666666667E-3</v>
      </c>
      <c r="C8177" t="s">
        <v>7376</v>
      </c>
      <c r="D8177" t="s">
        <v>1222</v>
      </c>
      <c r="E8177" t="s">
        <v>1223</v>
      </c>
      <c r="F8177" t="s">
        <v>11774</v>
      </c>
      <c r="G8177">
        <v>1590687</v>
      </c>
      <c r="H8177" t="s">
        <v>45</v>
      </c>
      <c r="I8177" t="s">
        <v>578</v>
      </c>
      <c r="J8177" t="str">
        <f>"9781472417817"</f>
        <v>9781472417817</v>
      </c>
      <c r="K8177" t="s">
        <v>11775</v>
      </c>
      <c r="L8177">
        <v>16</v>
      </c>
      <c r="O8177" t="s">
        <v>30</v>
      </c>
      <c r="P8177" t="s">
        <v>50</v>
      </c>
      <c r="S8177" t="s">
        <v>1226</v>
      </c>
      <c r="T8177" t="s">
        <v>11776</v>
      </c>
      <c r="U8177">
        <v>363.32</v>
      </c>
      <c r="V8177" s="3">
        <v>41818</v>
      </c>
    </row>
    <row r="8178" spans="1:22" x14ac:dyDescent="0.35">
      <c r="A8178" s="1">
        <v>42265.72074074074</v>
      </c>
      <c r="B8178" s="2">
        <v>9.6296296296296303E-3</v>
      </c>
      <c r="C8178" t="s">
        <v>11771</v>
      </c>
      <c r="D8178" t="s">
        <v>35</v>
      </c>
      <c r="E8178" t="s">
        <v>36</v>
      </c>
      <c r="F8178" t="s">
        <v>37</v>
      </c>
      <c r="G8178">
        <v>1684620</v>
      </c>
      <c r="H8178" t="s">
        <v>26</v>
      </c>
      <c r="I8178" t="s">
        <v>38</v>
      </c>
      <c r="J8178" t="str">
        <f>"9781118418925"</f>
        <v>9781118418925</v>
      </c>
      <c r="K8178" t="s">
        <v>11777</v>
      </c>
      <c r="L8178">
        <v>12</v>
      </c>
      <c r="O8178" t="s">
        <v>30</v>
      </c>
      <c r="P8178" t="s">
        <v>42</v>
      </c>
      <c r="S8178" t="s">
        <v>40</v>
      </c>
      <c r="T8178" t="s">
        <v>41</v>
      </c>
      <c r="U8178">
        <v>362.10680000000002</v>
      </c>
      <c r="V8178" s="3">
        <v>41759</v>
      </c>
    </row>
    <row r="8179" spans="1:22" x14ac:dyDescent="0.35">
      <c r="A8179" s="1">
        <v>42265.718692129631</v>
      </c>
      <c r="B8179" s="2">
        <v>7.2106481481481475E-3</v>
      </c>
      <c r="C8179" t="s">
        <v>106</v>
      </c>
      <c r="D8179" t="s">
        <v>23</v>
      </c>
      <c r="E8179" t="s">
        <v>24</v>
      </c>
      <c r="F8179" t="s">
        <v>3488</v>
      </c>
      <c r="G8179">
        <v>1294909</v>
      </c>
      <c r="H8179" t="s">
        <v>84</v>
      </c>
      <c r="I8179" t="s">
        <v>445</v>
      </c>
      <c r="J8179" t="str">
        <f>"9780520956797"</f>
        <v>9780520956797</v>
      </c>
      <c r="K8179" t="s">
        <v>11778</v>
      </c>
      <c r="L8179">
        <v>15</v>
      </c>
      <c r="O8179" t="s">
        <v>30</v>
      </c>
      <c r="P8179" t="s">
        <v>42</v>
      </c>
      <c r="S8179" t="s">
        <v>31</v>
      </c>
      <c r="T8179" t="s">
        <v>3490</v>
      </c>
      <c r="U8179" t="s">
        <v>3491</v>
      </c>
      <c r="V8179" s="3">
        <v>41487</v>
      </c>
    </row>
    <row r="8180" spans="1:22" x14ac:dyDescent="0.35">
      <c r="A8180" s="1">
        <v>42265.718136574076</v>
      </c>
      <c r="B8180" s="2">
        <v>4.6296296296296294E-5</v>
      </c>
      <c r="C8180" t="s">
        <v>106</v>
      </c>
      <c r="D8180" t="s">
        <v>23</v>
      </c>
      <c r="E8180" t="s">
        <v>24</v>
      </c>
      <c r="F8180" t="s">
        <v>3488</v>
      </c>
      <c r="G8180">
        <v>1294909</v>
      </c>
      <c r="H8180" t="s">
        <v>84</v>
      </c>
      <c r="I8180" t="s">
        <v>445</v>
      </c>
      <c r="J8180" t="str">
        <f>"9780520956797"</f>
        <v>9780520956797</v>
      </c>
      <c r="K8180" t="s">
        <v>33</v>
      </c>
      <c r="L8180">
        <v>3</v>
      </c>
      <c r="O8180" t="s">
        <v>30</v>
      </c>
      <c r="P8180" t="s">
        <v>42</v>
      </c>
      <c r="S8180" t="s">
        <v>31</v>
      </c>
      <c r="T8180" t="s">
        <v>3490</v>
      </c>
      <c r="U8180" t="s">
        <v>3491</v>
      </c>
      <c r="V8180" s="3">
        <v>41487</v>
      </c>
    </row>
    <row r="8181" spans="1:22" x14ac:dyDescent="0.35">
      <c r="A8181" s="1">
        <v>42265.718009259261</v>
      </c>
      <c r="B8181" s="2">
        <v>4.6296296296296294E-5</v>
      </c>
      <c r="C8181" t="s">
        <v>106</v>
      </c>
      <c r="D8181" t="s">
        <v>23</v>
      </c>
      <c r="E8181" t="s">
        <v>24</v>
      </c>
      <c r="F8181" t="s">
        <v>3488</v>
      </c>
      <c r="G8181">
        <v>1294909</v>
      </c>
      <c r="H8181" t="s">
        <v>84</v>
      </c>
      <c r="I8181" t="s">
        <v>445</v>
      </c>
      <c r="J8181" t="str">
        <f>"9780520956797"</f>
        <v>9780520956797</v>
      </c>
      <c r="K8181" t="s">
        <v>33</v>
      </c>
      <c r="L8181">
        <v>3</v>
      </c>
      <c r="O8181" t="s">
        <v>30</v>
      </c>
      <c r="P8181" t="s">
        <v>42</v>
      </c>
      <c r="S8181" t="s">
        <v>31</v>
      </c>
      <c r="T8181" t="s">
        <v>3490</v>
      </c>
      <c r="U8181" t="s">
        <v>3491</v>
      </c>
      <c r="V8181" s="3">
        <v>41487</v>
      </c>
    </row>
    <row r="8182" spans="1:22" x14ac:dyDescent="0.35">
      <c r="A8182" s="1">
        <v>42265.713530092595</v>
      </c>
      <c r="B8182" s="2">
        <v>6.4236111111111117E-3</v>
      </c>
      <c r="C8182" t="s">
        <v>6724</v>
      </c>
      <c r="D8182" t="s">
        <v>23</v>
      </c>
      <c r="E8182" t="s">
        <v>24</v>
      </c>
      <c r="F8182" t="s">
        <v>486</v>
      </c>
      <c r="G8182">
        <v>1119505</v>
      </c>
      <c r="H8182" t="s">
        <v>26</v>
      </c>
      <c r="I8182" t="s">
        <v>450</v>
      </c>
      <c r="J8182" t="str">
        <f>"9781118355015"</f>
        <v>9781118355015</v>
      </c>
      <c r="K8182" t="s">
        <v>11779</v>
      </c>
      <c r="L8182">
        <v>27</v>
      </c>
      <c r="O8182" t="s">
        <v>30</v>
      </c>
      <c r="P8182" t="s">
        <v>29</v>
      </c>
      <c r="Q8182" s="1">
        <v>42264.590648148151</v>
      </c>
      <c r="R8182">
        <v>7</v>
      </c>
      <c r="S8182" t="s">
        <v>31</v>
      </c>
      <c r="T8182" t="s">
        <v>487</v>
      </c>
      <c r="U8182" t="s">
        <v>488</v>
      </c>
      <c r="V8182" s="3">
        <v>41302</v>
      </c>
    </row>
    <row r="8183" spans="1:22" x14ac:dyDescent="0.35">
      <c r="A8183" s="1">
        <v>42265.712685185186</v>
      </c>
      <c r="B8183" s="2">
        <v>9.2592592592592588E-5</v>
      </c>
      <c r="C8183" t="s">
        <v>3132</v>
      </c>
      <c r="D8183" t="s">
        <v>158</v>
      </c>
      <c r="E8183" t="s">
        <v>159</v>
      </c>
      <c r="F8183" t="s">
        <v>11641</v>
      </c>
      <c r="G8183">
        <v>1589679</v>
      </c>
      <c r="H8183" t="s">
        <v>45</v>
      </c>
      <c r="I8183" t="s">
        <v>150</v>
      </c>
      <c r="J8183" t="str">
        <f>"9781409461982"</f>
        <v>9781409461982</v>
      </c>
      <c r="K8183" t="s">
        <v>11780</v>
      </c>
      <c r="L8183">
        <v>5</v>
      </c>
      <c r="O8183" t="s">
        <v>30</v>
      </c>
      <c r="P8183" t="s">
        <v>47</v>
      </c>
      <c r="Q8183" s="1">
        <v>42265.712685185186</v>
      </c>
      <c r="R8183">
        <v>1</v>
      </c>
      <c r="S8183" t="s">
        <v>163</v>
      </c>
      <c r="T8183" t="s">
        <v>11643</v>
      </c>
      <c r="U8183">
        <v>709.4</v>
      </c>
      <c r="V8183" s="3">
        <v>41787</v>
      </c>
    </row>
    <row r="8184" spans="1:22" x14ac:dyDescent="0.35">
      <c r="A8184" s="1">
        <v>42265.711712962962</v>
      </c>
      <c r="B8184" s="2">
        <v>9.7222222222222209E-4</v>
      </c>
      <c r="C8184" t="s">
        <v>3132</v>
      </c>
      <c r="D8184" t="s">
        <v>158</v>
      </c>
      <c r="E8184" t="s">
        <v>159</v>
      </c>
      <c r="F8184" t="s">
        <v>11641</v>
      </c>
      <c r="G8184">
        <v>1589679</v>
      </c>
      <c r="H8184" t="s">
        <v>45</v>
      </c>
      <c r="I8184" t="s">
        <v>150</v>
      </c>
      <c r="J8184" t="str">
        <f>"9781409461982"</f>
        <v>9781409461982</v>
      </c>
      <c r="K8184" t="s">
        <v>33</v>
      </c>
      <c r="L8184">
        <v>3</v>
      </c>
      <c r="O8184" t="s">
        <v>30</v>
      </c>
      <c r="P8184" t="s">
        <v>50</v>
      </c>
      <c r="S8184" t="s">
        <v>163</v>
      </c>
      <c r="T8184" t="s">
        <v>11643</v>
      </c>
      <c r="U8184">
        <v>709.4</v>
      </c>
      <c r="V8184" s="3">
        <v>41787</v>
      </c>
    </row>
    <row r="8185" spans="1:22" x14ac:dyDescent="0.35">
      <c r="A8185" s="1">
        <v>42265.708287037036</v>
      </c>
      <c r="B8185" s="2">
        <v>3.0902777777777782E-3</v>
      </c>
      <c r="C8185" t="s">
        <v>3132</v>
      </c>
      <c r="D8185" t="s">
        <v>158</v>
      </c>
      <c r="E8185" t="s">
        <v>159</v>
      </c>
      <c r="F8185" t="s">
        <v>11641</v>
      </c>
      <c r="G8185">
        <v>1589679</v>
      </c>
      <c r="H8185" t="s">
        <v>45</v>
      </c>
      <c r="I8185" t="s">
        <v>150</v>
      </c>
      <c r="J8185" t="str">
        <f>"9781409461982"</f>
        <v>9781409461982</v>
      </c>
      <c r="K8185" t="s">
        <v>11781</v>
      </c>
      <c r="L8185">
        <v>23</v>
      </c>
      <c r="O8185" t="s">
        <v>30</v>
      </c>
      <c r="P8185" t="s">
        <v>50</v>
      </c>
      <c r="S8185" t="s">
        <v>163</v>
      </c>
      <c r="T8185" t="s">
        <v>11643</v>
      </c>
      <c r="U8185">
        <v>709.4</v>
      </c>
      <c r="V8185" s="3">
        <v>41787</v>
      </c>
    </row>
    <row r="8186" spans="1:22" x14ac:dyDescent="0.35">
      <c r="A8186" s="1">
        <v>42265.701423611114</v>
      </c>
      <c r="B8186" s="2">
        <v>2.3148148148148146E-4</v>
      </c>
      <c r="C8186" t="s">
        <v>11782</v>
      </c>
      <c r="D8186" t="s">
        <v>35</v>
      </c>
      <c r="E8186" t="s">
        <v>36</v>
      </c>
      <c r="F8186" t="s">
        <v>3275</v>
      </c>
      <c r="G8186">
        <v>822662</v>
      </c>
      <c r="H8186" t="s">
        <v>26</v>
      </c>
      <c r="I8186" t="s">
        <v>172</v>
      </c>
      <c r="J8186" t="str">
        <f>"9781444355130"</f>
        <v>9781444355130</v>
      </c>
      <c r="K8186" t="s">
        <v>11783</v>
      </c>
      <c r="L8186">
        <v>8</v>
      </c>
      <c r="O8186" t="s">
        <v>30</v>
      </c>
      <c r="P8186" t="s">
        <v>29</v>
      </c>
      <c r="Q8186" s="1">
        <v>42265.701423611114</v>
      </c>
      <c r="R8186">
        <v>7</v>
      </c>
      <c r="S8186" t="s">
        <v>40</v>
      </c>
      <c r="T8186" t="s">
        <v>3277</v>
      </c>
      <c r="U8186">
        <v>960.3</v>
      </c>
      <c r="V8186" s="3">
        <v>40858</v>
      </c>
    </row>
    <row r="8187" spans="1:22" x14ac:dyDescent="0.35">
      <c r="A8187" s="1">
        <v>42265.699270833335</v>
      </c>
      <c r="B8187" s="2">
        <v>0</v>
      </c>
      <c r="C8187" t="s">
        <v>11784</v>
      </c>
      <c r="D8187" t="s">
        <v>23</v>
      </c>
      <c r="E8187" t="s">
        <v>24</v>
      </c>
      <c r="F8187" t="s">
        <v>3488</v>
      </c>
      <c r="G8187">
        <v>1294909</v>
      </c>
      <c r="H8187" t="s">
        <v>84</v>
      </c>
      <c r="I8187" t="s">
        <v>445</v>
      </c>
      <c r="J8187" t="str">
        <f>"9780520956797"</f>
        <v>9780520956797</v>
      </c>
      <c r="L8187">
        <v>0</v>
      </c>
      <c r="N8187" t="s">
        <v>11785</v>
      </c>
      <c r="O8187" t="s">
        <v>30</v>
      </c>
      <c r="P8187" t="s">
        <v>29</v>
      </c>
      <c r="Q8187" s="1">
        <v>42265.699270833335</v>
      </c>
      <c r="R8187">
        <v>7</v>
      </c>
      <c r="S8187" t="s">
        <v>31</v>
      </c>
      <c r="T8187" t="s">
        <v>3490</v>
      </c>
      <c r="U8187" t="s">
        <v>3491</v>
      </c>
      <c r="V8187" s="3">
        <v>41487</v>
      </c>
    </row>
    <row r="8188" spans="1:22" x14ac:dyDescent="0.35">
      <c r="A8188" s="1">
        <v>42265.698796296296</v>
      </c>
      <c r="B8188" s="2">
        <v>4.7453703703703704E-4</v>
      </c>
      <c r="C8188" t="s">
        <v>11784</v>
      </c>
      <c r="D8188" t="s">
        <v>23</v>
      </c>
      <c r="E8188" t="s">
        <v>24</v>
      </c>
      <c r="F8188" t="s">
        <v>3488</v>
      </c>
      <c r="G8188">
        <v>1294909</v>
      </c>
      <c r="H8188" t="s">
        <v>84</v>
      </c>
      <c r="I8188" t="s">
        <v>445</v>
      </c>
      <c r="J8188" t="str">
        <f>"9780520956797"</f>
        <v>9780520956797</v>
      </c>
      <c r="K8188" t="s">
        <v>11786</v>
      </c>
      <c r="L8188">
        <v>10</v>
      </c>
      <c r="O8188" t="s">
        <v>30</v>
      </c>
      <c r="P8188" t="s">
        <v>42</v>
      </c>
      <c r="S8188" t="s">
        <v>31</v>
      </c>
      <c r="T8188" t="s">
        <v>3490</v>
      </c>
      <c r="U8188" t="s">
        <v>3491</v>
      </c>
      <c r="V8188" s="3">
        <v>41487</v>
      </c>
    </row>
    <row r="8189" spans="1:22" x14ac:dyDescent="0.35">
      <c r="A8189" s="1">
        <v>42265.694027777776</v>
      </c>
      <c r="B8189" s="2">
        <v>7.3958333333333341E-3</v>
      </c>
      <c r="C8189" t="s">
        <v>11782</v>
      </c>
      <c r="D8189" t="s">
        <v>35</v>
      </c>
      <c r="E8189" t="s">
        <v>36</v>
      </c>
      <c r="F8189" t="s">
        <v>3275</v>
      </c>
      <c r="G8189">
        <v>822662</v>
      </c>
      <c r="H8189" t="s">
        <v>26</v>
      </c>
      <c r="I8189" t="s">
        <v>172</v>
      </c>
      <c r="J8189" t="str">
        <f>"9781444355130"</f>
        <v>9781444355130</v>
      </c>
      <c r="K8189" t="s">
        <v>11787</v>
      </c>
      <c r="L8189">
        <v>8</v>
      </c>
      <c r="O8189" t="s">
        <v>30</v>
      </c>
      <c r="P8189" t="s">
        <v>42</v>
      </c>
      <c r="S8189" t="s">
        <v>40</v>
      </c>
      <c r="T8189" t="s">
        <v>3277</v>
      </c>
      <c r="U8189">
        <v>960.3</v>
      </c>
      <c r="V8189" s="3">
        <v>40858</v>
      </c>
    </row>
    <row r="8190" spans="1:22" x14ac:dyDescent="0.35">
      <c r="A8190" s="1">
        <v>42265.691261574073</v>
      </c>
      <c r="B8190" s="2">
        <v>3.6921296296296298E-3</v>
      </c>
      <c r="C8190" t="s">
        <v>3519</v>
      </c>
      <c r="D8190" t="s">
        <v>23</v>
      </c>
      <c r="E8190" t="s">
        <v>24</v>
      </c>
      <c r="F8190" t="s">
        <v>3228</v>
      </c>
      <c r="G8190">
        <v>1115640</v>
      </c>
      <c r="H8190" t="s">
        <v>26</v>
      </c>
      <c r="I8190" t="s">
        <v>3229</v>
      </c>
      <c r="J8190" t="str">
        <f>"9781118419090"</f>
        <v>9781118419090</v>
      </c>
      <c r="K8190" t="s">
        <v>11788</v>
      </c>
      <c r="L8190">
        <v>3</v>
      </c>
      <c r="N8190" t="s">
        <v>11789</v>
      </c>
      <c r="O8190" t="s">
        <v>30</v>
      </c>
      <c r="P8190" t="s">
        <v>29</v>
      </c>
      <c r="Q8190" s="1">
        <v>42265.688692129632</v>
      </c>
      <c r="R8190">
        <v>7</v>
      </c>
      <c r="S8190" t="s">
        <v>31</v>
      </c>
      <c r="T8190" t="s">
        <v>3231</v>
      </c>
      <c r="U8190">
        <v>624</v>
      </c>
      <c r="V8190" s="3">
        <v>41296</v>
      </c>
    </row>
    <row r="8191" spans="1:22" x14ac:dyDescent="0.35">
      <c r="A8191" s="1">
        <v>42265.688692129632</v>
      </c>
      <c r="B8191" s="2">
        <v>6.145833333333333E-3</v>
      </c>
      <c r="C8191" t="s">
        <v>3519</v>
      </c>
      <c r="D8191" t="s">
        <v>23</v>
      </c>
      <c r="E8191" t="s">
        <v>24</v>
      </c>
      <c r="F8191" t="s">
        <v>3228</v>
      </c>
      <c r="G8191">
        <v>1115640</v>
      </c>
      <c r="H8191" t="s">
        <v>26</v>
      </c>
      <c r="I8191" t="s">
        <v>3229</v>
      </c>
      <c r="J8191" t="str">
        <f>"9781118419090"</f>
        <v>9781118419090</v>
      </c>
      <c r="K8191" t="s">
        <v>11790</v>
      </c>
      <c r="L8191">
        <v>21</v>
      </c>
      <c r="N8191" t="s">
        <v>11319</v>
      </c>
      <c r="O8191" t="s">
        <v>30</v>
      </c>
      <c r="P8191" t="s">
        <v>29</v>
      </c>
      <c r="Q8191" s="1">
        <v>42265.688692129632</v>
      </c>
      <c r="R8191">
        <v>7</v>
      </c>
      <c r="S8191" t="s">
        <v>31</v>
      </c>
      <c r="T8191" t="s">
        <v>3231</v>
      </c>
      <c r="U8191">
        <v>624</v>
      </c>
      <c r="V8191" s="3">
        <v>41296</v>
      </c>
    </row>
    <row r="8192" spans="1:22" x14ac:dyDescent="0.35">
      <c r="A8192" s="1">
        <v>42265.688055555554</v>
      </c>
      <c r="B8192" s="2">
        <v>6.3657407407407402E-4</v>
      </c>
      <c r="C8192" t="s">
        <v>3519</v>
      </c>
      <c r="D8192" t="s">
        <v>23</v>
      </c>
      <c r="E8192" t="s">
        <v>24</v>
      </c>
      <c r="F8192" t="s">
        <v>3228</v>
      </c>
      <c r="G8192">
        <v>1115640</v>
      </c>
      <c r="H8192" t="s">
        <v>26</v>
      </c>
      <c r="I8192" t="s">
        <v>3229</v>
      </c>
      <c r="J8192" t="str">
        <f>"9781118419090"</f>
        <v>9781118419090</v>
      </c>
      <c r="K8192" t="s">
        <v>11791</v>
      </c>
      <c r="L8192">
        <v>31</v>
      </c>
      <c r="O8192" t="s">
        <v>30</v>
      </c>
      <c r="P8192" t="s">
        <v>42</v>
      </c>
      <c r="S8192" t="s">
        <v>31</v>
      </c>
      <c r="T8192" t="s">
        <v>3231</v>
      </c>
      <c r="U8192">
        <v>624</v>
      </c>
      <c r="V8192" s="3">
        <v>41296</v>
      </c>
    </row>
    <row r="8193" spans="1:22" x14ac:dyDescent="0.35">
      <c r="A8193" s="1">
        <v>42265.663356481484</v>
      </c>
      <c r="B8193" s="2">
        <v>8.9467592592592585E-3</v>
      </c>
      <c r="C8193" t="s">
        <v>11518</v>
      </c>
      <c r="D8193" t="s">
        <v>35</v>
      </c>
      <c r="E8193" t="s">
        <v>36</v>
      </c>
      <c r="F8193" t="s">
        <v>37</v>
      </c>
      <c r="G8193">
        <v>1684620</v>
      </c>
      <c r="H8193" t="s">
        <v>26</v>
      </c>
      <c r="I8193" t="s">
        <v>38</v>
      </c>
      <c r="J8193" t="str">
        <f>"9781118418925"</f>
        <v>9781118418925</v>
      </c>
      <c r="K8193" t="s">
        <v>11792</v>
      </c>
      <c r="L8193">
        <v>38</v>
      </c>
      <c r="O8193" t="s">
        <v>30</v>
      </c>
      <c r="P8193" t="s">
        <v>29</v>
      </c>
      <c r="Q8193" s="1">
        <v>42261.557118055556</v>
      </c>
      <c r="R8193">
        <v>7</v>
      </c>
      <c r="S8193" t="s">
        <v>40</v>
      </c>
      <c r="T8193" t="s">
        <v>41</v>
      </c>
      <c r="U8193">
        <v>362.10680000000002</v>
      </c>
      <c r="V8193" s="3">
        <v>41759</v>
      </c>
    </row>
    <row r="8194" spans="1:22" x14ac:dyDescent="0.35">
      <c r="A8194" s="1">
        <v>42265.661446759259</v>
      </c>
      <c r="B8194" s="2">
        <v>3.0717592592592591E-2</v>
      </c>
      <c r="C8194" t="s">
        <v>6724</v>
      </c>
      <c r="D8194" t="s">
        <v>23</v>
      </c>
      <c r="E8194" t="s">
        <v>24</v>
      </c>
      <c r="F8194" t="s">
        <v>486</v>
      </c>
      <c r="G8194">
        <v>1119505</v>
      </c>
      <c r="H8194" t="s">
        <v>26</v>
      </c>
      <c r="I8194" t="s">
        <v>450</v>
      </c>
      <c r="J8194" t="str">
        <f>"9781118355015"</f>
        <v>9781118355015</v>
      </c>
      <c r="K8194" t="s">
        <v>11793</v>
      </c>
      <c r="L8194">
        <v>34</v>
      </c>
      <c r="O8194" t="s">
        <v>30</v>
      </c>
      <c r="P8194" t="s">
        <v>29</v>
      </c>
      <c r="Q8194" s="1">
        <v>42264.590648148151</v>
      </c>
      <c r="R8194">
        <v>7</v>
      </c>
      <c r="S8194" t="s">
        <v>31</v>
      </c>
      <c r="T8194" t="s">
        <v>487</v>
      </c>
      <c r="U8194" t="s">
        <v>488</v>
      </c>
      <c r="V8194" s="3">
        <v>41302</v>
      </c>
    </row>
    <row r="8195" spans="1:22" x14ac:dyDescent="0.35">
      <c r="A8195" s="1">
        <v>42265.631909722222</v>
      </c>
      <c r="B8195" s="2">
        <v>1.6666666666666668E-3</v>
      </c>
      <c r="C8195" t="s">
        <v>8560</v>
      </c>
      <c r="D8195" t="s">
        <v>597</v>
      </c>
      <c r="E8195" t="s">
        <v>598</v>
      </c>
      <c r="F8195" t="s">
        <v>111</v>
      </c>
      <c r="G8195">
        <v>693176</v>
      </c>
      <c r="H8195" t="s">
        <v>26</v>
      </c>
      <c r="I8195" t="s">
        <v>112</v>
      </c>
      <c r="J8195" t="str">
        <f>"9781118017746"</f>
        <v>9781118017746</v>
      </c>
      <c r="K8195" t="s">
        <v>11794</v>
      </c>
      <c r="L8195">
        <v>8</v>
      </c>
      <c r="O8195" t="s">
        <v>30</v>
      </c>
      <c r="P8195" t="s">
        <v>29</v>
      </c>
      <c r="Q8195" s="1">
        <v>42258.811041666668</v>
      </c>
      <c r="R8195">
        <v>7</v>
      </c>
      <c r="S8195" t="s">
        <v>600</v>
      </c>
      <c r="T8195" t="s">
        <v>114</v>
      </c>
      <c r="U8195" t="s">
        <v>115</v>
      </c>
      <c r="V8195" s="3">
        <v>40835</v>
      </c>
    </row>
    <row r="8196" spans="1:22" x14ac:dyDescent="0.35">
      <c r="A8196" s="1">
        <v>42265.612569444442</v>
      </c>
      <c r="B8196" s="2">
        <v>0</v>
      </c>
      <c r="C8196" t="s">
        <v>11157</v>
      </c>
      <c r="D8196" t="s">
        <v>360</v>
      </c>
      <c r="E8196" t="s">
        <v>361</v>
      </c>
      <c r="F8196" t="s">
        <v>11795</v>
      </c>
      <c r="G8196">
        <v>1825717</v>
      </c>
      <c r="H8196" t="s">
        <v>45</v>
      </c>
      <c r="I8196" t="s">
        <v>79</v>
      </c>
      <c r="J8196" t="str">
        <f>"9781409410461"</f>
        <v>9781409410461</v>
      </c>
      <c r="L8196">
        <v>0</v>
      </c>
      <c r="N8196" t="s">
        <v>11796</v>
      </c>
      <c r="O8196" t="s">
        <v>30</v>
      </c>
      <c r="P8196" t="s">
        <v>47</v>
      </c>
      <c r="Q8196" s="1">
        <v>42265.612569444442</v>
      </c>
      <c r="R8196">
        <v>1</v>
      </c>
      <c r="S8196" t="s">
        <v>363</v>
      </c>
      <c r="T8196" t="s">
        <v>11797</v>
      </c>
      <c r="U8196" t="s">
        <v>11798</v>
      </c>
      <c r="V8196" s="3">
        <v>42001</v>
      </c>
    </row>
    <row r="8197" spans="1:22" x14ac:dyDescent="0.35">
      <c r="A8197" s="1">
        <v>42265.611840277779</v>
      </c>
      <c r="B8197" s="2">
        <v>7.175925925925927E-4</v>
      </c>
      <c r="C8197" t="s">
        <v>11157</v>
      </c>
      <c r="D8197" t="s">
        <v>360</v>
      </c>
      <c r="E8197" t="s">
        <v>361</v>
      </c>
      <c r="F8197" t="s">
        <v>11795</v>
      </c>
      <c r="G8197">
        <v>1825717</v>
      </c>
      <c r="H8197" t="s">
        <v>45</v>
      </c>
      <c r="I8197" t="s">
        <v>79</v>
      </c>
      <c r="J8197" t="str">
        <f>"9781409410461"</f>
        <v>9781409410461</v>
      </c>
      <c r="K8197" t="s">
        <v>11799</v>
      </c>
      <c r="L8197">
        <v>8</v>
      </c>
      <c r="O8197" t="s">
        <v>30</v>
      </c>
      <c r="P8197" t="s">
        <v>50</v>
      </c>
      <c r="S8197" t="s">
        <v>363</v>
      </c>
      <c r="T8197" t="s">
        <v>11797</v>
      </c>
      <c r="U8197" t="s">
        <v>11798</v>
      </c>
      <c r="V8197" s="3">
        <v>42001</v>
      </c>
    </row>
    <row r="8198" spans="1:22" x14ac:dyDescent="0.35">
      <c r="A8198" s="1">
        <v>42265.59579861111</v>
      </c>
      <c r="B8198" s="2">
        <v>0</v>
      </c>
      <c r="C8198" t="s">
        <v>11800</v>
      </c>
      <c r="D8198" t="s">
        <v>23</v>
      </c>
      <c r="E8198" t="s">
        <v>24</v>
      </c>
      <c r="F8198" t="s">
        <v>3488</v>
      </c>
      <c r="G8198">
        <v>1294909</v>
      </c>
      <c r="H8198" t="s">
        <v>84</v>
      </c>
      <c r="I8198" t="s">
        <v>445</v>
      </c>
      <c r="J8198" t="str">
        <f>"9780520956797"</f>
        <v>9780520956797</v>
      </c>
      <c r="L8198">
        <v>0</v>
      </c>
      <c r="N8198" t="s">
        <v>11785</v>
      </c>
      <c r="O8198" t="s">
        <v>30</v>
      </c>
      <c r="P8198" t="s">
        <v>29</v>
      </c>
      <c r="Q8198" s="1">
        <v>42265.59579861111</v>
      </c>
      <c r="R8198">
        <v>7</v>
      </c>
      <c r="S8198" t="s">
        <v>31</v>
      </c>
      <c r="T8198" t="s">
        <v>3490</v>
      </c>
      <c r="U8198" t="s">
        <v>3491</v>
      </c>
      <c r="V8198" s="3">
        <v>41487</v>
      </c>
    </row>
    <row r="8199" spans="1:22" x14ac:dyDescent="0.35">
      <c r="A8199" s="1">
        <v>42265.594386574077</v>
      </c>
      <c r="B8199" s="2">
        <v>1.4120370370370369E-3</v>
      </c>
      <c r="C8199" t="s">
        <v>11800</v>
      </c>
      <c r="D8199" t="s">
        <v>23</v>
      </c>
      <c r="E8199" t="s">
        <v>24</v>
      </c>
      <c r="F8199" t="s">
        <v>3488</v>
      </c>
      <c r="G8199">
        <v>1294909</v>
      </c>
      <c r="H8199" t="s">
        <v>84</v>
      </c>
      <c r="I8199" t="s">
        <v>445</v>
      </c>
      <c r="J8199" t="str">
        <f>"9780520956797"</f>
        <v>9780520956797</v>
      </c>
      <c r="K8199" t="s">
        <v>11801</v>
      </c>
      <c r="L8199">
        <v>5</v>
      </c>
      <c r="O8199" t="s">
        <v>30</v>
      </c>
      <c r="P8199" t="s">
        <v>42</v>
      </c>
      <c r="S8199" t="s">
        <v>31</v>
      </c>
      <c r="T8199" t="s">
        <v>3490</v>
      </c>
      <c r="U8199" t="s">
        <v>3491</v>
      </c>
      <c r="V8199" s="3">
        <v>41487</v>
      </c>
    </row>
    <row r="8200" spans="1:22" x14ac:dyDescent="0.35">
      <c r="A8200" s="1">
        <v>42265.592951388891</v>
      </c>
      <c r="B8200" s="2">
        <v>1.2731481481481483E-3</v>
      </c>
      <c r="C8200" t="s">
        <v>10950</v>
      </c>
      <c r="D8200" t="s">
        <v>23</v>
      </c>
      <c r="E8200" t="s">
        <v>24</v>
      </c>
      <c r="F8200" t="s">
        <v>3228</v>
      </c>
      <c r="G8200">
        <v>1115640</v>
      </c>
      <c r="H8200" t="s">
        <v>26</v>
      </c>
      <c r="I8200" t="s">
        <v>3229</v>
      </c>
      <c r="J8200" t="str">
        <f>"9781118419090"</f>
        <v>9781118419090</v>
      </c>
      <c r="K8200" t="s">
        <v>1438</v>
      </c>
      <c r="L8200">
        <v>16</v>
      </c>
      <c r="O8200" t="s">
        <v>30</v>
      </c>
      <c r="P8200" t="s">
        <v>42</v>
      </c>
      <c r="S8200" t="s">
        <v>31</v>
      </c>
      <c r="T8200" t="s">
        <v>3231</v>
      </c>
      <c r="U8200">
        <v>624</v>
      </c>
      <c r="V8200" s="3">
        <v>41296</v>
      </c>
    </row>
    <row r="8201" spans="1:22" x14ac:dyDescent="0.35">
      <c r="A8201" s="1">
        <v>42265.584317129629</v>
      </c>
      <c r="B8201" s="2">
        <v>6.5972222222222213E-4</v>
      </c>
      <c r="C8201" t="s">
        <v>659</v>
      </c>
      <c r="D8201" t="s">
        <v>146</v>
      </c>
      <c r="E8201" t="s">
        <v>147</v>
      </c>
      <c r="F8201" t="s">
        <v>1443</v>
      </c>
      <c r="G8201">
        <v>894589</v>
      </c>
      <c r="H8201" t="s">
        <v>1365</v>
      </c>
      <c r="I8201" t="s">
        <v>310</v>
      </c>
      <c r="J8201" t="str">
        <f>"9781441124906"</f>
        <v>9781441124906</v>
      </c>
      <c r="K8201" t="s">
        <v>11802</v>
      </c>
      <c r="L8201">
        <v>36</v>
      </c>
      <c r="O8201" t="s">
        <v>30</v>
      </c>
      <c r="P8201" t="s">
        <v>29</v>
      </c>
      <c r="Q8201" s="1">
        <v>42265.584317129629</v>
      </c>
      <c r="R8201">
        <v>7</v>
      </c>
      <c r="S8201" t="s">
        <v>528</v>
      </c>
      <c r="T8201" t="s">
        <v>1446</v>
      </c>
      <c r="U8201">
        <v>882.01</v>
      </c>
      <c r="V8201" s="3">
        <v>40976</v>
      </c>
    </row>
    <row r="8202" spans="1:22" x14ac:dyDescent="0.35">
      <c r="A8202" s="1">
        <v>42265.569594907407</v>
      </c>
      <c r="B8202" s="2">
        <v>1.3888888888888889E-3</v>
      </c>
      <c r="C8202" t="s">
        <v>6724</v>
      </c>
      <c r="D8202" t="s">
        <v>23</v>
      </c>
      <c r="E8202" t="s">
        <v>24</v>
      </c>
      <c r="F8202" t="s">
        <v>486</v>
      </c>
      <c r="G8202">
        <v>1119505</v>
      </c>
      <c r="H8202" t="s">
        <v>26</v>
      </c>
      <c r="I8202" t="s">
        <v>450</v>
      </c>
      <c r="J8202" t="str">
        <f>"9781118355015"</f>
        <v>9781118355015</v>
      </c>
      <c r="K8202" t="s">
        <v>11803</v>
      </c>
      <c r="L8202">
        <v>15</v>
      </c>
      <c r="O8202" t="s">
        <v>30</v>
      </c>
      <c r="P8202" t="s">
        <v>29</v>
      </c>
      <c r="Q8202" s="1">
        <v>42264.590648148151</v>
      </c>
      <c r="R8202">
        <v>7</v>
      </c>
      <c r="S8202" t="s">
        <v>31</v>
      </c>
      <c r="T8202" t="s">
        <v>487</v>
      </c>
      <c r="U8202" t="s">
        <v>488</v>
      </c>
      <c r="V8202" s="3">
        <v>41302</v>
      </c>
    </row>
    <row r="8203" spans="1:22" x14ac:dyDescent="0.35">
      <c r="A8203" s="1">
        <v>42265.564884259256</v>
      </c>
      <c r="B8203" s="2">
        <v>1.0405092592592593E-2</v>
      </c>
      <c r="C8203" t="s">
        <v>106</v>
      </c>
      <c r="D8203" t="s">
        <v>23</v>
      </c>
      <c r="E8203" t="s">
        <v>24</v>
      </c>
      <c r="F8203" t="s">
        <v>3228</v>
      </c>
      <c r="G8203">
        <v>1115640</v>
      </c>
      <c r="H8203" t="s">
        <v>26</v>
      </c>
      <c r="I8203" t="s">
        <v>3229</v>
      </c>
      <c r="J8203" t="str">
        <f>"9781118419090"</f>
        <v>9781118419090</v>
      </c>
      <c r="K8203" t="s">
        <v>11804</v>
      </c>
      <c r="L8203">
        <v>51</v>
      </c>
      <c r="O8203" t="s">
        <v>30</v>
      </c>
      <c r="P8203" t="s">
        <v>29</v>
      </c>
      <c r="Q8203" s="1">
        <v>42265.564884259256</v>
      </c>
      <c r="R8203">
        <v>7</v>
      </c>
      <c r="S8203" t="s">
        <v>31</v>
      </c>
      <c r="T8203" t="s">
        <v>3231</v>
      </c>
      <c r="U8203">
        <v>624</v>
      </c>
      <c r="V8203" s="3">
        <v>41296</v>
      </c>
    </row>
    <row r="8204" spans="1:22" x14ac:dyDescent="0.35">
      <c r="A8204" s="1">
        <v>42265.556898148148</v>
      </c>
      <c r="B8204" s="2">
        <v>7.9861111111111122E-3</v>
      </c>
      <c r="C8204" t="s">
        <v>106</v>
      </c>
      <c r="D8204" t="s">
        <v>23</v>
      </c>
      <c r="E8204" t="s">
        <v>24</v>
      </c>
      <c r="F8204" t="s">
        <v>3228</v>
      </c>
      <c r="G8204">
        <v>1115640</v>
      </c>
      <c r="H8204" t="s">
        <v>26</v>
      </c>
      <c r="I8204" t="s">
        <v>3229</v>
      </c>
      <c r="J8204" t="str">
        <f>"9781118419090"</f>
        <v>9781118419090</v>
      </c>
      <c r="K8204" t="s">
        <v>11805</v>
      </c>
      <c r="L8204">
        <v>18</v>
      </c>
      <c r="O8204" t="s">
        <v>30</v>
      </c>
      <c r="P8204" t="s">
        <v>42</v>
      </c>
      <c r="S8204" t="s">
        <v>31</v>
      </c>
      <c r="T8204" t="s">
        <v>3231</v>
      </c>
      <c r="U8204">
        <v>624</v>
      </c>
      <c r="V8204" s="3">
        <v>41296</v>
      </c>
    </row>
    <row r="8205" spans="1:22" x14ac:dyDescent="0.35">
      <c r="A8205" s="1">
        <v>42265.513182870367</v>
      </c>
      <c r="B8205" s="2">
        <v>7.1134259259259258E-2</v>
      </c>
      <c r="C8205" t="s">
        <v>659</v>
      </c>
      <c r="D8205" t="s">
        <v>146</v>
      </c>
      <c r="E8205" t="s">
        <v>147</v>
      </c>
      <c r="F8205" t="s">
        <v>1443</v>
      </c>
      <c r="G8205">
        <v>894589</v>
      </c>
      <c r="H8205" t="s">
        <v>1365</v>
      </c>
      <c r="I8205" t="s">
        <v>310</v>
      </c>
      <c r="J8205" t="str">
        <f>"9781441124906"</f>
        <v>9781441124906</v>
      </c>
      <c r="K8205" t="s">
        <v>33</v>
      </c>
      <c r="L8205">
        <v>3</v>
      </c>
      <c r="O8205" t="s">
        <v>30</v>
      </c>
      <c r="P8205" t="s">
        <v>42</v>
      </c>
      <c r="S8205" t="s">
        <v>528</v>
      </c>
      <c r="T8205" t="s">
        <v>1446</v>
      </c>
      <c r="U8205">
        <v>882.01</v>
      </c>
      <c r="V8205" s="3">
        <v>40976</v>
      </c>
    </row>
    <row r="8206" spans="1:22" x14ac:dyDescent="0.35">
      <c r="A8206" s="1">
        <v>42265.494270833333</v>
      </c>
      <c r="B8206" s="2">
        <v>6.5972222222222213E-4</v>
      </c>
      <c r="C8206" t="s">
        <v>10989</v>
      </c>
      <c r="D8206" t="s">
        <v>23</v>
      </c>
      <c r="E8206" t="s">
        <v>24</v>
      </c>
      <c r="F8206" t="s">
        <v>3228</v>
      </c>
      <c r="G8206">
        <v>1115640</v>
      </c>
      <c r="H8206" t="s">
        <v>26</v>
      </c>
      <c r="I8206" t="s">
        <v>3229</v>
      </c>
      <c r="J8206" t="str">
        <f>"9781118419090"</f>
        <v>9781118419090</v>
      </c>
      <c r="K8206" t="s">
        <v>11806</v>
      </c>
      <c r="L8206">
        <v>16</v>
      </c>
      <c r="O8206" t="s">
        <v>30</v>
      </c>
      <c r="P8206" t="s">
        <v>42</v>
      </c>
      <c r="S8206" t="s">
        <v>31</v>
      </c>
      <c r="T8206" t="s">
        <v>3231</v>
      </c>
      <c r="U8206">
        <v>624</v>
      </c>
      <c r="V8206" s="3">
        <v>41296</v>
      </c>
    </row>
    <row r="8207" spans="1:22" x14ac:dyDescent="0.35">
      <c r="A8207" s="1">
        <v>42265.395578703705</v>
      </c>
      <c r="B8207" s="2">
        <v>0</v>
      </c>
      <c r="C8207" t="s">
        <v>11807</v>
      </c>
      <c r="D8207" t="s">
        <v>23</v>
      </c>
      <c r="E8207" t="s">
        <v>24</v>
      </c>
      <c r="F8207" t="s">
        <v>1871</v>
      </c>
      <c r="G8207">
        <v>1809736</v>
      </c>
      <c r="H8207" t="s">
        <v>26</v>
      </c>
      <c r="I8207" t="s">
        <v>1872</v>
      </c>
      <c r="J8207" t="str">
        <f>"9781118870242"</f>
        <v>9781118870242</v>
      </c>
      <c r="L8207">
        <v>0</v>
      </c>
      <c r="O8207" t="s">
        <v>28</v>
      </c>
      <c r="P8207" t="s">
        <v>29</v>
      </c>
      <c r="Q8207" s="1">
        <v>42265.389606481483</v>
      </c>
      <c r="R8207">
        <v>7</v>
      </c>
      <c r="S8207" t="s">
        <v>31</v>
      </c>
      <c r="T8207" t="s">
        <v>1874</v>
      </c>
      <c r="U8207">
        <v>720.47076000000004</v>
      </c>
      <c r="V8207" s="3">
        <v>41911</v>
      </c>
    </row>
    <row r="8208" spans="1:22" x14ac:dyDescent="0.35">
      <c r="A8208" s="1">
        <v>42265.39466435185</v>
      </c>
      <c r="B8208" s="2">
        <v>8.7962962962962962E-4</v>
      </c>
      <c r="C8208" t="s">
        <v>11807</v>
      </c>
      <c r="D8208" t="s">
        <v>23</v>
      </c>
      <c r="E8208" t="s">
        <v>24</v>
      </c>
      <c r="F8208" t="s">
        <v>1871</v>
      </c>
      <c r="G8208">
        <v>1809736</v>
      </c>
      <c r="H8208" t="s">
        <v>26</v>
      </c>
      <c r="I8208" t="s">
        <v>1872</v>
      </c>
      <c r="J8208" t="str">
        <f>"9781118870242"</f>
        <v>9781118870242</v>
      </c>
      <c r="K8208" t="s">
        <v>11808</v>
      </c>
      <c r="L8208">
        <v>4</v>
      </c>
      <c r="O8208" t="s">
        <v>30</v>
      </c>
      <c r="P8208" t="s">
        <v>29</v>
      </c>
      <c r="Q8208" s="1">
        <v>42265.389606481483</v>
      </c>
      <c r="R8208">
        <v>7</v>
      </c>
      <c r="S8208" t="s">
        <v>31</v>
      </c>
      <c r="T8208" t="s">
        <v>1874</v>
      </c>
      <c r="U8208">
        <v>720.47076000000004</v>
      </c>
      <c r="V8208" s="3">
        <v>41911</v>
      </c>
    </row>
    <row r="8209" spans="1:22" x14ac:dyDescent="0.35">
      <c r="A8209" s="1">
        <v>42265.393599537034</v>
      </c>
      <c r="B8209" s="2">
        <v>2.0104166666666666E-2</v>
      </c>
      <c r="C8209" t="s">
        <v>7498</v>
      </c>
      <c r="D8209" t="s">
        <v>35</v>
      </c>
      <c r="E8209" t="s">
        <v>36</v>
      </c>
      <c r="F8209" t="s">
        <v>3275</v>
      </c>
      <c r="G8209">
        <v>822662</v>
      </c>
      <c r="H8209" t="s">
        <v>26</v>
      </c>
      <c r="I8209" t="s">
        <v>172</v>
      </c>
      <c r="J8209" t="str">
        <f>"9781444355130"</f>
        <v>9781444355130</v>
      </c>
      <c r="K8209" t="s">
        <v>11809</v>
      </c>
      <c r="L8209">
        <v>41</v>
      </c>
      <c r="O8209" t="s">
        <v>30</v>
      </c>
      <c r="P8209" t="s">
        <v>29</v>
      </c>
      <c r="Q8209" s="1">
        <v>42261.010972222219</v>
      </c>
      <c r="R8209">
        <v>7</v>
      </c>
      <c r="S8209" t="s">
        <v>40</v>
      </c>
      <c r="T8209" t="s">
        <v>3277</v>
      </c>
      <c r="U8209">
        <v>960.3</v>
      </c>
      <c r="V8209" s="3">
        <v>40858</v>
      </c>
    </row>
    <row r="8210" spans="1:22" x14ac:dyDescent="0.35">
      <c r="A8210" s="1">
        <v>42265.392314814817</v>
      </c>
      <c r="B8210" s="2">
        <v>2.8935185185185189E-4</v>
      </c>
      <c r="C8210" t="s">
        <v>11807</v>
      </c>
      <c r="D8210" t="s">
        <v>23</v>
      </c>
      <c r="E8210" t="s">
        <v>24</v>
      </c>
      <c r="F8210" t="s">
        <v>1871</v>
      </c>
      <c r="G8210">
        <v>1809736</v>
      </c>
      <c r="H8210" t="s">
        <v>26</v>
      </c>
      <c r="I8210" t="s">
        <v>1872</v>
      </c>
      <c r="J8210" t="str">
        <f t="shared" ref="J8210:J8216" si="54">"9781118870242"</f>
        <v>9781118870242</v>
      </c>
      <c r="K8210" t="s">
        <v>11810</v>
      </c>
      <c r="L8210">
        <v>8</v>
      </c>
      <c r="O8210" t="s">
        <v>28</v>
      </c>
      <c r="P8210" t="s">
        <v>29</v>
      </c>
      <c r="Q8210" s="1">
        <v>42265.389606481483</v>
      </c>
      <c r="R8210">
        <v>7</v>
      </c>
      <c r="S8210" t="s">
        <v>31</v>
      </c>
      <c r="T8210" t="s">
        <v>1874</v>
      </c>
      <c r="U8210">
        <v>720.47076000000004</v>
      </c>
      <c r="V8210" s="3">
        <v>41911</v>
      </c>
    </row>
    <row r="8211" spans="1:22" x14ac:dyDescent="0.35">
      <c r="A8211" s="1">
        <v>42265.392048611109</v>
      </c>
      <c r="B8211" s="2">
        <v>1.273148148148148E-4</v>
      </c>
      <c r="C8211" t="s">
        <v>11807</v>
      </c>
      <c r="D8211" t="s">
        <v>23</v>
      </c>
      <c r="E8211" t="s">
        <v>24</v>
      </c>
      <c r="F8211" t="s">
        <v>1871</v>
      </c>
      <c r="G8211">
        <v>1809736</v>
      </c>
      <c r="H8211" t="s">
        <v>26</v>
      </c>
      <c r="I8211" t="s">
        <v>1872</v>
      </c>
      <c r="J8211" t="str">
        <f t="shared" si="54"/>
        <v>9781118870242</v>
      </c>
      <c r="K8211" t="s">
        <v>414</v>
      </c>
      <c r="L8211">
        <v>2</v>
      </c>
      <c r="O8211" t="s">
        <v>28</v>
      </c>
      <c r="P8211" t="s">
        <v>29</v>
      </c>
      <c r="Q8211" s="1">
        <v>42265.389606481483</v>
      </c>
      <c r="R8211">
        <v>7</v>
      </c>
      <c r="S8211" t="s">
        <v>31</v>
      </c>
      <c r="T8211" t="s">
        <v>1874</v>
      </c>
      <c r="U8211">
        <v>720.47076000000004</v>
      </c>
      <c r="V8211" s="3">
        <v>41911</v>
      </c>
    </row>
    <row r="8212" spans="1:22" x14ac:dyDescent="0.35">
      <c r="A8212" s="1">
        <v>42265.391921296294</v>
      </c>
      <c r="B8212" s="2">
        <v>0</v>
      </c>
      <c r="C8212" t="s">
        <v>11807</v>
      </c>
      <c r="D8212" t="s">
        <v>23</v>
      </c>
      <c r="E8212" t="s">
        <v>24</v>
      </c>
      <c r="F8212" t="s">
        <v>1871</v>
      </c>
      <c r="G8212">
        <v>1809736</v>
      </c>
      <c r="H8212" t="s">
        <v>26</v>
      </c>
      <c r="I8212" t="s">
        <v>1872</v>
      </c>
      <c r="J8212" t="str">
        <f t="shared" si="54"/>
        <v>9781118870242</v>
      </c>
      <c r="L8212">
        <v>0</v>
      </c>
      <c r="O8212" t="s">
        <v>28</v>
      </c>
      <c r="P8212" t="s">
        <v>29</v>
      </c>
      <c r="Q8212" s="1">
        <v>42265.389606481483</v>
      </c>
      <c r="R8212">
        <v>7</v>
      </c>
      <c r="S8212" t="s">
        <v>31</v>
      </c>
      <c r="T8212" t="s">
        <v>1874</v>
      </c>
      <c r="U8212">
        <v>720.47076000000004</v>
      </c>
      <c r="V8212" s="3">
        <v>41911</v>
      </c>
    </row>
    <row r="8213" spans="1:22" x14ac:dyDescent="0.35">
      <c r="A8213" s="1">
        <v>42265.391446759262</v>
      </c>
      <c r="B8213" s="2">
        <v>0</v>
      </c>
      <c r="C8213" t="s">
        <v>11807</v>
      </c>
      <c r="D8213" t="s">
        <v>23</v>
      </c>
      <c r="E8213" t="s">
        <v>24</v>
      </c>
      <c r="F8213" t="s">
        <v>1871</v>
      </c>
      <c r="G8213">
        <v>1809736</v>
      </c>
      <c r="H8213" t="s">
        <v>26</v>
      </c>
      <c r="I8213" t="s">
        <v>1872</v>
      </c>
      <c r="J8213" t="str">
        <f t="shared" si="54"/>
        <v>9781118870242</v>
      </c>
      <c r="L8213">
        <v>0</v>
      </c>
      <c r="O8213" t="s">
        <v>28</v>
      </c>
      <c r="P8213" t="s">
        <v>29</v>
      </c>
      <c r="Q8213" s="1">
        <v>42265.389606481483</v>
      </c>
      <c r="R8213">
        <v>7</v>
      </c>
      <c r="S8213" t="s">
        <v>31</v>
      </c>
      <c r="T8213" t="s">
        <v>1874</v>
      </c>
      <c r="U8213">
        <v>720.47076000000004</v>
      </c>
      <c r="V8213" s="3">
        <v>41911</v>
      </c>
    </row>
    <row r="8214" spans="1:22" x14ac:dyDescent="0.35">
      <c r="A8214" s="1">
        <v>42265.390520833331</v>
      </c>
      <c r="B8214" s="2">
        <v>0</v>
      </c>
      <c r="C8214" t="s">
        <v>11807</v>
      </c>
      <c r="D8214" t="s">
        <v>23</v>
      </c>
      <c r="E8214" t="s">
        <v>24</v>
      </c>
      <c r="F8214" t="s">
        <v>1871</v>
      </c>
      <c r="G8214">
        <v>1809736</v>
      </c>
      <c r="H8214" t="s">
        <v>26</v>
      </c>
      <c r="I8214" t="s">
        <v>1872</v>
      </c>
      <c r="J8214" t="str">
        <f t="shared" si="54"/>
        <v>9781118870242</v>
      </c>
      <c r="L8214">
        <v>0</v>
      </c>
      <c r="O8214" t="s">
        <v>28</v>
      </c>
      <c r="P8214" t="s">
        <v>29</v>
      </c>
      <c r="Q8214" s="1">
        <v>42265.389606481483</v>
      </c>
      <c r="R8214">
        <v>7</v>
      </c>
      <c r="S8214" t="s">
        <v>31</v>
      </c>
      <c r="T8214" t="s">
        <v>1874</v>
      </c>
      <c r="U8214">
        <v>720.47076000000004</v>
      </c>
      <c r="V8214" s="3">
        <v>41911</v>
      </c>
    </row>
    <row r="8215" spans="1:22" x14ac:dyDescent="0.35">
      <c r="A8215" s="1">
        <v>42265.389606481483</v>
      </c>
      <c r="B8215" s="2">
        <v>5.6712962962962956E-4</v>
      </c>
      <c r="C8215" t="s">
        <v>11807</v>
      </c>
      <c r="D8215" t="s">
        <v>23</v>
      </c>
      <c r="E8215" t="s">
        <v>24</v>
      </c>
      <c r="F8215" t="s">
        <v>1871</v>
      </c>
      <c r="G8215">
        <v>1809736</v>
      </c>
      <c r="H8215" t="s">
        <v>26</v>
      </c>
      <c r="I8215" t="s">
        <v>1872</v>
      </c>
      <c r="J8215" t="str">
        <f t="shared" si="54"/>
        <v>9781118870242</v>
      </c>
      <c r="K8215" t="s">
        <v>834</v>
      </c>
      <c r="L8215">
        <v>1</v>
      </c>
      <c r="O8215" t="s">
        <v>30</v>
      </c>
      <c r="P8215" t="s">
        <v>29</v>
      </c>
      <c r="Q8215" s="1">
        <v>42265.389606481483</v>
      </c>
      <c r="R8215">
        <v>7</v>
      </c>
      <c r="S8215" t="s">
        <v>31</v>
      </c>
      <c r="T8215" t="s">
        <v>1874</v>
      </c>
      <c r="U8215">
        <v>720.47076000000004</v>
      </c>
      <c r="V8215" s="3">
        <v>41911</v>
      </c>
    </row>
    <row r="8216" spans="1:22" x14ac:dyDescent="0.35">
      <c r="A8216" s="1">
        <v>42265.388958333337</v>
      </c>
      <c r="B8216" s="2">
        <v>6.4814814814814813E-4</v>
      </c>
      <c r="C8216" t="s">
        <v>11807</v>
      </c>
      <c r="D8216" t="s">
        <v>23</v>
      </c>
      <c r="E8216" t="s">
        <v>24</v>
      </c>
      <c r="F8216" t="s">
        <v>1871</v>
      </c>
      <c r="G8216">
        <v>1809736</v>
      </c>
      <c r="H8216" t="s">
        <v>26</v>
      </c>
      <c r="I8216" t="s">
        <v>1872</v>
      </c>
      <c r="J8216" t="str">
        <f t="shared" si="54"/>
        <v>9781118870242</v>
      </c>
      <c r="K8216" t="s">
        <v>202</v>
      </c>
      <c r="L8216">
        <v>3</v>
      </c>
      <c r="O8216" t="s">
        <v>30</v>
      </c>
      <c r="P8216" t="s">
        <v>42</v>
      </c>
      <c r="S8216" t="s">
        <v>31</v>
      </c>
      <c r="T8216" t="s">
        <v>1874</v>
      </c>
      <c r="U8216">
        <v>720.47076000000004</v>
      </c>
      <c r="V8216" s="3">
        <v>41911</v>
      </c>
    </row>
    <row r="8217" spans="1:22" x14ac:dyDescent="0.35">
      <c r="A8217" s="1">
        <v>42265.181666666664</v>
      </c>
      <c r="B8217" s="2">
        <v>8.7962962962962962E-4</v>
      </c>
      <c r="C8217" t="s">
        <v>11469</v>
      </c>
      <c r="D8217" t="s">
        <v>23</v>
      </c>
      <c r="E8217" t="s">
        <v>24</v>
      </c>
      <c r="F8217" t="s">
        <v>3559</v>
      </c>
      <c r="G8217">
        <v>1217954</v>
      </c>
      <c r="H8217" t="s">
        <v>45</v>
      </c>
      <c r="I8217" t="s">
        <v>3560</v>
      </c>
      <c r="J8217" t="str">
        <f>"9781409457558"</f>
        <v>9781409457558</v>
      </c>
      <c r="K8217" t="s">
        <v>11811</v>
      </c>
      <c r="L8217">
        <v>28</v>
      </c>
      <c r="O8217" t="s">
        <v>30</v>
      </c>
      <c r="P8217" t="s">
        <v>29</v>
      </c>
      <c r="Q8217" s="1">
        <v>42265.174618055556</v>
      </c>
      <c r="R8217">
        <v>7</v>
      </c>
      <c r="S8217" t="s">
        <v>31</v>
      </c>
      <c r="T8217" t="s">
        <v>3562</v>
      </c>
      <c r="U8217" t="s">
        <v>3563</v>
      </c>
      <c r="V8217" s="3">
        <v>41575</v>
      </c>
    </row>
    <row r="8218" spans="1:22" x14ac:dyDescent="0.35">
      <c r="A8218" s="1">
        <v>42265.174629629626</v>
      </c>
      <c r="B8218" s="2">
        <v>0</v>
      </c>
      <c r="C8218" t="s">
        <v>11469</v>
      </c>
      <c r="D8218" t="s">
        <v>23</v>
      </c>
      <c r="E8218" t="s">
        <v>24</v>
      </c>
      <c r="F8218" t="s">
        <v>3559</v>
      </c>
      <c r="G8218">
        <v>1217954</v>
      </c>
      <c r="H8218" t="s">
        <v>45</v>
      </c>
      <c r="I8218" t="s">
        <v>3560</v>
      </c>
      <c r="J8218" t="str">
        <f>"9781409457558"</f>
        <v>9781409457558</v>
      </c>
      <c r="L8218">
        <v>0</v>
      </c>
      <c r="M8218" t="s">
        <v>105</v>
      </c>
      <c r="O8218" t="s">
        <v>28</v>
      </c>
      <c r="P8218" t="s">
        <v>29</v>
      </c>
      <c r="Q8218" s="1">
        <v>42265.174618055556</v>
      </c>
      <c r="R8218">
        <v>7</v>
      </c>
      <c r="S8218" t="s">
        <v>31</v>
      </c>
      <c r="T8218" t="s">
        <v>3562</v>
      </c>
      <c r="U8218" t="s">
        <v>3563</v>
      </c>
      <c r="V8218" s="3">
        <v>41575</v>
      </c>
    </row>
    <row r="8219" spans="1:22" x14ac:dyDescent="0.35">
      <c r="A8219" s="1">
        <v>42265.174618055556</v>
      </c>
      <c r="B8219" s="2">
        <v>0</v>
      </c>
      <c r="C8219" t="s">
        <v>11469</v>
      </c>
      <c r="D8219" t="s">
        <v>23</v>
      </c>
      <c r="E8219" t="s">
        <v>24</v>
      </c>
      <c r="F8219" t="s">
        <v>3559</v>
      </c>
      <c r="G8219">
        <v>1217954</v>
      </c>
      <c r="H8219" t="s">
        <v>45</v>
      </c>
      <c r="I8219" t="s">
        <v>3560</v>
      </c>
      <c r="J8219" t="str">
        <f>"9781409457558"</f>
        <v>9781409457558</v>
      </c>
      <c r="L8219">
        <v>0</v>
      </c>
      <c r="O8219" t="s">
        <v>30</v>
      </c>
      <c r="P8219" t="s">
        <v>29</v>
      </c>
      <c r="Q8219" s="1">
        <v>42265.174618055556</v>
      </c>
      <c r="R8219">
        <v>7</v>
      </c>
      <c r="S8219" t="s">
        <v>31</v>
      </c>
      <c r="T8219" t="s">
        <v>3562</v>
      </c>
      <c r="U8219" t="s">
        <v>3563</v>
      </c>
      <c r="V8219" s="3">
        <v>41575</v>
      </c>
    </row>
    <row r="8220" spans="1:22" x14ac:dyDescent="0.35">
      <c r="A8220" s="1">
        <v>42265.173206018517</v>
      </c>
      <c r="B8220" s="2">
        <v>1.4120370370370369E-3</v>
      </c>
      <c r="C8220" t="s">
        <v>11469</v>
      </c>
      <c r="D8220" t="s">
        <v>23</v>
      </c>
      <c r="E8220" t="s">
        <v>24</v>
      </c>
      <c r="F8220" t="s">
        <v>3559</v>
      </c>
      <c r="G8220">
        <v>1217954</v>
      </c>
      <c r="H8220" t="s">
        <v>45</v>
      </c>
      <c r="I8220" t="s">
        <v>3560</v>
      </c>
      <c r="J8220" t="str">
        <f>"9781409457558"</f>
        <v>9781409457558</v>
      </c>
      <c r="K8220" t="s">
        <v>33</v>
      </c>
      <c r="L8220">
        <v>3</v>
      </c>
      <c r="O8220" t="s">
        <v>30</v>
      </c>
      <c r="P8220" t="s">
        <v>42</v>
      </c>
      <c r="S8220" t="s">
        <v>31</v>
      </c>
      <c r="T8220" t="s">
        <v>3562</v>
      </c>
      <c r="U8220" t="s">
        <v>3563</v>
      </c>
      <c r="V8220" s="3">
        <v>41575</v>
      </c>
    </row>
    <row r="8221" spans="1:22" x14ac:dyDescent="0.35">
      <c r="A8221" s="1">
        <v>42265.142118055555</v>
      </c>
      <c r="B8221" s="2">
        <v>2.5462962962962961E-3</v>
      </c>
      <c r="C8221" t="s">
        <v>3499</v>
      </c>
      <c r="D8221" t="s">
        <v>23</v>
      </c>
      <c r="E8221" t="s">
        <v>24</v>
      </c>
      <c r="F8221" t="s">
        <v>3228</v>
      </c>
      <c r="G8221">
        <v>1115640</v>
      </c>
      <c r="H8221" t="s">
        <v>26</v>
      </c>
      <c r="I8221" t="s">
        <v>3229</v>
      </c>
      <c r="J8221" t="str">
        <f>"9781118419090"</f>
        <v>9781118419090</v>
      </c>
      <c r="K8221" t="s">
        <v>11812</v>
      </c>
      <c r="L8221">
        <v>21</v>
      </c>
      <c r="O8221" t="s">
        <v>30</v>
      </c>
      <c r="P8221" t="s">
        <v>42</v>
      </c>
      <c r="S8221" t="s">
        <v>31</v>
      </c>
      <c r="T8221" t="s">
        <v>3231</v>
      </c>
      <c r="U8221">
        <v>624</v>
      </c>
      <c r="V8221" s="3">
        <v>41296</v>
      </c>
    </row>
    <row r="8222" spans="1:22" x14ac:dyDescent="0.35">
      <c r="A8222" s="1">
        <v>42265.082256944443</v>
      </c>
      <c r="B8222" s="2">
        <v>1.0416666666666667E-4</v>
      </c>
      <c r="C8222" t="s">
        <v>10946</v>
      </c>
      <c r="D8222" t="s">
        <v>23</v>
      </c>
      <c r="E8222" t="s">
        <v>24</v>
      </c>
      <c r="F8222" t="s">
        <v>3228</v>
      </c>
      <c r="G8222">
        <v>1115640</v>
      </c>
      <c r="H8222" t="s">
        <v>26</v>
      </c>
      <c r="I8222" t="s">
        <v>3229</v>
      </c>
      <c r="J8222" t="str">
        <f>"9781118419090"</f>
        <v>9781118419090</v>
      </c>
      <c r="K8222" t="s">
        <v>33</v>
      </c>
      <c r="L8222">
        <v>3</v>
      </c>
      <c r="O8222" t="s">
        <v>30</v>
      </c>
      <c r="P8222" t="s">
        <v>42</v>
      </c>
      <c r="S8222" t="s">
        <v>31</v>
      </c>
      <c r="T8222" t="s">
        <v>3231</v>
      </c>
      <c r="U8222">
        <v>624</v>
      </c>
      <c r="V8222" s="3">
        <v>41296</v>
      </c>
    </row>
    <row r="8223" spans="1:22" x14ac:dyDescent="0.35">
      <c r="A8223" s="1">
        <v>42265.036678240744</v>
      </c>
      <c r="B8223" s="2">
        <v>4.8842592592592592E-3</v>
      </c>
      <c r="C8223" t="s">
        <v>11813</v>
      </c>
      <c r="D8223" t="s">
        <v>158</v>
      </c>
      <c r="E8223" t="s">
        <v>159</v>
      </c>
      <c r="F8223" t="s">
        <v>3762</v>
      </c>
      <c r="G8223">
        <v>943954</v>
      </c>
      <c r="H8223" t="s">
        <v>1286</v>
      </c>
      <c r="I8223" t="s">
        <v>172</v>
      </c>
      <c r="J8223" t="str">
        <f>"9780786492770"</f>
        <v>9780786492770</v>
      </c>
      <c r="K8223" t="s">
        <v>11814</v>
      </c>
      <c r="L8223">
        <v>10</v>
      </c>
      <c r="O8223" t="s">
        <v>30</v>
      </c>
      <c r="P8223" t="s">
        <v>29</v>
      </c>
      <c r="Q8223" s="1">
        <v>42265.036678240744</v>
      </c>
      <c r="R8223">
        <v>7</v>
      </c>
      <c r="S8223" t="s">
        <v>163</v>
      </c>
      <c r="T8223" t="s">
        <v>3764</v>
      </c>
      <c r="U8223" t="s">
        <v>3765</v>
      </c>
      <c r="V8223" s="3">
        <v>41061</v>
      </c>
    </row>
    <row r="8224" spans="1:22" x14ac:dyDescent="0.35">
      <c r="A8224" s="1">
        <v>42265.028796296298</v>
      </c>
      <c r="B8224" s="2">
        <v>7.8819444444444432E-3</v>
      </c>
      <c r="C8224" t="s">
        <v>11813</v>
      </c>
      <c r="D8224" t="s">
        <v>158</v>
      </c>
      <c r="E8224" t="s">
        <v>159</v>
      </c>
      <c r="F8224" t="s">
        <v>3762</v>
      </c>
      <c r="G8224">
        <v>943954</v>
      </c>
      <c r="H8224" t="s">
        <v>1286</v>
      </c>
      <c r="I8224" t="s">
        <v>172</v>
      </c>
      <c r="J8224" t="str">
        <f>"9780786492770"</f>
        <v>9780786492770</v>
      </c>
      <c r="K8224" t="s">
        <v>11815</v>
      </c>
      <c r="L8224">
        <v>7</v>
      </c>
      <c r="O8224" t="s">
        <v>30</v>
      </c>
      <c r="P8224" t="s">
        <v>42</v>
      </c>
      <c r="S8224" t="s">
        <v>163</v>
      </c>
      <c r="T8224" t="s">
        <v>3764</v>
      </c>
      <c r="U8224" t="s">
        <v>3765</v>
      </c>
      <c r="V8224" s="3">
        <v>41061</v>
      </c>
    </row>
    <row r="8225" spans="1:22" x14ac:dyDescent="0.35">
      <c r="A8225" s="1">
        <v>42265.014074074075</v>
      </c>
      <c r="B8225" s="2">
        <v>6.9444444444444444E-5</v>
      </c>
      <c r="C8225" t="s">
        <v>11816</v>
      </c>
      <c r="D8225" t="s">
        <v>23</v>
      </c>
      <c r="E8225" t="s">
        <v>24</v>
      </c>
      <c r="F8225" t="s">
        <v>3224</v>
      </c>
      <c r="G8225">
        <v>1882107</v>
      </c>
      <c r="H8225" t="s">
        <v>84</v>
      </c>
      <c r="I8225" t="s">
        <v>998</v>
      </c>
      <c r="J8225" t="str">
        <f>"9780520961593"</f>
        <v>9780520961593</v>
      </c>
      <c r="K8225" t="s">
        <v>6055</v>
      </c>
      <c r="L8225">
        <v>3</v>
      </c>
      <c r="O8225" t="s">
        <v>30</v>
      </c>
      <c r="P8225" t="s">
        <v>47</v>
      </c>
      <c r="Q8225" s="1">
        <v>42265.014074074075</v>
      </c>
      <c r="R8225">
        <v>1</v>
      </c>
      <c r="S8225" t="s">
        <v>31</v>
      </c>
      <c r="T8225" t="s">
        <v>3226</v>
      </c>
      <c r="U8225">
        <v>952.03099999999995</v>
      </c>
      <c r="V8225" s="3">
        <v>42164</v>
      </c>
    </row>
    <row r="8226" spans="1:22" x14ac:dyDescent="0.35">
      <c r="A8226" s="1">
        <v>42265.00608796296</v>
      </c>
      <c r="B8226" s="2">
        <v>7.9861111111111122E-3</v>
      </c>
      <c r="C8226" t="s">
        <v>11816</v>
      </c>
      <c r="D8226" t="s">
        <v>23</v>
      </c>
      <c r="E8226" t="s">
        <v>24</v>
      </c>
      <c r="F8226" t="s">
        <v>3224</v>
      </c>
      <c r="G8226">
        <v>1882107</v>
      </c>
      <c r="H8226" t="s">
        <v>84</v>
      </c>
      <c r="I8226" t="s">
        <v>998</v>
      </c>
      <c r="J8226" t="str">
        <f>"9780520961593"</f>
        <v>9780520961593</v>
      </c>
      <c r="K8226" t="s">
        <v>33</v>
      </c>
      <c r="L8226">
        <v>3</v>
      </c>
      <c r="O8226" t="s">
        <v>30</v>
      </c>
      <c r="P8226" t="s">
        <v>50</v>
      </c>
      <c r="S8226" t="s">
        <v>31</v>
      </c>
      <c r="T8226" t="s">
        <v>3226</v>
      </c>
      <c r="U8226">
        <v>952.03099999999995</v>
      </c>
      <c r="V8226" s="3">
        <v>42164</v>
      </c>
    </row>
    <row r="8227" spans="1:22" x14ac:dyDescent="0.35">
      <c r="A8227" s="1">
        <v>42265.002164351848</v>
      </c>
      <c r="B8227" s="2">
        <v>6.3657407407407402E-4</v>
      </c>
      <c r="C8227" t="s">
        <v>11380</v>
      </c>
      <c r="D8227" t="s">
        <v>23</v>
      </c>
      <c r="E8227" t="s">
        <v>24</v>
      </c>
      <c r="F8227" t="s">
        <v>3559</v>
      </c>
      <c r="G8227">
        <v>1217954</v>
      </c>
      <c r="H8227" t="s">
        <v>45</v>
      </c>
      <c r="I8227" t="s">
        <v>3560</v>
      </c>
      <c r="J8227" t="str">
        <f>"9781409457558"</f>
        <v>9781409457558</v>
      </c>
      <c r="K8227" t="s">
        <v>11817</v>
      </c>
      <c r="L8227">
        <v>4</v>
      </c>
      <c r="O8227" t="s">
        <v>30</v>
      </c>
      <c r="P8227" t="s">
        <v>29</v>
      </c>
      <c r="Q8227" s="1">
        <v>42265.002164351848</v>
      </c>
      <c r="R8227">
        <v>7</v>
      </c>
      <c r="S8227" t="s">
        <v>31</v>
      </c>
      <c r="T8227" t="s">
        <v>3562</v>
      </c>
      <c r="U8227" t="s">
        <v>3563</v>
      </c>
      <c r="V8227" s="3">
        <v>41575</v>
      </c>
    </row>
    <row r="8228" spans="1:22" x14ac:dyDescent="0.35">
      <c r="A8228" s="1">
        <v>42264.992523148147</v>
      </c>
      <c r="B8228" s="2">
        <v>9.6412037037037039E-3</v>
      </c>
      <c r="C8228" t="s">
        <v>11380</v>
      </c>
      <c r="D8228" t="s">
        <v>23</v>
      </c>
      <c r="E8228" t="s">
        <v>24</v>
      </c>
      <c r="F8228" t="s">
        <v>3559</v>
      </c>
      <c r="G8228">
        <v>1217954</v>
      </c>
      <c r="H8228" t="s">
        <v>45</v>
      </c>
      <c r="I8228" t="s">
        <v>3560</v>
      </c>
      <c r="J8228" t="str">
        <f>"9781409457558"</f>
        <v>9781409457558</v>
      </c>
      <c r="K8228" t="s">
        <v>11818</v>
      </c>
      <c r="L8228">
        <v>15</v>
      </c>
      <c r="O8228" t="s">
        <v>30</v>
      </c>
      <c r="P8228" t="s">
        <v>42</v>
      </c>
      <c r="S8228" t="s">
        <v>31</v>
      </c>
      <c r="T8228" t="s">
        <v>3562</v>
      </c>
      <c r="U8228" t="s">
        <v>3563</v>
      </c>
      <c r="V8228" s="3">
        <v>41575</v>
      </c>
    </row>
    <row r="8229" spans="1:22" x14ac:dyDescent="0.35">
      <c r="A8229" s="1">
        <v>42264.961851851855</v>
      </c>
      <c r="B8229" s="2">
        <v>1.689814814814815E-3</v>
      </c>
      <c r="C8229" t="s">
        <v>11819</v>
      </c>
      <c r="D8229" t="s">
        <v>1222</v>
      </c>
      <c r="E8229" t="s">
        <v>1223</v>
      </c>
      <c r="F8229" t="s">
        <v>11820</v>
      </c>
      <c r="G8229">
        <v>1024333</v>
      </c>
      <c r="H8229" t="s">
        <v>91</v>
      </c>
      <c r="I8229" t="s">
        <v>69</v>
      </c>
      <c r="J8229" t="str">
        <f>"9781462506439"</f>
        <v>9781462506439</v>
      </c>
      <c r="K8229" t="s">
        <v>11821</v>
      </c>
      <c r="L8229">
        <v>31</v>
      </c>
      <c r="N8229" t="s">
        <v>11822</v>
      </c>
      <c r="O8229" t="s">
        <v>28</v>
      </c>
      <c r="P8229" t="s">
        <v>29</v>
      </c>
      <c r="Q8229" s="1">
        <v>42264.656215277777</v>
      </c>
      <c r="R8229">
        <v>7</v>
      </c>
      <c r="S8229" t="s">
        <v>1226</v>
      </c>
      <c r="T8229" t="s">
        <v>11823</v>
      </c>
      <c r="U8229">
        <v>372.41</v>
      </c>
      <c r="V8229" s="3">
        <v>41773</v>
      </c>
    </row>
    <row r="8230" spans="1:22" x14ac:dyDescent="0.35">
      <c r="A8230" s="1">
        <v>42264.961782407408</v>
      </c>
      <c r="B8230" s="2">
        <v>2.3148148148148147E-5</v>
      </c>
      <c r="C8230" t="s">
        <v>11819</v>
      </c>
      <c r="D8230" t="s">
        <v>1222</v>
      </c>
      <c r="E8230" t="s">
        <v>1223</v>
      </c>
      <c r="F8230" t="s">
        <v>11820</v>
      </c>
      <c r="G8230">
        <v>1024333</v>
      </c>
      <c r="H8230" t="s">
        <v>91</v>
      </c>
      <c r="I8230" t="s">
        <v>69</v>
      </c>
      <c r="J8230" t="str">
        <f>"9781462506439"</f>
        <v>9781462506439</v>
      </c>
      <c r="K8230" t="s">
        <v>33</v>
      </c>
      <c r="L8230">
        <v>3</v>
      </c>
      <c r="O8230" t="s">
        <v>30</v>
      </c>
      <c r="P8230" t="s">
        <v>29</v>
      </c>
      <c r="Q8230" s="1">
        <v>42264.656215277777</v>
      </c>
      <c r="R8230">
        <v>7</v>
      </c>
      <c r="S8230" t="s">
        <v>1226</v>
      </c>
      <c r="T8230" t="s">
        <v>11823</v>
      </c>
      <c r="U8230">
        <v>372.41</v>
      </c>
      <c r="V8230" s="3">
        <v>41773</v>
      </c>
    </row>
    <row r="8231" spans="1:22" x14ac:dyDescent="0.35">
      <c r="A8231" s="1">
        <v>42264.925324074073</v>
      </c>
      <c r="B8231" s="2">
        <v>4.0972222222222226E-3</v>
      </c>
      <c r="C8231" t="s">
        <v>3201</v>
      </c>
      <c r="D8231" t="s">
        <v>35</v>
      </c>
      <c r="E8231" t="s">
        <v>36</v>
      </c>
      <c r="F8231" t="s">
        <v>986</v>
      </c>
      <c r="G8231">
        <v>968030</v>
      </c>
      <c r="H8231" t="s">
        <v>26</v>
      </c>
      <c r="I8231" t="s">
        <v>219</v>
      </c>
      <c r="J8231" t="str">
        <f>"9781118285138"</f>
        <v>9781118285138</v>
      </c>
      <c r="K8231" t="s">
        <v>11824</v>
      </c>
      <c r="L8231">
        <v>15</v>
      </c>
      <c r="O8231" t="s">
        <v>30</v>
      </c>
      <c r="P8231" t="s">
        <v>42</v>
      </c>
      <c r="S8231" t="s">
        <v>40</v>
      </c>
      <c r="T8231" t="s">
        <v>987</v>
      </c>
      <c r="U8231">
        <v>158.30000000000001</v>
      </c>
      <c r="V8231" s="3">
        <v>41100</v>
      </c>
    </row>
    <row r="8232" spans="1:22" x14ac:dyDescent="0.35">
      <c r="A8232" s="1">
        <v>42264.896458333336</v>
      </c>
      <c r="B8232" s="2">
        <v>5.138888888888889E-3</v>
      </c>
      <c r="C8232" t="s">
        <v>11825</v>
      </c>
      <c r="D8232" t="s">
        <v>1222</v>
      </c>
      <c r="E8232" t="s">
        <v>1223</v>
      </c>
      <c r="F8232" t="s">
        <v>11826</v>
      </c>
      <c r="G8232">
        <v>818034</v>
      </c>
      <c r="H8232" t="s">
        <v>26</v>
      </c>
      <c r="I8232" t="s">
        <v>276</v>
      </c>
      <c r="J8232" t="str">
        <f>"9781118223888"</f>
        <v>9781118223888</v>
      </c>
      <c r="K8232" t="s">
        <v>11827</v>
      </c>
      <c r="L8232">
        <v>37</v>
      </c>
      <c r="N8232" t="s">
        <v>11828</v>
      </c>
      <c r="O8232" t="s">
        <v>30</v>
      </c>
      <c r="P8232" t="s">
        <v>29</v>
      </c>
      <c r="Q8232" s="1">
        <v>42264.896458333336</v>
      </c>
      <c r="R8232">
        <v>7</v>
      </c>
      <c r="S8232" t="s">
        <v>1226</v>
      </c>
      <c r="T8232" t="s">
        <v>11829</v>
      </c>
      <c r="U8232">
        <v>5.7565</v>
      </c>
      <c r="V8232" s="3">
        <v>41008</v>
      </c>
    </row>
    <row r="8233" spans="1:22" x14ac:dyDescent="0.35">
      <c r="A8233" s="1">
        <v>42264.896296296298</v>
      </c>
      <c r="B8233" s="2">
        <v>1.6203703703703703E-4</v>
      </c>
      <c r="C8233" t="s">
        <v>11825</v>
      </c>
      <c r="D8233" t="s">
        <v>1222</v>
      </c>
      <c r="E8233" t="s">
        <v>1223</v>
      </c>
      <c r="F8233" t="s">
        <v>11826</v>
      </c>
      <c r="G8233">
        <v>818034</v>
      </c>
      <c r="H8233" t="s">
        <v>26</v>
      </c>
      <c r="I8233" t="s">
        <v>276</v>
      </c>
      <c r="J8233" t="str">
        <f>"9781118223888"</f>
        <v>9781118223888</v>
      </c>
      <c r="K8233" t="s">
        <v>33</v>
      </c>
      <c r="L8233">
        <v>3</v>
      </c>
      <c r="O8233" t="s">
        <v>30</v>
      </c>
      <c r="P8233" t="s">
        <v>42</v>
      </c>
      <c r="S8233" t="s">
        <v>1226</v>
      </c>
      <c r="T8233" t="s">
        <v>11829</v>
      </c>
      <c r="U8233">
        <v>5.7565</v>
      </c>
      <c r="V8233" s="3">
        <v>41008</v>
      </c>
    </row>
    <row r="8234" spans="1:22" x14ac:dyDescent="0.35">
      <c r="A8234" s="1">
        <v>42264.875509259262</v>
      </c>
      <c r="B8234" s="2">
        <v>3.4722222222222222E-5</v>
      </c>
      <c r="C8234" t="s">
        <v>11830</v>
      </c>
      <c r="D8234" t="s">
        <v>623</v>
      </c>
      <c r="E8234" t="s">
        <v>624</v>
      </c>
      <c r="F8234" t="s">
        <v>11831</v>
      </c>
      <c r="G8234">
        <v>1602905</v>
      </c>
      <c r="H8234" t="s">
        <v>26</v>
      </c>
      <c r="I8234" t="s">
        <v>11832</v>
      </c>
      <c r="J8234" t="str">
        <f>"9780745645704"</f>
        <v>9780745645704</v>
      </c>
      <c r="K8234" t="s">
        <v>33</v>
      </c>
      <c r="L8234">
        <v>3</v>
      </c>
      <c r="O8234" t="s">
        <v>30</v>
      </c>
      <c r="P8234" t="s">
        <v>50</v>
      </c>
      <c r="S8234" t="s">
        <v>627</v>
      </c>
      <c r="T8234" t="s">
        <v>11833</v>
      </c>
      <c r="U8234">
        <v>338.4778</v>
      </c>
      <c r="V8234" s="3">
        <v>41660</v>
      </c>
    </row>
    <row r="8235" spans="1:22" x14ac:dyDescent="0.35">
      <c r="A8235" s="1">
        <v>42264.874537037038</v>
      </c>
      <c r="B8235" s="2">
        <v>3.3564814814814811E-3</v>
      </c>
      <c r="C8235" t="s">
        <v>9548</v>
      </c>
      <c r="D8235" t="s">
        <v>2519</v>
      </c>
      <c r="E8235" t="s">
        <v>2520</v>
      </c>
      <c r="F8235" t="s">
        <v>823</v>
      </c>
      <c r="G8235">
        <v>1221573</v>
      </c>
      <c r="H8235" t="s">
        <v>26</v>
      </c>
      <c r="I8235" t="s">
        <v>824</v>
      </c>
      <c r="J8235" t="str">
        <f>"9781118658116"</f>
        <v>9781118658116</v>
      </c>
      <c r="K8235" t="s">
        <v>11834</v>
      </c>
      <c r="L8235">
        <v>22</v>
      </c>
      <c r="O8235" t="s">
        <v>30</v>
      </c>
      <c r="P8235" t="s">
        <v>47</v>
      </c>
      <c r="Q8235" s="1">
        <v>42264.874537037038</v>
      </c>
      <c r="R8235">
        <v>1</v>
      </c>
      <c r="S8235" t="s">
        <v>2523</v>
      </c>
      <c r="T8235" t="s">
        <v>826</v>
      </c>
      <c r="U8235">
        <v>174.4</v>
      </c>
      <c r="V8235" s="3">
        <v>41444</v>
      </c>
    </row>
    <row r="8236" spans="1:22" x14ac:dyDescent="0.35">
      <c r="A8236" s="1">
        <v>42264.874085648145</v>
      </c>
      <c r="B8236" s="2">
        <v>2.3148148148148147E-5</v>
      </c>
      <c r="C8236" t="s">
        <v>11830</v>
      </c>
      <c r="D8236" t="s">
        <v>623</v>
      </c>
      <c r="E8236" t="s">
        <v>624</v>
      </c>
      <c r="F8236" t="s">
        <v>11835</v>
      </c>
      <c r="G8236">
        <v>2006072</v>
      </c>
      <c r="H8236" t="s">
        <v>26</v>
      </c>
      <c r="I8236" t="s">
        <v>3160</v>
      </c>
      <c r="J8236" t="str">
        <f>"9780745685045"</f>
        <v>9780745685045</v>
      </c>
      <c r="K8236" t="s">
        <v>33</v>
      </c>
      <c r="L8236">
        <v>3</v>
      </c>
      <c r="O8236" t="s">
        <v>30</v>
      </c>
      <c r="P8236" t="s">
        <v>50</v>
      </c>
      <c r="S8236" t="s">
        <v>627</v>
      </c>
      <c r="T8236" t="s">
        <v>11836</v>
      </c>
      <c r="U8236">
        <v>4.1092348899999998</v>
      </c>
      <c r="V8236" s="3">
        <v>42089</v>
      </c>
    </row>
    <row r="8237" spans="1:22" x14ac:dyDescent="0.35">
      <c r="A8237" s="1">
        <v>42264.869768518518</v>
      </c>
      <c r="B8237" s="2">
        <v>4.7685185185185183E-3</v>
      </c>
      <c r="C8237" t="s">
        <v>9548</v>
      </c>
      <c r="D8237" t="s">
        <v>2519</v>
      </c>
      <c r="E8237" t="s">
        <v>2520</v>
      </c>
      <c r="F8237" t="s">
        <v>823</v>
      </c>
      <c r="G8237">
        <v>1221573</v>
      </c>
      <c r="H8237" t="s">
        <v>26</v>
      </c>
      <c r="I8237" t="s">
        <v>824</v>
      </c>
      <c r="J8237" t="str">
        <f>"9781118658116"</f>
        <v>9781118658116</v>
      </c>
      <c r="K8237" t="s">
        <v>11837</v>
      </c>
      <c r="L8237">
        <v>23</v>
      </c>
      <c r="O8237" t="s">
        <v>30</v>
      </c>
      <c r="P8237" t="s">
        <v>50</v>
      </c>
      <c r="S8237" t="s">
        <v>2523</v>
      </c>
      <c r="T8237" t="s">
        <v>826</v>
      </c>
      <c r="U8237">
        <v>174.4</v>
      </c>
      <c r="V8237" s="3">
        <v>41444</v>
      </c>
    </row>
    <row r="8238" spans="1:22" x14ac:dyDescent="0.35">
      <c r="A8238" s="1">
        <v>42264.84275462963</v>
      </c>
      <c r="B8238" s="2">
        <v>2.3148148148148147E-5</v>
      </c>
      <c r="C8238" t="s">
        <v>106</v>
      </c>
      <c r="D8238" t="s">
        <v>23</v>
      </c>
      <c r="E8238" t="s">
        <v>24</v>
      </c>
      <c r="F8238" t="s">
        <v>11838</v>
      </c>
      <c r="G8238">
        <v>1589617</v>
      </c>
      <c r="H8238" t="s">
        <v>45</v>
      </c>
      <c r="I8238" t="s">
        <v>97</v>
      </c>
      <c r="J8238" t="str">
        <f>"9781409467489"</f>
        <v>9781409467489</v>
      </c>
      <c r="K8238" t="s">
        <v>2078</v>
      </c>
      <c r="L8238">
        <v>6</v>
      </c>
      <c r="O8238" t="s">
        <v>30</v>
      </c>
      <c r="P8238" t="s">
        <v>47</v>
      </c>
      <c r="Q8238" s="1">
        <v>42264.842743055553</v>
      </c>
      <c r="R8238">
        <v>1</v>
      </c>
      <c r="S8238" t="s">
        <v>31</v>
      </c>
      <c r="T8238" t="s">
        <v>11839</v>
      </c>
      <c r="U8238" t="s">
        <v>11840</v>
      </c>
      <c r="V8238" s="3">
        <v>41757</v>
      </c>
    </row>
    <row r="8239" spans="1:22" x14ac:dyDescent="0.35">
      <c r="A8239" s="1">
        <v>42264.837766203702</v>
      </c>
      <c r="B8239" s="2">
        <v>4.9768518518518521E-3</v>
      </c>
      <c r="C8239" t="s">
        <v>106</v>
      </c>
      <c r="D8239" t="s">
        <v>23</v>
      </c>
      <c r="E8239" t="s">
        <v>24</v>
      </c>
      <c r="F8239" t="s">
        <v>11838</v>
      </c>
      <c r="G8239">
        <v>1589617</v>
      </c>
      <c r="H8239" t="s">
        <v>45</v>
      </c>
      <c r="I8239" t="s">
        <v>97</v>
      </c>
      <c r="J8239" t="str">
        <f>"9781409467489"</f>
        <v>9781409467489</v>
      </c>
      <c r="K8239" t="s">
        <v>33</v>
      </c>
      <c r="L8239">
        <v>3</v>
      </c>
      <c r="O8239" t="s">
        <v>30</v>
      </c>
      <c r="P8239" t="s">
        <v>50</v>
      </c>
      <c r="S8239" t="s">
        <v>31</v>
      </c>
      <c r="T8239" t="s">
        <v>11839</v>
      </c>
      <c r="U8239" t="s">
        <v>11840</v>
      </c>
      <c r="V8239" s="3">
        <v>41757</v>
      </c>
    </row>
    <row r="8240" spans="1:22" x14ac:dyDescent="0.35">
      <c r="A8240" s="1">
        <v>42264.835648148146</v>
      </c>
      <c r="B8240" s="2">
        <v>1.7361111111111112E-4</v>
      </c>
      <c r="C8240" t="s">
        <v>106</v>
      </c>
      <c r="D8240" t="s">
        <v>23</v>
      </c>
      <c r="E8240" t="s">
        <v>24</v>
      </c>
      <c r="F8240" t="s">
        <v>11838</v>
      </c>
      <c r="G8240">
        <v>1589617</v>
      </c>
      <c r="H8240" t="s">
        <v>45</v>
      </c>
      <c r="I8240" t="s">
        <v>97</v>
      </c>
      <c r="J8240" t="str">
        <f>"9781409467489"</f>
        <v>9781409467489</v>
      </c>
      <c r="K8240" t="s">
        <v>11788</v>
      </c>
      <c r="L8240">
        <v>3</v>
      </c>
      <c r="O8240" t="s">
        <v>30</v>
      </c>
      <c r="P8240" t="s">
        <v>50</v>
      </c>
      <c r="S8240" t="s">
        <v>31</v>
      </c>
      <c r="T8240" t="s">
        <v>11839</v>
      </c>
      <c r="U8240" t="s">
        <v>11840</v>
      </c>
      <c r="V8240" s="3">
        <v>41757</v>
      </c>
    </row>
    <row r="8241" spans="1:22" x14ac:dyDescent="0.35">
      <c r="A8241" s="1">
        <v>42264.834583333337</v>
      </c>
      <c r="B8241" s="2">
        <v>1.9942129629629629E-2</v>
      </c>
      <c r="C8241" t="s">
        <v>11841</v>
      </c>
      <c r="D8241" t="s">
        <v>35</v>
      </c>
      <c r="E8241" t="s">
        <v>36</v>
      </c>
      <c r="F8241" t="s">
        <v>986</v>
      </c>
      <c r="G8241">
        <v>968030</v>
      </c>
      <c r="H8241" t="s">
        <v>26</v>
      </c>
      <c r="I8241" t="s">
        <v>219</v>
      </c>
      <c r="J8241" t="str">
        <f>"9781118285138"</f>
        <v>9781118285138</v>
      </c>
      <c r="K8241" t="s">
        <v>11842</v>
      </c>
      <c r="L8241">
        <v>9</v>
      </c>
      <c r="O8241" t="s">
        <v>30</v>
      </c>
      <c r="P8241" t="s">
        <v>29</v>
      </c>
      <c r="Q8241" s="1">
        <v>42264.128067129626</v>
      </c>
      <c r="R8241">
        <v>7</v>
      </c>
      <c r="S8241" t="s">
        <v>40</v>
      </c>
      <c r="T8241" t="s">
        <v>987</v>
      </c>
      <c r="U8241">
        <v>158.30000000000001</v>
      </c>
      <c r="V8241" s="3">
        <v>41100</v>
      </c>
    </row>
    <row r="8242" spans="1:22" x14ac:dyDescent="0.35">
      <c r="A8242" s="1">
        <v>42264.833518518521</v>
      </c>
      <c r="B8242" s="2">
        <v>3.4722222222222222E-5</v>
      </c>
      <c r="C8242" t="s">
        <v>11843</v>
      </c>
      <c r="D8242" t="s">
        <v>35</v>
      </c>
      <c r="E8242" t="s">
        <v>36</v>
      </c>
      <c r="F8242" t="s">
        <v>986</v>
      </c>
      <c r="G8242">
        <v>968030</v>
      </c>
      <c r="H8242" t="s">
        <v>26</v>
      </c>
      <c r="I8242" t="s">
        <v>219</v>
      </c>
      <c r="J8242" t="str">
        <f>"9781118285138"</f>
        <v>9781118285138</v>
      </c>
      <c r="K8242" t="s">
        <v>11844</v>
      </c>
      <c r="L8242">
        <v>5</v>
      </c>
      <c r="O8242" t="s">
        <v>30</v>
      </c>
      <c r="P8242" t="s">
        <v>29</v>
      </c>
      <c r="Q8242" s="1">
        <v>42264.833518518521</v>
      </c>
      <c r="R8242">
        <v>7</v>
      </c>
      <c r="S8242" t="s">
        <v>40</v>
      </c>
      <c r="T8242" t="s">
        <v>987</v>
      </c>
      <c r="U8242">
        <v>158.30000000000001</v>
      </c>
      <c r="V8242" s="3">
        <v>41100</v>
      </c>
    </row>
    <row r="8243" spans="1:22" x14ac:dyDescent="0.35">
      <c r="A8243" s="1">
        <v>42264.828159722223</v>
      </c>
      <c r="B8243" s="2">
        <v>3.4722222222222222E-5</v>
      </c>
      <c r="C8243" t="s">
        <v>210</v>
      </c>
      <c r="D8243" t="s">
        <v>211</v>
      </c>
      <c r="E8243" t="s">
        <v>212</v>
      </c>
      <c r="F8243" t="s">
        <v>6937</v>
      </c>
      <c r="G8243">
        <v>834631</v>
      </c>
      <c r="H8243" t="s">
        <v>26</v>
      </c>
      <c r="I8243" t="s">
        <v>247</v>
      </c>
      <c r="J8243" t="str">
        <f>"9781444354669"</f>
        <v>9781444354669</v>
      </c>
      <c r="K8243" t="s">
        <v>33</v>
      </c>
      <c r="L8243">
        <v>3</v>
      </c>
      <c r="O8243" t="s">
        <v>30</v>
      </c>
      <c r="P8243" t="s">
        <v>42</v>
      </c>
      <c r="S8243" t="s">
        <v>214</v>
      </c>
      <c r="T8243" t="s">
        <v>6940</v>
      </c>
      <c r="U8243" t="s">
        <v>6941</v>
      </c>
      <c r="V8243" s="3">
        <v>40911</v>
      </c>
    </row>
    <row r="8244" spans="1:22" x14ac:dyDescent="0.35">
      <c r="A8244" s="1">
        <v>42264.821388888886</v>
      </c>
      <c r="B8244" s="2">
        <v>7.407407407407407E-4</v>
      </c>
      <c r="C8244" t="s">
        <v>210</v>
      </c>
      <c r="D8244" t="s">
        <v>211</v>
      </c>
      <c r="E8244" t="s">
        <v>212</v>
      </c>
      <c r="F8244" t="s">
        <v>6937</v>
      </c>
      <c r="G8244">
        <v>834631</v>
      </c>
      <c r="H8244" t="s">
        <v>26</v>
      </c>
      <c r="I8244" t="s">
        <v>247</v>
      </c>
      <c r="J8244" t="str">
        <f>"9781444354669"</f>
        <v>9781444354669</v>
      </c>
      <c r="K8244" t="s">
        <v>11845</v>
      </c>
      <c r="L8244">
        <v>11</v>
      </c>
      <c r="O8244" t="s">
        <v>30</v>
      </c>
      <c r="P8244" t="s">
        <v>42</v>
      </c>
      <c r="S8244" t="s">
        <v>214</v>
      </c>
      <c r="T8244" t="s">
        <v>6940</v>
      </c>
      <c r="U8244" t="s">
        <v>6941</v>
      </c>
      <c r="V8244" s="3">
        <v>40911</v>
      </c>
    </row>
    <row r="8245" spans="1:22" x14ac:dyDescent="0.35">
      <c r="A8245" s="1">
        <v>42264.808854166666</v>
      </c>
      <c r="B8245" s="2">
        <v>2.4664351851851851E-2</v>
      </c>
      <c r="C8245" t="s">
        <v>11843</v>
      </c>
      <c r="D8245" t="s">
        <v>35</v>
      </c>
      <c r="E8245" t="s">
        <v>36</v>
      </c>
      <c r="F8245" t="s">
        <v>986</v>
      </c>
      <c r="G8245">
        <v>968030</v>
      </c>
      <c r="H8245" t="s">
        <v>26</v>
      </c>
      <c r="I8245" t="s">
        <v>219</v>
      </c>
      <c r="J8245" t="str">
        <f>"9781118285138"</f>
        <v>9781118285138</v>
      </c>
      <c r="K8245" t="s">
        <v>33</v>
      </c>
      <c r="L8245">
        <v>3</v>
      </c>
      <c r="O8245" t="s">
        <v>30</v>
      </c>
      <c r="P8245" t="s">
        <v>42</v>
      </c>
      <c r="S8245" t="s">
        <v>40</v>
      </c>
      <c r="T8245" t="s">
        <v>987</v>
      </c>
      <c r="U8245">
        <v>158.30000000000001</v>
      </c>
      <c r="V8245" s="3">
        <v>41100</v>
      </c>
    </row>
    <row r="8246" spans="1:22" x14ac:dyDescent="0.35">
      <c r="A8246" s="1">
        <v>42264.806851851848</v>
      </c>
      <c r="B8246" s="2">
        <v>0</v>
      </c>
      <c r="C8246" t="s">
        <v>5340</v>
      </c>
      <c r="D8246" t="s">
        <v>23</v>
      </c>
      <c r="E8246" t="s">
        <v>24</v>
      </c>
      <c r="F8246" t="s">
        <v>3351</v>
      </c>
      <c r="G8246">
        <v>1760720</v>
      </c>
      <c r="H8246" t="s">
        <v>91</v>
      </c>
      <c r="I8246" t="s">
        <v>247</v>
      </c>
      <c r="J8246" t="str">
        <f>"9781462517459"</f>
        <v>9781462517459</v>
      </c>
      <c r="L8246">
        <v>0</v>
      </c>
      <c r="O8246" t="s">
        <v>30</v>
      </c>
      <c r="P8246" t="s">
        <v>29</v>
      </c>
      <c r="Q8246" s="1">
        <v>42264.806851851848</v>
      </c>
      <c r="R8246">
        <v>7</v>
      </c>
      <c r="S8246" t="s">
        <v>31</v>
      </c>
      <c r="T8246" t="s">
        <v>3353</v>
      </c>
      <c r="U8246">
        <v>616.89142000000004</v>
      </c>
      <c r="V8246" s="3">
        <v>41996</v>
      </c>
    </row>
    <row r="8247" spans="1:22" x14ac:dyDescent="0.35">
      <c r="A8247" s="1">
        <v>42264.806793981479</v>
      </c>
      <c r="B8247" s="2">
        <v>5.7870370370370366E-5</v>
      </c>
      <c r="C8247" t="s">
        <v>5340</v>
      </c>
      <c r="D8247" t="s">
        <v>23</v>
      </c>
      <c r="E8247" t="s">
        <v>24</v>
      </c>
      <c r="F8247" t="s">
        <v>3351</v>
      </c>
      <c r="G8247">
        <v>1760720</v>
      </c>
      <c r="H8247" t="s">
        <v>91</v>
      </c>
      <c r="I8247" t="s">
        <v>247</v>
      </c>
      <c r="J8247" t="str">
        <f>"9781462517459"</f>
        <v>9781462517459</v>
      </c>
      <c r="K8247" t="s">
        <v>611</v>
      </c>
      <c r="L8247">
        <v>3</v>
      </c>
      <c r="O8247" t="s">
        <v>30</v>
      </c>
      <c r="P8247" t="s">
        <v>42</v>
      </c>
      <c r="S8247" t="s">
        <v>31</v>
      </c>
      <c r="T8247" t="s">
        <v>3353</v>
      </c>
      <c r="U8247">
        <v>616.89142000000004</v>
      </c>
      <c r="V8247" s="3">
        <v>41996</v>
      </c>
    </row>
    <row r="8248" spans="1:22" x14ac:dyDescent="0.35">
      <c r="A8248" s="1">
        <v>42264.80263888889</v>
      </c>
      <c r="B8248" s="2">
        <v>1.0648148148148147E-3</v>
      </c>
      <c r="C8248" t="s">
        <v>11846</v>
      </c>
      <c r="D8248" t="s">
        <v>2519</v>
      </c>
      <c r="E8248" t="s">
        <v>2520</v>
      </c>
      <c r="F8248" t="s">
        <v>11847</v>
      </c>
      <c r="G8248">
        <v>1701392</v>
      </c>
      <c r="H8248" t="s">
        <v>26</v>
      </c>
      <c r="I8248" t="s">
        <v>187</v>
      </c>
      <c r="J8248" t="str">
        <f>"9781118348246"</f>
        <v>9781118348246</v>
      </c>
      <c r="K8248" t="s">
        <v>673</v>
      </c>
      <c r="L8248">
        <v>8</v>
      </c>
      <c r="O8248" t="s">
        <v>30</v>
      </c>
      <c r="P8248" t="s">
        <v>50</v>
      </c>
      <c r="S8248" t="s">
        <v>2523</v>
      </c>
      <c r="T8248" t="s">
        <v>11848</v>
      </c>
      <c r="U8248">
        <v>639.9</v>
      </c>
      <c r="V8248" s="3">
        <v>41786</v>
      </c>
    </row>
    <row r="8249" spans="1:22" x14ac:dyDescent="0.35">
      <c r="A8249" s="1">
        <v>42264.744687500002</v>
      </c>
      <c r="B8249" s="2">
        <v>4.6296296296296293E-4</v>
      </c>
      <c r="C8249" t="s">
        <v>1103</v>
      </c>
      <c r="D8249" t="s">
        <v>23</v>
      </c>
      <c r="E8249" t="s">
        <v>24</v>
      </c>
      <c r="F8249" t="s">
        <v>11849</v>
      </c>
      <c r="G8249">
        <v>1869304</v>
      </c>
      <c r="H8249" t="s">
        <v>45</v>
      </c>
      <c r="I8249" t="s">
        <v>120</v>
      </c>
      <c r="J8249" t="str">
        <f>"9781472432933"</f>
        <v>9781472432933</v>
      </c>
      <c r="K8249" t="s">
        <v>11850</v>
      </c>
      <c r="L8249">
        <v>14</v>
      </c>
      <c r="N8249" t="s">
        <v>11851</v>
      </c>
      <c r="O8249" t="s">
        <v>30</v>
      </c>
      <c r="P8249" t="s">
        <v>47</v>
      </c>
      <c r="Q8249" s="1">
        <v>42264.744687500002</v>
      </c>
      <c r="R8249">
        <v>1</v>
      </c>
      <c r="S8249" t="s">
        <v>31</v>
      </c>
      <c r="T8249" t="s">
        <v>11852</v>
      </c>
      <c r="U8249" t="s">
        <v>11853</v>
      </c>
      <c r="V8249" s="3">
        <v>42032</v>
      </c>
    </row>
    <row r="8250" spans="1:22" x14ac:dyDescent="0.35">
      <c r="A8250" s="1">
        <v>42264.742314814815</v>
      </c>
      <c r="B8250" s="2">
        <v>2.3726851851851851E-3</v>
      </c>
      <c r="C8250" t="s">
        <v>1103</v>
      </c>
      <c r="D8250" t="s">
        <v>23</v>
      </c>
      <c r="E8250" t="s">
        <v>24</v>
      </c>
      <c r="F8250" t="s">
        <v>11849</v>
      </c>
      <c r="G8250">
        <v>1869304</v>
      </c>
      <c r="H8250" t="s">
        <v>45</v>
      </c>
      <c r="I8250" t="s">
        <v>120</v>
      </c>
      <c r="J8250" t="str">
        <f>"9781472432933"</f>
        <v>9781472432933</v>
      </c>
      <c r="K8250" t="s">
        <v>11854</v>
      </c>
      <c r="L8250">
        <v>32</v>
      </c>
      <c r="O8250" t="s">
        <v>30</v>
      </c>
      <c r="P8250" t="s">
        <v>50</v>
      </c>
      <c r="S8250" t="s">
        <v>31</v>
      </c>
      <c r="T8250" t="s">
        <v>11852</v>
      </c>
      <c r="U8250" t="s">
        <v>11853</v>
      </c>
      <c r="V8250" s="3">
        <v>42032</v>
      </c>
    </row>
    <row r="8251" spans="1:22" x14ac:dyDescent="0.35">
      <c r="A8251" s="1">
        <v>42264.73537037037</v>
      </c>
      <c r="B8251" s="2">
        <v>6.6805555555555562E-2</v>
      </c>
      <c r="C8251" t="s">
        <v>106</v>
      </c>
      <c r="D8251" t="s">
        <v>23</v>
      </c>
      <c r="E8251" t="s">
        <v>24</v>
      </c>
      <c r="F8251" t="s">
        <v>3559</v>
      </c>
      <c r="G8251">
        <v>1217954</v>
      </c>
      <c r="H8251" t="s">
        <v>45</v>
      </c>
      <c r="I8251" t="s">
        <v>3560</v>
      </c>
      <c r="J8251" t="str">
        <f>"9781409457558"</f>
        <v>9781409457558</v>
      </c>
      <c r="K8251" t="s">
        <v>11855</v>
      </c>
      <c r="L8251">
        <v>29</v>
      </c>
      <c r="O8251" t="s">
        <v>30</v>
      </c>
      <c r="P8251" t="s">
        <v>29</v>
      </c>
      <c r="Q8251" s="1">
        <v>42261.622696759259</v>
      </c>
      <c r="R8251">
        <v>7</v>
      </c>
      <c r="S8251" t="s">
        <v>31</v>
      </c>
      <c r="T8251" t="s">
        <v>3562</v>
      </c>
      <c r="U8251" t="s">
        <v>3563</v>
      </c>
      <c r="V8251" s="3">
        <v>41575</v>
      </c>
    </row>
    <row r="8252" spans="1:22" x14ac:dyDescent="0.35">
      <c r="A8252" s="1">
        <v>42264.721539351849</v>
      </c>
      <c r="B8252" s="2">
        <v>2.3148148148148147E-5</v>
      </c>
      <c r="C8252" t="s">
        <v>10719</v>
      </c>
      <c r="D8252" t="s">
        <v>23</v>
      </c>
      <c r="E8252" t="s">
        <v>24</v>
      </c>
      <c r="F8252" t="s">
        <v>486</v>
      </c>
      <c r="G8252">
        <v>1119505</v>
      </c>
      <c r="H8252" t="s">
        <v>26</v>
      </c>
      <c r="I8252" t="s">
        <v>450</v>
      </c>
      <c r="J8252" t="str">
        <f>"9781118355015"</f>
        <v>9781118355015</v>
      </c>
      <c r="K8252" t="s">
        <v>33</v>
      </c>
      <c r="L8252">
        <v>3</v>
      </c>
      <c r="N8252" t="s">
        <v>11856</v>
      </c>
      <c r="O8252" t="s">
        <v>30</v>
      </c>
      <c r="P8252" t="s">
        <v>29</v>
      </c>
      <c r="Q8252" s="1">
        <v>42264.717280092591</v>
      </c>
      <c r="R8252">
        <v>7</v>
      </c>
      <c r="S8252" t="s">
        <v>31</v>
      </c>
      <c r="T8252" t="s">
        <v>487</v>
      </c>
      <c r="U8252" t="s">
        <v>488</v>
      </c>
      <c r="V8252" s="3">
        <v>41302</v>
      </c>
    </row>
    <row r="8253" spans="1:22" x14ac:dyDescent="0.35">
      <c r="A8253" s="1">
        <v>42264.717800925922</v>
      </c>
      <c r="B8253" s="2">
        <v>6.215277777777777E-3</v>
      </c>
      <c r="C8253" t="s">
        <v>4713</v>
      </c>
      <c r="D8253" t="s">
        <v>1222</v>
      </c>
      <c r="E8253" t="s">
        <v>1223</v>
      </c>
      <c r="F8253" t="s">
        <v>3263</v>
      </c>
      <c r="G8253">
        <v>1840835</v>
      </c>
      <c r="H8253" t="s">
        <v>26</v>
      </c>
      <c r="I8253" t="s">
        <v>108</v>
      </c>
      <c r="J8253" t="str">
        <f>"9781118950166"</f>
        <v>9781118950166</v>
      </c>
      <c r="K8253" t="s">
        <v>11857</v>
      </c>
      <c r="L8253">
        <v>17</v>
      </c>
      <c r="O8253" t="s">
        <v>30</v>
      </c>
      <c r="P8253" t="s">
        <v>42</v>
      </c>
      <c r="S8253" t="s">
        <v>1226</v>
      </c>
      <c r="T8253" t="s">
        <v>3264</v>
      </c>
      <c r="U8253">
        <v>338.10923789999998</v>
      </c>
      <c r="V8253" s="3">
        <v>41953</v>
      </c>
    </row>
    <row r="8254" spans="1:22" x14ac:dyDescent="0.35">
      <c r="A8254" s="1">
        <v>42264.717280092591</v>
      </c>
      <c r="B8254" s="2">
        <v>0</v>
      </c>
      <c r="C8254" t="s">
        <v>10719</v>
      </c>
      <c r="D8254" t="s">
        <v>23</v>
      </c>
      <c r="E8254" t="s">
        <v>24</v>
      </c>
      <c r="F8254" t="s">
        <v>486</v>
      </c>
      <c r="G8254">
        <v>1119505</v>
      </c>
      <c r="H8254" t="s">
        <v>26</v>
      </c>
      <c r="I8254" t="s">
        <v>450</v>
      </c>
      <c r="J8254" t="str">
        <f>"9781118355015"</f>
        <v>9781118355015</v>
      </c>
      <c r="L8254">
        <v>0</v>
      </c>
      <c r="N8254" t="s">
        <v>11856</v>
      </c>
      <c r="O8254" t="s">
        <v>30</v>
      </c>
      <c r="P8254" t="s">
        <v>29</v>
      </c>
      <c r="Q8254" s="1">
        <v>42264.717280092591</v>
      </c>
      <c r="R8254">
        <v>7</v>
      </c>
      <c r="S8254" t="s">
        <v>31</v>
      </c>
      <c r="T8254" t="s">
        <v>487</v>
      </c>
      <c r="U8254" t="s">
        <v>488</v>
      </c>
      <c r="V8254" s="3">
        <v>41302</v>
      </c>
    </row>
    <row r="8255" spans="1:22" x14ac:dyDescent="0.35">
      <c r="A8255" s="1">
        <v>42264.716643518521</v>
      </c>
      <c r="B8255" s="2">
        <v>6.3657407407407402E-4</v>
      </c>
      <c r="C8255" t="s">
        <v>10719</v>
      </c>
      <c r="D8255" t="s">
        <v>23</v>
      </c>
      <c r="E8255" t="s">
        <v>24</v>
      </c>
      <c r="F8255" t="s">
        <v>486</v>
      </c>
      <c r="G8255">
        <v>1119505</v>
      </c>
      <c r="H8255" t="s">
        <v>26</v>
      </c>
      <c r="I8255" t="s">
        <v>450</v>
      </c>
      <c r="J8255" t="str">
        <f>"9781118355015"</f>
        <v>9781118355015</v>
      </c>
      <c r="K8255" t="s">
        <v>11858</v>
      </c>
      <c r="L8255">
        <v>12</v>
      </c>
      <c r="O8255" t="s">
        <v>30</v>
      </c>
      <c r="P8255" t="s">
        <v>42</v>
      </c>
      <c r="S8255" t="s">
        <v>31</v>
      </c>
      <c r="T8255" t="s">
        <v>487</v>
      </c>
      <c r="U8255" t="s">
        <v>488</v>
      </c>
      <c r="V8255" s="3">
        <v>41302</v>
      </c>
    </row>
    <row r="8256" spans="1:22" x14ac:dyDescent="0.35">
      <c r="A8256" s="1">
        <v>42264.715925925928</v>
      </c>
      <c r="B8256" s="2">
        <v>9.2592592592592588E-5</v>
      </c>
      <c r="C8256" t="s">
        <v>11859</v>
      </c>
      <c r="D8256" t="s">
        <v>23</v>
      </c>
      <c r="E8256" t="s">
        <v>24</v>
      </c>
      <c r="F8256" t="s">
        <v>246</v>
      </c>
      <c r="G8256">
        <v>1682559</v>
      </c>
      <c r="H8256" t="s">
        <v>91</v>
      </c>
      <c r="I8256" t="s">
        <v>247</v>
      </c>
      <c r="J8256" t="str">
        <f>"9781462515431"</f>
        <v>9781462515431</v>
      </c>
      <c r="K8256" t="s">
        <v>6781</v>
      </c>
      <c r="L8256">
        <v>8</v>
      </c>
      <c r="O8256" t="s">
        <v>30</v>
      </c>
      <c r="P8256" t="s">
        <v>42</v>
      </c>
      <c r="S8256" t="s">
        <v>31</v>
      </c>
      <c r="T8256" t="s">
        <v>249</v>
      </c>
      <c r="U8256">
        <v>616.89</v>
      </c>
      <c r="V8256" s="3">
        <v>41769</v>
      </c>
    </row>
    <row r="8257" spans="1:22" x14ac:dyDescent="0.35">
      <c r="A8257" s="1">
        <v>42264.714513888888</v>
      </c>
      <c r="B8257" s="2">
        <v>4.155092592592593E-3</v>
      </c>
      <c r="C8257" t="s">
        <v>11841</v>
      </c>
      <c r="D8257" t="s">
        <v>35</v>
      </c>
      <c r="E8257" t="s">
        <v>36</v>
      </c>
      <c r="F8257" t="s">
        <v>986</v>
      </c>
      <c r="G8257">
        <v>968030</v>
      </c>
      <c r="H8257" t="s">
        <v>26</v>
      </c>
      <c r="I8257" t="s">
        <v>219</v>
      </c>
      <c r="J8257" t="str">
        <f>"9781118285138"</f>
        <v>9781118285138</v>
      </c>
      <c r="K8257" t="s">
        <v>11860</v>
      </c>
      <c r="L8257">
        <v>20</v>
      </c>
      <c r="O8257" t="s">
        <v>30</v>
      </c>
      <c r="P8257" t="s">
        <v>29</v>
      </c>
      <c r="Q8257" s="1">
        <v>42264.128067129626</v>
      </c>
      <c r="R8257">
        <v>7</v>
      </c>
      <c r="S8257" t="s">
        <v>40</v>
      </c>
      <c r="T8257" t="s">
        <v>987</v>
      </c>
      <c r="U8257">
        <v>158.30000000000001</v>
      </c>
      <c r="V8257" s="3">
        <v>41100</v>
      </c>
    </row>
    <row r="8258" spans="1:22" x14ac:dyDescent="0.35">
      <c r="A8258" s="1">
        <v>42264.709988425922</v>
      </c>
      <c r="B8258" s="2">
        <v>8.3333333333333339E-4</v>
      </c>
      <c r="C8258" t="s">
        <v>11861</v>
      </c>
      <c r="D8258" t="s">
        <v>23</v>
      </c>
      <c r="E8258" t="s">
        <v>24</v>
      </c>
      <c r="F8258" t="s">
        <v>982</v>
      </c>
      <c r="G8258">
        <v>1882108</v>
      </c>
      <c r="H8258" t="s">
        <v>84</v>
      </c>
      <c r="I8258" t="s">
        <v>310</v>
      </c>
      <c r="J8258" t="str">
        <f>"9780520961326"</f>
        <v>9780520961326</v>
      </c>
      <c r="K8258" t="s">
        <v>11862</v>
      </c>
      <c r="L8258">
        <v>10</v>
      </c>
      <c r="O8258" t="s">
        <v>30</v>
      </c>
      <c r="P8258" t="s">
        <v>50</v>
      </c>
      <c r="S8258" t="s">
        <v>31</v>
      </c>
      <c r="T8258" t="s">
        <v>983</v>
      </c>
      <c r="U8258">
        <v>883</v>
      </c>
      <c r="V8258" s="3">
        <v>42138</v>
      </c>
    </row>
    <row r="8259" spans="1:22" x14ac:dyDescent="0.35">
      <c r="A8259" s="1">
        <v>42264.708472222221</v>
      </c>
      <c r="B8259" s="2">
        <v>2.9861111111111113E-3</v>
      </c>
      <c r="C8259" t="s">
        <v>11863</v>
      </c>
      <c r="D8259" t="s">
        <v>261</v>
      </c>
      <c r="E8259" t="s">
        <v>262</v>
      </c>
      <c r="F8259" t="s">
        <v>2986</v>
      </c>
      <c r="G8259">
        <v>1781084</v>
      </c>
      <c r="H8259" t="s">
        <v>26</v>
      </c>
      <c r="I8259" t="s">
        <v>150</v>
      </c>
      <c r="J8259" t="str">
        <f>"9781118900079"</f>
        <v>9781118900079</v>
      </c>
      <c r="K8259" t="s">
        <v>11864</v>
      </c>
      <c r="L8259">
        <v>62</v>
      </c>
      <c r="O8259" t="s">
        <v>30</v>
      </c>
      <c r="P8259" t="s">
        <v>50</v>
      </c>
      <c r="S8259" t="s">
        <v>264</v>
      </c>
      <c r="T8259" t="s">
        <v>2987</v>
      </c>
      <c r="U8259">
        <v>786.21929999999998</v>
      </c>
      <c r="V8259" s="3">
        <v>41885</v>
      </c>
    </row>
    <row r="8260" spans="1:22" x14ac:dyDescent="0.35">
      <c r="A8260" s="1">
        <v>42264.703263888892</v>
      </c>
      <c r="B8260" s="2">
        <v>0</v>
      </c>
      <c r="C8260" t="s">
        <v>9043</v>
      </c>
      <c r="D8260" t="s">
        <v>158</v>
      </c>
      <c r="E8260" t="s">
        <v>159</v>
      </c>
      <c r="F8260" t="s">
        <v>11865</v>
      </c>
      <c r="G8260">
        <v>868340</v>
      </c>
      <c r="H8260" t="s">
        <v>84</v>
      </c>
      <c r="I8260" t="s">
        <v>11866</v>
      </c>
      <c r="J8260" t="str">
        <f>"9780520950436"</f>
        <v>9780520950436</v>
      </c>
      <c r="L8260">
        <v>0</v>
      </c>
      <c r="O8260" t="s">
        <v>30</v>
      </c>
      <c r="P8260" t="s">
        <v>29</v>
      </c>
      <c r="Q8260" s="1">
        <v>42264.703263888892</v>
      </c>
      <c r="R8260">
        <v>7</v>
      </c>
      <c r="S8260" t="s">
        <v>163</v>
      </c>
      <c r="T8260" t="s">
        <v>11867</v>
      </c>
      <c r="U8260">
        <v>362.29609729999999</v>
      </c>
      <c r="V8260" s="3">
        <v>40967</v>
      </c>
    </row>
    <row r="8261" spans="1:22" x14ac:dyDescent="0.35">
      <c r="A8261" s="1">
        <v>42264.703125</v>
      </c>
      <c r="B8261" s="2">
        <v>1.3888888888888889E-4</v>
      </c>
      <c r="C8261" t="s">
        <v>9043</v>
      </c>
      <c r="D8261" t="s">
        <v>158</v>
      </c>
      <c r="E8261" t="s">
        <v>159</v>
      </c>
      <c r="F8261" t="s">
        <v>11865</v>
      </c>
      <c r="G8261">
        <v>868340</v>
      </c>
      <c r="H8261" t="s">
        <v>84</v>
      </c>
      <c r="I8261" t="s">
        <v>11866</v>
      </c>
      <c r="J8261" t="str">
        <f>"9780520950436"</f>
        <v>9780520950436</v>
      </c>
      <c r="K8261" t="s">
        <v>11868</v>
      </c>
      <c r="L8261">
        <v>8</v>
      </c>
      <c r="O8261" t="s">
        <v>30</v>
      </c>
      <c r="P8261" t="s">
        <v>42</v>
      </c>
      <c r="S8261" t="s">
        <v>163</v>
      </c>
      <c r="T8261" t="s">
        <v>11867</v>
      </c>
      <c r="U8261">
        <v>362.29609729999999</v>
      </c>
      <c r="V8261" s="3">
        <v>40967</v>
      </c>
    </row>
    <row r="8262" spans="1:22" x14ac:dyDescent="0.35">
      <c r="A8262" s="1">
        <v>42264.673807870371</v>
      </c>
      <c r="B8262" s="2">
        <v>4.6296296296296294E-5</v>
      </c>
      <c r="C8262" t="s">
        <v>11869</v>
      </c>
      <c r="D8262" t="s">
        <v>261</v>
      </c>
      <c r="E8262" t="s">
        <v>262</v>
      </c>
      <c r="F8262" t="s">
        <v>8293</v>
      </c>
      <c r="G8262">
        <v>1104736</v>
      </c>
      <c r="H8262" t="s">
        <v>440</v>
      </c>
      <c r="I8262" t="s">
        <v>297</v>
      </c>
      <c r="J8262" t="str">
        <f>"9781118497579"</f>
        <v>9781118497579</v>
      </c>
      <c r="K8262" t="s">
        <v>33</v>
      </c>
      <c r="L8262">
        <v>3</v>
      </c>
      <c r="O8262" t="s">
        <v>30</v>
      </c>
      <c r="P8262" t="s">
        <v>42</v>
      </c>
      <c r="S8262" t="s">
        <v>264</v>
      </c>
      <c r="T8262" t="s">
        <v>8295</v>
      </c>
      <c r="U8262" t="s">
        <v>8296</v>
      </c>
      <c r="V8262" s="3">
        <v>44317</v>
      </c>
    </row>
    <row r="8263" spans="1:22" x14ac:dyDescent="0.35">
      <c r="A8263" s="1">
        <v>42264.670277777775</v>
      </c>
      <c r="B8263" s="2">
        <v>9.4236111111111118E-2</v>
      </c>
      <c r="C8263" t="s">
        <v>11819</v>
      </c>
      <c r="D8263" t="s">
        <v>1222</v>
      </c>
      <c r="E8263" t="s">
        <v>1223</v>
      </c>
      <c r="F8263" t="s">
        <v>11820</v>
      </c>
      <c r="G8263">
        <v>1024333</v>
      </c>
      <c r="H8263" t="s">
        <v>91</v>
      </c>
      <c r="I8263" t="s">
        <v>69</v>
      </c>
      <c r="J8263" t="str">
        <f t="shared" ref="J8263:J8269" si="55">"9781462506439"</f>
        <v>9781462506439</v>
      </c>
      <c r="K8263" t="s">
        <v>11870</v>
      </c>
      <c r="L8263">
        <v>53</v>
      </c>
      <c r="O8263" t="s">
        <v>30</v>
      </c>
      <c r="P8263" t="s">
        <v>29</v>
      </c>
      <c r="Q8263" s="1">
        <v>42264.656215277777</v>
      </c>
      <c r="R8263">
        <v>7</v>
      </c>
      <c r="S8263" t="s">
        <v>1226</v>
      </c>
      <c r="T8263" t="s">
        <v>11823</v>
      </c>
      <c r="U8263">
        <v>372.41</v>
      </c>
      <c r="V8263" s="3">
        <v>41773</v>
      </c>
    </row>
    <row r="8264" spans="1:22" x14ac:dyDescent="0.35">
      <c r="A8264" s="1">
        <v>42264.669710648152</v>
      </c>
      <c r="B8264" s="2">
        <v>0</v>
      </c>
      <c r="C8264" t="s">
        <v>11819</v>
      </c>
      <c r="D8264" t="s">
        <v>1222</v>
      </c>
      <c r="E8264" t="s">
        <v>1223</v>
      </c>
      <c r="F8264" t="s">
        <v>11820</v>
      </c>
      <c r="G8264">
        <v>1024333</v>
      </c>
      <c r="H8264" t="s">
        <v>91</v>
      </c>
      <c r="I8264" t="s">
        <v>69</v>
      </c>
      <c r="J8264" t="str">
        <f t="shared" si="55"/>
        <v>9781462506439</v>
      </c>
      <c r="L8264">
        <v>0</v>
      </c>
      <c r="O8264" t="s">
        <v>28</v>
      </c>
      <c r="P8264" t="s">
        <v>29</v>
      </c>
      <c r="Q8264" s="1">
        <v>42264.656215277777</v>
      </c>
      <c r="R8264">
        <v>7</v>
      </c>
      <c r="S8264" t="s">
        <v>1226</v>
      </c>
      <c r="T8264" t="s">
        <v>11823</v>
      </c>
      <c r="U8264">
        <v>372.41</v>
      </c>
      <c r="V8264" s="3">
        <v>41773</v>
      </c>
    </row>
    <row r="8265" spans="1:22" x14ac:dyDescent="0.35">
      <c r="A8265" s="1">
        <v>42264.66946759259</v>
      </c>
      <c r="B8265" s="2">
        <v>0</v>
      </c>
      <c r="C8265" t="s">
        <v>11819</v>
      </c>
      <c r="D8265" t="s">
        <v>1222</v>
      </c>
      <c r="E8265" t="s">
        <v>1223</v>
      </c>
      <c r="F8265" t="s">
        <v>11820</v>
      </c>
      <c r="G8265">
        <v>1024333</v>
      </c>
      <c r="H8265" t="s">
        <v>91</v>
      </c>
      <c r="I8265" t="s">
        <v>69</v>
      </c>
      <c r="J8265" t="str">
        <f t="shared" si="55"/>
        <v>9781462506439</v>
      </c>
      <c r="L8265">
        <v>0</v>
      </c>
      <c r="O8265" t="s">
        <v>28</v>
      </c>
      <c r="P8265" t="s">
        <v>29</v>
      </c>
      <c r="Q8265" s="1">
        <v>42264.656215277777</v>
      </c>
      <c r="R8265">
        <v>7</v>
      </c>
      <c r="S8265" t="s">
        <v>1226</v>
      </c>
      <c r="T8265" t="s">
        <v>11823</v>
      </c>
      <c r="U8265">
        <v>372.41</v>
      </c>
      <c r="V8265" s="3">
        <v>41773</v>
      </c>
    </row>
    <row r="8266" spans="1:22" x14ac:dyDescent="0.35">
      <c r="A8266" s="1">
        <v>42264.663287037038</v>
      </c>
      <c r="B8266" s="2">
        <v>6.030092592592593E-3</v>
      </c>
      <c r="C8266" t="s">
        <v>11819</v>
      </c>
      <c r="D8266" t="s">
        <v>1222</v>
      </c>
      <c r="E8266" t="s">
        <v>1223</v>
      </c>
      <c r="F8266" t="s">
        <v>11820</v>
      </c>
      <c r="G8266">
        <v>1024333</v>
      </c>
      <c r="H8266" t="s">
        <v>91</v>
      </c>
      <c r="I8266" t="s">
        <v>69</v>
      </c>
      <c r="J8266" t="str">
        <f t="shared" si="55"/>
        <v>9781462506439</v>
      </c>
      <c r="K8266" t="s">
        <v>11871</v>
      </c>
      <c r="L8266">
        <v>6</v>
      </c>
      <c r="O8266" t="s">
        <v>28</v>
      </c>
      <c r="P8266" t="s">
        <v>29</v>
      </c>
      <c r="Q8266" s="1">
        <v>42264.656215277777</v>
      </c>
      <c r="R8266">
        <v>7</v>
      </c>
      <c r="S8266" t="s">
        <v>1226</v>
      </c>
      <c r="T8266" t="s">
        <v>11823</v>
      </c>
      <c r="U8266">
        <v>372.41</v>
      </c>
      <c r="V8266" s="3">
        <v>41773</v>
      </c>
    </row>
    <row r="8267" spans="1:22" x14ac:dyDescent="0.35">
      <c r="A8267" s="1">
        <v>42264.656215277777</v>
      </c>
      <c r="B8267" s="2">
        <v>5.4398148148148144E-4</v>
      </c>
      <c r="C8267" t="s">
        <v>11819</v>
      </c>
      <c r="D8267" t="s">
        <v>1222</v>
      </c>
      <c r="E8267" t="s">
        <v>1223</v>
      </c>
      <c r="F8267" t="s">
        <v>11820</v>
      </c>
      <c r="G8267">
        <v>1024333</v>
      </c>
      <c r="H8267" t="s">
        <v>91</v>
      </c>
      <c r="I8267" t="s">
        <v>69</v>
      </c>
      <c r="J8267" t="str">
        <f t="shared" si="55"/>
        <v>9781462506439</v>
      </c>
      <c r="K8267" t="s">
        <v>11872</v>
      </c>
      <c r="L8267">
        <v>2</v>
      </c>
      <c r="O8267" t="s">
        <v>28</v>
      </c>
      <c r="P8267" t="s">
        <v>29</v>
      </c>
      <c r="Q8267" s="1">
        <v>42264.656215277777</v>
      </c>
      <c r="R8267">
        <v>7</v>
      </c>
      <c r="S8267" t="s">
        <v>1226</v>
      </c>
      <c r="T8267" t="s">
        <v>11823</v>
      </c>
      <c r="U8267">
        <v>372.41</v>
      </c>
      <c r="V8267" s="3">
        <v>41773</v>
      </c>
    </row>
    <row r="8268" spans="1:22" x14ac:dyDescent="0.35">
      <c r="A8268" s="1">
        <v>42264.656215277777</v>
      </c>
      <c r="B8268" s="2">
        <v>0</v>
      </c>
      <c r="C8268" t="s">
        <v>11819</v>
      </c>
      <c r="D8268" t="s">
        <v>1222</v>
      </c>
      <c r="E8268" t="s">
        <v>1223</v>
      </c>
      <c r="F8268" t="s">
        <v>11820</v>
      </c>
      <c r="G8268">
        <v>1024333</v>
      </c>
      <c r="H8268" t="s">
        <v>91</v>
      </c>
      <c r="I8268" t="s">
        <v>69</v>
      </c>
      <c r="J8268" t="str">
        <f t="shared" si="55"/>
        <v>9781462506439</v>
      </c>
      <c r="L8268">
        <v>0</v>
      </c>
      <c r="O8268" t="s">
        <v>30</v>
      </c>
      <c r="P8268" t="s">
        <v>29</v>
      </c>
      <c r="Q8268" s="1">
        <v>42264.656215277777</v>
      </c>
      <c r="R8268">
        <v>7</v>
      </c>
      <c r="S8268" t="s">
        <v>1226</v>
      </c>
      <c r="T8268" t="s">
        <v>11823</v>
      </c>
      <c r="U8268">
        <v>372.41</v>
      </c>
      <c r="V8268" s="3">
        <v>41773</v>
      </c>
    </row>
    <row r="8269" spans="1:22" x14ac:dyDescent="0.35">
      <c r="A8269" s="1">
        <v>42264.655474537038</v>
      </c>
      <c r="B8269" s="2">
        <v>7.407407407407407E-4</v>
      </c>
      <c r="C8269" t="s">
        <v>11819</v>
      </c>
      <c r="D8269" t="s">
        <v>1222</v>
      </c>
      <c r="E8269" t="s">
        <v>1223</v>
      </c>
      <c r="F8269" t="s">
        <v>11820</v>
      </c>
      <c r="G8269">
        <v>1024333</v>
      </c>
      <c r="H8269" t="s">
        <v>91</v>
      </c>
      <c r="I8269" t="s">
        <v>69</v>
      </c>
      <c r="J8269" t="str">
        <f t="shared" si="55"/>
        <v>9781462506439</v>
      </c>
      <c r="K8269" t="s">
        <v>11873</v>
      </c>
      <c r="L8269">
        <v>22</v>
      </c>
      <c r="O8269" t="s">
        <v>30</v>
      </c>
      <c r="P8269" t="s">
        <v>42</v>
      </c>
      <c r="S8269" t="s">
        <v>1226</v>
      </c>
      <c r="T8269" t="s">
        <v>11823</v>
      </c>
      <c r="U8269">
        <v>372.41</v>
      </c>
      <c r="V8269" s="3">
        <v>41773</v>
      </c>
    </row>
    <row r="8270" spans="1:22" x14ac:dyDescent="0.35">
      <c r="A8270" s="1">
        <v>42264.636435185188</v>
      </c>
      <c r="B8270" s="2">
        <v>2.5810185185185185E-3</v>
      </c>
      <c r="C8270" t="s">
        <v>11874</v>
      </c>
      <c r="D8270" t="s">
        <v>1222</v>
      </c>
      <c r="E8270" t="s">
        <v>1223</v>
      </c>
      <c r="F8270" t="s">
        <v>4779</v>
      </c>
      <c r="G8270">
        <v>1839929</v>
      </c>
      <c r="H8270" t="s">
        <v>91</v>
      </c>
      <c r="I8270" t="s">
        <v>247</v>
      </c>
      <c r="J8270" t="str">
        <f>"9781462519873"</f>
        <v>9781462519873</v>
      </c>
      <c r="K8270" t="s">
        <v>11875</v>
      </c>
      <c r="L8270">
        <v>28</v>
      </c>
      <c r="O8270" t="s">
        <v>30</v>
      </c>
      <c r="P8270" t="s">
        <v>50</v>
      </c>
      <c r="S8270" t="s">
        <v>1226</v>
      </c>
      <c r="T8270" t="s">
        <v>4781</v>
      </c>
      <c r="U8270" t="s">
        <v>4782</v>
      </c>
      <c r="V8270" s="3">
        <v>42060</v>
      </c>
    </row>
    <row r="8271" spans="1:22" x14ac:dyDescent="0.35">
      <c r="A8271" s="1">
        <v>42264.623819444445</v>
      </c>
      <c r="B8271" s="2">
        <v>0</v>
      </c>
      <c r="C8271" t="s">
        <v>10715</v>
      </c>
      <c r="D8271" t="s">
        <v>35</v>
      </c>
      <c r="E8271" t="s">
        <v>36</v>
      </c>
      <c r="F8271" t="s">
        <v>37</v>
      </c>
      <c r="G8271">
        <v>1684620</v>
      </c>
      <c r="H8271" t="s">
        <v>26</v>
      </c>
      <c r="I8271" t="s">
        <v>38</v>
      </c>
      <c r="J8271" t="str">
        <f>"9781118418925"</f>
        <v>9781118418925</v>
      </c>
      <c r="L8271">
        <v>0</v>
      </c>
      <c r="O8271" t="s">
        <v>28</v>
      </c>
      <c r="P8271" t="s">
        <v>29</v>
      </c>
      <c r="Q8271" s="1">
        <v>42264.623819444445</v>
      </c>
      <c r="R8271">
        <v>7</v>
      </c>
      <c r="S8271" t="s">
        <v>40</v>
      </c>
      <c r="T8271" t="s">
        <v>41</v>
      </c>
      <c r="U8271">
        <v>362.10680000000002</v>
      </c>
      <c r="V8271" s="3">
        <v>41759</v>
      </c>
    </row>
    <row r="8272" spans="1:22" x14ac:dyDescent="0.35">
      <c r="A8272" s="1">
        <v>42264.623819444445</v>
      </c>
      <c r="B8272" s="2">
        <v>0</v>
      </c>
      <c r="C8272" t="s">
        <v>10715</v>
      </c>
      <c r="D8272" t="s">
        <v>35</v>
      </c>
      <c r="E8272" t="s">
        <v>36</v>
      </c>
      <c r="F8272" t="s">
        <v>37</v>
      </c>
      <c r="G8272">
        <v>1684620</v>
      </c>
      <c r="H8272" t="s">
        <v>26</v>
      </c>
      <c r="I8272" t="s">
        <v>38</v>
      </c>
      <c r="J8272" t="str">
        <f>"9781118418925"</f>
        <v>9781118418925</v>
      </c>
      <c r="L8272">
        <v>0</v>
      </c>
      <c r="O8272" t="s">
        <v>30</v>
      </c>
      <c r="P8272" t="s">
        <v>29</v>
      </c>
      <c r="Q8272" s="1">
        <v>42264.623819444445</v>
      </c>
      <c r="R8272">
        <v>7</v>
      </c>
      <c r="S8272" t="s">
        <v>40</v>
      </c>
      <c r="T8272" t="s">
        <v>41</v>
      </c>
      <c r="U8272">
        <v>362.10680000000002</v>
      </c>
      <c r="V8272" s="3">
        <v>41759</v>
      </c>
    </row>
    <row r="8273" spans="1:22" x14ac:dyDescent="0.35">
      <c r="A8273" s="1">
        <v>42264.623680555553</v>
      </c>
      <c r="B8273" s="2">
        <v>1.3888888888888889E-4</v>
      </c>
      <c r="C8273" t="s">
        <v>10715</v>
      </c>
      <c r="D8273" t="s">
        <v>35</v>
      </c>
      <c r="E8273" t="s">
        <v>36</v>
      </c>
      <c r="F8273" t="s">
        <v>37</v>
      </c>
      <c r="G8273">
        <v>1684620</v>
      </c>
      <c r="H8273" t="s">
        <v>26</v>
      </c>
      <c r="I8273" t="s">
        <v>38</v>
      </c>
      <c r="J8273" t="str">
        <f>"9781118418925"</f>
        <v>9781118418925</v>
      </c>
      <c r="K8273" t="s">
        <v>73</v>
      </c>
      <c r="L8273">
        <v>3</v>
      </c>
      <c r="O8273" t="s">
        <v>30</v>
      </c>
      <c r="P8273" t="s">
        <v>42</v>
      </c>
      <c r="S8273" t="s">
        <v>40</v>
      </c>
      <c r="T8273" t="s">
        <v>41</v>
      </c>
      <c r="U8273">
        <v>362.10680000000002</v>
      </c>
      <c r="V8273" s="3">
        <v>41759</v>
      </c>
    </row>
    <row r="8274" spans="1:22" x14ac:dyDescent="0.35">
      <c r="A8274" s="1">
        <v>42264.621134259258</v>
      </c>
      <c r="B8274" s="2">
        <v>3.4722222222222222E-5</v>
      </c>
      <c r="C8274" t="s">
        <v>11876</v>
      </c>
      <c r="D8274" t="s">
        <v>35</v>
      </c>
      <c r="E8274" t="s">
        <v>36</v>
      </c>
      <c r="F8274" t="s">
        <v>11877</v>
      </c>
      <c r="G8274">
        <v>1808797</v>
      </c>
      <c r="H8274" t="s">
        <v>45</v>
      </c>
      <c r="I8274" t="s">
        <v>79</v>
      </c>
      <c r="J8274" t="str">
        <f>"9781472436061"</f>
        <v>9781472436061</v>
      </c>
      <c r="K8274" t="s">
        <v>33</v>
      </c>
      <c r="L8274">
        <v>3</v>
      </c>
      <c r="O8274" t="s">
        <v>30</v>
      </c>
      <c r="P8274" t="s">
        <v>50</v>
      </c>
      <c r="S8274" t="s">
        <v>40</v>
      </c>
      <c r="T8274" t="s">
        <v>11878</v>
      </c>
      <c r="U8274" t="s">
        <v>11879</v>
      </c>
      <c r="V8274" s="3">
        <v>41971</v>
      </c>
    </row>
    <row r="8275" spans="1:22" x14ac:dyDescent="0.35">
      <c r="A8275" s="1">
        <v>42264.600462962961</v>
      </c>
      <c r="B8275" s="2">
        <v>0</v>
      </c>
      <c r="C8275" t="s">
        <v>7408</v>
      </c>
      <c r="D8275" t="s">
        <v>23</v>
      </c>
      <c r="E8275" t="s">
        <v>24</v>
      </c>
      <c r="F8275" t="s">
        <v>486</v>
      </c>
      <c r="G8275">
        <v>1119505</v>
      </c>
      <c r="H8275" t="s">
        <v>26</v>
      </c>
      <c r="I8275" t="s">
        <v>450</v>
      </c>
      <c r="J8275" t="str">
        <f>"9781118355015"</f>
        <v>9781118355015</v>
      </c>
      <c r="L8275">
        <v>0</v>
      </c>
      <c r="N8275" t="s">
        <v>11880</v>
      </c>
      <c r="O8275" t="s">
        <v>30</v>
      </c>
      <c r="P8275" t="s">
        <v>29</v>
      </c>
      <c r="Q8275" s="1">
        <v>42264.600462962961</v>
      </c>
      <c r="R8275">
        <v>7</v>
      </c>
      <c r="S8275" t="s">
        <v>31</v>
      </c>
      <c r="T8275" t="s">
        <v>487</v>
      </c>
      <c r="U8275" t="s">
        <v>488</v>
      </c>
      <c r="V8275" s="3">
        <v>41302</v>
      </c>
    </row>
    <row r="8276" spans="1:22" x14ac:dyDescent="0.35">
      <c r="A8276" s="1">
        <v>42264.599548611113</v>
      </c>
      <c r="B8276" s="2">
        <v>9.1435185185185185E-4</v>
      </c>
      <c r="C8276" t="s">
        <v>7408</v>
      </c>
      <c r="D8276" t="s">
        <v>23</v>
      </c>
      <c r="E8276" t="s">
        <v>24</v>
      </c>
      <c r="F8276" t="s">
        <v>486</v>
      </c>
      <c r="G8276">
        <v>1119505</v>
      </c>
      <c r="H8276" t="s">
        <v>26</v>
      </c>
      <c r="I8276" t="s">
        <v>450</v>
      </c>
      <c r="J8276" t="str">
        <f>"9781118355015"</f>
        <v>9781118355015</v>
      </c>
      <c r="K8276" t="s">
        <v>11881</v>
      </c>
      <c r="L8276">
        <v>12</v>
      </c>
      <c r="O8276" t="s">
        <v>30</v>
      </c>
      <c r="P8276" t="s">
        <v>42</v>
      </c>
      <c r="S8276" t="s">
        <v>31</v>
      </c>
      <c r="T8276" t="s">
        <v>487</v>
      </c>
      <c r="U8276" t="s">
        <v>488</v>
      </c>
      <c r="V8276" s="3">
        <v>41302</v>
      </c>
    </row>
    <row r="8277" spans="1:22" x14ac:dyDescent="0.35">
      <c r="A8277" s="1">
        <v>42264.596932870372</v>
      </c>
      <c r="B8277" s="2">
        <v>0</v>
      </c>
      <c r="C8277" t="s">
        <v>106</v>
      </c>
      <c r="D8277" t="s">
        <v>23</v>
      </c>
      <c r="E8277" t="s">
        <v>24</v>
      </c>
      <c r="F8277" t="s">
        <v>4594</v>
      </c>
      <c r="G8277">
        <v>1872281</v>
      </c>
      <c r="H8277" t="s">
        <v>91</v>
      </c>
      <c r="I8277" t="s">
        <v>2133</v>
      </c>
      <c r="J8277" t="str">
        <f>"9781462519606"</f>
        <v>9781462519606</v>
      </c>
      <c r="L8277">
        <v>0</v>
      </c>
      <c r="O8277" t="s">
        <v>30</v>
      </c>
      <c r="P8277" t="s">
        <v>29</v>
      </c>
      <c r="Q8277" s="1">
        <v>42264.596932870372</v>
      </c>
      <c r="R8277">
        <v>7</v>
      </c>
      <c r="S8277" t="s">
        <v>31</v>
      </c>
      <c r="T8277" t="s">
        <v>4596</v>
      </c>
      <c r="U8277">
        <v>378.101</v>
      </c>
      <c r="V8277" s="3">
        <v>42150</v>
      </c>
    </row>
    <row r="8278" spans="1:22" x14ac:dyDescent="0.35">
      <c r="A8278" s="1">
        <v>42264.595833333333</v>
      </c>
      <c r="B8278" s="2">
        <v>1.0995370370370371E-3</v>
      </c>
      <c r="C8278" t="s">
        <v>106</v>
      </c>
      <c r="D8278" t="s">
        <v>23</v>
      </c>
      <c r="E8278" t="s">
        <v>24</v>
      </c>
      <c r="F8278" t="s">
        <v>4594</v>
      </c>
      <c r="G8278">
        <v>1872281</v>
      </c>
      <c r="H8278" t="s">
        <v>91</v>
      </c>
      <c r="I8278" t="s">
        <v>2133</v>
      </c>
      <c r="J8278" t="str">
        <f>"9781462519606"</f>
        <v>9781462519606</v>
      </c>
      <c r="K8278" t="s">
        <v>11882</v>
      </c>
      <c r="L8278">
        <v>8</v>
      </c>
      <c r="O8278" t="s">
        <v>30</v>
      </c>
      <c r="P8278" t="s">
        <v>42</v>
      </c>
      <c r="S8278" t="s">
        <v>31</v>
      </c>
      <c r="T8278" t="s">
        <v>4596</v>
      </c>
      <c r="U8278">
        <v>378.101</v>
      </c>
      <c r="V8278" s="3">
        <v>42150</v>
      </c>
    </row>
    <row r="8279" spans="1:22" x14ac:dyDescent="0.35">
      <c r="A8279" s="1">
        <v>42264.590648148151</v>
      </c>
      <c r="B8279" s="2">
        <v>2.2615740740740742E-2</v>
      </c>
      <c r="C8279" t="s">
        <v>6724</v>
      </c>
      <c r="D8279" t="s">
        <v>23</v>
      </c>
      <c r="E8279" t="s">
        <v>24</v>
      </c>
      <c r="F8279" t="s">
        <v>486</v>
      </c>
      <c r="G8279">
        <v>1119505</v>
      </c>
      <c r="H8279" t="s">
        <v>26</v>
      </c>
      <c r="I8279" t="s">
        <v>450</v>
      </c>
      <c r="J8279" t="str">
        <f>"9781118355015"</f>
        <v>9781118355015</v>
      </c>
      <c r="K8279" t="s">
        <v>11883</v>
      </c>
      <c r="L8279">
        <v>23</v>
      </c>
      <c r="O8279" t="s">
        <v>30</v>
      </c>
      <c r="P8279" t="s">
        <v>29</v>
      </c>
      <c r="Q8279" s="1">
        <v>42264.590648148151</v>
      </c>
      <c r="R8279">
        <v>7</v>
      </c>
      <c r="S8279" t="s">
        <v>31</v>
      </c>
      <c r="T8279" t="s">
        <v>487</v>
      </c>
      <c r="U8279" t="s">
        <v>488</v>
      </c>
      <c r="V8279" s="3">
        <v>41302</v>
      </c>
    </row>
    <row r="8280" spans="1:22" x14ac:dyDescent="0.35">
      <c r="A8280" s="1">
        <v>42264.579432870371</v>
      </c>
      <c r="B8280" s="2">
        <v>1.1215277777777777E-2</v>
      </c>
      <c r="C8280" t="s">
        <v>6724</v>
      </c>
      <c r="D8280" t="s">
        <v>23</v>
      </c>
      <c r="E8280" t="s">
        <v>24</v>
      </c>
      <c r="F8280" t="s">
        <v>486</v>
      </c>
      <c r="G8280">
        <v>1119505</v>
      </c>
      <c r="H8280" t="s">
        <v>26</v>
      </c>
      <c r="I8280" t="s">
        <v>450</v>
      </c>
      <c r="J8280" t="str">
        <f>"9781118355015"</f>
        <v>9781118355015</v>
      </c>
      <c r="K8280" t="s">
        <v>11884</v>
      </c>
      <c r="L8280">
        <v>16</v>
      </c>
      <c r="O8280" t="s">
        <v>30</v>
      </c>
      <c r="P8280" t="s">
        <v>42</v>
      </c>
      <c r="S8280" t="s">
        <v>31</v>
      </c>
      <c r="T8280" t="s">
        <v>487</v>
      </c>
      <c r="U8280" t="s">
        <v>488</v>
      </c>
      <c r="V8280" s="3">
        <v>41302</v>
      </c>
    </row>
    <row r="8281" spans="1:22" x14ac:dyDescent="0.35">
      <c r="A8281" s="1">
        <v>42264.558391203704</v>
      </c>
      <c r="B8281" s="2">
        <v>1.5162037037037036E-3</v>
      </c>
      <c r="C8281" t="s">
        <v>3595</v>
      </c>
      <c r="D8281" t="s">
        <v>23</v>
      </c>
      <c r="E8281" t="s">
        <v>24</v>
      </c>
      <c r="F8281" t="s">
        <v>3559</v>
      </c>
      <c r="G8281">
        <v>1217954</v>
      </c>
      <c r="H8281" t="s">
        <v>45</v>
      </c>
      <c r="I8281" t="s">
        <v>3560</v>
      </c>
      <c r="J8281" t="str">
        <f>"9781409457558"</f>
        <v>9781409457558</v>
      </c>
      <c r="K8281" t="s">
        <v>33</v>
      </c>
      <c r="L8281">
        <v>3</v>
      </c>
      <c r="O8281" t="s">
        <v>28</v>
      </c>
      <c r="P8281" t="s">
        <v>29</v>
      </c>
      <c r="Q8281" s="1">
        <v>42258.811689814815</v>
      </c>
      <c r="R8281">
        <v>7</v>
      </c>
      <c r="S8281" t="s">
        <v>31</v>
      </c>
      <c r="T8281" t="s">
        <v>3562</v>
      </c>
      <c r="U8281" t="s">
        <v>3563</v>
      </c>
      <c r="V8281" s="3">
        <v>41575</v>
      </c>
    </row>
    <row r="8282" spans="1:22" x14ac:dyDescent="0.35">
      <c r="A8282" s="1">
        <v>42264.55746527778</v>
      </c>
      <c r="B8282" s="2">
        <v>3.4722222222222222E-5</v>
      </c>
      <c r="C8282" t="s">
        <v>3595</v>
      </c>
      <c r="D8282" t="s">
        <v>23</v>
      </c>
      <c r="E8282" t="s">
        <v>24</v>
      </c>
      <c r="F8282" t="s">
        <v>3559</v>
      </c>
      <c r="G8282">
        <v>1217954</v>
      </c>
      <c r="H8282" t="s">
        <v>45</v>
      </c>
      <c r="I8282" t="s">
        <v>3560</v>
      </c>
      <c r="J8282" t="str">
        <f>"9781409457558"</f>
        <v>9781409457558</v>
      </c>
      <c r="K8282" t="s">
        <v>33</v>
      </c>
      <c r="L8282">
        <v>3</v>
      </c>
      <c r="O8282" t="s">
        <v>30</v>
      </c>
      <c r="P8282" t="s">
        <v>29</v>
      </c>
      <c r="Q8282" s="1">
        <v>42258.811689814815</v>
      </c>
      <c r="R8282">
        <v>7</v>
      </c>
      <c r="S8282" t="s">
        <v>31</v>
      </c>
      <c r="T8282" t="s">
        <v>3562</v>
      </c>
      <c r="U8282" t="s">
        <v>3563</v>
      </c>
      <c r="V8282" s="3">
        <v>41575</v>
      </c>
    </row>
    <row r="8283" spans="1:22" x14ac:dyDescent="0.35">
      <c r="A8283" s="1">
        <v>42264.555972222224</v>
      </c>
      <c r="B8283" s="2">
        <v>4.7569444444444447E-3</v>
      </c>
      <c r="C8283" t="s">
        <v>5520</v>
      </c>
      <c r="D8283" t="s">
        <v>23</v>
      </c>
      <c r="E8283" t="s">
        <v>24</v>
      </c>
      <c r="F8283" t="s">
        <v>3559</v>
      </c>
      <c r="G8283">
        <v>1217954</v>
      </c>
      <c r="H8283" t="s">
        <v>45</v>
      </c>
      <c r="I8283" t="s">
        <v>3560</v>
      </c>
      <c r="J8283" t="str">
        <f>"9781409457558"</f>
        <v>9781409457558</v>
      </c>
      <c r="K8283" t="s">
        <v>11885</v>
      </c>
      <c r="L8283">
        <v>17</v>
      </c>
      <c r="O8283" t="s">
        <v>30</v>
      </c>
      <c r="P8283" t="s">
        <v>42</v>
      </c>
      <c r="S8283" t="s">
        <v>31</v>
      </c>
      <c r="T8283" t="s">
        <v>3562</v>
      </c>
      <c r="U8283" t="s">
        <v>3563</v>
      </c>
      <c r="V8283" s="3">
        <v>41575</v>
      </c>
    </row>
    <row r="8284" spans="1:22" x14ac:dyDescent="0.35">
      <c r="A8284" s="1">
        <v>42264.50577546296</v>
      </c>
      <c r="B8284" s="2">
        <v>7.0601851851851847E-4</v>
      </c>
      <c r="C8284" t="s">
        <v>7062</v>
      </c>
      <c r="D8284" t="s">
        <v>158</v>
      </c>
      <c r="E8284" t="s">
        <v>159</v>
      </c>
      <c r="F8284" t="s">
        <v>11886</v>
      </c>
      <c r="G8284">
        <v>1174128</v>
      </c>
      <c r="H8284" t="s">
        <v>26</v>
      </c>
      <c r="I8284" t="s">
        <v>348</v>
      </c>
      <c r="J8284" t="str">
        <f>"9780745637303"</f>
        <v>9780745637303</v>
      </c>
      <c r="K8284" t="s">
        <v>11887</v>
      </c>
      <c r="L8284">
        <v>16</v>
      </c>
      <c r="O8284" t="s">
        <v>30</v>
      </c>
      <c r="P8284" t="s">
        <v>42</v>
      </c>
      <c r="S8284" t="s">
        <v>163</v>
      </c>
      <c r="T8284" t="s">
        <v>11888</v>
      </c>
      <c r="U8284">
        <v>327.101</v>
      </c>
      <c r="V8284" s="3">
        <v>41380</v>
      </c>
    </row>
    <row r="8285" spans="1:22" x14ac:dyDescent="0.35">
      <c r="A8285" s="1">
        <v>42264.128067129626</v>
      </c>
      <c r="B8285" s="2">
        <v>3.380787037037037E-2</v>
      </c>
      <c r="C8285" t="s">
        <v>11841</v>
      </c>
      <c r="D8285" t="s">
        <v>35</v>
      </c>
      <c r="E8285" t="s">
        <v>36</v>
      </c>
      <c r="F8285" t="s">
        <v>986</v>
      </c>
      <c r="G8285">
        <v>968030</v>
      </c>
      <c r="H8285" t="s">
        <v>26</v>
      </c>
      <c r="I8285" t="s">
        <v>219</v>
      </c>
      <c r="J8285" t="str">
        <f>"9781118285138"</f>
        <v>9781118285138</v>
      </c>
      <c r="K8285" t="s">
        <v>11889</v>
      </c>
      <c r="L8285">
        <v>82</v>
      </c>
      <c r="O8285" t="s">
        <v>30</v>
      </c>
      <c r="P8285" t="s">
        <v>29</v>
      </c>
      <c r="Q8285" s="1">
        <v>42264.128067129626</v>
      </c>
      <c r="R8285">
        <v>7</v>
      </c>
      <c r="S8285" t="s">
        <v>40</v>
      </c>
      <c r="T8285" t="s">
        <v>987</v>
      </c>
      <c r="U8285">
        <v>158.30000000000001</v>
      </c>
      <c r="V8285" s="3">
        <v>41100</v>
      </c>
    </row>
    <row r="8286" spans="1:22" x14ac:dyDescent="0.35">
      <c r="A8286" s="1">
        <v>42264.120509259257</v>
      </c>
      <c r="B8286" s="2">
        <v>7.5578703703703702E-3</v>
      </c>
      <c r="C8286" t="s">
        <v>11841</v>
      </c>
      <c r="D8286" t="s">
        <v>35</v>
      </c>
      <c r="E8286" t="s">
        <v>36</v>
      </c>
      <c r="F8286" t="s">
        <v>986</v>
      </c>
      <c r="G8286">
        <v>968030</v>
      </c>
      <c r="H8286" t="s">
        <v>26</v>
      </c>
      <c r="I8286" t="s">
        <v>219</v>
      </c>
      <c r="J8286" t="str">
        <f>"9781118285138"</f>
        <v>9781118285138</v>
      </c>
      <c r="K8286" t="s">
        <v>11890</v>
      </c>
      <c r="L8286">
        <v>18</v>
      </c>
      <c r="O8286" t="s">
        <v>30</v>
      </c>
      <c r="P8286" t="s">
        <v>42</v>
      </c>
      <c r="S8286" t="s">
        <v>40</v>
      </c>
      <c r="T8286" t="s">
        <v>987</v>
      </c>
      <c r="U8286">
        <v>158.30000000000001</v>
      </c>
      <c r="V8286" s="3">
        <v>41100</v>
      </c>
    </row>
    <row r="8287" spans="1:22" x14ac:dyDescent="0.35">
      <c r="A8287" s="1">
        <v>42264.108252314814</v>
      </c>
      <c r="B8287" s="2">
        <v>3.4722222222222224E-4</v>
      </c>
      <c r="C8287" t="s">
        <v>9983</v>
      </c>
      <c r="D8287" t="s">
        <v>1222</v>
      </c>
      <c r="E8287" t="s">
        <v>1223</v>
      </c>
      <c r="F8287" t="s">
        <v>9984</v>
      </c>
      <c r="G8287">
        <v>849019</v>
      </c>
      <c r="H8287" t="s">
        <v>26</v>
      </c>
      <c r="I8287" t="s">
        <v>9985</v>
      </c>
      <c r="J8287" t="str">
        <f>"9781119949862"</f>
        <v>9781119949862</v>
      </c>
      <c r="K8287" t="s">
        <v>11891</v>
      </c>
      <c r="L8287">
        <v>10</v>
      </c>
      <c r="O8287" t="s">
        <v>30</v>
      </c>
      <c r="P8287" t="s">
        <v>42</v>
      </c>
      <c r="S8287" t="s">
        <v>1226</v>
      </c>
      <c r="T8287" t="s">
        <v>9987</v>
      </c>
      <c r="U8287">
        <v>633.73</v>
      </c>
      <c r="V8287" s="3">
        <v>40932</v>
      </c>
    </row>
    <row r="8288" spans="1:22" x14ac:dyDescent="0.35">
      <c r="A8288" s="1">
        <v>42264.093148148146</v>
      </c>
      <c r="B8288" s="2">
        <v>2.3611111111111111E-3</v>
      </c>
      <c r="C8288" t="s">
        <v>11892</v>
      </c>
      <c r="D8288" t="s">
        <v>35</v>
      </c>
      <c r="E8288" t="s">
        <v>36</v>
      </c>
      <c r="F8288" t="s">
        <v>11893</v>
      </c>
      <c r="G8288">
        <v>1175196</v>
      </c>
      <c r="H8288" t="s">
        <v>84</v>
      </c>
      <c r="I8288" t="s">
        <v>661</v>
      </c>
      <c r="J8288" t="str">
        <f>"9780520955196"</f>
        <v>9780520955196</v>
      </c>
      <c r="K8288" t="s">
        <v>11894</v>
      </c>
      <c r="L8288">
        <v>13</v>
      </c>
      <c r="O8288" t="s">
        <v>30</v>
      </c>
      <c r="P8288" t="s">
        <v>47</v>
      </c>
      <c r="Q8288" s="1">
        <v>42264.093136574076</v>
      </c>
      <c r="R8288">
        <v>1</v>
      </c>
      <c r="S8288" t="s">
        <v>40</v>
      </c>
      <c r="T8288" t="s">
        <v>11895</v>
      </c>
      <c r="U8288">
        <v>597.17600000000004</v>
      </c>
      <c r="V8288" s="3">
        <v>41426</v>
      </c>
    </row>
    <row r="8289" spans="1:22" x14ac:dyDescent="0.35">
      <c r="A8289" s="1">
        <v>42264.086006944446</v>
      </c>
      <c r="B8289" s="2">
        <v>7.1296296296296307E-3</v>
      </c>
      <c r="C8289" t="s">
        <v>11892</v>
      </c>
      <c r="D8289" t="s">
        <v>35</v>
      </c>
      <c r="E8289" t="s">
        <v>36</v>
      </c>
      <c r="F8289" t="s">
        <v>11893</v>
      </c>
      <c r="G8289">
        <v>1175196</v>
      </c>
      <c r="H8289" t="s">
        <v>84</v>
      </c>
      <c r="I8289" t="s">
        <v>661</v>
      </c>
      <c r="J8289" t="str">
        <f>"9780520955196"</f>
        <v>9780520955196</v>
      </c>
      <c r="K8289" t="s">
        <v>33</v>
      </c>
      <c r="L8289">
        <v>3</v>
      </c>
      <c r="O8289" t="s">
        <v>30</v>
      </c>
      <c r="P8289" t="s">
        <v>50</v>
      </c>
      <c r="S8289" t="s">
        <v>40</v>
      </c>
      <c r="T8289" t="s">
        <v>11895</v>
      </c>
      <c r="U8289">
        <v>597.17600000000004</v>
      </c>
      <c r="V8289" s="3">
        <v>41426</v>
      </c>
    </row>
    <row r="8290" spans="1:22" x14ac:dyDescent="0.35">
      <c r="A8290" s="1">
        <v>42264.083831018521</v>
      </c>
      <c r="B8290" s="2">
        <v>1.3425925925925925E-3</v>
      </c>
      <c r="C8290" t="s">
        <v>11892</v>
      </c>
      <c r="D8290" t="s">
        <v>35</v>
      </c>
      <c r="E8290" t="s">
        <v>36</v>
      </c>
      <c r="F8290" t="s">
        <v>11893</v>
      </c>
      <c r="G8290">
        <v>1175196</v>
      </c>
      <c r="H8290" t="s">
        <v>84</v>
      </c>
      <c r="I8290" t="s">
        <v>661</v>
      </c>
      <c r="J8290" t="str">
        <f>"9780520955196"</f>
        <v>9780520955196</v>
      </c>
      <c r="K8290" t="s">
        <v>11896</v>
      </c>
      <c r="L8290">
        <v>13</v>
      </c>
      <c r="O8290" t="s">
        <v>30</v>
      </c>
      <c r="P8290" t="s">
        <v>50</v>
      </c>
      <c r="S8290" t="s">
        <v>40</v>
      </c>
      <c r="T8290" t="s">
        <v>11895</v>
      </c>
      <c r="U8290">
        <v>597.17600000000004</v>
      </c>
      <c r="V8290" s="3">
        <v>41426</v>
      </c>
    </row>
    <row r="8291" spans="1:22" x14ac:dyDescent="0.35">
      <c r="A8291" s="1">
        <v>42264.029826388891</v>
      </c>
      <c r="B8291" s="2">
        <v>3.0092592592592595E-4</v>
      </c>
      <c r="C8291" t="s">
        <v>11897</v>
      </c>
      <c r="D8291" t="s">
        <v>158</v>
      </c>
      <c r="E8291" t="s">
        <v>159</v>
      </c>
      <c r="F8291" t="s">
        <v>10868</v>
      </c>
      <c r="G8291">
        <v>1204057</v>
      </c>
      <c r="H8291" t="s">
        <v>26</v>
      </c>
      <c r="I8291" t="s">
        <v>2751</v>
      </c>
      <c r="J8291" t="str">
        <f>"9781118598122"</f>
        <v>9781118598122</v>
      </c>
      <c r="K8291" t="s">
        <v>889</v>
      </c>
      <c r="L8291">
        <v>6</v>
      </c>
      <c r="O8291" t="s">
        <v>30</v>
      </c>
      <c r="P8291" t="s">
        <v>42</v>
      </c>
      <c r="S8291" t="s">
        <v>163</v>
      </c>
      <c r="T8291" t="s">
        <v>10870</v>
      </c>
      <c r="U8291" t="s">
        <v>10871</v>
      </c>
      <c r="V8291" s="3">
        <v>41414</v>
      </c>
    </row>
    <row r="8292" spans="1:22" x14ac:dyDescent="0.35">
      <c r="A8292" s="1">
        <v>42263.943819444445</v>
      </c>
      <c r="B8292" s="2">
        <v>3.0092592592592595E-4</v>
      </c>
      <c r="C8292" t="s">
        <v>5033</v>
      </c>
      <c r="D8292" t="s">
        <v>23</v>
      </c>
      <c r="E8292" t="s">
        <v>24</v>
      </c>
      <c r="F8292" t="s">
        <v>4594</v>
      </c>
      <c r="G8292">
        <v>1872281</v>
      </c>
      <c r="H8292" t="s">
        <v>91</v>
      </c>
      <c r="I8292" t="s">
        <v>2133</v>
      </c>
      <c r="J8292" t="str">
        <f>"9781462519606"</f>
        <v>9781462519606</v>
      </c>
      <c r="K8292" t="s">
        <v>1109</v>
      </c>
      <c r="L8292">
        <v>3</v>
      </c>
      <c r="O8292" t="s">
        <v>30</v>
      </c>
      <c r="P8292" t="s">
        <v>42</v>
      </c>
      <c r="S8292" t="s">
        <v>31</v>
      </c>
      <c r="T8292" t="s">
        <v>4596</v>
      </c>
      <c r="U8292">
        <v>378.101</v>
      </c>
      <c r="V8292" s="3">
        <v>42150</v>
      </c>
    </row>
    <row r="8293" spans="1:22" x14ac:dyDescent="0.35">
      <c r="A8293" s="1">
        <v>42263.897048611114</v>
      </c>
      <c r="B8293" s="2">
        <v>8.9120370370370362E-4</v>
      </c>
      <c r="C8293" t="s">
        <v>11898</v>
      </c>
      <c r="D8293" t="s">
        <v>23</v>
      </c>
      <c r="E8293" t="s">
        <v>24</v>
      </c>
      <c r="F8293" t="s">
        <v>3298</v>
      </c>
      <c r="G8293">
        <v>1742625</v>
      </c>
      <c r="H8293" t="s">
        <v>526</v>
      </c>
      <c r="I8293" t="s">
        <v>267</v>
      </c>
      <c r="J8293" t="str">
        <f>"9780226135250"</f>
        <v>9780226135250</v>
      </c>
      <c r="K8293" t="s">
        <v>11899</v>
      </c>
      <c r="L8293">
        <v>19</v>
      </c>
      <c r="O8293" t="s">
        <v>30</v>
      </c>
      <c r="P8293" t="s">
        <v>50</v>
      </c>
      <c r="S8293" t="s">
        <v>31</v>
      </c>
      <c r="T8293" t="s">
        <v>3300</v>
      </c>
      <c r="U8293" t="s">
        <v>3301</v>
      </c>
      <c r="V8293" s="3">
        <v>41876</v>
      </c>
    </row>
    <row r="8294" spans="1:22" x14ac:dyDescent="0.35">
      <c r="A8294" s="1">
        <v>42263.78429398148</v>
      </c>
      <c r="B8294" s="2">
        <v>9.2592592592592588E-5</v>
      </c>
      <c r="C8294" t="s">
        <v>11900</v>
      </c>
      <c r="D8294" t="s">
        <v>23</v>
      </c>
      <c r="E8294" t="s">
        <v>24</v>
      </c>
      <c r="F8294" t="s">
        <v>11901</v>
      </c>
      <c r="G8294">
        <v>1313513</v>
      </c>
      <c r="H8294" t="s">
        <v>26</v>
      </c>
      <c r="I8294" t="s">
        <v>276</v>
      </c>
      <c r="J8294" t="str">
        <f>"9781118732281"</f>
        <v>9781118732281</v>
      </c>
      <c r="K8294" t="s">
        <v>33</v>
      </c>
      <c r="L8294">
        <v>3</v>
      </c>
      <c r="O8294" t="s">
        <v>30</v>
      </c>
      <c r="P8294" t="s">
        <v>42</v>
      </c>
      <c r="S8294" t="s">
        <v>31</v>
      </c>
      <c r="T8294" t="s">
        <v>11902</v>
      </c>
      <c r="U8294">
        <v>5.74</v>
      </c>
      <c r="V8294" s="3">
        <v>41456</v>
      </c>
    </row>
    <row r="8295" spans="1:22" x14ac:dyDescent="0.35">
      <c r="A8295" s="1">
        <v>42263.775891203702</v>
      </c>
      <c r="B8295" s="2">
        <v>8.1018518518518516E-4</v>
      </c>
      <c r="C8295" t="s">
        <v>11903</v>
      </c>
      <c r="D8295" t="s">
        <v>6396</v>
      </c>
      <c r="E8295" t="s">
        <v>6397</v>
      </c>
      <c r="F8295" t="s">
        <v>9472</v>
      </c>
      <c r="G8295">
        <v>1630976</v>
      </c>
      <c r="H8295" t="s">
        <v>26</v>
      </c>
      <c r="I8295" t="s">
        <v>9473</v>
      </c>
      <c r="J8295" t="str">
        <f>"9781118418666"</f>
        <v>9781118418666</v>
      </c>
      <c r="K8295" t="s">
        <v>209</v>
      </c>
      <c r="L8295">
        <v>4</v>
      </c>
      <c r="O8295" t="s">
        <v>30</v>
      </c>
      <c r="P8295" t="s">
        <v>42</v>
      </c>
      <c r="S8295" t="s">
        <v>6400</v>
      </c>
      <c r="T8295" t="s">
        <v>9475</v>
      </c>
      <c r="U8295">
        <v>729</v>
      </c>
      <c r="V8295" s="3">
        <v>41677</v>
      </c>
    </row>
    <row r="8296" spans="1:22" x14ac:dyDescent="0.35">
      <c r="A8296" s="1">
        <v>42263.763067129628</v>
      </c>
      <c r="B8296" s="2">
        <v>4.6296296296296294E-5</v>
      </c>
      <c r="C8296" t="s">
        <v>1306</v>
      </c>
      <c r="D8296" t="s">
        <v>158</v>
      </c>
      <c r="E8296" t="s">
        <v>159</v>
      </c>
      <c r="F8296" t="s">
        <v>11904</v>
      </c>
      <c r="G8296">
        <v>1882090</v>
      </c>
      <c r="H8296" t="s">
        <v>84</v>
      </c>
      <c r="I8296" t="s">
        <v>11905</v>
      </c>
      <c r="J8296" t="str">
        <f>"9780520959590"</f>
        <v>9780520959590</v>
      </c>
      <c r="K8296" t="s">
        <v>33</v>
      </c>
      <c r="L8296">
        <v>3</v>
      </c>
      <c r="O8296" t="s">
        <v>30</v>
      </c>
      <c r="P8296" t="s">
        <v>50</v>
      </c>
      <c r="S8296" t="s">
        <v>163</v>
      </c>
      <c r="T8296" t="s">
        <v>11906</v>
      </c>
      <c r="U8296">
        <v>306.48099999999999</v>
      </c>
      <c r="V8296" s="3">
        <v>42125</v>
      </c>
    </row>
    <row r="8297" spans="1:22" x14ac:dyDescent="0.35">
      <c r="A8297" s="1">
        <v>42263.757916666669</v>
      </c>
      <c r="B8297" s="2">
        <v>6.8287037037037025E-4</v>
      </c>
      <c r="C8297" t="s">
        <v>7471</v>
      </c>
      <c r="D8297" t="s">
        <v>360</v>
      </c>
      <c r="E8297" t="s">
        <v>361</v>
      </c>
      <c r="F8297" t="s">
        <v>3815</v>
      </c>
      <c r="G8297">
        <v>1710985</v>
      </c>
      <c r="H8297" t="s">
        <v>84</v>
      </c>
      <c r="I8297" t="s">
        <v>1650</v>
      </c>
      <c r="J8297" t="str">
        <f>"9780520960022"</f>
        <v>9780520960022</v>
      </c>
      <c r="K8297" t="s">
        <v>209</v>
      </c>
      <c r="L8297">
        <v>4</v>
      </c>
      <c r="O8297" t="s">
        <v>30</v>
      </c>
      <c r="P8297" t="s">
        <v>50</v>
      </c>
      <c r="S8297" t="s">
        <v>363</v>
      </c>
      <c r="T8297" t="s">
        <v>3817</v>
      </c>
      <c r="U8297">
        <v>741.59</v>
      </c>
      <c r="V8297" s="3">
        <v>41970</v>
      </c>
    </row>
    <row r="8298" spans="1:22" x14ac:dyDescent="0.35">
      <c r="A8298" s="1">
        <v>42263.753425925926</v>
      </c>
      <c r="B8298" s="2">
        <v>2.5231481481481481E-3</v>
      </c>
      <c r="C8298" t="s">
        <v>11907</v>
      </c>
      <c r="D8298" t="s">
        <v>261</v>
      </c>
      <c r="E8298" t="s">
        <v>262</v>
      </c>
      <c r="F8298" t="s">
        <v>3777</v>
      </c>
      <c r="G8298">
        <v>1010497</v>
      </c>
      <c r="H8298" t="s">
        <v>26</v>
      </c>
      <c r="I8298" t="s">
        <v>247</v>
      </c>
      <c r="J8298" t="str">
        <f>"9781118314753"</f>
        <v>9781118314753</v>
      </c>
      <c r="K8298" t="s">
        <v>11908</v>
      </c>
      <c r="L8298">
        <v>22</v>
      </c>
      <c r="O8298" t="s">
        <v>30</v>
      </c>
      <c r="P8298" t="s">
        <v>42</v>
      </c>
      <c r="S8298" t="s">
        <v>264</v>
      </c>
      <c r="T8298" t="s">
        <v>3779</v>
      </c>
      <c r="U8298" t="s">
        <v>2346</v>
      </c>
      <c r="V8298" s="3">
        <v>41142</v>
      </c>
    </row>
    <row r="8299" spans="1:22" x14ac:dyDescent="0.35">
      <c r="A8299" s="1">
        <v>42263.74728009259</v>
      </c>
      <c r="B8299" s="2">
        <v>1.6458333333333332E-2</v>
      </c>
      <c r="C8299" t="s">
        <v>11909</v>
      </c>
      <c r="D8299" t="s">
        <v>23</v>
      </c>
      <c r="E8299" t="s">
        <v>24</v>
      </c>
      <c r="F8299" t="s">
        <v>11910</v>
      </c>
      <c r="G8299">
        <v>1590672</v>
      </c>
      <c r="H8299" t="s">
        <v>45</v>
      </c>
      <c r="I8299" t="s">
        <v>426</v>
      </c>
      <c r="J8299" t="str">
        <f>"9781472410535"</f>
        <v>9781472410535</v>
      </c>
      <c r="K8299" t="s">
        <v>11911</v>
      </c>
      <c r="L8299">
        <v>51</v>
      </c>
      <c r="O8299" t="s">
        <v>30</v>
      </c>
      <c r="P8299" t="s">
        <v>47</v>
      </c>
      <c r="Q8299" s="1">
        <v>42263.74728009259</v>
      </c>
      <c r="R8299">
        <v>1</v>
      </c>
      <c r="S8299" t="s">
        <v>31</v>
      </c>
      <c r="T8299" t="s">
        <v>11912</v>
      </c>
      <c r="U8299" t="s">
        <v>11913</v>
      </c>
      <c r="V8299" s="3">
        <v>41726</v>
      </c>
    </row>
    <row r="8300" spans="1:22" x14ac:dyDescent="0.35">
      <c r="A8300" s="1">
        <v>42263.743391203701</v>
      </c>
      <c r="B8300" s="2">
        <v>3.8888888888888883E-3</v>
      </c>
      <c r="C8300" t="s">
        <v>11909</v>
      </c>
      <c r="D8300" t="s">
        <v>23</v>
      </c>
      <c r="E8300" t="s">
        <v>24</v>
      </c>
      <c r="F8300" t="s">
        <v>11910</v>
      </c>
      <c r="G8300">
        <v>1590672</v>
      </c>
      <c r="H8300" t="s">
        <v>45</v>
      </c>
      <c r="I8300" t="s">
        <v>426</v>
      </c>
      <c r="J8300" t="str">
        <f>"9781472410535"</f>
        <v>9781472410535</v>
      </c>
      <c r="K8300" t="s">
        <v>11914</v>
      </c>
      <c r="L8300">
        <v>21</v>
      </c>
      <c r="O8300" t="s">
        <v>30</v>
      </c>
      <c r="P8300" t="s">
        <v>50</v>
      </c>
      <c r="S8300" t="s">
        <v>31</v>
      </c>
      <c r="T8300" t="s">
        <v>11912</v>
      </c>
      <c r="U8300" t="s">
        <v>11913</v>
      </c>
      <c r="V8300" s="3">
        <v>41726</v>
      </c>
    </row>
    <row r="8301" spans="1:22" x14ac:dyDescent="0.35">
      <c r="A8301" s="1">
        <v>42263.719895833332</v>
      </c>
      <c r="B8301" s="2">
        <v>1.0185185185185186E-3</v>
      </c>
      <c r="C8301" t="s">
        <v>11915</v>
      </c>
      <c r="D8301" t="s">
        <v>360</v>
      </c>
      <c r="E8301" t="s">
        <v>361</v>
      </c>
      <c r="F8301" t="s">
        <v>52</v>
      </c>
      <c r="G8301">
        <v>822040</v>
      </c>
      <c r="H8301" t="s">
        <v>26</v>
      </c>
      <c r="I8301" t="s">
        <v>53</v>
      </c>
      <c r="J8301" t="str">
        <f>"9781118289099"</f>
        <v>9781118289099</v>
      </c>
      <c r="K8301" t="s">
        <v>11916</v>
      </c>
      <c r="L8301">
        <v>20</v>
      </c>
      <c r="O8301" t="s">
        <v>30</v>
      </c>
      <c r="P8301" t="s">
        <v>42</v>
      </c>
      <c r="S8301" t="s">
        <v>363</v>
      </c>
      <c r="T8301" t="s">
        <v>55</v>
      </c>
      <c r="U8301" t="s">
        <v>56</v>
      </c>
      <c r="V8301" s="3">
        <v>40990</v>
      </c>
    </row>
    <row r="8302" spans="1:22" x14ac:dyDescent="0.35">
      <c r="A8302" s="1">
        <v>42263.690104166664</v>
      </c>
      <c r="B8302" s="2">
        <v>4.6296296296296294E-5</v>
      </c>
      <c r="C8302" t="s">
        <v>11917</v>
      </c>
      <c r="D8302" t="s">
        <v>335</v>
      </c>
      <c r="E8302" t="s">
        <v>336</v>
      </c>
      <c r="F8302" t="s">
        <v>1618</v>
      </c>
      <c r="G8302">
        <v>2064681</v>
      </c>
      <c r="H8302" t="s">
        <v>26</v>
      </c>
      <c r="I8302" t="s">
        <v>1619</v>
      </c>
      <c r="J8302" t="str">
        <f>"9781118674918"</f>
        <v>9781118674918</v>
      </c>
      <c r="K8302" t="s">
        <v>611</v>
      </c>
      <c r="L8302">
        <v>3</v>
      </c>
      <c r="O8302" t="s">
        <v>30</v>
      </c>
      <c r="P8302" t="s">
        <v>50</v>
      </c>
      <c r="S8302" t="s">
        <v>340</v>
      </c>
      <c r="T8302" t="s">
        <v>1620</v>
      </c>
      <c r="U8302">
        <v>519.54999999999995</v>
      </c>
      <c r="V8302" s="3">
        <v>42157</v>
      </c>
    </row>
    <row r="8303" spans="1:22" x14ac:dyDescent="0.35">
      <c r="A8303" s="1">
        <v>42263.670798611114</v>
      </c>
      <c r="B8303" s="2">
        <v>4.6296296296296294E-5</v>
      </c>
      <c r="C8303" t="s">
        <v>7062</v>
      </c>
      <c r="D8303" t="s">
        <v>158</v>
      </c>
      <c r="E8303" t="s">
        <v>159</v>
      </c>
      <c r="F8303" t="s">
        <v>887</v>
      </c>
      <c r="G8303">
        <v>1791341</v>
      </c>
      <c r="H8303" t="s">
        <v>26</v>
      </c>
      <c r="I8303" t="s">
        <v>888</v>
      </c>
      <c r="J8303" t="str">
        <f>"9781118862285"</f>
        <v>9781118862285</v>
      </c>
      <c r="K8303" t="s">
        <v>33</v>
      </c>
      <c r="L8303">
        <v>3</v>
      </c>
      <c r="O8303" t="s">
        <v>30</v>
      </c>
      <c r="P8303" t="s">
        <v>42</v>
      </c>
      <c r="S8303" t="s">
        <v>163</v>
      </c>
      <c r="T8303" t="s">
        <v>890</v>
      </c>
      <c r="U8303">
        <v>696</v>
      </c>
      <c r="V8303" s="3">
        <v>41899</v>
      </c>
    </row>
    <row r="8304" spans="1:22" x14ac:dyDescent="0.35">
      <c r="A8304" s="1">
        <v>42263.669791666667</v>
      </c>
      <c r="B8304" s="2">
        <v>6.2199074074074073E-2</v>
      </c>
      <c r="C8304" t="s">
        <v>106</v>
      </c>
      <c r="D8304" t="s">
        <v>23</v>
      </c>
      <c r="E8304" t="s">
        <v>24</v>
      </c>
      <c r="F8304" t="s">
        <v>3559</v>
      </c>
      <c r="G8304">
        <v>1217954</v>
      </c>
      <c r="H8304" t="s">
        <v>45</v>
      </c>
      <c r="I8304" t="s">
        <v>3560</v>
      </c>
      <c r="J8304" t="str">
        <f>"9781409457558"</f>
        <v>9781409457558</v>
      </c>
      <c r="K8304" t="s">
        <v>11918</v>
      </c>
      <c r="L8304">
        <v>92</v>
      </c>
      <c r="O8304" t="s">
        <v>30</v>
      </c>
      <c r="P8304" t="s">
        <v>29</v>
      </c>
      <c r="Q8304" s="1">
        <v>42261.622696759259</v>
      </c>
      <c r="R8304">
        <v>7</v>
      </c>
      <c r="S8304" t="s">
        <v>31</v>
      </c>
      <c r="T8304" t="s">
        <v>3562</v>
      </c>
      <c r="U8304" t="s">
        <v>3563</v>
      </c>
      <c r="V8304" s="3">
        <v>41575</v>
      </c>
    </row>
    <row r="8305" spans="1:22" x14ac:dyDescent="0.35">
      <c r="A8305" s="1">
        <v>42263.669282407405</v>
      </c>
      <c r="B8305" s="2">
        <v>9.8379629629629642E-4</v>
      </c>
      <c r="C8305" t="s">
        <v>1103</v>
      </c>
      <c r="D8305" t="s">
        <v>23</v>
      </c>
      <c r="E8305" t="s">
        <v>24</v>
      </c>
      <c r="F8305" t="s">
        <v>4959</v>
      </c>
      <c r="G8305">
        <v>1570482</v>
      </c>
      <c r="H8305" t="s">
        <v>45</v>
      </c>
      <c r="I8305" t="s">
        <v>120</v>
      </c>
      <c r="J8305" t="str">
        <f>"9781409440529"</f>
        <v>9781409440529</v>
      </c>
      <c r="K8305" t="s">
        <v>11919</v>
      </c>
      <c r="L8305">
        <v>8</v>
      </c>
      <c r="O8305" t="s">
        <v>30</v>
      </c>
      <c r="P8305" t="s">
        <v>42</v>
      </c>
      <c r="S8305" t="s">
        <v>31</v>
      </c>
      <c r="T8305" t="s">
        <v>4962</v>
      </c>
      <c r="U8305" t="s">
        <v>4963</v>
      </c>
      <c r="V8305" s="3">
        <v>41698</v>
      </c>
    </row>
    <row r="8306" spans="1:22" x14ac:dyDescent="0.35">
      <c r="A8306" s="1">
        <v>42263.655914351853</v>
      </c>
      <c r="B8306" s="2">
        <v>3.4722222222222222E-5</v>
      </c>
      <c r="C8306" t="s">
        <v>11920</v>
      </c>
      <c r="D8306" t="s">
        <v>335</v>
      </c>
      <c r="E8306" t="s">
        <v>336</v>
      </c>
      <c r="F8306" t="s">
        <v>3993</v>
      </c>
      <c r="G8306">
        <v>1798778</v>
      </c>
      <c r="H8306" t="s">
        <v>26</v>
      </c>
      <c r="I8306" t="s">
        <v>247</v>
      </c>
      <c r="J8306" t="str">
        <f>"9781118760741"</f>
        <v>9781118760741</v>
      </c>
      <c r="K8306" t="s">
        <v>33</v>
      </c>
      <c r="L8306">
        <v>3</v>
      </c>
      <c r="O8306" t="s">
        <v>30</v>
      </c>
      <c r="P8306" t="s">
        <v>42</v>
      </c>
      <c r="S8306" t="s">
        <v>340</v>
      </c>
      <c r="T8306" t="s">
        <v>3995</v>
      </c>
      <c r="U8306">
        <v>616.07500000000005</v>
      </c>
      <c r="V8306" s="3">
        <v>41906</v>
      </c>
    </row>
    <row r="8307" spans="1:22" x14ac:dyDescent="0.35">
      <c r="A8307" s="1">
        <v>42263.652766203704</v>
      </c>
      <c r="B8307" s="2">
        <v>1.5046296296296297E-4</v>
      </c>
      <c r="C8307" t="s">
        <v>11921</v>
      </c>
      <c r="D8307" t="s">
        <v>23</v>
      </c>
      <c r="E8307" t="s">
        <v>24</v>
      </c>
      <c r="F8307" t="s">
        <v>3488</v>
      </c>
      <c r="G8307">
        <v>1294909</v>
      </c>
      <c r="H8307" t="s">
        <v>84</v>
      </c>
      <c r="I8307" t="s">
        <v>445</v>
      </c>
      <c r="J8307" t="str">
        <f>"9780520956797"</f>
        <v>9780520956797</v>
      </c>
      <c r="K8307" t="s">
        <v>1309</v>
      </c>
      <c r="L8307">
        <v>1</v>
      </c>
      <c r="N8307" t="s">
        <v>11785</v>
      </c>
      <c r="O8307" t="s">
        <v>30</v>
      </c>
      <c r="P8307" t="s">
        <v>29</v>
      </c>
      <c r="Q8307" s="1">
        <v>42263.652766203704</v>
      </c>
      <c r="R8307">
        <v>7</v>
      </c>
      <c r="S8307" t="s">
        <v>31</v>
      </c>
      <c r="T8307" t="s">
        <v>3490</v>
      </c>
      <c r="U8307" t="s">
        <v>3491</v>
      </c>
      <c r="V8307" s="3">
        <v>41487</v>
      </c>
    </row>
    <row r="8308" spans="1:22" x14ac:dyDescent="0.35">
      <c r="A8308" s="1">
        <v>42263.652650462966</v>
      </c>
      <c r="B8308" s="2">
        <v>1.1574074074074073E-4</v>
      </c>
      <c r="C8308" t="s">
        <v>11921</v>
      </c>
      <c r="D8308" t="s">
        <v>23</v>
      </c>
      <c r="E8308" t="s">
        <v>24</v>
      </c>
      <c r="F8308" t="s">
        <v>3488</v>
      </c>
      <c r="G8308">
        <v>1294909</v>
      </c>
      <c r="H8308" t="s">
        <v>84</v>
      </c>
      <c r="I8308" t="s">
        <v>445</v>
      </c>
      <c r="J8308" t="str">
        <f>"9780520956797"</f>
        <v>9780520956797</v>
      </c>
      <c r="K8308" t="s">
        <v>11922</v>
      </c>
      <c r="L8308">
        <v>6</v>
      </c>
      <c r="O8308" t="s">
        <v>30</v>
      </c>
      <c r="P8308" t="s">
        <v>42</v>
      </c>
      <c r="S8308" t="s">
        <v>31</v>
      </c>
      <c r="T8308" t="s">
        <v>3490</v>
      </c>
      <c r="U8308" t="s">
        <v>3491</v>
      </c>
      <c r="V8308" s="3">
        <v>41487</v>
      </c>
    </row>
    <row r="8309" spans="1:22" x14ac:dyDescent="0.35">
      <c r="A8309" s="1">
        <v>42263.652002314811</v>
      </c>
      <c r="B8309" s="2">
        <v>2.5462962962962961E-4</v>
      </c>
      <c r="C8309" t="s">
        <v>11921</v>
      </c>
      <c r="D8309" t="s">
        <v>23</v>
      </c>
      <c r="E8309" t="s">
        <v>24</v>
      </c>
      <c r="F8309" t="s">
        <v>3488</v>
      </c>
      <c r="G8309">
        <v>1294909</v>
      </c>
      <c r="H8309" t="s">
        <v>84</v>
      </c>
      <c r="I8309" t="s">
        <v>445</v>
      </c>
      <c r="J8309" t="str">
        <f>"9780520956797"</f>
        <v>9780520956797</v>
      </c>
      <c r="K8309" t="s">
        <v>11923</v>
      </c>
      <c r="L8309">
        <v>8</v>
      </c>
      <c r="O8309" t="s">
        <v>30</v>
      </c>
      <c r="P8309" t="s">
        <v>42</v>
      </c>
      <c r="S8309" t="s">
        <v>31</v>
      </c>
      <c r="T8309" t="s">
        <v>3490</v>
      </c>
      <c r="U8309" t="s">
        <v>3491</v>
      </c>
      <c r="V8309" s="3">
        <v>41487</v>
      </c>
    </row>
    <row r="8310" spans="1:22" x14ac:dyDescent="0.35">
      <c r="A8310" s="1">
        <v>42263.651956018519</v>
      </c>
      <c r="B8310" s="2">
        <v>5.8101851851851856E-3</v>
      </c>
      <c r="C8310" t="s">
        <v>1103</v>
      </c>
      <c r="D8310" t="s">
        <v>23</v>
      </c>
      <c r="E8310" t="s">
        <v>24</v>
      </c>
      <c r="F8310" t="s">
        <v>11924</v>
      </c>
      <c r="G8310">
        <v>1821004</v>
      </c>
      <c r="H8310" t="s">
        <v>139</v>
      </c>
      <c r="I8310" t="s">
        <v>120</v>
      </c>
      <c r="J8310" t="str">
        <f>"9781479841103"</f>
        <v>9781479841103</v>
      </c>
      <c r="K8310" t="s">
        <v>11925</v>
      </c>
      <c r="L8310">
        <v>10</v>
      </c>
      <c r="O8310" t="s">
        <v>30</v>
      </c>
      <c r="P8310" t="s">
        <v>42</v>
      </c>
      <c r="S8310" t="s">
        <v>31</v>
      </c>
      <c r="T8310" t="s">
        <v>11926</v>
      </c>
      <c r="U8310">
        <v>305.23509730000001</v>
      </c>
      <c r="V8310" s="3">
        <v>41932</v>
      </c>
    </row>
    <row r="8311" spans="1:22" x14ac:dyDescent="0.35">
      <c r="A8311" s="1">
        <v>42263.63758101852</v>
      </c>
      <c r="B8311" s="2">
        <v>7.291666666666667E-4</v>
      </c>
      <c r="C8311" t="s">
        <v>11157</v>
      </c>
      <c r="D8311" t="s">
        <v>360</v>
      </c>
      <c r="E8311" t="s">
        <v>361</v>
      </c>
      <c r="F8311" t="s">
        <v>11927</v>
      </c>
      <c r="G8311">
        <v>1390823</v>
      </c>
      <c r="H8311" t="s">
        <v>26</v>
      </c>
      <c r="I8311" t="s">
        <v>120</v>
      </c>
      <c r="J8311" t="str">
        <f>"9780745678924"</f>
        <v>9780745678924</v>
      </c>
      <c r="K8311" t="s">
        <v>11167</v>
      </c>
      <c r="L8311">
        <v>8</v>
      </c>
      <c r="O8311" t="s">
        <v>30</v>
      </c>
      <c r="P8311" t="s">
        <v>50</v>
      </c>
      <c r="S8311" t="s">
        <v>363</v>
      </c>
      <c r="T8311" t="s">
        <v>11928</v>
      </c>
      <c r="U8311">
        <v>305</v>
      </c>
      <c r="V8311" s="3">
        <v>41527</v>
      </c>
    </row>
    <row r="8312" spans="1:22" x14ac:dyDescent="0.35">
      <c r="A8312" s="1">
        <v>42263.63653935185</v>
      </c>
      <c r="B8312" s="2">
        <v>9.2592592592592588E-5</v>
      </c>
      <c r="C8312" t="s">
        <v>11157</v>
      </c>
      <c r="D8312" t="s">
        <v>360</v>
      </c>
      <c r="E8312" t="s">
        <v>361</v>
      </c>
      <c r="F8312" t="s">
        <v>10926</v>
      </c>
      <c r="G8312">
        <v>1527429</v>
      </c>
      <c r="H8312" t="s">
        <v>26</v>
      </c>
      <c r="I8312" t="s">
        <v>120</v>
      </c>
      <c r="J8312" t="str">
        <f>"9780745673622"</f>
        <v>9780745673622</v>
      </c>
      <c r="K8312" t="s">
        <v>33</v>
      </c>
      <c r="L8312">
        <v>3</v>
      </c>
      <c r="O8312" t="s">
        <v>30</v>
      </c>
      <c r="P8312" t="s">
        <v>50</v>
      </c>
      <c r="S8312" t="s">
        <v>363</v>
      </c>
      <c r="T8312" t="s">
        <v>10928</v>
      </c>
      <c r="U8312">
        <v>305.8</v>
      </c>
      <c r="V8312" s="3">
        <v>41577</v>
      </c>
    </row>
    <row r="8313" spans="1:22" x14ac:dyDescent="0.35">
      <c r="A8313" s="1">
        <v>42263.633321759262</v>
      </c>
      <c r="B8313" s="2">
        <v>3.5879629629629635E-4</v>
      </c>
      <c r="C8313" t="s">
        <v>11157</v>
      </c>
      <c r="D8313" t="s">
        <v>360</v>
      </c>
      <c r="E8313" t="s">
        <v>361</v>
      </c>
      <c r="F8313" t="s">
        <v>7650</v>
      </c>
      <c r="G8313">
        <v>1651145</v>
      </c>
      <c r="H8313" t="s">
        <v>26</v>
      </c>
      <c r="I8313" t="s">
        <v>85</v>
      </c>
      <c r="J8313" t="str">
        <f>"9780745684277"</f>
        <v>9780745684277</v>
      </c>
      <c r="K8313" t="s">
        <v>11185</v>
      </c>
      <c r="L8313">
        <v>4</v>
      </c>
      <c r="O8313" t="s">
        <v>30</v>
      </c>
      <c r="P8313" t="s">
        <v>50</v>
      </c>
      <c r="S8313" t="s">
        <v>363</v>
      </c>
      <c r="T8313" t="s">
        <v>7652</v>
      </c>
      <c r="U8313">
        <v>303.48200000000003</v>
      </c>
      <c r="V8313" s="3">
        <v>41701</v>
      </c>
    </row>
    <row r="8314" spans="1:22" x14ac:dyDescent="0.35">
      <c r="A8314" s="1">
        <v>42263.632488425923</v>
      </c>
      <c r="B8314" s="2">
        <v>0</v>
      </c>
      <c r="C8314" t="s">
        <v>11157</v>
      </c>
      <c r="D8314" t="s">
        <v>360</v>
      </c>
      <c r="E8314" t="s">
        <v>361</v>
      </c>
      <c r="F8314" t="s">
        <v>11929</v>
      </c>
      <c r="G8314">
        <v>1780036</v>
      </c>
      <c r="H8314" t="s">
        <v>26</v>
      </c>
      <c r="I8314" t="s">
        <v>11930</v>
      </c>
      <c r="J8314" t="str">
        <f>"9781118451489"</f>
        <v>9781118451489</v>
      </c>
      <c r="L8314">
        <v>0</v>
      </c>
      <c r="O8314" t="s">
        <v>28</v>
      </c>
      <c r="P8314" t="s">
        <v>47</v>
      </c>
      <c r="Q8314" s="1">
        <v>42263.632488425923</v>
      </c>
      <c r="R8314">
        <v>1</v>
      </c>
      <c r="S8314" t="s">
        <v>363</v>
      </c>
      <c r="T8314" t="s">
        <v>11931</v>
      </c>
      <c r="U8314">
        <v>304.2</v>
      </c>
      <c r="V8314" s="3">
        <v>41884</v>
      </c>
    </row>
    <row r="8315" spans="1:22" x14ac:dyDescent="0.35">
      <c r="A8315" s="1">
        <v>42263.632488425923</v>
      </c>
      <c r="B8315" s="2">
        <v>0</v>
      </c>
      <c r="C8315" t="s">
        <v>11157</v>
      </c>
      <c r="D8315" t="s">
        <v>360</v>
      </c>
      <c r="E8315" t="s">
        <v>361</v>
      </c>
      <c r="F8315" t="s">
        <v>11929</v>
      </c>
      <c r="G8315">
        <v>1780036</v>
      </c>
      <c r="H8315" t="s">
        <v>26</v>
      </c>
      <c r="I8315" t="s">
        <v>11930</v>
      </c>
      <c r="J8315" t="str">
        <f>"9781118451489"</f>
        <v>9781118451489</v>
      </c>
      <c r="L8315">
        <v>0</v>
      </c>
      <c r="O8315" t="s">
        <v>30</v>
      </c>
      <c r="P8315" t="s">
        <v>47</v>
      </c>
      <c r="Q8315" s="1">
        <v>42263.632488425923</v>
      </c>
      <c r="R8315">
        <v>1</v>
      </c>
      <c r="S8315" t="s">
        <v>363</v>
      </c>
      <c r="T8315" t="s">
        <v>11931</v>
      </c>
      <c r="U8315">
        <v>304.2</v>
      </c>
      <c r="V8315" s="3">
        <v>41884</v>
      </c>
    </row>
    <row r="8316" spans="1:22" x14ac:dyDescent="0.35">
      <c r="A8316" s="1">
        <v>42263.632071759261</v>
      </c>
      <c r="B8316" s="2">
        <v>4.1666666666666669E-4</v>
      </c>
      <c r="C8316" t="s">
        <v>11157</v>
      </c>
      <c r="D8316" t="s">
        <v>360</v>
      </c>
      <c r="E8316" t="s">
        <v>361</v>
      </c>
      <c r="F8316" t="s">
        <v>11929</v>
      </c>
      <c r="G8316">
        <v>1780036</v>
      </c>
      <c r="H8316" t="s">
        <v>26</v>
      </c>
      <c r="I8316" t="s">
        <v>11930</v>
      </c>
      <c r="J8316" t="str">
        <f>"9781118451489"</f>
        <v>9781118451489</v>
      </c>
      <c r="K8316" t="s">
        <v>11204</v>
      </c>
      <c r="L8316">
        <v>3</v>
      </c>
      <c r="O8316" t="s">
        <v>30</v>
      </c>
      <c r="P8316" t="s">
        <v>50</v>
      </c>
      <c r="S8316" t="s">
        <v>363</v>
      </c>
      <c r="T8316" t="s">
        <v>11931</v>
      </c>
      <c r="U8316">
        <v>304.2</v>
      </c>
      <c r="V8316" s="3">
        <v>41884</v>
      </c>
    </row>
    <row r="8317" spans="1:22" x14ac:dyDescent="0.35">
      <c r="A8317" s="1">
        <v>42263.62771990741</v>
      </c>
      <c r="B8317" s="2">
        <v>8.3333333333333339E-4</v>
      </c>
      <c r="C8317" t="s">
        <v>11157</v>
      </c>
      <c r="D8317" t="s">
        <v>360</v>
      </c>
      <c r="E8317" t="s">
        <v>361</v>
      </c>
      <c r="F8317" t="s">
        <v>11165</v>
      </c>
      <c r="G8317">
        <v>1895706</v>
      </c>
      <c r="H8317" t="s">
        <v>26</v>
      </c>
      <c r="I8317" t="s">
        <v>120</v>
      </c>
      <c r="J8317" t="str">
        <f>"9781118885925"</f>
        <v>9781118885925</v>
      </c>
      <c r="K8317" t="s">
        <v>11205</v>
      </c>
      <c r="L8317">
        <v>7</v>
      </c>
      <c r="O8317" t="s">
        <v>30</v>
      </c>
      <c r="P8317" t="s">
        <v>50</v>
      </c>
      <c r="S8317" t="s">
        <v>363</v>
      </c>
      <c r="T8317" t="s">
        <v>11166</v>
      </c>
      <c r="U8317" t="s">
        <v>4160</v>
      </c>
      <c r="V8317" s="3">
        <v>42121</v>
      </c>
    </row>
    <row r="8318" spans="1:22" x14ac:dyDescent="0.35">
      <c r="A8318" s="1">
        <v>42263.611134259256</v>
      </c>
      <c r="B8318" s="2">
        <v>4.8611111111111104E-4</v>
      </c>
      <c r="C8318" t="s">
        <v>11932</v>
      </c>
      <c r="D8318" t="s">
        <v>35</v>
      </c>
      <c r="E8318" t="s">
        <v>36</v>
      </c>
      <c r="F8318" t="s">
        <v>11933</v>
      </c>
      <c r="G8318">
        <v>1390810</v>
      </c>
      <c r="H8318" t="s">
        <v>84</v>
      </c>
      <c r="I8318" t="s">
        <v>3665</v>
      </c>
      <c r="J8318" t="str">
        <f>"9780520954915"</f>
        <v>9780520954915</v>
      </c>
      <c r="K8318" t="s">
        <v>11934</v>
      </c>
      <c r="L8318">
        <v>7</v>
      </c>
      <c r="O8318" t="s">
        <v>30</v>
      </c>
      <c r="P8318" t="s">
        <v>47</v>
      </c>
      <c r="Q8318" s="1">
        <v>42263.611134259256</v>
      </c>
      <c r="R8318">
        <v>1</v>
      </c>
      <c r="S8318" t="s">
        <v>40</v>
      </c>
      <c r="T8318" t="s">
        <v>11935</v>
      </c>
      <c r="U8318">
        <v>641.5</v>
      </c>
      <c r="V8318" s="3">
        <v>41599</v>
      </c>
    </row>
    <row r="8319" spans="1:22" x14ac:dyDescent="0.35">
      <c r="A8319" s="1">
        <v>42263.606886574074</v>
      </c>
      <c r="B8319" s="2">
        <v>4.2476851851851851E-3</v>
      </c>
      <c r="C8319" t="s">
        <v>11932</v>
      </c>
      <c r="D8319" t="s">
        <v>35</v>
      </c>
      <c r="E8319" t="s">
        <v>36</v>
      </c>
      <c r="F8319" t="s">
        <v>11933</v>
      </c>
      <c r="G8319">
        <v>1390810</v>
      </c>
      <c r="H8319" t="s">
        <v>84</v>
      </c>
      <c r="I8319" t="s">
        <v>3665</v>
      </c>
      <c r="J8319" t="str">
        <f>"9780520954915"</f>
        <v>9780520954915</v>
      </c>
      <c r="K8319" t="s">
        <v>11936</v>
      </c>
      <c r="L8319">
        <v>8</v>
      </c>
      <c r="O8319" t="s">
        <v>30</v>
      </c>
      <c r="P8319" t="s">
        <v>50</v>
      </c>
      <c r="S8319" t="s">
        <v>40</v>
      </c>
      <c r="T8319" t="s">
        <v>11935</v>
      </c>
      <c r="U8319">
        <v>641.5</v>
      </c>
      <c r="V8319" s="3">
        <v>41599</v>
      </c>
    </row>
    <row r="8320" spans="1:22" x14ac:dyDescent="0.35">
      <c r="A8320" s="1">
        <v>42263.577418981484</v>
      </c>
      <c r="B8320" s="2">
        <v>1.8171296296296297E-3</v>
      </c>
      <c r="C8320" t="s">
        <v>4681</v>
      </c>
      <c r="D8320" t="s">
        <v>1222</v>
      </c>
      <c r="E8320" t="s">
        <v>1223</v>
      </c>
      <c r="F8320" t="s">
        <v>3263</v>
      </c>
      <c r="G8320">
        <v>1840835</v>
      </c>
      <c r="H8320" t="s">
        <v>26</v>
      </c>
      <c r="I8320" t="s">
        <v>108</v>
      </c>
      <c r="J8320" t="str">
        <f>"9781118950166"</f>
        <v>9781118950166</v>
      </c>
      <c r="K8320" t="s">
        <v>11937</v>
      </c>
      <c r="L8320">
        <v>20</v>
      </c>
      <c r="O8320" t="s">
        <v>30</v>
      </c>
      <c r="P8320" t="s">
        <v>42</v>
      </c>
      <c r="S8320" t="s">
        <v>1226</v>
      </c>
      <c r="T8320" t="s">
        <v>3264</v>
      </c>
      <c r="U8320">
        <v>338.10923789999998</v>
      </c>
      <c r="V8320" s="3">
        <v>41953</v>
      </c>
    </row>
    <row r="8321" spans="1:22" x14ac:dyDescent="0.35">
      <c r="A8321" s="1">
        <v>42263.564930555556</v>
      </c>
      <c r="B8321" s="2">
        <v>3.4606481481481485E-3</v>
      </c>
      <c r="C8321" t="s">
        <v>1103</v>
      </c>
      <c r="D8321" t="s">
        <v>23</v>
      </c>
      <c r="E8321" t="s">
        <v>24</v>
      </c>
      <c r="F8321" t="s">
        <v>4954</v>
      </c>
      <c r="G8321">
        <v>1843655</v>
      </c>
      <c r="H8321" t="s">
        <v>45</v>
      </c>
      <c r="I8321" t="s">
        <v>120</v>
      </c>
      <c r="J8321" t="str">
        <f>"9781472411792"</f>
        <v>9781472411792</v>
      </c>
      <c r="K8321" t="s">
        <v>11938</v>
      </c>
      <c r="L8321">
        <v>41</v>
      </c>
      <c r="O8321" t="s">
        <v>30</v>
      </c>
      <c r="P8321" t="s">
        <v>47</v>
      </c>
      <c r="Q8321" s="1">
        <v>42263.564930555556</v>
      </c>
      <c r="R8321">
        <v>1</v>
      </c>
      <c r="S8321" t="s">
        <v>31</v>
      </c>
      <c r="T8321" t="s">
        <v>4956</v>
      </c>
      <c r="U8321" t="s">
        <v>4957</v>
      </c>
      <c r="V8321" s="3">
        <v>42032</v>
      </c>
    </row>
    <row r="8322" spans="1:22" x14ac:dyDescent="0.35">
      <c r="A8322" s="1">
        <v>42263.559421296297</v>
      </c>
      <c r="B8322" s="2">
        <v>5.5092592592592589E-3</v>
      </c>
      <c r="C8322" t="s">
        <v>1103</v>
      </c>
      <c r="D8322" t="s">
        <v>23</v>
      </c>
      <c r="E8322" t="s">
        <v>24</v>
      </c>
      <c r="F8322" t="s">
        <v>4954</v>
      </c>
      <c r="G8322">
        <v>1843655</v>
      </c>
      <c r="H8322" t="s">
        <v>45</v>
      </c>
      <c r="I8322" t="s">
        <v>120</v>
      </c>
      <c r="J8322" t="str">
        <f>"9781472411792"</f>
        <v>9781472411792</v>
      </c>
      <c r="K8322" t="s">
        <v>33</v>
      </c>
      <c r="L8322">
        <v>3</v>
      </c>
      <c r="O8322" t="s">
        <v>30</v>
      </c>
      <c r="P8322" t="s">
        <v>50</v>
      </c>
      <c r="S8322" t="s">
        <v>31</v>
      </c>
      <c r="T8322" t="s">
        <v>4956</v>
      </c>
      <c r="U8322" t="s">
        <v>4957</v>
      </c>
      <c r="V8322" s="3">
        <v>42032</v>
      </c>
    </row>
    <row r="8323" spans="1:22" x14ac:dyDescent="0.35">
      <c r="A8323" s="1">
        <v>42263.559328703705</v>
      </c>
      <c r="B8323" s="2">
        <v>5.5671296296296302E-3</v>
      </c>
      <c r="C8323" t="s">
        <v>1103</v>
      </c>
      <c r="D8323" t="s">
        <v>23</v>
      </c>
      <c r="E8323" t="s">
        <v>24</v>
      </c>
      <c r="F8323" t="s">
        <v>4959</v>
      </c>
      <c r="G8323">
        <v>1570482</v>
      </c>
      <c r="H8323" t="s">
        <v>45</v>
      </c>
      <c r="I8323" t="s">
        <v>120</v>
      </c>
      <c r="J8323" t="str">
        <f>"9781409440529"</f>
        <v>9781409440529</v>
      </c>
      <c r="K8323" t="s">
        <v>11939</v>
      </c>
      <c r="L8323">
        <v>23</v>
      </c>
      <c r="O8323" t="s">
        <v>30</v>
      </c>
      <c r="P8323" t="s">
        <v>42</v>
      </c>
      <c r="S8323" t="s">
        <v>31</v>
      </c>
      <c r="T8323" t="s">
        <v>4962</v>
      </c>
      <c r="U8323" t="s">
        <v>4963</v>
      </c>
      <c r="V8323" s="3">
        <v>41698</v>
      </c>
    </row>
    <row r="8324" spans="1:22" x14ac:dyDescent="0.35">
      <c r="A8324" s="1">
        <v>42263.525578703702</v>
      </c>
      <c r="B8324" s="2">
        <v>1.7361111111111112E-4</v>
      </c>
      <c r="C8324" t="s">
        <v>4920</v>
      </c>
      <c r="D8324" t="s">
        <v>23</v>
      </c>
      <c r="E8324" t="s">
        <v>24</v>
      </c>
      <c r="F8324" t="s">
        <v>1773</v>
      </c>
      <c r="G8324">
        <v>1768753</v>
      </c>
      <c r="H8324" t="s">
        <v>91</v>
      </c>
      <c r="I8324" t="s">
        <v>120</v>
      </c>
      <c r="J8324" t="str">
        <f>"9781462518371"</f>
        <v>9781462518371</v>
      </c>
      <c r="K8324" t="s">
        <v>772</v>
      </c>
      <c r="L8324">
        <v>8</v>
      </c>
      <c r="N8324" t="s">
        <v>11940</v>
      </c>
      <c r="O8324" t="s">
        <v>30</v>
      </c>
      <c r="P8324" t="s">
        <v>47</v>
      </c>
      <c r="Q8324" s="1">
        <v>42263.145127314812</v>
      </c>
      <c r="R8324">
        <v>1</v>
      </c>
      <c r="S8324" t="s">
        <v>31</v>
      </c>
      <c r="T8324" t="s">
        <v>1775</v>
      </c>
      <c r="U8324" t="s">
        <v>1776</v>
      </c>
      <c r="V8324" s="3">
        <v>41953</v>
      </c>
    </row>
    <row r="8325" spans="1:22" x14ac:dyDescent="0.35">
      <c r="A8325" s="1">
        <v>42263.277268518519</v>
      </c>
      <c r="B8325" s="2">
        <v>6.9444444444444447E-4</v>
      </c>
      <c r="C8325" t="s">
        <v>6693</v>
      </c>
      <c r="D8325" t="s">
        <v>6396</v>
      </c>
      <c r="E8325" t="s">
        <v>6397</v>
      </c>
      <c r="F8325" t="s">
        <v>11941</v>
      </c>
      <c r="G8325">
        <v>1911675</v>
      </c>
      <c r="H8325" t="s">
        <v>26</v>
      </c>
      <c r="I8325" t="s">
        <v>10087</v>
      </c>
      <c r="J8325" t="str">
        <f>"9781118474532"</f>
        <v>9781118474532</v>
      </c>
      <c r="K8325" t="s">
        <v>11942</v>
      </c>
      <c r="L8325">
        <v>17</v>
      </c>
      <c r="O8325" t="s">
        <v>30</v>
      </c>
      <c r="P8325" t="s">
        <v>50</v>
      </c>
      <c r="S8325" t="s">
        <v>6400</v>
      </c>
      <c r="T8325" t="s">
        <v>11943</v>
      </c>
      <c r="U8325">
        <v>610.73</v>
      </c>
      <c r="V8325" s="3">
        <v>41997</v>
      </c>
    </row>
    <row r="8326" spans="1:22" x14ac:dyDescent="0.35">
      <c r="A8326" s="1">
        <v>42263.145127314812</v>
      </c>
      <c r="B8326" s="2">
        <v>2.9861111111111113E-3</v>
      </c>
      <c r="C8326" t="s">
        <v>4920</v>
      </c>
      <c r="D8326" t="s">
        <v>23</v>
      </c>
      <c r="E8326" t="s">
        <v>24</v>
      </c>
      <c r="F8326" t="s">
        <v>1773</v>
      </c>
      <c r="G8326">
        <v>1768753</v>
      </c>
      <c r="H8326" t="s">
        <v>91</v>
      </c>
      <c r="I8326" t="s">
        <v>120</v>
      </c>
      <c r="J8326" t="str">
        <f>"9781462518371"</f>
        <v>9781462518371</v>
      </c>
      <c r="K8326" t="s">
        <v>11944</v>
      </c>
      <c r="L8326">
        <v>6</v>
      </c>
      <c r="O8326" t="s">
        <v>30</v>
      </c>
      <c r="P8326" t="s">
        <v>47</v>
      </c>
      <c r="Q8326" s="1">
        <v>42263.145127314812</v>
      </c>
      <c r="R8326">
        <v>1</v>
      </c>
      <c r="S8326" t="s">
        <v>31</v>
      </c>
      <c r="T8326" t="s">
        <v>1775</v>
      </c>
      <c r="U8326" t="s">
        <v>1776</v>
      </c>
      <c r="V8326" s="3">
        <v>41953</v>
      </c>
    </row>
    <row r="8327" spans="1:22" x14ac:dyDescent="0.35">
      <c r="A8327" s="1">
        <v>42263.138067129628</v>
      </c>
      <c r="B8327" s="2">
        <v>7.0601851851851841E-3</v>
      </c>
      <c r="C8327" t="s">
        <v>4920</v>
      </c>
      <c r="D8327" t="s">
        <v>23</v>
      </c>
      <c r="E8327" t="s">
        <v>24</v>
      </c>
      <c r="F8327" t="s">
        <v>1773</v>
      </c>
      <c r="G8327">
        <v>1768753</v>
      </c>
      <c r="H8327" t="s">
        <v>91</v>
      </c>
      <c r="I8327" t="s">
        <v>120</v>
      </c>
      <c r="J8327" t="str">
        <f>"9781462518371"</f>
        <v>9781462518371</v>
      </c>
      <c r="K8327" t="s">
        <v>772</v>
      </c>
      <c r="L8327">
        <v>8</v>
      </c>
      <c r="O8327" t="s">
        <v>30</v>
      </c>
      <c r="P8327" t="s">
        <v>50</v>
      </c>
      <c r="S8327" t="s">
        <v>31</v>
      </c>
      <c r="T8327" t="s">
        <v>1775</v>
      </c>
      <c r="U8327" t="s">
        <v>1776</v>
      </c>
      <c r="V8327" s="3">
        <v>41953</v>
      </c>
    </row>
    <row r="8328" spans="1:22" x14ac:dyDescent="0.35">
      <c r="A8328" s="1">
        <v>42262.911909722221</v>
      </c>
      <c r="B8328" s="2">
        <v>2.9629629629629628E-3</v>
      </c>
      <c r="C8328" t="s">
        <v>11945</v>
      </c>
      <c r="D8328" t="s">
        <v>23</v>
      </c>
      <c r="E8328" t="s">
        <v>24</v>
      </c>
      <c r="F8328" t="s">
        <v>52</v>
      </c>
      <c r="G8328">
        <v>822040</v>
      </c>
      <c r="H8328" t="s">
        <v>26</v>
      </c>
      <c r="I8328" t="s">
        <v>53</v>
      </c>
      <c r="J8328" t="str">
        <f>"9781118289099"</f>
        <v>9781118289099</v>
      </c>
      <c r="K8328" t="s">
        <v>11946</v>
      </c>
      <c r="L8328">
        <v>50</v>
      </c>
      <c r="O8328" t="s">
        <v>30</v>
      </c>
      <c r="P8328" t="s">
        <v>42</v>
      </c>
      <c r="S8328" t="s">
        <v>31</v>
      </c>
      <c r="T8328" t="s">
        <v>55</v>
      </c>
      <c r="U8328" t="s">
        <v>56</v>
      </c>
      <c r="V8328" s="3">
        <v>40990</v>
      </c>
    </row>
    <row r="8329" spans="1:22" x14ac:dyDescent="0.35">
      <c r="A8329" s="1">
        <v>42262.849282407406</v>
      </c>
      <c r="B8329" s="2">
        <v>3.4722222222222222E-5</v>
      </c>
      <c r="C8329" t="s">
        <v>10587</v>
      </c>
      <c r="D8329" t="s">
        <v>261</v>
      </c>
      <c r="E8329" t="s">
        <v>262</v>
      </c>
      <c r="F8329" t="s">
        <v>3479</v>
      </c>
      <c r="G8329">
        <v>1650800</v>
      </c>
      <c r="H8329" t="s">
        <v>84</v>
      </c>
      <c r="I8329" t="s">
        <v>776</v>
      </c>
      <c r="J8329" t="str">
        <f>"9780520958258"</f>
        <v>9780520958258</v>
      </c>
      <c r="K8329" t="s">
        <v>33</v>
      </c>
      <c r="L8329">
        <v>3</v>
      </c>
      <c r="O8329" t="s">
        <v>30</v>
      </c>
      <c r="P8329" t="s">
        <v>50</v>
      </c>
      <c r="S8329" t="s">
        <v>264</v>
      </c>
      <c r="T8329" t="s">
        <v>3481</v>
      </c>
      <c r="U8329">
        <v>796.33409810000001</v>
      </c>
      <c r="V8329" s="3">
        <v>41802</v>
      </c>
    </row>
    <row r="8330" spans="1:22" x14ac:dyDescent="0.35">
      <c r="A8330" s="1">
        <v>42262.846319444441</v>
      </c>
      <c r="B8330" s="2">
        <v>1.8518518518518518E-4</v>
      </c>
      <c r="C8330" t="s">
        <v>10587</v>
      </c>
      <c r="D8330" t="s">
        <v>261</v>
      </c>
      <c r="E8330" t="s">
        <v>262</v>
      </c>
      <c r="F8330" t="s">
        <v>3479</v>
      </c>
      <c r="G8330">
        <v>1650800</v>
      </c>
      <c r="H8330" t="s">
        <v>84</v>
      </c>
      <c r="I8330" t="s">
        <v>776</v>
      </c>
      <c r="J8330" t="str">
        <f>"9780520958258"</f>
        <v>9780520958258</v>
      </c>
      <c r="K8330" t="s">
        <v>11947</v>
      </c>
      <c r="L8330">
        <v>13</v>
      </c>
      <c r="O8330" t="s">
        <v>30</v>
      </c>
      <c r="P8330" t="s">
        <v>50</v>
      </c>
      <c r="S8330" t="s">
        <v>264</v>
      </c>
      <c r="T8330" t="s">
        <v>3481</v>
      </c>
      <c r="U8330">
        <v>796.33409810000001</v>
      </c>
      <c r="V8330" s="3">
        <v>41802</v>
      </c>
    </row>
    <row r="8331" spans="1:22" x14ac:dyDescent="0.35">
      <c r="A8331" s="1">
        <v>42262.845011574071</v>
      </c>
      <c r="B8331" s="2">
        <v>1.5046296296296297E-4</v>
      </c>
      <c r="C8331" t="s">
        <v>11948</v>
      </c>
      <c r="D8331" t="s">
        <v>23</v>
      </c>
      <c r="E8331" t="s">
        <v>24</v>
      </c>
      <c r="F8331" t="s">
        <v>6635</v>
      </c>
      <c r="G8331">
        <v>817871</v>
      </c>
      <c r="H8331" t="s">
        <v>26</v>
      </c>
      <c r="I8331" t="s">
        <v>276</v>
      </c>
      <c r="J8331" t="str">
        <f>"9781118206911"</f>
        <v>9781118206911</v>
      </c>
      <c r="K8331" t="s">
        <v>33</v>
      </c>
      <c r="L8331">
        <v>3</v>
      </c>
      <c r="O8331" t="s">
        <v>30</v>
      </c>
      <c r="P8331" t="s">
        <v>42</v>
      </c>
      <c r="S8331" t="s">
        <v>31</v>
      </c>
      <c r="T8331" t="s">
        <v>6637</v>
      </c>
      <c r="U8331">
        <v>6.74</v>
      </c>
      <c r="V8331" s="3">
        <v>40897</v>
      </c>
    </row>
    <row r="8332" spans="1:22" x14ac:dyDescent="0.35">
      <c r="A8332" s="1">
        <v>42262.83452546296</v>
      </c>
      <c r="B8332" s="2">
        <v>4.6296296296296294E-5</v>
      </c>
      <c r="C8332" t="s">
        <v>7021</v>
      </c>
      <c r="D8332" t="s">
        <v>158</v>
      </c>
      <c r="E8332" t="s">
        <v>159</v>
      </c>
      <c r="F8332" t="s">
        <v>9179</v>
      </c>
      <c r="G8332">
        <v>1132869</v>
      </c>
      <c r="H8332" t="s">
        <v>26</v>
      </c>
      <c r="I8332" t="s">
        <v>97</v>
      </c>
      <c r="J8332" t="str">
        <f>"9781118502631"</f>
        <v>9781118502631</v>
      </c>
      <c r="K8332" t="s">
        <v>33</v>
      </c>
      <c r="L8332">
        <v>3</v>
      </c>
      <c r="O8332" t="s">
        <v>30</v>
      </c>
      <c r="P8332" t="s">
        <v>42</v>
      </c>
      <c r="S8332" t="s">
        <v>163</v>
      </c>
      <c r="T8332" t="s">
        <v>9181</v>
      </c>
      <c r="U8332">
        <v>657</v>
      </c>
      <c r="V8332" s="3">
        <v>41327</v>
      </c>
    </row>
    <row r="8333" spans="1:22" x14ac:dyDescent="0.35">
      <c r="A8333" s="1">
        <v>42262.780127314814</v>
      </c>
      <c r="B8333" s="2">
        <v>1.6967592592592593E-2</v>
      </c>
      <c r="C8333" t="s">
        <v>6444</v>
      </c>
      <c r="D8333" t="s">
        <v>23</v>
      </c>
      <c r="E8333" t="s">
        <v>24</v>
      </c>
      <c r="F8333" t="s">
        <v>3351</v>
      </c>
      <c r="G8333">
        <v>1760720</v>
      </c>
      <c r="H8333" t="s">
        <v>91</v>
      </c>
      <c r="I8333" t="s">
        <v>247</v>
      </c>
      <c r="J8333" t="str">
        <f>"9781462517459"</f>
        <v>9781462517459</v>
      </c>
      <c r="K8333" t="s">
        <v>11949</v>
      </c>
      <c r="L8333">
        <v>22</v>
      </c>
      <c r="N8333" t="s">
        <v>11950</v>
      </c>
      <c r="O8333" t="s">
        <v>30</v>
      </c>
      <c r="P8333" t="s">
        <v>29</v>
      </c>
      <c r="Q8333" s="1">
        <v>42262.780127314814</v>
      </c>
      <c r="R8333">
        <v>7</v>
      </c>
      <c r="S8333" t="s">
        <v>31</v>
      </c>
      <c r="T8333" t="s">
        <v>3353</v>
      </c>
      <c r="U8333">
        <v>616.89142000000004</v>
      </c>
      <c r="V8333" s="3">
        <v>41996</v>
      </c>
    </row>
    <row r="8334" spans="1:22" x14ac:dyDescent="0.35">
      <c r="A8334" s="1">
        <v>42262.775081018517</v>
      </c>
      <c r="B8334" s="2">
        <v>5.0462962962962961E-3</v>
      </c>
      <c r="C8334" t="s">
        <v>6444</v>
      </c>
      <c r="D8334" t="s">
        <v>23</v>
      </c>
      <c r="E8334" t="s">
        <v>24</v>
      </c>
      <c r="F8334" t="s">
        <v>3351</v>
      </c>
      <c r="G8334">
        <v>1760720</v>
      </c>
      <c r="H8334" t="s">
        <v>91</v>
      </c>
      <c r="I8334" t="s">
        <v>247</v>
      </c>
      <c r="J8334" t="str">
        <f>"9781462517459"</f>
        <v>9781462517459</v>
      </c>
      <c r="K8334" t="s">
        <v>11951</v>
      </c>
      <c r="L8334">
        <v>45</v>
      </c>
      <c r="O8334" t="s">
        <v>30</v>
      </c>
      <c r="P8334" t="s">
        <v>42</v>
      </c>
      <c r="S8334" t="s">
        <v>31</v>
      </c>
      <c r="T8334" t="s">
        <v>3353</v>
      </c>
      <c r="U8334">
        <v>616.89142000000004</v>
      </c>
      <c r="V8334" s="3">
        <v>41996</v>
      </c>
    </row>
    <row r="8335" spans="1:22" x14ac:dyDescent="0.35">
      <c r="A8335" s="1">
        <v>42262.675046296295</v>
      </c>
      <c r="B8335" s="2">
        <v>3.3564814814814812E-4</v>
      </c>
      <c r="C8335" t="s">
        <v>9380</v>
      </c>
      <c r="D8335" t="s">
        <v>158</v>
      </c>
      <c r="E8335" t="s">
        <v>159</v>
      </c>
      <c r="F8335" t="s">
        <v>1477</v>
      </c>
      <c r="G8335">
        <v>822111</v>
      </c>
      <c r="H8335" t="s">
        <v>26</v>
      </c>
      <c r="I8335" t="s">
        <v>120</v>
      </c>
      <c r="J8335" t="str">
        <f>"9781444356922"</f>
        <v>9781444356922</v>
      </c>
      <c r="K8335" t="s">
        <v>11952</v>
      </c>
      <c r="L8335">
        <v>14</v>
      </c>
      <c r="O8335" t="s">
        <v>30</v>
      </c>
      <c r="P8335" t="s">
        <v>42</v>
      </c>
      <c r="S8335" t="s">
        <v>163</v>
      </c>
      <c r="T8335" t="s">
        <v>1479</v>
      </c>
      <c r="U8335" t="s">
        <v>1480</v>
      </c>
      <c r="V8335" s="3">
        <v>40955</v>
      </c>
    </row>
    <row r="8336" spans="1:22" x14ac:dyDescent="0.35">
      <c r="A8336" s="1">
        <v>42262.652731481481</v>
      </c>
      <c r="B8336" s="2">
        <v>4.5138888888888892E-4</v>
      </c>
      <c r="C8336" t="s">
        <v>11471</v>
      </c>
      <c r="D8336" t="s">
        <v>23</v>
      </c>
      <c r="E8336" t="s">
        <v>24</v>
      </c>
      <c r="F8336" t="s">
        <v>6635</v>
      </c>
      <c r="G8336">
        <v>817871</v>
      </c>
      <c r="H8336" t="s">
        <v>26</v>
      </c>
      <c r="I8336" t="s">
        <v>276</v>
      </c>
      <c r="J8336" t="str">
        <f>"9781118206911"</f>
        <v>9781118206911</v>
      </c>
      <c r="K8336" t="s">
        <v>11953</v>
      </c>
      <c r="L8336">
        <v>15</v>
      </c>
      <c r="O8336" t="s">
        <v>30</v>
      </c>
      <c r="P8336" t="s">
        <v>42</v>
      </c>
      <c r="S8336" t="s">
        <v>31</v>
      </c>
      <c r="T8336" t="s">
        <v>6637</v>
      </c>
      <c r="U8336">
        <v>6.74</v>
      </c>
      <c r="V8336" s="3">
        <v>40897</v>
      </c>
    </row>
    <row r="8337" spans="1:22" x14ac:dyDescent="0.35">
      <c r="A8337" s="1">
        <v>42262.649594907409</v>
      </c>
      <c r="B8337" s="2">
        <v>7.8703703703703705E-4</v>
      </c>
      <c r="C8337" t="s">
        <v>11954</v>
      </c>
      <c r="D8337" t="s">
        <v>2519</v>
      </c>
      <c r="E8337" t="s">
        <v>2520</v>
      </c>
      <c r="F8337" t="s">
        <v>3961</v>
      </c>
      <c r="G8337">
        <v>1610008</v>
      </c>
      <c r="H8337" t="s">
        <v>45</v>
      </c>
      <c r="I8337" t="s">
        <v>3962</v>
      </c>
      <c r="J8337" t="str">
        <f>"9781409457206"</f>
        <v>9781409457206</v>
      </c>
      <c r="K8337" t="s">
        <v>11955</v>
      </c>
      <c r="L8337">
        <v>14</v>
      </c>
      <c r="O8337" t="s">
        <v>30</v>
      </c>
      <c r="P8337" t="s">
        <v>42</v>
      </c>
      <c r="S8337" t="s">
        <v>2523</v>
      </c>
      <c r="T8337" t="s">
        <v>3964</v>
      </c>
      <c r="U8337">
        <v>364.66</v>
      </c>
      <c r="V8337" s="3">
        <v>41726</v>
      </c>
    </row>
    <row r="8338" spans="1:22" x14ac:dyDescent="0.35">
      <c r="A8338" s="1">
        <v>42262.648831018516</v>
      </c>
      <c r="B8338" s="2">
        <v>3.4722222222222222E-5</v>
      </c>
      <c r="C8338" t="s">
        <v>11956</v>
      </c>
      <c r="D8338" t="s">
        <v>1222</v>
      </c>
      <c r="E8338" t="s">
        <v>1223</v>
      </c>
      <c r="F8338" t="s">
        <v>4289</v>
      </c>
      <c r="G8338">
        <v>1120621</v>
      </c>
      <c r="H8338" t="s">
        <v>26</v>
      </c>
      <c r="I8338" t="s">
        <v>69</v>
      </c>
      <c r="J8338" t="str">
        <f>"9781118362679"</f>
        <v>9781118362679</v>
      </c>
      <c r="K8338" t="s">
        <v>33</v>
      </c>
      <c r="L8338">
        <v>3</v>
      </c>
      <c r="O8338" t="s">
        <v>30</v>
      </c>
      <c r="P8338" t="s">
        <v>42</v>
      </c>
      <c r="S8338" t="s">
        <v>1226</v>
      </c>
      <c r="T8338" t="s">
        <v>4290</v>
      </c>
      <c r="U8338" t="s">
        <v>4291</v>
      </c>
      <c r="V8338" s="3">
        <v>41136</v>
      </c>
    </row>
    <row r="8339" spans="1:22" x14ac:dyDescent="0.35">
      <c r="A8339" s="1">
        <v>42262.648576388892</v>
      </c>
      <c r="B8339" s="2">
        <v>2.4305555555555552E-4</v>
      </c>
      <c r="C8339" t="s">
        <v>11957</v>
      </c>
      <c r="D8339" t="s">
        <v>1222</v>
      </c>
      <c r="E8339" t="s">
        <v>1223</v>
      </c>
      <c r="F8339" t="s">
        <v>4289</v>
      </c>
      <c r="G8339">
        <v>1120621</v>
      </c>
      <c r="H8339" t="s">
        <v>26</v>
      </c>
      <c r="I8339" t="s">
        <v>69</v>
      </c>
      <c r="J8339" t="str">
        <f>"9781118362679"</f>
        <v>9781118362679</v>
      </c>
      <c r="K8339" t="s">
        <v>11958</v>
      </c>
      <c r="L8339">
        <v>7</v>
      </c>
      <c r="O8339" t="s">
        <v>30</v>
      </c>
      <c r="P8339" t="s">
        <v>42</v>
      </c>
      <c r="S8339" t="s">
        <v>1226</v>
      </c>
      <c r="T8339" t="s">
        <v>4290</v>
      </c>
      <c r="U8339" t="s">
        <v>4291</v>
      </c>
      <c r="V8339" s="3">
        <v>41136</v>
      </c>
    </row>
    <row r="8340" spans="1:22" x14ac:dyDescent="0.35">
      <c r="A8340" s="1">
        <v>42262.648518518516</v>
      </c>
      <c r="B8340" s="2">
        <v>2.7777777777777778E-4</v>
      </c>
      <c r="C8340" t="s">
        <v>11959</v>
      </c>
      <c r="D8340" t="s">
        <v>1222</v>
      </c>
      <c r="E8340" t="s">
        <v>1223</v>
      </c>
      <c r="F8340" t="s">
        <v>4289</v>
      </c>
      <c r="G8340">
        <v>1120621</v>
      </c>
      <c r="H8340" t="s">
        <v>26</v>
      </c>
      <c r="I8340" t="s">
        <v>69</v>
      </c>
      <c r="J8340" t="str">
        <f>"9781118362679"</f>
        <v>9781118362679</v>
      </c>
      <c r="K8340" t="s">
        <v>11960</v>
      </c>
      <c r="L8340">
        <v>6</v>
      </c>
      <c r="O8340" t="s">
        <v>30</v>
      </c>
      <c r="P8340" t="s">
        <v>42</v>
      </c>
      <c r="S8340" t="s">
        <v>1226</v>
      </c>
      <c r="T8340" t="s">
        <v>4290</v>
      </c>
      <c r="U8340" t="s">
        <v>4291</v>
      </c>
      <c r="V8340" s="3">
        <v>41136</v>
      </c>
    </row>
    <row r="8341" spans="1:22" x14ac:dyDescent="0.35">
      <c r="A8341" s="1">
        <v>42262.648379629631</v>
      </c>
      <c r="B8341" s="2">
        <v>8.2175925925925917E-4</v>
      </c>
      <c r="C8341" t="s">
        <v>11961</v>
      </c>
      <c r="D8341" t="s">
        <v>1222</v>
      </c>
      <c r="E8341" t="s">
        <v>1223</v>
      </c>
      <c r="F8341" t="s">
        <v>4289</v>
      </c>
      <c r="G8341">
        <v>1120621</v>
      </c>
      <c r="H8341" t="s">
        <v>26</v>
      </c>
      <c r="I8341" t="s">
        <v>69</v>
      </c>
      <c r="J8341" t="str">
        <f>"9781118362679"</f>
        <v>9781118362679</v>
      </c>
      <c r="K8341" t="s">
        <v>11962</v>
      </c>
      <c r="L8341">
        <v>10</v>
      </c>
      <c r="O8341" t="s">
        <v>30</v>
      </c>
      <c r="P8341" t="s">
        <v>42</v>
      </c>
      <c r="S8341" t="s">
        <v>1226</v>
      </c>
      <c r="T8341" t="s">
        <v>4290</v>
      </c>
      <c r="U8341" t="s">
        <v>4291</v>
      </c>
      <c r="V8341" s="3">
        <v>41136</v>
      </c>
    </row>
    <row r="8342" spans="1:22" x14ac:dyDescent="0.35">
      <c r="A8342" s="1">
        <v>42262.648263888892</v>
      </c>
      <c r="B8342" s="2">
        <v>2.8935185185185189E-4</v>
      </c>
      <c r="C8342" t="s">
        <v>9739</v>
      </c>
      <c r="D8342" t="s">
        <v>1222</v>
      </c>
      <c r="E8342" t="s">
        <v>1223</v>
      </c>
      <c r="F8342" t="s">
        <v>4289</v>
      </c>
      <c r="G8342">
        <v>1120621</v>
      </c>
      <c r="H8342" t="s">
        <v>26</v>
      </c>
      <c r="I8342" t="s">
        <v>69</v>
      </c>
      <c r="J8342" t="str">
        <f>"9781118362679"</f>
        <v>9781118362679</v>
      </c>
      <c r="K8342" t="s">
        <v>11963</v>
      </c>
      <c r="L8342">
        <v>7</v>
      </c>
      <c r="O8342" t="s">
        <v>30</v>
      </c>
      <c r="P8342" t="s">
        <v>42</v>
      </c>
      <c r="S8342" t="s">
        <v>1226</v>
      </c>
      <c r="T8342" t="s">
        <v>4290</v>
      </c>
      <c r="U8342" t="s">
        <v>4291</v>
      </c>
      <c r="V8342" s="3">
        <v>41136</v>
      </c>
    </row>
    <row r="8343" spans="1:22" x14ac:dyDescent="0.35">
      <c r="A8343" s="1">
        <v>42262.586064814815</v>
      </c>
      <c r="B8343" s="2">
        <v>8.9120370370370378E-3</v>
      </c>
      <c r="C8343" t="s">
        <v>5411</v>
      </c>
      <c r="D8343" t="s">
        <v>23</v>
      </c>
      <c r="E8343" t="s">
        <v>24</v>
      </c>
      <c r="F8343" t="s">
        <v>1051</v>
      </c>
      <c r="G8343">
        <v>821663</v>
      </c>
      <c r="H8343" t="s">
        <v>26</v>
      </c>
      <c r="I8343" t="s">
        <v>200</v>
      </c>
      <c r="J8343" t="str">
        <f>"9781118168479"</f>
        <v>9781118168479</v>
      </c>
      <c r="K8343" t="s">
        <v>11964</v>
      </c>
      <c r="L8343">
        <v>19</v>
      </c>
      <c r="O8343" t="s">
        <v>30</v>
      </c>
      <c r="P8343" t="s">
        <v>29</v>
      </c>
      <c r="Q8343" s="1">
        <v>42262.453344907408</v>
      </c>
      <c r="R8343">
        <v>7</v>
      </c>
      <c r="S8343" t="s">
        <v>31</v>
      </c>
      <c r="T8343" t="s">
        <v>1053</v>
      </c>
      <c r="U8343">
        <v>729</v>
      </c>
      <c r="V8343" s="3">
        <v>40973</v>
      </c>
    </row>
    <row r="8344" spans="1:22" x14ac:dyDescent="0.35">
      <c r="A8344" s="1">
        <v>42262.578379629631</v>
      </c>
      <c r="B8344" s="2">
        <v>5.7754629629629623E-3</v>
      </c>
      <c r="C8344" t="s">
        <v>6790</v>
      </c>
      <c r="D8344" t="s">
        <v>23</v>
      </c>
      <c r="E8344" t="s">
        <v>24</v>
      </c>
      <c r="F8344" t="s">
        <v>486</v>
      </c>
      <c r="G8344">
        <v>1119505</v>
      </c>
      <c r="H8344" t="s">
        <v>26</v>
      </c>
      <c r="I8344" t="s">
        <v>450</v>
      </c>
      <c r="J8344" t="str">
        <f>"9781118355015"</f>
        <v>9781118355015</v>
      </c>
      <c r="K8344" t="s">
        <v>11965</v>
      </c>
      <c r="L8344">
        <v>35</v>
      </c>
      <c r="O8344" t="s">
        <v>30</v>
      </c>
      <c r="P8344" t="s">
        <v>29</v>
      </c>
      <c r="Q8344" s="1">
        <v>42262.05263888889</v>
      </c>
      <c r="R8344">
        <v>7</v>
      </c>
      <c r="S8344" t="s">
        <v>31</v>
      </c>
      <c r="T8344" t="s">
        <v>487</v>
      </c>
      <c r="U8344" t="s">
        <v>488</v>
      </c>
      <c r="V8344" s="3">
        <v>41302</v>
      </c>
    </row>
    <row r="8345" spans="1:22" x14ac:dyDescent="0.35">
      <c r="A8345" s="1">
        <v>42262.569502314815</v>
      </c>
      <c r="B8345" s="2">
        <v>1.712962962962963E-3</v>
      </c>
      <c r="C8345" t="s">
        <v>5271</v>
      </c>
      <c r="D8345" t="s">
        <v>23</v>
      </c>
      <c r="E8345" t="s">
        <v>24</v>
      </c>
      <c r="F8345" t="s">
        <v>1051</v>
      </c>
      <c r="G8345">
        <v>821663</v>
      </c>
      <c r="H8345" t="s">
        <v>26</v>
      </c>
      <c r="I8345" t="s">
        <v>200</v>
      </c>
      <c r="J8345" t="str">
        <f t="shared" ref="J8345:J8350" si="56">"9781118168479"</f>
        <v>9781118168479</v>
      </c>
      <c r="K8345" t="s">
        <v>11966</v>
      </c>
      <c r="L8345">
        <v>12</v>
      </c>
      <c r="O8345" t="s">
        <v>30</v>
      </c>
      <c r="P8345" t="s">
        <v>29</v>
      </c>
      <c r="Q8345" s="1">
        <v>42261.669652777775</v>
      </c>
      <c r="R8345">
        <v>7</v>
      </c>
      <c r="S8345" t="s">
        <v>31</v>
      </c>
      <c r="T8345" t="s">
        <v>1053</v>
      </c>
      <c r="U8345">
        <v>729</v>
      </c>
      <c r="V8345" s="3">
        <v>40973</v>
      </c>
    </row>
    <row r="8346" spans="1:22" x14ac:dyDescent="0.35">
      <c r="A8346" s="1">
        <v>42262.542175925926</v>
      </c>
      <c r="B8346" s="2">
        <v>1.4641203703703703E-2</v>
      </c>
      <c r="C8346" t="s">
        <v>7774</v>
      </c>
      <c r="D8346" t="s">
        <v>23</v>
      </c>
      <c r="E8346" t="s">
        <v>24</v>
      </c>
      <c r="F8346" t="s">
        <v>1051</v>
      </c>
      <c r="G8346">
        <v>821663</v>
      </c>
      <c r="H8346" t="s">
        <v>26</v>
      </c>
      <c r="I8346" t="s">
        <v>200</v>
      </c>
      <c r="J8346" t="str">
        <f t="shared" si="56"/>
        <v>9781118168479</v>
      </c>
      <c r="K8346" t="s">
        <v>11967</v>
      </c>
      <c r="L8346">
        <v>30</v>
      </c>
      <c r="O8346" t="s">
        <v>30</v>
      </c>
      <c r="P8346" t="s">
        <v>29</v>
      </c>
      <c r="Q8346" s="1">
        <v>42255.585162037038</v>
      </c>
      <c r="R8346">
        <v>7</v>
      </c>
      <c r="S8346" t="s">
        <v>31</v>
      </c>
      <c r="T8346" t="s">
        <v>1053</v>
      </c>
      <c r="U8346">
        <v>729</v>
      </c>
      <c r="V8346" s="3">
        <v>40973</v>
      </c>
    </row>
    <row r="8347" spans="1:22" x14ac:dyDescent="0.35">
      <c r="A8347" s="1">
        <v>42262.534837962965</v>
      </c>
      <c r="B8347" s="2">
        <v>4.6296296296296294E-5</v>
      </c>
      <c r="C8347" t="s">
        <v>5411</v>
      </c>
      <c r="D8347" t="s">
        <v>23</v>
      </c>
      <c r="E8347" t="s">
        <v>24</v>
      </c>
      <c r="F8347" t="s">
        <v>1051</v>
      </c>
      <c r="G8347">
        <v>821663</v>
      </c>
      <c r="H8347" t="s">
        <v>26</v>
      </c>
      <c r="I8347" t="s">
        <v>200</v>
      </c>
      <c r="J8347" t="str">
        <f t="shared" si="56"/>
        <v>9781118168479</v>
      </c>
      <c r="K8347" t="s">
        <v>33</v>
      </c>
      <c r="L8347">
        <v>3</v>
      </c>
      <c r="O8347" t="s">
        <v>30</v>
      </c>
      <c r="P8347" t="s">
        <v>29</v>
      </c>
      <c r="Q8347" s="1">
        <v>42262.453344907408</v>
      </c>
      <c r="R8347">
        <v>7</v>
      </c>
      <c r="S8347" t="s">
        <v>31</v>
      </c>
      <c r="T8347" t="s">
        <v>1053</v>
      </c>
      <c r="U8347">
        <v>729</v>
      </c>
      <c r="V8347" s="3">
        <v>40973</v>
      </c>
    </row>
    <row r="8348" spans="1:22" x14ac:dyDescent="0.35">
      <c r="A8348" s="1">
        <v>42262.516261574077</v>
      </c>
      <c r="B8348" s="2">
        <v>7.0601851851851847E-4</v>
      </c>
      <c r="C8348" t="s">
        <v>7774</v>
      </c>
      <c r="D8348" t="s">
        <v>23</v>
      </c>
      <c r="E8348" t="s">
        <v>24</v>
      </c>
      <c r="F8348" t="s">
        <v>1051</v>
      </c>
      <c r="G8348">
        <v>821663</v>
      </c>
      <c r="H8348" t="s">
        <v>26</v>
      </c>
      <c r="I8348" t="s">
        <v>200</v>
      </c>
      <c r="J8348" t="str">
        <f t="shared" si="56"/>
        <v>9781118168479</v>
      </c>
      <c r="K8348" t="s">
        <v>3280</v>
      </c>
      <c r="L8348">
        <v>9</v>
      </c>
      <c r="O8348" t="s">
        <v>30</v>
      </c>
      <c r="P8348" t="s">
        <v>29</v>
      </c>
      <c r="Q8348" s="1">
        <v>42255.585162037038</v>
      </c>
      <c r="R8348">
        <v>7</v>
      </c>
      <c r="S8348" t="s">
        <v>31</v>
      </c>
      <c r="T8348" t="s">
        <v>1053</v>
      </c>
      <c r="U8348">
        <v>729</v>
      </c>
      <c r="V8348" s="3">
        <v>40973</v>
      </c>
    </row>
    <row r="8349" spans="1:22" x14ac:dyDescent="0.35">
      <c r="A8349" s="1">
        <v>42262.504513888889</v>
      </c>
      <c r="B8349" s="2">
        <v>5.7986111111111112E-3</v>
      </c>
      <c r="C8349" t="s">
        <v>11968</v>
      </c>
      <c r="D8349" t="s">
        <v>23</v>
      </c>
      <c r="E8349" t="s">
        <v>24</v>
      </c>
      <c r="F8349" t="s">
        <v>1051</v>
      </c>
      <c r="G8349">
        <v>821663</v>
      </c>
      <c r="H8349" t="s">
        <v>26</v>
      </c>
      <c r="I8349" t="s">
        <v>200</v>
      </c>
      <c r="J8349" t="str">
        <f t="shared" si="56"/>
        <v>9781118168479</v>
      </c>
      <c r="K8349" t="s">
        <v>11969</v>
      </c>
      <c r="L8349">
        <v>23</v>
      </c>
      <c r="O8349" t="s">
        <v>30</v>
      </c>
      <c r="P8349" t="s">
        <v>29</v>
      </c>
      <c r="Q8349" s="1">
        <v>42262.504513888889</v>
      </c>
      <c r="R8349">
        <v>7</v>
      </c>
      <c r="S8349" t="s">
        <v>31</v>
      </c>
      <c r="T8349" t="s">
        <v>1053</v>
      </c>
      <c r="U8349">
        <v>729</v>
      </c>
      <c r="V8349" s="3">
        <v>40973</v>
      </c>
    </row>
    <row r="8350" spans="1:22" x14ac:dyDescent="0.35">
      <c r="A8350" s="1">
        <v>42262.495451388888</v>
      </c>
      <c r="B8350" s="2">
        <v>9.0624999999999994E-3</v>
      </c>
      <c r="C8350" t="s">
        <v>11968</v>
      </c>
      <c r="D8350" t="s">
        <v>23</v>
      </c>
      <c r="E8350" t="s">
        <v>24</v>
      </c>
      <c r="F8350" t="s">
        <v>1051</v>
      </c>
      <c r="G8350">
        <v>821663</v>
      </c>
      <c r="H8350" t="s">
        <v>26</v>
      </c>
      <c r="I8350" t="s">
        <v>200</v>
      </c>
      <c r="J8350" t="str">
        <f t="shared" si="56"/>
        <v>9781118168479</v>
      </c>
      <c r="K8350" t="s">
        <v>11970</v>
      </c>
      <c r="L8350">
        <v>10</v>
      </c>
      <c r="O8350" t="s">
        <v>30</v>
      </c>
      <c r="P8350" t="s">
        <v>42</v>
      </c>
      <c r="S8350" t="s">
        <v>31</v>
      </c>
      <c r="T8350" t="s">
        <v>1053</v>
      </c>
      <c r="U8350">
        <v>729</v>
      </c>
      <c r="V8350" s="3">
        <v>40973</v>
      </c>
    </row>
    <row r="8351" spans="1:22" x14ac:dyDescent="0.35">
      <c r="A8351" s="1">
        <v>42262.465439814812</v>
      </c>
      <c r="B8351" s="2">
        <v>1.5636574074074074E-2</v>
      </c>
      <c r="C8351" t="s">
        <v>11971</v>
      </c>
      <c r="D8351" t="s">
        <v>23</v>
      </c>
      <c r="E8351" t="s">
        <v>24</v>
      </c>
      <c r="F8351" t="s">
        <v>11972</v>
      </c>
      <c r="G8351">
        <v>1570485</v>
      </c>
      <c r="H8351" t="s">
        <v>45</v>
      </c>
      <c r="I8351" t="s">
        <v>200</v>
      </c>
      <c r="J8351" t="str">
        <f>"9781409447405"</f>
        <v>9781409447405</v>
      </c>
      <c r="K8351" t="s">
        <v>11973</v>
      </c>
      <c r="L8351">
        <v>34</v>
      </c>
      <c r="O8351" t="s">
        <v>28</v>
      </c>
      <c r="P8351" t="s">
        <v>47</v>
      </c>
      <c r="Q8351" s="1">
        <v>42262.465439814812</v>
      </c>
      <c r="R8351">
        <v>7</v>
      </c>
      <c r="S8351" t="s">
        <v>31</v>
      </c>
      <c r="T8351" t="s">
        <v>11974</v>
      </c>
      <c r="U8351" t="s">
        <v>10063</v>
      </c>
      <c r="V8351" s="3">
        <v>41641</v>
      </c>
    </row>
    <row r="8352" spans="1:22" x14ac:dyDescent="0.35">
      <c r="A8352" s="1">
        <v>42262.465439814812</v>
      </c>
      <c r="B8352" s="2">
        <v>0</v>
      </c>
      <c r="C8352" t="s">
        <v>11971</v>
      </c>
      <c r="D8352" t="s">
        <v>23</v>
      </c>
      <c r="E8352" t="s">
        <v>24</v>
      </c>
      <c r="F8352" t="s">
        <v>11972</v>
      </c>
      <c r="G8352">
        <v>1570485</v>
      </c>
      <c r="H8352" t="s">
        <v>45</v>
      </c>
      <c r="I8352" t="s">
        <v>200</v>
      </c>
      <c r="J8352" t="str">
        <f>"9781409447405"</f>
        <v>9781409447405</v>
      </c>
      <c r="L8352">
        <v>0</v>
      </c>
      <c r="O8352" t="s">
        <v>30</v>
      </c>
      <c r="P8352" t="s">
        <v>47</v>
      </c>
      <c r="Q8352" s="1">
        <v>42262.465439814812</v>
      </c>
      <c r="R8352">
        <v>7</v>
      </c>
      <c r="S8352" t="s">
        <v>31</v>
      </c>
      <c r="T8352" t="s">
        <v>11974</v>
      </c>
      <c r="U8352" t="s">
        <v>10063</v>
      </c>
      <c r="V8352" s="3">
        <v>41641</v>
      </c>
    </row>
    <row r="8353" spans="1:22" x14ac:dyDescent="0.35">
      <c r="A8353" s="1">
        <v>42262.464537037034</v>
      </c>
      <c r="B8353" s="2">
        <v>9.0277777777777784E-4</v>
      </c>
      <c r="C8353" t="s">
        <v>11971</v>
      </c>
      <c r="D8353" t="s">
        <v>23</v>
      </c>
      <c r="E8353" t="s">
        <v>24</v>
      </c>
      <c r="F8353" t="s">
        <v>11972</v>
      </c>
      <c r="G8353">
        <v>1570485</v>
      </c>
      <c r="H8353" t="s">
        <v>45</v>
      </c>
      <c r="I8353" t="s">
        <v>200</v>
      </c>
      <c r="J8353" t="str">
        <f>"9781409447405"</f>
        <v>9781409447405</v>
      </c>
      <c r="K8353" t="s">
        <v>11975</v>
      </c>
      <c r="L8353">
        <v>5</v>
      </c>
      <c r="O8353" t="s">
        <v>30</v>
      </c>
      <c r="P8353" t="s">
        <v>50</v>
      </c>
      <c r="S8353" t="s">
        <v>31</v>
      </c>
      <c r="T8353" t="s">
        <v>11974</v>
      </c>
      <c r="U8353" t="s">
        <v>10063</v>
      </c>
      <c r="V8353" s="3">
        <v>41641</v>
      </c>
    </row>
    <row r="8354" spans="1:22" x14ac:dyDescent="0.35">
      <c r="A8354" s="1">
        <v>42262.456388888888</v>
      </c>
      <c r="B8354" s="2">
        <v>4.6759259259259263E-3</v>
      </c>
      <c r="C8354" t="s">
        <v>5411</v>
      </c>
      <c r="D8354" t="s">
        <v>23</v>
      </c>
      <c r="E8354" t="s">
        <v>24</v>
      </c>
      <c r="F8354" t="s">
        <v>1051</v>
      </c>
      <c r="G8354">
        <v>821663</v>
      </c>
      <c r="H8354" t="s">
        <v>26</v>
      </c>
      <c r="I8354" t="s">
        <v>200</v>
      </c>
      <c r="J8354" t="str">
        <f>"9781118168479"</f>
        <v>9781118168479</v>
      </c>
      <c r="K8354" t="s">
        <v>11976</v>
      </c>
      <c r="L8354">
        <v>11</v>
      </c>
      <c r="O8354" t="s">
        <v>30</v>
      </c>
      <c r="P8354" t="s">
        <v>29</v>
      </c>
      <c r="Q8354" s="1">
        <v>42262.453344907408</v>
      </c>
      <c r="R8354">
        <v>7</v>
      </c>
      <c r="S8354" t="s">
        <v>31</v>
      </c>
      <c r="T8354" t="s">
        <v>1053</v>
      </c>
      <c r="U8354">
        <v>729</v>
      </c>
      <c r="V8354" s="3">
        <v>40973</v>
      </c>
    </row>
    <row r="8355" spans="1:22" x14ac:dyDescent="0.35">
      <c r="A8355" s="1">
        <v>42262.453344907408</v>
      </c>
      <c r="B8355" s="2">
        <v>4.386574074074074E-2</v>
      </c>
      <c r="C8355" t="s">
        <v>5411</v>
      </c>
      <c r="D8355" t="s">
        <v>23</v>
      </c>
      <c r="E8355" t="s">
        <v>24</v>
      </c>
      <c r="F8355" t="s">
        <v>1051</v>
      </c>
      <c r="G8355">
        <v>821663</v>
      </c>
      <c r="H8355" t="s">
        <v>26</v>
      </c>
      <c r="I8355" t="s">
        <v>200</v>
      </c>
      <c r="J8355" t="str">
        <f>"9781118168479"</f>
        <v>9781118168479</v>
      </c>
      <c r="K8355" t="s">
        <v>11977</v>
      </c>
      <c r="L8355">
        <v>33</v>
      </c>
      <c r="O8355" t="s">
        <v>30</v>
      </c>
      <c r="P8355" t="s">
        <v>29</v>
      </c>
      <c r="Q8355" s="1">
        <v>42262.453344907408</v>
      </c>
      <c r="R8355">
        <v>7</v>
      </c>
      <c r="S8355" t="s">
        <v>31</v>
      </c>
      <c r="T8355" t="s">
        <v>1053</v>
      </c>
      <c r="U8355">
        <v>729</v>
      </c>
      <c r="V8355" s="3">
        <v>40973</v>
      </c>
    </row>
    <row r="8356" spans="1:22" x14ac:dyDescent="0.35">
      <c r="A8356" s="1">
        <v>42262.442326388889</v>
      </c>
      <c r="B8356" s="2">
        <v>1.1018518518518518E-2</v>
      </c>
      <c r="C8356" t="s">
        <v>5411</v>
      </c>
      <c r="D8356" t="s">
        <v>23</v>
      </c>
      <c r="E8356" t="s">
        <v>24</v>
      </c>
      <c r="F8356" t="s">
        <v>1051</v>
      </c>
      <c r="G8356">
        <v>821663</v>
      </c>
      <c r="H8356" t="s">
        <v>26</v>
      </c>
      <c r="I8356" t="s">
        <v>200</v>
      </c>
      <c r="J8356" t="str">
        <f>"9781118168479"</f>
        <v>9781118168479</v>
      </c>
      <c r="K8356" t="s">
        <v>913</v>
      </c>
      <c r="L8356">
        <v>8</v>
      </c>
      <c r="O8356" t="s">
        <v>30</v>
      </c>
      <c r="P8356" t="s">
        <v>42</v>
      </c>
      <c r="S8356" t="s">
        <v>31</v>
      </c>
      <c r="T8356" t="s">
        <v>1053</v>
      </c>
      <c r="U8356">
        <v>729</v>
      </c>
      <c r="V8356" s="3">
        <v>40973</v>
      </c>
    </row>
    <row r="8357" spans="1:22" x14ac:dyDescent="0.35">
      <c r="A8357" s="1">
        <v>42262.185590277775</v>
      </c>
      <c r="B8357" s="2">
        <v>1.2337962962962962E-2</v>
      </c>
      <c r="C8357" t="s">
        <v>5271</v>
      </c>
      <c r="D8357" t="s">
        <v>23</v>
      </c>
      <c r="E8357" t="s">
        <v>24</v>
      </c>
      <c r="F8357" t="s">
        <v>1051</v>
      </c>
      <c r="G8357">
        <v>821663</v>
      </c>
      <c r="H8357" t="s">
        <v>26</v>
      </c>
      <c r="I8357" t="s">
        <v>200</v>
      </c>
      <c r="J8357" t="str">
        <f>"9781118168479"</f>
        <v>9781118168479</v>
      </c>
      <c r="K8357" t="s">
        <v>11978</v>
      </c>
      <c r="L8357">
        <v>10</v>
      </c>
      <c r="O8357" t="s">
        <v>30</v>
      </c>
      <c r="P8357" t="s">
        <v>29</v>
      </c>
      <c r="Q8357" s="1">
        <v>42261.669652777775</v>
      </c>
      <c r="R8357">
        <v>7</v>
      </c>
      <c r="S8357" t="s">
        <v>31</v>
      </c>
      <c r="T8357" t="s">
        <v>1053</v>
      </c>
      <c r="U8357">
        <v>729</v>
      </c>
      <c r="V8357" s="3">
        <v>40973</v>
      </c>
    </row>
    <row r="8358" spans="1:22" x14ac:dyDescent="0.35">
      <c r="A8358" s="1">
        <v>42262.174398148149</v>
      </c>
      <c r="B8358" s="2">
        <v>6.5162037037037037E-3</v>
      </c>
      <c r="C8358" t="s">
        <v>106</v>
      </c>
      <c r="D8358" t="s">
        <v>23</v>
      </c>
      <c r="E8358" t="s">
        <v>24</v>
      </c>
      <c r="F8358" t="s">
        <v>486</v>
      </c>
      <c r="G8358">
        <v>1119505</v>
      </c>
      <c r="H8358" t="s">
        <v>26</v>
      </c>
      <c r="I8358" t="s">
        <v>450</v>
      </c>
      <c r="J8358" t="str">
        <f>"9781118355015"</f>
        <v>9781118355015</v>
      </c>
      <c r="K8358" t="s">
        <v>11979</v>
      </c>
      <c r="L8358">
        <v>38</v>
      </c>
      <c r="O8358" t="s">
        <v>30</v>
      </c>
      <c r="P8358" t="s">
        <v>29</v>
      </c>
      <c r="Q8358" s="1">
        <v>42257.783634259256</v>
      </c>
      <c r="R8358">
        <v>7</v>
      </c>
      <c r="S8358" t="s">
        <v>31</v>
      </c>
      <c r="T8358" t="s">
        <v>487</v>
      </c>
      <c r="U8358" t="s">
        <v>488</v>
      </c>
      <c r="V8358" s="3">
        <v>41302</v>
      </c>
    </row>
    <row r="8359" spans="1:22" x14ac:dyDescent="0.35">
      <c r="A8359" s="1">
        <v>42262.173692129632</v>
      </c>
      <c r="B8359" s="2">
        <v>5.4398148148148144E-4</v>
      </c>
      <c r="C8359" t="s">
        <v>6790</v>
      </c>
      <c r="D8359" t="s">
        <v>23</v>
      </c>
      <c r="E8359" t="s">
        <v>24</v>
      </c>
      <c r="F8359" t="s">
        <v>486</v>
      </c>
      <c r="G8359">
        <v>1119505</v>
      </c>
      <c r="H8359" t="s">
        <v>26</v>
      </c>
      <c r="I8359" t="s">
        <v>450</v>
      </c>
      <c r="J8359" t="str">
        <f>"9781118355015"</f>
        <v>9781118355015</v>
      </c>
      <c r="K8359" t="s">
        <v>11980</v>
      </c>
      <c r="L8359">
        <v>13</v>
      </c>
      <c r="O8359" t="s">
        <v>30</v>
      </c>
      <c r="P8359" t="s">
        <v>29</v>
      </c>
      <c r="Q8359" s="1">
        <v>42262.05263888889</v>
      </c>
      <c r="R8359">
        <v>7</v>
      </c>
      <c r="S8359" t="s">
        <v>31</v>
      </c>
      <c r="T8359" t="s">
        <v>487</v>
      </c>
      <c r="U8359" t="s">
        <v>488</v>
      </c>
      <c r="V8359" s="3">
        <v>41302</v>
      </c>
    </row>
    <row r="8360" spans="1:22" x14ac:dyDescent="0.35">
      <c r="A8360" s="1">
        <v>42262.12777777778</v>
      </c>
      <c r="B8360" s="2">
        <v>1.1631944444444445E-2</v>
      </c>
      <c r="C8360" t="s">
        <v>6790</v>
      </c>
      <c r="D8360" t="s">
        <v>23</v>
      </c>
      <c r="E8360" t="s">
        <v>24</v>
      </c>
      <c r="F8360" t="s">
        <v>486</v>
      </c>
      <c r="G8360">
        <v>1119505</v>
      </c>
      <c r="H8360" t="s">
        <v>26</v>
      </c>
      <c r="I8360" t="s">
        <v>450</v>
      </c>
      <c r="J8360" t="str">
        <f>"9781118355015"</f>
        <v>9781118355015</v>
      </c>
      <c r="K8360" t="s">
        <v>11981</v>
      </c>
      <c r="L8360">
        <v>36</v>
      </c>
      <c r="O8360" t="s">
        <v>30</v>
      </c>
      <c r="P8360" t="s">
        <v>29</v>
      </c>
      <c r="Q8360" s="1">
        <v>42262.05263888889</v>
      </c>
      <c r="R8360">
        <v>7</v>
      </c>
      <c r="S8360" t="s">
        <v>31</v>
      </c>
      <c r="T8360" t="s">
        <v>487</v>
      </c>
      <c r="U8360" t="s">
        <v>488</v>
      </c>
      <c r="V8360" s="3">
        <v>41302</v>
      </c>
    </row>
    <row r="8361" spans="1:22" x14ac:dyDescent="0.35">
      <c r="A8361" s="1">
        <v>42262.118935185186</v>
      </c>
      <c r="B8361" s="2">
        <v>5.4050925925925924E-3</v>
      </c>
      <c r="C8361" t="s">
        <v>9944</v>
      </c>
      <c r="D8361" t="s">
        <v>23</v>
      </c>
      <c r="E8361" t="s">
        <v>24</v>
      </c>
      <c r="F8361" t="s">
        <v>52</v>
      </c>
      <c r="G8361">
        <v>822040</v>
      </c>
      <c r="H8361" t="s">
        <v>26</v>
      </c>
      <c r="I8361" t="s">
        <v>53</v>
      </c>
      <c r="J8361" t="str">
        <f>"9781118289099"</f>
        <v>9781118289099</v>
      </c>
      <c r="K8361" t="s">
        <v>11982</v>
      </c>
      <c r="L8361">
        <v>12</v>
      </c>
      <c r="O8361" t="s">
        <v>30</v>
      </c>
      <c r="P8361" t="s">
        <v>42</v>
      </c>
      <c r="S8361" t="s">
        <v>31</v>
      </c>
      <c r="T8361" t="s">
        <v>55</v>
      </c>
      <c r="U8361" t="s">
        <v>56</v>
      </c>
      <c r="V8361" s="3">
        <v>40990</v>
      </c>
    </row>
    <row r="8362" spans="1:22" x14ac:dyDescent="0.35">
      <c r="A8362" s="1">
        <v>42262.110659722224</v>
      </c>
      <c r="B8362" s="2">
        <v>3.4375E-3</v>
      </c>
      <c r="C8362" t="s">
        <v>9415</v>
      </c>
      <c r="D8362" t="s">
        <v>23</v>
      </c>
      <c r="E8362" t="s">
        <v>24</v>
      </c>
      <c r="F8362" t="s">
        <v>486</v>
      </c>
      <c r="G8362">
        <v>1119505</v>
      </c>
      <c r="H8362" t="s">
        <v>26</v>
      </c>
      <c r="I8362" t="s">
        <v>450</v>
      </c>
      <c r="J8362" t="str">
        <f>"9781118355015"</f>
        <v>9781118355015</v>
      </c>
      <c r="K8362" t="s">
        <v>11983</v>
      </c>
      <c r="L8362">
        <v>15</v>
      </c>
      <c r="O8362" t="s">
        <v>30</v>
      </c>
      <c r="P8362" t="s">
        <v>29</v>
      </c>
      <c r="Q8362" s="1">
        <v>42262.066724537035</v>
      </c>
      <c r="R8362">
        <v>7</v>
      </c>
      <c r="S8362" t="s">
        <v>31</v>
      </c>
      <c r="T8362" t="s">
        <v>487</v>
      </c>
      <c r="U8362" t="s">
        <v>488</v>
      </c>
      <c r="V8362" s="3">
        <v>41302</v>
      </c>
    </row>
    <row r="8363" spans="1:22" x14ac:dyDescent="0.35">
      <c r="A8363" s="1">
        <v>42262.099386574075</v>
      </c>
      <c r="B8363" s="2">
        <v>3.0775462962962966E-2</v>
      </c>
      <c r="C8363" t="s">
        <v>106</v>
      </c>
      <c r="D8363" t="s">
        <v>23</v>
      </c>
      <c r="E8363" t="s">
        <v>24</v>
      </c>
      <c r="F8363" t="s">
        <v>486</v>
      </c>
      <c r="G8363">
        <v>1119505</v>
      </c>
      <c r="H8363" t="s">
        <v>26</v>
      </c>
      <c r="I8363" t="s">
        <v>450</v>
      </c>
      <c r="J8363" t="str">
        <f>"9781118355015"</f>
        <v>9781118355015</v>
      </c>
      <c r="K8363" t="s">
        <v>11984</v>
      </c>
      <c r="L8363">
        <v>34</v>
      </c>
      <c r="O8363" t="s">
        <v>30</v>
      </c>
      <c r="P8363" t="s">
        <v>29</v>
      </c>
      <c r="Q8363" s="1">
        <v>42257.783634259256</v>
      </c>
      <c r="R8363">
        <v>7</v>
      </c>
      <c r="S8363" t="s">
        <v>31</v>
      </c>
      <c r="T8363" t="s">
        <v>487</v>
      </c>
      <c r="U8363" t="s">
        <v>488</v>
      </c>
      <c r="V8363" s="3">
        <v>41302</v>
      </c>
    </row>
    <row r="8364" spans="1:22" x14ac:dyDescent="0.35">
      <c r="A8364" s="1">
        <v>42262.093368055554</v>
      </c>
      <c r="B8364" s="2">
        <v>9.3750000000000007E-4</v>
      </c>
      <c r="C8364" t="s">
        <v>5902</v>
      </c>
      <c r="D8364" t="s">
        <v>35</v>
      </c>
      <c r="E8364" t="s">
        <v>36</v>
      </c>
      <c r="F8364" t="s">
        <v>986</v>
      </c>
      <c r="G8364">
        <v>968030</v>
      </c>
      <c r="H8364" t="s">
        <v>26</v>
      </c>
      <c r="I8364" t="s">
        <v>219</v>
      </c>
      <c r="J8364" t="str">
        <f>"9781118285138"</f>
        <v>9781118285138</v>
      </c>
      <c r="K8364" t="s">
        <v>11985</v>
      </c>
      <c r="L8364">
        <v>27</v>
      </c>
      <c r="O8364" t="s">
        <v>30</v>
      </c>
      <c r="P8364" t="s">
        <v>42</v>
      </c>
      <c r="S8364" t="s">
        <v>40</v>
      </c>
      <c r="T8364" t="s">
        <v>987</v>
      </c>
      <c r="U8364">
        <v>158.30000000000001</v>
      </c>
      <c r="V8364" s="3">
        <v>41100</v>
      </c>
    </row>
    <row r="8365" spans="1:22" x14ac:dyDescent="0.35">
      <c r="A8365" s="1">
        <v>42262.092303240737</v>
      </c>
      <c r="B8365" s="2">
        <v>1.1516203703703702E-2</v>
      </c>
      <c r="C8365" t="s">
        <v>106</v>
      </c>
      <c r="D8365" t="s">
        <v>23</v>
      </c>
      <c r="E8365" t="s">
        <v>24</v>
      </c>
      <c r="F8365" t="s">
        <v>486</v>
      </c>
      <c r="G8365">
        <v>1119505</v>
      </c>
      <c r="H8365" t="s">
        <v>26</v>
      </c>
      <c r="I8365" t="s">
        <v>450</v>
      </c>
      <c r="J8365" t="str">
        <f t="shared" ref="J8365:J8370" si="57">"9781118355015"</f>
        <v>9781118355015</v>
      </c>
      <c r="K8365" t="s">
        <v>11986</v>
      </c>
      <c r="L8365">
        <v>39</v>
      </c>
      <c r="O8365" t="s">
        <v>30</v>
      </c>
      <c r="P8365" t="s">
        <v>29</v>
      </c>
      <c r="Q8365" s="1">
        <v>42257.783634259256</v>
      </c>
      <c r="R8365">
        <v>7</v>
      </c>
      <c r="S8365" t="s">
        <v>31</v>
      </c>
      <c r="T8365" t="s">
        <v>487</v>
      </c>
      <c r="U8365" t="s">
        <v>488</v>
      </c>
      <c r="V8365" s="3">
        <v>41302</v>
      </c>
    </row>
    <row r="8366" spans="1:22" x14ac:dyDescent="0.35">
      <c r="A8366" s="1">
        <v>42262.066724537035</v>
      </c>
      <c r="B8366" s="2">
        <v>1.7071759259259259E-2</v>
      </c>
      <c r="C8366" t="s">
        <v>9415</v>
      </c>
      <c r="D8366" t="s">
        <v>23</v>
      </c>
      <c r="E8366" t="s">
        <v>24</v>
      </c>
      <c r="F8366" t="s">
        <v>486</v>
      </c>
      <c r="G8366">
        <v>1119505</v>
      </c>
      <c r="H8366" t="s">
        <v>26</v>
      </c>
      <c r="I8366" t="s">
        <v>450</v>
      </c>
      <c r="J8366" t="str">
        <f t="shared" si="57"/>
        <v>9781118355015</v>
      </c>
      <c r="K8366" t="s">
        <v>11987</v>
      </c>
      <c r="L8366">
        <v>17</v>
      </c>
      <c r="O8366" t="s">
        <v>30</v>
      </c>
      <c r="P8366" t="s">
        <v>29</v>
      </c>
      <c r="Q8366" s="1">
        <v>42262.066724537035</v>
      </c>
      <c r="R8366">
        <v>7</v>
      </c>
      <c r="S8366" t="s">
        <v>31</v>
      </c>
      <c r="T8366" t="s">
        <v>487</v>
      </c>
      <c r="U8366" t="s">
        <v>488</v>
      </c>
      <c r="V8366" s="3">
        <v>41302</v>
      </c>
    </row>
    <row r="8367" spans="1:22" x14ac:dyDescent="0.35">
      <c r="A8367" s="1">
        <v>42262.056863425925</v>
      </c>
      <c r="B8367" s="2">
        <v>9.8611111111111104E-3</v>
      </c>
      <c r="C8367" t="s">
        <v>9415</v>
      </c>
      <c r="D8367" t="s">
        <v>23</v>
      </c>
      <c r="E8367" t="s">
        <v>24</v>
      </c>
      <c r="F8367" t="s">
        <v>486</v>
      </c>
      <c r="G8367">
        <v>1119505</v>
      </c>
      <c r="H8367" t="s">
        <v>26</v>
      </c>
      <c r="I8367" t="s">
        <v>450</v>
      </c>
      <c r="J8367" t="str">
        <f t="shared" si="57"/>
        <v>9781118355015</v>
      </c>
      <c r="K8367" t="s">
        <v>11988</v>
      </c>
      <c r="L8367">
        <v>18</v>
      </c>
      <c r="O8367" t="s">
        <v>30</v>
      </c>
      <c r="P8367" t="s">
        <v>42</v>
      </c>
      <c r="S8367" t="s">
        <v>31</v>
      </c>
      <c r="T8367" t="s">
        <v>487</v>
      </c>
      <c r="U8367" t="s">
        <v>488</v>
      </c>
      <c r="V8367" s="3">
        <v>41302</v>
      </c>
    </row>
    <row r="8368" spans="1:22" x14ac:dyDescent="0.35">
      <c r="A8368" s="1">
        <v>42262.05263888889</v>
      </c>
      <c r="B8368" s="2">
        <v>4.704861111111111E-2</v>
      </c>
      <c r="C8368" t="s">
        <v>6790</v>
      </c>
      <c r="D8368" t="s">
        <v>23</v>
      </c>
      <c r="E8368" t="s">
        <v>24</v>
      </c>
      <c r="F8368" t="s">
        <v>486</v>
      </c>
      <c r="G8368">
        <v>1119505</v>
      </c>
      <c r="H8368" t="s">
        <v>26</v>
      </c>
      <c r="I8368" t="s">
        <v>450</v>
      </c>
      <c r="J8368" t="str">
        <f t="shared" si="57"/>
        <v>9781118355015</v>
      </c>
      <c r="K8368" t="s">
        <v>11989</v>
      </c>
      <c r="L8368">
        <v>44</v>
      </c>
      <c r="O8368" t="s">
        <v>28</v>
      </c>
      <c r="P8368" t="s">
        <v>29</v>
      </c>
      <c r="Q8368" s="1">
        <v>42262.05263888889</v>
      </c>
      <c r="R8368">
        <v>7</v>
      </c>
      <c r="S8368" t="s">
        <v>31</v>
      </c>
      <c r="T8368" t="s">
        <v>487</v>
      </c>
      <c r="U8368" t="s">
        <v>488</v>
      </c>
      <c r="V8368" s="3">
        <v>41302</v>
      </c>
    </row>
    <row r="8369" spans="1:22" x14ac:dyDescent="0.35">
      <c r="A8369" s="1">
        <v>42262.05263888889</v>
      </c>
      <c r="B8369" s="2">
        <v>0</v>
      </c>
      <c r="C8369" t="s">
        <v>6790</v>
      </c>
      <c r="D8369" t="s">
        <v>23</v>
      </c>
      <c r="E8369" t="s">
        <v>24</v>
      </c>
      <c r="F8369" t="s">
        <v>486</v>
      </c>
      <c r="G8369">
        <v>1119505</v>
      </c>
      <c r="H8369" t="s">
        <v>26</v>
      </c>
      <c r="I8369" t="s">
        <v>450</v>
      </c>
      <c r="J8369" t="str">
        <f t="shared" si="57"/>
        <v>9781118355015</v>
      </c>
      <c r="L8369">
        <v>0</v>
      </c>
      <c r="O8369" t="s">
        <v>30</v>
      </c>
      <c r="P8369" t="s">
        <v>29</v>
      </c>
      <c r="Q8369" s="1">
        <v>42262.05263888889</v>
      </c>
      <c r="R8369">
        <v>7</v>
      </c>
      <c r="S8369" t="s">
        <v>31</v>
      </c>
      <c r="T8369" t="s">
        <v>487</v>
      </c>
      <c r="U8369" t="s">
        <v>488</v>
      </c>
      <c r="V8369" s="3">
        <v>41302</v>
      </c>
    </row>
    <row r="8370" spans="1:22" x14ac:dyDescent="0.35">
      <c r="A8370" s="1">
        <v>42262.052233796298</v>
      </c>
      <c r="B8370" s="2">
        <v>4.0509259259259258E-4</v>
      </c>
      <c r="C8370" t="s">
        <v>6790</v>
      </c>
      <c r="D8370" t="s">
        <v>23</v>
      </c>
      <c r="E8370" t="s">
        <v>24</v>
      </c>
      <c r="F8370" t="s">
        <v>486</v>
      </c>
      <c r="G8370">
        <v>1119505</v>
      </c>
      <c r="H8370" t="s">
        <v>26</v>
      </c>
      <c r="I8370" t="s">
        <v>450</v>
      </c>
      <c r="J8370" t="str">
        <f t="shared" si="57"/>
        <v>9781118355015</v>
      </c>
      <c r="K8370" t="s">
        <v>11990</v>
      </c>
      <c r="L8370">
        <v>15</v>
      </c>
      <c r="O8370" t="s">
        <v>30</v>
      </c>
      <c r="P8370" t="s">
        <v>42</v>
      </c>
      <c r="S8370" t="s">
        <v>31</v>
      </c>
      <c r="T8370" t="s">
        <v>487</v>
      </c>
      <c r="U8370" t="s">
        <v>488</v>
      </c>
      <c r="V8370" s="3">
        <v>41302</v>
      </c>
    </row>
    <row r="8371" spans="1:22" x14ac:dyDescent="0.35">
      <c r="A8371" s="1">
        <v>42262.04078703704</v>
      </c>
      <c r="B8371" s="2">
        <v>0</v>
      </c>
      <c r="C8371" t="s">
        <v>106</v>
      </c>
      <c r="D8371" t="s">
        <v>23</v>
      </c>
      <c r="E8371" t="s">
        <v>24</v>
      </c>
      <c r="F8371" t="s">
        <v>9918</v>
      </c>
      <c r="G8371">
        <v>1790819</v>
      </c>
      <c r="H8371" t="s">
        <v>526</v>
      </c>
      <c r="I8371" t="s">
        <v>426</v>
      </c>
      <c r="J8371" t="str">
        <f>"9780226169095"</f>
        <v>9780226169095</v>
      </c>
      <c r="L8371">
        <v>0</v>
      </c>
      <c r="O8371" t="s">
        <v>28</v>
      </c>
      <c r="P8371" t="s">
        <v>29</v>
      </c>
      <c r="Q8371" s="1">
        <v>42261.739155092589</v>
      </c>
      <c r="R8371">
        <v>7</v>
      </c>
      <c r="S8371" t="s">
        <v>31</v>
      </c>
      <c r="T8371" t="s">
        <v>9920</v>
      </c>
      <c r="U8371" t="s">
        <v>9921</v>
      </c>
      <c r="V8371" s="3">
        <v>41932</v>
      </c>
    </row>
    <row r="8372" spans="1:22" x14ac:dyDescent="0.35">
      <c r="A8372" s="1">
        <v>42262.034525462965</v>
      </c>
      <c r="B8372" s="2">
        <v>2.7777777777777778E-4</v>
      </c>
      <c r="C8372" t="s">
        <v>106</v>
      </c>
      <c r="D8372" t="s">
        <v>23</v>
      </c>
      <c r="E8372" t="s">
        <v>24</v>
      </c>
      <c r="F8372" t="s">
        <v>486</v>
      </c>
      <c r="G8372">
        <v>1119505</v>
      </c>
      <c r="H8372" t="s">
        <v>26</v>
      </c>
      <c r="I8372" t="s">
        <v>450</v>
      </c>
      <c r="J8372" t="str">
        <f>"9781118355015"</f>
        <v>9781118355015</v>
      </c>
      <c r="K8372" t="s">
        <v>11991</v>
      </c>
      <c r="L8372">
        <v>11</v>
      </c>
      <c r="O8372" t="s">
        <v>30</v>
      </c>
      <c r="P8372" t="s">
        <v>29</v>
      </c>
      <c r="Q8372" s="1">
        <v>42257.783634259256</v>
      </c>
      <c r="R8372">
        <v>7</v>
      </c>
      <c r="S8372" t="s">
        <v>31</v>
      </c>
      <c r="T8372" t="s">
        <v>487</v>
      </c>
      <c r="U8372" t="s">
        <v>488</v>
      </c>
      <c r="V8372" s="3">
        <v>41302</v>
      </c>
    </row>
    <row r="8373" spans="1:22" x14ac:dyDescent="0.35">
      <c r="A8373" s="1">
        <v>42262.019467592596</v>
      </c>
      <c r="B8373" s="2">
        <v>9.8379629629629642E-4</v>
      </c>
      <c r="C8373" t="s">
        <v>106</v>
      </c>
      <c r="D8373" t="s">
        <v>23</v>
      </c>
      <c r="E8373" t="s">
        <v>24</v>
      </c>
      <c r="F8373" t="s">
        <v>1051</v>
      </c>
      <c r="G8373">
        <v>821663</v>
      </c>
      <c r="H8373" t="s">
        <v>26</v>
      </c>
      <c r="I8373" t="s">
        <v>200</v>
      </c>
      <c r="J8373" t="str">
        <f>"9781118168479"</f>
        <v>9781118168479</v>
      </c>
      <c r="K8373" t="s">
        <v>11992</v>
      </c>
      <c r="L8373">
        <v>5</v>
      </c>
      <c r="O8373" t="s">
        <v>30</v>
      </c>
      <c r="P8373" t="s">
        <v>29</v>
      </c>
      <c r="Q8373" s="1">
        <v>42262.019467592596</v>
      </c>
      <c r="R8373">
        <v>7</v>
      </c>
      <c r="S8373" t="s">
        <v>31</v>
      </c>
      <c r="T8373" t="s">
        <v>1053</v>
      </c>
      <c r="U8373">
        <v>729</v>
      </c>
      <c r="V8373" s="3">
        <v>40973</v>
      </c>
    </row>
    <row r="8374" spans="1:22" x14ac:dyDescent="0.35">
      <c r="A8374" s="1">
        <v>42262.01935185185</v>
      </c>
      <c r="B8374" s="2">
        <v>1.1574074074074073E-4</v>
      </c>
      <c r="C8374" t="s">
        <v>106</v>
      </c>
      <c r="D8374" t="s">
        <v>23</v>
      </c>
      <c r="E8374" t="s">
        <v>24</v>
      </c>
      <c r="F8374" t="s">
        <v>1051</v>
      </c>
      <c r="G8374">
        <v>821663</v>
      </c>
      <c r="H8374" t="s">
        <v>26</v>
      </c>
      <c r="I8374" t="s">
        <v>200</v>
      </c>
      <c r="J8374" t="str">
        <f>"9781118168479"</f>
        <v>9781118168479</v>
      </c>
      <c r="K8374" t="s">
        <v>33</v>
      </c>
      <c r="L8374">
        <v>3</v>
      </c>
      <c r="O8374" t="s">
        <v>30</v>
      </c>
      <c r="P8374" t="s">
        <v>42</v>
      </c>
      <c r="S8374" t="s">
        <v>31</v>
      </c>
      <c r="T8374" t="s">
        <v>1053</v>
      </c>
      <c r="U8374">
        <v>729</v>
      </c>
      <c r="V8374" s="3">
        <v>40973</v>
      </c>
    </row>
    <row r="8375" spans="1:22" x14ac:dyDescent="0.35">
      <c r="A8375" s="1">
        <v>42261.970358796294</v>
      </c>
      <c r="B8375" s="2">
        <v>5.5300925925925927E-2</v>
      </c>
      <c r="C8375" t="s">
        <v>11993</v>
      </c>
      <c r="D8375" t="s">
        <v>23</v>
      </c>
      <c r="E8375" t="s">
        <v>24</v>
      </c>
      <c r="F8375" t="s">
        <v>9918</v>
      </c>
      <c r="G8375">
        <v>1790819</v>
      </c>
      <c r="H8375" t="s">
        <v>526</v>
      </c>
      <c r="I8375" t="s">
        <v>426</v>
      </c>
      <c r="J8375" t="str">
        <f t="shared" ref="J8375:J8380" si="58">"9780226169095"</f>
        <v>9780226169095</v>
      </c>
      <c r="K8375" t="s">
        <v>11994</v>
      </c>
      <c r="L8375">
        <v>18</v>
      </c>
      <c r="O8375" t="s">
        <v>30</v>
      </c>
      <c r="P8375" t="s">
        <v>29</v>
      </c>
      <c r="Q8375" s="1">
        <v>42261.970358796294</v>
      </c>
      <c r="R8375">
        <v>7</v>
      </c>
      <c r="S8375" t="s">
        <v>31</v>
      </c>
      <c r="T8375" t="s">
        <v>9920</v>
      </c>
      <c r="U8375" t="s">
        <v>9921</v>
      </c>
      <c r="V8375" s="3">
        <v>41932</v>
      </c>
    </row>
    <row r="8376" spans="1:22" x14ac:dyDescent="0.35">
      <c r="A8376" s="1">
        <v>42261.968032407407</v>
      </c>
      <c r="B8376" s="2">
        <v>7.0266203703703692E-2</v>
      </c>
      <c r="C8376" t="s">
        <v>106</v>
      </c>
      <c r="D8376" t="s">
        <v>23</v>
      </c>
      <c r="E8376" t="s">
        <v>24</v>
      </c>
      <c r="F8376" t="s">
        <v>9918</v>
      </c>
      <c r="G8376">
        <v>1790819</v>
      </c>
      <c r="H8376" t="s">
        <v>526</v>
      </c>
      <c r="I8376" t="s">
        <v>426</v>
      </c>
      <c r="J8376" t="str">
        <f t="shared" si="58"/>
        <v>9780226169095</v>
      </c>
      <c r="K8376" t="s">
        <v>11995</v>
      </c>
      <c r="L8376">
        <v>111</v>
      </c>
      <c r="O8376" t="s">
        <v>30</v>
      </c>
      <c r="P8376" t="s">
        <v>29</v>
      </c>
      <c r="Q8376" s="1">
        <v>42261.739155092589</v>
      </c>
      <c r="R8376">
        <v>7</v>
      </c>
      <c r="S8376" t="s">
        <v>31</v>
      </c>
      <c r="T8376" t="s">
        <v>9920</v>
      </c>
      <c r="U8376" t="s">
        <v>9921</v>
      </c>
      <c r="V8376" s="3">
        <v>41932</v>
      </c>
    </row>
    <row r="8377" spans="1:22" x14ac:dyDescent="0.35">
      <c r="A8377" s="1">
        <v>42261.962916666664</v>
      </c>
      <c r="B8377" s="2">
        <v>7.7719907407407404E-2</v>
      </c>
      <c r="C8377" t="s">
        <v>106</v>
      </c>
      <c r="D8377" t="s">
        <v>23</v>
      </c>
      <c r="E8377" t="s">
        <v>24</v>
      </c>
      <c r="F8377" t="s">
        <v>9918</v>
      </c>
      <c r="G8377">
        <v>1790819</v>
      </c>
      <c r="H8377" t="s">
        <v>526</v>
      </c>
      <c r="I8377" t="s">
        <v>426</v>
      </c>
      <c r="J8377" t="str">
        <f t="shared" si="58"/>
        <v>9780226169095</v>
      </c>
      <c r="K8377" t="s">
        <v>11996</v>
      </c>
      <c r="L8377">
        <v>89</v>
      </c>
      <c r="O8377" t="s">
        <v>28</v>
      </c>
      <c r="P8377" t="s">
        <v>29</v>
      </c>
      <c r="Q8377" s="1">
        <v>42261.739155092589</v>
      </c>
      <c r="R8377">
        <v>7</v>
      </c>
      <c r="S8377" t="s">
        <v>31</v>
      </c>
      <c r="T8377" t="s">
        <v>9920</v>
      </c>
      <c r="U8377" t="s">
        <v>9921</v>
      </c>
      <c r="V8377" s="3">
        <v>41932</v>
      </c>
    </row>
    <row r="8378" spans="1:22" x14ac:dyDescent="0.35">
      <c r="A8378" s="1">
        <v>42261.96199074074</v>
      </c>
      <c r="B8378" s="2">
        <v>0</v>
      </c>
      <c r="C8378" t="s">
        <v>106</v>
      </c>
      <c r="D8378" t="s">
        <v>23</v>
      </c>
      <c r="E8378" t="s">
        <v>24</v>
      </c>
      <c r="F8378" t="s">
        <v>9918</v>
      </c>
      <c r="G8378">
        <v>1790819</v>
      </c>
      <c r="H8378" t="s">
        <v>526</v>
      </c>
      <c r="I8378" t="s">
        <v>426</v>
      </c>
      <c r="J8378" t="str">
        <f t="shared" si="58"/>
        <v>9780226169095</v>
      </c>
      <c r="L8378">
        <v>0</v>
      </c>
      <c r="O8378" t="s">
        <v>28</v>
      </c>
      <c r="P8378" t="s">
        <v>29</v>
      </c>
      <c r="Q8378" s="1">
        <v>42261.739155092589</v>
      </c>
      <c r="R8378">
        <v>7</v>
      </c>
      <c r="S8378" t="s">
        <v>31</v>
      </c>
      <c r="T8378" t="s">
        <v>9920</v>
      </c>
      <c r="U8378" t="s">
        <v>9921</v>
      </c>
      <c r="V8378" s="3">
        <v>41932</v>
      </c>
    </row>
    <row r="8379" spans="1:22" x14ac:dyDescent="0.35">
      <c r="A8379" s="1">
        <v>42261.961944444447</v>
      </c>
      <c r="B8379" s="2">
        <v>8.4143518518518517E-3</v>
      </c>
      <c r="C8379" t="s">
        <v>11993</v>
      </c>
      <c r="D8379" t="s">
        <v>23</v>
      </c>
      <c r="E8379" t="s">
        <v>24</v>
      </c>
      <c r="F8379" t="s">
        <v>9918</v>
      </c>
      <c r="G8379">
        <v>1790819</v>
      </c>
      <c r="H8379" t="s">
        <v>526</v>
      </c>
      <c r="I8379" t="s">
        <v>426</v>
      </c>
      <c r="J8379" t="str">
        <f t="shared" si="58"/>
        <v>9780226169095</v>
      </c>
      <c r="K8379" t="s">
        <v>11997</v>
      </c>
      <c r="L8379">
        <v>18</v>
      </c>
      <c r="O8379" t="s">
        <v>30</v>
      </c>
      <c r="P8379" t="s">
        <v>42</v>
      </c>
      <c r="S8379" t="s">
        <v>31</v>
      </c>
      <c r="T8379" t="s">
        <v>9920</v>
      </c>
      <c r="U8379" t="s">
        <v>9921</v>
      </c>
      <c r="V8379" s="3">
        <v>41932</v>
      </c>
    </row>
    <row r="8380" spans="1:22" x14ac:dyDescent="0.35">
      <c r="A8380" s="1">
        <v>42261.959189814814</v>
      </c>
      <c r="B8380" s="2">
        <v>0</v>
      </c>
      <c r="C8380" t="s">
        <v>106</v>
      </c>
      <c r="D8380" t="s">
        <v>23</v>
      </c>
      <c r="E8380" t="s">
        <v>24</v>
      </c>
      <c r="F8380" t="s">
        <v>9918</v>
      </c>
      <c r="G8380">
        <v>1790819</v>
      </c>
      <c r="H8380" t="s">
        <v>526</v>
      </c>
      <c r="I8380" t="s">
        <v>426</v>
      </c>
      <c r="J8380" t="str">
        <f t="shared" si="58"/>
        <v>9780226169095</v>
      </c>
      <c r="L8380">
        <v>0</v>
      </c>
      <c r="O8380" t="s">
        <v>28</v>
      </c>
      <c r="P8380" t="s">
        <v>29</v>
      </c>
      <c r="Q8380" s="1">
        <v>42261.739155092589</v>
      </c>
      <c r="R8380">
        <v>7</v>
      </c>
      <c r="S8380" t="s">
        <v>31</v>
      </c>
      <c r="T8380" t="s">
        <v>9920</v>
      </c>
      <c r="U8380" t="s">
        <v>9921</v>
      </c>
      <c r="V8380" s="3">
        <v>41932</v>
      </c>
    </row>
    <row r="8381" spans="1:22" x14ac:dyDescent="0.35">
      <c r="A8381" s="1">
        <v>42261.940428240741</v>
      </c>
      <c r="B8381" s="2">
        <v>2.2326388888888885E-2</v>
      </c>
      <c r="C8381" t="s">
        <v>11520</v>
      </c>
      <c r="D8381" t="s">
        <v>35</v>
      </c>
      <c r="E8381" t="s">
        <v>36</v>
      </c>
      <c r="F8381" t="s">
        <v>37</v>
      </c>
      <c r="G8381">
        <v>1684620</v>
      </c>
      <c r="H8381" t="s">
        <v>26</v>
      </c>
      <c r="I8381" t="s">
        <v>38</v>
      </c>
      <c r="J8381" t="str">
        <f>"9781118418925"</f>
        <v>9781118418925</v>
      </c>
      <c r="K8381" t="s">
        <v>11998</v>
      </c>
      <c r="L8381">
        <v>64</v>
      </c>
      <c r="O8381" t="s">
        <v>30</v>
      </c>
      <c r="P8381" t="s">
        <v>29</v>
      </c>
      <c r="Q8381" s="1">
        <v>42259.928055555552</v>
      </c>
      <c r="R8381">
        <v>7</v>
      </c>
      <c r="S8381" t="s">
        <v>40</v>
      </c>
      <c r="T8381" t="s">
        <v>41</v>
      </c>
      <c r="U8381">
        <v>362.10680000000002</v>
      </c>
      <c r="V8381" s="3">
        <v>41759</v>
      </c>
    </row>
    <row r="8382" spans="1:22" x14ac:dyDescent="0.35">
      <c r="A8382" s="1">
        <v>42261.939340277779</v>
      </c>
      <c r="B8382" s="2">
        <v>1.9398148148148147E-2</v>
      </c>
      <c r="C8382" t="s">
        <v>106</v>
      </c>
      <c r="D8382" t="s">
        <v>23</v>
      </c>
      <c r="E8382" t="s">
        <v>24</v>
      </c>
      <c r="F8382" t="s">
        <v>9918</v>
      </c>
      <c r="G8382">
        <v>1790819</v>
      </c>
      <c r="H8382" t="s">
        <v>526</v>
      </c>
      <c r="I8382" t="s">
        <v>426</v>
      </c>
      <c r="J8382" t="str">
        <f>"9780226169095"</f>
        <v>9780226169095</v>
      </c>
      <c r="K8382" t="s">
        <v>11999</v>
      </c>
      <c r="L8382">
        <v>11</v>
      </c>
      <c r="O8382" t="s">
        <v>30</v>
      </c>
      <c r="P8382" t="s">
        <v>29</v>
      </c>
      <c r="Q8382" s="1">
        <v>42261.739155092589</v>
      </c>
      <c r="R8382">
        <v>7</v>
      </c>
      <c r="S8382" t="s">
        <v>31</v>
      </c>
      <c r="T8382" t="s">
        <v>9920</v>
      </c>
      <c r="U8382" t="s">
        <v>9921</v>
      </c>
      <c r="V8382" s="3">
        <v>41932</v>
      </c>
    </row>
    <row r="8383" spans="1:22" x14ac:dyDescent="0.35">
      <c r="A8383" s="1">
        <v>42261.936643518522</v>
      </c>
      <c r="B8383" s="2">
        <v>2.5462962962962961E-3</v>
      </c>
      <c r="C8383" t="s">
        <v>5033</v>
      </c>
      <c r="D8383" t="s">
        <v>23</v>
      </c>
      <c r="E8383" t="s">
        <v>24</v>
      </c>
      <c r="F8383" t="s">
        <v>4594</v>
      </c>
      <c r="G8383">
        <v>1872281</v>
      </c>
      <c r="H8383" t="s">
        <v>91</v>
      </c>
      <c r="I8383" t="s">
        <v>2133</v>
      </c>
      <c r="J8383" t="str">
        <f>"9781462519606"</f>
        <v>9781462519606</v>
      </c>
      <c r="K8383" t="s">
        <v>12000</v>
      </c>
      <c r="L8383">
        <v>19</v>
      </c>
      <c r="O8383" t="s">
        <v>30</v>
      </c>
      <c r="P8383" t="s">
        <v>42</v>
      </c>
      <c r="S8383" t="s">
        <v>31</v>
      </c>
      <c r="T8383" t="s">
        <v>4596</v>
      </c>
      <c r="U8383">
        <v>378.101</v>
      </c>
      <c r="V8383" s="3">
        <v>42150</v>
      </c>
    </row>
    <row r="8384" spans="1:22" x14ac:dyDescent="0.35">
      <c r="A8384" s="1">
        <v>42261.90625</v>
      </c>
      <c r="B8384" s="2">
        <v>2.0717592592592593E-3</v>
      </c>
      <c r="C8384" t="s">
        <v>11518</v>
      </c>
      <c r="D8384" t="s">
        <v>35</v>
      </c>
      <c r="E8384" t="s">
        <v>36</v>
      </c>
      <c r="F8384" t="s">
        <v>37</v>
      </c>
      <c r="G8384">
        <v>1684620</v>
      </c>
      <c r="H8384" t="s">
        <v>26</v>
      </c>
      <c r="I8384" t="s">
        <v>38</v>
      </c>
      <c r="J8384" t="str">
        <f>"9781118418925"</f>
        <v>9781118418925</v>
      </c>
      <c r="K8384" t="s">
        <v>605</v>
      </c>
      <c r="L8384">
        <v>10</v>
      </c>
      <c r="O8384" t="s">
        <v>30</v>
      </c>
      <c r="P8384" t="s">
        <v>29</v>
      </c>
      <c r="Q8384" s="1">
        <v>42261.557118055556</v>
      </c>
      <c r="R8384">
        <v>7</v>
      </c>
      <c r="S8384" t="s">
        <v>40</v>
      </c>
      <c r="T8384" t="s">
        <v>41</v>
      </c>
      <c r="U8384">
        <v>362.10680000000002</v>
      </c>
      <c r="V8384" s="3">
        <v>41759</v>
      </c>
    </row>
    <row r="8385" spans="1:22" x14ac:dyDescent="0.35">
      <c r="A8385" s="1">
        <v>42261.884814814817</v>
      </c>
      <c r="B8385" s="2">
        <v>3.2754629629629631E-3</v>
      </c>
      <c r="C8385" t="s">
        <v>12001</v>
      </c>
      <c r="D8385" t="s">
        <v>23</v>
      </c>
      <c r="E8385" t="s">
        <v>24</v>
      </c>
      <c r="F8385" t="s">
        <v>982</v>
      </c>
      <c r="G8385">
        <v>1882108</v>
      </c>
      <c r="H8385" t="s">
        <v>84</v>
      </c>
      <c r="I8385" t="s">
        <v>310</v>
      </c>
      <c r="J8385" t="str">
        <f>"9780520961326"</f>
        <v>9780520961326</v>
      </c>
      <c r="K8385" t="s">
        <v>12002</v>
      </c>
      <c r="L8385">
        <v>38</v>
      </c>
      <c r="O8385" t="s">
        <v>30</v>
      </c>
      <c r="P8385" t="s">
        <v>50</v>
      </c>
      <c r="S8385" t="s">
        <v>31</v>
      </c>
      <c r="T8385" t="s">
        <v>983</v>
      </c>
      <c r="U8385">
        <v>883</v>
      </c>
      <c r="V8385" s="3">
        <v>42138</v>
      </c>
    </row>
    <row r="8386" spans="1:22" x14ac:dyDescent="0.35">
      <c r="A8386" s="1">
        <v>42261.874675925923</v>
      </c>
      <c r="B8386" s="2">
        <v>2.5462962962962961E-3</v>
      </c>
      <c r="C8386" t="s">
        <v>11841</v>
      </c>
      <c r="D8386" t="s">
        <v>35</v>
      </c>
      <c r="E8386" t="s">
        <v>36</v>
      </c>
      <c r="F8386" t="s">
        <v>986</v>
      </c>
      <c r="G8386">
        <v>968030</v>
      </c>
      <c r="H8386" t="s">
        <v>26</v>
      </c>
      <c r="I8386" t="s">
        <v>219</v>
      </c>
      <c r="J8386" t="str">
        <f>"9781118285138"</f>
        <v>9781118285138</v>
      </c>
      <c r="K8386" t="s">
        <v>12003</v>
      </c>
      <c r="L8386">
        <v>29</v>
      </c>
      <c r="O8386" t="s">
        <v>30</v>
      </c>
      <c r="P8386" t="s">
        <v>42</v>
      </c>
      <c r="S8386" t="s">
        <v>40</v>
      </c>
      <c r="T8386" t="s">
        <v>987</v>
      </c>
      <c r="U8386">
        <v>158.30000000000001</v>
      </c>
      <c r="V8386" s="3">
        <v>41100</v>
      </c>
    </row>
    <row r="8387" spans="1:22" x14ac:dyDescent="0.35">
      <c r="A8387" s="1">
        <v>42261.872974537036</v>
      </c>
      <c r="B8387" s="2">
        <v>3.5879629629629635E-4</v>
      </c>
      <c r="C8387" t="s">
        <v>5033</v>
      </c>
      <c r="D8387" t="s">
        <v>23</v>
      </c>
      <c r="E8387" t="s">
        <v>24</v>
      </c>
      <c r="F8387" t="s">
        <v>4594</v>
      </c>
      <c r="G8387">
        <v>1872281</v>
      </c>
      <c r="H8387" t="s">
        <v>91</v>
      </c>
      <c r="I8387" t="s">
        <v>2133</v>
      </c>
      <c r="J8387" t="str">
        <f>"9781462519606"</f>
        <v>9781462519606</v>
      </c>
      <c r="K8387" t="s">
        <v>12004</v>
      </c>
      <c r="L8387">
        <v>13</v>
      </c>
      <c r="O8387" t="s">
        <v>30</v>
      </c>
      <c r="P8387" t="s">
        <v>42</v>
      </c>
      <c r="S8387" t="s">
        <v>31</v>
      </c>
      <c r="T8387" t="s">
        <v>4596</v>
      </c>
      <c r="U8387">
        <v>378.101</v>
      </c>
      <c r="V8387" s="3">
        <v>42150</v>
      </c>
    </row>
    <row r="8388" spans="1:22" x14ac:dyDescent="0.35">
      <c r="A8388" s="1">
        <v>42261.871944444443</v>
      </c>
      <c r="B8388" s="2">
        <v>1.8356481481481481E-2</v>
      </c>
      <c r="C8388" t="s">
        <v>11520</v>
      </c>
      <c r="D8388" t="s">
        <v>35</v>
      </c>
      <c r="E8388" t="s">
        <v>36</v>
      </c>
      <c r="F8388" t="s">
        <v>37</v>
      </c>
      <c r="G8388">
        <v>1684620</v>
      </c>
      <c r="H8388" t="s">
        <v>26</v>
      </c>
      <c r="I8388" t="s">
        <v>38</v>
      </c>
      <c r="J8388" t="str">
        <f>"9781118418925"</f>
        <v>9781118418925</v>
      </c>
      <c r="K8388" t="s">
        <v>12005</v>
      </c>
      <c r="L8388">
        <v>62</v>
      </c>
      <c r="O8388" t="s">
        <v>30</v>
      </c>
      <c r="P8388" t="s">
        <v>29</v>
      </c>
      <c r="Q8388" s="1">
        <v>42259.928055555552</v>
      </c>
      <c r="R8388">
        <v>7</v>
      </c>
      <c r="S8388" t="s">
        <v>40</v>
      </c>
      <c r="T8388" t="s">
        <v>41</v>
      </c>
      <c r="U8388">
        <v>362.10680000000002</v>
      </c>
      <c r="V8388" s="3">
        <v>41759</v>
      </c>
    </row>
    <row r="8389" spans="1:22" x14ac:dyDescent="0.35">
      <c r="A8389" s="1">
        <v>42261.869085648148</v>
      </c>
      <c r="B8389" s="2">
        <v>4.6296296296296294E-5</v>
      </c>
      <c r="C8389" t="s">
        <v>11900</v>
      </c>
      <c r="D8389" t="s">
        <v>23</v>
      </c>
      <c r="E8389" t="s">
        <v>24</v>
      </c>
      <c r="F8389" t="s">
        <v>11901</v>
      </c>
      <c r="G8389">
        <v>1313513</v>
      </c>
      <c r="H8389" t="s">
        <v>26</v>
      </c>
      <c r="I8389" t="s">
        <v>276</v>
      </c>
      <c r="J8389" t="str">
        <f>"9781118732281"</f>
        <v>9781118732281</v>
      </c>
      <c r="K8389" t="s">
        <v>33</v>
      </c>
      <c r="L8389">
        <v>3</v>
      </c>
      <c r="O8389" t="s">
        <v>30</v>
      </c>
      <c r="P8389" t="s">
        <v>42</v>
      </c>
      <c r="S8389" t="s">
        <v>31</v>
      </c>
      <c r="T8389" t="s">
        <v>11902</v>
      </c>
      <c r="U8389">
        <v>5.74</v>
      </c>
      <c r="V8389" s="3">
        <v>41456</v>
      </c>
    </row>
    <row r="8390" spans="1:22" x14ac:dyDescent="0.35">
      <c r="A8390" s="1">
        <v>42261.865740740737</v>
      </c>
      <c r="B8390" s="2">
        <v>6.1273148148148153E-2</v>
      </c>
      <c r="C8390" t="s">
        <v>12006</v>
      </c>
      <c r="D8390" t="s">
        <v>23</v>
      </c>
      <c r="E8390" t="s">
        <v>24</v>
      </c>
      <c r="F8390" t="s">
        <v>78</v>
      </c>
      <c r="G8390">
        <v>1635363</v>
      </c>
      <c r="H8390" t="s">
        <v>26</v>
      </c>
      <c r="I8390" t="s">
        <v>79</v>
      </c>
      <c r="J8390" t="str">
        <f>"9781118678206"</f>
        <v>9781118678206</v>
      </c>
      <c r="K8390" t="s">
        <v>12007</v>
      </c>
      <c r="L8390">
        <v>41</v>
      </c>
      <c r="O8390" t="s">
        <v>30</v>
      </c>
      <c r="P8390" t="s">
        <v>29</v>
      </c>
      <c r="Q8390" s="1">
        <v>42256.59511574074</v>
      </c>
      <c r="R8390">
        <v>7</v>
      </c>
      <c r="S8390" t="s">
        <v>31</v>
      </c>
      <c r="T8390" t="s">
        <v>81</v>
      </c>
      <c r="U8390">
        <v>340.07600000000002</v>
      </c>
      <c r="V8390" s="3">
        <v>41684</v>
      </c>
    </row>
    <row r="8391" spans="1:22" x14ac:dyDescent="0.35">
      <c r="A8391" s="1">
        <v>42261.850844907407</v>
      </c>
      <c r="B8391" s="2">
        <v>3.4027777777777784E-3</v>
      </c>
      <c r="C8391" t="s">
        <v>12006</v>
      </c>
      <c r="D8391" t="s">
        <v>23</v>
      </c>
      <c r="E8391" t="s">
        <v>24</v>
      </c>
      <c r="F8391" t="s">
        <v>78</v>
      </c>
      <c r="G8391">
        <v>1635363</v>
      </c>
      <c r="H8391" t="s">
        <v>26</v>
      </c>
      <c r="I8391" t="s">
        <v>79</v>
      </c>
      <c r="J8391" t="str">
        <f>"9781118678206"</f>
        <v>9781118678206</v>
      </c>
      <c r="K8391" t="s">
        <v>12008</v>
      </c>
      <c r="L8391">
        <v>13</v>
      </c>
      <c r="O8391" t="s">
        <v>30</v>
      </c>
      <c r="P8391" t="s">
        <v>29</v>
      </c>
      <c r="Q8391" s="1">
        <v>42256.59511574074</v>
      </c>
      <c r="R8391">
        <v>7</v>
      </c>
      <c r="S8391" t="s">
        <v>31</v>
      </c>
      <c r="T8391" t="s">
        <v>81</v>
      </c>
      <c r="U8391">
        <v>340.07600000000002</v>
      </c>
      <c r="V8391" s="3">
        <v>41684</v>
      </c>
    </row>
    <row r="8392" spans="1:22" x14ac:dyDescent="0.35">
      <c r="A8392" s="1">
        <v>42261.849629629629</v>
      </c>
      <c r="B8392" s="2">
        <v>5.6817129629629627E-2</v>
      </c>
      <c r="C8392" t="s">
        <v>4205</v>
      </c>
      <c r="D8392" t="s">
        <v>597</v>
      </c>
      <c r="E8392" t="s">
        <v>598</v>
      </c>
      <c r="F8392" t="s">
        <v>111</v>
      </c>
      <c r="G8392">
        <v>693176</v>
      </c>
      <c r="H8392" t="s">
        <v>26</v>
      </c>
      <c r="I8392" t="s">
        <v>112</v>
      </c>
      <c r="J8392" t="str">
        <f>"9781118017746"</f>
        <v>9781118017746</v>
      </c>
      <c r="K8392" t="s">
        <v>12009</v>
      </c>
      <c r="L8392">
        <v>44</v>
      </c>
      <c r="O8392" t="s">
        <v>30</v>
      </c>
      <c r="P8392" t="s">
        <v>29</v>
      </c>
      <c r="Q8392" s="1">
        <v>42258.107858796298</v>
      </c>
      <c r="R8392">
        <v>7</v>
      </c>
      <c r="S8392" t="s">
        <v>600</v>
      </c>
      <c r="T8392" t="s">
        <v>114</v>
      </c>
      <c r="U8392" t="s">
        <v>115</v>
      </c>
      <c r="V8392" s="3">
        <v>40835</v>
      </c>
    </row>
    <row r="8393" spans="1:22" x14ac:dyDescent="0.35">
      <c r="A8393" s="1">
        <v>42261.837719907409</v>
      </c>
      <c r="B8393" s="2">
        <v>5.4467592592592595E-2</v>
      </c>
      <c r="C8393" t="s">
        <v>11771</v>
      </c>
      <c r="D8393" t="s">
        <v>35</v>
      </c>
      <c r="E8393" t="s">
        <v>36</v>
      </c>
      <c r="F8393" t="s">
        <v>37</v>
      </c>
      <c r="G8393">
        <v>1684620</v>
      </c>
      <c r="H8393" t="s">
        <v>26</v>
      </c>
      <c r="I8393" t="s">
        <v>38</v>
      </c>
      <c r="J8393" t="str">
        <f>"9781118418925"</f>
        <v>9781118418925</v>
      </c>
      <c r="K8393" t="s">
        <v>12010</v>
      </c>
      <c r="L8393">
        <v>94</v>
      </c>
      <c r="O8393" t="s">
        <v>30</v>
      </c>
      <c r="P8393" t="s">
        <v>29</v>
      </c>
      <c r="Q8393" s="1">
        <v>42256.773078703707</v>
      </c>
      <c r="R8393">
        <v>7</v>
      </c>
      <c r="S8393" t="s">
        <v>40</v>
      </c>
      <c r="T8393" t="s">
        <v>41</v>
      </c>
      <c r="U8393">
        <v>362.10680000000002</v>
      </c>
      <c r="V8393" s="3">
        <v>41759</v>
      </c>
    </row>
    <row r="8394" spans="1:22" x14ac:dyDescent="0.35">
      <c r="A8394" s="1">
        <v>42261.817986111113</v>
      </c>
      <c r="B8394" s="2">
        <v>3.6435185185185189E-2</v>
      </c>
      <c r="C8394" t="s">
        <v>106</v>
      </c>
      <c r="D8394" t="s">
        <v>23</v>
      </c>
      <c r="E8394" t="s">
        <v>24</v>
      </c>
      <c r="F8394" t="s">
        <v>486</v>
      </c>
      <c r="G8394">
        <v>1119505</v>
      </c>
      <c r="H8394" t="s">
        <v>26</v>
      </c>
      <c r="I8394" t="s">
        <v>450</v>
      </c>
      <c r="J8394" t="str">
        <f>"9781118355015"</f>
        <v>9781118355015</v>
      </c>
      <c r="K8394" t="s">
        <v>12011</v>
      </c>
      <c r="L8394">
        <v>37</v>
      </c>
      <c r="O8394" t="s">
        <v>30</v>
      </c>
      <c r="P8394" t="s">
        <v>29</v>
      </c>
      <c r="Q8394" s="1">
        <v>42257.783634259256</v>
      </c>
      <c r="R8394">
        <v>7</v>
      </c>
      <c r="S8394" t="s">
        <v>31</v>
      </c>
      <c r="T8394" t="s">
        <v>487</v>
      </c>
      <c r="U8394" t="s">
        <v>488</v>
      </c>
      <c r="V8394" s="3">
        <v>41302</v>
      </c>
    </row>
    <row r="8395" spans="1:22" x14ac:dyDescent="0.35">
      <c r="A8395" s="1">
        <v>42261.810196759259</v>
      </c>
      <c r="B8395" s="2">
        <v>1.5393518518518519E-3</v>
      </c>
      <c r="C8395" t="s">
        <v>106</v>
      </c>
      <c r="D8395" t="s">
        <v>23</v>
      </c>
      <c r="E8395" t="s">
        <v>24</v>
      </c>
      <c r="F8395" t="s">
        <v>486</v>
      </c>
      <c r="G8395">
        <v>1119505</v>
      </c>
      <c r="H8395" t="s">
        <v>26</v>
      </c>
      <c r="I8395" t="s">
        <v>450</v>
      </c>
      <c r="J8395" t="str">
        <f>"9781118355015"</f>
        <v>9781118355015</v>
      </c>
      <c r="K8395" t="s">
        <v>12012</v>
      </c>
      <c r="L8395">
        <v>10</v>
      </c>
      <c r="O8395" t="s">
        <v>30</v>
      </c>
      <c r="P8395" t="s">
        <v>29</v>
      </c>
      <c r="Q8395" s="1">
        <v>42257.783634259256</v>
      </c>
      <c r="R8395">
        <v>7</v>
      </c>
      <c r="S8395" t="s">
        <v>31</v>
      </c>
      <c r="T8395" t="s">
        <v>487</v>
      </c>
      <c r="U8395" t="s">
        <v>488</v>
      </c>
      <c r="V8395" s="3">
        <v>41302</v>
      </c>
    </row>
    <row r="8396" spans="1:22" x14ac:dyDescent="0.35">
      <c r="A8396" s="1">
        <v>42261.800104166665</v>
      </c>
      <c r="B8396" s="2">
        <v>0.10804398148148148</v>
      </c>
      <c r="C8396" t="s">
        <v>12013</v>
      </c>
      <c r="D8396" t="s">
        <v>23</v>
      </c>
      <c r="E8396" t="s">
        <v>24</v>
      </c>
      <c r="F8396" t="s">
        <v>9918</v>
      </c>
      <c r="G8396">
        <v>1790819</v>
      </c>
      <c r="H8396" t="s">
        <v>526</v>
      </c>
      <c r="I8396" t="s">
        <v>426</v>
      </c>
      <c r="J8396" t="str">
        <f>"9780226169095"</f>
        <v>9780226169095</v>
      </c>
      <c r="K8396" t="s">
        <v>12014</v>
      </c>
      <c r="L8396">
        <v>167</v>
      </c>
      <c r="O8396" t="s">
        <v>30</v>
      </c>
      <c r="P8396" t="s">
        <v>47</v>
      </c>
      <c r="Q8396" s="1">
        <v>42260.961215277777</v>
      </c>
      <c r="R8396">
        <v>1</v>
      </c>
      <c r="S8396" t="s">
        <v>31</v>
      </c>
      <c r="T8396" t="s">
        <v>9920</v>
      </c>
      <c r="U8396" t="s">
        <v>9921</v>
      </c>
      <c r="V8396" s="3">
        <v>41932</v>
      </c>
    </row>
    <row r="8397" spans="1:22" x14ac:dyDescent="0.35">
      <c r="A8397" s="1">
        <v>42261.787476851852</v>
      </c>
      <c r="B8397" s="2">
        <v>7.0370370370370375E-2</v>
      </c>
      <c r="C8397" t="s">
        <v>11563</v>
      </c>
      <c r="D8397" t="s">
        <v>35</v>
      </c>
      <c r="E8397" t="s">
        <v>36</v>
      </c>
      <c r="F8397" t="s">
        <v>37</v>
      </c>
      <c r="G8397">
        <v>1684620</v>
      </c>
      <c r="H8397" t="s">
        <v>26</v>
      </c>
      <c r="I8397" t="s">
        <v>38</v>
      </c>
      <c r="J8397" t="str">
        <f>"9781118418925"</f>
        <v>9781118418925</v>
      </c>
      <c r="K8397" t="s">
        <v>12015</v>
      </c>
      <c r="L8397">
        <v>85</v>
      </c>
      <c r="O8397" t="s">
        <v>30</v>
      </c>
      <c r="P8397" t="s">
        <v>29</v>
      </c>
      <c r="Q8397" s="1">
        <v>42261.213599537034</v>
      </c>
      <c r="R8397">
        <v>7</v>
      </c>
      <c r="S8397" t="s">
        <v>40</v>
      </c>
      <c r="T8397" t="s">
        <v>41</v>
      </c>
      <c r="U8397">
        <v>362.10680000000002</v>
      </c>
      <c r="V8397" s="3">
        <v>41759</v>
      </c>
    </row>
    <row r="8398" spans="1:22" x14ac:dyDescent="0.35">
      <c r="A8398" s="1">
        <v>42261.787395833337</v>
      </c>
      <c r="B8398" s="2">
        <v>2.5462962962962961E-4</v>
      </c>
      <c r="C8398" t="s">
        <v>12016</v>
      </c>
      <c r="D8398" t="s">
        <v>23</v>
      </c>
      <c r="E8398" t="s">
        <v>24</v>
      </c>
      <c r="F8398" t="s">
        <v>5880</v>
      </c>
      <c r="G8398">
        <v>817911</v>
      </c>
      <c r="H8398" t="s">
        <v>26</v>
      </c>
      <c r="I8398" t="s">
        <v>69</v>
      </c>
      <c r="J8398" t="str">
        <f>"9781118218587"</f>
        <v>9781118218587</v>
      </c>
      <c r="K8398" t="s">
        <v>1404</v>
      </c>
      <c r="L8398">
        <v>8</v>
      </c>
      <c r="O8398" t="s">
        <v>30</v>
      </c>
      <c r="P8398" t="s">
        <v>42</v>
      </c>
      <c r="S8398" t="s">
        <v>31</v>
      </c>
      <c r="T8398" t="s">
        <v>5881</v>
      </c>
      <c r="U8398">
        <v>371.10199999999998</v>
      </c>
      <c r="V8398" s="3">
        <v>40899</v>
      </c>
    </row>
    <row r="8399" spans="1:22" x14ac:dyDescent="0.35">
      <c r="A8399" s="1">
        <v>42261.766770833332</v>
      </c>
      <c r="B8399" s="2">
        <v>4.1087962962962958E-2</v>
      </c>
      <c r="C8399" t="s">
        <v>11518</v>
      </c>
      <c r="D8399" t="s">
        <v>35</v>
      </c>
      <c r="E8399" t="s">
        <v>36</v>
      </c>
      <c r="F8399" t="s">
        <v>37</v>
      </c>
      <c r="G8399">
        <v>1684620</v>
      </c>
      <c r="H8399" t="s">
        <v>26</v>
      </c>
      <c r="I8399" t="s">
        <v>38</v>
      </c>
      <c r="J8399" t="str">
        <f>"9781118418925"</f>
        <v>9781118418925</v>
      </c>
      <c r="K8399" t="s">
        <v>12017</v>
      </c>
      <c r="L8399">
        <v>52</v>
      </c>
      <c r="O8399" t="s">
        <v>30</v>
      </c>
      <c r="P8399" t="s">
        <v>29</v>
      </c>
      <c r="Q8399" s="1">
        <v>42261.557118055556</v>
      </c>
      <c r="R8399">
        <v>7</v>
      </c>
      <c r="S8399" t="s">
        <v>40</v>
      </c>
      <c r="T8399" t="s">
        <v>41</v>
      </c>
      <c r="U8399">
        <v>362.10680000000002</v>
      </c>
      <c r="V8399" s="3">
        <v>41759</v>
      </c>
    </row>
    <row r="8400" spans="1:22" x14ac:dyDescent="0.35">
      <c r="A8400" s="1">
        <v>42261.739155092589</v>
      </c>
      <c r="B8400" s="2">
        <v>3.5995370370370369E-3</v>
      </c>
      <c r="C8400" t="s">
        <v>106</v>
      </c>
      <c r="D8400" t="s">
        <v>23</v>
      </c>
      <c r="E8400" t="s">
        <v>24</v>
      </c>
      <c r="F8400" t="s">
        <v>9918</v>
      </c>
      <c r="G8400">
        <v>1790819</v>
      </c>
      <c r="H8400" t="s">
        <v>526</v>
      </c>
      <c r="I8400" t="s">
        <v>426</v>
      </c>
      <c r="J8400" t="str">
        <f>"9780226169095"</f>
        <v>9780226169095</v>
      </c>
      <c r="K8400" t="s">
        <v>12018</v>
      </c>
      <c r="L8400">
        <v>3</v>
      </c>
      <c r="O8400" t="s">
        <v>30</v>
      </c>
      <c r="P8400" t="s">
        <v>29</v>
      </c>
      <c r="Q8400" s="1">
        <v>42261.739155092589</v>
      </c>
      <c r="R8400">
        <v>7</v>
      </c>
      <c r="S8400" t="s">
        <v>31</v>
      </c>
      <c r="T8400" t="s">
        <v>9920</v>
      </c>
      <c r="U8400" t="s">
        <v>9921</v>
      </c>
      <c r="V8400" s="3">
        <v>41932</v>
      </c>
    </row>
    <row r="8401" spans="1:22" x14ac:dyDescent="0.35">
      <c r="A8401" s="1">
        <v>42261.733425925922</v>
      </c>
      <c r="B8401" s="2">
        <v>5.7175925925925927E-3</v>
      </c>
      <c r="C8401" t="s">
        <v>106</v>
      </c>
      <c r="D8401" t="s">
        <v>23</v>
      </c>
      <c r="E8401" t="s">
        <v>24</v>
      </c>
      <c r="F8401" t="s">
        <v>9918</v>
      </c>
      <c r="G8401">
        <v>1790819</v>
      </c>
      <c r="H8401" t="s">
        <v>526</v>
      </c>
      <c r="I8401" t="s">
        <v>426</v>
      </c>
      <c r="J8401" t="str">
        <f>"9780226169095"</f>
        <v>9780226169095</v>
      </c>
      <c r="K8401" t="s">
        <v>12019</v>
      </c>
      <c r="L8401">
        <v>12</v>
      </c>
      <c r="O8401" t="s">
        <v>30</v>
      </c>
      <c r="P8401" t="s">
        <v>50</v>
      </c>
      <c r="S8401" t="s">
        <v>31</v>
      </c>
      <c r="T8401" t="s">
        <v>9920</v>
      </c>
      <c r="U8401" t="s">
        <v>9921</v>
      </c>
      <c r="V8401" s="3">
        <v>41932</v>
      </c>
    </row>
    <row r="8402" spans="1:22" x14ac:dyDescent="0.35">
      <c r="A8402" s="1">
        <v>42261.71166666667</v>
      </c>
      <c r="B8402" s="2">
        <v>1.1342592592592591E-3</v>
      </c>
      <c r="C8402" t="s">
        <v>12020</v>
      </c>
      <c r="D8402" t="s">
        <v>23</v>
      </c>
      <c r="E8402" t="s">
        <v>24</v>
      </c>
      <c r="F8402" t="s">
        <v>3488</v>
      </c>
      <c r="G8402">
        <v>1294909</v>
      </c>
      <c r="H8402" t="s">
        <v>84</v>
      </c>
      <c r="I8402" t="s">
        <v>445</v>
      </c>
      <c r="J8402" t="str">
        <f>"9780520956797"</f>
        <v>9780520956797</v>
      </c>
      <c r="K8402" t="s">
        <v>12021</v>
      </c>
      <c r="L8402">
        <v>13</v>
      </c>
      <c r="N8402" t="s">
        <v>12022</v>
      </c>
      <c r="O8402" t="s">
        <v>30</v>
      </c>
      <c r="P8402" t="s">
        <v>29</v>
      </c>
      <c r="Q8402" s="1">
        <v>42256.791145833333</v>
      </c>
      <c r="R8402">
        <v>7</v>
      </c>
      <c r="S8402" t="s">
        <v>31</v>
      </c>
      <c r="T8402" t="s">
        <v>3490</v>
      </c>
      <c r="U8402" t="s">
        <v>3491</v>
      </c>
      <c r="V8402" s="3">
        <v>41487</v>
      </c>
    </row>
    <row r="8403" spans="1:22" x14ac:dyDescent="0.35">
      <c r="A8403" s="1">
        <v>42261.691458333335</v>
      </c>
      <c r="B8403" s="2">
        <v>2.7199074074074074E-3</v>
      </c>
      <c r="C8403" t="s">
        <v>12023</v>
      </c>
      <c r="D8403" t="s">
        <v>158</v>
      </c>
      <c r="E8403" t="s">
        <v>159</v>
      </c>
      <c r="F8403" t="s">
        <v>3973</v>
      </c>
      <c r="G8403">
        <v>771049</v>
      </c>
      <c r="H8403" t="s">
        <v>3465</v>
      </c>
      <c r="I8403" t="s">
        <v>3974</v>
      </c>
      <c r="J8403" t="str">
        <f>"9781608706648"</f>
        <v>9781608706648</v>
      </c>
      <c r="K8403" t="s">
        <v>12024</v>
      </c>
      <c r="L8403">
        <v>19</v>
      </c>
      <c r="O8403" t="s">
        <v>30</v>
      </c>
      <c r="P8403" t="s">
        <v>42</v>
      </c>
      <c r="S8403" t="s">
        <v>163</v>
      </c>
      <c r="T8403" t="s">
        <v>3976</v>
      </c>
      <c r="U8403">
        <v>363.73874000000001</v>
      </c>
      <c r="V8403" s="3">
        <v>40909</v>
      </c>
    </row>
    <row r="8404" spans="1:22" x14ac:dyDescent="0.35">
      <c r="A8404" s="1">
        <v>42261.677893518521</v>
      </c>
      <c r="B8404" s="2">
        <v>5.4398148148148144E-4</v>
      </c>
      <c r="C8404" t="s">
        <v>10770</v>
      </c>
      <c r="D8404" t="s">
        <v>158</v>
      </c>
      <c r="E8404" t="s">
        <v>159</v>
      </c>
      <c r="F8404" t="s">
        <v>3159</v>
      </c>
      <c r="G8404">
        <v>947565</v>
      </c>
      <c r="H8404" t="s">
        <v>26</v>
      </c>
      <c r="I8404" t="s">
        <v>3160</v>
      </c>
      <c r="J8404" t="str">
        <f>"9781118416945"</f>
        <v>9781118416945</v>
      </c>
      <c r="K8404" t="s">
        <v>12025</v>
      </c>
      <c r="L8404">
        <v>11</v>
      </c>
      <c r="O8404" t="s">
        <v>30</v>
      </c>
      <c r="P8404" t="s">
        <v>42</v>
      </c>
      <c r="S8404" t="s">
        <v>163</v>
      </c>
      <c r="T8404" t="s">
        <v>3161</v>
      </c>
      <c r="U8404">
        <v>6.6859999999999999</v>
      </c>
      <c r="V8404" s="3">
        <v>41296</v>
      </c>
    </row>
    <row r="8405" spans="1:22" x14ac:dyDescent="0.35">
      <c r="A8405" s="1">
        <v>42261.674502314818</v>
      </c>
      <c r="B8405" s="2">
        <v>8.2986111111111108E-3</v>
      </c>
      <c r="C8405" t="s">
        <v>11518</v>
      </c>
      <c r="D8405" t="s">
        <v>35</v>
      </c>
      <c r="E8405" t="s">
        <v>36</v>
      </c>
      <c r="F8405" t="s">
        <v>37</v>
      </c>
      <c r="G8405">
        <v>1684620</v>
      </c>
      <c r="H8405" t="s">
        <v>26</v>
      </c>
      <c r="I8405" t="s">
        <v>38</v>
      </c>
      <c r="J8405" t="str">
        <f>"9781118418925"</f>
        <v>9781118418925</v>
      </c>
      <c r="K8405" t="s">
        <v>12026</v>
      </c>
      <c r="L8405">
        <v>25</v>
      </c>
      <c r="O8405" t="s">
        <v>30</v>
      </c>
      <c r="P8405" t="s">
        <v>29</v>
      </c>
      <c r="Q8405" s="1">
        <v>42261.557118055556</v>
      </c>
      <c r="R8405">
        <v>7</v>
      </c>
      <c r="S8405" t="s">
        <v>40</v>
      </c>
      <c r="T8405" t="s">
        <v>41</v>
      </c>
      <c r="U8405">
        <v>362.10680000000002</v>
      </c>
      <c r="V8405" s="3">
        <v>41759</v>
      </c>
    </row>
    <row r="8406" spans="1:22" x14ac:dyDescent="0.35">
      <c r="A8406" s="1">
        <v>42261.669652777775</v>
      </c>
      <c r="B8406" s="2">
        <v>1.6377314814814813E-2</v>
      </c>
      <c r="C8406" t="s">
        <v>5271</v>
      </c>
      <c r="D8406" t="s">
        <v>23</v>
      </c>
      <c r="E8406" t="s">
        <v>24</v>
      </c>
      <c r="F8406" t="s">
        <v>1051</v>
      </c>
      <c r="G8406">
        <v>821663</v>
      </c>
      <c r="H8406" t="s">
        <v>26</v>
      </c>
      <c r="I8406" t="s">
        <v>200</v>
      </c>
      <c r="J8406" t="str">
        <f>"9781118168479"</f>
        <v>9781118168479</v>
      </c>
      <c r="K8406" t="s">
        <v>12027</v>
      </c>
      <c r="L8406">
        <v>2</v>
      </c>
      <c r="O8406" t="s">
        <v>30</v>
      </c>
      <c r="P8406" t="s">
        <v>29</v>
      </c>
      <c r="Q8406" s="1">
        <v>42261.669652777775</v>
      </c>
      <c r="R8406">
        <v>7</v>
      </c>
      <c r="S8406" t="s">
        <v>31</v>
      </c>
      <c r="T8406" t="s">
        <v>1053</v>
      </c>
      <c r="U8406">
        <v>729</v>
      </c>
      <c r="V8406" s="3">
        <v>40973</v>
      </c>
    </row>
    <row r="8407" spans="1:22" x14ac:dyDescent="0.35">
      <c r="A8407" s="1">
        <v>42261.669583333336</v>
      </c>
      <c r="B8407" s="2">
        <v>9.8842592592592576E-3</v>
      </c>
      <c r="C8407" t="s">
        <v>11563</v>
      </c>
      <c r="D8407" t="s">
        <v>35</v>
      </c>
      <c r="E8407" t="s">
        <v>36</v>
      </c>
      <c r="F8407" t="s">
        <v>37</v>
      </c>
      <c r="G8407">
        <v>1684620</v>
      </c>
      <c r="H8407" t="s">
        <v>26</v>
      </c>
      <c r="I8407" t="s">
        <v>38</v>
      </c>
      <c r="J8407" t="str">
        <f>"9781118418925"</f>
        <v>9781118418925</v>
      </c>
      <c r="K8407" t="s">
        <v>12028</v>
      </c>
      <c r="L8407">
        <v>14</v>
      </c>
      <c r="O8407" t="s">
        <v>30</v>
      </c>
      <c r="P8407" t="s">
        <v>29</v>
      </c>
      <c r="Q8407" s="1">
        <v>42261.213599537034</v>
      </c>
      <c r="R8407">
        <v>7</v>
      </c>
      <c r="S8407" t="s">
        <v>40</v>
      </c>
      <c r="T8407" t="s">
        <v>41</v>
      </c>
      <c r="U8407">
        <v>362.10680000000002</v>
      </c>
      <c r="V8407" s="3">
        <v>41759</v>
      </c>
    </row>
    <row r="8408" spans="1:22" x14ac:dyDescent="0.35">
      <c r="A8408" s="1">
        <v>42261.663599537038</v>
      </c>
      <c r="B8408" s="2">
        <v>1.5740740740740741E-3</v>
      </c>
      <c r="C8408" t="s">
        <v>11574</v>
      </c>
      <c r="D8408" t="s">
        <v>35</v>
      </c>
      <c r="E8408" t="s">
        <v>36</v>
      </c>
      <c r="F8408" t="s">
        <v>3275</v>
      </c>
      <c r="G8408">
        <v>822662</v>
      </c>
      <c r="H8408" t="s">
        <v>26</v>
      </c>
      <c r="I8408" t="s">
        <v>172</v>
      </c>
      <c r="J8408" t="str">
        <f>"9781444355130"</f>
        <v>9781444355130</v>
      </c>
      <c r="K8408" t="s">
        <v>12029</v>
      </c>
      <c r="L8408">
        <v>50</v>
      </c>
      <c r="O8408" t="s">
        <v>30</v>
      </c>
      <c r="P8408" t="s">
        <v>42</v>
      </c>
      <c r="S8408" t="s">
        <v>40</v>
      </c>
      <c r="T8408" t="s">
        <v>3277</v>
      </c>
      <c r="U8408">
        <v>960.3</v>
      </c>
      <c r="V8408" s="3">
        <v>40858</v>
      </c>
    </row>
    <row r="8409" spans="1:22" x14ac:dyDescent="0.35">
      <c r="A8409" s="1">
        <v>42261.661747685182</v>
      </c>
      <c r="B8409" s="2">
        <v>7.905092592592592E-3</v>
      </c>
      <c r="C8409" t="s">
        <v>5271</v>
      </c>
      <c r="D8409" t="s">
        <v>23</v>
      </c>
      <c r="E8409" t="s">
        <v>24</v>
      </c>
      <c r="F8409" t="s">
        <v>1051</v>
      </c>
      <c r="G8409">
        <v>821663</v>
      </c>
      <c r="H8409" t="s">
        <v>26</v>
      </c>
      <c r="I8409" t="s">
        <v>200</v>
      </c>
      <c r="J8409" t="str">
        <f>"9781118168479"</f>
        <v>9781118168479</v>
      </c>
      <c r="K8409" t="s">
        <v>12030</v>
      </c>
      <c r="L8409">
        <v>9</v>
      </c>
      <c r="O8409" t="s">
        <v>30</v>
      </c>
      <c r="P8409" t="s">
        <v>42</v>
      </c>
      <c r="S8409" t="s">
        <v>31</v>
      </c>
      <c r="T8409" t="s">
        <v>1053</v>
      </c>
      <c r="U8409">
        <v>729</v>
      </c>
      <c r="V8409" s="3">
        <v>40973</v>
      </c>
    </row>
    <row r="8410" spans="1:22" x14ac:dyDescent="0.35">
      <c r="A8410" s="1">
        <v>42261.659050925926</v>
      </c>
      <c r="B8410" s="2">
        <v>9.2592592592592588E-5</v>
      </c>
      <c r="C8410" t="s">
        <v>12031</v>
      </c>
      <c r="D8410" t="s">
        <v>23</v>
      </c>
      <c r="E8410" t="s">
        <v>24</v>
      </c>
      <c r="F8410" t="s">
        <v>12032</v>
      </c>
      <c r="G8410">
        <v>1120530</v>
      </c>
      <c r="H8410" t="s">
        <v>613</v>
      </c>
      <c r="I8410" t="s">
        <v>120</v>
      </c>
      <c r="J8410" t="str">
        <f>"9781469607931"</f>
        <v>9781469607931</v>
      </c>
      <c r="K8410" t="s">
        <v>12033</v>
      </c>
      <c r="L8410">
        <v>8</v>
      </c>
      <c r="O8410" t="s">
        <v>30</v>
      </c>
      <c r="P8410" t="s">
        <v>50</v>
      </c>
      <c r="S8410" t="s">
        <v>31</v>
      </c>
      <c r="T8410" t="s">
        <v>12034</v>
      </c>
      <c r="U8410">
        <v>305.80097503000002</v>
      </c>
      <c r="V8410" s="3">
        <v>41428</v>
      </c>
    </row>
    <row r="8411" spans="1:22" x14ac:dyDescent="0.35">
      <c r="A8411" s="1">
        <v>42261.658391203702</v>
      </c>
      <c r="B8411" s="2">
        <v>3.4722222222222222E-5</v>
      </c>
      <c r="C8411" t="s">
        <v>12031</v>
      </c>
      <c r="D8411" t="s">
        <v>23</v>
      </c>
      <c r="E8411" t="s">
        <v>24</v>
      </c>
      <c r="F8411" t="s">
        <v>12032</v>
      </c>
      <c r="G8411">
        <v>1120530</v>
      </c>
      <c r="H8411" t="s">
        <v>613</v>
      </c>
      <c r="I8411" t="s">
        <v>120</v>
      </c>
      <c r="J8411" t="str">
        <f>"9781469607931"</f>
        <v>9781469607931</v>
      </c>
      <c r="K8411" t="s">
        <v>12035</v>
      </c>
      <c r="L8411">
        <v>3</v>
      </c>
      <c r="O8411" t="s">
        <v>30</v>
      </c>
      <c r="P8411" t="s">
        <v>50</v>
      </c>
      <c r="S8411" t="s">
        <v>31</v>
      </c>
      <c r="T8411" t="s">
        <v>12034</v>
      </c>
      <c r="U8411">
        <v>305.80097503000002</v>
      </c>
      <c r="V8411" s="3">
        <v>41428</v>
      </c>
    </row>
    <row r="8412" spans="1:22" x14ac:dyDescent="0.35">
      <c r="A8412" s="1">
        <v>42261.628634259258</v>
      </c>
      <c r="B8412" s="2">
        <v>2.199074074074074E-4</v>
      </c>
      <c r="C8412" t="s">
        <v>5415</v>
      </c>
      <c r="D8412" t="s">
        <v>261</v>
      </c>
      <c r="E8412" t="s">
        <v>262</v>
      </c>
      <c r="F8412" t="s">
        <v>12036</v>
      </c>
      <c r="G8412">
        <v>1126604</v>
      </c>
      <c r="H8412" t="s">
        <v>2998</v>
      </c>
      <c r="I8412" t="s">
        <v>172</v>
      </c>
      <c r="J8412" t="str">
        <f>"9780748631759"</f>
        <v>9780748631759</v>
      </c>
      <c r="K8412" t="s">
        <v>12037</v>
      </c>
      <c r="L8412">
        <v>8</v>
      </c>
      <c r="O8412" t="s">
        <v>30</v>
      </c>
      <c r="P8412" t="s">
        <v>50</v>
      </c>
      <c r="S8412" t="s">
        <v>264</v>
      </c>
      <c r="T8412" t="s">
        <v>12038</v>
      </c>
      <c r="U8412">
        <v>937.09</v>
      </c>
      <c r="V8412" s="3">
        <v>41289</v>
      </c>
    </row>
    <row r="8413" spans="1:22" x14ac:dyDescent="0.35">
      <c r="A8413" s="1">
        <v>42261.622696759259</v>
      </c>
      <c r="B8413" s="2">
        <v>2.5578703703703704E-2</v>
      </c>
      <c r="C8413" t="s">
        <v>106</v>
      </c>
      <c r="D8413" t="s">
        <v>23</v>
      </c>
      <c r="E8413" t="s">
        <v>24</v>
      </c>
      <c r="F8413" t="s">
        <v>3559</v>
      </c>
      <c r="G8413">
        <v>1217954</v>
      </c>
      <c r="H8413" t="s">
        <v>45</v>
      </c>
      <c r="I8413" t="s">
        <v>3560</v>
      </c>
      <c r="J8413" t="str">
        <f>"9781409457558"</f>
        <v>9781409457558</v>
      </c>
      <c r="K8413" t="s">
        <v>12039</v>
      </c>
      <c r="L8413">
        <v>22</v>
      </c>
      <c r="N8413" t="s">
        <v>12040</v>
      </c>
      <c r="O8413" t="s">
        <v>30</v>
      </c>
      <c r="P8413" t="s">
        <v>29</v>
      </c>
      <c r="Q8413" s="1">
        <v>42261.622696759259</v>
      </c>
      <c r="R8413">
        <v>7</v>
      </c>
      <c r="S8413" t="s">
        <v>31</v>
      </c>
      <c r="T8413" t="s">
        <v>3562</v>
      </c>
      <c r="U8413" t="s">
        <v>3563</v>
      </c>
      <c r="V8413" s="3">
        <v>41575</v>
      </c>
    </row>
    <row r="8414" spans="1:22" x14ac:dyDescent="0.35">
      <c r="A8414" s="1">
        <v>42261.621817129628</v>
      </c>
      <c r="B8414" s="2">
        <v>8.7962962962962962E-4</v>
      </c>
      <c r="C8414" t="s">
        <v>106</v>
      </c>
      <c r="D8414" t="s">
        <v>23</v>
      </c>
      <c r="E8414" t="s">
        <v>24</v>
      </c>
      <c r="F8414" t="s">
        <v>3559</v>
      </c>
      <c r="G8414">
        <v>1217954</v>
      </c>
      <c r="H8414" t="s">
        <v>45</v>
      </c>
      <c r="I8414" t="s">
        <v>3560</v>
      </c>
      <c r="J8414" t="str">
        <f>"9781409457558"</f>
        <v>9781409457558</v>
      </c>
      <c r="K8414" t="s">
        <v>12041</v>
      </c>
      <c r="L8414">
        <v>9</v>
      </c>
      <c r="O8414" t="s">
        <v>30</v>
      </c>
      <c r="P8414" t="s">
        <v>42</v>
      </c>
      <c r="S8414" t="s">
        <v>31</v>
      </c>
      <c r="T8414" t="s">
        <v>3562</v>
      </c>
      <c r="U8414" t="s">
        <v>3563</v>
      </c>
      <c r="V8414" s="3">
        <v>41575</v>
      </c>
    </row>
    <row r="8415" spans="1:22" x14ac:dyDescent="0.35">
      <c r="A8415" s="1">
        <v>42261.619062500002</v>
      </c>
      <c r="B8415" s="2">
        <v>5.9375000000000009E-3</v>
      </c>
      <c r="C8415" t="s">
        <v>8560</v>
      </c>
      <c r="D8415" t="s">
        <v>597</v>
      </c>
      <c r="E8415" t="s">
        <v>598</v>
      </c>
      <c r="F8415" t="s">
        <v>111</v>
      </c>
      <c r="G8415">
        <v>693176</v>
      </c>
      <c r="H8415" t="s">
        <v>26</v>
      </c>
      <c r="I8415" t="s">
        <v>112</v>
      </c>
      <c r="J8415" t="str">
        <f>"9781118017746"</f>
        <v>9781118017746</v>
      </c>
      <c r="K8415" t="s">
        <v>12042</v>
      </c>
      <c r="L8415">
        <v>30</v>
      </c>
      <c r="O8415" t="s">
        <v>30</v>
      </c>
      <c r="P8415" t="s">
        <v>29</v>
      </c>
      <c r="Q8415" s="1">
        <v>42258.811041666668</v>
      </c>
      <c r="R8415">
        <v>7</v>
      </c>
      <c r="S8415" t="s">
        <v>600</v>
      </c>
      <c r="T8415" t="s">
        <v>114</v>
      </c>
      <c r="U8415" t="s">
        <v>115</v>
      </c>
      <c r="V8415" s="3">
        <v>40835</v>
      </c>
    </row>
    <row r="8416" spans="1:22" x14ac:dyDescent="0.35">
      <c r="A8416" s="1">
        <v>42261.598819444444</v>
      </c>
      <c r="B8416" s="2">
        <v>1.6296296296296295E-2</v>
      </c>
      <c r="C8416" t="s">
        <v>8560</v>
      </c>
      <c r="D8416" t="s">
        <v>597</v>
      </c>
      <c r="E8416" t="s">
        <v>598</v>
      </c>
      <c r="F8416" t="s">
        <v>111</v>
      </c>
      <c r="G8416">
        <v>693176</v>
      </c>
      <c r="H8416" t="s">
        <v>26</v>
      </c>
      <c r="I8416" t="s">
        <v>112</v>
      </c>
      <c r="J8416" t="str">
        <f>"9781118017746"</f>
        <v>9781118017746</v>
      </c>
      <c r="K8416" t="s">
        <v>12043</v>
      </c>
      <c r="L8416">
        <v>11</v>
      </c>
      <c r="O8416" t="s">
        <v>30</v>
      </c>
      <c r="P8416" t="s">
        <v>29</v>
      </c>
      <c r="Q8416" s="1">
        <v>42258.811041666668</v>
      </c>
      <c r="R8416">
        <v>7</v>
      </c>
      <c r="S8416" t="s">
        <v>600</v>
      </c>
      <c r="T8416" t="s">
        <v>114</v>
      </c>
      <c r="U8416" t="s">
        <v>115</v>
      </c>
      <c r="V8416" s="3">
        <v>40835</v>
      </c>
    </row>
    <row r="8417" spans="1:22" x14ac:dyDescent="0.35">
      <c r="A8417" s="1">
        <v>42261.598124999997</v>
      </c>
      <c r="B8417" s="2">
        <v>2.1875000000000002E-2</v>
      </c>
      <c r="C8417" t="s">
        <v>7498</v>
      </c>
      <c r="D8417" t="s">
        <v>35</v>
      </c>
      <c r="E8417" t="s">
        <v>36</v>
      </c>
      <c r="F8417" t="s">
        <v>3275</v>
      </c>
      <c r="G8417">
        <v>822662</v>
      </c>
      <c r="H8417" t="s">
        <v>26</v>
      </c>
      <c r="I8417" t="s">
        <v>172</v>
      </c>
      <c r="J8417" t="str">
        <f>"9781444355130"</f>
        <v>9781444355130</v>
      </c>
      <c r="K8417" t="s">
        <v>12044</v>
      </c>
      <c r="L8417">
        <v>17</v>
      </c>
      <c r="O8417" t="s">
        <v>30</v>
      </c>
      <c r="P8417" t="s">
        <v>29</v>
      </c>
      <c r="Q8417" s="1">
        <v>42261.010972222219</v>
      </c>
      <c r="R8417">
        <v>7</v>
      </c>
      <c r="S8417" t="s">
        <v>40</v>
      </c>
      <c r="T8417" t="s">
        <v>3277</v>
      </c>
      <c r="U8417">
        <v>960.3</v>
      </c>
      <c r="V8417" s="3">
        <v>40858</v>
      </c>
    </row>
    <row r="8418" spans="1:22" x14ac:dyDescent="0.35">
      <c r="A8418" s="1">
        <v>42261.596087962964</v>
      </c>
      <c r="B8418" s="2">
        <v>6.9444444444444444E-5</v>
      </c>
      <c r="C8418" t="s">
        <v>106</v>
      </c>
      <c r="D8418" t="s">
        <v>23</v>
      </c>
      <c r="E8418" t="s">
        <v>24</v>
      </c>
      <c r="F8418" t="s">
        <v>12045</v>
      </c>
      <c r="G8418">
        <v>1760718</v>
      </c>
      <c r="H8418" t="s">
        <v>91</v>
      </c>
      <c r="I8418" t="s">
        <v>247</v>
      </c>
      <c r="J8418" t="str">
        <f>"9781462517848"</f>
        <v>9781462517848</v>
      </c>
      <c r="K8418" t="s">
        <v>33</v>
      </c>
      <c r="L8418">
        <v>3</v>
      </c>
      <c r="O8418" t="s">
        <v>30</v>
      </c>
      <c r="P8418" t="s">
        <v>42</v>
      </c>
      <c r="S8418" t="s">
        <v>31</v>
      </c>
      <c r="T8418" t="s">
        <v>12046</v>
      </c>
      <c r="U8418">
        <v>618.92849999999999</v>
      </c>
      <c r="V8418" s="3">
        <v>42019</v>
      </c>
    </row>
    <row r="8419" spans="1:22" x14ac:dyDescent="0.35">
      <c r="A8419" s="1">
        <v>42261.58934027778</v>
      </c>
      <c r="B8419" s="2">
        <v>3.2175925925925926E-3</v>
      </c>
      <c r="C8419" t="s">
        <v>8560</v>
      </c>
      <c r="D8419" t="s">
        <v>597</v>
      </c>
      <c r="E8419" t="s">
        <v>598</v>
      </c>
      <c r="F8419" t="s">
        <v>111</v>
      </c>
      <c r="G8419">
        <v>693176</v>
      </c>
      <c r="H8419" t="s">
        <v>26</v>
      </c>
      <c r="I8419" t="s">
        <v>112</v>
      </c>
      <c r="J8419" t="str">
        <f>"9781118017746"</f>
        <v>9781118017746</v>
      </c>
      <c r="K8419" t="s">
        <v>12047</v>
      </c>
      <c r="L8419">
        <v>49</v>
      </c>
      <c r="O8419" t="s">
        <v>30</v>
      </c>
      <c r="P8419" t="s">
        <v>29</v>
      </c>
      <c r="Q8419" s="1">
        <v>42258.811041666668</v>
      </c>
      <c r="R8419">
        <v>7</v>
      </c>
      <c r="S8419" t="s">
        <v>600</v>
      </c>
      <c r="T8419" t="s">
        <v>114</v>
      </c>
      <c r="U8419" t="s">
        <v>115</v>
      </c>
      <c r="V8419" s="3">
        <v>40835</v>
      </c>
    </row>
    <row r="8420" spans="1:22" x14ac:dyDescent="0.35">
      <c r="A8420" s="1">
        <v>42261.576956018522</v>
      </c>
      <c r="B8420" s="2">
        <v>2.0833333333333335E-4</v>
      </c>
      <c r="C8420" t="s">
        <v>12048</v>
      </c>
      <c r="D8420" t="s">
        <v>261</v>
      </c>
      <c r="E8420" t="s">
        <v>262</v>
      </c>
      <c r="F8420" t="s">
        <v>52</v>
      </c>
      <c r="G8420">
        <v>822040</v>
      </c>
      <c r="H8420" t="s">
        <v>26</v>
      </c>
      <c r="I8420" t="s">
        <v>53</v>
      </c>
      <c r="J8420" t="str">
        <f>"9781118289099"</f>
        <v>9781118289099</v>
      </c>
      <c r="K8420" t="s">
        <v>12049</v>
      </c>
      <c r="L8420">
        <v>9</v>
      </c>
      <c r="O8420" t="s">
        <v>30</v>
      </c>
      <c r="P8420" t="s">
        <v>42</v>
      </c>
      <c r="S8420" t="s">
        <v>264</v>
      </c>
      <c r="T8420" t="s">
        <v>55</v>
      </c>
      <c r="U8420" t="s">
        <v>56</v>
      </c>
      <c r="V8420" s="3">
        <v>40990</v>
      </c>
    </row>
    <row r="8421" spans="1:22" x14ac:dyDescent="0.35">
      <c r="A8421" s="1">
        <v>42261.557118055556</v>
      </c>
      <c r="B8421" s="2">
        <v>8.9699074074074073E-3</v>
      </c>
      <c r="C8421" t="s">
        <v>11518</v>
      </c>
      <c r="D8421" t="s">
        <v>35</v>
      </c>
      <c r="E8421" t="s">
        <v>36</v>
      </c>
      <c r="F8421" t="s">
        <v>37</v>
      </c>
      <c r="G8421">
        <v>1684620</v>
      </c>
      <c r="H8421" t="s">
        <v>26</v>
      </c>
      <c r="I8421" t="s">
        <v>38</v>
      </c>
      <c r="J8421" t="str">
        <f>"9781118418925"</f>
        <v>9781118418925</v>
      </c>
      <c r="K8421" t="s">
        <v>12050</v>
      </c>
      <c r="L8421">
        <v>11</v>
      </c>
      <c r="O8421" t="s">
        <v>30</v>
      </c>
      <c r="P8421" t="s">
        <v>29</v>
      </c>
      <c r="Q8421" s="1">
        <v>42261.557118055556</v>
      </c>
      <c r="R8421">
        <v>7</v>
      </c>
      <c r="S8421" t="s">
        <v>40</v>
      </c>
      <c r="T8421" t="s">
        <v>41</v>
      </c>
      <c r="U8421">
        <v>362.10680000000002</v>
      </c>
      <c r="V8421" s="3">
        <v>41759</v>
      </c>
    </row>
    <row r="8422" spans="1:22" x14ac:dyDescent="0.35">
      <c r="A8422" s="1">
        <v>42261.54991898148</v>
      </c>
      <c r="B8422" s="2">
        <v>7.1990740740740739E-3</v>
      </c>
      <c r="C8422" t="s">
        <v>11518</v>
      </c>
      <c r="D8422" t="s">
        <v>35</v>
      </c>
      <c r="E8422" t="s">
        <v>36</v>
      </c>
      <c r="F8422" t="s">
        <v>37</v>
      </c>
      <c r="G8422">
        <v>1684620</v>
      </c>
      <c r="H8422" t="s">
        <v>26</v>
      </c>
      <c r="I8422" t="s">
        <v>38</v>
      </c>
      <c r="J8422" t="str">
        <f>"9781118418925"</f>
        <v>9781118418925</v>
      </c>
      <c r="K8422" t="s">
        <v>12051</v>
      </c>
      <c r="L8422">
        <v>15</v>
      </c>
      <c r="O8422" t="s">
        <v>30</v>
      </c>
      <c r="P8422" t="s">
        <v>42</v>
      </c>
      <c r="S8422" t="s">
        <v>40</v>
      </c>
      <c r="T8422" t="s">
        <v>41</v>
      </c>
      <c r="U8422">
        <v>362.10680000000002</v>
      </c>
      <c r="V8422" s="3">
        <v>41759</v>
      </c>
    </row>
    <row r="8423" spans="1:22" x14ac:dyDescent="0.35">
      <c r="A8423" s="1">
        <v>42261.523680555554</v>
      </c>
      <c r="B8423" s="2">
        <v>1.0150462962962964E-2</v>
      </c>
      <c r="C8423" t="s">
        <v>4205</v>
      </c>
      <c r="D8423" t="s">
        <v>597</v>
      </c>
      <c r="E8423" t="s">
        <v>598</v>
      </c>
      <c r="F8423" t="s">
        <v>111</v>
      </c>
      <c r="G8423">
        <v>693176</v>
      </c>
      <c r="H8423" t="s">
        <v>26</v>
      </c>
      <c r="I8423" t="s">
        <v>112</v>
      </c>
      <c r="J8423" t="str">
        <f>"9781118017746"</f>
        <v>9781118017746</v>
      </c>
      <c r="K8423" t="s">
        <v>12052</v>
      </c>
      <c r="L8423">
        <v>15</v>
      </c>
      <c r="O8423" t="s">
        <v>30</v>
      </c>
      <c r="P8423" t="s">
        <v>29</v>
      </c>
      <c r="Q8423" s="1">
        <v>42258.107858796298</v>
      </c>
      <c r="R8423">
        <v>7</v>
      </c>
      <c r="S8423" t="s">
        <v>600</v>
      </c>
      <c r="T8423" t="s">
        <v>114</v>
      </c>
      <c r="U8423" t="s">
        <v>115</v>
      </c>
      <c r="V8423" s="3">
        <v>40835</v>
      </c>
    </row>
    <row r="8424" spans="1:22" x14ac:dyDescent="0.35">
      <c r="A8424" s="1">
        <v>42261.520474537036</v>
      </c>
      <c r="B8424" s="2">
        <v>3.4722222222222222E-5</v>
      </c>
      <c r="C8424" t="s">
        <v>5340</v>
      </c>
      <c r="D8424" t="s">
        <v>23</v>
      </c>
      <c r="E8424" t="s">
        <v>24</v>
      </c>
      <c r="F8424" t="s">
        <v>3351</v>
      </c>
      <c r="G8424">
        <v>1760720</v>
      </c>
      <c r="H8424" t="s">
        <v>91</v>
      </c>
      <c r="I8424" t="s">
        <v>247</v>
      </c>
      <c r="J8424" t="str">
        <f>"9781462517459"</f>
        <v>9781462517459</v>
      </c>
      <c r="K8424" t="s">
        <v>611</v>
      </c>
      <c r="L8424">
        <v>3</v>
      </c>
      <c r="O8424" t="s">
        <v>30</v>
      </c>
      <c r="P8424" t="s">
        <v>29</v>
      </c>
      <c r="Q8424" s="1">
        <v>42255.846921296295</v>
      </c>
      <c r="R8424">
        <v>7</v>
      </c>
      <c r="S8424" t="s">
        <v>31</v>
      </c>
      <c r="T8424" t="s">
        <v>3353</v>
      </c>
      <c r="U8424">
        <v>616.89142000000004</v>
      </c>
      <c r="V8424" s="3">
        <v>41996</v>
      </c>
    </row>
    <row r="8425" spans="1:22" x14ac:dyDescent="0.35">
      <c r="A8425" s="1">
        <v>42261.509942129633</v>
      </c>
      <c r="B8425" s="2">
        <v>4.4212962962962956E-3</v>
      </c>
      <c r="C8425" t="s">
        <v>12053</v>
      </c>
      <c r="D8425" t="s">
        <v>23</v>
      </c>
      <c r="E8425" t="s">
        <v>24</v>
      </c>
      <c r="F8425" t="s">
        <v>7657</v>
      </c>
      <c r="G8425">
        <v>759923</v>
      </c>
      <c r="H8425" t="s">
        <v>91</v>
      </c>
      <c r="I8425" t="s">
        <v>247</v>
      </c>
      <c r="J8425" t="str">
        <f>"9781609186418"</f>
        <v>9781609186418</v>
      </c>
      <c r="K8425" t="s">
        <v>202</v>
      </c>
      <c r="L8425">
        <v>3</v>
      </c>
      <c r="O8425" t="s">
        <v>30</v>
      </c>
      <c r="P8425" t="s">
        <v>42</v>
      </c>
      <c r="S8425" t="s">
        <v>31</v>
      </c>
      <c r="T8425" t="s">
        <v>7658</v>
      </c>
      <c r="U8425">
        <v>618.9289</v>
      </c>
      <c r="V8425" s="3">
        <v>41824</v>
      </c>
    </row>
    <row r="8426" spans="1:22" x14ac:dyDescent="0.35">
      <c r="A8426" s="1">
        <v>42261.230324074073</v>
      </c>
      <c r="B8426" s="2">
        <v>0</v>
      </c>
      <c r="C8426" t="s">
        <v>12054</v>
      </c>
      <c r="D8426" t="s">
        <v>23</v>
      </c>
      <c r="E8426" t="s">
        <v>24</v>
      </c>
      <c r="F8426" t="s">
        <v>986</v>
      </c>
      <c r="G8426">
        <v>968030</v>
      </c>
      <c r="H8426" t="s">
        <v>26</v>
      </c>
      <c r="I8426" t="s">
        <v>219</v>
      </c>
      <c r="J8426" t="str">
        <f>"9781118285138"</f>
        <v>9781118285138</v>
      </c>
      <c r="L8426">
        <v>0</v>
      </c>
      <c r="O8426" t="s">
        <v>30</v>
      </c>
      <c r="P8426" t="s">
        <v>29</v>
      </c>
      <c r="Q8426" s="1">
        <v>42261.230324074073</v>
      </c>
      <c r="R8426">
        <v>7</v>
      </c>
      <c r="S8426" t="s">
        <v>31</v>
      </c>
      <c r="T8426" t="s">
        <v>987</v>
      </c>
      <c r="U8426">
        <v>158.30000000000001</v>
      </c>
      <c r="V8426" s="3">
        <v>41100</v>
      </c>
    </row>
    <row r="8427" spans="1:22" x14ac:dyDescent="0.35">
      <c r="A8427" s="1">
        <v>42261.229097222225</v>
      </c>
      <c r="B8427" s="2">
        <v>1.2268518518518518E-3</v>
      </c>
      <c r="C8427" t="s">
        <v>12054</v>
      </c>
      <c r="D8427" t="s">
        <v>23</v>
      </c>
      <c r="E8427" t="s">
        <v>24</v>
      </c>
      <c r="F8427" t="s">
        <v>986</v>
      </c>
      <c r="G8427">
        <v>968030</v>
      </c>
      <c r="H8427" t="s">
        <v>26</v>
      </c>
      <c r="I8427" t="s">
        <v>219</v>
      </c>
      <c r="J8427" t="str">
        <f>"9781118285138"</f>
        <v>9781118285138</v>
      </c>
      <c r="K8427" t="s">
        <v>2353</v>
      </c>
      <c r="L8427">
        <v>13</v>
      </c>
      <c r="O8427" t="s">
        <v>30</v>
      </c>
      <c r="P8427" t="s">
        <v>42</v>
      </c>
      <c r="S8427" t="s">
        <v>31</v>
      </c>
      <c r="T8427" t="s">
        <v>987</v>
      </c>
      <c r="U8427">
        <v>158.30000000000001</v>
      </c>
      <c r="V8427" s="3">
        <v>41100</v>
      </c>
    </row>
    <row r="8428" spans="1:22" x14ac:dyDescent="0.35">
      <c r="A8428" s="1">
        <v>42261.213599537034</v>
      </c>
      <c r="B8428" s="2">
        <v>6.134259259259259E-4</v>
      </c>
      <c r="C8428" t="s">
        <v>11563</v>
      </c>
      <c r="D8428" t="s">
        <v>35</v>
      </c>
      <c r="E8428" t="s">
        <v>36</v>
      </c>
      <c r="F8428" t="s">
        <v>37</v>
      </c>
      <c r="G8428">
        <v>1684620</v>
      </c>
      <c r="H8428" t="s">
        <v>26</v>
      </c>
      <c r="I8428" t="s">
        <v>38</v>
      </c>
      <c r="J8428" t="str">
        <f>"9781118418925"</f>
        <v>9781118418925</v>
      </c>
      <c r="K8428" t="s">
        <v>12055</v>
      </c>
      <c r="L8428">
        <v>7</v>
      </c>
      <c r="O8428" t="s">
        <v>30</v>
      </c>
      <c r="P8428" t="s">
        <v>29</v>
      </c>
      <c r="Q8428" s="1">
        <v>42261.213599537034</v>
      </c>
      <c r="R8428">
        <v>7</v>
      </c>
      <c r="S8428" t="s">
        <v>40</v>
      </c>
      <c r="T8428" t="s">
        <v>41</v>
      </c>
      <c r="U8428">
        <v>362.10680000000002</v>
      </c>
      <c r="V8428" s="3">
        <v>41759</v>
      </c>
    </row>
    <row r="8429" spans="1:22" x14ac:dyDescent="0.35">
      <c r="A8429" s="1">
        <v>42261.199872685182</v>
      </c>
      <c r="B8429" s="2">
        <v>1.3726851851851851E-2</v>
      </c>
      <c r="C8429" t="s">
        <v>11563</v>
      </c>
      <c r="D8429" t="s">
        <v>35</v>
      </c>
      <c r="E8429" t="s">
        <v>36</v>
      </c>
      <c r="F8429" t="s">
        <v>37</v>
      </c>
      <c r="G8429">
        <v>1684620</v>
      </c>
      <c r="H8429" t="s">
        <v>26</v>
      </c>
      <c r="I8429" t="s">
        <v>38</v>
      </c>
      <c r="J8429" t="str">
        <f>"9781118418925"</f>
        <v>9781118418925</v>
      </c>
      <c r="K8429" t="s">
        <v>12056</v>
      </c>
      <c r="L8429">
        <v>15</v>
      </c>
      <c r="O8429" t="s">
        <v>30</v>
      </c>
      <c r="P8429" t="s">
        <v>42</v>
      </c>
      <c r="S8429" t="s">
        <v>40</v>
      </c>
      <c r="T8429" t="s">
        <v>41</v>
      </c>
      <c r="U8429">
        <v>362.10680000000002</v>
      </c>
      <c r="V8429" s="3">
        <v>41759</v>
      </c>
    </row>
    <row r="8430" spans="1:22" x14ac:dyDescent="0.35">
      <c r="A8430" s="1">
        <v>42261.133020833331</v>
      </c>
      <c r="B8430" s="2">
        <v>2.5821759259259256E-2</v>
      </c>
      <c r="C8430" t="s">
        <v>106</v>
      </c>
      <c r="D8430" t="s">
        <v>23</v>
      </c>
      <c r="E8430" t="s">
        <v>24</v>
      </c>
      <c r="F8430" t="s">
        <v>486</v>
      </c>
      <c r="G8430">
        <v>1119505</v>
      </c>
      <c r="H8430" t="s">
        <v>26</v>
      </c>
      <c r="I8430" t="s">
        <v>450</v>
      </c>
      <c r="J8430" t="str">
        <f>"9781118355015"</f>
        <v>9781118355015</v>
      </c>
      <c r="K8430" t="s">
        <v>12057</v>
      </c>
      <c r="L8430">
        <v>17</v>
      </c>
      <c r="O8430" t="s">
        <v>30</v>
      </c>
      <c r="P8430" t="s">
        <v>29</v>
      </c>
      <c r="Q8430" s="1">
        <v>42257.783634259256</v>
      </c>
      <c r="R8430">
        <v>7</v>
      </c>
      <c r="S8430" t="s">
        <v>31</v>
      </c>
      <c r="T8430" t="s">
        <v>487</v>
      </c>
      <c r="U8430" t="s">
        <v>488</v>
      </c>
      <c r="V8430" s="3">
        <v>41302</v>
      </c>
    </row>
    <row r="8431" spans="1:22" x14ac:dyDescent="0.35">
      <c r="A8431" s="1">
        <v>42261.107997685183</v>
      </c>
      <c r="B8431" s="2">
        <v>9.2592592592592588E-5</v>
      </c>
      <c r="C8431" t="s">
        <v>9500</v>
      </c>
      <c r="D8431" t="s">
        <v>23</v>
      </c>
      <c r="E8431" t="s">
        <v>24</v>
      </c>
      <c r="F8431" t="s">
        <v>486</v>
      </c>
      <c r="G8431">
        <v>1119505</v>
      </c>
      <c r="H8431" t="s">
        <v>26</v>
      </c>
      <c r="I8431" t="s">
        <v>450</v>
      </c>
      <c r="J8431" t="str">
        <f>"9781118355015"</f>
        <v>9781118355015</v>
      </c>
      <c r="K8431" t="s">
        <v>33</v>
      </c>
      <c r="L8431">
        <v>3</v>
      </c>
      <c r="O8431" t="s">
        <v>30</v>
      </c>
      <c r="P8431" t="s">
        <v>29</v>
      </c>
      <c r="Q8431" s="1">
        <v>42261.093738425923</v>
      </c>
      <c r="R8431">
        <v>7</v>
      </c>
      <c r="S8431" t="s">
        <v>31</v>
      </c>
      <c r="T8431" t="s">
        <v>487</v>
      </c>
      <c r="U8431" t="s">
        <v>488</v>
      </c>
      <c r="V8431" s="3">
        <v>41302</v>
      </c>
    </row>
    <row r="8432" spans="1:22" x14ac:dyDescent="0.35">
      <c r="A8432" s="1">
        <v>42261.093738425923</v>
      </c>
      <c r="B8432" s="2">
        <v>0</v>
      </c>
      <c r="C8432" t="s">
        <v>9500</v>
      </c>
      <c r="D8432" t="s">
        <v>23</v>
      </c>
      <c r="E8432" t="s">
        <v>24</v>
      </c>
      <c r="F8432" t="s">
        <v>486</v>
      </c>
      <c r="G8432">
        <v>1119505</v>
      </c>
      <c r="H8432" t="s">
        <v>26</v>
      </c>
      <c r="I8432" t="s">
        <v>450</v>
      </c>
      <c r="J8432" t="str">
        <f>"9781118355015"</f>
        <v>9781118355015</v>
      </c>
      <c r="L8432">
        <v>0</v>
      </c>
      <c r="M8432" t="s">
        <v>9215</v>
      </c>
      <c r="O8432" t="s">
        <v>30</v>
      </c>
      <c r="P8432" t="s">
        <v>29</v>
      </c>
      <c r="Q8432" s="1">
        <v>42261.093738425923</v>
      </c>
      <c r="R8432">
        <v>7</v>
      </c>
      <c r="S8432" t="s">
        <v>31</v>
      </c>
      <c r="T8432" t="s">
        <v>487</v>
      </c>
      <c r="U8432" t="s">
        <v>488</v>
      </c>
      <c r="V8432" s="3">
        <v>41302</v>
      </c>
    </row>
    <row r="8433" spans="1:22" x14ac:dyDescent="0.35">
      <c r="A8433" s="1">
        <v>42261.092905092592</v>
      </c>
      <c r="B8433" s="2">
        <v>8.3333333333333339E-4</v>
      </c>
      <c r="C8433" t="s">
        <v>9500</v>
      </c>
      <c r="D8433" t="s">
        <v>23</v>
      </c>
      <c r="E8433" t="s">
        <v>24</v>
      </c>
      <c r="F8433" t="s">
        <v>486</v>
      </c>
      <c r="G8433">
        <v>1119505</v>
      </c>
      <c r="H8433" t="s">
        <v>26</v>
      </c>
      <c r="I8433" t="s">
        <v>450</v>
      </c>
      <c r="J8433" t="str">
        <f>"9781118355015"</f>
        <v>9781118355015</v>
      </c>
      <c r="K8433" t="s">
        <v>12058</v>
      </c>
      <c r="L8433">
        <v>17</v>
      </c>
      <c r="O8433" t="s">
        <v>30</v>
      </c>
      <c r="P8433" t="s">
        <v>42</v>
      </c>
      <c r="S8433" t="s">
        <v>31</v>
      </c>
      <c r="T8433" t="s">
        <v>487</v>
      </c>
      <c r="U8433" t="s">
        <v>488</v>
      </c>
      <c r="V8433" s="3">
        <v>41302</v>
      </c>
    </row>
    <row r="8434" spans="1:22" x14ac:dyDescent="0.35">
      <c r="A8434" s="1">
        <v>42261.087696759256</v>
      </c>
      <c r="B8434" s="2">
        <v>1.5208333333333332E-2</v>
      </c>
      <c r="C8434" t="s">
        <v>4205</v>
      </c>
      <c r="D8434" t="s">
        <v>597</v>
      </c>
      <c r="E8434" t="s">
        <v>598</v>
      </c>
      <c r="F8434" t="s">
        <v>111</v>
      </c>
      <c r="G8434">
        <v>693176</v>
      </c>
      <c r="H8434" t="s">
        <v>26</v>
      </c>
      <c r="I8434" t="s">
        <v>112</v>
      </c>
      <c r="J8434" t="str">
        <f>"9781118017746"</f>
        <v>9781118017746</v>
      </c>
      <c r="K8434" t="s">
        <v>12059</v>
      </c>
      <c r="L8434">
        <v>41</v>
      </c>
      <c r="O8434" t="s">
        <v>30</v>
      </c>
      <c r="P8434" t="s">
        <v>29</v>
      </c>
      <c r="Q8434" s="1">
        <v>42258.107858796298</v>
      </c>
      <c r="R8434">
        <v>7</v>
      </c>
      <c r="S8434" t="s">
        <v>600</v>
      </c>
      <c r="T8434" t="s">
        <v>114</v>
      </c>
      <c r="U8434" t="s">
        <v>115</v>
      </c>
      <c r="V8434" s="3">
        <v>40835</v>
      </c>
    </row>
    <row r="8435" spans="1:22" x14ac:dyDescent="0.35">
      <c r="A8435" s="1">
        <v>42261.055</v>
      </c>
      <c r="B8435" s="2">
        <v>5.5266203703703699E-2</v>
      </c>
      <c r="C8435" t="s">
        <v>12060</v>
      </c>
      <c r="D8435" t="s">
        <v>597</v>
      </c>
      <c r="E8435" t="s">
        <v>598</v>
      </c>
      <c r="F8435" t="s">
        <v>111</v>
      </c>
      <c r="G8435">
        <v>693176</v>
      </c>
      <c r="H8435" t="s">
        <v>26</v>
      </c>
      <c r="I8435" t="s">
        <v>112</v>
      </c>
      <c r="J8435" t="str">
        <f>"9781118017746"</f>
        <v>9781118017746</v>
      </c>
      <c r="K8435" t="s">
        <v>12061</v>
      </c>
      <c r="L8435">
        <v>128</v>
      </c>
      <c r="O8435" t="s">
        <v>30</v>
      </c>
      <c r="P8435" t="s">
        <v>29</v>
      </c>
      <c r="Q8435" s="1">
        <v>42260.971562500003</v>
      </c>
      <c r="R8435">
        <v>7</v>
      </c>
      <c r="S8435" t="s">
        <v>600</v>
      </c>
      <c r="T8435" t="s">
        <v>114</v>
      </c>
      <c r="U8435" t="s">
        <v>115</v>
      </c>
      <c r="V8435" s="3">
        <v>40835</v>
      </c>
    </row>
    <row r="8436" spans="1:22" x14ac:dyDescent="0.35">
      <c r="A8436" s="1">
        <v>42261.043854166666</v>
      </c>
      <c r="B8436" s="2">
        <v>3.9351851851851852E-4</v>
      </c>
      <c r="C8436" t="s">
        <v>12062</v>
      </c>
      <c r="D8436" t="s">
        <v>23</v>
      </c>
      <c r="E8436" t="s">
        <v>24</v>
      </c>
      <c r="F8436" t="s">
        <v>3228</v>
      </c>
      <c r="G8436">
        <v>1115640</v>
      </c>
      <c r="H8436" t="s">
        <v>26</v>
      </c>
      <c r="I8436" t="s">
        <v>3229</v>
      </c>
      <c r="J8436" t="str">
        <f>"9781118419090"</f>
        <v>9781118419090</v>
      </c>
      <c r="K8436" t="s">
        <v>1309</v>
      </c>
      <c r="L8436">
        <v>1</v>
      </c>
      <c r="O8436" t="s">
        <v>28</v>
      </c>
      <c r="P8436" t="s">
        <v>29</v>
      </c>
      <c r="Q8436" s="1">
        <v>42261.043854166666</v>
      </c>
      <c r="R8436">
        <v>7</v>
      </c>
      <c r="S8436" t="s">
        <v>31</v>
      </c>
      <c r="T8436" t="s">
        <v>3231</v>
      </c>
      <c r="U8436">
        <v>624</v>
      </c>
      <c r="V8436" s="3">
        <v>41296</v>
      </c>
    </row>
    <row r="8437" spans="1:22" x14ac:dyDescent="0.35">
      <c r="A8437" s="1">
        <v>42261.043854166666</v>
      </c>
      <c r="B8437" s="2">
        <v>0</v>
      </c>
      <c r="C8437" t="s">
        <v>12062</v>
      </c>
      <c r="D8437" t="s">
        <v>23</v>
      </c>
      <c r="E8437" t="s">
        <v>24</v>
      </c>
      <c r="F8437" t="s">
        <v>3228</v>
      </c>
      <c r="G8437">
        <v>1115640</v>
      </c>
      <c r="H8437" t="s">
        <v>26</v>
      </c>
      <c r="I8437" t="s">
        <v>3229</v>
      </c>
      <c r="J8437" t="str">
        <f>"9781118419090"</f>
        <v>9781118419090</v>
      </c>
      <c r="L8437">
        <v>0</v>
      </c>
      <c r="O8437" t="s">
        <v>30</v>
      </c>
      <c r="P8437" t="s">
        <v>29</v>
      </c>
      <c r="Q8437" s="1">
        <v>42261.043854166666</v>
      </c>
      <c r="R8437">
        <v>7</v>
      </c>
      <c r="S8437" t="s">
        <v>31</v>
      </c>
      <c r="T8437" t="s">
        <v>3231</v>
      </c>
      <c r="U8437">
        <v>624</v>
      </c>
      <c r="V8437" s="3">
        <v>41296</v>
      </c>
    </row>
    <row r="8438" spans="1:22" x14ac:dyDescent="0.35">
      <c r="A8438" s="1">
        <v>42261.04347222222</v>
      </c>
      <c r="B8438" s="2">
        <v>3.8194444444444446E-4</v>
      </c>
      <c r="C8438" t="s">
        <v>12062</v>
      </c>
      <c r="D8438" t="s">
        <v>23</v>
      </c>
      <c r="E8438" t="s">
        <v>24</v>
      </c>
      <c r="F8438" t="s">
        <v>3228</v>
      </c>
      <c r="G8438">
        <v>1115640</v>
      </c>
      <c r="H8438" t="s">
        <v>26</v>
      </c>
      <c r="I8438" t="s">
        <v>3229</v>
      </c>
      <c r="J8438" t="str">
        <f>"9781118419090"</f>
        <v>9781118419090</v>
      </c>
      <c r="K8438" t="s">
        <v>209</v>
      </c>
      <c r="L8438">
        <v>4</v>
      </c>
      <c r="O8438" t="s">
        <v>30</v>
      </c>
      <c r="P8438" t="s">
        <v>42</v>
      </c>
      <c r="S8438" t="s">
        <v>31</v>
      </c>
      <c r="T8438" t="s">
        <v>3231</v>
      </c>
      <c r="U8438">
        <v>624</v>
      </c>
      <c r="V8438" s="3">
        <v>41296</v>
      </c>
    </row>
    <row r="8439" spans="1:22" x14ac:dyDescent="0.35">
      <c r="A8439" s="1">
        <v>42261.040150462963</v>
      </c>
      <c r="B8439" s="2">
        <v>4.1898148148148146E-3</v>
      </c>
      <c r="C8439" t="s">
        <v>7498</v>
      </c>
      <c r="D8439" t="s">
        <v>35</v>
      </c>
      <c r="E8439" t="s">
        <v>36</v>
      </c>
      <c r="F8439" t="s">
        <v>3275</v>
      </c>
      <c r="G8439">
        <v>822662</v>
      </c>
      <c r="H8439" t="s">
        <v>26</v>
      </c>
      <c r="I8439" t="s">
        <v>172</v>
      </c>
      <c r="J8439" t="str">
        <f>"9781444355130"</f>
        <v>9781444355130</v>
      </c>
      <c r="K8439" t="s">
        <v>2660</v>
      </c>
      <c r="L8439">
        <v>14</v>
      </c>
      <c r="O8439" t="s">
        <v>30</v>
      </c>
      <c r="P8439" t="s">
        <v>29</v>
      </c>
      <c r="Q8439" s="1">
        <v>42261.010972222219</v>
      </c>
      <c r="R8439">
        <v>7</v>
      </c>
      <c r="S8439" t="s">
        <v>40</v>
      </c>
      <c r="T8439" t="s">
        <v>3277</v>
      </c>
      <c r="U8439">
        <v>960.3</v>
      </c>
      <c r="V8439" s="3">
        <v>40858</v>
      </c>
    </row>
    <row r="8440" spans="1:22" x14ac:dyDescent="0.35">
      <c r="A8440" s="1">
        <v>42261.027465277781</v>
      </c>
      <c r="B8440" s="2">
        <v>2.1180555555555553E-3</v>
      </c>
      <c r="C8440" t="s">
        <v>12063</v>
      </c>
      <c r="D8440" t="s">
        <v>23</v>
      </c>
      <c r="E8440" t="s">
        <v>24</v>
      </c>
      <c r="F8440" t="s">
        <v>8960</v>
      </c>
      <c r="G8440">
        <v>1220625</v>
      </c>
      <c r="H8440" t="s">
        <v>613</v>
      </c>
      <c r="I8440" t="s">
        <v>328</v>
      </c>
      <c r="J8440" t="str">
        <f>"9781469612751"</f>
        <v>9781469612751</v>
      </c>
      <c r="K8440" t="s">
        <v>12064</v>
      </c>
      <c r="L8440">
        <v>13</v>
      </c>
      <c r="N8440" t="s">
        <v>12065</v>
      </c>
      <c r="O8440" t="s">
        <v>28</v>
      </c>
      <c r="P8440" t="s">
        <v>47</v>
      </c>
      <c r="Q8440" s="1">
        <v>42261.027465277781</v>
      </c>
      <c r="R8440">
        <v>7</v>
      </c>
      <c r="S8440" t="s">
        <v>31</v>
      </c>
      <c r="T8440" t="s">
        <v>8962</v>
      </c>
      <c r="U8440">
        <v>362.1</v>
      </c>
      <c r="V8440" s="3">
        <v>41487</v>
      </c>
    </row>
    <row r="8441" spans="1:22" x14ac:dyDescent="0.35">
      <c r="A8441" s="1">
        <v>42261.027465277781</v>
      </c>
      <c r="B8441" s="2">
        <v>0</v>
      </c>
      <c r="C8441" t="s">
        <v>12063</v>
      </c>
      <c r="D8441" t="s">
        <v>23</v>
      </c>
      <c r="E8441" t="s">
        <v>24</v>
      </c>
      <c r="F8441" t="s">
        <v>8960</v>
      </c>
      <c r="G8441">
        <v>1220625</v>
      </c>
      <c r="H8441" t="s">
        <v>613</v>
      </c>
      <c r="I8441" t="s">
        <v>328</v>
      </c>
      <c r="J8441" t="str">
        <f>"9781469612751"</f>
        <v>9781469612751</v>
      </c>
      <c r="L8441">
        <v>0</v>
      </c>
      <c r="O8441" t="s">
        <v>30</v>
      </c>
      <c r="P8441" t="s">
        <v>47</v>
      </c>
      <c r="Q8441" s="1">
        <v>42261.027465277781</v>
      </c>
      <c r="R8441">
        <v>7</v>
      </c>
      <c r="S8441" t="s">
        <v>31</v>
      </c>
      <c r="T8441" t="s">
        <v>8962</v>
      </c>
      <c r="U8441">
        <v>362.1</v>
      </c>
      <c r="V8441" s="3">
        <v>41487</v>
      </c>
    </row>
    <row r="8442" spans="1:22" x14ac:dyDescent="0.35">
      <c r="A8442" s="1">
        <v>42261.025648148148</v>
      </c>
      <c r="B8442" s="2">
        <v>1.8171296296296297E-3</v>
      </c>
      <c r="C8442" t="s">
        <v>12063</v>
      </c>
      <c r="D8442" t="s">
        <v>23</v>
      </c>
      <c r="E8442" t="s">
        <v>24</v>
      </c>
      <c r="F8442" t="s">
        <v>8960</v>
      </c>
      <c r="G8442">
        <v>1220625</v>
      </c>
      <c r="H8442" t="s">
        <v>613</v>
      </c>
      <c r="I8442" t="s">
        <v>328</v>
      </c>
      <c r="J8442" t="str">
        <f>"9781469612751"</f>
        <v>9781469612751</v>
      </c>
      <c r="K8442" t="s">
        <v>12066</v>
      </c>
      <c r="L8442">
        <v>21</v>
      </c>
      <c r="O8442" t="s">
        <v>30</v>
      </c>
      <c r="P8442" t="s">
        <v>50</v>
      </c>
      <c r="S8442" t="s">
        <v>31</v>
      </c>
      <c r="T8442" t="s">
        <v>8962</v>
      </c>
      <c r="U8442">
        <v>362.1</v>
      </c>
      <c r="V8442" s="3">
        <v>41487</v>
      </c>
    </row>
    <row r="8443" spans="1:22" x14ac:dyDescent="0.35">
      <c r="A8443" s="1">
        <v>42261.019004629627</v>
      </c>
      <c r="B8443" s="2">
        <v>1.4699074074074074E-3</v>
      </c>
      <c r="C8443" t="s">
        <v>12060</v>
      </c>
      <c r="D8443" t="s">
        <v>597</v>
      </c>
      <c r="E8443" t="s">
        <v>598</v>
      </c>
      <c r="F8443" t="s">
        <v>111</v>
      </c>
      <c r="G8443">
        <v>693176</v>
      </c>
      <c r="H8443" t="s">
        <v>26</v>
      </c>
      <c r="I8443" t="s">
        <v>112</v>
      </c>
      <c r="J8443" t="str">
        <f>"9781118017746"</f>
        <v>9781118017746</v>
      </c>
      <c r="K8443" t="s">
        <v>12067</v>
      </c>
      <c r="L8443">
        <v>34</v>
      </c>
      <c r="O8443" t="s">
        <v>30</v>
      </c>
      <c r="P8443" t="s">
        <v>29</v>
      </c>
      <c r="Q8443" s="1">
        <v>42260.971562500003</v>
      </c>
      <c r="R8443">
        <v>7</v>
      </c>
      <c r="S8443" t="s">
        <v>600</v>
      </c>
      <c r="T8443" t="s">
        <v>114</v>
      </c>
      <c r="U8443" t="s">
        <v>115</v>
      </c>
      <c r="V8443" s="3">
        <v>40835</v>
      </c>
    </row>
    <row r="8444" spans="1:22" x14ac:dyDescent="0.35">
      <c r="A8444" s="1">
        <v>42261.010972222219</v>
      </c>
      <c r="B8444" s="2">
        <v>3.0092592592592588E-3</v>
      </c>
      <c r="C8444" t="s">
        <v>7498</v>
      </c>
      <c r="D8444" t="s">
        <v>35</v>
      </c>
      <c r="E8444" t="s">
        <v>36</v>
      </c>
      <c r="F8444" t="s">
        <v>3275</v>
      </c>
      <c r="G8444">
        <v>822662</v>
      </c>
      <c r="H8444" t="s">
        <v>26</v>
      </c>
      <c r="I8444" t="s">
        <v>172</v>
      </c>
      <c r="J8444" t="str">
        <f>"9781444355130"</f>
        <v>9781444355130</v>
      </c>
      <c r="K8444" t="s">
        <v>12068</v>
      </c>
      <c r="L8444">
        <v>31</v>
      </c>
      <c r="O8444" t="s">
        <v>28</v>
      </c>
      <c r="P8444" t="s">
        <v>29</v>
      </c>
      <c r="Q8444" s="1">
        <v>42261.010972222219</v>
      </c>
      <c r="R8444">
        <v>7</v>
      </c>
      <c r="S8444" t="s">
        <v>40</v>
      </c>
      <c r="T8444" t="s">
        <v>3277</v>
      </c>
      <c r="U8444">
        <v>960.3</v>
      </c>
      <c r="V8444" s="3">
        <v>40858</v>
      </c>
    </row>
    <row r="8445" spans="1:22" x14ac:dyDescent="0.35">
      <c r="A8445" s="1">
        <v>42261.010972222219</v>
      </c>
      <c r="B8445" s="2">
        <v>0</v>
      </c>
      <c r="C8445" t="s">
        <v>7498</v>
      </c>
      <c r="D8445" t="s">
        <v>35</v>
      </c>
      <c r="E8445" t="s">
        <v>36</v>
      </c>
      <c r="F8445" t="s">
        <v>3275</v>
      </c>
      <c r="G8445">
        <v>822662</v>
      </c>
      <c r="H8445" t="s">
        <v>26</v>
      </c>
      <c r="I8445" t="s">
        <v>172</v>
      </c>
      <c r="J8445" t="str">
        <f>"9781444355130"</f>
        <v>9781444355130</v>
      </c>
      <c r="L8445">
        <v>0</v>
      </c>
      <c r="O8445" t="s">
        <v>30</v>
      </c>
      <c r="P8445" t="s">
        <v>29</v>
      </c>
      <c r="Q8445" s="1">
        <v>42261.010972222219</v>
      </c>
      <c r="R8445">
        <v>7</v>
      </c>
      <c r="S8445" t="s">
        <v>40</v>
      </c>
      <c r="T8445" t="s">
        <v>3277</v>
      </c>
      <c r="U8445">
        <v>960.3</v>
      </c>
      <c r="V8445" s="3">
        <v>40858</v>
      </c>
    </row>
    <row r="8446" spans="1:22" x14ac:dyDescent="0.35">
      <c r="A8446" s="1">
        <v>42261.009872685187</v>
      </c>
      <c r="B8446" s="2">
        <v>1.0995370370370371E-3</v>
      </c>
      <c r="C8446" t="s">
        <v>7498</v>
      </c>
      <c r="D8446" t="s">
        <v>35</v>
      </c>
      <c r="E8446" t="s">
        <v>36</v>
      </c>
      <c r="F8446" t="s">
        <v>3275</v>
      </c>
      <c r="G8446">
        <v>822662</v>
      </c>
      <c r="H8446" t="s">
        <v>26</v>
      </c>
      <c r="I8446" t="s">
        <v>172</v>
      </c>
      <c r="J8446" t="str">
        <f>"9781444355130"</f>
        <v>9781444355130</v>
      </c>
      <c r="K8446" t="s">
        <v>33</v>
      </c>
      <c r="L8446">
        <v>3</v>
      </c>
      <c r="O8446" t="s">
        <v>30</v>
      </c>
      <c r="P8446" t="s">
        <v>42</v>
      </c>
      <c r="S8446" t="s">
        <v>40</v>
      </c>
      <c r="T8446" t="s">
        <v>3277</v>
      </c>
      <c r="U8446">
        <v>960.3</v>
      </c>
      <c r="V8446" s="3">
        <v>40858</v>
      </c>
    </row>
    <row r="8447" spans="1:22" x14ac:dyDescent="0.35">
      <c r="A8447" s="1">
        <v>42260.992766203701</v>
      </c>
      <c r="B8447" s="2">
        <v>0</v>
      </c>
      <c r="C8447" t="s">
        <v>12060</v>
      </c>
      <c r="D8447" t="s">
        <v>597</v>
      </c>
      <c r="E8447" t="s">
        <v>598</v>
      </c>
      <c r="F8447" t="s">
        <v>111</v>
      </c>
      <c r="G8447">
        <v>693176</v>
      </c>
      <c r="H8447" t="s">
        <v>26</v>
      </c>
      <c r="I8447" t="s">
        <v>112</v>
      </c>
      <c r="J8447" t="str">
        <f>"9781118017746"</f>
        <v>9781118017746</v>
      </c>
      <c r="L8447">
        <v>0</v>
      </c>
      <c r="O8447" t="s">
        <v>28</v>
      </c>
      <c r="P8447" t="s">
        <v>29</v>
      </c>
      <c r="Q8447" s="1">
        <v>42260.971562500003</v>
      </c>
      <c r="R8447">
        <v>7</v>
      </c>
      <c r="S8447" t="s">
        <v>600</v>
      </c>
      <c r="T8447" t="s">
        <v>114</v>
      </c>
      <c r="U8447" t="s">
        <v>115</v>
      </c>
      <c r="V8447" s="3">
        <v>40835</v>
      </c>
    </row>
    <row r="8448" spans="1:22" x14ac:dyDescent="0.35">
      <c r="A8448" s="1">
        <v>42260.971562500003</v>
      </c>
      <c r="B8448" s="2">
        <v>2.0601851851851854E-2</v>
      </c>
      <c r="C8448" t="s">
        <v>12060</v>
      </c>
      <c r="D8448" t="s">
        <v>597</v>
      </c>
      <c r="E8448" t="s">
        <v>598</v>
      </c>
      <c r="F8448" t="s">
        <v>111</v>
      </c>
      <c r="G8448">
        <v>693176</v>
      </c>
      <c r="H8448" t="s">
        <v>26</v>
      </c>
      <c r="I8448" t="s">
        <v>112</v>
      </c>
      <c r="J8448" t="str">
        <f>"9781118017746"</f>
        <v>9781118017746</v>
      </c>
      <c r="K8448" t="s">
        <v>12069</v>
      </c>
      <c r="L8448">
        <v>75</v>
      </c>
      <c r="O8448" t="s">
        <v>30</v>
      </c>
      <c r="P8448" t="s">
        <v>29</v>
      </c>
      <c r="Q8448" s="1">
        <v>42260.971562500003</v>
      </c>
      <c r="R8448">
        <v>7</v>
      </c>
      <c r="S8448" t="s">
        <v>600</v>
      </c>
      <c r="T8448" t="s">
        <v>114</v>
      </c>
      <c r="U8448" t="s">
        <v>115</v>
      </c>
      <c r="V8448" s="3">
        <v>40835</v>
      </c>
    </row>
    <row r="8449" spans="1:22" x14ac:dyDescent="0.35">
      <c r="A8449" s="1">
        <v>42260.967858796299</v>
      </c>
      <c r="B8449" s="2">
        <v>3.6921296296296298E-3</v>
      </c>
      <c r="C8449" t="s">
        <v>12060</v>
      </c>
      <c r="D8449" t="s">
        <v>597</v>
      </c>
      <c r="E8449" t="s">
        <v>598</v>
      </c>
      <c r="F8449" t="s">
        <v>111</v>
      </c>
      <c r="G8449">
        <v>693176</v>
      </c>
      <c r="H8449" t="s">
        <v>26</v>
      </c>
      <c r="I8449" t="s">
        <v>112</v>
      </c>
      <c r="J8449" t="str">
        <f>"9781118017746"</f>
        <v>9781118017746</v>
      </c>
      <c r="K8449" t="s">
        <v>33</v>
      </c>
      <c r="L8449">
        <v>3</v>
      </c>
      <c r="O8449" t="s">
        <v>30</v>
      </c>
      <c r="P8449" t="s">
        <v>42</v>
      </c>
      <c r="S8449" t="s">
        <v>600</v>
      </c>
      <c r="T8449" t="s">
        <v>114</v>
      </c>
      <c r="U8449" t="s">
        <v>115</v>
      </c>
      <c r="V8449" s="3">
        <v>40835</v>
      </c>
    </row>
    <row r="8450" spans="1:22" x14ac:dyDescent="0.35">
      <c r="A8450" s="1">
        <v>42260.961215277777</v>
      </c>
      <c r="B8450" s="2">
        <v>7.2349537037037046E-2</v>
      </c>
      <c r="C8450" t="s">
        <v>12013</v>
      </c>
      <c r="D8450" t="s">
        <v>23</v>
      </c>
      <c r="E8450" t="s">
        <v>24</v>
      </c>
      <c r="F8450" t="s">
        <v>9918</v>
      </c>
      <c r="G8450">
        <v>1790819</v>
      </c>
      <c r="H8450" t="s">
        <v>526</v>
      </c>
      <c r="I8450" t="s">
        <v>426</v>
      </c>
      <c r="J8450" t="str">
        <f>"9780226169095"</f>
        <v>9780226169095</v>
      </c>
      <c r="K8450" t="s">
        <v>12070</v>
      </c>
      <c r="L8450">
        <v>50</v>
      </c>
      <c r="O8450" t="s">
        <v>30</v>
      </c>
      <c r="P8450" t="s">
        <v>47</v>
      </c>
      <c r="Q8450" s="1">
        <v>42260.961215277777</v>
      </c>
      <c r="R8450">
        <v>1</v>
      </c>
      <c r="S8450" t="s">
        <v>31</v>
      </c>
      <c r="T8450" t="s">
        <v>9920</v>
      </c>
      <c r="U8450" t="s">
        <v>9921</v>
      </c>
      <c r="V8450" s="3">
        <v>41932</v>
      </c>
    </row>
    <row r="8451" spans="1:22" x14ac:dyDescent="0.35">
      <c r="A8451" s="1">
        <v>42260.959803240738</v>
      </c>
      <c r="B8451" s="2">
        <v>2.6689814814814816E-2</v>
      </c>
      <c r="C8451" t="s">
        <v>12071</v>
      </c>
      <c r="D8451" t="s">
        <v>623</v>
      </c>
      <c r="E8451" t="s">
        <v>624</v>
      </c>
      <c r="F8451" t="s">
        <v>12072</v>
      </c>
      <c r="G8451">
        <v>1589599</v>
      </c>
      <c r="H8451" t="s">
        <v>45</v>
      </c>
      <c r="I8451" t="s">
        <v>150</v>
      </c>
      <c r="J8451" t="str">
        <f>"9781409447894"</f>
        <v>9781409447894</v>
      </c>
      <c r="K8451" t="s">
        <v>12073</v>
      </c>
      <c r="L8451">
        <v>36</v>
      </c>
      <c r="O8451" t="s">
        <v>30</v>
      </c>
      <c r="P8451" t="s">
        <v>47</v>
      </c>
      <c r="Q8451" s="1">
        <v>42260.959803240738</v>
      </c>
      <c r="R8451">
        <v>1</v>
      </c>
      <c r="S8451" t="s">
        <v>627</v>
      </c>
      <c r="T8451" t="s">
        <v>12074</v>
      </c>
      <c r="U8451" t="s">
        <v>12075</v>
      </c>
      <c r="V8451" s="3">
        <v>41698</v>
      </c>
    </row>
    <row r="8452" spans="1:22" x14ac:dyDescent="0.35">
      <c r="A8452" s="1">
        <v>42260.957326388889</v>
      </c>
      <c r="B8452" s="2">
        <v>3.8888888888888883E-3</v>
      </c>
      <c r="C8452" t="s">
        <v>12013</v>
      </c>
      <c r="D8452" t="s">
        <v>23</v>
      </c>
      <c r="E8452" t="s">
        <v>24</v>
      </c>
      <c r="F8452" t="s">
        <v>9918</v>
      </c>
      <c r="G8452">
        <v>1790819</v>
      </c>
      <c r="H8452" t="s">
        <v>526</v>
      </c>
      <c r="I8452" t="s">
        <v>426</v>
      </c>
      <c r="J8452" t="str">
        <f>"9780226169095"</f>
        <v>9780226169095</v>
      </c>
      <c r="K8452" t="s">
        <v>4737</v>
      </c>
      <c r="L8452">
        <v>13</v>
      </c>
      <c r="O8452" t="s">
        <v>30</v>
      </c>
      <c r="P8452" t="s">
        <v>50</v>
      </c>
      <c r="S8452" t="s">
        <v>31</v>
      </c>
      <c r="T8452" t="s">
        <v>9920</v>
      </c>
      <c r="U8452" t="s">
        <v>9921</v>
      </c>
      <c r="V8452" s="3">
        <v>41932</v>
      </c>
    </row>
    <row r="8453" spans="1:22" x14ac:dyDescent="0.35">
      <c r="A8453" s="1">
        <v>42260.954918981479</v>
      </c>
      <c r="B8453" s="2">
        <v>4.8842592592592592E-3</v>
      </c>
      <c r="C8453" t="s">
        <v>12071</v>
      </c>
      <c r="D8453" t="s">
        <v>623</v>
      </c>
      <c r="E8453" t="s">
        <v>624</v>
      </c>
      <c r="F8453" t="s">
        <v>12072</v>
      </c>
      <c r="G8453">
        <v>1589599</v>
      </c>
      <c r="H8453" t="s">
        <v>45</v>
      </c>
      <c r="I8453" t="s">
        <v>150</v>
      </c>
      <c r="J8453" t="str">
        <f>"9781409447894"</f>
        <v>9781409447894</v>
      </c>
      <c r="K8453" t="s">
        <v>12076</v>
      </c>
      <c r="L8453">
        <v>8</v>
      </c>
      <c r="O8453" t="s">
        <v>30</v>
      </c>
      <c r="P8453" t="s">
        <v>50</v>
      </c>
      <c r="S8453" t="s">
        <v>627</v>
      </c>
      <c r="T8453" t="s">
        <v>12074</v>
      </c>
      <c r="U8453" t="s">
        <v>12075</v>
      </c>
      <c r="V8453" s="3">
        <v>41698</v>
      </c>
    </row>
    <row r="8454" spans="1:22" x14ac:dyDescent="0.35">
      <c r="A8454" s="1">
        <v>42260.936990740738</v>
      </c>
      <c r="B8454" s="2">
        <v>6.5277777777777782E-3</v>
      </c>
      <c r="C8454" t="s">
        <v>6390</v>
      </c>
      <c r="D8454" t="s">
        <v>23</v>
      </c>
      <c r="E8454" t="s">
        <v>24</v>
      </c>
      <c r="F8454" t="s">
        <v>486</v>
      </c>
      <c r="G8454">
        <v>1119505</v>
      </c>
      <c r="H8454" t="s">
        <v>26</v>
      </c>
      <c r="I8454" t="s">
        <v>450</v>
      </c>
      <c r="J8454" t="str">
        <f>"9781118355015"</f>
        <v>9781118355015</v>
      </c>
      <c r="K8454" t="s">
        <v>12077</v>
      </c>
      <c r="L8454">
        <v>11</v>
      </c>
      <c r="O8454" t="s">
        <v>30</v>
      </c>
      <c r="P8454" t="s">
        <v>42</v>
      </c>
      <c r="S8454" t="s">
        <v>31</v>
      </c>
      <c r="T8454" t="s">
        <v>487</v>
      </c>
      <c r="U8454" t="s">
        <v>488</v>
      </c>
      <c r="V8454" s="3">
        <v>41302</v>
      </c>
    </row>
    <row r="8455" spans="1:22" x14ac:dyDescent="0.35">
      <c r="A8455" s="1">
        <v>42260.936944444446</v>
      </c>
      <c r="B8455" s="2">
        <v>5.3240740740740744E-4</v>
      </c>
      <c r="C8455" t="s">
        <v>12078</v>
      </c>
      <c r="D8455" t="s">
        <v>23</v>
      </c>
      <c r="E8455" t="s">
        <v>24</v>
      </c>
      <c r="F8455" t="s">
        <v>12079</v>
      </c>
      <c r="G8455">
        <v>2064569</v>
      </c>
      <c r="H8455" t="s">
        <v>45</v>
      </c>
      <c r="I8455" t="s">
        <v>200</v>
      </c>
      <c r="J8455" t="str">
        <f>"9781472439024"</f>
        <v>9781472439024</v>
      </c>
      <c r="K8455" t="s">
        <v>12080</v>
      </c>
      <c r="L8455">
        <v>15</v>
      </c>
      <c r="O8455" t="s">
        <v>30</v>
      </c>
      <c r="P8455" t="s">
        <v>47</v>
      </c>
      <c r="Q8455" s="1">
        <v>42260.936944444446</v>
      </c>
      <c r="R8455">
        <v>1</v>
      </c>
      <c r="S8455" t="s">
        <v>31</v>
      </c>
      <c r="T8455" t="s">
        <v>12081</v>
      </c>
      <c r="U8455" t="s">
        <v>12082</v>
      </c>
      <c r="V8455" s="3">
        <v>42213</v>
      </c>
    </row>
    <row r="8456" spans="1:22" x14ac:dyDescent="0.35">
      <c r="A8456" s="1">
        <v>42260.933229166665</v>
      </c>
      <c r="B8456" s="2">
        <v>3.7152777777777774E-3</v>
      </c>
      <c r="C8456" t="s">
        <v>12078</v>
      </c>
      <c r="D8456" t="s">
        <v>23</v>
      </c>
      <c r="E8456" t="s">
        <v>24</v>
      </c>
      <c r="F8456" t="s">
        <v>12079</v>
      </c>
      <c r="G8456">
        <v>2064569</v>
      </c>
      <c r="H8456" t="s">
        <v>45</v>
      </c>
      <c r="I8456" t="s">
        <v>200</v>
      </c>
      <c r="J8456" t="str">
        <f>"9781472439024"</f>
        <v>9781472439024</v>
      </c>
      <c r="K8456" t="s">
        <v>12083</v>
      </c>
      <c r="L8456">
        <v>27</v>
      </c>
      <c r="O8456" t="s">
        <v>30</v>
      </c>
      <c r="P8456" t="s">
        <v>50</v>
      </c>
      <c r="S8456" t="s">
        <v>31</v>
      </c>
      <c r="T8456" t="s">
        <v>12081</v>
      </c>
      <c r="U8456" t="s">
        <v>12082</v>
      </c>
      <c r="V8456" s="3">
        <v>42213</v>
      </c>
    </row>
    <row r="8457" spans="1:22" x14ac:dyDescent="0.35">
      <c r="A8457" s="1">
        <v>42260.907013888886</v>
      </c>
      <c r="B8457" s="2">
        <v>7.6678240740740741E-2</v>
      </c>
      <c r="C8457" t="s">
        <v>3670</v>
      </c>
      <c r="D8457" t="s">
        <v>35</v>
      </c>
      <c r="E8457" t="s">
        <v>36</v>
      </c>
      <c r="F8457" t="s">
        <v>37</v>
      </c>
      <c r="G8457">
        <v>1684620</v>
      </c>
      <c r="H8457" t="s">
        <v>26</v>
      </c>
      <c r="I8457" t="s">
        <v>38</v>
      </c>
      <c r="J8457" t="str">
        <f>"9781118418925"</f>
        <v>9781118418925</v>
      </c>
      <c r="K8457" t="s">
        <v>12084</v>
      </c>
      <c r="L8457">
        <v>101</v>
      </c>
      <c r="M8457" t="s">
        <v>7925</v>
      </c>
      <c r="O8457" t="s">
        <v>30</v>
      </c>
      <c r="P8457" t="s">
        <v>29</v>
      </c>
      <c r="Q8457" s="1">
        <v>42260.907013888886</v>
      </c>
      <c r="R8457">
        <v>7</v>
      </c>
      <c r="S8457" t="s">
        <v>40</v>
      </c>
      <c r="T8457" t="s">
        <v>41</v>
      </c>
      <c r="U8457">
        <v>362.10680000000002</v>
      </c>
      <c r="V8457" s="3">
        <v>41759</v>
      </c>
    </row>
    <row r="8458" spans="1:22" x14ac:dyDescent="0.35">
      <c r="A8458" s="1">
        <v>42260.906805555554</v>
      </c>
      <c r="B8458" s="2">
        <v>2.0833333333333335E-4</v>
      </c>
      <c r="C8458" t="s">
        <v>3670</v>
      </c>
      <c r="D8458" t="s">
        <v>35</v>
      </c>
      <c r="E8458" t="s">
        <v>36</v>
      </c>
      <c r="F8458" t="s">
        <v>37</v>
      </c>
      <c r="G8458">
        <v>1684620</v>
      </c>
      <c r="H8458" t="s">
        <v>26</v>
      </c>
      <c r="I8458" t="s">
        <v>38</v>
      </c>
      <c r="J8458" t="str">
        <f>"9781118418925"</f>
        <v>9781118418925</v>
      </c>
      <c r="K8458" t="s">
        <v>519</v>
      </c>
      <c r="L8458">
        <v>8</v>
      </c>
      <c r="O8458" t="s">
        <v>30</v>
      </c>
      <c r="P8458" t="s">
        <v>42</v>
      </c>
      <c r="S8458" t="s">
        <v>40</v>
      </c>
      <c r="T8458" t="s">
        <v>41</v>
      </c>
      <c r="U8458">
        <v>362.10680000000002</v>
      </c>
      <c r="V8458" s="3">
        <v>41759</v>
      </c>
    </row>
    <row r="8459" spans="1:22" x14ac:dyDescent="0.35">
      <c r="A8459" s="1">
        <v>42260.900648148148</v>
      </c>
      <c r="B8459" s="2">
        <v>6.6203703703703702E-3</v>
      </c>
      <c r="C8459" t="s">
        <v>12060</v>
      </c>
      <c r="D8459" t="s">
        <v>597</v>
      </c>
      <c r="E8459" t="s">
        <v>598</v>
      </c>
      <c r="F8459" t="s">
        <v>111</v>
      </c>
      <c r="G8459">
        <v>693176</v>
      </c>
      <c r="H8459" t="s">
        <v>26</v>
      </c>
      <c r="I8459" t="s">
        <v>112</v>
      </c>
      <c r="J8459" t="str">
        <f>"9781118017746"</f>
        <v>9781118017746</v>
      </c>
      <c r="K8459" t="s">
        <v>12085</v>
      </c>
      <c r="L8459">
        <v>67</v>
      </c>
      <c r="O8459" t="s">
        <v>30</v>
      </c>
      <c r="P8459" t="s">
        <v>42</v>
      </c>
      <c r="S8459" t="s">
        <v>600</v>
      </c>
      <c r="T8459" t="s">
        <v>114</v>
      </c>
      <c r="U8459" t="s">
        <v>115</v>
      </c>
      <c r="V8459" s="3">
        <v>40835</v>
      </c>
    </row>
    <row r="8460" spans="1:22" x14ac:dyDescent="0.35">
      <c r="A8460" s="1">
        <v>42260.897847222222</v>
      </c>
      <c r="B8460" s="2">
        <v>1.3819444444444445E-2</v>
      </c>
      <c r="C8460" t="s">
        <v>12086</v>
      </c>
      <c r="D8460" t="s">
        <v>23</v>
      </c>
      <c r="E8460" t="s">
        <v>24</v>
      </c>
      <c r="F8460" t="s">
        <v>12087</v>
      </c>
      <c r="G8460">
        <v>1543732</v>
      </c>
      <c r="H8460" t="s">
        <v>526</v>
      </c>
      <c r="I8460" t="s">
        <v>5134</v>
      </c>
      <c r="J8460" t="str">
        <f>"9780226046778"</f>
        <v>9780226046778</v>
      </c>
      <c r="K8460" t="s">
        <v>12088</v>
      </c>
      <c r="L8460">
        <v>9</v>
      </c>
      <c r="O8460" t="s">
        <v>30</v>
      </c>
      <c r="P8460" t="s">
        <v>47</v>
      </c>
      <c r="Q8460" s="1">
        <v>42260.897847222222</v>
      </c>
      <c r="R8460">
        <v>1</v>
      </c>
      <c r="S8460" t="s">
        <v>31</v>
      </c>
      <c r="T8460" t="s">
        <v>12089</v>
      </c>
      <c r="U8460" t="s">
        <v>12090</v>
      </c>
      <c r="V8460" s="3">
        <v>41600</v>
      </c>
    </row>
    <row r="8461" spans="1:22" x14ac:dyDescent="0.35">
      <c r="A8461" s="1">
        <v>42260.894756944443</v>
      </c>
      <c r="B8461" s="2">
        <v>3.3564814814814812E-4</v>
      </c>
      <c r="C8461" t="s">
        <v>106</v>
      </c>
      <c r="D8461" t="s">
        <v>23</v>
      </c>
      <c r="E8461" t="s">
        <v>24</v>
      </c>
      <c r="F8461" t="s">
        <v>486</v>
      </c>
      <c r="G8461">
        <v>1119505</v>
      </c>
      <c r="H8461" t="s">
        <v>26</v>
      </c>
      <c r="I8461" t="s">
        <v>450</v>
      </c>
      <c r="J8461" t="str">
        <f>"9781118355015"</f>
        <v>9781118355015</v>
      </c>
      <c r="K8461" t="s">
        <v>12091</v>
      </c>
      <c r="L8461">
        <v>12</v>
      </c>
      <c r="O8461" t="s">
        <v>30</v>
      </c>
      <c r="P8461" t="s">
        <v>29</v>
      </c>
      <c r="Q8461" s="1">
        <v>42257.783634259256</v>
      </c>
      <c r="R8461">
        <v>7</v>
      </c>
      <c r="S8461" t="s">
        <v>31</v>
      </c>
      <c r="T8461" t="s">
        <v>487</v>
      </c>
      <c r="U8461" t="s">
        <v>488</v>
      </c>
      <c r="V8461" s="3">
        <v>41302</v>
      </c>
    </row>
    <row r="8462" spans="1:22" x14ac:dyDescent="0.35">
      <c r="A8462" s="1">
        <v>42260.894189814811</v>
      </c>
      <c r="B8462" s="2">
        <v>3.6574074074074074E-3</v>
      </c>
      <c r="C8462" t="s">
        <v>12086</v>
      </c>
      <c r="D8462" t="s">
        <v>23</v>
      </c>
      <c r="E8462" t="s">
        <v>24</v>
      </c>
      <c r="F8462" t="s">
        <v>12087</v>
      </c>
      <c r="G8462">
        <v>1543732</v>
      </c>
      <c r="H8462" t="s">
        <v>526</v>
      </c>
      <c r="I8462" t="s">
        <v>5134</v>
      </c>
      <c r="J8462" t="str">
        <f>"9780226046778"</f>
        <v>9780226046778</v>
      </c>
      <c r="K8462" t="s">
        <v>12092</v>
      </c>
      <c r="L8462">
        <v>10</v>
      </c>
      <c r="O8462" t="s">
        <v>30</v>
      </c>
      <c r="P8462" t="s">
        <v>50</v>
      </c>
      <c r="S8462" t="s">
        <v>31</v>
      </c>
      <c r="T8462" t="s">
        <v>12089</v>
      </c>
      <c r="U8462" t="s">
        <v>12090</v>
      </c>
      <c r="V8462" s="3">
        <v>41600</v>
      </c>
    </row>
    <row r="8463" spans="1:22" x14ac:dyDescent="0.35">
      <c r="A8463" s="1">
        <v>42260.860405092593</v>
      </c>
      <c r="B8463" s="2">
        <v>1.3773148148148147E-3</v>
      </c>
      <c r="C8463" t="s">
        <v>6275</v>
      </c>
      <c r="D8463" t="s">
        <v>23</v>
      </c>
      <c r="E8463" t="s">
        <v>24</v>
      </c>
      <c r="F8463" t="s">
        <v>1051</v>
      </c>
      <c r="G8463">
        <v>821663</v>
      </c>
      <c r="H8463" t="s">
        <v>26</v>
      </c>
      <c r="I8463" t="s">
        <v>200</v>
      </c>
      <c r="J8463" t="str">
        <f>"9781118168479"</f>
        <v>9781118168479</v>
      </c>
      <c r="K8463" t="s">
        <v>12093</v>
      </c>
      <c r="L8463">
        <v>31</v>
      </c>
      <c r="O8463" t="s">
        <v>30</v>
      </c>
      <c r="P8463" t="s">
        <v>42</v>
      </c>
      <c r="S8463" t="s">
        <v>31</v>
      </c>
      <c r="T8463" t="s">
        <v>1053</v>
      </c>
      <c r="U8463">
        <v>729</v>
      </c>
      <c r="V8463" s="3">
        <v>40973</v>
      </c>
    </row>
    <row r="8464" spans="1:22" x14ac:dyDescent="0.35">
      <c r="A8464" s="1">
        <v>42260.785162037035</v>
      </c>
      <c r="B8464" s="2">
        <v>2.1527777777777778E-3</v>
      </c>
      <c r="C8464" t="s">
        <v>106</v>
      </c>
      <c r="D8464" t="s">
        <v>23</v>
      </c>
      <c r="E8464" t="s">
        <v>24</v>
      </c>
      <c r="F8464" t="s">
        <v>486</v>
      </c>
      <c r="G8464">
        <v>1119505</v>
      </c>
      <c r="H8464" t="s">
        <v>26</v>
      </c>
      <c r="I8464" t="s">
        <v>450</v>
      </c>
      <c r="J8464" t="str">
        <f>"9781118355015"</f>
        <v>9781118355015</v>
      </c>
      <c r="K8464" t="s">
        <v>12094</v>
      </c>
      <c r="L8464">
        <v>14</v>
      </c>
      <c r="O8464" t="s">
        <v>30</v>
      </c>
      <c r="P8464" t="s">
        <v>29</v>
      </c>
      <c r="Q8464" s="1">
        <v>42257.783634259256</v>
      </c>
      <c r="R8464">
        <v>7</v>
      </c>
      <c r="S8464" t="s">
        <v>31</v>
      </c>
      <c r="T8464" t="s">
        <v>487</v>
      </c>
      <c r="U8464" t="s">
        <v>488</v>
      </c>
      <c r="V8464" s="3">
        <v>41302</v>
      </c>
    </row>
    <row r="8465" spans="1:22" x14ac:dyDescent="0.35">
      <c r="A8465" s="1">
        <v>42260.753935185188</v>
      </c>
      <c r="B8465" s="2">
        <v>4.3981481481481481E-4</v>
      </c>
      <c r="C8465" t="s">
        <v>12013</v>
      </c>
      <c r="D8465" t="s">
        <v>23</v>
      </c>
      <c r="E8465" t="s">
        <v>24</v>
      </c>
      <c r="F8465" t="s">
        <v>9918</v>
      </c>
      <c r="G8465">
        <v>1790819</v>
      </c>
      <c r="H8465" t="s">
        <v>526</v>
      </c>
      <c r="I8465" t="s">
        <v>426</v>
      </c>
      <c r="J8465" t="str">
        <f>"9780226169095"</f>
        <v>9780226169095</v>
      </c>
      <c r="K8465" t="s">
        <v>12095</v>
      </c>
      <c r="L8465">
        <v>14</v>
      </c>
      <c r="O8465" t="s">
        <v>30</v>
      </c>
      <c r="P8465" t="s">
        <v>50</v>
      </c>
      <c r="S8465" t="s">
        <v>31</v>
      </c>
      <c r="T8465" t="s">
        <v>9920</v>
      </c>
      <c r="U8465" t="s">
        <v>9921</v>
      </c>
      <c r="V8465" s="3">
        <v>41932</v>
      </c>
    </row>
    <row r="8466" spans="1:22" x14ac:dyDescent="0.35">
      <c r="A8466" s="1">
        <v>42260.743101851855</v>
      </c>
      <c r="B8466" s="2">
        <v>6.2615740740740748E-3</v>
      </c>
      <c r="C8466" t="s">
        <v>210</v>
      </c>
      <c r="D8466" t="s">
        <v>211</v>
      </c>
      <c r="E8466" t="s">
        <v>212</v>
      </c>
      <c r="F8466" t="s">
        <v>3993</v>
      </c>
      <c r="G8466">
        <v>1798778</v>
      </c>
      <c r="H8466" t="s">
        <v>26</v>
      </c>
      <c r="I8466" t="s">
        <v>247</v>
      </c>
      <c r="J8466" t="str">
        <f t="shared" ref="J8466:J8472" si="59">"9781118760741"</f>
        <v>9781118760741</v>
      </c>
      <c r="K8466" t="s">
        <v>12096</v>
      </c>
      <c r="L8466">
        <v>16</v>
      </c>
      <c r="N8466" t="s">
        <v>12097</v>
      </c>
      <c r="O8466" t="s">
        <v>30</v>
      </c>
      <c r="P8466" t="s">
        <v>29</v>
      </c>
      <c r="Q8466" s="1">
        <v>42260.727372685185</v>
      </c>
      <c r="R8466">
        <v>7</v>
      </c>
      <c r="S8466" t="s">
        <v>214</v>
      </c>
      <c r="T8466" t="s">
        <v>3995</v>
      </c>
      <c r="U8466">
        <v>616.07500000000005</v>
      </c>
      <c r="V8466" s="3">
        <v>41906</v>
      </c>
    </row>
    <row r="8467" spans="1:22" x14ac:dyDescent="0.35">
      <c r="A8467" s="1">
        <v>42260.733229166668</v>
      </c>
      <c r="B8467" s="2">
        <v>1.3888888888888889E-4</v>
      </c>
      <c r="C8467" t="s">
        <v>210</v>
      </c>
      <c r="D8467" t="s">
        <v>211</v>
      </c>
      <c r="E8467" t="s">
        <v>212</v>
      </c>
      <c r="F8467" t="s">
        <v>3993</v>
      </c>
      <c r="G8467">
        <v>1798778</v>
      </c>
      <c r="H8467" t="s">
        <v>26</v>
      </c>
      <c r="I8467" t="s">
        <v>247</v>
      </c>
      <c r="J8467" t="str">
        <f t="shared" si="59"/>
        <v>9781118760741</v>
      </c>
      <c r="K8467" t="s">
        <v>209</v>
      </c>
      <c r="L8467">
        <v>4</v>
      </c>
      <c r="O8467" t="s">
        <v>30</v>
      </c>
      <c r="P8467" t="s">
        <v>29</v>
      </c>
      <c r="Q8467" s="1">
        <v>42260.727372685185</v>
      </c>
      <c r="R8467">
        <v>7</v>
      </c>
      <c r="S8467" t="s">
        <v>214</v>
      </c>
      <c r="T8467" t="s">
        <v>3995</v>
      </c>
      <c r="U8467">
        <v>616.07500000000005</v>
      </c>
      <c r="V8467" s="3">
        <v>41906</v>
      </c>
    </row>
    <row r="8468" spans="1:22" x14ac:dyDescent="0.35">
      <c r="A8468" s="1">
        <v>42260.731932870367</v>
      </c>
      <c r="B8468" s="2">
        <v>1.1574074074074073E-5</v>
      </c>
      <c r="C8468" t="s">
        <v>210</v>
      </c>
      <c r="D8468" t="s">
        <v>211</v>
      </c>
      <c r="E8468" t="s">
        <v>212</v>
      </c>
      <c r="F8468" t="s">
        <v>3993</v>
      </c>
      <c r="G8468">
        <v>1798778</v>
      </c>
      <c r="H8468" t="s">
        <v>26</v>
      </c>
      <c r="I8468" t="s">
        <v>247</v>
      </c>
      <c r="J8468" t="str">
        <f t="shared" si="59"/>
        <v>9781118760741</v>
      </c>
      <c r="K8468" t="s">
        <v>12098</v>
      </c>
      <c r="L8468">
        <v>2</v>
      </c>
      <c r="O8468" t="s">
        <v>30</v>
      </c>
      <c r="P8468" t="s">
        <v>29</v>
      </c>
      <c r="Q8468" s="1">
        <v>42260.731932870367</v>
      </c>
      <c r="R8468">
        <v>7</v>
      </c>
      <c r="S8468" t="s">
        <v>214</v>
      </c>
      <c r="T8468" t="s">
        <v>3995</v>
      </c>
      <c r="U8468">
        <v>616.07500000000005</v>
      </c>
      <c r="V8468" s="3">
        <v>41906</v>
      </c>
    </row>
    <row r="8469" spans="1:22" x14ac:dyDescent="0.35">
      <c r="A8469" s="1">
        <v>42260.731168981481</v>
      </c>
      <c r="B8469" s="2">
        <v>5.7523148148148143E-3</v>
      </c>
      <c r="C8469" t="s">
        <v>210</v>
      </c>
      <c r="D8469" t="s">
        <v>211</v>
      </c>
      <c r="E8469" t="s">
        <v>212</v>
      </c>
      <c r="F8469" t="s">
        <v>3993</v>
      </c>
      <c r="G8469">
        <v>1798778</v>
      </c>
      <c r="H8469" t="s">
        <v>26</v>
      </c>
      <c r="I8469" t="s">
        <v>247</v>
      </c>
      <c r="J8469" t="str">
        <f t="shared" si="59"/>
        <v>9781118760741</v>
      </c>
      <c r="K8469" t="s">
        <v>12099</v>
      </c>
      <c r="L8469">
        <v>45</v>
      </c>
      <c r="O8469" t="s">
        <v>30</v>
      </c>
      <c r="P8469" t="s">
        <v>29</v>
      </c>
      <c r="Q8469" s="1">
        <v>42260.727372685185</v>
      </c>
      <c r="R8469">
        <v>7</v>
      </c>
      <c r="S8469" t="s">
        <v>214</v>
      </c>
      <c r="T8469" t="s">
        <v>3995</v>
      </c>
      <c r="U8469">
        <v>616.07500000000005</v>
      </c>
      <c r="V8469" s="3">
        <v>41906</v>
      </c>
    </row>
    <row r="8470" spans="1:22" x14ac:dyDescent="0.35">
      <c r="A8470" s="1">
        <v>42260.727372685185</v>
      </c>
      <c r="B8470" s="2">
        <v>1.9675925925925926E-4</v>
      </c>
      <c r="C8470" t="s">
        <v>210</v>
      </c>
      <c r="D8470" t="s">
        <v>211</v>
      </c>
      <c r="E8470" t="s">
        <v>212</v>
      </c>
      <c r="F8470" t="s">
        <v>3993</v>
      </c>
      <c r="G8470">
        <v>1798778</v>
      </c>
      <c r="H8470" t="s">
        <v>26</v>
      </c>
      <c r="I8470" t="s">
        <v>247</v>
      </c>
      <c r="J8470" t="str">
        <f t="shared" si="59"/>
        <v>9781118760741</v>
      </c>
      <c r="K8470" t="s">
        <v>2078</v>
      </c>
      <c r="L8470">
        <v>6</v>
      </c>
      <c r="N8470" t="s">
        <v>12100</v>
      </c>
      <c r="O8470" t="s">
        <v>30</v>
      </c>
      <c r="P8470" t="s">
        <v>29</v>
      </c>
      <c r="Q8470" s="1">
        <v>42260.727372685185</v>
      </c>
      <c r="R8470">
        <v>7</v>
      </c>
      <c r="S8470" t="s">
        <v>214</v>
      </c>
      <c r="T8470" t="s">
        <v>3995</v>
      </c>
      <c r="U8470">
        <v>616.07500000000005</v>
      </c>
      <c r="V8470" s="3">
        <v>41906</v>
      </c>
    </row>
    <row r="8471" spans="1:22" x14ac:dyDescent="0.35">
      <c r="A8471" s="1">
        <v>42260.71671296296</v>
      </c>
      <c r="B8471" s="2">
        <v>1.0659722222222221E-2</v>
      </c>
      <c r="C8471" t="s">
        <v>210</v>
      </c>
      <c r="D8471" t="s">
        <v>211</v>
      </c>
      <c r="E8471" t="s">
        <v>212</v>
      </c>
      <c r="F8471" t="s">
        <v>3993</v>
      </c>
      <c r="G8471">
        <v>1798778</v>
      </c>
      <c r="H8471" t="s">
        <v>26</v>
      </c>
      <c r="I8471" t="s">
        <v>247</v>
      </c>
      <c r="J8471" t="str">
        <f t="shared" si="59"/>
        <v>9781118760741</v>
      </c>
      <c r="K8471" t="s">
        <v>12101</v>
      </c>
      <c r="L8471">
        <v>6</v>
      </c>
      <c r="O8471" t="s">
        <v>30</v>
      </c>
      <c r="P8471" t="s">
        <v>42</v>
      </c>
      <c r="S8471" t="s">
        <v>214</v>
      </c>
      <c r="T8471" t="s">
        <v>3995</v>
      </c>
      <c r="U8471">
        <v>616.07500000000005</v>
      </c>
      <c r="V8471" s="3">
        <v>41906</v>
      </c>
    </row>
    <row r="8472" spans="1:22" x14ac:dyDescent="0.35">
      <c r="A8472" s="1">
        <v>42260.715949074074</v>
      </c>
      <c r="B8472" s="2">
        <v>1.5983796296296295E-2</v>
      </c>
      <c r="C8472" t="s">
        <v>210</v>
      </c>
      <c r="D8472" t="s">
        <v>211</v>
      </c>
      <c r="E8472" t="s">
        <v>212</v>
      </c>
      <c r="F8472" t="s">
        <v>3993</v>
      </c>
      <c r="G8472">
        <v>1798778</v>
      </c>
      <c r="H8472" t="s">
        <v>26</v>
      </c>
      <c r="I8472" t="s">
        <v>247</v>
      </c>
      <c r="J8472" t="str">
        <f t="shared" si="59"/>
        <v>9781118760741</v>
      </c>
      <c r="K8472" t="s">
        <v>12102</v>
      </c>
      <c r="L8472">
        <v>8</v>
      </c>
      <c r="O8472" t="s">
        <v>30</v>
      </c>
      <c r="P8472" t="s">
        <v>42</v>
      </c>
      <c r="S8472" t="s">
        <v>214</v>
      </c>
      <c r="T8472" t="s">
        <v>3995</v>
      </c>
      <c r="U8472">
        <v>616.07500000000005</v>
      </c>
      <c r="V8472" s="3">
        <v>41906</v>
      </c>
    </row>
    <row r="8473" spans="1:22" x14ac:dyDescent="0.35">
      <c r="A8473" s="1">
        <v>42260.715370370373</v>
      </c>
      <c r="B8473" s="2">
        <v>5.8043981481481481E-2</v>
      </c>
      <c r="C8473" t="s">
        <v>4041</v>
      </c>
      <c r="D8473" t="s">
        <v>23</v>
      </c>
      <c r="E8473" t="s">
        <v>24</v>
      </c>
      <c r="F8473" t="s">
        <v>3060</v>
      </c>
      <c r="G8473">
        <v>1120279</v>
      </c>
      <c r="H8473" t="s">
        <v>26</v>
      </c>
      <c r="I8473" t="s">
        <v>3061</v>
      </c>
      <c r="J8473" t="str">
        <f>"9781118537671"</f>
        <v>9781118537671</v>
      </c>
      <c r="K8473" t="s">
        <v>12103</v>
      </c>
      <c r="L8473">
        <v>31</v>
      </c>
      <c r="O8473" t="s">
        <v>30</v>
      </c>
      <c r="P8473" t="s">
        <v>29</v>
      </c>
      <c r="Q8473" s="1">
        <v>42260.687407407408</v>
      </c>
      <c r="R8473">
        <v>7</v>
      </c>
      <c r="S8473" t="s">
        <v>31</v>
      </c>
      <c r="T8473" t="s">
        <v>3063</v>
      </c>
      <c r="U8473">
        <v>599.93499999999995</v>
      </c>
      <c r="V8473" s="3">
        <v>41232</v>
      </c>
    </row>
    <row r="8474" spans="1:22" x14ac:dyDescent="0.35">
      <c r="A8474" s="1">
        <v>42260.698518518519</v>
      </c>
      <c r="B8474" s="2">
        <v>1.4814814814814814E-3</v>
      </c>
      <c r="C8474" t="s">
        <v>5033</v>
      </c>
      <c r="D8474" t="s">
        <v>23</v>
      </c>
      <c r="E8474" t="s">
        <v>24</v>
      </c>
      <c r="F8474" t="s">
        <v>4594</v>
      </c>
      <c r="G8474">
        <v>1872281</v>
      </c>
      <c r="H8474" t="s">
        <v>91</v>
      </c>
      <c r="I8474" t="s">
        <v>2133</v>
      </c>
      <c r="J8474" t="str">
        <f>"9781462519606"</f>
        <v>9781462519606</v>
      </c>
      <c r="K8474" t="s">
        <v>12104</v>
      </c>
      <c r="L8474">
        <v>22</v>
      </c>
      <c r="O8474" t="s">
        <v>30</v>
      </c>
      <c r="P8474" t="s">
        <v>42</v>
      </c>
      <c r="S8474" t="s">
        <v>31</v>
      </c>
      <c r="T8474" t="s">
        <v>4596</v>
      </c>
      <c r="U8474">
        <v>378.101</v>
      </c>
      <c r="V8474" s="3">
        <v>42150</v>
      </c>
    </row>
    <row r="8475" spans="1:22" x14ac:dyDescent="0.35">
      <c r="A8475" s="1">
        <v>42260.687407407408</v>
      </c>
      <c r="B8475" s="2">
        <v>1.7361111111111112E-4</v>
      </c>
      <c r="C8475" t="s">
        <v>4041</v>
      </c>
      <c r="D8475" t="s">
        <v>23</v>
      </c>
      <c r="E8475" t="s">
        <v>24</v>
      </c>
      <c r="F8475" t="s">
        <v>3060</v>
      </c>
      <c r="G8475">
        <v>1120279</v>
      </c>
      <c r="H8475" t="s">
        <v>26</v>
      </c>
      <c r="I8475" t="s">
        <v>3061</v>
      </c>
      <c r="J8475" t="str">
        <f>"9781118537671"</f>
        <v>9781118537671</v>
      </c>
      <c r="K8475" t="s">
        <v>12105</v>
      </c>
      <c r="L8475">
        <v>3</v>
      </c>
      <c r="O8475" t="s">
        <v>30</v>
      </c>
      <c r="P8475" t="s">
        <v>29</v>
      </c>
      <c r="Q8475" s="1">
        <v>42260.687407407408</v>
      </c>
      <c r="R8475">
        <v>7</v>
      </c>
      <c r="S8475" t="s">
        <v>31</v>
      </c>
      <c r="T8475" t="s">
        <v>3063</v>
      </c>
      <c r="U8475">
        <v>599.93499999999995</v>
      </c>
      <c r="V8475" s="3">
        <v>41232</v>
      </c>
    </row>
    <row r="8476" spans="1:22" x14ac:dyDescent="0.35">
      <c r="A8476" s="1">
        <v>42260.679710648146</v>
      </c>
      <c r="B8476" s="2">
        <v>7.6851851851851847E-3</v>
      </c>
      <c r="C8476" t="s">
        <v>4041</v>
      </c>
      <c r="D8476" t="s">
        <v>23</v>
      </c>
      <c r="E8476" t="s">
        <v>24</v>
      </c>
      <c r="F8476" t="s">
        <v>3060</v>
      </c>
      <c r="G8476">
        <v>1120279</v>
      </c>
      <c r="H8476" t="s">
        <v>26</v>
      </c>
      <c r="I8476" t="s">
        <v>3061</v>
      </c>
      <c r="J8476" t="str">
        <f>"9781118537671"</f>
        <v>9781118537671</v>
      </c>
      <c r="K8476" t="s">
        <v>12106</v>
      </c>
      <c r="L8476">
        <v>19</v>
      </c>
      <c r="O8476" t="s">
        <v>30</v>
      </c>
      <c r="P8476" t="s">
        <v>42</v>
      </c>
      <c r="S8476" t="s">
        <v>31</v>
      </c>
      <c r="T8476" t="s">
        <v>3063</v>
      </c>
      <c r="U8476">
        <v>599.93499999999995</v>
      </c>
      <c r="V8476" s="3">
        <v>41232</v>
      </c>
    </row>
    <row r="8477" spans="1:22" x14ac:dyDescent="0.35">
      <c r="A8477" s="1">
        <v>42260.177905092591</v>
      </c>
      <c r="B8477" s="2">
        <v>4.1666666666666669E-4</v>
      </c>
      <c r="C8477" t="s">
        <v>106</v>
      </c>
      <c r="D8477" t="s">
        <v>23</v>
      </c>
      <c r="E8477" t="s">
        <v>24</v>
      </c>
      <c r="F8477" t="s">
        <v>486</v>
      </c>
      <c r="G8477">
        <v>1119505</v>
      </c>
      <c r="H8477" t="s">
        <v>26</v>
      </c>
      <c r="I8477" t="s">
        <v>450</v>
      </c>
      <c r="J8477" t="str">
        <f>"9781118355015"</f>
        <v>9781118355015</v>
      </c>
      <c r="K8477" t="s">
        <v>12107</v>
      </c>
      <c r="L8477">
        <v>8</v>
      </c>
      <c r="O8477" t="s">
        <v>30</v>
      </c>
      <c r="P8477" t="s">
        <v>29</v>
      </c>
      <c r="Q8477" s="1">
        <v>42257.783634259256</v>
      </c>
      <c r="R8477">
        <v>7</v>
      </c>
      <c r="S8477" t="s">
        <v>31</v>
      </c>
      <c r="T8477" t="s">
        <v>487</v>
      </c>
      <c r="U8477" t="s">
        <v>488</v>
      </c>
      <c r="V8477" s="3">
        <v>41302</v>
      </c>
    </row>
    <row r="8478" spans="1:22" x14ac:dyDescent="0.35">
      <c r="A8478" s="1">
        <v>42260.145740740743</v>
      </c>
      <c r="B8478" s="2">
        <v>6.0381944444444446E-2</v>
      </c>
      <c r="C8478" t="s">
        <v>4205</v>
      </c>
      <c r="D8478" t="s">
        <v>597</v>
      </c>
      <c r="E8478" t="s">
        <v>598</v>
      </c>
      <c r="F8478" t="s">
        <v>111</v>
      </c>
      <c r="G8478">
        <v>693176</v>
      </c>
      <c r="H8478" t="s">
        <v>26</v>
      </c>
      <c r="I8478" t="s">
        <v>112</v>
      </c>
      <c r="J8478" t="str">
        <f>"9781118017746"</f>
        <v>9781118017746</v>
      </c>
      <c r="K8478" t="s">
        <v>12108</v>
      </c>
      <c r="L8478">
        <v>34</v>
      </c>
      <c r="O8478" t="s">
        <v>30</v>
      </c>
      <c r="P8478" t="s">
        <v>29</v>
      </c>
      <c r="Q8478" s="1">
        <v>42258.107858796298</v>
      </c>
      <c r="R8478">
        <v>7</v>
      </c>
      <c r="S8478" t="s">
        <v>600</v>
      </c>
      <c r="T8478" t="s">
        <v>114</v>
      </c>
      <c r="U8478" t="s">
        <v>115</v>
      </c>
      <c r="V8478" s="3">
        <v>40835</v>
      </c>
    </row>
    <row r="8479" spans="1:22" x14ac:dyDescent="0.35">
      <c r="A8479" s="1">
        <v>42260.112546296295</v>
      </c>
      <c r="B8479" s="2">
        <v>3.5069444444444445E-3</v>
      </c>
      <c r="C8479" t="s">
        <v>3595</v>
      </c>
      <c r="D8479" t="s">
        <v>23</v>
      </c>
      <c r="E8479" t="s">
        <v>24</v>
      </c>
      <c r="F8479" t="s">
        <v>3559</v>
      </c>
      <c r="G8479">
        <v>1217954</v>
      </c>
      <c r="H8479" t="s">
        <v>45</v>
      </c>
      <c r="I8479" t="s">
        <v>3560</v>
      </c>
      <c r="J8479" t="str">
        <f>"9781409457558"</f>
        <v>9781409457558</v>
      </c>
      <c r="K8479" t="s">
        <v>12109</v>
      </c>
      <c r="L8479">
        <v>13</v>
      </c>
      <c r="O8479" t="s">
        <v>30</v>
      </c>
      <c r="P8479" t="s">
        <v>29</v>
      </c>
      <c r="Q8479" s="1">
        <v>42258.811689814815</v>
      </c>
      <c r="R8479">
        <v>7</v>
      </c>
      <c r="S8479" t="s">
        <v>31</v>
      </c>
      <c r="T8479" t="s">
        <v>3562</v>
      </c>
      <c r="U8479" t="s">
        <v>3563</v>
      </c>
      <c r="V8479" s="3">
        <v>41575</v>
      </c>
    </row>
    <row r="8480" spans="1:22" x14ac:dyDescent="0.35">
      <c r="A8480" s="1">
        <v>42260.084999999999</v>
      </c>
      <c r="B8480" s="2">
        <v>2.78125E-2</v>
      </c>
      <c r="C8480" t="s">
        <v>4205</v>
      </c>
      <c r="D8480" t="s">
        <v>597</v>
      </c>
      <c r="E8480" t="s">
        <v>598</v>
      </c>
      <c r="F8480" t="s">
        <v>111</v>
      </c>
      <c r="G8480">
        <v>693176</v>
      </c>
      <c r="H8480" t="s">
        <v>26</v>
      </c>
      <c r="I8480" t="s">
        <v>112</v>
      </c>
      <c r="J8480" t="str">
        <f>"9781118017746"</f>
        <v>9781118017746</v>
      </c>
      <c r="K8480" t="s">
        <v>12110</v>
      </c>
      <c r="L8480">
        <v>27</v>
      </c>
      <c r="O8480" t="s">
        <v>30</v>
      </c>
      <c r="P8480" t="s">
        <v>29</v>
      </c>
      <c r="Q8480" s="1">
        <v>42258.107858796298</v>
      </c>
      <c r="R8480">
        <v>7</v>
      </c>
      <c r="S8480" t="s">
        <v>600</v>
      </c>
      <c r="T8480" t="s">
        <v>114</v>
      </c>
      <c r="U8480" t="s">
        <v>115</v>
      </c>
      <c r="V8480" s="3">
        <v>40835</v>
      </c>
    </row>
    <row r="8481" spans="1:22" x14ac:dyDescent="0.35">
      <c r="A8481" s="1">
        <v>42260.081493055557</v>
      </c>
      <c r="B8481" s="2">
        <v>2.4189814814814816E-3</v>
      </c>
      <c r="C8481" t="s">
        <v>4205</v>
      </c>
      <c r="D8481" t="s">
        <v>597</v>
      </c>
      <c r="E8481" t="s">
        <v>598</v>
      </c>
      <c r="F8481" t="s">
        <v>111</v>
      </c>
      <c r="G8481">
        <v>693176</v>
      </c>
      <c r="H8481" t="s">
        <v>26</v>
      </c>
      <c r="I8481" t="s">
        <v>112</v>
      </c>
      <c r="J8481" t="str">
        <f>"9781118017746"</f>
        <v>9781118017746</v>
      </c>
      <c r="K8481" t="s">
        <v>12111</v>
      </c>
      <c r="L8481">
        <v>5</v>
      </c>
      <c r="O8481" t="s">
        <v>30</v>
      </c>
      <c r="P8481" t="s">
        <v>29</v>
      </c>
      <c r="Q8481" s="1">
        <v>42258.107858796298</v>
      </c>
      <c r="R8481">
        <v>7</v>
      </c>
      <c r="S8481" t="s">
        <v>600</v>
      </c>
      <c r="T8481" t="s">
        <v>114</v>
      </c>
      <c r="U8481" t="s">
        <v>115</v>
      </c>
      <c r="V8481" s="3">
        <v>40835</v>
      </c>
    </row>
    <row r="8482" spans="1:22" x14ac:dyDescent="0.35">
      <c r="A8482" s="1">
        <v>42260.016018518516</v>
      </c>
      <c r="B8482" s="2">
        <v>4.8009259259259258E-2</v>
      </c>
      <c r="C8482" t="s">
        <v>11520</v>
      </c>
      <c r="D8482" t="s">
        <v>35</v>
      </c>
      <c r="E8482" t="s">
        <v>36</v>
      </c>
      <c r="F8482" t="s">
        <v>37</v>
      </c>
      <c r="G8482">
        <v>1684620</v>
      </c>
      <c r="H8482" t="s">
        <v>26</v>
      </c>
      <c r="I8482" t="s">
        <v>38</v>
      </c>
      <c r="J8482" t="str">
        <f>"9781118418925"</f>
        <v>9781118418925</v>
      </c>
      <c r="K8482" t="s">
        <v>12112</v>
      </c>
      <c r="L8482">
        <v>91</v>
      </c>
      <c r="O8482" t="s">
        <v>30</v>
      </c>
      <c r="P8482" t="s">
        <v>29</v>
      </c>
      <c r="Q8482" s="1">
        <v>42259.928055555552</v>
      </c>
      <c r="R8482">
        <v>7</v>
      </c>
      <c r="S8482" t="s">
        <v>40</v>
      </c>
      <c r="T8482" t="s">
        <v>41</v>
      </c>
      <c r="U8482">
        <v>362.10680000000002</v>
      </c>
      <c r="V8482" s="3">
        <v>41759</v>
      </c>
    </row>
    <row r="8483" spans="1:22" x14ac:dyDescent="0.35">
      <c r="A8483" s="1">
        <v>42259.993530092594</v>
      </c>
      <c r="B8483" s="2">
        <v>2.5462962962962961E-4</v>
      </c>
      <c r="C8483" t="s">
        <v>12113</v>
      </c>
      <c r="D8483" t="s">
        <v>23</v>
      </c>
      <c r="E8483" t="s">
        <v>24</v>
      </c>
      <c r="F8483" t="s">
        <v>2132</v>
      </c>
      <c r="G8483">
        <v>821801</v>
      </c>
      <c r="H8483" t="s">
        <v>26</v>
      </c>
      <c r="I8483" t="s">
        <v>2133</v>
      </c>
      <c r="J8483" t="str">
        <f>"9781118224144"</f>
        <v>9781118224144</v>
      </c>
      <c r="K8483" t="s">
        <v>12114</v>
      </c>
      <c r="L8483">
        <v>10</v>
      </c>
      <c r="O8483" t="s">
        <v>30</v>
      </c>
      <c r="P8483" t="s">
        <v>42</v>
      </c>
      <c r="S8483" t="s">
        <v>31</v>
      </c>
      <c r="T8483" t="s">
        <v>2135</v>
      </c>
      <c r="U8483">
        <v>658.00760000000002</v>
      </c>
      <c r="V8483" s="3">
        <v>40974</v>
      </c>
    </row>
    <row r="8484" spans="1:22" x14ac:dyDescent="0.35">
      <c r="A8484" s="1">
        <v>42259.931701388887</v>
      </c>
      <c r="B8484" s="2">
        <v>1.8472222222222223E-2</v>
      </c>
      <c r="C8484" t="s">
        <v>11605</v>
      </c>
      <c r="D8484" t="s">
        <v>623</v>
      </c>
      <c r="E8484" t="s">
        <v>624</v>
      </c>
      <c r="F8484" t="s">
        <v>11606</v>
      </c>
      <c r="G8484">
        <v>1774195</v>
      </c>
      <c r="H8484" t="s">
        <v>45</v>
      </c>
      <c r="I8484" t="s">
        <v>150</v>
      </c>
      <c r="J8484" t="str">
        <f>"9781472421807"</f>
        <v>9781472421807</v>
      </c>
      <c r="K8484" t="s">
        <v>12115</v>
      </c>
      <c r="L8484">
        <v>12</v>
      </c>
      <c r="O8484" t="s">
        <v>30</v>
      </c>
      <c r="P8484" t="s">
        <v>47</v>
      </c>
      <c r="Q8484" s="1">
        <v>42259.755462962959</v>
      </c>
      <c r="R8484">
        <v>1</v>
      </c>
      <c r="S8484" t="s">
        <v>627</v>
      </c>
      <c r="T8484" t="s">
        <v>11608</v>
      </c>
      <c r="U8484">
        <v>781.64089999999999</v>
      </c>
      <c r="V8484" s="3">
        <v>41940</v>
      </c>
    </row>
    <row r="8485" spans="1:22" x14ac:dyDescent="0.35">
      <c r="A8485" s="1">
        <v>42259.928055555552</v>
      </c>
      <c r="B8485" s="2">
        <v>6.1331018518518521E-2</v>
      </c>
      <c r="C8485" t="s">
        <v>11520</v>
      </c>
      <c r="D8485" t="s">
        <v>35</v>
      </c>
      <c r="E8485" t="s">
        <v>36</v>
      </c>
      <c r="F8485" t="s">
        <v>37</v>
      </c>
      <c r="G8485">
        <v>1684620</v>
      </c>
      <c r="H8485" t="s">
        <v>26</v>
      </c>
      <c r="I8485" t="s">
        <v>38</v>
      </c>
      <c r="J8485" t="str">
        <f>"9781118418925"</f>
        <v>9781118418925</v>
      </c>
      <c r="K8485" t="s">
        <v>12116</v>
      </c>
      <c r="L8485">
        <v>22</v>
      </c>
      <c r="O8485" t="s">
        <v>30</v>
      </c>
      <c r="P8485" t="s">
        <v>29</v>
      </c>
      <c r="Q8485" s="1">
        <v>42259.928055555552</v>
      </c>
      <c r="R8485">
        <v>7</v>
      </c>
      <c r="S8485" t="s">
        <v>40</v>
      </c>
      <c r="T8485" t="s">
        <v>41</v>
      </c>
      <c r="U8485">
        <v>362.10680000000002</v>
      </c>
      <c r="V8485" s="3">
        <v>41759</v>
      </c>
    </row>
    <row r="8486" spans="1:22" x14ac:dyDescent="0.35">
      <c r="A8486" s="1">
        <v>42259.918888888889</v>
      </c>
      <c r="B8486" s="2">
        <v>9.1666666666666667E-3</v>
      </c>
      <c r="C8486" t="s">
        <v>11520</v>
      </c>
      <c r="D8486" t="s">
        <v>35</v>
      </c>
      <c r="E8486" t="s">
        <v>36</v>
      </c>
      <c r="F8486" t="s">
        <v>37</v>
      </c>
      <c r="G8486">
        <v>1684620</v>
      </c>
      <c r="H8486" t="s">
        <v>26</v>
      </c>
      <c r="I8486" t="s">
        <v>38</v>
      </c>
      <c r="J8486" t="str">
        <f>"9781118418925"</f>
        <v>9781118418925</v>
      </c>
      <c r="K8486" t="s">
        <v>2388</v>
      </c>
      <c r="L8486">
        <v>30</v>
      </c>
      <c r="O8486" t="s">
        <v>30</v>
      </c>
      <c r="P8486" t="s">
        <v>42</v>
      </c>
      <c r="S8486" t="s">
        <v>40</v>
      </c>
      <c r="T8486" t="s">
        <v>41</v>
      </c>
      <c r="U8486">
        <v>362.10680000000002</v>
      </c>
      <c r="V8486" s="3">
        <v>41759</v>
      </c>
    </row>
    <row r="8487" spans="1:22" x14ac:dyDescent="0.35">
      <c r="A8487" s="1">
        <v>42259.864988425928</v>
      </c>
      <c r="B8487" s="2">
        <v>8.2060185185185187E-3</v>
      </c>
      <c r="C8487" t="s">
        <v>11605</v>
      </c>
      <c r="D8487" t="s">
        <v>623</v>
      </c>
      <c r="E8487" t="s">
        <v>624</v>
      </c>
      <c r="F8487" t="s">
        <v>11606</v>
      </c>
      <c r="G8487">
        <v>1774195</v>
      </c>
      <c r="H8487" t="s">
        <v>45</v>
      </c>
      <c r="I8487" t="s">
        <v>150</v>
      </c>
      <c r="J8487" t="str">
        <f>"9781472421807"</f>
        <v>9781472421807</v>
      </c>
      <c r="K8487" t="s">
        <v>12117</v>
      </c>
      <c r="L8487">
        <v>11</v>
      </c>
      <c r="O8487" t="s">
        <v>30</v>
      </c>
      <c r="P8487" t="s">
        <v>47</v>
      </c>
      <c r="Q8487" s="1">
        <v>42259.755462962959</v>
      </c>
      <c r="R8487">
        <v>1</v>
      </c>
      <c r="S8487" t="s">
        <v>627</v>
      </c>
      <c r="T8487" t="s">
        <v>11608</v>
      </c>
      <c r="U8487">
        <v>781.64089999999999</v>
      </c>
      <c r="V8487" s="3">
        <v>41940</v>
      </c>
    </row>
    <row r="8488" spans="1:22" x14ac:dyDescent="0.35">
      <c r="A8488" s="1">
        <v>42259.840462962966</v>
      </c>
      <c r="B8488" s="2">
        <v>7.5231481481481471E-4</v>
      </c>
      <c r="C8488" t="s">
        <v>12118</v>
      </c>
      <c r="D8488" t="s">
        <v>1222</v>
      </c>
      <c r="E8488" t="s">
        <v>1223</v>
      </c>
      <c r="F8488" t="s">
        <v>12119</v>
      </c>
      <c r="G8488">
        <v>1610015</v>
      </c>
      <c r="H8488" t="s">
        <v>45</v>
      </c>
      <c r="I8488" t="s">
        <v>120</v>
      </c>
      <c r="J8488" t="str">
        <f>"9781472410054"</f>
        <v>9781472410054</v>
      </c>
      <c r="K8488" t="s">
        <v>12120</v>
      </c>
      <c r="L8488">
        <v>6</v>
      </c>
      <c r="O8488" t="s">
        <v>30</v>
      </c>
      <c r="P8488" t="s">
        <v>47</v>
      </c>
      <c r="Q8488" s="1">
        <v>42259.840462962966</v>
      </c>
      <c r="R8488">
        <v>1</v>
      </c>
      <c r="S8488" t="s">
        <v>1226</v>
      </c>
      <c r="T8488" t="s">
        <v>12121</v>
      </c>
      <c r="U8488" t="s">
        <v>12122</v>
      </c>
      <c r="V8488" s="3">
        <v>41726</v>
      </c>
    </row>
    <row r="8489" spans="1:22" x14ac:dyDescent="0.35">
      <c r="A8489" s="1">
        <v>42259.834953703707</v>
      </c>
      <c r="B8489" s="2">
        <v>5.5092592592592589E-3</v>
      </c>
      <c r="C8489" t="s">
        <v>12118</v>
      </c>
      <c r="D8489" t="s">
        <v>1222</v>
      </c>
      <c r="E8489" t="s">
        <v>1223</v>
      </c>
      <c r="F8489" t="s">
        <v>12119</v>
      </c>
      <c r="G8489">
        <v>1610015</v>
      </c>
      <c r="H8489" t="s">
        <v>45</v>
      </c>
      <c r="I8489" t="s">
        <v>120</v>
      </c>
      <c r="J8489" t="str">
        <f>"9781472410054"</f>
        <v>9781472410054</v>
      </c>
      <c r="K8489" t="s">
        <v>12123</v>
      </c>
      <c r="L8489">
        <v>22</v>
      </c>
      <c r="O8489" t="s">
        <v>30</v>
      </c>
      <c r="P8489" t="s">
        <v>50</v>
      </c>
      <c r="S8489" t="s">
        <v>1226</v>
      </c>
      <c r="T8489" t="s">
        <v>12121</v>
      </c>
      <c r="U8489" t="s">
        <v>12122</v>
      </c>
      <c r="V8489" s="3">
        <v>41726</v>
      </c>
    </row>
    <row r="8490" spans="1:22" x14ac:dyDescent="0.35">
      <c r="A8490" s="1">
        <v>42259.755879629629</v>
      </c>
      <c r="B8490" s="2">
        <v>7.8819444444444442E-2</v>
      </c>
      <c r="C8490" t="s">
        <v>11605</v>
      </c>
      <c r="D8490" t="s">
        <v>623</v>
      </c>
      <c r="E8490" t="s">
        <v>624</v>
      </c>
      <c r="F8490" t="s">
        <v>11606</v>
      </c>
      <c r="G8490">
        <v>1774195</v>
      </c>
      <c r="H8490" t="s">
        <v>45</v>
      </c>
      <c r="I8490" t="s">
        <v>150</v>
      </c>
      <c r="J8490" t="str">
        <f>"9781472421807"</f>
        <v>9781472421807</v>
      </c>
      <c r="K8490" t="s">
        <v>12124</v>
      </c>
      <c r="L8490">
        <v>28</v>
      </c>
      <c r="O8490" t="s">
        <v>30</v>
      </c>
      <c r="P8490" t="s">
        <v>47</v>
      </c>
      <c r="Q8490" s="1">
        <v>42259.755462962959</v>
      </c>
      <c r="R8490">
        <v>1</v>
      </c>
      <c r="S8490" t="s">
        <v>627</v>
      </c>
      <c r="T8490" t="s">
        <v>11608</v>
      </c>
      <c r="U8490">
        <v>781.64089999999999</v>
      </c>
      <c r="V8490" s="3">
        <v>41940</v>
      </c>
    </row>
    <row r="8491" spans="1:22" x14ac:dyDescent="0.35">
      <c r="A8491" s="1">
        <v>42259.755462962959</v>
      </c>
      <c r="B8491" s="2">
        <v>0</v>
      </c>
      <c r="C8491" t="s">
        <v>11605</v>
      </c>
      <c r="D8491" t="s">
        <v>623</v>
      </c>
      <c r="E8491" t="s">
        <v>624</v>
      </c>
      <c r="F8491" t="s">
        <v>11606</v>
      </c>
      <c r="G8491">
        <v>1774195</v>
      </c>
      <c r="H8491" t="s">
        <v>45</v>
      </c>
      <c r="I8491" t="s">
        <v>150</v>
      </c>
      <c r="J8491" t="str">
        <f>"9781472421807"</f>
        <v>9781472421807</v>
      </c>
      <c r="L8491">
        <v>0</v>
      </c>
      <c r="O8491" t="s">
        <v>28</v>
      </c>
      <c r="P8491" t="s">
        <v>47</v>
      </c>
      <c r="Q8491" s="1">
        <v>42259.755462962959</v>
      </c>
      <c r="R8491">
        <v>1</v>
      </c>
      <c r="S8491" t="s">
        <v>627</v>
      </c>
      <c r="T8491" t="s">
        <v>11608</v>
      </c>
      <c r="U8491">
        <v>781.64089999999999</v>
      </c>
      <c r="V8491" s="3">
        <v>41940</v>
      </c>
    </row>
    <row r="8492" spans="1:22" x14ac:dyDescent="0.35">
      <c r="A8492" s="1">
        <v>42259.755462962959</v>
      </c>
      <c r="B8492" s="2">
        <v>0</v>
      </c>
      <c r="C8492" t="s">
        <v>11605</v>
      </c>
      <c r="D8492" t="s">
        <v>623</v>
      </c>
      <c r="E8492" t="s">
        <v>624</v>
      </c>
      <c r="F8492" t="s">
        <v>11606</v>
      </c>
      <c r="G8492">
        <v>1774195</v>
      </c>
      <c r="H8492" t="s">
        <v>45</v>
      </c>
      <c r="I8492" t="s">
        <v>150</v>
      </c>
      <c r="J8492" t="str">
        <f>"9781472421807"</f>
        <v>9781472421807</v>
      </c>
      <c r="L8492">
        <v>0</v>
      </c>
      <c r="O8492" t="s">
        <v>30</v>
      </c>
      <c r="P8492" t="s">
        <v>47</v>
      </c>
      <c r="Q8492" s="1">
        <v>42259.755462962959</v>
      </c>
      <c r="R8492">
        <v>1</v>
      </c>
      <c r="S8492" t="s">
        <v>627</v>
      </c>
      <c r="T8492" t="s">
        <v>11608</v>
      </c>
      <c r="U8492">
        <v>781.64089999999999</v>
      </c>
      <c r="V8492" s="3">
        <v>41940</v>
      </c>
    </row>
    <row r="8493" spans="1:22" x14ac:dyDescent="0.35">
      <c r="A8493" s="1">
        <v>42259.754537037035</v>
      </c>
      <c r="B8493" s="2">
        <v>9.1435185185185185E-4</v>
      </c>
      <c r="C8493" t="s">
        <v>11605</v>
      </c>
      <c r="D8493" t="s">
        <v>623</v>
      </c>
      <c r="E8493" t="s">
        <v>624</v>
      </c>
      <c r="F8493" t="s">
        <v>11606</v>
      </c>
      <c r="G8493">
        <v>1774195</v>
      </c>
      <c r="H8493" t="s">
        <v>45</v>
      </c>
      <c r="I8493" t="s">
        <v>150</v>
      </c>
      <c r="J8493" t="str">
        <f>"9781472421807"</f>
        <v>9781472421807</v>
      </c>
      <c r="K8493" t="s">
        <v>12125</v>
      </c>
      <c r="L8493">
        <v>18</v>
      </c>
      <c r="O8493" t="s">
        <v>30</v>
      </c>
      <c r="P8493" t="s">
        <v>50</v>
      </c>
      <c r="S8493" t="s">
        <v>627</v>
      </c>
      <c r="T8493" t="s">
        <v>11608</v>
      </c>
      <c r="U8493">
        <v>781.64089999999999</v>
      </c>
      <c r="V8493" s="3">
        <v>41940</v>
      </c>
    </row>
    <row r="8494" spans="1:22" x14ac:dyDescent="0.35">
      <c r="A8494" s="1">
        <v>42259.495636574073</v>
      </c>
      <c r="B8494" s="2">
        <v>0</v>
      </c>
      <c r="C8494" t="s">
        <v>12126</v>
      </c>
      <c r="D8494" t="s">
        <v>23</v>
      </c>
      <c r="E8494" t="s">
        <v>24</v>
      </c>
      <c r="F8494" t="s">
        <v>12127</v>
      </c>
      <c r="G8494">
        <v>1808789</v>
      </c>
      <c r="H8494" t="s">
        <v>45</v>
      </c>
      <c r="I8494" t="s">
        <v>172</v>
      </c>
      <c r="J8494" t="str">
        <f>"9781472439352"</f>
        <v>9781472439352</v>
      </c>
      <c r="L8494">
        <v>0</v>
      </c>
      <c r="O8494" t="s">
        <v>28</v>
      </c>
      <c r="P8494" t="s">
        <v>47</v>
      </c>
      <c r="Q8494" s="1">
        <v>42259.495636574073</v>
      </c>
      <c r="R8494">
        <v>1</v>
      </c>
      <c r="S8494" t="s">
        <v>31</v>
      </c>
      <c r="T8494" t="s">
        <v>12128</v>
      </c>
      <c r="U8494" t="s">
        <v>12129</v>
      </c>
      <c r="V8494" s="3">
        <v>41971</v>
      </c>
    </row>
    <row r="8495" spans="1:22" x14ac:dyDescent="0.35">
      <c r="A8495" s="1">
        <v>42259.495636574073</v>
      </c>
      <c r="B8495" s="2">
        <v>0</v>
      </c>
      <c r="C8495" t="s">
        <v>12126</v>
      </c>
      <c r="D8495" t="s">
        <v>23</v>
      </c>
      <c r="E8495" t="s">
        <v>24</v>
      </c>
      <c r="F8495" t="s">
        <v>12127</v>
      </c>
      <c r="G8495">
        <v>1808789</v>
      </c>
      <c r="H8495" t="s">
        <v>45</v>
      </c>
      <c r="I8495" t="s">
        <v>172</v>
      </c>
      <c r="J8495" t="str">
        <f>"9781472439352"</f>
        <v>9781472439352</v>
      </c>
      <c r="L8495">
        <v>0</v>
      </c>
      <c r="O8495" t="s">
        <v>30</v>
      </c>
      <c r="P8495" t="s">
        <v>47</v>
      </c>
      <c r="Q8495" s="1">
        <v>42259.495636574073</v>
      </c>
      <c r="R8495">
        <v>1</v>
      </c>
      <c r="S8495" t="s">
        <v>31</v>
      </c>
      <c r="T8495" t="s">
        <v>12128</v>
      </c>
      <c r="U8495" t="s">
        <v>12129</v>
      </c>
      <c r="V8495" s="3">
        <v>41971</v>
      </c>
    </row>
    <row r="8496" spans="1:22" x14ac:dyDescent="0.35">
      <c r="A8496" s="1">
        <v>42259.495243055557</v>
      </c>
      <c r="B8496" s="2">
        <v>3.9351851851851852E-4</v>
      </c>
      <c r="C8496" t="s">
        <v>12126</v>
      </c>
      <c r="D8496" t="s">
        <v>23</v>
      </c>
      <c r="E8496" t="s">
        <v>24</v>
      </c>
      <c r="F8496" t="s">
        <v>12127</v>
      </c>
      <c r="G8496">
        <v>1808789</v>
      </c>
      <c r="H8496" t="s">
        <v>45</v>
      </c>
      <c r="I8496" t="s">
        <v>172</v>
      </c>
      <c r="J8496" t="str">
        <f>"9781472439352"</f>
        <v>9781472439352</v>
      </c>
      <c r="K8496" t="s">
        <v>33</v>
      </c>
      <c r="L8496">
        <v>3</v>
      </c>
      <c r="O8496" t="s">
        <v>30</v>
      </c>
      <c r="P8496" t="s">
        <v>50</v>
      </c>
      <c r="S8496" t="s">
        <v>31</v>
      </c>
      <c r="T8496" t="s">
        <v>12128</v>
      </c>
      <c r="U8496" t="s">
        <v>12129</v>
      </c>
      <c r="V8496" s="3">
        <v>41971</v>
      </c>
    </row>
    <row r="8497" spans="1:22" x14ac:dyDescent="0.35">
      <c r="A8497" s="1">
        <v>42259.135289351849</v>
      </c>
      <c r="B8497" s="2">
        <v>5.5555555555555556E-4</v>
      </c>
      <c r="C8497" t="s">
        <v>12130</v>
      </c>
      <c r="D8497" t="s">
        <v>1222</v>
      </c>
      <c r="E8497" t="s">
        <v>1223</v>
      </c>
      <c r="F8497" t="s">
        <v>11820</v>
      </c>
      <c r="G8497">
        <v>1024333</v>
      </c>
      <c r="H8497" t="s">
        <v>91</v>
      </c>
      <c r="I8497" t="s">
        <v>69</v>
      </c>
      <c r="J8497" t="str">
        <f>"9781462506439"</f>
        <v>9781462506439</v>
      </c>
      <c r="K8497" t="s">
        <v>12131</v>
      </c>
      <c r="L8497">
        <v>23</v>
      </c>
      <c r="O8497" t="s">
        <v>30</v>
      </c>
      <c r="P8497" t="s">
        <v>42</v>
      </c>
      <c r="S8497" t="s">
        <v>1226</v>
      </c>
      <c r="T8497" t="s">
        <v>11823</v>
      </c>
      <c r="U8497">
        <v>372.41</v>
      </c>
      <c r="V8497" s="3">
        <v>41773</v>
      </c>
    </row>
    <row r="8498" spans="1:22" x14ac:dyDescent="0.35">
      <c r="A8498" s="1">
        <v>42258.927175925928</v>
      </c>
      <c r="B8498" s="2">
        <v>0</v>
      </c>
      <c r="C8498" t="s">
        <v>12132</v>
      </c>
      <c r="D8498" t="s">
        <v>23</v>
      </c>
      <c r="E8498" t="s">
        <v>24</v>
      </c>
      <c r="F8498" t="s">
        <v>3060</v>
      </c>
      <c r="G8498">
        <v>1120279</v>
      </c>
      <c r="H8498" t="s">
        <v>26</v>
      </c>
      <c r="I8498" t="s">
        <v>3061</v>
      </c>
      <c r="J8498" t="str">
        <f>"9781118537671"</f>
        <v>9781118537671</v>
      </c>
      <c r="L8498">
        <v>0</v>
      </c>
      <c r="O8498" t="s">
        <v>28</v>
      </c>
      <c r="P8498" t="s">
        <v>29</v>
      </c>
      <c r="Q8498" s="1">
        <v>42258.927175925928</v>
      </c>
      <c r="R8498">
        <v>7</v>
      </c>
      <c r="S8498" t="s">
        <v>31</v>
      </c>
      <c r="T8498" t="s">
        <v>3063</v>
      </c>
      <c r="U8498">
        <v>599.93499999999995</v>
      </c>
      <c r="V8498" s="3">
        <v>41232</v>
      </c>
    </row>
    <row r="8499" spans="1:22" x14ac:dyDescent="0.35">
      <c r="A8499" s="1">
        <v>42258.927175925928</v>
      </c>
      <c r="B8499" s="2">
        <v>0</v>
      </c>
      <c r="C8499" t="s">
        <v>12132</v>
      </c>
      <c r="D8499" t="s">
        <v>23</v>
      </c>
      <c r="E8499" t="s">
        <v>24</v>
      </c>
      <c r="F8499" t="s">
        <v>3060</v>
      </c>
      <c r="G8499">
        <v>1120279</v>
      </c>
      <c r="H8499" t="s">
        <v>26</v>
      </c>
      <c r="I8499" t="s">
        <v>3061</v>
      </c>
      <c r="J8499" t="str">
        <f>"9781118537671"</f>
        <v>9781118537671</v>
      </c>
      <c r="L8499">
        <v>0</v>
      </c>
      <c r="O8499" t="s">
        <v>30</v>
      </c>
      <c r="P8499" t="s">
        <v>29</v>
      </c>
      <c r="Q8499" s="1">
        <v>42258.927175925928</v>
      </c>
      <c r="R8499">
        <v>7</v>
      </c>
      <c r="S8499" t="s">
        <v>31</v>
      </c>
      <c r="T8499" t="s">
        <v>3063</v>
      </c>
      <c r="U8499">
        <v>599.93499999999995</v>
      </c>
      <c r="V8499" s="3">
        <v>41232</v>
      </c>
    </row>
    <row r="8500" spans="1:22" x14ac:dyDescent="0.35">
      <c r="A8500" s="1">
        <v>42258.92664351852</v>
      </c>
      <c r="B8500" s="2">
        <v>5.3240740740740744E-4</v>
      </c>
      <c r="C8500" t="s">
        <v>12132</v>
      </c>
      <c r="D8500" t="s">
        <v>23</v>
      </c>
      <c r="E8500" t="s">
        <v>24</v>
      </c>
      <c r="F8500" t="s">
        <v>3060</v>
      </c>
      <c r="G8500">
        <v>1120279</v>
      </c>
      <c r="H8500" t="s">
        <v>26</v>
      </c>
      <c r="I8500" t="s">
        <v>3061</v>
      </c>
      <c r="J8500" t="str">
        <f>"9781118537671"</f>
        <v>9781118537671</v>
      </c>
      <c r="K8500" t="s">
        <v>12133</v>
      </c>
      <c r="L8500">
        <v>4</v>
      </c>
      <c r="O8500" t="s">
        <v>30</v>
      </c>
      <c r="P8500" t="s">
        <v>42</v>
      </c>
      <c r="S8500" t="s">
        <v>31</v>
      </c>
      <c r="T8500" t="s">
        <v>3063</v>
      </c>
      <c r="U8500">
        <v>599.93499999999995</v>
      </c>
      <c r="V8500" s="3">
        <v>41232</v>
      </c>
    </row>
    <row r="8501" spans="1:22" x14ac:dyDescent="0.35">
      <c r="A8501" s="1">
        <v>42258.899386574078</v>
      </c>
      <c r="B8501" s="2">
        <v>4.6296296296296294E-5</v>
      </c>
      <c r="C8501" t="s">
        <v>4205</v>
      </c>
      <c r="D8501" t="s">
        <v>597</v>
      </c>
      <c r="E8501" t="s">
        <v>598</v>
      </c>
      <c r="F8501" t="s">
        <v>111</v>
      </c>
      <c r="G8501">
        <v>693176</v>
      </c>
      <c r="H8501" t="s">
        <v>26</v>
      </c>
      <c r="I8501" t="s">
        <v>112</v>
      </c>
      <c r="J8501" t="str">
        <f>"9781118017746"</f>
        <v>9781118017746</v>
      </c>
      <c r="K8501" t="s">
        <v>33</v>
      </c>
      <c r="L8501">
        <v>3</v>
      </c>
      <c r="O8501" t="s">
        <v>30</v>
      </c>
      <c r="P8501" t="s">
        <v>29</v>
      </c>
      <c r="Q8501" s="1">
        <v>42258.107858796298</v>
      </c>
      <c r="R8501">
        <v>7</v>
      </c>
      <c r="S8501" t="s">
        <v>600</v>
      </c>
      <c r="T8501" t="s">
        <v>114</v>
      </c>
      <c r="U8501" t="s">
        <v>115</v>
      </c>
      <c r="V8501" s="3">
        <v>40835</v>
      </c>
    </row>
    <row r="8502" spans="1:22" x14ac:dyDescent="0.35">
      <c r="A8502" s="1">
        <v>42258.899016203701</v>
      </c>
      <c r="B8502" s="2">
        <v>2.7430555555555559E-3</v>
      </c>
      <c r="C8502" t="s">
        <v>5210</v>
      </c>
      <c r="D8502" t="s">
        <v>35</v>
      </c>
      <c r="E8502" t="s">
        <v>36</v>
      </c>
      <c r="F8502" t="s">
        <v>986</v>
      </c>
      <c r="G8502">
        <v>968030</v>
      </c>
      <c r="H8502" t="s">
        <v>26</v>
      </c>
      <c r="I8502" t="s">
        <v>219</v>
      </c>
      <c r="J8502" t="str">
        <f>"9781118285138"</f>
        <v>9781118285138</v>
      </c>
      <c r="K8502" t="s">
        <v>12134</v>
      </c>
      <c r="L8502">
        <v>12</v>
      </c>
      <c r="O8502" t="s">
        <v>30</v>
      </c>
      <c r="P8502" t="s">
        <v>29</v>
      </c>
      <c r="Q8502" s="1">
        <v>42258.695150462961</v>
      </c>
      <c r="R8502">
        <v>7</v>
      </c>
      <c r="S8502" t="s">
        <v>40</v>
      </c>
      <c r="T8502" t="s">
        <v>987</v>
      </c>
      <c r="U8502">
        <v>158.30000000000001</v>
      </c>
      <c r="V8502" s="3">
        <v>41100</v>
      </c>
    </row>
    <row r="8503" spans="1:22" x14ac:dyDescent="0.35">
      <c r="A8503" s="1">
        <v>42258.895902777775</v>
      </c>
      <c r="B8503" s="2">
        <v>4.6296296296296294E-5</v>
      </c>
      <c r="C8503" t="s">
        <v>4205</v>
      </c>
      <c r="D8503" t="s">
        <v>597</v>
      </c>
      <c r="E8503" t="s">
        <v>598</v>
      </c>
      <c r="F8503" t="s">
        <v>111</v>
      </c>
      <c r="G8503">
        <v>693176</v>
      </c>
      <c r="H8503" t="s">
        <v>26</v>
      </c>
      <c r="I8503" t="s">
        <v>112</v>
      </c>
      <c r="J8503" t="str">
        <f>"9781118017746"</f>
        <v>9781118017746</v>
      </c>
      <c r="K8503" t="s">
        <v>33</v>
      </c>
      <c r="L8503">
        <v>3</v>
      </c>
      <c r="O8503" t="s">
        <v>30</v>
      </c>
      <c r="P8503" t="s">
        <v>29</v>
      </c>
      <c r="Q8503" s="1">
        <v>42258.107858796298</v>
      </c>
      <c r="R8503">
        <v>7</v>
      </c>
      <c r="S8503" t="s">
        <v>600</v>
      </c>
      <c r="T8503" t="s">
        <v>114</v>
      </c>
      <c r="U8503" t="s">
        <v>115</v>
      </c>
      <c r="V8503" s="3">
        <v>40835</v>
      </c>
    </row>
    <row r="8504" spans="1:22" x14ac:dyDescent="0.35">
      <c r="A8504" s="1">
        <v>42258.877523148149</v>
      </c>
      <c r="B8504" s="2">
        <v>4.8032407407407407E-3</v>
      </c>
      <c r="C8504" t="s">
        <v>12135</v>
      </c>
      <c r="D8504" t="s">
        <v>23</v>
      </c>
      <c r="E8504" t="s">
        <v>24</v>
      </c>
      <c r="F8504" t="s">
        <v>12136</v>
      </c>
      <c r="G8504">
        <v>1590668</v>
      </c>
      <c r="H8504" t="s">
        <v>45</v>
      </c>
      <c r="I8504" t="s">
        <v>69</v>
      </c>
      <c r="J8504" t="str">
        <f>"9781472409614"</f>
        <v>9781472409614</v>
      </c>
      <c r="K8504" t="s">
        <v>12137</v>
      </c>
      <c r="L8504">
        <v>9</v>
      </c>
      <c r="O8504" t="s">
        <v>30</v>
      </c>
      <c r="P8504" t="s">
        <v>47</v>
      </c>
      <c r="Q8504" s="1">
        <v>42258.815208333333</v>
      </c>
      <c r="R8504">
        <v>1</v>
      </c>
      <c r="S8504" t="s">
        <v>31</v>
      </c>
      <c r="T8504" t="s">
        <v>12138</v>
      </c>
      <c r="U8504">
        <v>371.82908900000001</v>
      </c>
      <c r="V8504" s="3">
        <v>41757</v>
      </c>
    </row>
    <row r="8505" spans="1:22" x14ac:dyDescent="0.35">
      <c r="A8505" s="1">
        <v>42258.859143518515</v>
      </c>
      <c r="B8505" s="2">
        <v>3.4027777777777784E-3</v>
      </c>
      <c r="C8505" t="s">
        <v>4205</v>
      </c>
      <c r="D8505" t="s">
        <v>597</v>
      </c>
      <c r="E8505" t="s">
        <v>598</v>
      </c>
      <c r="F8505" t="s">
        <v>111</v>
      </c>
      <c r="G8505">
        <v>693176</v>
      </c>
      <c r="H8505" t="s">
        <v>26</v>
      </c>
      <c r="I8505" t="s">
        <v>112</v>
      </c>
      <c r="J8505" t="str">
        <f>"9781118017746"</f>
        <v>9781118017746</v>
      </c>
      <c r="K8505" t="s">
        <v>12139</v>
      </c>
      <c r="L8505">
        <v>14</v>
      </c>
      <c r="O8505" t="s">
        <v>30</v>
      </c>
      <c r="P8505" t="s">
        <v>29</v>
      </c>
      <c r="Q8505" s="1">
        <v>42258.107858796298</v>
      </c>
      <c r="R8505">
        <v>7</v>
      </c>
      <c r="S8505" t="s">
        <v>600</v>
      </c>
      <c r="T8505" t="s">
        <v>114</v>
      </c>
      <c r="U8505" t="s">
        <v>115</v>
      </c>
      <c r="V8505" s="3">
        <v>40835</v>
      </c>
    </row>
    <row r="8506" spans="1:22" x14ac:dyDescent="0.35">
      <c r="A8506" s="1">
        <v>42258.857222222221</v>
      </c>
      <c r="B8506" s="2">
        <v>5.2083333333333333E-4</v>
      </c>
      <c r="C8506" t="s">
        <v>12140</v>
      </c>
      <c r="D8506" t="s">
        <v>23</v>
      </c>
      <c r="E8506" t="s">
        <v>24</v>
      </c>
      <c r="F8506" t="s">
        <v>3060</v>
      </c>
      <c r="G8506">
        <v>1120279</v>
      </c>
      <c r="H8506" t="s">
        <v>26</v>
      </c>
      <c r="I8506" t="s">
        <v>3061</v>
      </c>
      <c r="J8506" t="str">
        <f>"9781118537671"</f>
        <v>9781118537671</v>
      </c>
      <c r="K8506" t="s">
        <v>12141</v>
      </c>
      <c r="L8506">
        <v>14</v>
      </c>
      <c r="O8506" t="s">
        <v>30</v>
      </c>
      <c r="P8506" t="s">
        <v>42</v>
      </c>
      <c r="S8506" t="s">
        <v>31</v>
      </c>
      <c r="T8506" t="s">
        <v>3063</v>
      </c>
      <c r="U8506">
        <v>599.93499999999995</v>
      </c>
      <c r="V8506" s="3">
        <v>41232</v>
      </c>
    </row>
    <row r="8507" spans="1:22" x14ac:dyDescent="0.35">
      <c r="A8507" s="1">
        <v>42258.852581018517</v>
      </c>
      <c r="B8507" s="2">
        <v>2.4768518518518516E-3</v>
      </c>
      <c r="C8507" t="s">
        <v>106</v>
      </c>
      <c r="D8507" t="s">
        <v>23</v>
      </c>
      <c r="E8507" t="s">
        <v>24</v>
      </c>
      <c r="F8507" t="s">
        <v>11901</v>
      </c>
      <c r="G8507">
        <v>1313513</v>
      </c>
      <c r="H8507" t="s">
        <v>26</v>
      </c>
      <c r="I8507" t="s">
        <v>276</v>
      </c>
      <c r="J8507" t="str">
        <f>"9781118732281"</f>
        <v>9781118732281</v>
      </c>
      <c r="K8507" t="s">
        <v>12142</v>
      </c>
      <c r="L8507">
        <v>34</v>
      </c>
      <c r="O8507" t="s">
        <v>30</v>
      </c>
      <c r="P8507" t="s">
        <v>42</v>
      </c>
      <c r="S8507" t="s">
        <v>31</v>
      </c>
      <c r="T8507" t="s">
        <v>11902</v>
      </c>
      <c r="U8507">
        <v>5.74</v>
      </c>
      <c r="V8507" s="3">
        <v>41456</v>
      </c>
    </row>
    <row r="8508" spans="1:22" x14ac:dyDescent="0.35">
      <c r="A8508" s="1">
        <v>42258.84715277778</v>
      </c>
      <c r="B8508" s="2">
        <v>1.5046296296296294E-3</v>
      </c>
      <c r="C8508" t="s">
        <v>3595</v>
      </c>
      <c r="D8508" t="s">
        <v>23</v>
      </c>
      <c r="E8508" t="s">
        <v>24</v>
      </c>
      <c r="F8508" t="s">
        <v>3559</v>
      </c>
      <c r="G8508">
        <v>1217954</v>
      </c>
      <c r="H8508" t="s">
        <v>45</v>
      </c>
      <c r="I8508" t="s">
        <v>3560</v>
      </c>
      <c r="J8508" t="str">
        <f>"9781409457558"</f>
        <v>9781409457558</v>
      </c>
      <c r="K8508" t="s">
        <v>12143</v>
      </c>
      <c r="L8508">
        <v>14</v>
      </c>
      <c r="M8508" t="s">
        <v>12144</v>
      </c>
      <c r="N8508" t="s">
        <v>12145</v>
      </c>
      <c r="O8508" t="s">
        <v>30</v>
      </c>
      <c r="P8508" t="s">
        <v>29</v>
      </c>
      <c r="Q8508" s="1">
        <v>42258.811689814815</v>
      </c>
      <c r="R8508">
        <v>7</v>
      </c>
      <c r="S8508" t="s">
        <v>31</v>
      </c>
      <c r="T8508" t="s">
        <v>3562</v>
      </c>
      <c r="U8508" t="s">
        <v>3563</v>
      </c>
      <c r="V8508" s="3">
        <v>41575</v>
      </c>
    </row>
    <row r="8509" spans="1:22" x14ac:dyDescent="0.35">
      <c r="A8509" s="1">
        <v>42258.815208333333</v>
      </c>
      <c r="B8509" s="2">
        <v>2.0358796296296295E-2</v>
      </c>
      <c r="C8509" t="s">
        <v>12135</v>
      </c>
      <c r="D8509" t="s">
        <v>23</v>
      </c>
      <c r="E8509" t="s">
        <v>24</v>
      </c>
      <c r="F8509" t="s">
        <v>12136</v>
      </c>
      <c r="G8509">
        <v>1590668</v>
      </c>
      <c r="H8509" t="s">
        <v>45</v>
      </c>
      <c r="I8509" t="s">
        <v>69</v>
      </c>
      <c r="J8509" t="str">
        <f>"9781472409614"</f>
        <v>9781472409614</v>
      </c>
      <c r="K8509" t="s">
        <v>12146</v>
      </c>
      <c r="L8509">
        <v>11</v>
      </c>
      <c r="O8509" t="s">
        <v>30</v>
      </c>
      <c r="P8509" t="s">
        <v>47</v>
      </c>
      <c r="Q8509" s="1">
        <v>42258.815208333333</v>
      </c>
      <c r="R8509">
        <v>1</v>
      </c>
      <c r="S8509" t="s">
        <v>31</v>
      </c>
      <c r="T8509" t="s">
        <v>12138</v>
      </c>
      <c r="U8509">
        <v>371.82908900000001</v>
      </c>
      <c r="V8509" s="3">
        <v>41757</v>
      </c>
    </row>
    <row r="8510" spans="1:22" x14ac:dyDescent="0.35">
      <c r="A8510" s="1">
        <v>42258.812592592592</v>
      </c>
      <c r="B8510" s="2">
        <v>3.4722222222222224E-4</v>
      </c>
      <c r="C8510" t="s">
        <v>8560</v>
      </c>
      <c r="D8510" t="s">
        <v>597</v>
      </c>
      <c r="E8510" t="s">
        <v>598</v>
      </c>
      <c r="F8510" t="s">
        <v>111</v>
      </c>
      <c r="G8510">
        <v>693176</v>
      </c>
      <c r="H8510" t="s">
        <v>26</v>
      </c>
      <c r="I8510" t="s">
        <v>112</v>
      </c>
      <c r="J8510" t="str">
        <f>"9781118017746"</f>
        <v>9781118017746</v>
      </c>
      <c r="K8510" t="s">
        <v>12147</v>
      </c>
      <c r="L8510">
        <v>7</v>
      </c>
      <c r="O8510" t="s">
        <v>28</v>
      </c>
      <c r="P8510" t="s">
        <v>29</v>
      </c>
      <c r="Q8510" s="1">
        <v>42258.811041666668</v>
      </c>
      <c r="R8510">
        <v>7</v>
      </c>
      <c r="S8510" t="s">
        <v>600</v>
      </c>
      <c r="T8510" t="s">
        <v>114</v>
      </c>
      <c r="U8510" t="s">
        <v>115</v>
      </c>
      <c r="V8510" s="3">
        <v>40835</v>
      </c>
    </row>
    <row r="8511" spans="1:22" x14ac:dyDescent="0.35">
      <c r="A8511" s="1">
        <v>42258.811689814815</v>
      </c>
      <c r="B8511" s="2">
        <v>3.5185185185185185E-3</v>
      </c>
      <c r="C8511" t="s">
        <v>12135</v>
      </c>
      <c r="D8511" t="s">
        <v>23</v>
      </c>
      <c r="E8511" t="s">
        <v>24</v>
      </c>
      <c r="F8511" t="s">
        <v>12136</v>
      </c>
      <c r="G8511">
        <v>1590668</v>
      </c>
      <c r="H8511" t="s">
        <v>45</v>
      </c>
      <c r="I8511" t="s">
        <v>69</v>
      </c>
      <c r="J8511" t="str">
        <f>"9781472409614"</f>
        <v>9781472409614</v>
      </c>
      <c r="K8511" t="s">
        <v>355</v>
      </c>
      <c r="L8511">
        <v>8</v>
      </c>
      <c r="O8511" t="s">
        <v>30</v>
      </c>
      <c r="P8511" t="s">
        <v>50</v>
      </c>
      <c r="S8511" t="s">
        <v>31</v>
      </c>
      <c r="T8511" t="s">
        <v>12138</v>
      </c>
      <c r="U8511">
        <v>371.82908900000001</v>
      </c>
      <c r="V8511" s="3">
        <v>41757</v>
      </c>
    </row>
    <row r="8512" spans="1:22" x14ac:dyDescent="0.35">
      <c r="A8512" s="1">
        <v>42258.811689814815</v>
      </c>
      <c r="B8512" s="2">
        <v>1.9907407407407408E-3</v>
      </c>
      <c r="C8512" t="s">
        <v>3595</v>
      </c>
      <c r="D8512" t="s">
        <v>23</v>
      </c>
      <c r="E8512" t="s">
        <v>24</v>
      </c>
      <c r="F8512" t="s">
        <v>3559</v>
      </c>
      <c r="G8512">
        <v>1217954</v>
      </c>
      <c r="H8512" t="s">
        <v>45</v>
      </c>
      <c r="I8512" t="s">
        <v>3560</v>
      </c>
      <c r="J8512" t="str">
        <f>"9781409457558"</f>
        <v>9781409457558</v>
      </c>
      <c r="K8512" t="s">
        <v>12148</v>
      </c>
      <c r="L8512">
        <v>6</v>
      </c>
      <c r="M8512" t="s">
        <v>105</v>
      </c>
      <c r="O8512" t="s">
        <v>30</v>
      </c>
      <c r="P8512" t="s">
        <v>29</v>
      </c>
      <c r="Q8512" s="1">
        <v>42258.811689814815</v>
      </c>
      <c r="R8512">
        <v>7</v>
      </c>
      <c r="S8512" t="s">
        <v>31</v>
      </c>
      <c r="T8512" t="s">
        <v>3562</v>
      </c>
      <c r="U8512" t="s">
        <v>3563</v>
      </c>
      <c r="V8512" s="3">
        <v>41575</v>
      </c>
    </row>
    <row r="8513" spans="1:22" x14ac:dyDescent="0.35">
      <c r="A8513" s="1">
        <v>42258.811354166668</v>
      </c>
      <c r="B8513" s="2">
        <v>3.3564814814814812E-4</v>
      </c>
      <c r="C8513" t="s">
        <v>3595</v>
      </c>
      <c r="D8513" t="s">
        <v>23</v>
      </c>
      <c r="E8513" t="s">
        <v>24</v>
      </c>
      <c r="F8513" t="s">
        <v>3559</v>
      </c>
      <c r="G8513">
        <v>1217954</v>
      </c>
      <c r="H8513" t="s">
        <v>45</v>
      </c>
      <c r="I8513" t="s">
        <v>3560</v>
      </c>
      <c r="J8513" t="str">
        <f>"9781409457558"</f>
        <v>9781409457558</v>
      </c>
      <c r="K8513" t="s">
        <v>12149</v>
      </c>
      <c r="L8513">
        <v>8</v>
      </c>
      <c r="O8513" t="s">
        <v>30</v>
      </c>
      <c r="P8513" t="s">
        <v>42</v>
      </c>
      <c r="S8513" t="s">
        <v>31</v>
      </c>
      <c r="T8513" t="s">
        <v>3562</v>
      </c>
      <c r="U8513" t="s">
        <v>3563</v>
      </c>
      <c r="V8513" s="3">
        <v>41575</v>
      </c>
    </row>
    <row r="8514" spans="1:22" x14ac:dyDescent="0.35">
      <c r="A8514" s="1">
        <v>42258.811041666668</v>
      </c>
      <c r="B8514" s="2">
        <v>0</v>
      </c>
      <c r="C8514" t="s">
        <v>8560</v>
      </c>
      <c r="D8514" t="s">
        <v>597</v>
      </c>
      <c r="E8514" t="s">
        <v>598</v>
      </c>
      <c r="F8514" t="s">
        <v>111</v>
      </c>
      <c r="G8514">
        <v>693176</v>
      </c>
      <c r="H8514" t="s">
        <v>26</v>
      </c>
      <c r="I8514" t="s">
        <v>112</v>
      </c>
      <c r="J8514" t="str">
        <f>"9781118017746"</f>
        <v>9781118017746</v>
      </c>
      <c r="L8514">
        <v>0</v>
      </c>
      <c r="O8514" t="s">
        <v>30</v>
      </c>
      <c r="P8514" t="s">
        <v>29</v>
      </c>
      <c r="Q8514" s="1">
        <v>42258.811041666668</v>
      </c>
      <c r="R8514">
        <v>7</v>
      </c>
      <c r="S8514" t="s">
        <v>600</v>
      </c>
      <c r="T8514" t="s">
        <v>114</v>
      </c>
      <c r="U8514" t="s">
        <v>115</v>
      </c>
      <c r="V8514" s="3">
        <v>40835</v>
      </c>
    </row>
    <row r="8515" spans="1:22" x14ac:dyDescent="0.35">
      <c r="A8515" s="1">
        <v>42258.810532407406</v>
      </c>
      <c r="B8515" s="2">
        <v>5.0925925925925921E-4</v>
      </c>
      <c r="C8515" t="s">
        <v>8560</v>
      </c>
      <c r="D8515" t="s">
        <v>597</v>
      </c>
      <c r="E8515" t="s">
        <v>598</v>
      </c>
      <c r="F8515" t="s">
        <v>111</v>
      </c>
      <c r="G8515">
        <v>693176</v>
      </c>
      <c r="H8515" t="s">
        <v>26</v>
      </c>
      <c r="I8515" t="s">
        <v>112</v>
      </c>
      <c r="J8515" t="str">
        <f>"9781118017746"</f>
        <v>9781118017746</v>
      </c>
      <c r="K8515" t="s">
        <v>202</v>
      </c>
      <c r="L8515">
        <v>3</v>
      </c>
      <c r="O8515" t="s">
        <v>30</v>
      </c>
      <c r="P8515" t="s">
        <v>42</v>
      </c>
      <c r="S8515" t="s">
        <v>600</v>
      </c>
      <c r="T8515" t="s">
        <v>114</v>
      </c>
      <c r="U8515" t="s">
        <v>115</v>
      </c>
      <c r="V8515" s="3">
        <v>40835</v>
      </c>
    </row>
    <row r="8516" spans="1:22" x14ac:dyDescent="0.35">
      <c r="A8516" s="1">
        <v>42258.805567129632</v>
      </c>
      <c r="B8516" s="2">
        <v>1.3194444444444443E-3</v>
      </c>
      <c r="C8516" t="s">
        <v>8560</v>
      </c>
      <c r="D8516" t="s">
        <v>597</v>
      </c>
      <c r="E8516" t="s">
        <v>598</v>
      </c>
      <c r="F8516" t="s">
        <v>111</v>
      </c>
      <c r="G8516">
        <v>693176</v>
      </c>
      <c r="H8516" t="s">
        <v>26</v>
      </c>
      <c r="I8516" t="s">
        <v>112</v>
      </c>
      <c r="J8516" t="str">
        <f>"9781118017746"</f>
        <v>9781118017746</v>
      </c>
      <c r="K8516" t="s">
        <v>12150</v>
      </c>
      <c r="L8516">
        <v>16</v>
      </c>
      <c r="O8516" t="s">
        <v>30</v>
      </c>
      <c r="P8516" t="s">
        <v>42</v>
      </c>
      <c r="S8516" t="s">
        <v>600</v>
      </c>
      <c r="T8516" t="s">
        <v>114</v>
      </c>
      <c r="U8516" t="s">
        <v>115</v>
      </c>
      <c r="V8516" s="3">
        <v>40835</v>
      </c>
    </row>
    <row r="8517" spans="1:22" x14ac:dyDescent="0.35">
      <c r="A8517" s="1">
        <v>42258.803796296299</v>
      </c>
      <c r="B8517" s="2">
        <v>6.875E-3</v>
      </c>
      <c r="C8517" t="s">
        <v>12135</v>
      </c>
      <c r="D8517" t="s">
        <v>23</v>
      </c>
      <c r="E8517" t="s">
        <v>24</v>
      </c>
      <c r="F8517" t="s">
        <v>12151</v>
      </c>
      <c r="G8517">
        <v>1808803</v>
      </c>
      <c r="H8517" t="s">
        <v>45</v>
      </c>
      <c r="I8517" t="s">
        <v>310</v>
      </c>
      <c r="J8517" t="str">
        <f>"9781472424228"</f>
        <v>9781472424228</v>
      </c>
      <c r="K8517" t="s">
        <v>86</v>
      </c>
      <c r="L8517">
        <v>5</v>
      </c>
      <c r="O8517" t="s">
        <v>30</v>
      </c>
      <c r="P8517" t="s">
        <v>47</v>
      </c>
      <c r="Q8517" s="1">
        <v>42258.675509259258</v>
      </c>
      <c r="R8517">
        <v>1</v>
      </c>
      <c r="S8517" t="s">
        <v>31</v>
      </c>
      <c r="T8517" t="s">
        <v>12152</v>
      </c>
      <c r="U8517" t="s">
        <v>12153</v>
      </c>
      <c r="V8517" s="3">
        <v>41971</v>
      </c>
    </row>
    <row r="8518" spans="1:22" x14ac:dyDescent="0.35">
      <c r="A8518" s="1">
        <v>42258.796273148146</v>
      </c>
      <c r="B8518" s="2">
        <v>3.1828703703703702E-3</v>
      </c>
      <c r="C8518" t="s">
        <v>9415</v>
      </c>
      <c r="D8518" t="s">
        <v>23</v>
      </c>
      <c r="E8518" t="s">
        <v>24</v>
      </c>
      <c r="F8518" t="s">
        <v>486</v>
      </c>
      <c r="G8518">
        <v>1119505</v>
      </c>
      <c r="H8518" t="s">
        <v>26</v>
      </c>
      <c r="I8518" t="s">
        <v>450</v>
      </c>
      <c r="J8518" t="str">
        <f>"9781118355015"</f>
        <v>9781118355015</v>
      </c>
      <c r="K8518" t="s">
        <v>12154</v>
      </c>
      <c r="L8518">
        <v>19</v>
      </c>
      <c r="O8518" t="s">
        <v>30</v>
      </c>
      <c r="P8518" t="s">
        <v>42</v>
      </c>
      <c r="S8518" t="s">
        <v>31</v>
      </c>
      <c r="T8518" t="s">
        <v>487</v>
      </c>
      <c r="U8518" t="s">
        <v>488</v>
      </c>
      <c r="V8518" s="3">
        <v>41302</v>
      </c>
    </row>
    <row r="8519" spans="1:22" x14ac:dyDescent="0.35">
      <c r="A8519" s="1">
        <v>42258.794861111113</v>
      </c>
      <c r="B8519" s="2">
        <v>1.6574074074074074E-2</v>
      </c>
      <c r="C8519" t="s">
        <v>12155</v>
      </c>
      <c r="D8519" t="s">
        <v>1222</v>
      </c>
      <c r="E8519" t="s">
        <v>1223</v>
      </c>
      <c r="F8519" t="s">
        <v>11820</v>
      </c>
      <c r="G8519">
        <v>1024333</v>
      </c>
      <c r="H8519" t="s">
        <v>91</v>
      </c>
      <c r="I8519" t="s">
        <v>69</v>
      </c>
      <c r="J8519" t="str">
        <f>"9781462506439"</f>
        <v>9781462506439</v>
      </c>
      <c r="K8519" t="s">
        <v>12156</v>
      </c>
      <c r="L8519">
        <v>47</v>
      </c>
      <c r="O8519" t="s">
        <v>30</v>
      </c>
      <c r="P8519" t="s">
        <v>29</v>
      </c>
      <c r="Q8519" s="1">
        <v>42258.794861111113</v>
      </c>
      <c r="R8519">
        <v>7</v>
      </c>
      <c r="S8519" t="s">
        <v>1226</v>
      </c>
      <c r="T8519" t="s">
        <v>11823</v>
      </c>
      <c r="U8519">
        <v>372.41</v>
      </c>
      <c r="V8519" s="3">
        <v>41773</v>
      </c>
    </row>
    <row r="8520" spans="1:22" x14ac:dyDescent="0.35">
      <c r="A8520" s="1">
        <v>42258.788171296299</v>
      </c>
      <c r="B8520" s="2">
        <v>6.6898148148148142E-3</v>
      </c>
      <c r="C8520" t="s">
        <v>12155</v>
      </c>
      <c r="D8520" t="s">
        <v>1222</v>
      </c>
      <c r="E8520" t="s">
        <v>1223</v>
      </c>
      <c r="F8520" t="s">
        <v>11820</v>
      </c>
      <c r="G8520">
        <v>1024333</v>
      </c>
      <c r="H8520" t="s">
        <v>91</v>
      </c>
      <c r="I8520" t="s">
        <v>69</v>
      </c>
      <c r="J8520" t="str">
        <f>"9781462506439"</f>
        <v>9781462506439</v>
      </c>
      <c r="K8520" t="s">
        <v>12157</v>
      </c>
      <c r="L8520">
        <v>23</v>
      </c>
      <c r="O8520" t="s">
        <v>30</v>
      </c>
      <c r="P8520" t="s">
        <v>42</v>
      </c>
      <c r="S8520" t="s">
        <v>1226</v>
      </c>
      <c r="T8520" t="s">
        <v>11823</v>
      </c>
      <c r="U8520">
        <v>372.41</v>
      </c>
      <c r="V8520" s="3">
        <v>41773</v>
      </c>
    </row>
    <row r="8521" spans="1:22" x14ac:dyDescent="0.35">
      <c r="A8521" s="1">
        <v>42258.787800925929</v>
      </c>
      <c r="B8521" s="2">
        <v>4.3981481481481481E-4</v>
      </c>
      <c r="C8521" t="s">
        <v>12158</v>
      </c>
      <c r="D8521" t="s">
        <v>597</v>
      </c>
      <c r="E8521" t="s">
        <v>598</v>
      </c>
      <c r="F8521" t="s">
        <v>111</v>
      </c>
      <c r="G8521">
        <v>693176</v>
      </c>
      <c r="H8521" t="s">
        <v>26</v>
      </c>
      <c r="I8521" t="s">
        <v>112</v>
      </c>
      <c r="J8521" t="str">
        <f>"9781118017746"</f>
        <v>9781118017746</v>
      </c>
      <c r="K8521" t="s">
        <v>33</v>
      </c>
      <c r="L8521">
        <v>3</v>
      </c>
      <c r="O8521" t="s">
        <v>30</v>
      </c>
      <c r="P8521" t="s">
        <v>42</v>
      </c>
      <c r="S8521" t="s">
        <v>600</v>
      </c>
      <c r="T8521" t="s">
        <v>114</v>
      </c>
      <c r="U8521" t="s">
        <v>115</v>
      </c>
      <c r="V8521" s="3">
        <v>40835</v>
      </c>
    </row>
    <row r="8522" spans="1:22" x14ac:dyDescent="0.35">
      <c r="A8522" s="1">
        <v>42258.787557870368</v>
      </c>
      <c r="B8522" s="2">
        <v>4.4062500000000004E-2</v>
      </c>
      <c r="C8522" t="s">
        <v>5210</v>
      </c>
      <c r="D8522" t="s">
        <v>35</v>
      </c>
      <c r="E8522" t="s">
        <v>36</v>
      </c>
      <c r="F8522" t="s">
        <v>986</v>
      </c>
      <c r="G8522">
        <v>968030</v>
      </c>
      <c r="H8522" t="s">
        <v>26</v>
      </c>
      <c r="I8522" t="s">
        <v>219</v>
      </c>
      <c r="J8522" t="str">
        <f>"9781118285138"</f>
        <v>9781118285138</v>
      </c>
      <c r="K8522" t="s">
        <v>12159</v>
      </c>
      <c r="L8522">
        <v>16</v>
      </c>
      <c r="O8522" t="s">
        <v>30</v>
      </c>
      <c r="P8522" t="s">
        <v>29</v>
      </c>
      <c r="Q8522" s="1">
        <v>42258.695150462961</v>
      </c>
      <c r="R8522">
        <v>7</v>
      </c>
      <c r="S8522" t="s">
        <v>40</v>
      </c>
      <c r="T8522" t="s">
        <v>987</v>
      </c>
      <c r="U8522">
        <v>158.30000000000001</v>
      </c>
      <c r="V8522" s="3">
        <v>41100</v>
      </c>
    </row>
    <row r="8523" spans="1:22" x14ac:dyDescent="0.35">
      <c r="A8523" s="1">
        <v>42258.747800925928</v>
      </c>
      <c r="B8523" s="2">
        <v>4.6296296296296294E-5</v>
      </c>
      <c r="C8523" t="s">
        <v>5210</v>
      </c>
      <c r="D8523" t="s">
        <v>35</v>
      </c>
      <c r="E8523" t="s">
        <v>36</v>
      </c>
      <c r="F8523" t="s">
        <v>986</v>
      </c>
      <c r="G8523">
        <v>968030</v>
      </c>
      <c r="H8523" t="s">
        <v>26</v>
      </c>
      <c r="I8523" t="s">
        <v>219</v>
      </c>
      <c r="J8523" t="str">
        <f>"9781118285138"</f>
        <v>9781118285138</v>
      </c>
      <c r="K8523" t="s">
        <v>33</v>
      </c>
      <c r="L8523">
        <v>3</v>
      </c>
      <c r="O8523" t="s">
        <v>30</v>
      </c>
      <c r="P8523" t="s">
        <v>29</v>
      </c>
      <c r="Q8523" s="1">
        <v>42258.695150462961</v>
      </c>
      <c r="R8523">
        <v>7</v>
      </c>
      <c r="S8523" t="s">
        <v>40</v>
      </c>
      <c r="T8523" t="s">
        <v>987</v>
      </c>
      <c r="U8523">
        <v>158.30000000000001</v>
      </c>
      <c r="V8523" s="3">
        <v>41100</v>
      </c>
    </row>
    <row r="8524" spans="1:22" x14ac:dyDescent="0.35">
      <c r="A8524" s="1">
        <v>42258.699097222219</v>
      </c>
      <c r="B8524" s="2">
        <v>4.8611111111111104E-4</v>
      </c>
      <c r="C8524" t="s">
        <v>4205</v>
      </c>
      <c r="D8524" t="s">
        <v>597</v>
      </c>
      <c r="E8524" t="s">
        <v>598</v>
      </c>
      <c r="F8524" t="s">
        <v>111</v>
      </c>
      <c r="G8524">
        <v>693176</v>
      </c>
      <c r="H8524" t="s">
        <v>26</v>
      </c>
      <c r="I8524" t="s">
        <v>112</v>
      </c>
      <c r="J8524" t="str">
        <f>"9781118017746"</f>
        <v>9781118017746</v>
      </c>
      <c r="K8524" t="s">
        <v>4181</v>
      </c>
      <c r="L8524">
        <v>4</v>
      </c>
      <c r="O8524" t="s">
        <v>30</v>
      </c>
      <c r="P8524" t="s">
        <v>29</v>
      </c>
      <c r="Q8524" s="1">
        <v>42258.107858796298</v>
      </c>
      <c r="R8524">
        <v>7</v>
      </c>
      <c r="S8524" t="s">
        <v>600</v>
      </c>
      <c r="T8524" t="s">
        <v>114</v>
      </c>
      <c r="U8524" t="s">
        <v>115</v>
      </c>
      <c r="V8524" s="3">
        <v>40835</v>
      </c>
    </row>
    <row r="8525" spans="1:22" x14ac:dyDescent="0.35">
      <c r="A8525" s="1">
        <v>42258.695150462961</v>
      </c>
      <c r="B8525" s="2">
        <v>3.9814814814814817E-3</v>
      </c>
      <c r="C8525" t="s">
        <v>5210</v>
      </c>
      <c r="D8525" t="s">
        <v>35</v>
      </c>
      <c r="E8525" t="s">
        <v>36</v>
      </c>
      <c r="F8525" t="s">
        <v>986</v>
      </c>
      <c r="G8525">
        <v>968030</v>
      </c>
      <c r="H8525" t="s">
        <v>26</v>
      </c>
      <c r="I8525" t="s">
        <v>219</v>
      </c>
      <c r="J8525" t="str">
        <f>"9781118285138"</f>
        <v>9781118285138</v>
      </c>
      <c r="K8525" t="s">
        <v>12160</v>
      </c>
      <c r="L8525">
        <v>23</v>
      </c>
      <c r="M8525" t="s">
        <v>12161</v>
      </c>
      <c r="O8525" t="s">
        <v>30</v>
      </c>
      <c r="P8525" t="s">
        <v>29</v>
      </c>
      <c r="Q8525" s="1">
        <v>42258.695150462961</v>
      </c>
      <c r="R8525">
        <v>7</v>
      </c>
      <c r="S8525" t="s">
        <v>40</v>
      </c>
      <c r="T8525" t="s">
        <v>987</v>
      </c>
      <c r="U8525">
        <v>158.30000000000001</v>
      </c>
      <c r="V8525" s="3">
        <v>41100</v>
      </c>
    </row>
    <row r="8526" spans="1:22" x14ac:dyDescent="0.35">
      <c r="A8526" s="1">
        <v>42258.694965277777</v>
      </c>
      <c r="B8526" s="2">
        <v>1.8518518518518518E-4</v>
      </c>
      <c r="C8526" t="s">
        <v>5210</v>
      </c>
      <c r="D8526" t="s">
        <v>35</v>
      </c>
      <c r="E8526" t="s">
        <v>36</v>
      </c>
      <c r="F8526" t="s">
        <v>986</v>
      </c>
      <c r="G8526">
        <v>968030</v>
      </c>
      <c r="H8526" t="s">
        <v>26</v>
      </c>
      <c r="I8526" t="s">
        <v>219</v>
      </c>
      <c r="J8526" t="str">
        <f>"9781118285138"</f>
        <v>9781118285138</v>
      </c>
      <c r="K8526" t="s">
        <v>33</v>
      </c>
      <c r="L8526">
        <v>3</v>
      </c>
      <c r="O8526" t="s">
        <v>30</v>
      </c>
      <c r="P8526" t="s">
        <v>42</v>
      </c>
      <c r="S8526" t="s">
        <v>40</v>
      </c>
      <c r="T8526" t="s">
        <v>987</v>
      </c>
      <c r="U8526">
        <v>158.30000000000001</v>
      </c>
      <c r="V8526" s="3">
        <v>41100</v>
      </c>
    </row>
    <row r="8527" spans="1:22" x14ac:dyDescent="0.35">
      <c r="A8527" s="1">
        <v>42258.685601851852</v>
      </c>
      <c r="B8527" s="2">
        <v>5.0393518518518511E-2</v>
      </c>
      <c r="C8527" t="s">
        <v>5887</v>
      </c>
      <c r="D8527" t="s">
        <v>23</v>
      </c>
      <c r="E8527" t="s">
        <v>24</v>
      </c>
      <c r="F8527" t="s">
        <v>1051</v>
      </c>
      <c r="G8527">
        <v>821663</v>
      </c>
      <c r="H8527" t="s">
        <v>26</v>
      </c>
      <c r="I8527" t="s">
        <v>200</v>
      </c>
      <c r="J8527" t="str">
        <f>"9781118168479"</f>
        <v>9781118168479</v>
      </c>
      <c r="K8527" t="s">
        <v>12162</v>
      </c>
      <c r="L8527">
        <v>39</v>
      </c>
      <c r="O8527" t="s">
        <v>30</v>
      </c>
      <c r="P8527" t="s">
        <v>29</v>
      </c>
      <c r="Q8527" s="1">
        <v>42258.685601851852</v>
      </c>
      <c r="R8527">
        <v>7</v>
      </c>
      <c r="S8527" t="s">
        <v>31</v>
      </c>
      <c r="T8527" t="s">
        <v>1053</v>
      </c>
      <c r="U8527">
        <v>729</v>
      </c>
      <c r="V8527" s="3">
        <v>40973</v>
      </c>
    </row>
    <row r="8528" spans="1:22" x14ac:dyDescent="0.35">
      <c r="A8528" s="1">
        <v>42258.68408564815</v>
      </c>
      <c r="B8528" s="2">
        <v>1.6666666666666668E-3</v>
      </c>
      <c r="C8528" t="s">
        <v>106</v>
      </c>
      <c r="D8528" t="s">
        <v>23</v>
      </c>
      <c r="E8528" t="s">
        <v>24</v>
      </c>
      <c r="F8528" t="s">
        <v>982</v>
      </c>
      <c r="G8528">
        <v>1882108</v>
      </c>
      <c r="H8528" t="s">
        <v>84</v>
      </c>
      <c r="I8528" t="s">
        <v>310</v>
      </c>
      <c r="J8528" t="str">
        <f>"9780520961326"</f>
        <v>9780520961326</v>
      </c>
      <c r="K8528" t="s">
        <v>12163</v>
      </c>
      <c r="L8528">
        <v>4</v>
      </c>
      <c r="O8528" t="s">
        <v>30</v>
      </c>
      <c r="P8528" t="s">
        <v>47</v>
      </c>
      <c r="Q8528" s="1">
        <v>42258.68408564815</v>
      </c>
      <c r="R8528">
        <v>1</v>
      </c>
      <c r="S8528" t="s">
        <v>31</v>
      </c>
      <c r="T8528" t="s">
        <v>983</v>
      </c>
      <c r="U8528">
        <v>883</v>
      </c>
      <c r="V8528" s="3">
        <v>42138</v>
      </c>
    </row>
    <row r="8529" spans="1:22" x14ac:dyDescent="0.35">
      <c r="A8529" s="1">
        <v>42258.680324074077</v>
      </c>
      <c r="B8529" s="2">
        <v>3.7615740740740739E-3</v>
      </c>
      <c r="C8529" t="s">
        <v>106</v>
      </c>
      <c r="D8529" t="s">
        <v>23</v>
      </c>
      <c r="E8529" t="s">
        <v>24</v>
      </c>
      <c r="F8529" t="s">
        <v>982</v>
      </c>
      <c r="G8529">
        <v>1882108</v>
      </c>
      <c r="H8529" t="s">
        <v>84</v>
      </c>
      <c r="I8529" t="s">
        <v>310</v>
      </c>
      <c r="J8529" t="str">
        <f>"9780520961326"</f>
        <v>9780520961326</v>
      </c>
      <c r="K8529" t="s">
        <v>12164</v>
      </c>
      <c r="L8529">
        <v>30</v>
      </c>
      <c r="O8529" t="s">
        <v>30</v>
      </c>
      <c r="P8529" t="s">
        <v>50</v>
      </c>
      <c r="S8529" t="s">
        <v>31</v>
      </c>
      <c r="T8529" t="s">
        <v>983</v>
      </c>
      <c r="U8529">
        <v>883</v>
      </c>
      <c r="V8529" s="3">
        <v>42138</v>
      </c>
    </row>
    <row r="8530" spans="1:22" x14ac:dyDescent="0.35">
      <c r="A8530" s="1">
        <v>42258.677800925929</v>
      </c>
      <c r="B8530" s="2">
        <v>7.8009259259259256E-3</v>
      </c>
      <c r="C8530" t="s">
        <v>5887</v>
      </c>
      <c r="D8530" t="s">
        <v>23</v>
      </c>
      <c r="E8530" t="s">
        <v>24</v>
      </c>
      <c r="F8530" t="s">
        <v>1051</v>
      </c>
      <c r="G8530">
        <v>821663</v>
      </c>
      <c r="H8530" t="s">
        <v>26</v>
      </c>
      <c r="I8530" t="s">
        <v>200</v>
      </c>
      <c r="J8530" t="str">
        <f>"9781118168479"</f>
        <v>9781118168479</v>
      </c>
      <c r="K8530" t="s">
        <v>12165</v>
      </c>
      <c r="L8530">
        <v>12</v>
      </c>
      <c r="O8530" t="s">
        <v>30</v>
      </c>
      <c r="P8530" t="s">
        <v>42</v>
      </c>
      <c r="S8530" t="s">
        <v>31</v>
      </c>
      <c r="T8530" t="s">
        <v>1053</v>
      </c>
      <c r="U8530">
        <v>729</v>
      </c>
      <c r="V8530" s="3">
        <v>40973</v>
      </c>
    </row>
    <row r="8531" spans="1:22" x14ac:dyDescent="0.35">
      <c r="A8531" s="1">
        <v>42258.675509259258</v>
      </c>
      <c r="B8531" s="2">
        <v>8.2175925925925917E-4</v>
      </c>
      <c r="C8531" t="s">
        <v>12135</v>
      </c>
      <c r="D8531" t="s">
        <v>23</v>
      </c>
      <c r="E8531" t="s">
        <v>24</v>
      </c>
      <c r="F8531" t="s">
        <v>12151</v>
      </c>
      <c r="G8531">
        <v>1808803</v>
      </c>
      <c r="H8531" t="s">
        <v>45</v>
      </c>
      <c r="I8531" t="s">
        <v>310</v>
      </c>
      <c r="J8531" t="str">
        <f>"9781472424228"</f>
        <v>9781472424228</v>
      </c>
      <c r="K8531" t="s">
        <v>12166</v>
      </c>
      <c r="L8531">
        <v>10</v>
      </c>
      <c r="O8531" t="s">
        <v>28</v>
      </c>
      <c r="P8531" t="s">
        <v>47</v>
      </c>
      <c r="Q8531" s="1">
        <v>42258.675509259258</v>
      </c>
      <c r="R8531">
        <v>1</v>
      </c>
      <c r="S8531" t="s">
        <v>31</v>
      </c>
      <c r="T8531" t="s">
        <v>12152</v>
      </c>
      <c r="U8531" t="s">
        <v>12153</v>
      </c>
      <c r="V8531" s="3">
        <v>41971</v>
      </c>
    </row>
    <row r="8532" spans="1:22" x14ac:dyDescent="0.35">
      <c r="A8532" s="1">
        <v>42258.675509259258</v>
      </c>
      <c r="B8532" s="2">
        <v>0</v>
      </c>
      <c r="C8532" t="s">
        <v>12135</v>
      </c>
      <c r="D8532" t="s">
        <v>23</v>
      </c>
      <c r="E8532" t="s">
        <v>24</v>
      </c>
      <c r="F8532" t="s">
        <v>12151</v>
      </c>
      <c r="G8532">
        <v>1808803</v>
      </c>
      <c r="H8532" t="s">
        <v>45</v>
      </c>
      <c r="I8532" t="s">
        <v>310</v>
      </c>
      <c r="J8532" t="str">
        <f>"9781472424228"</f>
        <v>9781472424228</v>
      </c>
      <c r="L8532">
        <v>0</v>
      </c>
      <c r="O8532" t="s">
        <v>30</v>
      </c>
      <c r="P8532" t="s">
        <v>47</v>
      </c>
      <c r="Q8532" s="1">
        <v>42258.675509259258</v>
      </c>
      <c r="R8532">
        <v>1</v>
      </c>
      <c r="S8532" t="s">
        <v>31</v>
      </c>
      <c r="T8532" t="s">
        <v>12152</v>
      </c>
      <c r="U8532" t="s">
        <v>12153</v>
      </c>
      <c r="V8532" s="3">
        <v>41971</v>
      </c>
    </row>
    <row r="8533" spans="1:22" x14ac:dyDescent="0.35">
      <c r="A8533" s="1">
        <v>42258.674803240741</v>
      </c>
      <c r="B8533" s="2">
        <v>6.9444444444444447E-4</v>
      </c>
      <c r="C8533" t="s">
        <v>12135</v>
      </c>
      <c r="D8533" t="s">
        <v>23</v>
      </c>
      <c r="E8533" t="s">
        <v>24</v>
      </c>
      <c r="F8533" t="s">
        <v>12151</v>
      </c>
      <c r="G8533">
        <v>1808803</v>
      </c>
      <c r="H8533" t="s">
        <v>45</v>
      </c>
      <c r="I8533" t="s">
        <v>310</v>
      </c>
      <c r="J8533" t="str">
        <f>"9781472424228"</f>
        <v>9781472424228</v>
      </c>
      <c r="K8533" t="s">
        <v>98</v>
      </c>
      <c r="L8533">
        <v>7</v>
      </c>
      <c r="O8533" t="s">
        <v>30</v>
      </c>
      <c r="P8533" t="s">
        <v>50</v>
      </c>
      <c r="S8533" t="s">
        <v>31</v>
      </c>
      <c r="T8533" t="s">
        <v>12152</v>
      </c>
      <c r="U8533" t="s">
        <v>12153</v>
      </c>
      <c r="V8533" s="3">
        <v>41971</v>
      </c>
    </row>
    <row r="8534" spans="1:22" x14ac:dyDescent="0.35">
      <c r="A8534" s="1">
        <v>42258.643923611111</v>
      </c>
      <c r="B8534" s="2">
        <v>9.6064814814814808E-4</v>
      </c>
      <c r="C8534" t="s">
        <v>11465</v>
      </c>
      <c r="D8534" t="s">
        <v>23</v>
      </c>
      <c r="E8534" t="s">
        <v>24</v>
      </c>
      <c r="F8534" t="s">
        <v>6635</v>
      </c>
      <c r="G8534">
        <v>817871</v>
      </c>
      <c r="H8534" t="s">
        <v>26</v>
      </c>
      <c r="I8534" t="s">
        <v>276</v>
      </c>
      <c r="J8534" t="str">
        <f>"9781118206911"</f>
        <v>9781118206911</v>
      </c>
      <c r="K8534" t="s">
        <v>12167</v>
      </c>
      <c r="L8534">
        <v>21</v>
      </c>
      <c r="O8534" t="s">
        <v>30</v>
      </c>
      <c r="P8534" t="s">
        <v>42</v>
      </c>
      <c r="S8534" t="s">
        <v>31</v>
      </c>
      <c r="T8534" t="s">
        <v>6637</v>
      </c>
      <c r="U8534">
        <v>6.74</v>
      </c>
      <c r="V8534" s="3">
        <v>40897</v>
      </c>
    </row>
    <row r="8535" spans="1:22" x14ac:dyDescent="0.35">
      <c r="A8535" s="1">
        <v>42258.613692129627</v>
      </c>
      <c r="B8535" s="2">
        <v>1.7013888888888892E-3</v>
      </c>
      <c r="C8535" t="s">
        <v>11157</v>
      </c>
      <c r="D8535" t="s">
        <v>360</v>
      </c>
      <c r="E8535" t="s">
        <v>361</v>
      </c>
      <c r="F8535" t="s">
        <v>12168</v>
      </c>
      <c r="G8535">
        <v>1106487</v>
      </c>
      <c r="H8535" t="s">
        <v>84</v>
      </c>
      <c r="I8535" t="s">
        <v>9900</v>
      </c>
      <c r="J8535" t="str">
        <f>"9780520954557"</f>
        <v>9780520954557</v>
      </c>
      <c r="K8535" t="s">
        <v>12169</v>
      </c>
      <c r="L8535">
        <v>16</v>
      </c>
      <c r="O8535" t="s">
        <v>30</v>
      </c>
      <c r="P8535" t="s">
        <v>50</v>
      </c>
      <c r="S8535" t="s">
        <v>363</v>
      </c>
      <c r="T8535" t="s">
        <v>12170</v>
      </c>
      <c r="U8535">
        <v>551.48</v>
      </c>
      <c r="V8535" s="3">
        <v>41367</v>
      </c>
    </row>
    <row r="8536" spans="1:22" x14ac:dyDescent="0.35">
      <c r="A8536" s="1">
        <v>42258.613611111112</v>
      </c>
      <c r="B8536" s="2">
        <v>1.0995370370370371E-3</v>
      </c>
      <c r="C8536" t="s">
        <v>11157</v>
      </c>
      <c r="D8536" t="s">
        <v>360</v>
      </c>
      <c r="E8536" t="s">
        <v>361</v>
      </c>
      <c r="F8536" t="s">
        <v>9582</v>
      </c>
      <c r="G8536">
        <v>2004761</v>
      </c>
      <c r="H8536" t="s">
        <v>45</v>
      </c>
      <c r="I8536" t="s">
        <v>2604</v>
      </c>
      <c r="J8536" t="str">
        <f>"9781472453808"</f>
        <v>9781472453808</v>
      </c>
      <c r="K8536" t="s">
        <v>12171</v>
      </c>
      <c r="L8536">
        <v>17</v>
      </c>
      <c r="O8536" t="s">
        <v>30</v>
      </c>
      <c r="P8536" t="s">
        <v>50</v>
      </c>
      <c r="S8536" t="s">
        <v>363</v>
      </c>
      <c r="T8536" t="s">
        <v>9583</v>
      </c>
      <c r="U8536" t="s">
        <v>9584</v>
      </c>
      <c r="V8536" s="3">
        <v>42122</v>
      </c>
    </row>
    <row r="8537" spans="1:22" x14ac:dyDescent="0.35">
      <c r="A8537" s="1">
        <v>42258.589456018519</v>
      </c>
      <c r="B8537" s="2">
        <v>1.3888888888888889E-4</v>
      </c>
      <c r="C8537" t="s">
        <v>106</v>
      </c>
      <c r="D8537" t="s">
        <v>23</v>
      </c>
      <c r="E8537" t="s">
        <v>24</v>
      </c>
      <c r="F8537" t="s">
        <v>5036</v>
      </c>
      <c r="G8537">
        <v>1318206</v>
      </c>
      <c r="H8537" t="s">
        <v>26</v>
      </c>
      <c r="I8537" t="s">
        <v>5037</v>
      </c>
      <c r="J8537" t="str">
        <f>"9781118363560"</f>
        <v>9781118363560</v>
      </c>
      <c r="K8537" t="s">
        <v>63</v>
      </c>
      <c r="L8537">
        <v>1</v>
      </c>
      <c r="O8537" t="s">
        <v>28</v>
      </c>
      <c r="P8537" t="s">
        <v>29</v>
      </c>
      <c r="Q8537" s="1">
        <v>42258.589456018519</v>
      </c>
      <c r="R8537">
        <v>7</v>
      </c>
      <c r="S8537" t="s">
        <v>31</v>
      </c>
      <c r="T8537" t="s">
        <v>5038</v>
      </c>
      <c r="U8537" t="s">
        <v>5039</v>
      </c>
      <c r="V8537" s="3">
        <v>41470</v>
      </c>
    </row>
    <row r="8538" spans="1:22" x14ac:dyDescent="0.35">
      <c r="A8538" s="1">
        <v>42258.589456018519</v>
      </c>
      <c r="B8538" s="2">
        <v>0</v>
      </c>
      <c r="C8538" t="s">
        <v>106</v>
      </c>
      <c r="D8538" t="s">
        <v>23</v>
      </c>
      <c r="E8538" t="s">
        <v>24</v>
      </c>
      <c r="F8538" t="s">
        <v>5036</v>
      </c>
      <c r="G8538">
        <v>1318206</v>
      </c>
      <c r="H8538" t="s">
        <v>26</v>
      </c>
      <c r="I8538" t="s">
        <v>5037</v>
      </c>
      <c r="J8538" t="str">
        <f>"9781118363560"</f>
        <v>9781118363560</v>
      </c>
      <c r="L8538">
        <v>0</v>
      </c>
      <c r="O8538" t="s">
        <v>30</v>
      </c>
      <c r="P8538" t="s">
        <v>29</v>
      </c>
      <c r="Q8538" s="1">
        <v>42258.589456018519</v>
      </c>
      <c r="R8538">
        <v>7</v>
      </c>
      <c r="S8538" t="s">
        <v>31</v>
      </c>
      <c r="T8538" t="s">
        <v>5038</v>
      </c>
      <c r="U8538" t="s">
        <v>5039</v>
      </c>
      <c r="V8538" s="3">
        <v>41470</v>
      </c>
    </row>
    <row r="8539" spans="1:22" x14ac:dyDescent="0.35">
      <c r="A8539" s="1">
        <v>42258.58934027778</v>
      </c>
      <c r="B8539" s="2">
        <v>1.1574074074074073E-4</v>
      </c>
      <c r="C8539" t="s">
        <v>106</v>
      </c>
      <c r="D8539" t="s">
        <v>23</v>
      </c>
      <c r="E8539" t="s">
        <v>24</v>
      </c>
      <c r="F8539" t="s">
        <v>5036</v>
      </c>
      <c r="G8539">
        <v>1318206</v>
      </c>
      <c r="H8539" t="s">
        <v>26</v>
      </c>
      <c r="I8539" t="s">
        <v>5037</v>
      </c>
      <c r="J8539" t="str">
        <f>"9781118363560"</f>
        <v>9781118363560</v>
      </c>
      <c r="K8539" t="s">
        <v>12172</v>
      </c>
      <c r="L8539">
        <v>3</v>
      </c>
      <c r="O8539" t="s">
        <v>30</v>
      </c>
      <c r="P8539" t="s">
        <v>42</v>
      </c>
      <c r="S8539" t="s">
        <v>31</v>
      </c>
      <c r="T8539" t="s">
        <v>5038</v>
      </c>
      <c r="U8539" t="s">
        <v>5039</v>
      </c>
      <c r="V8539" s="3">
        <v>41470</v>
      </c>
    </row>
    <row r="8540" spans="1:22" x14ac:dyDescent="0.35">
      <c r="A8540" s="1">
        <v>42258.575416666667</v>
      </c>
      <c r="B8540" s="2">
        <v>2.5462962962962961E-4</v>
      </c>
      <c r="C8540" t="s">
        <v>12173</v>
      </c>
      <c r="D8540" t="s">
        <v>6396</v>
      </c>
      <c r="E8540" t="s">
        <v>6397</v>
      </c>
      <c r="F8540" t="s">
        <v>12174</v>
      </c>
      <c r="G8540">
        <v>1119448</v>
      </c>
      <c r="H8540" t="s">
        <v>26</v>
      </c>
      <c r="I8540" t="s">
        <v>69</v>
      </c>
      <c r="J8540" t="str">
        <f>"9781118416167"</f>
        <v>9781118416167</v>
      </c>
      <c r="K8540" t="s">
        <v>12175</v>
      </c>
      <c r="L8540">
        <v>4</v>
      </c>
      <c r="O8540" t="s">
        <v>30</v>
      </c>
      <c r="P8540" t="s">
        <v>42</v>
      </c>
      <c r="S8540" t="s">
        <v>6400</v>
      </c>
      <c r="T8540" t="s">
        <v>12176</v>
      </c>
      <c r="U8540" t="s">
        <v>12177</v>
      </c>
      <c r="V8540" s="3">
        <v>41302</v>
      </c>
    </row>
    <row r="8541" spans="1:22" x14ac:dyDescent="0.35">
      <c r="A8541" s="1">
        <v>42258.544560185182</v>
      </c>
      <c r="B8541" s="2">
        <v>2.9282407407407412E-3</v>
      </c>
      <c r="C8541" t="s">
        <v>4728</v>
      </c>
      <c r="D8541" t="s">
        <v>623</v>
      </c>
      <c r="E8541" t="s">
        <v>624</v>
      </c>
      <c r="F8541" t="s">
        <v>4494</v>
      </c>
      <c r="G8541">
        <v>565082</v>
      </c>
      <c r="H8541" t="s">
        <v>26</v>
      </c>
      <c r="I8541" t="s">
        <v>69</v>
      </c>
      <c r="J8541" t="str">
        <f>"9781118041567"</f>
        <v>9781118041567</v>
      </c>
      <c r="K8541" t="s">
        <v>12178</v>
      </c>
      <c r="L8541">
        <v>11</v>
      </c>
      <c r="O8541" t="s">
        <v>30</v>
      </c>
      <c r="P8541" t="s">
        <v>29</v>
      </c>
      <c r="Q8541" s="1">
        <v>42257.937476851854</v>
      </c>
      <c r="R8541">
        <v>7</v>
      </c>
      <c r="S8541" t="s">
        <v>627</v>
      </c>
      <c r="T8541" t="s">
        <v>4496</v>
      </c>
      <c r="U8541" t="s">
        <v>4497</v>
      </c>
      <c r="V8541" s="3">
        <v>40337</v>
      </c>
    </row>
    <row r="8542" spans="1:22" x14ac:dyDescent="0.35">
      <c r="A8542" s="1">
        <v>42258.527858796297</v>
      </c>
      <c r="B8542" s="2">
        <v>6.9444444444444444E-5</v>
      </c>
      <c r="C8542" t="s">
        <v>106</v>
      </c>
      <c r="D8542" t="s">
        <v>23</v>
      </c>
      <c r="E8542" t="s">
        <v>24</v>
      </c>
      <c r="F8542" t="s">
        <v>3640</v>
      </c>
      <c r="G8542">
        <v>1662670</v>
      </c>
      <c r="H8542" t="s">
        <v>26</v>
      </c>
      <c r="I8542" t="s">
        <v>3641</v>
      </c>
      <c r="J8542" t="str">
        <f>"9781118821251"</f>
        <v>9781118821251</v>
      </c>
      <c r="K8542" t="s">
        <v>63</v>
      </c>
      <c r="L8542">
        <v>1</v>
      </c>
      <c r="O8542" t="s">
        <v>28</v>
      </c>
      <c r="P8542" t="s">
        <v>29</v>
      </c>
      <c r="Q8542" s="1">
        <v>42258.527858796297</v>
      </c>
      <c r="R8542">
        <v>7</v>
      </c>
      <c r="S8542" t="s">
        <v>31</v>
      </c>
      <c r="T8542" t="s">
        <v>3642</v>
      </c>
      <c r="U8542" t="s">
        <v>3643</v>
      </c>
      <c r="V8542" s="3">
        <v>41724</v>
      </c>
    </row>
    <row r="8543" spans="1:22" x14ac:dyDescent="0.35">
      <c r="A8543" s="1">
        <v>42258.527858796297</v>
      </c>
      <c r="B8543" s="2">
        <v>0</v>
      </c>
      <c r="C8543" t="s">
        <v>106</v>
      </c>
      <c r="D8543" t="s">
        <v>23</v>
      </c>
      <c r="E8543" t="s">
        <v>24</v>
      </c>
      <c r="F8543" t="s">
        <v>3640</v>
      </c>
      <c r="G8543">
        <v>1662670</v>
      </c>
      <c r="H8543" t="s">
        <v>26</v>
      </c>
      <c r="I8543" t="s">
        <v>3641</v>
      </c>
      <c r="J8543" t="str">
        <f>"9781118821251"</f>
        <v>9781118821251</v>
      </c>
      <c r="L8543">
        <v>0</v>
      </c>
      <c r="O8543" t="s">
        <v>30</v>
      </c>
      <c r="P8543" t="s">
        <v>29</v>
      </c>
      <c r="Q8543" s="1">
        <v>42258.527858796297</v>
      </c>
      <c r="R8543">
        <v>7</v>
      </c>
      <c r="S8543" t="s">
        <v>31</v>
      </c>
      <c r="T8543" t="s">
        <v>3642</v>
      </c>
      <c r="U8543" t="s">
        <v>3643</v>
      </c>
      <c r="V8543" s="3">
        <v>41724</v>
      </c>
    </row>
    <row r="8544" spans="1:22" x14ac:dyDescent="0.35">
      <c r="A8544" s="1">
        <v>42258.527673611112</v>
      </c>
      <c r="B8544" s="2">
        <v>1.8518518518518518E-4</v>
      </c>
      <c r="C8544" t="s">
        <v>106</v>
      </c>
      <c r="D8544" t="s">
        <v>23</v>
      </c>
      <c r="E8544" t="s">
        <v>24</v>
      </c>
      <c r="F8544" t="s">
        <v>3640</v>
      </c>
      <c r="G8544">
        <v>1662670</v>
      </c>
      <c r="H8544" t="s">
        <v>26</v>
      </c>
      <c r="I8544" t="s">
        <v>3641</v>
      </c>
      <c r="J8544" t="str">
        <f>"9781118821251"</f>
        <v>9781118821251</v>
      </c>
      <c r="K8544" t="s">
        <v>10629</v>
      </c>
      <c r="L8544">
        <v>4</v>
      </c>
      <c r="O8544" t="s">
        <v>30</v>
      </c>
      <c r="P8544" t="s">
        <v>42</v>
      </c>
      <c r="S8544" t="s">
        <v>31</v>
      </c>
      <c r="T8544" t="s">
        <v>3642</v>
      </c>
      <c r="U8544" t="s">
        <v>3643</v>
      </c>
      <c r="V8544" s="3">
        <v>41724</v>
      </c>
    </row>
    <row r="8545" spans="1:22" x14ac:dyDescent="0.35">
      <c r="A8545" s="1">
        <v>42258.513344907406</v>
      </c>
      <c r="B8545" s="2">
        <v>7.175925925925927E-4</v>
      </c>
      <c r="C8545" t="s">
        <v>4728</v>
      </c>
      <c r="D8545" t="s">
        <v>623</v>
      </c>
      <c r="E8545" t="s">
        <v>624</v>
      </c>
      <c r="F8545" t="s">
        <v>4494</v>
      </c>
      <c r="G8545">
        <v>565082</v>
      </c>
      <c r="H8545" t="s">
        <v>26</v>
      </c>
      <c r="I8545" t="s">
        <v>69</v>
      </c>
      <c r="J8545" t="str">
        <f>"9781118041567"</f>
        <v>9781118041567</v>
      </c>
      <c r="K8545" t="s">
        <v>12179</v>
      </c>
      <c r="L8545">
        <v>9</v>
      </c>
      <c r="O8545" t="s">
        <v>30</v>
      </c>
      <c r="P8545" t="s">
        <v>29</v>
      </c>
      <c r="Q8545" s="1">
        <v>42257.937476851854</v>
      </c>
      <c r="R8545">
        <v>7</v>
      </c>
      <c r="S8545" t="s">
        <v>627</v>
      </c>
      <c r="T8545" t="s">
        <v>4496</v>
      </c>
      <c r="U8545" t="s">
        <v>4497</v>
      </c>
      <c r="V8545" s="3">
        <v>40337</v>
      </c>
    </row>
    <row r="8546" spans="1:22" x14ac:dyDescent="0.35">
      <c r="A8546" s="1">
        <v>42258.51321759259</v>
      </c>
      <c r="B8546" s="2">
        <v>0</v>
      </c>
      <c r="C8546" t="s">
        <v>4728</v>
      </c>
      <c r="D8546" t="s">
        <v>623</v>
      </c>
      <c r="E8546" t="s">
        <v>624</v>
      </c>
      <c r="F8546" t="s">
        <v>4494</v>
      </c>
      <c r="G8546">
        <v>565082</v>
      </c>
      <c r="H8546" t="s">
        <v>26</v>
      </c>
      <c r="I8546" t="s">
        <v>69</v>
      </c>
      <c r="J8546" t="str">
        <f>"9781118041567"</f>
        <v>9781118041567</v>
      </c>
      <c r="L8546">
        <v>0</v>
      </c>
      <c r="O8546" t="s">
        <v>28</v>
      </c>
      <c r="P8546" t="s">
        <v>29</v>
      </c>
      <c r="Q8546" s="1">
        <v>42257.937476851854</v>
      </c>
      <c r="R8546">
        <v>7</v>
      </c>
      <c r="S8546" t="s">
        <v>627</v>
      </c>
      <c r="T8546" t="s">
        <v>4496</v>
      </c>
      <c r="U8546" t="s">
        <v>4497</v>
      </c>
      <c r="V8546" s="3">
        <v>40337</v>
      </c>
    </row>
    <row r="8547" spans="1:22" x14ac:dyDescent="0.35">
      <c r="A8547" s="1">
        <v>42258.513194444444</v>
      </c>
      <c r="B8547" s="2">
        <v>0</v>
      </c>
      <c r="C8547" t="s">
        <v>4728</v>
      </c>
      <c r="D8547" t="s">
        <v>623</v>
      </c>
      <c r="E8547" t="s">
        <v>624</v>
      </c>
      <c r="F8547" t="s">
        <v>4494</v>
      </c>
      <c r="G8547">
        <v>565082</v>
      </c>
      <c r="H8547" t="s">
        <v>26</v>
      </c>
      <c r="I8547" t="s">
        <v>69</v>
      </c>
      <c r="J8547" t="str">
        <f>"9781118041567"</f>
        <v>9781118041567</v>
      </c>
      <c r="L8547">
        <v>0</v>
      </c>
      <c r="O8547" t="s">
        <v>28</v>
      </c>
      <c r="P8547" t="s">
        <v>29</v>
      </c>
      <c r="Q8547" s="1">
        <v>42257.937476851854</v>
      </c>
      <c r="R8547">
        <v>7</v>
      </c>
      <c r="S8547" t="s">
        <v>627</v>
      </c>
      <c r="T8547" t="s">
        <v>4496</v>
      </c>
      <c r="U8547" t="s">
        <v>4497</v>
      </c>
      <c r="V8547" s="3">
        <v>40337</v>
      </c>
    </row>
    <row r="8548" spans="1:22" x14ac:dyDescent="0.35">
      <c r="A8548" s="1">
        <v>42258.513043981482</v>
      </c>
      <c r="B8548" s="2">
        <v>9.2592592592592588E-5</v>
      </c>
      <c r="C8548" t="s">
        <v>4728</v>
      </c>
      <c r="D8548" t="s">
        <v>623</v>
      </c>
      <c r="E8548" t="s">
        <v>624</v>
      </c>
      <c r="F8548" t="s">
        <v>4494</v>
      </c>
      <c r="G8548">
        <v>565082</v>
      </c>
      <c r="H8548" t="s">
        <v>26</v>
      </c>
      <c r="I8548" t="s">
        <v>69</v>
      </c>
      <c r="J8548" t="str">
        <f>"9781118041567"</f>
        <v>9781118041567</v>
      </c>
      <c r="K8548" t="s">
        <v>12180</v>
      </c>
      <c r="L8548">
        <v>3</v>
      </c>
      <c r="O8548" t="s">
        <v>28</v>
      </c>
      <c r="P8548" t="s">
        <v>29</v>
      </c>
      <c r="Q8548" s="1">
        <v>42257.937476851854</v>
      </c>
      <c r="R8548">
        <v>7</v>
      </c>
      <c r="S8548" t="s">
        <v>627</v>
      </c>
      <c r="T8548" t="s">
        <v>4496</v>
      </c>
      <c r="U8548" t="s">
        <v>4497</v>
      </c>
      <c r="V8548" s="3">
        <v>40337</v>
      </c>
    </row>
    <row r="8549" spans="1:22" x14ac:dyDescent="0.35">
      <c r="A8549" s="1">
        <v>42258.512418981481</v>
      </c>
      <c r="B8549" s="2">
        <v>6.134259259259259E-4</v>
      </c>
      <c r="C8549" t="s">
        <v>4728</v>
      </c>
      <c r="D8549" t="s">
        <v>623</v>
      </c>
      <c r="E8549" t="s">
        <v>624</v>
      </c>
      <c r="F8549" t="s">
        <v>4494</v>
      </c>
      <c r="G8549">
        <v>565082</v>
      </c>
      <c r="H8549" t="s">
        <v>26</v>
      </c>
      <c r="I8549" t="s">
        <v>69</v>
      </c>
      <c r="J8549" t="str">
        <f>"9781118041567"</f>
        <v>9781118041567</v>
      </c>
      <c r="K8549" t="s">
        <v>12181</v>
      </c>
      <c r="L8549">
        <v>16</v>
      </c>
      <c r="O8549" t="s">
        <v>30</v>
      </c>
      <c r="P8549" t="s">
        <v>29</v>
      </c>
      <c r="Q8549" s="1">
        <v>42257.937476851854</v>
      </c>
      <c r="R8549">
        <v>7</v>
      </c>
      <c r="S8549" t="s">
        <v>627</v>
      </c>
      <c r="T8549" t="s">
        <v>4496</v>
      </c>
      <c r="U8549" t="s">
        <v>4497</v>
      </c>
      <c r="V8549" s="3">
        <v>40337</v>
      </c>
    </row>
    <row r="8550" spans="1:22" x14ac:dyDescent="0.35">
      <c r="A8550" s="1">
        <v>42258.139409722222</v>
      </c>
      <c r="B8550" s="2">
        <v>1.0416666666666667E-4</v>
      </c>
      <c r="C8550" t="s">
        <v>12182</v>
      </c>
      <c r="D8550" t="s">
        <v>23</v>
      </c>
      <c r="E8550" t="s">
        <v>24</v>
      </c>
      <c r="F8550" t="s">
        <v>78</v>
      </c>
      <c r="G8550">
        <v>1635363</v>
      </c>
      <c r="H8550" t="s">
        <v>26</v>
      </c>
      <c r="I8550" t="s">
        <v>79</v>
      </c>
      <c r="J8550" t="str">
        <f>"9781118678206"</f>
        <v>9781118678206</v>
      </c>
      <c r="K8550" t="s">
        <v>33</v>
      </c>
      <c r="L8550">
        <v>3</v>
      </c>
      <c r="O8550" t="s">
        <v>30</v>
      </c>
      <c r="P8550" t="s">
        <v>42</v>
      </c>
      <c r="S8550" t="s">
        <v>31</v>
      </c>
      <c r="T8550" t="s">
        <v>81</v>
      </c>
      <c r="U8550">
        <v>340.07600000000002</v>
      </c>
      <c r="V8550" s="3">
        <v>41684</v>
      </c>
    </row>
    <row r="8551" spans="1:22" x14ac:dyDescent="0.35">
      <c r="A8551" s="1">
        <v>42258.13758101852</v>
      </c>
      <c r="B8551" s="2">
        <v>0.13567129629629629</v>
      </c>
      <c r="C8551" t="s">
        <v>6410</v>
      </c>
      <c r="D8551" t="s">
        <v>23</v>
      </c>
      <c r="E8551" t="s">
        <v>24</v>
      </c>
      <c r="F8551" t="s">
        <v>9918</v>
      </c>
      <c r="G8551">
        <v>1790819</v>
      </c>
      <c r="H8551" t="s">
        <v>526</v>
      </c>
      <c r="I8551" t="s">
        <v>426</v>
      </c>
      <c r="J8551" t="str">
        <f>"9780226169095"</f>
        <v>9780226169095</v>
      </c>
      <c r="K8551" t="s">
        <v>12183</v>
      </c>
      <c r="L8551">
        <v>220</v>
      </c>
      <c r="O8551" t="s">
        <v>30</v>
      </c>
      <c r="P8551" t="s">
        <v>47</v>
      </c>
      <c r="Q8551" s="1">
        <v>42257.876527777778</v>
      </c>
      <c r="R8551">
        <v>1</v>
      </c>
      <c r="S8551" t="s">
        <v>31</v>
      </c>
      <c r="T8551" t="s">
        <v>9920</v>
      </c>
      <c r="U8551" t="s">
        <v>9921</v>
      </c>
      <c r="V8551" s="3">
        <v>41932</v>
      </c>
    </row>
    <row r="8552" spans="1:22" x14ac:dyDescent="0.35">
      <c r="A8552" s="1">
        <v>42258.134988425925</v>
      </c>
      <c r="B8552" s="2">
        <v>1.7106481481481483E-2</v>
      </c>
      <c r="C8552" t="s">
        <v>4222</v>
      </c>
      <c r="D8552" t="s">
        <v>35</v>
      </c>
      <c r="E8552" t="s">
        <v>36</v>
      </c>
      <c r="F8552" t="s">
        <v>4223</v>
      </c>
      <c r="G8552">
        <v>980956</v>
      </c>
      <c r="H8552" t="s">
        <v>26</v>
      </c>
      <c r="I8552" t="s">
        <v>4224</v>
      </c>
      <c r="J8552" t="str">
        <f>"9781118227251"</f>
        <v>9781118227251</v>
      </c>
      <c r="K8552" t="s">
        <v>12184</v>
      </c>
      <c r="L8552">
        <v>5</v>
      </c>
      <c r="O8552" t="s">
        <v>30</v>
      </c>
      <c r="P8552" t="s">
        <v>29</v>
      </c>
      <c r="Q8552" s="1">
        <v>42258.134988425925</v>
      </c>
      <c r="R8552">
        <v>7</v>
      </c>
      <c r="S8552" t="s">
        <v>40</v>
      </c>
      <c r="T8552" t="s">
        <v>4226</v>
      </c>
      <c r="U8552" t="s">
        <v>4227</v>
      </c>
      <c r="V8552" s="3">
        <v>41113</v>
      </c>
    </row>
    <row r="8553" spans="1:22" x14ac:dyDescent="0.35">
      <c r="A8553" s="1">
        <v>42258.134733796294</v>
      </c>
      <c r="B8553" s="2">
        <v>0</v>
      </c>
      <c r="C8553" t="s">
        <v>8215</v>
      </c>
      <c r="D8553" t="s">
        <v>35</v>
      </c>
      <c r="E8553" t="s">
        <v>36</v>
      </c>
      <c r="F8553" t="s">
        <v>986</v>
      </c>
      <c r="G8553">
        <v>968030</v>
      </c>
      <c r="H8553" t="s">
        <v>26</v>
      </c>
      <c r="I8553" t="s">
        <v>219</v>
      </c>
      <c r="J8553" t="str">
        <f>"9781118285138"</f>
        <v>9781118285138</v>
      </c>
      <c r="L8553">
        <v>0</v>
      </c>
      <c r="O8553" t="s">
        <v>28</v>
      </c>
      <c r="P8553" t="s">
        <v>29</v>
      </c>
      <c r="Q8553" s="1">
        <v>42258.134733796294</v>
      </c>
      <c r="R8553">
        <v>7</v>
      </c>
      <c r="S8553" t="s">
        <v>40</v>
      </c>
      <c r="T8553" t="s">
        <v>987</v>
      </c>
      <c r="U8553">
        <v>158.30000000000001</v>
      </c>
      <c r="V8553" s="3">
        <v>41100</v>
      </c>
    </row>
    <row r="8554" spans="1:22" x14ac:dyDescent="0.35">
      <c r="A8554" s="1">
        <v>42258.134733796294</v>
      </c>
      <c r="B8554" s="2">
        <v>0</v>
      </c>
      <c r="C8554" t="s">
        <v>8215</v>
      </c>
      <c r="D8554" t="s">
        <v>35</v>
      </c>
      <c r="E8554" t="s">
        <v>36</v>
      </c>
      <c r="F8554" t="s">
        <v>986</v>
      </c>
      <c r="G8554">
        <v>968030</v>
      </c>
      <c r="H8554" t="s">
        <v>26</v>
      </c>
      <c r="I8554" t="s">
        <v>219</v>
      </c>
      <c r="J8554" t="str">
        <f>"9781118285138"</f>
        <v>9781118285138</v>
      </c>
      <c r="L8554">
        <v>0</v>
      </c>
      <c r="O8554" t="s">
        <v>30</v>
      </c>
      <c r="P8554" t="s">
        <v>29</v>
      </c>
      <c r="Q8554" s="1">
        <v>42258.134733796294</v>
      </c>
      <c r="R8554">
        <v>7</v>
      </c>
      <c r="S8554" t="s">
        <v>40</v>
      </c>
      <c r="T8554" t="s">
        <v>987</v>
      </c>
      <c r="U8554">
        <v>158.30000000000001</v>
      </c>
      <c r="V8554" s="3">
        <v>41100</v>
      </c>
    </row>
    <row r="8555" spans="1:22" x14ac:dyDescent="0.35">
      <c r="A8555" s="1">
        <v>42258.133587962962</v>
      </c>
      <c r="B8555" s="2">
        <v>1.1458333333333333E-3</v>
      </c>
      <c r="C8555" t="s">
        <v>8215</v>
      </c>
      <c r="D8555" t="s">
        <v>35</v>
      </c>
      <c r="E8555" t="s">
        <v>36</v>
      </c>
      <c r="F8555" t="s">
        <v>986</v>
      </c>
      <c r="G8555">
        <v>968030</v>
      </c>
      <c r="H8555" t="s">
        <v>26</v>
      </c>
      <c r="I8555" t="s">
        <v>219</v>
      </c>
      <c r="J8555" t="str">
        <f>"9781118285138"</f>
        <v>9781118285138</v>
      </c>
      <c r="K8555" t="s">
        <v>33</v>
      </c>
      <c r="L8555">
        <v>3</v>
      </c>
      <c r="O8555" t="s">
        <v>30</v>
      </c>
      <c r="P8555" t="s">
        <v>42</v>
      </c>
      <c r="S8555" t="s">
        <v>40</v>
      </c>
      <c r="T8555" t="s">
        <v>987</v>
      </c>
      <c r="U8555">
        <v>158.30000000000001</v>
      </c>
      <c r="V8555" s="3">
        <v>41100</v>
      </c>
    </row>
    <row r="8556" spans="1:22" x14ac:dyDescent="0.35">
      <c r="A8556" s="1">
        <v>42258.13177083333</v>
      </c>
      <c r="B8556" s="2">
        <v>3.2175925925925926E-3</v>
      </c>
      <c r="C8556" t="s">
        <v>4222</v>
      </c>
      <c r="D8556" t="s">
        <v>35</v>
      </c>
      <c r="E8556" t="s">
        <v>36</v>
      </c>
      <c r="F8556" t="s">
        <v>4223</v>
      </c>
      <c r="G8556">
        <v>980956</v>
      </c>
      <c r="H8556" t="s">
        <v>26</v>
      </c>
      <c r="I8556" t="s">
        <v>4224</v>
      </c>
      <c r="J8556" t="str">
        <f>"9781118227251"</f>
        <v>9781118227251</v>
      </c>
      <c r="K8556" t="s">
        <v>12185</v>
      </c>
      <c r="L8556">
        <v>13</v>
      </c>
      <c r="O8556" t="s">
        <v>30</v>
      </c>
      <c r="P8556" t="s">
        <v>42</v>
      </c>
      <c r="S8556" t="s">
        <v>40</v>
      </c>
      <c r="T8556" t="s">
        <v>4226</v>
      </c>
      <c r="U8556" t="s">
        <v>4227</v>
      </c>
      <c r="V8556" s="3">
        <v>41113</v>
      </c>
    </row>
    <row r="8557" spans="1:22" x14ac:dyDescent="0.35">
      <c r="A8557" s="1">
        <v>42258.107858796298</v>
      </c>
      <c r="B8557" s="2">
        <v>1.6087962962962963E-3</v>
      </c>
      <c r="C8557" t="s">
        <v>4205</v>
      </c>
      <c r="D8557" t="s">
        <v>597</v>
      </c>
      <c r="E8557" t="s">
        <v>598</v>
      </c>
      <c r="F8557" t="s">
        <v>111</v>
      </c>
      <c r="G8557">
        <v>693176</v>
      </c>
      <c r="H8557" t="s">
        <v>26</v>
      </c>
      <c r="I8557" t="s">
        <v>112</v>
      </c>
      <c r="J8557" t="str">
        <f>"9781118017746"</f>
        <v>9781118017746</v>
      </c>
      <c r="K8557" t="s">
        <v>12186</v>
      </c>
      <c r="L8557">
        <v>14</v>
      </c>
      <c r="O8557" t="s">
        <v>30</v>
      </c>
      <c r="P8557" t="s">
        <v>29</v>
      </c>
      <c r="Q8557" s="1">
        <v>42258.107858796298</v>
      </c>
      <c r="R8557">
        <v>7</v>
      </c>
      <c r="S8557" t="s">
        <v>600</v>
      </c>
      <c r="T8557" t="s">
        <v>114</v>
      </c>
      <c r="U8557" t="s">
        <v>115</v>
      </c>
      <c r="V8557" s="3">
        <v>40835</v>
      </c>
    </row>
    <row r="8558" spans="1:22" x14ac:dyDescent="0.35">
      <c r="A8558" s="1">
        <v>42258.101423611108</v>
      </c>
      <c r="B8558" s="2">
        <v>1.275462962962963E-2</v>
      </c>
      <c r="C8558" t="s">
        <v>4728</v>
      </c>
      <c r="D8558" t="s">
        <v>623</v>
      </c>
      <c r="E8558" t="s">
        <v>624</v>
      </c>
      <c r="F8558" t="s">
        <v>4494</v>
      </c>
      <c r="G8558">
        <v>565082</v>
      </c>
      <c r="H8558" t="s">
        <v>26</v>
      </c>
      <c r="I8558" t="s">
        <v>69</v>
      </c>
      <c r="J8558" t="str">
        <f>"9781118041567"</f>
        <v>9781118041567</v>
      </c>
      <c r="K8558" t="s">
        <v>12187</v>
      </c>
      <c r="L8558">
        <v>20</v>
      </c>
      <c r="O8558" t="s">
        <v>30</v>
      </c>
      <c r="P8558" t="s">
        <v>29</v>
      </c>
      <c r="Q8558" s="1">
        <v>42257.937476851854</v>
      </c>
      <c r="R8558">
        <v>7</v>
      </c>
      <c r="S8558" t="s">
        <v>627</v>
      </c>
      <c r="T8558" t="s">
        <v>4496</v>
      </c>
      <c r="U8558" t="s">
        <v>4497</v>
      </c>
      <c r="V8558" s="3">
        <v>40337</v>
      </c>
    </row>
    <row r="8559" spans="1:22" x14ac:dyDescent="0.35">
      <c r="A8559" s="1">
        <v>42258.100335648145</v>
      </c>
      <c r="B8559" s="2">
        <v>7.5231481481481477E-3</v>
      </c>
      <c r="C8559" t="s">
        <v>4205</v>
      </c>
      <c r="D8559" t="s">
        <v>597</v>
      </c>
      <c r="E8559" t="s">
        <v>598</v>
      </c>
      <c r="F8559" t="s">
        <v>111</v>
      </c>
      <c r="G8559">
        <v>693176</v>
      </c>
      <c r="H8559" t="s">
        <v>26</v>
      </c>
      <c r="I8559" t="s">
        <v>112</v>
      </c>
      <c r="J8559" t="str">
        <f>"9781118017746"</f>
        <v>9781118017746</v>
      </c>
      <c r="K8559" t="s">
        <v>12188</v>
      </c>
      <c r="L8559">
        <v>35</v>
      </c>
      <c r="O8559" t="s">
        <v>30</v>
      </c>
      <c r="P8559" t="s">
        <v>42</v>
      </c>
      <c r="S8559" t="s">
        <v>600</v>
      </c>
      <c r="T8559" t="s">
        <v>114</v>
      </c>
      <c r="U8559" t="s">
        <v>115</v>
      </c>
      <c r="V8559" s="3">
        <v>40835</v>
      </c>
    </row>
    <row r="8560" spans="1:22" x14ac:dyDescent="0.35">
      <c r="A8560" s="1">
        <v>42258.050185185188</v>
      </c>
      <c r="B8560" s="2">
        <v>3.9351851851851852E-4</v>
      </c>
      <c r="C8560" t="s">
        <v>4728</v>
      </c>
      <c r="D8560" t="s">
        <v>623</v>
      </c>
      <c r="E8560" t="s">
        <v>624</v>
      </c>
      <c r="F8560" t="s">
        <v>4494</v>
      </c>
      <c r="G8560">
        <v>565082</v>
      </c>
      <c r="H8560" t="s">
        <v>26</v>
      </c>
      <c r="I8560" t="s">
        <v>69</v>
      </c>
      <c r="J8560" t="str">
        <f>"9781118041567"</f>
        <v>9781118041567</v>
      </c>
      <c r="K8560" t="s">
        <v>12189</v>
      </c>
      <c r="L8560">
        <v>18</v>
      </c>
      <c r="O8560" t="s">
        <v>30</v>
      </c>
      <c r="P8560" t="s">
        <v>29</v>
      </c>
      <c r="Q8560" s="1">
        <v>42257.937476851854</v>
      </c>
      <c r="R8560">
        <v>7</v>
      </c>
      <c r="S8560" t="s">
        <v>627</v>
      </c>
      <c r="T8560" t="s">
        <v>4496</v>
      </c>
      <c r="U8560" t="s">
        <v>4497</v>
      </c>
      <c r="V8560" s="3">
        <v>40337</v>
      </c>
    </row>
    <row r="8561" spans="1:22" x14ac:dyDescent="0.35">
      <c r="A8561" s="1">
        <v>42258.035462962966</v>
      </c>
      <c r="B8561" s="2">
        <v>2.7777777777777778E-4</v>
      </c>
      <c r="C8561" t="s">
        <v>11563</v>
      </c>
      <c r="D8561" t="s">
        <v>35</v>
      </c>
      <c r="E8561" t="s">
        <v>36</v>
      </c>
      <c r="F8561" t="s">
        <v>37</v>
      </c>
      <c r="G8561">
        <v>1684620</v>
      </c>
      <c r="H8561" t="s">
        <v>26</v>
      </c>
      <c r="I8561" t="s">
        <v>38</v>
      </c>
      <c r="J8561" t="str">
        <f>"9781118418925"</f>
        <v>9781118418925</v>
      </c>
      <c r="K8561" t="s">
        <v>12190</v>
      </c>
      <c r="L8561">
        <v>17</v>
      </c>
      <c r="O8561" t="s">
        <v>30</v>
      </c>
      <c r="P8561" t="s">
        <v>42</v>
      </c>
      <c r="S8561" t="s">
        <v>40</v>
      </c>
      <c r="T8561" t="s">
        <v>41</v>
      </c>
      <c r="U8561">
        <v>362.10680000000002</v>
      </c>
      <c r="V8561" s="3">
        <v>41759</v>
      </c>
    </row>
    <row r="8562" spans="1:22" x14ac:dyDescent="0.35">
      <c r="A8562" s="1">
        <v>42258.015844907408</v>
      </c>
      <c r="B8562" s="2">
        <v>3.0092592592592595E-4</v>
      </c>
      <c r="C8562" t="s">
        <v>12155</v>
      </c>
      <c r="D8562" t="s">
        <v>1222</v>
      </c>
      <c r="E8562" t="s">
        <v>1223</v>
      </c>
      <c r="F8562" t="s">
        <v>11820</v>
      </c>
      <c r="G8562">
        <v>1024333</v>
      </c>
      <c r="H8562" t="s">
        <v>91</v>
      </c>
      <c r="I8562" t="s">
        <v>69</v>
      </c>
      <c r="J8562" t="str">
        <f>"9781462506439"</f>
        <v>9781462506439</v>
      </c>
      <c r="K8562" t="s">
        <v>3653</v>
      </c>
      <c r="L8562">
        <v>8</v>
      </c>
      <c r="O8562" t="s">
        <v>30</v>
      </c>
      <c r="P8562" t="s">
        <v>42</v>
      </c>
      <c r="S8562" t="s">
        <v>1226</v>
      </c>
      <c r="T8562" t="s">
        <v>11823</v>
      </c>
      <c r="U8562">
        <v>372.41</v>
      </c>
      <c r="V8562" s="3">
        <v>41773</v>
      </c>
    </row>
    <row r="8563" spans="1:22" x14ac:dyDescent="0.35">
      <c r="A8563" s="1">
        <v>42257.975752314815</v>
      </c>
      <c r="B8563" s="2">
        <v>2.199074074074074E-4</v>
      </c>
      <c r="C8563" t="s">
        <v>6408</v>
      </c>
      <c r="D8563" t="s">
        <v>35</v>
      </c>
      <c r="E8563" t="s">
        <v>36</v>
      </c>
      <c r="F8563" t="s">
        <v>3275</v>
      </c>
      <c r="G8563">
        <v>822662</v>
      </c>
      <c r="H8563" t="s">
        <v>26</v>
      </c>
      <c r="I8563" t="s">
        <v>172</v>
      </c>
      <c r="J8563" t="str">
        <f>"9781444355130"</f>
        <v>9781444355130</v>
      </c>
      <c r="K8563" t="s">
        <v>12191</v>
      </c>
      <c r="L8563">
        <v>14</v>
      </c>
      <c r="O8563" t="s">
        <v>30</v>
      </c>
      <c r="P8563" t="s">
        <v>29</v>
      </c>
      <c r="Q8563" s="1">
        <v>42256.642557870371</v>
      </c>
      <c r="R8563">
        <v>7</v>
      </c>
      <c r="S8563" t="s">
        <v>40</v>
      </c>
      <c r="T8563" t="s">
        <v>3277</v>
      </c>
      <c r="U8563">
        <v>960.3</v>
      </c>
      <c r="V8563" s="3">
        <v>40858</v>
      </c>
    </row>
    <row r="8564" spans="1:22" x14ac:dyDescent="0.35">
      <c r="A8564" s="1">
        <v>42257.949293981481</v>
      </c>
      <c r="B8564" s="2">
        <v>0</v>
      </c>
      <c r="C8564" t="s">
        <v>5431</v>
      </c>
      <c r="D8564" t="s">
        <v>23</v>
      </c>
      <c r="E8564" t="s">
        <v>24</v>
      </c>
      <c r="F8564" t="s">
        <v>12192</v>
      </c>
      <c r="G8564">
        <v>1816987</v>
      </c>
      <c r="H8564" t="s">
        <v>186</v>
      </c>
      <c r="I8564" t="s">
        <v>1407</v>
      </c>
      <c r="J8564" t="str">
        <f>"9781780641652"</f>
        <v>9781780641652</v>
      </c>
      <c r="L8564">
        <v>0</v>
      </c>
      <c r="O8564" t="s">
        <v>30</v>
      </c>
      <c r="P8564" t="s">
        <v>47</v>
      </c>
      <c r="Q8564" s="1">
        <v>42257.949293981481</v>
      </c>
      <c r="R8564">
        <v>1</v>
      </c>
      <c r="S8564" t="s">
        <v>31</v>
      </c>
      <c r="T8564" t="s">
        <v>12193</v>
      </c>
      <c r="U8564" t="s">
        <v>12194</v>
      </c>
      <c r="V8564" s="3">
        <v>41880</v>
      </c>
    </row>
    <row r="8565" spans="1:22" x14ac:dyDescent="0.35">
      <c r="A8565" s="1">
        <v>42257.943414351852</v>
      </c>
      <c r="B8565" s="2">
        <v>5.8796296296296296E-3</v>
      </c>
      <c r="C8565" t="s">
        <v>5431</v>
      </c>
      <c r="D8565" t="s">
        <v>23</v>
      </c>
      <c r="E8565" t="s">
        <v>24</v>
      </c>
      <c r="F8565" t="s">
        <v>12192</v>
      </c>
      <c r="G8565">
        <v>1816987</v>
      </c>
      <c r="H8565" t="s">
        <v>186</v>
      </c>
      <c r="I8565" t="s">
        <v>1407</v>
      </c>
      <c r="J8565" t="str">
        <f>"9781780641652"</f>
        <v>9781780641652</v>
      </c>
      <c r="K8565" t="s">
        <v>12195</v>
      </c>
      <c r="L8565">
        <v>21</v>
      </c>
      <c r="O8565" t="s">
        <v>30</v>
      </c>
      <c r="P8565" t="s">
        <v>50</v>
      </c>
      <c r="S8565" t="s">
        <v>31</v>
      </c>
      <c r="T8565" t="s">
        <v>12193</v>
      </c>
      <c r="U8565" t="s">
        <v>12194</v>
      </c>
      <c r="V8565" s="3">
        <v>41880</v>
      </c>
    </row>
    <row r="8566" spans="1:22" x14ac:dyDescent="0.35">
      <c r="A8566" s="1">
        <v>42257.937476851854</v>
      </c>
      <c r="B8566" s="2">
        <v>0</v>
      </c>
      <c r="C8566" t="s">
        <v>4728</v>
      </c>
      <c r="D8566" t="s">
        <v>623</v>
      </c>
      <c r="E8566" t="s">
        <v>624</v>
      </c>
      <c r="F8566" t="s">
        <v>4494</v>
      </c>
      <c r="G8566">
        <v>565082</v>
      </c>
      <c r="H8566" t="s">
        <v>26</v>
      </c>
      <c r="I8566" t="s">
        <v>69</v>
      </c>
      <c r="J8566" t="str">
        <f>"9781118041567"</f>
        <v>9781118041567</v>
      </c>
      <c r="L8566">
        <v>0</v>
      </c>
      <c r="O8566" t="s">
        <v>28</v>
      </c>
      <c r="P8566" t="s">
        <v>29</v>
      </c>
      <c r="Q8566" s="1">
        <v>42257.937476851854</v>
      </c>
      <c r="R8566">
        <v>7</v>
      </c>
      <c r="S8566" t="s">
        <v>627</v>
      </c>
      <c r="T8566" t="s">
        <v>4496</v>
      </c>
      <c r="U8566" t="s">
        <v>4497</v>
      </c>
      <c r="V8566" s="3">
        <v>40337</v>
      </c>
    </row>
    <row r="8567" spans="1:22" x14ac:dyDescent="0.35">
      <c r="A8567" s="1">
        <v>42257.937476851854</v>
      </c>
      <c r="B8567" s="2">
        <v>0</v>
      </c>
      <c r="C8567" t="s">
        <v>4728</v>
      </c>
      <c r="D8567" t="s">
        <v>623</v>
      </c>
      <c r="E8567" t="s">
        <v>624</v>
      </c>
      <c r="F8567" t="s">
        <v>4494</v>
      </c>
      <c r="G8567">
        <v>565082</v>
      </c>
      <c r="H8567" t="s">
        <v>26</v>
      </c>
      <c r="I8567" t="s">
        <v>69</v>
      </c>
      <c r="J8567" t="str">
        <f>"9781118041567"</f>
        <v>9781118041567</v>
      </c>
      <c r="L8567">
        <v>0</v>
      </c>
      <c r="O8567" t="s">
        <v>30</v>
      </c>
      <c r="P8567" t="s">
        <v>29</v>
      </c>
      <c r="Q8567" s="1">
        <v>42257.937476851854</v>
      </c>
      <c r="R8567">
        <v>7</v>
      </c>
      <c r="S8567" t="s">
        <v>627</v>
      </c>
      <c r="T8567" t="s">
        <v>4496</v>
      </c>
      <c r="U8567" t="s">
        <v>4497</v>
      </c>
      <c r="V8567" s="3">
        <v>40337</v>
      </c>
    </row>
    <row r="8568" spans="1:22" x14ac:dyDescent="0.35">
      <c r="A8568" s="1">
        <v>42257.936620370368</v>
      </c>
      <c r="B8568" s="2">
        <v>8.564814814814815E-4</v>
      </c>
      <c r="C8568" t="s">
        <v>4728</v>
      </c>
      <c r="D8568" t="s">
        <v>623</v>
      </c>
      <c r="E8568" t="s">
        <v>624</v>
      </c>
      <c r="F8568" t="s">
        <v>4494</v>
      </c>
      <c r="G8568">
        <v>565082</v>
      </c>
      <c r="H8568" t="s">
        <v>26</v>
      </c>
      <c r="I8568" t="s">
        <v>69</v>
      </c>
      <c r="J8568" t="str">
        <f>"9781118041567"</f>
        <v>9781118041567</v>
      </c>
      <c r="K8568" t="s">
        <v>12196</v>
      </c>
      <c r="L8568">
        <v>10</v>
      </c>
      <c r="O8568" t="s">
        <v>30</v>
      </c>
      <c r="P8568" t="s">
        <v>42</v>
      </c>
      <c r="S8568" t="s">
        <v>627</v>
      </c>
      <c r="T8568" t="s">
        <v>4496</v>
      </c>
      <c r="U8568" t="s">
        <v>4497</v>
      </c>
      <c r="V8568" s="3">
        <v>40337</v>
      </c>
    </row>
    <row r="8569" spans="1:22" x14ac:dyDescent="0.35">
      <c r="A8569" s="1">
        <v>42257.91746527778</v>
      </c>
      <c r="B8569" s="2">
        <v>8.564814814814815E-4</v>
      </c>
      <c r="C8569" t="s">
        <v>12197</v>
      </c>
      <c r="D8569" t="s">
        <v>117</v>
      </c>
      <c r="E8569" t="s">
        <v>118</v>
      </c>
      <c r="F8569" t="s">
        <v>12198</v>
      </c>
      <c r="G8569">
        <v>1168209</v>
      </c>
      <c r="H8569" t="s">
        <v>2998</v>
      </c>
      <c r="I8569" t="s">
        <v>310</v>
      </c>
      <c r="J8569" t="str">
        <f>"9780748681020"</f>
        <v>9780748681020</v>
      </c>
      <c r="K8569" t="s">
        <v>12199</v>
      </c>
      <c r="L8569">
        <v>25</v>
      </c>
      <c r="O8569" t="s">
        <v>30</v>
      </c>
      <c r="P8569" t="s">
        <v>50</v>
      </c>
      <c r="S8569" t="s">
        <v>121</v>
      </c>
      <c r="T8569" t="s">
        <v>12200</v>
      </c>
      <c r="U8569">
        <v>820.90030000000002</v>
      </c>
      <c r="V8569" s="3">
        <v>41311</v>
      </c>
    </row>
    <row r="8570" spans="1:22" x14ac:dyDescent="0.35">
      <c r="A8570" s="1">
        <v>42257.876527777778</v>
      </c>
      <c r="B8570" s="2">
        <v>5.6979166666666664E-2</v>
      </c>
      <c r="C8570" t="s">
        <v>6410</v>
      </c>
      <c r="D8570" t="s">
        <v>23</v>
      </c>
      <c r="E8570" t="s">
        <v>24</v>
      </c>
      <c r="F8570" t="s">
        <v>9918</v>
      </c>
      <c r="G8570">
        <v>1790819</v>
      </c>
      <c r="H8570" t="s">
        <v>526</v>
      </c>
      <c r="I8570" t="s">
        <v>426</v>
      </c>
      <c r="J8570" t="str">
        <f>"9780226169095"</f>
        <v>9780226169095</v>
      </c>
      <c r="K8570" t="s">
        <v>12201</v>
      </c>
      <c r="L8570">
        <v>70</v>
      </c>
      <c r="O8570" t="s">
        <v>30</v>
      </c>
      <c r="P8570" t="s">
        <v>47</v>
      </c>
      <c r="Q8570" s="1">
        <v>42257.876527777778</v>
      </c>
      <c r="R8570">
        <v>1</v>
      </c>
      <c r="S8570" t="s">
        <v>31</v>
      </c>
      <c r="T8570" t="s">
        <v>9920</v>
      </c>
      <c r="U8570" t="s">
        <v>9921</v>
      </c>
      <c r="V8570" s="3">
        <v>41932</v>
      </c>
    </row>
    <row r="8571" spans="1:22" x14ac:dyDescent="0.35">
      <c r="A8571" s="1">
        <v>42257.873020833336</v>
      </c>
      <c r="B8571" s="2">
        <v>3.5069444444444445E-3</v>
      </c>
      <c r="C8571" t="s">
        <v>6410</v>
      </c>
      <c r="D8571" t="s">
        <v>23</v>
      </c>
      <c r="E8571" t="s">
        <v>24</v>
      </c>
      <c r="F8571" t="s">
        <v>9918</v>
      </c>
      <c r="G8571">
        <v>1790819</v>
      </c>
      <c r="H8571" t="s">
        <v>526</v>
      </c>
      <c r="I8571" t="s">
        <v>426</v>
      </c>
      <c r="J8571" t="str">
        <f>"9780226169095"</f>
        <v>9780226169095</v>
      </c>
      <c r="K8571" t="s">
        <v>12202</v>
      </c>
      <c r="L8571">
        <v>11</v>
      </c>
      <c r="O8571" t="s">
        <v>30</v>
      </c>
      <c r="P8571" t="s">
        <v>50</v>
      </c>
      <c r="S8571" t="s">
        <v>31</v>
      </c>
      <c r="T8571" t="s">
        <v>9920</v>
      </c>
      <c r="U8571" t="s">
        <v>9921</v>
      </c>
      <c r="V8571" s="3">
        <v>41932</v>
      </c>
    </row>
    <row r="8572" spans="1:22" x14ac:dyDescent="0.35">
      <c r="A8572" s="1">
        <v>42257.848229166666</v>
      </c>
      <c r="B8572" s="2">
        <v>0</v>
      </c>
      <c r="C8572" t="s">
        <v>12203</v>
      </c>
      <c r="D8572" t="s">
        <v>23</v>
      </c>
      <c r="E8572" t="s">
        <v>24</v>
      </c>
      <c r="F8572" t="s">
        <v>78</v>
      </c>
      <c r="G8572">
        <v>1635363</v>
      </c>
      <c r="H8572" t="s">
        <v>26</v>
      </c>
      <c r="I8572" t="s">
        <v>79</v>
      </c>
      <c r="J8572" t="str">
        <f>"9781118678206"</f>
        <v>9781118678206</v>
      </c>
      <c r="L8572">
        <v>0</v>
      </c>
      <c r="O8572" t="s">
        <v>28</v>
      </c>
      <c r="P8572" t="s">
        <v>29</v>
      </c>
      <c r="Q8572" s="1">
        <v>42257.848229166666</v>
      </c>
      <c r="R8572">
        <v>7</v>
      </c>
      <c r="S8572" t="s">
        <v>31</v>
      </c>
      <c r="T8572" t="s">
        <v>81</v>
      </c>
      <c r="U8572">
        <v>340.07600000000002</v>
      </c>
      <c r="V8572" s="3">
        <v>41684</v>
      </c>
    </row>
    <row r="8573" spans="1:22" x14ac:dyDescent="0.35">
      <c r="A8573" s="1">
        <v>42257.848229166666</v>
      </c>
      <c r="B8573" s="2">
        <v>0</v>
      </c>
      <c r="C8573" t="s">
        <v>12203</v>
      </c>
      <c r="D8573" t="s">
        <v>23</v>
      </c>
      <c r="E8573" t="s">
        <v>24</v>
      </c>
      <c r="F8573" t="s">
        <v>78</v>
      </c>
      <c r="G8573">
        <v>1635363</v>
      </c>
      <c r="H8573" t="s">
        <v>26</v>
      </c>
      <c r="I8573" t="s">
        <v>79</v>
      </c>
      <c r="J8573" t="str">
        <f>"9781118678206"</f>
        <v>9781118678206</v>
      </c>
      <c r="L8573">
        <v>0</v>
      </c>
      <c r="O8573" t="s">
        <v>30</v>
      </c>
      <c r="P8573" t="s">
        <v>29</v>
      </c>
      <c r="Q8573" s="1">
        <v>42257.848229166666</v>
      </c>
      <c r="R8573">
        <v>7</v>
      </c>
      <c r="S8573" t="s">
        <v>31</v>
      </c>
      <c r="T8573" t="s">
        <v>81</v>
      </c>
      <c r="U8573">
        <v>340.07600000000002</v>
      </c>
      <c r="V8573" s="3">
        <v>41684</v>
      </c>
    </row>
    <row r="8574" spans="1:22" x14ac:dyDescent="0.35">
      <c r="A8574" s="1">
        <v>42257.847199074073</v>
      </c>
      <c r="B8574" s="2">
        <v>1.0300925925925926E-3</v>
      </c>
      <c r="C8574" t="s">
        <v>12203</v>
      </c>
      <c r="D8574" t="s">
        <v>23</v>
      </c>
      <c r="E8574" t="s">
        <v>24</v>
      </c>
      <c r="F8574" t="s">
        <v>78</v>
      </c>
      <c r="G8574">
        <v>1635363</v>
      </c>
      <c r="H8574" t="s">
        <v>26</v>
      </c>
      <c r="I8574" t="s">
        <v>79</v>
      </c>
      <c r="J8574" t="str">
        <f>"9781118678206"</f>
        <v>9781118678206</v>
      </c>
      <c r="K8574" t="s">
        <v>12204</v>
      </c>
      <c r="L8574">
        <v>9</v>
      </c>
      <c r="O8574" t="s">
        <v>30</v>
      </c>
      <c r="P8574" t="s">
        <v>42</v>
      </c>
      <c r="S8574" t="s">
        <v>31</v>
      </c>
      <c r="T8574" t="s">
        <v>81</v>
      </c>
      <c r="U8574">
        <v>340.07600000000002</v>
      </c>
      <c r="V8574" s="3">
        <v>41684</v>
      </c>
    </row>
    <row r="8575" spans="1:22" x14ac:dyDescent="0.35">
      <c r="A8575" s="1">
        <v>42257.827187499999</v>
      </c>
      <c r="B8575" s="2">
        <v>4.6412037037037038E-3</v>
      </c>
      <c r="C8575" t="s">
        <v>4222</v>
      </c>
      <c r="D8575" t="s">
        <v>35</v>
      </c>
      <c r="E8575" t="s">
        <v>36</v>
      </c>
      <c r="F8575" t="s">
        <v>4223</v>
      </c>
      <c r="G8575">
        <v>980956</v>
      </c>
      <c r="H8575" t="s">
        <v>26</v>
      </c>
      <c r="I8575" t="s">
        <v>4224</v>
      </c>
      <c r="J8575" t="str">
        <f>"9781118227251"</f>
        <v>9781118227251</v>
      </c>
      <c r="K8575" t="s">
        <v>12205</v>
      </c>
      <c r="L8575">
        <v>52</v>
      </c>
      <c r="O8575" t="s">
        <v>30</v>
      </c>
      <c r="P8575" t="s">
        <v>42</v>
      </c>
      <c r="S8575" t="s">
        <v>40</v>
      </c>
      <c r="T8575" t="s">
        <v>4226</v>
      </c>
      <c r="U8575" t="s">
        <v>4227</v>
      </c>
      <c r="V8575" s="3">
        <v>41113</v>
      </c>
    </row>
    <row r="8576" spans="1:22" x14ac:dyDescent="0.35">
      <c r="A8576" s="1">
        <v>42257.824884259258</v>
      </c>
      <c r="B8576" s="2">
        <v>2.4305555555555552E-4</v>
      </c>
      <c r="C8576" t="s">
        <v>6058</v>
      </c>
      <c r="D8576" t="s">
        <v>2519</v>
      </c>
      <c r="E8576" t="s">
        <v>2520</v>
      </c>
      <c r="F8576" t="s">
        <v>7364</v>
      </c>
      <c r="G8576">
        <v>1809240</v>
      </c>
      <c r="H8576" t="s">
        <v>1474</v>
      </c>
      <c r="I8576" t="s">
        <v>120</v>
      </c>
      <c r="J8576" t="str">
        <f>"9781137393630"</f>
        <v>9781137393630</v>
      </c>
      <c r="K8576" t="s">
        <v>12206</v>
      </c>
      <c r="L8576">
        <v>15</v>
      </c>
      <c r="O8576" t="s">
        <v>30</v>
      </c>
      <c r="P8576" t="s">
        <v>42</v>
      </c>
      <c r="S8576" t="s">
        <v>2523</v>
      </c>
      <c r="T8576" t="s">
        <v>7366</v>
      </c>
      <c r="U8576" t="s">
        <v>4971</v>
      </c>
      <c r="V8576" s="3">
        <v>41873</v>
      </c>
    </row>
    <row r="8577" spans="1:22" x14ac:dyDescent="0.35">
      <c r="A8577" s="1">
        <v>42257.807800925926</v>
      </c>
      <c r="B8577" s="2">
        <v>3.3333333333333335E-3</v>
      </c>
      <c r="C8577" t="s">
        <v>11843</v>
      </c>
      <c r="D8577" t="s">
        <v>35</v>
      </c>
      <c r="E8577" t="s">
        <v>36</v>
      </c>
      <c r="F8577" t="s">
        <v>986</v>
      </c>
      <c r="G8577">
        <v>968030</v>
      </c>
      <c r="H8577" t="s">
        <v>26</v>
      </c>
      <c r="I8577" t="s">
        <v>219</v>
      </c>
      <c r="J8577" t="str">
        <f>"9781118285138"</f>
        <v>9781118285138</v>
      </c>
      <c r="K8577" t="s">
        <v>12207</v>
      </c>
      <c r="L8577">
        <v>18</v>
      </c>
      <c r="O8577" t="s">
        <v>30</v>
      </c>
      <c r="P8577" t="s">
        <v>42</v>
      </c>
      <c r="S8577" t="s">
        <v>40</v>
      </c>
      <c r="T8577" t="s">
        <v>987</v>
      </c>
      <c r="U8577">
        <v>158.30000000000001</v>
      </c>
      <c r="V8577" s="3">
        <v>41100</v>
      </c>
    </row>
    <row r="8578" spans="1:22" x14ac:dyDescent="0.35">
      <c r="A8578" s="1">
        <v>42257.783634259256</v>
      </c>
      <c r="B8578" s="2">
        <v>1.1458333333333333E-3</v>
      </c>
      <c r="C8578" t="s">
        <v>106</v>
      </c>
      <c r="D8578" t="s">
        <v>23</v>
      </c>
      <c r="E8578" t="s">
        <v>24</v>
      </c>
      <c r="F8578" t="s">
        <v>486</v>
      </c>
      <c r="G8578">
        <v>1119505</v>
      </c>
      <c r="H8578" t="s">
        <v>26</v>
      </c>
      <c r="I8578" t="s">
        <v>450</v>
      </c>
      <c r="J8578" t="str">
        <f>"9781118355015"</f>
        <v>9781118355015</v>
      </c>
      <c r="K8578" t="s">
        <v>12208</v>
      </c>
      <c r="L8578">
        <v>8</v>
      </c>
      <c r="O8578" t="s">
        <v>30</v>
      </c>
      <c r="P8578" t="s">
        <v>29</v>
      </c>
      <c r="Q8578" s="1">
        <v>42257.783634259256</v>
      </c>
      <c r="R8578">
        <v>7</v>
      </c>
      <c r="S8578" t="s">
        <v>31</v>
      </c>
      <c r="T8578" t="s">
        <v>487</v>
      </c>
      <c r="U8578" t="s">
        <v>488</v>
      </c>
      <c r="V8578" s="3">
        <v>41302</v>
      </c>
    </row>
    <row r="8579" spans="1:22" x14ac:dyDescent="0.35">
      <c r="A8579" s="1">
        <v>42257.78361111111</v>
      </c>
      <c r="B8579" s="2">
        <v>2.3148148148148147E-5</v>
      </c>
      <c r="C8579" t="s">
        <v>106</v>
      </c>
      <c r="D8579" t="s">
        <v>23</v>
      </c>
      <c r="E8579" t="s">
        <v>24</v>
      </c>
      <c r="F8579" t="s">
        <v>486</v>
      </c>
      <c r="G8579">
        <v>1119505</v>
      </c>
      <c r="H8579" t="s">
        <v>26</v>
      </c>
      <c r="I8579" t="s">
        <v>450</v>
      </c>
      <c r="J8579" t="str">
        <f>"9781118355015"</f>
        <v>9781118355015</v>
      </c>
      <c r="L8579">
        <v>0</v>
      </c>
      <c r="O8579" t="s">
        <v>30</v>
      </c>
      <c r="P8579" t="s">
        <v>42</v>
      </c>
      <c r="S8579" t="s">
        <v>31</v>
      </c>
      <c r="T8579" t="s">
        <v>487</v>
      </c>
      <c r="U8579" t="s">
        <v>488</v>
      </c>
      <c r="V8579" s="3">
        <v>41302</v>
      </c>
    </row>
    <row r="8580" spans="1:22" x14ac:dyDescent="0.35">
      <c r="A8580" s="1">
        <v>42257.728495370371</v>
      </c>
      <c r="B8580" s="2">
        <v>6.9328703703703696E-3</v>
      </c>
      <c r="C8580" t="s">
        <v>6288</v>
      </c>
      <c r="D8580" t="s">
        <v>23</v>
      </c>
      <c r="E8580" t="s">
        <v>24</v>
      </c>
      <c r="F8580" t="s">
        <v>486</v>
      </c>
      <c r="G8580">
        <v>1119505</v>
      </c>
      <c r="H8580" t="s">
        <v>26</v>
      </c>
      <c r="I8580" t="s">
        <v>450</v>
      </c>
      <c r="J8580" t="str">
        <f>"9781118355015"</f>
        <v>9781118355015</v>
      </c>
      <c r="K8580" t="s">
        <v>12209</v>
      </c>
      <c r="L8580">
        <v>14</v>
      </c>
      <c r="O8580" t="s">
        <v>30</v>
      </c>
      <c r="P8580" t="s">
        <v>42</v>
      </c>
      <c r="S8580" t="s">
        <v>31</v>
      </c>
      <c r="T8580" t="s">
        <v>487</v>
      </c>
      <c r="U8580" t="s">
        <v>488</v>
      </c>
      <c r="V8580" s="3">
        <v>41302</v>
      </c>
    </row>
    <row r="8581" spans="1:22" x14ac:dyDescent="0.35">
      <c r="A8581" s="1">
        <v>42257.714618055557</v>
      </c>
      <c r="B8581" s="2">
        <v>1.6435185185185183E-3</v>
      </c>
      <c r="C8581" t="s">
        <v>12210</v>
      </c>
      <c r="D8581" t="s">
        <v>23</v>
      </c>
      <c r="E8581" t="s">
        <v>24</v>
      </c>
      <c r="F8581" t="s">
        <v>982</v>
      </c>
      <c r="G8581">
        <v>1882108</v>
      </c>
      <c r="H8581" t="s">
        <v>84</v>
      </c>
      <c r="I8581" t="s">
        <v>310</v>
      </c>
      <c r="J8581" t="str">
        <f>"9780520961326"</f>
        <v>9780520961326</v>
      </c>
      <c r="K8581" t="s">
        <v>12211</v>
      </c>
      <c r="L8581">
        <v>51</v>
      </c>
      <c r="O8581" t="s">
        <v>30</v>
      </c>
      <c r="P8581" t="s">
        <v>50</v>
      </c>
      <c r="S8581" t="s">
        <v>31</v>
      </c>
      <c r="T8581" t="s">
        <v>983</v>
      </c>
      <c r="U8581">
        <v>883</v>
      </c>
      <c r="V8581" s="3">
        <v>42138</v>
      </c>
    </row>
    <row r="8582" spans="1:22" x14ac:dyDescent="0.35">
      <c r="A8582" s="1">
        <v>42257.638842592591</v>
      </c>
      <c r="B8582" s="2">
        <v>7.5347222222222213E-3</v>
      </c>
      <c r="C8582" t="s">
        <v>5340</v>
      </c>
      <c r="D8582" t="s">
        <v>23</v>
      </c>
      <c r="E8582" t="s">
        <v>24</v>
      </c>
      <c r="F8582" t="s">
        <v>3351</v>
      </c>
      <c r="G8582">
        <v>1760720</v>
      </c>
      <c r="H8582" t="s">
        <v>91</v>
      </c>
      <c r="I8582" t="s">
        <v>247</v>
      </c>
      <c r="J8582" t="str">
        <f>"9781462517459"</f>
        <v>9781462517459</v>
      </c>
      <c r="K8582" t="s">
        <v>12212</v>
      </c>
      <c r="L8582">
        <v>43</v>
      </c>
      <c r="N8582" t="s">
        <v>12213</v>
      </c>
      <c r="O8582" t="s">
        <v>30</v>
      </c>
      <c r="P8582" t="s">
        <v>29</v>
      </c>
      <c r="Q8582" s="1">
        <v>42255.846921296295</v>
      </c>
      <c r="R8582">
        <v>7</v>
      </c>
      <c r="S8582" t="s">
        <v>31</v>
      </c>
      <c r="T8582" t="s">
        <v>3353</v>
      </c>
      <c r="U8582">
        <v>616.89142000000004</v>
      </c>
      <c r="V8582" s="3">
        <v>41996</v>
      </c>
    </row>
    <row r="8583" spans="1:22" x14ac:dyDescent="0.35">
      <c r="A8583" s="1">
        <v>42257.612326388888</v>
      </c>
      <c r="B8583" s="2">
        <v>1.3773148148148147E-3</v>
      </c>
      <c r="C8583" t="s">
        <v>5340</v>
      </c>
      <c r="D8583" t="s">
        <v>23</v>
      </c>
      <c r="E8583" t="s">
        <v>24</v>
      </c>
      <c r="F8583" t="s">
        <v>3351</v>
      </c>
      <c r="G8583">
        <v>1760720</v>
      </c>
      <c r="H8583" t="s">
        <v>91</v>
      </c>
      <c r="I8583" t="s">
        <v>247</v>
      </c>
      <c r="J8583" t="str">
        <f>"9781462517459"</f>
        <v>9781462517459</v>
      </c>
      <c r="K8583" t="s">
        <v>673</v>
      </c>
      <c r="L8583">
        <v>8</v>
      </c>
      <c r="O8583" t="s">
        <v>30</v>
      </c>
      <c r="P8583" t="s">
        <v>29</v>
      </c>
      <c r="Q8583" s="1">
        <v>42255.846921296295</v>
      </c>
      <c r="R8583">
        <v>7</v>
      </c>
      <c r="S8583" t="s">
        <v>31</v>
      </c>
      <c r="T8583" t="s">
        <v>3353</v>
      </c>
      <c r="U8583">
        <v>616.89142000000004</v>
      </c>
      <c r="V8583" s="3">
        <v>41996</v>
      </c>
    </row>
    <row r="8584" spans="1:22" x14ac:dyDescent="0.35">
      <c r="A8584" s="1">
        <v>42257.586493055554</v>
      </c>
      <c r="B8584" s="2">
        <v>1.1574074074074073E-5</v>
      </c>
      <c r="C8584" t="s">
        <v>3170</v>
      </c>
      <c r="D8584" t="s">
        <v>23</v>
      </c>
      <c r="E8584" t="s">
        <v>24</v>
      </c>
      <c r="F8584" t="s">
        <v>3171</v>
      </c>
      <c r="G8584">
        <v>1825699</v>
      </c>
      <c r="H8584" t="s">
        <v>45</v>
      </c>
      <c r="I8584" t="s">
        <v>150</v>
      </c>
      <c r="J8584" t="str">
        <f>"9781472409645"</f>
        <v>9781472409645</v>
      </c>
      <c r="K8584" t="s">
        <v>12214</v>
      </c>
      <c r="L8584">
        <v>1</v>
      </c>
      <c r="O8584" t="s">
        <v>30</v>
      </c>
      <c r="P8584" t="s">
        <v>47</v>
      </c>
      <c r="Q8584" s="1">
        <v>42257.586493055554</v>
      </c>
      <c r="R8584">
        <v>1</v>
      </c>
      <c r="S8584" t="s">
        <v>31</v>
      </c>
      <c r="T8584" t="s">
        <v>3173</v>
      </c>
      <c r="U8584">
        <v>780.92</v>
      </c>
      <c r="V8584" s="3">
        <v>42001</v>
      </c>
    </row>
    <row r="8585" spans="1:22" x14ac:dyDescent="0.35">
      <c r="A8585" s="1">
        <v>42257.5783912037</v>
      </c>
      <c r="B8585" s="2">
        <v>8.1018518518518514E-3</v>
      </c>
      <c r="C8585" t="s">
        <v>3170</v>
      </c>
      <c r="D8585" t="s">
        <v>23</v>
      </c>
      <c r="E8585" t="s">
        <v>24</v>
      </c>
      <c r="F8585" t="s">
        <v>3171</v>
      </c>
      <c r="G8585">
        <v>1825699</v>
      </c>
      <c r="H8585" t="s">
        <v>45</v>
      </c>
      <c r="I8585" t="s">
        <v>150</v>
      </c>
      <c r="J8585" t="str">
        <f>"9781472409645"</f>
        <v>9781472409645</v>
      </c>
      <c r="K8585" t="s">
        <v>12215</v>
      </c>
      <c r="L8585">
        <v>13</v>
      </c>
      <c r="O8585" t="s">
        <v>30</v>
      </c>
      <c r="P8585" t="s">
        <v>50</v>
      </c>
      <c r="S8585" t="s">
        <v>31</v>
      </c>
      <c r="T8585" t="s">
        <v>3173</v>
      </c>
      <c r="U8585">
        <v>780.92</v>
      </c>
      <c r="V8585" s="3">
        <v>42001</v>
      </c>
    </row>
    <row r="8586" spans="1:22" x14ac:dyDescent="0.35">
      <c r="A8586" s="1">
        <v>42257.567754629628</v>
      </c>
      <c r="B8586" s="2">
        <v>7.6157407407407415E-3</v>
      </c>
      <c r="C8586" t="s">
        <v>3906</v>
      </c>
      <c r="D8586" t="s">
        <v>35</v>
      </c>
      <c r="E8586" t="s">
        <v>36</v>
      </c>
      <c r="F8586" t="s">
        <v>37</v>
      </c>
      <c r="G8586">
        <v>1684620</v>
      </c>
      <c r="H8586" t="s">
        <v>26</v>
      </c>
      <c r="I8586" t="s">
        <v>38</v>
      </c>
      <c r="J8586" t="str">
        <f>"9781118418925"</f>
        <v>9781118418925</v>
      </c>
      <c r="K8586" t="s">
        <v>12216</v>
      </c>
      <c r="L8586">
        <v>34</v>
      </c>
      <c r="O8586" t="s">
        <v>30</v>
      </c>
      <c r="P8586" t="s">
        <v>29</v>
      </c>
      <c r="Q8586" s="1">
        <v>42250.642546296294</v>
      </c>
      <c r="R8586">
        <v>7</v>
      </c>
      <c r="S8586" t="s">
        <v>40</v>
      </c>
      <c r="T8586" t="s">
        <v>41</v>
      </c>
      <c r="U8586">
        <v>362.10680000000002</v>
      </c>
      <c r="V8586" s="3">
        <v>41759</v>
      </c>
    </row>
    <row r="8587" spans="1:22" x14ac:dyDescent="0.35">
      <c r="A8587" s="1">
        <v>42257.564699074072</v>
      </c>
      <c r="B8587" s="2">
        <v>6.6666666666666671E-3</v>
      </c>
      <c r="C8587" t="s">
        <v>106</v>
      </c>
      <c r="D8587" t="s">
        <v>23</v>
      </c>
      <c r="E8587" t="s">
        <v>24</v>
      </c>
      <c r="F8587" t="s">
        <v>486</v>
      </c>
      <c r="G8587">
        <v>1119505</v>
      </c>
      <c r="H8587" t="s">
        <v>26</v>
      </c>
      <c r="I8587" t="s">
        <v>450</v>
      </c>
      <c r="J8587" t="str">
        <f>"9781118355015"</f>
        <v>9781118355015</v>
      </c>
      <c r="K8587" t="s">
        <v>12217</v>
      </c>
      <c r="L8587">
        <v>8</v>
      </c>
      <c r="O8587" t="s">
        <v>30</v>
      </c>
      <c r="P8587" t="s">
        <v>29</v>
      </c>
      <c r="Q8587" s="1">
        <v>42250.739131944443</v>
      </c>
      <c r="R8587">
        <v>7</v>
      </c>
      <c r="S8587" t="s">
        <v>31</v>
      </c>
      <c r="T8587" t="s">
        <v>487</v>
      </c>
      <c r="U8587" t="s">
        <v>488</v>
      </c>
      <c r="V8587" s="3">
        <v>41302</v>
      </c>
    </row>
    <row r="8588" spans="1:22" x14ac:dyDescent="0.35">
      <c r="A8588" s="1">
        <v>42257.180902777778</v>
      </c>
      <c r="B8588" s="2">
        <v>1.0902777777777777E-2</v>
      </c>
      <c r="C8588" t="s">
        <v>6271</v>
      </c>
      <c r="D8588" t="s">
        <v>23</v>
      </c>
      <c r="E8588" t="s">
        <v>24</v>
      </c>
      <c r="F8588" t="s">
        <v>1051</v>
      </c>
      <c r="G8588">
        <v>821663</v>
      </c>
      <c r="H8588" t="s">
        <v>26</v>
      </c>
      <c r="I8588" t="s">
        <v>200</v>
      </c>
      <c r="J8588" t="str">
        <f>"9781118168479"</f>
        <v>9781118168479</v>
      </c>
      <c r="K8588" t="s">
        <v>12218</v>
      </c>
      <c r="L8588">
        <v>18</v>
      </c>
      <c r="O8588" t="s">
        <v>30</v>
      </c>
      <c r="P8588" t="s">
        <v>29</v>
      </c>
      <c r="Q8588" s="1">
        <v>42257.103622685187</v>
      </c>
      <c r="R8588">
        <v>7</v>
      </c>
      <c r="S8588" t="s">
        <v>31</v>
      </c>
      <c r="T8588" t="s">
        <v>1053</v>
      </c>
      <c r="U8588">
        <v>729</v>
      </c>
      <c r="V8588" s="3">
        <v>40973</v>
      </c>
    </row>
    <row r="8589" spans="1:22" x14ac:dyDescent="0.35">
      <c r="A8589" s="1">
        <v>42257.156099537038</v>
      </c>
      <c r="B8589" s="2">
        <v>2.2222222222222222E-3</v>
      </c>
      <c r="C8589" t="s">
        <v>106</v>
      </c>
      <c r="D8589" t="s">
        <v>23</v>
      </c>
      <c r="E8589" t="s">
        <v>24</v>
      </c>
      <c r="F8589" t="s">
        <v>486</v>
      </c>
      <c r="G8589">
        <v>1119505</v>
      </c>
      <c r="H8589" t="s">
        <v>26</v>
      </c>
      <c r="I8589" t="s">
        <v>450</v>
      </c>
      <c r="J8589" t="str">
        <f>"9781118355015"</f>
        <v>9781118355015</v>
      </c>
      <c r="K8589" t="s">
        <v>12219</v>
      </c>
      <c r="L8589">
        <v>8</v>
      </c>
      <c r="O8589" t="s">
        <v>30</v>
      </c>
      <c r="P8589" t="s">
        <v>29</v>
      </c>
      <c r="Q8589" s="1">
        <v>42250.739131944443</v>
      </c>
      <c r="R8589">
        <v>7</v>
      </c>
      <c r="S8589" t="s">
        <v>31</v>
      </c>
      <c r="T8589" t="s">
        <v>487</v>
      </c>
      <c r="U8589" t="s">
        <v>488</v>
      </c>
      <c r="V8589" s="3">
        <v>41302</v>
      </c>
    </row>
    <row r="8590" spans="1:22" x14ac:dyDescent="0.35">
      <c r="A8590" s="1">
        <v>42257.103622685187</v>
      </c>
      <c r="B8590" s="2">
        <v>0</v>
      </c>
      <c r="C8590" t="s">
        <v>6271</v>
      </c>
      <c r="D8590" t="s">
        <v>23</v>
      </c>
      <c r="E8590" t="s">
        <v>24</v>
      </c>
      <c r="F8590" t="s">
        <v>1051</v>
      </c>
      <c r="G8590">
        <v>821663</v>
      </c>
      <c r="H8590" t="s">
        <v>26</v>
      </c>
      <c r="I8590" t="s">
        <v>200</v>
      </c>
      <c r="J8590" t="str">
        <f>"9781118168479"</f>
        <v>9781118168479</v>
      </c>
      <c r="L8590">
        <v>0</v>
      </c>
      <c r="N8590" t="s">
        <v>12220</v>
      </c>
      <c r="O8590" t="s">
        <v>30</v>
      </c>
      <c r="P8590" t="s">
        <v>29</v>
      </c>
      <c r="Q8590" s="1">
        <v>42257.103622685187</v>
      </c>
      <c r="R8590">
        <v>7</v>
      </c>
      <c r="S8590" t="s">
        <v>31</v>
      </c>
      <c r="T8590" t="s">
        <v>1053</v>
      </c>
      <c r="U8590">
        <v>729</v>
      </c>
      <c r="V8590" s="3">
        <v>40973</v>
      </c>
    </row>
    <row r="8591" spans="1:22" x14ac:dyDescent="0.35">
      <c r="A8591" s="1">
        <v>42257.102743055555</v>
      </c>
      <c r="B8591" s="2">
        <v>8.7962962962962962E-4</v>
      </c>
      <c r="C8591" t="s">
        <v>6271</v>
      </c>
      <c r="D8591" t="s">
        <v>23</v>
      </c>
      <c r="E8591" t="s">
        <v>24</v>
      </c>
      <c r="F8591" t="s">
        <v>1051</v>
      </c>
      <c r="G8591">
        <v>821663</v>
      </c>
      <c r="H8591" t="s">
        <v>26</v>
      </c>
      <c r="I8591" t="s">
        <v>200</v>
      </c>
      <c r="J8591" t="str">
        <f>"9781118168479"</f>
        <v>9781118168479</v>
      </c>
      <c r="K8591" t="s">
        <v>611</v>
      </c>
      <c r="L8591">
        <v>3</v>
      </c>
      <c r="O8591" t="s">
        <v>30</v>
      </c>
      <c r="P8591" t="s">
        <v>42</v>
      </c>
      <c r="S8591" t="s">
        <v>31</v>
      </c>
      <c r="T8591" t="s">
        <v>1053</v>
      </c>
      <c r="U8591">
        <v>729</v>
      </c>
      <c r="V8591" s="3">
        <v>40973</v>
      </c>
    </row>
    <row r="8592" spans="1:22" x14ac:dyDescent="0.35">
      <c r="A8592" s="1">
        <v>42257.098032407404</v>
      </c>
      <c r="B8592" s="2">
        <v>1.2384259259259258E-3</v>
      </c>
      <c r="C8592" t="s">
        <v>4713</v>
      </c>
      <c r="D8592" t="s">
        <v>1222</v>
      </c>
      <c r="E8592" t="s">
        <v>1223</v>
      </c>
      <c r="F8592" t="s">
        <v>3263</v>
      </c>
      <c r="G8592">
        <v>1840835</v>
      </c>
      <c r="H8592" t="s">
        <v>26</v>
      </c>
      <c r="I8592" t="s">
        <v>108</v>
      </c>
      <c r="J8592" t="str">
        <f>"9781118950166"</f>
        <v>9781118950166</v>
      </c>
      <c r="K8592" t="s">
        <v>12221</v>
      </c>
      <c r="L8592">
        <v>13</v>
      </c>
      <c r="O8592" t="s">
        <v>30</v>
      </c>
      <c r="P8592" t="s">
        <v>42</v>
      </c>
      <c r="S8592" t="s">
        <v>1226</v>
      </c>
      <c r="T8592" t="s">
        <v>3264</v>
      </c>
      <c r="U8592">
        <v>338.10923789999998</v>
      </c>
      <c r="V8592" s="3">
        <v>41953</v>
      </c>
    </row>
    <row r="8593" spans="1:22" x14ac:dyDescent="0.35">
      <c r="A8593" s="1">
        <v>42257.079895833333</v>
      </c>
      <c r="B8593" s="2">
        <v>1.6203703703703703E-3</v>
      </c>
      <c r="C8593" t="s">
        <v>12222</v>
      </c>
      <c r="D8593" t="s">
        <v>23</v>
      </c>
      <c r="E8593" t="s">
        <v>24</v>
      </c>
      <c r="F8593" t="s">
        <v>4594</v>
      </c>
      <c r="G8593">
        <v>1872281</v>
      </c>
      <c r="H8593" t="s">
        <v>91</v>
      </c>
      <c r="I8593" t="s">
        <v>2133</v>
      </c>
      <c r="J8593" t="str">
        <f>"9781462519606"</f>
        <v>9781462519606</v>
      </c>
      <c r="K8593" t="s">
        <v>12223</v>
      </c>
      <c r="L8593">
        <v>38</v>
      </c>
      <c r="O8593" t="s">
        <v>30</v>
      </c>
      <c r="P8593" t="s">
        <v>29</v>
      </c>
      <c r="Q8593" s="1">
        <v>42256.806712962964</v>
      </c>
      <c r="R8593">
        <v>7</v>
      </c>
      <c r="S8593" t="s">
        <v>31</v>
      </c>
      <c r="T8593" t="s">
        <v>4596</v>
      </c>
      <c r="U8593">
        <v>378.101</v>
      </c>
      <c r="V8593" s="3">
        <v>42150</v>
      </c>
    </row>
    <row r="8594" spans="1:22" x14ac:dyDescent="0.35">
      <c r="A8594" s="1">
        <v>42257.076701388891</v>
      </c>
      <c r="B8594" s="2">
        <v>2.1527777777777778E-3</v>
      </c>
      <c r="C8594" t="s">
        <v>12222</v>
      </c>
      <c r="D8594" t="s">
        <v>23</v>
      </c>
      <c r="E8594" t="s">
        <v>24</v>
      </c>
      <c r="F8594" t="s">
        <v>4594</v>
      </c>
      <c r="G8594">
        <v>1872281</v>
      </c>
      <c r="H8594" t="s">
        <v>91</v>
      </c>
      <c r="I8594" t="s">
        <v>2133</v>
      </c>
      <c r="J8594" t="str">
        <f>"9781462519606"</f>
        <v>9781462519606</v>
      </c>
      <c r="K8594" t="s">
        <v>12224</v>
      </c>
      <c r="L8594">
        <v>6</v>
      </c>
      <c r="M8594" t="s">
        <v>12225</v>
      </c>
      <c r="O8594" t="s">
        <v>28</v>
      </c>
      <c r="P8594" t="s">
        <v>29</v>
      </c>
      <c r="Q8594" s="1">
        <v>42256.806712962964</v>
      </c>
      <c r="R8594">
        <v>7</v>
      </c>
      <c r="S8594" t="s">
        <v>31</v>
      </c>
      <c r="T8594" t="s">
        <v>4596</v>
      </c>
      <c r="U8594">
        <v>378.101</v>
      </c>
      <c r="V8594" s="3">
        <v>42150</v>
      </c>
    </row>
    <row r="8595" spans="1:22" x14ac:dyDescent="0.35">
      <c r="A8595" s="1">
        <v>42257.075590277775</v>
      </c>
      <c r="B8595" s="2">
        <v>7.0601851851851847E-4</v>
      </c>
      <c r="C8595" t="s">
        <v>12222</v>
      </c>
      <c r="D8595" t="s">
        <v>23</v>
      </c>
      <c r="E8595" t="s">
        <v>24</v>
      </c>
      <c r="F8595" t="s">
        <v>4594</v>
      </c>
      <c r="G8595">
        <v>1872281</v>
      </c>
      <c r="H8595" t="s">
        <v>91</v>
      </c>
      <c r="I8595" t="s">
        <v>2133</v>
      </c>
      <c r="J8595" t="str">
        <f>"9781462519606"</f>
        <v>9781462519606</v>
      </c>
      <c r="K8595" t="s">
        <v>12226</v>
      </c>
      <c r="L8595">
        <v>15</v>
      </c>
      <c r="M8595" t="s">
        <v>10703</v>
      </c>
      <c r="O8595" t="s">
        <v>30</v>
      </c>
      <c r="P8595" t="s">
        <v>29</v>
      </c>
      <c r="Q8595" s="1">
        <v>42256.806712962964</v>
      </c>
      <c r="R8595">
        <v>7</v>
      </c>
      <c r="S8595" t="s">
        <v>31</v>
      </c>
      <c r="T8595" t="s">
        <v>4596</v>
      </c>
      <c r="U8595">
        <v>378.101</v>
      </c>
      <c r="V8595" s="3">
        <v>42150</v>
      </c>
    </row>
    <row r="8596" spans="1:22" x14ac:dyDescent="0.35">
      <c r="A8596" s="1">
        <v>42257.006944444445</v>
      </c>
      <c r="B8596" s="2">
        <v>1.2731481481481483E-3</v>
      </c>
      <c r="C8596" t="s">
        <v>607</v>
      </c>
      <c r="D8596" t="s">
        <v>23</v>
      </c>
      <c r="E8596" t="s">
        <v>24</v>
      </c>
      <c r="F8596" t="s">
        <v>12227</v>
      </c>
      <c r="G8596">
        <v>1698625</v>
      </c>
      <c r="H8596" t="s">
        <v>45</v>
      </c>
      <c r="I8596" t="s">
        <v>310</v>
      </c>
      <c r="J8596" t="str">
        <f>"9781472410467"</f>
        <v>9781472410467</v>
      </c>
      <c r="K8596" t="s">
        <v>12228</v>
      </c>
      <c r="L8596">
        <v>25</v>
      </c>
      <c r="O8596" t="s">
        <v>30</v>
      </c>
      <c r="P8596" t="s">
        <v>50</v>
      </c>
      <c r="S8596" t="s">
        <v>31</v>
      </c>
      <c r="T8596" t="s">
        <v>12229</v>
      </c>
      <c r="U8596" t="s">
        <v>12230</v>
      </c>
      <c r="V8596" s="3">
        <v>41848</v>
      </c>
    </row>
    <row r="8597" spans="1:22" x14ac:dyDescent="0.35">
      <c r="A8597" s="1">
        <v>42257.006458333337</v>
      </c>
      <c r="B8597" s="2">
        <v>7.0717592592592594E-3</v>
      </c>
      <c r="C8597" t="s">
        <v>3906</v>
      </c>
      <c r="D8597" t="s">
        <v>35</v>
      </c>
      <c r="E8597" t="s">
        <v>36</v>
      </c>
      <c r="F8597" t="s">
        <v>37</v>
      </c>
      <c r="G8597">
        <v>1684620</v>
      </c>
      <c r="H8597" t="s">
        <v>26</v>
      </c>
      <c r="I8597" t="s">
        <v>38</v>
      </c>
      <c r="J8597" t="str">
        <f>"9781118418925"</f>
        <v>9781118418925</v>
      </c>
      <c r="K8597" t="s">
        <v>12231</v>
      </c>
      <c r="L8597">
        <v>22</v>
      </c>
      <c r="O8597" t="s">
        <v>30</v>
      </c>
      <c r="P8597" t="s">
        <v>29</v>
      </c>
      <c r="Q8597" s="1">
        <v>42250.642546296294</v>
      </c>
      <c r="R8597">
        <v>7</v>
      </c>
      <c r="S8597" t="s">
        <v>40</v>
      </c>
      <c r="T8597" t="s">
        <v>41</v>
      </c>
      <c r="U8597">
        <v>362.10680000000002</v>
      </c>
      <c r="V8597" s="3">
        <v>41759</v>
      </c>
    </row>
    <row r="8598" spans="1:22" x14ac:dyDescent="0.35">
      <c r="A8598" s="1">
        <v>42257.004490740743</v>
      </c>
      <c r="B8598" s="2">
        <v>1.8287037037037037E-3</v>
      </c>
      <c r="C8598" t="s">
        <v>3906</v>
      </c>
      <c r="D8598" t="s">
        <v>35</v>
      </c>
      <c r="E8598" t="s">
        <v>36</v>
      </c>
      <c r="F8598" t="s">
        <v>37</v>
      </c>
      <c r="G8598">
        <v>1684620</v>
      </c>
      <c r="H8598" t="s">
        <v>26</v>
      </c>
      <c r="I8598" t="s">
        <v>38</v>
      </c>
      <c r="J8598" t="str">
        <f>"9781118418925"</f>
        <v>9781118418925</v>
      </c>
      <c r="K8598" t="s">
        <v>12232</v>
      </c>
      <c r="L8598">
        <v>5</v>
      </c>
      <c r="O8598" t="s">
        <v>30</v>
      </c>
      <c r="P8598" t="s">
        <v>29</v>
      </c>
      <c r="Q8598" s="1">
        <v>42250.642546296294</v>
      </c>
      <c r="R8598">
        <v>7</v>
      </c>
      <c r="S8598" t="s">
        <v>40</v>
      </c>
      <c r="T8598" t="s">
        <v>41</v>
      </c>
      <c r="U8598">
        <v>362.10680000000002</v>
      </c>
      <c r="V8598" s="3">
        <v>41759</v>
      </c>
    </row>
    <row r="8599" spans="1:22" x14ac:dyDescent="0.35">
      <c r="A8599" s="1">
        <v>42257.001481481479</v>
      </c>
      <c r="B8599" s="2">
        <v>1.8518518518518518E-4</v>
      </c>
      <c r="C8599" t="s">
        <v>12233</v>
      </c>
      <c r="D8599" t="s">
        <v>1222</v>
      </c>
      <c r="E8599" t="s">
        <v>1223</v>
      </c>
      <c r="F8599" t="s">
        <v>12234</v>
      </c>
      <c r="G8599">
        <v>2049516</v>
      </c>
      <c r="H8599" t="s">
        <v>45</v>
      </c>
      <c r="I8599" t="s">
        <v>79</v>
      </c>
      <c r="J8599" t="str">
        <f>"9781472457790"</f>
        <v>9781472457790</v>
      </c>
      <c r="K8599" t="s">
        <v>12235</v>
      </c>
      <c r="L8599">
        <v>11</v>
      </c>
      <c r="O8599" t="s">
        <v>30</v>
      </c>
      <c r="P8599" t="s">
        <v>50</v>
      </c>
      <c r="S8599" t="s">
        <v>1226</v>
      </c>
      <c r="T8599" t="s">
        <v>12236</v>
      </c>
      <c r="U8599" t="s">
        <v>12237</v>
      </c>
      <c r="V8599" s="3">
        <v>42181</v>
      </c>
    </row>
    <row r="8600" spans="1:22" x14ac:dyDescent="0.35">
      <c r="A8600" s="1">
        <v>42256.900127314817</v>
      </c>
      <c r="B8600" s="2">
        <v>2.9282407407407412E-3</v>
      </c>
      <c r="C8600" t="s">
        <v>12238</v>
      </c>
      <c r="D8600" t="s">
        <v>23</v>
      </c>
      <c r="E8600" t="s">
        <v>24</v>
      </c>
      <c r="F8600" t="s">
        <v>12239</v>
      </c>
      <c r="G8600">
        <v>821764</v>
      </c>
      <c r="H8600" t="s">
        <v>26</v>
      </c>
      <c r="I8600" t="s">
        <v>27</v>
      </c>
      <c r="J8600" t="str">
        <f>"9781118222010"</f>
        <v>9781118222010</v>
      </c>
      <c r="K8600" t="s">
        <v>12240</v>
      </c>
      <c r="L8600">
        <v>16</v>
      </c>
      <c r="O8600" t="s">
        <v>30</v>
      </c>
      <c r="P8600" t="s">
        <v>42</v>
      </c>
      <c r="S8600" t="s">
        <v>31</v>
      </c>
      <c r="T8600" t="s">
        <v>12241</v>
      </c>
      <c r="U8600">
        <v>468.24209999999999</v>
      </c>
      <c r="V8600" s="3">
        <v>40998</v>
      </c>
    </row>
    <row r="8601" spans="1:22" x14ac:dyDescent="0.35">
      <c r="A8601" s="1">
        <v>42256.868483796294</v>
      </c>
      <c r="B8601" s="2">
        <v>4.6296296296296294E-5</v>
      </c>
      <c r="C8601" t="s">
        <v>4205</v>
      </c>
      <c r="D8601" t="s">
        <v>597</v>
      </c>
      <c r="E8601" t="s">
        <v>598</v>
      </c>
      <c r="F8601" t="s">
        <v>111</v>
      </c>
      <c r="G8601">
        <v>693176</v>
      </c>
      <c r="H8601" t="s">
        <v>26</v>
      </c>
      <c r="I8601" t="s">
        <v>112</v>
      </c>
      <c r="J8601" t="str">
        <f>"9781118017746"</f>
        <v>9781118017746</v>
      </c>
      <c r="K8601" t="s">
        <v>33</v>
      </c>
      <c r="L8601">
        <v>3</v>
      </c>
      <c r="O8601" t="s">
        <v>30</v>
      </c>
      <c r="P8601" t="s">
        <v>42</v>
      </c>
      <c r="S8601" t="s">
        <v>600</v>
      </c>
      <c r="T8601" t="s">
        <v>114</v>
      </c>
      <c r="U8601" t="s">
        <v>115</v>
      </c>
      <c r="V8601" s="3">
        <v>40835</v>
      </c>
    </row>
    <row r="8602" spans="1:22" x14ac:dyDescent="0.35">
      <c r="A8602" s="1">
        <v>42256.864386574074</v>
      </c>
      <c r="B8602" s="2">
        <v>2.5462962962962961E-4</v>
      </c>
      <c r="C8602" t="s">
        <v>12242</v>
      </c>
      <c r="D8602" t="s">
        <v>35</v>
      </c>
      <c r="E8602" t="s">
        <v>36</v>
      </c>
      <c r="F8602" t="s">
        <v>12243</v>
      </c>
      <c r="G8602">
        <v>1692770</v>
      </c>
      <c r="H8602" t="s">
        <v>45</v>
      </c>
      <c r="I8602" t="s">
        <v>426</v>
      </c>
      <c r="J8602" t="str">
        <f>"9781409436959"</f>
        <v>9781409436959</v>
      </c>
      <c r="K8602" t="s">
        <v>12244</v>
      </c>
      <c r="L8602">
        <v>6</v>
      </c>
      <c r="O8602" t="s">
        <v>30</v>
      </c>
      <c r="P8602" t="s">
        <v>47</v>
      </c>
      <c r="Q8602" s="1">
        <v>42256.864386574074</v>
      </c>
      <c r="R8602">
        <v>1</v>
      </c>
      <c r="S8602" t="s">
        <v>40</v>
      </c>
      <c r="T8602" t="s">
        <v>12245</v>
      </c>
      <c r="U8602" t="s">
        <v>12246</v>
      </c>
      <c r="V8602" s="3">
        <v>41848</v>
      </c>
    </row>
    <row r="8603" spans="1:22" x14ac:dyDescent="0.35">
      <c r="A8603" s="1">
        <v>42256.849131944444</v>
      </c>
      <c r="B8603" s="2">
        <v>0</v>
      </c>
      <c r="C8603" t="s">
        <v>12247</v>
      </c>
      <c r="D8603" t="s">
        <v>23</v>
      </c>
      <c r="E8603" t="s">
        <v>24</v>
      </c>
      <c r="F8603" t="s">
        <v>4594</v>
      </c>
      <c r="G8603">
        <v>1872281</v>
      </c>
      <c r="H8603" t="s">
        <v>91</v>
      </c>
      <c r="I8603" t="s">
        <v>2133</v>
      </c>
      <c r="J8603" t="str">
        <f>"9781462519606"</f>
        <v>9781462519606</v>
      </c>
      <c r="L8603">
        <v>0</v>
      </c>
      <c r="N8603" t="s">
        <v>12248</v>
      </c>
      <c r="O8603" t="s">
        <v>30</v>
      </c>
      <c r="P8603" t="s">
        <v>29</v>
      </c>
      <c r="Q8603" s="1">
        <v>42256.849131944444</v>
      </c>
      <c r="R8603">
        <v>7</v>
      </c>
      <c r="S8603" t="s">
        <v>31</v>
      </c>
      <c r="T8603" t="s">
        <v>4596</v>
      </c>
      <c r="U8603">
        <v>378.101</v>
      </c>
      <c r="V8603" s="3">
        <v>42150</v>
      </c>
    </row>
    <row r="8604" spans="1:22" x14ac:dyDescent="0.35">
      <c r="A8604" s="1">
        <v>42256.849039351851</v>
      </c>
      <c r="B8604" s="2">
        <v>9.2592592592592588E-5</v>
      </c>
      <c r="C8604" t="s">
        <v>12247</v>
      </c>
      <c r="D8604" t="s">
        <v>23</v>
      </c>
      <c r="E8604" t="s">
        <v>24</v>
      </c>
      <c r="F8604" t="s">
        <v>4594</v>
      </c>
      <c r="G8604">
        <v>1872281</v>
      </c>
      <c r="H8604" t="s">
        <v>91</v>
      </c>
      <c r="I8604" t="s">
        <v>2133</v>
      </c>
      <c r="J8604" t="str">
        <f>"9781462519606"</f>
        <v>9781462519606</v>
      </c>
      <c r="K8604" t="s">
        <v>209</v>
      </c>
      <c r="L8604">
        <v>4</v>
      </c>
      <c r="O8604" t="s">
        <v>30</v>
      </c>
      <c r="P8604" t="s">
        <v>42</v>
      </c>
      <c r="S8604" t="s">
        <v>31</v>
      </c>
      <c r="T8604" t="s">
        <v>4596</v>
      </c>
      <c r="U8604">
        <v>378.101</v>
      </c>
      <c r="V8604" s="3">
        <v>42150</v>
      </c>
    </row>
    <row r="8605" spans="1:22" x14ac:dyDescent="0.35">
      <c r="A8605" s="1">
        <v>42256.848668981482</v>
      </c>
      <c r="B8605" s="2">
        <v>1.5717592592592592E-2</v>
      </c>
      <c r="C8605" t="s">
        <v>12242</v>
      </c>
      <c r="D8605" t="s">
        <v>35</v>
      </c>
      <c r="E8605" t="s">
        <v>36</v>
      </c>
      <c r="F8605" t="s">
        <v>12243</v>
      </c>
      <c r="G8605">
        <v>1692770</v>
      </c>
      <c r="H8605" t="s">
        <v>45</v>
      </c>
      <c r="I8605" t="s">
        <v>426</v>
      </c>
      <c r="J8605" t="str">
        <f>"9781409436959"</f>
        <v>9781409436959</v>
      </c>
      <c r="K8605" t="s">
        <v>12249</v>
      </c>
      <c r="L8605">
        <v>12</v>
      </c>
      <c r="O8605" t="s">
        <v>30</v>
      </c>
      <c r="P8605" t="s">
        <v>50</v>
      </c>
      <c r="S8605" t="s">
        <v>40</v>
      </c>
      <c r="T8605" t="s">
        <v>12245</v>
      </c>
      <c r="U8605" t="s">
        <v>12246</v>
      </c>
      <c r="V8605" s="3">
        <v>41848</v>
      </c>
    </row>
    <row r="8606" spans="1:22" x14ac:dyDescent="0.35">
      <c r="A8606" s="1">
        <v>42256.84097222222</v>
      </c>
      <c r="B8606" s="2">
        <v>1.3425925925925925E-3</v>
      </c>
      <c r="C8606" t="s">
        <v>10436</v>
      </c>
      <c r="D8606" t="s">
        <v>211</v>
      </c>
      <c r="E8606" t="s">
        <v>212</v>
      </c>
      <c r="F8606" t="s">
        <v>9199</v>
      </c>
      <c r="G8606">
        <v>1443883</v>
      </c>
      <c r="H8606" t="s">
        <v>26</v>
      </c>
      <c r="I8606" t="s">
        <v>297</v>
      </c>
      <c r="J8606" t="str">
        <f>"9781118552032"</f>
        <v>9781118552032</v>
      </c>
      <c r="K8606" t="s">
        <v>209</v>
      </c>
      <c r="L8606">
        <v>4</v>
      </c>
      <c r="O8606" t="s">
        <v>30</v>
      </c>
      <c r="P8606" t="s">
        <v>42</v>
      </c>
      <c r="S8606" t="s">
        <v>214</v>
      </c>
      <c r="T8606" t="s">
        <v>9201</v>
      </c>
      <c r="U8606">
        <v>512</v>
      </c>
      <c r="V8606" s="3">
        <v>41547</v>
      </c>
    </row>
    <row r="8607" spans="1:22" x14ac:dyDescent="0.35">
      <c r="A8607" s="1">
        <v>42256.83834490741</v>
      </c>
      <c r="B8607" s="2">
        <v>5.5555555555555556E-4</v>
      </c>
      <c r="C8607" t="s">
        <v>12250</v>
      </c>
      <c r="D8607" t="s">
        <v>23</v>
      </c>
      <c r="E8607" t="s">
        <v>24</v>
      </c>
      <c r="F8607" t="s">
        <v>917</v>
      </c>
      <c r="G8607">
        <v>1315428</v>
      </c>
      <c r="H8607" t="s">
        <v>492</v>
      </c>
      <c r="I8607" t="s">
        <v>297</v>
      </c>
      <c r="J8607" t="str">
        <f>"9781400841684"</f>
        <v>9781400841684</v>
      </c>
      <c r="K8607" t="s">
        <v>12251</v>
      </c>
      <c r="L8607">
        <v>3</v>
      </c>
      <c r="O8607" t="s">
        <v>30</v>
      </c>
      <c r="P8607" t="s">
        <v>42</v>
      </c>
      <c r="S8607" t="s">
        <v>31</v>
      </c>
      <c r="T8607" t="s">
        <v>918</v>
      </c>
      <c r="U8607">
        <v>512.94000000000005</v>
      </c>
      <c r="V8607" s="3">
        <v>41008</v>
      </c>
    </row>
    <row r="8608" spans="1:22" x14ac:dyDescent="0.35">
      <c r="A8608" s="1">
        <v>42256.836226851854</v>
      </c>
      <c r="B8608" s="2">
        <v>1.6435185185185183E-3</v>
      </c>
      <c r="C8608" t="s">
        <v>106</v>
      </c>
      <c r="D8608" t="s">
        <v>23</v>
      </c>
      <c r="E8608" t="s">
        <v>24</v>
      </c>
      <c r="F8608" t="s">
        <v>4594</v>
      </c>
      <c r="G8608">
        <v>1872281</v>
      </c>
      <c r="H8608" t="s">
        <v>91</v>
      </c>
      <c r="I8608" t="s">
        <v>2133</v>
      </c>
      <c r="J8608" t="str">
        <f>"9781462519606"</f>
        <v>9781462519606</v>
      </c>
      <c r="K8608" t="s">
        <v>98</v>
      </c>
      <c r="L8608">
        <v>7</v>
      </c>
      <c r="M8608" t="s">
        <v>105</v>
      </c>
      <c r="O8608" t="s">
        <v>30</v>
      </c>
      <c r="P8608" t="s">
        <v>29</v>
      </c>
      <c r="Q8608" s="1">
        <v>42250.093229166669</v>
      </c>
      <c r="R8608">
        <v>7</v>
      </c>
      <c r="S8608" t="s">
        <v>31</v>
      </c>
      <c r="T8608" t="s">
        <v>4596</v>
      </c>
      <c r="U8608">
        <v>378.101</v>
      </c>
      <c r="V8608" s="3">
        <v>42150</v>
      </c>
    </row>
    <row r="8609" spans="1:22" x14ac:dyDescent="0.35">
      <c r="A8609" s="1">
        <v>42256.827986111108</v>
      </c>
      <c r="B8609" s="2">
        <v>9.2592592592592588E-5</v>
      </c>
      <c r="C8609" t="s">
        <v>106</v>
      </c>
      <c r="D8609" t="s">
        <v>23</v>
      </c>
      <c r="E8609" t="s">
        <v>24</v>
      </c>
      <c r="F8609" t="s">
        <v>4594</v>
      </c>
      <c r="G8609">
        <v>1872281</v>
      </c>
      <c r="H8609" t="s">
        <v>91</v>
      </c>
      <c r="I8609" t="s">
        <v>2133</v>
      </c>
      <c r="J8609" t="str">
        <f>"9781462519606"</f>
        <v>9781462519606</v>
      </c>
      <c r="K8609" t="s">
        <v>33</v>
      </c>
      <c r="L8609">
        <v>3</v>
      </c>
      <c r="O8609" t="s">
        <v>30</v>
      </c>
      <c r="P8609" t="s">
        <v>29</v>
      </c>
      <c r="Q8609" s="1">
        <v>42250.093229166669</v>
      </c>
      <c r="R8609">
        <v>7</v>
      </c>
      <c r="S8609" t="s">
        <v>31</v>
      </c>
      <c r="T8609" t="s">
        <v>4596</v>
      </c>
      <c r="U8609">
        <v>378.101</v>
      </c>
      <c r="V8609" s="3">
        <v>42150</v>
      </c>
    </row>
    <row r="8610" spans="1:22" x14ac:dyDescent="0.35">
      <c r="A8610" s="1">
        <v>42256.820162037038</v>
      </c>
      <c r="B8610" s="2">
        <v>4.6296296296296294E-5</v>
      </c>
      <c r="C8610" t="s">
        <v>106</v>
      </c>
      <c r="D8610" t="s">
        <v>23</v>
      </c>
      <c r="E8610" t="s">
        <v>24</v>
      </c>
      <c r="F8610" t="s">
        <v>4594</v>
      </c>
      <c r="G8610">
        <v>1872281</v>
      </c>
      <c r="H8610" t="s">
        <v>91</v>
      </c>
      <c r="I8610" t="s">
        <v>2133</v>
      </c>
      <c r="J8610" t="str">
        <f>"9781462519606"</f>
        <v>9781462519606</v>
      </c>
      <c r="K8610" t="s">
        <v>33</v>
      </c>
      <c r="L8610">
        <v>3</v>
      </c>
      <c r="O8610" t="s">
        <v>30</v>
      </c>
      <c r="P8610" t="s">
        <v>29</v>
      </c>
      <c r="Q8610" s="1">
        <v>42250.093229166669</v>
      </c>
      <c r="R8610">
        <v>7</v>
      </c>
      <c r="S8610" t="s">
        <v>31</v>
      </c>
      <c r="T8610" t="s">
        <v>4596</v>
      </c>
      <c r="U8610">
        <v>378.101</v>
      </c>
      <c r="V8610" s="3">
        <v>42150</v>
      </c>
    </row>
    <row r="8611" spans="1:22" x14ac:dyDescent="0.35">
      <c r="A8611" s="1">
        <v>42256.812881944446</v>
      </c>
      <c r="B8611" s="2">
        <v>2.2222222222222222E-3</v>
      </c>
      <c r="C8611" t="s">
        <v>11771</v>
      </c>
      <c r="D8611" t="s">
        <v>35</v>
      </c>
      <c r="E8611" t="s">
        <v>36</v>
      </c>
      <c r="F8611" t="s">
        <v>37</v>
      </c>
      <c r="G8611">
        <v>1684620</v>
      </c>
      <c r="H8611" t="s">
        <v>26</v>
      </c>
      <c r="I8611" t="s">
        <v>38</v>
      </c>
      <c r="J8611" t="str">
        <f>"9781118418925"</f>
        <v>9781118418925</v>
      </c>
      <c r="K8611" t="s">
        <v>12252</v>
      </c>
      <c r="L8611">
        <v>14</v>
      </c>
      <c r="O8611" t="s">
        <v>30</v>
      </c>
      <c r="P8611" t="s">
        <v>29</v>
      </c>
      <c r="Q8611" s="1">
        <v>42256.773078703707</v>
      </c>
      <c r="R8611">
        <v>7</v>
      </c>
      <c r="S8611" t="s">
        <v>40</v>
      </c>
      <c r="T8611" t="s">
        <v>41</v>
      </c>
      <c r="U8611">
        <v>362.10680000000002</v>
      </c>
      <c r="V8611" s="3">
        <v>41759</v>
      </c>
    </row>
    <row r="8612" spans="1:22" x14ac:dyDescent="0.35">
      <c r="A8612" s="1">
        <v>42256.806712962964</v>
      </c>
      <c r="B8612" s="2">
        <v>1.689814814814815E-3</v>
      </c>
      <c r="C8612" t="s">
        <v>12222</v>
      </c>
      <c r="D8612" t="s">
        <v>23</v>
      </c>
      <c r="E8612" t="s">
        <v>24</v>
      </c>
      <c r="F8612" t="s">
        <v>4594</v>
      </c>
      <c r="G8612">
        <v>1872281</v>
      </c>
      <c r="H8612" t="s">
        <v>91</v>
      </c>
      <c r="I8612" t="s">
        <v>2133</v>
      </c>
      <c r="J8612" t="str">
        <f>"9781462519606"</f>
        <v>9781462519606</v>
      </c>
      <c r="K8612" t="s">
        <v>12253</v>
      </c>
      <c r="L8612">
        <v>21</v>
      </c>
      <c r="N8612" t="s">
        <v>12254</v>
      </c>
      <c r="O8612" t="s">
        <v>30</v>
      </c>
      <c r="P8612" t="s">
        <v>29</v>
      </c>
      <c r="Q8612" s="1">
        <v>42256.806712962964</v>
      </c>
      <c r="R8612">
        <v>7</v>
      </c>
      <c r="S8612" t="s">
        <v>31</v>
      </c>
      <c r="T8612" t="s">
        <v>4596</v>
      </c>
      <c r="U8612">
        <v>378.101</v>
      </c>
      <c r="V8612" s="3">
        <v>42150</v>
      </c>
    </row>
    <row r="8613" spans="1:22" x14ac:dyDescent="0.35">
      <c r="A8613" s="1">
        <v>42256.806608796294</v>
      </c>
      <c r="B8613" s="2">
        <v>1.0416666666666667E-4</v>
      </c>
      <c r="C8613" t="s">
        <v>12222</v>
      </c>
      <c r="D8613" t="s">
        <v>23</v>
      </c>
      <c r="E8613" t="s">
        <v>24</v>
      </c>
      <c r="F8613" t="s">
        <v>4594</v>
      </c>
      <c r="G8613">
        <v>1872281</v>
      </c>
      <c r="H8613" t="s">
        <v>91</v>
      </c>
      <c r="I8613" t="s">
        <v>2133</v>
      </c>
      <c r="J8613" t="str">
        <f>"9781462519606"</f>
        <v>9781462519606</v>
      </c>
      <c r="K8613" t="s">
        <v>33</v>
      </c>
      <c r="L8613">
        <v>3</v>
      </c>
      <c r="O8613" t="s">
        <v>30</v>
      </c>
      <c r="P8613" t="s">
        <v>42</v>
      </c>
      <c r="S8613" t="s">
        <v>31</v>
      </c>
      <c r="T8613" t="s">
        <v>4596</v>
      </c>
      <c r="U8613">
        <v>378.101</v>
      </c>
      <c r="V8613" s="3">
        <v>42150</v>
      </c>
    </row>
    <row r="8614" spans="1:22" x14ac:dyDescent="0.35">
      <c r="A8614" s="1">
        <v>42256.791145833333</v>
      </c>
      <c r="B8614" s="2">
        <v>5.7870370370370366E-5</v>
      </c>
      <c r="C8614" t="s">
        <v>12020</v>
      </c>
      <c r="D8614" t="s">
        <v>23</v>
      </c>
      <c r="E8614" t="s">
        <v>24</v>
      </c>
      <c r="F8614" t="s">
        <v>3488</v>
      </c>
      <c r="G8614">
        <v>1294909</v>
      </c>
      <c r="H8614" t="s">
        <v>84</v>
      </c>
      <c r="I8614" t="s">
        <v>445</v>
      </c>
      <c r="J8614" t="str">
        <f>"9780520956797"</f>
        <v>9780520956797</v>
      </c>
      <c r="K8614" t="s">
        <v>1309</v>
      </c>
      <c r="L8614">
        <v>1</v>
      </c>
      <c r="N8614" t="s">
        <v>12255</v>
      </c>
      <c r="O8614" t="s">
        <v>30</v>
      </c>
      <c r="P8614" t="s">
        <v>29</v>
      </c>
      <c r="Q8614" s="1">
        <v>42256.791145833333</v>
      </c>
      <c r="R8614">
        <v>7</v>
      </c>
      <c r="S8614" t="s">
        <v>31</v>
      </c>
      <c r="T8614" t="s">
        <v>3490</v>
      </c>
      <c r="U8614" t="s">
        <v>3491</v>
      </c>
      <c r="V8614" s="3">
        <v>41487</v>
      </c>
    </row>
    <row r="8615" spans="1:22" x14ac:dyDescent="0.35">
      <c r="A8615" s="1">
        <v>42256.791006944448</v>
      </c>
      <c r="B8615" s="2">
        <v>0</v>
      </c>
      <c r="C8615" t="s">
        <v>106</v>
      </c>
      <c r="D8615" t="s">
        <v>23</v>
      </c>
      <c r="E8615" t="s">
        <v>24</v>
      </c>
      <c r="F8615" t="s">
        <v>4594</v>
      </c>
      <c r="G8615">
        <v>1872281</v>
      </c>
      <c r="H8615" t="s">
        <v>91</v>
      </c>
      <c r="I8615" t="s">
        <v>2133</v>
      </c>
      <c r="J8615" t="str">
        <f>"9781462519606"</f>
        <v>9781462519606</v>
      </c>
      <c r="L8615">
        <v>0</v>
      </c>
      <c r="O8615" t="s">
        <v>28</v>
      </c>
      <c r="P8615" t="s">
        <v>29</v>
      </c>
      <c r="Q8615" s="1">
        <v>42250.093229166669</v>
      </c>
      <c r="R8615">
        <v>7</v>
      </c>
      <c r="S8615" t="s">
        <v>31</v>
      </c>
      <c r="T8615" t="s">
        <v>4596</v>
      </c>
      <c r="U8615">
        <v>378.101</v>
      </c>
      <c r="V8615" s="3">
        <v>42150</v>
      </c>
    </row>
    <row r="8616" spans="1:22" x14ac:dyDescent="0.35">
      <c r="A8616" s="1">
        <v>42256.790949074071</v>
      </c>
      <c r="B8616" s="2">
        <v>1.9675925925925926E-4</v>
      </c>
      <c r="C8616" t="s">
        <v>12020</v>
      </c>
      <c r="D8616" t="s">
        <v>23</v>
      </c>
      <c r="E8616" t="s">
        <v>24</v>
      </c>
      <c r="F8616" t="s">
        <v>3488</v>
      </c>
      <c r="G8616">
        <v>1294909</v>
      </c>
      <c r="H8616" t="s">
        <v>84</v>
      </c>
      <c r="I8616" t="s">
        <v>445</v>
      </c>
      <c r="J8616" t="str">
        <f>"9780520956797"</f>
        <v>9780520956797</v>
      </c>
      <c r="K8616" t="s">
        <v>5139</v>
      </c>
      <c r="L8616">
        <v>8</v>
      </c>
      <c r="O8616" t="s">
        <v>30</v>
      </c>
      <c r="P8616" t="s">
        <v>42</v>
      </c>
      <c r="S8616" t="s">
        <v>31</v>
      </c>
      <c r="T8616" t="s">
        <v>3490</v>
      </c>
      <c r="U8616" t="s">
        <v>3491</v>
      </c>
      <c r="V8616" s="3">
        <v>41487</v>
      </c>
    </row>
    <row r="8617" spans="1:22" x14ac:dyDescent="0.35">
      <c r="A8617" s="1">
        <v>42256.788703703707</v>
      </c>
      <c r="B8617" s="2">
        <v>3.5879629629629635E-4</v>
      </c>
      <c r="C8617" t="s">
        <v>106</v>
      </c>
      <c r="D8617" t="s">
        <v>23</v>
      </c>
      <c r="E8617" t="s">
        <v>24</v>
      </c>
      <c r="F8617" t="s">
        <v>4594</v>
      </c>
      <c r="G8617">
        <v>1872281</v>
      </c>
      <c r="H8617" t="s">
        <v>91</v>
      </c>
      <c r="I8617" t="s">
        <v>2133</v>
      </c>
      <c r="J8617" t="str">
        <f>"9781462519606"</f>
        <v>9781462519606</v>
      </c>
      <c r="K8617" t="s">
        <v>12256</v>
      </c>
      <c r="L8617">
        <v>3</v>
      </c>
      <c r="O8617" t="s">
        <v>30</v>
      </c>
      <c r="P8617" t="s">
        <v>29</v>
      </c>
      <c r="Q8617" s="1">
        <v>42250.093229166669</v>
      </c>
      <c r="R8617">
        <v>7</v>
      </c>
      <c r="S8617" t="s">
        <v>31</v>
      </c>
      <c r="T8617" t="s">
        <v>4596</v>
      </c>
      <c r="U8617">
        <v>378.101</v>
      </c>
      <c r="V8617" s="3">
        <v>42150</v>
      </c>
    </row>
    <row r="8618" spans="1:22" x14ac:dyDescent="0.35">
      <c r="A8618" s="1">
        <v>42256.773078703707</v>
      </c>
      <c r="B8618" s="2">
        <v>2.3148148148148147E-5</v>
      </c>
      <c r="C8618" t="s">
        <v>11771</v>
      </c>
      <c r="D8618" t="s">
        <v>35</v>
      </c>
      <c r="E8618" t="s">
        <v>36</v>
      </c>
      <c r="F8618" t="s">
        <v>37</v>
      </c>
      <c r="G8618">
        <v>1684620</v>
      </c>
      <c r="H8618" t="s">
        <v>26</v>
      </c>
      <c r="I8618" t="s">
        <v>38</v>
      </c>
      <c r="J8618" t="str">
        <f>"9781118418925"</f>
        <v>9781118418925</v>
      </c>
      <c r="K8618" t="s">
        <v>8565</v>
      </c>
      <c r="L8618">
        <v>3</v>
      </c>
      <c r="O8618" t="s">
        <v>30</v>
      </c>
      <c r="P8618" t="s">
        <v>29</v>
      </c>
      <c r="Q8618" s="1">
        <v>42256.773078703707</v>
      </c>
      <c r="R8618">
        <v>7</v>
      </c>
      <c r="S8618" t="s">
        <v>40</v>
      </c>
      <c r="T8618" t="s">
        <v>41</v>
      </c>
      <c r="U8618">
        <v>362.10680000000002</v>
      </c>
      <c r="V8618" s="3">
        <v>41759</v>
      </c>
    </row>
    <row r="8619" spans="1:22" x14ac:dyDescent="0.35">
      <c r="A8619" s="1">
        <v>42256.76898148148</v>
      </c>
      <c r="B8619" s="2">
        <v>2.199074074074074E-4</v>
      </c>
      <c r="C8619" t="s">
        <v>6408</v>
      </c>
      <c r="D8619" t="s">
        <v>35</v>
      </c>
      <c r="E8619" t="s">
        <v>36</v>
      </c>
      <c r="F8619" t="s">
        <v>3275</v>
      </c>
      <c r="G8619">
        <v>822662</v>
      </c>
      <c r="H8619" t="s">
        <v>26</v>
      </c>
      <c r="I8619" t="s">
        <v>172</v>
      </c>
      <c r="J8619" t="str">
        <f>"9781444355130"</f>
        <v>9781444355130</v>
      </c>
      <c r="K8619" t="s">
        <v>2353</v>
      </c>
      <c r="L8619">
        <v>13</v>
      </c>
      <c r="O8619" t="s">
        <v>30</v>
      </c>
      <c r="P8619" t="s">
        <v>29</v>
      </c>
      <c r="Q8619" s="1">
        <v>42256.642557870371</v>
      </c>
      <c r="R8619">
        <v>7</v>
      </c>
      <c r="S8619" t="s">
        <v>40</v>
      </c>
      <c r="T8619" t="s">
        <v>3277</v>
      </c>
      <c r="U8619">
        <v>960.3</v>
      </c>
      <c r="V8619" s="3">
        <v>40858</v>
      </c>
    </row>
    <row r="8620" spans="1:22" x14ac:dyDescent="0.35">
      <c r="A8620" s="1">
        <v>42256.759166666663</v>
      </c>
      <c r="B8620" s="2">
        <v>1.3912037037037037E-2</v>
      </c>
      <c r="C8620" t="s">
        <v>11771</v>
      </c>
      <c r="D8620" t="s">
        <v>35</v>
      </c>
      <c r="E8620" t="s">
        <v>36</v>
      </c>
      <c r="F8620" t="s">
        <v>37</v>
      </c>
      <c r="G8620">
        <v>1684620</v>
      </c>
      <c r="H8620" t="s">
        <v>26</v>
      </c>
      <c r="I8620" t="s">
        <v>38</v>
      </c>
      <c r="J8620" t="str">
        <f>"9781118418925"</f>
        <v>9781118418925</v>
      </c>
      <c r="K8620" t="s">
        <v>519</v>
      </c>
      <c r="L8620">
        <v>8</v>
      </c>
      <c r="O8620" t="s">
        <v>30</v>
      </c>
      <c r="P8620" t="s">
        <v>42</v>
      </c>
      <c r="S8620" t="s">
        <v>40</v>
      </c>
      <c r="T8620" t="s">
        <v>41</v>
      </c>
      <c r="U8620">
        <v>362.10680000000002</v>
      </c>
      <c r="V8620" s="3">
        <v>41759</v>
      </c>
    </row>
    <row r="8621" spans="1:22" x14ac:dyDescent="0.35">
      <c r="A8621" s="1">
        <v>42256.745150462964</v>
      </c>
      <c r="B8621" s="2">
        <v>2.7986111111111111E-2</v>
      </c>
      <c r="C8621" t="s">
        <v>12257</v>
      </c>
      <c r="D8621" t="s">
        <v>23</v>
      </c>
      <c r="E8621" t="s">
        <v>24</v>
      </c>
      <c r="F8621" t="s">
        <v>78</v>
      </c>
      <c r="G8621">
        <v>1635363</v>
      </c>
      <c r="H8621" t="s">
        <v>26</v>
      </c>
      <c r="I8621" t="s">
        <v>79</v>
      </c>
      <c r="J8621" t="str">
        <f>"9781118678206"</f>
        <v>9781118678206</v>
      </c>
      <c r="K8621" t="s">
        <v>12258</v>
      </c>
      <c r="L8621">
        <v>31</v>
      </c>
      <c r="O8621" t="s">
        <v>30</v>
      </c>
      <c r="P8621" t="s">
        <v>29</v>
      </c>
      <c r="Q8621" s="1">
        <v>42256.745150462964</v>
      </c>
      <c r="R8621">
        <v>7</v>
      </c>
      <c r="S8621" t="s">
        <v>31</v>
      </c>
      <c r="T8621" t="s">
        <v>81</v>
      </c>
      <c r="U8621">
        <v>340.07600000000002</v>
      </c>
      <c r="V8621" s="3">
        <v>41684</v>
      </c>
    </row>
    <row r="8622" spans="1:22" x14ac:dyDescent="0.35">
      <c r="A8622" s="1">
        <v>42256.722858796296</v>
      </c>
      <c r="B8622" s="2">
        <v>2.2291666666666668E-2</v>
      </c>
      <c r="C8622" t="s">
        <v>12257</v>
      </c>
      <c r="D8622" t="s">
        <v>23</v>
      </c>
      <c r="E8622" t="s">
        <v>24</v>
      </c>
      <c r="F8622" t="s">
        <v>78</v>
      </c>
      <c r="G8622">
        <v>1635363</v>
      </c>
      <c r="H8622" t="s">
        <v>26</v>
      </c>
      <c r="I8622" t="s">
        <v>79</v>
      </c>
      <c r="J8622" t="str">
        <f>"9781118678206"</f>
        <v>9781118678206</v>
      </c>
      <c r="K8622" t="s">
        <v>12259</v>
      </c>
      <c r="L8622">
        <v>12</v>
      </c>
      <c r="O8622" t="s">
        <v>30</v>
      </c>
      <c r="P8622" t="s">
        <v>42</v>
      </c>
      <c r="S8622" t="s">
        <v>31</v>
      </c>
      <c r="T8622" t="s">
        <v>81</v>
      </c>
      <c r="U8622">
        <v>340.07600000000002</v>
      </c>
      <c r="V8622" s="3">
        <v>41684</v>
      </c>
    </row>
    <row r="8623" spans="1:22" x14ac:dyDescent="0.35">
      <c r="A8623" s="1">
        <v>42256.72278935185</v>
      </c>
      <c r="B8623" s="2">
        <v>5.7870370370370378E-4</v>
      </c>
      <c r="C8623" t="s">
        <v>12260</v>
      </c>
      <c r="D8623" t="s">
        <v>335</v>
      </c>
      <c r="E8623" t="s">
        <v>336</v>
      </c>
      <c r="F8623" t="s">
        <v>6641</v>
      </c>
      <c r="G8623">
        <v>967750</v>
      </c>
      <c r="H8623" t="s">
        <v>1365</v>
      </c>
      <c r="I8623" t="s">
        <v>172</v>
      </c>
      <c r="J8623" t="str">
        <f>"9781441116635"</f>
        <v>9781441116635</v>
      </c>
      <c r="K8623" t="s">
        <v>12261</v>
      </c>
      <c r="L8623">
        <v>6</v>
      </c>
      <c r="O8623" t="s">
        <v>30</v>
      </c>
      <c r="P8623" t="s">
        <v>42</v>
      </c>
      <c r="S8623" t="s">
        <v>340</v>
      </c>
      <c r="T8623" t="s">
        <v>6643</v>
      </c>
      <c r="U8623">
        <v>937</v>
      </c>
      <c r="V8623" s="3">
        <v>41081</v>
      </c>
    </row>
    <row r="8624" spans="1:22" x14ac:dyDescent="0.35">
      <c r="A8624" s="1">
        <v>42256.700578703705</v>
      </c>
      <c r="B8624" s="2">
        <v>1.5046296296296297E-4</v>
      </c>
      <c r="C8624" t="s">
        <v>12257</v>
      </c>
      <c r="D8624" t="s">
        <v>23</v>
      </c>
      <c r="E8624" t="s">
        <v>24</v>
      </c>
      <c r="F8624" t="s">
        <v>78</v>
      </c>
      <c r="G8624">
        <v>1635363</v>
      </c>
      <c r="H8624" t="s">
        <v>26</v>
      </c>
      <c r="I8624" t="s">
        <v>79</v>
      </c>
      <c r="J8624" t="str">
        <f>"9781118678206"</f>
        <v>9781118678206</v>
      </c>
      <c r="K8624" t="s">
        <v>889</v>
      </c>
      <c r="L8624">
        <v>6</v>
      </c>
      <c r="O8624" t="s">
        <v>30</v>
      </c>
      <c r="P8624" t="s">
        <v>42</v>
      </c>
      <c r="S8624" t="s">
        <v>31</v>
      </c>
      <c r="T8624" t="s">
        <v>81</v>
      </c>
      <c r="U8624">
        <v>340.07600000000002</v>
      </c>
      <c r="V8624" s="3">
        <v>41684</v>
      </c>
    </row>
    <row r="8625" spans="1:22" x14ac:dyDescent="0.35">
      <c r="A8625" s="1">
        <v>42256.642557870371</v>
      </c>
      <c r="B8625" s="2">
        <v>0</v>
      </c>
      <c r="C8625" t="s">
        <v>6408</v>
      </c>
      <c r="D8625" t="s">
        <v>35</v>
      </c>
      <c r="E8625" t="s">
        <v>36</v>
      </c>
      <c r="F8625" t="s">
        <v>3275</v>
      </c>
      <c r="G8625">
        <v>822662</v>
      </c>
      <c r="H8625" t="s">
        <v>26</v>
      </c>
      <c r="I8625" t="s">
        <v>172</v>
      </c>
      <c r="J8625" t="str">
        <f>"9781444355130"</f>
        <v>9781444355130</v>
      </c>
      <c r="K8625" t="s">
        <v>12262</v>
      </c>
      <c r="L8625">
        <v>1</v>
      </c>
      <c r="O8625" t="s">
        <v>30</v>
      </c>
      <c r="P8625" t="s">
        <v>29</v>
      </c>
      <c r="Q8625" s="1">
        <v>42256.642557870371</v>
      </c>
      <c r="R8625">
        <v>7</v>
      </c>
      <c r="S8625" t="s">
        <v>40</v>
      </c>
      <c r="T8625" t="s">
        <v>3277</v>
      </c>
      <c r="U8625">
        <v>960.3</v>
      </c>
      <c r="V8625" s="3">
        <v>40858</v>
      </c>
    </row>
    <row r="8626" spans="1:22" x14ac:dyDescent="0.35">
      <c r="A8626" s="1">
        <v>42256.629710648151</v>
      </c>
      <c r="B8626" s="2">
        <v>1.2847222222222223E-2</v>
      </c>
      <c r="C8626" t="s">
        <v>6408</v>
      </c>
      <c r="D8626" t="s">
        <v>35</v>
      </c>
      <c r="E8626" t="s">
        <v>36</v>
      </c>
      <c r="F8626" t="s">
        <v>3275</v>
      </c>
      <c r="G8626">
        <v>822662</v>
      </c>
      <c r="H8626" t="s">
        <v>26</v>
      </c>
      <c r="I8626" t="s">
        <v>172</v>
      </c>
      <c r="J8626" t="str">
        <f>"9781444355130"</f>
        <v>9781444355130</v>
      </c>
      <c r="K8626" t="s">
        <v>12263</v>
      </c>
      <c r="L8626">
        <v>10</v>
      </c>
      <c r="O8626" t="s">
        <v>30</v>
      </c>
      <c r="P8626" t="s">
        <v>42</v>
      </c>
      <c r="S8626" t="s">
        <v>40</v>
      </c>
      <c r="T8626" t="s">
        <v>3277</v>
      </c>
      <c r="U8626">
        <v>960.3</v>
      </c>
      <c r="V8626" s="3">
        <v>40858</v>
      </c>
    </row>
    <row r="8627" spans="1:22" x14ac:dyDescent="0.35">
      <c r="A8627" s="1">
        <v>42256.59511574074</v>
      </c>
      <c r="B8627" s="2">
        <v>4.6863425925925926E-2</v>
      </c>
      <c r="C8627" t="s">
        <v>12006</v>
      </c>
      <c r="D8627" t="s">
        <v>23</v>
      </c>
      <c r="E8627" t="s">
        <v>24</v>
      </c>
      <c r="F8627" t="s">
        <v>78</v>
      </c>
      <c r="G8627">
        <v>1635363</v>
      </c>
      <c r="H8627" t="s">
        <v>26</v>
      </c>
      <c r="I8627" t="s">
        <v>79</v>
      </c>
      <c r="J8627" t="str">
        <f>"9781118678206"</f>
        <v>9781118678206</v>
      </c>
      <c r="K8627" t="s">
        <v>12264</v>
      </c>
      <c r="L8627">
        <v>62</v>
      </c>
      <c r="O8627" t="s">
        <v>30</v>
      </c>
      <c r="P8627" t="s">
        <v>29</v>
      </c>
      <c r="Q8627" s="1">
        <v>42256.59511574074</v>
      </c>
      <c r="R8627">
        <v>7</v>
      </c>
      <c r="S8627" t="s">
        <v>31</v>
      </c>
      <c r="T8627" t="s">
        <v>81</v>
      </c>
      <c r="U8627">
        <v>340.07600000000002</v>
      </c>
      <c r="V8627" s="3">
        <v>41684</v>
      </c>
    </row>
    <row r="8628" spans="1:22" x14ac:dyDescent="0.35">
      <c r="A8628" s="1">
        <v>42256.588067129633</v>
      </c>
      <c r="B8628" s="2">
        <v>7.0486111111111105E-3</v>
      </c>
      <c r="C8628" t="s">
        <v>12006</v>
      </c>
      <c r="D8628" t="s">
        <v>23</v>
      </c>
      <c r="E8628" t="s">
        <v>24</v>
      </c>
      <c r="F8628" t="s">
        <v>78</v>
      </c>
      <c r="G8628">
        <v>1635363</v>
      </c>
      <c r="H8628" t="s">
        <v>26</v>
      </c>
      <c r="I8628" t="s">
        <v>79</v>
      </c>
      <c r="J8628" t="str">
        <f>"9781118678206"</f>
        <v>9781118678206</v>
      </c>
      <c r="K8628" t="s">
        <v>12265</v>
      </c>
      <c r="L8628">
        <v>28</v>
      </c>
      <c r="O8628" t="s">
        <v>30</v>
      </c>
      <c r="P8628" t="s">
        <v>42</v>
      </c>
      <c r="S8628" t="s">
        <v>31</v>
      </c>
      <c r="T8628" t="s">
        <v>81</v>
      </c>
      <c r="U8628">
        <v>340.07600000000002</v>
      </c>
      <c r="V8628" s="3">
        <v>41684</v>
      </c>
    </row>
    <row r="8629" spans="1:22" x14ac:dyDescent="0.35">
      <c r="A8629" s="1">
        <v>42256.585775462961</v>
      </c>
      <c r="B8629" s="2">
        <v>0</v>
      </c>
      <c r="C8629" t="s">
        <v>1393</v>
      </c>
      <c r="D8629" t="s">
        <v>23</v>
      </c>
      <c r="E8629" t="s">
        <v>24</v>
      </c>
      <c r="F8629" t="s">
        <v>4197</v>
      </c>
      <c r="G8629">
        <v>1742841</v>
      </c>
      <c r="H8629" t="s">
        <v>91</v>
      </c>
      <c r="I8629" t="s">
        <v>247</v>
      </c>
      <c r="J8629" t="str">
        <f>"9781462516445"</f>
        <v>9781462516445</v>
      </c>
      <c r="L8629">
        <v>0</v>
      </c>
      <c r="N8629" t="s">
        <v>12266</v>
      </c>
      <c r="O8629" t="s">
        <v>30</v>
      </c>
      <c r="P8629" t="s">
        <v>29</v>
      </c>
      <c r="Q8629" s="1">
        <v>42256.585775462961</v>
      </c>
      <c r="R8629">
        <v>7</v>
      </c>
      <c r="S8629" t="s">
        <v>31</v>
      </c>
      <c r="T8629" t="s">
        <v>4199</v>
      </c>
      <c r="U8629">
        <v>616.85270000000003</v>
      </c>
      <c r="V8629" s="3">
        <v>41934</v>
      </c>
    </row>
    <row r="8630" spans="1:22" x14ac:dyDescent="0.35">
      <c r="A8630" s="1">
        <v>42256.584965277776</v>
      </c>
      <c r="B8630" s="2">
        <v>8.1018518518518516E-4</v>
      </c>
      <c r="C8630" t="s">
        <v>1393</v>
      </c>
      <c r="D8630" t="s">
        <v>23</v>
      </c>
      <c r="E8630" t="s">
        <v>24</v>
      </c>
      <c r="F8630" t="s">
        <v>4197</v>
      </c>
      <c r="G8630">
        <v>1742841</v>
      </c>
      <c r="H8630" t="s">
        <v>91</v>
      </c>
      <c r="I8630" t="s">
        <v>247</v>
      </c>
      <c r="J8630" t="str">
        <f>"9781462516445"</f>
        <v>9781462516445</v>
      </c>
      <c r="K8630" t="s">
        <v>12267</v>
      </c>
      <c r="L8630">
        <v>21</v>
      </c>
      <c r="O8630" t="s">
        <v>30</v>
      </c>
      <c r="P8630" t="s">
        <v>42</v>
      </c>
      <c r="S8630" t="s">
        <v>31</v>
      </c>
      <c r="T8630" t="s">
        <v>4199</v>
      </c>
      <c r="U8630">
        <v>616.85270000000003</v>
      </c>
      <c r="V8630" s="3">
        <v>41934</v>
      </c>
    </row>
    <row r="8631" spans="1:22" x14ac:dyDescent="0.35">
      <c r="A8631" s="1">
        <v>42256.580555555556</v>
      </c>
      <c r="B8631" s="2">
        <v>1.9490740740740743E-2</v>
      </c>
      <c r="C8631" t="s">
        <v>11932</v>
      </c>
      <c r="D8631" t="s">
        <v>35</v>
      </c>
      <c r="E8631" t="s">
        <v>36</v>
      </c>
      <c r="F8631" t="s">
        <v>12268</v>
      </c>
      <c r="G8631">
        <v>1711006</v>
      </c>
      <c r="H8631" t="s">
        <v>84</v>
      </c>
      <c r="I8631" t="s">
        <v>97</v>
      </c>
      <c r="J8631" t="str">
        <f>"9780520957886"</f>
        <v>9780520957886</v>
      </c>
      <c r="K8631" t="s">
        <v>12269</v>
      </c>
      <c r="L8631">
        <v>74</v>
      </c>
      <c r="O8631" t="s">
        <v>30</v>
      </c>
      <c r="P8631" t="s">
        <v>47</v>
      </c>
      <c r="Q8631" s="1">
        <v>42256.580555555556</v>
      </c>
      <c r="R8631">
        <v>1</v>
      </c>
      <c r="S8631" t="s">
        <v>40</v>
      </c>
      <c r="T8631" t="s">
        <v>12270</v>
      </c>
      <c r="U8631">
        <v>382.41</v>
      </c>
      <c r="V8631" s="3">
        <v>41894</v>
      </c>
    </row>
    <row r="8632" spans="1:22" x14ac:dyDescent="0.35">
      <c r="A8632" s="1">
        <v>42256.576608796298</v>
      </c>
      <c r="B8632" s="2">
        <v>3.9467592592592592E-3</v>
      </c>
      <c r="C8632" t="s">
        <v>11932</v>
      </c>
      <c r="D8632" t="s">
        <v>35</v>
      </c>
      <c r="E8632" t="s">
        <v>36</v>
      </c>
      <c r="F8632" t="s">
        <v>12268</v>
      </c>
      <c r="G8632">
        <v>1711006</v>
      </c>
      <c r="H8632" t="s">
        <v>84</v>
      </c>
      <c r="I8632" t="s">
        <v>97</v>
      </c>
      <c r="J8632" t="str">
        <f>"9780520957886"</f>
        <v>9780520957886</v>
      </c>
      <c r="K8632" t="s">
        <v>6394</v>
      </c>
      <c r="L8632">
        <v>9</v>
      </c>
      <c r="O8632" t="s">
        <v>30</v>
      </c>
      <c r="P8632" t="s">
        <v>50</v>
      </c>
      <c r="S8632" t="s">
        <v>40</v>
      </c>
      <c r="T8632" t="s">
        <v>12270</v>
      </c>
      <c r="U8632">
        <v>382.41</v>
      </c>
      <c r="V8632" s="3">
        <v>41894</v>
      </c>
    </row>
    <row r="8633" spans="1:22" x14ac:dyDescent="0.35">
      <c r="A8633" s="1">
        <v>42256.50712962963</v>
      </c>
      <c r="B8633" s="2">
        <v>1.25E-3</v>
      </c>
      <c r="C8633" t="s">
        <v>6408</v>
      </c>
      <c r="D8633" t="s">
        <v>35</v>
      </c>
      <c r="E8633" t="s">
        <v>36</v>
      </c>
      <c r="F8633" t="s">
        <v>3275</v>
      </c>
      <c r="G8633">
        <v>822662</v>
      </c>
      <c r="H8633" t="s">
        <v>26</v>
      </c>
      <c r="I8633" t="s">
        <v>172</v>
      </c>
      <c r="J8633" t="str">
        <f>"9781444355130"</f>
        <v>9781444355130</v>
      </c>
      <c r="K8633" t="s">
        <v>12271</v>
      </c>
      <c r="L8633">
        <v>26</v>
      </c>
      <c r="O8633" t="s">
        <v>30</v>
      </c>
      <c r="P8633" t="s">
        <v>42</v>
      </c>
      <c r="S8633" t="s">
        <v>40</v>
      </c>
      <c r="T8633" t="s">
        <v>3277</v>
      </c>
      <c r="U8633">
        <v>960.3</v>
      </c>
      <c r="V8633" s="3">
        <v>40858</v>
      </c>
    </row>
    <row r="8634" spans="1:22" x14ac:dyDescent="0.35">
      <c r="A8634" s="1">
        <v>42256.24019675926</v>
      </c>
      <c r="B8634" s="2">
        <v>4.9768518518518521E-4</v>
      </c>
      <c r="C8634" t="s">
        <v>106</v>
      </c>
      <c r="D8634" t="s">
        <v>23</v>
      </c>
      <c r="E8634" t="s">
        <v>24</v>
      </c>
      <c r="F8634" t="s">
        <v>4594</v>
      </c>
      <c r="G8634">
        <v>1872281</v>
      </c>
      <c r="H8634" t="s">
        <v>91</v>
      </c>
      <c r="I8634" t="s">
        <v>2133</v>
      </c>
      <c r="J8634" t="str">
        <f>"9781462519606"</f>
        <v>9781462519606</v>
      </c>
      <c r="K8634" t="s">
        <v>12272</v>
      </c>
      <c r="L8634">
        <v>8</v>
      </c>
      <c r="O8634" t="s">
        <v>30</v>
      </c>
      <c r="P8634" t="s">
        <v>29</v>
      </c>
      <c r="Q8634" s="1">
        <v>42250.093229166669</v>
      </c>
      <c r="R8634">
        <v>7</v>
      </c>
      <c r="S8634" t="s">
        <v>31</v>
      </c>
      <c r="T8634" t="s">
        <v>4596</v>
      </c>
      <c r="U8634">
        <v>378.101</v>
      </c>
      <c r="V8634" s="3">
        <v>42150</v>
      </c>
    </row>
    <row r="8635" spans="1:22" x14ac:dyDescent="0.35">
      <c r="A8635" s="1">
        <v>42256.158541666664</v>
      </c>
      <c r="B8635" s="2">
        <v>4.2824074074074075E-4</v>
      </c>
      <c r="C8635" t="s">
        <v>3595</v>
      </c>
      <c r="D8635" t="s">
        <v>23</v>
      </c>
      <c r="E8635" t="s">
        <v>24</v>
      </c>
      <c r="F8635" t="s">
        <v>3559</v>
      </c>
      <c r="G8635">
        <v>1217954</v>
      </c>
      <c r="H8635" t="s">
        <v>45</v>
      </c>
      <c r="I8635" t="s">
        <v>3560</v>
      </c>
      <c r="J8635" t="str">
        <f>"9781409457558"</f>
        <v>9781409457558</v>
      </c>
      <c r="K8635" t="s">
        <v>4072</v>
      </c>
      <c r="L8635">
        <v>8</v>
      </c>
      <c r="O8635" t="s">
        <v>30</v>
      </c>
      <c r="P8635" t="s">
        <v>42</v>
      </c>
      <c r="S8635" t="s">
        <v>31</v>
      </c>
      <c r="T8635" t="s">
        <v>3562</v>
      </c>
      <c r="U8635" t="s">
        <v>3563</v>
      </c>
      <c r="V8635" s="3">
        <v>41575</v>
      </c>
    </row>
    <row r="8636" spans="1:22" x14ac:dyDescent="0.35">
      <c r="A8636" s="1">
        <v>42256.072847222225</v>
      </c>
      <c r="B8636" s="2">
        <v>1.8518518518518518E-4</v>
      </c>
      <c r="C8636" t="s">
        <v>11782</v>
      </c>
      <c r="D8636" t="s">
        <v>35</v>
      </c>
      <c r="E8636" t="s">
        <v>36</v>
      </c>
      <c r="F8636" t="s">
        <v>3275</v>
      </c>
      <c r="G8636">
        <v>822662</v>
      </c>
      <c r="H8636" t="s">
        <v>26</v>
      </c>
      <c r="I8636" t="s">
        <v>172</v>
      </c>
      <c r="J8636" t="str">
        <f>"9781444355130"</f>
        <v>9781444355130</v>
      </c>
      <c r="K8636" t="s">
        <v>12273</v>
      </c>
      <c r="L8636">
        <v>8</v>
      </c>
      <c r="O8636" t="s">
        <v>30</v>
      </c>
      <c r="P8636" t="s">
        <v>42</v>
      </c>
      <c r="S8636" t="s">
        <v>40</v>
      </c>
      <c r="T8636" t="s">
        <v>3277</v>
      </c>
      <c r="U8636">
        <v>960.3</v>
      </c>
      <c r="V8636" s="3">
        <v>40858</v>
      </c>
    </row>
    <row r="8637" spans="1:22" x14ac:dyDescent="0.35">
      <c r="A8637" s="1">
        <v>42255.941122685188</v>
      </c>
      <c r="B8637" s="2">
        <v>7.6388888888888893E-4</v>
      </c>
      <c r="C8637" t="s">
        <v>4398</v>
      </c>
      <c r="D8637" t="s">
        <v>35</v>
      </c>
      <c r="E8637" t="s">
        <v>36</v>
      </c>
      <c r="F8637" t="s">
        <v>3275</v>
      </c>
      <c r="G8637">
        <v>822662</v>
      </c>
      <c r="H8637" t="s">
        <v>26</v>
      </c>
      <c r="I8637" t="s">
        <v>172</v>
      </c>
      <c r="J8637" t="str">
        <f>"9781444355130"</f>
        <v>9781444355130</v>
      </c>
      <c r="K8637" t="s">
        <v>12274</v>
      </c>
      <c r="L8637">
        <v>11</v>
      </c>
      <c r="O8637" t="s">
        <v>30</v>
      </c>
      <c r="P8637" t="s">
        <v>42</v>
      </c>
      <c r="S8637" t="s">
        <v>40</v>
      </c>
      <c r="T8637" t="s">
        <v>3277</v>
      </c>
      <c r="U8637">
        <v>960.3</v>
      </c>
      <c r="V8637" s="3">
        <v>40858</v>
      </c>
    </row>
    <row r="8638" spans="1:22" x14ac:dyDescent="0.35">
      <c r="A8638" s="1">
        <v>42255.919895833336</v>
      </c>
      <c r="B8638" s="2">
        <v>1.7592592592592592E-3</v>
      </c>
      <c r="C8638" t="s">
        <v>106</v>
      </c>
      <c r="D8638" t="s">
        <v>23</v>
      </c>
      <c r="E8638" t="s">
        <v>24</v>
      </c>
      <c r="F8638" t="s">
        <v>1571</v>
      </c>
      <c r="G8638">
        <v>1707328</v>
      </c>
      <c r="H8638" t="s">
        <v>84</v>
      </c>
      <c r="I8638" t="s">
        <v>150</v>
      </c>
      <c r="J8638" t="str">
        <f>"9780520958876"</f>
        <v>9780520958876</v>
      </c>
      <c r="K8638" t="s">
        <v>12275</v>
      </c>
      <c r="L8638">
        <v>20</v>
      </c>
      <c r="O8638" t="s">
        <v>30</v>
      </c>
      <c r="P8638" t="s">
        <v>47</v>
      </c>
      <c r="Q8638" s="1">
        <v>42251.71601851852</v>
      </c>
      <c r="R8638">
        <v>7</v>
      </c>
      <c r="S8638" t="s">
        <v>31</v>
      </c>
      <c r="T8638" t="s">
        <v>1573</v>
      </c>
      <c r="U8638">
        <v>780.90329999999994</v>
      </c>
      <c r="V8638" s="3">
        <v>41797</v>
      </c>
    </row>
    <row r="8639" spans="1:22" x14ac:dyDescent="0.35">
      <c r="A8639" s="1">
        <v>42255.915902777779</v>
      </c>
      <c r="B8639" s="2">
        <v>1.8750000000000001E-3</v>
      </c>
      <c r="C8639" t="s">
        <v>11782</v>
      </c>
      <c r="D8639" t="s">
        <v>35</v>
      </c>
      <c r="E8639" t="s">
        <v>36</v>
      </c>
      <c r="F8639" t="s">
        <v>3275</v>
      </c>
      <c r="G8639">
        <v>822662</v>
      </c>
      <c r="H8639" t="s">
        <v>26</v>
      </c>
      <c r="I8639" t="s">
        <v>172</v>
      </c>
      <c r="J8639" t="str">
        <f>"9781444355130"</f>
        <v>9781444355130</v>
      </c>
      <c r="K8639" t="s">
        <v>718</v>
      </c>
      <c r="L8639">
        <v>5</v>
      </c>
      <c r="O8639" t="s">
        <v>30</v>
      </c>
      <c r="P8639" t="s">
        <v>42</v>
      </c>
      <c r="S8639" t="s">
        <v>40</v>
      </c>
      <c r="T8639" t="s">
        <v>3277</v>
      </c>
      <c r="U8639">
        <v>960.3</v>
      </c>
      <c r="V8639" s="3">
        <v>40858</v>
      </c>
    </row>
    <row r="8640" spans="1:22" x14ac:dyDescent="0.35">
      <c r="A8640" s="1">
        <v>42255.846921296295</v>
      </c>
      <c r="B8640" s="2">
        <v>0</v>
      </c>
      <c r="C8640" t="s">
        <v>5340</v>
      </c>
      <c r="D8640" t="s">
        <v>23</v>
      </c>
      <c r="E8640" t="s">
        <v>24</v>
      </c>
      <c r="F8640" t="s">
        <v>3351</v>
      </c>
      <c r="G8640">
        <v>1760720</v>
      </c>
      <c r="H8640" t="s">
        <v>91</v>
      </c>
      <c r="I8640" t="s">
        <v>247</v>
      </c>
      <c r="J8640" t="str">
        <f>"9781462517459"</f>
        <v>9781462517459</v>
      </c>
      <c r="L8640">
        <v>0</v>
      </c>
      <c r="N8640" t="s">
        <v>12276</v>
      </c>
      <c r="O8640" t="s">
        <v>30</v>
      </c>
      <c r="P8640" t="s">
        <v>29</v>
      </c>
      <c r="Q8640" s="1">
        <v>42255.846921296295</v>
      </c>
      <c r="R8640">
        <v>7</v>
      </c>
      <c r="S8640" t="s">
        <v>31</v>
      </c>
      <c r="T8640" t="s">
        <v>3353</v>
      </c>
      <c r="U8640">
        <v>616.89142000000004</v>
      </c>
      <c r="V8640" s="3">
        <v>41996</v>
      </c>
    </row>
    <row r="8641" spans="1:22" x14ac:dyDescent="0.35">
      <c r="A8641" s="1">
        <v>42255.846296296295</v>
      </c>
      <c r="B8641" s="2">
        <v>6.2500000000000001E-4</v>
      </c>
      <c r="C8641" t="s">
        <v>5340</v>
      </c>
      <c r="D8641" t="s">
        <v>23</v>
      </c>
      <c r="E8641" t="s">
        <v>24</v>
      </c>
      <c r="F8641" t="s">
        <v>3351</v>
      </c>
      <c r="G8641">
        <v>1760720</v>
      </c>
      <c r="H8641" t="s">
        <v>91</v>
      </c>
      <c r="I8641" t="s">
        <v>247</v>
      </c>
      <c r="J8641" t="str">
        <f>"9781462517459"</f>
        <v>9781462517459</v>
      </c>
      <c r="K8641" t="s">
        <v>1203</v>
      </c>
      <c r="L8641">
        <v>17</v>
      </c>
      <c r="O8641" t="s">
        <v>30</v>
      </c>
      <c r="P8641" t="s">
        <v>42</v>
      </c>
      <c r="S8641" t="s">
        <v>31</v>
      </c>
      <c r="T8641" t="s">
        <v>3353</v>
      </c>
      <c r="U8641">
        <v>616.89142000000004</v>
      </c>
      <c r="V8641" s="3">
        <v>41996</v>
      </c>
    </row>
    <row r="8642" spans="1:22" x14ac:dyDescent="0.35">
      <c r="A8642" s="1">
        <v>42255.8437962963</v>
      </c>
      <c r="B8642" s="2">
        <v>7.0601851851851847E-4</v>
      </c>
      <c r="C8642" t="s">
        <v>11288</v>
      </c>
      <c r="D8642" t="s">
        <v>125</v>
      </c>
      <c r="E8642" t="s">
        <v>126</v>
      </c>
      <c r="F8642" t="s">
        <v>12277</v>
      </c>
      <c r="G8642">
        <v>1843658</v>
      </c>
      <c r="H8642" t="s">
        <v>45</v>
      </c>
      <c r="I8642" t="s">
        <v>172</v>
      </c>
      <c r="J8642" t="str">
        <f>"9781472425010"</f>
        <v>9781472425010</v>
      </c>
      <c r="K8642" t="s">
        <v>12278</v>
      </c>
      <c r="L8642">
        <v>7</v>
      </c>
      <c r="O8642" t="s">
        <v>30</v>
      </c>
      <c r="P8642" t="s">
        <v>50</v>
      </c>
      <c r="S8642" t="s">
        <v>128</v>
      </c>
      <c r="T8642" t="s">
        <v>12279</v>
      </c>
      <c r="U8642" t="s">
        <v>12280</v>
      </c>
      <c r="V8642" s="3">
        <v>42032</v>
      </c>
    </row>
    <row r="8643" spans="1:22" x14ac:dyDescent="0.35">
      <c r="A8643" s="1">
        <v>42255.834537037037</v>
      </c>
      <c r="B8643" s="2">
        <v>1.273148148148148E-4</v>
      </c>
      <c r="C8643" t="s">
        <v>106</v>
      </c>
      <c r="D8643" t="s">
        <v>23</v>
      </c>
      <c r="E8643" t="s">
        <v>24</v>
      </c>
      <c r="F8643" t="s">
        <v>1571</v>
      </c>
      <c r="G8643">
        <v>1707328</v>
      </c>
      <c r="H8643" t="s">
        <v>84</v>
      </c>
      <c r="I8643" t="s">
        <v>150</v>
      </c>
      <c r="J8643" t="str">
        <f>"9780520958876"</f>
        <v>9780520958876</v>
      </c>
      <c r="K8643" t="s">
        <v>12281</v>
      </c>
      <c r="L8643">
        <v>8</v>
      </c>
      <c r="O8643" t="s">
        <v>30</v>
      </c>
      <c r="P8643" t="s">
        <v>47</v>
      </c>
      <c r="Q8643" s="1">
        <v>42251.71601851852</v>
      </c>
      <c r="R8643">
        <v>7</v>
      </c>
      <c r="S8643" t="s">
        <v>31</v>
      </c>
      <c r="T8643" t="s">
        <v>1573</v>
      </c>
      <c r="U8643">
        <v>780.90329999999994</v>
      </c>
      <c r="V8643" s="3">
        <v>41797</v>
      </c>
    </row>
    <row r="8644" spans="1:22" x14ac:dyDescent="0.35">
      <c r="A8644" s="1">
        <v>42255.812557870369</v>
      </c>
      <c r="B8644" s="2">
        <v>4.5138888888888892E-4</v>
      </c>
      <c r="C8644" t="s">
        <v>12282</v>
      </c>
      <c r="D8644" t="s">
        <v>23</v>
      </c>
      <c r="E8644" t="s">
        <v>24</v>
      </c>
      <c r="F8644" t="s">
        <v>1051</v>
      </c>
      <c r="G8644">
        <v>821663</v>
      </c>
      <c r="H8644" t="s">
        <v>26</v>
      </c>
      <c r="I8644" t="s">
        <v>200</v>
      </c>
      <c r="J8644" t="str">
        <f>"9781118168479"</f>
        <v>9781118168479</v>
      </c>
      <c r="K8644" t="s">
        <v>1239</v>
      </c>
      <c r="L8644">
        <v>3</v>
      </c>
      <c r="O8644" t="s">
        <v>30</v>
      </c>
      <c r="P8644" t="s">
        <v>29</v>
      </c>
      <c r="Q8644" s="1">
        <v>42255.812557870369</v>
      </c>
      <c r="R8644">
        <v>7</v>
      </c>
      <c r="S8644" t="s">
        <v>31</v>
      </c>
      <c r="T8644" t="s">
        <v>1053</v>
      </c>
      <c r="U8644">
        <v>729</v>
      </c>
      <c r="V8644" s="3">
        <v>40973</v>
      </c>
    </row>
    <row r="8645" spans="1:22" x14ac:dyDescent="0.35">
      <c r="A8645" s="1">
        <v>42255.804606481484</v>
      </c>
      <c r="B8645" s="2">
        <v>7.951388888888888E-3</v>
      </c>
      <c r="C8645" t="s">
        <v>12282</v>
      </c>
      <c r="D8645" t="s">
        <v>23</v>
      </c>
      <c r="E8645" t="s">
        <v>24</v>
      </c>
      <c r="F8645" t="s">
        <v>1051</v>
      </c>
      <c r="G8645">
        <v>821663</v>
      </c>
      <c r="H8645" t="s">
        <v>26</v>
      </c>
      <c r="I8645" t="s">
        <v>200</v>
      </c>
      <c r="J8645" t="str">
        <f>"9781118168479"</f>
        <v>9781118168479</v>
      </c>
      <c r="K8645" t="s">
        <v>12283</v>
      </c>
      <c r="L8645">
        <v>98</v>
      </c>
      <c r="O8645" t="s">
        <v>30</v>
      </c>
      <c r="P8645" t="s">
        <v>42</v>
      </c>
      <c r="S8645" t="s">
        <v>31</v>
      </c>
      <c r="T8645" t="s">
        <v>1053</v>
      </c>
      <c r="U8645">
        <v>729</v>
      </c>
      <c r="V8645" s="3">
        <v>40973</v>
      </c>
    </row>
    <row r="8646" spans="1:22" x14ac:dyDescent="0.35">
      <c r="A8646" s="1">
        <v>42255.787268518521</v>
      </c>
      <c r="B8646" s="2">
        <v>5.7870370370370378E-4</v>
      </c>
      <c r="C8646" t="s">
        <v>5340</v>
      </c>
      <c r="D8646" t="s">
        <v>23</v>
      </c>
      <c r="E8646" t="s">
        <v>24</v>
      </c>
      <c r="F8646" t="s">
        <v>4863</v>
      </c>
      <c r="G8646">
        <v>829309</v>
      </c>
      <c r="H8646" t="s">
        <v>91</v>
      </c>
      <c r="I8646" t="s">
        <v>247</v>
      </c>
      <c r="J8646" t="str">
        <f>"9781462502387"</f>
        <v>9781462502387</v>
      </c>
      <c r="K8646" t="s">
        <v>12284</v>
      </c>
      <c r="L8646">
        <v>26</v>
      </c>
      <c r="O8646" t="s">
        <v>30</v>
      </c>
      <c r="P8646" t="s">
        <v>42</v>
      </c>
      <c r="S8646" t="s">
        <v>31</v>
      </c>
      <c r="T8646" t="s">
        <v>4865</v>
      </c>
      <c r="U8646">
        <v>616.89142000000004</v>
      </c>
      <c r="V8646" s="3">
        <v>40891</v>
      </c>
    </row>
    <row r="8647" spans="1:22" x14ac:dyDescent="0.35">
      <c r="A8647" s="1">
        <v>42255.775706018518</v>
      </c>
      <c r="B8647" s="2">
        <v>2.4652777777777776E-3</v>
      </c>
      <c r="C8647" t="s">
        <v>106</v>
      </c>
      <c r="D8647" t="s">
        <v>23</v>
      </c>
      <c r="E8647" t="s">
        <v>24</v>
      </c>
      <c r="F8647" t="s">
        <v>486</v>
      </c>
      <c r="G8647">
        <v>1119505</v>
      </c>
      <c r="H8647" t="s">
        <v>26</v>
      </c>
      <c r="I8647" t="s">
        <v>450</v>
      </c>
      <c r="J8647" t="str">
        <f>"9781118355015"</f>
        <v>9781118355015</v>
      </c>
      <c r="K8647" t="s">
        <v>12285</v>
      </c>
      <c r="L8647">
        <v>13</v>
      </c>
      <c r="O8647" t="s">
        <v>30</v>
      </c>
      <c r="P8647" t="s">
        <v>29</v>
      </c>
      <c r="Q8647" s="1">
        <v>42250.739131944443</v>
      </c>
      <c r="R8647">
        <v>7</v>
      </c>
      <c r="S8647" t="s">
        <v>31</v>
      </c>
      <c r="T8647" t="s">
        <v>487</v>
      </c>
      <c r="U8647" t="s">
        <v>488</v>
      </c>
      <c r="V8647" s="3">
        <v>41302</v>
      </c>
    </row>
    <row r="8648" spans="1:22" x14ac:dyDescent="0.35">
      <c r="A8648" s="1">
        <v>42255.732523148145</v>
      </c>
      <c r="B8648" s="2">
        <v>3.4722222222222222E-5</v>
      </c>
      <c r="C8648" t="s">
        <v>2985</v>
      </c>
      <c r="D8648" t="s">
        <v>23</v>
      </c>
      <c r="E8648" t="s">
        <v>24</v>
      </c>
      <c r="F8648" t="s">
        <v>12286</v>
      </c>
      <c r="G8648">
        <v>2079240</v>
      </c>
      <c r="H8648" t="s">
        <v>45</v>
      </c>
      <c r="I8648" t="s">
        <v>79</v>
      </c>
      <c r="J8648" t="str">
        <f>"9781472460882"</f>
        <v>9781472460882</v>
      </c>
      <c r="K8648" t="s">
        <v>33</v>
      </c>
      <c r="L8648">
        <v>3</v>
      </c>
      <c r="O8648" t="s">
        <v>30</v>
      </c>
      <c r="P8648" t="s">
        <v>50</v>
      </c>
      <c r="S8648" t="s">
        <v>31</v>
      </c>
      <c r="T8648" t="s">
        <v>12287</v>
      </c>
      <c r="U8648">
        <v>341.26</v>
      </c>
      <c r="V8648" s="3">
        <v>42244</v>
      </c>
    </row>
    <row r="8649" spans="1:22" x14ac:dyDescent="0.35">
      <c r="A8649" s="1">
        <v>42255.71769675926</v>
      </c>
      <c r="B8649" s="2">
        <v>0</v>
      </c>
      <c r="C8649" t="s">
        <v>10715</v>
      </c>
      <c r="D8649" t="s">
        <v>35</v>
      </c>
      <c r="E8649" t="s">
        <v>36</v>
      </c>
      <c r="F8649" t="s">
        <v>37</v>
      </c>
      <c r="G8649">
        <v>1684620</v>
      </c>
      <c r="H8649" t="s">
        <v>26</v>
      </c>
      <c r="I8649" t="s">
        <v>38</v>
      </c>
      <c r="J8649" t="str">
        <f>"9781118418925"</f>
        <v>9781118418925</v>
      </c>
      <c r="L8649">
        <v>0</v>
      </c>
      <c r="O8649" t="s">
        <v>28</v>
      </c>
      <c r="P8649" t="s">
        <v>29</v>
      </c>
      <c r="Q8649" s="1">
        <v>42255.71769675926</v>
      </c>
      <c r="R8649">
        <v>7</v>
      </c>
      <c r="S8649" t="s">
        <v>40</v>
      </c>
      <c r="T8649" t="s">
        <v>41</v>
      </c>
      <c r="U8649">
        <v>362.10680000000002</v>
      </c>
      <c r="V8649" s="3">
        <v>41759</v>
      </c>
    </row>
    <row r="8650" spans="1:22" x14ac:dyDescent="0.35">
      <c r="A8650" s="1">
        <v>42255.71769675926</v>
      </c>
      <c r="B8650" s="2">
        <v>0</v>
      </c>
      <c r="C8650" t="s">
        <v>10715</v>
      </c>
      <c r="D8650" t="s">
        <v>35</v>
      </c>
      <c r="E8650" t="s">
        <v>36</v>
      </c>
      <c r="F8650" t="s">
        <v>37</v>
      </c>
      <c r="G8650">
        <v>1684620</v>
      </c>
      <c r="H8650" t="s">
        <v>26</v>
      </c>
      <c r="I8650" t="s">
        <v>38</v>
      </c>
      <c r="J8650" t="str">
        <f>"9781118418925"</f>
        <v>9781118418925</v>
      </c>
      <c r="L8650">
        <v>0</v>
      </c>
      <c r="O8650" t="s">
        <v>30</v>
      </c>
      <c r="P8650" t="s">
        <v>29</v>
      </c>
      <c r="Q8650" s="1">
        <v>42255.71769675926</v>
      </c>
      <c r="R8650">
        <v>7</v>
      </c>
      <c r="S8650" t="s">
        <v>40</v>
      </c>
      <c r="T8650" t="s">
        <v>41</v>
      </c>
      <c r="U8650">
        <v>362.10680000000002</v>
      </c>
      <c r="V8650" s="3">
        <v>41759</v>
      </c>
    </row>
    <row r="8651" spans="1:22" x14ac:dyDescent="0.35">
      <c r="A8651" s="1">
        <v>42255.717499999999</v>
      </c>
      <c r="B8651" s="2">
        <v>1.9675925925925926E-4</v>
      </c>
      <c r="C8651" t="s">
        <v>10715</v>
      </c>
      <c r="D8651" t="s">
        <v>35</v>
      </c>
      <c r="E8651" t="s">
        <v>36</v>
      </c>
      <c r="F8651" t="s">
        <v>37</v>
      </c>
      <c r="G8651">
        <v>1684620</v>
      </c>
      <c r="H8651" t="s">
        <v>26</v>
      </c>
      <c r="I8651" t="s">
        <v>38</v>
      </c>
      <c r="J8651" t="str">
        <f>"9781118418925"</f>
        <v>9781118418925</v>
      </c>
      <c r="K8651" t="s">
        <v>73</v>
      </c>
      <c r="L8651">
        <v>3</v>
      </c>
      <c r="O8651" t="s">
        <v>30</v>
      </c>
      <c r="P8651" t="s">
        <v>42</v>
      </c>
      <c r="S8651" t="s">
        <v>40</v>
      </c>
      <c r="T8651" t="s">
        <v>41</v>
      </c>
      <c r="U8651">
        <v>362.10680000000002</v>
      </c>
      <c r="V8651" s="3">
        <v>41759</v>
      </c>
    </row>
    <row r="8652" spans="1:22" x14ac:dyDescent="0.35">
      <c r="A8652" s="1">
        <v>42255.699594907404</v>
      </c>
      <c r="B8652" s="2">
        <v>3.4722222222222222E-5</v>
      </c>
      <c r="C8652" t="s">
        <v>6271</v>
      </c>
      <c r="D8652" t="s">
        <v>23</v>
      </c>
      <c r="E8652" t="s">
        <v>24</v>
      </c>
      <c r="F8652" t="s">
        <v>1051</v>
      </c>
      <c r="G8652">
        <v>821663</v>
      </c>
      <c r="H8652" t="s">
        <v>26</v>
      </c>
      <c r="I8652" t="s">
        <v>200</v>
      </c>
      <c r="J8652" t="str">
        <f>"9781118168479"</f>
        <v>9781118168479</v>
      </c>
      <c r="K8652" t="s">
        <v>33</v>
      </c>
      <c r="L8652">
        <v>3</v>
      </c>
      <c r="O8652" t="s">
        <v>30</v>
      </c>
      <c r="P8652" t="s">
        <v>29</v>
      </c>
      <c r="Q8652" s="1">
        <v>42248.71733796296</v>
      </c>
      <c r="R8652">
        <v>7</v>
      </c>
      <c r="S8652" t="s">
        <v>31</v>
      </c>
      <c r="T8652" t="s">
        <v>1053</v>
      </c>
      <c r="U8652">
        <v>729</v>
      </c>
      <c r="V8652" s="3">
        <v>40973</v>
      </c>
    </row>
    <row r="8653" spans="1:22" x14ac:dyDescent="0.35">
      <c r="A8653" s="1">
        <v>42255.673171296294</v>
      </c>
      <c r="B8653" s="2">
        <v>1.2847222222222223E-3</v>
      </c>
      <c r="C8653" t="s">
        <v>5520</v>
      </c>
      <c r="D8653" t="s">
        <v>23</v>
      </c>
      <c r="E8653" t="s">
        <v>24</v>
      </c>
      <c r="F8653" t="s">
        <v>3559</v>
      </c>
      <c r="G8653">
        <v>1217954</v>
      </c>
      <c r="H8653" t="s">
        <v>45</v>
      </c>
      <c r="I8653" t="s">
        <v>3560</v>
      </c>
      <c r="J8653" t="str">
        <f>"9781409457558"</f>
        <v>9781409457558</v>
      </c>
      <c r="K8653" t="s">
        <v>12288</v>
      </c>
      <c r="L8653">
        <v>5</v>
      </c>
      <c r="O8653" t="s">
        <v>30</v>
      </c>
      <c r="P8653" t="s">
        <v>29</v>
      </c>
      <c r="Q8653" s="1">
        <v>42255.673171296294</v>
      </c>
      <c r="R8653">
        <v>7</v>
      </c>
      <c r="S8653" t="s">
        <v>31</v>
      </c>
      <c r="T8653" t="s">
        <v>3562</v>
      </c>
      <c r="U8653" t="s">
        <v>3563</v>
      </c>
      <c r="V8653" s="3">
        <v>41575</v>
      </c>
    </row>
    <row r="8654" spans="1:22" x14ac:dyDescent="0.35">
      <c r="A8654" s="1">
        <v>42255.672129629631</v>
      </c>
      <c r="B8654" s="2">
        <v>2.0370370370370373E-3</v>
      </c>
      <c r="C8654" t="s">
        <v>3906</v>
      </c>
      <c r="D8654" t="s">
        <v>35</v>
      </c>
      <c r="E8654" t="s">
        <v>36</v>
      </c>
      <c r="F8654" t="s">
        <v>37</v>
      </c>
      <c r="G8654">
        <v>1684620</v>
      </c>
      <c r="H8654" t="s">
        <v>26</v>
      </c>
      <c r="I8654" t="s">
        <v>38</v>
      </c>
      <c r="J8654" t="str">
        <f>"9781118418925"</f>
        <v>9781118418925</v>
      </c>
      <c r="K8654" t="s">
        <v>12289</v>
      </c>
      <c r="L8654">
        <v>18</v>
      </c>
      <c r="O8654" t="s">
        <v>30</v>
      </c>
      <c r="P8654" t="s">
        <v>29</v>
      </c>
      <c r="Q8654" s="1">
        <v>42250.642546296294</v>
      </c>
      <c r="R8654">
        <v>7</v>
      </c>
      <c r="S8654" t="s">
        <v>40</v>
      </c>
      <c r="T8654" t="s">
        <v>41</v>
      </c>
      <c r="U8654">
        <v>362.10680000000002</v>
      </c>
      <c r="V8654" s="3">
        <v>41759</v>
      </c>
    </row>
    <row r="8655" spans="1:22" x14ac:dyDescent="0.35">
      <c r="A8655" s="1">
        <v>42255.6640162037</v>
      </c>
      <c r="B8655" s="2">
        <v>9.1550925925925931E-3</v>
      </c>
      <c r="C8655" t="s">
        <v>5520</v>
      </c>
      <c r="D8655" t="s">
        <v>23</v>
      </c>
      <c r="E8655" t="s">
        <v>24</v>
      </c>
      <c r="F8655" t="s">
        <v>3559</v>
      </c>
      <c r="G8655">
        <v>1217954</v>
      </c>
      <c r="H8655" t="s">
        <v>45</v>
      </c>
      <c r="I8655" t="s">
        <v>3560</v>
      </c>
      <c r="J8655" t="str">
        <f>"9781409457558"</f>
        <v>9781409457558</v>
      </c>
      <c r="K8655" t="s">
        <v>12290</v>
      </c>
      <c r="L8655">
        <v>9</v>
      </c>
      <c r="O8655" t="s">
        <v>30</v>
      </c>
      <c r="P8655" t="s">
        <v>42</v>
      </c>
      <c r="S8655" t="s">
        <v>31</v>
      </c>
      <c r="T8655" t="s">
        <v>3562</v>
      </c>
      <c r="U8655" t="s">
        <v>3563</v>
      </c>
      <c r="V8655" s="3">
        <v>41575</v>
      </c>
    </row>
    <row r="8656" spans="1:22" x14ac:dyDescent="0.35">
      <c r="A8656" s="1">
        <v>42255.66202546296</v>
      </c>
      <c r="B8656" s="2">
        <v>1.8865740740740742E-3</v>
      </c>
      <c r="C8656" t="s">
        <v>5520</v>
      </c>
      <c r="D8656" t="s">
        <v>23</v>
      </c>
      <c r="E8656" t="s">
        <v>24</v>
      </c>
      <c r="F8656" t="s">
        <v>3559</v>
      </c>
      <c r="G8656">
        <v>1217954</v>
      </c>
      <c r="H8656" t="s">
        <v>45</v>
      </c>
      <c r="I8656" t="s">
        <v>3560</v>
      </c>
      <c r="J8656" t="str">
        <f>"9781409457558"</f>
        <v>9781409457558</v>
      </c>
      <c r="K8656" t="s">
        <v>33</v>
      </c>
      <c r="L8656">
        <v>3</v>
      </c>
      <c r="O8656" t="s">
        <v>30</v>
      </c>
      <c r="P8656" t="s">
        <v>42</v>
      </c>
      <c r="S8656" t="s">
        <v>31</v>
      </c>
      <c r="T8656" t="s">
        <v>3562</v>
      </c>
      <c r="U8656" t="s">
        <v>3563</v>
      </c>
      <c r="V8656" s="3">
        <v>41575</v>
      </c>
    </row>
    <row r="8657" spans="1:22" x14ac:dyDescent="0.35">
      <c r="A8657" s="1">
        <v>42255.624884259261</v>
      </c>
      <c r="B8657" s="2">
        <v>1.5520833333333333E-2</v>
      </c>
      <c r="C8657" t="s">
        <v>3906</v>
      </c>
      <c r="D8657" t="s">
        <v>35</v>
      </c>
      <c r="E8657" t="s">
        <v>36</v>
      </c>
      <c r="F8657" t="s">
        <v>37</v>
      </c>
      <c r="G8657">
        <v>1684620</v>
      </c>
      <c r="H8657" t="s">
        <v>26</v>
      </c>
      <c r="I8657" t="s">
        <v>38</v>
      </c>
      <c r="J8657" t="str">
        <f>"9781118418925"</f>
        <v>9781118418925</v>
      </c>
      <c r="K8657" t="s">
        <v>12291</v>
      </c>
      <c r="L8657">
        <v>20</v>
      </c>
      <c r="O8657" t="s">
        <v>30</v>
      </c>
      <c r="P8657" t="s">
        <v>29</v>
      </c>
      <c r="Q8657" s="1">
        <v>42250.642546296294</v>
      </c>
      <c r="R8657">
        <v>7</v>
      </c>
      <c r="S8657" t="s">
        <v>40</v>
      </c>
      <c r="T8657" t="s">
        <v>41</v>
      </c>
      <c r="U8657">
        <v>362.10680000000002</v>
      </c>
      <c r="V8657" s="3">
        <v>41759</v>
      </c>
    </row>
    <row r="8658" spans="1:22" x14ac:dyDescent="0.35">
      <c r="A8658" s="1">
        <v>42255.613645833335</v>
      </c>
      <c r="B8658" s="2">
        <v>1.0763888888888889E-3</v>
      </c>
      <c r="C8658" t="s">
        <v>12292</v>
      </c>
      <c r="D8658" t="s">
        <v>23</v>
      </c>
      <c r="E8658" t="s">
        <v>24</v>
      </c>
      <c r="F8658" t="s">
        <v>3060</v>
      </c>
      <c r="G8658">
        <v>1120279</v>
      </c>
      <c r="H8658" t="s">
        <v>26</v>
      </c>
      <c r="I8658" t="s">
        <v>3061</v>
      </c>
      <c r="J8658" t="str">
        <f t="shared" ref="J8658:J8663" si="60">"9781118537671"</f>
        <v>9781118537671</v>
      </c>
      <c r="K8658" t="s">
        <v>12293</v>
      </c>
      <c r="L8658">
        <v>5</v>
      </c>
      <c r="O8658" t="s">
        <v>30</v>
      </c>
      <c r="P8658" t="s">
        <v>29</v>
      </c>
      <c r="Q8658" s="1">
        <v>42255.609652777777</v>
      </c>
      <c r="R8658">
        <v>7</v>
      </c>
      <c r="S8658" t="s">
        <v>31</v>
      </c>
      <c r="T8658" t="s">
        <v>3063</v>
      </c>
      <c r="U8658">
        <v>599.93499999999995</v>
      </c>
      <c r="V8658" s="3">
        <v>41232</v>
      </c>
    </row>
    <row r="8659" spans="1:22" x14ac:dyDescent="0.35">
      <c r="A8659" s="1">
        <v>42255.613495370373</v>
      </c>
      <c r="B8659" s="2">
        <v>0</v>
      </c>
      <c r="C8659" t="s">
        <v>12292</v>
      </c>
      <c r="D8659" t="s">
        <v>23</v>
      </c>
      <c r="E8659" t="s">
        <v>24</v>
      </c>
      <c r="F8659" t="s">
        <v>3060</v>
      </c>
      <c r="G8659">
        <v>1120279</v>
      </c>
      <c r="H8659" t="s">
        <v>26</v>
      </c>
      <c r="I8659" t="s">
        <v>3061</v>
      </c>
      <c r="J8659" t="str">
        <f t="shared" si="60"/>
        <v>9781118537671</v>
      </c>
      <c r="L8659">
        <v>0</v>
      </c>
      <c r="O8659" t="s">
        <v>28</v>
      </c>
      <c r="P8659" t="s">
        <v>29</v>
      </c>
      <c r="Q8659" s="1">
        <v>42255.609652777777</v>
      </c>
      <c r="R8659">
        <v>7</v>
      </c>
      <c r="S8659" t="s">
        <v>31</v>
      </c>
      <c r="T8659" t="s">
        <v>3063</v>
      </c>
      <c r="U8659">
        <v>599.93499999999995</v>
      </c>
      <c r="V8659" s="3">
        <v>41232</v>
      </c>
    </row>
    <row r="8660" spans="1:22" x14ac:dyDescent="0.35">
      <c r="A8660" s="1">
        <v>42255.613437499997</v>
      </c>
      <c r="B8660" s="2">
        <v>0</v>
      </c>
      <c r="C8660" t="s">
        <v>12292</v>
      </c>
      <c r="D8660" t="s">
        <v>23</v>
      </c>
      <c r="E8660" t="s">
        <v>24</v>
      </c>
      <c r="F8660" t="s">
        <v>3060</v>
      </c>
      <c r="G8660">
        <v>1120279</v>
      </c>
      <c r="H8660" t="s">
        <v>26</v>
      </c>
      <c r="I8660" t="s">
        <v>3061</v>
      </c>
      <c r="J8660" t="str">
        <f t="shared" si="60"/>
        <v>9781118537671</v>
      </c>
      <c r="L8660">
        <v>0</v>
      </c>
      <c r="O8660" t="s">
        <v>28</v>
      </c>
      <c r="P8660" t="s">
        <v>29</v>
      </c>
      <c r="Q8660" s="1">
        <v>42255.609652777777</v>
      </c>
      <c r="R8660">
        <v>7</v>
      </c>
      <c r="S8660" t="s">
        <v>31</v>
      </c>
      <c r="T8660" t="s">
        <v>3063</v>
      </c>
      <c r="U8660">
        <v>599.93499999999995</v>
      </c>
      <c r="V8660" s="3">
        <v>41232</v>
      </c>
    </row>
    <row r="8661" spans="1:22" x14ac:dyDescent="0.35">
      <c r="A8661" s="1">
        <v>42255.609652777777</v>
      </c>
      <c r="B8661" s="2">
        <v>0</v>
      </c>
      <c r="C8661" t="s">
        <v>12292</v>
      </c>
      <c r="D8661" t="s">
        <v>23</v>
      </c>
      <c r="E8661" t="s">
        <v>24</v>
      </c>
      <c r="F8661" t="s">
        <v>3060</v>
      </c>
      <c r="G8661">
        <v>1120279</v>
      </c>
      <c r="H8661" t="s">
        <v>26</v>
      </c>
      <c r="I8661" t="s">
        <v>3061</v>
      </c>
      <c r="J8661" t="str">
        <f t="shared" si="60"/>
        <v>9781118537671</v>
      </c>
      <c r="L8661">
        <v>0</v>
      </c>
      <c r="O8661" t="s">
        <v>28</v>
      </c>
      <c r="P8661" t="s">
        <v>29</v>
      </c>
      <c r="Q8661" s="1">
        <v>42255.609652777777</v>
      </c>
      <c r="R8661">
        <v>7</v>
      </c>
      <c r="S8661" t="s">
        <v>31</v>
      </c>
      <c r="T8661" t="s">
        <v>3063</v>
      </c>
      <c r="U8661">
        <v>599.93499999999995</v>
      </c>
      <c r="V8661" s="3">
        <v>41232</v>
      </c>
    </row>
    <row r="8662" spans="1:22" x14ac:dyDescent="0.35">
      <c r="A8662" s="1">
        <v>42255.609652777777</v>
      </c>
      <c r="B8662" s="2">
        <v>0</v>
      </c>
      <c r="C8662" t="s">
        <v>12292</v>
      </c>
      <c r="D8662" t="s">
        <v>23</v>
      </c>
      <c r="E8662" t="s">
        <v>24</v>
      </c>
      <c r="F8662" t="s">
        <v>3060</v>
      </c>
      <c r="G8662">
        <v>1120279</v>
      </c>
      <c r="H8662" t="s">
        <v>26</v>
      </c>
      <c r="I8662" t="s">
        <v>3061</v>
      </c>
      <c r="J8662" t="str">
        <f t="shared" si="60"/>
        <v>9781118537671</v>
      </c>
      <c r="L8662">
        <v>0</v>
      </c>
      <c r="O8662" t="s">
        <v>30</v>
      </c>
      <c r="P8662" t="s">
        <v>29</v>
      </c>
      <c r="Q8662" s="1">
        <v>42255.609652777777</v>
      </c>
      <c r="R8662">
        <v>7</v>
      </c>
      <c r="S8662" t="s">
        <v>31</v>
      </c>
      <c r="T8662" t="s">
        <v>3063</v>
      </c>
      <c r="U8662">
        <v>599.93499999999995</v>
      </c>
      <c r="V8662" s="3">
        <v>41232</v>
      </c>
    </row>
    <row r="8663" spans="1:22" x14ac:dyDescent="0.35">
      <c r="A8663" s="1">
        <v>42255.6094212963</v>
      </c>
      <c r="B8663" s="2">
        <v>2.3148148148148146E-4</v>
      </c>
      <c r="C8663" t="s">
        <v>12292</v>
      </c>
      <c r="D8663" t="s">
        <v>23</v>
      </c>
      <c r="E8663" t="s">
        <v>24</v>
      </c>
      <c r="F8663" t="s">
        <v>3060</v>
      </c>
      <c r="G8663">
        <v>1120279</v>
      </c>
      <c r="H8663" t="s">
        <v>26</v>
      </c>
      <c r="I8663" t="s">
        <v>3061</v>
      </c>
      <c r="J8663" t="str">
        <f t="shared" si="60"/>
        <v>9781118537671</v>
      </c>
      <c r="K8663" t="s">
        <v>12294</v>
      </c>
      <c r="L8663">
        <v>13</v>
      </c>
      <c r="O8663" t="s">
        <v>30</v>
      </c>
      <c r="P8663" t="s">
        <v>42</v>
      </c>
      <c r="S8663" t="s">
        <v>31</v>
      </c>
      <c r="T8663" t="s">
        <v>3063</v>
      </c>
      <c r="U8663">
        <v>599.93499999999995</v>
      </c>
      <c r="V8663" s="3">
        <v>41232</v>
      </c>
    </row>
    <row r="8664" spans="1:22" x14ac:dyDescent="0.35">
      <c r="A8664" s="1">
        <v>42255.596145833333</v>
      </c>
      <c r="B8664" s="2">
        <v>0</v>
      </c>
      <c r="C8664" t="s">
        <v>12295</v>
      </c>
      <c r="D8664" t="s">
        <v>35</v>
      </c>
      <c r="E8664" t="s">
        <v>36</v>
      </c>
      <c r="F8664" t="s">
        <v>4223</v>
      </c>
      <c r="G8664">
        <v>980956</v>
      </c>
      <c r="H8664" t="s">
        <v>26</v>
      </c>
      <c r="I8664" t="s">
        <v>4224</v>
      </c>
      <c r="J8664" t="str">
        <f>"9781118227251"</f>
        <v>9781118227251</v>
      </c>
      <c r="L8664">
        <v>0</v>
      </c>
      <c r="O8664" t="s">
        <v>30</v>
      </c>
      <c r="P8664" t="s">
        <v>29</v>
      </c>
      <c r="Q8664" s="1">
        <v>42255.596145833333</v>
      </c>
      <c r="R8664">
        <v>7</v>
      </c>
      <c r="S8664" t="s">
        <v>40</v>
      </c>
      <c r="T8664" t="s">
        <v>4226</v>
      </c>
      <c r="U8664" t="s">
        <v>4227</v>
      </c>
      <c r="V8664" s="3">
        <v>41113</v>
      </c>
    </row>
    <row r="8665" spans="1:22" x14ac:dyDescent="0.35">
      <c r="A8665" s="1">
        <v>42255.585162037038</v>
      </c>
      <c r="B8665" s="2">
        <v>2.2222222222222222E-3</v>
      </c>
      <c r="C8665" t="s">
        <v>7774</v>
      </c>
      <c r="D8665" t="s">
        <v>23</v>
      </c>
      <c r="E8665" t="s">
        <v>24</v>
      </c>
      <c r="F8665" t="s">
        <v>1051</v>
      </c>
      <c r="G8665">
        <v>821663</v>
      </c>
      <c r="H8665" t="s">
        <v>26</v>
      </c>
      <c r="I8665" t="s">
        <v>200</v>
      </c>
      <c r="J8665" t="str">
        <f>"9781118168479"</f>
        <v>9781118168479</v>
      </c>
      <c r="K8665" t="s">
        <v>12296</v>
      </c>
      <c r="L8665">
        <v>5</v>
      </c>
      <c r="O8665" t="s">
        <v>30</v>
      </c>
      <c r="P8665" t="s">
        <v>29</v>
      </c>
      <c r="Q8665" s="1">
        <v>42255.585162037038</v>
      </c>
      <c r="R8665">
        <v>7</v>
      </c>
      <c r="S8665" t="s">
        <v>31</v>
      </c>
      <c r="T8665" t="s">
        <v>1053</v>
      </c>
      <c r="U8665">
        <v>729</v>
      </c>
      <c r="V8665" s="3">
        <v>40973</v>
      </c>
    </row>
    <row r="8666" spans="1:22" x14ac:dyDescent="0.35">
      <c r="A8666" s="1">
        <v>42255.584999999999</v>
      </c>
      <c r="B8666" s="2">
        <v>1.7592592592592592E-3</v>
      </c>
      <c r="C8666" t="s">
        <v>106</v>
      </c>
      <c r="D8666" t="s">
        <v>23</v>
      </c>
      <c r="E8666" t="s">
        <v>24</v>
      </c>
      <c r="F8666" t="s">
        <v>486</v>
      </c>
      <c r="G8666">
        <v>1119505</v>
      </c>
      <c r="H8666" t="s">
        <v>26</v>
      </c>
      <c r="I8666" t="s">
        <v>450</v>
      </c>
      <c r="J8666" t="str">
        <f>"9781118355015"</f>
        <v>9781118355015</v>
      </c>
      <c r="K8666" t="s">
        <v>12091</v>
      </c>
      <c r="L8666">
        <v>12</v>
      </c>
      <c r="O8666" t="s">
        <v>30</v>
      </c>
      <c r="P8666" t="s">
        <v>29</v>
      </c>
      <c r="Q8666" s="1">
        <v>42250.739131944443</v>
      </c>
      <c r="R8666">
        <v>7</v>
      </c>
      <c r="S8666" t="s">
        <v>31</v>
      </c>
      <c r="T8666" t="s">
        <v>487</v>
      </c>
      <c r="U8666" t="s">
        <v>488</v>
      </c>
      <c r="V8666" s="3">
        <v>41302</v>
      </c>
    </row>
    <row r="8667" spans="1:22" x14ac:dyDescent="0.35">
      <c r="A8667" s="1">
        <v>42255.584270833337</v>
      </c>
      <c r="B8667" s="2">
        <v>1.3888888888888889E-4</v>
      </c>
      <c r="C8667" t="s">
        <v>12297</v>
      </c>
      <c r="D8667" t="s">
        <v>158</v>
      </c>
      <c r="E8667" t="s">
        <v>159</v>
      </c>
      <c r="F8667" t="s">
        <v>1364</v>
      </c>
      <c r="G8667">
        <v>1310741</v>
      </c>
      <c r="H8667" t="s">
        <v>1365</v>
      </c>
      <c r="I8667" t="s">
        <v>1366</v>
      </c>
      <c r="J8667" t="str">
        <f>"9781408107461"</f>
        <v>9781408107461</v>
      </c>
      <c r="K8667" t="s">
        <v>12298</v>
      </c>
      <c r="L8667">
        <v>12</v>
      </c>
      <c r="O8667" t="s">
        <v>30</v>
      </c>
      <c r="P8667" t="s">
        <v>42</v>
      </c>
      <c r="S8667" t="s">
        <v>163</v>
      </c>
      <c r="T8667" t="s">
        <v>1369</v>
      </c>
      <c r="U8667">
        <v>613.71</v>
      </c>
      <c r="V8667" s="3">
        <v>39814</v>
      </c>
    </row>
    <row r="8668" spans="1:22" x14ac:dyDescent="0.35">
      <c r="A8668" s="1">
        <v>42255.583333333336</v>
      </c>
      <c r="B8668" s="2">
        <v>1.7939814814814815E-3</v>
      </c>
      <c r="C8668" t="s">
        <v>106</v>
      </c>
      <c r="D8668" t="s">
        <v>23</v>
      </c>
      <c r="E8668" t="s">
        <v>24</v>
      </c>
      <c r="F8668" t="s">
        <v>1051</v>
      </c>
      <c r="G8668">
        <v>821663</v>
      </c>
      <c r="H8668" t="s">
        <v>26</v>
      </c>
      <c r="I8668" t="s">
        <v>200</v>
      </c>
      <c r="J8668" t="str">
        <f>"9781118168479"</f>
        <v>9781118168479</v>
      </c>
      <c r="K8668" t="s">
        <v>12299</v>
      </c>
      <c r="L8668">
        <v>14</v>
      </c>
      <c r="O8668" t="s">
        <v>30</v>
      </c>
      <c r="P8668" t="s">
        <v>29</v>
      </c>
      <c r="Q8668" s="1">
        <v>42248.619155092594</v>
      </c>
      <c r="R8668">
        <v>7</v>
      </c>
      <c r="S8668" t="s">
        <v>31</v>
      </c>
      <c r="T8668" t="s">
        <v>1053</v>
      </c>
      <c r="U8668">
        <v>729</v>
      </c>
      <c r="V8668" s="3">
        <v>40973</v>
      </c>
    </row>
    <row r="8669" spans="1:22" x14ac:dyDescent="0.35">
      <c r="A8669" s="1">
        <v>42255.583032407405</v>
      </c>
      <c r="B8669" s="2">
        <v>2.3148148148148147E-5</v>
      </c>
      <c r="C8669" t="s">
        <v>12297</v>
      </c>
      <c r="D8669" t="s">
        <v>158</v>
      </c>
      <c r="E8669" t="s">
        <v>159</v>
      </c>
      <c r="F8669" t="s">
        <v>12300</v>
      </c>
      <c r="G8669">
        <v>882731</v>
      </c>
      <c r="H8669" t="s">
        <v>26</v>
      </c>
      <c r="I8669" t="s">
        <v>12301</v>
      </c>
      <c r="J8669" t="str">
        <f>"9781444355857"</f>
        <v>9781444355857</v>
      </c>
      <c r="K8669" t="s">
        <v>105</v>
      </c>
      <c r="L8669">
        <v>1</v>
      </c>
      <c r="O8669" t="s">
        <v>30</v>
      </c>
      <c r="P8669" t="s">
        <v>42</v>
      </c>
      <c r="S8669" t="s">
        <v>163</v>
      </c>
      <c r="T8669" t="s">
        <v>12302</v>
      </c>
      <c r="U8669">
        <v>175</v>
      </c>
      <c r="V8669" s="3">
        <v>40997</v>
      </c>
    </row>
    <row r="8670" spans="1:22" x14ac:dyDescent="0.35">
      <c r="A8670" s="1">
        <v>42255.582557870373</v>
      </c>
      <c r="B8670" s="2">
        <v>3.0092592592592595E-4</v>
      </c>
      <c r="C8670" t="s">
        <v>106</v>
      </c>
      <c r="D8670" t="s">
        <v>23</v>
      </c>
      <c r="E8670" t="s">
        <v>24</v>
      </c>
      <c r="F8670" t="s">
        <v>1051</v>
      </c>
      <c r="G8670">
        <v>821663</v>
      </c>
      <c r="H8670" t="s">
        <v>26</v>
      </c>
      <c r="I8670" t="s">
        <v>200</v>
      </c>
      <c r="J8670" t="str">
        <f>"9781118168479"</f>
        <v>9781118168479</v>
      </c>
      <c r="K8670" t="s">
        <v>1197</v>
      </c>
      <c r="L8670">
        <v>3</v>
      </c>
      <c r="O8670" t="s">
        <v>30</v>
      </c>
      <c r="P8670" t="s">
        <v>29</v>
      </c>
      <c r="Q8670" s="1">
        <v>42248.619155092594</v>
      </c>
      <c r="R8670">
        <v>7</v>
      </c>
      <c r="S8670" t="s">
        <v>31</v>
      </c>
      <c r="T8670" t="s">
        <v>1053</v>
      </c>
      <c r="U8670">
        <v>729</v>
      </c>
      <c r="V8670" s="3">
        <v>40973</v>
      </c>
    </row>
    <row r="8671" spans="1:22" x14ac:dyDescent="0.35">
      <c r="A8671" s="1">
        <v>42255.581111111111</v>
      </c>
      <c r="B8671" s="2">
        <v>1.503472222222222E-2</v>
      </c>
      <c r="C8671" t="s">
        <v>12295</v>
      </c>
      <c r="D8671" t="s">
        <v>35</v>
      </c>
      <c r="E8671" t="s">
        <v>36</v>
      </c>
      <c r="F8671" t="s">
        <v>4223</v>
      </c>
      <c r="G8671">
        <v>980956</v>
      </c>
      <c r="H8671" t="s">
        <v>26</v>
      </c>
      <c r="I8671" t="s">
        <v>4224</v>
      </c>
      <c r="J8671" t="str">
        <f>"9781118227251"</f>
        <v>9781118227251</v>
      </c>
      <c r="K8671" t="s">
        <v>12303</v>
      </c>
      <c r="L8671">
        <v>30</v>
      </c>
      <c r="O8671" t="s">
        <v>30</v>
      </c>
      <c r="P8671" t="s">
        <v>42</v>
      </c>
      <c r="S8671" t="s">
        <v>40</v>
      </c>
      <c r="T8671" t="s">
        <v>4226</v>
      </c>
      <c r="U8671" t="s">
        <v>4227</v>
      </c>
      <c r="V8671" s="3">
        <v>41113</v>
      </c>
    </row>
    <row r="8672" spans="1:22" x14ac:dyDescent="0.35">
      <c r="A8672" s="1">
        <v>42255.578020833331</v>
      </c>
      <c r="B8672" s="2">
        <v>7.1412037037037043E-3</v>
      </c>
      <c r="C8672" t="s">
        <v>7774</v>
      </c>
      <c r="D8672" t="s">
        <v>23</v>
      </c>
      <c r="E8672" t="s">
        <v>24</v>
      </c>
      <c r="F8672" t="s">
        <v>1051</v>
      </c>
      <c r="G8672">
        <v>821663</v>
      </c>
      <c r="H8672" t="s">
        <v>26</v>
      </c>
      <c r="I8672" t="s">
        <v>200</v>
      </c>
      <c r="J8672" t="str">
        <f t="shared" ref="J8672:J8679" si="61">"9781118168479"</f>
        <v>9781118168479</v>
      </c>
      <c r="K8672" t="s">
        <v>12304</v>
      </c>
      <c r="L8672">
        <v>31</v>
      </c>
      <c r="O8672" t="s">
        <v>30</v>
      </c>
      <c r="P8672" t="s">
        <v>42</v>
      </c>
      <c r="S8672" t="s">
        <v>31</v>
      </c>
      <c r="T8672" t="s">
        <v>1053</v>
      </c>
      <c r="U8672">
        <v>729</v>
      </c>
      <c r="V8672" s="3">
        <v>40973</v>
      </c>
    </row>
    <row r="8673" spans="1:22" x14ac:dyDescent="0.35">
      <c r="A8673" s="1">
        <v>42255.576249999998</v>
      </c>
      <c r="B8673" s="2">
        <v>2.8935185185185189E-4</v>
      </c>
      <c r="C8673" t="s">
        <v>7774</v>
      </c>
      <c r="D8673" t="s">
        <v>23</v>
      </c>
      <c r="E8673" t="s">
        <v>24</v>
      </c>
      <c r="F8673" t="s">
        <v>1051</v>
      </c>
      <c r="G8673">
        <v>821663</v>
      </c>
      <c r="H8673" t="s">
        <v>26</v>
      </c>
      <c r="I8673" t="s">
        <v>200</v>
      </c>
      <c r="J8673" t="str">
        <f t="shared" si="61"/>
        <v>9781118168479</v>
      </c>
      <c r="K8673" t="s">
        <v>12305</v>
      </c>
      <c r="L8673">
        <v>4</v>
      </c>
      <c r="O8673" t="s">
        <v>30</v>
      </c>
      <c r="P8673" t="s">
        <v>42</v>
      </c>
      <c r="S8673" t="s">
        <v>31</v>
      </c>
      <c r="T8673" t="s">
        <v>1053</v>
      </c>
      <c r="U8673">
        <v>729</v>
      </c>
      <c r="V8673" s="3">
        <v>40973</v>
      </c>
    </row>
    <row r="8674" spans="1:22" x14ac:dyDescent="0.35">
      <c r="A8674" s="1">
        <v>42255.539074074077</v>
      </c>
      <c r="B8674" s="2">
        <v>4.6296296296296294E-5</v>
      </c>
      <c r="C8674" t="s">
        <v>7774</v>
      </c>
      <c r="D8674" t="s">
        <v>23</v>
      </c>
      <c r="E8674" t="s">
        <v>24</v>
      </c>
      <c r="F8674" t="s">
        <v>1051</v>
      </c>
      <c r="G8674">
        <v>821663</v>
      </c>
      <c r="H8674" t="s">
        <v>26</v>
      </c>
      <c r="I8674" t="s">
        <v>200</v>
      </c>
      <c r="J8674" t="str">
        <f t="shared" si="61"/>
        <v>9781118168479</v>
      </c>
      <c r="K8674" t="s">
        <v>33</v>
      </c>
      <c r="L8674">
        <v>3</v>
      </c>
      <c r="O8674" t="s">
        <v>30</v>
      </c>
      <c r="P8674" t="s">
        <v>42</v>
      </c>
      <c r="S8674" t="s">
        <v>31</v>
      </c>
      <c r="T8674" t="s">
        <v>1053</v>
      </c>
      <c r="U8674">
        <v>729</v>
      </c>
      <c r="V8674" s="3">
        <v>40973</v>
      </c>
    </row>
    <row r="8675" spans="1:22" x14ac:dyDescent="0.35">
      <c r="A8675" s="1">
        <v>42255.536469907405</v>
      </c>
      <c r="B8675" s="2">
        <v>1.3194444444444443E-3</v>
      </c>
      <c r="C8675" t="s">
        <v>106</v>
      </c>
      <c r="D8675" t="s">
        <v>23</v>
      </c>
      <c r="E8675" t="s">
        <v>24</v>
      </c>
      <c r="F8675" t="s">
        <v>1051</v>
      </c>
      <c r="G8675">
        <v>821663</v>
      </c>
      <c r="H8675" t="s">
        <v>26</v>
      </c>
      <c r="I8675" t="s">
        <v>200</v>
      </c>
      <c r="J8675" t="str">
        <f t="shared" si="61"/>
        <v>9781118168479</v>
      </c>
      <c r="K8675" t="s">
        <v>12306</v>
      </c>
      <c r="L8675">
        <v>9</v>
      </c>
      <c r="O8675" t="s">
        <v>30</v>
      </c>
      <c r="P8675" t="s">
        <v>29</v>
      </c>
      <c r="Q8675" s="1">
        <v>42248.619155092594</v>
      </c>
      <c r="R8675">
        <v>7</v>
      </c>
      <c r="S8675" t="s">
        <v>31</v>
      </c>
      <c r="T8675" t="s">
        <v>1053</v>
      </c>
      <c r="U8675">
        <v>729</v>
      </c>
      <c r="V8675" s="3">
        <v>40973</v>
      </c>
    </row>
    <row r="8676" spans="1:22" x14ac:dyDescent="0.35">
      <c r="A8676" s="1">
        <v>42255.534236111111</v>
      </c>
      <c r="B8676" s="2">
        <v>4.9062500000000002E-2</v>
      </c>
      <c r="C8676" t="s">
        <v>5411</v>
      </c>
      <c r="D8676" t="s">
        <v>23</v>
      </c>
      <c r="E8676" t="s">
        <v>24</v>
      </c>
      <c r="F8676" t="s">
        <v>1051</v>
      </c>
      <c r="G8676">
        <v>821663</v>
      </c>
      <c r="H8676" t="s">
        <v>26</v>
      </c>
      <c r="I8676" t="s">
        <v>200</v>
      </c>
      <c r="J8676" t="str">
        <f t="shared" si="61"/>
        <v>9781118168479</v>
      </c>
      <c r="K8676" t="s">
        <v>12307</v>
      </c>
      <c r="L8676">
        <v>87</v>
      </c>
      <c r="O8676" t="s">
        <v>30</v>
      </c>
      <c r="P8676" t="s">
        <v>29</v>
      </c>
      <c r="Q8676" s="1">
        <v>42253.814930555556</v>
      </c>
      <c r="R8676">
        <v>7</v>
      </c>
      <c r="S8676" t="s">
        <v>31</v>
      </c>
      <c r="T8676" t="s">
        <v>1053</v>
      </c>
      <c r="U8676">
        <v>729</v>
      </c>
      <c r="V8676" s="3">
        <v>40973</v>
      </c>
    </row>
    <row r="8677" spans="1:22" x14ac:dyDescent="0.35">
      <c r="A8677" s="1">
        <v>42255.448587962965</v>
      </c>
      <c r="B8677" s="2">
        <v>7.7546296296296304E-4</v>
      </c>
      <c r="C8677" t="s">
        <v>5411</v>
      </c>
      <c r="D8677" t="s">
        <v>23</v>
      </c>
      <c r="E8677" t="s">
        <v>24</v>
      </c>
      <c r="F8677" t="s">
        <v>1051</v>
      </c>
      <c r="G8677">
        <v>821663</v>
      </c>
      <c r="H8677" t="s">
        <v>26</v>
      </c>
      <c r="I8677" t="s">
        <v>200</v>
      </c>
      <c r="J8677" t="str">
        <f t="shared" si="61"/>
        <v>9781118168479</v>
      </c>
      <c r="K8677" t="s">
        <v>12308</v>
      </c>
      <c r="L8677">
        <v>28</v>
      </c>
      <c r="O8677" t="s">
        <v>30</v>
      </c>
      <c r="P8677" t="s">
        <v>29</v>
      </c>
      <c r="Q8677" s="1">
        <v>42253.814930555556</v>
      </c>
      <c r="R8677">
        <v>7</v>
      </c>
      <c r="S8677" t="s">
        <v>31</v>
      </c>
      <c r="T8677" t="s">
        <v>1053</v>
      </c>
      <c r="U8677">
        <v>729</v>
      </c>
      <c r="V8677" s="3">
        <v>40973</v>
      </c>
    </row>
    <row r="8678" spans="1:22" x14ac:dyDescent="0.35">
      <c r="A8678" s="1">
        <v>42255.265567129631</v>
      </c>
      <c r="B8678" s="2">
        <v>4.2824074074074075E-3</v>
      </c>
      <c r="C8678" t="s">
        <v>106</v>
      </c>
      <c r="D8678" t="s">
        <v>23</v>
      </c>
      <c r="E8678" t="s">
        <v>24</v>
      </c>
      <c r="F8678" t="s">
        <v>1051</v>
      </c>
      <c r="G8678">
        <v>821663</v>
      </c>
      <c r="H8678" t="s">
        <v>26</v>
      </c>
      <c r="I8678" t="s">
        <v>200</v>
      </c>
      <c r="J8678" t="str">
        <f t="shared" si="61"/>
        <v>9781118168479</v>
      </c>
      <c r="K8678" t="s">
        <v>12309</v>
      </c>
      <c r="L8678">
        <v>26</v>
      </c>
      <c r="O8678" t="s">
        <v>30</v>
      </c>
      <c r="P8678" t="s">
        <v>29</v>
      </c>
      <c r="Q8678" s="1">
        <v>42248.619155092594</v>
      </c>
      <c r="R8678">
        <v>7</v>
      </c>
      <c r="S8678" t="s">
        <v>31</v>
      </c>
      <c r="T8678" t="s">
        <v>1053</v>
      </c>
      <c r="U8678">
        <v>729</v>
      </c>
      <c r="V8678" s="3">
        <v>40973</v>
      </c>
    </row>
    <row r="8679" spans="1:22" x14ac:dyDescent="0.35">
      <c r="A8679" s="1">
        <v>42255.208553240744</v>
      </c>
      <c r="B8679" s="2">
        <v>2.4363425925925927E-2</v>
      </c>
      <c r="C8679" t="s">
        <v>106</v>
      </c>
      <c r="D8679" t="s">
        <v>23</v>
      </c>
      <c r="E8679" t="s">
        <v>24</v>
      </c>
      <c r="F8679" t="s">
        <v>1051</v>
      </c>
      <c r="G8679">
        <v>821663</v>
      </c>
      <c r="H8679" t="s">
        <v>26</v>
      </c>
      <c r="I8679" t="s">
        <v>200</v>
      </c>
      <c r="J8679" t="str">
        <f t="shared" si="61"/>
        <v>9781118168479</v>
      </c>
      <c r="K8679" t="s">
        <v>12310</v>
      </c>
      <c r="L8679">
        <v>45</v>
      </c>
      <c r="O8679" t="s">
        <v>30</v>
      </c>
      <c r="P8679" t="s">
        <v>29</v>
      </c>
      <c r="Q8679" s="1">
        <v>42248.619155092594</v>
      </c>
      <c r="R8679">
        <v>7</v>
      </c>
      <c r="S8679" t="s">
        <v>31</v>
      </c>
      <c r="T8679" t="s">
        <v>1053</v>
      </c>
      <c r="U8679">
        <v>729</v>
      </c>
      <c r="V8679" s="3">
        <v>40973</v>
      </c>
    </row>
    <row r="8680" spans="1:22" x14ac:dyDescent="0.35">
      <c r="A8680" s="1">
        <v>42255.191712962966</v>
      </c>
      <c r="B8680" s="2">
        <v>1.5138888888888889E-2</v>
      </c>
      <c r="C8680" t="s">
        <v>12311</v>
      </c>
      <c r="D8680" t="s">
        <v>23</v>
      </c>
      <c r="E8680" t="s">
        <v>24</v>
      </c>
      <c r="F8680" t="s">
        <v>1571</v>
      </c>
      <c r="G8680">
        <v>1707328</v>
      </c>
      <c r="H8680" t="s">
        <v>84</v>
      </c>
      <c r="I8680" t="s">
        <v>150</v>
      </c>
      <c r="J8680" t="str">
        <f>"9780520958876"</f>
        <v>9780520958876</v>
      </c>
      <c r="K8680" t="s">
        <v>12312</v>
      </c>
      <c r="L8680">
        <v>57</v>
      </c>
      <c r="O8680" t="s">
        <v>30</v>
      </c>
      <c r="P8680" t="s">
        <v>29</v>
      </c>
      <c r="Q8680" s="1">
        <v>42255.140347222223</v>
      </c>
      <c r="R8680">
        <v>7</v>
      </c>
      <c r="S8680" t="s">
        <v>31</v>
      </c>
      <c r="T8680" t="s">
        <v>1573</v>
      </c>
      <c r="U8680">
        <v>780.90329999999994</v>
      </c>
      <c r="V8680" s="3">
        <v>41797</v>
      </c>
    </row>
    <row r="8681" spans="1:22" x14ac:dyDescent="0.35">
      <c r="A8681" s="1">
        <v>42255.156145833331</v>
      </c>
      <c r="B8681" s="2">
        <v>2.2708333333333334E-2</v>
      </c>
      <c r="C8681" t="s">
        <v>106</v>
      </c>
      <c r="D8681" t="s">
        <v>23</v>
      </c>
      <c r="E8681" t="s">
        <v>24</v>
      </c>
      <c r="F8681" t="s">
        <v>1051</v>
      </c>
      <c r="G8681">
        <v>821663</v>
      </c>
      <c r="H8681" t="s">
        <v>26</v>
      </c>
      <c r="I8681" t="s">
        <v>200</v>
      </c>
      <c r="J8681" t="str">
        <f>"9781118168479"</f>
        <v>9781118168479</v>
      </c>
      <c r="K8681" t="s">
        <v>12313</v>
      </c>
      <c r="L8681">
        <v>32</v>
      </c>
      <c r="N8681" t="s">
        <v>12314</v>
      </c>
      <c r="O8681" t="s">
        <v>30</v>
      </c>
      <c r="P8681" t="s">
        <v>29</v>
      </c>
      <c r="Q8681" s="1">
        <v>42248.619155092594</v>
      </c>
      <c r="R8681">
        <v>7</v>
      </c>
      <c r="S8681" t="s">
        <v>31</v>
      </c>
      <c r="T8681" t="s">
        <v>1053</v>
      </c>
      <c r="U8681">
        <v>729</v>
      </c>
      <c r="V8681" s="3">
        <v>40973</v>
      </c>
    </row>
    <row r="8682" spans="1:22" x14ac:dyDescent="0.35">
      <c r="A8682" s="1">
        <v>42255.140347222223</v>
      </c>
      <c r="B8682" s="2">
        <v>1.3078703703703705E-3</v>
      </c>
      <c r="C8682" t="s">
        <v>12311</v>
      </c>
      <c r="D8682" t="s">
        <v>23</v>
      </c>
      <c r="E8682" t="s">
        <v>24</v>
      </c>
      <c r="F8682" t="s">
        <v>1571</v>
      </c>
      <c r="G8682">
        <v>1707328</v>
      </c>
      <c r="H8682" t="s">
        <v>84</v>
      </c>
      <c r="I8682" t="s">
        <v>150</v>
      </c>
      <c r="J8682" t="str">
        <f>"9780520958876"</f>
        <v>9780520958876</v>
      </c>
      <c r="K8682" t="s">
        <v>12315</v>
      </c>
      <c r="L8682">
        <v>2</v>
      </c>
      <c r="O8682" t="s">
        <v>30</v>
      </c>
      <c r="P8682" t="s">
        <v>29</v>
      </c>
      <c r="Q8682" s="1">
        <v>42255.140347222223</v>
      </c>
      <c r="R8682">
        <v>7</v>
      </c>
      <c r="S8682" t="s">
        <v>31</v>
      </c>
      <c r="T8682" t="s">
        <v>1573</v>
      </c>
      <c r="U8682">
        <v>780.90329999999994</v>
      </c>
      <c r="V8682" s="3">
        <v>41797</v>
      </c>
    </row>
    <row r="8683" spans="1:22" x14ac:dyDescent="0.35">
      <c r="A8683" s="1">
        <v>42255.131539351853</v>
      </c>
      <c r="B8683" s="2">
        <v>8.8078703703703704E-3</v>
      </c>
      <c r="C8683" t="s">
        <v>12311</v>
      </c>
      <c r="D8683" t="s">
        <v>23</v>
      </c>
      <c r="E8683" t="s">
        <v>24</v>
      </c>
      <c r="F8683" t="s">
        <v>1571</v>
      </c>
      <c r="G8683">
        <v>1707328</v>
      </c>
      <c r="H8683" t="s">
        <v>84</v>
      </c>
      <c r="I8683" t="s">
        <v>150</v>
      </c>
      <c r="J8683" t="str">
        <f>"9780520958876"</f>
        <v>9780520958876</v>
      </c>
      <c r="K8683" t="s">
        <v>12316</v>
      </c>
      <c r="L8683">
        <v>15</v>
      </c>
      <c r="O8683" t="s">
        <v>30</v>
      </c>
      <c r="P8683" t="s">
        <v>42</v>
      </c>
      <c r="S8683" t="s">
        <v>31</v>
      </c>
      <c r="T8683" t="s">
        <v>1573</v>
      </c>
      <c r="U8683">
        <v>780.90329999999994</v>
      </c>
      <c r="V8683" s="3">
        <v>41797</v>
      </c>
    </row>
    <row r="8684" spans="1:22" x14ac:dyDescent="0.35">
      <c r="A8684" s="1">
        <v>42255.090474537035</v>
      </c>
      <c r="B8684" s="2">
        <v>3.3564814814814812E-4</v>
      </c>
      <c r="C8684" t="s">
        <v>106</v>
      </c>
      <c r="D8684" t="s">
        <v>23</v>
      </c>
      <c r="E8684" t="s">
        <v>24</v>
      </c>
      <c r="F8684" t="s">
        <v>3559</v>
      </c>
      <c r="G8684">
        <v>1217954</v>
      </c>
      <c r="H8684" t="s">
        <v>45</v>
      </c>
      <c r="I8684" t="s">
        <v>3560</v>
      </c>
      <c r="J8684" t="str">
        <f>"9781409457558"</f>
        <v>9781409457558</v>
      </c>
      <c r="K8684" t="s">
        <v>9341</v>
      </c>
      <c r="L8684">
        <v>12</v>
      </c>
      <c r="O8684" t="s">
        <v>30</v>
      </c>
      <c r="P8684" t="s">
        <v>29</v>
      </c>
      <c r="Q8684" s="1">
        <v>42253.929085648146</v>
      </c>
      <c r="R8684">
        <v>7</v>
      </c>
      <c r="S8684" t="s">
        <v>31</v>
      </c>
      <c r="T8684" t="s">
        <v>3562</v>
      </c>
      <c r="U8684" t="s">
        <v>3563</v>
      </c>
      <c r="V8684" s="3">
        <v>41575</v>
      </c>
    </row>
    <row r="8685" spans="1:22" x14ac:dyDescent="0.35">
      <c r="A8685" s="1">
        <v>42255.085381944446</v>
      </c>
      <c r="B8685" s="2">
        <v>5.9027777777777778E-4</v>
      </c>
      <c r="C8685" t="s">
        <v>106</v>
      </c>
      <c r="D8685" t="s">
        <v>23</v>
      </c>
      <c r="E8685" t="s">
        <v>24</v>
      </c>
      <c r="F8685" t="s">
        <v>1051</v>
      </c>
      <c r="G8685">
        <v>821663</v>
      </c>
      <c r="H8685" t="s">
        <v>26</v>
      </c>
      <c r="I8685" t="s">
        <v>200</v>
      </c>
      <c r="J8685" t="str">
        <f>"9781118168479"</f>
        <v>9781118168479</v>
      </c>
      <c r="K8685" t="s">
        <v>12317</v>
      </c>
      <c r="L8685">
        <v>9</v>
      </c>
      <c r="O8685" t="s">
        <v>30</v>
      </c>
      <c r="P8685" t="s">
        <v>29</v>
      </c>
      <c r="Q8685" s="1">
        <v>42248.619155092594</v>
      </c>
      <c r="R8685">
        <v>7</v>
      </c>
      <c r="S8685" t="s">
        <v>31</v>
      </c>
      <c r="T8685" t="s">
        <v>1053</v>
      </c>
      <c r="U8685">
        <v>729</v>
      </c>
      <c r="V8685" s="3">
        <v>40973</v>
      </c>
    </row>
    <row r="8686" spans="1:22" x14ac:dyDescent="0.35">
      <c r="A8686" s="1">
        <v>42255.066099537034</v>
      </c>
      <c r="B8686" s="2">
        <v>2.855324074074074E-2</v>
      </c>
      <c r="C8686" t="s">
        <v>5887</v>
      </c>
      <c r="D8686" t="s">
        <v>23</v>
      </c>
      <c r="E8686" t="s">
        <v>24</v>
      </c>
      <c r="F8686" t="s">
        <v>1051</v>
      </c>
      <c r="G8686">
        <v>821663</v>
      </c>
      <c r="H8686" t="s">
        <v>26</v>
      </c>
      <c r="I8686" t="s">
        <v>200</v>
      </c>
      <c r="J8686" t="str">
        <f>"9781118168479"</f>
        <v>9781118168479</v>
      </c>
      <c r="K8686" t="s">
        <v>12318</v>
      </c>
      <c r="L8686">
        <v>36</v>
      </c>
      <c r="O8686" t="s">
        <v>30</v>
      </c>
      <c r="P8686" t="s">
        <v>29</v>
      </c>
      <c r="Q8686" s="1">
        <v>42248.697696759256</v>
      </c>
      <c r="R8686">
        <v>7</v>
      </c>
      <c r="S8686" t="s">
        <v>31</v>
      </c>
      <c r="T8686" t="s">
        <v>1053</v>
      </c>
      <c r="U8686">
        <v>729</v>
      </c>
      <c r="V8686" s="3">
        <v>40973</v>
      </c>
    </row>
    <row r="8687" spans="1:22" x14ac:dyDescent="0.35">
      <c r="A8687" s="1">
        <v>42255.059189814812</v>
      </c>
      <c r="B8687" s="2">
        <v>5.0462962962962961E-3</v>
      </c>
      <c r="C8687" t="s">
        <v>12319</v>
      </c>
      <c r="D8687" t="s">
        <v>23</v>
      </c>
      <c r="E8687" t="s">
        <v>24</v>
      </c>
      <c r="F8687" t="s">
        <v>1161</v>
      </c>
      <c r="G8687">
        <v>1710997</v>
      </c>
      <c r="H8687" t="s">
        <v>84</v>
      </c>
      <c r="I8687" t="s">
        <v>108</v>
      </c>
      <c r="J8687" t="str">
        <f>"9780520959224"</f>
        <v>9780520959224</v>
      </c>
      <c r="K8687" t="s">
        <v>12320</v>
      </c>
      <c r="L8687">
        <v>18</v>
      </c>
      <c r="O8687" t="s">
        <v>28</v>
      </c>
      <c r="P8687" t="s">
        <v>47</v>
      </c>
      <c r="Q8687" s="1">
        <v>42255.059189814812</v>
      </c>
      <c r="R8687">
        <v>7</v>
      </c>
      <c r="S8687" t="s">
        <v>31</v>
      </c>
      <c r="T8687" t="s">
        <v>1162</v>
      </c>
      <c r="U8687" t="s">
        <v>1163</v>
      </c>
      <c r="V8687" s="3">
        <v>42018</v>
      </c>
    </row>
    <row r="8688" spans="1:22" x14ac:dyDescent="0.35">
      <c r="A8688" s="1">
        <v>42255.059189814812</v>
      </c>
      <c r="B8688" s="2">
        <v>0</v>
      </c>
      <c r="C8688" t="s">
        <v>12319</v>
      </c>
      <c r="D8688" t="s">
        <v>23</v>
      </c>
      <c r="E8688" t="s">
        <v>24</v>
      </c>
      <c r="F8688" t="s">
        <v>1161</v>
      </c>
      <c r="G8688">
        <v>1710997</v>
      </c>
      <c r="H8688" t="s">
        <v>84</v>
      </c>
      <c r="I8688" t="s">
        <v>108</v>
      </c>
      <c r="J8688" t="str">
        <f>"9780520959224"</f>
        <v>9780520959224</v>
      </c>
      <c r="L8688">
        <v>0</v>
      </c>
      <c r="O8688" t="s">
        <v>30</v>
      </c>
      <c r="P8688" t="s">
        <v>47</v>
      </c>
      <c r="Q8688" s="1">
        <v>42255.059189814812</v>
      </c>
      <c r="R8688">
        <v>7</v>
      </c>
      <c r="S8688" t="s">
        <v>31</v>
      </c>
      <c r="T8688" t="s">
        <v>1162</v>
      </c>
      <c r="U8688" t="s">
        <v>1163</v>
      </c>
      <c r="V8688" s="3">
        <v>42018</v>
      </c>
    </row>
    <row r="8689" spans="1:22" x14ac:dyDescent="0.35">
      <c r="A8689" s="1">
        <v>42255.058912037035</v>
      </c>
      <c r="B8689" s="2">
        <v>2.6620370370370372E-4</v>
      </c>
      <c r="C8689" t="s">
        <v>12319</v>
      </c>
      <c r="D8689" t="s">
        <v>23</v>
      </c>
      <c r="E8689" t="s">
        <v>24</v>
      </c>
      <c r="F8689" t="s">
        <v>1161</v>
      </c>
      <c r="G8689">
        <v>1710997</v>
      </c>
      <c r="H8689" t="s">
        <v>84</v>
      </c>
      <c r="I8689" t="s">
        <v>108</v>
      </c>
      <c r="J8689" t="str">
        <f>"9780520959224"</f>
        <v>9780520959224</v>
      </c>
      <c r="K8689" t="s">
        <v>209</v>
      </c>
      <c r="L8689">
        <v>4</v>
      </c>
      <c r="O8689" t="s">
        <v>30</v>
      </c>
      <c r="P8689" t="s">
        <v>50</v>
      </c>
      <c r="S8689" t="s">
        <v>31</v>
      </c>
      <c r="T8689" t="s">
        <v>1162</v>
      </c>
      <c r="U8689" t="s">
        <v>1163</v>
      </c>
      <c r="V8689" s="3">
        <v>42018</v>
      </c>
    </row>
    <row r="8690" spans="1:22" x14ac:dyDescent="0.35">
      <c r="A8690" s="1">
        <v>42255.041134259256</v>
      </c>
      <c r="B8690" s="2">
        <v>0.15729166666666666</v>
      </c>
      <c r="C8690" t="s">
        <v>106</v>
      </c>
      <c r="D8690" t="s">
        <v>23</v>
      </c>
      <c r="E8690" t="s">
        <v>24</v>
      </c>
      <c r="F8690" t="s">
        <v>486</v>
      </c>
      <c r="G8690">
        <v>1119505</v>
      </c>
      <c r="H8690" t="s">
        <v>26</v>
      </c>
      <c r="I8690" t="s">
        <v>450</v>
      </c>
      <c r="J8690" t="str">
        <f>"9781118355015"</f>
        <v>9781118355015</v>
      </c>
      <c r="K8690" t="s">
        <v>12321</v>
      </c>
      <c r="L8690">
        <v>42</v>
      </c>
      <c r="O8690" t="s">
        <v>30</v>
      </c>
      <c r="P8690" t="s">
        <v>29</v>
      </c>
      <c r="Q8690" s="1">
        <v>42250.739131944443</v>
      </c>
      <c r="R8690">
        <v>7</v>
      </c>
      <c r="S8690" t="s">
        <v>31</v>
      </c>
      <c r="T8690" t="s">
        <v>487</v>
      </c>
      <c r="U8690" t="s">
        <v>488</v>
      </c>
      <c r="V8690" s="3">
        <v>41302</v>
      </c>
    </row>
    <row r="8691" spans="1:22" x14ac:dyDescent="0.35">
      <c r="A8691" s="1">
        <v>42255.033726851849</v>
      </c>
      <c r="B8691" s="2">
        <v>4.9999999999999996E-2</v>
      </c>
      <c r="C8691" t="s">
        <v>4041</v>
      </c>
      <c r="D8691" t="s">
        <v>23</v>
      </c>
      <c r="E8691" t="s">
        <v>24</v>
      </c>
      <c r="F8691" t="s">
        <v>3060</v>
      </c>
      <c r="G8691">
        <v>1120279</v>
      </c>
      <c r="H8691" t="s">
        <v>26</v>
      </c>
      <c r="I8691" t="s">
        <v>3061</v>
      </c>
      <c r="J8691" t="str">
        <f>"9781118537671"</f>
        <v>9781118537671</v>
      </c>
      <c r="K8691" t="s">
        <v>12322</v>
      </c>
      <c r="L8691">
        <v>22</v>
      </c>
      <c r="O8691" t="s">
        <v>30</v>
      </c>
      <c r="P8691" t="s">
        <v>29</v>
      </c>
      <c r="Q8691" s="1">
        <v>42250.861516203702</v>
      </c>
      <c r="R8691">
        <v>7</v>
      </c>
      <c r="S8691" t="s">
        <v>31</v>
      </c>
      <c r="T8691" t="s">
        <v>3063</v>
      </c>
      <c r="U8691">
        <v>599.93499999999995</v>
      </c>
      <c r="V8691" s="3">
        <v>41232</v>
      </c>
    </row>
    <row r="8692" spans="1:22" x14ac:dyDescent="0.35">
      <c r="A8692" s="1">
        <v>42254.922094907408</v>
      </c>
      <c r="B8692" s="2">
        <v>2.5462962962962961E-4</v>
      </c>
      <c r="C8692" t="s">
        <v>6275</v>
      </c>
      <c r="D8692" t="s">
        <v>23</v>
      </c>
      <c r="E8692" t="s">
        <v>24</v>
      </c>
      <c r="F8692" t="s">
        <v>1051</v>
      </c>
      <c r="G8692">
        <v>821663</v>
      </c>
      <c r="H8692" t="s">
        <v>26</v>
      </c>
      <c r="I8692" t="s">
        <v>200</v>
      </c>
      <c r="J8692" t="str">
        <f>"9781118168479"</f>
        <v>9781118168479</v>
      </c>
      <c r="K8692" t="s">
        <v>12323</v>
      </c>
      <c r="L8692">
        <v>10</v>
      </c>
      <c r="O8692" t="s">
        <v>30</v>
      </c>
      <c r="P8692" t="s">
        <v>42</v>
      </c>
      <c r="S8692" t="s">
        <v>31</v>
      </c>
      <c r="T8692" t="s">
        <v>1053</v>
      </c>
      <c r="U8692">
        <v>729</v>
      </c>
      <c r="V8692" s="3">
        <v>40973</v>
      </c>
    </row>
    <row r="8693" spans="1:22" x14ac:dyDescent="0.35">
      <c r="A8693" s="1">
        <v>42254.895543981482</v>
      </c>
      <c r="B8693" s="2">
        <v>8.7847222222222233E-3</v>
      </c>
      <c r="C8693" t="s">
        <v>12324</v>
      </c>
      <c r="D8693" t="s">
        <v>23</v>
      </c>
      <c r="E8693" t="s">
        <v>24</v>
      </c>
      <c r="F8693" t="s">
        <v>1051</v>
      </c>
      <c r="G8693">
        <v>821663</v>
      </c>
      <c r="H8693" t="s">
        <v>26</v>
      </c>
      <c r="I8693" t="s">
        <v>200</v>
      </c>
      <c r="J8693" t="str">
        <f>"9781118168479"</f>
        <v>9781118168479</v>
      </c>
      <c r="K8693" t="s">
        <v>12325</v>
      </c>
      <c r="L8693">
        <v>23</v>
      </c>
      <c r="M8693" t="s">
        <v>2804</v>
      </c>
      <c r="N8693" t="s">
        <v>12326</v>
      </c>
      <c r="O8693" t="s">
        <v>28</v>
      </c>
      <c r="P8693" t="s">
        <v>29</v>
      </c>
      <c r="Q8693" s="1">
        <v>42254.892951388887</v>
      </c>
      <c r="R8693">
        <v>7</v>
      </c>
      <c r="S8693" t="s">
        <v>31</v>
      </c>
      <c r="T8693" t="s">
        <v>1053</v>
      </c>
      <c r="U8693">
        <v>729</v>
      </c>
      <c r="V8693" s="3">
        <v>40973</v>
      </c>
    </row>
    <row r="8694" spans="1:22" x14ac:dyDescent="0.35">
      <c r="A8694" s="1">
        <v>42254.893171296295</v>
      </c>
      <c r="B8694" s="2">
        <v>0</v>
      </c>
      <c r="C8694" t="s">
        <v>12324</v>
      </c>
      <c r="D8694" t="s">
        <v>23</v>
      </c>
      <c r="E8694" t="s">
        <v>24</v>
      </c>
      <c r="F8694" t="s">
        <v>1051</v>
      </c>
      <c r="G8694">
        <v>821663</v>
      </c>
      <c r="H8694" t="s">
        <v>26</v>
      </c>
      <c r="I8694" t="s">
        <v>200</v>
      </c>
      <c r="J8694" t="str">
        <f>"9781118168479"</f>
        <v>9781118168479</v>
      </c>
      <c r="L8694">
        <v>0</v>
      </c>
      <c r="O8694" t="s">
        <v>28</v>
      </c>
      <c r="P8694" t="s">
        <v>29</v>
      </c>
      <c r="Q8694" s="1">
        <v>42254.892951388887</v>
      </c>
      <c r="R8694">
        <v>7</v>
      </c>
      <c r="S8694" t="s">
        <v>31</v>
      </c>
      <c r="T8694" t="s">
        <v>1053</v>
      </c>
      <c r="U8694">
        <v>729</v>
      </c>
      <c r="V8694" s="3">
        <v>40973</v>
      </c>
    </row>
    <row r="8695" spans="1:22" x14ac:dyDescent="0.35">
      <c r="A8695" s="1">
        <v>42254.892951388887</v>
      </c>
      <c r="B8695" s="2">
        <v>0</v>
      </c>
      <c r="C8695" t="s">
        <v>12324</v>
      </c>
      <c r="D8695" t="s">
        <v>23</v>
      </c>
      <c r="E8695" t="s">
        <v>24</v>
      </c>
      <c r="F8695" t="s">
        <v>1051</v>
      </c>
      <c r="G8695">
        <v>821663</v>
      </c>
      <c r="H8695" t="s">
        <v>26</v>
      </c>
      <c r="I8695" t="s">
        <v>200</v>
      </c>
      <c r="J8695" t="str">
        <f>"9781118168479"</f>
        <v>9781118168479</v>
      </c>
      <c r="L8695">
        <v>0</v>
      </c>
      <c r="O8695" t="s">
        <v>30</v>
      </c>
      <c r="P8695" t="s">
        <v>29</v>
      </c>
      <c r="Q8695" s="1">
        <v>42254.892951388887</v>
      </c>
      <c r="R8695">
        <v>7</v>
      </c>
      <c r="S8695" t="s">
        <v>31</v>
      </c>
      <c r="T8695" t="s">
        <v>1053</v>
      </c>
      <c r="U8695">
        <v>729</v>
      </c>
      <c r="V8695" s="3">
        <v>40973</v>
      </c>
    </row>
    <row r="8696" spans="1:22" x14ac:dyDescent="0.35">
      <c r="A8696" s="1">
        <v>42254.892523148148</v>
      </c>
      <c r="B8696" s="2">
        <v>4.2824074074074075E-4</v>
      </c>
      <c r="C8696" t="s">
        <v>12324</v>
      </c>
      <c r="D8696" t="s">
        <v>23</v>
      </c>
      <c r="E8696" t="s">
        <v>24</v>
      </c>
      <c r="F8696" t="s">
        <v>1051</v>
      </c>
      <c r="G8696">
        <v>821663</v>
      </c>
      <c r="H8696" t="s">
        <v>26</v>
      </c>
      <c r="I8696" t="s">
        <v>200</v>
      </c>
      <c r="J8696" t="str">
        <f>"9781118168479"</f>
        <v>9781118168479</v>
      </c>
      <c r="K8696" t="s">
        <v>12327</v>
      </c>
      <c r="L8696">
        <v>17</v>
      </c>
      <c r="O8696" t="s">
        <v>30</v>
      </c>
      <c r="P8696" t="s">
        <v>42</v>
      </c>
      <c r="S8696" t="s">
        <v>31</v>
      </c>
      <c r="T8696" t="s">
        <v>1053</v>
      </c>
      <c r="U8696">
        <v>729</v>
      </c>
      <c r="V8696" s="3">
        <v>40973</v>
      </c>
    </row>
    <row r="8697" spans="1:22" x14ac:dyDescent="0.35">
      <c r="A8697" s="1">
        <v>42254.878530092596</v>
      </c>
      <c r="B8697" s="2">
        <v>6.8900462962962969E-2</v>
      </c>
      <c r="C8697" t="s">
        <v>106</v>
      </c>
      <c r="D8697" t="s">
        <v>23</v>
      </c>
      <c r="E8697" t="s">
        <v>24</v>
      </c>
      <c r="F8697" t="s">
        <v>3559</v>
      </c>
      <c r="G8697">
        <v>1217954</v>
      </c>
      <c r="H8697" t="s">
        <v>45</v>
      </c>
      <c r="I8697" t="s">
        <v>3560</v>
      </c>
      <c r="J8697" t="str">
        <f>"9781409457558"</f>
        <v>9781409457558</v>
      </c>
      <c r="K8697" t="s">
        <v>12328</v>
      </c>
      <c r="L8697">
        <v>63</v>
      </c>
      <c r="O8697" t="s">
        <v>30</v>
      </c>
      <c r="P8697" t="s">
        <v>29</v>
      </c>
      <c r="Q8697" s="1">
        <v>42253.929085648146</v>
      </c>
      <c r="R8697">
        <v>7</v>
      </c>
      <c r="S8697" t="s">
        <v>31</v>
      </c>
      <c r="T8697" t="s">
        <v>3562</v>
      </c>
      <c r="U8697" t="s">
        <v>3563</v>
      </c>
      <c r="V8697" s="3">
        <v>41575</v>
      </c>
    </row>
    <row r="8698" spans="1:22" x14ac:dyDescent="0.35">
      <c r="A8698" s="1">
        <v>42254.874907407408</v>
      </c>
      <c r="B8698" s="2">
        <v>1.800925925925926E-2</v>
      </c>
      <c r="C8698" t="s">
        <v>106</v>
      </c>
      <c r="D8698" t="s">
        <v>23</v>
      </c>
      <c r="E8698" t="s">
        <v>24</v>
      </c>
      <c r="F8698" t="s">
        <v>486</v>
      </c>
      <c r="G8698">
        <v>1119505</v>
      </c>
      <c r="H8698" t="s">
        <v>26</v>
      </c>
      <c r="I8698" t="s">
        <v>450</v>
      </c>
      <c r="J8698" t="str">
        <f>"9781118355015"</f>
        <v>9781118355015</v>
      </c>
      <c r="K8698" t="s">
        <v>12329</v>
      </c>
      <c r="L8698">
        <v>8</v>
      </c>
      <c r="O8698" t="s">
        <v>30</v>
      </c>
      <c r="P8698" t="s">
        <v>29</v>
      </c>
      <c r="Q8698" s="1">
        <v>42250.739131944443</v>
      </c>
      <c r="R8698">
        <v>7</v>
      </c>
      <c r="S8698" t="s">
        <v>31</v>
      </c>
      <c r="T8698" t="s">
        <v>487</v>
      </c>
      <c r="U8698" t="s">
        <v>488</v>
      </c>
      <c r="V8698" s="3">
        <v>41302</v>
      </c>
    </row>
    <row r="8699" spans="1:22" x14ac:dyDescent="0.35">
      <c r="A8699" s="1">
        <v>42254.842002314814</v>
      </c>
      <c r="B8699" s="2">
        <v>9.0624999999999994E-3</v>
      </c>
      <c r="C8699" t="s">
        <v>106</v>
      </c>
      <c r="D8699" t="s">
        <v>23</v>
      </c>
      <c r="E8699" t="s">
        <v>24</v>
      </c>
      <c r="F8699" t="s">
        <v>486</v>
      </c>
      <c r="G8699">
        <v>1119505</v>
      </c>
      <c r="H8699" t="s">
        <v>26</v>
      </c>
      <c r="I8699" t="s">
        <v>450</v>
      </c>
      <c r="J8699" t="str">
        <f>"9781118355015"</f>
        <v>9781118355015</v>
      </c>
      <c r="K8699" t="s">
        <v>12330</v>
      </c>
      <c r="L8699">
        <v>8</v>
      </c>
      <c r="O8699" t="s">
        <v>30</v>
      </c>
      <c r="P8699" t="s">
        <v>29</v>
      </c>
      <c r="Q8699" s="1">
        <v>42250.739131944443</v>
      </c>
      <c r="R8699">
        <v>7</v>
      </c>
      <c r="S8699" t="s">
        <v>31</v>
      </c>
      <c r="T8699" t="s">
        <v>487</v>
      </c>
      <c r="U8699" t="s">
        <v>488</v>
      </c>
      <c r="V8699" s="3">
        <v>41302</v>
      </c>
    </row>
    <row r="8700" spans="1:22" x14ac:dyDescent="0.35">
      <c r="A8700" s="1">
        <v>42254.834803240738</v>
      </c>
      <c r="B8700" s="2">
        <v>0.12840277777777778</v>
      </c>
      <c r="C8700" t="s">
        <v>7408</v>
      </c>
      <c r="D8700" t="s">
        <v>23</v>
      </c>
      <c r="E8700" t="s">
        <v>24</v>
      </c>
      <c r="F8700" t="s">
        <v>486</v>
      </c>
      <c r="G8700">
        <v>1119505</v>
      </c>
      <c r="H8700" t="s">
        <v>26</v>
      </c>
      <c r="I8700" t="s">
        <v>450</v>
      </c>
      <c r="J8700" t="str">
        <f>"9781118355015"</f>
        <v>9781118355015</v>
      </c>
      <c r="K8700" t="s">
        <v>12331</v>
      </c>
      <c r="L8700">
        <v>37</v>
      </c>
      <c r="O8700" t="s">
        <v>30</v>
      </c>
      <c r="P8700" t="s">
        <v>29</v>
      </c>
      <c r="Q8700" s="1">
        <v>42251.867731481485</v>
      </c>
      <c r="R8700">
        <v>7</v>
      </c>
      <c r="S8700" t="s">
        <v>31</v>
      </c>
      <c r="T8700" t="s">
        <v>487</v>
      </c>
      <c r="U8700" t="s">
        <v>488</v>
      </c>
      <c r="V8700" s="3">
        <v>41302</v>
      </c>
    </row>
    <row r="8701" spans="1:22" x14ac:dyDescent="0.35">
      <c r="A8701" s="1">
        <v>42254.820925925924</v>
      </c>
      <c r="B8701" s="2">
        <v>3.4270833333333334E-2</v>
      </c>
      <c r="C8701" t="s">
        <v>4041</v>
      </c>
      <c r="D8701" t="s">
        <v>23</v>
      </c>
      <c r="E8701" t="s">
        <v>24</v>
      </c>
      <c r="F8701" t="s">
        <v>3060</v>
      </c>
      <c r="G8701">
        <v>1120279</v>
      </c>
      <c r="H8701" t="s">
        <v>26</v>
      </c>
      <c r="I8701" t="s">
        <v>3061</v>
      </c>
      <c r="J8701" t="str">
        <f>"9781118537671"</f>
        <v>9781118537671</v>
      </c>
      <c r="K8701" t="s">
        <v>12332</v>
      </c>
      <c r="L8701">
        <v>25</v>
      </c>
      <c r="O8701" t="s">
        <v>30</v>
      </c>
      <c r="P8701" t="s">
        <v>29</v>
      </c>
      <c r="Q8701" s="1">
        <v>42250.861516203702</v>
      </c>
      <c r="R8701">
        <v>7</v>
      </c>
      <c r="S8701" t="s">
        <v>31</v>
      </c>
      <c r="T8701" t="s">
        <v>3063</v>
      </c>
      <c r="U8701">
        <v>599.93499999999995</v>
      </c>
      <c r="V8701" s="3">
        <v>41232</v>
      </c>
    </row>
    <row r="8702" spans="1:22" x14ac:dyDescent="0.35">
      <c r="A8702" s="1">
        <v>42254.806342592594</v>
      </c>
      <c r="B8702" s="2">
        <v>7.8703703703703713E-3</v>
      </c>
      <c r="C8702" t="s">
        <v>4041</v>
      </c>
      <c r="D8702" t="s">
        <v>23</v>
      </c>
      <c r="E8702" t="s">
        <v>24</v>
      </c>
      <c r="F8702" t="s">
        <v>3060</v>
      </c>
      <c r="G8702">
        <v>1120279</v>
      </c>
      <c r="H8702" t="s">
        <v>26</v>
      </c>
      <c r="I8702" t="s">
        <v>3061</v>
      </c>
      <c r="J8702" t="str">
        <f>"9781118537671"</f>
        <v>9781118537671</v>
      </c>
      <c r="K8702" t="s">
        <v>33</v>
      </c>
      <c r="L8702">
        <v>3</v>
      </c>
      <c r="O8702" t="s">
        <v>30</v>
      </c>
      <c r="P8702" t="s">
        <v>29</v>
      </c>
      <c r="Q8702" s="1">
        <v>42250.861516203702</v>
      </c>
      <c r="R8702">
        <v>7</v>
      </c>
      <c r="S8702" t="s">
        <v>31</v>
      </c>
      <c r="T8702" t="s">
        <v>3063</v>
      </c>
      <c r="U8702">
        <v>599.93499999999995</v>
      </c>
      <c r="V8702" s="3">
        <v>41232</v>
      </c>
    </row>
    <row r="8703" spans="1:22" x14ac:dyDescent="0.35">
      <c r="A8703" s="1">
        <v>42254.792824074073</v>
      </c>
      <c r="B8703" s="2">
        <v>7.4884259259259262E-3</v>
      </c>
      <c r="C8703" t="s">
        <v>7408</v>
      </c>
      <c r="D8703" t="s">
        <v>23</v>
      </c>
      <c r="E8703" t="s">
        <v>24</v>
      </c>
      <c r="F8703" t="s">
        <v>486</v>
      </c>
      <c r="G8703">
        <v>1119505</v>
      </c>
      <c r="H8703" t="s">
        <v>26</v>
      </c>
      <c r="I8703" t="s">
        <v>450</v>
      </c>
      <c r="J8703" t="str">
        <f>"9781118355015"</f>
        <v>9781118355015</v>
      </c>
      <c r="K8703" t="s">
        <v>12333</v>
      </c>
      <c r="L8703">
        <v>38</v>
      </c>
      <c r="O8703" t="s">
        <v>30</v>
      </c>
      <c r="P8703" t="s">
        <v>29</v>
      </c>
      <c r="Q8703" s="1">
        <v>42251.867731481485</v>
      </c>
      <c r="R8703">
        <v>7</v>
      </c>
      <c r="S8703" t="s">
        <v>31</v>
      </c>
      <c r="T8703" t="s">
        <v>487</v>
      </c>
      <c r="U8703" t="s">
        <v>488</v>
      </c>
      <c r="V8703" s="3">
        <v>41302</v>
      </c>
    </row>
    <row r="8704" spans="1:22" x14ac:dyDescent="0.35">
      <c r="A8704" s="1">
        <v>42254.780324074076</v>
      </c>
      <c r="B8704" s="2">
        <v>1.2731481481481481E-2</v>
      </c>
      <c r="C8704" t="s">
        <v>12063</v>
      </c>
      <c r="D8704" t="s">
        <v>23</v>
      </c>
      <c r="E8704" t="s">
        <v>24</v>
      </c>
      <c r="F8704" t="s">
        <v>8960</v>
      </c>
      <c r="G8704">
        <v>1220625</v>
      </c>
      <c r="H8704" t="s">
        <v>613</v>
      </c>
      <c r="I8704" t="s">
        <v>328</v>
      </c>
      <c r="J8704" t="str">
        <f>"9781469612751"</f>
        <v>9781469612751</v>
      </c>
      <c r="K8704" t="s">
        <v>12334</v>
      </c>
      <c r="L8704">
        <v>9</v>
      </c>
      <c r="O8704" t="s">
        <v>30</v>
      </c>
      <c r="P8704" t="s">
        <v>47</v>
      </c>
      <c r="Q8704" s="1">
        <v>42254.780324074076</v>
      </c>
      <c r="R8704">
        <v>1</v>
      </c>
      <c r="S8704" t="s">
        <v>31</v>
      </c>
      <c r="T8704" t="s">
        <v>8962</v>
      </c>
      <c r="U8704">
        <v>362.1</v>
      </c>
      <c r="V8704" s="3">
        <v>41487</v>
      </c>
    </row>
    <row r="8705" spans="1:22" x14ac:dyDescent="0.35">
      <c r="A8705" s="1">
        <v>42254.774108796293</v>
      </c>
      <c r="B8705" s="2">
        <v>6.215277777777777E-3</v>
      </c>
      <c r="C8705" t="s">
        <v>12063</v>
      </c>
      <c r="D8705" t="s">
        <v>23</v>
      </c>
      <c r="E8705" t="s">
        <v>24</v>
      </c>
      <c r="F8705" t="s">
        <v>8960</v>
      </c>
      <c r="G8705">
        <v>1220625</v>
      </c>
      <c r="H8705" t="s">
        <v>613</v>
      </c>
      <c r="I8705" t="s">
        <v>328</v>
      </c>
      <c r="J8705" t="str">
        <f>"9781469612751"</f>
        <v>9781469612751</v>
      </c>
      <c r="K8705" t="s">
        <v>12335</v>
      </c>
      <c r="L8705">
        <v>22</v>
      </c>
      <c r="O8705" t="s">
        <v>30</v>
      </c>
      <c r="P8705" t="s">
        <v>50</v>
      </c>
      <c r="S8705" t="s">
        <v>31</v>
      </c>
      <c r="T8705" t="s">
        <v>8962</v>
      </c>
      <c r="U8705">
        <v>362.1</v>
      </c>
      <c r="V8705" s="3">
        <v>41487</v>
      </c>
    </row>
    <row r="8706" spans="1:22" x14ac:dyDescent="0.35">
      <c r="A8706" s="1">
        <v>42254.754236111112</v>
      </c>
      <c r="B8706" s="2">
        <v>5.9027777777777778E-4</v>
      </c>
      <c r="C8706" t="s">
        <v>12336</v>
      </c>
      <c r="D8706" t="s">
        <v>23</v>
      </c>
      <c r="E8706" t="s">
        <v>24</v>
      </c>
      <c r="F8706" t="s">
        <v>12337</v>
      </c>
      <c r="G8706">
        <v>1711851</v>
      </c>
      <c r="H8706" t="s">
        <v>45</v>
      </c>
      <c r="I8706" t="s">
        <v>9071</v>
      </c>
      <c r="J8706" t="str">
        <f>"9781848221598"</f>
        <v>9781848221598</v>
      </c>
      <c r="K8706" t="s">
        <v>12338</v>
      </c>
      <c r="L8706">
        <v>41</v>
      </c>
      <c r="O8706" t="s">
        <v>30</v>
      </c>
      <c r="P8706" t="s">
        <v>50</v>
      </c>
      <c r="S8706" t="s">
        <v>31</v>
      </c>
      <c r="T8706" t="s">
        <v>12339</v>
      </c>
      <c r="U8706">
        <v>381.45699999999999</v>
      </c>
      <c r="V8706" s="3">
        <v>41879</v>
      </c>
    </row>
    <row r="8707" spans="1:22" x14ac:dyDescent="0.35">
      <c r="A8707" s="1">
        <v>42254.7497337963</v>
      </c>
      <c r="B8707" s="2">
        <v>4.9733796296296297E-2</v>
      </c>
      <c r="C8707" t="s">
        <v>106</v>
      </c>
      <c r="D8707" t="s">
        <v>23</v>
      </c>
      <c r="E8707" t="s">
        <v>24</v>
      </c>
      <c r="F8707" t="s">
        <v>486</v>
      </c>
      <c r="G8707">
        <v>1119505</v>
      </c>
      <c r="H8707" t="s">
        <v>26</v>
      </c>
      <c r="I8707" t="s">
        <v>450</v>
      </c>
      <c r="J8707" t="str">
        <f>"9781118355015"</f>
        <v>9781118355015</v>
      </c>
      <c r="K8707" t="s">
        <v>12340</v>
      </c>
      <c r="L8707">
        <v>13</v>
      </c>
      <c r="O8707" t="s">
        <v>30</v>
      </c>
      <c r="P8707" t="s">
        <v>29</v>
      </c>
      <c r="Q8707" s="1">
        <v>42250.739131944443</v>
      </c>
      <c r="R8707">
        <v>7</v>
      </c>
      <c r="S8707" t="s">
        <v>31</v>
      </c>
      <c r="T8707" t="s">
        <v>487</v>
      </c>
      <c r="U8707" t="s">
        <v>488</v>
      </c>
      <c r="V8707" s="3">
        <v>41302</v>
      </c>
    </row>
    <row r="8708" spans="1:22" x14ac:dyDescent="0.35">
      <c r="A8708" s="1">
        <v>42254.742372685185</v>
      </c>
      <c r="B8708" s="2">
        <v>1.2152777777777778E-3</v>
      </c>
      <c r="C8708" t="s">
        <v>6390</v>
      </c>
      <c r="D8708" t="s">
        <v>23</v>
      </c>
      <c r="E8708" t="s">
        <v>24</v>
      </c>
      <c r="F8708" t="s">
        <v>486</v>
      </c>
      <c r="G8708">
        <v>1119505</v>
      </c>
      <c r="H8708" t="s">
        <v>26</v>
      </c>
      <c r="I8708" t="s">
        <v>450</v>
      </c>
      <c r="J8708" t="str">
        <f>"9781118355015"</f>
        <v>9781118355015</v>
      </c>
      <c r="K8708" t="s">
        <v>105</v>
      </c>
      <c r="L8708">
        <v>1</v>
      </c>
      <c r="O8708" t="s">
        <v>28</v>
      </c>
      <c r="P8708" t="s">
        <v>29</v>
      </c>
      <c r="Q8708" s="1">
        <v>42250.575868055559</v>
      </c>
      <c r="R8708">
        <v>7</v>
      </c>
      <c r="S8708" t="s">
        <v>31</v>
      </c>
      <c r="T8708" t="s">
        <v>487</v>
      </c>
      <c r="U8708" t="s">
        <v>488</v>
      </c>
      <c r="V8708" s="3">
        <v>41302</v>
      </c>
    </row>
    <row r="8709" spans="1:22" x14ac:dyDescent="0.35">
      <c r="A8709" s="1">
        <v>42254.741782407407</v>
      </c>
      <c r="B8709" s="2">
        <v>6.9444444444444444E-5</v>
      </c>
      <c r="C8709" t="s">
        <v>6390</v>
      </c>
      <c r="D8709" t="s">
        <v>23</v>
      </c>
      <c r="E8709" t="s">
        <v>24</v>
      </c>
      <c r="F8709" t="s">
        <v>486</v>
      </c>
      <c r="G8709">
        <v>1119505</v>
      </c>
      <c r="H8709" t="s">
        <v>26</v>
      </c>
      <c r="I8709" t="s">
        <v>450</v>
      </c>
      <c r="J8709" t="str">
        <f>"9781118355015"</f>
        <v>9781118355015</v>
      </c>
      <c r="K8709" t="s">
        <v>33</v>
      </c>
      <c r="L8709">
        <v>3</v>
      </c>
      <c r="O8709" t="s">
        <v>30</v>
      </c>
      <c r="P8709" t="s">
        <v>29</v>
      </c>
      <c r="Q8709" s="1">
        <v>42250.575868055559</v>
      </c>
      <c r="R8709">
        <v>7</v>
      </c>
      <c r="S8709" t="s">
        <v>31</v>
      </c>
      <c r="T8709" t="s">
        <v>487</v>
      </c>
      <c r="U8709" t="s">
        <v>488</v>
      </c>
      <c r="V8709" s="3">
        <v>41302</v>
      </c>
    </row>
    <row r="8710" spans="1:22" x14ac:dyDescent="0.35">
      <c r="A8710" s="1">
        <v>42254.74046296296</v>
      </c>
      <c r="B8710" s="2">
        <v>7.6504629629629631E-3</v>
      </c>
      <c r="C8710" t="s">
        <v>4041</v>
      </c>
      <c r="D8710" t="s">
        <v>23</v>
      </c>
      <c r="E8710" t="s">
        <v>24</v>
      </c>
      <c r="F8710" t="s">
        <v>3060</v>
      </c>
      <c r="G8710">
        <v>1120279</v>
      </c>
      <c r="H8710" t="s">
        <v>26</v>
      </c>
      <c r="I8710" t="s">
        <v>3061</v>
      </c>
      <c r="J8710" t="str">
        <f>"9781118537671"</f>
        <v>9781118537671</v>
      </c>
      <c r="K8710" t="s">
        <v>12341</v>
      </c>
      <c r="L8710">
        <v>21</v>
      </c>
      <c r="O8710" t="s">
        <v>30</v>
      </c>
      <c r="P8710" t="s">
        <v>29</v>
      </c>
      <c r="Q8710" s="1">
        <v>42250.861516203702</v>
      </c>
      <c r="R8710">
        <v>7</v>
      </c>
      <c r="S8710" t="s">
        <v>31</v>
      </c>
      <c r="T8710" t="s">
        <v>3063</v>
      </c>
      <c r="U8710">
        <v>599.93499999999995</v>
      </c>
      <c r="V8710" s="3">
        <v>41232</v>
      </c>
    </row>
    <row r="8711" spans="1:22" x14ac:dyDescent="0.35">
      <c r="A8711" s="1">
        <v>42254.729571759257</v>
      </c>
      <c r="B8711" s="2">
        <v>3.5879629629629635E-4</v>
      </c>
      <c r="C8711" t="s">
        <v>12342</v>
      </c>
      <c r="D8711" t="s">
        <v>35</v>
      </c>
      <c r="E8711" t="s">
        <v>36</v>
      </c>
      <c r="F8711" t="s">
        <v>226</v>
      </c>
      <c r="G8711">
        <v>817313</v>
      </c>
      <c r="H8711" t="s">
        <v>26</v>
      </c>
      <c r="I8711" t="s">
        <v>69</v>
      </c>
      <c r="J8711" t="str">
        <f>"9781118136829"</f>
        <v>9781118136829</v>
      </c>
      <c r="K8711" t="s">
        <v>33</v>
      </c>
      <c r="L8711">
        <v>3</v>
      </c>
      <c r="O8711" t="s">
        <v>30</v>
      </c>
      <c r="P8711" t="s">
        <v>42</v>
      </c>
      <c r="S8711" t="s">
        <v>40</v>
      </c>
      <c r="T8711" t="s">
        <v>2311</v>
      </c>
      <c r="U8711">
        <v>378.16640000000001</v>
      </c>
      <c r="V8711" s="3">
        <v>40918</v>
      </c>
    </row>
    <row r="8712" spans="1:22" x14ac:dyDescent="0.35">
      <c r="A8712" s="1">
        <v>42254.713460648149</v>
      </c>
      <c r="B8712" s="2">
        <v>0</v>
      </c>
      <c r="C8712" t="s">
        <v>1626</v>
      </c>
      <c r="D8712" t="s">
        <v>35</v>
      </c>
      <c r="E8712" t="s">
        <v>36</v>
      </c>
      <c r="F8712" t="s">
        <v>12343</v>
      </c>
      <c r="G8712">
        <v>1763124</v>
      </c>
      <c r="H8712" t="s">
        <v>45</v>
      </c>
      <c r="I8712" t="s">
        <v>841</v>
      </c>
      <c r="J8712" t="str">
        <f>"9781409457503"</f>
        <v>9781409457503</v>
      </c>
      <c r="L8712">
        <v>0</v>
      </c>
      <c r="N8712" t="s">
        <v>12344</v>
      </c>
      <c r="O8712" t="s">
        <v>30</v>
      </c>
      <c r="P8712" t="s">
        <v>47</v>
      </c>
      <c r="Q8712" s="1">
        <v>42254.713460648149</v>
      </c>
      <c r="R8712">
        <v>1</v>
      </c>
      <c r="S8712" t="s">
        <v>40</v>
      </c>
      <c r="T8712" t="s">
        <v>12345</v>
      </c>
      <c r="U8712" t="s">
        <v>12346</v>
      </c>
      <c r="V8712" s="3">
        <v>41940</v>
      </c>
    </row>
    <row r="8713" spans="1:22" x14ac:dyDescent="0.35">
      <c r="A8713" s="1">
        <v>42254.713090277779</v>
      </c>
      <c r="B8713" s="2">
        <v>3.7037037037037035E-4</v>
      </c>
      <c r="C8713" t="s">
        <v>1626</v>
      </c>
      <c r="D8713" t="s">
        <v>35</v>
      </c>
      <c r="E8713" t="s">
        <v>36</v>
      </c>
      <c r="F8713" t="s">
        <v>12343</v>
      </c>
      <c r="G8713">
        <v>1763124</v>
      </c>
      <c r="H8713" t="s">
        <v>45</v>
      </c>
      <c r="I8713" t="s">
        <v>841</v>
      </c>
      <c r="J8713" t="str">
        <f>"9781409457503"</f>
        <v>9781409457503</v>
      </c>
      <c r="K8713" t="s">
        <v>12347</v>
      </c>
      <c r="L8713">
        <v>14</v>
      </c>
      <c r="O8713" t="s">
        <v>30</v>
      </c>
      <c r="P8713" t="s">
        <v>50</v>
      </c>
      <c r="S8713" t="s">
        <v>40</v>
      </c>
      <c r="T8713" t="s">
        <v>12345</v>
      </c>
      <c r="U8713" t="s">
        <v>12346</v>
      </c>
      <c r="V8713" s="3">
        <v>41940</v>
      </c>
    </row>
    <row r="8714" spans="1:22" x14ac:dyDescent="0.35">
      <c r="A8714" s="1">
        <v>42254.685671296298</v>
      </c>
      <c r="B8714" s="2">
        <v>5.0000000000000001E-3</v>
      </c>
      <c r="C8714" t="s">
        <v>12348</v>
      </c>
      <c r="D8714" t="s">
        <v>211</v>
      </c>
      <c r="E8714" t="s">
        <v>212</v>
      </c>
      <c r="F8714" t="s">
        <v>2433</v>
      </c>
      <c r="G8714">
        <v>1138225</v>
      </c>
      <c r="H8714" t="s">
        <v>26</v>
      </c>
      <c r="I8714" t="s">
        <v>297</v>
      </c>
      <c r="J8714" t="str">
        <f>"9781118548356"</f>
        <v>9781118548356</v>
      </c>
      <c r="K8714" t="s">
        <v>12349</v>
      </c>
      <c r="L8714">
        <v>13</v>
      </c>
      <c r="O8714" t="s">
        <v>30</v>
      </c>
      <c r="P8714" t="s">
        <v>29</v>
      </c>
      <c r="Q8714" s="1">
        <v>42254.685659722221</v>
      </c>
      <c r="R8714">
        <v>7</v>
      </c>
      <c r="S8714" t="s">
        <v>214</v>
      </c>
      <c r="T8714" t="s">
        <v>2436</v>
      </c>
      <c r="U8714">
        <v>519.53599999999994</v>
      </c>
      <c r="V8714" s="3">
        <v>41331</v>
      </c>
    </row>
    <row r="8715" spans="1:22" x14ac:dyDescent="0.35">
      <c r="A8715" s="1">
        <v>42254.678599537037</v>
      </c>
      <c r="B8715" s="2">
        <v>7.0601851851851841E-3</v>
      </c>
      <c r="C8715" t="s">
        <v>12348</v>
      </c>
      <c r="D8715" t="s">
        <v>211</v>
      </c>
      <c r="E8715" t="s">
        <v>212</v>
      </c>
      <c r="F8715" t="s">
        <v>2433</v>
      </c>
      <c r="G8715">
        <v>1138225</v>
      </c>
      <c r="H8715" t="s">
        <v>26</v>
      </c>
      <c r="I8715" t="s">
        <v>297</v>
      </c>
      <c r="J8715" t="str">
        <f>"9781118548356"</f>
        <v>9781118548356</v>
      </c>
      <c r="K8715" t="s">
        <v>12350</v>
      </c>
      <c r="L8715">
        <v>15</v>
      </c>
      <c r="O8715" t="s">
        <v>30</v>
      </c>
      <c r="P8715" t="s">
        <v>42</v>
      </c>
      <c r="S8715" t="s">
        <v>214</v>
      </c>
      <c r="T8715" t="s">
        <v>2436</v>
      </c>
      <c r="U8715">
        <v>519.53599999999994</v>
      </c>
      <c r="V8715" s="3">
        <v>41331</v>
      </c>
    </row>
    <row r="8716" spans="1:22" x14ac:dyDescent="0.35">
      <c r="A8716" s="1">
        <v>42254.671967592592</v>
      </c>
      <c r="B8716" s="2">
        <v>1.2152777777777778E-3</v>
      </c>
      <c r="C8716" t="s">
        <v>12351</v>
      </c>
      <c r="D8716" t="s">
        <v>2519</v>
      </c>
      <c r="E8716" t="s">
        <v>2520</v>
      </c>
      <c r="F8716" t="s">
        <v>12352</v>
      </c>
      <c r="G8716">
        <v>1711059</v>
      </c>
      <c r="H8716" t="s">
        <v>84</v>
      </c>
      <c r="I8716" t="s">
        <v>661</v>
      </c>
      <c r="J8716" t="str">
        <f>"9780520959330"</f>
        <v>9780520959330</v>
      </c>
      <c r="K8716" t="s">
        <v>12353</v>
      </c>
      <c r="L8716">
        <v>12</v>
      </c>
      <c r="O8716" t="s">
        <v>30</v>
      </c>
      <c r="P8716" t="s">
        <v>50</v>
      </c>
      <c r="S8716" t="s">
        <v>2523</v>
      </c>
      <c r="T8716" t="s">
        <v>12354</v>
      </c>
      <c r="U8716">
        <v>597</v>
      </c>
      <c r="V8716" s="3">
        <v>42014</v>
      </c>
    </row>
    <row r="8717" spans="1:22" x14ac:dyDescent="0.35">
      <c r="A8717" s="1">
        <v>42254.646608796298</v>
      </c>
      <c r="B8717" s="2">
        <v>2.4305555555555552E-4</v>
      </c>
      <c r="C8717" t="s">
        <v>12355</v>
      </c>
      <c r="D8717" t="s">
        <v>1222</v>
      </c>
      <c r="E8717" t="s">
        <v>1223</v>
      </c>
      <c r="F8717" t="s">
        <v>1571</v>
      </c>
      <c r="G8717">
        <v>1707328</v>
      </c>
      <c r="H8717" t="s">
        <v>84</v>
      </c>
      <c r="I8717" t="s">
        <v>150</v>
      </c>
      <c r="J8717" t="str">
        <f>"9780520958876"</f>
        <v>9780520958876</v>
      </c>
      <c r="K8717" t="s">
        <v>12356</v>
      </c>
      <c r="L8717">
        <v>8</v>
      </c>
      <c r="N8717" t="s">
        <v>12357</v>
      </c>
      <c r="O8717" t="s">
        <v>30</v>
      </c>
      <c r="P8717" t="s">
        <v>29</v>
      </c>
      <c r="Q8717" s="1">
        <v>42254.631631944445</v>
      </c>
      <c r="R8717">
        <v>7</v>
      </c>
      <c r="S8717" t="s">
        <v>1226</v>
      </c>
      <c r="T8717" t="s">
        <v>1573</v>
      </c>
      <c r="U8717">
        <v>780.90329999999994</v>
      </c>
      <c r="V8717" s="3">
        <v>41797</v>
      </c>
    </row>
    <row r="8718" spans="1:22" x14ac:dyDescent="0.35">
      <c r="A8718" s="1">
        <v>42254.643055555556</v>
      </c>
      <c r="B8718" s="2">
        <v>4.7453703703703704E-4</v>
      </c>
      <c r="C8718" t="s">
        <v>12355</v>
      </c>
      <c r="D8718" t="s">
        <v>1222</v>
      </c>
      <c r="E8718" t="s">
        <v>1223</v>
      </c>
      <c r="F8718" t="s">
        <v>1571</v>
      </c>
      <c r="G8718">
        <v>1707328</v>
      </c>
      <c r="H8718" t="s">
        <v>84</v>
      </c>
      <c r="I8718" t="s">
        <v>150</v>
      </c>
      <c r="J8718" t="str">
        <f>"9780520958876"</f>
        <v>9780520958876</v>
      </c>
      <c r="K8718" t="s">
        <v>12358</v>
      </c>
      <c r="L8718">
        <v>1</v>
      </c>
      <c r="O8718" t="s">
        <v>28</v>
      </c>
      <c r="P8718" t="s">
        <v>29</v>
      </c>
      <c r="Q8718" s="1">
        <v>42254.631631944445</v>
      </c>
      <c r="R8718">
        <v>7</v>
      </c>
      <c r="S8718" t="s">
        <v>1226</v>
      </c>
      <c r="T8718" t="s">
        <v>1573</v>
      </c>
      <c r="U8718">
        <v>780.90329999999994</v>
      </c>
      <c r="V8718" s="3">
        <v>41797</v>
      </c>
    </row>
    <row r="8719" spans="1:22" x14ac:dyDescent="0.35">
      <c r="A8719" s="1">
        <v>42254.634918981479</v>
      </c>
      <c r="B8719" s="2">
        <v>4.0393518518518521E-3</v>
      </c>
      <c r="C8719" t="s">
        <v>106</v>
      </c>
      <c r="D8719" t="s">
        <v>23</v>
      </c>
      <c r="E8719" t="s">
        <v>24</v>
      </c>
      <c r="F8719" t="s">
        <v>1051</v>
      </c>
      <c r="G8719">
        <v>821663</v>
      </c>
      <c r="H8719" t="s">
        <v>26</v>
      </c>
      <c r="I8719" t="s">
        <v>200</v>
      </c>
      <c r="J8719" t="str">
        <f>"9781118168479"</f>
        <v>9781118168479</v>
      </c>
      <c r="K8719" t="s">
        <v>9384</v>
      </c>
      <c r="L8719">
        <v>10</v>
      </c>
      <c r="O8719" t="s">
        <v>30</v>
      </c>
      <c r="P8719" t="s">
        <v>29</v>
      </c>
      <c r="Q8719" s="1">
        <v>42248.619155092594</v>
      </c>
      <c r="R8719">
        <v>7</v>
      </c>
      <c r="S8719" t="s">
        <v>31</v>
      </c>
      <c r="T8719" t="s">
        <v>1053</v>
      </c>
      <c r="U8719">
        <v>729</v>
      </c>
      <c r="V8719" s="3">
        <v>40973</v>
      </c>
    </row>
    <row r="8720" spans="1:22" x14ac:dyDescent="0.35">
      <c r="A8720" s="1">
        <v>42254.631631944445</v>
      </c>
      <c r="B8720" s="2">
        <v>1.1157407407407408E-2</v>
      </c>
      <c r="C8720" t="s">
        <v>12355</v>
      </c>
      <c r="D8720" t="s">
        <v>1222</v>
      </c>
      <c r="E8720" t="s">
        <v>1223</v>
      </c>
      <c r="F8720" t="s">
        <v>1571</v>
      </c>
      <c r="G8720">
        <v>1707328</v>
      </c>
      <c r="H8720" t="s">
        <v>84</v>
      </c>
      <c r="I8720" t="s">
        <v>150</v>
      </c>
      <c r="J8720" t="str">
        <f>"9780520958876"</f>
        <v>9780520958876</v>
      </c>
      <c r="K8720" t="s">
        <v>12359</v>
      </c>
      <c r="L8720">
        <v>14</v>
      </c>
      <c r="O8720" t="s">
        <v>30</v>
      </c>
      <c r="P8720" t="s">
        <v>29</v>
      </c>
      <c r="Q8720" s="1">
        <v>42254.631631944445</v>
      </c>
      <c r="R8720">
        <v>7</v>
      </c>
      <c r="S8720" t="s">
        <v>1226</v>
      </c>
      <c r="T8720" t="s">
        <v>1573</v>
      </c>
      <c r="U8720">
        <v>780.90329999999994</v>
      </c>
      <c r="V8720" s="3">
        <v>41797</v>
      </c>
    </row>
    <row r="8721" spans="1:22" x14ac:dyDescent="0.35">
      <c r="A8721" s="1">
        <v>42254.62909722222</v>
      </c>
      <c r="B8721" s="2">
        <v>2.5347222222222221E-3</v>
      </c>
      <c r="C8721" t="s">
        <v>12355</v>
      </c>
      <c r="D8721" t="s">
        <v>1222</v>
      </c>
      <c r="E8721" t="s">
        <v>1223</v>
      </c>
      <c r="F8721" t="s">
        <v>1571</v>
      </c>
      <c r="G8721">
        <v>1707328</v>
      </c>
      <c r="H8721" t="s">
        <v>84</v>
      </c>
      <c r="I8721" t="s">
        <v>150</v>
      </c>
      <c r="J8721" t="str">
        <f>"9780520958876"</f>
        <v>9780520958876</v>
      </c>
      <c r="K8721" t="s">
        <v>12360</v>
      </c>
      <c r="L8721">
        <v>9</v>
      </c>
      <c r="O8721" t="s">
        <v>30</v>
      </c>
      <c r="P8721" t="s">
        <v>50</v>
      </c>
      <c r="S8721" t="s">
        <v>1226</v>
      </c>
      <c r="T8721" t="s">
        <v>1573</v>
      </c>
      <c r="U8721">
        <v>780.90329999999994</v>
      </c>
      <c r="V8721" s="3">
        <v>41797</v>
      </c>
    </row>
    <row r="8722" spans="1:22" x14ac:dyDescent="0.35">
      <c r="A8722" s="1">
        <v>42254.606064814812</v>
      </c>
      <c r="B8722" s="2">
        <v>5.3356481481481477E-2</v>
      </c>
      <c r="C8722" t="s">
        <v>12361</v>
      </c>
      <c r="D8722" t="s">
        <v>1222</v>
      </c>
      <c r="E8722" t="s">
        <v>1223</v>
      </c>
      <c r="F8722" t="s">
        <v>1571</v>
      </c>
      <c r="G8722">
        <v>1707328</v>
      </c>
      <c r="H8722" t="s">
        <v>84</v>
      </c>
      <c r="I8722" t="s">
        <v>150</v>
      </c>
      <c r="J8722" t="str">
        <f>"9780520958876"</f>
        <v>9780520958876</v>
      </c>
      <c r="K8722" t="s">
        <v>12362</v>
      </c>
      <c r="L8722">
        <v>65</v>
      </c>
      <c r="O8722" t="s">
        <v>30</v>
      </c>
      <c r="P8722" t="s">
        <v>47</v>
      </c>
      <c r="Q8722" s="1">
        <v>42253.679039351853</v>
      </c>
      <c r="R8722">
        <v>7</v>
      </c>
      <c r="S8722" t="s">
        <v>1226</v>
      </c>
      <c r="T8722" t="s">
        <v>1573</v>
      </c>
      <c r="U8722">
        <v>780.90329999999994</v>
      </c>
      <c r="V8722" s="3">
        <v>41797</v>
      </c>
    </row>
    <row r="8723" spans="1:22" x14ac:dyDescent="0.35">
      <c r="A8723" s="1">
        <v>42254.546724537038</v>
      </c>
      <c r="B8723" s="2">
        <v>2.3298611111111107E-2</v>
      </c>
      <c r="C8723" t="s">
        <v>5271</v>
      </c>
      <c r="D8723" t="s">
        <v>23</v>
      </c>
      <c r="E8723" t="s">
        <v>24</v>
      </c>
      <c r="F8723" t="s">
        <v>1051</v>
      </c>
      <c r="G8723">
        <v>821663</v>
      </c>
      <c r="H8723" t="s">
        <v>26</v>
      </c>
      <c r="I8723" t="s">
        <v>200</v>
      </c>
      <c r="J8723" t="str">
        <f>"9781118168479"</f>
        <v>9781118168479</v>
      </c>
      <c r="K8723" t="s">
        <v>12363</v>
      </c>
      <c r="L8723">
        <v>20</v>
      </c>
      <c r="O8723" t="s">
        <v>30</v>
      </c>
      <c r="P8723" t="s">
        <v>29</v>
      </c>
      <c r="Q8723" s="1">
        <v>42248.653900462959</v>
      </c>
      <c r="R8723">
        <v>7</v>
      </c>
      <c r="S8723" t="s">
        <v>31</v>
      </c>
      <c r="T8723" t="s">
        <v>1053</v>
      </c>
      <c r="U8723">
        <v>729</v>
      </c>
      <c r="V8723" s="3">
        <v>40973</v>
      </c>
    </row>
    <row r="8724" spans="1:22" x14ac:dyDescent="0.35">
      <c r="A8724" s="1">
        <v>42254.173078703701</v>
      </c>
      <c r="B8724" s="2">
        <v>1.1458333333333333E-3</v>
      </c>
      <c r="C8724" t="s">
        <v>3558</v>
      </c>
      <c r="D8724" t="s">
        <v>23</v>
      </c>
      <c r="E8724" t="s">
        <v>24</v>
      </c>
      <c r="F8724" t="s">
        <v>3559</v>
      </c>
      <c r="G8724">
        <v>1217954</v>
      </c>
      <c r="H8724" t="s">
        <v>45</v>
      </c>
      <c r="I8724" t="s">
        <v>3560</v>
      </c>
      <c r="J8724" t="str">
        <f>"9781409457558"</f>
        <v>9781409457558</v>
      </c>
      <c r="K8724" t="s">
        <v>12364</v>
      </c>
      <c r="L8724">
        <v>16</v>
      </c>
      <c r="O8724" t="s">
        <v>30</v>
      </c>
      <c r="P8724" t="s">
        <v>29</v>
      </c>
      <c r="Q8724" s="1">
        <v>42254.173078703701</v>
      </c>
      <c r="R8724">
        <v>7</v>
      </c>
      <c r="S8724" t="s">
        <v>31</v>
      </c>
      <c r="T8724" t="s">
        <v>3562</v>
      </c>
      <c r="U8724" t="s">
        <v>3563</v>
      </c>
      <c r="V8724" s="3">
        <v>41575</v>
      </c>
    </row>
    <row r="8725" spans="1:22" x14ac:dyDescent="0.35">
      <c r="A8725" s="1">
        <v>42254.170914351853</v>
      </c>
      <c r="B8725" s="2">
        <v>2.1643518518518518E-3</v>
      </c>
      <c r="C8725" t="s">
        <v>3558</v>
      </c>
      <c r="D8725" t="s">
        <v>23</v>
      </c>
      <c r="E8725" t="s">
        <v>24</v>
      </c>
      <c r="F8725" t="s">
        <v>3559</v>
      </c>
      <c r="G8725">
        <v>1217954</v>
      </c>
      <c r="H8725" t="s">
        <v>45</v>
      </c>
      <c r="I8725" t="s">
        <v>3560</v>
      </c>
      <c r="J8725" t="str">
        <f>"9781409457558"</f>
        <v>9781409457558</v>
      </c>
      <c r="K8725" t="s">
        <v>12365</v>
      </c>
      <c r="L8725">
        <v>8</v>
      </c>
      <c r="O8725" t="s">
        <v>30</v>
      </c>
      <c r="P8725" t="s">
        <v>42</v>
      </c>
      <c r="S8725" t="s">
        <v>31</v>
      </c>
      <c r="T8725" t="s">
        <v>3562</v>
      </c>
      <c r="U8725" t="s">
        <v>3563</v>
      </c>
      <c r="V8725" s="3">
        <v>41575</v>
      </c>
    </row>
    <row r="8726" spans="1:22" x14ac:dyDescent="0.35">
      <c r="A8726" s="1">
        <v>42254.127430555556</v>
      </c>
      <c r="B8726" s="2">
        <v>6.9444444444444441E-3</v>
      </c>
      <c r="C8726" t="s">
        <v>5271</v>
      </c>
      <c r="D8726" t="s">
        <v>23</v>
      </c>
      <c r="E8726" t="s">
        <v>24</v>
      </c>
      <c r="F8726" t="s">
        <v>1051</v>
      </c>
      <c r="G8726">
        <v>821663</v>
      </c>
      <c r="H8726" t="s">
        <v>26</v>
      </c>
      <c r="I8726" t="s">
        <v>200</v>
      </c>
      <c r="J8726" t="str">
        <f>"9781118168479"</f>
        <v>9781118168479</v>
      </c>
      <c r="K8726" t="s">
        <v>12366</v>
      </c>
      <c r="L8726">
        <v>22</v>
      </c>
      <c r="O8726" t="s">
        <v>30</v>
      </c>
      <c r="P8726" t="s">
        <v>29</v>
      </c>
      <c r="Q8726" s="1">
        <v>42248.653900462959</v>
      </c>
      <c r="R8726">
        <v>7</v>
      </c>
      <c r="S8726" t="s">
        <v>31</v>
      </c>
      <c r="T8726" t="s">
        <v>1053</v>
      </c>
      <c r="U8726">
        <v>729</v>
      </c>
      <c r="V8726" s="3">
        <v>40973</v>
      </c>
    </row>
    <row r="8727" spans="1:22" x14ac:dyDescent="0.35">
      <c r="A8727" s="1">
        <v>42254.122453703705</v>
      </c>
      <c r="B8727" s="2">
        <v>6.6666666666666671E-3</v>
      </c>
      <c r="C8727" t="s">
        <v>3558</v>
      </c>
      <c r="D8727" t="s">
        <v>23</v>
      </c>
      <c r="E8727" t="s">
        <v>24</v>
      </c>
      <c r="F8727" t="s">
        <v>3559</v>
      </c>
      <c r="G8727">
        <v>1217954</v>
      </c>
      <c r="H8727" t="s">
        <v>45</v>
      </c>
      <c r="I8727" t="s">
        <v>3560</v>
      </c>
      <c r="J8727" t="str">
        <f>"9781409457558"</f>
        <v>9781409457558</v>
      </c>
      <c r="K8727" t="s">
        <v>12367</v>
      </c>
      <c r="L8727">
        <v>19</v>
      </c>
      <c r="O8727" t="s">
        <v>30</v>
      </c>
      <c r="P8727" t="s">
        <v>42</v>
      </c>
      <c r="S8727" t="s">
        <v>31</v>
      </c>
      <c r="T8727" t="s">
        <v>3562</v>
      </c>
      <c r="U8727" t="s">
        <v>3563</v>
      </c>
      <c r="V8727" s="3">
        <v>41575</v>
      </c>
    </row>
    <row r="8728" spans="1:22" x14ac:dyDescent="0.35">
      <c r="A8728" s="1">
        <v>42254.118171296293</v>
      </c>
      <c r="B8728" s="2">
        <v>4.614583333333333E-2</v>
      </c>
      <c r="C8728" t="s">
        <v>4205</v>
      </c>
      <c r="D8728" t="s">
        <v>597</v>
      </c>
      <c r="E8728" t="s">
        <v>598</v>
      </c>
      <c r="F8728" t="s">
        <v>111</v>
      </c>
      <c r="G8728">
        <v>693176</v>
      </c>
      <c r="H8728" t="s">
        <v>26</v>
      </c>
      <c r="I8728" t="s">
        <v>112</v>
      </c>
      <c r="J8728" t="str">
        <f>"9781118017746"</f>
        <v>9781118017746</v>
      </c>
      <c r="K8728" t="s">
        <v>12368</v>
      </c>
      <c r="L8728">
        <v>34</v>
      </c>
      <c r="O8728" t="s">
        <v>30</v>
      </c>
      <c r="P8728" t="s">
        <v>29</v>
      </c>
      <c r="Q8728" s="1">
        <v>42248.703368055554</v>
      </c>
      <c r="R8728">
        <v>7</v>
      </c>
      <c r="S8728" t="s">
        <v>600</v>
      </c>
      <c r="T8728" t="s">
        <v>114</v>
      </c>
      <c r="U8728" t="s">
        <v>115</v>
      </c>
      <c r="V8728" s="3">
        <v>40835</v>
      </c>
    </row>
    <row r="8729" spans="1:22" x14ac:dyDescent="0.35">
      <c r="A8729" s="1">
        <v>42254.043437499997</v>
      </c>
      <c r="B8729" s="2">
        <v>2.2569444444444447E-3</v>
      </c>
      <c r="C8729" t="s">
        <v>12369</v>
      </c>
      <c r="D8729" t="s">
        <v>335</v>
      </c>
      <c r="E8729" t="s">
        <v>336</v>
      </c>
      <c r="F8729" t="s">
        <v>4184</v>
      </c>
      <c r="G8729">
        <v>800610</v>
      </c>
      <c r="H8729" t="s">
        <v>91</v>
      </c>
      <c r="I8729" t="s">
        <v>247</v>
      </c>
      <c r="J8729" t="str">
        <f>"9781609186951"</f>
        <v>9781609186951</v>
      </c>
      <c r="K8729" t="s">
        <v>12370</v>
      </c>
      <c r="L8729">
        <v>65</v>
      </c>
      <c r="O8729" t="s">
        <v>30</v>
      </c>
      <c r="P8729" t="s">
        <v>42</v>
      </c>
      <c r="S8729" t="s">
        <v>340</v>
      </c>
      <c r="T8729" t="s">
        <v>4187</v>
      </c>
      <c r="U8729">
        <v>616.89499999999998</v>
      </c>
      <c r="V8729" s="3">
        <v>40856</v>
      </c>
    </row>
    <row r="8730" spans="1:22" x14ac:dyDescent="0.35">
      <c r="A8730" s="1">
        <v>42253.929085648146</v>
      </c>
      <c r="B8730" s="2">
        <v>4.8495370370370368E-3</v>
      </c>
      <c r="C8730" t="s">
        <v>106</v>
      </c>
      <c r="D8730" t="s">
        <v>23</v>
      </c>
      <c r="E8730" t="s">
        <v>24</v>
      </c>
      <c r="F8730" t="s">
        <v>3559</v>
      </c>
      <c r="G8730">
        <v>1217954</v>
      </c>
      <c r="H8730" t="s">
        <v>45</v>
      </c>
      <c r="I8730" t="s">
        <v>3560</v>
      </c>
      <c r="J8730" t="str">
        <f>"9781409457558"</f>
        <v>9781409457558</v>
      </c>
      <c r="K8730" t="s">
        <v>10965</v>
      </c>
      <c r="L8730">
        <v>2</v>
      </c>
      <c r="O8730" t="s">
        <v>30</v>
      </c>
      <c r="P8730" t="s">
        <v>29</v>
      </c>
      <c r="Q8730" s="1">
        <v>42253.929085648146</v>
      </c>
      <c r="R8730">
        <v>7</v>
      </c>
      <c r="S8730" t="s">
        <v>31</v>
      </c>
      <c r="T8730" t="s">
        <v>3562</v>
      </c>
      <c r="U8730" t="s">
        <v>3563</v>
      </c>
      <c r="V8730" s="3">
        <v>41575</v>
      </c>
    </row>
    <row r="8731" spans="1:22" x14ac:dyDescent="0.35">
      <c r="A8731" s="1">
        <v>42253.922997685186</v>
      </c>
      <c r="B8731" s="2">
        <v>2.1782407407407407E-2</v>
      </c>
      <c r="C8731" t="s">
        <v>5411</v>
      </c>
      <c r="D8731" t="s">
        <v>23</v>
      </c>
      <c r="E8731" t="s">
        <v>24</v>
      </c>
      <c r="F8731" t="s">
        <v>1051</v>
      </c>
      <c r="G8731">
        <v>821663</v>
      </c>
      <c r="H8731" t="s">
        <v>26</v>
      </c>
      <c r="I8731" t="s">
        <v>200</v>
      </c>
      <c r="J8731" t="str">
        <f>"9781118168479"</f>
        <v>9781118168479</v>
      </c>
      <c r="K8731" t="s">
        <v>12371</v>
      </c>
      <c r="L8731">
        <v>13</v>
      </c>
      <c r="O8731" t="s">
        <v>30</v>
      </c>
      <c r="P8731" t="s">
        <v>29</v>
      </c>
      <c r="Q8731" s="1">
        <v>42253.814930555556</v>
      </c>
      <c r="R8731">
        <v>7</v>
      </c>
      <c r="S8731" t="s">
        <v>31</v>
      </c>
      <c r="T8731" t="s">
        <v>1053</v>
      </c>
      <c r="U8731">
        <v>729</v>
      </c>
      <c r="V8731" s="3">
        <v>40973</v>
      </c>
    </row>
    <row r="8732" spans="1:22" x14ac:dyDescent="0.35">
      <c r="A8732" s="1">
        <v>42253.912488425929</v>
      </c>
      <c r="B8732" s="2">
        <v>5.9027777777777778E-4</v>
      </c>
      <c r="C8732" t="s">
        <v>106</v>
      </c>
      <c r="D8732" t="s">
        <v>23</v>
      </c>
      <c r="E8732" t="s">
        <v>24</v>
      </c>
      <c r="F8732" t="s">
        <v>486</v>
      </c>
      <c r="G8732">
        <v>1119505</v>
      </c>
      <c r="H8732" t="s">
        <v>26</v>
      </c>
      <c r="I8732" t="s">
        <v>450</v>
      </c>
      <c r="J8732" t="str">
        <f>"9781118355015"</f>
        <v>9781118355015</v>
      </c>
      <c r="K8732" t="s">
        <v>12372</v>
      </c>
      <c r="L8732">
        <v>13</v>
      </c>
      <c r="O8732" t="s">
        <v>30</v>
      </c>
      <c r="P8732" t="s">
        <v>29</v>
      </c>
      <c r="Q8732" s="1">
        <v>42250.739131944443</v>
      </c>
      <c r="R8732">
        <v>7</v>
      </c>
      <c r="S8732" t="s">
        <v>31</v>
      </c>
      <c r="T8732" t="s">
        <v>487</v>
      </c>
      <c r="U8732" t="s">
        <v>488</v>
      </c>
      <c r="V8732" s="3">
        <v>41302</v>
      </c>
    </row>
    <row r="8733" spans="1:22" x14ac:dyDescent="0.35">
      <c r="A8733" s="1">
        <v>42253.90488425926</v>
      </c>
      <c r="B8733" s="2">
        <v>2.4201388888888887E-2</v>
      </c>
      <c r="C8733" t="s">
        <v>106</v>
      </c>
      <c r="D8733" t="s">
        <v>23</v>
      </c>
      <c r="E8733" t="s">
        <v>24</v>
      </c>
      <c r="F8733" t="s">
        <v>3559</v>
      </c>
      <c r="G8733">
        <v>1217954</v>
      </c>
      <c r="H8733" t="s">
        <v>45</v>
      </c>
      <c r="I8733" t="s">
        <v>3560</v>
      </c>
      <c r="J8733" t="str">
        <f>"9781409457558"</f>
        <v>9781409457558</v>
      </c>
      <c r="K8733" t="s">
        <v>12373</v>
      </c>
      <c r="L8733">
        <v>22</v>
      </c>
      <c r="O8733" t="s">
        <v>30</v>
      </c>
      <c r="P8733" t="s">
        <v>42</v>
      </c>
      <c r="S8733" t="s">
        <v>31</v>
      </c>
      <c r="T8733" t="s">
        <v>3562</v>
      </c>
      <c r="U8733" t="s">
        <v>3563</v>
      </c>
      <c r="V8733" s="3">
        <v>41575</v>
      </c>
    </row>
    <row r="8734" spans="1:22" x14ac:dyDescent="0.35">
      <c r="A8734" s="1">
        <v>42253.877395833333</v>
      </c>
      <c r="B8734" s="2">
        <v>5.6828703703703702E-3</v>
      </c>
      <c r="C8734" t="s">
        <v>5271</v>
      </c>
      <c r="D8734" t="s">
        <v>23</v>
      </c>
      <c r="E8734" t="s">
        <v>24</v>
      </c>
      <c r="F8734" t="s">
        <v>1051</v>
      </c>
      <c r="G8734">
        <v>821663</v>
      </c>
      <c r="H8734" t="s">
        <v>26</v>
      </c>
      <c r="I8734" t="s">
        <v>200</v>
      </c>
      <c r="J8734" t="str">
        <f t="shared" ref="J8734:J8739" si="62">"9781118168479"</f>
        <v>9781118168479</v>
      </c>
      <c r="K8734" t="s">
        <v>12374</v>
      </c>
      <c r="L8734">
        <v>9</v>
      </c>
      <c r="O8734" t="s">
        <v>30</v>
      </c>
      <c r="P8734" t="s">
        <v>29</v>
      </c>
      <c r="Q8734" s="1">
        <v>42248.653900462959</v>
      </c>
      <c r="R8734">
        <v>7</v>
      </c>
      <c r="S8734" t="s">
        <v>31</v>
      </c>
      <c r="T8734" t="s">
        <v>1053</v>
      </c>
      <c r="U8734">
        <v>729</v>
      </c>
      <c r="V8734" s="3">
        <v>40973</v>
      </c>
    </row>
    <row r="8735" spans="1:22" x14ac:dyDescent="0.35">
      <c r="A8735" s="1">
        <v>42253.871157407404</v>
      </c>
      <c r="B8735" s="2">
        <v>4.6296296296296294E-5</v>
      </c>
      <c r="C8735" t="s">
        <v>5271</v>
      </c>
      <c r="D8735" t="s">
        <v>23</v>
      </c>
      <c r="E8735" t="s">
        <v>24</v>
      </c>
      <c r="F8735" t="s">
        <v>1051</v>
      </c>
      <c r="G8735">
        <v>821663</v>
      </c>
      <c r="H8735" t="s">
        <v>26</v>
      </c>
      <c r="I8735" t="s">
        <v>200</v>
      </c>
      <c r="J8735" t="str">
        <f t="shared" si="62"/>
        <v>9781118168479</v>
      </c>
      <c r="K8735" t="s">
        <v>33</v>
      </c>
      <c r="L8735">
        <v>3</v>
      </c>
      <c r="O8735" t="s">
        <v>30</v>
      </c>
      <c r="P8735" t="s">
        <v>29</v>
      </c>
      <c r="Q8735" s="1">
        <v>42248.653900462959</v>
      </c>
      <c r="R8735">
        <v>7</v>
      </c>
      <c r="S8735" t="s">
        <v>31</v>
      </c>
      <c r="T8735" t="s">
        <v>1053</v>
      </c>
      <c r="U8735">
        <v>729</v>
      </c>
      <c r="V8735" s="3">
        <v>40973</v>
      </c>
    </row>
    <row r="8736" spans="1:22" x14ac:dyDescent="0.35">
      <c r="A8736" s="1">
        <v>42253.816238425927</v>
      </c>
      <c r="B8736" s="2">
        <v>1.1342592592592592E-2</v>
      </c>
      <c r="C8736" t="s">
        <v>5411</v>
      </c>
      <c r="D8736" t="s">
        <v>23</v>
      </c>
      <c r="E8736" t="s">
        <v>24</v>
      </c>
      <c r="F8736" t="s">
        <v>1051</v>
      </c>
      <c r="G8736">
        <v>821663</v>
      </c>
      <c r="H8736" t="s">
        <v>26</v>
      </c>
      <c r="I8736" t="s">
        <v>200</v>
      </c>
      <c r="J8736" t="str">
        <f t="shared" si="62"/>
        <v>9781118168479</v>
      </c>
      <c r="K8736" t="s">
        <v>12375</v>
      </c>
      <c r="L8736">
        <v>4</v>
      </c>
      <c r="O8736" t="s">
        <v>28</v>
      </c>
      <c r="P8736" t="s">
        <v>29</v>
      </c>
      <c r="Q8736" s="1">
        <v>42253.814930555556</v>
      </c>
      <c r="R8736">
        <v>7</v>
      </c>
      <c r="S8736" t="s">
        <v>31</v>
      </c>
      <c r="T8736" t="s">
        <v>1053</v>
      </c>
      <c r="U8736">
        <v>729</v>
      </c>
      <c r="V8736" s="3">
        <v>40973</v>
      </c>
    </row>
    <row r="8737" spans="1:22" x14ac:dyDescent="0.35">
      <c r="A8737" s="1">
        <v>42253.814930555556</v>
      </c>
      <c r="B8737" s="2">
        <v>8.7962962962962962E-4</v>
      </c>
      <c r="C8737" t="s">
        <v>5411</v>
      </c>
      <c r="D8737" t="s">
        <v>23</v>
      </c>
      <c r="E8737" t="s">
        <v>24</v>
      </c>
      <c r="F8737" t="s">
        <v>1051</v>
      </c>
      <c r="G8737">
        <v>821663</v>
      </c>
      <c r="H8737" t="s">
        <v>26</v>
      </c>
      <c r="I8737" t="s">
        <v>200</v>
      </c>
      <c r="J8737" t="str">
        <f t="shared" si="62"/>
        <v>9781118168479</v>
      </c>
      <c r="K8737" t="s">
        <v>2710</v>
      </c>
      <c r="L8737">
        <v>1</v>
      </c>
      <c r="M8737" t="s">
        <v>3778</v>
      </c>
      <c r="O8737" t="s">
        <v>28</v>
      </c>
      <c r="P8737" t="s">
        <v>29</v>
      </c>
      <c r="Q8737" s="1">
        <v>42253.814930555556</v>
      </c>
      <c r="R8737">
        <v>7</v>
      </c>
      <c r="S8737" t="s">
        <v>31</v>
      </c>
      <c r="T8737" t="s">
        <v>1053</v>
      </c>
      <c r="U8737">
        <v>729</v>
      </c>
      <c r="V8737" s="3">
        <v>40973</v>
      </c>
    </row>
    <row r="8738" spans="1:22" x14ac:dyDescent="0.35">
      <c r="A8738" s="1">
        <v>42253.814930555556</v>
      </c>
      <c r="B8738" s="2">
        <v>0</v>
      </c>
      <c r="C8738" t="s">
        <v>5411</v>
      </c>
      <c r="D8738" t="s">
        <v>23</v>
      </c>
      <c r="E8738" t="s">
        <v>24</v>
      </c>
      <c r="F8738" t="s">
        <v>1051</v>
      </c>
      <c r="G8738">
        <v>821663</v>
      </c>
      <c r="H8738" t="s">
        <v>26</v>
      </c>
      <c r="I8738" t="s">
        <v>200</v>
      </c>
      <c r="J8738" t="str">
        <f t="shared" si="62"/>
        <v>9781118168479</v>
      </c>
      <c r="L8738">
        <v>0</v>
      </c>
      <c r="O8738" t="s">
        <v>30</v>
      </c>
      <c r="P8738" t="s">
        <v>29</v>
      </c>
      <c r="Q8738" s="1">
        <v>42253.814930555556</v>
      </c>
      <c r="R8738">
        <v>7</v>
      </c>
      <c r="S8738" t="s">
        <v>31</v>
      </c>
      <c r="T8738" t="s">
        <v>1053</v>
      </c>
      <c r="U8738">
        <v>729</v>
      </c>
      <c r="V8738" s="3">
        <v>40973</v>
      </c>
    </row>
    <row r="8739" spans="1:22" x14ac:dyDescent="0.35">
      <c r="A8739" s="1">
        <v>42253.814050925925</v>
      </c>
      <c r="B8739" s="2">
        <v>8.7962962962962962E-4</v>
      </c>
      <c r="C8739" t="s">
        <v>5411</v>
      </c>
      <c r="D8739" t="s">
        <v>23</v>
      </c>
      <c r="E8739" t="s">
        <v>24</v>
      </c>
      <c r="F8739" t="s">
        <v>1051</v>
      </c>
      <c r="G8739">
        <v>821663</v>
      </c>
      <c r="H8739" t="s">
        <v>26</v>
      </c>
      <c r="I8739" t="s">
        <v>200</v>
      </c>
      <c r="J8739" t="str">
        <f t="shared" si="62"/>
        <v>9781118168479</v>
      </c>
      <c r="K8739" t="s">
        <v>12376</v>
      </c>
      <c r="L8739">
        <v>4</v>
      </c>
      <c r="O8739" t="s">
        <v>30</v>
      </c>
      <c r="P8739" t="s">
        <v>42</v>
      </c>
      <c r="S8739" t="s">
        <v>31</v>
      </c>
      <c r="T8739" t="s">
        <v>1053</v>
      </c>
      <c r="U8739">
        <v>729</v>
      </c>
      <c r="V8739" s="3">
        <v>40973</v>
      </c>
    </row>
    <row r="8740" spans="1:22" x14ac:dyDescent="0.35">
      <c r="A8740" s="1">
        <v>42253.756597222222</v>
      </c>
      <c r="B8740" s="2">
        <v>1.8518518518518518E-4</v>
      </c>
      <c r="C8740" t="s">
        <v>12377</v>
      </c>
      <c r="D8740" t="s">
        <v>23</v>
      </c>
      <c r="E8740" t="s">
        <v>24</v>
      </c>
      <c r="F8740" t="s">
        <v>12378</v>
      </c>
      <c r="G8740">
        <v>1719911</v>
      </c>
      <c r="H8740" t="s">
        <v>45</v>
      </c>
      <c r="I8740" t="s">
        <v>12379</v>
      </c>
      <c r="J8740" t="str">
        <f>"9781472416568"</f>
        <v>9781472416568</v>
      </c>
      <c r="K8740" t="s">
        <v>86</v>
      </c>
      <c r="L8740">
        <v>5</v>
      </c>
      <c r="O8740" t="s">
        <v>30</v>
      </c>
      <c r="P8740" t="s">
        <v>50</v>
      </c>
      <c r="S8740" t="s">
        <v>31</v>
      </c>
      <c r="T8740" t="s">
        <v>12380</v>
      </c>
      <c r="U8740">
        <v>69.409409999999994</v>
      </c>
      <c r="V8740" s="3">
        <v>41879</v>
      </c>
    </row>
    <row r="8741" spans="1:22" x14ac:dyDescent="0.35">
      <c r="A8741" s="1">
        <v>42253.717916666668</v>
      </c>
      <c r="B8741" s="2">
        <v>0.11048611111111112</v>
      </c>
      <c r="C8741" t="s">
        <v>4041</v>
      </c>
      <c r="D8741" t="s">
        <v>23</v>
      </c>
      <c r="E8741" t="s">
        <v>24</v>
      </c>
      <c r="F8741" t="s">
        <v>3060</v>
      </c>
      <c r="G8741">
        <v>1120279</v>
      </c>
      <c r="H8741" t="s">
        <v>26</v>
      </c>
      <c r="I8741" t="s">
        <v>3061</v>
      </c>
      <c r="J8741" t="str">
        <f>"9781118537671"</f>
        <v>9781118537671</v>
      </c>
      <c r="K8741" t="s">
        <v>12381</v>
      </c>
      <c r="L8741">
        <v>37</v>
      </c>
      <c r="M8741" t="s">
        <v>12382</v>
      </c>
      <c r="O8741" t="s">
        <v>30</v>
      </c>
      <c r="P8741" t="s">
        <v>29</v>
      </c>
      <c r="Q8741" s="1">
        <v>42250.861516203702</v>
      </c>
      <c r="R8741">
        <v>7</v>
      </c>
      <c r="S8741" t="s">
        <v>31</v>
      </c>
      <c r="T8741" t="s">
        <v>3063</v>
      </c>
      <c r="U8741">
        <v>599.93499999999995</v>
      </c>
      <c r="V8741" s="3">
        <v>41232</v>
      </c>
    </row>
    <row r="8742" spans="1:22" x14ac:dyDescent="0.35">
      <c r="A8742" s="1">
        <v>42253.679039351853</v>
      </c>
      <c r="B8742" s="2">
        <v>6.3657407407407402E-4</v>
      </c>
      <c r="C8742" t="s">
        <v>12361</v>
      </c>
      <c r="D8742" t="s">
        <v>1222</v>
      </c>
      <c r="E8742" t="s">
        <v>1223</v>
      </c>
      <c r="F8742" t="s">
        <v>1571</v>
      </c>
      <c r="G8742">
        <v>1707328</v>
      </c>
      <c r="H8742" t="s">
        <v>84</v>
      </c>
      <c r="I8742" t="s">
        <v>150</v>
      </c>
      <c r="J8742" t="str">
        <f>"9780520958876"</f>
        <v>9780520958876</v>
      </c>
      <c r="K8742" t="s">
        <v>12383</v>
      </c>
      <c r="L8742">
        <v>7</v>
      </c>
      <c r="O8742" t="s">
        <v>28</v>
      </c>
      <c r="P8742" t="s">
        <v>47</v>
      </c>
      <c r="Q8742" s="1">
        <v>42253.679039351853</v>
      </c>
      <c r="R8742">
        <v>7</v>
      </c>
      <c r="S8742" t="s">
        <v>1226</v>
      </c>
      <c r="T8742" t="s">
        <v>1573</v>
      </c>
      <c r="U8742">
        <v>780.90329999999994</v>
      </c>
      <c r="V8742" s="3">
        <v>41797</v>
      </c>
    </row>
    <row r="8743" spans="1:22" x14ac:dyDescent="0.35">
      <c r="A8743" s="1">
        <v>42253.679039351853</v>
      </c>
      <c r="B8743" s="2">
        <v>0</v>
      </c>
      <c r="C8743" t="s">
        <v>12361</v>
      </c>
      <c r="D8743" t="s">
        <v>1222</v>
      </c>
      <c r="E8743" t="s">
        <v>1223</v>
      </c>
      <c r="F8743" t="s">
        <v>1571</v>
      </c>
      <c r="G8743">
        <v>1707328</v>
      </c>
      <c r="H8743" t="s">
        <v>84</v>
      </c>
      <c r="I8743" t="s">
        <v>150</v>
      </c>
      <c r="J8743" t="str">
        <f>"9780520958876"</f>
        <v>9780520958876</v>
      </c>
      <c r="L8743">
        <v>0</v>
      </c>
      <c r="O8743" t="s">
        <v>30</v>
      </c>
      <c r="P8743" t="s">
        <v>47</v>
      </c>
      <c r="Q8743" s="1">
        <v>42253.679039351853</v>
      </c>
      <c r="R8743">
        <v>7</v>
      </c>
      <c r="S8743" t="s">
        <v>1226</v>
      </c>
      <c r="T8743" t="s">
        <v>1573</v>
      </c>
      <c r="U8743">
        <v>780.90329999999994</v>
      </c>
      <c r="V8743" s="3">
        <v>41797</v>
      </c>
    </row>
    <row r="8744" spans="1:22" x14ac:dyDescent="0.35">
      <c r="A8744" s="1">
        <v>42253.67765046296</v>
      </c>
      <c r="B8744" s="2">
        <v>1.3888888888888889E-3</v>
      </c>
      <c r="C8744" t="s">
        <v>12361</v>
      </c>
      <c r="D8744" t="s">
        <v>1222</v>
      </c>
      <c r="E8744" t="s">
        <v>1223</v>
      </c>
      <c r="F8744" t="s">
        <v>1571</v>
      </c>
      <c r="G8744">
        <v>1707328</v>
      </c>
      <c r="H8744" t="s">
        <v>84</v>
      </c>
      <c r="I8744" t="s">
        <v>150</v>
      </c>
      <c r="J8744" t="str">
        <f>"9780520958876"</f>
        <v>9780520958876</v>
      </c>
      <c r="K8744" t="s">
        <v>12384</v>
      </c>
      <c r="L8744">
        <v>14</v>
      </c>
      <c r="O8744" t="s">
        <v>30</v>
      </c>
      <c r="P8744" t="s">
        <v>50</v>
      </c>
      <c r="S8744" t="s">
        <v>1226</v>
      </c>
      <c r="T8744" t="s">
        <v>1573</v>
      </c>
      <c r="U8744">
        <v>780.90329999999994</v>
      </c>
      <c r="V8744" s="3">
        <v>41797</v>
      </c>
    </row>
    <row r="8745" spans="1:22" x14ac:dyDescent="0.35">
      <c r="A8745" s="1">
        <v>42253.675254629627</v>
      </c>
      <c r="B8745" s="2">
        <v>1.0763888888888889E-3</v>
      </c>
      <c r="C8745" t="s">
        <v>12355</v>
      </c>
      <c r="D8745" t="s">
        <v>1222</v>
      </c>
      <c r="E8745" t="s">
        <v>1223</v>
      </c>
      <c r="F8745" t="s">
        <v>1571</v>
      </c>
      <c r="G8745">
        <v>1707328</v>
      </c>
      <c r="H8745" t="s">
        <v>84</v>
      </c>
      <c r="I8745" t="s">
        <v>150</v>
      </c>
      <c r="J8745" t="str">
        <f>"9780520958876"</f>
        <v>9780520958876</v>
      </c>
      <c r="K8745" t="s">
        <v>12385</v>
      </c>
      <c r="L8745">
        <v>56</v>
      </c>
      <c r="O8745" t="s">
        <v>30</v>
      </c>
      <c r="P8745" t="s">
        <v>50</v>
      </c>
      <c r="S8745" t="s">
        <v>1226</v>
      </c>
      <c r="T8745" t="s">
        <v>1573</v>
      </c>
      <c r="U8745">
        <v>780.90329999999994</v>
      </c>
      <c r="V8745" s="3">
        <v>41797</v>
      </c>
    </row>
    <row r="8746" spans="1:22" x14ac:dyDescent="0.35">
      <c r="A8746" s="1">
        <v>42253.524467592593</v>
      </c>
      <c r="B8746" s="2">
        <v>0</v>
      </c>
      <c r="C8746" t="s">
        <v>349</v>
      </c>
      <c r="D8746" t="s">
        <v>23</v>
      </c>
      <c r="E8746" t="s">
        <v>24</v>
      </c>
      <c r="F8746" t="s">
        <v>12386</v>
      </c>
      <c r="G8746">
        <v>2068031</v>
      </c>
      <c r="H8746" t="s">
        <v>45</v>
      </c>
      <c r="I8746" t="s">
        <v>12387</v>
      </c>
      <c r="J8746" t="str">
        <f>"9781472415967"</f>
        <v>9781472415967</v>
      </c>
      <c r="L8746">
        <v>0</v>
      </c>
      <c r="O8746" t="s">
        <v>28</v>
      </c>
      <c r="P8746" t="s">
        <v>47</v>
      </c>
      <c r="Q8746" s="1">
        <v>42253.524467592593</v>
      </c>
      <c r="R8746">
        <v>1</v>
      </c>
      <c r="S8746" t="s">
        <v>31</v>
      </c>
      <c r="T8746" t="s">
        <v>12388</v>
      </c>
      <c r="U8746">
        <v>781.1</v>
      </c>
      <c r="V8746" s="3">
        <v>42244</v>
      </c>
    </row>
    <row r="8747" spans="1:22" x14ac:dyDescent="0.35">
      <c r="A8747" s="1">
        <v>42253.524467592593</v>
      </c>
      <c r="B8747" s="2">
        <v>0</v>
      </c>
      <c r="C8747" t="s">
        <v>349</v>
      </c>
      <c r="D8747" t="s">
        <v>23</v>
      </c>
      <c r="E8747" t="s">
        <v>24</v>
      </c>
      <c r="F8747" t="s">
        <v>12386</v>
      </c>
      <c r="G8747">
        <v>2068031</v>
      </c>
      <c r="H8747" t="s">
        <v>45</v>
      </c>
      <c r="I8747" t="s">
        <v>12387</v>
      </c>
      <c r="J8747" t="str">
        <f>"9781472415967"</f>
        <v>9781472415967</v>
      </c>
      <c r="L8747">
        <v>0</v>
      </c>
      <c r="O8747" t="s">
        <v>30</v>
      </c>
      <c r="P8747" t="s">
        <v>47</v>
      </c>
      <c r="Q8747" s="1">
        <v>42253.524467592593</v>
      </c>
      <c r="R8747">
        <v>1</v>
      </c>
      <c r="S8747" t="s">
        <v>31</v>
      </c>
      <c r="T8747" t="s">
        <v>12388</v>
      </c>
      <c r="U8747">
        <v>781.1</v>
      </c>
      <c r="V8747" s="3">
        <v>42244</v>
      </c>
    </row>
    <row r="8748" spans="1:22" x14ac:dyDescent="0.35">
      <c r="A8748" s="1">
        <v>42253.524317129632</v>
      </c>
      <c r="B8748" s="2">
        <v>1.5046296296296297E-4</v>
      </c>
      <c r="C8748" t="s">
        <v>349</v>
      </c>
      <c r="D8748" t="s">
        <v>23</v>
      </c>
      <c r="E8748" t="s">
        <v>24</v>
      </c>
      <c r="F8748" t="s">
        <v>12386</v>
      </c>
      <c r="G8748">
        <v>2068031</v>
      </c>
      <c r="H8748" t="s">
        <v>45</v>
      </c>
      <c r="I8748" t="s">
        <v>12387</v>
      </c>
      <c r="J8748" t="str">
        <f>"9781472415967"</f>
        <v>9781472415967</v>
      </c>
      <c r="K8748" t="s">
        <v>33</v>
      </c>
      <c r="L8748">
        <v>3</v>
      </c>
      <c r="O8748" t="s">
        <v>30</v>
      </c>
      <c r="P8748" t="s">
        <v>50</v>
      </c>
      <c r="S8748" t="s">
        <v>31</v>
      </c>
      <c r="T8748" t="s">
        <v>12388</v>
      </c>
      <c r="U8748">
        <v>781.1</v>
      </c>
      <c r="V8748" s="3">
        <v>42244</v>
      </c>
    </row>
    <row r="8749" spans="1:22" x14ac:dyDescent="0.35">
      <c r="A8749" s="1">
        <v>42253.523217592592</v>
      </c>
      <c r="B8749" s="2">
        <v>0</v>
      </c>
      <c r="C8749" t="s">
        <v>349</v>
      </c>
      <c r="D8749" t="s">
        <v>23</v>
      </c>
      <c r="E8749" t="s">
        <v>24</v>
      </c>
      <c r="F8749" t="s">
        <v>12389</v>
      </c>
      <c r="G8749">
        <v>2095100</v>
      </c>
      <c r="H8749" t="s">
        <v>45</v>
      </c>
      <c r="I8749" t="s">
        <v>150</v>
      </c>
      <c r="J8749" t="str">
        <f>"9781472445889"</f>
        <v>9781472445889</v>
      </c>
      <c r="L8749">
        <v>0</v>
      </c>
      <c r="O8749" t="s">
        <v>28</v>
      </c>
      <c r="P8749" t="s">
        <v>47</v>
      </c>
      <c r="Q8749" s="1">
        <v>42253.523217592592</v>
      </c>
      <c r="R8749">
        <v>1</v>
      </c>
      <c r="S8749" t="s">
        <v>31</v>
      </c>
      <c r="T8749" t="s">
        <v>12390</v>
      </c>
      <c r="U8749">
        <v>780.94200000000001</v>
      </c>
      <c r="V8749" s="3">
        <v>42244</v>
      </c>
    </row>
    <row r="8750" spans="1:22" x14ac:dyDescent="0.35">
      <c r="A8750" s="1">
        <v>42253.523217592592</v>
      </c>
      <c r="B8750" s="2">
        <v>0</v>
      </c>
      <c r="C8750" t="s">
        <v>349</v>
      </c>
      <c r="D8750" t="s">
        <v>23</v>
      </c>
      <c r="E8750" t="s">
        <v>24</v>
      </c>
      <c r="F8750" t="s">
        <v>12389</v>
      </c>
      <c r="G8750">
        <v>2095100</v>
      </c>
      <c r="H8750" t="s">
        <v>45</v>
      </c>
      <c r="I8750" t="s">
        <v>150</v>
      </c>
      <c r="J8750" t="str">
        <f>"9781472445889"</f>
        <v>9781472445889</v>
      </c>
      <c r="L8750">
        <v>0</v>
      </c>
      <c r="O8750" t="s">
        <v>30</v>
      </c>
      <c r="P8750" t="s">
        <v>47</v>
      </c>
      <c r="Q8750" s="1">
        <v>42253.523217592592</v>
      </c>
      <c r="R8750">
        <v>1</v>
      </c>
      <c r="S8750" t="s">
        <v>31</v>
      </c>
      <c r="T8750" t="s">
        <v>12390</v>
      </c>
      <c r="U8750">
        <v>780.94200000000001</v>
      </c>
      <c r="V8750" s="3">
        <v>42244</v>
      </c>
    </row>
    <row r="8751" spans="1:22" x14ac:dyDescent="0.35">
      <c r="A8751" s="1">
        <v>42253.522951388892</v>
      </c>
      <c r="B8751" s="2">
        <v>2.6620370370370372E-4</v>
      </c>
      <c r="C8751" t="s">
        <v>349</v>
      </c>
      <c r="D8751" t="s">
        <v>23</v>
      </c>
      <c r="E8751" t="s">
        <v>24</v>
      </c>
      <c r="F8751" t="s">
        <v>12389</v>
      </c>
      <c r="G8751">
        <v>2095100</v>
      </c>
      <c r="H8751" t="s">
        <v>45</v>
      </c>
      <c r="I8751" t="s">
        <v>150</v>
      </c>
      <c r="J8751" t="str">
        <f>"9781472445889"</f>
        <v>9781472445889</v>
      </c>
      <c r="K8751" t="s">
        <v>33</v>
      </c>
      <c r="L8751">
        <v>3</v>
      </c>
      <c r="O8751" t="s">
        <v>30</v>
      </c>
      <c r="P8751" t="s">
        <v>50</v>
      </c>
      <c r="S8751" t="s">
        <v>31</v>
      </c>
      <c r="T8751" t="s">
        <v>12390</v>
      </c>
      <c r="U8751">
        <v>780.94200000000001</v>
      </c>
      <c r="V8751" s="3">
        <v>42244</v>
      </c>
    </row>
    <row r="8752" spans="1:22" x14ac:dyDescent="0.35">
      <c r="A8752" s="1">
        <v>42253.522326388891</v>
      </c>
      <c r="B8752" s="2">
        <v>0</v>
      </c>
      <c r="C8752" t="s">
        <v>349</v>
      </c>
      <c r="D8752" t="s">
        <v>23</v>
      </c>
      <c r="E8752" t="s">
        <v>24</v>
      </c>
      <c r="F8752" t="s">
        <v>12391</v>
      </c>
      <c r="G8752">
        <v>2079238</v>
      </c>
      <c r="H8752" t="s">
        <v>45</v>
      </c>
      <c r="I8752" t="s">
        <v>150</v>
      </c>
      <c r="J8752" t="str">
        <f>"9781472451941"</f>
        <v>9781472451941</v>
      </c>
      <c r="L8752">
        <v>0</v>
      </c>
      <c r="O8752" t="s">
        <v>28</v>
      </c>
      <c r="P8752" t="s">
        <v>47</v>
      </c>
      <c r="Q8752" s="1">
        <v>42253.522326388891</v>
      </c>
      <c r="R8752">
        <v>1</v>
      </c>
      <c r="S8752" t="s">
        <v>31</v>
      </c>
      <c r="T8752" t="s">
        <v>12392</v>
      </c>
      <c r="U8752" t="s">
        <v>12393</v>
      </c>
      <c r="V8752" s="3">
        <v>42244</v>
      </c>
    </row>
    <row r="8753" spans="1:22" x14ac:dyDescent="0.35">
      <c r="A8753" s="1">
        <v>42253.522326388891</v>
      </c>
      <c r="B8753" s="2">
        <v>0</v>
      </c>
      <c r="C8753" t="s">
        <v>349</v>
      </c>
      <c r="D8753" t="s">
        <v>23</v>
      </c>
      <c r="E8753" t="s">
        <v>24</v>
      </c>
      <c r="F8753" t="s">
        <v>12391</v>
      </c>
      <c r="G8753">
        <v>2079238</v>
      </c>
      <c r="H8753" t="s">
        <v>45</v>
      </c>
      <c r="I8753" t="s">
        <v>150</v>
      </c>
      <c r="J8753" t="str">
        <f>"9781472451941"</f>
        <v>9781472451941</v>
      </c>
      <c r="L8753">
        <v>0</v>
      </c>
      <c r="O8753" t="s">
        <v>30</v>
      </c>
      <c r="P8753" t="s">
        <v>47</v>
      </c>
      <c r="Q8753" s="1">
        <v>42253.522326388891</v>
      </c>
      <c r="R8753">
        <v>1</v>
      </c>
      <c r="S8753" t="s">
        <v>31</v>
      </c>
      <c r="T8753" t="s">
        <v>12392</v>
      </c>
      <c r="U8753" t="s">
        <v>12393</v>
      </c>
      <c r="V8753" s="3">
        <v>42244</v>
      </c>
    </row>
    <row r="8754" spans="1:22" x14ac:dyDescent="0.35">
      <c r="A8754" s="1">
        <v>42253.522152777776</v>
      </c>
      <c r="B8754" s="2">
        <v>1.7361111111111112E-4</v>
      </c>
      <c r="C8754" t="s">
        <v>349</v>
      </c>
      <c r="D8754" t="s">
        <v>23</v>
      </c>
      <c r="E8754" t="s">
        <v>24</v>
      </c>
      <c r="F8754" t="s">
        <v>12391</v>
      </c>
      <c r="G8754">
        <v>2079238</v>
      </c>
      <c r="H8754" t="s">
        <v>45</v>
      </c>
      <c r="I8754" t="s">
        <v>150</v>
      </c>
      <c r="J8754" t="str">
        <f>"9781472451941"</f>
        <v>9781472451941</v>
      </c>
      <c r="K8754" t="s">
        <v>33</v>
      </c>
      <c r="L8754">
        <v>3</v>
      </c>
      <c r="O8754" t="s">
        <v>30</v>
      </c>
      <c r="P8754" t="s">
        <v>50</v>
      </c>
      <c r="S8754" t="s">
        <v>31</v>
      </c>
      <c r="T8754" t="s">
        <v>12392</v>
      </c>
      <c r="U8754" t="s">
        <v>12393</v>
      </c>
      <c r="V8754" s="3">
        <v>42244</v>
      </c>
    </row>
    <row r="8755" spans="1:22" x14ac:dyDescent="0.35">
      <c r="A8755" s="1">
        <v>42253.521331018521</v>
      </c>
      <c r="B8755" s="2">
        <v>0</v>
      </c>
      <c r="C8755" t="s">
        <v>349</v>
      </c>
      <c r="D8755" t="s">
        <v>23</v>
      </c>
      <c r="E8755" t="s">
        <v>24</v>
      </c>
      <c r="F8755" t="s">
        <v>12394</v>
      </c>
      <c r="G8755">
        <v>2079247</v>
      </c>
      <c r="H8755" t="s">
        <v>45</v>
      </c>
      <c r="I8755" t="s">
        <v>150</v>
      </c>
      <c r="J8755" t="str">
        <f>"9781472460950"</f>
        <v>9781472460950</v>
      </c>
      <c r="L8755">
        <v>0</v>
      </c>
      <c r="O8755" t="s">
        <v>28</v>
      </c>
      <c r="P8755" t="s">
        <v>47</v>
      </c>
      <c r="Q8755" s="1">
        <v>42253.521331018521</v>
      </c>
      <c r="R8755">
        <v>1</v>
      </c>
      <c r="S8755" t="s">
        <v>31</v>
      </c>
      <c r="T8755" t="s">
        <v>12395</v>
      </c>
      <c r="U8755">
        <v>781.43</v>
      </c>
      <c r="V8755" s="3">
        <v>42244</v>
      </c>
    </row>
    <row r="8756" spans="1:22" x14ac:dyDescent="0.35">
      <c r="A8756" s="1">
        <v>42253.521331018521</v>
      </c>
      <c r="B8756" s="2">
        <v>0</v>
      </c>
      <c r="C8756" t="s">
        <v>349</v>
      </c>
      <c r="D8756" t="s">
        <v>23</v>
      </c>
      <c r="E8756" t="s">
        <v>24</v>
      </c>
      <c r="F8756" t="s">
        <v>12394</v>
      </c>
      <c r="G8756">
        <v>2079247</v>
      </c>
      <c r="H8756" t="s">
        <v>45</v>
      </c>
      <c r="I8756" t="s">
        <v>150</v>
      </c>
      <c r="J8756" t="str">
        <f>"9781472460950"</f>
        <v>9781472460950</v>
      </c>
      <c r="L8756">
        <v>0</v>
      </c>
      <c r="O8756" t="s">
        <v>30</v>
      </c>
      <c r="P8756" t="s">
        <v>47</v>
      </c>
      <c r="Q8756" s="1">
        <v>42253.521331018521</v>
      </c>
      <c r="R8756">
        <v>1</v>
      </c>
      <c r="S8756" t="s">
        <v>31</v>
      </c>
      <c r="T8756" t="s">
        <v>12395</v>
      </c>
      <c r="U8756">
        <v>781.43</v>
      </c>
      <c r="V8756" s="3">
        <v>42244</v>
      </c>
    </row>
    <row r="8757" spans="1:22" x14ac:dyDescent="0.35">
      <c r="A8757" s="1">
        <v>42253.521203703705</v>
      </c>
      <c r="B8757" s="2">
        <v>1.273148148148148E-4</v>
      </c>
      <c r="C8757" t="s">
        <v>349</v>
      </c>
      <c r="D8757" t="s">
        <v>23</v>
      </c>
      <c r="E8757" t="s">
        <v>24</v>
      </c>
      <c r="F8757" t="s">
        <v>12394</v>
      </c>
      <c r="G8757">
        <v>2079247</v>
      </c>
      <c r="H8757" t="s">
        <v>45</v>
      </c>
      <c r="I8757" t="s">
        <v>150</v>
      </c>
      <c r="J8757" t="str">
        <f>"9781472460950"</f>
        <v>9781472460950</v>
      </c>
      <c r="K8757" t="s">
        <v>33</v>
      </c>
      <c r="L8757">
        <v>3</v>
      </c>
      <c r="O8757" t="s">
        <v>30</v>
      </c>
      <c r="P8757" t="s">
        <v>50</v>
      </c>
      <c r="S8757" t="s">
        <v>31</v>
      </c>
      <c r="T8757" t="s">
        <v>12395</v>
      </c>
      <c r="U8757">
        <v>781.43</v>
      </c>
      <c r="V8757" s="3">
        <v>42244</v>
      </c>
    </row>
    <row r="8758" spans="1:22" x14ac:dyDescent="0.35">
      <c r="A8758" s="1">
        <v>42253.520509259259</v>
      </c>
      <c r="B8758" s="2">
        <v>0</v>
      </c>
      <c r="C8758" t="s">
        <v>349</v>
      </c>
      <c r="D8758" t="s">
        <v>23</v>
      </c>
      <c r="E8758" t="s">
        <v>24</v>
      </c>
      <c r="F8758" t="s">
        <v>12396</v>
      </c>
      <c r="G8758">
        <v>2058075</v>
      </c>
      <c r="H8758" t="s">
        <v>45</v>
      </c>
      <c r="I8758" t="s">
        <v>150</v>
      </c>
      <c r="J8758" t="str">
        <f>"9781472434005"</f>
        <v>9781472434005</v>
      </c>
      <c r="L8758">
        <v>0</v>
      </c>
      <c r="O8758" t="s">
        <v>28</v>
      </c>
      <c r="P8758" t="s">
        <v>47</v>
      </c>
      <c r="Q8758" s="1">
        <v>42253.520497685182</v>
      </c>
      <c r="R8758">
        <v>1</v>
      </c>
      <c r="S8758" t="s">
        <v>31</v>
      </c>
      <c r="T8758" t="s">
        <v>12397</v>
      </c>
      <c r="U8758" t="s">
        <v>12398</v>
      </c>
      <c r="V8758" s="3">
        <v>42213</v>
      </c>
    </row>
    <row r="8759" spans="1:22" x14ac:dyDescent="0.35">
      <c r="A8759" s="1">
        <v>42253.520509259259</v>
      </c>
      <c r="B8759" s="2">
        <v>0</v>
      </c>
      <c r="C8759" t="s">
        <v>349</v>
      </c>
      <c r="D8759" t="s">
        <v>23</v>
      </c>
      <c r="E8759" t="s">
        <v>24</v>
      </c>
      <c r="F8759" t="s">
        <v>12396</v>
      </c>
      <c r="G8759">
        <v>2058075</v>
      </c>
      <c r="H8759" t="s">
        <v>45</v>
      </c>
      <c r="I8759" t="s">
        <v>150</v>
      </c>
      <c r="J8759" t="str">
        <f>"9781472434005"</f>
        <v>9781472434005</v>
      </c>
      <c r="L8759">
        <v>0</v>
      </c>
      <c r="O8759" t="s">
        <v>30</v>
      </c>
      <c r="P8759" t="s">
        <v>47</v>
      </c>
      <c r="Q8759" s="1">
        <v>42253.520497685182</v>
      </c>
      <c r="R8759">
        <v>1</v>
      </c>
      <c r="S8759" t="s">
        <v>31</v>
      </c>
      <c r="T8759" t="s">
        <v>12397</v>
      </c>
      <c r="U8759" t="s">
        <v>12398</v>
      </c>
      <c r="V8759" s="3">
        <v>42213</v>
      </c>
    </row>
    <row r="8760" spans="1:22" x14ac:dyDescent="0.35">
      <c r="A8760" s="1">
        <v>42253.520312499997</v>
      </c>
      <c r="B8760" s="2">
        <v>1.8518518518518518E-4</v>
      </c>
      <c r="C8760" t="s">
        <v>349</v>
      </c>
      <c r="D8760" t="s">
        <v>23</v>
      </c>
      <c r="E8760" t="s">
        <v>24</v>
      </c>
      <c r="F8760" t="s">
        <v>12396</v>
      </c>
      <c r="G8760">
        <v>2058075</v>
      </c>
      <c r="H8760" t="s">
        <v>45</v>
      </c>
      <c r="I8760" t="s">
        <v>150</v>
      </c>
      <c r="J8760" t="str">
        <f>"9781472434005"</f>
        <v>9781472434005</v>
      </c>
      <c r="K8760" t="s">
        <v>33</v>
      </c>
      <c r="L8760">
        <v>3</v>
      </c>
      <c r="O8760" t="s">
        <v>30</v>
      </c>
      <c r="P8760" t="s">
        <v>50</v>
      </c>
      <c r="S8760" t="s">
        <v>31</v>
      </c>
      <c r="T8760" t="s">
        <v>12397</v>
      </c>
      <c r="U8760" t="s">
        <v>12398</v>
      </c>
      <c r="V8760" s="3">
        <v>42213</v>
      </c>
    </row>
    <row r="8761" spans="1:22" x14ac:dyDescent="0.35">
      <c r="A8761" s="1">
        <v>42253.518877314818</v>
      </c>
      <c r="B8761" s="2">
        <v>0</v>
      </c>
      <c r="C8761" t="s">
        <v>349</v>
      </c>
      <c r="D8761" t="s">
        <v>23</v>
      </c>
      <c r="E8761" t="s">
        <v>24</v>
      </c>
      <c r="F8761" t="s">
        <v>12399</v>
      </c>
      <c r="G8761">
        <v>2079220</v>
      </c>
      <c r="H8761" t="s">
        <v>45</v>
      </c>
      <c r="I8761" t="s">
        <v>150</v>
      </c>
      <c r="J8761" t="str">
        <f>"9781409441748"</f>
        <v>9781409441748</v>
      </c>
      <c r="L8761">
        <v>0</v>
      </c>
      <c r="O8761" t="s">
        <v>28</v>
      </c>
      <c r="P8761" t="s">
        <v>47</v>
      </c>
      <c r="Q8761" s="1">
        <v>42253.518877314818</v>
      </c>
      <c r="R8761">
        <v>1</v>
      </c>
      <c r="S8761" t="s">
        <v>31</v>
      </c>
      <c r="T8761" t="s">
        <v>12400</v>
      </c>
      <c r="U8761">
        <v>782.42164094400005</v>
      </c>
      <c r="V8761" s="3">
        <v>42244</v>
      </c>
    </row>
    <row r="8762" spans="1:22" x14ac:dyDescent="0.35">
      <c r="A8762" s="1">
        <v>42253.518877314818</v>
      </c>
      <c r="B8762" s="2">
        <v>0</v>
      </c>
      <c r="C8762" t="s">
        <v>349</v>
      </c>
      <c r="D8762" t="s">
        <v>23</v>
      </c>
      <c r="E8762" t="s">
        <v>24</v>
      </c>
      <c r="F8762" t="s">
        <v>12399</v>
      </c>
      <c r="G8762">
        <v>2079220</v>
      </c>
      <c r="H8762" t="s">
        <v>45</v>
      </c>
      <c r="I8762" t="s">
        <v>150</v>
      </c>
      <c r="J8762" t="str">
        <f>"9781409441748"</f>
        <v>9781409441748</v>
      </c>
      <c r="L8762">
        <v>0</v>
      </c>
      <c r="O8762" t="s">
        <v>30</v>
      </c>
      <c r="P8762" t="s">
        <v>47</v>
      </c>
      <c r="Q8762" s="1">
        <v>42253.518877314818</v>
      </c>
      <c r="R8762">
        <v>1</v>
      </c>
      <c r="S8762" t="s">
        <v>31</v>
      </c>
      <c r="T8762" t="s">
        <v>12400</v>
      </c>
      <c r="U8762">
        <v>782.42164094400005</v>
      </c>
      <c r="V8762" s="3">
        <v>42244</v>
      </c>
    </row>
    <row r="8763" spans="1:22" x14ac:dyDescent="0.35">
      <c r="A8763" s="1">
        <v>42253.518460648149</v>
      </c>
      <c r="B8763" s="2">
        <v>4.1666666666666669E-4</v>
      </c>
      <c r="C8763" t="s">
        <v>349</v>
      </c>
      <c r="D8763" t="s">
        <v>23</v>
      </c>
      <c r="E8763" t="s">
        <v>24</v>
      </c>
      <c r="F8763" t="s">
        <v>12399</v>
      </c>
      <c r="G8763">
        <v>2079220</v>
      </c>
      <c r="H8763" t="s">
        <v>45</v>
      </c>
      <c r="I8763" t="s">
        <v>150</v>
      </c>
      <c r="J8763" t="str">
        <f>"9781409441748"</f>
        <v>9781409441748</v>
      </c>
      <c r="K8763" t="s">
        <v>33</v>
      </c>
      <c r="L8763">
        <v>3</v>
      </c>
      <c r="O8763" t="s">
        <v>30</v>
      </c>
      <c r="P8763" t="s">
        <v>50</v>
      </c>
      <c r="S8763" t="s">
        <v>31</v>
      </c>
      <c r="T8763" t="s">
        <v>12400</v>
      </c>
      <c r="U8763">
        <v>782.42164094400005</v>
      </c>
      <c r="V8763" s="3">
        <v>42244</v>
      </c>
    </row>
    <row r="8764" spans="1:22" x14ac:dyDescent="0.35">
      <c r="A8764" s="1">
        <v>42253.516712962963</v>
      </c>
      <c r="B8764" s="2">
        <v>0</v>
      </c>
      <c r="C8764" t="s">
        <v>349</v>
      </c>
      <c r="D8764" t="s">
        <v>23</v>
      </c>
      <c r="E8764" t="s">
        <v>24</v>
      </c>
      <c r="F8764" t="s">
        <v>12401</v>
      </c>
      <c r="G8764">
        <v>2068027</v>
      </c>
      <c r="H8764" t="s">
        <v>45</v>
      </c>
      <c r="I8764" t="s">
        <v>150</v>
      </c>
      <c r="J8764" t="str">
        <f>"9781409461968"</f>
        <v>9781409461968</v>
      </c>
      <c r="L8764">
        <v>0</v>
      </c>
      <c r="O8764" t="s">
        <v>28</v>
      </c>
      <c r="P8764" t="s">
        <v>47</v>
      </c>
      <c r="Q8764" s="1">
        <v>42253.516712962963</v>
      </c>
      <c r="R8764">
        <v>1</v>
      </c>
      <c r="S8764" t="s">
        <v>31</v>
      </c>
      <c r="T8764" t="s">
        <v>12402</v>
      </c>
      <c r="U8764">
        <v>709.2</v>
      </c>
      <c r="V8764" s="3">
        <v>42244</v>
      </c>
    </row>
    <row r="8765" spans="1:22" x14ac:dyDescent="0.35">
      <c r="A8765" s="1">
        <v>42253.516712962963</v>
      </c>
      <c r="B8765" s="2">
        <v>0</v>
      </c>
      <c r="C8765" t="s">
        <v>349</v>
      </c>
      <c r="D8765" t="s">
        <v>23</v>
      </c>
      <c r="E8765" t="s">
        <v>24</v>
      </c>
      <c r="F8765" t="s">
        <v>12401</v>
      </c>
      <c r="G8765">
        <v>2068027</v>
      </c>
      <c r="H8765" t="s">
        <v>45</v>
      </c>
      <c r="I8765" t="s">
        <v>150</v>
      </c>
      <c r="J8765" t="str">
        <f>"9781409461968"</f>
        <v>9781409461968</v>
      </c>
      <c r="L8765">
        <v>0</v>
      </c>
      <c r="O8765" t="s">
        <v>30</v>
      </c>
      <c r="P8765" t="s">
        <v>47</v>
      </c>
      <c r="Q8765" s="1">
        <v>42253.516712962963</v>
      </c>
      <c r="R8765">
        <v>1</v>
      </c>
      <c r="S8765" t="s">
        <v>31</v>
      </c>
      <c r="T8765" t="s">
        <v>12402</v>
      </c>
      <c r="U8765">
        <v>709.2</v>
      </c>
      <c r="V8765" s="3">
        <v>42244</v>
      </c>
    </row>
    <row r="8766" spans="1:22" x14ac:dyDescent="0.35">
      <c r="A8766" s="1">
        <v>42253.516481481478</v>
      </c>
      <c r="B8766" s="2">
        <v>2.3148148148148146E-4</v>
      </c>
      <c r="C8766" t="s">
        <v>349</v>
      </c>
      <c r="D8766" t="s">
        <v>23</v>
      </c>
      <c r="E8766" t="s">
        <v>24</v>
      </c>
      <c r="F8766" t="s">
        <v>12401</v>
      </c>
      <c r="G8766">
        <v>2068027</v>
      </c>
      <c r="H8766" t="s">
        <v>45</v>
      </c>
      <c r="I8766" t="s">
        <v>150</v>
      </c>
      <c r="J8766" t="str">
        <f>"9781409461968"</f>
        <v>9781409461968</v>
      </c>
      <c r="K8766" t="s">
        <v>33</v>
      </c>
      <c r="L8766">
        <v>3</v>
      </c>
      <c r="O8766" t="s">
        <v>30</v>
      </c>
      <c r="P8766" t="s">
        <v>50</v>
      </c>
      <c r="S8766" t="s">
        <v>31</v>
      </c>
      <c r="T8766" t="s">
        <v>12402</v>
      </c>
      <c r="U8766">
        <v>709.2</v>
      </c>
      <c r="V8766" s="3">
        <v>42244</v>
      </c>
    </row>
    <row r="8767" spans="1:22" x14ac:dyDescent="0.35">
      <c r="A8767" s="1">
        <v>42253.514988425923</v>
      </c>
      <c r="B8767" s="2">
        <v>0</v>
      </c>
      <c r="C8767" t="s">
        <v>349</v>
      </c>
      <c r="D8767" t="s">
        <v>23</v>
      </c>
      <c r="E8767" t="s">
        <v>24</v>
      </c>
      <c r="F8767" t="s">
        <v>12403</v>
      </c>
      <c r="G8767">
        <v>2079224</v>
      </c>
      <c r="H8767" t="s">
        <v>45</v>
      </c>
      <c r="I8767" t="s">
        <v>172</v>
      </c>
      <c r="J8767" t="str">
        <f>"9781472437884"</f>
        <v>9781472437884</v>
      </c>
      <c r="L8767">
        <v>0</v>
      </c>
      <c r="O8767" t="s">
        <v>28</v>
      </c>
      <c r="P8767" t="s">
        <v>47</v>
      </c>
      <c r="Q8767" s="1">
        <v>42253.514988425923</v>
      </c>
      <c r="R8767">
        <v>1</v>
      </c>
      <c r="S8767" t="s">
        <v>31</v>
      </c>
      <c r="T8767" t="s">
        <v>12404</v>
      </c>
      <c r="U8767">
        <v>967.81030740000006</v>
      </c>
      <c r="V8767" s="3">
        <v>42244</v>
      </c>
    </row>
    <row r="8768" spans="1:22" x14ac:dyDescent="0.35">
      <c r="A8768" s="1">
        <v>42253.514988425923</v>
      </c>
      <c r="B8768" s="2">
        <v>0</v>
      </c>
      <c r="C8768" t="s">
        <v>349</v>
      </c>
      <c r="D8768" t="s">
        <v>23</v>
      </c>
      <c r="E8768" t="s">
        <v>24</v>
      </c>
      <c r="F8768" t="s">
        <v>12403</v>
      </c>
      <c r="G8768">
        <v>2079224</v>
      </c>
      <c r="H8768" t="s">
        <v>45</v>
      </c>
      <c r="I8768" t="s">
        <v>172</v>
      </c>
      <c r="J8768" t="str">
        <f>"9781472437884"</f>
        <v>9781472437884</v>
      </c>
      <c r="L8768">
        <v>0</v>
      </c>
      <c r="O8768" t="s">
        <v>30</v>
      </c>
      <c r="P8768" t="s">
        <v>47</v>
      </c>
      <c r="Q8768" s="1">
        <v>42253.514988425923</v>
      </c>
      <c r="R8768">
        <v>1</v>
      </c>
      <c r="S8768" t="s">
        <v>31</v>
      </c>
      <c r="T8768" t="s">
        <v>12404</v>
      </c>
      <c r="U8768">
        <v>967.81030740000006</v>
      </c>
      <c r="V8768" s="3">
        <v>42244</v>
      </c>
    </row>
    <row r="8769" spans="1:22" x14ac:dyDescent="0.35">
      <c r="A8769" s="1">
        <v>42253.514409722222</v>
      </c>
      <c r="B8769" s="2">
        <v>5.7870370370370378E-4</v>
      </c>
      <c r="C8769" t="s">
        <v>349</v>
      </c>
      <c r="D8769" t="s">
        <v>23</v>
      </c>
      <c r="E8769" t="s">
        <v>24</v>
      </c>
      <c r="F8769" t="s">
        <v>12403</v>
      </c>
      <c r="G8769">
        <v>2079224</v>
      </c>
      <c r="H8769" t="s">
        <v>45</v>
      </c>
      <c r="I8769" t="s">
        <v>172</v>
      </c>
      <c r="J8769" t="str">
        <f>"9781472437884"</f>
        <v>9781472437884</v>
      </c>
      <c r="K8769" t="s">
        <v>33</v>
      </c>
      <c r="L8769">
        <v>3</v>
      </c>
      <c r="O8769" t="s">
        <v>30</v>
      </c>
      <c r="P8769" t="s">
        <v>50</v>
      </c>
      <c r="S8769" t="s">
        <v>31</v>
      </c>
      <c r="T8769" t="s">
        <v>12404</v>
      </c>
      <c r="U8769">
        <v>967.81030740000006</v>
      </c>
      <c r="V8769" s="3">
        <v>42244</v>
      </c>
    </row>
    <row r="8770" spans="1:22" x14ac:dyDescent="0.35">
      <c r="A8770" s="1">
        <v>42253.513738425929</v>
      </c>
      <c r="B8770" s="2">
        <v>0</v>
      </c>
      <c r="C8770" t="s">
        <v>349</v>
      </c>
      <c r="D8770" t="s">
        <v>23</v>
      </c>
      <c r="E8770" t="s">
        <v>24</v>
      </c>
      <c r="F8770" t="s">
        <v>12405</v>
      </c>
      <c r="G8770">
        <v>2095103</v>
      </c>
      <c r="H8770" t="s">
        <v>45</v>
      </c>
      <c r="I8770" t="s">
        <v>200</v>
      </c>
      <c r="J8770" t="str">
        <f>"9781472453020"</f>
        <v>9781472453020</v>
      </c>
      <c r="L8770">
        <v>0</v>
      </c>
      <c r="O8770" t="s">
        <v>28</v>
      </c>
      <c r="P8770" t="s">
        <v>47</v>
      </c>
      <c r="Q8770" s="1">
        <v>42253.513738425929</v>
      </c>
      <c r="R8770">
        <v>1</v>
      </c>
      <c r="S8770" t="s">
        <v>31</v>
      </c>
      <c r="T8770" t="s">
        <v>12406</v>
      </c>
      <c r="U8770" t="s">
        <v>12407</v>
      </c>
      <c r="V8770" s="3">
        <v>42244</v>
      </c>
    </row>
    <row r="8771" spans="1:22" x14ac:dyDescent="0.35">
      <c r="A8771" s="1">
        <v>42253.513738425929</v>
      </c>
      <c r="B8771" s="2">
        <v>0</v>
      </c>
      <c r="C8771" t="s">
        <v>349</v>
      </c>
      <c r="D8771" t="s">
        <v>23</v>
      </c>
      <c r="E8771" t="s">
        <v>24</v>
      </c>
      <c r="F8771" t="s">
        <v>12405</v>
      </c>
      <c r="G8771">
        <v>2095103</v>
      </c>
      <c r="H8771" t="s">
        <v>45</v>
      </c>
      <c r="I8771" t="s">
        <v>200</v>
      </c>
      <c r="J8771" t="str">
        <f>"9781472453020"</f>
        <v>9781472453020</v>
      </c>
      <c r="L8771">
        <v>0</v>
      </c>
      <c r="O8771" t="s">
        <v>30</v>
      </c>
      <c r="P8771" t="s">
        <v>47</v>
      </c>
      <c r="Q8771" s="1">
        <v>42253.513738425929</v>
      </c>
      <c r="R8771">
        <v>1</v>
      </c>
      <c r="S8771" t="s">
        <v>31</v>
      </c>
      <c r="T8771" t="s">
        <v>12406</v>
      </c>
      <c r="U8771" t="s">
        <v>12407</v>
      </c>
      <c r="V8771" s="3">
        <v>42244</v>
      </c>
    </row>
    <row r="8772" spans="1:22" x14ac:dyDescent="0.35">
      <c r="A8772" s="1">
        <v>42253.513344907406</v>
      </c>
      <c r="B8772" s="2">
        <v>3.9351851851851852E-4</v>
      </c>
      <c r="C8772" t="s">
        <v>349</v>
      </c>
      <c r="D8772" t="s">
        <v>23</v>
      </c>
      <c r="E8772" t="s">
        <v>24</v>
      </c>
      <c r="F8772" t="s">
        <v>12405</v>
      </c>
      <c r="G8772">
        <v>2095103</v>
      </c>
      <c r="H8772" t="s">
        <v>45</v>
      </c>
      <c r="I8772" t="s">
        <v>200</v>
      </c>
      <c r="J8772" t="str">
        <f>"9781472453020"</f>
        <v>9781472453020</v>
      </c>
      <c r="K8772" t="s">
        <v>33</v>
      </c>
      <c r="L8772">
        <v>3</v>
      </c>
      <c r="O8772" t="s">
        <v>30</v>
      </c>
      <c r="P8772" t="s">
        <v>50</v>
      </c>
      <c r="S8772" t="s">
        <v>31</v>
      </c>
      <c r="T8772" t="s">
        <v>12406</v>
      </c>
      <c r="U8772" t="s">
        <v>12407</v>
      </c>
      <c r="V8772" s="3">
        <v>42244</v>
      </c>
    </row>
    <row r="8773" spans="1:22" x14ac:dyDescent="0.35">
      <c r="A8773" s="1">
        <v>42253.512743055559</v>
      </c>
      <c r="B8773" s="2">
        <v>0</v>
      </c>
      <c r="C8773" t="s">
        <v>349</v>
      </c>
      <c r="D8773" t="s">
        <v>23</v>
      </c>
      <c r="E8773" t="s">
        <v>24</v>
      </c>
      <c r="F8773" t="s">
        <v>12408</v>
      </c>
      <c r="G8773">
        <v>2083651</v>
      </c>
      <c r="H8773" t="s">
        <v>45</v>
      </c>
      <c r="I8773" t="s">
        <v>150</v>
      </c>
      <c r="J8773" t="str">
        <f>"9781472441607"</f>
        <v>9781472441607</v>
      </c>
      <c r="L8773">
        <v>0</v>
      </c>
      <c r="O8773" t="s">
        <v>28</v>
      </c>
      <c r="P8773" t="s">
        <v>47</v>
      </c>
      <c r="Q8773" s="1">
        <v>42253.512731481482</v>
      </c>
      <c r="R8773">
        <v>1</v>
      </c>
      <c r="S8773" t="s">
        <v>31</v>
      </c>
      <c r="T8773" t="s">
        <v>12409</v>
      </c>
      <c r="U8773" t="s">
        <v>12410</v>
      </c>
      <c r="V8773" s="3">
        <v>42244</v>
      </c>
    </row>
    <row r="8774" spans="1:22" x14ac:dyDescent="0.35">
      <c r="A8774" s="1">
        <v>42253.512731481482</v>
      </c>
      <c r="B8774" s="2">
        <v>0</v>
      </c>
      <c r="C8774" t="s">
        <v>349</v>
      </c>
      <c r="D8774" t="s">
        <v>23</v>
      </c>
      <c r="E8774" t="s">
        <v>24</v>
      </c>
      <c r="F8774" t="s">
        <v>12408</v>
      </c>
      <c r="G8774">
        <v>2083651</v>
      </c>
      <c r="H8774" t="s">
        <v>45</v>
      </c>
      <c r="I8774" t="s">
        <v>150</v>
      </c>
      <c r="J8774" t="str">
        <f>"9781472441607"</f>
        <v>9781472441607</v>
      </c>
      <c r="L8774">
        <v>0</v>
      </c>
      <c r="O8774" t="s">
        <v>30</v>
      </c>
      <c r="P8774" t="s">
        <v>47</v>
      </c>
      <c r="Q8774" s="1">
        <v>42253.512731481482</v>
      </c>
      <c r="R8774">
        <v>1</v>
      </c>
      <c r="S8774" t="s">
        <v>31</v>
      </c>
      <c r="T8774" t="s">
        <v>12409</v>
      </c>
      <c r="U8774" t="s">
        <v>12410</v>
      </c>
      <c r="V8774" s="3">
        <v>42244</v>
      </c>
    </row>
    <row r="8775" spans="1:22" x14ac:dyDescent="0.35">
      <c r="A8775" s="1">
        <v>42253.512523148151</v>
      </c>
      <c r="B8775" s="2">
        <v>2.0833333333333335E-4</v>
      </c>
      <c r="C8775" t="s">
        <v>349</v>
      </c>
      <c r="D8775" t="s">
        <v>23</v>
      </c>
      <c r="E8775" t="s">
        <v>24</v>
      </c>
      <c r="F8775" t="s">
        <v>12408</v>
      </c>
      <c r="G8775">
        <v>2083651</v>
      </c>
      <c r="H8775" t="s">
        <v>45</v>
      </c>
      <c r="I8775" t="s">
        <v>150</v>
      </c>
      <c r="J8775" t="str">
        <f>"9781472441607"</f>
        <v>9781472441607</v>
      </c>
      <c r="K8775" t="s">
        <v>33</v>
      </c>
      <c r="L8775">
        <v>3</v>
      </c>
      <c r="O8775" t="s">
        <v>30</v>
      </c>
      <c r="P8775" t="s">
        <v>50</v>
      </c>
      <c r="S8775" t="s">
        <v>31</v>
      </c>
      <c r="T8775" t="s">
        <v>12409</v>
      </c>
      <c r="U8775" t="s">
        <v>12410</v>
      </c>
      <c r="V8775" s="3">
        <v>42244</v>
      </c>
    </row>
    <row r="8776" spans="1:22" x14ac:dyDescent="0.35">
      <c r="A8776" s="1">
        <v>42253.511701388888</v>
      </c>
      <c r="B8776" s="2">
        <v>0</v>
      </c>
      <c r="C8776" t="s">
        <v>349</v>
      </c>
      <c r="D8776" t="s">
        <v>23</v>
      </c>
      <c r="E8776" t="s">
        <v>24</v>
      </c>
      <c r="F8776" t="s">
        <v>12411</v>
      </c>
      <c r="G8776">
        <v>1956560</v>
      </c>
      <c r="H8776" t="s">
        <v>84</v>
      </c>
      <c r="I8776" t="s">
        <v>172</v>
      </c>
      <c r="J8776" t="str">
        <f>"9780520962149"</f>
        <v>9780520962149</v>
      </c>
      <c r="L8776">
        <v>0</v>
      </c>
      <c r="O8776" t="s">
        <v>28</v>
      </c>
      <c r="P8776" t="s">
        <v>47</v>
      </c>
      <c r="Q8776" s="1">
        <v>42253.511701388888</v>
      </c>
      <c r="R8776">
        <v>1</v>
      </c>
      <c r="S8776" t="s">
        <v>31</v>
      </c>
      <c r="T8776" t="s">
        <v>12412</v>
      </c>
      <c r="U8776" t="s">
        <v>12413</v>
      </c>
      <c r="V8776" s="3">
        <v>42296</v>
      </c>
    </row>
    <row r="8777" spans="1:22" x14ac:dyDescent="0.35">
      <c r="A8777" s="1">
        <v>42253.511701388888</v>
      </c>
      <c r="B8777" s="2">
        <v>0</v>
      </c>
      <c r="C8777" t="s">
        <v>349</v>
      </c>
      <c r="D8777" t="s">
        <v>23</v>
      </c>
      <c r="E8777" t="s">
        <v>24</v>
      </c>
      <c r="F8777" t="s">
        <v>12411</v>
      </c>
      <c r="G8777">
        <v>1956560</v>
      </c>
      <c r="H8777" t="s">
        <v>84</v>
      </c>
      <c r="I8777" t="s">
        <v>172</v>
      </c>
      <c r="J8777" t="str">
        <f>"9780520962149"</f>
        <v>9780520962149</v>
      </c>
      <c r="L8777">
        <v>0</v>
      </c>
      <c r="O8777" t="s">
        <v>30</v>
      </c>
      <c r="P8777" t="s">
        <v>47</v>
      </c>
      <c r="Q8777" s="1">
        <v>42253.511701388888</v>
      </c>
      <c r="R8777">
        <v>1</v>
      </c>
      <c r="S8777" t="s">
        <v>31</v>
      </c>
      <c r="T8777" t="s">
        <v>12412</v>
      </c>
      <c r="U8777" t="s">
        <v>12413</v>
      </c>
      <c r="V8777" s="3">
        <v>42296</v>
      </c>
    </row>
    <row r="8778" spans="1:22" x14ac:dyDescent="0.35">
      <c r="A8778" s="1">
        <v>42253.511412037034</v>
      </c>
      <c r="B8778" s="2">
        <v>2.8935185185185189E-4</v>
      </c>
      <c r="C8778" t="s">
        <v>349</v>
      </c>
      <c r="D8778" t="s">
        <v>23</v>
      </c>
      <c r="E8778" t="s">
        <v>24</v>
      </c>
      <c r="F8778" t="s">
        <v>12411</v>
      </c>
      <c r="G8778">
        <v>1956560</v>
      </c>
      <c r="H8778" t="s">
        <v>84</v>
      </c>
      <c r="I8778" t="s">
        <v>172</v>
      </c>
      <c r="J8778" t="str">
        <f>"9780520962149"</f>
        <v>9780520962149</v>
      </c>
      <c r="K8778" t="s">
        <v>33</v>
      </c>
      <c r="L8778">
        <v>3</v>
      </c>
      <c r="O8778" t="s">
        <v>30</v>
      </c>
      <c r="P8778" t="s">
        <v>50</v>
      </c>
      <c r="S8778" t="s">
        <v>31</v>
      </c>
      <c r="T8778" t="s">
        <v>12412</v>
      </c>
      <c r="U8778" t="s">
        <v>12413</v>
      </c>
      <c r="V8778" s="3">
        <v>42296</v>
      </c>
    </row>
    <row r="8779" spans="1:22" x14ac:dyDescent="0.35">
      <c r="A8779" s="1">
        <v>42253.00608796296</v>
      </c>
      <c r="B8779" s="2">
        <v>3.1250000000000001E-4</v>
      </c>
      <c r="C8779" t="s">
        <v>12414</v>
      </c>
      <c r="D8779" t="s">
        <v>125</v>
      </c>
      <c r="E8779" t="s">
        <v>126</v>
      </c>
      <c r="F8779" t="s">
        <v>12415</v>
      </c>
      <c r="G8779">
        <v>1863793</v>
      </c>
      <c r="H8779" t="s">
        <v>526</v>
      </c>
      <c r="I8779" t="s">
        <v>150</v>
      </c>
      <c r="J8779" t="str">
        <f>"9780226184036"</f>
        <v>9780226184036</v>
      </c>
      <c r="K8779" t="s">
        <v>12416</v>
      </c>
      <c r="L8779">
        <v>8</v>
      </c>
      <c r="O8779" t="s">
        <v>30</v>
      </c>
      <c r="P8779" t="s">
        <v>50</v>
      </c>
      <c r="S8779" t="s">
        <v>128</v>
      </c>
      <c r="T8779" t="s">
        <v>12417</v>
      </c>
      <c r="U8779" t="s">
        <v>12418</v>
      </c>
      <c r="V8779" s="3">
        <v>42012</v>
      </c>
    </row>
    <row r="8780" spans="1:22" x14ac:dyDescent="0.35">
      <c r="A8780" s="1">
        <v>42252.995844907404</v>
      </c>
      <c r="B8780" s="2">
        <v>3.4722222222222222E-5</v>
      </c>
      <c r="C8780" t="s">
        <v>9028</v>
      </c>
      <c r="D8780" t="s">
        <v>23</v>
      </c>
      <c r="E8780" t="s">
        <v>24</v>
      </c>
      <c r="F8780" t="s">
        <v>3640</v>
      </c>
      <c r="G8780">
        <v>1662670</v>
      </c>
      <c r="H8780" t="s">
        <v>26</v>
      </c>
      <c r="I8780" t="s">
        <v>3641</v>
      </c>
      <c r="J8780" t="str">
        <f>"9781118821251"</f>
        <v>9781118821251</v>
      </c>
      <c r="K8780" t="s">
        <v>1339</v>
      </c>
      <c r="L8780">
        <v>5</v>
      </c>
      <c r="O8780" t="s">
        <v>30</v>
      </c>
      <c r="P8780" t="s">
        <v>29</v>
      </c>
      <c r="Q8780" s="1">
        <v>42252.995833333334</v>
      </c>
      <c r="R8780">
        <v>7</v>
      </c>
      <c r="S8780" t="s">
        <v>31</v>
      </c>
      <c r="T8780" t="s">
        <v>3642</v>
      </c>
      <c r="U8780" t="s">
        <v>3643</v>
      </c>
      <c r="V8780" s="3">
        <v>41724</v>
      </c>
    </row>
    <row r="8781" spans="1:22" x14ac:dyDescent="0.35">
      <c r="A8781" s="1">
        <v>42252.975289351853</v>
      </c>
      <c r="B8781" s="2">
        <v>2.0543981481481479E-2</v>
      </c>
      <c r="C8781" t="s">
        <v>9028</v>
      </c>
      <c r="D8781" t="s">
        <v>23</v>
      </c>
      <c r="E8781" t="s">
        <v>24</v>
      </c>
      <c r="F8781" t="s">
        <v>3640</v>
      </c>
      <c r="G8781">
        <v>1662670</v>
      </c>
      <c r="H8781" t="s">
        <v>26</v>
      </c>
      <c r="I8781" t="s">
        <v>3641</v>
      </c>
      <c r="J8781" t="str">
        <f>"9781118821251"</f>
        <v>9781118821251</v>
      </c>
      <c r="K8781" t="s">
        <v>33</v>
      </c>
      <c r="L8781">
        <v>3</v>
      </c>
      <c r="O8781" t="s">
        <v>30</v>
      </c>
      <c r="P8781" t="s">
        <v>42</v>
      </c>
      <c r="S8781" t="s">
        <v>31</v>
      </c>
      <c r="T8781" t="s">
        <v>3642</v>
      </c>
      <c r="U8781" t="s">
        <v>3643</v>
      </c>
      <c r="V8781" s="3">
        <v>41724</v>
      </c>
    </row>
    <row r="8782" spans="1:22" x14ac:dyDescent="0.35">
      <c r="A8782" s="1">
        <v>42252.974594907406</v>
      </c>
      <c r="B8782" s="2">
        <v>0</v>
      </c>
      <c r="C8782" t="s">
        <v>9028</v>
      </c>
      <c r="D8782" t="s">
        <v>23</v>
      </c>
      <c r="E8782" t="s">
        <v>24</v>
      </c>
      <c r="F8782" t="s">
        <v>5036</v>
      </c>
      <c r="G8782">
        <v>1318206</v>
      </c>
      <c r="H8782" t="s">
        <v>26</v>
      </c>
      <c r="I8782" t="s">
        <v>5037</v>
      </c>
      <c r="J8782" t="str">
        <f>"9781118363560"</f>
        <v>9781118363560</v>
      </c>
      <c r="L8782">
        <v>0</v>
      </c>
      <c r="O8782" t="s">
        <v>28</v>
      </c>
      <c r="P8782" t="s">
        <v>29</v>
      </c>
      <c r="Q8782" s="1">
        <v>42252.974583333336</v>
      </c>
      <c r="R8782">
        <v>7</v>
      </c>
      <c r="S8782" t="s">
        <v>31</v>
      </c>
      <c r="T8782" t="s">
        <v>5038</v>
      </c>
      <c r="U8782" t="s">
        <v>5039</v>
      </c>
      <c r="V8782" s="3">
        <v>41470</v>
      </c>
    </row>
    <row r="8783" spans="1:22" x14ac:dyDescent="0.35">
      <c r="A8783" s="1">
        <v>42252.974594907406</v>
      </c>
      <c r="B8783" s="2">
        <v>0</v>
      </c>
      <c r="C8783" t="s">
        <v>9028</v>
      </c>
      <c r="D8783" t="s">
        <v>23</v>
      </c>
      <c r="E8783" t="s">
        <v>24</v>
      </c>
      <c r="F8783" t="s">
        <v>5036</v>
      </c>
      <c r="G8783">
        <v>1318206</v>
      </c>
      <c r="H8783" t="s">
        <v>26</v>
      </c>
      <c r="I8783" t="s">
        <v>5037</v>
      </c>
      <c r="J8783" t="str">
        <f>"9781118363560"</f>
        <v>9781118363560</v>
      </c>
      <c r="L8783">
        <v>0</v>
      </c>
      <c r="O8783" t="s">
        <v>30</v>
      </c>
      <c r="P8783" t="s">
        <v>29</v>
      </c>
      <c r="Q8783" s="1">
        <v>42252.974583333336</v>
      </c>
      <c r="R8783">
        <v>7</v>
      </c>
      <c r="S8783" t="s">
        <v>31</v>
      </c>
      <c r="T8783" t="s">
        <v>5038</v>
      </c>
      <c r="U8783" t="s">
        <v>5039</v>
      </c>
      <c r="V8783" s="3">
        <v>41470</v>
      </c>
    </row>
    <row r="8784" spans="1:22" x14ac:dyDescent="0.35">
      <c r="A8784" s="1">
        <v>42252.974444444444</v>
      </c>
      <c r="B8784" s="2">
        <v>1.3888888888888889E-4</v>
      </c>
      <c r="C8784" t="s">
        <v>9028</v>
      </c>
      <c r="D8784" t="s">
        <v>23</v>
      </c>
      <c r="E8784" t="s">
        <v>24</v>
      </c>
      <c r="F8784" t="s">
        <v>5036</v>
      </c>
      <c r="G8784">
        <v>1318206</v>
      </c>
      <c r="H8784" t="s">
        <v>26</v>
      </c>
      <c r="I8784" t="s">
        <v>5037</v>
      </c>
      <c r="J8784" t="str">
        <f>"9781118363560"</f>
        <v>9781118363560</v>
      </c>
      <c r="K8784" t="s">
        <v>33</v>
      </c>
      <c r="L8784">
        <v>3</v>
      </c>
      <c r="O8784" t="s">
        <v>30</v>
      </c>
      <c r="P8784" t="s">
        <v>42</v>
      </c>
      <c r="S8784" t="s">
        <v>31</v>
      </c>
      <c r="T8784" t="s">
        <v>5038</v>
      </c>
      <c r="U8784" t="s">
        <v>5039</v>
      </c>
      <c r="V8784" s="3">
        <v>41470</v>
      </c>
    </row>
    <row r="8785" spans="1:22" x14ac:dyDescent="0.35">
      <c r="A8785" s="1">
        <v>42252.973749999997</v>
      </c>
      <c r="B8785" s="2">
        <v>3.9351851851851852E-4</v>
      </c>
      <c r="C8785" t="s">
        <v>9028</v>
      </c>
      <c r="D8785" t="s">
        <v>23</v>
      </c>
      <c r="E8785" t="s">
        <v>24</v>
      </c>
      <c r="F8785" t="s">
        <v>1064</v>
      </c>
      <c r="G8785">
        <v>1744258</v>
      </c>
      <c r="H8785" t="s">
        <v>26</v>
      </c>
      <c r="I8785" t="s">
        <v>297</v>
      </c>
      <c r="J8785" t="str">
        <f>"9781118776162"</f>
        <v>9781118776162</v>
      </c>
      <c r="K8785" t="s">
        <v>12419</v>
      </c>
      <c r="L8785">
        <v>8</v>
      </c>
      <c r="O8785" t="s">
        <v>30</v>
      </c>
      <c r="P8785" t="s">
        <v>42</v>
      </c>
      <c r="S8785" t="s">
        <v>31</v>
      </c>
      <c r="T8785" t="s">
        <v>1066</v>
      </c>
      <c r="U8785">
        <v>513.07600000000002</v>
      </c>
      <c r="V8785" s="3">
        <v>41835</v>
      </c>
    </row>
    <row r="8786" spans="1:22" x14ac:dyDescent="0.35">
      <c r="A8786" s="1">
        <v>42252.972349537034</v>
      </c>
      <c r="B8786" s="2">
        <v>0</v>
      </c>
      <c r="C8786" t="s">
        <v>9028</v>
      </c>
      <c r="D8786" t="s">
        <v>23</v>
      </c>
      <c r="E8786" t="s">
        <v>24</v>
      </c>
      <c r="F8786" t="s">
        <v>12420</v>
      </c>
      <c r="G8786">
        <v>848520</v>
      </c>
      <c r="H8786" t="s">
        <v>26</v>
      </c>
      <c r="I8786" t="s">
        <v>297</v>
      </c>
      <c r="J8786" t="str">
        <f>"9781118274422"</f>
        <v>9781118274422</v>
      </c>
      <c r="L8786">
        <v>0</v>
      </c>
      <c r="O8786" t="s">
        <v>28</v>
      </c>
      <c r="P8786" t="s">
        <v>29</v>
      </c>
      <c r="Q8786" s="1">
        <v>42252.972349537034</v>
      </c>
      <c r="R8786">
        <v>7</v>
      </c>
      <c r="S8786" t="s">
        <v>31</v>
      </c>
      <c r="T8786" t="s">
        <v>12421</v>
      </c>
      <c r="U8786" t="s">
        <v>12422</v>
      </c>
      <c r="V8786" s="3">
        <v>40928</v>
      </c>
    </row>
    <row r="8787" spans="1:22" x14ac:dyDescent="0.35">
      <c r="A8787" s="1">
        <v>42252.972349537034</v>
      </c>
      <c r="B8787" s="2">
        <v>0</v>
      </c>
      <c r="C8787" t="s">
        <v>9028</v>
      </c>
      <c r="D8787" t="s">
        <v>23</v>
      </c>
      <c r="E8787" t="s">
        <v>24</v>
      </c>
      <c r="F8787" t="s">
        <v>12420</v>
      </c>
      <c r="G8787">
        <v>848520</v>
      </c>
      <c r="H8787" t="s">
        <v>26</v>
      </c>
      <c r="I8787" t="s">
        <v>297</v>
      </c>
      <c r="J8787" t="str">
        <f>"9781118274422"</f>
        <v>9781118274422</v>
      </c>
      <c r="L8787">
        <v>0</v>
      </c>
      <c r="O8787" t="s">
        <v>30</v>
      </c>
      <c r="P8787" t="s">
        <v>29</v>
      </c>
      <c r="Q8787" s="1">
        <v>42252.972349537034</v>
      </c>
      <c r="R8787">
        <v>7</v>
      </c>
      <c r="S8787" t="s">
        <v>31</v>
      </c>
      <c r="T8787" t="s">
        <v>12421</v>
      </c>
      <c r="U8787" t="s">
        <v>12422</v>
      </c>
      <c r="V8787" s="3">
        <v>40928</v>
      </c>
    </row>
    <row r="8788" spans="1:22" x14ac:dyDescent="0.35">
      <c r="A8788" s="1">
        <v>42252.971678240741</v>
      </c>
      <c r="B8788" s="2">
        <v>6.7129629629629625E-4</v>
      </c>
      <c r="C8788" t="s">
        <v>9028</v>
      </c>
      <c r="D8788" t="s">
        <v>23</v>
      </c>
      <c r="E8788" t="s">
        <v>24</v>
      </c>
      <c r="F8788" t="s">
        <v>12420</v>
      </c>
      <c r="G8788">
        <v>848520</v>
      </c>
      <c r="H8788" t="s">
        <v>26</v>
      </c>
      <c r="I8788" t="s">
        <v>297</v>
      </c>
      <c r="J8788" t="str">
        <f>"9781118274422"</f>
        <v>9781118274422</v>
      </c>
      <c r="K8788" t="s">
        <v>12423</v>
      </c>
      <c r="L8788">
        <v>12</v>
      </c>
      <c r="O8788" t="s">
        <v>30</v>
      </c>
      <c r="P8788" t="s">
        <v>42</v>
      </c>
      <c r="S8788" t="s">
        <v>31</v>
      </c>
      <c r="T8788" t="s">
        <v>12421</v>
      </c>
      <c r="U8788" t="s">
        <v>12422</v>
      </c>
      <c r="V8788" s="3">
        <v>40928</v>
      </c>
    </row>
    <row r="8789" spans="1:22" x14ac:dyDescent="0.35">
      <c r="A8789" s="1">
        <v>42252.970729166664</v>
      </c>
      <c r="B8789" s="2">
        <v>6.4814814814814813E-4</v>
      </c>
      <c r="C8789" t="s">
        <v>9028</v>
      </c>
      <c r="D8789" t="s">
        <v>23</v>
      </c>
      <c r="E8789" t="s">
        <v>24</v>
      </c>
      <c r="F8789" t="s">
        <v>12424</v>
      </c>
      <c r="G8789">
        <v>1721120</v>
      </c>
      <c r="H8789" t="s">
        <v>26</v>
      </c>
      <c r="I8789" t="s">
        <v>1366</v>
      </c>
      <c r="J8789" t="str">
        <f>"9781118855393"</f>
        <v>9781118855393</v>
      </c>
      <c r="K8789" t="s">
        <v>12425</v>
      </c>
      <c r="L8789">
        <v>18</v>
      </c>
      <c r="O8789" t="s">
        <v>30</v>
      </c>
      <c r="P8789" t="s">
        <v>42</v>
      </c>
      <c r="S8789" t="s">
        <v>31</v>
      </c>
      <c r="T8789" t="s">
        <v>12426</v>
      </c>
      <c r="U8789" t="s">
        <v>12427</v>
      </c>
      <c r="V8789" s="3">
        <v>41813</v>
      </c>
    </row>
    <row r="8790" spans="1:22" x14ac:dyDescent="0.35">
      <c r="A8790" s="1">
        <v>42252.942291666666</v>
      </c>
      <c r="B8790" s="2">
        <v>1.6087962962962963E-3</v>
      </c>
      <c r="C8790" t="s">
        <v>12428</v>
      </c>
      <c r="D8790" t="s">
        <v>1222</v>
      </c>
      <c r="E8790" t="s">
        <v>1223</v>
      </c>
      <c r="F8790" t="s">
        <v>3275</v>
      </c>
      <c r="G8790">
        <v>822662</v>
      </c>
      <c r="H8790" t="s">
        <v>26</v>
      </c>
      <c r="I8790" t="s">
        <v>172</v>
      </c>
      <c r="J8790" t="str">
        <f>"9781444355130"</f>
        <v>9781444355130</v>
      </c>
      <c r="K8790" t="s">
        <v>12429</v>
      </c>
      <c r="L8790">
        <v>14</v>
      </c>
      <c r="O8790" t="s">
        <v>30</v>
      </c>
      <c r="P8790" t="s">
        <v>42</v>
      </c>
      <c r="S8790" t="s">
        <v>1226</v>
      </c>
      <c r="T8790" t="s">
        <v>3277</v>
      </c>
      <c r="U8790">
        <v>960.3</v>
      </c>
      <c r="V8790" s="3">
        <v>40858</v>
      </c>
    </row>
    <row r="8791" spans="1:22" x14ac:dyDescent="0.35">
      <c r="A8791" s="1">
        <v>42252.827604166669</v>
      </c>
      <c r="B8791" s="2">
        <v>0</v>
      </c>
      <c r="C8791" t="s">
        <v>11157</v>
      </c>
      <c r="D8791" t="s">
        <v>360</v>
      </c>
      <c r="E8791" t="s">
        <v>361</v>
      </c>
      <c r="F8791" t="s">
        <v>12430</v>
      </c>
      <c r="G8791">
        <v>2038607</v>
      </c>
      <c r="H8791" t="s">
        <v>45</v>
      </c>
      <c r="I8791" t="s">
        <v>12379</v>
      </c>
      <c r="J8791" t="str">
        <f>"9781472425195"</f>
        <v>9781472425195</v>
      </c>
      <c r="L8791">
        <v>0</v>
      </c>
      <c r="O8791" t="s">
        <v>28</v>
      </c>
      <c r="P8791" t="s">
        <v>47</v>
      </c>
      <c r="Q8791" s="1">
        <v>42252.827604166669</v>
      </c>
      <c r="R8791">
        <v>1</v>
      </c>
      <c r="S8791" t="s">
        <v>363</v>
      </c>
      <c r="T8791">
        <v>2014036127</v>
      </c>
      <c r="U8791">
        <v>69.093999999999994</v>
      </c>
      <c r="V8791" s="3">
        <v>42152</v>
      </c>
    </row>
    <row r="8792" spans="1:22" x14ac:dyDescent="0.35">
      <c r="A8792" s="1">
        <v>42252.827604166669</v>
      </c>
      <c r="B8792" s="2">
        <v>0</v>
      </c>
      <c r="C8792" t="s">
        <v>11157</v>
      </c>
      <c r="D8792" t="s">
        <v>360</v>
      </c>
      <c r="E8792" t="s">
        <v>361</v>
      </c>
      <c r="F8792" t="s">
        <v>12430</v>
      </c>
      <c r="G8792">
        <v>2038607</v>
      </c>
      <c r="H8792" t="s">
        <v>45</v>
      </c>
      <c r="I8792" t="s">
        <v>12379</v>
      </c>
      <c r="J8792" t="str">
        <f>"9781472425195"</f>
        <v>9781472425195</v>
      </c>
      <c r="L8792">
        <v>0</v>
      </c>
      <c r="O8792" t="s">
        <v>30</v>
      </c>
      <c r="P8792" t="s">
        <v>47</v>
      </c>
      <c r="Q8792" s="1">
        <v>42252.827604166669</v>
      </c>
      <c r="R8792">
        <v>1</v>
      </c>
      <c r="S8792" t="s">
        <v>363</v>
      </c>
      <c r="T8792">
        <v>2014036127</v>
      </c>
      <c r="U8792">
        <v>69.093999999999994</v>
      </c>
      <c r="V8792" s="3">
        <v>42152</v>
      </c>
    </row>
    <row r="8793" spans="1:22" x14ac:dyDescent="0.35">
      <c r="A8793" s="1">
        <v>42252.82675925926</v>
      </c>
      <c r="B8793" s="2">
        <v>8.449074074074075E-4</v>
      </c>
      <c r="C8793" t="s">
        <v>11157</v>
      </c>
      <c r="D8793" t="s">
        <v>360</v>
      </c>
      <c r="E8793" t="s">
        <v>361</v>
      </c>
      <c r="F8793" t="s">
        <v>12430</v>
      </c>
      <c r="G8793">
        <v>2038607</v>
      </c>
      <c r="H8793" t="s">
        <v>45</v>
      </c>
      <c r="I8793" t="s">
        <v>12379</v>
      </c>
      <c r="J8793" t="str">
        <f>"9781472425195"</f>
        <v>9781472425195</v>
      </c>
      <c r="K8793" t="s">
        <v>1278</v>
      </c>
      <c r="L8793">
        <v>3</v>
      </c>
      <c r="O8793" t="s">
        <v>30</v>
      </c>
      <c r="P8793" t="s">
        <v>50</v>
      </c>
      <c r="S8793" t="s">
        <v>363</v>
      </c>
      <c r="T8793">
        <v>2014036127</v>
      </c>
      <c r="U8793">
        <v>69.093999999999994</v>
      </c>
      <c r="V8793" s="3">
        <v>42152</v>
      </c>
    </row>
    <row r="8794" spans="1:22" x14ac:dyDescent="0.35">
      <c r="A8794" s="1">
        <v>42252.804768518516</v>
      </c>
      <c r="B8794" s="2">
        <v>1.4699074074074074E-3</v>
      </c>
      <c r="C8794" t="s">
        <v>7408</v>
      </c>
      <c r="D8794" t="s">
        <v>23</v>
      </c>
      <c r="E8794" t="s">
        <v>24</v>
      </c>
      <c r="F8794" t="s">
        <v>486</v>
      </c>
      <c r="G8794">
        <v>1119505</v>
      </c>
      <c r="H8794" t="s">
        <v>26</v>
      </c>
      <c r="I8794" t="s">
        <v>450</v>
      </c>
      <c r="J8794" t="str">
        <f>"9781118355015"</f>
        <v>9781118355015</v>
      </c>
      <c r="K8794" t="s">
        <v>12431</v>
      </c>
      <c r="L8794">
        <v>12</v>
      </c>
      <c r="N8794" t="s">
        <v>12432</v>
      </c>
      <c r="O8794" t="s">
        <v>30</v>
      </c>
      <c r="P8794" t="s">
        <v>29</v>
      </c>
      <c r="Q8794" s="1">
        <v>42251.867731481485</v>
      </c>
      <c r="R8794">
        <v>7</v>
      </c>
      <c r="S8794" t="s">
        <v>31</v>
      </c>
      <c r="T8794" t="s">
        <v>487</v>
      </c>
      <c r="U8794" t="s">
        <v>488</v>
      </c>
      <c r="V8794" s="3">
        <v>41302</v>
      </c>
    </row>
    <row r="8795" spans="1:22" x14ac:dyDescent="0.35">
      <c r="A8795" s="1">
        <v>42252.801377314812</v>
      </c>
      <c r="B8795" s="2">
        <v>0</v>
      </c>
      <c r="C8795" t="s">
        <v>11157</v>
      </c>
      <c r="D8795" t="s">
        <v>360</v>
      </c>
      <c r="E8795" t="s">
        <v>361</v>
      </c>
      <c r="F8795" t="s">
        <v>12433</v>
      </c>
      <c r="G8795">
        <v>2079221</v>
      </c>
      <c r="H8795" t="s">
        <v>45</v>
      </c>
      <c r="I8795" t="s">
        <v>85</v>
      </c>
      <c r="J8795" t="str">
        <f>"9781409458043"</f>
        <v>9781409458043</v>
      </c>
      <c r="L8795">
        <v>0</v>
      </c>
      <c r="O8795" t="s">
        <v>28</v>
      </c>
      <c r="P8795" t="s">
        <v>47</v>
      </c>
      <c r="Q8795" s="1">
        <v>42252.801377314812</v>
      </c>
      <c r="R8795">
        <v>1</v>
      </c>
      <c r="S8795" t="s">
        <v>363</v>
      </c>
      <c r="T8795" t="s">
        <v>12434</v>
      </c>
      <c r="U8795">
        <v>304.8</v>
      </c>
      <c r="V8795" s="3">
        <v>42244</v>
      </c>
    </row>
    <row r="8796" spans="1:22" x14ac:dyDescent="0.35">
      <c r="A8796" s="1">
        <v>42252.801377314812</v>
      </c>
      <c r="B8796" s="2">
        <v>0</v>
      </c>
      <c r="C8796" t="s">
        <v>11157</v>
      </c>
      <c r="D8796" t="s">
        <v>360</v>
      </c>
      <c r="E8796" t="s">
        <v>361</v>
      </c>
      <c r="F8796" t="s">
        <v>12433</v>
      </c>
      <c r="G8796">
        <v>2079221</v>
      </c>
      <c r="H8796" t="s">
        <v>45</v>
      </c>
      <c r="I8796" t="s">
        <v>85</v>
      </c>
      <c r="J8796" t="str">
        <f>"9781409458043"</f>
        <v>9781409458043</v>
      </c>
      <c r="L8796">
        <v>0</v>
      </c>
      <c r="O8796" t="s">
        <v>30</v>
      </c>
      <c r="P8796" t="s">
        <v>47</v>
      </c>
      <c r="Q8796" s="1">
        <v>42252.801377314812</v>
      </c>
      <c r="R8796">
        <v>1</v>
      </c>
      <c r="S8796" t="s">
        <v>363</v>
      </c>
      <c r="T8796" t="s">
        <v>12434</v>
      </c>
      <c r="U8796">
        <v>304.8</v>
      </c>
      <c r="V8796" s="3">
        <v>42244</v>
      </c>
    </row>
    <row r="8797" spans="1:22" x14ac:dyDescent="0.35">
      <c r="A8797" s="1">
        <v>42252.798726851855</v>
      </c>
      <c r="B8797" s="2">
        <v>2.6504629629629625E-3</v>
      </c>
      <c r="C8797" t="s">
        <v>11157</v>
      </c>
      <c r="D8797" t="s">
        <v>360</v>
      </c>
      <c r="E8797" t="s">
        <v>361</v>
      </c>
      <c r="F8797" t="s">
        <v>12433</v>
      </c>
      <c r="G8797">
        <v>2079221</v>
      </c>
      <c r="H8797" t="s">
        <v>45</v>
      </c>
      <c r="I8797" t="s">
        <v>85</v>
      </c>
      <c r="J8797" t="str">
        <f>"9781409458043"</f>
        <v>9781409458043</v>
      </c>
      <c r="K8797" t="s">
        <v>1278</v>
      </c>
      <c r="L8797">
        <v>3</v>
      </c>
      <c r="O8797" t="s">
        <v>30</v>
      </c>
      <c r="P8797" t="s">
        <v>50</v>
      </c>
      <c r="S8797" t="s">
        <v>363</v>
      </c>
      <c r="T8797" t="s">
        <v>12434</v>
      </c>
      <c r="U8797">
        <v>304.8</v>
      </c>
      <c r="V8797" s="3">
        <v>42244</v>
      </c>
    </row>
    <row r="8798" spans="1:22" x14ac:dyDescent="0.35">
      <c r="A8798" s="1">
        <v>42252.796689814815</v>
      </c>
      <c r="B8798" s="2">
        <v>0</v>
      </c>
      <c r="C8798" t="s">
        <v>11157</v>
      </c>
      <c r="D8798" t="s">
        <v>360</v>
      </c>
      <c r="E8798" t="s">
        <v>361</v>
      </c>
      <c r="F8798" t="s">
        <v>12435</v>
      </c>
      <c r="G8798">
        <v>1318190</v>
      </c>
      <c r="H8798" t="s">
        <v>84</v>
      </c>
      <c r="I8798" t="s">
        <v>172</v>
      </c>
      <c r="J8798" t="str">
        <f>"9780520956865"</f>
        <v>9780520956865</v>
      </c>
      <c r="L8798">
        <v>0</v>
      </c>
      <c r="O8798" t="s">
        <v>28</v>
      </c>
      <c r="P8798" t="s">
        <v>47</v>
      </c>
      <c r="Q8798" s="1">
        <v>42252.796689814815</v>
      </c>
      <c r="R8798">
        <v>1</v>
      </c>
      <c r="S8798" t="s">
        <v>363</v>
      </c>
      <c r="T8798" t="s">
        <v>12436</v>
      </c>
      <c r="U8798">
        <v>986.6</v>
      </c>
      <c r="V8798" s="3">
        <v>41489</v>
      </c>
    </row>
    <row r="8799" spans="1:22" x14ac:dyDescent="0.35">
      <c r="A8799" s="1">
        <v>42252.796689814815</v>
      </c>
      <c r="B8799" s="2">
        <v>0</v>
      </c>
      <c r="C8799" t="s">
        <v>11157</v>
      </c>
      <c r="D8799" t="s">
        <v>360</v>
      </c>
      <c r="E8799" t="s">
        <v>361</v>
      </c>
      <c r="F8799" t="s">
        <v>12435</v>
      </c>
      <c r="G8799">
        <v>1318190</v>
      </c>
      <c r="H8799" t="s">
        <v>84</v>
      </c>
      <c r="I8799" t="s">
        <v>172</v>
      </c>
      <c r="J8799" t="str">
        <f>"9780520956865"</f>
        <v>9780520956865</v>
      </c>
      <c r="L8799">
        <v>0</v>
      </c>
      <c r="O8799" t="s">
        <v>30</v>
      </c>
      <c r="P8799" t="s">
        <v>47</v>
      </c>
      <c r="Q8799" s="1">
        <v>42252.796689814815</v>
      </c>
      <c r="R8799">
        <v>1</v>
      </c>
      <c r="S8799" t="s">
        <v>363</v>
      </c>
      <c r="T8799" t="s">
        <v>12436</v>
      </c>
      <c r="U8799">
        <v>986.6</v>
      </c>
      <c r="V8799" s="3">
        <v>41489</v>
      </c>
    </row>
    <row r="8800" spans="1:22" x14ac:dyDescent="0.35">
      <c r="A8800" s="1">
        <v>42252.792581018519</v>
      </c>
      <c r="B8800" s="2">
        <v>4.108796296296297E-3</v>
      </c>
      <c r="C8800" t="s">
        <v>11157</v>
      </c>
      <c r="D8800" t="s">
        <v>360</v>
      </c>
      <c r="E8800" t="s">
        <v>361</v>
      </c>
      <c r="F8800" t="s">
        <v>12435</v>
      </c>
      <c r="G8800">
        <v>1318190</v>
      </c>
      <c r="H8800" t="s">
        <v>84</v>
      </c>
      <c r="I8800" t="s">
        <v>172</v>
      </c>
      <c r="J8800" t="str">
        <f>"9780520956865"</f>
        <v>9780520956865</v>
      </c>
      <c r="K8800" t="s">
        <v>33</v>
      </c>
      <c r="L8800">
        <v>3</v>
      </c>
      <c r="O8800" t="s">
        <v>30</v>
      </c>
      <c r="P8800" t="s">
        <v>50</v>
      </c>
      <c r="S8800" t="s">
        <v>363</v>
      </c>
      <c r="T8800" t="s">
        <v>12436</v>
      </c>
      <c r="U8800">
        <v>986.6</v>
      </c>
      <c r="V8800" s="3">
        <v>41489</v>
      </c>
    </row>
    <row r="8801" spans="1:22" x14ac:dyDescent="0.35">
      <c r="A8801" s="1">
        <v>42252.782048611109</v>
      </c>
      <c r="B8801" s="2">
        <v>0</v>
      </c>
      <c r="C8801" t="s">
        <v>11157</v>
      </c>
      <c r="D8801" t="s">
        <v>360</v>
      </c>
      <c r="E8801" t="s">
        <v>361</v>
      </c>
      <c r="F8801" t="s">
        <v>12437</v>
      </c>
      <c r="G8801">
        <v>1566103</v>
      </c>
      <c r="H8801" t="s">
        <v>45</v>
      </c>
      <c r="I8801" t="s">
        <v>120</v>
      </c>
      <c r="J8801" t="str">
        <f>"9781409464594"</f>
        <v>9781409464594</v>
      </c>
      <c r="L8801">
        <v>0</v>
      </c>
      <c r="O8801" t="s">
        <v>28</v>
      </c>
      <c r="P8801" t="s">
        <v>47</v>
      </c>
      <c r="Q8801" s="1">
        <v>42252.782048611109</v>
      </c>
      <c r="R8801">
        <v>1</v>
      </c>
      <c r="S8801" t="s">
        <v>363</v>
      </c>
      <c r="T8801" t="s">
        <v>12438</v>
      </c>
      <c r="U8801" t="s">
        <v>12439</v>
      </c>
      <c r="V8801" s="3">
        <v>41667</v>
      </c>
    </row>
    <row r="8802" spans="1:22" x14ac:dyDescent="0.35">
      <c r="A8802" s="1">
        <v>42252.782048611109</v>
      </c>
      <c r="B8802" s="2">
        <v>0</v>
      </c>
      <c r="C8802" t="s">
        <v>11157</v>
      </c>
      <c r="D8802" t="s">
        <v>360</v>
      </c>
      <c r="E8802" t="s">
        <v>361</v>
      </c>
      <c r="F8802" t="s">
        <v>12437</v>
      </c>
      <c r="G8802">
        <v>1566103</v>
      </c>
      <c r="H8802" t="s">
        <v>45</v>
      </c>
      <c r="I8802" t="s">
        <v>120</v>
      </c>
      <c r="J8802" t="str">
        <f>"9781409464594"</f>
        <v>9781409464594</v>
      </c>
      <c r="L8802">
        <v>0</v>
      </c>
      <c r="O8802" t="s">
        <v>30</v>
      </c>
      <c r="P8802" t="s">
        <v>47</v>
      </c>
      <c r="Q8802" s="1">
        <v>42252.782048611109</v>
      </c>
      <c r="R8802">
        <v>1</v>
      </c>
      <c r="S8802" t="s">
        <v>363</v>
      </c>
      <c r="T8802" t="s">
        <v>12438</v>
      </c>
      <c r="U8802" t="s">
        <v>12439</v>
      </c>
      <c r="V8802" s="3">
        <v>41667</v>
      </c>
    </row>
    <row r="8803" spans="1:22" x14ac:dyDescent="0.35">
      <c r="A8803" s="1">
        <v>42252.78162037037</v>
      </c>
      <c r="B8803" s="2">
        <v>4.2824074074074075E-4</v>
      </c>
      <c r="C8803" t="s">
        <v>11157</v>
      </c>
      <c r="D8803" t="s">
        <v>360</v>
      </c>
      <c r="E8803" t="s">
        <v>361</v>
      </c>
      <c r="F8803" t="s">
        <v>12437</v>
      </c>
      <c r="G8803">
        <v>1566103</v>
      </c>
      <c r="H8803" t="s">
        <v>45</v>
      </c>
      <c r="I8803" t="s">
        <v>120</v>
      </c>
      <c r="J8803" t="str">
        <f>"9781409464594"</f>
        <v>9781409464594</v>
      </c>
      <c r="K8803" t="s">
        <v>11201</v>
      </c>
      <c r="L8803">
        <v>3</v>
      </c>
      <c r="O8803" t="s">
        <v>30</v>
      </c>
      <c r="P8803" t="s">
        <v>50</v>
      </c>
      <c r="S8803" t="s">
        <v>363</v>
      </c>
      <c r="T8803" t="s">
        <v>12438</v>
      </c>
      <c r="U8803" t="s">
        <v>12439</v>
      </c>
      <c r="V8803" s="3">
        <v>41667</v>
      </c>
    </row>
    <row r="8804" spans="1:22" x14ac:dyDescent="0.35">
      <c r="A8804" s="1">
        <v>42252.71130787037</v>
      </c>
      <c r="B8804" s="2">
        <v>9.3333333333333338E-2</v>
      </c>
      <c r="C8804" t="s">
        <v>7408</v>
      </c>
      <c r="D8804" t="s">
        <v>23</v>
      </c>
      <c r="E8804" t="s">
        <v>24</v>
      </c>
      <c r="F8804" t="s">
        <v>486</v>
      </c>
      <c r="G8804">
        <v>1119505</v>
      </c>
      <c r="H8804" t="s">
        <v>26</v>
      </c>
      <c r="I8804" t="s">
        <v>450</v>
      </c>
      <c r="J8804" t="str">
        <f t="shared" ref="J8804:J8811" si="63">"9781118355015"</f>
        <v>9781118355015</v>
      </c>
      <c r="K8804" t="s">
        <v>12440</v>
      </c>
      <c r="L8804">
        <v>32</v>
      </c>
      <c r="O8804" t="s">
        <v>30</v>
      </c>
      <c r="P8804" t="s">
        <v>29</v>
      </c>
      <c r="Q8804" s="1">
        <v>42251.867731481485</v>
      </c>
      <c r="R8804">
        <v>7</v>
      </c>
      <c r="S8804" t="s">
        <v>31</v>
      </c>
      <c r="T8804" t="s">
        <v>487</v>
      </c>
      <c r="U8804" t="s">
        <v>488</v>
      </c>
      <c r="V8804" s="3">
        <v>41302</v>
      </c>
    </row>
    <row r="8805" spans="1:22" x14ac:dyDescent="0.35">
      <c r="A8805" s="1">
        <v>42252.692314814813</v>
      </c>
      <c r="B8805" s="2">
        <v>3.0092592592592595E-4</v>
      </c>
      <c r="C8805" t="s">
        <v>106</v>
      </c>
      <c r="D8805" t="s">
        <v>23</v>
      </c>
      <c r="E8805" t="s">
        <v>24</v>
      </c>
      <c r="F8805" t="s">
        <v>486</v>
      </c>
      <c r="G8805">
        <v>1119505</v>
      </c>
      <c r="H8805" t="s">
        <v>26</v>
      </c>
      <c r="I8805" t="s">
        <v>450</v>
      </c>
      <c r="J8805" t="str">
        <f t="shared" si="63"/>
        <v>9781118355015</v>
      </c>
      <c r="K8805" t="s">
        <v>12441</v>
      </c>
      <c r="L8805">
        <v>9</v>
      </c>
      <c r="N8805" t="s">
        <v>12442</v>
      </c>
      <c r="O8805" t="s">
        <v>30</v>
      </c>
      <c r="P8805" t="s">
        <v>29</v>
      </c>
      <c r="Q8805" s="1">
        <v>42250.739131944443</v>
      </c>
      <c r="R8805">
        <v>7</v>
      </c>
      <c r="S8805" t="s">
        <v>31</v>
      </c>
      <c r="T8805" t="s">
        <v>487</v>
      </c>
      <c r="U8805" t="s">
        <v>488</v>
      </c>
      <c r="V8805" s="3">
        <v>41302</v>
      </c>
    </row>
    <row r="8806" spans="1:22" x14ac:dyDescent="0.35">
      <c r="A8806" s="1">
        <v>42252.690636574072</v>
      </c>
      <c r="B8806" s="2">
        <v>6.9444444444444444E-5</v>
      </c>
      <c r="C8806" t="s">
        <v>106</v>
      </c>
      <c r="D8806" t="s">
        <v>23</v>
      </c>
      <c r="E8806" t="s">
        <v>24</v>
      </c>
      <c r="F8806" t="s">
        <v>486</v>
      </c>
      <c r="G8806">
        <v>1119505</v>
      </c>
      <c r="H8806" t="s">
        <v>26</v>
      </c>
      <c r="I8806" t="s">
        <v>450</v>
      </c>
      <c r="J8806" t="str">
        <f t="shared" si="63"/>
        <v>9781118355015</v>
      </c>
      <c r="K8806" t="s">
        <v>33</v>
      </c>
      <c r="L8806">
        <v>3</v>
      </c>
      <c r="O8806" t="s">
        <v>30</v>
      </c>
      <c r="P8806" t="s">
        <v>29</v>
      </c>
      <c r="Q8806" s="1">
        <v>42250.739131944443</v>
      </c>
      <c r="R8806">
        <v>7</v>
      </c>
      <c r="S8806" t="s">
        <v>31</v>
      </c>
      <c r="T8806" t="s">
        <v>487</v>
      </c>
      <c r="U8806" t="s">
        <v>488</v>
      </c>
      <c r="V8806" s="3">
        <v>41302</v>
      </c>
    </row>
    <row r="8807" spans="1:22" x14ac:dyDescent="0.35">
      <c r="A8807" s="1">
        <v>42252.676493055558</v>
      </c>
      <c r="B8807" s="2">
        <v>0</v>
      </c>
      <c r="C8807" t="s">
        <v>106</v>
      </c>
      <c r="D8807" t="s">
        <v>23</v>
      </c>
      <c r="E8807" t="s">
        <v>24</v>
      </c>
      <c r="F8807" t="s">
        <v>486</v>
      </c>
      <c r="G8807">
        <v>1119505</v>
      </c>
      <c r="H8807" t="s">
        <v>26</v>
      </c>
      <c r="I8807" t="s">
        <v>450</v>
      </c>
      <c r="J8807" t="str">
        <f t="shared" si="63"/>
        <v>9781118355015</v>
      </c>
      <c r="L8807">
        <v>0</v>
      </c>
      <c r="O8807" t="s">
        <v>28</v>
      </c>
      <c r="P8807" t="s">
        <v>29</v>
      </c>
      <c r="Q8807" s="1">
        <v>42250.739131944443</v>
      </c>
      <c r="R8807">
        <v>7</v>
      </c>
      <c r="S8807" t="s">
        <v>31</v>
      </c>
      <c r="T8807" t="s">
        <v>487</v>
      </c>
      <c r="U8807" t="s">
        <v>488</v>
      </c>
      <c r="V8807" s="3">
        <v>41302</v>
      </c>
    </row>
    <row r="8808" spans="1:22" x14ac:dyDescent="0.35">
      <c r="A8808" s="1">
        <v>42252.675254629627</v>
      </c>
      <c r="B8808" s="2">
        <v>0</v>
      </c>
      <c r="C8808" t="s">
        <v>106</v>
      </c>
      <c r="D8808" t="s">
        <v>23</v>
      </c>
      <c r="E8808" t="s">
        <v>24</v>
      </c>
      <c r="F8808" t="s">
        <v>486</v>
      </c>
      <c r="G8808">
        <v>1119505</v>
      </c>
      <c r="H8808" t="s">
        <v>26</v>
      </c>
      <c r="I8808" t="s">
        <v>450</v>
      </c>
      <c r="J8808" t="str">
        <f t="shared" si="63"/>
        <v>9781118355015</v>
      </c>
      <c r="L8808">
        <v>0</v>
      </c>
      <c r="O8808" t="s">
        <v>28</v>
      </c>
      <c r="P8808" t="s">
        <v>29</v>
      </c>
      <c r="Q8808" s="1">
        <v>42250.739131944443</v>
      </c>
      <c r="R8808">
        <v>7</v>
      </c>
      <c r="S8808" t="s">
        <v>31</v>
      </c>
      <c r="T8808" t="s">
        <v>487</v>
      </c>
      <c r="U8808" t="s">
        <v>488</v>
      </c>
      <c r="V8808" s="3">
        <v>41302</v>
      </c>
    </row>
    <row r="8809" spans="1:22" x14ac:dyDescent="0.35">
      <c r="A8809" s="1">
        <v>42252.664212962962</v>
      </c>
      <c r="B8809" s="2">
        <v>1.0925925925925924E-2</v>
      </c>
      <c r="C8809" t="s">
        <v>106</v>
      </c>
      <c r="D8809" t="s">
        <v>23</v>
      </c>
      <c r="E8809" t="s">
        <v>24</v>
      </c>
      <c r="F8809" t="s">
        <v>486</v>
      </c>
      <c r="G8809">
        <v>1119505</v>
      </c>
      <c r="H8809" t="s">
        <v>26</v>
      </c>
      <c r="I8809" t="s">
        <v>450</v>
      </c>
      <c r="J8809" t="str">
        <f t="shared" si="63"/>
        <v>9781118355015</v>
      </c>
      <c r="K8809" t="s">
        <v>12443</v>
      </c>
      <c r="L8809">
        <v>16</v>
      </c>
      <c r="O8809" t="s">
        <v>30</v>
      </c>
      <c r="P8809" t="s">
        <v>29</v>
      </c>
      <c r="Q8809" s="1">
        <v>42250.739131944443</v>
      </c>
      <c r="R8809">
        <v>7</v>
      </c>
      <c r="S8809" t="s">
        <v>31</v>
      </c>
      <c r="T8809" t="s">
        <v>487</v>
      </c>
      <c r="U8809" t="s">
        <v>488</v>
      </c>
      <c r="V8809" s="3">
        <v>41302</v>
      </c>
    </row>
    <row r="8810" spans="1:22" x14ac:dyDescent="0.35">
      <c r="A8810" s="1">
        <v>42252.656354166669</v>
      </c>
      <c r="B8810" s="2">
        <v>4.6296296296296294E-5</v>
      </c>
      <c r="C8810" t="s">
        <v>106</v>
      </c>
      <c r="D8810" t="s">
        <v>23</v>
      </c>
      <c r="E8810" t="s">
        <v>24</v>
      </c>
      <c r="F8810" t="s">
        <v>486</v>
      </c>
      <c r="G8810">
        <v>1119505</v>
      </c>
      <c r="H8810" t="s">
        <v>26</v>
      </c>
      <c r="I8810" t="s">
        <v>450</v>
      </c>
      <c r="J8810" t="str">
        <f t="shared" si="63"/>
        <v>9781118355015</v>
      </c>
      <c r="K8810" t="s">
        <v>33</v>
      </c>
      <c r="L8810">
        <v>3</v>
      </c>
      <c r="O8810" t="s">
        <v>30</v>
      </c>
      <c r="P8810" t="s">
        <v>29</v>
      </c>
      <c r="Q8810" s="1">
        <v>42250.739131944443</v>
      </c>
      <c r="R8810">
        <v>7</v>
      </c>
      <c r="S8810" t="s">
        <v>31</v>
      </c>
      <c r="T8810" t="s">
        <v>487</v>
      </c>
      <c r="U8810" t="s">
        <v>488</v>
      </c>
      <c r="V8810" s="3">
        <v>41302</v>
      </c>
    </row>
    <row r="8811" spans="1:22" x14ac:dyDescent="0.35">
      <c r="A8811" s="1">
        <v>42252.623379629629</v>
      </c>
      <c r="B8811" s="2">
        <v>2.855324074074074E-2</v>
      </c>
      <c r="C8811" t="s">
        <v>7408</v>
      </c>
      <c r="D8811" t="s">
        <v>23</v>
      </c>
      <c r="E8811" t="s">
        <v>24</v>
      </c>
      <c r="F8811" t="s">
        <v>486</v>
      </c>
      <c r="G8811">
        <v>1119505</v>
      </c>
      <c r="H8811" t="s">
        <v>26</v>
      </c>
      <c r="I8811" t="s">
        <v>450</v>
      </c>
      <c r="J8811" t="str">
        <f t="shared" si="63"/>
        <v>9781118355015</v>
      </c>
      <c r="K8811" t="s">
        <v>12444</v>
      </c>
      <c r="L8811">
        <v>12</v>
      </c>
      <c r="O8811" t="s">
        <v>30</v>
      </c>
      <c r="P8811" t="s">
        <v>29</v>
      </c>
      <c r="Q8811" s="1">
        <v>42251.867731481485</v>
      </c>
      <c r="R8811">
        <v>7</v>
      </c>
      <c r="S8811" t="s">
        <v>31</v>
      </c>
      <c r="T8811" t="s">
        <v>487</v>
      </c>
      <c r="U8811" t="s">
        <v>488</v>
      </c>
      <c r="V8811" s="3">
        <v>41302</v>
      </c>
    </row>
    <row r="8812" spans="1:22" x14ac:dyDescent="0.35">
      <c r="A8812" s="1">
        <v>42252.617592592593</v>
      </c>
      <c r="B8812" s="2">
        <v>1.5046296296296297E-4</v>
      </c>
      <c r="C8812" t="s">
        <v>12445</v>
      </c>
      <c r="D8812" t="s">
        <v>23</v>
      </c>
      <c r="E8812" t="s">
        <v>24</v>
      </c>
      <c r="F8812" t="s">
        <v>1051</v>
      </c>
      <c r="G8812">
        <v>821663</v>
      </c>
      <c r="H8812" t="s">
        <v>26</v>
      </c>
      <c r="I8812" t="s">
        <v>200</v>
      </c>
      <c r="J8812" t="str">
        <f>"9781118168479"</f>
        <v>9781118168479</v>
      </c>
      <c r="K8812" t="s">
        <v>33</v>
      </c>
      <c r="L8812">
        <v>3</v>
      </c>
      <c r="O8812" t="s">
        <v>30</v>
      </c>
      <c r="P8812" t="s">
        <v>42</v>
      </c>
      <c r="S8812" t="s">
        <v>31</v>
      </c>
      <c r="T8812" t="s">
        <v>1053</v>
      </c>
      <c r="U8812">
        <v>729</v>
      </c>
      <c r="V8812" s="3">
        <v>40973</v>
      </c>
    </row>
    <row r="8813" spans="1:22" x14ac:dyDescent="0.35">
      <c r="A8813" s="1">
        <v>42252.611273148148</v>
      </c>
      <c r="B8813" s="2">
        <v>0</v>
      </c>
      <c r="C8813" t="s">
        <v>6518</v>
      </c>
      <c r="D8813" t="s">
        <v>23</v>
      </c>
      <c r="E8813" t="s">
        <v>24</v>
      </c>
      <c r="F8813" t="s">
        <v>486</v>
      </c>
      <c r="G8813">
        <v>1119505</v>
      </c>
      <c r="H8813" t="s">
        <v>26</v>
      </c>
      <c r="I8813" t="s">
        <v>450</v>
      </c>
      <c r="J8813" t="str">
        <f>"9781118355015"</f>
        <v>9781118355015</v>
      </c>
      <c r="L8813">
        <v>0</v>
      </c>
      <c r="N8813" t="s">
        <v>12432</v>
      </c>
      <c r="O8813" t="s">
        <v>30</v>
      </c>
      <c r="P8813" t="s">
        <v>29</v>
      </c>
      <c r="Q8813" s="1">
        <v>42252.611261574071</v>
      </c>
      <c r="R8813">
        <v>7</v>
      </c>
      <c r="S8813" t="s">
        <v>31</v>
      </c>
      <c r="T8813" t="s">
        <v>487</v>
      </c>
      <c r="U8813" t="s">
        <v>488</v>
      </c>
      <c r="V8813" s="3">
        <v>41302</v>
      </c>
    </row>
    <row r="8814" spans="1:22" x14ac:dyDescent="0.35">
      <c r="A8814" s="1">
        <v>42252.611006944448</v>
      </c>
      <c r="B8814" s="2">
        <v>1.5046296296296297E-4</v>
      </c>
      <c r="C8814" t="s">
        <v>6518</v>
      </c>
      <c r="D8814" t="s">
        <v>23</v>
      </c>
      <c r="E8814" t="s">
        <v>24</v>
      </c>
      <c r="F8814" t="s">
        <v>486</v>
      </c>
      <c r="G8814">
        <v>1119505</v>
      </c>
      <c r="H8814" t="s">
        <v>26</v>
      </c>
      <c r="I8814" t="s">
        <v>450</v>
      </c>
      <c r="J8814" t="str">
        <f>"9781118355015"</f>
        <v>9781118355015</v>
      </c>
      <c r="K8814" t="s">
        <v>12446</v>
      </c>
      <c r="L8814">
        <v>9</v>
      </c>
      <c r="O8814" t="s">
        <v>30</v>
      </c>
      <c r="P8814" t="s">
        <v>42</v>
      </c>
      <c r="S8814" t="s">
        <v>31</v>
      </c>
      <c r="T8814" t="s">
        <v>487</v>
      </c>
      <c r="U8814" t="s">
        <v>488</v>
      </c>
      <c r="V8814" s="3">
        <v>41302</v>
      </c>
    </row>
    <row r="8815" spans="1:22" x14ac:dyDescent="0.35">
      <c r="A8815" s="1">
        <v>42252.606932870367</v>
      </c>
      <c r="B8815" s="2">
        <v>1.556712962962963E-2</v>
      </c>
      <c r="C8815" t="s">
        <v>106</v>
      </c>
      <c r="D8815" t="s">
        <v>23</v>
      </c>
      <c r="E8815" t="s">
        <v>24</v>
      </c>
      <c r="F8815" t="s">
        <v>486</v>
      </c>
      <c r="G8815">
        <v>1119505</v>
      </c>
      <c r="H8815" t="s">
        <v>26</v>
      </c>
      <c r="I8815" t="s">
        <v>450</v>
      </c>
      <c r="J8815" t="str">
        <f>"9781118355015"</f>
        <v>9781118355015</v>
      </c>
      <c r="K8815" t="s">
        <v>12447</v>
      </c>
      <c r="L8815">
        <v>39</v>
      </c>
      <c r="N8815" t="s">
        <v>12432</v>
      </c>
      <c r="O8815" t="s">
        <v>30</v>
      </c>
      <c r="P8815" t="s">
        <v>29</v>
      </c>
      <c r="Q8815" s="1">
        <v>42250.739131944443</v>
      </c>
      <c r="R8815">
        <v>7</v>
      </c>
      <c r="S8815" t="s">
        <v>31</v>
      </c>
      <c r="T8815" t="s">
        <v>487</v>
      </c>
      <c r="U8815" t="s">
        <v>488</v>
      </c>
      <c r="V8815" s="3">
        <v>41302</v>
      </c>
    </row>
    <row r="8816" spans="1:22" x14ac:dyDescent="0.35">
      <c r="A8816" s="1">
        <v>42252.552245370367</v>
      </c>
      <c r="B8816" s="2">
        <v>1.8865740740740742E-3</v>
      </c>
      <c r="C8816" t="s">
        <v>12448</v>
      </c>
      <c r="D8816" t="s">
        <v>23</v>
      </c>
      <c r="E8816" t="s">
        <v>24</v>
      </c>
      <c r="F8816" t="s">
        <v>486</v>
      </c>
      <c r="G8816">
        <v>1119505</v>
      </c>
      <c r="H8816" t="s">
        <v>26</v>
      </c>
      <c r="I8816" t="s">
        <v>450</v>
      </c>
      <c r="J8816" t="str">
        <f>"9781118355015"</f>
        <v>9781118355015</v>
      </c>
      <c r="K8816" t="s">
        <v>12449</v>
      </c>
      <c r="L8816">
        <v>12</v>
      </c>
      <c r="O8816" t="s">
        <v>30</v>
      </c>
      <c r="P8816" t="s">
        <v>42</v>
      </c>
      <c r="S8816" t="s">
        <v>31</v>
      </c>
      <c r="T8816" t="s">
        <v>487</v>
      </c>
      <c r="U8816" t="s">
        <v>488</v>
      </c>
      <c r="V8816" s="3">
        <v>41302</v>
      </c>
    </row>
    <row r="8817" spans="1:22" x14ac:dyDescent="0.35">
      <c r="A8817" s="1">
        <v>42252.136354166665</v>
      </c>
      <c r="B8817" s="2">
        <v>6.145833333333333E-3</v>
      </c>
      <c r="C8817" t="s">
        <v>5271</v>
      </c>
      <c r="D8817" t="s">
        <v>23</v>
      </c>
      <c r="E8817" t="s">
        <v>24</v>
      </c>
      <c r="F8817" t="s">
        <v>1051</v>
      </c>
      <c r="G8817">
        <v>821663</v>
      </c>
      <c r="H8817" t="s">
        <v>26</v>
      </c>
      <c r="I8817" t="s">
        <v>200</v>
      </c>
      <c r="J8817" t="str">
        <f>"9781118168479"</f>
        <v>9781118168479</v>
      </c>
      <c r="K8817" t="s">
        <v>12450</v>
      </c>
      <c r="L8817">
        <v>18</v>
      </c>
      <c r="O8817" t="s">
        <v>30</v>
      </c>
      <c r="P8817" t="s">
        <v>29</v>
      </c>
      <c r="Q8817" s="1">
        <v>42248.653900462959</v>
      </c>
      <c r="R8817">
        <v>7</v>
      </c>
      <c r="S8817" t="s">
        <v>31</v>
      </c>
      <c r="T8817" t="s">
        <v>1053</v>
      </c>
      <c r="U8817">
        <v>729</v>
      </c>
      <c r="V8817" s="3">
        <v>40973</v>
      </c>
    </row>
    <row r="8818" spans="1:22" x14ac:dyDescent="0.35">
      <c r="A8818" s="1">
        <v>42252.130752314813</v>
      </c>
      <c r="B8818" s="2">
        <v>8.9351851851851866E-3</v>
      </c>
      <c r="C8818" t="s">
        <v>7408</v>
      </c>
      <c r="D8818" t="s">
        <v>23</v>
      </c>
      <c r="E8818" t="s">
        <v>24</v>
      </c>
      <c r="F8818" t="s">
        <v>486</v>
      </c>
      <c r="G8818">
        <v>1119505</v>
      </c>
      <c r="H8818" t="s">
        <v>26</v>
      </c>
      <c r="I8818" t="s">
        <v>450</v>
      </c>
      <c r="J8818" t="str">
        <f>"9781118355015"</f>
        <v>9781118355015</v>
      </c>
      <c r="K8818" t="s">
        <v>12451</v>
      </c>
      <c r="L8818">
        <v>30</v>
      </c>
      <c r="O8818" t="s">
        <v>30</v>
      </c>
      <c r="P8818" t="s">
        <v>29</v>
      </c>
      <c r="Q8818" s="1">
        <v>42251.867731481485</v>
      </c>
      <c r="R8818">
        <v>7</v>
      </c>
      <c r="S8818" t="s">
        <v>31</v>
      </c>
      <c r="T8818" t="s">
        <v>487</v>
      </c>
      <c r="U8818" t="s">
        <v>488</v>
      </c>
      <c r="V8818" s="3">
        <v>41302</v>
      </c>
    </row>
    <row r="8819" spans="1:22" x14ac:dyDescent="0.35">
      <c r="A8819" s="1">
        <v>42252.083634259259</v>
      </c>
      <c r="B8819" s="2">
        <v>0</v>
      </c>
      <c r="C8819" t="s">
        <v>4041</v>
      </c>
      <c r="D8819" t="s">
        <v>23</v>
      </c>
      <c r="E8819" t="s">
        <v>24</v>
      </c>
      <c r="F8819" t="s">
        <v>3060</v>
      </c>
      <c r="G8819">
        <v>1120279</v>
      </c>
      <c r="H8819" t="s">
        <v>26</v>
      </c>
      <c r="I8819" t="s">
        <v>3061</v>
      </c>
      <c r="J8819" t="str">
        <f>"9781118537671"</f>
        <v>9781118537671</v>
      </c>
      <c r="L8819">
        <v>0</v>
      </c>
      <c r="O8819" t="s">
        <v>28</v>
      </c>
      <c r="P8819" t="s">
        <v>29</v>
      </c>
      <c r="Q8819" s="1">
        <v>42250.861516203702</v>
      </c>
      <c r="R8819">
        <v>7</v>
      </c>
      <c r="S8819" t="s">
        <v>31</v>
      </c>
      <c r="T8819" t="s">
        <v>3063</v>
      </c>
      <c r="U8819">
        <v>599.93499999999995</v>
      </c>
      <c r="V8819" s="3">
        <v>41232</v>
      </c>
    </row>
    <row r="8820" spans="1:22" x14ac:dyDescent="0.35">
      <c r="A8820" s="1">
        <v>42252.08326388889</v>
      </c>
      <c r="B8820" s="2">
        <v>2.673611111111111E-3</v>
      </c>
      <c r="C8820" t="s">
        <v>4041</v>
      </c>
      <c r="D8820" t="s">
        <v>23</v>
      </c>
      <c r="E8820" t="s">
        <v>24</v>
      </c>
      <c r="F8820" t="s">
        <v>3060</v>
      </c>
      <c r="G8820">
        <v>1120279</v>
      </c>
      <c r="H8820" t="s">
        <v>26</v>
      </c>
      <c r="I8820" t="s">
        <v>3061</v>
      </c>
      <c r="J8820" t="str">
        <f>"9781118537671"</f>
        <v>9781118537671</v>
      </c>
      <c r="K8820" t="s">
        <v>12452</v>
      </c>
      <c r="L8820">
        <v>7</v>
      </c>
      <c r="O8820" t="s">
        <v>30</v>
      </c>
      <c r="P8820" t="s">
        <v>29</v>
      </c>
      <c r="Q8820" s="1">
        <v>42250.861516203702</v>
      </c>
      <c r="R8820">
        <v>7</v>
      </c>
      <c r="S8820" t="s">
        <v>31</v>
      </c>
      <c r="T8820" t="s">
        <v>3063</v>
      </c>
      <c r="U8820">
        <v>599.93499999999995</v>
      </c>
      <c r="V8820" s="3">
        <v>41232</v>
      </c>
    </row>
    <row r="8821" spans="1:22" x14ac:dyDescent="0.35">
      <c r="A8821" s="1">
        <v>42252.072291666664</v>
      </c>
      <c r="B8821" s="2">
        <v>2.199074074074074E-4</v>
      </c>
      <c r="C8821" t="s">
        <v>4041</v>
      </c>
      <c r="D8821" t="s">
        <v>23</v>
      </c>
      <c r="E8821" t="s">
        <v>24</v>
      </c>
      <c r="F8821" t="s">
        <v>3060</v>
      </c>
      <c r="G8821">
        <v>1120279</v>
      </c>
      <c r="H8821" t="s">
        <v>26</v>
      </c>
      <c r="I8821" t="s">
        <v>3061</v>
      </c>
      <c r="J8821" t="str">
        <f>"9781118537671"</f>
        <v>9781118537671</v>
      </c>
      <c r="K8821" t="s">
        <v>202</v>
      </c>
      <c r="L8821">
        <v>3</v>
      </c>
      <c r="M8821" t="s">
        <v>648</v>
      </c>
      <c r="O8821" t="s">
        <v>30</v>
      </c>
      <c r="P8821" t="s">
        <v>29</v>
      </c>
      <c r="Q8821" s="1">
        <v>42250.861516203702</v>
      </c>
      <c r="R8821">
        <v>7</v>
      </c>
      <c r="S8821" t="s">
        <v>31</v>
      </c>
      <c r="T8821" t="s">
        <v>3063</v>
      </c>
      <c r="U8821">
        <v>599.93499999999995</v>
      </c>
      <c r="V8821" s="3">
        <v>41232</v>
      </c>
    </row>
    <row r="8822" spans="1:22" x14ac:dyDescent="0.35">
      <c r="A8822" s="1">
        <v>42251.98605324074</v>
      </c>
      <c r="B8822" s="2">
        <v>6.3425925925925915E-3</v>
      </c>
      <c r="C8822" t="s">
        <v>12453</v>
      </c>
      <c r="D8822" t="s">
        <v>23</v>
      </c>
      <c r="E8822" t="s">
        <v>24</v>
      </c>
      <c r="F8822" t="s">
        <v>12454</v>
      </c>
      <c r="G8822">
        <v>675005</v>
      </c>
      <c r="H8822" t="s">
        <v>26</v>
      </c>
      <c r="I8822" t="s">
        <v>276</v>
      </c>
      <c r="J8822" t="str">
        <f>"9781118075043"</f>
        <v>9781118075043</v>
      </c>
      <c r="K8822" t="s">
        <v>12455</v>
      </c>
      <c r="L8822">
        <v>25</v>
      </c>
      <c r="O8822" t="s">
        <v>30</v>
      </c>
      <c r="P8822" t="s">
        <v>42</v>
      </c>
      <c r="S8822" t="s">
        <v>31</v>
      </c>
      <c r="T8822" t="s">
        <v>12456</v>
      </c>
      <c r="U8822">
        <v>5.74</v>
      </c>
      <c r="V8822" s="3">
        <v>40856</v>
      </c>
    </row>
    <row r="8823" spans="1:22" x14ac:dyDescent="0.35">
      <c r="A8823" s="1">
        <v>42251.970659722225</v>
      </c>
      <c r="B8823" s="2">
        <v>1.5393518518518519E-3</v>
      </c>
      <c r="C8823" t="s">
        <v>12457</v>
      </c>
      <c r="D8823" t="s">
        <v>1222</v>
      </c>
      <c r="E8823" t="s">
        <v>1223</v>
      </c>
      <c r="F8823" t="s">
        <v>12458</v>
      </c>
      <c r="G8823">
        <v>1663522</v>
      </c>
      <c r="H8823" t="s">
        <v>613</v>
      </c>
      <c r="I8823" t="s">
        <v>172</v>
      </c>
      <c r="J8823" t="str">
        <f>"9781469612683"</f>
        <v>9781469612683</v>
      </c>
      <c r="K8823" t="s">
        <v>12459</v>
      </c>
      <c r="L8823">
        <v>40</v>
      </c>
      <c r="O8823" t="s">
        <v>30</v>
      </c>
      <c r="P8823" t="s">
        <v>47</v>
      </c>
      <c r="Q8823" s="1">
        <v>42251.950416666667</v>
      </c>
      <c r="R8823">
        <v>1</v>
      </c>
      <c r="S8823" t="s">
        <v>1226</v>
      </c>
      <c r="T8823" t="s">
        <v>12460</v>
      </c>
      <c r="U8823">
        <v>973.7</v>
      </c>
      <c r="V8823" s="3">
        <v>41624</v>
      </c>
    </row>
    <row r="8824" spans="1:22" x14ac:dyDescent="0.35">
      <c r="A8824" s="1">
        <v>42251.967361111114</v>
      </c>
      <c r="B8824" s="2">
        <v>6.134259259259259E-4</v>
      </c>
      <c r="C8824" t="s">
        <v>12457</v>
      </c>
      <c r="D8824" t="s">
        <v>1222</v>
      </c>
      <c r="E8824" t="s">
        <v>1223</v>
      </c>
      <c r="F8824" t="s">
        <v>12458</v>
      </c>
      <c r="G8824">
        <v>1663522</v>
      </c>
      <c r="H8824" t="s">
        <v>613</v>
      </c>
      <c r="I8824" t="s">
        <v>172</v>
      </c>
      <c r="J8824" t="str">
        <f>"9781469612683"</f>
        <v>9781469612683</v>
      </c>
      <c r="K8824" t="s">
        <v>12461</v>
      </c>
      <c r="L8824">
        <v>14</v>
      </c>
      <c r="O8824" t="s">
        <v>30</v>
      </c>
      <c r="P8824" t="s">
        <v>47</v>
      </c>
      <c r="Q8824" s="1">
        <v>42251.950416666667</v>
      </c>
      <c r="R8824">
        <v>1</v>
      </c>
      <c r="S8824" t="s">
        <v>1226</v>
      </c>
      <c r="T8824" t="s">
        <v>12460</v>
      </c>
      <c r="U8824">
        <v>973.7</v>
      </c>
      <c r="V8824" s="3">
        <v>41624</v>
      </c>
    </row>
    <row r="8825" spans="1:22" x14ac:dyDescent="0.35">
      <c r="A8825" s="1">
        <v>42251.965578703705</v>
      </c>
      <c r="B8825" s="2">
        <v>0</v>
      </c>
      <c r="C8825" t="s">
        <v>12457</v>
      </c>
      <c r="D8825" t="s">
        <v>1222</v>
      </c>
      <c r="E8825" t="s">
        <v>1223</v>
      </c>
      <c r="F8825" t="s">
        <v>12458</v>
      </c>
      <c r="G8825">
        <v>1663522</v>
      </c>
      <c r="H8825" t="s">
        <v>613</v>
      </c>
      <c r="I8825" t="s">
        <v>172</v>
      </c>
      <c r="J8825" t="str">
        <f>"9781469612683"</f>
        <v>9781469612683</v>
      </c>
      <c r="L8825">
        <v>0</v>
      </c>
      <c r="O8825" t="s">
        <v>28</v>
      </c>
      <c r="P8825" t="s">
        <v>47</v>
      </c>
      <c r="Q8825" s="1">
        <v>42251.950416666667</v>
      </c>
      <c r="R8825">
        <v>1</v>
      </c>
      <c r="S8825" t="s">
        <v>1226</v>
      </c>
      <c r="T8825" t="s">
        <v>12460</v>
      </c>
      <c r="U8825">
        <v>973.7</v>
      </c>
      <c r="V8825" s="3">
        <v>41624</v>
      </c>
    </row>
    <row r="8826" spans="1:22" x14ac:dyDescent="0.35">
      <c r="A8826" s="1">
        <v>42251.950416666667</v>
      </c>
      <c r="B8826" s="2">
        <v>1.4675925925925926E-2</v>
      </c>
      <c r="C8826" t="s">
        <v>12457</v>
      </c>
      <c r="D8826" t="s">
        <v>1222</v>
      </c>
      <c r="E8826" t="s">
        <v>1223</v>
      </c>
      <c r="F8826" t="s">
        <v>12458</v>
      </c>
      <c r="G8826">
        <v>1663522</v>
      </c>
      <c r="H8826" t="s">
        <v>613</v>
      </c>
      <c r="I8826" t="s">
        <v>172</v>
      </c>
      <c r="J8826" t="str">
        <f>"9781469612683"</f>
        <v>9781469612683</v>
      </c>
      <c r="K8826" t="s">
        <v>12462</v>
      </c>
      <c r="L8826">
        <v>30</v>
      </c>
      <c r="O8826" t="s">
        <v>30</v>
      </c>
      <c r="P8826" t="s">
        <v>47</v>
      </c>
      <c r="Q8826" s="1">
        <v>42251.950416666667</v>
      </c>
      <c r="R8826">
        <v>1</v>
      </c>
      <c r="S8826" t="s">
        <v>1226</v>
      </c>
      <c r="T8826" t="s">
        <v>12460</v>
      </c>
      <c r="U8826">
        <v>973.7</v>
      </c>
      <c r="V8826" s="3">
        <v>41624</v>
      </c>
    </row>
    <row r="8827" spans="1:22" x14ac:dyDescent="0.35">
      <c r="A8827" s="1">
        <v>42251.94672453704</v>
      </c>
      <c r="B8827" s="2">
        <v>3.6921296296296298E-3</v>
      </c>
      <c r="C8827" t="s">
        <v>12457</v>
      </c>
      <c r="D8827" t="s">
        <v>1222</v>
      </c>
      <c r="E8827" t="s">
        <v>1223</v>
      </c>
      <c r="F8827" t="s">
        <v>12458</v>
      </c>
      <c r="G8827">
        <v>1663522</v>
      </c>
      <c r="H8827" t="s">
        <v>613</v>
      </c>
      <c r="I8827" t="s">
        <v>172</v>
      </c>
      <c r="J8827" t="str">
        <f>"9781469612683"</f>
        <v>9781469612683</v>
      </c>
      <c r="K8827" t="s">
        <v>1520</v>
      </c>
      <c r="L8827">
        <v>20</v>
      </c>
      <c r="O8827" t="s">
        <v>30</v>
      </c>
      <c r="P8827" t="s">
        <v>50</v>
      </c>
      <c r="S8827" t="s">
        <v>1226</v>
      </c>
      <c r="T8827" t="s">
        <v>12460</v>
      </c>
      <c r="U8827">
        <v>973.7</v>
      </c>
      <c r="V8827" s="3">
        <v>41624</v>
      </c>
    </row>
    <row r="8828" spans="1:22" x14ac:dyDescent="0.35">
      <c r="A8828" s="1">
        <v>42251.867731481485</v>
      </c>
      <c r="B8828" s="2">
        <v>4.1064814814814811E-2</v>
      </c>
      <c r="C8828" t="s">
        <v>7408</v>
      </c>
      <c r="D8828" t="s">
        <v>23</v>
      </c>
      <c r="E8828" t="s">
        <v>24</v>
      </c>
      <c r="F8828" t="s">
        <v>486</v>
      </c>
      <c r="G8828">
        <v>1119505</v>
      </c>
      <c r="H8828" t="s">
        <v>26</v>
      </c>
      <c r="I8828" t="s">
        <v>450</v>
      </c>
      <c r="J8828" t="str">
        <f>"9781118355015"</f>
        <v>9781118355015</v>
      </c>
      <c r="K8828" t="s">
        <v>12463</v>
      </c>
      <c r="L8828">
        <v>15</v>
      </c>
      <c r="O8828" t="s">
        <v>30</v>
      </c>
      <c r="P8828" t="s">
        <v>29</v>
      </c>
      <c r="Q8828" s="1">
        <v>42251.867731481485</v>
      </c>
      <c r="R8828">
        <v>7</v>
      </c>
      <c r="S8828" t="s">
        <v>31</v>
      </c>
      <c r="T8828" t="s">
        <v>487</v>
      </c>
      <c r="U8828" t="s">
        <v>488</v>
      </c>
      <c r="V8828" s="3">
        <v>41302</v>
      </c>
    </row>
    <row r="8829" spans="1:22" x14ac:dyDescent="0.35">
      <c r="A8829" s="1">
        <v>42251.860358796293</v>
      </c>
      <c r="B8829" s="2">
        <v>7.3726851851851861E-3</v>
      </c>
      <c r="C8829" t="s">
        <v>7408</v>
      </c>
      <c r="D8829" t="s">
        <v>23</v>
      </c>
      <c r="E8829" t="s">
        <v>24</v>
      </c>
      <c r="F8829" t="s">
        <v>486</v>
      </c>
      <c r="G8829">
        <v>1119505</v>
      </c>
      <c r="H8829" t="s">
        <v>26</v>
      </c>
      <c r="I8829" t="s">
        <v>450</v>
      </c>
      <c r="J8829" t="str">
        <f>"9781118355015"</f>
        <v>9781118355015</v>
      </c>
      <c r="K8829" t="s">
        <v>12464</v>
      </c>
      <c r="L8829">
        <v>25</v>
      </c>
      <c r="O8829" t="s">
        <v>30</v>
      </c>
      <c r="P8829" t="s">
        <v>42</v>
      </c>
      <c r="S8829" t="s">
        <v>31</v>
      </c>
      <c r="T8829" t="s">
        <v>487</v>
      </c>
      <c r="U8829" t="s">
        <v>488</v>
      </c>
      <c r="V8829" s="3">
        <v>41302</v>
      </c>
    </row>
    <row r="8830" spans="1:22" x14ac:dyDescent="0.35">
      <c r="A8830" s="1">
        <v>42251.842199074075</v>
      </c>
      <c r="B8830" s="2">
        <v>0</v>
      </c>
      <c r="C8830" t="s">
        <v>1323</v>
      </c>
      <c r="D8830" t="s">
        <v>23</v>
      </c>
      <c r="E8830" t="s">
        <v>24</v>
      </c>
      <c r="F8830" t="s">
        <v>416</v>
      </c>
      <c r="G8830">
        <v>1092851</v>
      </c>
      <c r="H8830" t="s">
        <v>26</v>
      </c>
      <c r="I8830" t="s">
        <v>417</v>
      </c>
      <c r="J8830" t="str">
        <f>"9781118333051"</f>
        <v>9781118333051</v>
      </c>
      <c r="L8830">
        <v>0</v>
      </c>
      <c r="O8830" t="s">
        <v>28</v>
      </c>
      <c r="P8830" t="s">
        <v>29</v>
      </c>
      <c r="Q8830" s="1">
        <v>42251.842199074075</v>
      </c>
      <c r="R8830">
        <v>7</v>
      </c>
      <c r="S8830" t="s">
        <v>31</v>
      </c>
      <c r="T8830" t="s">
        <v>419</v>
      </c>
      <c r="U8830" t="s">
        <v>420</v>
      </c>
      <c r="V8830" s="3">
        <v>41240</v>
      </c>
    </row>
    <row r="8831" spans="1:22" x14ac:dyDescent="0.35">
      <c r="A8831" s="1">
        <v>42251.842199074075</v>
      </c>
      <c r="B8831" s="2">
        <v>0</v>
      </c>
      <c r="C8831" t="s">
        <v>1323</v>
      </c>
      <c r="D8831" t="s">
        <v>23</v>
      </c>
      <c r="E8831" t="s">
        <v>24</v>
      </c>
      <c r="F8831" t="s">
        <v>416</v>
      </c>
      <c r="G8831">
        <v>1092851</v>
      </c>
      <c r="H8831" t="s">
        <v>26</v>
      </c>
      <c r="I8831" t="s">
        <v>417</v>
      </c>
      <c r="J8831" t="str">
        <f>"9781118333051"</f>
        <v>9781118333051</v>
      </c>
      <c r="L8831">
        <v>0</v>
      </c>
      <c r="O8831" t="s">
        <v>30</v>
      </c>
      <c r="P8831" t="s">
        <v>29</v>
      </c>
      <c r="Q8831" s="1">
        <v>42251.842199074075</v>
      </c>
      <c r="R8831">
        <v>7</v>
      </c>
      <c r="S8831" t="s">
        <v>31</v>
      </c>
      <c r="T8831" t="s">
        <v>419</v>
      </c>
      <c r="U8831" t="s">
        <v>420</v>
      </c>
      <c r="V8831" s="3">
        <v>41240</v>
      </c>
    </row>
    <row r="8832" spans="1:22" x14ac:dyDescent="0.35">
      <c r="A8832" s="1">
        <v>42251.840937499997</v>
      </c>
      <c r="B8832" s="2">
        <v>1.261574074074074E-3</v>
      </c>
      <c r="C8832" t="s">
        <v>1323</v>
      </c>
      <c r="D8832" t="s">
        <v>23</v>
      </c>
      <c r="E8832" t="s">
        <v>24</v>
      </c>
      <c r="F8832" t="s">
        <v>416</v>
      </c>
      <c r="G8832">
        <v>1092851</v>
      </c>
      <c r="H8832" t="s">
        <v>26</v>
      </c>
      <c r="I8832" t="s">
        <v>417</v>
      </c>
      <c r="J8832" t="str">
        <f>"9781118333051"</f>
        <v>9781118333051</v>
      </c>
      <c r="K8832" t="s">
        <v>12465</v>
      </c>
      <c r="L8832">
        <v>23</v>
      </c>
      <c r="O8832" t="s">
        <v>30</v>
      </c>
      <c r="P8832" t="s">
        <v>42</v>
      </c>
      <c r="S8832" t="s">
        <v>31</v>
      </c>
      <c r="T8832" t="s">
        <v>419</v>
      </c>
      <c r="U8832" t="s">
        <v>420</v>
      </c>
      <c r="V8832" s="3">
        <v>41240</v>
      </c>
    </row>
    <row r="8833" spans="1:22" x14ac:dyDescent="0.35">
      <c r="A8833" s="1">
        <v>42251.772893518515</v>
      </c>
      <c r="B8833" s="2">
        <v>1.4918981481481483E-2</v>
      </c>
      <c r="C8833" t="s">
        <v>12466</v>
      </c>
      <c r="D8833" t="s">
        <v>23</v>
      </c>
      <c r="E8833" t="s">
        <v>24</v>
      </c>
      <c r="F8833" t="s">
        <v>1051</v>
      </c>
      <c r="G8833">
        <v>821663</v>
      </c>
      <c r="H8833" t="s">
        <v>26</v>
      </c>
      <c r="I8833" t="s">
        <v>200</v>
      </c>
      <c r="J8833" t="str">
        <f>"9781118168479"</f>
        <v>9781118168479</v>
      </c>
      <c r="K8833" t="s">
        <v>12467</v>
      </c>
      <c r="L8833">
        <v>25</v>
      </c>
      <c r="O8833" t="s">
        <v>30</v>
      </c>
      <c r="P8833" t="s">
        <v>29</v>
      </c>
      <c r="Q8833" s="1">
        <v>42251.589166666665</v>
      </c>
      <c r="R8833">
        <v>7</v>
      </c>
      <c r="S8833" t="s">
        <v>31</v>
      </c>
      <c r="T8833" t="s">
        <v>1053</v>
      </c>
      <c r="U8833">
        <v>729</v>
      </c>
      <c r="V8833" s="3">
        <v>40973</v>
      </c>
    </row>
    <row r="8834" spans="1:22" x14ac:dyDescent="0.35">
      <c r="A8834" s="1">
        <v>42251.765555555554</v>
      </c>
      <c r="B8834" s="2">
        <v>1.7361111111111112E-4</v>
      </c>
      <c r="C8834" t="s">
        <v>106</v>
      </c>
      <c r="D8834" t="s">
        <v>23</v>
      </c>
      <c r="E8834" t="s">
        <v>24</v>
      </c>
      <c r="F8834" t="s">
        <v>1571</v>
      </c>
      <c r="G8834">
        <v>1707328</v>
      </c>
      <c r="H8834" t="s">
        <v>84</v>
      </c>
      <c r="I8834" t="s">
        <v>150</v>
      </c>
      <c r="J8834" t="str">
        <f>"9780520958876"</f>
        <v>9780520958876</v>
      </c>
      <c r="K8834" t="s">
        <v>12468</v>
      </c>
      <c r="L8834">
        <v>14</v>
      </c>
      <c r="O8834" t="s">
        <v>30</v>
      </c>
      <c r="P8834" t="s">
        <v>47</v>
      </c>
      <c r="Q8834" s="1">
        <v>42251.71601851852</v>
      </c>
      <c r="R8834">
        <v>7</v>
      </c>
      <c r="S8834" t="s">
        <v>31</v>
      </c>
      <c r="T8834" t="s">
        <v>1573</v>
      </c>
      <c r="U8834">
        <v>780.90329999999994</v>
      </c>
      <c r="V8834" s="3">
        <v>41797</v>
      </c>
    </row>
    <row r="8835" spans="1:22" x14ac:dyDescent="0.35">
      <c r="A8835" s="1">
        <v>42251.761886574073</v>
      </c>
      <c r="B8835" s="2">
        <v>1.3541666666666667E-3</v>
      </c>
      <c r="C8835" t="s">
        <v>6724</v>
      </c>
      <c r="D8835" t="s">
        <v>23</v>
      </c>
      <c r="E8835" t="s">
        <v>24</v>
      </c>
      <c r="F8835" t="s">
        <v>486</v>
      </c>
      <c r="G8835">
        <v>1119505</v>
      </c>
      <c r="H8835" t="s">
        <v>26</v>
      </c>
      <c r="I8835" t="s">
        <v>450</v>
      </c>
      <c r="J8835" t="str">
        <f>"9781118355015"</f>
        <v>9781118355015</v>
      </c>
      <c r="K8835" t="s">
        <v>12469</v>
      </c>
      <c r="L8835">
        <v>19</v>
      </c>
      <c r="O8835" t="s">
        <v>30</v>
      </c>
      <c r="P8835" t="s">
        <v>29</v>
      </c>
      <c r="Q8835" s="1">
        <v>42251.668506944443</v>
      </c>
      <c r="R8835">
        <v>7</v>
      </c>
      <c r="S8835" t="s">
        <v>31</v>
      </c>
      <c r="T8835" t="s">
        <v>487</v>
      </c>
      <c r="U8835" t="s">
        <v>488</v>
      </c>
      <c r="V8835" s="3">
        <v>41302</v>
      </c>
    </row>
    <row r="8836" spans="1:22" x14ac:dyDescent="0.35">
      <c r="A8836" s="1">
        <v>42251.761782407404</v>
      </c>
      <c r="B8836" s="2">
        <v>9.2592592592592588E-5</v>
      </c>
      <c r="C8836" t="s">
        <v>106</v>
      </c>
      <c r="D8836" t="s">
        <v>23</v>
      </c>
      <c r="E8836" t="s">
        <v>24</v>
      </c>
      <c r="F8836" t="s">
        <v>3559</v>
      </c>
      <c r="G8836">
        <v>1217954</v>
      </c>
      <c r="H8836" t="s">
        <v>45</v>
      </c>
      <c r="I8836" t="s">
        <v>3560</v>
      </c>
      <c r="J8836" t="str">
        <f>"9781409457558"</f>
        <v>9781409457558</v>
      </c>
      <c r="K8836" t="s">
        <v>12470</v>
      </c>
      <c r="L8836">
        <v>5</v>
      </c>
      <c r="O8836" t="s">
        <v>30</v>
      </c>
      <c r="P8836" t="s">
        <v>42</v>
      </c>
      <c r="S8836" t="s">
        <v>31</v>
      </c>
      <c r="T8836" t="s">
        <v>3562</v>
      </c>
      <c r="U8836" t="s">
        <v>3563</v>
      </c>
      <c r="V8836" s="3">
        <v>41575</v>
      </c>
    </row>
    <row r="8837" spans="1:22" x14ac:dyDescent="0.35">
      <c r="A8837" s="1">
        <v>42251.747534722221</v>
      </c>
      <c r="B8837" s="2">
        <v>5.7870370370370366E-5</v>
      </c>
      <c r="C8837" t="s">
        <v>8215</v>
      </c>
      <c r="D8837" t="s">
        <v>35</v>
      </c>
      <c r="E8837" t="s">
        <v>36</v>
      </c>
      <c r="F8837" t="s">
        <v>986</v>
      </c>
      <c r="G8837">
        <v>968030</v>
      </c>
      <c r="H8837" t="s">
        <v>26</v>
      </c>
      <c r="I8837" t="s">
        <v>219</v>
      </c>
      <c r="J8837" t="str">
        <f>"9781118285138"</f>
        <v>9781118285138</v>
      </c>
      <c r="K8837" t="s">
        <v>33</v>
      </c>
      <c r="L8837">
        <v>3</v>
      </c>
      <c r="O8837" t="s">
        <v>30</v>
      </c>
      <c r="P8837" t="s">
        <v>42</v>
      </c>
      <c r="S8837" t="s">
        <v>40</v>
      </c>
      <c r="T8837" t="s">
        <v>987</v>
      </c>
      <c r="U8837">
        <v>158.30000000000001</v>
      </c>
      <c r="V8837" s="3">
        <v>41100</v>
      </c>
    </row>
    <row r="8838" spans="1:22" x14ac:dyDescent="0.35">
      <c r="A8838" s="1">
        <v>42251.740740740737</v>
      </c>
      <c r="B8838" s="2">
        <v>4.0509259259259258E-4</v>
      </c>
      <c r="C8838" t="s">
        <v>12466</v>
      </c>
      <c r="D8838" t="s">
        <v>23</v>
      </c>
      <c r="E8838" t="s">
        <v>24</v>
      </c>
      <c r="F8838" t="s">
        <v>1051</v>
      </c>
      <c r="G8838">
        <v>821663</v>
      </c>
      <c r="H8838" t="s">
        <v>26</v>
      </c>
      <c r="I8838" t="s">
        <v>200</v>
      </c>
      <c r="J8838" t="str">
        <f>"9781118168479"</f>
        <v>9781118168479</v>
      </c>
      <c r="K8838" t="s">
        <v>12471</v>
      </c>
      <c r="L8838">
        <v>16</v>
      </c>
      <c r="O8838" t="s">
        <v>30</v>
      </c>
      <c r="P8838" t="s">
        <v>29</v>
      </c>
      <c r="Q8838" s="1">
        <v>42251.589166666665</v>
      </c>
      <c r="R8838">
        <v>7</v>
      </c>
      <c r="S8838" t="s">
        <v>31</v>
      </c>
      <c r="T8838" t="s">
        <v>1053</v>
      </c>
      <c r="U8838">
        <v>729</v>
      </c>
      <c r="V8838" s="3">
        <v>40973</v>
      </c>
    </row>
    <row r="8839" spans="1:22" x14ac:dyDescent="0.35">
      <c r="A8839" s="1">
        <v>42251.733182870368</v>
      </c>
      <c r="B8839" s="2">
        <v>2.8240740740740739E-3</v>
      </c>
      <c r="C8839" t="s">
        <v>6724</v>
      </c>
      <c r="D8839" t="s">
        <v>23</v>
      </c>
      <c r="E8839" t="s">
        <v>24</v>
      </c>
      <c r="F8839" t="s">
        <v>486</v>
      </c>
      <c r="G8839">
        <v>1119505</v>
      </c>
      <c r="H8839" t="s">
        <v>26</v>
      </c>
      <c r="I8839" t="s">
        <v>450</v>
      </c>
      <c r="J8839" t="str">
        <f>"9781118355015"</f>
        <v>9781118355015</v>
      </c>
      <c r="K8839" t="s">
        <v>12472</v>
      </c>
      <c r="L8839">
        <v>16</v>
      </c>
      <c r="O8839" t="s">
        <v>30</v>
      </c>
      <c r="P8839" t="s">
        <v>29</v>
      </c>
      <c r="Q8839" s="1">
        <v>42251.668506944443</v>
      </c>
      <c r="R8839">
        <v>7</v>
      </c>
      <c r="S8839" t="s">
        <v>31</v>
      </c>
      <c r="T8839" t="s">
        <v>487</v>
      </c>
      <c r="U8839" t="s">
        <v>488</v>
      </c>
      <c r="V8839" s="3">
        <v>41302</v>
      </c>
    </row>
    <row r="8840" spans="1:22" x14ac:dyDescent="0.35">
      <c r="A8840" s="1">
        <v>42251.732349537036</v>
      </c>
      <c r="B8840" s="2">
        <v>2.1296296296296298E-3</v>
      </c>
      <c r="C8840" t="s">
        <v>1341</v>
      </c>
      <c r="D8840" t="s">
        <v>35</v>
      </c>
      <c r="E8840" t="s">
        <v>36</v>
      </c>
      <c r="F8840" t="s">
        <v>6837</v>
      </c>
      <c r="G8840">
        <v>1655862</v>
      </c>
      <c r="H8840" t="s">
        <v>613</v>
      </c>
      <c r="I8840" t="s">
        <v>5632</v>
      </c>
      <c r="J8840" t="str">
        <f>"9781469615493"</f>
        <v>9781469615493</v>
      </c>
      <c r="K8840" t="s">
        <v>12473</v>
      </c>
      <c r="L8840">
        <v>49</v>
      </c>
      <c r="O8840" t="s">
        <v>30</v>
      </c>
      <c r="P8840" t="s">
        <v>50</v>
      </c>
      <c r="S8840" t="s">
        <v>40</v>
      </c>
      <c r="T8840" t="s">
        <v>6839</v>
      </c>
      <c r="U8840" t="s">
        <v>6840</v>
      </c>
      <c r="V8840" s="3">
        <v>41744</v>
      </c>
    </row>
    <row r="8841" spans="1:22" x14ac:dyDescent="0.35">
      <c r="A8841" s="1">
        <v>42251.73033564815</v>
      </c>
      <c r="B8841" s="2">
        <v>1.0995370370370371E-3</v>
      </c>
      <c r="C8841" t="s">
        <v>1341</v>
      </c>
      <c r="D8841" t="s">
        <v>35</v>
      </c>
      <c r="E8841" t="s">
        <v>36</v>
      </c>
      <c r="F8841" t="s">
        <v>6837</v>
      </c>
      <c r="G8841">
        <v>1655862</v>
      </c>
      <c r="H8841" t="s">
        <v>613</v>
      </c>
      <c r="I8841" t="s">
        <v>5632</v>
      </c>
      <c r="J8841" t="str">
        <f>"9781469615493"</f>
        <v>9781469615493</v>
      </c>
      <c r="K8841" t="s">
        <v>12474</v>
      </c>
      <c r="L8841">
        <v>8</v>
      </c>
      <c r="O8841" t="s">
        <v>30</v>
      </c>
      <c r="P8841" t="s">
        <v>50</v>
      </c>
      <c r="S8841" t="s">
        <v>40</v>
      </c>
      <c r="T8841" t="s">
        <v>6839</v>
      </c>
      <c r="U8841" t="s">
        <v>6840</v>
      </c>
      <c r="V8841" s="3">
        <v>41744</v>
      </c>
    </row>
    <row r="8842" spans="1:22" x14ac:dyDescent="0.35">
      <c r="A8842" s="1">
        <v>42251.716041666667</v>
      </c>
      <c r="B8842" s="2">
        <v>2.2488425925925926E-2</v>
      </c>
      <c r="C8842" t="s">
        <v>9785</v>
      </c>
      <c r="D8842" t="s">
        <v>23</v>
      </c>
      <c r="E8842" t="s">
        <v>24</v>
      </c>
      <c r="F8842" t="s">
        <v>3488</v>
      </c>
      <c r="G8842">
        <v>1294909</v>
      </c>
      <c r="H8842" t="s">
        <v>84</v>
      </c>
      <c r="I8842" t="s">
        <v>445</v>
      </c>
      <c r="J8842" t="str">
        <f>"9780520956797"</f>
        <v>9780520956797</v>
      </c>
      <c r="K8842" t="s">
        <v>12475</v>
      </c>
      <c r="L8842">
        <v>18</v>
      </c>
      <c r="O8842" t="s">
        <v>30</v>
      </c>
      <c r="P8842" t="s">
        <v>29</v>
      </c>
      <c r="Q8842" s="1">
        <v>42247.779918981483</v>
      </c>
      <c r="R8842">
        <v>7</v>
      </c>
      <c r="S8842" t="s">
        <v>31</v>
      </c>
      <c r="T8842" t="s">
        <v>3490</v>
      </c>
      <c r="U8842" t="s">
        <v>3491</v>
      </c>
      <c r="V8842" s="3">
        <v>41487</v>
      </c>
    </row>
    <row r="8843" spans="1:22" x14ac:dyDescent="0.35">
      <c r="A8843" s="1">
        <v>42251.71601851852</v>
      </c>
      <c r="B8843" s="2">
        <v>0</v>
      </c>
      <c r="C8843" t="s">
        <v>106</v>
      </c>
      <c r="D8843" t="s">
        <v>23</v>
      </c>
      <c r="E8843" t="s">
        <v>24</v>
      </c>
      <c r="F8843" t="s">
        <v>1571</v>
      </c>
      <c r="G8843">
        <v>1707328</v>
      </c>
      <c r="H8843" t="s">
        <v>84</v>
      </c>
      <c r="I8843" t="s">
        <v>150</v>
      </c>
      <c r="J8843" t="str">
        <f>"9780520958876"</f>
        <v>9780520958876</v>
      </c>
      <c r="L8843">
        <v>0</v>
      </c>
      <c r="O8843" t="s">
        <v>28</v>
      </c>
      <c r="P8843" t="s">
        <v>47</v>
      </c>
      <c r="Q8843" s="1">
        <v>42251.71601851852</v>
      </c>
      <c r="R8843">
        <v>7</v>
      </c>
      <c r="S8843" t="s">
        <v>31</v>
      </c>
      <c r="T8843" t="s">
        <v>1573</v>
      </c>
      <c r="U8843">
        <v>780.90329999999994</v>
      </c>
      <c r="V8843" s="3">
        <v>41797</v>
      </c>
    </row>
    <row r="8844" spans="1:22" x14ac:dyDescent="0.35">
      <c r="A8844" s="1">
        <v>42251.71601851852</v>
      </c>
      <c r="B8844" s="2">
        <v>0</v>
      </c>
      <c r="C8844" t="s">
        <v>106</v>
      </c>
      <c r="D8844" t="s">
        <v>23</v>
      </c>
      <c r="E8844" t="s">
        <v>24</v>
      </c>
      <c r="F8844" t="s">
        <v>1571</v>
      </c>
      <c r="G8844">
        <v>1707328</v>
      </c>
      <c r="H8844" t="s">
        <v>84</v>
      </c>
      <c r="I8844" t="s">
        <v>150</v>
      </c>
      <c r="J8844" t="str">
        <f>"9780520958876"</f>
        <v>9780520958876</v>
      </c>
      <c r="L8844">
        <v>0</v>
      </c>
      <c r="O8844" t="s">
        <v>30</v>
      </c>
      <c r="P8844" t="s">
        <v>47</v>
      </c>
      <c r="Q8844" s="1">
        <v>42251.71601851852</v>
      </c>
      <c r="R8844">
        <v>7</v>
      </c>
      <c r="S8844" t="s">
        <v>31</v>
      </c>
      <c r="T8844" t="s">
        <v>1573</v>
      </c>
      <c r="U8844">
        <v>780.90329999999994</v>
      </c>
      <c r="V8844" s="3">
        <v>41797</v>
      </c>
    </row>
    <row r="8845" spans="1:22" x14ac:dyDescent="0.35">
      <c r="A8845" s="1">
        <v>42251.715821759259</v>
      </c>
      <c r="B8845" s="2">
        <v>1.9675925925925926E-4</v>
      </c>
      <c r="C8845" t="s">
        <v>106</v>
      </c>
      <c r="D8845" t="s">
        <v>23</v>
      </c>
      <c r="E8845" t="s">
        <v>24</v>
      </c>
      <c r="F8845" t="s">
        <v>1571</v>
      </c>
      <c r="G8845">
        <v>1707328</v>
      </c>
      <c r="H8845" t="s">
        <v>84</v>
      </c>
      <c r="I8845" t="s">
        <v>150</v>
      </c>
      <c r="J8845" t="str">
        <f>"9780520958876"</f>
        <v>9780520958876</v>
      </c>
      <c r="K8845" t="s">
        <v>33</v>
      </c>
      <c r="L8845">
        <v>3</v>
      </c>
      <c r="O8845" t="s">
        <v>30</v>
      </c>
      <c r="P8845" t="s">
        <v>50</v>
      </c>
      <c r="S8845" t="s">
        <v>31</v>
      </c>
      <c r="T8845" t="s">
        <v>1573</v>
      </c>
      <c r="U8845">
        <v>780.90329999999994</v>
      </c>
      <c r="V8845" s="3">
        <v>41797</v>
      </c>
    </row>
    <row r="8846" spans="1:22" x14ac:dyDescent="0.35">
      <c r="A8846" s="1">
        <v>42251.697071759256</v>
      </c>
      <c r="B8846" s="2">
        <v>7.1527777777777787E-3</v>
      </c>
      <c r="C8846" t="s">
        <v>6724</v>
      </c>
      <c r="D8846" t="s">
        <v>23</v>
      </c>
      <c r="E8846" t="s">
        <v>24</v>
      </c>
      <c r="F8846" t="s">
        <v>486</v>
      </c>
      <c r="G8846">
        <v>1119505</v>
      </c>
      <c r="H8846" t="s">
        <v>26</v>
      </c>
      <c r="I8846" t="s">
        <v>450</v>
      </c>
      <c r="J8846" t="str">
        <f>"9781118355015"</f>
        <v>9781118355015</v>
      </c>
      <c r="K8846" t="s">
        <v>12476</v>
      </c>
      <c r="L8846">
        <v>27</v>
      </c>
      <c r="O8846" t="s">
        <v>30</v>
      </c>
      <c r="P8846" t="s">
        <v>29</v>
      </c>
      <c r="Q8846" s="1">
        <v>42251.668506944443</v>
      </c>
      <c r="R8846">
        <v>7</v>
      </c>
      <c r="S8846" t="s">
        <v>31</v>
      </c>
      <c r="T8846" t="s">
        <v>487</v>
      </c>
      <c r="U8846" t="s">
        <v>488</v>
      </c>
      <c r="V8846" s="3">
        <v>41302</v>
      </c>
    </row>
    <row r="8847" spans="1:22" x14ac:dyDescent="0.35">
      <c r="A8847" s="1">
        <v>42251.696886574071</v>
      </c>
      <c r="B8847" s="2">
        <v>2.207175925925926E-2</v>
      </c>
      <c r="C8847" t="s">
        <v>12466</v>
      </c>
      <c r="D8847" t="s">
        <v>23</v>
      </c>
      <c r="E8847" t="s">
        <v>24</v>
      </c>
      <c r="F8847" t="s">
        <v>1051</v>
      </c>
      <c r="G8847">
        <v>821663</v>
      </c>
      <c r="H8847" t="s">
        <v>26</v>
      </c>
      <c r="I8847" t="s">
        <v>200</v>
      </c>
      <c r="J8847" t="str">
        <f>"9781118168479"</f>
        <v>9781118168479</v>
      </c>
      <c r="K8847" t="s">
        <v>12477</v>
      </c>
      <c r="L8847">
        <v>20</v>
      </c>
      <c r="O8847" t="s">
        <v>30</v>
      </c>
      <c r="P8847" t="s">
        <v>29</v>
      </c>
      <c r="Q8847" s="1">
        <v>42251.589166666665</v>
      </c>
      <c r="R8847">
        <v>7</v>
      </c>
      <c r="S8847" t="s">
        <v>31</v>
      </c>
      <c r="T8847" t="s">
        <v>1053</v>
      </c>
      <c r="U8847">
        <v>729</v>
      </c>
      <c r="V8847" s="3">
        <v>40973</v>
      </c>
    </row>
    <row r="8848" spans="1:22" x14ac:dyDescent="0.35">
      <c r="A8848" s="1">
        <v>42251.673900462964</v>
      </c>
      <c r="B8848" s="2">
        <v>2.8935185185185189E-4</v>
      </c>
      <c r="C8848" t="s">
        <v>4713</v>
      </c>
      <c r="D8848" t="s">
        <v>1222</v>
      </c>
      <c r="E8848" t="s">
        <v>1223</v>
      </c>
      <c r="F8848" t="s">
        <v>3263</v>
      </c>
      <c r="G8848">
        <v>1840835</v>
      </c>
      <c r="H8848" t="s">
        <v>26</v>
      </c>
      <c r="I8848" t="s">
        <v>108</v>
      </c>
      <c r="J8848" t="str">
        <f>"9781118950166"</f>
        <v>9781118950166</v>
      </c>
      <c r="K8848" t="s">
        <v>12478</v>
      </c>
      <c r="L8848">
        <v>6</v>
      </c>
      <c r="O8848" t="s">
        <v>30</v>
      </c>
      <c r="P8848" t="s">
        <v>42</v>
      </c>
      <c r="S8848" t="s">
        <v>1226</v>
      </c>
      <c r="T8848" t="s">
        <v>3264</v>
      </c>
      <c r="U8848">
        <v>338.10923789999998</v>
      </c>
      <c r="V8848" s="3">
        <v>41953</v>
      </c>
    </row>
    <row r="8849" spans="1:22" x14ac:dyDescent="0.35">
      <c r="A8849" s="1">
        <v>42251.668506944443</v>
      </c>
      <c r="B8849" s="2">
        <v>1.6631944444444446E-2</v>
      </c>
      <c r="C8849" t="s">
        <v>6724</v>
      </c>
      <c r="D8849" t="s">
        <v>23</v>
      </c>
      <c r="E8849" t="s">
        <v>24</v>
      </c>
      <c r="F8849" t="s">
        <v>486</v>
      </c>
      <c r="G8849">
        <v>1119505</v>
      </c>
      <c r="H8849" t="s">
        <v>26</v>
      </c>
      <c r="I8849" t="s">
        <v>450</v>
      </c>
      <c r="J8849" t="str">
        <f>"9781118355015"</f>
        <v>9781118355015</v>
      </c>
      <c r="K8849" t="s">
        <v>12479</v>
      </c>
      <c r="L8849">
        <v>10</v>
      </c>
      <c r="O8849" t="s">
        <v>30</v>
      </c>
      <c r="P8849" t="s">
        <v>29</v>
      </c>
      <c r="Q8849" s="1">
        <v>42251.668506944443</v>
      </c>
      <c r="R8849">
        <v>7</v>
      </c>
      <c r="S8849" t="s">
        <v>31</v>
      </c>
      <c r="T8849" t="s">
        <v>487</v>
      </c>
      <c r="U8849" t="s">
        <v>488</v>
      </c>
      <c r="V8849" s="3">
        <v>41302</v>
      </c>
    </row>
    <row r="8850" spans="1:22" x14ac:dyDescent="0.35">
      <c r="A8850" s="1">
        <v>42251.659780092596</v>
      </c>
      <c r="B8850" s="2">
        <v>8.726851851851852E-3</v>
      </c>
      <c r="C8850" t="s">
        <v>6724</v>
      </c>
      <c r="D8850" t="s">
        <v>23</v>
      </c>
      <c r="E8850" t="s">
        <v>24</v>
      </c>
      <c r="F8850" t="s">
        <v>486</v>
      </c>
      <c r="G8850">
        <v>1119505</v>
      </c>
      <c r="H8850" t="s">
        <v>26</v>
      </c>
      <c r="I8850" t="s">
        <v>450</v>
      </c>
      <c r="J8850" t="str">
        <f>"9781118355015"</f>
        <v>9781118355015</v>
      </c>
      <c r="K8850" t="s">
        <v>12480</v>
      </c>
      <c r="L8850">
        <v>9</v>
      </c>
      <c r="O8850" t="s">
        <v>30</v>
      </c>
      <c r="P8850" t="s">
        <v>42</v>
      </c>
      <c r="S8850" t="s">
        <v>31</v>
      </c>
      <c r="T8850" t="s">
        <v>487</v>
      </c>
      <c r="U8850" t="s">
        <v>488</v>
      </c>
      <c r="V8850" s="3">
        <v>41302</v>
      </c>
    </row>
    <row r="8851" spans="1:22" x14ac:dyDescent="0.35">
      <c r="A8851" s="1">
        <v>42251.648043981484</v>
      </c>
      <c r="B8851" s="2">
        <v>2.4305555555555556E-3</v>
      </c>
      <c r="C8851" t="s">
        <v>12481</v>
      </c>
      <c r="D8851" t="s">
        <v>335</v>
      </c>
      <c r="E8851" t="s">
        <v>336</v>
      </c>
      <c r="F8851" t="s">
        <v>1841</v>
      </c>
      <c r="G8851">
        <v>1775471</v>
      </c>
      <c r="H8851" t="s">
        <v>26</v>
      </c>
      <c r="I8851" t="s">
        <v>276</v>
      </c>
      <c r="J8851" t="str">
        <f>"9781118891490"</f>
        <v>9781118891490</v>
      </c>
      <c r="K8851" t="s">
        <v>12482</v>
      </c>
      <c r="L8851">
        <v>14</v>
      </c>
      <c r="O8851" t="s">
        <v>30</v>
      </c>
      <c r="P8851" t="s">
        <v>42</v>
      </c>
      <c r="S8851" t="s">
        <v>340</v>
      </c>
      <c r="T8851" t="s">
        <v>1842</v>
      </c>
      <c r="U8851">
        <v>5.133</v>
      </c>
      <c r="V8851" s="3">
        <v>41877</v>
      </c>
    </row>
    <row r="8852" spans="1:22" x14ac:dyDescent="0.35">
      <c r="A8852" s="1">
        <v>42251.628113425926</v>
      </c>
      <c r="B8852" s="2">
        <v>0</v>
      </c>
      <c r="C8852" t="s">
        <v>10719</v>
      </c>
      <c r="D8852" t="s">
        <v>23</v>
      </c>
      <c r="E8852" t="s">
        <v>24</v>
      </c>
      <c r="F8852" t="s">
        <v>486</v>
      </c>
      <c r="G8852">
        <v>1119505</v>
      </c>
      <c r="H8852" t="s">
        <v>26</v>
      </c>
      <c r="I8852" t="s">
        <v>450</v>
      </c>
      <c r="J8852" t="str">
        <f>"9781118355015"</f>
        <v>9781118355015</v>
      </c>
      <c r="L8852">
        <v>0</v>
      </c>
      <c r="N8852" t="s">
        <v>12432</v>
      </c>
      <c r="O8852" t="s">
        <v>30</v>
      </c>
      <c r="P8852" t="s">
        <v>29</v>
      </c>
      <c r="Q8852" s="1">
        <v>42251.628113425926</v>
      </c>
      <c r="R8852">
        <v>7</v>
      </c>
      <c r="S8852" t="s">
        <v>31</v>
      </c>
      <c r="T8852" t="s">
        <v>487</v>
      </c>
      <c r="U8852" t="s">
        <v>488</v>
      </c>
      <c r="V8852" s="3">
        <v>41302</v>
      </c>
    </row>
    <row r="8853" spans="1:22" x14ac:dyDescent="0.35">
      <c r="A8853" s="1">
        <v>42251.627800925926</v>
      </c>
      <c r="B8853" s="2">
        <v>3.1250000000000001E-4</v>
      </c>
      <c r="C8853" t="s">
        <v>10719</v>
      </c>
      <c r="D8853" t="s">
        <v>23</v>
      </c>
      <c r="E8853" t="s">
        <v>24</v>
      </c>
      <c r="F8853" t="s">
        <v>486</v>
      </c>
      <c r="G8853">
        <v>1119505</v>
      </c>
      <c r="H8853" t="s">
        <v>26</v>
      </c>
      <c r="I8853" t="s">
        <v>450</v>
      </c>
      <c r="J8853" t="str">
        <f>"9781118355015"</f>
        <v>9781118355015</v>
      </c>
      <c r="K8853" t="s">
        <v>12483</v>
      </c>
      <c r="L8853">
        <v>11</v>
      </c>
      <c r="O8853" t="s">
        <v>30</v>
      </c>
      <c r="P8853" t="s">
        <v>42</v>
      </c>
      <c r="S8853" t="s">
        <v>31</v>
      </c>
      <c r="T8853" t="s">
        <v>487</v>
      </c>
      <c r="U8853" t="s">
        <v>488</v>
      </c>
      <c r="V8853" s="3">
        <v>41302</v>
      </c>
    </row>
    <row r="8854" spans="1:22" x14ac:dyDescent="0.35">
      <c r="A8854" s="1">
        <v>42251.626400462963</v>
      </c>
      <c r="B8854" s="2">
        <v>1.2256944444444444E-2</v>
      </c>
      <c r="C8854" t="s">
        <v>9785</v>
      </c>
      <c r="D8854" t="s">
        <v>23</v>
      </c>
      <c r="E8854" t="s">
        <v>24</v>
      </c>
      <c r="F8854" t="s">
        <v>3488</v>
      </c>
      <c r="G8854">
        <v>1294909</v>
      </c>
      <c r="H8854" t="s">
        <v>84</v>
      </c>
      <c r="I8854" t="s">
        <v>445</v>
      </c>
      <c r="J8854" t="str">
        <f>"9780520956797"</f>
        <v>9780520956797</v>
      </c>
      <c r="K8854" t="s">
        <v>12484</v>
      </c>
      <c r="L8854">
        <v>19</v>
      </c>
      <c r="O8854" t="s">
        <v>30</v>
      </c>
      <c r="P8854" t="s">
        <v>29</v>
      </c>
      <c r="Q8854" s="1">
        <v>42247.779918981483</v>
      </c>
      <c r="R8854">
        <v>7</v>
      </c>
      <c r="S8854" t="s">
        <v>31</v>
      </c>
      <c r="T8854" t="s">
        <v>3490</v>
      </c>
      <c r="U8854" t="s">
        <v>3491</v>
      </c>
      <c r="V8854" s="3">
        <v>41487</v>
      </c>
    </row>
    <row r="8855" spans="1:22" x14ac:dyDescent="0.35">
      <c r="A8855" s="1">
        <v>42251.626006944447</v>
      </c>
      <c r="B8855" s="2">
        <v>3.4722222222222222E-5</v>
      </c>
      <c r="C8855" t="s">
        <v>9785</v>
      </c>
      <c r="D8855" t="s">
        <v>23</v>
      </c>
      <c r="E8855" t="s">
        <v>24</v>
      </c>
      <c r="F8855" t="s">
        <v>3488</v>
      </c>
      <c r="G8855">
        <v>1294909</v>
      </c>
      <c r="H8855" t="s">
        <v>84</v>
      </c>
      <c r="I8855" t="s">
        <v>445</v>
      </c>
      <c r="J8855" t="str">
        <f>"9780520956797"</f>
        <v>9780520956797</v>
      </c>
      <c r="K8855" t="s">
        <v>33</v>
      </c>
      <c r="L8855">
        <v>3</v>
      </c>
      <c r="O8855" t="s">
        <v>30</v>
      </c>
      <c r="P8855" t="s">
        <v>29</v>
      </c>
      <c r="Q8855" s="1">
        <v>42247.779918981483</v>
      </c>
      <c r="R8855">
        <v>7</v>
      </c>
      <c r="S8855" t="s">
        <v>31</v>
      </c>
      <c r="T8855" t="s">
        <v>3490</v>
      </c>
      <c r="U8855" t="s">
        <v>3491</v>
      </c>
      <c r="V8855" s="3">
        <v>41487</v>
      </c>
    </row>
    <row r="8856" spans="1:22" x14ac:dyDescent="0.35">
      <c r="A8856" s="1">
        <v>42251.618726851855</v>
      </c>
      <c r="B8856" s="2">
        <v>0</v>
      </c>
      <c r="C8856" t="s">
        <v>910</v>
      </c>
      <c r="D8856" t="s">
        <v>23</v>
      </c>
      <c r="E8856" t="s">
        <v>24</v>
      </c>
      <c r="F8856" t="s">
        <v>10689</v>
      </c>
      <c r="G8856">
        <v>938873</v>
      </c>
      <c r="H8856" t="s">
        <v>26</v>
      </c>
      <c r="I8856" t="s">
        <v>10690</v>
      </c>
      <c r="J8856" t="str">
        <f>"9781119963127"</f>
        <v>9781119963127</v>
      </c>
      <c r="L8856">
        <v>0</v>
      </c>
      <c r="O8856" t="s">
        <v>28</v>
      </c>
      <c r="P8856" t="s">
        <v>29</v>
      </c>
      <c r="Q8856" s="1">
        <v>42251.618726851855</v>
      </c>
      <c r="R8856">
        <v>7</v>
      </c>
      <c r="S8856" t="s">
        <v>31</v>
      </c>
      <c r="T8856" t="s">
        <v>10692</v>
      </c>
      <c r="U8856" t="s">
        <v>10693</v>
      </c>
      <c r="V8856" s="3">
        <v>41064</v>
      </c>
    </row>
    <row r="8857" spans="1:22" x14ac:dyDescent="0.35">
      <c r="A8857" s="1">
        <v>42251.618726851855</v>
      </c>
      <c r="B8857" s="2">
        <v>0</v>
      </c>
      <c r="C8857" t="s">
        <v>910</v>
      </c>
      <c r="D8857" t="s">
        <v>23</v>
      </c>
      <c r="E8857" t="s">
        <v>24</v>
      </c>
      <c r="F8857" t="s">
        <v>10689</v>
      </c>
      <c r="G8857">
        <v>938873</v>
      </c>
      <c r="H8857" t="s">
        <v>26</v>
      </c>
      <c r="I8857" t="s">
        <v>10690</v>
      </c>
      <c r="J8857" t="str">
        <f>"9781119963127"</f>
        <v>9781119963127</v>
      </c>
      <c r="L8857">
        <v>0</v>
      </c>
      <c r="O8857" t="s">
        <v>30</v>
      </c>
      <c r="P8857" t="s">
        <v>29</v>
      </c>
      <c r="Q8857" s="1">
        <v>42251.618726851855</v>
      </c>
      <c r="R8857">
        <v>7</v>
      </c>
      <c r="S8857" t="s">
        <v>31</v>
      </c>
      <c r="T8857" t="s">
        <v>10692</v>
      </c>
      <c r="U8857" t="s">
        <v>10693</v>
      </c>
      <c r="V8857" s="3">
        <v>41064</v>
      </c>
    </row>
    <row r="8858" spans="1:22" x14ac:dyDescent="0.35">
      <c r="A8858" s="1">
        <v>42251.618622685186</v>
      </c>
      <c r="B8858" s="2">
        <v>1.0416666666666667E-4</v>
      </c>
      <c r="C8858" t="s">
        <v>910</v>
      </c>
      <c r="D8858" t="s">
        <v>23</v>
      </c>
      <c r="E8858" t="s">
        <v>24</v>
      </c>
      <c r="F8858" t="s">
        <v>10689</v>
      </c>
      <c r="G8858">
        <v>938873</v>
      </c>
      <c r="H8858" t="s">
        <v>26</v>
      </c>
      <c r="I8858" t="s">
        <v>10690</v>
      </c>
      <c r="J8858" t="str">
        <f>"9781119963127"</f>
        <v>9781119963127</v>
      </c>
      <c r="K8858" t="s">
        <v>33</v>
      </c>
      <c r="L8858">
        <v>3</v>
      </c>
      <c r="O8858" t="s">
        <v>30</v>
      </c>
      <c r="P8858" t="s">
        <v>42</v>
      </c>
      <c r="S8858" t="s">
        <v>31</v>
      </c>
      <c r="T8858" t="s">
        <v>10692</v>
      </c>
      <c r="U8858" t="s">
        <v>10693</v>
      </c>
      <c r="V8858" s="3">
        <v>41064</v>
      </c>
    </row>
    <row r="8859" spans="1:22" x14ac:dyDescent="0.35">
      <c r="A8859" s="1">
        <v>42251.617997685185</v>
      </c>
      <c r="B8859" s="2">
        <v>4.7430555555555559E-2</v>
      </c>
      <c r="C8859" t="s">
        <v>12466</v>
      </c>
      <c r="D8859" t="s">
        <v>23</v>
      </c>
      <c r="E8859" t="s">
        <v>24</v>
      </c>
      <c r="F8859" t="s">
        <v>1051</v>
      </c>
      <c r="G8859">
        <v>821663</v>
      </c>
      <c r="H8859" t="s">
        <v>26</v>
      </c>
      <c r="I8859" t="s">
        <v>200</v>
      </c>
      <c r="J8859" t="str">
        <f>"9781118168479"</f>
        <v>9781118168479</v>
      </c>
      <c r="K8859" t="s">
        <v>12485</v>
      </c>
      <c r="L8859">
        <v>49</v>
      </c>
      <c r="O8859" t="s">
        <v>30</v>
      </c>
      <c r="P8859" t="s">
        <v>29</v>
      </c>
      <c r="Q8859" s="1">
        <v>42251.589166666665</v>
      </c>
      <c r="R8859">
        <v>7</v>
      </c>
      <c r="S8859" t="s">
        <v>31</v>
      </c>
      <c r="T8859" t="s">
        <v>1053</v>
      </c>
      <c r="U8859">
        <v>729</v>
      </c>
      <c r="V8859" s="3">
        <v>40973</v>
      </c>
    </row>
    <row r="8860" spans="1:22" x14ac:dyDescent="0.35">
      <c r="A8860" s="1">
        <v>42251.616712962961</v>
      </c>
      <c r="B8860" s="2">
        <v>1.1805555555555556E-3</v>
      </c>
      <c r="C8860" t="s">
        <v>12466</v>
      </c>
      <c r="D8860" t="s">
        <v>23</v>
      </c>
      <c r="E8860" t="s">
        <v>24</v>
      </c>
      <c r="F8860" t="s">
        <v>1051</v>
      </c>
      <c r="G8860">
        <v>821663</v>
      </c>
      <c r="H8860" t="s">
        <v>26</v>
      </c>
      <c r="I8860" t="s">
        <v>200</v>
      </c>
      <c r="J8860" t="str">
        <f>"9781118168479"</f>
        <v>9781118168479</v>
      </c>
      <c r="K8860" t="s">
        <v>202</v>
      </c>
      <c r="L8860">
        <v>3</v>
      </c>
      <c r="O8860" t="s">
        <v>30</v>
      </c>
      <c r="P8860" t="s">
        <v>29</v>
      </c>
      <c r="Q8860" s="1">
        <v>42251.589166666665</v>
      </c>
      <c r="R8860">
        <v>7</v>
      </c>
      <c r="S8860" t="s">
        <v>31</v>
      </c>
      <c r="T8860" t="s">
        <v>1053</v>
      </c>
      <c r="U8860">
        <v>729</v>
      </c>
      <c r="V8860" s="3">
        <v>40973</v>
      </c>
    </row>
    <row r="8861" spans="1:22" x14ac:dyDescent="0.35">
      <c r="A8861" s="1">
        <v>42251.607199074075</v>
      </c>
      <c r="B8861" s="2">
        <v>1.8055555555555557E-3</v>
      </c>
      <c r="C8861" t="s">
        <v>12466</v>
      </c>
      <c r="D8861" t="s">
        <v>23</v>
      </c>
      <c r="E8861" t="s">
        <v>24</v>
      </c>
      <c r="F8861" t="s">
        <v>1051</v>
      </c>
      <c r="G8861">
        <v>821663</v>
      </c>
      <c r="H8861" t="s">
        <v>26</v>
      </c>
      <c r="I8861" t="s">
        <v>200</v>
      </c>
      <c r="J8861" t="str">
        <f>"9781118168479"</f>
        <v>9781118168479</v>
      </c>
      <c r="K8861" t="s">
        <v>12486</v>
      </c>
      <c r="L8861">
        <v>16</v>
      </c>
      <c r="O8861" t="s">
        <v>28</v>
      </c>
      <c r="P8861" t="s">
        <v>29</v>
      </c>
      <c r="Q8861" s="1">
        <v>42251.589166666665</v>
      </c>
      <c r="R8861">
        <v>7</v>
      </c>
      <c r="S8861" t="s">
        <v>31</v>
      </c>
      <c r="T8861" t="s">
        <v>1053</v>
      </c>
      <c r="U8861">
        <v>729</v>
      </c>
      <c r="V8861" s="3">
        <v>40973</v>
      </c>
    </row>
    <row r="8862" spans="1:22" x14ac:dyDescent="0.35">
      <c r="A8862" s="1">
        <v>42251.606203703705</v>
      </c>
      <c r="B8862" s="2">
        <v>3.1250000000000001E-4</v>
      </c>
      <c r="C8862" t="s">
        <v>12466</v>
      </c>
      <c r="D8862" t="s">
        <v>23</v>
      </c>
      <c r="E8862" t="s">
        <v>24</v>
      </c>
      <c r="F8862" t="s">
        <v>1051</v>
      </c>
      <c r="G8862">
        <v>821663</v>
      </c>
      <c r="H8862" t="s">
        <v>26</v>
      </c>
      <c r="I8862" t="s">
        <v>200</v>
      </c>
      <c r="J8862" t="str">
        <f>"9781118168479"</f>
        <v>9781118168479</v>
      </c>
      <c r="K8862" t="s">
        <v>12487</v>
      </c>
      <c r="L8862">
        <v>9</v>
      </c>
      <c r="O8862" t="s">
        <v>30</v>
      </c>
      <c r="P8862" t="s">
        <v>29</v>
      </c>
      <c r="Q8862" s="1">
        <v>42251.589166666665</v>
      </c>
      <c r="R8862">
        <v>7</v>
      </c>
      <c r="S8862" t="s">
        <v>31</v>
      </c>
      <c r="T8862" t="s">
        <v>1053</v>
      </c>
      <c r="U8862">
        <v>729</v>
      </c>
      <c r="V8862" s="3">
        <v>40973</v>
      </c>
    </row>
    <row r="8863" spans="1:22" x14ac:dyDescent="0.35">
      <c r="A8863" s="1">
        <v>42251.603703703702</v>
      </c>
      <c r="B8863" s="2">
        <v>1.2361111111111113E-2</v>
      </c>
      <c r="C8863" t="s">
        <v>106</v>
      </c>
      <c r="D8863" t="s">
        <v>23</v>
      </c>
      <c r="E8863" t="s">
        <v>24</v>
      </c>
      <c r="F8863" t="s">
        <v>4197</v>
      </c>
      <c r="G8863">
        <v>1742841</v>
      </c>
      <c r="H8863" t="s">
        <v>91</v>
      </c>
      <c r="I8863" t="s">
        <v>247</v>
      </c>
      <c r="J8863" t="str">
        <f>"9781462516445"</f>
        <v>9781462516445</v>
      </c>
      <c r="K8863" t="s">
        <v>12488</v>
      </c>
      <c r="L8863">
        <v>82</v>
      </c>
      <c r="N8863" t="s">
        <v>12489</v>
      </c>
      <c r="O8863" t="s">
        <v>30</v>
      </c>
      <c r="P8863" t="s">
        <v>29</v>
      </c>
      <c r="Q8863" s="1">
        <v>42249.645925925928</v>
      </c>
      <c r="R8863">
        <v>7</v>
      </c>
      <c r="S8863" t="s">
        <v>31</v>
      </c>
      <c r="T8863" t="s">
        <v>4199</v>
      </c>
      <c r="U8863">
        <v>616.85270000000003</v>
      </c>
      <c r="V8863" s="3">
        <v>41934</v>
      </c>
    </row>
    <row r="8864" spans="1:22" x14ac:dyDescent="0.35">
      <c r="A8864" s="1">
        <v>42251.602905092594</v>
      </c>
      <c r="B8864" s="2">
        <v>2.4305555555555552E-4</v>
      </c>
      <c r="C8864" t="s">
        <v>11646</v>
      </c>
      <c r="D8864" t="s">
        <v>23</v>
      </c>
      <c r="E8864" t="s">
        <v>24</v>
      </c>
      <c r="F8864" t="s">
        <v>3488</v>
      </c>
      <c r="G8864">
        <v>1294909</v>
      </c>
      <c r="H8864" t="s">
        <v>84</v>
      </c>
      <c r="I8864" t="s">
        <v>445</v>
      </c>
      <c r="J8864" t="str">
        <f>"9780520956797"</f>
        <v>9780520956797</v>
      </c>
      <c r="K8864" t="s">
        <v>12490</v>
      </c>
      <c r="L8864">
        <v>8</v>
      </c>
      <c r="O8864" t="s">
        <v>30</v>
      </c>
      <c r="P8864" t="s">
        <v>29</v>
      </c>
      <c r="Q8864" s="1">
        <v>42248.816157407404</v>
      </c>
      <c r="R8864">
        <v>7</v>
      </c>
      <c r="S8864" t="s">
        <v>31</v>
      </c>
      <c r="T8864" t="s">
        <v>3490</v>
      </c>
      <c r="U8864" t="s">
        <v>3491</v>
      </c>
      <c r="V8864" s="3">
        <v>41487</v>
      </c>
    </row>
    <row r="8865" spans="1:22" x14ac:dyDescent="0.35">
      <c r="A8865" s="1">
        <v>42251.597256944442</v>
      </c>
      <c r="B8865" s="2">
        <v>1.8090277777777778E-2</v>
      </c>
      <c r="C8865" t="s">
        <v>106</v>
      </c>
      <c r="D8865" t="s">
        <v>23</v>
      </c>
      <c r="E8865" t="s">
        <v>24</v>
      </c>
      <c r="F8865" t="s">
        <v>3488</v>
      </c>
      <c r="G8865">
        <v>1294909</v>
      </c>
      <c r="H8865" t="s">
        <v>84</v>
      </c>
      <c r="I8865" t="s">
        <v>445</v>
      </c>
      <c r="J8865" t="str">
        <f>"9780520956797"</f>
        <v>9780520956797</v>
      </c>
      <c r="K8865" t="s">
        <v>12491</v>
      </c>
      <c r="L8865">
        <v>40</v>
      </c>
      <c r="O8865" t="s">
        <v>30</v>
      </c>
      <c r="P8865" t="s">
        <v>29</v>
      </c>
      <c r="Q8865" s="1">
        <v>42247.815520833334</v>
      </c>
      <c r="R8865">
        <v>7</v>
      </c>
      <c r="S8865" t="s">
        <v>31</v>
      </c>
      <c r="T8865" t="s">
        <v>3490</v>
      </c>
      <c r="U8865" t="s">
        <v>3491</v>
      </c>
      <c r="V8865" s="3">
        <v>41487</v>
      </c>
    </row>
    <row r="8866" spans="1:22" x14ac:dyDescent="0.35">
      <c r="A8866" s="1">
        <v>42251.593900462962</v>
      </c>
      <c r="B8866" s="2">
        <v>2.0833333333333333E-3</v>
      </c>
      <c r="C8866" t="s">
        <v>3558</v>
      </c>
      <c r="D8866" t="s">
        <v>23</v>
      </c>
      <c r="E8866" t="s">
        <v>24</v>
      </c>
      <c r="F8866" t="s">
        <v>3559</v>
      </c>
      <c r="G8866">
        <v>1217954</v>
      </c>
      <c r="H8866" t="s">
        <v>45</v>
      </c>
      <c r="I8866" t="s">
        <v>3560</v>
      </c>
      <c r="J8866" t="str">
        <f>"9781409457558"</f>
        <v>9781409457558</v>
      </c>
      <c r="K8866" t="s">
        <v>12492</v>
      </c>
      <c r="L8866">
        <v>6</v>
      </c>
      <c r="O8866" t="s">
        <v>30</v>
      </c>
      <c r="P8866" t="s">
        <v>42</v>
      </c>
      <c r="S8866" t="s">
        <v>31</v>
      </c>
      <c r="T8866" t="s">
        <v>3562</v>
      </c>
      <c r="U8866" t="s">
        <v>3563</v>
      </c>
      <c r="V8866" s="3">
        <v>41575</v>
      </c>
    </row>
    <row r="8867" spans="1:22" x14ac:dyDescent="0.35">
      <c r="A8867" s="1">
        <v>42251.591678240744</v>
      </c>
      <c r="B8867" s="2">
        <v>7.175925925925927E-4</v>
      </c>
      <c r="C8867" t="s">
        <v>12466</v>
      </c>
      <c r="D8867" t="s">
        <v>23</v>
      </c>
      <c r="E8867" t="s">
        <v>24</v>
      </c>
      <c r="F8867" t="s">
        <v>1051</v>
      </c>
      <c r="G8867">
        <v>821663</v>
      </c>
      <c r="H8867" t="s">
        <v>26</v>
      </c>
      <c r="I8867" t="s">
        <v>200</v>
      </c>
      <c r="J8867" t="str">
        <f>"9781118168479"</f>
        <v>9781118168479</v>
      </c>
      <c r="K8867" t="s">
        <v>12493</v>
      </c>
      <c r="L8867">
        <v>17</v>
      </c>
      <c r="O8867" t="s">
        <v>28</v>
      </c>
      <c r="P8867" t="s">
        <v>29</v>
      </c>
      <c r="Q8867" s="1">
        <v>42251.589166666665</v>
      </c>
      <c r="R8867">
        <v>7</v>
      </c>
      <c r="S8867" t="s">
        <v>31</v>
      </c>
      <c r="T8867" t="s">
        <v>1053</v>
      </c>
      <c r="U8867">
        <v>729</v>
      </c>
      <c r="V8867" s="3">
        <v>40973</v>
      </c>
    </row>
    <row r="8868" spans="1:22" x14ac:dyDescent="0.35">
      <c r="A8868" s="1">
        <v>42251.589166666665</v>
      </c>
      <c r="B8868" s="2">
        <v>2.3263888888888887E-3</v>
      </c>
      <c r="C8868" t="s">
        <v>12466</v>
      </c>
      <c r="D8868" t="s">
        <v>23</v>
      </c>
      <c r="E8868" t="s">
        <v>24</v>
      </c>
      <c r="F8868" t="s">
        <v>1051</v>
      </c>
      <c r="G8868">
        <v>821663</v>
      </c>
      <c r="H8868" t="s">
        <v>26</v>
      </c>
      <c r="I8868" t="s">
        <v>200</v>
      </c>
      <c r="J8868" t="str">
        <f>"9781118168479"</f>
        <v>9781118168479</v>
      </c>
      <c r="K8868" t="s">
        <v>12494</v>
      </c>
      <c r="L8868">
        <v>46</v>
      </c>
      <c r="N8868" t="s">
        <v>12314</v>
      </c>
      <c r="O8868" t="s">
        <v>30</v>
      </c>
      <c r="P8868" t="s">
        <v>29</v>
      </c>
      <c r="Q8868" s="1">
        <v>42251.589166666665</v>
      </c>
      <c r="R8868">
        <v>7</v>
      </c>
      <c r="S8868" t="s">
        <v>31</v>
      </c>
      <c r="T8868" t="s">
        <v>1053</v>
      </c>
      <c r="U8868">
        <v>729</v>
      </c>
      <c r="V8868" s="3">
        <v>40973</v>
      </c>
    </row>
    <row r="8869" spans="1:22" x14ac:dyDescent="0.35">
      <c r="A8869" s="1">
        <v>42251.588958333334</v>
      </c>
      <c r="B8869" s="2">
        <v>2.0833333333333335E-4</v>
      </c>
      <c r="C8869" t="s">
        <v>12466</v>
      </c>
      <c r="D8869" t="s">
        <v>23</v>
      </c>
      <c r="E8869" t="s">
        <v>24</v>
      </c>
      <c r="F8869" t="s">
        <v>1051</v>
      </c>
      <c r="G8869">
        <v>821663</v>
      </c>
      <c r="H8869" t="s">
        <v>26</v>
      </c>
      <c r="I8869" t="s">
        <v>200</v>
      </c>
      <c r="J8869" t="str">
        <f>"9781118168479"</f>
        <v>9781118168479</v>
      </c>
      <c r="K8869" t="s">
        <v>12495</v>
      </c>
      <c r="L8869">
        <v>10</v>
      </c>
      <c r="O8869" t="s">
        <v>30</v>
      </c>
      <c r="P8869" t="s">
        <v>42</v>
      </c>
      <c r="S8869" t="s">
        <v>31</v>
      </c>
      <c r="T8869" t="s">
        <v>1053</v>
      </c>
      <c r="U8869">
        <v>729</v>
      </c>
      <c r="V8869" s="3">
        <v>40973</v>
      </c>
    </row>
    <row r="8870" spans="1:22" x14ac:dyDescent="0.35">
      <c r="A8870" s="1">
        <v>42251.237083333333</v>
      </c>
      <c r="B8870" s="2">
        <v>6.0069444444444441E-3</v>
      </c>
      <c r="C8870" t="s">
        <v>12496</v>
      </c>
      <c r="D8870" t="s">
        <v>23</v>
      </c>
      <c r="E8870" t="s">
        <v>24</v>
      </c>
      <c r="F8870" t="s">
        <v>3488</v>
      </c>
      <c r="G8870">
        <v>1294909</v>
      </c>
      <c r="H8870" t="s">
        <v>84</v>
      </c>
      <c r="I8870" t="s">
        <v>445</v>
      </c>
      <c r="J8870" t="str">
        <f t="shared" ref="J8870:J8875" si="64">"9780520956797"</f>
        <v>9780520956797</v>
      </c>
      <c r="K8870" t="s">
        <v>12497</v>
      </c>
      <c r="L8870">
        <v>7</v>
      </c>
      <c r="O8870" t="s">
        <v>30</v>
      </c>
      <c r="P8870" t="s">
        <v>29</v>
      </c>
      <c r="Q8870" s="1">
        <v>42251.237083333333</v>
      </c>
      <c r="R8870">
        <v>7</v>
      </c>
      <c r="S8870" t="s">
        <v>31</v>
      </c>
      <c r="T8870" t="s">
        <v>3490</v>
      </c>
      <c r="U8870" t="s">
        <v>3491</v>
      </c>
      <c r="V8870" s="3">
        <v>41487</v>
      </c>
    </row>
    <row r="8871" spans="1:22" x14ac:dyDescent="0.35">
      <c r="A8871" s="1">
        <v>42251.225034722222</v>
      </c>
      <c r="B8871" s="2">
        <v>1.2048611111111112E-2</v>
      </c>
      <c r="C8871" t="s">
        <v>12496</v>
      </c>
      <c r="D8871" t="s">
        <v>23</v>
      </c>
      <c r="E8871" t="s">
        <v>24</v>
      </c>
      <c r="F8871" t="s">
        <v>3488</v>
      </c>
      <c r="G8871">
        <v>1294909</v>
      </c>
      <c r="H8871" t="s">
        <v>84</v>
      </c>
      <c r="I8871" t="s">
        <v>445</v>
      </c>
      <c r="J8871" t="str">
        <f t="shared" si="64"/>
        <v>9780520956797</v>
      </c>
      <c r="K8871" t="s">
        <v>12498</v>
      </c>
      <c r="L8871">
        <v>25</v>
      </c>
      <c r="O8871" t="s">
        <v>30</v>
      </c>
      <c r="P8871" t="s">
        <v>42</v>
      </c>
      <c r="S8871" t="s">
        <v>31</v>
      </c>
      <c r="T8871" t="s">
        <v>3490</v>
      </c>
      <c r="U8871" t="s">
        <v>3491</v>
      </c>
      <c r="V8871" s="3">
        <v>41487</v>
      </c>
    </row>
    <row r="8872" spans="1:22" x14ac:dyDescent="0.35">
      <c r="A8872" s="1">
        <v>42251.201122685183</v>
      </c>
      <c r="B8872" s="2">
        <v>0</v>
      </c>
      <c r="C8872" t="s">
        <v>12499</v>
      </c>
      <c r="D8872" t="s">
        <v>23</v>
      </c>
      <c r="E8872" t="s">
        <v>24</v>
      </c>
      <c r="F8872" t="s">
        <v>3488</v>
      </c>
      <c r="G8872">
        <v>1294909</v>
      </c>
      <c r="H8872" t="s">
        <v>84</v>
      </c>
      <c r="I8872" t="s">
        <v>445</v>
      </c>
      <c r="J8872" t="str">
        <f t="shared" si="64"/>
        <v>9780520956797</v>
      </c>
      <c r="L8872">
        <v>0</v>
      </c>
      <c r="O8872" t="s">
        <v>28</v>
      </c>
      <c r="P8872" t="s">
        <v>29</v>
      </c>
      <c r="Q8872" s="1">
        <v>42251.200706018521</v>
      </c>
      <c r="R8872">
        <v>7</v>
      </c>
      <c r="S8872" t="s">
        <v>31</v>
      </c>
      <c r="T8872" t="s">
        <v>3490</v>
      </c>
      <c r="U8872" t="s">
        <v>3491</v>
      </c>
      <c r="V8872" s="3">
        <v>41487</v>
      </c>
    </row>
    <row r="8873" spans="1:22" x14ac:dyDescent="0.35">
      <c r="A8873" s="1">
        <v>42251.200706018521</v>
      </c>
      <c r="B8873" s="2">
        <v>0</v>
      </c>
      <c r="C8873" t="s">
        <v>12499</v>
      </c>
      <c r="D8873" t="s">
        <v>23</v>
      </c>
      <c r="E8873" t="s">
        <v>24</v>
      </c>
      <c r="F8873" t="s">
        <v>3488</v>
      </c>
      <c r="G8873">
        <v>1294909</v>
      </c>
      <c r="H8873" t="s">
        <v>84</v>
      </c>
      <c r="I8873" t="s">
        <v>445</v>
      </c>
      <c r="J8873" t="str">
        <f t="shared" si="64"/>
        <v>9780520956797</v>
      </c>
      <c r="L8873">
        <v>0</v>
      </c>
      <c r="O8873" t="s">
        <v>28</v>
      </c>
      <c r="P8873" t="s">
        <v>29</v>
      </c>
      <c r="Q8873" s="1">
        <v>42251.200706018521</v>
      </c>
      <c r="R8873">
        <v>7</v>
      </c>
      <c r="S8873" t="s">
        <v>31</v>
      </c>
      <c r="T8873" t="s">
        <v>3490</v>
      </c>
      <c r="U8873" t="s">
        <v>3491</v>
      </c>
      <c r="V8873" s="3">
        <v>41487</v>
      </c>
    </row>
    <row r="8874" spans="1:22" x14ac:dyDescent="0.35">
      <c r="A8874" s="1">
        <v>42251.200706018521</v>
      </c>
      <c r="B8874" s="2">
        <v>0</v>
      </c>
      <c r="C8874" t="s">
        <v>12499</v>
      </c>
      <c r="D8874" t="s">
        <v>23</v>
      </c>
      <c r="E8874" t="s">
        <v>24</v>
      </c>
      <c r="F8874" t="s">
        <v>3488</v>
      </c>
      <c r="G8874">
        <v>1294909</v>
      </c>
      <c r="H8874" t="s">
        <v>84</v>
      </c>
      <c r="I8874" t="s">
        <v>445</v>
      </c>
      <c r="J8874" t="str">
        <f t="shared" si="64"/>
        <v>9780520956797</v>
      </c>
      <c r="L8874">
        <v>0</v>
      </c>
      <c r="O8874" t="s">
        <v>30</v>
      </c>
      <c r="P8874" t="s">
        <v>29</v>
      </c>
      <c r="Q8874" s="1">
        <v>42251.200706018521</v>
      </c>
      <c r="R8874">
        <v>7</v>
      </c>
      <c r="S8874" t="s">
        <v>31</v>
      </c>
      <c r="T8874" t="s">
        <v>3490</v>
      </c>
      <c r="U8874" t="s">
        <v>3491</v>
      </c>
      <c r="V8874" s="3">
        <v>41487</v>
      </c>
    </row>
    <row r="8875" spans="1:22" x14ac:dyDescent="0.35">
      <c r="A8875" s="1">
        <v>42251.20040509259</v>
      </c>
      <c r="B8875" s="2">
        <v>3.0092592592592595E-4</v>
      </c>
      <c r="C8875" t="s">
        <v>12499</v>
      </c>
      <c r="D8875" t="s">
        <v>23</v>
      </c>
      <c r="E8875" t="s">
        <v>24</v>
      </c>
      <c r="F8875" t="s">
        <v>3488</v>
      </c>
      <c r="G8875">
        <v>1294909</v>
      </c>
      <c r="H8875" t="s">
        <v>84</v>
      </c>
      <c r="I8875" t="s">
        <v>445</v>
      </c>
      <c r="J8875" t="str">
        <f t="shared" si="64"/>
        <v>9780520956797</v>
      </c>
      <c r="K8875" t="s">
        <v>33</v>
      </c>
      <c r="L8875">
        <v>3</v>
      </c>
      <c r="O8875" t="s">
        <v>30</v>
      </c>
      <c r="P8875" t="s">
        <v>42</v>
      </c>
      <c r="S8875" t="s">
        <v>31</v>
      </c>
      <c r="T8875" t="s">
        <v>3490</v>
      </c>
      <c r="U8875" t="s">
        <v>3491</v>
      </c>
      <c r="V8875" s="3">
        <v>41487</v>
      </c>
    </row>
    <row r="8876" spans="1:22" x14ac:dyDescent="0.35">
      <c r="A8876" s="1">
        <v>42251.176354166666</v>
      </c>
      <c r="B8876" s="2">
        <v>2.1643518518518518E-3</v>
      </c>
      <c r="C8876" t="s">
        <v>11469</v>
      </c>
      <c r="D8876" t="s">
        <v>23</v>
      </c>
      <c r="E8876" t="s">
        <v>24</v>
      </c>
      <c r="F8876" t="s">
        <v>3559</v>
      </c>
      <c r="G8876">
        <v>1217954</v>
      </c>
      <c r="H8876" t="s">
        <v>45</v>
      </c>
      <c r="I8876" t="s">
        <v>3560</v>
      </c>
      <c r="J8876" t="str">
        <f>"9781409457558"</f>
        <v>9781409457558</v>
      </c>
      <c r="K8876" t="s">
        <v>12500</v>
      </c>
      <c r="L8876">
        <v>10</v>
      </c>
      <c r="O8876" t="s">
        <v>30</v>
      </c>
      <c r="P8876" t="s">
        <v>42</v>
      </c>
      <c r="S8876" t="s">
        <v>31</v>
      </c>
      <c r="T8876" t="s">
        <v>3562</v>
      </c>
      <c r="U8876" t="s">
        <v>3563</v>
      </c>
      <c r="V8876" s="3">
        <v>41575</v>
      </c>
    </row>
    <row r="8877" spans="1:22" x14ac:dyDescent="0.35">
      <c r="A8877" s="1">
        <v>42251.115520833337</v>
      </c>
      <c r="B8877" s="2">
        <v>4.340277777777778E-3</v>
      </c>
      <c r="C8877" t="s">
        <v>3556</v>
      </c>
      <c r="D8877" t="s">
        <v>23</v>
      </c>
      <c r="E8877" t="s">
        <v>24</v>
      </c>
      <c r="F8877" t="s">
        <v>3060</v>
      </c>
      <c r="G8877">
        <v>1120279</v>
      </c>
      <c r="H8877" t="s">
        <v>26</v>
      </c>
      <c r="I8877" t="s">
        <v>3061</v>
      </c>
      <c r="J8877" t="str">
        <f t="shared" ref="J8877:J8882" si="65">"9781118537671"</f>
        <v>9781118537671</v>
      </c>
      <c r="K8877" t="s">
        <v>12501</v>
      </c>
      <c r="L8877">
        <v>16</v>
      </c>
      <c r="O8877" t="s">
        <v>28</v>
      </c>
      <c r="P8877" t="s">
        <v>29</v>
      </c>
      <c r="Q8877" s="1">
        <v>42251.110960648148</v>
      </c>
      <c r="R8877">
        <v>7</v>
      </c>
      <c r="S8877" t="s">
        <v>31</v>
      </c>
      <c r="T8877" t="s">
        <v>3063</v>
      </c>
      <c r="U8877">
        <v>599.93499999999995</v>
      </c>
      <c r="V8877" s="3">
        <v>41232</v>
      </c>
    </row>
    <row r="8878" spans="1:22" x14ac:dyDescent="0.35">
      <c r="A8878" s="1">
        <v>42251.113564814812</v>
      </c>
      <c r="B8878" s="2">
        <v>8.1018518518518516E-5</v>
      </c>
      <c r="C8878" t="s">
        <v>3120</v>
      </c>
      <c r="D8878" t="s">
        <v>23</v>
      </c>
      <c r="E8878" t="s">
        <v>24</v>
      </c>
      <c r="F8878" t="s">
        <v>3060</v>
      </c>
      <c r="G8878">
        <v>1120279</v>
      </c>
      <c r="H8878" t="s">
        <v>26</v>
      </c>
      <c r="I8878" t="s">
        <v>3061</v>
      </c>
      <c r="J8878" t="str">
        <f t="shared" si="65"/>
        <v>9781118537671</v>
      </c>
      <c r="K8878" t="s">
        <v>33</v>
      </c>
      <c r="L8878">
        <v>3</v>
      </c>
      <c r="O8878" t="s">
        <v>30</v>
      </c>
      <c r="P8878" t="s">
        <v>42</v>
      </c>
      <c r="S8878" t="s">
        <v>31</v>
      </c>
      <c r="T8878" t="s">
        <v>3063</v>
      </c>
      <c r="U8878">
        <v>599.93499999999995</v>
      </c>
      <c r="V8878" s="3">
        <v>41232</v>
      </c>
    </row>
    <row r="8879" spans="1:22" x14ac:dyDescent="0.35">
      <c r="A8879" s="1">
        <v>42251.111400462964</v>
      </c>
      <c r="B8879" s="2">
        <v>5.6712962962962956E-4</v>
      </c>
      <c r="C8879" t="s">
        <v>3120</v>
      </c>
      <c r="D8879" t="s">
        <v>23</v>
      </c>
      <c r="E8879" t="s">
        <v>24</v>
      </c>
      <c r="F8879" t="s">
        <v>3060</v>
      </c>
      <c r="G8879">
        <v>1120279</v>
      </c>
      <c r="H8879" t="s">
        <v>26</v>
      </c>
      <c r="I8879" t="s">
        <v>3061</v>
      </c>
      <c r="J8879" t="str">
        <f t="shared" si="65"/>
        <v>9781118537671</v>
      </c>
      <c r="K8879" t="s">
        <v>12502</v>
      </c>
      <c r="L8879">
        <v>16</v>
      </c>
      <c r="O8879" t="s">
        <v>30</v>
      </c>
      <c r="P8879" t="s">
        <v>42</v>
      </c>
      <c r="S8879" t="s">
        <v>31</v>
      </c>
      <c r="T8879" t="s">
        <v>3063</v>
      </c>
      <c r="U8879">
        <v>599.93499999999995</v>
      </c>
      <c r="V8879" s="3">
        <v>41232</v>
      </c>
    </row>
    <row r="8880" spans="1:22" x14ac:dyDescent="0.35">
      <c r="A8880" s="1">
        <v>42251.110960648148</v>
      </c>
      <c r="B8880" s="2">
        <v>4.2708333333333339E-3</v>
      </c>
      <c r="C8880" t="s">
        <v>3556</v>
      </c>
      <c r="D8880" t="s">
        <v>23</v>
      </c>
      <c r="E8880" t="s">
        <v>24</v>
      </c>
      <c r="F8880" t="s">
        <v>3060</v>
      </c>
      <c r="G8880">
        <v>1120279</v>
      </c>
      <c r="H8880" t="s">
        <v>26</v>
      </c>
      <c r="I8880" t="s">
        <v>3061</v>
      </c>
      <c r="J8880" t="str">
        <f t="shared" si="65"/>
        <v>9781118537671</v>
      </c>
      <c r="K8880" t="s">
        <v>12503</v>
      </c>
      <c r="L8880">
        <v>26</v>
      </c>
      <c r="M8880" t="s">
        <v>1309</v>
      </c>
      <c r="O8880" t="s">
        <v>28</v>
      </c>
      <c r="P8880" t="s">
        <v>29</v>
      </c>
      <c r="Q8880" s="1">
        <v>42251.110960648148</v>
      </c>
      <c r="R8880">
        <v>7</v>
      </c>
      <c r="S8880" t="s">
        <v>31</v>
      </c>
      <c r="T8880" t="s">
        <v>3063</v>
      </c>
      <c r="U8880">
        <v>599.93499999999995</v>
      </c>
      <c r="V8880" s="3">
        <v>41232</v>
      </c>
    </row>
    <row r="8881" spans="1:22" x14ac:dyDescent="0.35">
      <c r="A8881" s="1">
        <v>42251.110960648148</v>
      </c>
      <c r="B8881" s="2">
        <v>0</v>
      </c>
      <c r="C8881" t="s">
        <v>3556</v>
      </c>
      <c r="D8881" t="s">
        <v>23</v>
      </c>
      <c r="E8881" t="s">
        <v>24</v>
      </c>
      <c r="F8881" t="s">
        <v>3060</v>
      </c>
      <c r="G8881">
        <v>1120279</v>
      </c>
      <c r="H8881" t="s">
        <v>26</v>
      </c>
      <c r="I8881" t="s">
        <v>3061</v>
      </c>
      <c r="J8881" t="str">
        <f t="shared" si="65"/>
        <v>9781118537671</v>
      </c>
      <c r="L8881">
        <v>0</v>
      </c>
      <c r="O8881" t="s">
        <v>30</v>
      </c>
      <c r="P8881" t="s">
        <v>29</v>
      </c>
      <c r="Q8881" s="1">
        <v>42251.110960648148</v>
      </c>
      <c r="R8881">
        <v>7</v>
      </c>
      <c r="S8881" t="s">
        <v>31</v>
      </c>
      <c r="T8881" t="s">
        <v>3063</v>
      </c>
      <c r="U8881">
        <v>599.93499999999995</v>
      </c>
      <c r="V8881" s="3">
        <v>41232</v>
      </c>
    </row>
    <row r="8882" spans="1:22" x14ac:dyDescent="0.35">
      <c r="A8882" s="1">
        <v>42251.108576388891</v>
      </c>
      <c r="B8882" s="2">
        <v>2.3842592592592591E-3</v>
      </c>
      <c r="C8882" t="s">
        <v>3556</v>
      </c>
      <c r="D8882" t="s">
        <v>23</v>
      </c>
      <c r="E8882" t="s">
        <v>24</v>
      </c>
      <c r="F8882" t="s">
        <v>3060</v>
      </c>
      <c r="G8882">
        <v>1120279</v>
      </c>
      <c r="H8882" t="s">
        <v>26</v>
      </c>
      <c r="I8882" t="s">
        <v>3061</v>
      </c>
      <c r="J8882" t="str">
        <f t="shared" si="65"/>
        <v>9781118537671</v>
      </c>
      <c r="K8882" t="s">
        <v>12504</v>
      </c>
      <c r="L8882">
        <v>18</v>
      </c>
      <c r="O8882" t="s">
        <v>30</v>
      </c>
      <c r="P8882" t="s">
        <v>42</v>
      </c>
      <c r="S8882" t="s">
        <v>31</v>
      </c>
      <c r="T8882" t="s">
        <v>3063</v>
      </c>
      <c r="U8882">
        <v>599.93499999999995</v>
      </c>
      <c r="V8882" s="3">
        <v>41232</v>
      </c>
    </row>
    <row r="8883" spans="1:22" x14ac:dyDescent="0.35">
      <c r="A8883" s="1">
        <v>42251.100810185184</v>
      </c>
      <c r="B8883" s="2">
        <v>3.0520833333333334E-2</v>
      </c>
      <c r="C8883" t="s">
        <v>12505</v>
      </c>
      <c r="D8883" t="s">
        <v>23</v>
      </c>
      <c r="E8883" t="s">
        <v>24</v>
      </c>
      <c r="F8883" t="s">
        <v>3488</v>
      </c>
      <c r="G8883">
        <v>1294909</v>
      </c>
      <c r="H8883" t="s">
        <v>84</v>
      </c>
      <c r="I8883" t="s">
        <v>445</v>
      </c>
      <c r="J8883" t="str">
        <f>"9780520956797"</f>
        <v>9780520956797</v>
      </c>
      <c r="K8883" t="s">
        <v>12506</v>
      </c>
      <c r="L8883">
        <v>19</v>
      </c>
      <c r="O8883" t="s">
        <v>30</v>
      </c>
      <c r="P8883" t="s">
        <v>29</v>
      </c>
      <c r="Q8883" s="1">
        <v>42247.979733796295</v>
      </c>
      <c r="R8883">
        <v>7</v>
      </c>
      <c r="S8883" t="s">
        <v>31</v>
      </c>
      <c r="T8883" t="s">
        <v>3490</v>
      </c>
      <c r="U8883" t="s">
        <v>3491</v>
      </c>
      <c r="V8883" s="3">
        <v>41487</v>
      </c>
    </row>
    <row r="8884" spans="1:22" x14ac:dyDescent="0.35">
      <c r="A8884" s="1">
        <v>42251.072638888887</v>
      </c>
      <c r="B8884" s="2">
        <v>8.2175925925925917E-4</v>
      </c>
      <c r="C8884" t="s">
        <v>3670</v>
      </c>
      <c r="D8884" t="s">
        <v>35</v>
      </c>
      <c r="E8884" t="s">
        <v>36</v>
      </c>
      <c r="F8884" t="s">
        <v>37</v>
      </c>
      <c r="G8884">
        <v>1684620</v>
      </c>
      <c r="H8884" t="s">
        <v>26</v>
      </c>
      <c r="I8884" t="s">
        <v>38</v>
      </c>
      <c r="J8884" t="str">
        <f>"9781118418925"</f>
        <v>9781118418925</v>
      </c>
      <c r="K8884" t="s">
        <v>12507</v>
      </c>
      <c r="L8884">
        <v>46</v>
      </c>
      <c r="O8884" t="s">
        <v>30</v>
      </c>
      <c r="P8884" t="s">
        <v>29</v>
      </c>
      <c r="Q8884" s="1">
        <v>42251.053078703706</v>
      </c>
      <c r="R8884">
        <v>7</v>
      </c>
      <c r="S8884" t="s">
        <v>40</v>
      </c>
      <c r="T8884" t="s">
        <v>41</v>
      </c>
      <c r="U8884">
        <v>362.10680000000002</v>
      </c>
      <c r="V8884" s="3">
        <v>41759</v>
      </c>
    </row>
    <row r="8885" spans="1:22" x14ac:dyDescent="0.35">
      <c r="A8885" s="1">
        <v>42251.069826388892</v>
      </c>
      <c r="B8885" s="2">
        <v>1.712962962962963E-3</v>
      </c>
      <c r="C8885" t="s">
        <v>828</v>
      </c>
      <c r="D8885" t="s">
        <v>23</v>
      </c>
      <c r="E8885" t="s">
        <v>24</v>
      </c>
      <c r="F8885" t="s">
        <v>855</v>
      </c>
      <c r="G8885">
        <v>817848</v>
      </c>
      <c r="H8885" t="s">
        <v>26</v>
      </c>
      <c r="I8885" t="s">
        <v>856</v>
      </c>
      <c r="J8885" t="str">
        <f>"9781118205624"</f>
        <v>9781118205624</v>
      </c>
      <c r="K8885" t="s">
        <v>12508</v>
      </c>
      <c r="L8885">
        <v>13</v>
      </c>
      <c r="O8885" t="s">
        <v>30</v>
      </c>
      <c r="P8885" t="s">
        <v>42</v>
      </c>
      <c r="S8885" t="s">
        <v>31</v>
      </c>
      <c r="T8885" t="s">
        <v>858</v>
      </c>
      <c r="U8885" t="s">
        <v>859</v>
      </c>
      <c r="V8885" s="3">
        <v>41019</v>
      </c>
    </row>
    <row r="8886" spans="1:22" x14ac:dyDescent="0.35">
      <c r="A8886" s="1">
        <v>42251.069305555553</v>
      </c>
      <c r="B8886" s="2">
        <v>5.0925925925925921E-4</v>
      </c>
      <c r="C8886" t="s">
        <v>3670</v>
      </c>
      <c r="D8886" t="s">
        <v>35</v>
      </c>
      <c r="E8886" t="s">
        <v>36</v>
      </c>
      <c r="F8886" t="s">
        <v>37</v>
      </c>
      <c r="G8886">
        <v>1684620</v>
      </c>
      <c r="H8886" t="s">
        <v>26</v>
      </c>
      <c r="I8886" t="s">
        <v>38</v>
      </c>
      <c r="J8886" t="str">
        <f t="shared" ref="J8886:J8896" si="66">"9781118418925"</f>
        <v>9781118418925</v>
      </c>
      <c r="K8886" t="s">
        <v>6055</v>
      </c>
      <c r="L8886">
        <v>3</v>
      </c>
      <c r="O8886" t="s">
        <v>28</v>
      </c>
      <c r="P8886" t="s">
        <v>29</v>
      </c>
      <c r="Q8886" s="1">
        <v>42251.053078703706</v>
      </c>
      <c r="R8886">
        <v>7</v>
      </c>
      <c r="S8886" t="s">
        <v>40</v>
      </c>
      <c r="T8886" t="s">
        <v>41</v>
      </c>
      <c r="U8886">
        <v>362.10680000000002</v>
      </c>
      <c r="V8886" s="3">
        <v>41759</v>
      </c>
    </row>
    <row r="8887" spans="1:22" x14ac:dyDescent="0.35">
      <c r="A8887" s="1">
        <v>42251.069097222222</v>
      </c>
      <c r="B8887" s="2">
        <v>3.4722222222222222E-5</v>
      </c>
      <c r="C8887" t="s">
        <v>3670</v>
      </c>
      <c r="D8887" t="s">
        <v>35</v>
      </c>
      <c r="E8887" t="s">
        <v>36</v>
      </c>
      <c r="F8887" t="s">
        <v>37</v>
      </c>
      <c r="G8887">
        <v>1684620</v>
      </c>
      <c r="H8887" t="s">
        <v>26</v>
      </c>
      <c r="I8887" t="s">
        <v>38</v>
      </c>
      <c r="J8887" t="str">
        <f t="shared" si="66"/>
        <v>9781118418925</v>
      </c>
      <c r="K8887" t="s">
        <v>33</v>
      </c>
      <c r="L8887">
        <v>3</v>
      </c>
      <c r="O8887" t="s">
        <v>30</v>
      </c>
      <c r="P8887" t="s">
        <v>29</v>
      </c>
      <c r="Q8887" s="1">
        <v>42251.053078703706</v>
      </c>
      <c r="R8887">
        <v>7</v>
      </c>
      <c r="S8887" t="s">
        <v>40</v>
      </c>
      <c r="T8887" t="s">
        <v>41</v>
      </c>
      <c r="U8887">
        <v>362.10680000000002</v>
      </c>
      <c r="V8887" s="3">
        <v>41759</v>
      </c>
    </row>
    <row r="8888" spans="1:22" x14ac:dyDescent="0.35">
      <c r="A8888" s="1">
        <v>42251.059374999997</v>
      </c>
      <c r="B8888" s="2">
        <v>0</v>
      </c>
      <c r="C8888" t="s">
        <v>3670</v>
      </c>
      <c r="D8888" t="s">
        <v>35</v>
      </c>
      <c r="E8888" t="s">
        <v>36</v>
      </c>
      <c r="F8888" t="s">
        <v>37</v>
      </c>
      <c r="G8888">
        <v>1684620</v>
      </c>
      <c r="H8888" t="s">
        <v>26</v>
      </c>
      <c r="I8888" t="s">
        <v>38</v>
      </c>
      <c r="J8888" t="str">
        <f t="shared" si="66"/>
        <v>9781118418925</v>
      </c>
      <c r="L8888">
        <v>0</v>
      </c>
      <c r="O8888" t="s">
        <v>28</v>
      </c>
      <c r="P8888" t="s">
        <v>29</v>
      </c>
      <c r="Q8888" s="1">
        <v>42251.053078703706</v>
      </c>
      <c r="R8888">
        <v>7</v>
      </c>
      <c r="S8888" t="s">
        <v>40</v>
      </c>
      <c r="T8888" t="s">
        <v>41</v>
      </c>
      <c r="U8888">
        <v>362.10680000000002</v>
      </c>
      <c r="V8888" s="3">
        <v>41759</v>
      </c>
    </row>
    <row r="8889" spans="1:22" x14ac:dyDescent="0.35">
      <c r="A8889" s="1">
        <v>42251.059293981481</v>
      </c>
      <c r="B8889" s="2">
        <v>3.4722222222222222E-5</v>
      </c>
      <c r="C8889" t="s">
        <v>3670</v>
      </c>
      <c r="D8889" t="s">
        <v>35</v>
      </c>
      <c r="E8889" t="s">
        <v>36</v>
      </c>
      <c r="F8889" t="s">
        <v>37</v>
      </c>
      <c r="G8889">
        <v>1684620</v>
      </c>
      <c r="H8889" t="s">
        <v>26</v>
      </c>
      <c r="I8889" t="s">
        <v>38</v>
      </c>
      <c r="J8889" t="str">
        <f t="shared" si="66"/>
        <v>9781118418925</v>
      </c>
      <c r="K8889" t="s">
        <v>33</v>
      </c>
      <c r="L8889">
        <v>3</v>
      </c>
      <c r="O8889" t="s">
        <v>30</v>
      </c>
      <c r="P8889" t="s">
        <v>29</v>
      </c>
      <c r="Q8889" s="1">
        <v>42251.053078703706</v>
      </c>
      <c r="R8889">
        <v>7</v>
      </c>
      <c r="S8889" t="s">
        <v>40</v>
      </c>
      <c r="T8889" t="s">
        <v>41</v>
      </c>
      <c r="U8889">
        <v>362.10680000000002</v>
      </c>
      <c r="V8889" s="3">
        <v>41759</v>
      </c>
    </row>
    <row r="8890" spans="1:22" x14ac:dyDescent="0.35">
      <c r="A8890" s="1">
        <v>42251.058356481481</v>
      </c>
      <c r="B8890" s="2">
        <v>0</v>
      </c>
      <c r="C8890" t="s">
        <v>3670</v>
      </c>
      <c r="D8890" t="s">
        <v>35</v>
      </c>
      <c r="E8890" t="s">
        <v>36</v>
      </c>
      <c r="F8890" t="s">
        <v>37</v>
      </c>
      <c r="G8890">
        <v>1684620</v>
      </c>
      <c r="H8890" t="s">
        <v>26</v>
      </c>
      <c r="I8890" t="s">
        <v>38</v>
      </c>
      <c r="J8890" t="str">
        <f t="shared" si="66"/>
        <v>9781118418925</v>
      </c>
      <c r="L8890">
        <v>0</v>
      </c>
      <c r="O8890" t="s">
        <v>28</v>
      </c>
      <c r="P8890" t="s">
        <v>29</v>
      </c>
      <c r="Q8890" s="1">
        <v>42251.053078703706</v>
      </c>
      <c r="R8890">
        <v>7</v>
      </c>
      <c r="S8890" t="s">
        <v>40</v>
      </c>
      <c r="T8890" t="s">
        <v>41</v>
      </c>
      <c r="U8890">
        <v>362.10680000000002</v>
      </c>
      <c r="V8890" s="3">
        <v>41759</v>
      </c>
    </row>
    <row r="8891" spans="1:22" x14ac:dyDescent="0.35">
      <c r="A8891" s="1">
        <v>42251.058275462965</v>
      </c>
      <c r="B8891" s="2">
        <v>2.3148148148148147E-5</v>
      </c>
      <c r="C8891" t="s">
        <v>3670</v>
      </c>
      <c r="D8891" t="s">
        <v>35</v>
      </c>
      <c r="E8891" t="s">
        <v>36</v>
      </c>
      <c r="F8891" t="s">
        <v>37</v>
      </c>
      <c r="G8891">
        <v>1684620</v>
      </c>
      <c r="H8891" t="s">
        <v>26</v>
      </c>
      <c r="I8891" t="s">
        <v>38</v>
      </c>
      <c r="J8891" t="str">
        <f t="shared" si="66"/>
        <v>9781118418925</v>
      </c>
      <c r="K8891" t="s">
        <v>33</v>
      </c>
      <c r="L8891">
        <v>3</v>
      </c>
      <c r="O8891" t="s">
        <v>30</v>
      </c>
      <c r="P8891" t="s">
        <v>29</v>
      </c>
      <c r="Q8891" s="1">
        <v>42251.053078703706</v>
      </c>
      <c r="R8891">
        <v>7</v>
      </c>
      <c r="S8891" t="s">
        <v>40</v>
      </c>
      <c r="T8891" t="s">
        <v>41</v>
      </c>
      <c r="U8891">
        <v>362.10680000000002</v>
      </c>
      <c r="V8891" s="3">
        <v>41759</v>
      </c>
    </row>
    <row r="8892" spans="1:22" x14ac:dyDescent="0.35">
      <c r="A8892" s="1">
        <v>42251.058159722219</v>
      </c>
      <c r="B8892" s="2">
        <v>0</v>
      </c>
      <c r="C8892" t="s">
        <v>3670</v>
      </c>
      <c r="D8892" t="s">
        <v>35</v>
      </c>
      <c r="E8892" t="s">
        <v>36</v>
      </c>
      <c r="F8892" t="s">
        <v>37</v>
      </c>
      <c r="G8892">
        <v>1684620</v>
      </c>
      <c r="H8892" t="s">
        <v>26</v>
      </c>
      <c r="I8892" t="s">
        <v>38</v>
      </c>
      <c r="J8892" t="str">
        <f t="shared" si="66"/>
        <v>9781118418925</v>
      </c>
      <c r="L8892">
        <v>0</v>
      </c>
      <c r="O8892" t="s">
        <v>28</v>
      </c>
      <c r="P8892" t="s">
        <v>29</v>
      </c>
      <c r="Q8892" s="1">
        <v>42251.053078703706</v>
      </c>
      <c r="R8892">
        <v>7</v>
      </c>
      <c r="S8892" t="s">
        <v>40</v>
      </c>
      <c r="T8892" t="s">
        <v>41</v>
      </c>
      <c r="U8892">
        <v>362.10680000000002</v>
      </c>
      <c r="V8892" s="3">
        <v>41759</v>
      </c>
    </row>
    <row r="8893" spans="1:22" x14ac:dyDescent="0.35">
      <c r="A8893" s="1">
        <v>42251.057997685188</v>
      </c>
      <c r="B8893" s="2">
        <v>3.4722222222222222E-5</v>
      </c>
      <c r="C8893" t="s">
        <v>3670</v>
      </c>
      <c r="D8893" t="s">
        <v>35</v>
      </c>
      <c r="E8893" t="s">
        <v>36</v>
      </c>
      <c r="F8893" t="s">
        <v>37</v>
      </c>
      <c r="G8893">
        <v>1684620</v>
      </c>
      <c r="H8893" t="s">
        <v>26</v>
      </c>
      <c r="I8893" t="s">
        <v>38</v>
      </c>
      <c r="J8893" t="str">
        <f t="shared" si="66"/>
        <v>9781118418925</v>
      </c>
      <c r="K8893" t="s">
        <v>33</v>
      </c>
      <c r="L8893">
        <v>3</v>
      </c>
      <c r="O8893" t="s">
        <v>30</v>
      </c>
      <c r="P8893" t="s">
        <v>29</v>
      </c>
      <c r="Q8893" s="1">
        <v>42251.053078703706</v>
      </c>
      <c r="R8893">
        <v>7</v>
      </c>
      <c r="S8893" t="s">
        <v>40</v>
      </c>
      <c r="T8893" t="s">
        <v>41</v>
      </c>
      <c r="U8893">
        <v>362.10680000000002</v>
      </c>
      <c r="V8893" s="3">
        <v>41759</v>
      </c>
    </row>
    <row r="8894" spans="1:22" x14ac:dyDescent="0.35">
      <c r="A8894" s="1">
        <v>42251.057824074072</v>
      </c>
      <c r="B8894" s="2">
        <v>0</v>
      </c>
      <c r="C8894" t="s">
        <v>3670</v>
      </c>
      <c r="D8894" t="s">
        <v>35</v>
      </c>
      <c r="E8894" t="s">
        <v>36</v>
      </c>
      <c r="F8894" t="s">
        <v>37</v>
      </c>
      <c r="G8894">
        <v>1684620</v>
      </c>
      <c r="H8894" t="s">
        <v>26</v>
      </c>
      <c r="I8894" t="s">
        <v>38</v>
      </c>
      <c r="J8894" t="str">
        <f t="shared" si="66"/>
        <v>9781118418925</v>
      </c>
      <c r="L8894">
        <v>0</v>
      </c>
      <c r="O8894" t="s">
        <v>28</v>
      </c>
      <c r="P8894" t="s">
        <v>29</v>
      </c>
      <c r="Q8894" s="1">
        <v>42251.053078703706</v>
      </c>
      <c r="R8894">
        <v>7</v>
      </c>
      <c r="S8894" t="s">
        <v>40</v>
      </c>
      <c r="T8894" t="s">
        <v>41</v>
      </c>
      <c r="U8894">
        <v>362.10680000000002</v>
      </c>
      <c r="V8894" s="3">
        <v>41759</v>
      </c>
    </row>
    <row r="8895" spans="1:22" x14ac:dyDescent="0.35">
      <c r="A8895" s="1">
        <v>42251.056284722225</v>
      </c>
      <c r="B8895" s="2">
        <v>0</v>
      </c>
      <c r="C8895" t="s">
        <v>3670</v>
      </c>
      <c r="D8895" t="s">
        <v>35</v>
      </c>
      <c r="E8895" t="s">
        <v>36</v>
      </c>
      <c r="F8895" t="s">
        <v>37</v>
      </c>
      <c r="G8895">
        <v>1684620</v>
      </c>
      <c r="H8895" t="s">
        <v>26</v>
      </c>
      <c r="I8895" t="s">
        <v>38</v>
      </c>
      <c r="J8895" t="str">
        <f t="shared" si="66"/>
        <v>9781118418925</v>
      </c>
      <c r="L8895">
        <v>0</v>
      </c>
      <c r="O8895" t="s">
        <v>28</v>
      </c>
      <c r="P8895" t="s">
        <v>29</v>
      </c>
      <c r="Q8895" s="1">
        <v>42251.053078703706</v>
      </c>
      <c r="R8895">
        <v>7</v>
      </c>
      <c r="S8895" t="s">
        <v>40</v>
      </c>
      <c r="T8895" t="s">
        <v>41</v>
      </c>
      <c r="U8895">
        <v>362.10680000000002</v>
      </c>
      <c r="V8895" s="3">
        <v>41759</v>
      </c>
    </row>
    <row r="8896" spans="1:22" x14ac:dyDescent="0.35">
      <c r="A8896" s="1">
        <v>42251.05568287037</v>
      </c>
      <c r="B8896" s="2">
        <v>4.6296296296296294E-5</v>
      </c>
      <c r="C8896" t="s">
        <v>3670</v>
      </c>
      <c r="D8896" t="s">
        <v>35</v>
      </c>
      <c r="E8896" t="s">
        <v>36</v>
      </c>
      <c r="F8896" t="s">
        <v>37</v>
      </c>
      <c r="G8896">
        <v>1684620</v>
      </c>
      <c r="H8896" t="s">
        <v>26</v>
      </c>
      <c r="I8896" t="s">
        <v>38</v>
      </c>
      <c r="J8896" t="str">
        <f t="shared" si="66"/>
        <v>9781118418925</v>
      </c>
      <c r="K8896" t="s">
        <v>33</v>
      </c>
      <c r="L8896">
        <v>3</v>
      </c>
      <c r="O8896" t="s">
        <v>30</v>
      </c>
      <c r="P8896" t="s">
        <v>29</v>
      </c>
      <c r="Q8896" s="1">
        <v>42251.053078703706</v>
      </c>
      <c r="R8896">
        <v>7</v>
      </c>
      <c r="S8896" t="s">
        <v>40</v>
      </c>
      <c r="T8896" t="s">
        <v>41</v>
      </c>
      <c r="U8896">
        <v>362.10680000000002</v>
      </c>
      <c r="V8896" s="3">
        <v>41759</v>
      </c>
    </row>
    <row r="8897" spans="1:22" x14ac:dyDescent="0.35">
      <c r="A8897" s="1">
        <v>42251.054826388892</v>
      </c>
      <c r="B8897" s="2">
        <v>3.4722222222222222E-5</v>
      </c>
      <c r="C8897" t="s">
        <v>106</v>
      </c>
      <c r="D8897" t="s">
        <v>23</v>
      </c>
      <c r="E8897" t="s">
        <v>24</v>
      </c>
      <c r="F8897" t="s">
        <v>486</v>
      </c>
      <c r="G8897">
        <v>1119505</v>
      </c>
      <c r="H8897" t="s">
        <v>26</v>
      </c>
      <c r="I8897" t="s">
        <v>450</v>
      </c>
      <c r="J8897" t="str">
        <f>"9781118355015"</f>
        <v>9781118355015</v>
      </c>
      <c r="K8897" t="s">
        <v>33</v>
      </c>
      <c r="L8897">
        <v>3</v>
      </c>
      <c r="M8897" t="s">
        <v>105</v>
      </c>
      <c r="O8897" t="s">
        <v>30</v>
      </c>
      <c r="P8897" t="s">
        <v>29</v>
      </c>
      <c r="Q8897" s="1">
        <v>42250.739131944443</v>
      </c>
      <c r="R8897">
        <v>7</v>
      </c>
      <c r="S8897" t="s">
        <v>31</v>
      </c>
      <c r="T8897" t="s">
        <v>487</v>
      </c>
      <c r="U8897" t="s">
        <v>488</v>
      </c>
      <c r="V8897" s="3">
        <v>41302</v>
      </c>
    </row>
    <row r="8898" spans="1:22" x14ac:dyDescent="0.35">
      <c r="A8898" s="1">
        <v>42251.054247685184</v>
      </c>
      <c r="B8898" s="2">
        <v>4.6296296296296294E-5</v>
      </c>
      <c r="C8898" t="s">
        <v>106</v>
      </c>
      <c r="D8898" t="s">
        <v>23</v>
      </c>
      <c r="E8898" t="s">
        <v>24</v>
      </c>
      <c r="F8898" t="s">
        <v>486</v>
      </c>
      <c r="G8898">
        <v>1119505</v>
      </c>
      <c r="H8898" t="s">
        <v>26</v>
      </c>
      <c r="I8898" t="s">
        <v>450</v>
      </c>
      <c r="J8898" t="str">
        <f>"9781118355015"</f>
        <v>9781118355015</v>
      </c>
      <c r="K8898" t="s">
        <v>33</v>
      </c>
      <c r="L8898">
        <v>3</v>
      </c>
      <c r="O8898" t="s">
        <v>30</v>
      </c>
      <c r="P8898" t="s">
        <v>29</v>
      </c>
      <c r="Q8898" s="1">
        <v>42250.739131944443</v>
      </c>
      <c r="R8898">
        <v>7</v>
      </c>
      <c r="S8898" t="s">
        <v>31</v>
      </c>
      <c r="T8898" t="s">
        <v>487</v>
      </c>
      <c r="U8898" t="s">
        <v>488</v>
      </c>
      <c r="V8898" s="3">
        <v>41302</v>
      </c>
    </row>
    <row r="8899" spans="1:22" x14ac:dyDescent="0.35">
      <c r="A8899" s="1">
        <v>42251.053090277775</v>
      </c>
      <c r="B8899" s="2">
        <v>0</v>
      </c>
      <c r="C8899" t="s">
        <v>3670</v>
      </c>
      <c r="D8899" t="s">
        <v>35</v>
      </c>
      <c r="E8899" t="s">
        <v>36</v>
      </c>
      <c r="F8899" t="s">
        <v>37</v>
      </c>
      <c r="G8899">
        <v>1684620</v>
      </c>
      <c r="H8899" t="s">
        <v>26</v>
      </c>
      <c r="I8899" t="s">
        <v>38</v>
      </c>
      <c r="J8899" t="str">
        <f>"9781118418925"</f>
        <v>9781118418925</v>
      </c>
      <c r="L8899">
        <v>0</v>
      </c>
      <c r="O8899" t="s">
        <v>30</v>
      </c>
      <c r="P8899" t="s">
        <v>29</v>
      </c>
      <c r="Q8899" s="1">
        <v>42251.053078703706</v>
      </c>
      <c r="R8899">
        <v>7</v>
      </c>
      <c r="S8899" t="s">
        <v>40</v>
      </c>
      <c r="T8899" t="s">
        <v>41</v>
      </c>
      <c r="U8899">
        <v>362.10680000000002</v>
      </c>
      <c r="V8899" s="3">
        <v>41759</v>
      </c>
    </row>
    <row r="8900" spans="1:22" x14ac:dyDescent="0.35">
      <c r="A8900" s="1">
        <v>42251.052361111113</v>
      </c>
      <c r="B8900" s="2">
        <v>7.175925925925927E-4</v>
      </c>
      <c r="C8900" t="s">
        <v>3670</v>
      </c>
      <c r="D8900" t="s">
        <v>35</v>
      </c>
      <c r="E8900" t="s">
        <v>36</v>
      </c>
      <c r="F8900" t="s">
        <v>37</v>
      </c>
      <c r="G8900">
        <v>1684620</v>
      </c>
      <c r="H8900" t="s">
        <v>26</v>
      </c>
      <c r="I8900" t="s">
        <v>38</v>
      </c>
      <c r="J8900" t="str">
        <f>"9781118418925"</f>
        <v>9781118418925</v>
      </c>
      <c r="K8900" t="s">
        <v>3927</v>
      </c>
      <c r="L8900">
        <v>7</v>
      </c>
      <c r="O8900" t="s">
        <v>30</v>
      </c>
      <c r="P8900" t="s">
        <v>42</v>
      </c>
      <c r="S8900" t="s">
        <v>40</v>
      </c>
      <c r="T8900" t="s">
        <v>41</v>
      </c>
      <c r="U8900">
        <v>362.10680000000002</v>
      </c>
      <c r="V8900" s="3">
        <v>41759</v>
      </c>
    </row>
    <row r="8901" spans="1:22" x14ac:dyDescent="0.35">
      <c r="A8901" s="1">
        <v>42251.052060185182</v>
      </c>
      <c r="B8901" s="2">
        <v>1.7361111111111112E-4</v>
      </c>
      <c r="C8901" t="s">
        <v>3670</v>
      </c>
      <c r="D8901" t="s">
        <v>35</v>
      </c>
      <c r="E8901" t="s">
        <v>36</v>
      </c>
      <c r="F8901" t="s">
        <v>37</v>
      </c>
      <c r="G8901">
        <v>1684620</v>
      </c>
      <c r="H8901" t="s">
        <v>26</v>
      </c>
      <c r="I8901" t="s">
        <v>38</v>
      </c>
      <c r="J8901" t="str">
        <f>"9781118418925"</f>
        <v>9781118418925</v>
      </c>
      <c r="K8901" t="s">
        <v>33</v>
      </c>
      <c r="L8901">
        <v>3</v>
      </c>
      <c r="O8901" t="s">
        <v>30</v>
      </c>
      <c r="P8901" t="s">
        <v>42</v>
      </c>
      <c r="S8901" t="s">
        <v>40</v>
      </c>
      <c r="T8901" t="s">
        <v>41</v>
      </c>
      <c r="U8901">
        <v>362.10680000000002</v>
      </c>
      <c r="V8901" s="3">
        <v>41759</v>
      </c>
    </row>
    <row r="8902" spans="1:22" x14ac:dyDescent="0.35">
      <c r="A8902" s="1">
        <v>42251.048784722225</v>
      </c>
      <c r="B8902" s="2">
        <v>2.4305555555555552E-4</v>
      </c>
      <c r="C8902" t="s">
        <v>12509</v>
      </c>
      <c r="D8902" t="s">
        <v>35</v>
      </c>
      <c r="E8902" t="s">
        <v>36</v>
      </c>
      <c r="F8902" t="s">
        <v>7698</v>
      </c>
      <c r="G8902">
        <v>1641469</v>
      </c>
      <c r="H8902" t="s">
        <v>91</v>
      </c>
      <c r="I8902" t="s">
        <v>247</v>
      </c>
      <c r="J8902" t="str">
        <f>"9781462513444"</f>
        <v>9781462513444</v>
      </c>
      <c r="K8902" t="s">
        <v>867</v>
      </c>
      <c r="L8902">
        <v>10</v>
      </c>
      <c r="O8902" t="s">
        <v>30</v>
      </c>
      <c r="P8902" t="s">
        <v>42</v>
      </c>
      <c r="S8902" t="s">
        <v>40</v>
      </c>
      <c r="T8902" t="s">
        <v>7700</v>
      </c>
      <c r="U8902">
        <v>616.89142000000004</v>
      </c>
      <c r="V8902" s="3">
        <v>41697</v>
      </c>
    </row>
    <row r="8903" spans="1:22" x14ac:dyDescent="0.35">
      <c r="A8903" s="1">
        <v>42251.043657407405</v>
      </c>
      <c r="B8903" s="2">
        <v>2.0092592592592592E-2</v>
      </c>
      <c r="C8903" t="s">
        <v>106</v>
      </c>
      <c r="D8903" t="s">
        <v>23</v>
      </c>
      <c r="E8903" t="s">
        <v>24</v>
      </c>
      <c r="F8903" t="s">
        <v>3488</v>
      </c>
      <c r="G8903">
        <v>1294909</v>
      </c>
      <c r="H8903" t="s">
        <v>84</v>
      </c>
      <c r="I8903" t="s">
        <v>445</v>
      </c>
      <c r="J8903" t="str">
        <f>"9780520956797"</f>
        <v>9780520956797</v>
      </c>
      <c r="K8903" t="s">
        <v>12510</v>
      </c>
      <c r="L8903">
        <v>18</v>
      </c>
      <c r="O8903" t="s">
        <v>30</v>
      </c>
      <c r="P8903" t="s">
        <v>29</v>
      </c>
      <c r="Q8903" s="1">
        <v>42247.815520833334</v>
      </c>
      <c r="R8903">
        <v>7</v>
      </c>
      <c r="S8903" t="s">
        <v>31</v>
      </c>
      <c r="T8903" t="s">
        <v>3490</v>
      </c>
      <c r="U8903" t="s">
        <v>3491</v>
      </c>
      <c r="V8903" s="3">
        <v>41487</v>
      </c>
    </row>
    <row r="8904" spans="1:22" x14ac:dyDescent="0.35">
      <c r="A8904" s="1">
        <v>42251.012430555558</v>
      </c>
      <c r="B8904" s="2">
        <v>1.5162037037037036E-3</v>
      </c>
      <c r="C8904" t="s">
        <v>106</v>
      </c>
      <c r="D8904" t="s">
        <v>23</v>
      </c>
      <c r="E8904" t="s">
        <v>24</v>
      </c>
      <c r="F8904" t="s">
        <v>486</v>
      </c>
      <c r="G8904">
        <v>1119505</v>
      </c>
      <c r="H8904" t="s">
        <v>26</v>
      </c>
      <c r="I8904" t="s">
        <v>450</v>
      </c>
      <c r="J8904" t="str">
        <f>"9781118355015"</f>
        <v>9781118355015</v>
      </c>
      <c r="K8904" t="s">
        <v>12511</v>
      </c>
      <c r="L8904">
        <v>10</v>
      </c>
      <c r="O8904" t="s">
        <v>28</v>
      </c>
      <c r="P8904" t="s">
        <v>29</v>
      </c>
      <c r="Q8904" s="1">
        <v>42250.739131944443</v>
      </c>
      <c r="R8904">
        <v>7</v>
      </c>
      <c r="S8904" t="s">
        <v>31</v>
      </c>
      <c r="T8904" t="s">
        <v>487</v>
      </c>
      <c r="U8904" t="s">
        <v>488</v>
      </c>
      <c r="V8904" s="3">
        <v>41302</v>
      </c>
    </row>
    <row r="8905" spans="1:22" x14ac:dyDescent="0.35">
      <c r="A8905" s="1">
        <v>42251.011550925927</v>
      </c>
      <c r="B8905" s="2">
        <v>6.5972222222222213E-4</v>
      </c>
      <c r="C8905" t="s">
        <v>106</v>
      </c>
      <c r="D8905" t="s">
        <v>23</v>
      </c>
      <c r="E8905" t="s">
        <v>24</v>
      </c>
      <c r="F8905" t="s">
        <v>486</v>
      </c>
      <c r="G8905">
        <v>1119505</v>
      </c>
      <c r="H8905" t="s">
        <v>26</v>
      </c>
      <c r="I8905" t="s">
        <v>450</v>
      </c>
      <c r="J8905" t="str">
        <f>"9781118355015"</f>
        <v>9781118355015</v>
      </c>
      <c r="K8905" t="s">
        <v>202</v>
      </c>
      <c r="L8905">
        <v>3</v>
      </c>
      <c r="O8905" t="s">
        <v>30</v>
      </c>
      <c r="P8905" t="s">
        <v>29</v>
      </c>
      <c r="Q8905" s="1">
        <v>42250.739131944443</v>
      </c>
      <c r="R8905">
        <v>7</v>
      </c>
      <c r="S8905" t="s">
        <v>31</v>
      </c>
      <c r="T8905" t="s">
        <v>487</v>
      </c>
      <c r="U8905" t="s">
        <v>488</v>
      </c>
      <c r="V8905" s="3">
        <v>41302</v>
      </c>
    </row>
    <row r="8906" spans="1:22" x14ac:dyDescent="0.35">
      <c r="A8906" s="1">
        <v>42250.942557870374</v>
      </c>
      <c r="B8906" s="2">
        <v>8.1018518518518516E-5</v>
      </c>
      <c r="C8906" t="s">
        <v>106</v>
      </c>
      <c r="D8906" t="s">
        <v>23</v>
      </c>
      <c r="E8906" t="s">
        <v>24</v>
      </c>
      <c r="F8906" t="s">
        <v>12454</v>
      </c>
      <c r="G8906">
        <v>675005</v>
      </c>
      <c r="H8906" t="s">
        <v>26</v>
      </c>
      <c r="I8906" t="s">
        <v>276</v>
      </c>
      <c r="J8906" t="str">
        <f>"9781118075043"</f>
        <v>9781118075043</v>
      </c>
      <c r="K8906" t="s">
        <v>209</v>
      </c>
      <c r="L8906">
        <v>4</v>
      </c>
      <c r="O8906" t="s">
        <v>30</v>
      </c>
      <c r="P8906" t="s">
        <v>42</v>
      </c>
      <c r="S8906" t="s">
        <v>31</v>
      </c>
      <c r="T8906" t="s">
        <v>12456</v>
      </c>
      <c r="U8906">
        <v>5.74</v>
      </c>
      <c r="V8906" s="3">
        <v>40856</v>
      </c>
    </row>
    <row r="8907" spans="1:22" x14ac:dyDescent="0.35">
      <c r="A8907" s="1">
        <v>42250.94027777778</v>
      </c>
      <c r="B8907" s="2">
        <v>0</v>
      </c>
      <c r="C8907" t="s">
        <v>12512</v>
      </c>
      <c r="D8907" t="s">
        <v>23</v>
      </c>
      <c r="E8907" t="s">
        <v>24</v>
      </c>
      <c r="F8907" t="s">
        <v>486</v>
      </c>
      <c r="G8907">
        <v>1119505</v>
      </c>
      <c r="H8907" t="s">
        <v>26</v>
      </c>
      <c r="I8907" t="s">
        <v>450</v>
      </c>
      <c r="J8907" t="str">
        <f t="shared" ref="J8907:J8913" si="67">"9781118355015"</f>
        <v>9781118355015</v>
      </c>
      <c r="L8907">
        <v>0</v>
      </c>
      <c r="O8907" t="s">
        <v>28</v>
      </c>
      <c r="P8907" t="s">
        <v>29</v>
      </c>
      <c r="Q8907" s="1">
        <v>42250.938263888886</v>
      </c>
      <c r="R8907">
        <v>7</v>
      </c>
      <c r="S8907" t="s">
        <v>31</v>
      </c>
      <c r="T8907" t="s">
        <v>487</v>
      </c>
      <c r="U8907" t="s">
        <v>488</v>
      </c>
      <c r="V8907" s="3">
        <v>41302</v>
      </c>
    </row>
    <row r="8908" spans="1:22" x14ac:dyDescent="0.35">
      <c r="A8908" s="1">
        <v>42250.940138888887</v>
      </c>
      <c r="B8908" s="2">
        <v>3.4722222222222222E-5</v>
      </c>
      <c r="C8908" t="s">
        <v>12512</v>
      </c>
      <c r="D8908" t="s">
        <v>23</v>
      </c>
      <c r="E8908" t="s">
        <v>24</v>
      </c>
      <c r="F8908" t="s">
        <v>486</v>
      </c>
      <c r="G8908">
        <v>1119505</v>
      </c>
      <c r="H8908" t="s">
        <v>26</v>
      </c>
      <c r="I8908" t="s">
        <v>450</v>
      </c>
      <c r="J8908" t="str">
        <f t="shared" si="67"/>
        <v>9781118355015</v>
      </c>
      <c r="K8908" t="s">
        <v>33</v>
      </c>
      <c r="L8908">
        <v>3</v>
      </c>
      <c r="O8908" t="s">
        <v>30</v>
      </c>
      <c r="P8908" t="s">
        <v>29</v>
      </c>
      <c r="Q8908" s="1">
        <v>42250.938263888886</v>
      </c>
      <c r="R8908">
        <v>7</v>
      </c>
      <c r="S8908" t="s">
        <v>31</v>
      </c>
      <c r="T8908" t="s">
        <v>487</v>
      </c>
      <c r="U8908" t="s">
        <v>488</v>
      </c>
      <c r="V8908" s="3">
        <v>41302</v>
      </c>
    </row>
    <row r="8909" spans="1:22" x14ac:dyDescent="0.35">
      <c r="A8909" s="1">
        <v>42250.93990740741</v>
      </c>
      <c r="B8909" s="2">
        <v>0</v>
      </c>
      <c r="C8909" t="s">
        <v>12512</v>
      </c>
      <c r="D8909" t="s">
        <v>23</v>
      </c>
      <c r="E8909" t="s">
        <v>24</v>
      </c>
      <c r="F8909" t="s">
        <v>486</v>
      </c>
      <c r="G8909">
        <v>1119505</v>
      </c>
      <c r="H8909" t="s">
        <v>26</v>
      </c>
      <c r="I8909" t="s">
        <v>450</v>
      </c>
      <c r="J8909" t="str">
        <f t="shared" si="67"/>
        <v>9781118355015</v>
      </c>
      <c r="L8909">
        <v>0</v>
      </c>
      <c r="O8909" t="s">
        <v>28</v>
      </c>
      <c r="P8909" t="s">
        <v>29</v>
      </c>
      <c r="Q8909" s="1">
        <v>42250.938263888886</v>
      </c>
      <c r="R8909">
        <v>7</v>
      </c>
      <c r="S8909" t="s">
        <v>31</v>
      </c>
      <c r="T8909" t="s">
        <v>487</v>
      </c>
      <c r="U8909" t="s">
        <v>488</v>
      </c>
      <c r="V8909" s="3">
        <v>41302</v>
      </c>
    </row>
    <row r="8910" spans="1:22" x14ac:dyDescent="0.35">
      <c r="A8910" s="1">
        <v>42250.939768518518</v>
      </c>
      <c r="B8910" s="2">
        <v>3.4722222222222222E-5</v>
      </c>
      <c r="C8910" t="s">
        <v>12512</v>
      </c>
      <c r="D8910" t="s">
        <v>23</v>
      </c>
      <c r="E8910" t="s">
        <v>24</v>
      </c>
      <c r="F8910" t="s">
        <v>486</v>
      </c>
      <c r="G8910">
        <v>1119505</v>
      </c>
      <c r="H8910" t="s">
        <v>26</v>
      </c>
      <c r="I8910" t="s">
        <v>450</v>
      </c>
      <c r="J8910" t="str">
        <f t="shared" si="67"/>
        <v>9781118355015</v>
      </c>
      <c r="K8910" t="s">
        <v>33</v>
      </c>
      <c r="L8910">
        <v>3</v>
      </c>
      <c r="O8910" t="s">
        <v>30</v>
      </c>
      <c r="P8910" t="s">
        <v>29</v>
      </c>
      <c r="Q8910" s="1">
        <v>42250.938263888886</v>
      </c>
      <c r="R8910">
        <v>7</v>
      </c>
      <c r="S8910" t="s">
        <v>31</v>
      </c>
      <c r="T8910" t="s">
        <v>487</v>
      </c>
      <c r="U8910" t="s">
        <v>488</v>
      </c>
      <c r="V8910" s="3">
        <v>41302</v>
      </c>
    </row>
    <row r="8911" spans="1:22" x14ac:dyDescent="0.35">
      <c r="A8911" s="1">
        <v>42250.938263888886</v>
      </c>
      <c r="B8911" s="2">
        <v>0</v>
      </c>
      <c r="C8911" t="s">
        <v>12512</v>
      </c>
      <c r="D8911" t="s">
        <v>23</v>
      </c>
      <c r="E8911" t="s">
        <v>24</v>
      </c>
      <c r="F8911" t="s">
        <v>486</v>
      </c>
      <c r="G8911">
        <v>1119505</v>
      </c>
      <c r="H8911" t="s">
        <v>26</v>
      </c>
      <c r="I8911" t="s">
        <v>450</v>
      </c>
      <c r="J8911" t="str">
        <f t="shared" si="67"/>
        <v>9781118355015</v>
      </c>
      <c r="L8911">
        <v>0</v>
      </c>
      <c r="O8911" t="s">
        <v>28</v>
      </c>
      <c r="P8911" t="s">
        <v>29</v>
      </c>
      <c r="Q8911" s="1">
        <v>42250.938263888886</v>
      </c>
      <c r="R8911">
        <v>7</v>
      </c>
      <c r="S8911" t="s">
        <v>31</v>
      </c>
      <c r="T8911" t="s">
        <v>487</v>
      </c>
      <c r="U8911" t="s">
        <v>488</v>
      </c>
      <c r="V8911" s="3">
        <v>41302</v>
      </c>
    </row>
    <row r="8912" spans="1:22" x14ac:dyDescent="0.35">
      <c r="A8912" s="1">
        <v>42250.938263888886</v>
      </c>
      <c r="B8912" s="2">
        <v>0</v>
      </c>
      <c r="C8912" t="s">
        <v>12512</v>
      </c>
      <c r="D8912" t="s">
        <v>23</v>
      </c>
      <c r="E8912" t="s">
        <v>24</v>
      </c>
      <c r="F8912" t="s">
        <v>486</v>
      </c>
      <c r="G8912">
        <v>1119505</v>
      </c>
      <c r="H8912" t="s">
        <v>26</v>
      </c>
      <c r="I8912" t="s">
        <v>450</v>
      </c>
      <c r="J8912" t="str">
        <f t="shared" si="67"/>
        <v>9781118355015</v>
      </c>
      <c r="L8912">
        <v>0</v>
      </c>
      <c r="O8912" t="s">
        <v>30</v>
      </c>
      <c r="P8912" t="s">
        <v>29</v>
      </c>
      <c r="Q8912" s="1">
        <v>42250.938263888886</v>
      </c>
      <c r="R8912">
        <v>7</v>
      </c>
      <c r="S8912" t="s">
        <v>31</v>
      </c>
      <c r="T8912" t="s">
        <v>487</v>
      </c>
      <c r="U8912" t="s">
        <v>488</v>
      </c>
      <c r="V8912" s="3">
        <v>41302</v>
      </c>
    </row>
    <row r="8913" spans="1:22" x14ac:dyDescent="0.35">
      <c r="A8913" s="1">
        <v>42250.937905092593</v>
      </c>
      <c r="B8913" s="2">
        <v>3.5879629629629635E-4</v>
      </c>
      <c r="C8913" t="s">
        <v>12512</v>
      </c>
      <c r="D8913" t="s">
        <v>23</v>
      </c>
      <c r="E8913" t="s">
        <v>24</v>
      </c>
      <c r="F8913" t="s">
        <v>486</v>
      </c>
      <c r="G8913">
        <v>1119505</v>
      </c>
      <c r="H8913" t="s">
        <v>26</v>
      </c>
      <c r="I8913" t="s">
        <v>450</v>
      </c>
      <c r="J8913" t="str">
        <f t="shared" si="67"/>
        <v>9781118355015</v>
      </c>
      <c r="K8913" t="s">
        <v>12513</v>
      </c>
      <c r="L8913">
        <v>9</v>
      </c>
      <c r="O8913" t="s">
        <v>30</v>
      </c>
      <c r="P8913" t="s">
        <v>42</v>
      </c>
      <c r="S8913" t="s">
        <v>31</v>
      </c>
      <c r="T8913" t="s">
        <v>487</v>
      </c>
      <c r="U8913" t="s">
        <v>488</v>
      </c>
      <c r="V8913" s="3">
        <v>41302</v>
      </c>
    </row>
    <row r="8914" spans="1:22" x14ac:dyDescent="0.35">
      <c r="A8914" s="1">
        <v>42250.927372685182</v>
      </c>
      <c r="B8914" s="2">
        <v>8.564814814814815E-4</v>
      </c>
      <c r="C8914" t="s">
        <v>11646</v>
      </c>
      <c r="D8914" t="s">
        <v>23</v>
      </c>
      <c r="E8914" t="s">
        <v>24</v>
      </c>
      <c r="F8914" t="s">
        <v>3488</v>
      </c>
      <c r="G8914">
        <v>1294909</v>
      </c>
      <c r="H8914" t="s">
        <v>84</v>
      </c>
      <c r="I8914" t="s">
        <v>445</v>
      </c>
      <c r="J8914" t="str">
        <f>"9780520956797"</f>
        <v>9780520956797</v>
      </c>
      <c r="K8914" t="s">
        <v>12514</v>
      </c>
      <c r="L8914">
        <v>25</v>
      </c>
      <c r="O8914" t="s">
        <v>30</v>
      </c>
      <c r="P8914" t="s">
        <v>29</v>
      </c>
      <c r="Q8914" s="1">
        <v>42248.816157407404</v>
      </c>
      <c r="R8914">
        <v>7</v>
      </c>
      <c r="S8914" t="s">
        <v>31</v>
      </c>
      <c r="T8914" t="s">
        <v>3490</v>
      </c>
      <c r="U8914" t="s">
        <v>3491</v>
      </c>
      <c r="V8914" s="3">
        <v>41487</v>
      </c>
    </row>
    <row r="8915" spans="1:22" x14ac:dyDescent="0.35">
      <c r="A8915" s="1">
        <v>42250.911469907405</v>
      </c>
      <c r="B8915" s="2">
        <v>1.1805555555555556E-3</v>
      </c>
      <c r="C8915" t="s">
        <v>910</v>
      </c>
      <c r="D8915" t="s">
        <v>23</v>
      </c>
      <c r="E8915" t="s">
        <v>24</v>
      </c>
      <c r="F8915" t="s">
        <v>12454</v>
      </c>
      <c r="G8915">
        <v>675005</v>
      </c>
      <c r="H8915" t="s">
        <v>26</v>
      </c>
      <c r="I8915" t="s">
        <v>276</v>
      </c>
      <c r="J8915" t="str">
        <f>"9781118075043"</f>
        <v>9781118075043</v>
      </c>
      <c r="K8915" t="s">
        <v>12515</v>
      </c>
      <c r="L8915">
        <v>2</v>
      </c>
      <c r="O8915" t="s">
        <v>28</v>
      </c>
      <c r="P8915" t="s">
        <v>29</v>
      </c>
      <c r="Q8915" s="1">
        <v>42250.91128472222</v>
      </c>
      <c r="R8915">
        <v>7</v>
      </c>
      <c r="S8915" t="s">
        <v>31</v>
      </c>
      <c r="T8915" t="s">
        <v>12456</v>
      </c>
      <c r="U8915">
        <v>5.74</v>
      </c>
      <c r="V8915" s="3">
        <v>40856</v>
      </c>
    </row>
    <row r="8916" spans="1:22" x14ac:dyDescent="0.35">
      <c r="A8916" s="1">
        <v>42250.91128472222</v>
      </c>
      <c r="B8916" s="2">
        <v>0</v>
      </c>
      <c r="C8916" t="s">
        <v>910</v>
      </c>
      <c r="D8916" t="s">
        <v>23</v>
      </c>
      <c r="E8916" t="s">
        <v>24</v>
      </c>
      <c r="F8916" t="s">
        <v>12454</v>
      </c>
      <c r="G8916">
        <v>675005</v>
      </c>
      <c r="H8916" t="s">
        <v>26</v>
      </c>
      <c r="I8916" t="s">
        <v>276</v>
      </c>
      <c r="J8916" t="str">
        <f>"9781118075043"</f>
        <v>9781118075043</v>
      </c>
      <c r="L8916">
        <v>0</v>
      </c>
      <c r="M8916" t="s">
        <v>972</v>
      </c>
      <c r="O8916" t="s">
        <v>30</v>
      </c>
      <c r="P8916" t="s">
        <v>29</v>
      </c>
      <c r="Q8916" s="1">
        <v>42250.91128472222</v>
      </c>
      <c r="R8916">
        <v>7</v>
      </c>
      <c r="S8916" t="s">
        <v>31</v>
      </c>
      <c r="T8916" t="s">
        <v>12456</v>
      </c>
      <c r="U8916">
        <v>5.74</v>
      </c>
      <c r="V8916" s="3">
        <v>40856</v>
      </c>
    </row>
    <row r="8917" spans="1:22" x14ac:dyDescent="0.35">
      <c r="A8917" s="1">
        <v>42250.910891203705</v>
      </c>
      <c r="B8917" s="2">
        <v>3.9351851851851852E-4</v>
      </c>
      <c r="C8917" t="s">
        <v>910</v>
      </c>
      <c r="D8917" t="s">
        <v>23</v>
      </c>
      <c r="E8917" t="s">
        <v>24</v>
      </c>
      <c r="F8917" t="s">
        <v>12454</v>
      </c>
      <c r="G8917">
        <v>675005</v>
      </c>
      <c r="H8917" t="s">
        <v>26</v>
      </c>
      <c r="I8917" t="s">
        <v>276</v>
      </c>
      <c r="J8917" t="str">
        <f>"9781118075043"</f>
        <v>9781118075043</v>
      </c>
      <c r="K8917" t="s">
        <v>12516</v>
      </c>
      <c r="L8917">
        <v>9</v>
      </c>
      <c r="O8917" t="s">
        <v>30</v>
      </c>
      <c r="P8917" t="s">
        <v>42</v>
      </c>
      <c r="S8917" t="s">
        <v>31</v>
      </c>
      <c r="T8917" t="s">
        <v>12456</v>
      </c>
      <c r="U8917">
        <v>5.74</v>
      </c>
      <c r="V8917" s="3">
        <v>40856</v>
      </c>
    </row>
    <row r="8918" spans="1:22" x14ac:dyDescent="0.35">
      <c r="A8918" s="1">
        <v>42250.91070601852</v>
      </c>
      <c r="B8918" s="2">
        <v>6.3657407407407402E-4</v>
      </c>
      <c r="C8918" t="s">
        <v>12517</v>
      </c>
      <c r="D8918" t="s">
        <v>35</v>
      </c>
      <c r="E8918" t="s">
        <v>36</v>
      </c>
      <c r="F8918" t="s">
        <v>986</v>
      </c>
      <c r="G8918">
        <v>968030</v>
      </c>
      <c r="H8918" t="s">
        <v>26</v>
      </c>
      <c r="I8918" t="s">
        <v>219</v>
      </c>
      <c r="J8918" t="str">
        <f>"9781118285138"</f>
        <v>9781118285138</v>
      </c>
      <c r="K8918" t="s">
        <v>12518</v>
      </c>
      <c r="L8918">
        <v>29</v>
      </c>
      <c r="O8918" t="s">
        <v>30</v>
      </c>
      <c r="P8918" t="s">
        <v>42</v>
      </c>
      <c r="S8918" t="s">
        <v>40</v>
      </c>
      <c r="T8918" t="s">
        <v>987</v>
      </c>
      <c r="U8918">
        <v>158.30000000000001</v>
      </c>
      <c r="V8918" s="3">
        <v>41100</v>
      </c>
    </row>
    <row r="8919" spans="1:22" x14ac:dyDescent="0.35">
      <c r="A8919" s="1">
        <v>42250.861516203702</v>
      </c>
      <c r="B8919" s="2">
        <v>4.0509259259259258E-4</v>
      </c>
      <c r="C8919" t="s">
        <v>4041</v>
      </c>
      <c r="D8919" t="s">
        <v>23</v>
      </c>
      <c r="E8919" t="s">
        <v>24</v>
      </c>
      <c r="F8919" t="s">
        <v>3060</v>
      </c>
      <c r="G8919">
        <v>1120279</v>
      </c>
      <c r="H8919" t="s">
        <v>26</v>
      </c>
      <c r="I8919" t="s">
        <v>3061</v>
      </c>
      <c r="J8919" t="str">
        <f>"9781118537671"</f>
        <v>9781118537671</v>
      </c>
      <c r="K8919" t="s">
        <v>12519</v>
      </c>
      <c r="L8919">
        <v>3</v>
      </c>
      <c r="M8919" t="s">
        <v>834</v>
      </c>
      <c r="O8919" t="s">
        <v>30</v>
      </c>
      <c r="P8919" t="s">
        <v>29</v>
      </c>
      <c r="Q8919" s="1">
        <v>42250.861516203702</v>
      </c>
      <c r="R8919">
        <v>7</v>
      </c>
      <c r="S8919" t="s">
        <v>31</v>
      </c>
      <c r="T8919" t="s">
        <v>3063</v>
      </c>
      <c r="U8919">
        <v>599.93499999999995</v>
      </c>
      <c r="V8919" s="3">
        <v>41232</v>
      </c>
    </row>
    <row r="8920" spans="1:22" x14ac:dyDescent="0.35">
      <c r="A8920" s="1">
        <v>42250.861435185187</v>
      </c>
      <c r="B8920" s="2">
        <v>8.1018518518518516E-5</v>
      </c>
      <c r="C8920" t="s">
        <v>4041</v>
      </c>
      <c r="D8920" t="s">
        <v>23</v>
      </c>
      <c r="E8920" t="s">
        <v>24</v>
      </c>
      <c r="F8920" t="s">
        <v>3060</v>
      </c>
      <c r="G8920">
        <v>1120279</v>
      </c>
      <c r="H8920" t="s">
        <v>26</v>
      </c>
      <c r="I8920" t="s">
        <v>3061</v>
      </c>
      <c r="J8920" t="str">
        <f>"9781118537671"</f>
        <v>9781118537671</v>
      </c>
      <c r="K8920" t="s">
        <v>86</v>
      </c>
      <c r="L8920">
        <v>5</v>
      </c>
      <c r="O8920" t="s">
        <v>30</v>
      </c>
      <c r="P8920" t="s">
        <v>42</v>
      </c>
      <c r="S8920" t="s">
        <v>31</v>
      </c>
      <c r="T8920" t="s">
        <v>3063</v>
      </c>
      <c r="U8920">
        <v>599.93499999999995</v>
      </c>
      <c r="V8920" s="3">
        <v>41232</v>
      </c>
    </row>
    <row r="8921" spans="1:22" x14ac:dyDescent="0.35">
      <c r="A8921" s="1">
        <v>42250.787476851852</v>
      </c>
      <c r="B8921" s="2">
        <v>0</v>
      </c>
      <c r="C8921" t="s">
        <v>9683</v>
      </c>
      <c r="D8921" t="s">
        <v>158</v>
      </c>
      <c r="E8921" t="s">
        <v>159</v>
      </c>
      <c r="F8921" t="s">
        <v>12520</v>
      </c>
      <c r="G8921">
        <v>918815</v>
      </c>
      <c r="H8921" t="s">
        <v>3465</v>
      </c>
      <c r="I8921" t="s">
        <v>172</v>
      </c>
      <c r="J8921" t="str">
        <f>"9781608707997"</f>
        <v>9781608707997</v>
      </c>
      <c r="L8921">
        <v>0</v>
      </c>
      <c r="N8921" t="s">
        <v>4955</v>
      </c>
      <c r="O8921" t="s">
        <v>30</v>
      </c>
      <c r="P8921" t="s">
        <v>29</v>
      </c>
      <c r="Q8921" s="1">
        <v>42250.787476851852</v>
      </c>
      <c r="R8921">
        <v>7</v>
      </c>
      <c r="S8921" t="s">
        <v>163</v>
      </c>
      <c r="T8921" t="s">
        <v>12521</v>
      </c>
      <c r="U8921">
        <v>987</v>
      </c>
      <c r="V8921" s="3">
        <v>40969</v>
      </c>
    </row>
    <row r="8922" spans="1:22" x14ac:dyDescent="0.35">
      <c r="A8922" s="1">
        <v>42250.786874999998</v>
      </c>
      <c r="B8922" s="2">
        <v>6.018518518518519E-4</v>
      </c>
      <c r="C8922" t="s">
        <v>9683</v>
      </c>
      <c r="D8922" t="s">
        <v>158</v>
      </c>
      <c r="E8922" t="s">
        <v>159</v>
      </c>
      <c r="F8922" t="s">
        <v>12520</v>
      </c>
      <c r="G8922">
        <v>918815</v>
      </c>
      <c r="H8922" t="s">
        <v>3465</v>
      </c>
      <c r="I8922" t="s">
        <v>172</v>
      </c>
      <c r="J8922" t="str">
        <f>"9781608707997"</f>
        <v>9781608707997</v>
      </c>
      <c r="K8922" t="s">
        <v>12522</v>
      </c>
      <c r="L8922">
        <v>9</v>
      </c>
      <c r="O8922" t="s">
        <v>30</v>
      </c>
      <c r="P8922" t="s">
        <v>42</v>
      </c>
      <c r="S8922" t="s">
        <v>163</v>
      </c>
      <c r="T8922" t="s">
        <v>12521</v>
      </c>
      <c r="U8922">
        <v>987</v>
      </c>
      <c r="V8922" s="3">
        <v>40969</v>
      </c>
    </row>
    <row r="8923" spans="1:22" x14ac:dyDescent="0.35">
      <c r="A8923" s="1">
        <v>42250.78019675926</v>
      </c>
      <c r="B8923" s="2">
        <v>5.7870370370370366E-5</v>
      </c>
      <c r="C8923" t="s">
        <v>7408</v>
      </c>
      <c r="D8923" t="s">
        <v>23</v>
      </c>
      <c r="E8923" t="s">
        <v>24</v>
      </c>
      <c r="F8923" t="s">
        <v>486</v>
      </c>
      <c r="G8923">
        <v>1119505</v>
      </c>
      <c r="H8923" t="s">
        <v>26</v>
      </c>
      <c r="I8923" t="s">
        <v>450</v>
      </c>
      <c r="J8923" t="str">
        <f>"9781118355015"</f>
        <v>9781118355015</v>
      </c>
      <c r="K8923" t="s">
        <v>737</v>
      </c>
      <c r="L8923">
        <v>3</v>
      </c>
      <c r="O8923" t="s">
        <v>30</v>
      </c>
      <c r="P8923" t="s">
        <v>42</v>
      </c>
      <c r="S8923" t="s">
        <v>31</v>
      </c>
      <c r="T8923" t="s">
        <v>487</v>
      </c>
      <c r="U8923" t="s">
        <v>488</v>
      </c>
      <c r="V8923" s="3">
        <v>41302</v>
      </c>
    </row>
    <row r="8924" spans="1:22" x14ac:dyDescent="0.35">
      <c r="A8924" s="1">
        <v>42250.763506944444</v>
      </c>
      <c r="B8924" s="2">
        <v>5.7870370370370366E-5</v>
      </c>
      <c r="C8924" t="s">
        <v>11288</v>
      </c>
      <c r="D8924" t="s">
        <v>125</v>
      </c>
      <c r="E8924" t="s">
        <v>126</v>
      </c>
      <c r="F8924" t="s">
        <v>12523</v>
      </c>
      <c r="G8924">
        <v>1695953</v>
      </c>
      <c r="H8924" t="s">
        <v>186</v>
      </c>
      <c r="I8924" t="s">
        <v>187</v>
      </c>
      <c r="J8924" t="str">
        <f>"9781780643175"</f>
        <v>9781780643175</v>
      </c>
      <c r="K8924" t="s">
        <v>33</v>
      </c>
      <c r="L8924">
        <v>3</v>
      </c>
      <c r="O8924" t="s">
        <v>30</v>
      </c>
      <c r="P8924" t="s">
        <v>50</v>
      </c>
      <c r="S8924" t="s">
        <v>128</v>
      </c>
      <c r="T8924" t="s">
        <v>12524</v>
      </c>
      <c r="U8924" t="s">
        <v>12525</v>
      </c>
      <c r="V8924" s="3">
        <v>41759</v>
      </c>
    </row>
    <row r="8925" spans="1:22" x14ac:dyDescent="0.35">
      <c r="A8925" s="1">
        <v>42250.755023148151</v>
      </c>
      <c r="B8925" s="2">
        <v>1.2384259259259258E-3</v>
      </c>
      <c r="C8925" t="s">
        <v>106</v>
      </c>
      <c r="D8925" t="s">
        <v>23</v>
      </c>
      <c r="E8925" t="s">
        <v>24</v>
      </c>
      <c r="F8925" t="s">
        <v>486</v>
      </c>
      <c r="G8925">
        <v>1119505</v>
      </c>
      <c r="H8925" t="s">
        <v>26</v>
      </c>
      <c r="I8925" t="s">
        <v>450</v>
      </c>
      <c r="J8925" t="str">
        <f>"9781118355015"</f>
        <v>9781118355015</v>
      </c>
      <c r="K8925" t="s">
        <v>12526</v>
      </c>
      <c r="L8925">
        <v>14</v>
      </c>
      <c r="O8925" t="s">
        <v>30</v>
      </c>
      <c r="P8925" t="s">
        <v>29</v>
      </c>
      <c r="Q8925" s="1">
        <v>42250.739131944443</v>
      </c>
      <c r="R8925">
        <v>7</v>
      </c>
      <c r="S8925" t="s">
        <v>31</v>
      </c>
      <c r="T8925" t="s">
        <v>487</v>
      </c>
      <c r="U8925" t="s">
        <v>488</v>
      </c>
      <c r="V8925" s="3">
        <v>41302</v>
      </c>
    </row>
    <row r="8926" spans="1:22" x14ac:dyDescent="0.35">
      <c r="A8926" s="1">
        <v>42250.739131944443</v>
      </c>
      <c r="B8926" s="2">
        <v>3.5879629629629635E-4</v>
      </c>
      <c r="C8926" t="s">
        <v>106</v>
      </c>
      <c r="D8926" t="s">
        <v>23</v>
      </c>
      <c r="E8926" t="s">
        <v>24</v>
      </c>
      <c r="F8926" t="s">
        <v>486</v>
      </c>
      <c r="G8926">
        <v>1119505</v>
      </c>
      <c r="H8926" t="s">
        <v>26</v>
      </c>
      <c r="I8926" t="s">
        <v>450</v>
      </c>
      <c r="J8926" t="str">
        <f>"9781118355015"</f>
        <v>9781118355015</v>
      </c>
      <c r="K8926" t="s">
        <v>12527</v>
      </c>
      <c r="L8926">
        <v>32</v>
      </c>
      <c r="O8926" t="s">
        <v>30</v>
      </c>
      <c r="P8926" t="s">
        <v>29</v>
      </c>
      <c r="Q8926" s="1">
        <v>42250.739131944443</v>
      </c>
      <c r="R8926">
        <v>7</v>
      </c>
      <c r="S8926" t="s">
        <v>31</v>
      </c>
      <c r="T8926" t="s">
        <v>487</v>
      </c>
      <c r="U8926" t="s">
        <v>488</v>
      </c>
      <c r="V8926" s="3">
        <v>41302</v>
      </c>
    </row>
    <row r="8927" spans="1:22" x14ac:dyDescent="0.35">
      <c r="A8927" s="1">
        <v>42250.732175925928</v>
      </c>
      <c r="B8927" s="2">
        <v>6.9560185185185185E-3</v>
      </c>
      <c r="C8927" t="s">
        <v>106</v>
      </c>
      <c r="D8927" t="s">
        <v>23</v>
      </c>
      <c r="E8927" t="s">
        <v>24</v>
      </c>
      <c r="F8927" t="s">
        <v>486</v>
      </c>
      <c r="G8927">
        <v>1119505</v>
      </c>
      <c r="H8927" t="s">
        <v>26</v>
      </c>
      <c r="I8927" t="s">
        <v>450</v>
      </c>
      <c r="J8927" t="str">
        <f>"9781118355015"</f>
        <v>9781118355015</v>
      </c>
      <c r="K8927" t="s">
        <v>12528</v>
      </c>
      <c r="L8927">
        <v>22</v>
      </c>
      <c r="O8927" t="s">
        <v>30</v>
      </c>
      <c r="P8927" t="s">
        <v>42</v>
      </c>
      <c r="S8927" t="s">
        <v>31</v>
      </c>
      <c r="T8927" t="s">
        <v>487</v>
      </c>
      <c r="U8927" t="s">
        <v>488</v>
      </c>
      <c r="V8927" s="3">
        <v>41302</v>
      </c>
    </row>
    <row r="8928" spans="1:22" x14ac:dyDescent="0.35">
      <c r="A8928" s="1">
        <v>42250.722418981481</v>
      </c>
      <c r="B8928" s="2">
        <v>4.6296296296296294E-5</v>
      </c>
      <c r="C8928" t="s">
        <v>106</v>
      </c>
      <c r="D8928" t="s">
        <v>23</v>
      </c>
      <c r="E8928" t="s">
        <v>24</v>
      </c>
      <c r="F8928" t="s">
        <v>486</v>
      </c>
      <c r="G8928">
        <v>1119505</v>
      </c>
      <c r="H8928" t="s">
        <v>26</v>
      </c>
      <c r="I8928" t="s">
        <v>450</v>
      </c>
      <c r="J8928" t="str">
        <f>"9781118355015"</f>
        <v>9781118355015</v>
      </c>
      <c r="K8928" t="s">
        <v>33</v>
      </c>
      <c r="L8928">
        <v>3</v>
      </c>
      <c r="O8928" t="s">
        <v>30</v>
      </c>
      <c r="P8928" t="s">
        <v>42</v>
      </c>
      <c r="S8928" t="s">
        <v>31</v>
      </c>
      <c r="T8928" t="s">
        <v>487</v>
      </c>
      <c r="U8928" t="s">
        <v>488</v>
      </c>
      <c r="V8928" s="3">
        <v>41302</v>
      </c>
    </row>
    <row r="8929" spans="1:22" x14ac:dyDescent="0.35">
      <c r="A8929" s="1">
        <v>42250.721655092595</v>
      </c>
      <c r="B8929" s="2">
        <v>1.1759259259259259E-2</v>
      </c>
      <c r="C8929" t="s">
        <v>106</v>
      </c>
      <c r="D8929" t="s">
        <v>23</v>
      </c>
      <c r="E8929" t="s">
        <v>24</v>
      </c>
      <c r="F8929" t="s">
        <v>10689</v>
      </c>
      <c r="G8929">
        <v>938873</v>
      </c>
      <c r="H8929" t="s">
        <v>26</v>
      </c>
      <c r="I8929" t="s">
        <v>10690</v>
      </c>
      <c r="J8929" t="str">
        <f>"9781119963127"</f>
        <v>9781119963127</v>
      </c>
      <c r="K8929" t="s">
        <v>12529</v>
      </c>
      <c r="L8929">
        <v>11</v>
      </c>
      <c r="O8929" t="s">
        <v>30</v>
      </c>
      <c r="P8929" t="s">
        <v>29</v>
      </c>
      <c r="Q8929" s="1">
        <v>42250.68236111111</v>
      </c>
      <c r="R8929">
        <v>7</v>
      </c>
      <c r="S8929" t="s">
        <v>31</v>
      </c>
      <c r="T8929" t="s">
        <v>10692</v>
      </c>
      <c r="U8929" t="s">
        <v>10693</v>
      </c>
      <c r="V8929" s="3">
        <v>41064</v>
      </c>
    </row>
    <row r="8930" spans="1:22" x14ac:dyDescent="0.35">
      <c r="A8930" s="1">
        <v>42250.705057870371</v>
      </c>
      <c r="B8930" s="2">
        <v>7.1759259259259259E-3</v>
      </c>
      <c r="C8930" t="s">
        <v>106</v>
      </c>
      <c r="D8930" t="s">
        <v>23</v>
      </c>
      <c r="E8930" t="s">
        <v>24</v>
      </c>
      <c r="F8930" t="s">
        <v>10689</v>
      </c>
      <c r="G8930">
        <v>938873</v>
      </c>
      <c r="H8930" t="s">
        <v>26</v>
      </c>
      <c r="I8930" t="s">
        <v>10690</v>
      </c>
      <c r="J8930" t="str">
        <f>"9781119963127"</f>
        <v>9781119963127</v>
      </c>
      <c r="K8930" t="s">
        <v>12530</v>
      </c>
      <c r="L8930">
        <v>28</v>
      </c>
      <c r="O8930" t="s">
        <v>30</v>
      </c>
      <c r="P8930" t="s">
        <v>29</v>
      </c>
      <c r="Q8930" s="1">
        <v>42250.68236111111</v>
      </c>
      <c r="R8930">
        <v>7</v>
      </c>
      <c r="S8930" t="s">
        <v>31</v>
      </c>
      <c r="T8930" t="s">
        <v>10692</v>
      </c>
      <c r="U8930" t="s">
        <v>10693</v>
      </c>
      <c r="V8930" s="3">
        <v>41064</v>
      </c>
    </row>
    <row r="8931" spans="1:22" x14ac:dyDescent="0.35">
      <c r="A8931" s="1">
        <v>42250.692800925928</v>
      </c>
      <c r="B8931" s="2">
        <v>4.0439814814814817E-2</v>
      </c>
      <c r="C8931" t="s">
        <v>12531</v>
      </c>
      <c r="D8931" t="s">
        <v>23</v>
      </c>
      <c r="E8931" t="s">
        <v>24</v>
      </c>
      <c r="F8931" t="s">
        <v>12454</v>
      </c>
      <c r="G8931">
        <v>675005</v>
      </c>
      <c r="H8931" t="s">
        <v>26</v>
      </c>
      <c r="I8931" t="s">
        <v>276</v>
      </c>
      <c r="J8931" t="str">
        <f>"9781118075043"</f>
        <v>9781118075043</v>
      </c>
      <c r="K8931" t="s">
        <v>12532</v>
      </c>
      <c r="L8931">
        <v>18</v>
      </c>
      <c r="O8931" t="s">
        <v>30</v>
      </c>
      <c r="P8931" t="s">
        <v>29</v>
      </c>
      <c r="Q8931" s="1">
        <v>42250.692800925928</v>
      </c>
      <c r="R8931">
        <v>7</v>
      </c>
      <c r="S8931" t="s">
        <v>31</v>
      </c>
      <c r="T8931" t="s">
        <v>12456</v>
      </c>
      <c r="U8931">
        <v>5.74</v>
      </c>
      <c r="V8931" s="3">
        <v>40856</v>
      </c>
    </row>
    <row r="8932" spans="1:22" x14ac:dyDescent="0.35">
      <c r="A8932" s="1">
        <v>42250.69121527778</v>
      </c>
      <c r="B8932" s="2">
        <v>1.5856481481481479E-3</v>
      </c>
      <c r="C8932" t="s">
        <v>12531</v>
      </c>
      <c r="D8932" t="s">
        <v>23</v>
      </c>
      <c r="E8932" t="s">
        <v>24</v>
      </c>
      <c r="F8932" t="s">
        <v>12454</v>
      </c>
      <c r="G8932">
        <v>675005</v>
      </c>
      <c r="H8932" t="s">
        <v>26</v>
      </c>
      <c r="I8932" t="s">
        <v>276</v>
      </c>
      <c r="J8932" t="str">
        <f>"9781118075043"</f>
        <v>9781118075043</v>
      </c>
      <c r="K8932" t="s">
        <v>12533</v>
      </c>
      <c r="L8932">
        <v>4</v>
      </c>
      <c r="O8932" t="s">
        <v>30</v>
      </c>
      <c r="P8932" t="s">
        <v>42</v>
      </c>
      <c r="S8932" t="s">
        <v>31</v>
      </c>
      <c r="T8932" t="s">
        <v>12456</v>
      </c>
      <c r="U8932">
        <v>5.74</v>
      </c>
      <c r="V8932" s="3">
        <v>40856</v>
      </c>
    </row>
    <row r="8933" spans="1:22" x14ac:dyDescent="0.35">
      <c r="A8933" s="1">
        <v>42250.68681712963</v>
      </c>
      <c r="B8933" s="2">
        <v>2.5462962962962961E-4</v>
      </c>
      <c r="C8933" t="s">
        <v>106</v>
      </c>
      <c r="D8933" t="s">
        <v>23</v>
      </c>
      <c r="E8933" t="s">
        <v>24</v>
      </c>
      <c r="F8933" t="s">
        <v>486</v>
      </c>
      <c r="G8933">
        <v>1119505</v>
      </c>
      <c r="H8933" t="s">
        <v>26</v>
      </c>
      <c r="I8933" t="s">
        <v>450</v>
      </c>
      <c r="J8933" t="str">
        <f>"9781118355015"</f>
        <v>9781118355015</v>
      </c>
      <c r="K8933" t="s">
        <v>12534</v>
      </c>
      <c r="L8933">
        <v>22</v>
      </c>
      <c r="O8933" t="s">
        <v>30</v>
      </c>
      <c r="P8933" t="s">
        <v>42</v>
      </c>
      <c r="S8933" t="s">
        <v>31</v>
      </c>
      <c r="T8933" t="s">
        <v>487</v>
      </c>
      <c r="U8933" t="s">
        <v>488</v>
      </c>
      <c r="V8933" s="3">
        <v>41302</v>
      </c>
    </row>
    <row r="8934" spans="1:22" x14ac:dyDescent="0.35">
      <c r="A8934" s="1">
        <v>42250.686388888891</v>
      </c>
      <c r="B8934" s="2">
        <v>0</v>
      </c>
      <c r="C8934" t="s">
        <v>11157</v>
      </c>
      <c r="D8934" t="s">
        <v>360</v>
      </c>
      <c r="E8934" t="s">
        <v>361</v>
      </c>
      <c r="F8934" t="s">
        <v>12535</v>
      </c>
      <c r="G8934">
        <v>2038624</v>
      </c>
      <c r="H8934" t="s">
        <v>45</v>
      </c>
      <c r="I8934" t="s">
        <v>426</v>
      </c>
      <c r="J8934" t="str">
        <f>"9781472439857"</f>
        <v>9781472439857</v>
      </c>
      <c r="L8934">
        <v>0</v>
      </c>
      <c r="O8934" t="s">
        <v>30</v>
      </c>
      <c r="P8934" t="s">
        <v>50</v>
      </c>
      <c r="S8934" t="s">
        <v>363</v>
      </c>
      <c r="T8934">
        <v>2014037350</v>
      </c>
      <c r="U8934">
        <v>201.44</v>
      </c>
      <c r="V8934" s="3">
        <v>42152</v>
      </c>
    </row>
    <row r="8935" spans="1:22" x14ac:dyDescent="0.35">
      <c r="A8935" s="1">
        <v>42250.68236111111</v>
      </c>
      <c r="B8935" s="2">
        <v>1.0798611111111111E-2</v>
      </c>
      <c r="C8935" t="s">
        <v>106</v>
      </c>
      <c r="D8935" t="s">
        <v>23</v>
      </c>
      <c r="E8935" t="s">
        <v>24</v>
      </c>
      <c r="F8935" t="s">
        <v>10689</v>
      </c>
      <c r="G8935">
        <v>938873</v>
      </c>
      <c r="H8935" t="s">
        <v>26</v>
      </c>
      <c r="I8935" t="s">
        <v>10690</v>
      </c>
      <c r="J8935" t="str">
        <f>"9781119963127"</f>
        <v>9781119963127</v>
      </c>
      <c r="K8935" t="s">
        <v>12536</v>
      </c>
      <c r="L8935">
        <v>19</v>
      </c>
      <c r="O8935" t="s">
        <v>30</v>
      </c>
      <c r="P8935" t="s">
        <v>29</v>
      </c>
      <c r="Q8935" s="1">
        <v>42250.68236111111</v>
      </c>
      <c r="R8935">
        <v>7</v>
      </c>
      <c r="S8935" t="s">
        <v>31</v>
      </c>
      <c r="T8935" t="s">
        <v>10692</v>
      </c>
      <c r="U8935" t="s">
        <v>10693</v>
      </c>
      <c r="V8935" s="3">
        <v>41064</v>
      </c>
    </row>
    <row r="8936" spans="1:22" x14ac:dyDescent="0.35">
      <c r="A8936" s="1">
        <v>42250.677175925928</v>
      </c>
      <c r="B8936" s="2">
        <v>4.4907407407407405E-3</v>
      </c>
      <c r="C8936" t="s">
        <v>106</v>
      </c>
      <c r="D8936" t="s">
        <v>23</v>
      </c>
      <c r="E8936" t="s">
        <v>24</v>
      </c>
      <c r="F8936" t="s">
        <v>3488</v>
      </c>
      <c r="G8936">
        <v>1294909</v>
      </c>
      <c r="H8936" t="s">
        <v>84</v>
      </c>
      <c r="I8936" t="s">
        <v>445</v>
      </c>
      <c r="J8936" t="str">
        <f>"9780520956797"</f>
        <v>9780520956797</v>
      </c>
      <c r="K8936" t="s">
        <v>12537</v>
      </c>
      <c r="L8936">
        <v>12</v>
      </c>
      <c r="O8936" t="s">
        <v>30</v>
      </c>
      <c r="P8936" t="s">
        <v>29</v>
      </c>
      <c r="Q8936" s="1">
        <v>42247.815520833334</v>
      </c>
      <c r="R8936">
        <v>7</v>
      </c>
      <c r="S8936" t="s">
        <v>31</v>
      </c>
      <c r="T8936" t="s">
        <v>3490</v>
      </c>
      <c r="U8936" t="s">
        <v>3491</v>
      </c>
      <c r="V8936" s="3">
        <v>41487</v>
      </c>
    </row>
    <row r="8937" spans="1:22" x14ac:dyDescent="0.35">
      <c r="A8937" s="1">
        <v>42250.67701388889</v>
      </c>
      <c r="B8937" s="2">
        <v>5.347222222222222E-3</v>
      </c>
      <c r="C8937" t="s">
        <v>106</v>
      </c>
      <c r="D8937" t="s">
        <v>23</v>
      </c>
      <c r="E8937" t="s">
        <v>24</v>
      </c>
      <c r="F8937" t="s">
        <v>10689</v>
      </c>
      <c r="G8937">
        <v>938873</v>
      </c>
      <c r="H8937" t="s">
        <v>26</v>
      </c>
      <c r="I8937" t="s">
        <v>10690</v>
      </c>
      <c r="J8937" t="str">
        <f>"9781119963127"</f>
        <v>9781119963127</v>
      </c>
      <c r="K8937" t="s">
        <v>12538</v>
      </c>
      <c r="L8937">
        <v>13</v>
      </c>
      <c r="O8937" t="s">
        <v>30</v>
      </c>
      <c r="P8937" t="s">
        <v>42</v>
      </c>
      <c r="S8937" t="s">
        <v>31</v>
      </c>
      <c r="T8937" t="s">
        <v>10692</v>
      </c>
      <c r="U8937" t="s">
        <v>10693</v>
      </c>
      <c r="V8937" s="3">
        <v>41064</v>
      </c>
    </row>
    <row r="8938" spans="1:22" x14ac:dyDescent="0.35">
      <c r="A8938" s="1">
        <v>42250.666643518518</v>
      </c>
      <c r="B8938" s="2">
        <v>3.4722222222222224E-4</v>
      </c>
      <c r="C8938" t="s">
        <v>3906</v>
      </c>
      <c r="D8938" t="s">
        <v>35</v>
      </c>
      <c r="E8938" t="s">
        <v>36</v>
      </c>
      <c r="F8938" t="s">
        <v>37</v>
      </c>
      <c r="G8938">
        <v>1684620</v>
      </c>
      <c r="H8938" t="s">
        <v>26</v>
      </c>
      <c r="I8938" t="s">
        <v>38</v>
      </c>
      <c r="J8938" t="str">
        <f>"9781118418925"</f>
        <v>9781118418925</v>
      </c>
      <c r="K8938" t="s">
        <v>12539</v>
      </c>
      <c r="L8938">
        <v>22</v>
      </c>
      <c r="O8938" t="s">
        <v>30</v>
      </c>
      <c r="P8938" t="s">
        <v>29</v>
      </c>
      <c r="Q8938" s="1">
        <v>42250.642546296294</v>
      </c>
      <c r="R8938">
        <v>7</v>
      </c>
      <c r="S8938" t="s">
        <v>40</v>
      </c>
      <c r="T8938" t="s">
        <v>41</v>
      </c>
      <c r="U8938">
        <v>362.10680000000002</v>
      </c>
      <c r="V8938" s="3">
        <v>41759</v>
      </c>
    </row>
    <row r="8939" spans="1:22" x14ac:dyDescent="0.35">
      <c r="A8939" s="1">
        <v>42250.653379629628</v>
      </c>
      <c r="B8939" s="2">
        <v>3.6574074074074074E-3</v>
      </c>
      <c r="C8939" t="s">
        <v>106</v>
      </c>
      <c r="D8939" t="s">
        <v>23</v>
      </c>
      <c r="E8939" t="s">
        <v>24</v>
      </c>
      <c r="F8939" t="s">
        <v>2649</v>
      </c>
      <c r="G8939">
        <v>1143522</v>
      </c>
      <c r="H8939" t="s">
        <v>26</v>
      </c>
      <c r="I8939" t="s">
        <v>172</v>
      </c>
      <c r="J8939" t="str">
        <f>"9781118257197"</f>
        <v>9781118257197</v>
      </c>
      <c r="K8939" t="s">
        <v>12540</v>
      </c>
      <c r="L8939">
        <v>32</v>
      </c>
      <c r="O8939" t="s">
        <v>30</v>
      </c>
      <c r="P8939" t="s">
        <v>29</v>
      </c>
      <c r="Q8939" s="1">
        <v>42250.653379629628</v>
      </c>
      <c r="R8939">
        <v>7</v>
      </c>
      <c r="S8939" t="s">
        <v>31</v>
      </c>
      <c r="T8939" t="s">
        <v>2651</v>
      </c>
      <c r="U8939">
        <v>972</v>
      </c>
      <c r="V8939" s="3">
        <v>41334</v>
      </c>
    </row>
    <row r="8940" spans="1:22" x14ac:dyDescent="0.35">
      <c r="A8940" s="1">
        <v>42250.642546296294</v>
      </c>
      <c r="B8940" s="2">
        <v>1.6203703703703703E-4</v>
      </c>
      <c r="C8940" t="s">
        <v>3906</v>
      </c>
      <c r="D8940" t="s">
        <v>35</v>
      </c>
      <c r="E8940" t="s">
        <v>36</v>
      </c>
      <c r="F8940" t="s">
        <v>37</v>
      </c>
      <c r="G8940">
        <v>1684620</v>
      </c>
      <c r="H8940" t="s">
        <v>26</v>
      </c>
      <c r="I8940" t="s">
        <v>38</v>
      </c>
      <c r="J8940" t="str">
        <f>"9781118418925"</f>
        <v>9781118418925</v>
      </c>
      <c r="K8940" t="s">
        <v>12541</v>
      </c>
      <c r="L8940">
        <v>9</v>
      </c>
      <c r="O8940" t="s">
        <v>30</v>
      </c>
      <c r="P8940" t="s">
        <v>29</v>
      </c>
      <c r="Q8940" s="1">
        <v>42250.642546296294</v>
      </c>
      <c r="R8940">
        <v>7</v>
      </c>
      <c r="S8940" t="s">
        <v>40</v>
      </c>
      <c r="T8940" t="s">
        <v>41</v>
      </c>
      <c r="U8940">
        <v>362.10680000000002</v>
      </c>
      <c r="V8940" s="3">
        <v>41759</v>
      </c>
    </row>
    <row r="8941" spans="1:22" x14ac:dyDescent="0.35">
      <c r="A8941" s="1">
        <v>42250.641377314816</v>
      </c>
      <c r="B8941" s="2">
        <v>1.2002314814814815E-2</v>
      </c>
      <c r="C8941" t="s">
        <v>106</v>
      </c>
      <c r="D8941" t="s">
        <v>23</v>
      </c>
      <c r="E8941" t="s">
        <v>24</v>
      </c>
      <c r="F8941" t="s">
        <v>2649</v>
      </c>
      <c r="G8941">
        <v>1143522</v>
      </c>
      <c r="H8941" t="s">
        <v>26</v>
      </c>
      <c r="I8941" t="s">
        <v>172</v>
      </c>
      <c r="J8941" t="str">
        <f>"9781118257197"</f>
        <v>9781118257197</v>
      </c>
      <c r="K8941" t="s">
        <v>12542</v>
      </c>
      <c r="L8941">
        <v>43</v>
      </c>
      <c r="O8941" t="s">
        <v>30</v>
      </c>
      <c r="P8941" t="s">
        <v>42</v>
      </c>
      <c r="S8941" t="s">
        <v>31</v>
      </c>
      <c r="T8941" t="s">
        <v>2651</v>
      </c>
      <c r="U8941">
        <v>972</v>
      </c>
      <c r="V8941" s="3">
        <v>41334</v>
      </c>
    </row>
    <row r="8942" spans="1:22" x14ac:dyDescent="0.35">
      <c r="A8942" s="1">
        <v>42250.633287037039</v>
      </c>
      <c r="B8942" s="2">
        <v>9.2592592592592605E-3</v>
      </c>
      <c r="C8942" t="s">
        <v>3906</v>
      </c>
      <c r="D8942" t="s">
        <v>35</v>
      </c>
      <c r="E8942" t="s">
        <v>36</v>
      </c>
      <c r="F8942" t="s">
        <v>37</v>
      </c>
      <c r="G8942">
        <v>1684620</v>
      </c>
      <c r="H8942" t="s">
        <v>26</v>
      </c>
      <c r="I8942" t="s">
        <v>38</v>
      </c>
      <c r="J8942" t="str">
        <f>"9781118418925"</f>
        <v>9781118418925</v>
      </c>
      <c r="K8942" t="s">
        <v>12543</v>
      </c>
      <c r="L8942">
        <v>13</v>
      </c>
      <c r="O8942" t="s">
        <v>30</v>
      </c>
      <c r="P8942" t="s">
        <v>42</v>
      </c>
      <c r="S8942" t="s">
        <v>40</v>
      </c>
      <c r="T8942" t="s">
        <v>41</v>
      </c>
      <c r="U8942">
        <v>362.10680000000002</v>
      </c>
      <c r="V8942" s="3">
        <v>41759</v>
      </c>
    </row>
    <row r="8943" spans="1:22" x14ac:dyDescent="0.35">
      <c r="A8943" s="1">
        <v>42250.575868055559</v>
      </c>
      <c r="B8943" s="2">
        <v>2.2326388888888885E-2</v>
      </c>
      <c r="C8943" t="s">
        <v>6390</v>
      </c>
      <c r="D8943" t="s">
        <v>23</v>
      </c>
      <c r="E8943" t="s">
        <v>24</v>
      </c>
      <c r="F8943" t="s">
        <v>486</v>
      </c>
      <c r="G8943">
        <v>1119505</v>
      </c>
      <c r="H8943" t="s">
        <v>26</v>
      </c>
      <c r="I8943" t="s">
        <v>450</v>
      </c>
      <c r="J8943" t="str">
        <f>"9781118355015"</f>
        <v>9781118355015</v>
      </c>
      <c r="K8943" t="s">
        <v>12544</v>
      </c>
      <c r="L8943">
        <v>6</v>
      </c>
      <c r="O8943" t="s">
        <v>30</v>
      </c>
      <c r="P8943" t="s">
        <v>29</v>
      </c>
      <c r="Q8943" s="1">
        <v>42250.575868055559</v>
      </c>
      <c r="R8943">
        <v>7</v>
      </c>
      <c r="S8943" t="s">
        <v>31</v>
      </c>
      <c r="T8943" t="s">
        <v>487</v>
      </c>
      <c r="U8943" t="s">
        <v>488</v>
      </c>
      <c r="V8943" s="3">
        <v>41302</v>
      </c>
    </row>
    <row r="8944" spans="1:22" x14ac:dyDescent="0.35">
      <c r="A8944" s="1">
        <v>42250.570601851854</v>
      </c>
      <c r="B8944" s="2">
        <v>5.2662037037037035E-3</v>
      </c>
      <c r="C8944" t="s">
        <v>6390</v>
      </c>
      <c r="D8944" t="s">
        <v>23</v>
      </c>
      <c r="E8944" t="s">
        <v>24</v>
      </c>
      <c r="F8944" t="s">
        <v>486</v>
      </c>
      <c r="G8944">
        <v>1119505</v>
      </c>
      <c r="H8944" t="s">
        <v>26</v>
      </c>
      <c r="I8944" t="s">
        <v>450</v>
      </c>
      <c r="J8944" t="str">
        <f>"9781118355015"</f>
        <v>9781118355015</v>
      </c>
      <c r="K8944" t="s">
        <v>12545</v>
      </c>
      <c r="L8944">
        <v>20</v>
      </c>
      <c r="O8944" t="s">
        <v>30</v>
      </c>
      <c r="P8944" t="s">
        <v>42</v>
      </c>
      <c r="S8944" t="s">
        <v>31</v>
      </c>
      <c r="T8944" t="s">
        <v>487</v>
      </c>
      <c r="U8944" t="s">
        <v>488</v>
      </c>
      <c r="V8944" s="3">
        <v>41302</v>
      </c>
    </row>
    <row r="8945" spans="1:22" x14ac:dyDescent="0.35">
      <c r="A8945" s="1">
        <v>42250.552534722221</v>
      </c>
      <c r="B8945" s="2">
        <v>1.7361111111111112E-4</v>
      </c>
      <c r="C8945" t="s">
        <v>12546</v>
      </c>
      <c r="D8945" t="s">
        <v>35</v>
      </c>
      <c r="E8945" t="s">
        <v>36</v>
      </c>
      <c r="F8945" t="s">
        <v>37</v>
      </c>
      <c r="G8945">
        <v>1684620</v>
      </c>
      <c r="H8945" t="s">
        <v>26</v>
      </c>
      <c r="I8945" t="s">
        <v>38</v>
      </c>
      <c r="J8945" t="str">
        <f>"9781118418925"</f>
        <v>9781118418925</v>
      </c>
      <c r="K8945" t="s">
        <v>98</v>
      </c>
      <c r="L8945">
        <v>7</v>
      </c>
      <c r="O8945" t="s">
        <v>30</v>
      </c>
      <c r="P8945" t="s">
        <v>42</v>
      </c>
      <c r="S8945" t="s">
        <v>40</v>
      </c>
      <c r="T8945" t="s">
        <v>41</v>
      </c>
      <c r="U8945">
        <v>362.10680000000002</v>
      </c>
      <c r="V8945" s="3">
        <v>41759</v>
      </c>
    </row>
    <row r="8946" spans="1:22" x14ac:dyDescent="0.35">
      <c r="A8946" s="1">
        <v>42250.309155092589</v>
      </c>
      <c r="B8946" s="2">
        <v>2.5462962962962961E-4</v>
      </c>
      <c r="C8946" t="s">
        <v>10663</v>
      </c>
      <c r="D8946" t="s">
        <v>23</v>
      </c>
      <c r="E8946" t="s">
        <v>24</v>
      </c>
      <c r="F8946" t="s">
        <v>25</v>
      </c>
      <c r="G8946">
        <v>1120290</v>
      </c>
      <c r="H8946" t="s">
        <v>26</v>
      </c>
      <c r="I8946" t="s">
        <v>27</v>
      </c>
      <c r="J8946" t="str">
        <f t="shared" ref="J8946:J8951" si="68">"9781118347478"</f>
        <v>9781118347478</v>
      </c>
      <c r="K8946" t="s">
        <v>9454</v>
      </c>
      <c r="L8946">
        <v>4</v>
      </c>
      <c r="O8946" t="s">
        <v>30</v>
      </c>
      <c r="P8946" t="s">
        <v>29</v>
      </c>
      <c r="Q8946" s="1">
        <v>42250.307025462964</v>
      </c>
      <c r="R8946">
        <v>7</v>
      </c>
      <c r="S8946" t="s">
        <v>31</v>
      </c>
      <c r="T8946" t="s">
        <v>32</v>
      </c>
      <c r="U8946">
        <v>421</v>
      </c>
      <c r="V8946" s="3">
        <v>41101</v>
      </c>
    </row>
    <row r="8947" spans="1:22" x14ac:dyDescent="0.35">
      <c r="A8947" s="1">
        <v>42250.307546296295</v>
      </c>
      <c r="B8947" s="2">
        <v>0</v>
      </c>
      <c r="C8947" t="s">
        <v>10663</v>
      </c>
      <c r="D8947" t="s">
        <v>23</v>
      </c>
      <c r="E8947" t="s">
        <v>24</v>
      </c>
      <c r="F8947" t="s">
        <v>25</v>
      </c>
      <c r="G8947">
        <v>1120290</v>
      </c>
      <c r="H8947" t="s">
        <v>26</v>
      </c>
      <c r="I8947" t="s">
        <v>27</v>
      </c>
      <c r="J8947" t="str">
        <f t="shared" si="68"/>
        <v>9781118347478</v>
      </c>
      <c r="L8947">
        <v>0</v>
      </c>
      <c r="O8947" t="s">
        <v>28</v>
      </c>
      <c r="P8947" t="s">
        <v>29</v>
      </c>
      <c r="Q8947" s="1">
        <v>42250.307025462964</v>
      </c>
      <c r="R8947">
        <v>7</v>
      </c>
      <c r="S8947" t="s">
        <v>31</v>
      </c>
      <c r="T8947" t="s">
        <v>32</v>
      </c>
      <c r="U8947">
        <v>421</v>
      </c>
      <c r="V8947" s="3">
        <v>41101</v>
      </c>
    </row>
    <row r="8948" spans="1:22" x14ac:dyDescent="0.35">
      <c r="A8948" s="1">
        <v>42250.307430555556</v>
      </c>
      <c r="B8948" s="2">
        <v>0</v>
      </c>
      <c r="C8948" t="s">
        <v>10663</v>
      </c>
      <c r="D8948" t="s">
        <v>23</v>
      </c>
      <c r="E8948" t="s">
        <v>24</v>
      </c>
      <c r="F8948" t="s">
        <v>25</v>
      </c>
      <c r="G8948">
        <v>1120290</v>
      </c>
      <c r="H8948" t="s">
        <v>26</v>
      </c>
      <c r="I8948" t="s">
        <v>27</v>
      </c>
      <c r="J8948" t="str">
        <f t="shared" si="68"/>
        <v>9781118347478</v>
      </c>
      <c r="L8948">
        <v>0</v>
      </c>
      <c r="O8948" t="s">
        <v>28</v>
      </c>
      <c r="P8948" t="s">
        <v>29</v>
      </c>
      <c r="Q8948" s="1">
        <v>42250.307025462964</v>
      </c>
      <c r="R8948">
        <v>7</v>
      </c>
      <c r="S8948" t="s">
        <v>31</v>
      </c>
      <c r="T8948" t="s">
        <v>32</v>
      </c>
      <c r="U8948">
        <v>421</v>
      </c>
      <c r="V8948" s="3">
        <v>41101</v>
      </c>
    </row>
    <row r="8949" spans="1:22" x14ac:dyDescent="0.35">
      <c r="A8949" s="1">
        <v>42250.307025462964</v>
      </c>
      <c r="B8949" s="2">
        <v>0</v>
      </c>
      <c r="C8949" t="s">
        <v>10663</v>
      </c>
      <c r="D8949" t="s">
        <v>23</v>
      </c>
      <c r="E8949" t="s">
        <v>24</v>
      </c>
      <c r="F8949" t="s">
        <v>25</v>
      </c>
      <c r="G8949">
        <v>1120290</v>
      </c>
      <c r="H8949" t="s">
        <v>26</v>
      </c>
      <c r="I8949" t="s">
        <v>27</v>
      </c>
      <c r="J8949" t="str">
        <f t="shared" si="68"/>
        <v>9781118347478</v>
      </c>
      <c r="L8949">
        <v>0</v>
      </c>
      <c r="O8949" t="s">
        <v>28</v>
      </c>
      <c r="P8949" t="s">
        <v>29</v>
      </c>
      <c r="Q8949" s="1">
        <v>42250.307025462964</v>
      </c>
      <c r="R8949">
        <v>7</v>
      </c>
      <c r="S8949" t="s">
        <v>31</v>
      </c>
      <c r="T8949" t="s">
        <v>32</v>
      </c>
      <c r="U8949">
        <v>421</v>
      </c>
      <c r="V8949" s="3">
        <v>41101</v>
      </c>
    </row>
    <row r="8950" spans="1:22" x14ac:dyDescent="0.35">
      <c r="A8950" s="1">
        <v>42250.307025462964</v>
      </c>
      <c r="B8950" s="2">
        <v>0</v>
      </c>
      <c r="C8950" t="s">
        <v>10663</v>
      </c>
      <c r="D8950" t="s">
        <v>23</v>
      </c>
      <c r="E8950" t="s">
        <v>24</v>
      </c>
      <c r="F8950" t="s">
        <v>25</v>
      </c>
      <c r="G8950">
        <v>1120290</v>
      </c>
      <c r="H8950" t="s">
        <v>26</v>
      </c>
      <c r="I8950" t="s">
        <v>27</v>
      </c>
      <c r="J8950" t="str">
        <f t="shared" si="68"/>
        <v>9781118347478</v>
      </c>
      <c r="L8950">
        <v>0</v>
      </c>
      <c r="O8950" t="s">
        <v>30</v>
      </c>
      <c r="P8950" t="s">
        <v>29</v>
      </c>
      <c r="Q8950" s="1">
        <v>42250.307025462964</v>
      </c>
      <c r="R8950">
        <v>7</v>
      </c>
      <c r="S8950" t="s">
        <v>31</v>
      </c>
      <c r="T8950" t="s">
        <v>32</v>
      </c>
      <c r="U8950">
        <v>421</v>
      </c>
      <c r="V8950" s="3">
        <v>41101</v>
      </c>
    </row>
    <row r="8951" spans="1:22" x14ac:dyDescent="0.35">
      <c r="A8951" s="1">
        <v>42250.30673611111</v>
      </c>
      <c r="B8951" s="2">
        <v>2.8935185185185189E-4</v>
      </c>
      <c r="C8951" t="s">
        <v>10663</v>
      </c>
      <c r="D8951" t="s">
        <v>23</v>
      </c>
      <c r="E8951" t="s">
        <v>24</v>
      </c>
      <c r="F8951" t="s">
        <v>25</v>
      </c>
      <c r="G8951">
        <v>1120290</v>
      </c>
      <c r="H8951" t="s">
        <v>26</v>
      </c>
      <c r="I8951" t="s">
        <v>27</v>
      </c>
      <c r="J8951" t="str">
        <f t="shared" si="68"/>
        <v>9781118347478</v>
      </c>
      <c r="K8951" t="s">
        <v>12547</v>
      </c>
      <c r="L8951">
        <v>8</v>
      </c>
      <c r="O8951" t="s">
        <v>30</v>
      </c>
      <c r="P8951" t="s">
        <v>42</v>
      </c>
      <c r="S8951" t="s">
        <v>31</v>
      </c>
      <c r="T8951" t="s">
        <v>32</v>
      </c>
      <c r="U8951">
        <v>421</v>
      </c>
      <c r="V8951" s="3">
        <v>41101</v>
      </c>
    </row>
    <row r="8952" spans="1:22" x14ac:dyDescent="0.35">
      <c r="A8952" s="1">
        <v>42250.103252314817</v>
      </c>
      <c r="B8952" s="2">
        <v>5.2430555555555555E-3</v>
      </c>
      <c r="C8952" t="s">
        <v>106</v>
      </c>
      <c r="D8952" t="s">
        <v>23</v>
      </c>
      <c r="E8952" t="s">
        <v>24</v>
      </c>
      <c r="F8952" t="s">
        <v>4594</v>
      </c>
      <c r="G8952">
        <v>1872281</v>
      </c>
      <c r="H8952" t="s">
        <v>91</v>
      </c>
      <c r="I8952" t="s">
        <v>2133</v>
      </c>
      <c r="J8952" t="str">
        <f>"9781462519606"</f>
        <v>9781462519606</v>
      </c>
      <c r="K8952" t="s">
        <v>12548</v>
      </c>
      <c r="L8952">
        <v>4</v>
      </c>
      <c r="M8952" t="s">
        <v>3778</v>
      </c>
      <c r="N8952" t="s">
        <v>12549</v>
      </c>
      <c r="O8952" t="s">
        <v>28</v>
      </c>
      <c r="P8952" t="s">
        <v>29</v>
      </c>
      <c r="Q8952" s="1">
        <v>42250.093229166669</v>
      </c>
      <c r="R8952">
        <v>7</v>
      </c>
      <c r="S8952" t="s">
        <v>31</v>
      </c>
      <c r="T8952" t="s">
        <v>4596</v>
      </c>
      <c r="U8952">
        <v>378.101</v>
      </c>
      <c r="V8952" s="3">
        <v>42150</v>
      </c>
    </row>
    <row r="8953" spans="1:22" x14ac:dyDescent="0.35">
      <c r="A8953" s="1">
        <v>42250.093229166669</v>
      </c>
      <c r="B8953" s="2">
        <v>9.8495370370370369E-3</v>
      </c>
      <c r="C8953" t="s">
        <v>106</v>
      </c>
      <c r="D8953" t="s">
        <v>23</v>
      </c>
      <c r="E8953" t="s">
        <v>24</v>
      </c>
      <c r="F8953" t="s">
        <v>4594</v>
      </c>
      <c r="G8953">
        <v>1872281</v>
      </c>
      <c r="H8953" t="s">
        <v>91</v>
      </c>
      <c r="I8953" t="s">
        <v>2133</v>
      </c>
      <c r="J8953" t="str">
        <f>"9781462519606"</f>
        <v>9781462519606</v>
      </c>
      <c r="K8953" t="s">
        <v>12550</v>
      </c>
      <c r="L8953">
        <v>10</v>
      </c>
      <c r="O8953" t="s">
        <v>28</v>
      </c>
      <c r="P8953" t="s">
        <v>29</v>
      </c>
      <c r="Q8953" s="1">
        <v>42250.093229166669</v>
      </c>
      <c r="R8953">
        <v>7</v>
      </c>
      <c r="S8953" t="s">
        <v>31</v>
      </c>
      <c r="T8953" t="s">
        <v>4596</v>
      </c>
      <c r="U8953">
        <v>378.101</v>
      </c>
      <c r="V8953" s="3">
        <v>42150</v>
      </c>
    </row>
    <row r="8954" spans="1:22" x14ac:dyDescent="0.35">
      <c r="A8954" s="1">
        <v>42250.093229166669</v>
      </c>
      <c r="B8954" s="2">
        <v>0</v>
      </c>
      <c r="C8954" t="s">
        <v>106</v>
      </c>
      <c r="D8954" t="s">
        <v>23</v>
      </c>
      <c r="E8954" t="s">
        <v>24</v>
      </c>
      <c r="F8954" t="s">
        <v>4594</v>
      </c>
      <c r="G8954">
        <v>1872281</v>
      </c>
      <c r="H8954" t="s">
        <v>91</v>
      </c>
      <c r="I8954" t="s">
        <v>2133</v>
      </c>
      <c r="J8954" t="str">
        <f>"9781462519606"</f>
        <v>9781462519606</v>
      </c>
      <c r="L8954">
        <v>0</v>
      </c>
      <c r="O8954" t="s">
        <v>30</v>
      </c>
      <c r="P8954" t="s">
        <v>29</v>
      </c>
      <c r="Q8954" s="1">
        <v>42250.093229166669</v>
      </c>
      <c r="R8954">
        <v>7</v>
      </c>
      <c r="S8954" t="s">
        <v>31</v>
      </c>
      <c r="T8954" t="s">
        <v>4596</v>
      </c>
      <c r="U8954">
        <v>378.101</v>
      </c>
      <c r="V8954" s="3">
        <v>42150</v>
      </c>
    </row>
    <row r="8955" spans="1:22" x14ac:dyDescent="0.35">
      <c r="A8955" s="1">
        <v>42250.089224537034</v>
      </c>
      <c r="B8955" s="2">
        <v>4.0046296296296297E-3</v>
      </c>
      <c r="C8955" t="s">
        <v>106</v>
      </c>
      <c r="D8955" t="s">
        <v>23</v>
      </c>
      <c r="E8955" t="s">
        <v>24</v>
      </c>
      <c r="F8955" t="s">
        <v>4594</v>
      </c>
      <c r="G8955">
        <v>1872281</v>
      </c>
      <c r="H8955" t="s">
        <v>91</v>
      </c>
      <c r="I8955" t="s">
        <v>2133</v>
      </c>
      <c r="J8955" t="str">
        <f>"9781462519606"</f>
        <v>9781462519606</v>
      </c>
      <c r="K8955" t="s">
        <v>12551</v>
      </c>
      <c r="L8955">
        <v>15</v>
      </c>
      <c r="O8955" t="s">
        <v>30</v>
      </c>
      <c r="P8955" t="s">
        <v>42</v>
      </c>
      <c r="S8955" t="s">
        <v>31</v>
      </c>
      <c r="T8955" t="s">
        <v>4596</v>
      </c>
      <c r="U8955">
        <v>378.101</v>
      </c>
      <c r="V8955" s="3">
        <v>42150</v>
      </c>
    </row>
    <row r="8956" spans="1:22" x14ac:dyDescent="0.35">
      <c r="A8956" s="1">
        <v>42250.043923611112</v>
      </c>
      <c r="B8956" s="2">
        <v>1.0532407407407407E-3</v>
      </c>
      <c r="C8956" t="s">
        <v>11481</v>
      </c>
      <c r="D8956" t="s">
        <v>23</v>
      </c>
      <c r="E8956" t="s">
        <v>24</v>
      </c>
      <c r="F8956" t="s">
        <v>3228</v>
      </c>
      <c r="G8956">
        <v>1115640</v>
      </c>
      <c r="H8956" t="s">
        <v>26</v>
      </c>
      <c r="I8956" t="s">
        <v>3229</v>
      </c>
      <c r="J8956" t="str">
        <f>"9781118419090"</f>
        <v>9781118419090</v>
      </c>
      <c r="K8956" t="s">
        <v>12552</v>
      </c>
      <c r="L8956">
        <v>20</v>
      </c>
      <c r="O8956" t="s">
        <v>30</v>
      </c>
      <c r="P8956" t="s">
        <v>42</v>
      </c>
      <c r="S8956" t="s">
        <v>31</v>
      </c>
      <c r="T8956" t="s">
        <v>3231</v>
      </c>
      <c r="U8956">
        <v>624</v>
      </c>
      <c r="V8956" s="3">
        <v>41296</v>
      </c>
    </row>
    <row r="8957" spans="1:22" x14ac:dyDescent="0.35">
      <c r="A8957" s="1">
        <v>42249.949155092596</v>
      </c>
      <c r="B8957" s="2">
        <v>1.273148148148148E-4</v>
      </c>
      <c r="C8957" t="s">
        <v>12553</v>
      </c>
      <c r="D8957" t="s">
        <v>1222</v>
      </c>
      <c r="E8957" t="s">
        <v>1223</v>
      </c>
      <c r="F8957" t="s">
        <v>1790</v>
      </c>
      <c r="G8957">
        <v>1760710</v>
      </c>
      <c r="H8957" t="s">
        <v>91</v>
      </c>
      <c r="I8957" t="s">
        <v>69</v>
      </c>
      <c r="J8957" t="str">
        <f>"9781462516865"</f>
        <v>9781462516865</v>
      </c>
      <c r="K8957" t="s">
        <v>12554</v>
      </c>
      <c r="L8957">
        <v>10</v>
      </c>
      <c r="O8957" t="s">
        <v>30</v>
      </c>
      <c r="P8957" t="s">
        <v>50</v>
      </c>
      <c r="S8957" t="s">
        <v>1226</v>
      </c>
      <c r="T8957" t="s">
        <v>1792</v>
      </c>
      <c r="U8957">
        <v>372.41</v>
      </c>
      <c r="V8957" s="3">
        <v>41941</v>
      </c>
    </row>
    <row r="8958" spans="1:22" x14ac:dyDescent="0.35">
      <c r="A8958" s="1">
        <v>42249.921956018516</v>
      </c>
      <c r="B8958" s="2">
        <v>3.5069444444444445E-3</v>
      </c>
      <c r="C8958" t="s">
        <v>4717</v>
      </c>
      <c r="D8958" t="s">
        <v>1222</v>
      </c>
      <c r="E8958" t="s">
        <v>1223</v>
      </c>
      <c r="F8958" t="s">
        <v>3263</v>
      </c>
      <c r="G8958">
        <v>1840835</v>
      </c>
      <c r="H8958" t="s">
        <v>26</v>
      </c>
      <c r="I8958" t="s">
        <v>108</v>
      </c>
      <c r="J8958" t="str">
        <f>"9781118950166"</f>
        <v>9781118950166</v>
      </c>
      <c r="K8958" t="s">
        <v>12555</v>
      </c>
      <c r="L8958">
        <v>18</v>
      </c>
      <c r="O8958" t="s">
        <v>28</v>
      </c>
      <c r="P8958" t="s">
        <v>29</v>
      </c>
      <c r="Q8958" s="1">
        <v>42249.921956018516</v>
      </c>
      <c r="R8958">
        <v>7</v>
      </c>
      <c r="S8958" t="s">
        <v>1226</v>
      </c>
      <c r="T8958" t="s">
        <v>3264</v>
      </c>
      <c r="U8958">
        <v>338.10923789999998</v>
      </c>
      <c r="V8958" s="3">
        <v>41953</v>
      </c>
    </row>
    <row r="8959" spans="1:22" x14ac:dyDescent="0.35">
      <c r="A8959" s="1">
        <v>42249.921956018516</v>
      </c>
      <c r="B8959" s="2">
        <v>0</v>
      </c>
      <c r="C8959" t="s">
        <v>4717</v>
      </c>
      <c r="D8959" t="s">
        <v>1222</v>
      </c>
      <c r="E8959" t="s">
        <v>1223</v>
      </c>
      <c r="F8959" t="s">
        <v>3263</v>
      </c>
      <c r="G8959">
        <v>1840835</v>
      </c>
      <c r="H8959" t="s">
        <v>26</v>
      </c>
      <c r="I8959" t="s">
        <v>108</v>
      </c>
      <c r="J8959" t="str">
        <f>"9781118950166"</f>
        <v>9781118950166</v>
      </c>
      <c r="L8959">
        <v>0</v>
      </c>
      <c r="O8959" t="s">
        <v>30</v>
      </c>
      <c r="P8959" t="s">
        <v>29</v>
      </c>
      <c r="Q8959" s="1">
        <v>42249.921956018516</v>
      </c>
      <c r="R8959">
        <v>7</v>
      </c>
      <c r="S8959" t="s">
        <v>1226</v>
      </c>
      <c r="T8959" t="s">
        <v>3264</v>
      </c>
      <c r="U8959">
        <v>338.10923789999998</v>
      </c>
      <c r="V8959" s="3">
        <v>41953</v>
      </c>
    </row>
    <row r="8960" spans="1:22" x14ac:dyDescent="0.35">
      <c r="A8960" s="1">
        <v>42249.919664351852</v>
      </c>
      <c r="B8960" s="2">
        <v>2.2916666666666667E-3</v>
      </c>
      <c r="C8960" t="s">
        <v>4717</v>
      </c>
      <c r="D8960" t="s">
        <v>1222</v>
      </c>
      <c r="E8960" t="s">
        <v>1223</v>
      </c>
      <c r="F8960" t="s">
        <v>3263</v>
      </c>
      <c r="G8960">
        <v>1840835</v>
      </c>
      <c r="H8960" t="s">
        <v>26</v>
      </c>
      <c r="I8960" t="s">
        <v>108</v>
      </c>
      <c r="J8960" t="str">
        <f>"9781118950166"</f>
        <v>9781118950166</v>
      </c>
      <c r="K8960" t="s">
        <v>12556</v>
      </c>
      <c r="L8960">
        <v>40</v>
      </c>
      <c r="O8960" t="s">
        <v>30</v>
      </c>
      <c r="P8960" t="s">
        <v>42</v>
      </c>
      <c r="S8960" t="s">
        <v>1226</v>
      </c>
      <c r="T8960" t="s">
        <v>3264</v>
      </c>
      <c r="U8960">
        <v>338.10923789999998</v>
      </c>
      <c r="V8960" s="3">
        <v>41953</v>
      </c>
    </row>
    <row r="8961" spans="1:22" x14ac:dyDescent="0.35">
      <c r="A8961" s="1">
        <v>42249.914074074077</v>
      </c>
      <c r="B8961" s="2">
        <v>6.9444444444444444E-5</v>
      </c>
      <c r="C8961" t="s">
        <v>106</v>
      </c>
      <c r="D8961" t="s">
        <v>23</v>
      </c>
      <c r="E8961" t="s">
        <v>24</v>
      </c>
      <c r="F8961" t="s">
        <v>4594</v>
      </c>
      <c r="G8961">
        <v>1872281</v>
      </c>
      <c r="H8961" t="s">
        <v>91</v>
      </c>
      <c r="I8961" t="s">
        <v>2133</v>
      </c>
      <c r="J8961" t="str">
        <f>"9781462519606"</f>
        <v>9781462519606</v>
      </c>
      <c r="K8961" t="s">
        <v>33</v>
      </c>
      <c r="L8961">
        <v>3</v>
      </c>
      <c r="O8961" t="s">
        <v>30</v>
      </c>
      <c r="P8961" t="s">
        <v>42</v>
      </c>
      <c r="S8961" t="s">
        <v>31</v>
      </c>
      <c r="T8961" t="s">
        <v>4596</v>
      </c>
      <c r="U8961">
        <v>378.101</v>
      </c>
      <c r="V8961" s="3">
        <v>42150</v>
      </c>
    </row>
    <row r="8962" spans="1:22" x14ac:dyDescent="0.35">
      <c r="A8962" s="1">
        <v>42249.884710648148</v>
      </c>
      <c r="B8962" s="2">
        <v>4.9768518518518521E-4</v>
      </c>
      <c r="C8962" t="s">
        <v>106</v>
      </c>
      <c r="D8962" t="s">
        <v>23</v>
      </c>
      <c r="E8962" t="s">
        <v>24</v>
      </c>
      <c r="F8962" t="s">
        <v>4594</v>
      </c>
      <c r="G8962">
        <v>1872281</v>
      </c>
      <c r="H8962" t="s">
        <v>91</v>
      </c>
      <c r="I8962" t="s">
        <v>2133</v>
      </c>
      <c r="J8962" t="str">
        <f>"9781462519606"</f>
        <v>9781462519606</v>
      </c>
      <c r="K8962" t="s">
        <v>12557</v>
      </c>
      <c r="L8962">
        <v>3</v>
      </c>
      <c r="O8962" t="s">
        <v>30</v>
      </c>
      <c r="P8962" t="s">
        <v>42</v>
      </c>
      <c r="S8962" t="s">
        <v>31</v>
      </c>
      <c r="T8962" t="s">
        <v>4596</v>
      </c>
      <c r="U8962">
        <v>378.101</v>
      </c>
      <c r="V8962" s="3">
        <v>42150</v>
      </c>
    </row>
    <row r="8963" spans="1:22" x14ac:dyDescent="0.35">
      <c r="A8963" s="1">
        <v>42249.855636574073</v>
      </c>
      <c r="B8963" s="2">
        <v>2.5462962962962961E-4</v>
      </c>
      <c r="C8963" t="s">
        <v>697</v>
      </c>
      <c r="D8963" t="s">
        <v>23</v>
      </c>
      <c r="E8963" t="s">
        <v>24</v>
      </c>
      <c r="F8963" t="s">
        <v>1051</v>
      </c>
      <c r="G8963">
        <v>821663</v>
      </c>
      <c r="H8963" t="s">
        <v>26</v>
      </c>
      <c r="I8963" t="s">
        <v>200</v>
      </c>
      <c r="J8963" t="str">
        <f>"9781118168479"</f>
        <v>9781118168479</v>
      </c>
      <c r="K8963" t="s">
        <v>2800</v>
      </c>
      <c r="L8963">
        <v>3</v>
      </c>
      <c r="O8963" t="s">
        <v>30</v>
      </c>
      <c r="P8963" t="s">
        <v>42</v>
      </c>
      <c r="S8963" t="s">
        <v>31</v>
      </c>
      <c r="T8963" t="s">
        <v>1053</v>
      </c>
      <c r="U8963">
        <v>729</v>
      </c>
      <c r="V8963" s="3">
        <v>40973</v>
      </c>
    </row>
    <row r="8964" spans="1:22" x14ac:dyDescent="0.35">
      <c r="A8964" s="1">
        <v>42249.851400462961</v>
      </c>
      <c r="B8964" s="2">
        <v>5.6712962962962956E-4</v>
      </c>
      <c r="C8964" t="s">
        <v>12558</v>
      </c>
      <c r="D8964" t="s">
        <v>23</v>
      </c>
      <c r="E8964" t="s">
        <v>24</v>
      </c>
      <c r="F8964" t="s">
        <v>486</v>
      </c>
      <c r="G8964">
        <v>1119505</v>
      </c>
      <c r="H8964" t="s">
        <v>26</v>
      </c>
      <c r="I8964" t="s">
        <v>450</v>
      </c>
      <c r="J8964" t="str">
        <f>"9781118355015"</f>
        <v>9781118355015</v>
      </c>
      <c r="K8964" t="s">
        <v>12559</v>
      </c>
      <c r="L8964">
        <v>23</v>
      </c>
      <c r="O8964" t="s">
        <v>30</v>
      </c>
      <c r="P8964" t="s">
        <v>42</v>
      </c>
      <c r="S8964" t="s">
        <v>31</v>
      </c>
      <c r="T8964" t="s">
        <v>487</v>
      </c>
      <c r="U8964" t="s">
        <v>488</v>
      </c>
      <c r="V8964" s="3">
        <v>41302</v>
      </c>
    </row>
    <row r="8965" spans="1:22" x14ac:dyDescent="0.35">
      <c r="A8965" s="1">
        <v>42249.816157407404</v>
      </c>
      <c r="B8965" s="2">
        <v>3.7847222222222223E-3</v>
      </c>
      <c r="C8965" t="s">
        <v>12560</v>
      </c>
      <c r="D8965" t="s">
        <v>35</v>
      </c>
      <c r="E8965" t="s">
        <v>36</v>
      </c>
      <c r="F8965" t="s">
        <v>3117</v>
      </c>
      <c r="G8965">
        <v>1022416</v>
      </c>
      <c r="H8965" t="s">
        <v>26</v>
      </c>
      <c r="I8965" t="s">
        <v>2751</v>
      </c>
      <c r="J8965" t="str">
        <f>"9781118373811"</f>
        <v>9781118373811</v>
      </c>
      <c r="K8965" t="s">
        <v>12561</v>
      </c>
      <c r="L8965">
        <v>50</v>
      </c>
      <c r="O8965" t="s">
        <v>30</v>
      </c>
      <c r="P8965" t="s">
        <v>42</v>
      </c>
      <c r="S8965" t="s">
        <v>40</v>
      </c>
      <c r="T8965" t="s">
        <v>3119</v>
      </c>
      <c r="U8965">
        <v>664</v>
      </c>
      <c r="V8965" s="3">
        <v>41157</v>
      </c>
    </row>
    <row r="8966" spans="1:22" x14ac:dyDescent="0.35">
      <c r="A8966" s="1">
        <v>42249.815150462964</v>
      </c>
      <c r="B8966" s="2">
        <v>4.0856481481481481E-3</v>
      </c>
      <c r="C8966" t="s">
        <v>106</v>
      </c>
      <c r="D8966" t="s">
        <v>23</v>
      </c>
      <c r="E8966" t="s">
        <v>24</v>
      </c>
      <c r="F8966" t="s">
        <v>10689</v>
      </c>
      <c r="G8966">
        <v>938873</v>
      </c>
      <c r="H8966" t="s">
        <v>26</v>
      </c>
      <c r="I8966" t="s">
        <v>10690</v>
      </c>
      <c r="J8966" t="str">
        <f>"9781119963127"</f>
        <v>9781119963127</v>
      </c>
      <c r="K8966" t="s">
        <v>12562</v>
      </c>
      <c r="L8966">
        <v>16</v>
      </c>
      <c r="O8966" t="s">
        <v>30</v>
      </c>
      <c r="P8966" t="s">
        <v>42</v>
      </c>
      <c r="S8966" t="s">
        <v>31</v>
      </c>
      <c r="T8966" t="s">
        <v>10692</v>
      </c>
      <c r="U8966" t="s">
        <v>10693</v>
      </c>
      <c r="V8966" s="3">
        <v>41064</v>
      </c>
    </row>
    <row r="8967" spans="1:22" x14ac:dyDescent="0.35">
      <c r="A8967" s="1">
        <v>42249.734189814815</v>
      </c>
      <c r="B8967" s="2">
        <v>1.0185185185185186E-3</v>
      </c>
      <c r="C8967" t="s">
        <v>106</v>
      </c>
      <c r="D8967" t="s">
        <v>23</v>
      </c>
      <c r="E8967" t="s">
        <v>24</v>
      </c>
      <c r="F8967" t="s">
        <v>3488</v>
      </c>
      <c r="G8967">
        <v>1294909</v>
      </c>
      <c r="H8967" t="s">
        <v>84</v>
      </c>
      <c r="I8967" t="s">
        <v>445</v>
      </c>
      <c r="J8967" t="str">
        <f>"9780520956797"</f>
        <v>9780520956797</v>
      </c>
      <c r="K8967" t="s">
        <v>12563</v>
      </c>
      <c r="L8967">
        <v>12</v>
      </c>
      <c r="O8967" t="s">
        <v>30</v>
      </c>
      <c r="P8967" t="s">
        <v>29</v>
      </c>
      <c r="Q8967" s="1">
        <v>42247.815520833334</v>
      </c>
      <c r="R8967">
        <v>7</v>
      </c>
      <c r="S8967" t="s">
        <v>31</v>
      </c>
      <c r="T8967" t="s">
        <v>3490</v>
      </c>
      <c r="U8967" t="s">
        <v>3491</v>
      </c>
      <c r="V8967" s="3">
        <v>41487</v>
      </c>
    </row>
    <row r="8968" spans="1:22" x14ac:dyDescent="0.35">
      <c r="A8968" s="1">
        <v>42249.73238425926</v>
      </c>
      <c r="B8968" s="2">
        <v>4.9884259259259265E-3</v>
      </c>
      <c r="C8968" t="s">
        <v>6081</v>
      </c>
      <c r="D8968" t="s">
        <v>1222</v>
      </c>
      <c r="E8968" t="s">
        <v>1223</v>
      </c>
      <c r="F8968" t="s">
        <v>6082</v>
      </c>
      <c r="G8968">
        <v>1925073</v>
      </c>
      <c r="H8968" t="s">
        <v>91</v>
      </c>
      <c r="I8968" t="s">
        <v>69</v>
      </c>
      <c r="J8968" t="str">
        <f>"9781462521128"</f>
        <v>9781462521128</v>
      </c>
      <c r="K8968" t="s">
        <v>12564</v>
      </c>
      <c r="L8968">
        <v>8</v>
      </c>
      <c r="O8968" t="s">
        <v>30</v>
      </c>
      <c r="P8968" t="s">
        <v>50</v>
      </c>
      <c r="S8968" t="s">
        <v>1226</v>
      </c>
      <c r="T8968" t="s">
        <v>6085</v>
      </c>
      <c r="U8968">
        <v>372.48</v>
      </c>
      <c r="V8968" s="3">
        <v>42178</v>
      </c>
    </row>
    <row r="8969" spans="1:22" x14ac:dyDescent="0.35">
      <c r="A8969" s="1">
        <v>42249.72247685185</v>
      </c>
      <c r="B8969" s="2">
        <v>3.4722222222222222E-5</v>
      </c>
      <c r="C8969" t="s">
        <v>12319</v>
      </c>
      <c r="D8969" t="s">
        <v>23</v>
      </c>
      <c r="E8969" t="s">
        <v>24</v>
      </c>
      <c r="F8969" t="s">
        <v>1161</v>
      </c>
      <c r="G8969">
        <v>1710997</v>
      </c>
      <c r="H8969" t="s">
        <v>84</v>
      </c>
      <c r="I8969" t="s">
        <v>108</v>
      </c>
      <c r="J8969" t="str">
        <f>"9780520959224"</f>
        <v>9780520959224</v>
      </c>
      <c r="K8969" t="s">
        <v>33</v>
      </c>
      <c r="L8969">
        <v>3</v>
      </c>
      <c r="O8969" t="s">
        <v>30</v>
      </c>
      <c r="P8969" t="s">
        <v>50</v>
      </c>
      <c r="S8969" t="s">
        <v>31</v>
      </c>
      <c r="T8969" t="s">
        <v>1162</v>
      </c>
      <c r="U8969" t="s">
        <v>1163</v>
      </c>
      <c r="V8969" s="3">
        <v>42018</v>
      </c>
    </row>
    <row r="8970" spans="1:22" x14ac:dyDescent="0.35">
      <c r="A8970" s="1">
        <v>42249.698599537034</v>
      </c>
      <c r="B8970" s="2">
        <v>4.31712962962963E-3</v>
      </c>
      <c r="C8970" t="s">
        <v>11784</v>
      </c>
      <c r="D8970" t="s">
        <v>23</v>
      </c>
      <c r="E8970" t="s">
        <v>24</v>
      </c>
      <c r="F8970" t="s">
        <v>3488</v>
      </c>
      <c r="G8970">
        <v>1294909</v>
      </c>
      <c r="H8970" t="s">
        <v>84</v>
      </c>
      <c r="I8970" t="s">
        <v>445</v>
      </c>
      <c r="J8970" t="str">
        <f>"9780520956797"</f>
        <v>9780520956797</v>
      </c>
      <c r="K8970" t="s">
        <v>3778</v>
      </c>
      <c r="L8970">
        <v>1</v>
      </c>
      <c r="N8970" t="s">
        <v>12565</v>
      </c>
      <c r="O8970" t="s">
        <v>30</v>
      </c>
      <c r="P8970" t="s">
        <v>29</v>
      </c>
      <c r="Q8970" s="1">
        <v>42249.698599537034</v>
      </c>
      <c r="R8970">
        <v>7</v>
      </c>
      <c r="S8970" t="s">
        <v>31</v>
      </c>
      <c r="T8970" t="s">
        <v>3490</v>
      </c>
      <c r="U8970" t="s">
        <v>3491</v>
      </c>
      <c r="V8970" s="3">
        <v>41487</v>
      </c>
    </row>
    <row r="8971" spans="1:22" x14ac:dyDescent="0.35">
      <c r="A8971" s="1">
        <v>42249.694016203706</v>
      </c>
      <c r="B8971" s="2">
        <v>4.5833333333333334E-3</v>
      </c>
      <c r="C8971" t="s">
        <v>11784</v>
      </c>
      <c r="D8971" t="s">
        <v>23</v>
      </c>
      <c r="E8971" t="s">
        <v>24</v>
      </c>
      <c r="F8971" t="s">
        <v>3488</v>
      </c>
      <c r="G8971">
        <v>1294909</v>
      </c>
      <c r="H8971" t="s">
        <v>84</v>
      </c>
      <c r="I8971" t="s">
        <v>445</v>
      </c>
      <c r="J8971" t="str">
        <f>"9780520956797"</f>
        <v>9780520956797</v>
      </c>
      <c r="K8971" t="s">
        <v>7608</v>
      </c>
      <c r="L8971">
        <v>12</v>
      </c>
      <c r="O8971" t="s">
        <v>30</v>
      </c>
      <c r="P8971" t="s">
        <v>42</v>
      </c>
      <c r="S8971" t="s">
        <v>31</v>
      </c>
      <c r="T8971" t="s">
        <v>3490</v>
      </c>
      <c r="U8971" t="s">
        <v>3491</v>
      </c>
      <c r="V8971" s="3">
        <v>41487</v>
      </c>
    </row>
    <row r="8972" spans="1:22" x14ac:dyDescent="0.35">
      <c r="A8972" s="1">
        <v>42249.685810185183</v>
      </c>
      <c r="B8972" s="2">
        <v>5.5092592592592589E-3</v>
      </c>
      <c r="C8972" t="s">
        <v>12566</v>
      </c>
      <c r="D8972" t="s">
        <v>23</v>
      </c>
      <c r="E8972" t="s">
        <v>24</v>
      </c>
      <c r="F8972" t="s">
        <v>3488</v>
      </c>
      <c r="G8972">
        <v>1294909</v>
      </c>
      <c r="H8972" t="s">
        <v>84</v>
      </c>
      <c r="I8972" t="s">
        <v>445</v>
      </c>
      <c r="J8972" t="str">
        <f>"9780520956797"</f>
        <v>9780520956797</v>
      </c>
      <c r="K8972" t="s">
        <v>12567</v>
      </c>
      <c r="L8972">
        <v>13</v>
      </c>
      <c r="O8972" t="s">
        <v>30</v>
      </c>
      <c r="P8972" t="s">
        <v>42</v>
      </c>
      <c r="S8972" t="s">
        <v>31</v>
      </c>
      <c r="T8972" t="s">
        <v>3490</v>
      </c>
      <c r="U8972" t="s">
        <v>3491</v>
      </c>
      <c r="V8972" s="3">
        <v>41487</v>
      </c>
    </row>
    <row r="8973" spans="1:22" x14ac:dyDescent="0.35">
      <c r="A8973" s="1">
        <v>42249.662754629629</v>
      </c>
      <c r="B8973" s="2">
        <v>5.7175925925925927E-3</v>
      </c>
      <c r="C8973" t="s">
        <v>4728</v>
      </c>
      <c r="D8973" t="s">
        <v>623</v>
      </c>
      <c r="E8973" t="s">
        <v>624</v>
      </c>
      <c r="F8973" t="s">
        <v>4494</v>
      </c>
      <c r="G8973">
        <v>565082</v>
      </c>
      <c r="H8973" t="s">
        <v>26</v>
      </c>
      <c r="I8973" t="s">
        <v>69</v>
      </c>
      <c r="J8973" t="str">
        <f>"9781118041567"</f>
        <v>9781118041567</v>
      </c>
      <c r="K8973" t="s">
        <v>12568</v>
      </c>
      <c r="L8973">
        <v>16</v>
      </c>
      <c r="O8973" t="s">
        <v>30</v>
      </c>
      <c r="P8973" t="s">
        <v>29</v>
      </c>
      <c r="Q8973" s="1">
        <v>42248.53875</v>
      </c>
      <c r="R8973">
        <v>7</v>
      </c>
      <c r="S8973" t="s">
        <v>627</v>
      </c>
      <c r="T8973" t="s">
        <v>4496</v>
      </c>
      <c r="U8973" t="s">
        <v>4497</v>
      </c>
      <c r="V8973" s="3">
        <v>40337</v>
      </c>
    </row>
    <row r="8974" spans="1:22" x14ac:dyDescent="0.35">
      <c r="A8974" s="1">
        <v>42249.645925925928</v>
      </c>
      <c r="B8974" s="2">
        <v>0</v>
      </c>
      <c r="C8974" t="s">
        <v>106</v>
      </c>
      <c r="D8974" t="s">
        <v>23</v>
      </c>
      <c r="E8974" t="s">
        <v>24</v>
      </c>
      <c r="F8974" t="s">
        <v>4197</v>
      </c>
      <c r="G8974">
        <v>1742841</v>
      </c>
      <c r="H8974" t="s">
        <v>91</v>
      </c>
      <c r="I8974" t="s">
        <v>247</v>
      </c>
      <c r="J8974" t="str">
        <f>"9781462516445"</f>
        <v>9781462516445</v>
      </c>
      <c r="K8974" t="s">
        <v>232</v>
      </c>
      <c r="L8974">
        <v>1</v>
      </c>
      <c r="N8974" t="s">
        <v>12569</v>
      </c>
      <c r="O8974" t="s">
        <v>30</v>
      </c>
      <c r="P8974" t="s">
        <v>29</v>
      </c>
      <c r="Q8974" s="1">
        <v>42249.645925925928</v>
      </c>
      <c r="R8974">
        <v>7</v>
      </c>
      <c r="S8974" t="s">
        <v>31</v>
      </c>
      <c r="T8974" t="s">
        <v>4199</v>
      </c>
      <c r="U8974">
        <v>616.85270000000003</v>
      </c>
      <c r="V8974" s="3">
        <v>41934</v>
      </c>
    </row>
    <row r="8975" spans="1:22" x14ac:dyDescent="0.35">
      <c r="A8975" s="1">
        <v>42249.645833333336</v>
      </c>
      <c r="B8975" s="2">
        <v>9.2592592592592588E-5</v>
      </c>
      <c r="C8975" t="s">
        <v>106</v>
      </c>
      <c r="D8975" t="s">
        <v>23</v>
      </c>
      <c r="E8975" t="s">
        <v>24</v>
      </c>
      <c r="F8975" t="s">
        <v>4197</v>
      </c>
      <c r="G8975">
        <v>1742841</v>
      </c>
      <c r="H8975" t="s">
        <v>91</v>
      </c>
      <c r="I8975" t="s">
        <v>247</v>
      </c>
      <c r="J8975" t="str">
        <f>"9781462516445"</f>
        <v>9781462516445</v>
      </c>
      <c r="K8975" t="s">
        <v>12570</v>
      </c>
      <c r="L8975">
        <v>7</v>
      </c>
      <c r="O8975" t="s">
        <v>30</v>
      </c>
      <c r="P8975" t="s">
        <v>42</v>
      </c>
      <c r="S8975" t="s">
        <v>31</v>
      </c>
      <c r="T8975" t="s">
        <v>4199</v>
      </c>
      <c r="U8975">
        <v>616.85270000000003</v>
      </c>
      <c r="V8975" s="3">
        <v>41934</v>
      </c>
    </row>
    <row r="8976" spans="1:22" x14ac:dyDescent="0.35">
      <c r="A8976" s="1">
        <v>42249.639050925929</v>
      </c>
      <c r="B8976" s="2">
        <v>1.0069444444444444E-3</v>
      </c>
      <c r="C8976" t="s">
        <v>106</v>
      </c>
      <c r="D8976" t="s">
        <v>23</v>
      </c>
      <c r="E8976" t="s">
        <v>24</v>
      </c>
      <c r="F8976" t="s">
        <v>1051</v>
      </c>
      <c r="G8976">
        <v>821663</v>
      </c>
      <c r="H8976" t="s">
        <v>26</v>
      </c>
      <c r="I8976" t="s">
        <v>200</v>
      </c>
      <c r="J8976" t="str">
        <f>"9781118168479"</f>
        <v>9781118168479</v>
      </c>
      <c r="K8976" t="s">
        <v>12571</v>
      </c>
      <c r="L8976">
        <v>17</v>
      </c>
      <c r="O8976" t="s">
        <v>30</v>
      </c>
      <c r="P8976" t="s">
        <v>29</v>
      </c>
      <c r="Q8976" s="1">
        <v>42248.619155092594</v>
      </c>
      <c r="R8976">
        <v>7</v>
      </c>
      <c r="S8976" t="s">
        <v>31</v>
      </c>
      <c r="T8976" t="s">
        <v>1053</v>
      </c>
      <c r="U8976">
        <v>729</v>
      </c>
      <c r="V8976" s="3">
        <v>40973</v>
      </c>
    </row>
    <row r="8977" spans="1:22" x14ac:dyDescent="0.35">
      <c r="A8977" s="1">
        <v>42249.63616898148</v>
      </c>
      <c r="B8977" s="2">
        <v>1.1712962962962965E-2</v>
      </c>
      <c r="C8977" t="s">
        <v>4728</v>
      </c>
      <c r="D8977" t="s">
        <v>623</v>
      </c>
      <c r="E8977" t="s">
        <v>624</v>
      </c>
      <c r="F8977" t="s">
        <v>4494</v>
      </c>
      <c r="G8977">
        <v>565082</v>
      </c>
      <c r="H8977" t="s">
        <v>26</v>
      </c>
      <c r="I8977" t="s">
        <v>69</v>
      </c>
      <c r="J8977" t="str">
        <f>"9781118041567"</f>
        <v>9781118041567</v>
      </c>
      <c r="K8977" t="s">
        <v>12572</v>
      </c>
      <c r="L8977">
        <v>17</v>
      </c>
      <c r="M8977" t="s">
        <v>12573</v>
      </c>
      <c r="O8977" t="s">
        <v>30</v>
      </c>
      <c r="P8977" t="s">
        <v>29</v>
      </c>
      <c r="Q8977" s="1">
        <v>42248.53875</v>
      </c>
      <c r="R8977">
        <v>7</v>
      </c>
      <c r="S8977" t="s">
        <v>627</v>
      </c>
      <c r="T8977" t="s">
        <v>4496</v>
      </c>
      <c r="U8977" t="s">
        <v>4497</v>
      </c>
      <c r="V8977" s="3">
        <v>40337</v>
      </c>
    </row>
    <row r="8978" spans="1:22" x14ac:dyDescent="0.35">
      <c r="A8978" s="1">
        <v>42249.629050925927</v>
      </c>
      <c r="B8978" s="2">
        <v>9.1435185185185185E-4</v>
      </c>
      <c r="C8978" t="s">
        <v>106</v>
      </c>
      <c r="D8978" t="s">
        <v>23</v>
      </c>
      <c r="E8978" t="s">
        <v>24</v>
      </c>
      <c r="F8978" t="s">
        <v>3488</v>
      </c>
      <c r="G8978">
        <v>1294909</v>
      </c>
      <c r="H8978" t="s">
        <v>84</v>
      </c>
      <c r="I8978" t="s">
        <v>445</v>
      </c>
      <c r="J8978" t="str">
        <f>"9780520956797"</f>
        <v>9780520956797</v>
      </c>
      <c r="K8978" t="s">
        <v>12574</v>
      </c>
      <c r="L8978">
        <v>29</v>
      </c>
      <c r="O8978" t="s">
        <v>30</v>
      </c>
      <c r="P8978" t="s">
        <v>29</v>
      </c>
      <c r="Q8978" s="1">
        <v>42247.815520833334</v>
      </c>
      <c r="R8978">
        <v>7</v>
      </c>
      <c r="S8978" t="s">
        <v>31</v>
      </c>
      <c r="T8978" t="s">
        <v>3490</v>
      </c>
      <c r="U8978" t="s">
        <v>3491</v>
      </c>
      <c r="V8978" s="3">
        <v>41487</v>
      </c>
    </row>
    <row r="8979" spans="1:22" x14ac:dyDescent="0.35">
      <c r="A8979" s="1">
        <v>42249.626377314817</v>
      </c>
      <c r="B8979" s="2">
        <v>1.3506944444444445E-2</v>
      </c>
      <c r="C8979" t="s">
        <v>12575</v>
      </c>
      <c r="D8979" t="s">
        <v>23</v>
      </c>
      <c r="E8979" t="s">
        <v>24</v>
      </c>
      <c r="F8979" t="s">
        <v>52</v>
      </c>
      <c r="G8979">
        <v>822040</v>
      </c>
      <c r="H8979" t="s">
        <v>26</v>
      </c>
      <c r="I8979" t="s">
        <v>53</v>
      </c>
      <c r="J8979" t="str">
        <f>"9781118289099"</f>
        <v>9781118289099</v>
      </c>
      <c r="K8979" t="s">
        <v>12576</v>
      </c>
      <c r="L8979">
        <v>13</v>
      </c>
      <c r="O8979" t="s">
        <v>30</v>
      </c>
      <c r="P8979" t="s">
        <v>42</v>
      </c>
      <c r="S8979" t="s">
        <v>31</v>
      </c>
      <c r="T8979" t="s">
        <v>55</v>
      </c>
      <c r="U8979" t="s">
        <v>56</v>
      </c>
      <c r="V8979" s="3">
        <v>40990</v>
      </c>
    </row>
    <row r="8980" spans="1:22" x14ac:dyDescent="0.35">
      <c r="A8980" s="1">
        <v>42249.620949074073</v>
      </c>
      <c r="B8980" s="2">
        <v>6.9444444444444444E-5</v>
      </c>
      <c r="C8980" t="s">
        <v>12577</v>
      </c>
      <c r="D8980" t="s">
        <v>158</v>
      </c>
      <c r="E8980" t="s">
        <v>159</v>
      </c>
      <c r="F8980" t="s">
        <v>1064</v>
      </c>
      <c r="G8980">
        <v>1744258</v>
      </c>
      <c r="H8980" t="s">
        <v>26</v>
      </c>
      <c r="I8980" t="s">
        <v>297</v>
      </c>
      <c r="J8980" t="str">
        <f>"9781118776162"</f>
        <v>9781118776162</v>
      </c>
      <c r="K8980" t="s">
        <v>12578</v>
      </c>
      <c r="L8980">
        <v>5</v>
      </c>
      <c r="O8980" t="s">
        <v>30</v>
      </c>
      <c r="P8980" t="s">
        <v>29</v>
      </c>
      <c r="Q8980" s="1">
        <v>42249.620949074073</v>
      </c>
      <c r="R8980">
        <v>7</v>
      </c>
      <c r="S8980" t="s">
        <v>163</v>
      </c>
      <c r="T8980" t="s">
        <v>1066</v>
      </c>
      <c r="U8980">
        <v>513.07600000000002</v>
      </c>
      <c r="V8980" s="3">
        <v>41835</v>
      </c>
    </row>
    <row r="8981" spans="1:22" x14ac:dyDescent="0.35">
      <c r="A8981" s="1">
        <v>42249.610439814816</v>
      </c>
      <c r="B8981" s="2">
        <v>1.050925925925926E-2</v>
      </c>
      <c r="C8981" t="s">
        <v>12577</v>
      </c>
      <c r="D8981" t="s">
        <v>158</v>
      </c>
      <c r="E8981" t="s">
        <v>159</v>
      </c>
      <c r="F8981" t="s">
        <v>1064</v>
      </c>
      <c r="G8981">
        <v>1744258</v>
      </c>
      <c r="H8981" t="s">
        <v>26</v>
      </c>
      <c r="I8981" t="s">
        <v>297</v>
      </c>
      <c r="J8981" t="str">
        <f>"9781118776162"</f>
        <v>9781118776162</v>
      </c>
      <c r="K8981" t="s">
        <v>12579</v>
      </c>
      <c r="L8981">
        <v>35</v>
      </c>
      <c r="O8981" t="s">
        <v>30</v>
      </c>
      <c r="P8981" t="s">
        <v>42</v>
      </c>
      <c r="S8981" t="s">
        <v>163</v>
      </c>
      <c r="T8981" t="s">
        <v>1066</v>
      </c>
      <c r="U8981">
        <v>513.07600000000002</v>
      </c>
      <c r="V8981" s="3">
        <v>41835</v>
      </c>
    </row>
    <row r="8982" spans="1:22" x14ac:dyDescent="0.35">
      <c r="A8982" s="1">
        <v>42249.604907407411</v>
      </c>
      <c r="B8982" s="2">
        <v>4.3287037037037035E-3</v>
      </c>
      <c r="C8982" t="s">
        <v>12580</v>
      </c>
      <c r="D8982" t="s">
        <v>23</v>
      </c>
      <c r="E8982" t="s">
        <v>24</v>
      </c>
      <c r="F8982" t="s">
        <v>10689</v>
      </c>
      <c r="G8982">
        <v>938873</v>
      </c>
      <c r="H8982" t="s">
        <v>26</v>
      </c>
      <c r="I8982" t="s">
        <v>10690</v>
      </c>
      <c r="J8982" t="str">
        <f>"9781119963127"</f>
        <v>9781119963127</v>
      </c>
      <c r="K8982" t="s">
        <v>12581</v>
      </c>
      <c r="L8982">
        <v>12</v>
      </c>
      <c r="O8982" t="s">
        <v>30</v>
      </c>
      <c r="P8982" t="s">
        <v>42</v>
      </c>
      <c r="S8982" t="s">
        <v>31</v>
      </c>
      <c r="T8982" t="s">
        <v>10692</v>
      </c>
      <c r="U8982" t="s">
        <v>10693</v>
      </c>
      <c r="V8982" s="3">
        <v>41064</v>
      </c>
    </row>
    <row r="8983" spans="1:22" x14ac:dyDescent="0.35">
      <c r="A8983" s="1">
        <v>42249.600219907406</v>
      </c>
      <c r="B8983" s="2">
        <v>1.5277777777777779E-3</v>
      </c>
      <c r="C8983" t="s">
        <v>12445</v>
      </c>
      <c r="D8983" t="s">
        <v>23</v>
      </c>
      <c r="E8983" t="s">
        <v>24</v>
      </c>
      <c r="F8983" t="s">
        <v>1051</v>
      </c>
      <c r="G8983">
        <v>821663</v>
      </c>
      <c r="H8983" t="s">
        <v>26</v>
      </c>
      <c r="I8983" t="s">
        <v>200</v>
      </c>
      <c r="J8983" t="str">
        <f>"9781118168479"</f>
        <v>9781118168479</v>
      </c>
      <c r="K8983" t="s">
        <v>12582</v>
      </c>
      <c r="L8983">
        <v>33</v>
      </c>
      <c r="O8983" t="s">
        <v>30</v>
      </c>
      <c r="P8983" t="s">
        <v>42</v>
      </c>
      <c r="S8983" t="s">
        <v>31</v>
      </c>
      <c r="T8983" t="s">
        <v>1053</v>
      </c>
      <c r="U8983">
        <v>729</v>
      </c>
      <c r="V8983" s="3">
        <v>40973</v>
      </c>
    </row>
    <row r="8984" spans="1:22" x14ac:dyDescent="0.35">
      <c r="A8984" s="1">
        <v>42249.59951388889</v>
      </c>
      <c r="B8984" s="2">
        <v>1.273148148148148E-4</v>
      </c>
      <c r="C8984" t="s">
        <v>5887</v>
      </c>
      <c r="D8984" t="s">
        <v>23</v>
      </c>
      <c r="E8984" t="s">
        <v>24</v>
      </c>
      <c r="F8984" t="s">
        <v>1051</v>
      </c>
      <c r="G8984">
        <v>821663</v>
      </c>
      <c r="H8984" t="s">
        <v>26</v>
      </c>
      <c r="I8984" t="s">
        <v>200</v>
      </c>
      <c r="J8984" t="str">
        <f>"9781118168479"</f>
        <v>9781118168479</v>
      </c>
      <c r="K8984" t="s">
        <v>1404</v>
      </c>
      <c r="L8984">
        <v>8</v>
      </c>
      <c r="N8984" t="s">
        <v>12583</v>
      </c>
      <c r="O8984" t="s">
        <v>30</v>
      </c>
      <c r="P8984" t="s">
        <v>29</v>
      </c>
      <c r="Q8984" s="1">
        <v>42248.697696759256</v>
      </c>
      <c r="R8984">
        <v>7</v>
      </c>
      <c r="S8984" t="s">
        <v>31</v>
      </c>
      <c r="T8984" t="s">
        <v>1053</v>
      </c>
      <c r="U8984">
        <v>729</v>
      </c>
      <c r="V8984" s="3">
        <v>40973</v>
      </c>
    </row>
    <row r="8985" spans="1:22" x14ac:dyDescent="0.35">
      <c r="A8985" s="1">
        <v>42249.592268518521</v>
      </c>
      <c r="B8985" s="2">
        <v>6.018518518518519E-4</v>
      </c>
      <c r="C8985" t="s">
        <v>6081</v>
      </c>
      <c r="D8985" t="s">
        <v>1222</v>
      </c>
      <c r="E8985" t="s">
        <v>1223</v>
      </c>
      <c r="F8985" t="s">
        <v>6082</v>
      </c>
      <c r="G8985">
        <v>1925073</v>
      </c>
      <c r="H8985" t="s">
        <v>91</v>
      </c>
      <c r="I8985" t="s">
        <v>69</v>
      </c>
      <c r="J8985" t="str">
        <f>"9781462521128"</f>
        <v>9781462521128</v>
      </c>
      <c r="K8985" t="s">
        <v>12584</v>
      </c>
      <c r="L8985">
        <v>15</v>
      </c>
      <c r="O8985" t="s">
        <v>30</v>
      </c>
      <c r="P8985" t="s">
        <v>50</v>
      </c>
      <c r="S8985" t="s">
        <v>1226</v>
      </c>
      <c r="T8985" t="s">
        <v>6085</v>
      </c>
      <c r="U8985">
        <v>372.48</v>
      </c>
      <c r="V8985" s="3">
        <v>42178</v>
      </c>
    </row>
    <row r="8986" spans="1:22" x14ac:dyDescent="0.35">
      <c r="A8986" s="1">
        <v>42249.587754629632</v>
      </c>
      <c r="B8986" s="2">
        <v>1.0300925925925926E-3</v>
      </c>
      <c r="C8986" t="s">
        <v>12585</v>
      </c>
      <c r="D8986" t="s">
        <v>1222</v>
      </c>
      <c r="E8986" t="s">
        <v>1223</v>
      </c>
      <c r="F8986" t="s">
        <v>12586</v>
      </c>
      <c r="G8986">
        <v>1596092</v>
      </c>
      <c r="H8986" t="s">
        <v>91</v>
      </c>
      <c r="I8986" t="s">
        <v>69</v>
      </c>
      <c r="J8986" t="str">
        <f>"9781462513604"</f>
        <v>9781462513604</v>
      </c>
      <c r="K8986" t="s">
        <v>12587</v>
      </c>
      <c r="L8986">
        <v>8</v>
      </c>
      <c r="O8986" t="s">
        <v>30</v>
      </c>
      <c r="P8986" t="s">
        <v>50</v>
      </c>
      <c r="S8986" t="s">
        <v>1226</v>
      </c>
      <c r="T8986" t="s">
        <v>12588</v>
      </c>
      <c r="U8986">
        <v>372.43</v>
      </c>
      <c r="V8986" s="3">
        <v>41773</v>
      </c>
    </row>
    <row r="8987" spans="1:22" x14ac:dyDescent="0.35">
      <c r="A8987" s="1">
        <v>42249.586944444447</v>
      </c>
      <c r="B8987" s="2">
        <v>5.7870370370370366E-5</v>
      </c>
      <c r="C8987" t="s">
        <v>12585</v>
      </c>
      <c r="D8987" t="s">
        <v>1222</v>
      </c>
      <c r="E8987" t="s">
        <v>1223</v>
      </c>
      <c r="F8987" t="s">
        <v>12589</v>
      </c>
      <c r="G8987">
        <v>1991218</v>
      </c>
      <c r="H8987" t="s">
        <v>91</v>
      </c>
      <c r="I8987" t="s">
        <v>9100</v>
      </c>
      <c r="J8987" t="str">
        <f>"9781462520800"</f>
        <v>9781462520800</v>
      </c>
      <c r="K8987" t="s">
        <v>12590</v>
      </c>
      <c r="L8987">
        <v>3</v>
      </c>
      <c r="O8987" t="s">
        <v>30</v>
      </c>
      <c r="P8987" t="s">
        <v>47</v>
      </c>
      <c r="Q8987" s="1">
        <v>42249.586944444447</v>
      </c>
      <c r="R8987">
        <v>1</v>
      </c>
      <c r="S8987" t="s">
        <v>1226</v>
      </c>
      <c r="T8987" t="s">
        <v>12591</v>
      </c>
      <c r="U8987">
        <v>511.3</v>
      </c>
      <c r="V8987" s="3">
        <v>42164</v>
      </c>
    </row>
    <row r="8988" spans="1:22" x14ac:dyDescent="0.35">
      <c r="A8988" s="1">
        <v>42249.583437499998</v>
      </c>
      <c r="B8988" s="2">
        <v>3.5069444444444445E-3</v>
      </c>
      <c r="C8988" t="s">
        <v>12585</v>
      </c>
      <c r="D8988" t="s">
        <v>1222</v>
      </c>
      <c r="E8988" t="s">
        <v>1223</v>
      </c>
      <c r="F8988" t="s">
        <v>12589</v>
      </c>
      <c r="G8988">
        <v>1991218</v>
      </c>
      <c r="H8988" t="s">
        <v>91</v>
      </c>
      <c r="I8988" t="s">
        <v>9100</v>
      </c>
      <c r="J8988" t="str">
        <f>"9781462520800"</f>
        <v>9781462520800</v>
      </c>
      <c r="K8988" t="s">
        <v>12592</v>
      </c>
      <c r="L8988">
        <v>22</v>
      </c>
      <c r="O8988" t="s">
        <v>30</v>
      </c>
      <c r="P8988" t="s">
        <v>50</v>
      </c>
      <c r="S8988" t="s">
        <v>1226</v>
      </c>
      <c r="T8988" t="s">
        <v>12591</v>
      </c>
      <c r="U8988">
        <v>511.3</v>
      </c>
      <c r="V8988" s="3">
        <v>42164</v>
      </c>
    </row>
    <row r="8989" spans="1:22" x14ac:dyDescent="0.35">
      <c r="A8989" s="1">
        <v>42249.56690972222</v>
      </c>
      <c r="B8989" s="2">
        <v>2.2719907407407411E-2</v>
      </c>
      <c r="C8989" t="s">
        <v>106</v>
      </c>
      <c r="D8989" t="s">
        <v>23</v>
      </c>
      <c r="E8989" t="s">
        <v>24</v>
      </c>
      <c r="F8989" t="s">
        <v>3488</v>
      </c>
      <c r="G8989">
        <v>1294909</v>
      </c>
      <c r="H8989" t="s">
        <v>84</v>
      </c>
      <c r="I8989" t="s">
        <v>445</v>
      </c>
      <c r="J8989" t="str">
        <f>"9780520956797"</f>
        <v>9780520956797</v>
      </c>
      <c r="K8989" t="s">
        <v>12593</v>
      </c>
      <c r="L8989">
        <v>28</v>
      </c>
      <c r="O8989" t="s">
        <v>30</v>
      </c>
      <c r="P8989" t="s">
        <v>29</v>
      </c>
      <c r="Q8989" s="1">
        <v>42247.815520833334</v>
      </c>
      <c r="R8989">
        <v>7</v>
      </c>
      <c r="S8989" t="s">
        <v>31</v>
      </c>
      <c r="T8989" t="s">
        <v>3490</v>
      </c>
      <c r="U8989" t="s">
        <v>3491</v>
      </c>
      <c r="V8989" s="3">
        <v>41487</v>
      </c>
    </row>
    <row r="8990" spans="1:22" x14ac:dyDescent="0.35">
      <c r="A8990" s="1">
        <v>42249.566631944443</v>
      </c>
      <c r="B8990" s="2">
        <v>4.8958333333333328E-3</v>
      </c>
      <c r="C8990" t="s">
        <v>12594</v>
      </c>
      <c r="D8990" t="s">
        <v>23</v>
      </c>
      <c r="E8990" t="s">
        <v>24</v>
      </c>
      <c r="F8990" t="s">
        <v>12174</v>
      </c>
      <c r="G8990">
        <v>1119448</v>
      </c>
      <c r="H8990" t="s">
        <v>26</v>
      </c>
      <c r="I8990" t="s">
        <v>69</v>
      </c>
      <c r="J8990" t="str">
        <f>"9781118416167"</f>
        <v>9781118416167</v>
      </c>
      <c r="K8990" t="s">
        <v>12595</v>
      </c>
      <c r="L8990">
        <v>36</v>
      </c>
      <c r="O8990" t="s">
        <v>30</v>
      </c>
      <c r="P8990" t="s">
        <v>29</v>
      </c>
      <c r="Q8990" s="1">
        <v>42249.566631944443</v>
      </c>
      <c r="R8990">
        <v>7</v>
      </c>
      <c r="S8990" t="s">
        <v>31</v>
      </c>
      <c r="T8990" t="s">
        <v>12176</v>
      </c>
      <c r="U8990" t="s">
        <v>12177</v>
      </c>
      <c r="V8990" s="3">
        <v>41302</v>
      </c>
    </row>
    <row r="8991" spans="1:22" x14ac:dyDescent="0.35">
      <c r="A8991" s="1">
        <v>42249.559340277781</v>
      </c>
      <c r="B8991" s="2">
        <v>7.2916666666666659E-3</v>
      </c>
      <c r="C8991" t="s">
        <v>12594</v>
      </c>
      <c r="D8991" t="s">
        <v>23</v>
      </c>
      <c r="E8991" t="s">
        <v>24</v>
      </c>
      <c r="F8991" t="s">
        <v>12174</v>
      </c>
      <c r="G8991">
        <v>1119448</v>
      </c>
      <c r="H8991" t="s">
        <v>26</v>
      </c>
      <c r="I8991" t="s">
        <v>69</v>
      </c>
      <c r="J8991" t="str">
        <f>"9781118416167"</f>
        <v>9781118416167</v>
      </c>
      <c r="K8991" t="s">
        <v>1132</v>
      </c>
      <c r="L8991">
        <v>38</v>
      </c>
      <c r="O8991" t="s">
        <v>30</v>
      </c>
      <c r="P8991" t="s">
        <v>42</v>
      </c>
      <c r="S8991" t="s">
        <v>31</v>
      </c>
      <c r="T8991" t="s">
        <v>12176</v>
      </c>
      <c r="U8991" t="s">
        <v>12177</v>
      </c>
      <c r="V8991" s="3">
        <v>41302</v>
      </c>
    </row>
    <row r="8992" spans="1:22" x14ac:dyDescent="0.35">
      <c r="A8992" s="1">
        <v>42249.55736111111</v>
      </c>
      <c r="B8992" s="2">
        <v>3.4722222222222222E-5</v>
      </c>
      <c r="C8992" t="s">
        <v>106</v>
      </c>
      <c r="D8992" t="s">
        <v>23</v>
      </c>
      <c r="E8992" t="s">
        <v>24</v>
      </c>
      <c r="F8992" t="s">
        <v>4197</v>
      </c>
      <c r="G8992">
        <v>1742841</v>
      </c>
      <c r="H8992" t="s">
        <v>91</v>
      </c>
      <c r="I8992" t="s">
        <v>247</v>
      </c>
      <c r="J8992" t="str">
        <f>"9781462516445"</f>
        <v>9781462516445</v>
      </c>
      <c r="K8992" t="s">
        <v>33</v>
      </c>
      <c r="L8992">
        <v>3</v>
      </c>
      <c r="O8992" t="s">
        <v>30</v>
      </c>
      <c r="P8992" t="s">
        <v>42</v>
      </c>
      <c r="S8992" t="s">
        <v>31</v>
      </c>
      <c r="T8992" t="s">
        <v>4199</v>
      </c>
      <c r="U8992">
        <v>616.85270000000003</v>
      </c>
      <c r="V8992" s="3">
        <v>41934</v>
      </c>
    </row>
    <row r="8993" spans="1:22" x14ac:dyDescent="0.35">
      <c r="A8993" s="1">
        <v>42249.534918981481</v>
      </c>
      <c r="B8993" s="2">
        <v>3.4722222222222222E-5</v>
      </c>
      <c r="C8993" t="s">
        <v>106</v>
      </c>
      <c r="D8993" t="s">
        <v>23</v>
      </c>
      <c r="E8993" t="s">
        <v>24</v>
      </c>
      <c r="F8993" t="s">
        <v>4197</v>
      </c>
      <c r="G8993">
        <v>1742841</v>
      </c>
      <c r="H8993" t="s">
        <v>91</v>
      </c>
      <c r="I8993" t="s">
        <v>247</v>
      </c>
      <c r="J8993" t="str">
        <f>"9781462516445"</f>
        <v>9781462516445</v>
      </c>
      <c r="K8993" t="s">
        <v>33</v>
      </c>
      <c r="L8993">
        <v>3</v>
      </c>
      <c r="O8993" t="s">
        <v>30</v>
      </c>
      <c r="P8993" t="s">
        <v>42</v>
      </c>
      <c r="S8993" t="s">
        <v>31</v>
      </c>
      <c r="T8993" t="s">
        <v>4199</v>
      </c>
      <c r="U8993">
        <v>616.85270000000003</v>
      </c>
      <c r="V8993" s="3">
        <v>41934</v>
      </c>
    </row>
    <row r="8994" spans="1:22" x14ac:dyDescent="0.35">
      <c r="A8994" s="1">
        <v>42249.146805555552</v>
      </c>
      <c r="B8994" s="2">
        <v>3.4722222222222222E-5</v>
      </c>
      <c r="C8994" t="s">
        <v>4205</v>
      </c>
      <c r="D8994" t="s">
        <v>597</v>
      </c>
      <c r="E8994" t="s">
        <v>598</v>
      </c>
      <c r="F8994" t="s">
        <v>111</v>
      </c>
      <c r="G8994">
        <v>693176</v>
      </c>
      <c r="H8994" t="s">
        <v>26</v>
      </c>
      <c r="I8994" t="s">
        <v>112</v>
      </c>
      <c r="J8994" t="str">
        <f>"9781118017746"</f>
        <v>9781118017746</v>
      </c>
      <c r="K8994" t="s">
        <v>33</v>
      </c>
      <c r="L8994">
        <v>3</v>
      </c>
      <c r="O8994" t="s">
        <v>30</v>
      </c>
      <c r="P8994" t="s">
        <v>29</v>
      </c>
      <c r="Q8994" s="1">
        <v>42248.703368055554</v>
      </c>
      <c r="R8994">
        <v>7</v>
      </c>
      <c r="S8994" t="s">
        <v>600</v>
      </c>
      <c r="T8994" t="s">
        <v>114</v>
      </c>
      <c r="U8994" t="s">
        <v>115</v>
      </c>
      <c r="V8994" s="3">
        <v>40835</v>
      </c>
    </row>
    <row r="8995" spans="1:22" x14ac:dyDescent="0.35">
      <c r="A8995" s="1">
        <v>42249.101400462961</v>
      </c>
      <c r="B8995" s="2">
        <v>2.8240740740740739E-3</v>
      </c>
      <c r="C8995" t="s">
        <v>1393</v>
      </c>
      <c r="D8995" t="s">
        <v>23</v>
      </c>
      <c r="E8995" t="s">
        <v>24</v>
      </c>
      <c r="F8995" t="s">
        <v>4197</v>
      </c>
      <c r="G8995">
        <v>1742841</v>
      </c>
      <c r="H8995" t="s">
        <v>91</v>
      </c>
      <c r="I8995" t="s">
        <v>247</v>
      </c>
      <c r="J8995" t="str">
        <f>"9781462516445"</f>
        <v>9781462516445</v>
      </c>
      <c r="K8995" t="s">
        <v>12596</v>
      </c>
      <c r="L8995">
        <v>7</v>
      </c>
      <c r="M8995" t="s">
        <v>639</v>
      </c>
      <c r="N8995" t="s">
        <v>12597</v>
      </c>
      <c r="O8995" t="s">
        <v>30</v>
      </c>
      <c r="P8995" t="s">
        <v>29</v>
      </c>
      <c r="Q8995" s="1">
        <v>42249.101400462961</v>
      </c>
      <c r="R8995">
        <v>7</v>
      </c>
      <c r="S8995" t="s">
        <v>31</v>
      </c>
      <c r="T8995" t="s">
        <v>4199</v>
      </c>
      <c r="U8995">
        <v>616.85270000000003</v>
      </c>
      <c r="V8995" s="3">
        <v>41934</v>
      </c>
    </row>
    <row r="8996" spans="1:22" x14ac:dyDescent="0.35">
      <c r="A8996" s="1">
        <v>42249.100763888891</v>
      </c>
      <c r="B8996" s="2">
        <v>6.3657407407407402E-4</v>
      </c>
      <c r="C8996" t="s">
        <v>1393</v>
      </c>
      <c r="D8996" t="s">
        <v>23</v>
      </c>
      <c r="E8996" t="s">
        <v>24</v>
      </c>
      <c r="F8996" t="s">
        <v>4197</v>
      </c>
      <c r="G8996">
        <v>1742841</v>
      </c>
      <c r="H8996" t="s">
        <v>91</v>
      </c>
      <c r="I8996" t="s">
        <v>247</v>
      </c>
      <c r="J8996" t="str">
        <f>"9781462516445"</f>
        <v>9781462516445</v>
      </c>
      <c r="K8996" t="s">
        <v>12598</v>
      </c>
      <c r="L8996">
        <v>8</v>
      </c>
      <c r="O8996" t="s">
        <v>30</v>
      </c>
      <c r="P8996" t="s">
        <v>42</v>
      </c>
      <c r="S8996" t="s">
        <v>31</v>
      </c>
      <c r="T8996" t="s">
        <v>4199</v>
      </c>
      <c r="U8996">
        <v>616.85270000000003</v>
      </c>
      <c r="V8996" s="3">
        <v>41934</v>
      </c>
    </row>
    <row r="8997" spans="1:22" x14ac:dyDescent="0.35">
      <c r="A8997" s="1">
        <v>42249.063344907408</v>
      </c>
      <c r="B8997" s="2">
        <v>3.1828703703703702E-3</v>
      </c>
      <c r="C8997" t="s">
        <v>11800</v>
      </c>
      <c r="D8997" t="s">
        <v>23</v>
      </c>
      <c r="E8997" t="s">
        <v>24</v>
      </c>
      <c r="F8997" t="s">
        <v>3488</v>
      </c>
      <c r="G8997">
        <v>1294909</v>
      </c>
      <c r="H8997" t="s">
        <v>84</v>
      </c>
      <c r="I8997" t="s">
        <v>445</v>
      </c>
      <c r="J8997" t="str">
        <f>"9780520956797"</f>
        <v>9780520956797</v>
      </c>
      <c r="K8997" t="s">
        <v>278</v>
      </c>
      <c r="L8997">
        <v>21</v>
      </c>
      <c r="O8997" t="s">
        <v>30</v>
      </c>
      <c r="P8997" t="s">
        <v>42</v>
      </c>
      <c r="S8997" t="s">
        <v>31</v>
      </c>
      <c r="T8997" t="s">
        <v>3490</v>
      </c>
      <c r="U8997" t="s">
        <v>3491</v>
      </c>
      <c r="V8997" s="3">
        <v>41487</v>
      </c>
    </row>
    <row r="8998" spans="1:22" x14ac:dyDescent="0.35">
      <c r="A8998" s="1">
        <v>42249.041562500002</v>
      </c>
      <c r="B8998" s="2">
        <v>3.1770833333333331E-2</v>
      </c>
      <c r="C8998" t="s">
        <v>11646</v>
      </c>
      <c r="D8998" t="s">
        <v>23</v>
      </c>
      <c r="E8998" t="s">
        <v>24</v>
      </c>
      <c r="F8998" t="s">
        <v>3488</v>
      </c>
      <c r="G8998">
        <v>1294909</v>
      </c>
      <c r="H8998" t="s">
        <v>84</v>
      </c>
      <c r="I8998" t="s">
        <v>445</v>
      </c>
      <c r="J8998" t="str">
        <f>"9780520956797"</f>
        <v>9780520956797</v>
      </c>
      <c r="K8998" t="s">
        <v>12599</v>
      </c>
      <c r="L8998">
        <v>16</v>
      </c>
      <c r="O8998" t="s">
        <v>30</v>
      </c>
      <c r="P8998" t="s">
        <v>29</v>
      </c>
      <c r="Q8998" s="1">
        <v>42248.816157407404</v>
      </c>
      <c r="R8998">
        <v>7</v>
      </c>
      <c r="S8998" t="s">
        <v>31</v>
      </c>
      <c r="T8998" t="s">
        <v>3490</v>
      </c>
      <c r="U8998" t="s">
        <v>3491</v>
      </c>
      <c r="V8998" s="3">
        <v>41487</v>
      </c>
    </row>
    <row r="8999" spans="1:22" x14ac:dyDescent="0.35">
      <c r="A8999" s="1">
        <v>42249.032812500001</v>
      </c>
      <c r="B8999" s="2">
        <v>0</v>
      </c>
      <c r="C8999" t="s">
        <v>12600</v>
      </c>
      <c r="D8999" t="s">
        <v>23</v>
      </c>
      <c r="E8999" t="s">
        <v>24</v>
      </c>
      <c r="F8999" t="s">
        <v>12601</v>
      </c>
      <c r="G8999">
        <v>1711055</v>
      </c>
      <c r="H8999" t="s">
        <v>84</v>
      </c>
      <c r="I8999" t="s">
        <v>426</v>
      </c>
      <c r="J8999" t="str">
        <f>"9780520959491"</f>
        <v>9780520959491</v>
      </c>
      <c r="L8999">
        <v>0</v>
      </c>
      <c r="N8999" t="s">
        <v>12602</v>
      </c>
      <c r="O8999" t="s">
        <v>30</v>
      </c>
      <c r="P8999" t="s">
        <v>47</v>
      </c>
      <c r="Q8999" s="1">
        <v>42249.032812500001</v>
      </c>
      <c r="R8999">
        <v>1</v>
      </c>
      <c r="S8999" t="s">
        <v>31</v>
      </c>
      <c r="T8999" t="s">
        <v>12603</v>
      </c>
      <c r="U8999">
        <v>270</v>
      </c>
      <c r="V8999" s="3">
        <v>42041</v>
      </c>
    </row>
    <row r="9000" spans="1:22" x14ac:dyDescent="0.35">
      <c r="A9000" s="1">
        <v>42249.032199074078</v>
      </c>
      <c r="B9000" s="2">
        <v>6.134259259259259E-4</v>
      </c>
      <c r="C9000" t="s">
        <v>12600</v>
      </c>
      <c r="D9000" t="s">
        <v>23</v>
      </c>
      <c r="E9000" t="s">
        <v>24</v>
      </c>
      <c r="F9000" t="s">
        <v>12601</v>
      </c>
      <c r="G9000">
        <v>1711055</v>
      </c>
      <c r="H9000" t="s">
        <v>84</v>
      </c>
      <c r="I9000" t="s">
        <v>426</v>
      </c>
      <c r="J9000" t="str">
        <f>"9780520959491"</f>
        <v>9780520959491</v>
      </c>
      <c r="K9000" t="s">
        <v>12604</v>
      </c>
      <c r="L9000">
        <v>11</v>
      </c>
      <c r="O9000" t="s">
        <v>30</v>
      </c>
      <c r="P9000" t="s">
        <v>50</v>
      </c>
      <c r="S9000" t="s">
        <v>31</v>
      </c>
      <c r="T9000" t="s">
        <v>12603</v>
      </c>
      <c r="U9000">
        <v>270</v>
      </c>
      <c r="V9000" s="3">
        <v>42041</v>
      </c>
    </row>
    <row r="9001" spans="1:22" x14ac:dyDescent="0.35">
      <c r="A9001" s="1">
        <v>42249.01730324074</v>
      </c>
      <c r="B9001" s="2">
        <v>8.7962962962962962E-4</v>
      </c>
      <c r="C9001" t="s">
        <v>9950</v>
      </c>
      <c r="D9001" t="s">
        <v>23</v>
      </c>
      <c r="E9001" t="s">
        <v>24</v>
      </c>
      <c r="F9001" t="s">
        <v>3488</v>
      </c>
      <c r="G9001">
        <v>1294909</v>
      </c>
      <c r="H9001" t="s">
        <v>84</v>
      </c>
      <c r="I9001" t="s">
        <v>445</v>
      </c>
      <c r="J9001" t="str">
        <f>"9780520956797"</f>
        <v>9780520956797</v>
      </c>
      <c r="K9001" t="s">
        <v>12605</v>
      </c>
      <c r="L9001">
        <v>15</v>
      </c>
      <c r="O9001" t="s">
        <v>30</v>
      </c>
      <c r="P9001" t="s">
        <v>42</v>
      </c>
      <c r="S9001" t="s">
        <v>31</v>
      </c>
      <c r="T9001" t="s">
        <v>3490</v>
      </c>
      <c r="U9001" t="s">
        <v>3491</v>
      </c>
      <c r="V9001" s="3">
        <v>41487</v>
      </c>
    </row>
    <row r="9002" spans="1:22" x14ac:dyDescent="0.35">
      <c r="A9002" s="1">
        <v>42249.017002314817</v>
      </c>
      <c r="B9002" s="2">
        <v>4.6296296296296294E-5</v>
      </c>
      <c r="C9002" t="s">
        <v>9950</v>
      </c>
      <c r="D9002" t="s">
        <v>23</v>
      </c>
      <c r="E9002" t="s">
        <v>24</v>
      </c>
      <c r="F9002" t="s">
        <v>3488</v>
      </c>
      <c r="G9002">
        <v>1294909</v>
      </c>
      <c r="H9002" t="s">
        <v>84</v>
      </c>
      <c r="I9002" t="s">
        <v>445</v>
      </c>
      <c r="J9002" t="str">
        <f>"9780520956797"</f>
        <v>9780520956797</v>
      </c>
      <c r="K9002" t="s">
        <v>33</v>
      </c>
      <c r="L9002">
        <v>3</v>
      </c>
      <c r="O9002" t="s">
        <v>30</v>
      </c>
      <c r="P9002" t="s">
        <v>42</v>
      </c>
      <c r="S9002" t="s">
        <v>31</v>
      </c>
      <c r="T9002" t="s">
        <v>3490</v>
      </c>
      <c r="U9002" t="s">
        <v>3491</v>
      </c>
      <c r="V9002" s="3">
        <v>41487</v>
      </c>
    </row>
    <row r="9003" spans="1:22" x14ac:dyDescent="0.35">
      <c r="A9003" s="1">
        <v>42249.01357638889</v>
      </c>
      <c r="B9003" s="2">
        <v>1.1574074074074073E-5</v>
      </c>
      <c r="C9003" t="s">
        <v>8888</v>
      </c>
      <c r="D9003" t="s">
        <v>23</v>
      </c>
      <c r="E9003" t="s">
        <v>24</v>
      </c>
      <c r="F9003" t="s">
        <v>8714</v>
      </c>
      <c r="G9003">
        <v>817347</v>
      </c>
      <c r="H9003" t="s">
        <v>26</v>
      </c>
      <c r="I9003" t="s">
        <v>69</v>
      </c>
      <c r="J9003" t="str">
        <f>"9781118132241"</f>
        <v>9781118132241</v>
      </c>
      <c r="K9003" t="s">
        <v>12606</v>
      </c>
      <c r="L9003">
        <v>2</v>
      </c>
      <c r="O9003" t="s">
        <v>30</v>
      </c>
      <c r="P9003" t="s">
        <v>29</v>
      </c>
      <c r="Q9003" s="1">
        <v>42249.01357638889</v>
      </c>
      <c r="R9003">
        <v>7</v>
      </c>
      <c r="S9003" t="s">
        <v>31</v>
      </c>
      <c r="T9003" t="s">
        <v>8716</v>
      </c>
      <c r="U9003">
        <v>371.20097299999998</v>
      </c>
      <c r="V9003" s="3">
        <v>40837</v>
      </c>
    </row>
    <row r="9004" spans="1:22" x14ac:dyDescent="0.35">
      <c r="A9004" s="1">
        <v>42249.008275462962</v>
      </c>
      <c r="B9004" s="2">
        <v>2.5462962962962961E-4</v>
      </c>
      <c r="C9004" t="s">
        <v>11646</v>
      </c>
      <c r="D9004" t="s">
        <v>23</v>
      </c>
      <c r="E9004" t="s">
        <v>24</v>
      </c>
      <c r="F9004" t="s">
        <v>3488</v>
      </c>
      <c r="G9004">
        <v>1294909</v>
      </c>
      <c r="H9004" t="s">
        <v>84</v>
      </c>
      <c r="I9004" t="s">
        <v>445</v>
      </c>
      <c r="J9004" t="str">
        <f>"9780520956797"</f>
        <v>9780520956797</v>
      </c>
      <c r="K9004" t="s">
        <v>12607</v>
      </c>
      <c r="L9004">
        <v>4</v>
      </c>
      <c r="O9004" t="s">
        <v>30</v>
      </c>
      <c r="P9004" t="s">
        <v>29</v>
      </c>
      <c r="Q9004" s="1">
        <v>42248.816157407404</v>
      </c>
      <c r="R9004">
        <v>7</v>
      </c>
      <c r="S9004" t="s">
        <v>31</v>
      </c>
      <c r="T9004" t="s">
        <v>3490</v>
      </c>
      <c r="U9004" t="s">
        <v>3491</v>
      </c>
      <c r="V9004" s="3">
        <v>41487</v>
      </c>
    </row>
    <row r="9005" spans="1:22" x14ac:dyDescent="0.35">
      <c r="A9005" s="1">
        <v>42248.991249999999</v>
      </c>
      <c r="B9005" s="2">
        <v>2.2326388888888885E-2</v>
      </c>
      <c r="C9005" t="s">
        <v>8888</v>
      </c>
      <c r="D9005" t="s">
        <v>23</v>
      </c>
      <c r="E9005" t="s">
        <v>24</v>
      </c>
      <c r="F9005" t="s">
        <v>8714</v>
      </c>
      <c r="G9005">
        <v>817347</v>
      </c>
      <c r="H9005" t="s">
        <v>26</v>
      </c>
      <c r="I9005" t="s">
        <v>69</v>
      </c>
      <c r="J9005" t="str">
        <f>"9781118132241"</f>
        <v>9781118132241</v>
      </c>
      <c r="K9005" t="s">
        <v>8889</v>
      </c>
      <c r="L9005">
        <v>63</v>
      </c>
      <c r="O9005" t="s">
        <v>30</v>
      </c>
      <c r="P9005" t="s">
        <v>42</v>
      </c>
      <c r="S9005" t="s">
        <v>31</v>
      </c>
      <c r="T9005" t="s">
        <v>8716</v>
      </c>
      <c r="U9005">
        <v>371.20097299999998</v>
      </c>
      <c r="V9005" s="3">
        <v>40837</v>
      </c>
    </row>
    <row r="9006" spans="1:22" x14ac:dyDescent="0.35">
      <c r="A9006" s="1">
        <v>42248.946238425924</v>
      </c>
      <c r="B9006" s="2">
        <v>4.0509259259259257E-3</v>
      </c>
      <c r="C9006" t="s">
        <v>12608</v>
      </c>
      <c r="D9006" t="s">
        <v>1222</v>
      </c>
      <c r="E9006" t="s">
        <v>1223</v>
      </c>
      <c r="F9006" t="s">
        <v>11820</v>
      </c>
      <c r="G9006">
        <v>1024333</v>
      </c>
      <c r="H9006" t="s">
        <v>91</v>
      </c>
      <c r="I9006" t="s">
        <v>69</v>
      </c>
      <c r="J9006" t="str">
        <f>"9781462506439"</f>
        <v>9781462506439</v>
      </c>
      <c r="K9006" t="s">
        <v>12609</v>
      </c>
      <c r="L9006">
        <v>32</v>
      </c>
      <c r="O9006" t="s">
        <v>30</v>
      </c>
      <c r="P9006" t="s">
        <v>42</v>
      </c>
      <c r="S9006" t="s">
        <v>1226</v>
      </c>
      <c r="T9006" t="s">
        <v>11823</v>
      </c>
      <c r="U9006">
        <v>372.41</v>
      </c>
      <c r="V9006" s="3">
        <v>41773</v>
      </c>
    </row>
    <row r="9007" spans="1:22" x14ac:dyDescent="0.35">
      <c r="A9007" s="1">
        <v>42248.940821759257</v>
      </c>
      <c r="B9007" s="2">
        <v>3.5648148148148154E-3</v>
      </c>
      <c r="C9007" t="s">
        <v>12610</v>
      </c>
      <c r="D9007" t="s">
        <v>261</v>
      </c>
      <c r="E9007" t="s">
        <v>262</v>
      </c>
      <c r="F9007" t="s">
        <v>10815</v>
      </c>
      <c r="G9007">
        <v>1873196</v>
      </c>
      <c r="H9007" t="s">
        <v>84</v>
      </c>
      <c r="I9007" t="s">
        <v>172</v>
      </c>
      <c r="J9007" t="str">
        <f>"9780520962026"</f>
        <v>9780520962026</v>
      </c>
      <c r="K9007" t="s">
        <v>12611</v>
      </c>
      <c r="L9007">
        <v>11</v>
      </c>
      <c r="O9007" t="s">
        <v>30</v>
      </c>
      <c r="P9007" t="s">
        <v>42</v>
      </c>
      <c r="S9007" t="s">
        <v>264</v>
      </c>
      <c r="T9007" t="s">
        <v>10816</v>
      </c>
      <c r="U9007">
        <v>940.5318092</v>
      </c>
      <c r="V9007" s="3">
        <v>41961</v>
      </c>
    </row>
    <row r="9008" spans="1:22" x14ac:dyDescent="0.35">
      <c r="A9008" s="1">
        <v>42248.940717592595</v>
      </c>
      <c r="B9008" s="2">
        <v>1.9328703703703704E-3</v>
      </c>
      <c r="C9008" t="s">
        <v>12612</v>
      </c>
      <c r="D9008" t="s">
        <v>623</v>
      </c>
      <c r="E9008" t="s">
        <v>624</v>
      </c>
      <c r="F9008" t="s">
        <v>3939</v>
      </c>
      <c r="G9008">
        <v>1132027</v>
      </c>
      <c r="H9008" t="s">
        <v>84</v>
      </c>
      <c r="I9008" t="s">
        <v>172</v>
      </c>
      <c r="J9008" t="str">
        <f>"9780520954694"</f>
        <v>9780520954694</v>
      </c>
      <c r="K9008" t="s">
        <v>12613</v>
      </c>
      <c r="L9008">
        <v>57</v>
      </c>
      <c r="O9008" t="s">
        <v>30</v>
      </c>
      <c r="P9008" t="s">
        <v>29</v>
      </c>
      <c r="Q9008" s="1">
        <v>42248.940717592595</v>
      </c>
      <c r="R9008">
        <v>7</v>
      </c>
      <c r="S9008" t="s">
        <v>627</v>
      </c>
      <c r="T9008" t="s">
        <v>3940</v>
      </c>
      <c r="U9008">
        <v>938.07</v>
      </c>
      <c r="V9008" s="3">
        <v>41282</v>
      </c>
    </row>
    <row r="9009" spans="1:22" x14ac:dyDescent="0.35">
      <c r="A9009" s="1">
        <v>42248.936400462961</v>
      </c>
      <c r="B9009" s="2">
        <v>4.31712962962963E-3</v>
      </c>
      <c r="C9009" t="s">
        <v>12612</v>
      </c>
      <c r="D9009" t="s">
        <v>623</v>
      </c>
      <c r="E9009" t="s">
        <v>624</v>
      </c>
      <c r="F9009" t="s">
        <v>3939</v>
      </c>
      <c r="G9009">
        <v>1132027</v>
      </c>
      <c r="H9009" t="s">
        <v>84</v>
      </c>
      <c r="I9009" t="s">
        <v>172</v>
      </c>
      <c r="J9009" t="str">
        <f>"9780520954694"</f>
        <v>9780520954694</v>
      </c>
      <c r="K9009" t="s">
        <v>12614</v>
      </c>
      <c r="L9009">
        <v>7</v>
      </c>
      <c r="O9009" t="s">
        <v>30</v>
      </c>
      <c r="P9009" t="s">
        <v>50</v>
      </c>
      <c r="S9009" t="s">
        <v>627</v>
      </c>
      <c r="T9009" t="s">
        <v>3940</v>
      </c>
      <c r="U9009">
        <v>938.07</v>
      </c>
      <c r="V9009" s="3">
        <v>41282</v>
      </c>
    </row>
    <row r="9010" spans="1:22" x14ac:dyDescent="0.35">
      <c r="A9010" s="1">
        <v>42248.927349537036</v>
      </c>
      <c r="B9010" s="2">
        <v>0</v>
      </c>
      <c r="C9010" t="s">
        <v>12615</v>
      </c>
      <c r="D9010" t="s">
        <v>23</v>
      </c>
      <c r="E9010" t="s">
        <v>24</v>
      </c>
      <c r="F9010" t="s">
        <v>1571</v>
      </c>
      <c r="G9010">
        <v>1707328</v>
      </c>
      <c r="H9010" t="s">
        <v>84</v>
      </c>
      <c r="I9010" t="s">
        <v>150</v>
      </c>
      <c r="J9010" t="str">
        <f>"9780520958876"</f>
        <v>9780520958876</v>
      </c>
      <c r="L9010">
        <v>0</v>
      </c>
      <c r="M9010" t="s">
        <v>12616</v>
      </c>
      <c r="N9010" t="s">
        <v>12357</v>
      </c>
      <c r="O9010" t="s">
        <v>30</v>
      </c>
      <c r="P9010" t="s">
        <v>47</v>
      </c>
      <c r="Q9010" s="1">
        <v>42248.927349537036</v>
      </c>
      <c r="R9010">
        <v>1</v>
      </c>
      <c r="S9010" t="s">
        <v>31</v>
      </c>
      <c r="T9010" t="s">
        <v>1573</v>
      </c>
      <c r="U9010">
        <v>780.90329999999994</v>
      </c>
      <c r="V9010" s="3">
        <v>41797</v>
      </c>
    </row>
    <row r="9011" spans="1:22" x14ac:dyDescent="0.35">
      <c r="A9011" s="1">
        <v>42248.926874999997</v>
      </c>
      <c r="B9011" s="2">
        <v>4.7453703703703704E-4</v>
      </c>
      <c r="C9011" t="s">
        <v>12615</v>
      </c>
      <c r="D9011" t="s">
        <v>23</v>
      </c>
      <c r="E9011" t="s">
        <v>24</v>
      </c>
      <c r="F9011" t="s">
        <v>1571</v>
      </c>
      <c r="G9011">
        <v>1707328</v>
      </c>
      <c r="H9011" t="s">
        <v>84</v>
      </c>
      <c r="I9011" t="s">
        <v>150</v>
      </c>
      <c r="J9011" t="str">
        <f>"9780520958876"</f>
        <v>9780520958876</v>
      </c>
      <c r="K9011" t="s">
        <v>12617</v>
      </c>
      <c r="L9011">
        <v>9</v>
      </c>
      <c r="O9011" t="s">
        <v>30</v>
      </c>
      <c r="P9011" t="s">
        <v>50</v>
      </c>
      <c r="S9011" t="s">
        <v>31</v>
      </c>
      <c r="T9011" t="s">
        <v>1573</v>
      </c>
      <c r="U9011">
        <v>780.90329999999994</v>
      </c>
      <c r="V9011" s="3">
        <v>41797</v>
      </c>
    </row>
    <row r="9012" spans="1:22" x14ac:dyDescent="0.35">
      <c r="A9012" s="1">
        <v>42248.891574074078</v>
      </c>
      <c r="B9012" s="2">
        <v>3.4722222222222222E-5</v>
      </c>
      <c r="C9012" t="s">
        <v>3670</v>
      </c>
      <c r="D9012" t="s">
        <v>35</v>
      </c>
      <c r="E9012" t="s">
        <v>36</v>
      </c>
      <c r="F9012" t="s">
        <v>37</v>
      </c>
      <c r="G9012">
        <v>1684620</v>
      </c>
      <c r="H9012" t="s">
        <v>26</v>
      </c>
      <c r="I9012" t="s">
        <v>38</v>
      </c>
      <c r="J9012" t="str">
        <f>"9781118418925"</f>
        <v>9781118418925</v>
      </c>
      <c r="K9012" t="s">
        <v>33</v>
      </c>
      <c r="L9012">
        <v>3</v>
      </c>
      <c r="O9012" t="s">
        <v>30</v>
      </c>
      <c r="P9012" t="s">
        <v>42</v>
      </c>
      <c r="S9012" t="s">
        <v>40</v>
      </c>
      <c r="T9012" t="s">
        <v>41</v>
      </c>
      <c r="U9012">
        <v>362.10680000000002</v>
      </c>
      <c r="V9012" s="3">
        <v>41759</v>
      </c>
    </row>
    <row r="9013" spans="1:22" x14ac:dyDescent="0.35">
      <c r="A9013" s="1">
        <v>42248.886365740742</v>
      </c>
      <c r="B9013" s="2">
        <v>7.7546296296296304E-4</v>
      </c>
      <c r="C9013" t="s">
        <v>4728</v>
      </c>
      <c r="D9013" t="s">
        <v>623</v>
      </c>
      <c r="E9013" t="s">
        <v>624</v>
      </c>
      <c r="F9013" t="s">
        <v>4494</v>
      </c>
      <c r="G9013">
        <v>565082</v>
      </c>
      <c r="H9013" t="s">
        <v>26</v>
      </c>
      <c r="I9013" t="s">
        <v>69</v>
      </c>
      <c r="J9013" t="str">
        <f>"9781118041567"</f>
        <v>9781118041567</v>
      </c>
      <c r="K9013" t="s">
        <v>12618</v>
      </c>
      <c r="L9013">
        <v>13</v>
      </c>
      <c r="O9013" t="s">
        <v>30</v>
      </c>
      <c r="P9013" t="s">
        <v>29</v>
      </c>
      <c r="Q9013" s="1">
        <v>42248.53875</v>
      </c>
      <c r="R9013">
        <v>7</v>
      </c>
      <c r="S9013" t="s">
        <v>627</v>
      </c>
      <c r="T9013" t="s">
        <v>4496</v>
      </c>
      <c r="U9013" t="s">
        <v>4497</v>
      </c>
      <c r="V9013" s="3">
        <v>40337</v>
      </c>
    </row>
    <row r="9014" spans="1:22" x14ac:dyDescent="0.35">
      <c r="A9014" s="1">
        <v>42248.86990740741</v>
      </c>
      <c r="B9014" s="2">
        <v>0</v>
      </c>
      <c r="C9014" t="s">
        <v>106</v>
      </c>
      <c r="D9014" t="s">
        <v>23</v>
      </c>
      <c r="E9014" t="s">
        <v>24</v>
      </c>
      <c r="F9014" t="s">
        <v>3488</v>
      </c>
      <c r="G9014">
        <v>1294909</v>
      </c>
      <c r="H9014" t="s">
        <v>84</v>
      </c>
      <c r="I9014" t="s">
        <v>445</v>
      </c>
      <c r="J9014" t="str">
        <f t="shared" ref="J9014:J9019" si="69">"9780520956797"</f>
        <v>9780520956797</v>
      </c>
      <c r="L9014">
        <v>0</v>
      </c>
      <c r="O9014" t="s">
        <v>28</v>
      </c>
      <c r="P9014" t="s">
        <v>29</v>
      </c>
      <c r="Q9014" s="1">
        <v>42247.815520833334</v>
      </c>
      <c r="R9014">
        <v>7</v>
      </c>
      <c r="S9014" t="s">
        <v>31</v>
      </c>
      <c r="T9014" t="s">
        <v>3490</v>
      </c>
      <c r="U9014" t="s">
        <v>3491</v>
      </c>
      <c r="V9014" s="3">
        <v>41487</v>
      </c>
    </row>
    <row r="9015" spans="1:22" x14ac:dyDescent="0.35">
      <c r="A9015" s="1">
        <v>42248.865879629629</v>
      </c>
      <c r="B9015" s="2">
        <v>3.8425925925925923E-3</v>
      </c>
      <c r="C9015" t="s">
        <v>106</v>
      </c>
      <c r="D9015" t="s">
        <v>23</v>
      </c>
      <c r="E9015" t="s">
        <v>24</v>
      </c>
      <c r="F9015" t="s">
        <v>3488</v>
      </c>
      <c r="G9015">
        <v>1294909</v>
      </c>
      <c r="H9015" t="s">
        <v>84</v>
      </c>
      <c r="I9015" t="s">
        <v>445</v>
      </c>
      <c r="J9015" t="str">
        <f t="shared" si="69"/>
        <v>9780520956797</v>
      </c>
      <c r="K9015" t="s">
        <v>12619</v>
      </c>
      <c r="L9015">
        <v>9</v>
      </c>
      <c r="O9015" t="s">
        <v>28</v>
      </c>
      <c r="P9015" t="s">
        <v>29</v>
      </c>
      <c r="Q9015" s="1">
        <v>42247.815520833334</v>
      </c>
      <c r="R9015">
        <v>7</v>
      </c>
      <c r="S9015" t="s">
        <v>31</v>
      </c>
      <c r="T9015" t="s">
        <v>3490</v>
      </c>
      <c r="U9015" t="s">
        <v>3491</v>
      </c>
      <c r="V9015" s="3">
        <v>41487</v>
      </c>
    </row>
    <row r="9016" spans="1:22" x14ac:dyDescent="0.35">
      <c r="A9016" s="1">
        <v>42248.865787037037</v>
      </c>
      <c r="B9016" s="2">
        <v>4.6296296296296294E-5</v>
      </c>
      <c r="C9016" t="s">
        <v>106</v>
      </c>
      <c r="D9016" t="s">
        <v>23</v>
      </c>
      <c r="E9016" t="s">
        <v>24</v>
      </c>
      <c r="F9016" t="s">
        <v>3488</v>
      </c>
      <c r="G9016">
        <v>1294909</v>
      </c>
      <c r="H9016" t="s">
        <v>84</v>
      </c>
      <c r="I9016" t="s">
        <v>445</v>
      </c>
      <c r="J9016" t="str">
        <f t="shared" si="69"/>
        <v>9780520956797</v>
      </c>
      <c r="K9016" t="s">
        <v>33</v>
      </c>
      <c r="L9016">
        <v>3</v>
      </c>
      <c r="O9016" t="s">
        <v>30</v>
      </c>
      <c r="P9016" t="s">
        <v>29</v>
      </c>
      <c r="Q9016" s="1">
        <v>42247.815520833334</v>
      </c>
      <c r="R9016">
        <v>7</v>
      </c>
      <c r="S9016" t="s">
        <v>31</v>
      </c>
      <c r="T9016" t="s">
        <v>3490</v>
      </c>
      <c r="U9016" t="s">
        <v>3491</v>
      </c>
      <c r="V9016" s="3">
        <v>41487</v>
      </c>
    </row>
    <row r="9017" spans="1:22" x14ac:dyDescent="0.35">
      <c r="A9017" s="1">
        <v>42248.862337962964</v>
      </c>
      <c r="B9017" s="2">
        <v>0</v>
      </c>
      <c r="C9017" t="s">
        <v>106</v>
      </c>
      <c r="D9017" t="s">
        <v>23</v>
      </c>
      <c r="E9017" t="s">
        <v>24</v>
      </c>
      <c r="F9017" t="s">
        <v>3488</v>
      </c>
      <c r="G9017">
        <v>1294909</v>
      </c>
      <c r="H9017" t="s">
        <v>84</v>
      </c>
      <c r="I9017" t="s">
        <v>445</v>
      </c>
      <c r="J9017" t="str">
        <f t="shared" si="69"/>
        <v>9780520956797</v>
      </c>
      <c r="L9017">
        <v>0</v>
      </c>
      <c r="O9017" t="s">
        <v>28</v>
      </c>
      <c r="P9017" t="s">
        <v>29</v>
      </c>
      <c r="Q9017" s="1">
        <v>42247.815520833334</v>
      </c>
      <c r="R9017">
        <v>7</v>
      </c>
      <c r="S9017" t="s">
        <v>31</v>
      </c>
      <c r="T9017" t="s">
        <v>3490</v>
      </c>
      <c r="U9017" t="s">
        <v>3491</v>
      </c>
      <c r="V9017" s="3">
        <v>41487</v>
      </c>
    </row>
    <row r="9018" spans="1:22" x14ac:dyDescent="0.35">
      <c r="A9018" s="1">
        <v>42248.86178240741</v>
      </c>
      <c r="B9018" s="2">
        <v>4.2824074074074075E-4</v>
      </c>
      <c r="C9018" t="s">
        <v>106</v>
      </c>
      <c r="D9018" t="s">
        <v>23</v>
      </c>
      <c r="E9018" t="s">
        <v>24</v>
      </c>
      <c r="F9018" t="s">
        <v>3488</v>
      </c>
      <c r="G9018">
        <v>1294909</v>
      </c>
      <c r="H9018" t="s">
        <v>84</v>
      </c>
      <c r="I9018" t="s">
        <v>445</v>
      </c>
      <c r="J9018" t="str">
        <f t="shared" si="69"/>
        <v>9780520956797</v>
      </c>
      <c r="K9018" t="s">
        <v>12620</v>
      </c>
      <c r="L9018">
        <v>2</v>
      </c>
      <c r="O9018" t="s">
        <v>28</v>
      </c>
      <c r="P9018" t="s">
        <v>29</v>
      </c>
      <c r="Q9018" s="1">
        <v>42247.815520833334</v>
      </c>
      <c r="R9018">
        <v>7</v>
      </c>
      <c r="S9018" t="s">
        <v>31</v>
      </c>
      <c r="T9018" t="s">
        <v>3490</v>
      </c>
      <c r="U9018" t="s">
        <v>3491</v>
      </c>
      <c r="V9018" s="3">
        <v>41487</v>
      </c>
    </row>
    <row r="9019" spans="1:22" x14ac:dyDescent="0.35">
      <c r="A9019" s="1">
        <v>42248.861504629633</v>
      </c>
      <c r="B9019" s="2">
        <v>6.9444444444444444E-5</v>
      </c>
      <c r="C9019" t="s">
        <v>106</v>
      </c>
      <c r="D9019" t="s">
        <v>23</v>
      </c>
      <c r="E9019" t="s">
        <v>24</v>
      </c>
      <c r="F9019" t="s">
        <v>3488</v>
      </c>
      <c r="G9019">
        <v>1294909</v>
      </c>
      <c r="H9019" t="s">
        <v>84</v>
      </c>
      <c r="I9019" t="s">
        <v>445</v>
      </c>
      <c r="J9019" t="str">
        <f t="shared" si="69"/>
        <v>9780520956797</v>
      </c>
      <c r="K9019" t="s">
        <v>33</v>
      </c>
      <c r="L9019">
        <v>3</v>
      </c>
      <c r="O9019" t="s">
        <v>30</v>
      </c>
      <c r="P9019" t="s">
        <v>29</v>
      </c>
      <c r="Q9019" s="1">
        <v>42247.815520833334</v>
      </c>
      <c r="R9019">
        <v>7</v>
      </c>
      <c r="S9019" t="s">
        <v>31</v>
      </c>
      <c r="T9019" t="s">
        <v>3490</v>
      </c>
      <c r="U9019" t="s">
        <v>3491</v>
      </c>
      <c r="V9019" s="3">
        <v>41487</v>
      </c>
    </row>
    <row r="9020" spans="1:22" x14ac:dyDescent="0.35">
      <c r="A9020" s="1">
        <v>42248.820636574077</v>
      </c>
      <c r="B9020" s="2">
        <v>2.9120370370370366E-2</v>
      </c>
      <c r="C9020" t="s">
        <v>4205</v>
      </c>
      <c r="D9020" t="s">
        <v>597</v>
      </c>
      <c r="E9020" t="s">
        <v>598</v>
      </c>
      <c r="F9020" t="s">
        <v>111</v>
      </c>
      <c r="G9020">
        <v>693176</v>
      </c>
      <c r="H9020" t="s">
        <v>26</v>
      </c>
      <c r="I9020" t="s">
        <v>112</v>
      </c>
      <c r="J9020" t="str">
        <f>"9781118017746"</f>
        <v>9781118017746</v>
      </c>
      <c r="K9020" t="s">
        <v>12621</v>
      </c>
      <c r="L9020">
        <v>16</v>
      </c>
      <c r="O9020" t="s">
        <v>30</v>
      </c>
      <c r="P9020" t="s">
        <v>29</v>
      </c>
      <c r="Q9020" s="1">
        <v>42248.703368055554</v>
      </c>
      <c r="R9020">
        <v>7</v>
      </c>
      <c r="S9020" t="s">
        <v>600</v>
      </c>
      <c r="T9020" t="s">
        <v>114</v>
      </c>
      <c r="U9020" t="s">
        <v>115</v>
      </c>
      <c r="V9020" s="3">
        <v>40835</v>
      </c>
    </row>
    <row r="9021" spans="1:22" x14ac:dyDescent="0.35">
      <c r="A9021" s="1">
        <v>42248.816284722219</v>
      </c>
      <c r="B9021" s="2">
        <v>0</v>
      </c>
      <c r="C9021" t="s">
        <v>11646</v>
      </c>
      <c r="D9021" t="s">
        <v>23</v>
      </c>
      <c r="E9021" t="s">
        <v>24</v>
      </c>
      <c r="F9021" t="s">
        <v>3488</v>
      </c>
      <c r="G9021">
        <v>1294909</v>
      </c>
      <c r="H9021" t="s">
        <v>84</v>
      </c>
      <c r="I9021" t="s">
        <v>445</v>
      </c>
      <c r="J9021" t="str">
        <f>"9780520956797"</f>
        <v>9780520956797</v>
      </c>
      <c r="L9021">
        <v>0</v>
      </c>
      <c r="O9021" t="s">
        <v>28</v>
      </c>
      <c r="P9021" t="s">
        <v>29</v>
      </c>
      <c r="Q9021" s="1">
        <v>42248.816157407404</v>
      </c>
      <c r="R9021">
        <v>7</v>
      </c>
      <c r="S9021" t="s">
        <v>31</v>
      </c>
      <c r="T9021" t="s">
        <v>3490</v>
      </c>
      <c r="U9021" t="s">
        <v>3491</v>
      </c>
      <c r="V9021" s="3">
        <v>41487</v>
      </c>
    </row>
    <row r="9022" spans="1:22" x14ac:dyDescent="0.35">
      <c r="A9022" s="1">
        <v>42248.816157407404</v>
      </c>
      <c r="B9022" s="2">
        <v>8.1018518518518516E-5</v>
      </c>
      <c r="C9022" t="s">
        <v>11646</v>
      </c>
      <c r="D9022" t="s">
        <v>23</v>
      </c>
      <c r="E9022" t="s">
        <v>24</v>
      </c>
      <c r="F9022" t="s">
        <v>3488</v>
      </c>
      <c r="G9022">
        <v>1294909</v>
      </c>
      <c r="H9022" t="s">
        <v>84</v>
      </c>
      <c r="I9022" t="s">
        <v>445</v>
      </c>
      <c r="J9022" t="str">
        <f>"9780520956797"</f>
        <v>9780520956797</v>
      </c>
      <c r="K9022" t="s">
        <v>12622</v>
      </c>
      <c r="L9022">
        <v>3</v>
      </c>
      <c r="O9022" t="s">
        <v>28</v>
      </c>
      <c r="P9022" t="s">
        <v>29</v>
      </c>
      <c r="Q9022" s="1">
        <v>42248.816157407404</v>
      </c>
      <c r="R9022">
        <v>7</v>
      </c>
      <c r="S9022" t="s">
        <v>31</v>
      </c>
      <c r="T9022" t="s">
        <v>3490</v>
      </c>
      <c r="U9022" t="s">
        <v>3491</v>
      </c>
      <c r="V9022" s="3">
        <v>41487</v>
      </c>
    </row>
    <row r="9023" spans="1:22" x14ac:dyDescent="0.35">
      <c r="A9023" s="1">
        <v>42248.816157407404</v>
      </c>
      <c r="B9023" s="2">
        <v>0</v>
      </c>
      <c r="C9023" t="s">
        <v>11646</v>
      </c>
      <c r="D9023" t="s">
        <v>23</v>
      </c>
      <c r="E9023" t="s">
        <v>24</v>
      </c>
      <c r="F9023" t="s">
        <v>3488</v>
      </c>
      <c r="G9023">
        <v>1294909</v>
      </c>
      <c r="H9023" t="s">
        <v>84</v>
      </c>
      <c r="I9023" t="s">
        <v>445</v>
      </c>
      <c r="J9023" t="str">
        <f>"9780520956797"</f>
        <v>9780520956797</v>
      </c>
      <c r="L9023">
        <v>0</v>
      </c>
      <c r="O9023" t="s">
        <v>30</v>
      </c>
      <c r="P9023" t="s">
        <v>29</v>
      </c>
      <c r="Q9023" s="1">
        <v>42248.816157407404</v>
      </c>
      <c r="R9023">
        <v>7</v>
      </c>
      <c r="S9023" t="s">
        <v>31</v>
      </c>
      <c r="T9023" t="s">
        <v>3490</v>
      </c>
      <c r="U9023" t="s">
        <v>3491</v>
      </c>
      <c r="V9023" s="3">
        <v>41487</v>
      </c>
    </row>
    <row r="9024" spans="1:22" x14ac:dyDescent="0.35">
      <c r="A9024" s="1">
        <v>42248.81591435185</v>
      </c>
      <c r="B9024" s="2">
        <v>2.4305555555555552E-4</v>
      </c>
      <c r="C9024" t="s">
        <v>11646</v>
      </c>
      <c r="D9024" t="s">
        <v>23</v>
      </c>
      <c r="E9024" t="s">
        <v>24</v>
      </c>
      <c r="F9024" t="s">
        <v>3488</v>
      </c>
      <c r="G9024">
        <v>1294909</v>
      </c>
      <c r="H9024" t="s">
        <v>84</v>
      </c>
      <c r="I9024" t="s">
        <v>445</v>
      </c>
      <c r="J9024" t="str">
        <f>"9780520956797"</f>
        <v>9780520956797</v>
      </c>
      <c r="K9024" t="s">
        <v>12623</v>
      </c>
      <c r="L9024">
        <v>9</v>
      </c>
      <c r="O9024" t="s">
        <v>30</v>
      </c>
      <c r="P9024" t="s">
        <v>42</v>
      </c>
      <c r="S9024" t="s">
        <v>31</v>
      </c>
      <c r="T9024" t="s">
        <v>3490</v>
      </c>
      <c r="U9024" t="s">
        <v>3491</v>
      </c>
      <c r="V9024" s="3">
        <v>41487</v>
      </c>
    </row>
    <row r="9025" spans="1:22" x14ac:dyDescent="0.35">
      <c r="A9025" s="1">
        <v>42248.813750000001</v>
      </c>
      <c r="B9025" s="2">
        <v>4.6296296296296293E-4</v>
      </c>
      <c r="C9025" t="s">
        <v>11646</v>
      </c>
      <c r="D9025" t="s">
        <v>23</v>
      </c>
      <c r="E9025" t="s">
        <v>24</v>
      </c>
      <c r="F9025" t="s">
        <v>3488</v>
      </c>
      <c r="G9025">
        <v>1294909</v>
      </c>
      <c r="H9025" t="s">
        <v>84</v>
      </c>
      <c r="I9025" t="s">
        <v>445</v>
      </c>
      <c r="J9025" t="str">
        <f>"9780520956797"</f>
        <v>9780520956797</v>
      </c>
      <c r="K9025" t="s">
        <v>12624</v>
      </c>
      <c r="L9025">
        <v>19</v>
      </c>
      <c r="O9025" t="s">
        <v>30</v>
      </c>
      <c r="P9025" t="s">
        <v>42</v>
      </c>
      <c r="S9025" t="s">
        <v>31</v>
      </c>
      <c r="T9025" t="s">
        <v>3490</v>
      </c>
      <c r="U9025" t="s">
        <v>3491</v>
      </c>
      <c r="V9025" s="3">
        <v>41487</v>
      </c>
    </row>
    <row r="9026" spans="1:22" x14ac:dyDescent="0.35">
      <c r="A9026" s="1">
        <v>42248.798854166664</v>
      </c>
      <c r="B9026" s="2">
        <v>3.4722222222222222E-5</v>
      </c>
      <c r="C9026" t="s">
        <v>12625</v>
      </c>
      <c r="D9026" t="s">
        <v>1222</v>
      </c>
      <c r="E9026" t="s">
        <v>1223</v>
      </c>
      <c r="F9026" t="s">
        <v>12626</v>
      </c>
      <c r="G9026">
        <v>1969434</v>
      </c>
      <c r="H9026" t="s">
        <v>45</v>
      </c>
      <c r="I9026" t="s">
        <v>10344</v>
      </c>
      <c r="J9026" t="str">
        <f>"9781472448279"</f>
        <v>9781472448279</v>
      </c>
      <c r="K9026" t="s">
        <v>33</v>
      </c>
      <c r="L9026">
        <v>3</v>
      </c>
      <c r="O9026" t="s">
        <v>30</v>
      </c>
      <c r="P9026" t="s">
        <v>50</v>
      </c>
      <c r="S9026" t="s">
        <v>1226</v>
      </c>
      <c r="T9026" t="s">
        <v>12627</v>
      </c>
      <c r="U9026">
        <v>611.00945999999999</v>
      </c>
      <c r="V9026" s="3">
        <v>42091</v>
      </c>
    </row>
    <row r="9027" spans="1:22" x14ac:dyDescent="0.35">
      <c r="A9027" s="1">
        <v>42248.761388888888</v>
      </c>
      <c r="B9027" s="2">
        <v>0</v>
      </c>
      <c r="C9027" t="s">
        <v>448</v>
      </c>
      <c r="D9027" t="s">
        <v>23</v>
      </c>
      <c r="E9027" t="s">
        <v>24</v>
      </c>
      <c r="F9027" t="s">
        <v>486</v>
      </c>
      <c r="G9027">
        <v>1119505</v>
      </c>
      <c r="H9027" t="s">
        <v>26</v>
      </c>
      <c r="I9027" t="s">
        <v>450</v>
      </c>
      <c r="J9027" t="str">
        <f>"9781118355015"</f>
        <v>9781118355015</v>
      </c>
      <c r="L9027">
        <v>0</v>
      </c>
      <c r="O9027" t="s">
        <v>30</v>
      </c>
      <c r="P9027" t="s">
        <v>29</v>
      </c>
      <c r="Q9027" s="1">
        <v>42248.761388888888</v>
      </c>
      <c r="R9027">
        <v>7</v>
      </c>
      <c r="S9027" t="s">
        <v>31</v>
      </c>
      <c r="T9027" t="s">
        <v>487</v>
      </c>
      <c r="U9027" t="s">
        <v>488</v>
      </c>
      <c r="V9027" s="3">
        <v>41302</v>
      </c>
    </row>
    <row r="9028" spans="1:22" x14ac:dyDescent="0.35">
      <c r="A9028" s="1">
        <v>42248.760891203703</v>
      </c>
      <c r="B9028" s="2">
        <v>4.9768518518518521E-4</v>
      </c>
      <c r="C9028" t="s">
        <v>448</v>
      </c>
      <c r="D9028" t="s">
        <v>23</v>
      </c>
      <c r="E9028" t="s">
        <v>24</v>
      </c>
      <c r="F9028" t="s">
        <v>486</v>
      </c>
      <c r="G9028">
        <v>1119505</v>
      </c>
      <c r="H9028" t="s">
        <v>26</v>
      </c>
      <c r="I9028" t="s">
        <v>450</v>
      </c>
      <c r="J9028" t="str">
        <f>"9781118355015"</f>
        <v>9781118355015</v>
      </c>
      <c r="K9028" t="s">
        <v>12628</v>
      </c>
      <c r="L9028">
        <v>14</v>
      </c>
      <c r="O9028" t="s">
        <v>30</v>
      </c>
      <c r="P9028" t="s">
        <v>42</v>
      </c>
      <c r="S9028" t="s">
        <v>31</v>
      </c>
      <c r="T9028" t="s">
        <v>487</v>
      </c>
      <c r="U9028" t="s">
        <v>488</v>
      </c>
      <c r="V9028" s="3">
        <v>41302</v>
      </c>
    </row>
    <row r="9029" spans="1:22" x14ac:dyDescent="0.35">
      <c r="A9029" s="1">
        <v>42248.742800925924</v>
      </c>
      <c r="B9029" s="2">
        <v>3.7731481481481483E-3</v>
      </c>
      <c r="C9029" t="s">
        <v>106</v>
      </c>
      <c r="D9029" t="s">
        <v>23</v>
      </c>
      <c r="E9029" t="s">
        <v>24</v>
      </c>
      <c r="F9029" t="s">
        <v>3186</v>
      </c>
      <c r="G9029">
        <v>699744</v>
      </c>
      <c r="H9029" t="s">
        <v>26</v>
      </c>
      <c r="I9029" t="s">
        <v>3187</v>
      </c>
      <c r="J9029" t="str">
        <f>"9781118585818"</f>
        <v>9781118585818</v>
      </c>
      <c r="K9029" t="s">
        <v>12629</v>
      </c>
      <c r="L9029">
        <v>6</v>
      </c>
      <c r="O9029" t="s">
        <v>30</v>
      </c>
      <c r="P9029" t="s">
        <v>42</v>
      </c>
      <c r="S9029" t="s">
        <v>31</v>
      </c>
      <c r="T9029" t="s">
        <v>3188</v>
      </c>
      <c r="U9029">
        <v>621.36</v>
      </c>
      <c r="V9029" s="3">
        <v>41310</v>
      </c>
    </row>
    <row r="9030" spans="1:22" x14ac:dyDescent="0.35">
      <c r="A9030" s="1">
        <v>42248.730474537035</v>
      </c>
      <c r="B9030" s="2">
        <v>2.2106481481481478E-3</v>
      </c>
      <c r="C9030" t="s">
        <v>12445</v>
      </c>
      <c r="D9030" t="s">
        <v>23</v>
      </c>
      <c r="E9030" t="s">
        <v>24</v>
      </c>
      <c r="F9030" t="s">
        <v>1051</v>
      </c>
      <c r="G9030">
        <v>821663</v>
      </c>
      <c r="H9030" t="s">
        <v>26</v>
      </c>
      <c r="I9030" t="s">
        <v>200</v>
      </c>
      <c r="J9030" t="str">
        <f>"9781118168479"</f>
        <v>9781118168479</v>
      </c>
      <c r="K9030" t="s">
        <v>12630</v>
      </c>
      <c r="L9030">
        <v>6</v>
      </c>
      <c r="O9030" t="s">
        <v>30</v>
      </c>
      <c r="P9030" t="s">
        <v>42</v>
      </c>
      <c r="S9030" t="s">
        <v>31</v>
      </c>
      <c r="T9030" t="s">
        <v>1053</v>
      </c>
      <c r="U9030">
        <v>729</v>
      </c>
      <c r="V9030" s="3">
        <v>40973</v>
      </c>
    </row>
    <row r="9031" spans="1:22" x14ac:dyDescent="0.35">
      <c r="A9031" s="1">
        <v>42248.725300925929</v>
      </c>
      <c r="B9031" s="2">
        <v>1.4120370370370368E-2</v>
      </c>
      <c r="C9031" t="s">
        <v>4205</v>
      </c>
      <c r="D9031" t="s">
        <v>597</v>
      </c>
      <c r="E9031" t="s">
        <v>598</v>
      </c>
      <c r="F9031" t="s">
        <v>111</v>
      </c>
      <c r="G9031">
        <v>693176</v>
      </c>
      <c r="H9031" t="s">
        <v>26</v>
      </c>
      <c r="I9031" t="s">
        <v>112</v>
      </c>
      <c r="J9031" t="str">
        <f>"9781118017746"</f>
        <v>9781118017746</v>
      </c>
      <c r="K9031" t="s">
        <v>12631</v>
      </c>
      <c r="L9031">
        <v>38</v>
      </c>
      <c r="O9031" t="s">
        <v>30</v>
      </c>
      <c r="P9031" t="s">
        <v>29</v>
      </c>
      <c r="Q9031" s="1">
        <v>42248.703368055554</v>
      </c>
      <c r="R9031">
        <v>7</v>
      </c>
      <c r="S9031" t="s">
        <v>600</v>
      </c>
      <c r="T9031" t="s">
        <v>114</v>
      </c>
      <c r="U9031" t="s">
        <v>115</v>
      </c>
      <c r="V9031" s="3">
        <v>40835</v>
      </c>
    </row>
    <row r="9032" spans="1:22" x14ac:dyDescent="0.35">
      <c r="A9032" s="1">
        <v>42248.71733796296</v>
      </c>
      <c r="B9032" s="2">
        <v>0</v>
      </c>
      <c r="C9032" t="s">
        <v>6271</v>
      </c>
      <c r="D9032" t="s">
        <v>23</v>
      </c>
      <c r="E9032" t="s">
        <v>24</v>
      </c>
      <c r="F9032" t="s">
        <v>1051</v>
      </c>
      <c r="G9032">
        <v>821663</v>
      </c>
      <c r="H9032" t="s">
        <v>26</v>
      </c>
      <c r="I9032" t="s">
        <v>200</v>
      </c>
      <c r="J9032" t="str">
        <f>"9781118168479"</f>
        <v>9781118168479</v>
      </c>
      <c r="L9032">
        <v>0</v>
      </c>
      <c r="O9032" t="s">
        <v>30</v>
      </c>
      <c r="P9032" t="s">
        <v>29</v>
      </c>
      <c r="Q9032" s="1">
        <v>42248.71733796296</v>
      </c>
      <c r="R9032">
        <v>7</v>
      </c>
      <c r="S9032" t="s">
        <v>31</v>
      </c>
      <c r="T9032" t="s">
        <v>1053</v>
      </c>
      <c r="U9032">
        <v>729</v>
      </c>
      <c r="V9032" s="3">
        <v>40973</v>
      </c>
    </row>
    <row r="9033" spans="1:22" x14ac:dyDescent="0.35">
      <c r="A9033" s="1">
        <v>42248.716828703706</v>
      </c>
      <c r="B9033" s="2">
        <v>5.0925925925925921E-4</v>
      </c>
      <c r="C9033" t="s">
        <v>6271</v>
      </c>
      <c r="D9033" t="s">
        <v>23</v>
      </c>
      <c r="E9033" t="s">
        <v>24</v>
      </c>
      <c r="F9033" t="s">
        <v>1051</v>
      </c>
      <c r="G9033">
        <v>821663</v>
      </c>
      <c r="H9033" t="s">
        <v>26</v>
      </c>
      <c r="I9033" t="s">
        <v>200</v>
      </c>
      <c r="J9033" t="str">
        <f>"9781118168479"</f>
        <v>9781118168479</v>
      </c>
      <c r="K9033" t="s">
        <v>12632</v>
      </c>
      <c r="L9033">
        <v>22</v>
      </c>
      <c r="O9033" t="s">
        <v>30</v>
      </c>
      <c r="P9033" t="s">
        <v>42</v>
      </c>
      <c r="S9033" t="s">
        <v>31</v>
      </c>
      <c r="T9033" t="s">
        <v>1053</v>
      </c>
      <c r="U9033">
        <v>729</v>
      </c>
      <c r="V9033" s="3">
        <v>40973</v>
      </c>
    </row>
    <row r="9034" spans="1:22" x14ac:dyDescent="0.35">
      <c r="A9034" s="1">
        <v>42248.703368055554</v>
      </c>
      <c r="B9034" s="2">
        <v>3.2754629629629631E-3</v>
      </c>
      <c r="C9034" t="s">
        <v>4205</v>
      </c>
      <c r="D9034" t="s">
        <v>597</v>
      </c>
      <c r="E9034" t="s">
        <v>598</v>
      </c>
      <c r="F9034" t="s">
        <v>111</v>
      </c>
      <c r="G9034">
        <v>693176</v>
      </c>
      <c r="H9034" t="s">
        <v>26</v>
      </c>
      <c r="I9034" t="s">
        <v>112</v>
      </c>
      <c r="J9034" t="str">
        <f>"9781118017746"</f>
        <v>9781118017746</v>
      </c>
      <c r="K9034" t="s">
        <v>12633</v>
      </c>
      <c r="L9034">
        <v>30</v>
      </c>
      <c r="O9034" t="s">
        <v>30</v>
      </c>
      <c r="P9034" t="s">
        <v>29</v>
      </c>
      <c r="Q9034" s="1">
        <v>42248.703368055554</v>
      </c>
      <c r="R9034">
        <v>7</v>
      </c>
      <c r="S9034" t="s">
        <v>600</v>
      </c>
      <c r="T9034" t="s">
        <v>114</v>
      </c>
      <c r="U9034" t="s">
        <v>115</v>
      </c>
      <c r="V9034" s="3">
        <v>40835</v>
      </c>
    </row>
    <row r="9035" spans="1:22" x14ac:dyDescent="0.35">
      <c r="A9035" s="1">
        <v>42248.697696759256</v>
      </c>
      <c r="B9035" s="2">
        <v>0</v>
      </c>
      <c r="C9035" t="s">
        <v>5887</v>
      </c>
      <c r="D9035" t="s">
        <v>23</v>
      </c>
      <c r="E9035" t="s">
        <v>24</v>
      </c>
      <c r="F9035" t="s">
        <v>1051</v>
      </c>
      <c r="G9035">
        <v>821663</v>
      </c>
      <c r="H9035" t="s">
        <v>26</v>
      </c>
      <c r="I9035" t="s">
        <v>200</v>
      </c>
      <c r="J9035" t="str">
        <f>"9781118168479"</f>
        <v>9781118168479</v>
      </c>
      <c r="L9035">
        <v>0</v>
      </c>
      <c r="O9035" t="s">
        <v>30</v>
      </c>
      <c r="P9035" t="s">
        <v>29</v>
      </c>
      <c r="Q9035" s="1">
        <v>42248.697696759256</v>
      </c>
      <c r="R9035">
        <v>7</v>
      </c>
      <c r="S9035" t="s">
        <v>31</v>
      </c>
      <c r="T9035" t="s">
        <v>1053</v>
      </c>
      <c r="U9035">
        <v>729</v>
      </c>
      <c r="V9035" s="3">
        <v>40973</v>
      </c>
    </row>
    <row r="9036" spans="1:22" x14ac:dyDescent="0.35">
      <c r="A9036" s="1">
        <v>42248.69740740741</v>
      </c>
      <c r="B9036" s="2">
        <v>2.8935185185185189E-4</v>
      </c>
      <c r="C9036" t="s">
        <v>5887</v>
      </c>
      <c r="D9036" t="s">
        <v>23</v>
      </c>
      <c r="E9036" t="s">
        <v>24</v>
      </c>
      <c r="F9036" t="s">
        <v>1051</v>
      </c>
      <c r="G9036">
        <v>821663</v>
      </c>
      <c r="H9036" t="s">
        <v>26</v>
      </c>
      <c r="I9036" t="s">
        <v>200</v>
      </c>
      <c r="J9036" t="str">
        <f>"9781118168479"</f>
        <v>9781118168479</v>
      </c>
      <c r="K9036" t="s">
        <v>12634</v>
      </c>
      <c r="L9036">
        <v>4</v>
      </c>
      <c r="O9036" t="s">
        <v>30</v>
      </c>
      <c r="P9036" t="s">
        <v>42</v>
      </c>
      <c r="S9036" t="s">
        <v>31</v>
      </c>
      <c r="T9036" t="s">
        <v>1053</v>
      </c>
      <c r="U9036">
        <v>729</v>
      </c>
      <c r="V9036" s="3">
        <v>40973</v>
      </c>
    </row>
    <row r="9037" spans="1:22" x14ac:dyDescent="0.35">
      <c r="A9037" s="1">
        <v>42248.693773148145</v>
      </c>
      <c r="B9037" s="2">
        <v>9.5949074074074079E-3</v>
      </c>
      <c r="C9037" t="s">
        <v>4205</v>
      </c>
      <c r="D9037" t="s">
        <v>597</v>
      </c>
      <c r="E9037" t="s">
        <v>598</v>
      </c>
      <c r="F9037" t="s">
        <v>111</v>
      </c>
      <c r="G9037">
        <v>693176</v>
      </c>
      <c r="H9037" t="s">
        <v>26</v>
      </c>
      <c r="I9037" t="s">
        <v>112</v>
      </c>
      <c r="J9037" t="str">
        <f>"9781118017746"</f>
        <v>9781118017746</v>
      </c>
      <c r="K9037" t="s">
        <v>33</v>
      </c>
      <c r="L9037">
        <v>3</v>
      </c>
      <c r="O9037" t="s">
        <v>30</v>
      </c>
      <c r="P9037" t="s">
        <v>42</v>
      </c>
      <c r="S9037" t="s">
        <v>600</v>
      </c>
      <c r="T9037" t="s">
        <v>114</v>
      </c>
      <c r="U9037" t="s">
        <v>115</v>
      </c>
      <c r="V9037" s="3">
        <v>40835</v>
      </c>
    </row>
    <row r="9038" spans="1:22" x14ac:dyDescent="0.35">
      <c r="A9038" s="1">
        <v>42248.682106481479</v>
      </c>
      <c r="B9038" s="2">
        <v>2.4305555555555552E-4</v>
      </c>
      <c r="C9038" t="s">
        <v>12635</v>
      </c>
      <c r="D9038" t="s">
        <v>23</v>
      </c>
      <c r="E9038" t="s">
        <v>24</v>
      </c>
      <c r="F9038" t="s">
        <v>7969</v>
      </c>
      <c r="G9038">
        <v>1991216</v>
      </c>
      <c r="H9038" t="s">
        <v>91</v>
      </c>
      <c r="I9038" t="s">
        <v>247</v>
      </c>
      <c r="J9038" t="str">
        <f>"9781462521029"</f>
        <v>9781462521029</v>
      </c>
      <c r="K9038" t="s">
        <v>12636</v>
      </c>
      <c r="L9038">
        <v>7</v>
      </c>
      <c r="O9038" t="s">
        <v>30</v>
      </c>
      <c r="P9038" t="s">
        <v>47</v>
      </c>
      <c r="Q9038" s="1">
        <v>42248.680300925924</v>
      </c>
      <c r="R9038">
        <v>1</v>
      </c>
      <c r="S9038" t="s">
        <v>31</v>
      </c>
      <c r="T9038" t="s">
        <v>7971</v>
      </c>
      <c r="U9038">
        <v>616.89</v>
      </c>
      <c r="V9038" s="3">
        <v>42170</v>
      </c>
    </row>
    <row r="9039" spans="1:22" x14ac:dyDescent="0.35">
      <c r="A9039" s="1">
        <v>42248.68074074074</v>
      </c>
      <c r="B9039" s="2">
        <v>4.5138888888888892E-4</v>
      </c>
      <c r="C9039" t="s">
        <v>106</v>
      </c>
      <c r="D9039" t="s">
        <v>23</v>
      </c>
      <c r="E9039" t="s">
        <v>24</v>
      </c>
      <c r="F9039" t="s">
        <v>12637</v>
      </c>
      <c r="G9039">
        <v>1760738</v>
      </c>
      <c r="H9039" t="s">
        <v>91</v>
      </c>
      <c r="I9039" t="s">
        <v>108</v>
      </c>
      <c r="J9039" t="str">
        <f>"9781462519644"</f>
        <v>9781462519644</v>
      </c>
      <c r="K9039" t="s">
        <v>12638</v>
      </c>
      <c r="L9039">
        <v>7</v>
      </c>
      <c r="O9039" t="s">
        <v>30</v>
      </c>
      <c r="P9039" t="s">
        <v>47</v>
      </c>
      <c r="Q9039" s="1">
        <v>42248.68074074074</v>
      </c>
      <c r="R9039">
        <v>1</v>
      </c>
      <c r="S9039" t="s">
        <v>31</v>
      </c>
      <c r="T9039" t="s">
        <v>12639</v>
      </c>
      <c r="U9039" t="s">
        <v>12640</v>
      </c>
      <c r="V9039" s="3">
        <v>41992</v>
      </c>
    </row>
    <row r="9040" spans="1:22" x14ac:dyDescent="0.35">
      <c r="A9040" s="1">
        <v>42248.680717592593</v>
      </c>
      <c r="B9040" s="2">
        <v>0</v>
      </c>
      <c r="C9040" t="s">
        <v>12635</v>
      </c>
      <c r="D9040" t="s">
        <v>23</v>
      </c>
      <c r="E9040" t="s">
        <v>24</v>
      </c>
      <c r="F9040" t="s">
        <v>7969</v>
      </c>
      <c r="G9040">
        <v>1991216</v>
      </c>
      <c r="H9040" t="s">
        <v>91</v>
      </c>
      <c r="I9040" t="s">
        <v>247</v>
      </c>
      <c r="J9040" t="str">
        <f>"9781462521029"</f>
        <v>9781462521029</v>
      </c>
      <c r="L9040">
        <v>0</v>
      </c>
      <c r="O9040" t="s">
        <v>28</v>
      </c>
      <c r="P9040" t="s">
        <v>47</v>
      </c>
      <c r="Q9040" s="1">
        <v>42248.680300925924</v>
      </c>
      <c r="R9040">
        <v>1</v>
      </c>
      <c r="S9040" t="s">
        <v>31</v>
      </c>
      <c r="T9040" t="s">
        <v>7971</v>
      </c>
      <c r="U9040">
        <v>616.89</v>
      </c>
      <c r="V9040" s="3">
        <v>42170</v>
      </c>
    </row>
    <row r="9041" spans="1:22" x14ac:dyDescent="0.35">
      <c r="A9041" s="1">
        <v>42248.680300925924</v>
      </c>
      <c r="B9041" s="2">
        <v>0</v>
      </c>
      <c r="C9041" t="s">
        <v>12635</v>
      </c>
      <c r="D9041" t="s">
        <v>23</v>
      </c>
      <c r="E9041" t="s">
        <v>24</v>
      </c>
      <c r="F9041" t="s">
        <v>7969</v>
      </c>
      <c r="G9041">
        <v>1991216</v>
      </c>
      <c r="H9041" t="s">
        <v>91</v>
      </c>
      <c r="I9041" t="s">
        <v>247</v>
      </c>
      <c r="J9041" t="str">
        <f>"9781462521029"</f>
        <v>9781462521029</v>
      </c>
      <c r="L9041">
        <v>0</v>
      </c>
      <c r="M9041" t="s">
        <v>12641</v>
      </c>
      <c r="O9041" t="s">
        <v>30</v>
      </c>
      <c r="P9041" t="s">
        <v>47</v>
      </c>
      <c r="Q9041" s="1">
        <v>42248.680300925924</v>
      </c>
      <c r="R9041">
        <v>1</v>
      </c>
      <c r="S9041" t="s">
        <v>31</v>
      </c>
      <c r="T9041" t="s">
        <v>7971</v>
      </c>
      <c r="U9041">
        <v>616.89</v>
      </c>
      <c r="V9041" s="3">
        <v>42170</v>
      </c>
    </row>
    <row r="9042" spans="1:22" x14ac:dyDescent="0.35">
      <c r="A9042" s="1">
        <v>42248.679189814815</v>
      </c>
      <c r="B9042" s="2">
        <v>1.1111111111111111E-3</v>
      </c>
      <c r="C9042" t="s">
        <v>12635</v>
      </c>
      <c r="D9042" t="s">
        <v>23</v>
      </c>
      <c r="E9042" t="s">
        <v>24</v>
      </c>
      <c r="F9042" t="s">
        <v>7969</v>
      </c>
      <c r="G9042">
        <v>1991216</v>
      </c>
      <c r="H9042" t="s">
        <v>91</v>
      </c>
      <c r="I9042" t="s">
        <v>247</v>
      </c>
      <c r="J9042" t="str">
        <f>"9781462521029"</f>
        <v>9781462521029</v>
      </c>
      <c r="K9042" t="s">
        <v>12642</v>
      </c>
      <c r="L9042">
        <v>8</v>
      </c>
      <c r="O9042" t="s">
        <v>30</v>
      </c>
      <c r="P9042" t="s">
        <v>50</v>
      </c>
      <c r="S9042" t="s">
        <v>31</v>
      </c>
      <c r="T9042" t="s">
        <v>7971</v>
      </c>
      <c r="U9042">
        <v>616.89</v>
      </c>
      <c r="V9042" s="3">
        <v>42170</v>
      </c>
    </row>
    <row r="9043" spans="1:22" x14ac:dyDescent="0.35">
      <c r="A9043" s="1">
        <v>42248.676238425927</v>
      </c>
      <c r="B9043" s="2">
        <v>4.5023148148148149E-3</v>
      </c>
      <c r="C9043" t="s">
        <v>106</v>
      </c>
      <c r="D9043" t="s">
        <v>23</v>
      </c>
      <c r="E9043" t="s">
        <v>24</v>
      </c>
      <c r="F9043" t="s">
        <v>12637</v>
      </c>
      <c r="G9043">
        <v>1760738</v>
      </c>
      <c r="H9043" t="s">
        <v>91</v>
      </c>
      <c r="I9043" t="s">
        <v>108</v>
      </c>
      <c r="J9043" t="str">
        <f>"9781462519644"</f>
        <v>9781462519644</v>
      </c>
      <c r="K9043" t="s">
        <v>12643</v>
      </c>
      <c r="L9043">
        <v>18</v>
      </c>
      <c r="O9043" t="s">
        <v>30</v>
      </c>
      <c r="P9043" t="s">
        <v>50</v>
      </c>
      <c r="S9043" t="s">
        <v>31</v>
      </c>
      <c r="T9043" t="s">
        <v>12639</v>
      </c>
      <c r="U9043" t="s">
        <v>12640</v>
      </c>
      <c r="V9043" s="3">
        <v>41992</v>
      </c>
    </row>
    <row r="9044" spans="1:22" x14ac:dyDescent="0.35">
      <c r="A9044" s="1">
        <v>42248.67019675926</v>
      </c>
      <c r="B9044" s="2">
        <v>1.1574074074074073E-4</v>
      </c>
      <c r="C9044" t="s">
        <v>5411</v>
      </c>
      <c r="D9044" t="s">
        <v>23</v>
      </c>
      <c r="E9044" t="s">
        <v>24</v>
      </c>
      <c r="F9044" t="s">
        <v>1051</v>
      </c>
      <c r="G9044">
        <v>821663</v>
      </c>
      <c r="H9044" t="s">
        <v>26</v>
      </c>
      <c r="I9044" t="s">
        <v>200</v>
      </c>
      <c r="J9044" t="str">
        <f>"9781118168479"</f>
        <v>9781118168479</v>
      </c>
      <c r="K9044" t="s">
        <v>86</v>
      </c>
      <c r="L9044">
        <v>5</v>
      </c>
      <c r="O9044" t="s">
        <v>30</v>
      </c>
      <c r="P9044" t="s">
        <v>42</v>
      </c>
      <c r="S9044" t="s">
        <v>31</v>
      </c>
      <c r="T9044" t="s">
        <v>1053</v>
      </c>
      <c r="U9044">
        <v>729</v>
      </c>
      <c r="V9044" s="3">
        <v>40973</v>
      </c>
    </row>
    <row r="9045" spans="1:22" x14ac:dyDescent="0.35">
      <c r="A9045" s="1">
        <v>42248.66605324074</v>
      </c>
      <c r="B9045" s="2">
        <v>5.7870370370370378E-4</v>
      </c>
      <c r="C9045" t="s">
        <v>12644</v>
      </c>
      <c r="D9045" t="s">
        <v>158</v>
      </c>
      <c r="E9045" t="s">
        <v>159</v>
      </c>
      <c r="F9045" t="s">
        <v>12645</v>
      </c>
      <c r="G9045">
        <v>902988</v>
      </c>
      <c r="H9045" t="s">
        <v>149</v>
      </c>
      <c r="I9045" t="s">
        <v>630</v>
      </c>
      <c r="J9045" t="str">
        <f>"9781438138862"</f>
        <v>9781438138862</v>
      </c>
      <c r="K9045" t="s">
        <v>12646</v>
      </c>
      <c r="L9045">
        <v>18</v>
      </c>
      <c r="O9045" t="s">
        <v>30</v>
      </c>
      <c r="P9045" t="s">
        <v>42</v>
      </c>
      <c r="S9045" t="s">
        <v>163</v>
      </c>
      <c r="T9045" t="s">
        <v>12647</v>
      </c>
      <c r="U9045">
        <v>190</v>
      </c>
      <c r="V9045" s="3">
        <v>40969</v>
      </c>
    </row>
    <row r="9046" spans="1:22" x14ac:dyDescent="0.35">
      <c r="A9046" s="1">
        <v>42248.655092592591</v>
      </c>
      <c r="B9046" s="2">
        <v>0</v>
      </c>
      <c r="C9046" t="s">
        <v>5271</v>
      </c>
      <c r="D9046" t="s">
        <v>23</v>
      </c>
      <c r="E9046" t="s">
        <v>24</v>
      </c>
      <c r="F9046" t="s">
        <v>1051</v>
      </c>
      <c r="G9046">
        <v>821663</v>
      </c>
      <c r="H9046" t="s">
        <v>26</v>
      </c>
      <c r="I9046" t="s">
        <v>200</v>
      </c>
      <c r="J9046" t="str">
        <f>"9781118168479"</f>
        <v>9781118168479</v>
      </c>
      <c r="L9046">
        <v>0</v>
      </c>
      <c r="O9046" t="s">
        <v>28</v>
      </c>
      <c r="P9046" t="s">
        <v>29</v>
      </c>
      <c r="Q9046" s="1">
        <v>42248.653900462959</v>
      </c>
      <c r="R9046">
        <v>7</v>
      </c>
      <c r="S9046" t="s">
        <v>31</v>
      </c>
      <c r="T9046" t="s">
        <v>1053</v>
      </c>
      <c r="U9046">
        <v>729</v>
      </c>
      <c r="V9046" s="3">
        <v>40973</v>
      </c>
    </row>
    <row r="9047" spans="1:22" x14ac:dyDescent="0.35">
      <c r="A9047" s="1">
        <v>42248.653900462959</v>
      </c>
      <c r="B9047" s="2">
        <v>3.3564814814814812E-4</v>
      </c>
      <c r="C9047" t="s">
        <v>5271</v>
      </c>
      <c r="D9047" t="s">
        <v>23</v>
      </c>
      <c r="E9047" t="s">
        <v>24</v>
      </c>
      <c r="F9047" t="s">
        <v>1051</v>
      </c>
      <c r="G9047">
        <v>821663</v>
      </c>
      <c r="H9047" t="s">
        <v>26</v>
      </c>
      <c r="I9047" t="s">
        <v>200</v>
      </c>
      <c r="J9047" t="str">
        <f>"9781118168479"</f>
        <v>9781118168479</v>
      </c>
      <c r="K9047" t="s">
        <v>12648</v>
      </c>
      <c r="L9047">
        <v>9</v>
      </c>
      <c r="M9047" t="s">
        <v>2111</v>
      </c>
      <c r="O9047" t="s">
        <v>30</v>
      </c>
      <c r="P9047" t="s">
        <v>29</v>
      </c>
      <c r="Q9047" s="1">
        <v>42248.653900462959</v>
      </c>
      <c r="R9047">
        <v>7</v>
      </c>
      <c r="S9047" t="s">
        <v>31</v>
      </c>
      <c r="T9047" t="s">
        <v>1053</v>
      </c>
      <c r="U9047">
        <v>729</v>
      </c>
      <c r="V9047" s="3">
        <v>40973</v>
      </c>
    </row>
    <row r="9048" spans="1:22" x14ac:dyDescent="0.35">
      <c r="A9048" s="1">
        <v>42248.653773148151</v>
      </c>
      <c r="B9048" s="2">
        <v>1.273148148148148E-4</v>
      </c>
      <c r="C9048" t="s">
        <v>5271</v>
      </c>
      <c r="D9048" t="s">
        <v>23</v>
      </c>
      <c r="E9048" t="s">
        <v>24</v>
      </c>
      <c r="F9048" t="s">
        <v>1051</v>
      </c>
      <c r="G9048">
        <v>821663</v>
      </c>
      <c r="H9048" t="s">
        <v>26</v>
      </c>
      <c r="I9048" t="s">
        <v>200</v>
      </c>
      <c r="J9048" t="str">
        <f>"9781118168479"</f>
        <v>9781118168479</v>
      </c>
      <c r="K9048" t="s">
        <v>611</v>
      </c>
      <c r="L9048">
        <v>3</v>
      </c>
      <c r="O9048" t="s">
        <v>30</v>
      </c>
      <c r="P9048" t="s">
        <v>42</v>
      </c>
      <c r="S9048" t="s">
        <v>31</v>
      </c>
      <c r="T9048" t="s">
        <v>1053</v>
      </c>
      <c r="U9048">
        <v>729</v>
      </c>
      <c r="V9048" s="3">
        <v>40973</v>
      </c>
    </row>
    <row r="9049" spans="1:22" x14ac:dyDescent="0.35">
      <c r="A9049" s="1">
        <v>42248.647349537037</v>
      </c>
      <c r="B9049" s="2">
        <v>0</v>
      </c>
      <c r="C9049" t="s">
        <v>10715</v>
      </c>
      <c r="D9049" t="s">
        <v>35</v>
      </c>
      <c r="E9049" t="s">
        <v>36</v>
      </c>
      <c r="F9049" t="s">
        <v>37</v>
      </c>
      <c r="G9049">
        <v>1684620</v>
      </c>
      <c r="H9049" t="s">
        <v>26</v>
      </c>
      <c r="I9049" t="s">
        <v>38</v>
      </c>
      <c r="J9049" t="str">
        <f t="shared" ref="J9049:J9055" si="70">"9781118418925"</f>
        <v>9781118418925</v>
      </c>
      <c r="L9049">
        <v>0</v>
      </c>
      <c r="O9049" t="s">
        <v>28</v>
      </c>
      <c r="P9049" t="s">
        <v>29</v>
      </c>
      <c r="Q9049" s="1">
        <v>42248.644421296296</v>
      </c>
      <c r="R9049">
        <v>7</v>
      </c>
      <c r="S9049" t="s">
        <v>40</v>
      </c>
      <c r="T9049" t="s">
        <v>41</v>
      </c>
      <c r="U9049">
        <v>362.10680000000002</v>
      </c>
      <c r="V9049" s="3">
        <v>41759</v>
      </c>
    </row>
    <row r="9050" spans="1:22" x14ac:dyDescent="0.35">
      <c r="A9050" s="1">
        <v>42248.645335648151</v>
      </c>
      <c r="B9050" s="2">
        <v>0</v>
      </c>
      <c r="C9050" t="s">
        <v>10715</v>
      </c>
      <c r="D9050" t="s">
        <v>35</v>
      </c>
      <c r="E9050" t="s">
        <v>36</v>
      </c>
      <c r="F9050" t="s">
        <v>37</v>
      </c>
      <c r="G9050">
        <v>1684620</v>
      </c>
      <c r="H9050" t="s">
        <v>26</v>
      </c>
      <c r="I9050" t="s">
        <v>38</v>
      </c>
      <c r="J9050" t="str">
        <f t="shared" si="70"/>
        <v>9781118418925</v>
      </c>
      <c r="L9050">
        <v>0</v>
      </c>
      <c r="O9050" t="s">
        <v>28</v>
      </c>
      <c r="P9050" t="s">
        <v>29</v>
      </c>
      <c r="Q9050" s="1">
        <v>42248.644421296296</v>
      </c>
      <c r="R9050">
        <v>7</v>
      </c>
      <c r="S9050" t="s">
        <v>40</v>
      </c>
      <c r="T9050" t="s">
        <v>41</v>
      </c>
      <c r="U9050">
        <v>362.10680000000002</v>
      </c>
      <c r="V9050" s="3">
        <v>41759</v>
      </c>
    </row>
    <row r="9051" spans="1:22" x14ac:dyDescent="0.35">
      <c r="A9051" s="1">
        <v>42248.645185185182</v>
      </c>
      <c r="B9051" s="2">
        <v>0</v>
      </c>
      <c r="C9051" t="s">
        <v>10715</v>
      </c>
      <c r="D9051" t="s">
        <v>35</v>
      </c>
      <c r="E9051" t="s">
        <v>36</v>
      </c>
      <c r="F9051" t="s">
        <v>37</v>
      </c>
      <c r="G9051">
        <v>1684620</v>
      </c>
      <c r="H9051" t="s">
        <v>26</v>
      </c>
      <c r="I9051" t="s">
        <v>38</v>
      </c>
      <c r="J9051" t="str">
        <f t="shared" si="70"/>
        <v>9781118418925</v>
      </c>
      <c r="L9051">
        <v>0</v>
      </c>
      <c r="O9051" t="s">
        <v>28</v>
      </c>
      <c r="P9051" t="s">
        <v>29</v>
      </c>
      <c r="Q9051" s="1">
        <v>42248.644421296296</v>
      </c>
      <c r="R9051">
        <v>7</v>
      </c>
      <c r="S9051" t="s">
        <v>40</v>
      </c>
      <c r="T9051" t="s">
        <v>41</v>
      </c>
      <c r="U9051">
        <v>362.10680000000002</v>
      </c>
      <c r="V9051" s="3">
        <v>41759</v>
      </c>
    </row>
    <row r="9052" spans="1:22" x14ac:dyDescent="0.35">
      <c r="A9052" s="1">
        <v>42248.644548611112</v>
      </c>
      <c r="B9052" s="2">
        <v>5.4398148148148144E-4</v>
      </c>
      <c r="C9052" t="s">
        <v>10715</v>
      </c>
      <c r="D9052" t="s">
        <v>35</v>
      </c>
      <c r="E9052" t="s">
        <v>36</v>
      </c>
      <c r="F9052" t="s">
        <v>37</v>
      </c>
      <c r="G9052">
        <v>1684620</v>
      </c>
      <c r="H9052" t="s">
        <v>26</v>
      </c>
      <c r="I9052" t="s">
        <v>38</v>
      </c>
      <c r="J9052" t="str">
        <f t="shared" si="70"/>
        <v>9781118418925</v>
      </c>
      <c r="K9052" t="s">
        <v>12649</v>
      </c>
      <c r="L9052">
        <v>7</v>
      </c>
      <c r="O9052" t="s">
        <v>28</v>
      </c>
      <c r="P9052" t="s">
        <v>29</v>
      </c>
      <c r="Q9052" s="1">
        <v>42248.644421296296</v>
      </c>
      <c r="R9052">
        <v>7</v>
      </c>
      <c r="S9052" t="s">
        <v>40</v>
      </c>
      <c r="T9052" t="s">
        <v>41</v>
      </c>
      <c r="U9052">
        <v>362.10680000000002</v>
      </c>
      <c r="V9052" s="3">
        <v>41759</v>
      </c>
    </row>
    <row r="9053" spans="1:22" x14ac:dyDescent="0.35">
      <c r="A9053" s="1">
        <v>42248.644421296296</v>
      </c>
      <c r="B9053" s="2">
        <v>6.9444444444444444E-5</v>
      </c>
      <c r="C9053" t="s">
        <v>10715</v>
      </c>
      <c r="D9053" t="s">
        <v>35</v>
      </c>
      <c r="E9053" t="s">
        <v>36</v>
      </c>
      <c r="F9053" t="s">
        <v>37</v>
      </c>
      <c r="G9053">
        <v>1684620</v>
      </c>
      <c r="H9053" t="s">
        <v>26</v>
      </c>
      <c r="I9053" t="s">
        <v>38</v>
      </c>
      <c r="J9053" t="str">
        <f t="shared" si="70"/>
        <v>9781118418925</v>
      </c>
      <c r="K9053" t="s">
        <v>63</v>
      </c>
      <c r="L9053">
        <v>1</v>
      </c>
      <c r="O9053" t="s">
        <v>28</v>
      </c>
      <c r="P9053" t="s">
        <v>29</v>
      </c>
      <c r="Q9053" s="1">
        <v>42248.644421296296</v>
      </c>
      <c r="R9053">
        <v>7</v>
      </c>
      <c r="S9053" t="s">
        <v>40</v>
      </c>
      <c r="T9053" t="s">
        <v>41</v>
      </c>
      <c r="U9053">
        <v>362.10680000000002</v>
      </c>
      <c r="V9053" s="3">
        <v>41759</v>
      </c>
    </row>
    <row r="9054" spans="1:22" x14ac:dyDescent="0.35">
      <c r="A9054" s="1">
        <v>42248.644421296296</v>
      </c>
      <c r="B9054" s="2">
        <v>0</v>
      </c>
      <c r="C9054" t="s">
        <v>10715</v>
      </c>
      <c r="D9054" t="s">
        <v>35</v>
      </c>
      <c r="E9054" t="s">
        <v>36</v>
      </c>
      <c r="F9054" t="s">
        <v>37</v>
      </c>
      <c r="G9054">
        <v>1684620</v>
      </c>
      <c r="H9054" t="s">
        <v>26</v>
      </c>
      <c r="I9054" t="s">
        <v>38</v>
      </c>
      <c r="J9054" t="str">
        <f t="shared" si="70"/>
        <v>9781118418925</v>
      </c>
      <c r="L9054">
        <v>0</v>
      </c>
      <c r="O9054" t="s">
        <v>30</v>
      </c>
      <c r="P9054" t="s">
        <v>29</v>
      </c>
      <c r="Q9054" s="1">
        <v>42248.644421296296</v>
      </c>
      <c r="R9054">
        <v>7</v>
      </c>
      <c r="S9054" t="s">
        <v>40</v>
      </c>
      <c r="T9054" t="s">
        <v>41</v>
      </c>
      <c r="U9054">
        <v>362.10680000000002</v>
      </c>
      <c r="V9054" s="3">
        <v>41759</v>
      </c>
    </row>
    <row r="9055" spans="1:22" x14ac:dyDescent="0.35">
      <c r="A9055" s="1">
        <v>42248.644236111111</v>
      </c>
      <c r="B9055" s="2">
        <v>1.8518518518518518E-4</v>
      </c>
      <c r="C9055" t="s">
        <v>10715</v>
      </c>
      <c r="D9055" t="s">
        <v>35</v>
      </c>
      <c r="E9055" t="s">
        <v>36</v>
      </c>
      <c r="F9055" t="s">
        <v>37</v>
      </c>
      <c r="G9055">
        <v>1684620</v>
      </c>
      <c r="H9055" t="s">
        <v>26</v>
      </c>
      <c r="I9055" t="s">
        <v>38</v>
      </c>
      <c r="J9055" t="str">
        <f t="shared" si="70"/>
        <v>9781118418925</v>
      </c>
      <c r="K9055" t="s">
        <v>786</v>
      </c>
      <c r="L9055">
        <v>3</v>
      </c>
      <c r="O9055" t="s">
        <v>30</v>
      </c>
      <c r="P9055" t="s">
        <v>42</v>
      </c>
      <c r="S9055" t="s">
        <v>40</v>
      </c>
      <c r="T9055" t="s">
        <v>41</v>
      </c>
      <c r="U9055">
        <v>362.10680000000002</v>
      </c>
      <c r="V9055" s="3">
        <v>41759</v>
      </c>
    </row>
    <row r="9056" spans="1:22" x14ac:dyDescent="0.35">
      <c r="A9056" s="1">
        <v>42248.620578703703</v>
      </c>
      <c r="B9056" s="2">
        <v>1.3888888888888889E-3</v>
      </c>
      <c r="C9056" t="s">
        <v>12650</v>
      </c>
      <c r="D9056" t="s">
        <v>158</v>
      </c>
      <c r="E9056" t="s">
        <v>159</v>
      </c>
      <c r="F9056" t="s">
        <v>5036</v>
      </c>
      <c r="G9056">
        <v>1318206</v>
      </c>
      <c r="H9056" t="s">
        <v>26</v>
      </c>
      <c r="I9056" t="s">
        <v>5037</v>
      </c>
      <c r="J9056" t="str">
        <f>"9781118363560"</f>
        <v>9781118363560</v>
      </c>
      <c r="K9056" t="s">
        <v>12651</v>
      </c>
      <c r="L9056">
        <v>33</v>
      </c>
      <c r="O9056" t="s">
        <v>30</v>
      </c>
      <c r="P9056" t="s">
        <v>42</v>
      </c>
      <c r="S9056" t="s">
        <v>163</v>
      </c>
      <c r="T9056" t="s">
        <v>5038</v>
      </c>
      <c r="U9056" t="s">
        <v>5039</v>
      </c>
      <c r="V9056" s="3">
        <v>41470</v>
      </c>
    </row>
    <row r="9057" spans="1:22" x14ac:dyDescent="0.35">
      <c r="A9057" s="1">
        <v>42248.619155092594</v>
      </c>
      <c r="B9057" s="2">
        <v>1.6851851851851851E-2</v>
      </c>
      <c r="C9057" t="s">
        <v>106</v>
      </c>
      <c r="D9057" t="s">
        <v>23</v>
      </c>
      <c r="E9057" t="s">
        <v>24</v>
      </c>
      <c r="F9057" t="s">
        <v>1051</v>
      </c>
      <c r="G9057">
        <v>821663</v>
      </c>
      <c r="H9057" t="s">
        <v>26</v>
      </c>
      <c r="I9057" t="s">
        <v>200</v>
      </c>
      <c r="J9057" t="str">
        <f>"9781118168479"</f>
        <v>9781118168479</v>
      </c>
      <c r="K9057" t="s">
        <v>12652</v>
      </c>
      <c r="L9057">
        <v>40</v>
      </c>
      <c r="O9057" t="s">
        <v>30</v>
      </c>
      <c r="P9057" t="s">
        <v>29</v>
      </c>
      <c r="Q9057" s="1">
        <v>42248.619155092594</v>
      </c>
      <c r="R9057">
        <v>7</v>
      </c>
      <c r="S9057" t="s">
        <v>31</v>
      </c>
      <c r="T9057" t="s">
        <v>1053</v>
      </c>
      <c r="U9057">
        <v>729</v>
      </c>
      <c r="V9057" s="3">
        <v>40973</v>
      </c>
    </row>
    <row r="9058" spans="1:22" x14ac:dyDescent="0.35">
      <c r="A9058" s="1">
        <v>42248.611840277779</v>
      </c>
      <c r="B9058" s="2">
        <v>7.3148148148148148E-3</v>
      </c>
      <c r="C9058" t="s">
        <v>106</v>
      </c>
      <c r="D9058" t="s">
        <v>23</v>
      </c>
      <c r="E9058" t="s">
        <v>24</v>
      </c>
      <c r="F9058" t="s">
        <v>1051</v>
      </c>
      <c r="G9058">
        <v>821663</v>
      </c>
      <c r="H9058" t="s">
        <v>26</v>
      </c>
      <c r="I9058" t="s">
        <v>200</v>
      </c>
      <c r="J9058" t="str">
        <f>"9781118168479"</f>
        <v>9781118168479</v>
      </c>
      <c r="K9058" t="s">
        <v>12653</v>
      </c>
      <c r="L9058">
        <v>26</v>
      </c>
      <c r="O9058" t="s">
        <v>30</v>
      </c>
      <c r="P9058" t="s">
        <v>42</v>
      </c>
      <c r="S9058" t="s">
        <v>31</v>
      </c>
      <c r="T9058" t="s">
        <v>1053</v>
      </c>
      <c r="U9058">
        <v>729</v>
      </c>
      <c r="V9058" s="3">
        <v>40973</v>
      </c>
    </row>
    <row r="9059" spans="1:22" x14ac:dyDescent="0.35">
      <c r="A9059" s="1">
        <v>42248.569976851853</v>
      </c>
      <c r="B9059" s="2">
        <v>1.1574074074074073E-4</v>
      </c>
      <c r="C9059" t="s">
        <v>1291</v>
      </c>
      <c r="D9059" t="s">
        <v>23</v>
      </c>
      <c r="E9059" t="s">
        <v>24</v>
      </c>
      <c r="F9059" t="s">
        <v>12654</v>
      </c>
      <c r="G9059">
        <v>817722</v>
      </c>
      <c r="H9059" t="s">
        <v>26</v>
      </c>
      <c r="I9059" t="s">
        <v>276</v>
      </c>
      <c r="J9059" t="str">
        <f>"9781118197417"</f>
        <v>9781118197417</v>
      </c>
      <c r="K9059" t="s">
        <v>3336</v>
      </c>
      <c r="L9059">
        <v>8</v>
      </c>
      <c r="O9059" t="s">
        <v>30</v>
      </c>
      <c r="P9059" t="s">
        <v>42</v>
      </c>
      <c r="S9059" t="s">
        <v>31</v>
      </c>
      <c r="T9059" t="s">
        <v>12655</v>
      </c>
      <c r="U9059">
        <v>5.4320000000000004</v>
      </c>
      <c r="V9059" s="3">
        <v>40984</v>
      </c>
    </row>
    <row r="9060" spans="1:22" x14ac:dyDescent="0.35">
      <c r="A9060" s="1">
        <v>42248.564606481479</v>
      </c>
      <c r="B9060" s="2">
        <v>1.273148148148148E-4</v>
      </c>
      <c r="C9060" t="s">
        <v>106</v>
      </c>
      <c r="D9060" t="s">
        <v>23</v>
      </c>
      <c r="E9060" t="s">
        <v>24</v>
      </c>
      <c r="F9060" t="s">
        <v>5036</v>
      </c>
      <c r="G9060">
        <v>1318206</v>
      </c>
      <c r="H9060" t="s">
        <v>26</v>
      </c>
      <c r="I9060" t="s">
        <v>5037</v>
      </c>
      <c r="J9060" t="str">
        <f>"9781118363560"</f>
        <v>9781118363560</v>
      </c>
      <c r="K9060" t="s">
        <v>63</v>
      </c>
      <c r="L9060">
        <v>1</v>
      </c>
      <c r="O9060" t="s">
        <v>28</v>
      </c>
      <c r="P9060" t="s">
        <v>29</v>
      </c>
      <c r="Q9060" s="1">
        <v>42248.564606481479</v>
      </c>
      <c r="R9060">
        <v>7</v>
      </c>
      <c r="S9060" t="s">
        <v>31</v>
      </c>
      <c r="T9060" t="s">
        <v>5038</v>
      </c>
      <c r="U9060" t="s">
        <v>5039</v>
      </c>
      <c r="V9060" s="3">
        <v>41470</v>
      </c>
    </row>
    <row r="9061" spans="1:22" x14ac:dyDescent="0.35">
      <c r="A9061" s="1">
        <v>42248.564606481479</v>
      </c>
      <c r="B9061" s="2">
        <v>0</v>
      </c>
      <c r="C9061" t="s">
        <v>106</v>
      </c>
      <c r="D9061" t="s">
        <v>23</v>
      </c>
      <c r="E9061" t="s">
        <v>24</v>
      </c>
      <c r="F9061" t="s">
        <v>5036</v>
      </c>
      <c r="G9061">
        <v>1318206</v>
      </c>
      <c r="H9061" t="s">
        <v>26</v>
      </c>
      <c r="I9061" t="s">
        <v>5037</v>
      </c>
      <c r="J9061" t="str">
        <f>"9781118363560"</f>
        <v>9781118363560</v>
      </c>
      <c r="L9061">
        <v>0</v>
      </c>
      <c r="O9061" t="s">
        <v>30</v>
      </c>
      <c r="P9061" t="s">
        <v>29</v>
      </c>
      <c r="Q9061" s="1">
        <v>42248.564606481479</v>
      </c>
      <c r="R9061">
        <v>7</v>
      </c>
      <c r="S9061" t="s">
        <v>31</v>
      </c>
      <c r="T9061" t="s">
        <v>5038</v>
      </c>
      <c r="U9061" t="s">
        <v>5039</v>
      </c>
      <c r="V9061" s="3">
        <v>41470</v>
      </c>
    </row>
    <row r="9062" spans="1:22" x14ac:dyDescent="0.35">
      <c r="A9062" s="1">
        <v>42248.564479166664</v>
      </c>
      <c r="B9062" s="2">
        <v>1.273148148148148E-4</v>
      </c>
      <c r="C9062" t="s">
        <v>106</v>
      </c>
      <c r="D9062" t="s">
        <v>23</v>
      </c>
      <c r="E9062" t="s">
        <v>24</v>
      </c>
      <c r="F9062" t="s">
        <v>5036</v>
      </c>
      <c r="G9062">
        <v>1318206</v>
      </c>
      <c r="H9062" t="s">
        <v>26</v>
      </c>
      <c r="I9062" t="s">
        <v>5037</v>
      </c>
      <c r="J9062" t="str">
        <f>"9781118363560"</f>
        <v>9781118363560</v>
      </c>
      <c r="K9062" t="s">
        <v>4918</v>
      </c>
      <c r="L9062">
        <v>3</v>
      </c>
      <c r="O9062" t="s">
        <v>30</v>
      </c>
      <c r="P9062" t="s">
        <v>42</v>
      </c>
      <c r="S9062" t="s">
        <v>31</v>
      </c>
      <c r="T9062" t="s">
        <v>5038</v>
      </c>
      <c r="U9062" t="s">
        <v>5039</v>
      </c>
      <c r="V9062" s="3">
        <v>41470</v>
      </c>
    </row>
    <row r="9063" spans="1:22" x14ac:dyDescent="0.35">
      <c r="A9063" s="1">
        <v>42248.543692129628</v>
      </c>
      <c r="B9063" s="2">
        <v>2.8587962962962963E-3</v>
      </c>
      <c r="C9063" t="s">
        <v>3906</v>
      </c>
      <c r="D9063" t="s">
        <v>35</v>
      </c>
      <c r="E9063" t="s">
        <v>36</v>
      </c>
      <c r="F9063" t="s">
        <v>37</v>
      </c>
      <c r="G9063">
        <v>1684620</v>
      </c>
      <c r="H9063" t="s">
        <v>26</v>
      </c>
      <c r="I9063" t="s">
        <v>38</v>
      </c>
      <c r="J9063" t="str">
        <f>"9781118418925"</f>
        <v>9781118418925</v>
      </c>
      <c r="K9063" t="s">
        <v>12656</v>
      </c>
      <c r="L9063">
        <v>24</v>
      </c>
      <c r="O9063" t="s">
        <v>30</v>
      </c>
      <c r="P9063" t="s">
        <v>42</v>
      </c>
      <c r="S9063" t="s">
        <v>40</v>
      </c>
      <c r="T9063" t="s">
        <v>41</v>
      </c>
      <c r="U9063">
        <v>362.10680000000002</v>
      </c>
      <c r="V9063" s="3">
        <v>41759</v>
      </c>
    </row>
    <row r="9064" spans="1:22" x14ac:dyDescent="0.35">
      <c r="A9064" s="1">
        <v>42248.53875</v>
      </c>
      <c r="B9064" s="2">
        <v>1.6087962962962963E-3</v>
      </c>
      <c r="C9064" t="s">
        <v>4728</v>
      </c>
      <c r="D9064" t="s">
        <v>623</v>
      </c>
      <c r="E9064" t="s">
        <v>624</v>
      </c>
      <c r="F9064" t="s">
        <v>4494</v>
      </c>
      <c r="G9064">
        <v>565082</v>
      </c>
      <c r="H9064" t="s">
        <v>26</v>
      </c>
      <c r="I9064" t="s">
        <v>69</v>
      </c>
      <c r="J9064" t="str">
        <f>"9781118041567"</f>
        <v>9781118041567</v>
      </c>
      <c r="K9064" t="s">
        <v>12657</v>
      </c>
      <c r="L9064">
        <v>2</v>
      </c>
      <c r="O9064" t="s">
        <v>30</v>
      </c>
      <c r="P9064" t="s">
        <v>29</v>
      </c>
      <c r="Q9064" s="1">
        <v>42248.53875</v>
      </c>
      <c r="R9064">
        <v>7</v>
      </c>
      <c r="S9064" t="s">
        <v>627</v>
      </c>
      <c r="T9064" t="s">
        <v>4496</v>
      </c>
      <c r="U9064" t="s">
        <v>4497</v>
      </c>
      <c r="V9064" s="3">
        <v>40337</v>
      </c>
    </row>
    <row r="9065" spans="1:22" x14ac:dyDescent="0.35">
      <c r="A9065" s="1">
        <v>42248.531319444446</v>
      </c>
      <c r="B9065" s="2">
        <v>7.4305555555555548E-3</v>
      </c>
      <c r="C9065" t="s">
        <v>4728</v>
      </c>
      <c r="D9065" t="s">
        <v>623</v>
      </c>
      <c r="E9065" t="s">
        <v>624</v>
      </c>
      <c r="F9065" t="s">
        <v>4494</v>
      </c>
      <c r="G9065">
        <v>565082</v>
      </c>
      <c r="H9065" t="s">
        <v>26</v>
      </c>
      <c r="I9065" t="s">
        <v>69</v>
      </c>
      <c r="J9065" t="str">
        <f>"9781118041567"</f>
        <v>9781118041567</v>
      </c>
      <c r="K9065" t="s">
        <v>12658</v>
      </c>
      <c r="L9065">
        <v>17</v>
      </c>
      <c r="O9065" t="s">
        <v>30</v>
      </c>
      <c r="P9065" t="s">
        <v>42</v>
      </c>
      <c r="S9065" t="s">
        <v>627</v>
      </c>
      <c r="T9065" t="s">
        <v>4496</v>
      </c>
      <c r="U9065" t="s">
        <v>4497</v>
      </c>
      <c r="V9065" s="3">
        <v>40337</v>
      </c>
    </row>
    <row r="9066" spans="1:22" x14ac:dyDescent="0.35">
      <c r="A9066" s="1">
        <v>42248.163483796299</v>
      </c>
      <c r="B9066" s="2">
        <v>6.9444444444444447E-4</v>
      </c>
      <c r="C9066" t="s">
        <v>607</v>
      </c>
      <c r="D9066" t="s">
        <v>23</v>
      </c>
      <c r="E9066" t="s">
        <v>24</v>
      </c>
      <c r="F9066" t="s">
        <v>9694</v>
      </c>
      <c r="G9066">
        <v>1062012</v>
      </c>
      <c r="H9066" t="s">
        <v>526</v>
      </c>
      <c r="I9066" t="s">
        <v>310</v>
      </c>
      <c r="J9066" t="str">
        <f>"9780226924182"</f>
        <v>9780226924182</v>
      </c>
      <c r="K9066" t="s">
        <v>12659</v>
      </c>
      <c r="L9066">
        <v>17</v>
      </c>
      <c r="O9066" t="s">
        <v>30</v>
      </c>
      <c r="P9066" t="s">
        <v>50</v>
      </c>
      <c r="S9066" t="s">
        <v>31</v>
      </c>
      <c r="T9066" t="s">
        <v>9696</v>
      </c>
      <c r="U9066" t="s">
        <v>3462</v>
      </c>
      <c r="V9066" s="3">
        <v>41276</v>
      </c>
    </row>
    <row r="9067" spans="1:22" x14ac:dyDescent="0.35">
      <c r="A9067" s="1">
        <v>42248.103819444441</v>
      </c>
      <c r="B9067" s="2">
        <v>3.4375E-3</v>
      </c>
      <c r="C9067" t="s">
        <v>9785</v>
      </c>
      <c r="D9067" t="s">
        <v>23</v>
      </c>
      <c r="E9067" t="s">
        <v>24</v>
      </c>
      <c r="F9067" t="s">
        <v>3488</v>
      </c>
      <c r="G9067">
        <v>1294909</v>
      </c>
      <c r="H9067" t="s">
        <v>84</v>
      </c>
      <c r="I9067" t="s">
        <v>445</v>
      </c>
      <c r="J9067" t="str">
        <f>"9780520956797"</f>
        <v>9780520956797</v>
      </c>
      <c r="K9067" t="s">
        <v>278</v>
      </c>
      <c r="L9067">
        <v>21</v>
      </c>
      <c r="O9067" t="s">
        <v>30</v>
      </c>
      <c r="P9067" t="s">
        <v>29</v>
      </c>
      <c r="Q9067" s="1">
        <v>42247.779918981483</v>
      </c>
      <c r="R9067">
        <v>7</v>
      </c>
      <c r="S9067" t="s">
        <v>31</v>
      </c>
      <c r="T9067" t="s">
        <v>3490</v>
      </c>
      <c r="U9067" t="s">
        <v>3491</v>
      </c>
      <c r="V9067" s="3">
        <v>41487</v>
      </c>
    </row>
    <row r="9068" spans="1:22" x14ac:dyDescent="0.35">
      <c r="A9068" s="1">
        <v>42248.103541666664</v>
      </c>
      <c r="B9068" s="2">
        <v>3.0787037037037037E-3</v>
      </c>
      <c r="C9068" t="s">
        <v>607</v>
      </c>
      <c r="D9068" t="s">
        <v>23</v>
      </c>
      <c r="E9068" t="s">
        <v>24</v>
      </c>
      <c r="F9068" t="s">
        <v>12660</v>
      </c>
      <c r="G9068">
        <v>1331834</v>
      </c>
      <c r="H9068" t="s">
        <v>526</v>
      </c>
      <c r="I9068" t="s">
        <v>348</v>
      </c>
      <c r="J9068" t="str">
        <f>"9780226041285"</f>
        <v>9780226041285</v>
      </c>
      <c r="K9068" t="s">
        <v>12661</v>
      </c>
      <c r="L9068">
        <v>42</v>
      </c>
      <c r="O9068" t="s">
        <v>30</v>
      </c>
      <c r="P9068" t="s">
        <v>50</v>
      </c>
      <c r="S9068" t="s">
        <v>31</v>
      </c>
      <c r="T9068" t="s">
        <v>12662</v>
      </c>
      <c r="U9068" t="s">
        <v>2822</v>
      </c>
      <c r="V9068" s="3">
        <v>41526</v>
      </c>
    </row>
    <row r="9069" spans="1:22" x14ac:dyDescent="0.35">
      <c r="A9069" s="1">
        <v>42248.065416666665</v>
      </c>
      <c r="B9069" s="2">
        <v>2.0717592592592593E-3</v>
      </c>
      <c r="C9069" t="s">
        <v>12663</v>
      </c>
      <c r="D9069" t="s">
        <v>158</v>
      </c>
      <c r="E9069" t="s">
        <v>159</v>
      </c>
      <c r="F9069" t="s">
        <v>10868</v>
      </c>
      <c r="G9069">
        <v>1204057</v>
      </c>
      <c r="H9069" t="s">
        <v>26</v>
      </c>
      <c r="I9069" t="s">
        <v>2751</v>
      </c>
      <c r="J9069" t="str">
        <f>"9781118598122"</f>
        <v>9781118598122</v>
      </c>
      <c r="K9069" t="s">
        <v>12664</v>
      </c>
      <c r="L9069">
        <v>33</v>
      </c>
      <c r="O9069" t="s">
        <v>30</v>
      </c>
      <c r="P9069" t="s">
        <v>42</v>
      </c>
      <c r="S9069" t="s">
        <v>163</v>
      </c>
      <c r="T9069" t="s">
        <v>10870</v>
      </c>
      <c r="U9069" t="s">
        <v>10871</v>
      </c>
      <c r="V9069" s="3">
        <v>41414</v>
      </c>
    </row>
    <row r="9070" spans="1:22" x14ac:dyDescent="0.35">
      <c r="A9070" s="1">
        <v>42248.027395833335</v>
      </c>
      <c r="B9070" s="2">
        <v>2.3032407407407407E-3</v>
      </c>
      <c r="C9070" t="s">
        <v>12505</v>
      </c>
      <c r="D9070" t="s">
        <v>23</v>
      </c>
      <c r="E9070" t="s">
        <v>24</v>
      </c>
      <c r="F9070" t="s">
        <v>3488</v>
      </c>
      <c r="G9070">
        <v>1294909</v>
      </c>
      <c r="H9070" t="s">
        <v>84</v>
      </c>
      <c r="I9070" t="s">
        <v>445</v>
      </c>
      <c r="J9070" t="str">
        <f t="shared" ref="J9070:J9086" si="71">"9780520956797"</f>
        <v>9780520956797</v>
      </c>
      <c r="K9070" t="s">
        <v>12665</v>
      </c>
      <c r="L9070">
        <v>24</v>
      </c>
      <c r="M9070" t="s">
        <v>3375</v>
      </c>
      <c r="O9070" t="s">
        <v>30</v>
      </c>
      <c r="P9070" t="s">
        <v>29</v>
      </c>
      <c r="Q9070" s="1">
        <v>42247.979733796295</v>
      </c>
      <c r="R9070">
        <v>7</v>
      </c>
      <c r="S9070" t="s">
        <v>31</v>
      </c>
      <c r="T9070" t="s">
        <v>3490</v>
      </c>
      <c r="U9070" t="s">
        <v>3491</v>
      </c>
      <c r="V9070" s="3">
        <v>41487</v>
      </c>
    </row>
    <row r="9071" spans="1:22" x14ac:dyDescent="0.35">
      <c r="A9071" s="1">
        <v>42248.017256944448</v>
      </c>
      <c r="B9071" s="2">
        <v>1.3888888888888889E-4</v>
      </c>
      <c r="C9071" t="s">
        <v>3487</v>
      </c>
      <c r="D9071" t="s">
        <v>23</v>
      </c>
      <c r="E9071" t="s">
        <v>24</v>
      </c>
      <c r="F9071" t="s">
        <v>3488</v>
      </c>
      <c r="G9071">
        <v>1294909</v>
      </c>
      <c r="H9071" t="s">
        <v>84</v>
      </c>
      <c r="I9071" t="s">
        <v>445</v>
      </c>
      <c r="J9071" t="str">
        <f t="shared" si="71"/>
        <v>9780520956797</v>
      </c>
      <c r="K9071" t="s">
        <v>12666</v>
      </c>
      <c r="L9071">
        <v>10</v>
      </c>
      <c r="O9071" t="s">
        <v>30</v>
      </c>
      <c r="P9071" t="s">
        <v>42</v>
      </c>
      <c r="S9071" t="s">
        <v>31</v>
      </c>
      <c r="T9071" t="s">
        <v>3490</v>
      </c>
      <c r="U9071" t="s">
        <v>3491</v>
      </c>
      <c r="V9071" s="3">
        <v>41487</v>
      </c>
    </row>
    <row r="9072" spans="1:22" x14ac:dyDescent="0.35">
      <c r="A9072" s="1">
        <v>42248.011956018519</v>
      </c>
      <c r="B9072" s="2">
        <v>2.3032407407407407E-3</v>
      </c>
      <c r="C9072" t="s">
        <v>12505</v>
      </c>
      <c r="D9072" t="s">
        <v>23</v>
      </c>
      <c r="E9072" t="s">
        <v>24</v>
      </c>
      <c r="F9072" t="s">
        <v>3488</v>
      </c>
      <c r="G9072">
        <v>1294909</v>
      </c>
      <c r="H9072" t="s">
        <v>84</v>
      </c>
      <c r="I9072" t="s">
        <v>445</v>
      </c>
      <c r="J9072" t="str">
        <f t="shared" si="71"/>
        <v>9780520956797</v>
      </c>
      <c r="K9072" t="s">
        <v>12667</v>
      </c>
      <c r="L9072">
        <v>29</v>
      </c>
      <c r="M9072" t="s">
        <v>12668</v>
      </c>
      <c r="N9072" t="s">
        <v>12669</v>
      </c>
      <c r="O9072" t="s">
        <v>30</v>
      </c>
      <c r="P9072" t="s">
        <v>29</v>
      </c>
      <c r="Q9072" s="1">
        <v>42247.979733796295</v>
      </c>
      <c r="R9072">
        <v>7</v>
      </c>
      <c r="S9072" t="s">
        <v>31</v>
      </c>
      <c r="T9072" t="s">
        <v>3490</v>
      </c>
      <c r="U9072" t="s">
        <v>3491</v>
      </c>
      <c r="V9072" s="3">
        <v>41487</v>
      </c>
    </row>
    <row r="9073" spans="1:22" x14ac:dyDescent="0.35">
      <c r="A9073" s="1">
        <v>42247.979733796295</v>
      </c>
      <c r="B9073" s="2">
        <v>0</v>
      </c>
      <c r="C9073" t="s">
        <v>12505</v>
      </c>
      <c r="D9073" t="s">
        <v>23</v>
      </c>
      <c r="E9073" t="s">
        <v>24</v>
      </c>
      <c r="F9073" t="s">
        <v>3488</v>
      </c>
      <c r="G9073">
        <v>1294909</v>
      </c>
      <c r="H9073" t="s">
        <v>84</v>
      </c>
      <c r="I9073" t="s">
        <v>445</v>
      </c>
      <c r="J9073" t="str">
        <f t="shared" si="71"/>
        <v>9780520956797</v>
      </c>
      <c r="L9073">
        <v>0</v>
      </c>
      <c r="N9073" t="s">
        <v>12670</v>
      </c>
      <c r="O9073" t="s">
        <v>30</v>
      </c>
      <c r="P9073" t="s">
        <v>29</v>
      </c>
      <c r="Q9073" s="1">
        <v>42247.979733796295</v>
      </c>
      <c r="R9073">
        <v>7</v>
      </c>
      <c r="S9073" t="s">
        <v>31</v>
      </c>
      <c r="T9073" t="s">
        <v>3490</v>
      </c>
      <c r="U9073" t="s">
        <v>3491</v>
      </c>
      <c r="V9073" s="3">
        <v>41487</v>
      </c>
    </row>
    <row r="9074" spans="1:22" x14ac:dyDescent="0.35">
      <c r="A9074" s="1">
        <v>42247.979618055557</v>
      </c>
      <c r="B9074" s="2">
        <v>1.1574074074074073E-4</v>
      </c>
      <c r="C9074" t="s">
        <v>12505</v>
      </c>
      <c r="D9074" t="s">
        <v>23</v>
      </c>
      <c r="E9074" t="s">
        <v>24</v>
      </c>
      <c r="F9074" t="s">
        <v>3488</v>
      </c>
      <c r="G9074">
        <v>1294909</v>
      </c>
      <c r="H9074" t="s">
        <v>84</v>
      </c>
      <c r="I9074" t="s">
        <v>445</v>
      </c>
      <c r="J9074" t="str">
        <f t="shared" si="71"/>
        <v>9780520956797</v>
      </c>
      <c r="K9074" t="s">
        <v>209</v>
      </c>
      <c r="L9074">
        <v>4</v>
      </c>
      <c r="O9074" t="s">
        <v>30</v>
      </c>
      <c r="P9074" t="s">
        <v>42</v>
      </c>
      <c r="S9074" t="s">
        <v>31</v>
      </c>
      <c r="T9074" t="s">
        <v>3490</v>
      </c>
      <c r="U9074" t="s">
        <v>3491</v>
      </c>
      <c r="V9074" s="3">
        <v>41487</v>
      </c>
    </row>
    <row r="9075" spans="1:22" x14ac:dyDescent="0.35">
      <c r="A9075" s="1">
        <v>42247.979050925926</v>
      </c>
      <c r="B9075" s="2">
        <v>1.0185185185185186E-3</v>
      </c>
      <c r="C9075" t="s">
        <v>12671</v>
      </c>
      <c r="D9075" t="s">
        <v>23</v>
      </c>
      <c r="E9075" t="s">
        <v>24</v>
      </c>
      <c r="F9075" t="s">
        <v>3488</v>
      </c>
      <c r="G9075">
        <v>1294909</v>
      </c>
      <c r="H9075" t="s">
        <v>84</v>
      </c>
      <c r="I9075" t="s">
        <v>445</v>
      </c>
      <c r="J9075" t="str">
        <f t="shared" si="71"/>
        <v>9780520956797</v>
      </c>
      <c r="K9075" t="s">
        <v>12672</v>
      </c>
      <c r="L9075">
        <v>4</v>
      </c>
      <c r="N9075" t="s">
        <v>7127</v>
      </c>
      <c r="O9075" t="s">
        <v>28</v>
      </c>
      <c r="P9075" t="s">
        <v>29</v>
      </c>
      <c r="Q9075" s="1">
        <v>42247.978333333333</v>
      </c>
      <c r="R9075">
        <v>7</v>
      </c>
      <c r="S9075" t="s">
        <v>31</v>
      </c>
      <c r="T9075" t="s">
        <v>3490</v>
      </c>
      <c r="U9075" t="s">
        <v>3491</v>
      </c>
      <c r="V9075" s="3">
        <v>41487</v>
      </c>
    </row>
    <row r="9076" spans="1:22" x14ac:dyDescent="0.35">
      <c r="A9076" s="1">
        <v>42247.978333333333</v>
      </c>
      <c r="B9076" s="2">
        <v>4.6296296296296293E-4</v>
      </c>
      <c r="C9076" t="s">
        <v>12671</v>
      </c>
      <c r="D9076" t="s">
        <v>23</v>
      </c>
      <c r="E9076" t="s">
        <v>24</v>
      </c>
      <c r="F9076" t="s">
        <v>3488</v>
      </c>
      <c r="G9076">
        <v>1294909</v>
      </c>
      <c r="H9076" t="s">
        <v>84</v>
      </c>
      <c r="I9076" t="s">
        <v>445</v>
      </c>
      <c r="J9076" t="str">
        <f t="shared" si="71"/>
        <v>9780520956797</v>
      </c>
      <c r="K9076" t="s">
        <v>182</v>
      </c>
      <c r="L9076">
        <v>1</v>
      </c>
      <c r="N9076" t="s">
        <v>12673</v>
      </c>
      <c r="O9076" t="s">
        <v>30</v>
      </c>
      <c r="P9076" t="s">
        <v>29</v>
      </c>
      <c r="Q9076" s="1">
        <v>42247.978333333333</v>
      </c>
      <c r="R9076">
        <v>7</v>
      </c>
      <c r="S9076" t="s">
        <v>31</v>
      </c>
      <c r="T9076" t="s">
        <v>3490</v>
      </c>
      <c r="U9076" t="s">
        <v>3491</v>
      </c>
      <c r="V9076" s="3">
        <v>41487</v>
      </c>
    </row>
    <row r="9077" spans="1:22" x14ac:dyDescent="0.35">
      <c r="A9077" s="1">
        <v>42247.977997685186</v>
      </c>
      <c r="B9077" s="2">
        <v>3.3564814814814812E-4</v>
      </c>
      <c r="C9077" t="s">
        <v>12671</v>
      </c>
      <c r="D9077" t="s">
        <v>23</v>
      </c>
      <c r="E9077" t="s">
        <v>24</v>
      </c>
      <c r="F9077" t="s">
        <v>3488</v>
      </c>
      <c r="G9077">
        <v>1294909</v>
      </c>
      <c r="H9077" t="s">
        <v>84</v>
      </c>
      <c r="I9077" t="s">
        <v>445</v>
      </c>
      <c r="J9077" t="str">
        <f t="shared" si="71"/>
        <v>9780520956797</v>
      </c>
      <c r="K9077" t="s">
        <v>12674</v>
      </c>
      <c r="L9077">
        <v>8</v>
      </c>
      <c r="O9077" t="s">
        <v>30</v>
      </c>
      <c r="P9077" t="s">
        <v>42</v>
      </c>
      <c r="S9077" t="s">
        <v>31</v>
      </c>
      <c r="T9077" t="s">
        <v>3490</v>
      </c>
      <c r="U9077" t="s">
        <v>3491</v>
      </c>
      <c r="V9077" s="3">
        <v>41487</v>
      </c>
    </row>
    <row r="9078" spans="1:22" x14ac:dyDescent="0.35">
      <c r="A9078" s="1">
        <v>42247.861296296294</v>
      </c>
      <c r="B9078" s="2">
        <v>0</v>
      </c>
      <c r="C9078" t="s">
        <v>12675</v>
      </c>
      <c r="D9078" t="s">
        <v>23</v>
      </c>
      <c r="E9078" t="s">
        <v>24</v>
      </c>
      <c r="F9078" t="s">
        <v>3488</v>
      </c>
      <c r="G9078">
        <v>1294909</v>
      </c>
      <c r="H9078" t="s">
        <v>84</v>
      </c>
      <c r="I9078" t="s">
        <v>445</v>
      </c>
      <c r="J9078" t="str">
        <f t="shared" si="71"/>
        <v>9780520956797</v>
      </c>
      <c r="L9078">
        <v>0</v>
      </c>
      <c r="N9078" t="s">
        <v>12676</v>
      </c>
      <c r="O9078" t="s">
        <v>30</v>
      </c>
      <c r="P9078" t="s">
        <v>29</v>
      </c>
      <c r="Q9078" s="1">
        <v>42247.861296296294</v>
      </c>
      <c r="R9078">
        <v>7</v>
      </c>
      <c r="S9078" t="s">
        <v>31</v>
      </c>
      <c r="T9078" t="s">
        <v>3490</v>
      </c>
      <c r="U9078" t="s">
        <v>3491</v>
      </c>
      <c r="V9078" s="3">
        <v>41487</v>
      </c>
    </row>
    <row r="9079" spans="1:22" x14ac:dyDescent="0.35">
      <c r="A9079" s="1">
        <v>42247.860937500001</v>
      </c>
      <c r="B9079" s="2">
        <v>4.6296296296296293E-4</v>
      </c>
      <c r="C9079" t="s">
        <v>12677</v>
      </c>
      <c r="D9079" t="s">
        <v>23</v>
      </c>
      <c r="E9079" t="s">
        <v>24</v>
      </c>
      <c r="F9079" t="s">
        <v>3488</v>
      </c>
      <c r="G9079">
        <v>1294909</v>
      </c>
      <c r="H9079" t="s">
        <v>84</v>
      </c>
      <c r="I9079" t="s">
        <v>445</v>
      </c>
      <c r="J9079" t="str">
        <f t="shared" si="71"/>
        <v>9780520956797</v>
      </c>
      <c r="K9079" t="s">
        <v>12678</v>
      </c>
      <c r="L9079">
        <v>19</v>
      </c>
      <c r="N9079" t="s">
        <v>7127</v>
      </c>
      <c r="O9079" t="s">
        <v>30</v>
      </c>
      <c r="P9079" t="s">
        <v>29</v>
      </c>
      <c r="Q9079" s="1">
        <v>42247.850601851853</v>
      </c>
      <c r="R9079">
        <v>7</v>
      </c>
      <c r="S9079" t="s">
        <v>31</v>
      </c>
      <c r="T9079" t="s">
        <v>3490</v>
      </c>
      <c r="U9079" t="s">
        <v>3491</v>
      </c>
      <c r="V9079" s="3">
        <v>41487</v>
      </c>
    </row>
    <row r="9080" spans="1:22" x14ac:dyDescent="0.35">
      <c r="A9080" s="1">
        <v>42247.860706018517</v>
      </c>
      <c r="B9080" s="2">
        <v>5.9027777777777778E-4</v>
      </c>
      <c r="C9080" t="s">
        <v>12675</v>
      </c>
      <c r="D9080" t="s">
        <v>23</v>
      </c>
      <c r="E9080" t="s">
        <v>24</v>
      </c>
      <c r="F9080" t="s">
        <v>3488</v>
      </c>
      <c r="G9080">
        <v>1294909</v>
      </c>
      <c r="H9080" t="s">
        <v>84</v>
      </c>
      <c r="I9080" t="s">
        <v>445</v>
      </c>
      <c r="J9080" t="str">
        <f t="shared" si="71"/>
        <v>9780520956797</v>
      </c>
      <c r="K9080" t="s">
        <v>12679</v>
      </c>
      <c r="L9080">
        <v>23</v>
      </c>
      <c r="O9080" t="s">
        <v>30</v>
      </c>
      <c r="P9080" t="s">
        <v>42</v>
      </c>
      <c r="S9080" t="s">
        <v>31</v>
      </c>
      <c r="T9080" t="s">
        <v>3490</v>
      </c>
      <c r="U9080" t="s">
        <v>3491</v>
      </c>
      <c r="V9080" s="3">
        <v>41487</v>
      </c>
    </row>
    <row r="9081" spans="1:22" x14ac:dyDescent="0.35">
      <c r="A9081" s="1">
        <v>42247.858472222222</v>
      </c>
      <c r="B9081" s="2">
        <v>2.4305555555555552E-4</v>
      </c>
      <c r="C9081" t="s">
        <v>12677</v>
      </c>
      <c r="D9081" t="s">
        <v>23</v>
      </c>
      <c r="E9081" t="s">
        <v>24</v>
      </c>
      <c r="F9081" t="s">
        <v>3488</v>
      </c>
      <c r="G9081">
        <v>1294909</v>
      </c>
      <c r="H9081" t="s">
        <v>84</v>
      </c>
      <c r="I9081" t="s">
        <v>445</v>
      </c>
      <c r="J9081" t="str">
        <f t="shared" si="71"/>
        <v>9780520956797</v>
      </c>
      <c r="K9081" t="s">
        <v>12680</v>
      </c>
      <c r="L9081">
        <v>9</v>
      </c>
      <c r="O9081" t="s">
        <v>30</v>
      </c>
      <c r="P9081" t="s">
        <v>29</v>
      </c>
      <c r="Q9081" s="1">
        <v>42247.850601851853</v>
      </c>
      <c r="R9081">
        <v>7</v>
      </c>
      <c r="S9081" t="s">
        <v>31</v>
      </c>
      <c r="T9081" t="s">
        <v>3490</v>
      </c>
      <c r="U9081" t="s">
        <v>3491</v>
      </c>
      <c r="V9081" s="3">
        <v>41487</v>
      </c>
    </row>
    <row r="9082" spans="1:22" x14ac:dyDescent="0.35">
      <c r="A9082" s="1">
        <v>42247.850601851853</v>
      </c>
      <c r="B9082" s="2">
        <v>1.1226851851851851E-3</v>
      </c>
      <c r="C9082" t="s">
        <v>12677</v>
      </c>
      <c r="D9082" t="s">
        <v>23</v>
      </c>
      <c r="E9082" t="s">
        <v>24</v>
      </c>
      <c r="F9082" t="s">
        <v>3488</v>
      </c>
      <c r="G9082">
        <v>1294909</v>
      </c>
      <c r="H9082" t="s">
        <v>84</v>
      </c>
      <c r="I9082" t="s">
        <v>445</v>
      </c>
      <c r="J9082" t="str">
        <f t="shared" si="71"/>
        <v>9780520956797</v>
      </c>
      <c r="K9082" t="s">
        <v>12681</v>
      </c>
      <c r="L9082">
        <v>12</v>
      </c>
      <c r="N9082" t="s">
        <v>12682</v>
      </c>
      <c r="O9082" t="s">
        <v>30</v>
      </c>
      <c r="P9082" t="s">
        <v>29</v>
      </c>
      <c r="Q9082" s="1">
        <v>42247.850601851853</v>
      </c>
      <c r="R9082">
        <v>7</v>
      </c>
      <c r="S9082" t="s">
        <v>31</v>
      </c>
      <c r="T9082" t="s">
        <v>3490</v>
      </c>
      <c r="U9082" t="s">
        <v>3491</v>
      </c>
      <c r="V9082" s="3">
        <v>41487</v>
      </c>
    </row>
    <row r="9083" spans="1:22" x14ac:dyDescent="0.35">
      <c r="A9083" s="1">
        <v>42247.849606481483</v>
      </c>
      <c r="B9083" s="2">
        <v>9.9537037037037042E-4</v>
      </c>
      <c r="C9083" t="s">
        <v>12677</v>
      </c>
      <c r="D9083" t="s">
        <v>23</v>
      </c>
      <c r="E9083" t="s">
        <v>24</v>
      </c>
      <c r="F9083" t="s">
        <v>3488</v>
      </c>
      <c r="G9083">
        <v>1294909</v>
      </c>
      <c r="H9083" t="s">
        <v>84</v>
      </c>
      <c r="I9083" t="s">
        <v>445</v>
      </c>
      <c r="J9083" t="str">
        <f t="shared" si="71"/>
        <v>9780520956797</v>
      </c>
      <c r="K9083" t="s">
        <v>33</v>
      </c>
      <c r="L9083">
        <v>3</v>
      </c>
      <c r="O9083" t="s">
        <v>30</v>
      </c>
      <c r="P9083" t="s">
        <v>42</v>
      </c>
      <c r="S9083" t="s">
        <v>31</v>
      </c>
      <c r="T9083" t="s">
        <v>3490</v>
      </c>
      <c r="U9083" t="s">
        <v>3491</v>
      </c>
      <c r="V9083" s="3">
        <v>41487</v>
      </c>
    </row>
    <row r="9084" spans="1:22" x14ac:dyDescent="0.35">
      <c r="A9084" s="1">
        <v>42247.815520833334</v>
      </c>
      <c r="B9084" s="2">
        <v>4.6296296296296294E-5</v>
      </c>
      <c r="C9084" t="s">
        <v>106</v>
      </c>
      <c r="D9084" t="s">
        <v>23</v>
      </c>
      <c r="E9084" t="s">
        <v>24</v>
      </c>
      <c r="F9084" t="s">
        <v>3488</v>
      </c>
      <c r="G9084">
        <v>1294909</v>
      </c>
      <c r="H9084" t="s">
        <v>84</v>
      </c>
      <c r="I9084" t="s">
        <v>445</v>
      </c>
      <c r="J9084" t="str">
        <f t="shared" si="71"/>
        <v>9780520956797</v>
      </c>
      <c r="K9084" t="s">
        <v>63</v>
      </c>
      <c r="L9084">
        <v>1</v>
      </c>
      <c r="O9084" t="s">
        <v>28</v>
      </c>
      <c r="P9084" t="s">
        <v>29</v>
      </c>
      <c r="Q9084" s="1">
        <v>42247.815520833334</v>
      </c>
      <c r="R9084">
        <v>7</v>
      </c>
      <c r="S9084" t="s">
        <v>31</v>
      </c>
      <c r="T9084" t="s">
        <v>3490</v>
      </c>
      <c r="U9084" t="s">
        <v>3491</v>
      </c>
      <c r="V9084" s="3">
        <v>41487</v>
      </c>
    </row>
    <row r="9085" spans="1:22" x14ac:dyDescent="0.35">
      <c r="A9085" s="1">
        <v>42247.815520833334</v>
      </c>
      <c r="B9085" s="2">
        <v>0</v>
      </c>
      <c r="C9085" t="s">
        <v>106</v>
      </c>
      <c r="D9085" t="s">
        <v>23</v>
      </c>
      <c r="E9085" t="s">
        <v>24</v>
      </c>
      <c r="F9085" t="s">
        <v>3488</v>
      </c>
      <c r="G9085">
        <v>1294909</v>
      </c>
      <c r="H9085" t="s">
        <v>84</v>
      </c>
      <c r="I9085" t="s">
        <v>445</v>
      </c>
      <c r="J9085" t="str">
        <f t="shared" si="71"/>
        <v>9780520956797</v>
      </c>
      <c r="L9085">
        <v>0</v>
      </c>
      <c r="O9085" t="s">
        <v>30</v>
      </c>
      <c r="P9085" t="s">
        <v>29</v>
      </c>
      <c r="Q9085" s="1">
        <v>42247.815520833334</v>
      </c>
      <c r="R9085">
        <v>7</v>
      </c>
      <c r="S9085" t="s">
        <v>31</v>
      </c>
      <c r="T9085" t="s">
        <v>3490</v>
      </c>
      <c r="U9085" t="s">
        <v>3491</v>
      </c>
      <c r="V9085" s="3">
        <v>41487</v>
      </c>
    </row>
    <row r="9086" spans="1:22" x14ac:dyDescent="0.35">
      <c r="A9086" s="1">
        <v>42247.815312500003</v>
      </c>
      <c r="B9086" s="2">
        <v>2.0833333333333335E-4</v>
      </c>
      <c r="C9086" t="s">
        <v>106</v>
      </c>
      <c r="D9086" t="s">
        <v>23</v>
      </c>
      <c r="E9086" t="s">
        <v>24</v>
      </c>
      <c r="F9086" t="s">
        <v>3488</v>
      </c>
      <c r="G9086">
        <v>1294909</v>
      </c>
      <c r="H9086" t="s">
        <v>84</v>
      </c>
      <c r="I9086" t="s">
        <v>445</v>
      </c>
      <c r="J9086" t="str">
        <f t="shared" si="71"/>
        <v>9780520956797</v>
      </c>
      <c r="K9086" t="s">
        <v>777</v>
      </c>
      <c r="L9086">
        <v>3</v>
      </c>
      <c r="O9086" t="s">
        <v>30</v>
      </c>
      <c r="P9086" t="s">
        <v>42</v>
      </c>
      <c r="S9086" t="s">
        <v>31</v>
      </c>
      <c r="T9086" t="s">
        <v>3490</v>
      </c>
      <c r="U9086" t="s">
        <v>3491</v>
      </c>
      <c r="V9086" s="3">
        <v>41487</v>
      </c>
    </row>
    <row r="9087" spans="1:22" x14ac:dyDescent="0.35">
      <c r="A9087" s="1">
        <v>42247.814398148148</v>
      </c>
      <c r="B9087" s="2">
        <v>3.4722222222222222E-5</v>
      </c>
      <c r="C9087" t="s">
        <v>12683</v>
      </c>
      <c r="D9087" t="s">
        <v>261</v>
      </c>
      <c r="E9087" t="s">
        <v>262</v>
      </c>
      <c r="F9087" t="s">
        <v>12684</v>
      </c>
      <c r="G9087">
        <v>1776262</v>
      </c>
      <c r="H9087" t="s">
        <v>526</v>
      </c>
      <c r="I9087" t="s">
        <v>12685</v>
      </c>
      <c r="J9087" t="str">
        <f>"9780226079837"</f>
        <v>9780226079837</v>
      </c>
      <c r="K9087" t="s">
        <v>33</v>
      </c>
      <c r="L9087">
        <v>3</v>
      </c>
      <c r="O9087" t="s">
        <v>30</v>
      </c>
      <c r="P9087" t="s">
        <v>50</v>
      </c>
      <c r="S9087" t="s">
        <v>264</v>
      </c>
      <c r="T9087" t="s">
        <v>12686</v>
      </c>
      <c r="U9087" t="s">
        <v>12687</v>
      </c>
      <c r="V9087" s="3">
        <v>41915</v>
      </c>
    </row>
    <row r="9088" spans="1:22" x14ac:dyDescent="0.35">
      <c r="A9088" s="1">
        <v>42247.809039351851</v>
      </c>
      <c r="B9088" s="2">
        <v>3.4722222222222222E-5</v>
      </c>
      <c r="C9088" t="s">
        <v>12505</v>
      </c>
      <c r="D9088" t="s">
        <v>23</v>
      </c>
      <c r="E9088" t="s">
        <v>24</v>
      </c>
      <c r="F9088" t="s">
        <v>3488</v>
      </c>
      <c r="G9088">
        <v>1294909</v>
      </c>
      <c r="H9088" t="s">
        <v>84</v>
      </c>
      <c r="I9088" t="s">
        <v>445</v>
      </c>
      <c r="J9088" t="str">
        <f>"9780520956797"</f>
        <v>9780520956797</v>
      </c>
      <c r="K9088" t="s">
        <v>33</v>
      </c>
      <c r="L9088">
        <v>3</v>
      </c>
      <c r="O9088" t="s">
        <v>30</v>
      </c>
      <c r="P9088" t="s">
        <v>42</v>
      </c>
      <c r="S9088" t="s">
        <v>31</v>
      </c>
      <c r="T9088" t="s">
        <v>3490</v>
      </c>
      <c r="U9088" t="s">
        <v>3491</v>
      </c>
      <c r="V9088" s="3">
        <v>41487</v>
      </c>
    </row>
    <row r="9089" spans="1:22" x14ac:dyDescent="0.35">
      <c r="A9089" s="1">
        <v>42247.797812500001</v>
      </c>
      <c r="B9089" s="2">
        <v>4.6296296296296294E-5</v>
      </c>
      <c r="C9089" t="s">
        <v>106</v>
      </c>
      <c r="D9089" t="s">
        <v>23</v>
      </c>
      <c r="E9089" t="s">
        <v>24</v>
      </c>
      <c r="F9089" t="s">
        <v>3559</v>
      </c>
      <c r="G9089">
        <v>1217954</v>
      </c>
      <c r="H9089" t="s">
        <v>45</v>
      </c>
      <c r="I9089" t="s">
        <v>3560</v>
      </c>
      <c r="J9089" t="str">
        <f>"9781409457558"</f>
        <v>9781409457558</v>
      </c>
      <c r="K9089" t="s">
        <v>737</v>
      </c>
      <c r="L9089">
        <v>3</v>
      </c>
      <c r="O9089" t="s">
        <v>30</v>
      </c>
      <c r="P9089" t="s">
        <v>42</v>
      </c>
      <c r="S9089" t="s">
        <v>31</v>
      </c>
      <c r="T9089" t="s">
        <v>3562</v>
      </c>
      <c r="U9089" t="s">
        <v>3563</v>
      </c>
      <c r="V9089" s="3">
        <v>41575</v>
      </c>
    </row>
    <row r="9090" spans="1:22" x14ac:dyDescent="0.35">
      <c r="A9090" s="1">
        <v>42247.779918981483</v>
      </c>
      <c r="B9090" s="2">
        <v>0</v>
      </c>
      <c r="C9090" t="s">
        <v>9785</v>
      </c>
      <c r="D9090" t="s">
        <v>23</v>
      </c>
      <c r="E9090" t="s">
        <v>24</v>
      </c>
      <c r="F9090" t="s">
        <v>3488</v>
      </c>
      <c r="G9090">
        <v>1294909</v>
      </c>
      <c r="H9090" t="s">
        <v>84</v>
      </c>
      <c r="I9090" t="s">
        <v>445</v>
      </c>
      <c r="J9090" t="str">
        <f>"9780520956797"</f>
        <v>9780520956797</v>
      </c>
      <c r="L9090">
        <v>0</v>
      </c>
      <c r="N9090" t="s">
        <v>12688</v>
      </c>
      <c r="O9090" t="s">
        <v>30</v>
      </c>
      <c r="P9090" t="s">
        <v>29</v>
      </c>
      <c r="Q9090" s="1">
        <v>42247.779918981483</v>
      </c>
      <c r="R9090">
        <v>7</v>
      </c>
      <c r="S9090" t="s">
        <v>31</v>
      </c>
      <c r="T9090" t="s">
        <v>3490</v>
      </c>
      <c r="U9090" t="s">
        <v>3491</v>
      </c>
      <c r="V9090" s="3">
        <v>41487</v>
      </c>
    </row>
    <row r="9091" spans="1:22" x14ac:dyDescent="0.35">
      <c r="A9091" s="1">
        <v>42247.779351851852</v>
      </c>
      <c r="B9091" s="2">
        <v>5.6712962962962956E-4</v>
      </c>
      <c r="C9091" t="s">
        <v>9785</v>
      </c>
      <c r="D9091" t="s">
        <v>23</v>
      </c>
      <c r="E9091" t="s">
        <v>24</v>
      </c>
      <c r="F9091" t="s">
        <v>3488</v>
      </c>
      <c r="G9091">
        <v>1294909</v>
      </c>
      <c r="H9091" t="s">
        <v>84</v>
      </c>
      <c r="I9091" t="s">
        <v>445</v>
      </c>
      <c r="J9091" t="str">
        <f>"9780520956797"</f>
        <v>9780520956797</v>
      </c>
      <c r="K9091" t="s">
        <v>12689</v>
      </c>
      <c r="L9091">
        <v>17</v>
      </c>
      <c r="O9091" t="s">
        <v>30</v>
      </c>
      <c r="P9091" t="s">
        <v>42</v>
      </c>
      <c r="S9091" t="s">
        <v>31</v>
      </c>
      <c r="T9091" t="s">
        <v>3490</v>
      </c>
      <c r="U9091" t="s">
        <v>3491</v>
      </c>
      <c r="V9091" s="3">
        <v>41487</v>
      </c>
    </row>
    <row r="9092" spans="1:22" x14ac:dyDescent="0.35">
      <c r="A9092" s="1">
        <v>42247.710300925923</v>
      </c>
      <c r="B9092" s="2">
        <v>1.2847222222222223E-3</v>
      </c>
      <c r="C9092" t="s">
        <v>12690</v>
      </c>
      <c r="D9092" t="s">
        <v>23</v>
      </c>
      <c r="E9092" t="s">
        <v>24</v>
      </c>
      <c r="F9092" t="s">
        <v>52</v>
      </c>
      <c r="G9092">
        <v>822040</v>
      </c>
      <c r="H9092" t="s">
        <v>26</v>
      </c>
      <c r="I9092" t="s">
        <v>53</v>
      </c>
      <c r="J9092" t="str">
        <f>"9781118289099"</f>
        <v>9781118289099</v>
      </c>
      <c r="K9092" t="s">
        <v>12691</v>
      </c>
      <c r="L9092">
        <v>25</v>
      </c>
      <c r="O9092" t="s">
        <v>30</v>
      </c>
      <c r="P9092" t="s">
        <v>29</v>
      </c>
      <c r="Q9092" s="1">
        <v>42247.704768518517</v>
      </c>
      <c r="R9092">
        <v>7</v>
      </c>
      <c r="S9092" t="s">
        <v>31</v>
      </c>
      <c r="T9092" t="s">
        <v>55</v>
      </c>
      <c r="U9092" t="s">
        <v>56</v>
      </c>
      <c r="V9092" s="3">
        <v>40990</v>
      </c>
    </row>
    <row r="9093" spans="1:22" x14ac:dyDescent="0.35">
      <c r="A9093" s="1">
        <v>42247.704768518517</v>
      </c>
      <c r="B9093" s="2">
        <v>0</v>
      </c>
      <c r="C9093" t="s">
        <v>12690</v>
      </c>
      <c r="D9093" t="s">
        <v>23</v>
      </c>
      <c r="E9093" t="s">
        <v>24</v>
      </c>
      <c r="F9093" t="s">
        <v>52</v>
      </c>
      <c r="G9093">
        <v>822040</v>
      </c>
      <c r="H9093" t="s">
        <v>26</v>
      </c>
      <c r="I9093" t="s">
        <v>53</v>
      </c>
      <c r="J9093" t="str">
        <f>"9781118289099"</f>
        <v>9781118289099</v>
      </c>
      <c r="L9093">
        <v>0</v>
      </c>
      <c r="M9093" t="s">
        <v>105</v>
      </c>
      <c r="O9093" t="s">
        <v>30</v>
      </c>
      <c r="P9093" t="s">
        <v>29</v>
      </c>
      <c r="Q9093" s="1">
        <v>42247.704768518517</v>
      </c>
      <c r="R9093">
        <v>7</v>
      </c>
      <c r="S9093" t="s">
        <v>31</v>
      </c>
      <c r="T9093" t="s">
        <v>55</v>
      </c>
      <c r="U9093" t="s">
        <v>56</v>
      </c>
      <c r="V9093" s="3">
        <v>40990</v>
      </c>
    </row>
    <row r="9094" spans="1:22" x14ac:dyDescent="0.35">
      <c r="A9094" s="1">
        <v>42247.70449074074</v>
      </c>
      <c r="B9094" s="2">
        <v>2.7777777777777778E-4</v>
      </c>
      <c r="C9094" t="s">
        <v>12690</v>
      </c>
      <c r="D9094" t="s">
        <v>23</v>
      </c>
      <c r="E9094" t="s">
        <v>24</v>
      </c>
      <c r="F9094" t="s">
        <v>52</v>
      </c>
      <c r="G9094">
        <v>822040</v>
      </c>
      <c r="H9094" t="s">
        <v>26</v>
      </c>
      <c r="I9094" t="s">
        <v>53</v>
      </c>
      <c r="J9094" t="str">
        <f>"9781118289099"</f>
        <v>9781118289099</v>
      </c>
      <c r="K9094" t="s">
        <v>33</v>
      </c>
      <c r="L9094">
        <v>3</v>
      </c>
      <c r="O9094" t="s">
        <v>30</v>
      </c>
      <c r="P9094" t="s">
        <v>42</v>
      </c>
      <c r="S9094" t="s">
        <v>31</v>
      </c>
      <c r="T9094" t="s">
        <v>55</v>
      </c>
      <c r="U9094" t="s">
        <v>56</v>
      </c>
      <c r="V9094" s="3">
        <v>40990</v>
      </c>
    </row>
    <row r="9095" spans="1:22" x14ac:dyDescent="0.35">
      <c r="A9095" s="1">
        <v>42247.703159722223</v>
      </c>
      <c r="B9095" s="2">
        <v>1.0069444444444444E-3</v>
      </c>
      <c r="C9095" t="s">
        <v>12690</v>
      </c>
      <c r="D9095" t="s">
        <v>23</v>
      </c>
      <c r="E9095" t="s">
        <v>24</v>
      </c>
      <c r="F9095" t="s">
        <v>52</v>
      </c>
      <c r="G9095">
        <v>822040</v>
      </c>
      <c r="H9095" t="s">
        <v>26</v>
      </c>
      <c r="I9095" t="s">
        <v>53</v>
      </c>
      <c r="J9095" t="str">
        <f>"9781118289099"</f>
        <v>9781118289099</v>
      </c>
      <c r="K9095" t="s">
        <v>12692</v>
      </c>
      <c r="L9095">
        <v>8</v>
      </c>
      <c r="O9095" t="s">
        <v>30</v>
      </c>
      <c r="P9095" t="s">
        <v>42</v>
      </c>
      <c r="S9095" t="s">
        <v>31</v>
      </c>
      <c r="T9095" t="s">
        <v>55</v>
      </c>
      <c r="U9095" t="s">
        <v>56</v>
      </c>
      <c r="V9095" s="3">
        <v>40990</v>
      </c>
    </row>
    <row r="9096" spans="1:22" x14ac:dyDescent="0.35">
      <c r="A9096" s="1">
        <v>42247.644548611112</v>
      </c>
      <c r="B9096" s="2">
        <v>3.1944444444444442E-3</v>
      </c>
      <c r="C9096" t="s">
        <v>106</v>
      </c>
      <c r="D9096" t="s">
        <v>23</v>
      </c>
      <c r="E9096" t="s">
        <v>24</v>
      </c>
      <c r="F9096" t="s">
        <v>5676</v>
      </c>
      <c r="G9096">
        <v>1760725</v>
      </c>
      <c r="H9096" t="s">
        <v>91</v>
      </c>
      <c r="I9096" t="s">
        <v>247</v>
      </c>
      <c r="J9096" t="str">
        <f>"9781462517992"</f>
        <v>9781462517992</v>
      </c>
      <c r="K9096" t="s">
        <v>12693</v>
      </c>
      <c r="L9096">
        <v>12</v>
      </c>
      <c r="N9096" t="s">
        <v>12694</v>
      </c>
      <c r="O9096" t="s">
        <v>30</v>
      </c>
      <c r="P9096" t="s">
        <v>47</v>
      </c>
      <c r="Q9096" s="1">
        <v>42247.644548611112</v>
      </c>
      <c r="R9096">
        <v>1</v>
      </c>
      <c r="S9096" t="s">
        <v>31</v>
      </c>
      <c r="T9096" t="s">
        <v>5677</v>
      </c>
      <c r="U9096" t="s">
        <v>1398</v>
      </c>
      <c r="V9096" s="3">
        <v>41953</v>
      </c>
    </row>
    <row r="9097" spans="1:22" x14ac:dyDescent="0.35">
      <c r="A9097" s="1">
        <v>42247.641759259262</v>
      </c>
      <c r="B9097" s="2">
        <v>2.7893518518518519E-3</v>
      </c>
      <c r="C9097" t="s">
        <v>106</v>
      </c>
      <c r="D9097" t="s">
        <v>23</v>
      </c>
      <c r="E9097" t="s">
        <v>24</v>
      </c>
      <c r="F9097" t="s">
        <v>5676</v>
      </c>
      <c r="G9097">
        <v>1760725</v>
      </c>
      <c r="H9097" t="s">
        <v>91</v>
      </c>
      <c r="I9097" t="s">
        <v>247</v>
      </c>
      <c r="J9097" t="str">
        <f>"9781462517992"</f>
        <v>9781462517992</v>
      </c>
      <c r="K9097" t="s">
        <v>12695</v>
      </c>
      <c r="L9097">
        <v>60</v>
      </c>
      <c r="O9097" t="s">
        <v>30</v>
      </c>
      <c r="P9097" t="s">
        <v>50</v>
      </c>
      <c r="S9097" t="s">
        <v>31</v>
      </c>
      <c r="T9097" t="s">
        <v>5677</v>
      </c>
      <c r="U9097" t="s">
        <v>1398</v>
      </c>
      <c r="V9097" s="3">
        <v>41953</v>
      </c>
    </row>
    <row r="9098" spans="1:22" x14ac:dyDescent="0.35">
      <c r="A9098" s="1">
        <v>42247.634120370371</v>
      </c>
      <c r="B9098" s="2">
        <v>0</v>
      </c>
      <c r="C9098" t="s">
        <v>12696</v>
      </c>
      <c r="D9098" t="s">
        <v>23</v>
      </c>
      <c r="E9098" t="s">
        <v>24</v>
      </c>
      <c r="F9098" t="s">
        <v>12697</v>
      </c>
      <c r="G9098">
        <v>2004807</v>
      </c>
      <c r="H9098" t="s">
        <v>45</v>
      </c>
      <c r="I9098" t="s">
        <v>120</v>
      </c>
      <c r="J9098" t="str">
        <f>"9781472429612"</f>
        <v>9781472429612</v>
      </c>
      <c r="L9098">
        <v>0</v>
      </c>
      <c r="N9098" t="s">
        <v>12698</v>
      </c>
      <c r="O9098" t="s">
        <v>30</v>
      </c>
      <c r="P9098" t="s">
        <v>47</v>
      </c>
      <c r="Q9098" s="1">
        <v>42247.634120370371</v>
      </c>
      <c r="R9098">
        <v>1</v>
      </c>
      <c r="S9098" t="s">
        <v>31</v>
      </c>
      <c r="T9098" t="s">
        <v>12699</v>
      </c>
      <c r="U9098">
        <v>305.3</v>
      </c>
      <c r="V9098" s="3">
        <v>42122</v>
      </c>
    </row>
    <row r="9099" spans="1:22" x14ac:dyDescent="0.35">
      <c r="A9099" s="1">
        <v>42247.633136574077</v>
      </c>
      <c r="B9099" s="2">
        <v>9.7222222222222209E-4</v>
      </c>
      <c r="C9099" t="s">
        <v>12696</v>
      </c>
      <c r="D9099" t="s">
        <v>23</v>
      </c>
      <c r="E9099" t="s">
        <v>24</v>
      </c>
      <c r="F9099" t="s">
        <v>12697</v>
      </c>
      <c r="G9099">
        <v>2004807</v>
      </c>
      <c r="H9099" t="s">
        <v>45</v>
      </c>
      <c r="I9099" t="s">
        <v>120</v>
      </c>
      <c r="J9099" t="str">
        <f>"9781472429612"</f>
        <v>9781472429612</v>
      </c>
      <c r="K9099" t="s">
        <v>12700</v>
      </c>
      <c r="L9099">
        <v>29</v>
      </c>
      <c r="O9099" t="s">
        <v>30</v>
      </c>
      <c r="P9099" t="s">
        <v>50</v>
      </c>
      <c r="S9099" t="s">
        <v>31</v>
      </c>
      <c r="T9099" t="s">
        <v>12699</v>
      </c>
      <c r="U9099">
        <v>305.3</v>
      </c>
      <c r="V9099" s="3">
        <v>42122</v>
      </c>
    </row>
    <row r="9100" spans="1:22" x14ac:dyDescent="0.35">
      <c r="A9100" s="1">
        <v>42247.569074074076</v>
      </c>
      <c r="B9100" s="2">
        <v>3.0092592592592595E-4</v>
      </c>
      <c r="C9100" t="s">
        <v>106</v>
      </c>
      <c r="D9100" t="s">
        <v>23</v>
      </c>
      <c r="E9100" t="s">
        <v>24</v>
      </c>
      <c r="F9100" t="s">
        <v>12420</v>
      </c>
      <c r="G9100">
        <v>848520</v>
      </c>
      <c r="H9100" t="s">
        <v>26</v>
      </c>
      <c r="I9100" t="s">
        <v>297</v>
      </c>
      <c r="J9100" t="str">
        <f>"9781118274422"</f>
        <v>9781118274422</v>
      </c>
      <c r="K9100" t="s">
        <v>12701</v>
      </c>
      <c r="L9100">
        <v>8</v>
      </c>
      <c r="O9100" t="s">
        <v>30</v>
      </c>
      <c r="P9100" t="s">
        <v>42</v>
      </c>
      <c r="S9100" t="s">
        <v>31</v>
      </c>
      <c r="T9100" t="s">
        <v>12421</v>
      </c>
      <c r="U9100" t="s">
        <v>12422</v>
      </c>
      <c r="V9100" s="3">
        <v>40928</v>
      </c>
    </row>
    <row r="9101" spans="1:22" x14ac:dyDescent="0.35">
      <c r="A9101" s="1">
        <v>42247.562893518516</v>
      </c>
      <c r="B9101" s="2">
        <v>6.9444444444444444E-5</v>
      </c>
      <c r="C9101" t="s">
        <v>106</v>
      </c>
      <c r="D9101" t="s">
        <v>23</v>
      </c>
      <c r="E9101" t="s">
        <v>24</v>
      </c>
      <c r="F9101" t="s">
        <v>12702</v>
      </c>
      <c r="G9101">
        <v>1812459</v>
      </c>
      <c r="H9101" t="s">
        <v>26</v>
      </c>
      <c r="I9101" t="s">
        <v>12703</v>
      </c>
      <c r="J9101" t="str">
        <f>"9781118932216"</f>
        <v>9781118932216</v>
      </c>
      <c r="K9101" t="s">
        <v>63</v>
      </c>
      <c r="L9101">
        <v>1</v>
      </c>
      <c r="O9101" t="s">
        <v>28</v>
      </c>
      <c r="P9101" t="s">
        <v>29</v>
      </c>
      <c r="Q9101" s="1">
        <v>42247.562893518516</v>
      </c>
      <c r="R9101">
        <v>7</v>
      </c>
      <c r="S9101" t="s">
        <v>31</v>
      </c>
      <c r="T9101" t="s">
        <v>12704</v>
      </c>
      <c r="U9101">
        <v>384.53</v>
      </c>
      <c r="V9101" s="3">
        <v>41918</v>
      </c>
    </row>
    <row r="9102" spans="1:22" x14ac:dyDescent="0.35">
      <c r="A9102" s="1">
        <v>42247.562893518516</v>
      </c>
      <c r="B9102" s="2">
        <v>0</v>
      </c>
      <c r="C9102" t="s">
        <v>106</v>
      </c>
      <c r="D9102" t="s">
        <v>23</v>
      </c>
      <c r="E9102" t="s">
        <v>24</v>
      </c>
      <c r="F9102" t="s">
        <v>12702</v>
      </c>
      <c r="G9102">
        <v>1812459</v>
      </c>
      <c r="H9102" t="s">
        <v>26</v>
      </c>
      <c r="I9102" t="s">
        <v>12703</v>
      </c>
      <c r="J9102" t="str">
        <f>"9781118932216"</f>
        <v>9781118932216</v>
      </c>
      <c r="L9102">
        <v>0</v>
      </c>
      <c r="O9102" t="s">
        <v>30</v>
      </c>
      <c r="P9102" t="s">
        <v>29</v>
      </c>
      <c r="Q9102" s="1">
        <v>42247.562893518516</v>
      </c>
      <c r="R9102">
        <v>7</v>
      </c>
      <c r="S9102" t="s">
        <v>31</v>
      </c>
      <c r="T9102" t="s">
        <v>12704</v>
      </c>
      <c r="U9102">
        <v>384.53</v>
      </c>
      <c r="V9102" s="3">
        <v>41918</v>
      </c>
    </row>
    <row r="9103" spans="1:22" x14ac:dyDescent="0.35">
      <c r="A9103" s="1">
        <v>42247.562708333331</v>
      </c>
      <c r="B9103" s="2">
        <v>1.8518518518518518E-4</v>
      </c>
      <c r="C9103" t="s">
        <v>106</v>
      </c>
      <c r="D9103" t="s">
        <v>23</v>
      </c>
      <c r="E9103" t="s">
        <v>24</v>
      </c>
      <c r="F9103" t="s">
        <v>12702</v>
      </c>
      <c r="G9103">
        <v>1812459</v>
      </c>
      <c r="H9103" t="s">
        <v>26</v>
      </c>
      <c r="I9103" t="s">
        <v>12703</v>
      </c>
      <c r="J9103" t="str">
        <f>"9781118932216"</f>
        <v>9781118932216</v>
      </c>
      <c r="K9103" t="s">
        <v>12705</v>
      </c>
      <c r="L9103">
        <v>4</v>
      </c>
      <c r="O9103" t="s">
        <v>30</v>
      </c>
      <c r="P9103" t="s">
        <v>42</v>
      </c>
      <c r="S9103" t="s">
        <v>31</v>
      </c>
      <c r="T9103" t="s">
        <v>12704</v>
      </c>
      <c r="U9103">
        <v>384.53</v>
      </c>
      <c r="V9103" s="3">
        <v>41918</v>
      </c>
    </row>
    <row r="9104" spans="1:22" x14ac:dyDescent="0.35">
      <c r="A9104" s="1">
        <v>42247.56181712963</v>
      </c>
      <c r="B9104" s="2">
        <v>8.1018518518518516E-5</v>
      </c>
      <c r="C9104" t="s">
        <v>106</v>
      </c>
      <c r="D9104" t="s">
        <v>23</v>
      </c>
      <c r="E9104" t="s">
        <v>24</v>
      </c>
      <c r="F9104" t="s">
        <v>6215</v>
      </c>
      <c r="G9104">
        <v>1718748</v>
      </c>
      <c r="H9104" t="s">
        <v>26</v>
      </c>
      <c r="I9104" t="s">
        <v>297</v>
      </c>
      <c r="J9104" t="str">
        <f>"9781118791080"</f>
        <v>9781118791080</v>
      </c>
      <c r="K9104" t="s">
        <v>63</v>
      </c>
      <c r="L9104">
        <v>1</v>
      </c>
      <c r="O9104" t="s">
        <v>28</v>
      </c>
      <c r="P9104" t="s">
        <v>29</v>
      </c>
      <c r="Q9104" s="1">
        <v>42247.56181712963</v>
      </c>
      <c r="R9104">
        <v>7</v>
      </c>
      <c r="S9104" t="s">
        <v>31</v>
      </c>
      <c r="T9104" t="s">
        <v>6217</v>
      </c>
      <c r="U9104">
        <v>515</v>
      </c>
      <c r="V9104" s="3">
        <v>41813</v>
      </c>
    </row>
    <row r="9105" spans="1:22" x14ac:dyDescent="0.35">
      <c r="A9105" s="1">
        <v>42247.56181712963</v>
      </c>
      <c r="B9105" s="2">
        <v>0</v>
      </c>
      <c r="C9105" t="s">
        <v>106</v>
      </c>
      <c r="D9105" t="s">
        <v>23</v>
      </c>
      <c r="E9105" t="s">
        <v>24</v>
      </c>
      <c r="F9105" t="s">
        <v>6215</v>
      </c>
      <c r="G9105">
        <v>1718748</v>
      </c>
      <c r="H9105" t="s">
        <v>26</v>
      </c>
      <c r="I9105" t="s">
        <v>297</v>
      </c>
      <c r="J9105" t="str">
        <f>"9781118791080"</f>
        <v>9781118791080</v>
      </c>
      <c r="L9105">
        <v>0</v>
      </c>
      <c r="O9105" t="s">
        <v>30</v>
      </c>
      <c r="P9105" t="s">
        <v>29</v>
      </c>
      <c r="Q9105" s="1">
        <v>42247.56181712963</v>
      </c>
      <c r="R9105">
        <v>7</v>
      </c>
      <c r="S9105" t="s">
        <v>31</v>
      </c>
      <c r="T9105" t="s">
        <v>6217</v>
      </c>
      <c r="U9105">
        <v>515</v>
      </c>
      <c r="V9105" s="3">
        <v>41813</v>
      </c>
    </row>
    <row r="9106" spans="1:22" x14ac:dyDescent="0.35">
      <c r="A9106" s="1">
        <v>42247.561643518522</v>
      </c>
      <c r="B9106" s="2">
        <v>1.6203703703703703E-4</v>
      </c>
      <c r="C9106" t="s">
        <v>106</v>
      </c>
      <c r="D9106" t="s">
        <v>23</v>
      </c>
      <c r="E9106" t="s">
        <v>24</v>
      </c>
      <c r="F9106" t="s">
        <v>6215</v>
      </c>
      <c r="G9106">
        <v>1718748</v>
      </c>
      <c r="H9106" t="s">
        <v>26</v>
      </c>
      <c r="I9106" t="s">
        <v>297</v>
      </c>
      <c r="J9106" t="str">
        <f>"9781118791080"</f>
        <v>9781118791080</v>
      </c>
      <c r="K9106" t="s">
        <v>12172</v>
      </c>
      <c r="L9106">
        <v>3</v>
      </c>
      <c r="O9106" t="s">
        <v>30</v>
      </c>
      <c r="P9106" t="s">
        <v>42</v>
      </c>
      <c r="S9106" t="s">
        <v>31</v>
      </c>
      <c r="T9106" t="s">
        <v>6217</v>
      </c>
      <c r="U9106">
        <v>515</v>
      </c>
      <c r="V9106" s="3">
        <v>41813</v>
      </c>
    </row>
    <row r="9107" spans="1:22" x14ac:dyDescent="0.35">
      <c r="A9107" s="1">
        <v>42247.559942129628</v>
      </c>
      <c r="B9107" s="2">
        <v>3.4722222222222222E-5</v>
      </c>
      <c r="C9107" t="s">
        <v>106</v>
      </c>
      <c r="D9107" t="s">
        <v>23</v>
      </c>
      <c r="E9107" t="s">
        <v>24</v>
      </c>
      <c r="F9107" t="s">
        <v>3640</v>
      </c>
      <c r="G9107">
        <v>1662670</v>
      </c>
      <c r="H9107" t="s">
        <v>26</v>
      </c>
      <c r="I9107" t="s">
        <v>3641</v>
      </c>
      <c r="J9107" t="str">
        <f>"9781118821251"</f>
        <v>9781118821251</v>
      </c>
      <c r="K9107" t="s">
        <v>63</v>
      </c>
      <c r="L9107">
        <v>1</v>
      </c>
      <c r="O9107" t="s">
        <v>28</v>
      </c>
      <c r="P9107" t="s">
        <v>29</v>
      </c>
      <c r="Q9107" s="1">
        <v>42247.559942129628</v>
      </c>
      <c r="R9107">
        <v>7</v>
      </c>
      <c r="S9107" t="s">
        <v>31</v>
      </c>
      <c r="T9107" t="s">
        <v>3642</v>
      </c>
      <c r="U9107" t="s">
        <v>3643</v>
      </c>
      <c r="V9107" s="3">
        <v>41724</v>
      </c>
    </row>
    <row r="9108" spans="1:22" x14ac:dyDescent="0.35">
      <c r="A9108" s="1">
        <v>42247.559942129628</v>
      </c>
      <c r="B9108" s="2">
        <v>0</v>
      </c>
      <c r="C9108" t="s">
        <v>106</v>
      </c>
      <c r="D9108" t="s">
        <v>23</v>
      </c>
      <c r="E9108" t="s">
        <v>24</v>
      </c>
      <c r="F9108" t="s">
        <v>3640</v>
      </c>
      <c r="G9108">
        <v>1662670</v>
      </c>
      <c r="H9108" t="s">
        <v>26</v>
      </c>
      <c r="I9108" t="s">
        <v>3641</v>
      </c>
      <c r="J9108" t="str">
        <f>"9781118821251"</f>
        <v>9781118821251</v>
      </c>
      <c r="L9108">
        <v>0</v>
      </c>
      <c r="O9108" t="s">
        <v>30</v>
      </c>
      <c r="P9108" t="s">
        <v>29</v>
      </c>
      <c r="Q9108" s="1">
        <v>42247.559942129628</v>
      </c>
      <c r="R9108">
        <v>7</v>
      </c>
      <c r="S9108" t="s">
        <v>31</v>
      </c>
      <c r="T9108" t="s">
        <v>3642</v>
      </c>
      <c r="U9108" t="s">
        <v>3643</v>
      </c>
      <c r="V9108" s="3">
        <v>41724</v>
      </c>
    </row>
    <row r="9109" spans="1:22" x14ac:dyDescent="0.35">
      <c r="A9109" s="1">
        <v>42247.55972222222</v>
      </c>
      <c r="B9109" s="2">
        <v>2.199074074074074E-4</v>
      </c>
      <c r="C9109" t="s">
        <v>106</v>
      </c>
      <c r="D9109" t="s">
        <v>23</v>
      </c>
      <c r="E9109" t="s">
        <v>24</v>
      </c>
      <c r="F9109" t="s">
        <v>3640</v>
      </c>
      <c r="G9109">
        <v>1662670</v>
      </c>
      <c r="H9109" t="s">
        <v>26</v>
      </c>
      <c r="I9109" t="s">
        <v>3641</v>
      </c>
      <c r="J9109" t="str">
        <f>"9781118821251"</f>
        <v>9781118821251</v>
      </c>
      <c r="K9109" t="s">
        <v>10629</v>
      </c>
      <c r="L9109">
        <v>4</v>
      </c>
      <c r="O9109" t="s">
        <v>30</v>
      </c>
      <c r="P9109" t="s">
        <v>42</v>
      </c>
      <c r="S9109" t="s">
        <v>31</v>
      </c>
      <c r="T9109" t="s">
        <v>3642</v>
      </c>
      <c r="U9109" t="s">
        <v>3643</v>
      </c>
      <c r="V9109" s="3">
        <v>41724</v>
      </c>
    </row>
    <row r="9110" spans="1:22" x14ac:dyDescent="0.35">
      <c r="A9110" s="1">
        <v>42247.004537037035</v>
      </c>
      <c r="B9110" s="2">
        <v>3.9120370370370368E-3</v>
      </c>
      <c r="C9110" t="s">
        <v>12706</v>
      </c>
      <c r="D9110" t="s">
        <v>23</v>
      </c>
      <c r="E9110" t="s">
        <v>24</v>
      </c>
      <c r="F9110" t="s">
        <v>6458</v>
      </c>
      <c r="G9110">
        <v>817384</v>
      </c>
      <c r="H9110" t="s">
        <v>26</v>
      </c>
      <c r="I9110" t="s">
        <v>6459</v>
      </c>
      <c r="J9110" t="str">
        <f>"9781118160114"</f>
        <v>9781118160114</v>
      </c>
      <c r="K9110" t="s">
        <v>12707</v>
      </c>
      <c r="L9110">
        <v>9</v>
      </c>
      <c r="O9110" t="s">
        <v>30</v>
      </c>
      <c r="P9110" t="s">
        <v>29</v>
      </c>
      <c r="Q9110" s="1">
        <v>42247.004537037035</v>
      </c>
      <c r="R9110">
        <v>7</v>
      </c>
      <c r="S9110" t="s">
        <v>31</v>
      </c>
      <c r="T9110" t="s">
        <v>6461</v>
      </c>
      <c r="U9110" t="s">
        <v>6462</v>
      </c>
      <c r="V9110" s="3">
        <v>40849</v>
      </c>
    </row>
    <row r="9111" spans="1:22" x14ac:dyDescent="0.35">
      <c r="A9111" s="1">
        <v>42246.996851851851</v>
      </c>
      <c r="B9111" s="2">
        <v>7.6851851851851847E-3</v>
      </c>
      <c r="C9111" t="s">
        <v>12706</v>
      </c>
      <c r="D9111" t="s">
        <v>23</v>
      </c>
      <c r="E9111" t="s">
        <v>24</v>
      </c>
      <c r="F9111" t="s">
        <v>6458</v>
      </c>
      <c r="G9111">
        <v>817384</v>
      </c>
      <c r="H9111" t="s">
        <v>26</v>
      </c>
      <c r="I9111" t="s">
        <v>6459</v>
      </c>
      <c r="J9111" t="str">
        <f>"9781118160114"</f>
        <v>9781118160114</v>
      </c>
      <c r="K9111" t="s">
        <v>12708</v>
      </c>
      <c r="L9111">
        <v>15</v>
      </c>
      <c r="O9111" t="s">
        <v>30</v>
      </c>
      <c r="P9111" t="s">
        <v>42</v>
      </c>
      <c r="S9111" t="s">
        <v>31</v>
      </c>
      <c r="T9111" t="s">
        <v>6461</v>
      </c>
      <c r="U9111" t="s">
        <v>6462</v>
      </c>
      <c r="V9111" s="3">
        <v>40849</v>
      </c>
    </row>
    <row r="9112" spans="1:22" x14ac:dyDescent="0.35">
      <c r="A9112" s="1">
        <v>42246.977743055555</v>
      </c>
      <c r="B9112" s="2">
        <v>3.4722222222222224E-4</v>
      </c>
      <c r="C9112" t="s">
        <v>11520</v>
      </c>
      <c r="D9112" t="s">
        <v>35</v>
      </c>
      <c r="E9112" t="s">
        <v>36</v>
      </c>
      <c r="F9112" t="s">
        <v>37</v>
      </c>
      <c r="G9112">
        <v>1684620</v>
      </c>
      <c r="H9112" t="s">
        <v>26</v>
      </c>
      <c r="I9112" t="s">
        <v>38</v>
      </c>
      <c r="J9112" t="str">
        <f>"9781118418925"</f>
        <v>9781118418925</v>
      </c>
      <c r="K9112" t="s">
        <v>12709</v>
      </c>
      <c r="L9112">
        <v>15</v>
      </c>
      <c r="O9112" t="s">
        <v>30</v>
      </c>
      <c r="P9112" t="s">
        <v>42</v>
      </c>
      <c r="S9112" t="s">
        <v>40</v>
      </c>
      <c r="T9112" t="s">
        <v>41</v>
      </c>
      <c r="U9112">
        <v>362.10680000000002</v>
      </c>
      <c r="V9112" s="3">
        <v>41759</v>
      </c>
    </row>
    <row r="9113" spans="1:22" x14ac:dyDescent="0.35">
      <c r="A9113" s="1">
        <v>42245.914490740739</v>
      </c>
      <c r="B9113" s="2">
        <v>5.7870370370370366E-5</v>
      </c>
      <c r="C9113" t="s">
        <v>210</v>
      </c>
      <c r="D9113" t="s">
        <v>211</v>
      </c>
      <c r="E9113" t="s">
        <v>212</v>
      </c>
      <c r="F9113" t="s">
        <v>12045</v>
      </c>
      <c r="G9113">
        <v>1760718</v>
      </c>
      <c r="H9113" t="s">
        <v>91</v>
      </c>
      <c r="I9113" t="s">
        <v>247</v>
      </c>
      <c r="J9113" t="str">
        <f>"9781462517848"</f>
        <v>9781462517848</v>
      </c>
      <c r="K9113" t="s">
        <v>1309</v>
      </c>
      <c r="L9113">
        <v>1</v>
      </c>
      <c r="M9113" t="s">
        <v>12710</v>
      </c>
      <c r="O9113" t="s">
        <v>30</v>
      </c>
      <c r="P9113" t="s">
        <v>29</v>
      </c>
      <c r="Q9113" s="1">
        <v>42245.914490740739</v>
      </c>
      <c r="R9113">
        <v>7</v>
      </c>
      <c r="S9113" t="s">
        <v>214</v>
      </c>
      <c r="T9113" t="s">
        <v>12046</v>
      </c>
      <c r="U9113">
        <v>618.92849999999999</v>
      </c>
      <c r="V9113" s="3">
        <v>42019</v>
      </c>
    </row>
    <row r="9114" spans="1:22" x14ac:dyDescent="0.35">
      <c r="A9114" s="1">
        <v>42245.914259259262</v>
      </c>
      <c r="B9114" s="2">
        <v>2.199074074074074E-4</v>
      </c>
      <c r="C9114" t="s">
        <v>210</v>
      </c>
      <c r="D9114" t="s">
        <v>211</v>
      </c>
      <c r="E9114" t="s">
        <v>212</v>
      </c>
      <c r="F9114" t="s">
        <v>12045</v>
      </c>
      <c r="G9114">
        <v>1760718</v>
      </c>
      <c r="H9114" t="s">
        <v>91</v>
      </c>
      <c r="I9114" t="s">
        <v>247</v>
      </c>
      <c r="J9114" t="str">
        <f>"9781462517848"</f>
        <v>9781462517848</v>
      </c>
      <c r="K9114" t="s">
        <v>12711</v>
      </c>
      <c r="L9114">
        <v>6</v>
      </c>
      <c r="O9114" t="s">
        <v>30</v>
      </c>
      <c r="P9114" t="s">
        <v>42</v>
      </c>
      <c r="S9114" t="s">
        <v>214</v>
      </c>
      <c r="T9114" t="s">
        <v>12046</v>
      </c>
      <c r="U9114">
        <v>618.92849999999999</v>
      </c>
      <c r="V9114" s="3">
        <v>42019</v>
      </c>
    </row>
    <row r="9115" spans="1:22" x14ac:dyDescent="0.35">
      <c r="A9115" s="1">
        <v>42245.914236111108</v>
      </c>
      <c r="B9115" s="2">
        <v>0</v>
      </c>
      <c r="C9115" t="s">
        <v>210</v>
      </c>
      <c r="D9115" t="s">
        <v>211</v>
      </c>
      <c r="E9115" t="s">
        <v>212</v>
      </c>
      <c r="F9115" t="s">
        <v>12045</v>
      </c>
      <c r="G9115">
        <v>1760718</v>
      </c>
      <c r="H9115" t="s">
        <v>91</v>
      </c>
      <c r="I9115" t="s">
        <v>247</v>
      </c>
      <c r="J9115" t="str">
        <f>"9781462517848"</f>
        <v>9781462517848</v>
      </c>
      <c r="L9115">
        <v>0</v>
      </c>
      <c r="O9115" t="s">
        <v>30</v>
      </c>
      <c r="P9115" t="s">
        <v>42</v>
      </c>
      <c r="S9115" t="s">
        <v>214</v>
      </c>
      <c r="T9115" t="s">
        <v>12046</v>
      </c>
      <c r="U9115">
        <v>618.92849999999999</v>
      </c>
      <c r="V9115" s="3">
        <v>42019</v>
      </c>
    </row>
    <row r="9116" spans="1:22" x14ac:dyDescent="0.35">
      <c r="A9116" s="1">
        <v>42245.863136574073</v>
      </c>
      <c r="B9116" s="2">
        <v>0</v>
      </c>
      <c r="C9116" t="s">
        <v>8979</v>
      </c>
      <c r="D9116" t="s">
        <v>23</v>
      </c>
      <c r="E9116" t="s">
        <v>24</v>
      </c>
      <c r="F9116" t="s">
        <v>246</v>
      </c>
      <c r="G9116">
        <v>1682559</v>
      </c>
      <c r="H9116" t="s">
        <v>91</v>
      </c>
      <c r="I9116" t="s">
        <v>247</v>
      </c>
      <c r="J9116" t="str">
        <f>"9781462515431"</f>
        <v>9781462515431</v>
      </c>
      <c r="L9116">
        <v>0</v>
      </c>
      <c r="O9116" t="s">
        <v>28</v>
      </c>
      <c r="P9116" t="s">
        <v>29</v>
      </c>
      <c r="Q9116" s="1">
        <v>42245.863136574073</v>
      </c>
      <c r="R9116">
        <v>7</v>
      </c>
      <c r="S9116" t="s">
        <v>31</v>
      </c>
      <c r="T9116" t="s">
        <v>249</v>
      </c>
      <c r="U9116">
        <v>616.89</v>
      </c>
      <c r="V9116" s="3">
        <v>41769</v>
      </c>
    </row>
    <row r="9117" spans="1:22" x14ac:dyDescent="0.35">
      <c r="A9117" s="1">
        <v>42245.863136574073</v>
      </c>
      <c r="B9117" s="2">
        <v>0</v>
      </c>
      <c r="C9117" t="s">
        <v>8979</v>
      </c>
      <c r="D9117" t="s">
        <v>23</v>
      </c>
      <c r="E9117" t="s">
        <v>24</v>
      </c>
      <c r="F9117" t="s">
        <v>246</v>
      </c>
      <c r="G9117">
        <v>1682559</v>
      </c>
      <c r="H9117" t="s">
        <v>91</v>
      </c>
      <c r="I9117" t="s">
        <v>247</v>
      </c>
      <c r="J9117" t="str">
        <f>"9781462515431"</f>
        <v>9781462515431</v>
      </c>
      <c r="L9117">
        <v>0</v>
      </c>
      <c r="O9117" t="s">
        <v>30</v>
      </c>
      <c r="P9117" t="s">
        <v>29</v>
      </c>
      <c r="Q9117" s="1">
        <v>42245.863136574073</v>
      </c>
      <c r="R9117">
        <v>7</v>
      </c>
      <c r="S9117" t="s">
        <v>31</v>
      </c>
      <c r="T9117" t="s">
        <v>249</v>
      </c>
      <c r="U9117">
        <v>616.89</v>
      </c>
      <c r="V9117" s="3">
        <v>41769</v>
      </c>
    </row>
    <row r="9118" spans="1:22" x14ac:dyDescent="0.35">
      <c r="A9118" s="1">
        <v>42245.862754629627</v>
      </c>
      <c r="B9118" s="2">
        <v>3.8194444444444446E-4</v>
      </c>
      <c r="C9118" t="s">
        <v>8979</v>
      </c>
      <c r="D9118" t="s">
        <v>23</v>
      </c>
      <c r="E9118" t="s">
        <v>24</v>
      </c>
      <c r="F9118" t="s">
        <v>246</v>
      </c>
      <c r="G9118">
        <v>1682559</v>
      </c>
      <c r="H9118" t="s">
        <v>91</v>
      </c>
      <c r="I9118" t="s">
        <v>247</v>
      </c>
      <c r="J9118" t="str">
        <f>"9781462515431"</f>
        <v>9781462515431</v>
      </c>
      <c r="K9118" t="s">
        <v>12712</v>
      </c>
      <c r="L9118">
        <v>8</v>
      </c>
      <c r="O9118" t="s">
        <v>30</v>
      </c>
      <c r="P9118" t="s">
        <v>42</v>
      </c>
      <c r="S9118" t="s">
        <v>31</v>
      </c>
      <c r="T9118" t="s">
        <v>249</v>
      </c>
      <c r="U9118">
        <v>616.89</v>
      </c>
      <c r="V9118" s="3">
        <v>41769</v>
      </c>
    </row>
    <row r="9119" spans="1:22" x14ac:dyDescent="0.35">
      <c r="A9119" s="1">
        <v>42245.704097222224</v>
      </c>
      <c r="B9119" s="2">
        <v>2.7777777777777778E-4</v>
      </c>
      <c r="C9119" t="s">
        <v>12713</v>
      </c>
      <c r="D9119" t="s">
        <v>158</v>
      </c>
      <c r="E9119" t="s">
        <v>159</v>
      </c>
      <c r="F9119" t="s">
        <v>389</v>
      </c>
      <c r="G9119">
        <v>822062</v>
      </c>
      <c r="H9119" t="s">
        <v>26</v>
      </c>
      <c r="I9119" t="s">
        <v>390</v>
      </c>
      <c r="J9119" t="str">
        <f>"9780857083272"</f>
        <v>9780857083272</v>
      </c>
      <c r="K9119" t="s">
        <v>12714</v>
      </c>
      <c r="L9119">
        <v>15</v>
      </c>
      <c r="O9119" t="s">
        <v>30</v>
      </c>
      <c r="P9119" t="s">
        <v>42</v>
      </c>
      <c r="S9119" t="s">
        <v>163</v>
      </c>
      <c r="T9119" t="s">
        <v>392</v>
      </c>
      <c r="U9119" t="s">
        <v>393</v>
      </c>
      <c r="V9119" s="3">
        <v>41025</v>
      </c>
    </row>
    <row r="9120" spans="1:22" x14ac:dyDescent="0.35">
      <c r="A9120" s="1">
        <v>42245.632569444446</v>
      </c>
      <c r="B9120" s="2">
        <v>2.2222222222222222E-3</v>
      </c>
      <c r="C9120" t="s">
        <v>12715</v>
      </c>
      <c r="D9120" t="s">
        <v>23</v>
      </c>
      <c r="E9120" t="s">
        <v>24</v>
      </c>
      <c r="F9120" t="s">
        <v>12716</v>
      </c>
      <c r="G9120">
        <v>1777858</v>
      </c>
      <c r="H9120" t="s">
        <v>91</v>
      </c>
      <c r="I9120" t="s">
        <v>219</v>
      </c>
      <c r="J9120" t="str">
        <f>"9781462518722"</f>
        <v>9781462518722</v>
      </c>
      <c r="K9120" t="s">
        <v>12717</v>
      </c>
      <c r="L9120">
        <v>14</v>
      </c>
      <c r="O9120" t="s">
        <v>30</v>
      </c>
      <c r="P9120" t="s">
        <v>47</v>
      </c>
      <c r="Q9120" s="1">
        <v>42245.632569444446</v>
      </c>
      <c r="R9120">
        <v>1</v>
      </c>
      <c r="S9120" t="s">
        <v>31</v>
      </c>
      <c r="T9120" t="s">
        <v>12718</v>
      </c>
      <c r="U9120">
        <v>155.91999999999999</v>
      </c>
      <c r="V9120" s="3">
        <v>42058</v>
      </c>
    </row>
    <row r="9121" spans="1:22" x14ac:dyDescent="0.35">
      <c r="A9121" s="1">
        <v>42245.629027777781</v>
      </c>
      <c r="B9121" s="2">
        <v>3.5416666666666665E-3</v>
      </c>
      <c r="C9121" t="s">
        <v>12715</v>
      </c>
      <c r="D9121" t="s">
        <v>23</v>
      </c>
      <c r="E9121" t="s">
        <v>24</v>
      </c>
      <c r="F9121" t="s">
        <v>12716</v>
      </c>
      <c r="G9121">
        <v>1777858</v>
      </c>
      <c r="H9121" t="s">
        <v>91</v>
      </c>
      <c r="I9121" t="s">
        <v>219</v>
      </c>
      <c r="J9121" t="str">
        <f>"9781462518722"</f>
        <v>9781462518722</v>
      </c>
      <c r="K9121" t="s">
        <v>12719</v>
      </c>
      <c r="L9121">
        <v>10</v>
      </c>
      <c r="O9121" t="s">
        <v>30</v>
      </c>
      <c r="P9121" t="s">
        <v>50</v>
      </c>
      <c r="S9121" t="s">
        <v>31</v>
      </c>
      <c r="T9121" t="s">
        <v>12718</v>
      </c>
      <c r="U9121">
        <v>155.91999999999999</v>
      </c>
      <c r="V9121" s="3">
        <v>42058</v>
      </c>
    </row>
    <row r="9122" spans="1:22" x14ac:dyDescent="0.35">
      <c r="A9122" s="1">
        <v>42245.186307870368</v>
      </c>
      <c r="B9122" s="2">
        <v>8.449074074074075E-4</v>
      </c>
      <c r="C9122" t="s">
        <v>6390</v>
      </c>
      <c r="D9122" t="s">
        <v>23</v>
      </c>
      <c r="E9122" t="s">
        <v>24</v>
      </c>
      <c r="F9122" t="s">
        <v>486</v>
      </c>
      <c r="G9122">
        <v>1119505</v>
      </c>
      <c r="H9122" t="s">
        <v>26</v>
      </c>
      <c r="I9122" t="s">
        <v>450</v>
      </c>
      <c r="J9122" t="str">
        <f>"9781118355015"</f>
        <v>9781118355015</v>
      </c>
      <c r="K9122" t="s">
        <v>12720</v>
      </c>
      <c r="L9122">
        <v>4</v>
      </c>
      <c r="O9122" t="s">
        <v>30</v>
      </c>
      <c r="P9122" t="s">
        <v>42</v>
      </c>
      <c r="S9122" t="s">
        <v>31</v>
      </c>
      <c r="T9122" t="s">
        <v>487</v>
      </c>
      <c r="U9122" t="s">
        <v>488</v>
      </c>
      <c r="V9122" s="3">
        <v>41302</v>
      </c>
    </row>
    <row r="9123" spans="1:22" x14ac:dyDescent="0.35">
      <c r="A9123" s="1">
        <v>42245.185173611113</v>
      </c>
      <c r="B9123" s="2">
        <v>9.7222222222222209E-4</v>
      </c>
      <c r="C9123" t="s">
        <v>6390</v>
      </c>
      <c r="D9123" t="s">
        <v>23</v>
      </c>
      <c r="E9123" t="s">
        <v>24</v>
      </c>
      <c r="F9123" t="s">
        <v>486</v>
      </c>
      <c r="G9123">
        <v>1119505</v>
      </c>
      <c r="H9123" t="s">
        <v>26</v>
      </c>
      <c r="I9123" t="s">
        <v>450</v>
      </c>
      <c r="J9123" t="str">
        <f>"9781118355015"</f>
        <v>9781118355015</v>
      </c>
      <c r="K9123" t="s">
        <v>12721</v>
      </c>
      <c r="L9123">
        <v>24</v>
      </c>
      <c r="O9123" t="s">
        <v>30</v>
      </c>
      <c r="P9123" t="s">
        <v>42</v>
      </c>
      <c r="S9123" t="s">
        <v>31</v>
      </c>
      <c r="T9123" t="s">
        <v>487</v>
      </c>
      <c r="U9123" t="s">
        <v>488</v>
      </c>
      <c r="V9123" s="3">
        <v>41302</v>
      </c>
    </row>
    <row r="9124" spans="1:22" x14ac:dyDescent="0.35">
      <c r="A9124" s="1">
        <v>42245.027488425927</v>
      </c>
      <c r="B9124" s="2">
        <v>5.9027777777777778E-4</v>
      </c>
      <c r="C9124" t="s">
        <v>245</v>
      </c>
      <c r="D9124" t="s">
        <v>23</v>
      </c>
      <c r="E9124" t="s">
        <v>24</v>
      </c>
      <c r="F9124" t="s">
        <v>12420</v>
      </c>
      <c r="G9124">
        <v>848520</v>
      </c>
      <c r="H9124" t="s">
        <v>26</v>
      </c>
      <c r="I9124" t="s">
        <v>297</v>
      </c>
      <c r="J9124" t="str">
        <f>"9781118274422"</f>
        <v>9781118274422</v>
      </c>
      <c r="K9124" t="s">
        <v>12722</v>
      </c>
      <c r="L9124">
        <v>14</v>
      </c>
      <c r="O9124" t="s">
        <v>30</v>
      </c>
      <c r="P9124" t="s">
        <v>42</v>
      </c>
      <c r="S9124" t="s">
        <v>31</v>
      </c>
      <c r="T9124" t="s">
        <v>12421</v>
      </c>
      <c r="U9124" t="s">
        <v>12422</v>
      </c>
      <c r="V9124" s="3">
        <v>40928</v>
      </c>
    </row>
    <row r="9125" spans="1:22" x14ac:dyDescent="0.35">
      <c r="A9125" s="1">
        <v>42244.959930555553</v>
      </c>
      <c r="B9125" s="2">
        <v>0</v>
      </c>
      <c r="C9125" t="s">
        <v>12723</v>
      </c>
      <c r="D9125" t="s">
        <v>23</v>
      </c>
      <c r="E9125" t="s">
        <v>24</v>
      </c>
      <c r="F9125" t="s">
        <v>301</v>
      </c>
      <c r="G9125">
        <v>945113</v>
      </c>
      <c r="H9125" t="s">
        <v>26</v>
      </c>
      <c r="I9125" t="s">
        <v>297</v>
      </c>
      <c r="J9125" t="str">
        <f>"9781118359754"</f>
        <v>9781118359754</v>
      </c>
      <c r="K9125" t="s">
        <v>12724</v>
      </c>
      <c r="L9125">
        <v>1</v>
      </c>
      <c r="O9125" t="s">
        <v>30</v>
      </c>
      <c r="P9125" t="s">
        <v>29</v>
      </c>
      <c r="Q9125" s="1">
        <v>42244.959918981483</v>
      </c>
      <c r="R9125">
        <v>7</v>
      </c>
      <c r="S9125" t="s">
        <v>31</v>
      </c>
      <c r="T9125" t="s">
        <v>302</v>
      </c>
      <c r="U9125" t="s">
        <v>300</v>
      </c>
      <c r="V9125" s="3">
        <v>41072</v>
      </c>
    </row>
    <row r="9126" spans="1:22" x14ac:dyDescent="0.35">
      <c r="A9126" s="1">
        <v>42244.947418981479</v>
      </c>
      <c r="B9126" s="2">
        <v>1.2499999999999999E-2</v>
      </c>
      <c r="C9126" t="s">
        <v>12723</v>
      </c>
      <c r="D9126" t="s">
        <v>23</v>
      </c>
      <c r="E9126" t="s">
        <v>24</v>
      </c>
      <c r="F9126" t="s">
        <v>301</v>
      </c>
      <c r="G9126">
        <v>945113</v>
      </c>
      <c r="H9126" t="s">
        <v>26</v>
      </c>
      <c r="I9126" t="s">
        <v>297</v>
      </c>
      <c r="J9126" t="str">
        <f>"9781118359754"</f>
        <v>9781118359754</v>
      </c>
      <c r="K9126" t="s">
        <v>12725</v>
      </c>
      <c r="L9126">
        <v>14</v>
      </c>
      <c r="O9126" t="s">
        <v>30</v>
      </c>
      <c r="P9126" t="s">
        <v>42</v>
      </c>
      <c r="S9126" t="s">
        <v>31</v>
      </c>
      <c r="T9126" t="s">
        <v>302</v>
      </c>
      <c r="U9126" t="s">
        <v>300</v>
      </c>
      <c r="V9126" s="3">
        <v>41072</v>
      </c>
    </row>
    <row r="9127" spans="1:22" x14ac:dyDescent="0.35">
      <c r="A9127" s="1">
        <v>42244.877233796295</v>
      </c>
      <c r="B9127" s="2">
        <v>1.4814814814814814E-3</v>
      </c>
      <c r="C9127" t="s">
        <v>11362</v>
      </c>
      <c r="D9127" t="s">
        <v>23</v>
      </c>
      <c r="E9127" t="s">
        <v>24</v>
      </c>
      <c r="F9127" t="s">
        <v>11363</v>
      </c>
      <c r="G9127">
        <v>1173637</v>
      </c>
      <c r="H9127" t="s">
        <v>2998</v>
      </c>
      <c r="I9127" t="s">
        <v>310</v>
      </c>
      <c r="J9127" t="str">
        <f>"9780748676446"</f>
        <v>9780748676446</v>
      </c>
      <c r="K9127" t="s">
        <v>12726</v>
      </c>
      <c r="L9127">
        <v>29</v>
      </c>
      <c r="O9127" t="s">
        <v>30</v>
      </c>
      <c r="P9127" t="s">
        <v>50</v>
      </c>
      <c r="S9127" t="s">
        <v>31</v>
      </c>
      <c r="T9127" t="s">
        <v>11365</v>
      </c>
      <c r="U9127">
        <v>823.91200000000003</v>
      </c>
      <c r="V9127" s="3">
        <v>41350</v>
      </c>
    </row>
    <row r="9128" spans="1:22" x14ac:dyDescent="0.35">
      <c r="A9128" s="1">
        <v>42244.857476851852</v>
      </c>
      <c r="B9128" s="2">
        <v>2.3842592592592591E-3</v>
      </c>
      <c r="C9128" t="s">
        <v>1599</v>
      </c>
      <c r="D9128" t="s">
        <v>23</v>
      </c>
      <c r="E9128" t="s">
        <v>24</v>
      </c>
      <c r="F9128" t="s">
        <v>12727</v>
      </c>
      <c r="G9128">
        <v>1774213</v>
      </c>
      <c r="H9128" t="s">
        <v>45</v>
      </c>
      <c r="I9128" t="s">
        <v>120</v>
      </c>
      <c r="J9128" t="str">
        <f>"9781409457282"</f>
        <v>9781409457282</v>
      </c>
      <c r="K9128" t="s">
        <v>12728</v>
      </c>
      <c r="L9128">
        <v>18</v>
      </c>
      <c r="O9128" t="s">
        <v>30</v>
      </c>
      <c r="P9128" t="s">
        <v>50</v>
      </c>
      <c r="S9128" t="s">
        <v>31</v>
      </c>
      <c r="T9128" t="s">
        <v>12729</v>
      </c>
      <c r="U9128" t="s">
        <v>12122</v>
      </c>
      <c r="V9128" s="3">
        <v>41940</v>
      </c>
    </row>
    <row r="9129" spans="1:22" x14ac:dyDescent="0.35">
      <c r="A9129" s="1">
        <v>42244.814456018517</v>
      </c>
      <c r="B9129" s="2">
        <v>1.0416666666666667E-4</v>
      </c>
      <c r="C9129" t="s">
        <v>1421</v>
      </c>
      <c r="D9129" t="s">
        <v>623</v>
      </c>
      <c r="E9129" t="s">
        <v>624</v>
      </c>
      <c r="F9129" t="s">
        <v>9365</v>
      </c>
      <c r="G9129">
        <v>817838</v>
      </c>
      <c r="H9129" t="s">
        <v>26</v>
      </c>
      <c r="I9129" t="s">
        <v>297</v>
      </c>
      <c r="J9129" t="str">
        <f>"9781118204245"</f>
        <v>9781118204245</v>
      </c>
      <c r="K9129" t="s">
        <v>33</v>
      </c>
      <c r="L9129">
        <v>3</v>
      </c>
      <c r="O9129" t="s">
        <v>30</v>
      </c>
      <c r="P9129" t="s">
        <v>29</v>
      </c>
      <c r="Q9129" s="1">
        <v>42244.758518518516</v>
      </c>
      <c r="R9129">
        <v>7</v>
      </c>
      <c r="S9129" t="s">
        <v>627</v>
      </c>
      <c r="T9129" t="s">
        <v>9367</v>
      </c>
      <c r="U9129">
        <v>515</v>
      </c>
      <c r="V9129" s="3">
        <v>40892</v>
      </c>
    </row>
    <row r="9130" spans="1:22" x14ac:dyDescent="0.35">
      <c r="A9130" s="1">
        <v>42244.798657407409</v>
      </c>
      <c r="B9130" s="2">
        <v>2.1412037037037038E-3</v>
      </c>
      <c r="C9130" t="s">
        <v>818</v>
      </c>
      <c r="D9130" t="s">
        <v>23</v>
      </c>
      <c r="E9130" t="s">
        <v>24</v>
      </c>
      <c r="F9130" t="s">
        <v>12730</v>
      </c>
      <c r="G9130">
        <v>1768752</v>
      </c>
      <c r="H9130" t="s">
        <v>91</v>
      </c>
      <c r="I9130" t="s">
        <v>219</v>
      </c>
      <c r="J9130" t="str">
        <f>"9781462517800"</f>
        <v>9781462517800</v>
      </c>
      <c r="K9130" t="s">
        <v>12731</v>
      </c>
      <c r="L9130">
        <v>20</v>
      </c>
      <c r="O9130" t="s">
        <v>30</v>
      </c>
      <c r="P9130" t="s">
        <v>42</v>
      </c>
      <c r="S9130" t="s">
        <v>31</v>
      </c>
      <c r="T9130" t="s">
        <v>12732</v>
      </c>
      <c r="U9130">
        <v>150.15195</v>
      </c>
      <c r="V9130" s="3">
        <v>42006</v>
      </c>
    </row>
    <row r="9131" spans="1:22" x14ac:dyDescent="0.35">
      <c r="A9131" s="1">
        <v>42244.79078703704</v>
      </c>
      <c r="B9131" s="2">
        <v>4.6296296296296294E-5</v>
      </c>
      <c r="C9131" t="s">
        <v>12733</v>
      </c>
      <c r="D9131" t="s">
        <v>623</v>
      </c>
      <c r="E9131" t="s">
        <v>624</v>
      </c>
      <c r="F9131" t="s">
        <v>4180</v>
      </c>
      <c r="G9131">
        <v>817932</v>
      </c>
      <c r="H9131" t="s">
        <v>26</v>
      </c>
      <c r="I9131" t="s">
        <v>276</v>
      </c>
      <c r="J9131" t="str">
        <f>"9781118220146"</f>
        <v>9781118220146</v>
      </c>
      <c r="K9131" t="s">
        <v>33</v>
      </c>
      <c r="L9131">
        <v>3</v>
      </c>
      <c r="O9131" t="s">
        <v>30</v>
      </c>
      <c r="P9131" t="s">
        <v>42</v>
      </c>
      <c r="S9131" t="s">
        <v>627</v>
      </c>
      <c r="T9131" t="s">
        <v>4182</v>
      </c>
      <c r="U9131">
        <v>5.133</v>
      </c>
      <c r="V9131" s="3">
        <v>40981</v>
      </c>
    </row>
    <row r="9132" spans="1:22" x14ac:dyDescent="0.35">
      <c r="A9132" s="1">
        <v>42244.758518518516</v>
      </c>
      <c r="B9132" s="2">
        <v>0</v>
      </c>
      <c r="C9132" t="s">
        <v>1421</v>
      </c>
      <c r="D9132" t="s">
        <v>623</v>
      </c>
      <c r="E9132" t="s">
        <v>624</v>
      </c>
      <c r="F9132" t="s">
        <v>9365</v>
      </c>
      <c r="G9132">
        <v>817838</v>
      </c>
      <c r="H9132" t="s">
        <v>26</v>
      </c>
      <c r="I9132" t="s">
        <v>297</v>
      </c>
      <c r="J9132" t="str">
        <f>"9781118204245"</f>
        <v>9781118204245</v>
      </c>
      <c r="K9132" t="s">
        <v>12734</v>
      </c>
      <c r="L9132">
        <v>1</v>
      </c>
      <c r="O9132" t="s">
        <v>30</v>
      </c>
      <c r="P9132" t="s">
        <v>29</v>
      </c>
      <c r="Q9132" s="1">
        <v>42244.758518518516</v>
      </c>
      <c r="R9132">
        <v>7</v>
      </c>
      <c r="S9132" t="s">
        <v>627</v>
      </c>
      <c r="T9132" t="s">
        <v>9367</v>
      </c>
      <c r="U9132">
        <v>515</v>
      </c>
      <c r="V9132" s="3">
        <v>40892</v>
      </c>
    </row>
    <row r="9133" spans="1:22" x14ac:dyDescent="0.35">
      <c r="A9133" s="1">
        <v>42244.750567129631</v>
      </c>
      <c r="B9133" s="2">
        <v>7.951388888888888E-3</v>
      </c>
      <c r="C9133" t="s">
        <v>1421</v>
      </c>
      <c r="D9133" t="s">
        <v>623</v>
      </c>
      <c r="E9133" t="s">
        <v>624</v>
      </c>
      <c r="F9133" t="s">
        <v>9365</v>
      </c>
      <c r="G9133">
        <v>817838</v>
      </c>
      <c r="H9133" t="s">
        <v>26</v>
      </c>
      <c r="I9133" t="s">
        <v>297</v>
      </c>
      <c r="J9133" t="str">
        <f>"9781118204245"</f>
        <v>9781118204245</v>
      </c>
      <c r="K9133" t="s">
        <v>12735</v>
      </c>
      <c r="L9133">
        <v>16</v>
      </c>
      <c r="O9133" t="s">
        <v>30</v>
      </c>
      <c r="P9133" t="s">
        <v>42</v>
      </c>
      <c r="S9133" t="s">
        <v>627</v>
      </c>
      <c r="T9133" t="s">
        <v>9367</v>
      </c>
      <c r="U9133">
        <v>515</v>
      </c>
      <c r="V9133" s="3">
        <v>40892</v>
      </c>
    </row>
    <row r="9134" spans="1:22" x14ac:dyDescent="0.35">
      <c r="A9134" s="1">
        <v>42244.686493055553</v>
      </c>
      <c r="B9134" s="2">
        <v>3.7268518518518514E-3</v>
      </c>
      <c r="C9134" t="s">
        <v>106</v>
      </c>
      <c r="D9134" t="s">
        <v>23</v>
      </c>
      <c r="E9134" t="s">
        <v>24</v>
      </c>
      <c r="F9134" t="s">
        <v>301</v>
      </c>
      <c r="G9134">
        <v>945113</v>
      </c>
      <c r="H9134" t="s">
        <v>26</v>
      </c>
      <c r="I9134" t="s">
        <v>297</v>
      </c>
      <c r="J9134" t="str">
        <f>"9781118359754"</f>
        <v>9781118359754</v>
      </c>
      <c r="K9134" t="s">
        <v>12736</v>
      </c>
      <c r="L9134">
        <v>20</v>
      </c>
      <c r="O9134" t="s">
        <v>30</v>
      </c>
      <c r="P9134" t="s">
        <v>42</v>
      </c>
      <c r="S9134" t="s">
        <v>31</v>
      </c>
      <c r="T9134" t="s">
        <v>302</v>
      </c>
      <c r="U9134" t="s">
        <v>300</v>
      </c>
      <c r="V9134" s="3">
        <v>41072</v>
      </c>
    </row>
    <row r="9135" spans="1:22" x14ac:dyDescent="0.35">
      <c r="A9135" s="1">
        <v>42244.103587962964</v>
      </c>
      <c r="B9135" s="2">
        <v>1.5046296296296297E-4</v>
      </c>
      <c r="C9135" t="s">
        <v>106</v>
      </c>
      <c r="D9135" t="s">
        <v>23</v>
      </c>
      <c r="E9135" t="s">
        <v>24</v>
      </c>
      <c r="F9135" t="s">
        <v>3559</v>
      </c>
      <c r="G9135">
        <v>1217954</v>
      </c>
      <c r="H9135" t="s">
        <v>45</v>
      </c>
      <c r="I9135" t="s">
        <v>3560</v>
      </c>
      <c r="J9135" t="str">
        <f>"9781409457558"</f>
        <v>9781409457558</v>
      </c>
      <c r="K9135" t="s">
        <v>12737</v>
      </c>
      <c r="L9135">
        <v>11</v>
      </c>
      <c r="O9135" t="s">
        <v>30</v>
      </c>
      <c r="P9135" t="s">
        <v>42</v>
      </c>
      <c r="S9135" t="s">
        <v>31</v>
      </c>
      <c r="T9135" t="s">
        <v>3562</v>
      </c>
      <c r="U9135" t="s">
        <v>3563</v>
      </c>
      <c r="V9135" s="3">
        <v>41575</v>
      </c>
    </row>
    <row r="9136" spans="1:22" x14ac:dyDescent="0.35">
      <c r="A9136" s="1">
        <v>42243.962824074071</v>
      </c>
      <c r="B9136" s="2">
        <v>2.8935185185185189E-4</v>
      </c>
      <c r="C9136" t="s">
        <v>5969</v>
      </c>
      <c r="D9136" t="s">
        <v>23</v>
      </c>
      <c r="E9136" t="s">
        <v>24</v>
      </c>
      <c r="F9136" t="s">
        <v>745</v>
      </c>
      <c r="G9136">
        <v>1166322</v>
      </c>
      <c r="H9136" t="s">
        <v>26</v>
      </c>
      <c r="I9136" t="s">
        <v>200</v>
      </c>
      <c r="J9136" t="str">
        <f>"9781118418512"</f>
        <v>9781118418512</v>
      </c>
      <c r="K9136" t="s">
        <v>33</v>
      </c>
      <c r="L9136">
        <v>3</v>
      </c>
      <c r="O9136" t="s">
        <v>30</v>
      </c>
      <c r="P9136" t="s">
        <v>42</v>
      </c>
      <c r="S9136" t="s">
        <v>31</v>
      </c>
      <c r="T9136" t="s">
        <v>747</v>
      </c>
      <c r="U9136">
        <v>720.072</v>
      </c>
      <c r="V9136" s="3">
        <v>41367</v>
      </c>
    </row>
    <row r="9137" spans="1:22" x14ac:dyDescent="0.35">
      <c r="A9137" s="1">
        <v>42243.928298611114</v>
      </c>
      <c r="B9137" s="2">
        <v>1.6666666666666668E-3</v>
      </c>
      <c r="C9137" t="s">
        <v>210</v>
      </c>
      <c r="D9137" t="s">
        <v>211</v>
      </c>
      <c r="E9137" t="s">
        <v>212</v>
      </c>
      <c r="F9137" t="s">
        <v>5397</v>
      </c>
      <c r="G9137">
        <v>1894285</v>
      </c>
      <c r="H9137" t="s">
        <v>91</v>
      </c>
      <c r="I9137" t="s">
        <v>69</v>
      </c>
      <c r="J9137" t="str">
        <f>"9781462520169"</f>
        <v>9781462520169</v>
      </c>
      <c r="K9137" t="s">
        <v>12738</v>
      </c>
      <c r="L9137">
        <v>15</v>
      </c>
      <c r="O9137" t="s">
        <v>30</v>
      </c>
      <c r="P9137" t="s">
        <v>50</v>
      </c>
      <c r="S9137" t="s">
        <v>214</v>
      </c>
      <c r="T9137" t="s">
        <v>5399</v>
      </c>
      <c r="U9137">
        <v>370.15300000000002</v>
      </c>
      <c r="V9137" s="3">
        <v>42109</v>
      </c>
    </row>
    <row r="9138" spans="1:22" x14ac:dyDescent="0.35">
      <c r="A9138" s="1">
        <v>42243.82775462963</v>
      </c>
      <c r="B9138" s="2">
        <v>0</v>
      </c>
      <c r="C9138" t="s">
        <v>12499</v>
      </c>
      <c r="D9138" t="s">
        <v>23</v>
      </c>
      <c r="E9138" t="s">
        <v>24</v>
      </c>
      <c r="F9138" t="s">
        <v>3488</v>
      </c>
      <c r="G9138">
        <v>1294909</v>
      </c>
      <c r="H9138" t="s">
        <v>84</v>
      </c>
      <c r="I9138" t="s">
        <v>445</v>
      </c>
      <c r="J9138" t="str">
        <f t="shared" ref="J9138:J9143" si="72">"9780520956797"</f>
        <v>9780520956797</v>
      </c>
      <c r="L9138">
        <v>0</v>
      </c>
      <c r="O9138" t="s">
        <v>28</v>
      </c>
      <c r="P9138" t="s">
        <v>29</v>
      </c>
      <c r="Q9138" s="1">
        <v>42243.763958333337</v>
      </c>
      <c r="R9138">
        <v>7</v>
      </c>
      <c r="S9138" t="s">
        <v>31</v>
      </c>
      <c r="T9138" t="s">
        <v>3490</v>
      </c>
      <c r="U9138" t="s">
        <v>3491</v>
      </c>
      <c r="V9138" s="3">
        <v>41487</v>
      </c>
    </row>
    <row r="9139" spans="1:22" x14ac:dyDescent="0.35">
      <c r="A9139" s="1">
        <v>42243.827499999999</v>
      </c>
      <c r="B9139" s="2">
        <v>5.7870370370370366E-5</v>
      </c>
      <c r="C9139" t="s">
        <v>12499</v>
      </c>
      <c r="D9139" t="s">
        <v>23</v>
      </c>
      <c r="E9139" t="s">
        <v>24</v>
      </c>
      <c r="F9139" t="s">
        <v>3488</v>
      </c>
      <c r="G9139">
        <v>1294909</v>
      </c>
      <c r="H9139" t="s">
        <v>84</v>
      </c>
      <c r="I9139" t="s">
        <v>445</v>
      </c>
      <c r="J9139" t="str">
        <f t="shared" si="72"/>
        <v>9780520956797</v>
      </c>
      <c r="K9139" t="s">
        <v>786</v>
      </c>
      <c r="L9139">
        <v>3</v>
      </c>
      <c r="O9139" t="s">
        <v>30</v>
      </c>
      <c r="P9139" t="s">
        <v>29</v>
      </c>
      <c r="Q9139" s="1">
        <v>42243.763958333337</v>
      </c>
      <c r="R9139">
        <v>7</v>
      </c>
      <c r="S9139" t="s">
        <v>31</v>
      </c>
      <c r="T9139" t="s">
        <v>3490</v>
      </c>
      <c r="U9139" t="s">
        <v>3491</v>
      </c>
      <c r="V9139" s="3">
        <v>41487</v>
      </c>
    </row>
    <row r="9140" spans="1:22" x14ac:dyDescent="0.35">
      <c r="A9140" s="1">
        <v>42243.823761574073</v>
      </c>
      <c r="B9140" s="2">
        <v>0</v>
      </c>
      <c r="C9140" t="s">
        <v>12499</v>
      </c>
      <c r="D9140" t="s">
        <v>23</v>
      </c>
      <c r="E9140" t="s">
        <v>24</v>
      </c>
      <c r="F9140" t="s">
        <v>3488</v>
      </c>
      <c r="G9140">
        <v>1294909</v>
      </c>
      <c r="H9140" t="s">
        <v>84</v>
      </c>
      <c r="I9140" t="s">
        <v>445</v>
      </c>
      <c r="J9140" t="str">
        <f t="shared" si="72"/>
        <v>9780520956797</v>
      </c>
      <c r="L9140">
        <v>0</v>
      </c>
      <c r="O9140" t="s">
        <v>28</v>
      </c>
      <c r="P9140" t="s">
        <v>29</v>
      </c>
      <c r="Q9140" s="1">
        <v>42243.763958333337</v>
      </c>
      <c r="R9140">
        <v>7</v>
      </c>
      <c r="S9140" t="s">
        <v>31</v>
      </c>
      <c r="T9140" t="s">
        <v>3490</v>
      </c>
      <c r="U9140" t="s">
        <v>3491</v>
      </c>
      <c r="V9140" s="3">
        <v>41487</v>
      </c>
    </row>
    <row r="9141" spans="1:22" x14ac:dyDescent="0.35">
      <c r="A9141" s="1">
        <v>42243.818564814814</v>
      </c>
      <c r="B9141" s="2">
        <v>2.6620370370370372E-4</v>
      </c>
      <c r="C9141" t="s">
        <v>12499</v>
      </c>
      <c r="D9141" t="s">
        <v>23</v>
      </c>
      <c r="E9141" t="s">
        <v>24</v>
      </c>
      <c r="F9141" t="s">
        <v>3488</v>
      </c>
      <c r="G9141">
        <v>1294909</v>
      </c>
      <c r="H9141" t="s">
        <v>84</v>
      </c>
      <c r="I9141" t="s">
        <v>445</v>
      </c>
      <c r="J9141" t="str">
        <f t="shared" si="72"/>
        <v>9780520956797</v>
      </c>
      <c r="K9141" t="s">
        <v>12739</v>
      </c>
      <c r="L9141">
        <v>3</v>
      </c>
      <c r="O9141" t="s">
        <v>30</v>
      </c>
      <c r="P9141" t="s">
        <v>29</v>
      </c>
      <c r="Q9141" s="1">
        <v>42243.763958333337</v>
      </c>
      <c r="R9141">
        <v>7</v>
      </c>
      <c r="S9141" t="s">
        <v>31</v>
      </c>
      <c r="T9141" t="s">
        <v>3490</v>
      </c>
      <c r="U9141" t="s">
        <v>3491</v>
      </c>
      <c r="V9141" s="3">
        <v>41487</v>
      </c>
    </row>
    <row r="9142" spans="1:22" x14ac:dyDescent="0.35">
      <c r="A9142" s="1">
        <v>42243.763958333337</v>
      </c>
      <c r="B9142" s="2">
        <v>1.0138888888888888E-2</v>
      </c>
      <c r="C9142" t="s">
        <v>12499</v>
      </c>
      <c r="D9142" t="s">
        <v>23</v>
      </c>
      <c r="E9142" t="s">
        <v>24</v>
      </c>
      <c r="F9142" t="s">
        <v>3488</v>
      </c>
      <c r="G9142">
        <v>1294909</v>
      </c>
      <c r="H9142" t="s">
        <v>84</v>
      </c>
      <c r="I9142" t="s">
        <v>445</v>
      </c>
      <c r="J9142" t="str">
        <f t="shared" si="72"/>
        <v>9780520956797</v>
      </c>
      <c r="K9142" t="s">
        <v>12740</v>
      </c>
      <c r="L9142">
        <v>13</v>
      </c>
      <c r="N9142" t="s">
        <v>12741</v>
      </c>
      <c r="O9142" t="s">
        <v>30</v>
      </c>
      <c r="P9142" t="s">
        <v>29</v>
      </c>
      <c r="Q9142" s="1">
        <v>42243.763958333337</v>
      </c>
      <c r="R9142">
        <v>7</v>
      </c>
      <c r="S9142" t="s">
        <v>31</v>
      </c>
      <c r="T9142" t="s">
        <v>3490</v>
      </c>
      <c r="U9142" t="s">
        <v>3491</v>
      </c>
      <c r="V9142" s="3">
        <v>41487</v>
      </c>
    </row>
    <row r="9143" spans="1:22" x14ac:dyDescent="0.35">
      <c r="A9143" s="1">
        <v>42243.763009259259</v>
      </c>
      <c r="B9143" s="2">
        <v>9.4907407407407408E-4</v>
      </c>
      <c r="C9143" t="s">
        <v>12499</v>
      </c>
      <c r="D9143" t="s">
        <v>23</v>
      </c>
      <c r="E9143" t="s">
        <v>24</v>
      </c>
      <c r="F9143" t="s">
        <v>3488</v>
      </c>
      <c r="G9143">
        <v>1294909</v>
      </c>
      <c r="H9143" t="s">
        <v>84</v>
      </c>
      <c r="I9143" t="s">
        <v>445</v>
      </c>
      <c r="J9143" t="str">
        <f t="shared" si="72"/>
        <v>9780520956797</v>
      </c>
      <c r="K9143" t="s">
        <v>12742</v>
      </c>
      <c r="L9143">
        <v>24</v>
      </c>
      <c r="O9143" t="s">
        <v>30</v>
      </c>
      <c r="P9143" t="s">
        <v>42</v>
      </c>
      <c r="S9143" t="s">
        <v>31</v>
      </c>
      <c r="T9143" t="s">
        <v>3490</v>
      </c>
      <c r="U9143" t="s">
        <v>3491</v>
      </c>
      <c r="V9143" s="3">
        <v>41487</v>
      </c>
    </row>
    <row r="9144" spans="1:22" x14ac:dyDescent="0.35">
      <c r="A9144" s="1">
        <v>42243.672962962963</v>
      </c>
      <c r="B9144" s="2">
        <v>2.4305555555555552E-4</v>
      </c>
      <c r="C9144" t="s">
        <v>744</v>
      </c>
      <c r="D9144" t="s">
        <v>23</v>
      </c>
      <c r="E9144" t="s">
        <v>24</v>
      </c>
      <c r="F9144" t="s">
        <v>3228</v>
      </c>
      <c r="G9144">
        <v>1115640</v>
      </c>
      <c r="H9144" t="s">
        <v>26</v>
      </c>
      <c r="I9144" t="s">
        <v>3229</v>
      </c>
      <c r="J9144" t="str">
        <f>"9781118419090"</f>
        <v>9781118419090</v>
      </c>
      <c r="K9144" t="s">
        <v>217</v>
      </c>
      <c r="L9144">
        <v>12</v>
      </c>
      <c r="O9144" t="s">
        <v>30</v>
      </c>
      <c r="P9144" t="s">
        <v>42</v>
      </c>
      <c r="S9144" t="s">
        <v>31</v>
      </c>
      <c r="T9144" t="s">
        <v>3231</v>
      </c>
      <c r="U9144">
        <v>624</v>
      </c>
      <c r="V9144" s="3">
        <v>41296</v>
      </c>
    </row>
    <row r="9145" spans="1:22" x14ac:dyDescent="0.35">
      <c r="A9145" s="1">
        <v>42242.841180555559</v>
      </c>
      <c r="B9145" s="2">
        <v>2.0856481481481479E-2</v>
      </c>
      <c r="C9145" t="s">
        <v>210</v>
      </c>
      <c r="D9145" t="s">
        <v>211</v>
      </c>
      <c r="E9145" t="s">
        <v>212</v>
      </c>
      <c r="F9145" t="s">
        <v>6788</v>
      </c>
      <c r="G9145">
        <v>1784948</v>
      </c>
      <c r="H9145" t="s">
        <v>26</v>
      </c>
      <c r="I9145" t="s">
        <v>172</v>
      </c>
      <c r="J9145" t="str">
        <f>"9781119022336"</f>
        <v>9781119022336</v>
      </c>
      <c r="K9145" t="s">
        <v>12743</v>
      </c>
      <c r="L9145">
        <v>18</v>
      </c>
      <c r="O9145" t="s">
        <v>28</v>
      </c>
      <c r="P9145" t="s">
        <v>29</v>
      </c>
      <c r="Q9145" s="1">
        <v>42242.841180555559</v>
      </c>
      <c r="R9145">
        <v>7</v>
      </c>
      <c r="S9145" t="s">
        <v>214</v>
      </c>
      <c r="T9145" t="s">
        <v>6789</v>
      </c>
      <c r="U9145">
        <v>952</v>
      </c>
      <c r="V9145" s="3">
        <v>41893</v>
      </c>
    </row>
    <row r="9146" spans="1:22" x14ac:dyDescent="0.35">
      <c r="A9146" s="1">
        <v>42242.841180555559</v>
      </c>
      <c r="B9146" s="2">
        <v>0</v>
      </c>
      <c r="C9146" t="s">
        <v>210</v>
      </c>
      <c r="D9146" t="s">
        <v>211</v>
      </c>
      <c r="E9146" t="s">
        <v>212</v>
      </c>
      <c r="F9146" t="s">
        <v>6788</v>
      </c>
      <c r="G9146">
        <v>1784948</v>
      </c>
      <c r="H9146" t="s">
        <v>26</v>
      </c>
      <c r="I9146" t="s">
        <v>172</v>
      </c>
      <c r="J9146" t="str">
        <f>"9781119022336"</f>
        <v>9781119022336</v>
      </c>
      <c r="L9146">
        <v>0</v>
      </c>
      <c r="O9146" t="s">
        <v>30</v>
      </c>
      <c r="P9146" t="s">
        <v>29</v>
      </c>
      <c r="Q9146" s="1">
        <v>42242.841180555559</v>
      </c>
      <c r="R9146">
        <v>7</v>
      </c>
      <c r="S9146" t="s">
        <v>214</v>
      </c>
      <c r="T9146" t="s">
        <v>6789</v>
      </c>
      <c r="U9146">
        <v>952</v>
      </c>
      <c r="V9146" s="3">
        <v>41893</v>
      </c>
    </row>
    <row r="9147" spans="1:22" x14ac:dyDescent="0.35">
      <c r="A9147" s="1">
        <v>42242.840474537035</v>
      </c>
      <c r="B9147" s="2">
        <v>7.0601851851851847E-4</v>
      </c>
      <c r="C9147" t="s">
        <v>210</v>
      </c>
      <c r="D9147" t="s">
        <v>211</v>
      </c>
      <c r="E9147" t="s">
        <v>212</v>
      </c>
      <c r="F9147" t="s">
        <v>6788</v>
      </c>
      <c r="G9147">
        <v>1784948</v>
      </c>
      <c r="H9147" t="s">
        <v>26</v>
      </c>
      <c r="I9147" t="s">
        <v>172</v>
      </c>
      <c r="J9147" t="str">
        <f>"9781119022336"</f>
        <v>9781119022336</v>
      </c>
      <c r="K9147" t="s">
        <v>12744</v>
      </c>
      <c r="L9147">
        <v>6</v>
      </c>
      <c r="O9147" t="s">
        <v>30</v>
      </c>
      <c r="P9147" t="s">
        <v>42</v>
      </c>
      <c r="S9147" t="s">
        <v>214</v>
      </c>
      <c r="T9147" t="s">
        <v>6789</v>
      </c>
      <c r="U9147">
        <v>952</v>
      </c>
      <c r="V9147" s="3">
        <v>41893</v>
      </c>
    </row>
    <row r="9148" spans="1:22" x14ac:dyDescent="0.35">
      <c r="A9148" s="1">
        <v>42242.721087962964</v>
      </c>
      <c r="B9148" s="2">
        <v>8.3333333333333339E-4</v>
      </c>
      <c r="C9148" t="s">
        <v>210</v>
      </c>
      <c r="D9148" t="s">
        <v>211</v>
      </c>
      <c r="E9148" t="s">
        <v>212</v>
      </c>
      <c r="F9148" t="s">
        <v>9828</v>
      </c>
      <c r="G9148">
        <v>1655942</v>
      </c>
      <c r="H9148" t="s">
        <v>91</v>
      </c>
      <c r="I9148" t="s">
        <v>247</v>
      </c>
      <c r="J9148" t="str">
        <f>"9781462513888"</f>
        <v>9781462513888</v>
      </c>
      <c r="K9148" t="s">
        <v>12745</v>
      </c>
      <c r="L9148">
        <v>19</v>
      </c>
      <c r="O9148" t="s">
        <v>30</v>
      </c>
      <c r="P9148" t="s">
        <v>42</v>
      </c>
      <c r="S9148" t="s">
        <v>214</v>
      </c>
      <c r="T9148" t="s">
        <v>9830</v>
      </c>
      <c r="U9148">
        <v>616.85830599999997</v>
      </c>
      <c r="V9148" s="3">
        <v>41773</v>
      </c>
    </row>
    <row r="9149" spans="1:22" x14ac:dyDescent="0.35">
      <c r="A9149" s="1">
        <v>42242.637754629628</v>
      </c>
      <c r="B9149" s="2">
        <v>7.407407407407407E-4</v>
      </c>
      <c r="C9149" t="s">
        <v>10715</v>
      </c>
      <c r="D9149" t="s">
        <v>35</v>
      </c>
      <c r="E9149" t="s">
        <v>36</v>
      </c>
      <c r="F9149" t="s">
        <v>37</v>
      </c>
      <c r="G9149">
        <v>1684620</v>
      </c>
      <c r="H9149" t="s">
        <v>26</v>
      </c>
      <c r="I9149" t="s">
        <v>38</v>
      </c>
      <c r="J9149" t="str">
        <f>"9781118418925"</f>
        <v>9781118418925</v>
      </c>
      <c r="K9149" t="s">
        <v>12746</v>
      </c>
      <c r="L9149">
        <v>8</v>
      </c>
      <c r="O9149" t="s">
        <v>30</v>
      </c>
      <c r="P9149" t="s">
        <v>42</v>
      </c>
      <c r="S9149" t="s">
        <v>40</v>
      </c>
      <c r="T9149" t="s">
        <v>41</v>
      </c>
      <c r="U9149">
        <v>362.10680000000002</v>
      </c>
      <c r="V9149" s="3">
        <v>41759</v>
      </c>
    </row>
    <row r="9150" spans="1:22" x14ac:dyDescent="0.35">
      <c r="A9150" s="1">
        <v>42242.630856481483</v>
      </c>
      <c r="B9150" s="2">
        <v>1.9097222222222222E-3</v>
      </c>
      <c r="C9150" t="s">
        <v>12747</v>
      </c>
      <c r="D9150" t="s">
        <v>23</v>
      </c>
      <c r="E9150" t="s">
        <v>24</v>
      </c>
      <c r="F9150" t="s">
        <v>12748</v>
      </c>
      <c r="G9150">
        <v>832616</v>
      </c>
      <c r="H9150" t="s">
        <v>26</v>
      </c>
      <c r="I9150" t="s">
        <v>276</v>
      </c>
      <c r="J9150" t="str">
        <f>"9781118333532"</f>
        <v>9781118333532</v>
      </c>
      <c r="K9150" t="s">
        <v>12749</v>
      </c>
      <c r="L9150">
        <v>27</v>
      </c>
      <c r="O9150" t="s">
        <v>30</v>
      </c>
      <c r="P9150" t="s">
        <v>42</v>
      </c>
      <c r="S9150" t="s">
        <v>31</v>
      </c>
      <c r="T9150" t="s">
        <v>12750</v>
      </c>
      <c r="U9150" t="s">
        <v>12751</v>
      </c>
      <c r="V9150" s="3">
        <v>41038</v>
      </c>
    </row>
    <row r="9151" spans="1:22" x14ac:dyDescent="0.35">
      <c r="A9151" s="1">
        <v>42242.630613425928</v>
      </c>
      <c r="B9151" s="2">
        <v>0</v>
      </c>
      <c r="C9151" t="s">
        <v>12752</v>
      </c>
      <c r="D9151" t="s">
        <v>35</v>
      </c>
      <c r="E9151" t="s">
        <v>36</v>
      </c>
      <c r="F9151" t="s">
        <v>1285</v>
      </c>
      <c r="G9151">
        <v>979950</v>
      </c>
      <c r="H9151" t="s">
        <v>1286</v>
      </c>
      <c r="I9151" t="s">
        <v>310</v>
      </c>
      <c r="J9151" t="str">
        <f>"9781476600321"</f>
        <v>9781476600321</v>
      </c>
      <c r="L9151">
        <v>0</v>
      </c>
      <c r="N9151" t="s">
        <v>12753</v>
      </c>
      <c r="O9151" t="s">
        <v>30</v>
      </c>
      <c r="P9151" t="s">
        <v>29</v>
      </c>
      <c r="Q9151" s="1">
        <v>42242.630613425928</v>
      </c>
      <c r="R9151">
        <v>7</v>
      </c>
      <c r="S9151" t="s">
        <v>40</v>
      </c>
      <c r="T9151" t="s">
        <v>1288</v>
      </c>
      <c r="U9151" t="s">
        <v>1289</v>
      </c>
      <c r="V9151" s="3">
        <v>41100</v>
      </c>
    </row>
    <row r="9152" spans="1:22" x14ac:dyDescent="0.35">
      <c r="A9152" s="1">
        <v>42242.628900462965</v>
      </c>
      <c r="B9152" s="2">
        <v>2.6620370370370372E-4</v>
      </c>
      <c r="C9152" t="s">
        <v>12754</v>
      </c>
      <c r="D9152" t="s">
        <v>125</v>
      </c>
      <c r="E9152" t="s">
        <v>126</v>
      </c>
      <c r="F9152" t="s">
        <v>12755</v>
      </c>
      <c r="G9152">
        <v>1818242</v>
      </c>
      <c r="H9152" t="s">
        <v>26</v>
      </c>
      <c r="I9152" t="s">
        <v>276</v>
      </c>
      <c r="J9152" t="str">
        <f>"9781118991220"</f>
        <v>9781118991220</v>
      </c>
      <c r="K9152" t="s">
        <v>12756</v>
      </c>
      <c r="L9152">
        <v>7</v>
      </c>
      <c r="O9152" t="s">
        <v>30</v>
      </c>
      <c r="P9152" t="s">
        <v>42</v>
      </c>
      <c r="S9152" t="s">
        <v>128</v>
      </c>
      <c r="T9152" t="s">
        <v>12757</v>
      </c>
      <c r="U9152">
        <v>5.4459999999999997</v>
      </c>
      <c r="V9152" s="3">
        <v>41927</v>
      </c>
    </row>
    <row r="9153" spans="1:22" x14ac:dyDescent="0.35">
      <c r="A9153" s="1">
        <v>42242.624421296299</v>
      </c>
      <c r="B9153" s="2">
        <v>6.1921296296296299E-3</v>
      </c>
      <c r="C9153" t="s">
        <v>12752</v>
      </c>
      <c r="D9153" t="s">
        <v>35</v>
      </c>
      <c r="E9153" t="s">
        <v>36</v>
      </c>
      <c r="F9153" t="s">
        <v>1285</v>
      </c>
      <c r="G9153">
        <v>979950</v>
      </c>
      <c r="H9153" t="s">
        <v>1286</v>
      </c>
      <c r="I9153" t="s">
        <v>310</v>
      </c>
      <c r="J9153" t="str">
        <f>"9781476600321"</f>
        <v>9781476600321</v>
      </c>
      <c r="K9153" t="s">
        <v>12758</v>
      </c>
      <c r="L9153">
        <v>21</v>
      </c>
      <c r="O9153" t="s">
        <v>30</v>
      </c>
      <c r="P9153" t="s">
        <v>42</v>
      </c>
      <c r="S9153" t="s">
        <v>40</v>
      </c>
      <c r="T9153" t="s">
        <v>1288</v>
      </c>
      <c r="U9153" t="s">
        <v>1289</v>
      </c>
      <c r="V9153" s="3">
        <v>41100</v>
      </c>
    </row>
    <row r="9154" spans="1:22" x14ac:dyDescent="0.35">
      <c r="A9154" s="1">
        <v>42242.12641203704</v>
      </c>
      <c r="B9154" s="2">
        <v>6.8981481481481477E-2</v>
      </c>
      <c r="C9154" t="s">
        <v>6410</v>
      </c>
      <c r="D9154" t="s">
        <v>23</v>
      </c>
      <c r="E9154" t="s">
        <v>24</v>
      </c>
      <c r="F9154" t="s">
        <v>491</v>
      </c>
      <c r="G9154">
        <v>768534</v>
      </c>
      <c r="H9154" t="s">
        <v>492</v>
      </c>
      <c r="I9154" t="s">
        <v>493</v>
      </c>
      <c r="J9154" t="str">
        <f>"9781400839704"</f>
        <v>9781400839704</v>
      </c>
      <c r="K9154" t="s">
        <v>12759</v>
      </c>
      <c r="L9154">
        <v>131</v>
      </c>
      <c r="O9154" t="s">
        <v>30</v>
      </c>
      <c r="P9154" t="s">
        <v>42</v>
      </c>
      <c r="S9154" t="s">
        <v>31</v>
      </c>
      <c r="T9154" t="s">
        <v>495</v>
      </c>
      <c r="U9154" t="s">
        <v>496</v>
      </c>
      <c r="V9154" s="3">
        <v>40847</v>
      </c>
    </row>
    <row r="9155" spans="1:22" x14ac:dyDescent="0.35">
      <c r="A9155" s="1">
        <v>42242.121134259258</v>
      </c>
      <c r="B9155" s="2">
        <v>1.5856481481481479E-3</v>
      </c>
      <c r="C9155" t="s">
        <v>6410</v>
      </c>
      <c r="D9155" t="s">
        <v>23</v>
      </c>
      <c r="E9155" t="s">
        <v>24</v>
      </c>
      <c r="F9155" t="s">
        <v>491</v>
      </c>
      <c r="G9155">
        <v>768534</v>
      </c>
      <c r="H9155" t="s">
        <v>492</v>
      </c>
      <c r="I9155" t="s">
        <v>493</v>
      </c>
      <c r="J9155" t="str">
        <f>"9781400839704"</f>
        <v>9781400839704</v>
      </c>
      <c r="K9155" t="s">
        <v>12760</v>
      </c>
      <c r="L9155">
        <v>11</v>
      </c>
      <c r="O9155" t="s">
        <v>30</v>
      </c>
      <c r="P9155" t="s">
        <v>42</v>
      </c>
      <c r="S9155" t="s">
        <v>31</v>
      </c>
      <c r="T9155" t="s">
        <v>495</v>
      </c>
      <c r="U9155" t="s">
        <v>496</v>
      </c>
      <c r="V9155" s="3">
        <v>40847</v>
      </c>
    </row>
    <row r="9156" spans="1:22" x14ac:dyDescent="0.35">
      <c r="A9156" s="1">
        <v>42242.072997685187</v>
      </c>
      <c r="B9156" s="2">
        <v>9.6064814814814808E-4</v>
      </c>
      <c r="C9156" t="s">
        <v>4728</v>
      </c>
      <c r="D9156" t="s">
        <v>623</v>
      </c>
      <c r="E9156" t="s">
        <v>624</v>
      </c>
      <c r="F9156" t="s">
        <v>4494</v>
      </c>
      <c r="G9156">
        <v>565082</v>
      </c>
      <c r="H9156" t="s">
        <v>26</v>
      </c>
      <c r="I9156" t="s">
        <v>69</v>
      </c>
      <c r="J9156" t="str">
        <f>"9781118041567"</f>
        <v>9781118041567</v>
      </c>
      <c r="K9156" t="s">
        <v>12761</v>
      </c>
      <c r="L9156">
        <v>24</v>
      </c>
      <c r="O9156" t="s">
        <v>30</v>
      </c>
      <c r="P9156" t="s">
        <v>42</v>
      </c>
      <c r="S9156" t="s">
        <v>627</v>
      </c>
      <c r="T9156" t="s">
        <v>4496</v>
      </c>
      <c r="U9156" t="s">
        <v>4497</v>
      </c>
      <c r="V9156" s="3">
        <v>40337</v>
      </c>
    </row>
    <row r="9157" spans="1:22" x14ac:dyDescent="0.35">
      <c r="A9157" s="1">
        <v>42242.070613425924</v>
      </c>
      <c r="B9157" s="2">
        <v>2.0254629629629629E-3</v>
      </c>
      <c r="C9157" t="s">
        <v>4728</v>
      </c>
      <c r="D9157" t="s">
        <v>623</v>
      </c>
      <c r="E9157" t="s">
        <v>624</v>
      </c>
      <c r="F9157" t="s">
        <v>4494</v>
      </c>
      <c r="G9157">
        <v>565082</v>
      </c>
      <c r="H9157" t="s">
        <v>26</v>
      </c>
      <c r="I9157" t="s">
        <v>69</v>
      </c>
      <c r="J9157" t="str">
        <f>"9781118041567"</f>
        <v>9781118041567</v>
      </c>
      <c r="K9157" t="s">
        <v>12762</v>
      </c>
      <c r="L9157">
        <v>6</v>
      </c>
      <c r="O9157" t="s">
        <v>30</v>
      </c>
      <c r="P9157" t="s">
        <v>42</v>
      </c>
      <c r="S9157" t="s">
        <v>627</v>
      </c>
      <c r="T9157" t="s">
        <v>4496</v>
      </c>
      <c r="U9157" t="s">
        <v>4497</v>
      </c>
      <c r="V9157" s="3">
        <v>40337</v>
      </c>
    </row>
    <row r="9158" spans="1:22" x14ac:dyDescent="0.35">
      <c r="A9158" s="1">
        <v>42241.789050925923</v>
      </c>
      <c r="B9158" s="2">
        <v>0</v>
      </c>
      <c r="C9158" t="s">
        <v>12763</v>
      </c>
      <c r="D9158" t="s">
        <v>23</v>
      </c>
      <c r="E9158" t="s">
        <v>24</v>
      </c>
      <c r="F9158" t="s">
        <v>4594</v>
      </c>
      <c r="G9158">
        <v>1872281</v>
      </c>
      <c r="H9158" t="s">
        <v>91</v>
      </c>
      <c r="I9158" t="s">
        <v>2133</v>
      </c>
      <c r="J9158" t="str">
        <f>"9781462519606"</f>
        <v>9781462519606</v>
      </c>
      <c r="L9158">
        <v>0</v>
      </c>
      <c r="O9158" t="s">
        <v>28</v>
      </c>
      <c r="P9158" t="s">
        <v>29</v>
      </c>
      <c r="Q9158" s="1">
        <v>42241.777303240742</v>
      </c>
      <c r="R9158">
        <v>7</v>
      </c>
      <c r="S9158" t="s">
        <v>31</v>
      </c>
      <c r="T9158" t="s">
        <v>4596</v>
      </c>
      <c r="U9158">
        <v>378.101</v>
      </c>
      <c r="V9158" s="3">
        <v>42150</v>
      </c>
    </row>
    <row r="9159" spans="1:22" x14ac:dyDescent="0.35">
      <c r="A9159" s="1">
        <v>42241.777303240742</v>
      </c>
      <c r="B9159" s="2">
        <v>3.3564814814814812E-4</v>
      </c>
      <c r="C9159" t="s">
        <v>12763</v>
      </c>
      <c r="D9159" t="s">
        <v>23</v>
      </c>
      <c r="E9159" t="s">
        <v>24</v>
      </c>
      <c r="F9159" t="s">
        <v>4594</v>
      </c>
      <c r="G9159">
        <v>1872281</v>
      </c>
      <c r="H9159" t="s">
        <v>91</v>
      </c>
      <c r="I9159" t="s">
        <v>2133</v>
      </c>
      <c r="J9159" t="str">
        <f>"9781462519606"</f>
        <v>9781462519606</v>
      </c>
      <c r="K9159" t="s">
        <v>414</v>
      </c>
      <c r="L9159">
        <v>2</v>
      </c>
      <c r="O9159" t="s">
        <v>30</v>
      </c>
      <c r="P9159" t="s">
        <v>29</v>
      </c>
      <c r="Q9159" s="1">
        <v>42241.777303240742</v>
      </c>
      <c r="R9159">
        <v>7</v>
      </c>
      <c r="S9159" t="s">
        <v>31</v>
      </c>
      <c r="T9159" t="s">
        <v>4596</v>
      </c>
      <c r="U9159">
        <v>378.101</v>
      </c>
      <c r="V9159" s="3">
        <v>42150</v>
      </c>
    </row>
    <row r="9160" spans="1:22" x14ac:dyDescent="0.35">
      <c r="A9160" s="1">
        <v>42241.775069444448</v>
      </c>
      <c r="B9160" s="2">
        <v>2.2337962962962967E-3</v>
      </c>
      <c r="C9160" t="s">
        <v>12763</v>
      </c>
      <c r="D9160" t="s">
        <v>23</v>
      </c>
      <c r="E9160" t="s">
        <v>24</v>
      </c>
      <c r="F9160" t="s">
        <v>4594</v>
      </c>
      <c r="G9160">
        <v>1872281</v>
      </c>
      <c r="H9160" t="s">
        <v>91</v>
      </c>
      <c r="I9160" t="s">
        <v>2133</v>
      </c>
      <c r="J9160" t="str">
        <f>"9781462519606"</f>
        <v>9781462519606</v>
      </c>
      <c r="K9160" t="s">
        <v>33</v>
      </c>
      <c r="L9160">
        <v>3</v>
      </c>
      <c r="O9160" t="s">
        <v>30</v>
      </c>
      <c r="P9160" t="s">
        <v>50</v>
      </c>
      <c r="S9160" t="s">
        <v>31</v>
      </c>
      <c r="T9160" t="s">
        <v>4596</v>
      </c>
      <c r="U9160">
        <v>378.101</v>
      </c>
      <c r="V9160" s="3">
        <v>42150</v>
      </c>
    </row>
    <row r="9161" spans="1:22" x14ac:dyDescent="0.35">
      <c r="A9161" s="1">
        <v>42241.764907407407</v>
      </c>
      <c r="B9161" s="2">
        <v>3.9351851851851857E-3</v>
      </c>
      <c r="C9161" t="s">
        <v>106</v>
      </c>
      <c r="D9161" t="s">
        <v>23</v>
      </c>
      <c r="E9161" t="s">
        <v>24</v>
      </c>
      <c r="F9161" t="s">
        <v>4197</v>
      </c>
      <c r="G9161">
        <v>1742841</v>
      </c>
      <c r="H9161" t="s">
        <v>91</v>
      </c>
      <c r="I9161" t="s">
        <v>247</v>
      </c>
      <c r="J9161" t="str">
        <f>"9781462516445"</f>
        <v>9781462516445</v>
      </c>
      <c r="K9161" t="s">
        <v>12764</v>
      </c>
      <c r="L9161">
        <v>36</v>
      </c>
      <c r="O9161" t="s">
        <v>30</v>
      </c>
      <c r="P9161" t="s">
        <v>29</v>
      </c>
      <c r="Q9161" s="1">
        <v>42241.764907407407</v>
      </c>
      <c r="R9161">
        <v>7</v>
      </c>
      <c r="S9161" t="s">
        <v>31</v>
      </c>
      <c r="T9161" t="s">
        <v>4199</v>
      </c>
      <c r="U9161">
        <v>616.85270000000003</v>
      </c>
      <c r="V9161" s="3">
        <v>41934</v>
      </c>
    </row>
    <row r="9162" spans="1:22" x14ac:dyDescent="0.35">
      <c r="A9162" s="1">
        <v>42241.763078703705</v>
      </c>
      <c r="B9162" s="2">
        <v>1.5046296296296294E-3</v>
      </c>
      <c r="C9162" t="s">
        <v>12765</v>
      </c>
      <c r="D9162" t="s">
        <v>1222</v>
      </c>
      <c r="E9162" t="s">
        <v>1223</v>
      </c>
      <c r="F9162" t="s">
        <v>12766</v>
      </c>
      <c r="G9162">
        <v>1679072</v>
      </c>
      <c r="H9162" t="s">
        <v>526</v>
      </c>
      <c r="I9162" t="s">
        <v>12767</v>
      </c>
      <c r="J9162" t="str">
        <f>"9780226107547"</f>
        <v>9780226107547</v>
      </c>
      <c r="K9162" t="s">
        <v>12768</v>
      </c>
      <c r="L9162">
        <v>22</v>
      </c>
      <c r="O9162" t="s">
        <v>30</v>
      </c>
      <c r="P9162" t="s">
        <v>50</v>
      </c>
      <c r="S9162" t="s">
        <v>1226</v>
      </c>
      <c r="T9162" t="s">
        <v>12769</v>
      </c>
      <c r="U9162" t="s">
        <v>12770</v>
      </c>
      <c r="V9162" s="3">
        <v>41786</v>
      </c>
    </row>
    <row r="9163" spans="1:22" x14ac:dyDescent="0.35">
      <c r="A9163" s="1">
        <v>42241.757789351854</v>
      </c>
      <c r="B9163" s="2">
        <v>7.1180555555555554E-3</v>
      </c>
      <c r="C9163" t="s">
        <v>106</v>
      </c>
      <c r="D9163" t="s">
        <v>23</v>
      </c>
      <c r="E9163" t="s">
        <v>24</v>
      </c>
      <c r="F9163" t="s">
        <v>4197</v>
      </c>
      <c r="G9163">
        <v>1742841</v>
      </c>
      <c r="H9163" t="s">
        <v>91</v>
      </c>
      <c r="I9163" t="s">
        <v>247</v>
      </c>
      <c r="J9163" t="str">
        <f>"9781462516445"</f>
        <v>9781462516445</v>
      </c>
      <c r="K9163" t="s">
        <v>12771</v>
      </c>
      <c r="L9163">
        <v>128</v>
      </c>
      <c r="O9163" t="s">
        <v>30</v>
      </c>
      <c r="P9163" t="s">
        <v>42</v>
      </c>
      <c r="S9163" t="s">
        <v>31</v>
      </c>
      <c r="T9163" t="s">
        <v>4199</v>
      </c>
      <c r="U9163">
        <v>616.85270000000003</v>
      </c>
      <c r="V9163" s="3">
        <v>41934</v>
      </c>
    </row>
    <row r="9164" spans="1:22" x14ac:dyDescent="0.35">
      <c r="A9164" s="1">
        <v>42241.735960648148</v>
      </c>
      <c r="B9164" s="2">
        <v>2.5462962962962961E-4</v>
      </c>
      <c r="C9164" t="s">
        <v>12772</v>
      </c>
      <c r="D9164" t="s">
        <v>261</v>
      </c>
      <c r="E9164" t="s">
        <v>262</v>
      </c>
      <c r="F9164" t="s">
        <v>12079</v>
      </c>
      <c r="G9164">
        <v>2064569</v>
      </c>
      <c r="H9164" t="s">
        <v>45</v>
      </c>
      <c r="I9164" t="s">
        <v>200</v>
      </c>
      <c r="J9164" t="str">
        <f>"9781472439024"</f>
        <v>9781472439024</v>
      </c>
      <c r="K9164" t="s">
        <v>12773</v>
      </c>
      <c r="L9164">
        <v>5</v>
      </c>
      <c r="O9164" t="s">
        <v>30</v>
      </c>
      <c r="P9164" t="s">
        <v>50</v>
      </c>
      <c r="S9164" t="s">
        <v>264</v>
      </c>
      <c r="T9164" t="s">
        <v>12081</v>
      </c>
      <c r="U9164" t="s">
        <v>12082</v>
      </c>
      <c r="V9164" s="3">
        <v>42213</v>
      </c>
    </row>
    <row r="9165" spans="1:22" x14ac:dyDescent="0.35">
      <c r="A9165" s="1">
        <v>42241.732418981483</v>
      </c>
      <c r="B9165" s="2">
        <v>1.423611111111111E-3</v>
      </c>
      <c r="C9165" t="s">
        <v>12774</v>
      </c>
      <c r="D9165" t="s">
        <v>23</v>
      </c>
      <c r="E9165" t="s">
        <v>24</v>
      </c>
      <c r="F9165" t="s">
        <v>12775</v>
      </c>
      <c r="G9165">
        <v>1404707</v>
      </c>
      <c r="H9165" t="s">
        <v>526</v>
      </c>
      <c r="I9165" t="s">
        <v>630</v>
      </c>
      <c r="J9165" t="str">
        <f>"9780226081328"</f>
        <v>9780226081328</v>
      </c>
      <c r="K9165" t="s">
        <v>1294</v>
      </c>
      <c r="L9165">
        <v>10</v>
      </c>
      <c r="O9165" t="s">
        <v>30</v>
      </c>
      <c r="P9165" t="s">
        <v>50</v>
      </c>
      <c r="S9165" t="s">
        <v>31</v>
      </c>
      <c r="T9165" t="s">
        <v>12776</v>
      </c>
      <c r="U9165" t="s">
        <v>12777</v>
      </c>
      <c r="V9165" s="3">
        <v>41565</v>
      </c>
    </row>
    <row r="9166" spans="1:22" x14ac:dyDescent="0.35">
      <c r="A9166" s="1">
        <v>42241.73</v>
      </c>
      <c r="B9166" s="2">
        <v>3.1481481481481482E-3</v>
      </c>
      <c r="C9166" t="s">
        <v>4647</v>
      </c>
      <c r="D9166" t="s">
        <v>35</v>
      </c>
      <c r="E9166" t="s">
        <v>36</v>
      </c>
      <c r="F9166" t="s">
        <v>1285</v>
      </c>
      <c r="G9166">
        <v>979950</v>
      </c>
      <c r="H9166" t="s">
        <v>1286</v>
      </c>
      <c r="I9166" t="s">
        <v>310</v>
      </c>
      <c r="J9166" t="str">
        <f>"9781476600321"</f>
        <v>9781476600321</v>
      </c>
      <c r="K9166" t="s">
        <v>12778</v>
      </c>
      <c r="L9166">
        <v>37</v>
      </c>
      <c r="O9166" t="s">
        <v>30</v>
      </c>
      <c r="P9166" t="s">
        <v>42</v>
      </c>
      <c r="S9166" t="s">
        <v>40</v>
      </c>
      <c r="T9166" t="s">
        <v>1288</v>
      </c>
      <c r="U9166" t="s">
        <v>1289</v>
      </c>
      <c r="V9166" s="3">
        <v>41100</v>
      </c>
    </row>
    <row r="9167" spans="1:22" x14ac:dyDescent="0.35">
      <c r="A9167" s="1">
        <v>42241.649027777778</v>
      </c>
      <c r="B9167" s="2">
        <v>0</v>
      </c>
      <c r="C9167" t="s">
        <v>4041</v>
      </c>
      <c r="D9167" t="s">
        <v>23</v>
      </c>
      <c r="E9167" t="s">
        <v>24</v>
      </c>
      <c r="F9167" t="s">
        <v>3060</v>
      </c>
      <c r="G9167">
        <v>1120279</v>
      </c>
      <c r="H9167" t="s">
        <v>26</v>
      </c>
      <c r="I9167" t="s">
        <v>3061</v>
      </c>
      <c r="J9167" t="str">
        <f>"9781118537671"</f>
        <v>9781118537671</v>
      </c>
      <c r="L9167">
        <v>0</v>
      </c>
      <c r="N9167" t="s">
        <v>12779</v>
      </c>
      <c r="O9167" t="s">
        <v>30</v>
      </c>
      <c r="P9167" t="s">
        <v>29</v>
      </c>
      <c r="Q9167" s="1">
        <v>42241.649027777778</v>
      </c>
      <c r="R9167">
        <v>7</v>
      </c>
      <c r="S9167" t="s">
        <v>31</v>
      </c>
      <c r="T9167" t="s">
        <v>3063</v>
      </c>
      <c r="U9167">
        <v>599.93499999999995</v>
      </c>
      <c r="V9167" s="3">
        <v>41232</v>
      </c>
    </row>
    <row r="9168" spans="1:22" x14ac:dyDescent="0.35">
      <c r="A9168" s="1">
        <v>42241.646562499998</v>
      </c>
      <c r="B9168" s="2">
        <v>2.4652777777777776E-3</v>
      </c>
      <c r="C9168" t="s">
        <v>4041</v>
      </c>
      <c r="D9168" t="s">
        <v>23</v>
      </c>
      <c r="E9168" t="s">
        <v>24</v>
      </c>
      <c r="F9168" t="s">
        <v>3060</v>
      </c>
      <c r="G9168">
        <v>1120279</v>
      </c>
      <c r="H9168" t="s">
        <v>26</v>
      </c>
      <c r="I9168" t="s">
        <v>3061</v>
      </c>
      <c r="J9168" t="str">
        <f>"9781118537671"</f>
        <v>9781118537671</v>
      </c>
      <c r="K9168" t="s">
        <v>12780</v>
      </c>
      <c r="L9168">
        <v>7</v>
      </c>
      <c r="O9168" t="s">
        <v>30</v>
      </c>
      <c r="P9168" t="s">
        <v>42</v>
      </c>
      <c r="S9168" t="s">
        <v>31</v>
      </c>
      <c r="T9168" t="s">
        <v>3063</v>
      </c>
      <c r="U9168">
        <v>599.93499999999995</v>
      </c>
      <c r="V9168" s="3">
        <v>41232</v>
      </c>
    </row>
    <row r="9169" spans="1:22" x14ac:dyDescent="0.35">
      <c r="A9169" s="1">
        <v>42241.616076388891</v>
      </c>
      <c r="B9169" s="2">
        <v>1.1574074074074073E-5</v>
      </c>
      <c r="C9169" t="s">
        <v>12781</v>
      </c>
      <c r="D9169" t="s">
        <v>23</v>
      </c>
      <c r="E9169" t="s">
        <v>24</v>
      </c>
      <c r="F9169" t="s">
        <v>4363</v>
      </c>
      <c r="G9169">
        <v>697575</v>
      </c>
      <c r="H9169" t="s">
        <v>26</v>
      </c>
      <c r="I9169" t="s">
        <v>328</v>
      </c>
      <c r="J9169" t="str">
        <f>"9781118115909"</f>
        <v>9781118115909</v>
      </c>
      <c r="K9169" t="s">
        <v>232</v>
      </c>
      <c r="L9169">
        <v>1</v>
      </c>
      <c r="O9169" t="s">
        <v>30</v>
      </c>
      <c r="P9169" t="s">
        <v>29</v>
      </c>
      <c r="Q9169" s="1">
        <v>42241.616076388891</v>
      </c>
      <c r="R9169">
        <v>7</v>
      </c>
      <c r="S9169" t="s">
        <v>31</v>
      </c>
      <c r="T9169" t="s">
        <v>4365</v>
      </c>
      <c r="U9169" t="s">
        <v>4366</v>
      </c>
      <c r="V9169" s="3">
        <v>40829</v>
      </c>
    </row>
    <row r="9170" spans="1:22" x14ac:dyDescent="0.35">
      <c r="A9170" s="1">
        <v>42241.608032407406</v>
      </c>
      <c r="B9170" s="2">
        <v>8.0439814814814818E-3</v>
      </c>
      <c r="C9170" t="s">
        <v>12781</v>
      </c>
      <c r="D9170" t="s">
        <v>23</v>
      </c>
      <c r="E9170" t="s">
        <v>24</v>
      </c>
      <c r="F9170" t="s">
        <v>4363</v>
      </c>
      <c r="G9170">
        <v>697575</v>
      </c>
      <c r="H9170" t="s">
        <v>26</v>
      </c>
      <c r="I9170" t="s">
        <v>328</v>
      </c>
      <c r="J9170" t="str">
        <f>"9781118115909"</f>
        <v>9781118115909</v>
      </c>
      <c r="K9170" t="s">
        <v>12782</v>
      </c>
      <c r="L9170">
        <v>28</v>
      </c>
      <c r="O9170" t="s">
        <v>30</v>
      </c>
      <c r="P9170" t="s">
        <v>42</v>
      </c>
      <c r="S9170" t="s">
        <v>31</v>
      </c>
      <c r="T9170" t="s">
        <v>4365</v>
      </c>
      <c r="U9170" t="s">
        <v>4366</v>
      </c>
      <c r="V9170" s="3">
        <v>40829</v>
      </c>
    </row>
    <row r="9171" spans="1:22" x14ac:dyDescent="0.35">
      <c r="A9171" s="1">
        <v>42241.599224537036</v>
      </c>
      <c r="B9171" s="2">
        <v>1.9675925925925926E-4</v>
      </c>
      <c r="C9171" t="s">
        <v>12783</v>
      </c>
      <c r="D9171" t="s">
        <v>23</v>
      </c>
      <c r="E9171" t="s">
        <v>24</v>
      </c>
      <c r="F9171" t="s">
        <v>5959</v>
      </c>
      <c r="G9171">
        <v>1572865</v>
      </c>
      <c r="H9171" t="s">
        <v>139</v>
      </c>
      <c r="I9171" t="s">
        <v>998</v>
      </c>
      <c r="J9171" t="str">
        <f>"9780814769331"</f>
        <v>9780814769331</v>
      </c>
      <c r="K9171" t="s">
        <v>98</v>
      </c>
      <c r="L9171">
        <v>7</v>
      </c>
      <c r="O9171" t="s">
        <v>30</v>
      </c>
      <c r="P9171" t="s">
        <v>42</v>
      </c>
      <c r="S9171" t="s">
        <v>31</v>
      </c>
      <c r="T9171" t="s">
        <v>5960</v>
      </c>
      <c r="U9171">
        <v>305.800973</v>
      </c>
      <c r="V9171" s="3">
        <v>41659</v>
      </c>
    </row>
    <row r="9172" spans="1:22" x14ac:dyDescent="0.35">
      <c r="A9172" s="1">
        <v>42241.576099537036</v>
      </c>
      <c r="B9172" s="2">
        <v>5.7870370370370366E-5</v>
      </c>
      <c r="C9172" t="s">
        <v>210</v>
      </c>
      <c r="D9172" t="s">
        <v>211</v>
      </c>
      <c r="E9172" t="s">
        <v>212</v>
      </c>
      <c r="F9172" t="s">
        <v>2207</v>
      </c>
      <c r="G9172">
        <v>827065</v>
      </c>
      <c r="H9172" t="s">
        <v>26</v>
      </c>
      <c r="I9172" t="s">
        <v>310</v>
      </c>
      <c r="J9172" t="str">
        <f>"9781118306291"</f>
        <v>9781118306291</v>
      </c>
      <c r="K9172" t="s">
        <v>12784</v>
      </c>
      <c r="L9172">
        <v>6</v>
      </c>
      <c r="O9172" t="s">
        <v>30</v>
      </c>
      <c r="P9172" t="s">
        <v>42</v>
      </c>
      <c r="S9172" t="s">
        <v>214</v>
      </c>
      <c r="T9172" t="s">
        <v>2209</v>
      </c>
      <c r="U9172" t="s">
        <v>2210</v>
      </c>
      <c r="V9172" s="3">
        <v>40877</v>
      </c>
    </row>
    <row r="9173" spans="1:22" x14ac:dyDescent="0.35">
      <c r="A9173" s="1">
        <v>42240.899375000001</v>
      </c>
      <c r="B9173" s="2">
        <v>9.2476851851851852E-3</v>
      </c>
      <c r="C9173" t="s">
        <v>12785</v>
      </c>
      <c r="D9173" t="s">
        <v>23</v>
      </c>
      <c r="E9173" t="s">
        <v>24</v>
      </c>
      <c r="F9173" t="s">
        <v>12786</v>
      </c>
      <c r="G9173">
        <v>1742842</v>
      </c>
      <c r="H9173" t="s">
        <v>91</v>
      </c>
      <c r="I9173" t="s">
        <v>69</v>
      </c>
      <c r="J9173" t="str">
        <f>"9781462516810"</f>
        <v>9781462516810</v>
      </c>
      <c r="K9173" t="s">
        <v>12787</v>
      </c>
      <c r="L9173">
        <v>46</v>
      </c>
      <c r="O9173" t="s">
        <v>30</v>
      </c>
      <c r="P9173" t="s">
        <v>47</v>
      </c>
      <c r="Q9173" s="1">
        <v>42240.899375000001</v>
      </c>
      <c r="R9173">
        <v>1</v>
      </c>
      <c r="S9173" t="s">
        <v>31</v>
      </c>
      <c r="T9173" t="s">
        <v>12788</v>
      </c>
      <c r="U9173">
        <v>371.93</v>
      </c>
      <c r="V9173" s="3">
        <v>41933</v>
      </c>
    </row>
    <row r="9174" spans="1:22" x14ac:dyDescent="0.35">
      <c r="A9174" s="1">
        <v>42240.895567129628</v>
      </c>
      <c r="B9174" s="2">
        <v>3.8078703703703707E-3</v>
      </c>
      <c r="C9174" t="s">
        <v>12785</v>
      </c>
      <c r="D9174" t="s">
        <v>23</v>
      </c>
      <c r="E9174" t="s">
        <v>24</v>
      </c>
      <c r="F9174" t="s">
        <v>12786</v>
      </c>
      <c r="G9174">
        <v>1742842</v>
      </c>
      <c r="H9174" t="s">
        <v>91</v>
      </c>
      <c r="I9174" t="s">
        <v>69</v>
      </c>
      <c r="J9174" t="str">
        <f>"9781462516810"</f>
        <v>9781462516810</v>
      </c>
      <c r="K9174" t="s">
        <v>12789</v>
      </c>
      <c r="L9174">
        <v>9</v>
      </c>
      <c r="O9174" t="s">
        <v>30</v>
      </c>
      <c r="P9174" t="s">
        <v>50</v>
      </c>
      <c r="S9174" t="s">
        <v>31</v>
      </c>
      <c r="T9174" t="s">
        <v>12788</v>
      </c>
      <c r="U9174">
        <v>371.93</v>
      </c>
      <c r="V9174" s="3">
        <v>41933</v>
      </c>
    </row>
    <row r="9175" spans="1:22" x14ac:dyDescent="0.35">
      <c r="A9175" s="1">
        <v>42240.617719907408</v>
      </c>
      <c r="B9175" s="2">
        <v>3.9699074074074072E-3</v>
      </c>
      <c r="C9175" t="s">
        <v>12790</v>
      </c>
      <c r="D9175" t="s">
        <v>23</v>
      </c>
      <c r="E9175" t="s">
        <v>24</v>
      </c>
      <c r="F9175" t="s">
        <v>9164</v>
      </c>
      <c r="G9175">
        <v>1663561</v>
      </c>
      <c r="H9175" t="s">
        <v>613</v>
      </c>
      <c r="I9175" t="s">
        <v>120</v>
      </c>
      <c r="J9175" t="str">
        <f>"9781469617626"</f>
        <v>9781469617626</v>
      </c>
      <c r="K9175" t="s">
        <v>12791</v>
      </c>
      <c r="L9175">
        <v>33</v>
      </c>
      <c r="O9175" t="s">
        <v>30</v>
      </c>
      <c r="P9175" t="s">
        <v>42</v>
      </c>
      <c r="S9175" t="s">
        <v>31</v>
      </c>
      <c r="T9175" t="s">
        <v>9165</v>
      </c>
      <c r="U9175" t="s">
        <v>575</v>
      </c>
      <c r="V9175" s="3">
        <v>41925</v>
      </c>
    </row>
    <row r="9176" spans="1:22" x14ac:dyDescent="0.35">
      <c r="A9176" s="1">
        <v>42240.607824074075</v>
      </c>
      <c r="B9176" s="2">
        <v>6.4120370370370364E-3</v>
      </c>
      <c r="C9176" t="s">
        <v>12790</v>
      </c>
      <c r="D9176" t="s">
        <v>23</v>
      </c>
      <c r="E9176" t="s">
        <v>24</v>
      </c>
      <c r="F9176" t="s">
        <v>572</v>
      </c>
      <c r="G9176">
        <v>1597004</v>
      </c>
      <c r="H9176" t="s">
        <v>84</v>
      </c>
      <c r="I9176" t="s">
        <v>120</v>
      </c>
      <c r="J9176" t="str">
        <f>"9780520958173"</f>
        <v>9780520958173</v>
      </c>
      <c r="K9176" t="s">
        <v>12792</v>
      </c>
      <c r="L9176">
        <v>24</v>
      </c>
      <c r="O9176" t="s">
        <v>30</v>
      </c>
      <c r="P9176" t="s">
        <v>42</v>
      </c>
      <c r="S9176" t="s">
        <v>31</v>
      </c>
      <c r="T9176" t="s">
        <v>574</v>
      </c>
      <c r="U9176" t="s">
        <v>575</v>
      </c>
      <c r="V9176" s="3">
        <v>41760</v>
      </c>
    </row>
    <row r="9177" spans="1:22" x14ac:dyDescent="0.35">
      <c r="A9177" s="1">
        <v>42240.594525462962</v>
      </c>
      <c r="B9177" s="2">
        <v>1.1574074074074073E-5</v>
      </c>
      <c r="C9177" t="s">
        <v>106</v>
      </c>
      <c r="D9177" t="s">
        <v>23</v>
      </c>
      <c r="E9177" t="s">
        <v>24</v>
      </c>
      <c r="F9177" t="s">
        <v>12793</v>
      </c>
      <c r="G9177">
        <v>1784599</v>
      </c>
      <c r="H9177" t="s">
        <v>26</v>
      </c>
      <c r="I9177" t="s">
        <v>297</v>
      </c>
      <c r="J9177" t="str">
        <f>"9781118941119"</f>
        <v>9781118941119</v>
      </c>
      <c r="K9177" t="s">
        <v>12794</v>
      </c>
      <c r="L9177">
        <v>1</v>
      </c>
      <c r="O9177" t="s">
        <v>30</v>
      </c>
      <c r="P9177" t="s">
        <v>29</v>
      </c>
      <c r="Q9177" s="1">
        <v>42240.594525462962</v>
      </c>
      <c r="R9177">
        <v>7</v>
      </c>
      <c r="S9177" t="s">
        <v>31</v>
      </c>
      <c r="T9177" t="s">
        <v>12795</v>
      </c>
      <c r="U9177" t="s">
        <v>12796</v>
      </c>
      <c r="V9177" s="3">
        <v>41893</v>
      </c>
    </row>
    <row r="9178" spans="1:22" x14ac:dyDescent="0.35">
      <c r="A9178" s="1">
        <v>42240.586400462962</v>
      </c>
      <c r="B9178" s="2">
        <v>8.1249999999999985E-3</v>
      </c>
      <c r="C9178" t="s">
        <v>106</v>
      </c>
      <c r="D9178" t="s">
        <v>23</v>
      </c>
      <c r="E9178" t="s">
        <v>24</v>
      </c>
      <c r="F9178" t="s">
        <v>12793</v>
      </c>
      <c r="G9178">
        <v>1784599</v>
      </c>
      <c r="H9178" t="s">
        <v>26</v>
      </c>
      <c r="I9178" t="s">
        <v>297</v>
      </c>
      <c r="J9178" t="str">
        <f>"9781118941119"</f>
        <v>9781118941119</v>
      </c>
      <c r="K9178" t="s">
        <v>12797</v>
      </c>
      <c r="L9178">
        <v>14</v>
      </c>
      <c r="O9178" t="s">
        <v>30</v>
      </c>
      <c r="P9178" t="s">
        <v>42</v>
      </c>
      <c r="S9178" t="s">
        <v>31</v>
      </c>
      <c r="T9178" t="s">
        <v>12795</v>
      </c>
      <c r="U9178" t="s">
        <v>12796</v>
      </c>
      <c r="V9178" s="3">
        <v>41893</v>
      </c>
    </row>
    <row r="9179" spans="1:22" x14ac:dyDescent="0.35">
      <c r="A9179" s="1">
        <v>42240.559641203705</v>
      </c>
      <c r="B9179" s="2">
        <v>1.8518518518518518E-4</v>
      </c>
      <c r="C9179" t="s">
        <v>744</v>
      </c>
      <c r="D9179" t="s">
        <v>23</v>
      </c>
      <c r="E9179" t="s">
        <v>24</v>
      </c>
      <c r="F9179" t="s">
        <v>3228</v>
      </c>
      <c r="G9179">
        <v>1115640</v>
      </c>
      <c r="H9179" t="s">
        <v>26</v>
      </c>
      <c r="I9179" t="s">
        <v>3229</v>
      </c>
      <c r="J9179" t="str">
        <f>"9781118419090"</f>
        <v>9781118419090</v>
      </c>
      <c r="K9179" t="s">
        <v>867</v>
      </c>
      <c r="L9179">
        <v>10</v>
      </c>
      <c r="O9179" t="s">
        <v>30</v>
      </c>
      <c r="P9179" t="s">
        <v>42</v>
      </c>
      <c r="S9179" t="s">
        <v>31</v>
      </c>
      <c r="T9179" t="s">
        <v>3231</v>
      </c>
      <c r="U9179">
        <v>624</v>
      </c>
      <c r="V9179" s="3">
        <v>41296</v>
      </c>
    </row>
    <row r="9180" spans="1:22" x14ac:dyDescent="0.35">
      <c r="A9180" s="1">
        <v>42240.211828703701</v>
      </c>
      <c r="B9180" s="2">
        <v>7.7546296296296294E-2</v>
      </c>
      <c r="C9180" t="s">
        <v>6410</v>
      </c>
      <c r="D9180" t="s">
        <v>23</v>
      </c>
      <c r="E9180" t="s">
        <v>24</v>
      </c>
      <c r="F9180" t="s">
        <v>491</v>
      </c>
      <c r="G9180">
        <v>768534</v>
      </c>
      <c r="H9180" t="s">
        <v>492</v>
      </c>
      <c r="I9180" t="s">
        <v>493</v>
      </c>
      <c r="J9180" t="str">
        <f>"9781400839704"</f>
        <v>9781400839704</v>
      </c>
      <c r="K9180" t="s">
        <v>12798</v>
      </c>
      <c r="L9180">
        <v>117</v>
      </c>
      <c r="O9180" t="s">
        <v>30</v>
      </c>
      <c r="P9180" t="s">
        <v>42</v>
      </c>
      <c r="S9180" t="s">
        <v>31</v>
      </c>
      <c r="T9180" t="s">
        <v>495</v>
      </c>
      <c r="U9180" t="s">
        <v>496</v>
      </c>
      <c r="V9180" s="3">
        <v>40847</v>
      </c>
    </row>
    <row r="9181" spans="1:22" x14ac:dyDescent="0.35">
      <c r="A9181" s="1">
        <v>42240.184432870374</v>
      </c>
      <c r="B9181" s="2">
        <v>1.9675925925925926E-4</v>
      </c>
      <c r="C9181" t="s">
        <v>12765</v>
      </c>
      <c r="D9181" t="s">
        <v>1222</v>
      </c>
      <c r="E9181" t="s">
        <v>1223</v>
      </c>
      <c r="F9181" t="s">
        <v>12192</v>
      </c>
      <c r="G9181">
        <v>1816987</v>
      </c>
      <c r="H9181" t="s">
        <v>186</v>
      </c>
      <c r="I9181" t="s">
        <v>1407</v>
      </c>
      <c r="J9181" t="str">
        <f>"9781780641652"</f>
        <v>9781780641652</v>
      </c>
      <c r="K9181" t="s">
        <v>98</v>
      </c>
      <c r="L9181">
        <v>7</v>
      </c>
      <c r="O9181" t="s">
        <v>30</v>
      </c>
      <c r="P9181" t="s">
        <v>50</v>
      </c>
      <c r="S9181" t="s">
        <v>1226</v>
      </c>
      <c r="T9181" t="s">
        <v>12193</v>
      </c>
      <c r="U9181" t="s">
        <v>12194</v>
      </c>
      <c r="V9181" s="3">
        <v>41880</v>
      </c>
    </row>
    <row r="9182" spans="1:22" x14ac:dyDescent="0.35">
      <c r="A9182" s="1">
        <v>42240.088090277779</v>
      </c>
      <c r="B9182" s="2">
        <v>1.1574074074074073E-5</v>
      </c>
      <c r="C9182" t="s">
        <v>12799</v>
      </c>
      <c r="D9182" t="s">
        <v>117</v>
      </c>
      <c r="E9182" t="s">
        <v>118</v>
      </c>
      <c r="F9182" t="s">
        <v>12800</v>
      </c>
      <c r="G9182">
        <v>1590709</v>
      </c>
      <c r="H9182" t="s">
        <v>45</v>
      </c>
      <c r="I9182" t="s">
        <v>79</v>
      </c>
      <c r="J9182" t="str">
        <f>"9781472426024"</f>
        <v>9781472426024</v>
      </c>
      <c r="K9182" t="s">
        <v>12801</v>
      </c>
      <c r="L9182">
        <v>2</v>
      </c>
      <c r="O9182" t="s">
        <v>30</v>
      </c>
      <c r="P9182" t="s">
        <v>47</v>
      </c>
      <c r="Q9182" s="1">
        <v>42240.088090277779</v>
      </c>
      <c r="R9182">
        <v>1</v>
      </c>
      <c r="S9182" t="s">
        <v>121</v>
      </c>
      <c r="T9182" t="s">
        <v>12802</v>
      </c>
      <c r="U9182" t="s">
        <v>12803</v>
      </c>
      <c r="V9182" s="3">
        <v>41848</v>
      </c>
    </row>
    <row r="9183" spans="1:22" x14ac:dyDescent="0.35">
      <c r="A9183" s="1">
        <v>42240.080706018518</v>
      </c>
      <c r="B9183" s="2">
        <v>7.3842592592592597E-3</v>
      </c>
      <c r="C9183" t="s">
        <v>12799</v>
      </c>
      <c r="D9183" t="s">
        <v>117</v>
      </c>
      <c r="E9183" t="s">
        <v>118</v>
      </c>
      <c r="F9183" t="s">
        <v>12800</v>
      </c>
      <c r="G9183">
        <v>1590709</v>
      </c>
      <c r="H9183" t="s">
        <v>45</v>
      </c>
      <c r="I9183" t="s">
        <v>79</v>
      </c>
      <c r="J9183" t="str">
        <f>"9781472426024"</f>
        <v>9781472426024</v>
      </c>
      <c r="K9183" t="s">
        <v>12804</v>
      </c>
      <c r="L9183">
        <v>11</v>
      </c>
      <c r="O9183" t="s">
        <v>30</v>
      </c>
      <c r="P9183" t="s">
        <v>50</v>
      </c>
      <c r="S9183" t="s">
        <v>121</v>
      </c>
      <c r="T9183" t="s">
        <v>12802</v>
      </c>
      <c r="U9183" t="s">
        <v>12803</v>
      </c>
      <c r="V9183" s="3">
        <v>41848</v>
      </c>
    </row>
    <row r="9184" spans="1:22" x14ac:dyDescent="0.35">
      <c r="A9184" s="1">
        <v>42239.928298611114</v>
      </c>
      <c r="B9184" s="2">
        <v>3.3449074074074071E-3</v>
      </c>
      <c r="C9184" t="s">
        <v>12805</v>
      </c>
      <c r="D9184" t="s">
        <v>23</v>
      </c>
      <c r="E9184" t="s">
        <v>24</v>
      </c>
      <c r="F9184" t="s">
        <v>1051</v>
      </c>
      <c r="G9184">
        <v>821663</v>
      </c>
      <c r="H9184" t="s">
        <v>26</v>
      </c>
      <c r="I9184" t="s">
        <v>200</v>
      </c>
      <c r="J9184" t="str">
        <f>"9781118168479"</f>
        <v>9781118168479</v>
      </c>
      <c r="K9184" t="s">
        <v>12806</v>
      </c>
      <c r="L9184">
        <v>9</v>
      </c>
      <c r="O9184" t="s">
        <v>30</v>
      </c>
      <c r="P9184" t="s">
        <v>29</v>
      </c>
      <c r="Q9184" s="1">
        <v>42239.928298611114</v>
      </c>
      <c r="R9184">
        <v>7</v>
      </c>
      <c r="S9184" t="s">
        <v>31</v>
      </c>
      <c r="T9184" t="s">
        <v>1053</v>
      </c>
      <c r="U9184">
        <v>729</v>
      </c>
      <c r="V9184" s="3">
        <v>40973</v>
      </c>
    </row>
    <row r="9185" spans="1:22" x14ac:dyDescent="0.35">
      <c r="A9185" s="1">
        <v>42239.919479166667</v>
      </c>
      <c r="B9185" s="2">
        <v>1.1574074074074073E-4</v>
      </c>
      <c r="C9185" t="s">
        <v>9028</v>
      </c>
      <c r="D9185" t="s">
        <v>23</v>
      </c>
      <c r="E9185" t="s">
        <v>24</v>
      </c>
      <c r="F9185" t="s">
        <v>3640</v>
      </c>
      <c r="G9185">
        <v>1662670</v>
      </c>
      <c r="H9185" t="s">
        <v>26</v>
      </c>
      <c r="I9185" t="s">
        <v>3641</v>
      </c>
      <c r="J9185" t="str">
        <f>"9781118821251"</f>
        <v>9781118821251</v>
      </c>
      <c r="K9185" t="s">
        <v>63</v>
      </c>
      <c r="L9185">
        <v>1</v>
      </c>
      <c r="O9185" t="s">
        <v>28</v>
      </c>
      <c r="P9185" t="s">
        <v>29</v>
      </c>
      <c r="Q9185" s="1">
        <v>42239.919479166667</v>
      </c>
      <c r="R9185">
        <v>7</v>
      </c>
      <c r="S9185" t="s">
        <v>31</v>
      </c>
      <c r="T9185" t="s">
        <v>3642</v>
      </c>
      <c r="U9185" t="s">
        <v>3643</v>
      </c>
      <c r="V9185" s="3">
        <v>41724</v>
      </c>
    </row>
    <row r="9186" spans="1:22" x14ac:dyDescent="0.35">
      <c r="A9186" s="1">
        <v>42239.919479166667</v>
      </c>
      <c r="B9186" s="2">
        <v>0</v>
      </c>
      <c r="C9186" t="s">
        <v>9028</v>
      </c>
      <c r="D9186" t="s">
        <v>23</v>
      </c>
      <c r="E9186" t="s">
        <v>24</v>
      </c>
      <c r="F9186" t="s">
        <v>3640</v>
      </c>
      <c r="G9186">
        <v>1662670</v>
      </c>
      <c r="H9186" t="s">
        <v>26</v>
      </c>
      <c r="I9186" t="s">
        <v>3641</v>
      </c>
      <c r="J9186" t="str">
        <f>"9781118821251"</f>
        <v>9781118821251</v>
      </c>
      <c r="L9186">
        <v>0</v>
      </c>
      <c r="O9186" t="s">
        <v>30</v>
      </c>
      <c r="P9186" t="s">
        <v>29</v>
      </c>
      <c r="Q9186" s="1">
        <v>42239.919479166667</v>
      </c>
      <c r="R9186">
        <v>7</v>
      </c>
      <c r="S9186" t="s">
        <v>31</v>
      </c>
      <c r="T9186" t="s">
        <v>3642</v>
      </c>
      <c r="U9186" t="s">
        <v>3643</v>
      </c>
      <c r="V9186" s="3">
        <v>41724</v>
      </c>
    </row>
    <row r="9187" spans="1:22" x14ac:dyDescent="0.35">
      <c r="A9187" s="1">
        <v>42239.919386574074</v>
      </c>
      <c r="B9187" s="2">
        <v>8.9120370370370378E-3</v>
      </c>
      <c r="C9187" t="s">
        <v>12805</v>
      </c>
      <c r="D9187" t="s">
        <v>23</v>
      </c>
      <c r="E9187" t="s">
        <v>24</v>
      </c>
      <c r="F9187" t="s">
        <v>1051</v>
      </c>
      <c r="G9187">
        <v>821663</v>
      </c>
      <c r="H9187" t="s">
        <v>26</v>
      </c>
      <c r="I9187" t="s">
        <v>200</v>
      </c>
      <c r="J9187" t="str">
        <f>"9781118168479"</f>
        <v>9781118168479</v>
      </c>
      <c r="K9187" t="s">
        <v>12807</v>
      </c>
      <c r="L9187">
        <v>7</v>
      </c>
      <c r="O9187" t="s">
        <v>30</v>
      </c>
      <c r="P9187" t="s">
        <v>42</v>
      </c>
      <c r="S9187" t="s">
        <v>31</v>
      </c>
      <c r="T9187" t="s">
        <v>1053</v>
      </c>
      <c r="U9187">
        <v>729</v>
      </c>
      <c r="V9187" s="3">
        <v>40973</v>
      </c>
    </row>
    <row r="9188" spans="1:22" x14ac:dyDescent="0.35">
      <c r="A9188" s="1">
        <v>42239.919328703705</v>
      </c>
      <c r="B9188" s="2">
        <v>1.5046296296296297E-4</v>
      </c>
      <c r="C9188" t="s">
        <v>9028</v>
      </c>
      <c r="D9188" t="s">
        <v>23</v>
      </c>
      <c r="E9188" t="s">
        <v>24</v>
      </c>
      <c r="F9188" t="s">
        <v>3640</v>
      </c>
      <c r="G9188">
        <v>1662670</v>
      </c>
      <c r="H9188" t="s">
        <v>26</v>
      </c>
      <c r="I9188" t="s">
        <v>3641</v>
      </c>
      <c r="J9188" t="str">
        <f>"9781118821251"</f>
        <v>9781118821251</v>
      </c>
      <c r="K9188" t="s">
        <v>73</v>
      </c>
      <c r="L9188">
        <v>3</v>
      </c>
      <c r="O9188" t="s">
        <v>30</v>
      </c>
      <c r="P9188" t="s">
        <v>42</v>
      </c>
      <c r="S9188" t="s">
        <v>31</v>
      </c>
      <c r="T9188" t="s">
        <v>3642</v>
      </c>
      <c r="U9188" t="s">
        <v>3643</v>
      </c>
      <c r="V9188" s="3">
        <v>41724</v>
      </c>
    </row>
    <row r="9189" spans="1:22" x14ac:dyDescent="0.35">
      <c r="A9189" s="1">
        <v>42239.918333333335</v>
      </c>
      <c r="B9189" s="2">
        <v>4.1319444444444442E-3</v>
      </c>
      <c r="C9189" t="s">
        <v>10890</v>
      </c>
      <c r="D9189" t="s">
        <v>23</v>
      </c>
      <c r="E9189" t="s">
        <v>24</v>
      </c>
      <c r="F9189" t="s">
        <v>11865</v>
      </c>
      <c r="G9189">
        <v>868340</v>
      </c>
      <c r="H9189" t="s">
        <v>84</v>
      </c>
      <c r="I9189" t="s">
        <v>11866</v>
      </c>
      <c r="J9189" t="str">
        <f>"9780520950436"</f>
        <v>9780520950436</v>
      </c>
      <c r="K9189" t="s">
        <v>12808</v>
      </c>
      <c r="L9189">
        <v>12</v>
      </c>
      <c r="O9189" t="s">
        <v>30</v>
      </c>
      <c r="P9189" t="s">
        <v>29</v>
      </c>
      <c r="Q9189" s="1">
        <v>42238.835694444446</v>
      </c>
      <c r="R9189">
        <v>7</v>
      </c>
      <c r="S9189" t="s">
        <v>31</v>
      </c>
      <c r="T9189" t="s">
        <v>11867</v>
      </c>
      <c r="U9189">
        <v>362.29609729999999</v>
      </c>
      <c r="V9189" s="3">
        <v>40967</v>
      </c>
    </row>
    <row r="9190" spans="1:22" x14ac:dyDescent="0.35">
      <c r="A9190" s="1">
        <v>42239.826851851853</v>
      </c>
      <c r="B9190" s="2">
        <v>2.0833333333333335E-4</v>
      </c>
      <c r="C9190" t="s">
        <v>12809</v>
      </c>
      <c r="D9190" t="s">
        <v>117</v>
      </c>
      <c r="E9190" t="s">
        <v>118</v>
      </c>
      <c r="F9190" t="s">
        <v>12800</v>
      </c>
      <c r="G9190">
        <v>1590709</v>
      </c>
      <c r="H9190" t="s">
        <v>45</v>
      </c>
      <c r="I9190" t="s">
        <v>79</v>
      </c>
      <c r="J9190" t="str">
        <f>"9781472426024"</f>
        <v>9781472426024</v>
      </c>
      <c r="K9190" t="s">
        <v>355</v>
      </c>
      <c r="L9190">
        <v>8</v>
      </c>
      <c r="O9190" t="s">
        <v>30</v>
      </c>
      <c r="P9190" t="s">
        <v>50</v>
      </c>
      <c r="S9190" t="s">
        <v>121</v>
      </c>
      <c r="T9190" t="s">
        <v>12802</v>
      </c>
      <c r="U9190" t="s">
        <v>12803</v>
      </c>
      <c r="V9190" s="3">
        <v>41848</v>
      </c>
    </row>
    <row r="9191" spans="1:22" x14ac:dyDescent="0.35">
      <c r="A9191" s="1">
        <v>42239.762731481482</v>
      </c>
      <c r="B9191" s="2">
        <v>7.175925925925927E-4</v>
      </c>
      <c r="C9191" t="s">
        <v>12810</v>
      </c>
      <c r="D9191" t="s">
        <v>23</v>
      </c>
      <c r="E9191" t="s">
        <v>24</v>
      </c>
      <c r="F9191" t="s">
        <v>12811</v>
      </c>
      <c r="G9191">
        <v>832296</v>
      </c>
      <c r="H9191" t="s">
        <v>26</v>
      </c>
      <c r="I9191" t="s">
        <v>10087</v>
      </c>
      <c r="J9191" t="str">
        <f>"9781119979319"</f>
        <v>9781119979319</v>
      </c>
      <c r="K9191" t="s">
        <v>12812</v>
      </c>
      <c r="L9191">
        <v>9</v>
      </c>
      <c r="O9191" t="s">
        <v>30</v>
      </c>
      <c r="P9191" t="s">
        <v>29</v>
      </c>
      <c r="Q9191" s="1">
        <v>42235.677881944444</v>
      </c>
      <c r="R9191">
        <v>7</v>
      </c>
      <c r="S9191" t="s">
        <v>31</v>
      </c>
      <c r="T9191" t="s">
        <v>12813</v>
      </c>
      <c r="U9191">
        <v>610.73</v>
      </c>
      <c r="V9191" s="3">
        <v>41675</v>
      </c>
    </row>
    <row r="9192" spans="1:22" x14ac:dyDescent="0.35">
      <c r="A9192" s="1">
        <v>42239.723101851851</v>
      </c>
      <c r="B9192" s="2">
        <v>2.4305555555555552E-4</v>
      </c>
      <c r="C9192" t="s">
        <v>12814</v>
      </c>
      <c r="D9192" t="s">
        <v>1222</v>
      </c>
      <c r="E9192" t="s">
        <v>1223</v>
      </c>
      <c r="F9192" t="s">
        <v>12815</v>
      </c>
      <c r="G9192">
        <v>2031461</v>
      </c>
      <c r="H9192" t="s">
        <v>84</v>
      </c>
      <c r="I9192" t="s">
        <v>493</v>
      </c>
      <c r="J9192" t="str">
        <f>"9780520961166"</f>
        <v>9780520961166</v>
      </c>
      <c r="K9192" t="s">
        <v>86</v>
      </c>
      <c r="L9192">
        <v>5</v>
      </c>
      <c r="O9192" t="s">
        <v>30</v>
      </c>
      <c r="P9192" t="s">
        <v>50</v>
      </c>
      <c r="S9192" t="s">
        <v>1226</v>
      </c>
      <c r="T9192" t="s">
        <v>12816</v>
      </c>
      <c r="U9192" t="s">
        <v>12817</v>
      </c>
      <c r="V9192" s="3">
        <v>42255</v>
      </c>
    </row>
    <row r="9193" spans="1:22" x14ac:dyDescent="0.35">
      <c r="A9193" s="1">
        <v>42239.611921296295</v>
      </c>
      <c r="B9193" s="2">
        <v>9.2592592592592585E-4</v>
      </c>
      <c r="C9193" t="s">
        <v>12818</v>
      </c>
      <c r="D9193" t="s">
        <v>117</v>
      </c>
      <c r="E9193" t="s">
        <v>118</v>
      </c>
      <c r="F9193" t="s">
        <v>12819</v>
      </c>
      <c r="G9193">
        <v>818042</v>
      </c>
      <c r="H9193" t="s">
        <v>26</v>
      </c>
      <c r="I9193" t="s">
        <v>3693</v>
      </c>
      <c r="J9193" t="str">
        <f>"9781118224106"</f>
        <v>9781118224106</v>
      </c>
      <c r="K9193" t="s">
        <v>12820</v>
      </c>
      <c r="L9193">
        <v>18</v>
      </c>
      <c r="O9193" t="s">
        <v>30</v>
      </c>
      <c r="P9193" t="s">
        <v>42</v>
      </c>
      <c r="S9193" t="s">
        <v>121</v>
      </c>
      <c r="T9193" t="s">
        <v>12821</v>
      </c>
      <c r="U9193">
        <v>650.11028499999998</v>
      </c>
      <c r="V9193" s="3">
        <v>40967</v>
      </c>
    </row>
    <row r="9194" spans="1:22" x14ac:dyDescent="0.35">
      <c r="A9194" s="1">
        <v>42239.358067129629</v>
      </c>
      <c r="B9194" s="2">
        <v>7.407407407407407E-4</v>
      </c>
      <c r="C9194" t="s">
        <v>12822</v>
      </c>
      <c r="D9194" t="s">
        <v>23</v>
      </c>
      <c r="E9194" t="s">
        <v>24</v>
      </c>
      <c r="F9194" t="s">
        <v>12823</v>
      </c>
      <c r="G9194">
        <v>1719905</v>
      </c>
      <c r="H9194" t="s">
        <v>45</v>
      </c>
      <c r="I9194" t="s">
        <v>4224</v>
      </c>
      <c r="J9194" t="str">
        <f>"9781409460817"</f>
        <v>9781409460817</v>
      </c>
      <c r="K9194" t="s">
        <v>12824</v>
      </c>
      <c r="L9194">
        <v>21</v>
      </c>
      <c r="O9194" t="s">
        <v>30</v>
      </c>
      <c r="P9194" t="s">
        <v>50</v>
      </c>
      <c r="S9194" t="s">
        <v>31</v>
      </c>
      <c r="T9194" t="s">
        <v>12825</v>
      </c>
      <c r="U9194" t="s">
        <v>12826</v>
      </c>
      <c r="V9194" s="3">
        <v>41879</v>
      </c>
    </row>
    <row r="9195" spans="1:22" x14ac:dyDescent="0.35">
      <c r="A9195" s="1">
        <v>42238.983391203707</v>
      </c>
      <c r="B9195" s="2">
        <v>1.6319444444444445E-2</v>
      </c>
      <c r="C9195" t="s">
        <v>12827</v>
      </c>
      <c r="D9195" t="s">
        <v>23</v>
      </c>
      <c r="E9195" t="s">
        <v>24</v>
      </c>
      <c r="F9195" t="s">
        <v>12828</v>
      </c>
      <c r="G9195">
        <v>1869454</v>
      </c>
      <c r="H9195" t="s">
        <v>91</v>
      </c>
      <c r="I9195" t="s">
        <v>219</v>
      </c>
      <c r="J9195" t="str">
        <f>"9781462520367"</f>
        <v>9781462520367</v>
      </c>
      <c r="K9195" t="s">
        <v>12829</v>
      </c>
      <c r="L9195">
        <v>129</v>
      </c>
      <c r="O9195" t="s">
        <v>30</v>
      </c>
      <c r="P9195" t="s">
        <v>47</v>
      </c>
      <c r="Q9195" s="1">
        <v>42238.983391203707</v>
      </c>
      <c r="R9195">
        <v>1</v>
      </c>
      <c r="S9195" t="s">
        <v>31</v>
      </c>
      <c r="T9195" t="s">
        <v>12830</v>
      </c>
      <c r="U9195">
        <v>158.19999999999999</v>
      </c>
      <c r="V9195" s="3">
        <v>42107</v>
      </c>
    </row>
    <row r="9196" spans="1:22" x14ac:dyDescent="0.35">
      <c r="A9196" s="1">
        <v>42238.979907407411</v>
      </c>
      <c r="B9196" s="2">
        <v>3.483796296296296E-3</v>
      </c>
      <c r="C9196" t="s">
        <v>12827</v>
      </c>
      <c r="D9196" t="s">
        <v>23</v>
      </c>
      <c r="E9196" t="s">
        <v>24</v>
      </c>
      <c r="F9196" t="s">
        <v>12828</v>
      </c>
      <c r="G9196">
        <v>1869454</v>
      </c>
      <c r="H9196" t="s">
        <v>91</v>
      </c>
      <c r="I9196" t="s">
        <v>219</v>
      </c>
      <c r="J9196" t="str">
        <f>"9781462520367"</f>
        <v>9781462520367</v>
      </c>
      <c r="K9196" t="s">
        <v>12831</v>
      </c>
      <c r="L9196">
        <v>29</v>
      </c>
      <c r="O9196" t="s">
        <v>30</v>
      </c>
      <c r="P9196" t="s">
        <v>50</v>
      </c>
      <c r="S9196" t="s">
        <v>31</v>
      </c>
      <c r="T9196" t="s">
        <v>12830</v>
      </c>
      <c r="U9196">
        <v>158.19999999999999</v>
      </c>
      <c r="V9196" s="3">
        <v>42107</v>
      </c>
    </row>
    <row r="9197" spans="1:22" x14ac:dyDescent="0.35">
      <c r="A9197" s="1">
        <v>42238.970034722224</v>
      </c>
      <c r="B9197" s="2">
        <v>2.0833333333333335E-4</v>
      </c>
      <c r="C9197" t="s">
        <v>12827</v>
      </c>
      <c r="D9197" t="s">
        <v>23</v>
      </c>
      <c r="E9197" t="s">
        <v>24</v>
      </c>
      <c r="F9197" t="s">
        <v>12828</v>
      </c>
      <c r="G9197">
        <v>1869454</v>
      </c>
      <c r="H9197" t="s">
        <v>91</v>
      </c>
      <c r="I9197" t="s">
        <v>219</v>
      </c>
      <c r="J9197" t="str">
        <f>"9781462520367"</f>
        <v>9781462520367</v>
      </c>
      <c r="K9197" t="s">
        <v>2353</v>
      </c>
      <c r="L9197">
        <v>13</v>
      </c>
      <c r="O9197" t="s">
        <v>30</v>
      </c>
      <c r="P9197" t="s">
        <v>50</v>
      </c>
      <c r="S9197" t="s">
        <v>31</v>
      </c>
      <c r="T9197" t="s">
        <v>12830</v>
      </c>
      <c r="U9197">
        <v>158.19999999999999</v>
      </c>
      <c r="V9197" s="3">
        <v>42107</v>
      </c>
    </row>
    <row r="9198" spans="1:22" x14ac:dyDescent="0.35">
      <c r="A9198" s="1">
        <v>42238.835694444446</v>
      </c>
      <c r="B9198" s="2">
        <v>1.5625E-2</v>
      </c>
      <c r="C9198" t="s">
        <v>10890</v>
      </c>
      <c r="D9198" t="s">
        <v>23</v>
      </c>
      <c r="E9198" t="s">
        <v>24</v>
      </c>
      <c r="F9198" t="s">
        <v>11865</v>
      </c>
      <c r="G9198">
        <v>868340</v>
      </c>
      <c r="H9198" t="s">
        <v>84</v>
      </c>
      <c r="I9198" t="s">
        <v>11866</v>
      </c>
      <c r="J9198" t="str">
        <f>"9780520950436"</f>
        <v>9780520950436</v>
      </c>
      <c r="K9198" t="s">
        <v>12832</v>
      </c>
      <c r="L9198">
        <v>94</v>
      </c>
      <c r="O9198" t="s">
        <v>30</v>
      </c>
      <c r="P9198" t="s">
        <v>29</v>
      </c>
      <c r="Q9198" s="1">
        <v>42238.835694444446</v>
      </c>
      <c r="R9198">
        <v>7</v>
      </c>
      <c r="S9198" t="s">
        <v>31</v>
      </c>
      <c r="T9198" t="s">
        <v>11867</v>
      </c>
      <c r="U9198">
        <v>362.29609729999999</v>
      </c>
      <c r="V9198" s="3">
        <v>40967</v>
      </c>
    </row>
    <row r="9199" spans="1:22" x14ac:dyDescent="0.35">
      <c r="A9199" s="1">
        <v>42238.828703703701</v>
      </c>
      <c r="B9199" s="2">
        <v>6.9907407407407409E-3</v>
      </c>
      <c r="C9199" t="s">
        <v>10890</v>
      </c>
      <c r="D9199" t="s">
        <v>23</v>
      </c>
      <c r="E9199" t="s">
        <v>24</v>
      </c>
      <c r="F9199" t="s">
        <v>11865</v>
      </c>
      <c r="G9199">
        <v>868340</v>
      </c>
      <c r="H9199" t="s">
        <v>84</v>
      </c>
      <c r="I9199" t="s">
        <v>11866</v>
      </c>
      <c r="J9199" t="str">
        <f>"9780520950436"</f>
        <v>9780520950436</v>
      </c>
      <c r="K9199" t="s">
        <v>12833</v>
      </c>
      <c r="L9199">
        <v>17</v>
      </c>
      <c r="O9199" t="s">
        <v>30</v>
      </c>
      <c r="P9199" t="s">
        <v>42</v>
      </c>
      <c r="S9199" t="s">
        <v>31</v>
      </c>
      <c r="T9199" t="s">
        <v>11867</v>
      </c>
      <c r="U9199">
        <v>362.29609729999999</v>
      </c>
      <c r="V9199" s="3">
        <v>40967</v>
      </c>
    </row>
    <row r="9200" spans="1:22" x14ac:dyDescent="0.35">
      <c r="A9200" s="1">
        <v>42238.716516203705</v>
      </c>
      <c r="B9200" s="2">
        <v>2.8240740740740739E-3</v>
      </c>
      <c r="C9200" t="s">
        <v>866</v>
      </c>
      <c r="D9200" t="s">
        <v>35</v>
      </c>
      <c r="E9200" t="s">
        <v>36</v>
      </c>
      <c r="F9200" t="s">
        <v>37</v>
      </c>
      <c r="G9200">
        <v>1684620</v>
      </c>
      <c r="H9200" t="s">
        <v>26</v>
      </c>
      <c r="I9200" t="s">
        <v>38</v>
      </c>
      <c r="J9200" t="str">
        <f>"9781118418925"</f>
        <v>9781118418925</v>
      </c>
      <c r="K9200" t="s">
        <v>12834</v>
      </c>
      <c r="L9200">
        <v>81</v>
      </c>
      <c r="O9200" t="s">
        <v>30</v>
      </c>
      <c r="P9200" t="s">
        <v>42</v>
      </c>
      <c r="S9200" t="s">
        <v>40</v>
      </c>
      <c r="T9200" t="s">
        <v>41</v>
      </c>
      <c r="U9200">
        <v>362.10680000000002</v>
      </c>
      <c r="V9200" s="3">
        <v>41759</v>
      </c>
    </row>
    <row r="9201" spans="1:22" x14ac:dyDescent="0.35">
      <c r="A9201" s="1">
        <v>42237.991793981484</v>
      </c>
      <c r="B9201" s="2">
        <v>4.6296296296296294E-5</v>
      </c>
      <c r="C9201" t="s">
        <v>12835</v>
      </c>
      <c r="D9201" t="s">
        <v>23</v>
      </c>
      <c r="E9201" t="s">
        <v>24</v>
      </c>
      <c r="F9201" t="s">
        <v>199</v>
      </c>
      <c r="G9201">
        <v>1120063</v>
      </c>
      <c r="H9201" t="s">
        <v>26</v>
      </c>
      <c r="I9201" t="s">
        <v>200</v>
      </c>
      <c r="J9201" t="str">
        <f>"9781118418932"</f>
        <v>9781118418932</v>
      </c>
      <c r="K9201" t="s">
        <v>33</v>
      </c>
      <c r="L9201">
        <v>3</v>
      </c>
      <c r="O9201" t="s">
        <v>30</v>
      </c>
      <c r="P9201" t="s">
        <v>42</v>
      </c>
      <c r="S9201" t="s">
        <v>31</v>
      </c>
      <c r="T9201" t="s">
        <v>201</v>
      </c>
      <c r="U9201">
        <v>720.28</v>
      </c>
      <c r="V9201" s="3">
        <v>41303</v>
      </c>
    </row>
    <row r="9202" spans="1:22" x14ac:dyDescent="0.35">
      <c r="A9202" s="1">
        <v>42237.761400462965</v>
      </c>
      <c r="B9202" s="2">
        <v>1.273148148148148E-4</v>
      </c>
      <c r="C9202" t="s">
        <v>210</v>
      </c>
      <c r="D9202" t="s">
        <v>211</v>
      </c>
      <c r="E9202" t="s">
        <v>212</v>
      </c>
      <c r="F9202" t="s">
        <v>7364</v>
      </c>
      <c r="G9202">
        <v>1809240</v>
      </c>
      <c r="H9202" t="s">
        <v>1474</v>
      </c>
      <c r="I9202" t="s">
        <v>120</v>
      </c>
      <c r="J9202" t="str">
        <f>"9781137393630"</f>
        <v>9781137393630</v>
      </c>
      <c r="K9202" t="s">
        <v>12836</v>
      </c>
      <c r="L9202">
        <v>3</v>
      </c>
      <c r="O9202" t="s">
        <v>30</v>
      </c>
      <c r="P9202" t="s">
        <v>42</v>
      </c>
      <c r="S9202" t="s">
        <v>214</v>
      </c>
      <c r="T9202" t="s">
        <v>7366</v>
      </c>
      <c r="U9202" t="s">
        <v>4971</v>
      </c>
      <c r="V9202" s="3">
        <v>41873</v>
      </c>
    </row>
    <row r="9203" spans="1:22" x14ac:dyDescent="0.35">
      <c r="A9203" s="1">
        <v>42237.759525462963</v>
      </c>
      <c r="B9203" s="2">
        <v>9.2592592592592588E-5</v>
      </c>
      <c r="C9203" t="s">
        <v>210</v>
      </c>
      <c r="D9203" t="s">
        <v>211</v>
      </c>
      <c r="E9203" t="s">
        <v>212</v>
      </c>
      <c r="F9203" t="s">
        <v>8714</v>
      </c>
      <c r="G9203">
        <v>817347</v>
      </c>
      <c r="H9203" t="s">
        <v>26</v>
      </c>
      <c r="I9203" t="s">
        <v>69</v>
      </c>
      <c r="J9203" t="str">
        <f>"9781118132241"</f>
        <v>9781118132241</v>
      </c>
      <c r="K9203" t="s">
        <v>12837</v>
      </c>
      <c r="L9203">
        <v>7</v>
      </c>
      <c r="O9203" t="s">
        <v>30</v>
      </c>
      <c r="P9203" t="s">
        <v>42</v>
      </c>
      <c r="S9203" t="s">
        <v>214</v>
      </c>
      <c r="T9203" t="s">
        <v>8716</v>
      </c>
      <c r="U9203">
        <v>371.20097299999998</v>
      </c>
      <c r="V9203" s="3">
        <v>40837</v>
      </c>
    </row>
    <row r="9204" spans="1:22" x14ac:dyDescent="0.35">
      <c r="A9204" s="1">
        <v>42237.340694444443</v>
      </c>
      <c r="B9204" s="2">
        <v>4.2013888888888891E-3</v>
      </c>
      <c r="C9204" t="s">
        <v>12838</v>
      </c>
      <c r="D9204" t="s">
        <v>23</v>
      </c>
      <c r="E9204" t="s">
        <v>24</v>
      </c>
      <c r="F9204" t="s">
        <v>12839</v>
      </c>
      <c r="G9204">
        <v>793714</v>
      </c>
      <c r="H9204" t="s">
        <v>91</v>
      </c>
      <c r="I9204" t="s">
        <v>120</v>
      </c>
      <c r="J9204" t="str">
        <f>"9781609189709"</f>
        <v>9781609189709</v>
      </c>
      <c r="K9204" t="s">
        <v>12840</v>
      </c>
      <c r="L9204">
        <v>11</v>
      </c>
      <c r="N9204" t="s">
        <v>12841</v>
      </c>
      <c r="O9204" t="s">
        <v>28</v>
      </c>
      <c r="P9204" t="s">
        <v>29</v>
      </c>
      <c r="Q9204" s="1">
        <v>42237.340694444443</v>
      </c>
      <c r="R9204">
        <v>7</v>
      </c>
      <c r="S9204" t="s">
        <v>31</v>
      </c>
      <c r="T9204" t="s">
        <v>12842</v>
      </c>
      <c r="U9204" t="s">
        <v>12843</v>
      </c>
      <c r="V9204" s="3">
        <v>40829</v>
      </c>
    </row>
    <row r="9205" spans="1:22" x14ac:dyDescent="0.35">
      <c r="A9205" s="1">
        <v>42237.340694444443</v>
      </c>
      <c r="B9205" s="2">
        <v>0</v>
      </c>
      <c r="C9205" t="s">
        <v>12838</v>
      </c>
      <c r="D9205" t="s">
        <v>23</v>
      </c>
      <c r="E9205" t="s">
        <v>24</v>
      </c>
      <c r="F9205" t="s">
        <v>12839</v>
      </c>
      <c r="G9205">
        <v>793714</v>
      </c>
      <c r="H9205" t="s">
        <v>91</v>
      </c>
      <c r="I9205" t="s">
        <v>120</v>
      </c>
      <c r="J9205" t="str">
        <f>"9781609189709"</f>
        <v>9781609189709</v>
      </c>
      <c r="L9205">
        <v>0</v>
      </c>
      <c r="O9205" t="s">
        <v>30</v>
      </c>
      <c r="P9205" t="s">
        <v>29</v>
      </c>
      <c r="Q9205" s="1">
        <v>42237.340694444443</v>
      </c>
      <c r="R9205">
        <v>7</v>
      </c>
      <c r="S9205" t="s">
        <v>31</v>
      </c>
      <c r="T9205" t="s">
        <v>12842</v>
      </c>
      <c r="U9205" t="s">
        <v>12843</v>
      </c>
      <c r="V9205" s="3">
        <v>40829</v>
      </c>
    </row>
    <row r="9206" spans="1:22" x14ac:dyDescent="0.35">
      <c r="A9206" s="1">
        <v>42237.339560185188</v>
      </c>
      <c r="B9206" s="2">
        <v>1.1342592592592591E-3</v>
      </c>
      <c r="C9206" t="s">
        <v>12838</v>
      </c>
      <c r="D9206" t="s">
        <v>23</v>
      </c>
      <c r="E9206" t="s">
        <v>24</v>
      </c>
      <c r="F9206" t="s">
        <v>12839</v>
      </c>
      <c r="G9206">
        <v>793714</v>
      </c>
      <c r="H9206" t="s">
        <v>91</v>
      </c>
      <c r="I9206" t="s">
        <v>120</v>
      </c>
      <c r="J9206" t="str">
        <f>"9781609189709"</f>
        <v>9781609189709</v>
      </c>
      <c r="K9206" t="s">
        <v>12844</v>
      </c>
      <c r="L9206">
        <v>10</v>
      </c>
      <c r="O9206" t="s">
        <v>30</v>
      </c>
      <c r="P9206" t="s">
        <v>42</v>
      </c>
      <c r="S9206" t="s">
        <v>31</v>
      </c>
      <c r="T9206" t="s">
        <v>12842</v>
      </c>
      <c r="U9206" t="s">
        <v>12843</v>
      </c>
      <c r="V9206" s="3">
        <v>40829</v>
      </c>
    </row>
    <row r="9207" spans="1:22" x14ac:dyDescent="0.35">
      <c r="A9207" s="1">
        <v>42237.010127314818</v>
      </c>
      <c r="B9207" s="2">
        <v>3.8194444444444446E-4</v>
      </c>
      <c r="C9207" t="s">
        <v>12845</v>
      </c>
      <c r="D9207" t="s">
        <v>23</v>
      </c>
      <c r="E9207" t="s">
        <v>24</v>
      </c>
      <c r="F9207" t="s">
        <v>52</v>
      </c>
      <c r="G9207">
        <v>822040</v>
      </c>
      <c r="H9207" t="s">
        <v>26</v>
      </c>
      <c r="I9207" t="s">
        <v>53</v>
      </c>
      <c r="J9207" t="str">
        <f>"9781118289099"</f>
        <v>9781118289099</v>
      </c>
      <c r="K9207" t="s">
        <v>634</v>
      </c>
      <c r="L9207">
        <v>24</v>
      </c>
      <c r="O9207" t="s">
        <v>30</v>
      </c>
      <c r="P9207" t="s">
        <v>42</v>
      </c>
      <c r="S9207" t="s">
        <v>31</v>
      </c>
      <c r="T9207" t="s">
        <v>55</v>
      </c>
      <c r="U9207" t="s">
        <v>56</v>
      </c>
      <c r="V9207" s="3">
        <v>40990</v>
      </c>
    </row>
    <row r="9208" spans="1:22" x14ac:dyDescent="0.35">
      <c r="A9208" s="1">
        <v>42236.805104166669</v>
      </c>
      <c r="B9208" s="2">
        <v>3.5879629629629635E-4</v>
      </c>
      <c r="C9208" t="s">
        <v>12846</v>
      </c>
      <c r="D9208" t="s">
        <v>623</v>
      </c>
      <c r="E9208" t="s">
        <v>624</v>
      </c>
      <c r="F9208" t="s">
        <v>3373</v>
      </c>
      <c r="G9208">
        <v>1710992</v>
      </c>
      <c r="H9208" t="s">
        <v>84</v>
      </c>
      <c r="I9208" t="s">
        <v>120</v>
      </c>
      <c r="J9208" t="str">
        <f>"9780520959125"</f>
        <v>9780520959125</v>
      </c>
      <c r="K9208" t="s">
        <v>240</v>
      </c>
      <c r="L9208">
        <v>14</v>
      </c>
      <c r="O9208" t="s">
        <v>30</v>
      </c>
      <c r="P9208" t="s">
        <v>50</v>
      </c>
      <c r="S9208" t="s">
        <v>627</v>
      </c>
      <c r="T9208" t="s">
        <v>3376</v>
      </c>
      <c r="U9208">
        <v>398.209</v>
      </c>
      <c r="V9208" s="3">
        <v>42018</v>
      </c>
    </row>
    <row r="9209" spans="1:22" x14ac:dyDescent="0.35">
      <c r="A9209" s="1">
        <v>42236.781273148146</v>
      </c>
      <c r="B9209" s="2">
        <v>2.7777777777777778E-4</v>
      </c>
      <c r="C9209" t="s">
        <v>12847</v>
      </c>
      <c r="D9209" t="s">
        <v>1222</v>
      </c>
      <c r="E9209" t="s">
        <v>1223</v>
      </c>
      <c r="F9209" t="s">
        <v>12730</v>
      </c>
      <c r="G9209">
        <v>1768752</v>
      </c>
      <c r="H9209" t="s">
        <v>91</v>
      </c>
      <c r="I9209" t="s">
        <v>219</v>
      </c>
      <c r="J9209" t="str">
        <f>"9781462517800"</f>
        <v>9781462517800</v>
      </c>
      <c r="K9209" t="s">
        <v>12848</v>
      </c>
      <c r="L9209">
        <v>9</v>
      </c>
      <c r="O9209" t="s">
        <v>30</v>
      </c>
      <c r="P9209" t="s">
        <v>29</v>
      </c>
      <c r="Q9209" s="1">
        <v>42236.738425925927</v>
      </c>
      <c r="R9209">
        <v>7</v>
      </c>
      <c r="S9209" t="s">
        <v>1226</v>
      </c>
      <c r="T9209" t="s">
        <v>12732</v>
      </c>
      <c r="U9209">
        <v>150.15195</v>
      </c>
      <c r="V9209" s="3">
        <v>42006</v>
      </c>
    </row>
    <row r="9210" spans="1:22" x14ac:dyDescent="0.35">
      <c r="A9210" s="1">
        <v>42236.738425925927</v>
      </c>
      <c r="B9210" s="2">
        <v>1.8287037037037037E-3</v>
      </c>
      <c r="C9210" t="s">
        <v>12847</v>
      </c>
      <c r="D9210" t="s">
        <v>1222</v>
      </c>
      <c r="E9210" t="s">
        <v>1223</v>
      </c>
      <c r="F9210" t="s">
        <v>12730</v>
      </c>
      <c r="G9210">
        <v>1768752</v>
      </c>
      <c r="H9210" t="s">
        <v>91</v>
      </c>
      <c r="I9210" t="s">
        <v>219</v>
      </c>
      <c r="J9210" t="str">
        <f>"9781462517800"</f>
        <v>9781462517800</v>
      </c>
      <c r="K9210" t="s">
        <v>12849</v>
      </c>
      <c r="L9210">
        <v>15</v>
      </c>
      <c r="O9210" t="s">
        <v>30</v>
      </c>
      <c r="P9210" t="s">
        <v>29</v>
      </c>
      <c r="Q9210" s="1">
        <v>42236.738425925927</v>
      </c>
      <c r="R9210">
        <v>7</v>
      </c>
      <c r="S9210" t="s">
        <v>1226</v>
      </c>
      <c r="T9210" t="s">
        <v>12732</v>
      </c>
      <c r="U9210">
        <v>150.15195</v>
      </c>
      <c r="V9210" s="3">
        <v>42006</v>
      </c>
    </row>
    <row r="9211" spans="1:22" x14ac:dyDescent="0.35">
      <c r="A9211" s="1">
        <v>42236.736562500002</v>
      </c>
      <c r="B9211" s="2">
        <v>2.3148148148148146E-4</v>
      </c>
      <c r="C9211" t="s">
        <v>106</v>
      </c>
      <c r="D9211" t="s">
        <v>23</v>
      </c>
      <c r="E9211" t="s">
        <v>24</v>
      </c>
      <c r="F9211" t="s">
        <v>78</v>
      </c>
      <c r="G9211">
        <v>1635363</v>
      </c>
      <c r="H9211" t="s">
        <v>26</v>
      </c>
      <c r="I9211" t="s">
        <v>79</v>
      </c>
      <c r="J9211" t="str">
        <f>"9781118678206"</f>
        <v>9781118678206</v>
      </c>
      <c r="K9211" t="s">
        <v>12850</v>
      </c>
      <c r="L9211">
        <v>9</v>
      </c>
      <c r="O9211" t="s">
        <v>30</v>
      </c>
      <c r="P9211" t="s">
        <v>42</v>
      </c>
      <c r="S9211" t="s">
        <v>31</v>
      </c>
      <c r="T9211" t="s">
        <v>81</v>
      </c>
      <c r="U9211">
        <v>340.07600000000002</v>
      </c>
      <c r="V9211" s="3">
        <v>41684</v>
      </c>
    </row>
    <row r="9212" spans="1:22" x14ac:dyDescent="0.35">
      <c r="A9212" s="1">
        <v>42236.731469907405</v>
      </c>
      <c r="B9212" s="2">
        <v>6.9560185185185185E-3</v>
      </c>
      <c r="C9212" t="s">
        <v>12847</v>
      </c>
      <c r="D9212" t="s">
        <v>1222</v>
      </c>
      <c r="E9212" t="s">
        <v>1223</v>
      </c>
      <c r="F9212" t="s">
        <v>12730</v>
      </c>
      <c r="G9212">
        <v>1768752</v>
      </c>
      <c r="H9212" t="s">
        <v>91</v>
      </c>
      <c r="I9212" t="s">
        <v>219</v>
      </c>
      <c r="J9212" t="str">
        <f>"9781462517800"</f>
        <v>9781462517800</v>
      </c>
      <c r="K9212" t="s">
        <v>12851</v>
      </c>
      <c r="L9212">
        <v>25</v>
      </c>
      <c r="O9212" t="s">
        <v>30</v>
      </c>
      <c r="P9212" t="s">
        <v>42</v>
      </c>
      <c r="S9212" t="s">
        <v>1226</v>
      </c>
      <c r="T9212" t="s">
        <v>12732</v>
      </c>
      <c r="U9212">
        <v>150.15195</v>
      </c>
      <c r="V9212" s="3">
        <v>42006</v>
      </c>
    </row>
    <row r="9213" spans="1:22" x14ac:dyDescent="0.35">
      <c r="A9213" s="1">
        <v>42235.936388888891</v>
      </c>
      <c r="B9213" s="2">
        <v>2.0833333333333335E-4</v>
      </c>
      <c r="C9213" t="s">
        <v>12852</v>
      </c>
      <c r="D9213" t="s">
        <v>23</v>
      </c>
      <c r="E9213" t="s">
        <v>24</v>
      </c>
      <c r="F9213" t="s">
        <v>148</v>
      </c>
      <c r="G9213">
        <v>877717</v>
      </c>
      <c r="H9213" t="s">
        <v>149</v>
      </c>
      <c r="I9213" t="s">
        <v>150</v>
      </c>
      <c r="J9213" t="str">
        <f>"9781438139265"</f>
        <v>9781438139265</v>
      </c>
      <c r="K9213" t="s">
        <v>867</v>
      </c>
      <c r="L9213">
        <v>10</v>
      </c>
      <c r="O9213" t="s">
        <v>30</v>
      </c>
      <c r="P9213" t="s">
        <v>42</v>
      </c>
      <c r="S9213" t="s">
        <v>31</v>
      </c>
      <c r="T9213" t="s">
        <v>153</v>
      </c>
      <c r="U9213" t="s">
        <v>154</v>
      </c>
      <c r="V9213" s="3">
        <v>40909</v>
      </c>
    </row>
    <row r="9214" spans="1:22" x14ac:dyDescent="0.35">
      <c r="A9214" s="1">
        <v>42235.901053240741</v>
      </c>
      <c r="B9214" s="2">
        <v>4.6064814814814814E-3</v>
      </c>
      <c r="C9214" t="s">
        <v>3670</v>
      </c>
      <c r="D9214" t="s">
        <v>35</v>
      </c>
      <c r="E9214" t="s">
        <v>36</v>
      </c>
      <c r="F9214" t="s">
        <v>37</v>
      </c>
      <c r="G9214">
        <v>1684620</v>
      </c>
      <c r="H9214" t="s">
        <v>26</v>
      </c>
      <c r="I9214" t="s">
        <v>38</v>
      </c>
      <c r="J9214" t="str">
        <f>"9781118418925"</f>
        <v>9781118418925</v>
      </c>
      <c r="K9214" t="s">
        <v>12853</v>
      </c>
      <c r="L9214">
        <v>12</v>
      </c>
      <c r="N9214" t="s">
        <v>12854</v>
      </c>
      <c r="O9214" t="s">
        <v>30</v>
      </c>
      <c r="P9214" t="s">
        <v>29</v>
      </c>
      <c r="Q9214" s="1">
        <v>42235.901053240741</v>
      </c>
      <c r="R9214">
        <v>7</v>
      </c>
      <c r="S9214" t="s">
        <v>40</v>
      </c>
      <c r="T9214" t="s">
        <v>41</v>
      </c>
      <c r="U9214">
        <v>362.10680000000002</v>
      </c>
      <c r="V9214" s="3">
        <v>41759</v>
      </c>
    </row>
    <row r="9215" spans="1:22" x14ac:dyDescent="0.35">
      <c r="A9215" s="1">
        <v>42235.900439814817</v>
      </c>
      <c r="B9215" s="2">
        <v>6.134259259259259E-4</v>
      </c>
      <c r="C9215" t="s">
        <v>3670</v>
      </c>
      <c r="D9215" t="s">
        <v>35</v>
      </c>
      <c r="E9215" t="s">
        <v>36</v>
      </c>
      <c r="F9215" t="s">
        <v>37</v>
      </c>
      <c r="G9215">
        <v>1684620</v>
      </c>
      <c r="H9215" t="s">
        <v>26</v>
      </c>
      <c r="I9215" t="s">
        <v>38</v>
      </c>
      <c r="J9215" t="str">
        <f>"9781118418925"</f>
        <v>9781118418925</v>
      </c>
      <c r="K9215" t="s">
        <v>12855</v>
      </c>
      <c r="L9215">
        <v>22</v>
      </c>
      <c r="O9215" t="s">
        <v>30</v>
      </c>
      <c r="P9215" t="s">
        <v>42</v>
      </c>
      <c r="S9215" t="s">
        <v>40</v>
      </c>
      <c r="T9215" t="s">
        <v>41</v>
      </c>
      <c r="U9215">
        <v>362.10680000000002</v>
      </c>
      <c r="V9215" s="3">
        <v>41759</v>
      </c>
    </row>
    <row r="9216" spans="1:22" x14ac:dyDescent="0.35">
      <c r="A9216" s="1">
        <v>42235.897256944445</v>
      </c>
      <c r="B9216" s="2">
        <v>1.1111111111111111E-3</v>
      </c>
      <c r="C9216" t="s">
        <v>3670</v>
      </c>
      <c r="D9216" t="s">
        <v>35</v>
      </c>
      <c r="E9216" t="s">
        <v>36</v>
      </c>
      <c r="F9216" t="s">
        <v>37</v>
      </c>
      <c r="G9216">
        <v>1684620</v>
      </c>
      <c r="H9216" t="s">
        <v>26</v>
      </c>
      <c r="I9216" t="s">
        <v>38</v>
      </c>
      <c r="J9216" t="str">
        <f>"9781118418925"</f>
        <v>9781118418925</v>
      </c>
      <c r="K9216" t="s">
        <v>12856</v>
      </c>
      <c r="L9216">
        <v>16</v>
      </c>
      <c r="O9216" t="s">
        <v>30</v>
      </c>
      <c r="P9216" t="s">
        <v>42</v>
      </c>
      <c r="S9216" t="s">
        <v>40</v>
      </c>
      <c r="T9216" t="s">
        <v>41</v>
      </c>
      <c r="U9216">
        <v>362.10680000000002</v>
      </c>
      <c r="V9216" s="3">
        <v>41759</v>
      </c>
    </row>
    <row r="9217" spans="1:22" x14ac:dyDescent="0.35">
      <c r="A9217" s="1">
        <v>42235.746678240743</v>
      </c>
      <c r="B9217" s="2">
        <v>7.407407407407407E-4</v>
      </c>
      <c r="C9217" t="s">
        <v>12857</v>
      </c>
      <c r="D9217" t="s">
        <v>23</v>
      </c>
      <c r="E9217" t="s">
        <v>24</v>
      </c>
      <c r="F9217" t="s">
        <v>8714</v>
      </c>
      <c r="G9217">
        <v>817347</v>
      </c>
      <c r="H9217" t="s">
        <v>26</v>
      </c>
      <c r="I9217" t="s">
        <v>69</v>
      </c>
      <c r="J9217" t="str">
        <f>"9781118132241"</f>
        <v>9781118132241</v>
      </c>
      <c r="K9217" t="s">
        <v>12858</v>
      </c>
      <c r="L9217">
        <v>9</v>
      </c>
      <c r="O9217" t="s">
        <v>30</v>
      </c>
      <c r="P9217" t="s">
        <v>42</v>
      </c>
      <c r="S9217" t="s">
        <v>31</v>
      </c>
      <c r="T9217" t="s">
        <v>8716</v>
      </c>
      <c r="U9217">
        <v>371.20097299999998</v>
      </c>
      <c r="V9217" s="3">
        <v>40837</v>
      </c>
    </row>
    <row r="9218" spans="1:22" x14ac:dyDescent="0.35">
      <c r="A9218" s="1">
        <v>42235.746076388888</v>
      </c>
      <c r="B9218" s="2">
        <v>2.238425925925926E-2</v>
      </c>
      <c r="C9218" t="s">
        <v>2932</v>
      </c>
      <c r="D9218" t="s">
        <v>23</v>
      </c>
      <c r="E9218" t="s">
        <v>24</v>
      </c>
      <c r="F9218" t="s">
        <v>11267</v>
      </c>
      <c r="G9218">
        <v>1711036</v>
      </c>
      <c r="H9218" t="s">
        <v>84</v>
      </c>
      <c r="I9218" t="s">
        <v>1897</v>
      </c>
      <c r="J9218" t="str">
        <f>"9780520959347"</f>
        <v>9780520959347</v>
      </c>
      <c r="K9218" t="s">
        <v>12859</v>
      </c>
      <c r="L9218">
        <v>70</v>
      </c>
      <c r="M9218" t="s">
        <v>12860</v>
      </c>
      <c r="N9218" t="s">
        <v>12861</v>
      </c>
      <c r="O9218" t="s">
        <v>30</v>
      </c>
      <c r="P9218" t="s">
        <v>47</v>
      </c>
      <c r="Q9218" s="1">
        <v>42235.588379629633</v>
      </c>
      <c r="R9218">
        <v>1</v>
      </c>
      <c r="S9218" t="s">
        <v>31</v>
      </c>
      <c r="T9218" t="s">
        <v>11269</v>
      </c>
      <c r="U9218">
        <v>641.29999999999995</v>
      </c>
      <c r="V9218" s="3">
        <v>41967</v>
      </c>
    </row>
    <row r="9219" spans="1:22" x14ac:dyDescent="0.35">
      <c r="A9219" s="1">
        <v>42235.687615740739</v>
      </c>
      <c r="B9219" s="2">
        <v>1.8020833333333333E-2</v>
      </c>
      <c r="C9219" t="s">
        <v>12810</v>
      </c>
      <c r="D9219" t="s">
        <v>23</v>
      </c>
      <c r="E9219" t="s">
        <v>24</v>
      </c>
      <c r="F9219" t="s">
        <v>12811</v>
      </c>
      <c r="G9219">
        <v>832296</v>
      </c>
      <c r="H9219" t="s">
        <v>26</v>
      </c>
      <c r="I9219" t="s">
        <v>10087</v>
      </c>
      <c r="J9219" t="str">
        <f>"9781119979319"</f>
        <v>9781119979319</v>
      </c>
      <c r="K9219" t="s">
        <v>12862</v>
      </c>
      <c r="L9219">
        <v>7</v>
      </c>
      <c r="O9219" t="s">
        <v>30</v>
      </c>
      <c r="P9219" t="s">
        <v>29</v>
      </c>
      <c r="Q9219" s="1">
        <v>42235.677881944444</v>
      </c>
      <c r="R9219">
        <v>7</v>
      </c>
      <c r="S9219" t="s">
        <v>31</v>
      </c>
      <c r="T9219" t="s">
        <v>12813</v>
      </c>
      <c r="U9219">
        <v>610.73</v>
      </c>
      <c r="V9219" s="3">
        <v>41675</v>
      </c>
    </row>
    <row r="9220" spans="1:22" x14ac:dyDescent="0.35">
      <c r="A9220" s="1">
        <v>42235.677881944444</v>
      </c>
      <c r="B9220" s="2">
        <v>1.4699074074074074E-3</v>
      </c>
      <c r="C9220" t="s">
        <v>12810</v>
      </c>
      <c r="D9220" t="s">
        <v>23</v>
      </c>
      <c r="E9220" t="s">
        <v>24</v>
      </c>
      <c r="F9220" t="s">
        <v>12811</v>
      </c>
      <c r="G9220">
        <v>832296</v>
      </c>
      <c r="H9220" t="s">
        <v>26</v>
      </c>
      <c r="I9220" t="s">
        <v>10087</v>
      </c>
      <c r="J9220" t="str">
        <f>"9781119979319"</f>
        <v>9781119979319</v>
      </c>
      <c r="K9220" t="s">
        <v>12863</v>
      </c>
      <c r="L9220">
        <v>5</v>
      </c>
      <c r="O9220" t="s">
        <v>30</v>
      </c>
      <c r="P9220" t="s">
        <v>29</v>
      </c>
      <c r="Q9220" s="1">
        <v>42235.677881944444</v>
      </c>
      <c r="R9220">
        <v>7</v>
      </c>
      <c r="S9220" t="s">
        <v>31</v>
      </c>
      <c r="T9220" t="s">
        <v>12813</v>
      </c>
      <c r="U9220">
        <v>610.73</v>
      </c>
      <c r="V9220" s="3">
        <v>41675</v>
      </c>
    </row>
    <row r="9221" spans="1:22" x14ac:dyDescent="0.35">
      <c r="A9221" s="1">
        <v>42235.669803240744</v>
      </c>
      <c r="B9221" s="2">
        <v>8.0787037037037043E-3</v>
      </c>
      <c r="C9221" t="s">
        <v>12810</v>
      </c>
      <c r="D9221" t="s">
        <v>23</v>
      </c>
      <c r="E9221" t="s">
        <v>24</v>
      </c>
      <c r="F9221" t="s">
        <v>12811</v>
      </c>
      <c r="G9221">
        <v>832296</v>
      </c>
      <c r="H9221" t="s">
        <v>26</v>
      </c>
      <c r="I9221" t="s">
        <v>10087</v>
      </c>
      <c r="J9221" t="str">
        <f>"9781119979319"</f>
        <v>9781119979319</v>
      </c>
      <c r="K9221" t="s">
        <v>12864</v>
      </c>
      <c r="L9221">
        <v>63</v>
      </c>
      <c r="O9221" t="s">
        <v>30</v>
      </c>
      <c r="P9221" t="s">
        <v>42</v>
      </c>
      <c r="S9221" t="s">
        <v>31</v>
      </c>
      <c r="T9221" t="s">
        <v>12813</v>
      </c>
      <c r="U9221">
        <v>610.73</v>
      </c>
      <c r="V9221" s="3">
        <v>41675</v>
      </c>
    </row>
    <row r="9222" spans="1:22" x14ac:dyDescent="0.35">
      <c r="A9222" s="1">
        <v>42235.588379629633</v>
      </c>
      <c r="B9222" s="2">
        <v>2.3148148148148147E-5</v>
      </c>
      <c r="C9222" t="s">
        <v>2932</v>
      </c>
      <c r="D9222" t="s">
        <v>23</v>
      </c>
      <c r="E9222" t="s">
        <v>24</v>
      </c>
      <c r="F9222" t="s">
        <v>11267</v>
      </c>
      <c r="G9222">
        <v>1711036</v>
      </c>
      <c r="H9222" t="s">
        <v>84</v>
      </c>
      <c r="I9222" t="s">
        <v>1897</v>
      </c>
      <c r="J9222" t="str">
        <f>"9780520959347"</f>
        <v>9780520959347</v>
      </c>
      <c r="K9222" t="s">
        <v>12865</v>
      </c>
      <c r="L9222">
        <v>5</v>
      </c>
      <c r="M9222" t="s">
        <v>12866</v>
      </c>
      <c r="O9222" t="s">
        <v>30</v>
      </c>
      <c r="P9222" t="s">
        <v>47</v>
      </c>
      <c r="Q9222" s="1">
        <v>42235.588379629633</v>
      </c>
      <c r="R9222">
        <v>1</v>
      </c>
      <c r="S9222" t="s">
        <v>31</v>
      </c>
      <c r="T9222" t="s">
        <v>11269</v>
      </c>
      <c r="U9222">
        <v>641.29999999999995</v>
      </c>
      <c r="V9222" s="3">
        <v>41967</v>
      </c>
    </row>
    <row r="9223" spans="1:22" x14ac:dyDescent="0.35">
      <c r="A9223" s="1">
        <v>42235.583240740743</v>
      </c>
      <c r="B9223" s="2">
        <v>5.138888888888889E-3</v>
      </c>
      <c r="C9223" t="s">
        <v>2932</v>
      </c>
      <c r="D9223" t="s">
        <v>23</v>
      </c>
      <c r="E9223" t="s">
        <v>24</v>
      </c>
      <c r="F9223" t="s">
        <v>11267</v>
      </c>
      <c r="G9223">
        <v>1711036</v>
      </c>
      <c r="H9223" t="s">
        <v>84</v>
      </c>
      <c r="I9223" t="s">
        <v>1897</v>
      </c>
      <c r="J9223" t="str">
        <f>"9780520959347"</f>
        <v>9780520959347</v>
      </c>
      <c r="K9223" t="s">
        <v>3050</v>
      </c>
      <c r="L9223">
        <v>3</v>
      </c>
      <c r="O9223" t="s">
        <v>30</v>
      </c>
      <c r="P9223" t="s">
        <v>50</v>
      </c>
      <c r="S9223" t="s">
        <v>31</v>
      </c>
      <c r="T9223" t="s">
        <v>11269</v>
      </c>
      <c r="U9223">
        <v>641.29999999999995</v>
      </c>
      <c r="V9223" s="3">
        <v>41967</v>
      </c>
    </row>
    <row r="9224" spans="1:22" x14ac:dyDescent="0.35">
      <c r="A9224" s="1">
        <v>42235.548703703702</v>
      </c>
      <c r="B9224" s="2">
        <v>1.2256944444444444E-2</v>
      </c>
      <c r="C9224" t="s">
        <v>2890</v>
      </c>
      <c r="D9224" t="s">
        <v>117</v>
      </c>
      <c r="E9224" t="s">
        <v>118</v>
      </c>
      <c r="F9224" t="s">
        <v>12867</v>
      </c>
      <c r="G9224">
        <v>1887309</v>
      </c>
      <c r="H9224" t="s">
        <v>45</v>
      </c>
      <c r="I9224" t="s">
        <v>172</v>
      </c>
      <c r="J9224" t="str">
        <f>"9781472430571"</f>
        <v>9781472430571</v>
      </c>
      <c r="K9224" t="s">
        <v>12868</v>
      </c>
      <c r="L9224">
        <v>20</v>
      </c>
      <c r="O9224" t="s">
        <v>30</v>
      </c>
      <c r="P9224" t="s">
        <v>47</v>
      </c>
      <c r="Q9224" s="1">
        <v>42235.548703703702</v>
      </c>
      <c r="R9224">
        <v>1</v>
      </c>
      <c r="S9224" t="s">
        <v>121</v>
      </c>
      <c r="T9224" t="s">
        <v>12869</v>
      </c>
      <c r="U9224" t="s">
        <v>12870</v>
      </c>
      <c r="V9224" s="3">
        <v>42063</v>
      </c>
    </row>
    <row r="9225" spans="1:22" x14ac:dyDescent="0.35">
      <c r="A9225" s="1">
        <v>42235.548680555556</v>
      </c>
      <c r="B9225" s="2">
        <v>2.3148148148148147E-5</v>
      </c>
      <c r="C9225" t="s">
        <v>2890</v>
      </c>
      <c r="D9225" t="s">
        <v>117</v>
      </c>
      <c r="E9225" t="s">
        <v>118</v>
      </c>
      <c r="F9225" t="s">
        <v>12867</v>
      </c>
      <c r="G9225">
        <v>1887309</v>
      </c>
      <c r="H9225" t="s">
        <v>45</v>
      </c>
      <c r="I9225" t="s">
        <v>172</v>
      </c>
      <c r="J9225" t="str">
        <f>"9781472430571"</f>
        <v>9781472430571</v>
      </c>
      <c r="L9225">
        <v>0</v>
      </c>
      <c r="O9225" t="s">
        <v>30</v>
      </c>
      <c r="P9225" t="s">
        <v>50</v>
      </c>
      <c r="S9225" t="s">
        <v>121</v>
      </c>
      <c r="T9225" t="s">
        <v>12869</v>
      </c>
      <c r="U9225" t="s">
        <v>12870</v>
      </c>
      <c r="V9225" s="3">
        <v>42063</v>
      </c>
    </row>
    <row r="9226" spans="1:22" x14ac:dyDescent="0.35">
      <c r="A9226" s="1">
        <v>42235.124328703707</v>
      </c>
      <c r="B9226" s="2">
        <v>2.5462962962962961E-4</v>
      </c>
      <c r="C9226" t="s">
        <v>3059</v>
      </c>
      <c r="D9226" t="s">
        <v>23</v>
      </c>
      <c r="E9226" t="s">
        <v>24</v>
      </c>
      <c r="F9226" t="s">
        <v>3060</v>
      </c>
      <c r="G9226">
        <v>1120279</v>
      </c>
      <c r="H9226" t="s">
        <v>26</v>
      </c>
      <c r="I9226" t="s">
        <v>3061</v>
      </c>
      <c r="J9226" t="str">
        <f>"9781118537671"</f>
        <v>9781118537671</v>
      </c>
      <c r="K9226" t="s">
        <v>12871</v>
      </c>
      <c r="L9226">
        <v>8</v>
      </c>
      <c r="O9226" t="s">
        <v>30</v>
      </c>
      <c r="P9226" t="s">
        <v>29</v>
      </c>
      <c r="Q9226" s="1">
        <v>42228.913946759261</v>
      </c>
      <c r="R9226">
        <v>7</v>
      </c>
      <c r="S9226" t="s">
        <v>31</v>
      </c>
      <c r="T9226" t="s">
        <v>3063</v>
      </c>
      <c r="U9226">
        <v>599.93499999999995</v>
      </c>
      <c r="V9226" s="3">
        <v>41232</v>
      </c>
    </row>
    <row r="9227" spans="1:22" x14ac:dyDescent="0.35">
      <c r="A9227" s="1">
        <v>42235.124039351853</v>
      </c>
      <c r="B9227" s="2">
        <v>3.4722222222222222E-5</v>
      </c>
      <c r="C9227" t="s">
        <v>3059</v>
      </c>
      <c r="D9227" t="s">
        <v>23</v>
      </c>
      <c r="E9227" t="s">
        <v>24</v>
      </c>
      <c r="F9227" t="s">
        <v>3060</v>
      </c>
      <c r="G9227">
        <v>1120279</v>
      </c>
      <c r="H9227" t="s">
        <v>26</v>
      </c>
      <c r="I9227" t="s">
        <v>3061</v>
      </c>
      <c r="J9227" t="str">
        <f>"9781118537671"</f>
        <v>9781118537671</v>
      </c>
      <c r="K9227" t="s">
        <v>105</v>
      </c>
      <c r="L9227">
        <v>1</v>
      </c>
      <c r="O9227" t="s">
        <v>30</v>
      </c>
      <c r="P9227" t="s">
        <v>29</v>
      </c>
      <c r="Q9227" s="1">
        <v>42228.913946759261</v>
      </c>
      <c r="R9227">
        <v>7</v>
      </c>
      <c r="S9227" t="s">
        <v>31</v>
      </c>
      <c r="T9227" t="s">
        <v>3063</v>
      </c>
      <c r="U9227">
        <v>599.93499999999995</v>
      </c>
      <c r="V9227" s="3">
        <v>41232</v>
      </c>
    </row>
    <row r="9228" spans="1:22" x14ac:dyDescent="0.35">
      <c r="A9228" s="1">
        <v>42235.092731481483</v>
      </c>
      <c r="B9228" s="2">
        <v>7.5115740740740742E-3</v>
      </c>
      <c r="C9228" t="s">
        <v>12872</v>
      </c>
      <c r="D9228" t="s">
        <v>35</v>
      </c>
      <c r="E9228" t="s">
        <v>36</v>
      </c>
      <c r="F9228" t="s">
        <v>111</v>
      </c>
      <c r="G9228">
        <v>693176</v>
      </c>
      <c r="H9228" t="s">
        <v>26</v>
      </c>
      <c r="I9228" t="s">
        <v>112</v>
      </c>
      <c r="J9228" t="str">
        <f>"9781118017746"</f>
        <v>9781118017746</v>
      </c>
      <c r="K9228" t="s">
        <v>12873</v>
      </c>
      <c r="L9228">
        <v>27</v>
      </c>
      <c r="O9228" t="s">
        <v>30</v>
      </c>
      <c r="P9228" t="s">
        <v>29</v>
      </c>
      <c r="Q9228" s="1">
        <v>42234.975590277776</v>
      </c>
      <c r="R9228">
        <v>7</v>
      </c>
      <c r="S9228" t="s">
        <v>40</v>
      </c>
      <c r="T9228" t="s">
        <v>114</v>
      </c>
      <c r="U9228" t="s">
        <v>115</v>
      </c>
      <c r="V9228" s="3">
        <v>40835</v>
      </c>
    </row>
    <row r="9229" spans="1:22" x14ac:dyDescent="0.35">
      <c r="A9229" s="1">
        <v>42235.091944444444</v>
      </c>
      <c r="B9229" s="2">
        <v>2.8935185185185189E-4</v>
      </c>
      <c r="C9229" t="s">
        <v>12872</v>
      </c>
      <c r="D9229" t="s">
        <v>35</v>
      </c>
      <c r="E9229" t="s">
        <v>36</v>
      </c>
      <c r="F9229" t="s">
        <v>111</v>
      </c>
      <c r="G9229">
        <v>693176</v>
      </c>
      <c r="H9229" t="s">
        <v>26</v>
      </c>
      <c r="I9229" t="s">
        <v>112</v>
      </c>
      <c r="J9229" t="str">
        <f>"9781118017746"</f>
        <v>9781118017746</v>
      </c>
      <c r="K9229" t="s">
        <v>12874</v>
      </c>
      <c r="L9229">
        <v>11</v>
      </c>
      <c r="O9229" t="s">
        <v>30</v>
      </c>
      <c r="P9229" t="s">
        <v>29</v>
      </c>
      <c r="Q9229" s="1">
        <v>42234.975590277776</v>
      </c>
      <c r="R9229">
        <v>7</v>
      </c>
      <c r="S9229" t="s">
        <v>40</v>
      </c>
      <c r="T9229" t="s">
        <v>114</v>
      </c>
      <c r="U9229" t="s">
        <v>115</v>
      </c>
      <c r="V9229" s="3">
        <v>40835</v>
      </c>
    </row>
    <row r="9230" spans="1:22" x14ac:dyDescent="0.35">
      <c r="A9230" s="1">
        <v>42234.975590277776</v>
      </c>
      <c r="B9230" s="2">
        <v>0</v>
      </c>
      <c r="C9230" t="s">
        <v>12872</v>
      </c>
      <c r="D9230" t="s">
        <v>35</v>
      </c>
      <c r="E9230" t="s">
        <v>36</v>
      </c>
      <c r="F9230" t="s">
        <v>111</v>
      </c>
      <c r="G9230">
        <v>693176</v>
      </c>
      <c r="H9230" t="s">
        <v>26</v>
      </c>
      <c r="I9230" t="s">
        <v>112</v>
      </c>
      <c r="J9230" t="str">
        <f>"9781118017746"</f>
        <v>9781118017746</v>
      </c>
      <c r="K9230" t="s">
        <v>12875</v>
      </c>
      <c r="L9230">
        <v>1</v>
      </c>
      <c r="O9230" t="s">
        <v>30</v>
      </c>
      <c r="P9230" t="s">
        <v>29</v>
      </c>
      <c r="Q9230" s="1">
        <v>42234.975590277776</v>
      </c>
      <c r="R9230">
        <v>7</v>
      </c>
      <c r="S9230" t="s">
        <v>40</v>
      </c>
      <c r="T9230" t="s">
        <v>114</v>
      </c>
      <c r="U9230" t="s">
        <v>115</v>
      </c>
      <c r="V9230" s="3">
        <v>40835</v>
      </c>
    </row>
    <row r="9231" spans="1:22" x14ac:dyDescent="0.35">
      <c r="A9231" s="1">
        <v>42234.968692129631</v>
      </c>
      <c r="B9231" s="2">
        <v>6.8981481481481489E-3</v>
      </c>
      <c r="C9231" t="s">
        <v>12872</v>
      </c>
      <c r="D9231" t="s">
        <v>35</v>
      </c>
      <c r="E9231" t="s">
        <v>36</v>
      </c>
      <c r="F9231" t="s">
        <v>111</v>
      </c>
      <c r="G9231">
        <v>693176</v>
      </c>
      <c r="H9231" t="s">
        <v>26</v>
      </c>
      <c r="I9231" t="s">
        <v>112</v>
      </c>
      <c r="J9231" t="str">
        <f>"9781118017746"</f>
        <v>9781118017746</v>
      </c>
      <c r="K9231" t="s">
        <v>12876</v>
      </c>
      <c r="L9231">
        <v>11</v>
      </c>
      <c r="O9231" t="s">
        <v>30</v>
      </c>
      <c r="P9231" t="s">
        <v>42</v>
      </c>
      <c r="S9231" t="s">
        <v>40</v>
      </c>
      <c r="T9231" t="s">
        <v>114</v>
      </c>
      <c r="U9231" t="s">
        <v>115</v>
      </c>
      <c r="V9231" s="3">
        <v>40835</v>
      </c>
    </row>
    <row r="9232" spans="1:22" x14ac:dyDescent="0.35">
      <c r="A9232" s="1">
        <v>42234.797291666669</v>
      </c>
      <c r="B9232" s="2">
        <v>5.7870370370370378E-4</v>
      </c>
      <c r="C9232" t="s">
        <v>12872</v>
      </c>
      <c r="D9232" t="s">
        <v>35</v>
      </c>
      <c r="E9232" t="s">
        <v>36</v>
      </c>
      <c r="F9232" t="s">
        <v>111</v>
      </c>
      <c r="G9232">
        <v>693176</v>
      </c>
      <c r="H9232" t="s">
        <v>26</v>
      </c>
      <c r="I9232" t="s">
        <v>112</v>
      </c>
      <c r="J9232" t="str">
        <f>"9781118017746"</f>
        <v>9781118017746</v>
      </c>
      <c r="K9232" t="s">
        <v>12877</v>
      </c>
      <c r="L9232">
        <v>7</v>
      </c>
      <c r="O9232" t="s">
        <v>30</v>
      </c>
      <c r="P9232" t="s">
        <v>42</v>
      </c>
      <c r="S9232" t="s">
        <v>40</v>
      </c>
      <c r="T9232" t="s">
        <v>114</v>
      </c>
      <c r="U9232" t="s">
        <v>115</v>
      </c>
      <c r="V9232" s="3">
        <v>40835</v>
      </c>
    </row>
    <row r="9233" spans="1:22" x14ac:dyDescent="0.35">
      <c r="A9233" s="1">
        <v>42234.625451388885</v>
      </c>
      <c r="B9233" s="2">
        <v>2.3148148148148146E-4</v>
      </c>
      <c r="C9233" t="s">
        <v>12763</v>
      </c>
      <c r="D9233" t="s">
        <v>23</v>
      </c>
      <c r="E9233" t="s">
        <v>24</v>
      </c>
      <c r="F9233" t="s">
        <v>4594</v>
      </c>
      <c r="G9233">
        <v>1872281</v>
      </c>
      <c r="H9233" t="s">
        <v>91</v>
      </c>
      <c r="I9233" t="s">
        <v>2133</v>
      </c>
      <c r="J9233" t="str">
        <f>"9781462519606"</f>
        <v>9781462519606</v>
      </c>
      <c r="K9233" t="s">
        <v>98</v>
      </c>
      <c r="L9233">
        <v>7</v>
      </c>
      <c r="O9233" t="s">
        <v>30</v>
      </c>
      <c r="P9233" t="s">
        <v>47</v>
      </c>
      <c r="Q9233" s="1">
        <v>42234.622164351851</v>
      </c>
      <c r="R9233">
        <v>1</v>
      </c>
      <c r="S9233" t="s">
        <v>31</v>
      </c>
      <c r="T9233" t="s">
        <v>4596</v>
      </c>
      <c r="U9233">
        <v>378.101</v>
      </c>
      <c r="V9233" s="3">
        <v>42150</v>
      </c>
    </row>
    <row r="9234" spans="1:22" x14ac:dyDescent="0.35">
      <c r="A9234" s="1">
        <v>42234.623344907406</v>
      </c>
      <c r="B9234" s="2">
        <v>1.6550925925925926E-3</v>
      </c>
      <c r="C9234" t="s">
        <v>12763</v>
      </c>
      <c r="D9234" t="s">
        <v>23</v>
      </c>
      <c r="E9234" t="s">
        <v>24</v>
      </c>
      <c r="F9234" t="s">
        <v>4594</v>
      </c>
      <c r="G9234">
        <v>1872281</v>
      </c>
      <c r="H9234" t="s">
        <v>91</v>
      </c>
      <c r="I9234" t="s">
        <v>2133</v>
      </c>
      <c r="J9234" t="str">
        <f>"9781462519606"</f>
        <v>9781462519606</v>
      </c>
      <c r="K9234" t="s">
        <v>12878</v>
      </c>
      <c r="L9234">
        <v>1</v>
      </c>
      <c r="N9234" t="s">
        <v>12879</v>
      </c>
      <c r="O9234" t="s">
        <v>28</v>
      </c>
      <c r="P9234" t="s">
        <v>47</v>
      </c>
      <c r="Q9234" s="1">
        <v>42234.622164351851</v>
      </c>
      <c r="R9234">
        <v>1</v>
      </c>
      <c r="S9234" t="s">
        <v>31</v>
      </c>
      <c r="T9234" t="s">
        <v>4596</v>
      </c>
      <c r="U9234">
        <v>378.101</v>
      </c>
      <c r="V9234" s="3">
        <v>42150</v>
      </c>
    </row>
    <row r="9235" spans="1:22" x14ac:dyDescent="0.35">
      <c r="A9235" s="1">
        <v>42234.622627314813</v>
      </c>
      <c r="B9235" s="2">
        <v>3.4108796296296297E-2</v>
      </c>
      <c r="C9235" t="s">
        <v>12880</v>
      </c>
      <c r="D9235" t="s">
        <v>6396</v>
      </c>
      <c r="E9235" t="s">
        <v>6397</v>
      </c>
      <c r="F9235" t="s">
        <v>12881</v>
      </c>
      <c r="G9235">
        <v>1695950</v>
      </c>
      <c r="H9235" t="s">
        <v>186</v>
      </c>
      <c r="I9235" t="s">
        <v>3061</v>
      </c>
      <c r="J9235" t="str">
        <f>"9781780644097"</f>
        <v>9781780644097</v>
      </c>
      <c r="K9235" t="s">
        <v>12882</v>
      </c>
      <c r="L9235">
        <v>31</v>
      </c>
      <c r="O9235" t="s">
        <v>30</v>
      </c>
      <c r="P9235" t="s">
        <v>47</v>
      </c>
      <c r="Q9235" s="1">
        <v>42234.622627314813</v>
      </c>
      <c r="R9235">
        <v>1</v>
      </c>
      <c r="S9235" t="s">
        <v>6400</v>
      </c>
      <c r="T9235" t="s">
        <v>12883</v>
      </c>
      <c r="U9235">
        <v>579</v>
      </c>
      <c r="V9235" s="3">
        <v>41773</v>
      </c>
    </row>
    <row r="9236" spans="1:22" x14ac:dyDescent="0.35">
      <c r="A9236" s="1">
        <v>42234.622164351851</v>
      </c>
      <c r="B9236" s="2">
        <v>1.0185185185185186E-3</v>
      </c>
      <c r="C9236" t="s">
        <v>12763</v>
      </c>
      <c r="D9236" t="s">
        <v>23</v>
      </c>
      <c r="E9236" t="s">
        <v>24</v>
      </c>
      <c r="F9236" t="s">
        <v>4594</v>
      </c>
      <c r="G9236">
        <v>1872281</v>
      </c>
      <c r="H9236" t="s">
        <v>91</v>
      </c>
      <c r="I9236" t="s">
        <v>2133</v>
      </c>
      <c r="J9236" t="str">
        <f>"9781462519606"</f>
        <v>9781462519606</v>
      </c>
      <c r="K9236" t="s">
        <v>12884</v>
      </c>
      <c r="L9236">
        <v>3</v>
      </c>
      <c r="O9236" t="s">
        <v>30</v>
      </c>
      <c r="P9236" t="s">
        <v>47</v>
      </c>
      <c r="Q9236" s="1">
        <v>42234.622164351851</v>
      </c>
      <c r="R9236">
        <v>1</v>
      </c>
      <c r="S9236" t="s">
        <v>31</v>
      </c>
      <c r="T9236" t="s">
        <v>4596</v>
      </c>
      <c r="U9236">
        <v>378.101</v>
      </c>
      <c r="V9236" s="3">
        <v>42150</v>
      </c>
    </row>
    <row r="9237" spans="1:22" x14ac:dyDescent="0.35">
      <c r="A9237" s="1">
        <v>42234.622060185182</v>
      </c>
      <c r="B9237" s="2">
        <v>1.0416666666666667E-4</v>
      </c>
      <c r="C9237" t="s">
        <v>12763</v>
      </c>
      <c r="D9237" t="s">
        <v>23</v>
      </c>
      <c r="E9237" t="s">
        <v>24</v>
      </c>
      <c r="F9237" t="s">
        <v>4594</v>
      </c>
      <c r="G9237">
        <v>1872281</v>
      </c>
      <c r="H9237" t="s">
        <v>91</v>
      </c>
      <c r="I9237" t="s">
        <v>2133</v>
      </c>
      <c r="J9237" t="str">
        <f>"9781462519606"</f>
        <v>9781462519606</v>
      </c>
      <c r="K9237" t="s">
        <v>33</v>
      </c>
      <c r="L9237">
        <v>3</v>
      </c>
      <c r="O9237" t="s">
        <v>30</v>
      </c>
      <c r="P9237" t="s">
        <v>50</v>
      </c>
      <c r="S9237" t="s">
        <v>31</v>
      </c>
      <c r="T9237" t="s">
        <v>4596</v>
      </c>
      <c r="U9237">
        <v>378.101</v>
      </c>
      <c r="V9237" s="3">
        <v>42150</v>
      </c>
    </row>
    <row r="9238" spans="1:22" x14ac:dyDescent="0.35">
      <c r="A9238" s="1">
        <v>42234.615636574075</v>
      </c>
      <c r="B9238" s="2">
        <v>6.9907407407407409E-3</v>
      </c>
      <c r="C9238" t="s">
        <v>12880</v>
      </c>
      <c r="D9238" t="s">
        <v>6396</v>
      </c>
      <c r="E9238" t="s">
        <v>6397</v>
      </c>
      <c r="F9238" t="s">
        <v>12881</v>
      </c>
      <c r="G9238">
        <v>1695950</v>
      </c>
      <c r="H9238" t="s">
        <v>186</v>
      </c>
      <c r="I9238" t="s">
        <v>3061</v>
      </c>
      <c r="J9238" t="str">
        <f>"9781780644097"</f>
        <v>9781780644097</v>
      </c>
      <c r="K9238" t="s">
        <v>12885</v>
      </c>
      <c r="L9238">
        <v>15</v>
      </c>
      <c r="O9238" t="s">
        <v>30</v>
      </c>
      <c r="P9238" t="s">
        <v>50</v>
      </c>
      <c r="S9238" t="s">
        <v>6400</v>
      </c>
      <c r="T9238" t="s">
        <v>12883</v>
      </c>
      <c r="U9238">
        <v>579</v>
      </c>
      <c r="V9238" s="3">
        <v>41773</v>
      </c>
    </row>
    <row r="9239" spans="1:22" x14ac:dyDescent="0.35">
      <c r="A9239" s="1">
        <v>42234.589641203704</v>
      </c>
      <c r="B9239" s="2">
        <v>3.4722222222222222E-5</v>
      </c>
      <c r="C9239" t="s">
        <v>12886</v>
      </c>
      <c r="D9239" t="s">
        <v>1222</v>
      </c>
      <c r="E9239" t="s">
        <v>1223</v>
      </c>
      <c r="F9239" t="s">
        <v>9044</v>
      </c>
      <c r="G9239">
        <v>1274383</v>
      </c>
      <c r="H9239" t="s">
        <v>139</v>
      </c>
      <c r="I9239" t="s">
        <v>120</v>
      </c>
      <c r="J9239" t="str">
        <f>"9780814760239"</f>
        <v>9780814760239</v>
      </c>
      <c r="K9239" t="s">
        <v>33</v>
      </c>
      <c r="L9239">
        <v>3</v>
      </c>
      <c r="O9239" t="s">
        <v>30</v>
      </c>
      <c r="P9239" t="s">
        <v>42</v>
      </c>
      <c r="S9239" t="s">
        <v>1226</v>
      </c>
      <c r="T9239" t="s">
        <v>9046</v>
      </c>
      <c r="U9239">
        <v>303.60834999999997</v>
      </c>
      <c r="V9239" s="3">
        <v>41505</v>
      </c>
    </row>
    <row r="9240" spans="1:22" x14ac:dyDescent="0.35">
      <c r="A9240" s="1">
        <v>42234.571736111109</v>
      </c>
      <c r="B9240" s="2">
        <v>2.1898148148148149E-2</v>
      </c>
      <c r="C9240" t="s">
        <v>2890</v>
      </c>
      <c r="D9240" t="s">
        <v>117</v>
      </c>
      <c r="E9240" t="s">
        <v>118</v>
      </c>
      <c r="F9240" t="s">
        <v>12867</v>
      </c>
      <c r="G9240">
        <v>1887309</v>
      </c>
      <c r="H9240" t="s">
        <v>45</v>
      </c>
      <c r="I9240" t="s">
        <v>172</v>
      </c>
      <c r="J9240" t="str">
        <f>"9781472430571"</f>
        <v>9781472430571</v>
      </c>
      <c r="K9240" t="s">
        <v>12887</v>
      </c>
      <c r="L9240">
        <v>22</v>
      </c>
      <c r="O9240" t="s">
        <v>30</v>
      </c>
      <c r="P9240" t="s">
        <v>47</v>
      </c>
      <c r="Q9240" s="1">
        <v>42233.824606481481</v>
      </c>
      <c r="R9240">
        <v>1</v>
      </c>
      <c r="S9240" t="s">
        <v>121</v>
      </c>
      <c r="T9240" t="s">
        <v>12869</v>
      </c>
      <c r="U9240" t="s">
        <v>12870</v>
      </c>
      <c r="V9240" s="3">
        <v>42063</v>
      </c>
    </row>
    <row r="9241" spans="1:22" x14ac:dyDescent="0.35">
      <c r="A9241" s="1">
        <v>42234.045740740738</v>
      </c>
      <c r="B9241" s="2">
        <v>0</v>
      </c>
      <c r="C9241" t="s">
        <v>558</v>
      </c>
      <c r="D9241" t="s">
        <v>23</v>
      </c>
      <c r="E9241" t="s">
        <v>24</v>
      </c>
      <c r="F9241" t="s">
        <v>961</v>
      </c>
      <c r="G9241">
        <v>1757096</v>
      </c>
      <c r="H9241" t="s">
        <v>26</v>
      </c>
      <c r="I9241" t="s">
        <v>445</v>
      </c>
      <c r="J9241" t="str">
        <f>"9781118745472"</f>
        <v>9781118745472</v>
      </c>
      <c r="L9241">
        <v>0</v>
      </c>
      <c r="O9241" t="s">
        <v>28</v>
      </c>
      <c r="P9241" t="s">
        <v>29</v>
      </c>
      <c r="Q9241" s="1">
        <v>42234.045740740738</v>
      </c>
      <c r="R9241">
        <v>7</v>
      </c>
      <c r="S9241" t="s">
        <v>31</v>
      </c>
      <c r="T9241" t="s">
        <v>962</v>
      </c>
      <c r="U9241" t="s">
        <v>963</v>
      </c>
      <c r="V9241" s="3">
        <v>41848</v>
      </c>
    </row>
    <row r="9242" spans="1:22" x14ac:dyDescent="0.35">
      <c r="A9242" s="1">
        <v>42234.045740740738</v>
      </c>
      <c r="B9242" s="2">
        <v>0</v>
      </c>
      <c r="C9242" t="s">
        <v>558</v>
      </c>
      <c r="D9242" t="s">
        <v>23</v>
      </c>
      <c r="E9242" t="s">
        <v>24</v>
      </c>
      <c r="F9242" t="s">
        <v>961</v>
      </c>
      <c r="G9242">
        <v>1757096</v>
      </c>
      <c r="H9242" t="s">
        <v>26</v>
      </c>
      <c r="I9242" t="s">
        <v>445</v>
      </c>
      <c r="J9242" t="str">
        <f>"9781118745472"</f>
        <v>9781118745472</v>
      </c>
      <c r="L9242">
        <v>0</v>
      </c>
      <c r="O9242" t="s">
        <v>30</v>
      </c>
      <c r="P9242" t="s">
        <v>29</v>
      </c>
      <c r="Q9242" s="1">
        <v>42234.045740740738</v>
      </c>
      <c r="R9242">
        <v>7</v>
      </c>
      <c r="S9242" t="s">
        <v>31</v>
      </c>
      <c r="T9242" t="s">
        <v>962</v>
      </c>
      <c r="U9242" t="s">
        <v>963</v>
      </c>
      <c r="V9242" s="3">
        <v>41848</v>
      </c>
    </row>
    <row r="9243" spans="1:22" x14ac:dyDescent="0.35">
      <c r="A9243" s="1">
        <v>42234.045590277776</v>
      </c>
      <c r="B9243" s="2">
        <v>1.5046296296296297E-4</v>
      </c>
      <c r="C9243" t="s">
        <v>558</v>
      </c>
      <c r="D9243" t="s">
        <v>23</v>
      </c>
      <c r="E9243" t="s">
        <v>24</v>
      </c>
      <c r="F9243" t="s">
        <v>961</v>
      </c>
      <c r="G9243">
        <v>1757096</v>
      </c>
      <c r="H9243" t="s">
        <v>26</v>
      </c>
      <c r="I9243" t="s">
        <v>445</v>
      </c>
      <c r="J9243" t="str">
        <f>"9781118745472"</f>
        <v>9781118745472</v>
      </c>
      <c r="K9243" t="s">
        <v>33</v>
      </c>
      <c r="L9243">
        <v>3</v>
      </c>
      <c r="O9243" t="s">
        <v>30</v>
      </c>
      <c r="P9243" t="s">
        <v>42</v>
      </c>
      <c r="S9243" t="s">
        <v>31</v>
      </c>
      <c r="T9243" t="s">
        <v>962</v>
      </c>
      <c r="U9243" t="s">
        <v>963</v>
      </c>
      <c r="V9243" s="3">
        <v>41848</v>
      </c>
    </row>
    <row r="9244" spans="1:22" x14ac:dyDescent="0.35">
      <c r="A9244" s="1">
        <v>42233.824606481481</v>
      </c>
      <c r="B9244" s="2">
        <v>1.6400462962962964E-2</v>
      </c>
      <c r="C9244" t="s">
        <v>2890</v>
      </c>
      <c r="D9244" t="s">
        <v>117</v>
      </c>
      <c r="E9244" t="s">
        <v>118</v>
      </c>
      <c r="F9244" t="s">
        <v>12867</v>
      </c>
      <c r="G9244">
        <v>1887309</v>
      </c>
      <c r="H9244" t="s">
        <v>45</v>
      </c>
      <c r="I9244" t="s">
        <v>172</v>
      </c>
      <c r="J9244" t="str">
        <f>"9781472430571"</f>
        <v>9781472430571</v>
      </c>
      <c r="K9244" t="s">
        <v>12888</v>
      </c>
      <c r="L9244">
        <v>46</v>
      </c>
      <c r="O9244" t="s">
        <v>30</v>
      </c>
      <c r="P9244" t="s">
        <v>47</v>
      </c>
      <c r="Q9244" s="1">
        <v>42233.824606481481</v>
      </c>
      <c r="R9244">
        <v>1</v>
      </c>
      <c r="S9244" t="s">
        <v>121</v>
      </c>
      <c r="T9244" t="s">
        <v>12869</v>
      </c>
      <c r="U9244" t="s">
        <v>12870</v>
      </c>
      <c r="V9244" s="3">
        <v>42063</v>
      </c>
    </row>
    <row r="9245" spans="1:22" x14ac:dyDescent="0.35">
      <c r="A9245" s="1">
        <v>42233.818831018521</v>
      </c>
      <c r="B9245" s="2">
        <v>5.7754629629629623E-3</v>
      </c>
      <c r="C9245" t="s">
        <v>2890</v>
      </c>
      <c r="D9245" t="s">
        <v>117</v>
      </c>
      <c r="E9245" t="s">
        <v>118</v>
      </c>
      <c r="F9245" t="s">
        <v>12867</v>
      </c>
      <c r="G9245">
        <v>1887309</v>
      </c>
      <c r="H9245" t="s">
        <v>45</v>
      </c>
      <c r="I9245" t="s">
        <v>172</v>
      </c>
      <c r="J9245" t="str">
        <f>"9781472430571"</f>
        <v>9781472430571</v>
      </c>
      <c r="K9245" t="s">
        <v>7267</v>
      </c>
      <c r="L9245">
        <v>9</v>
      </c>
      <c r="O9245" t="s">
        <v>30</v>
      </c>
      <c r="P9245" t="s">
        <v>50</v>
      </c>
      <c r="S9245" t="s">
        <v>121</v>
      </c>
      <c r="T9245" t="s">
        <v>12869</v>
      </c>
      <c r="U9245" t="s">
        <v>12870</v>
      </c>
      <c r="V9245" s="3">
        <v>42063</v>
      </c>
    </row>
    <row r="9246" spans="1:22" x14ac:dyDescent="0.35">
      <c r="A9246" s="1">
        <v>42233.662974537037</v>
      </c>
      <c r="B9246" s="2">
        <v>0</v>
      </c>
      <c r="C9246" t="s">
        <v>12889</v>
      </c>
      <c r="D9246" t="s">
        <v>211</v>
      </c>
      <c r="E9246" t="s">
        <v>212</v>
      </c>
      <c r="F9246" t="s">
        <v>4117</v>
      </c>
      <c r="G9246">
        <v>1724876</v>
      </c>
      <c r="H9246" t="s">
        <v>26</v>
      </c>
      <c r="I9246" t="s">
        <v>108</v>
      </c>
      <c r="J9246" t="str">
        <f>"9781118914113"</f>
        <v>9781118914113</v>
      </c>
      <c r="L9246">
        <v>0</v>
      </c>
      <c r="O9246" t="s">
        <v>28</v>
      </c>
      <c r="P9246" t="s">
        <v>29</v>
      </c>
      <c r="Q9246" s="1">
        <v>42233.661192129628</v>
      </c>
      <c r="R9246">
        <v>7</v>
      </c>
      <c r="S9246" t="s">
        <v>214</v>
      </c>
      <c r="T9246" t="s">
        <v>4120</v>
      </c>
      <c r="U9246">
        <v>332</v>
      </c>
      <c r="V9246" s="3">
        <v>41816</v>
      </c>
    </row>
    <row r="9247" spans="1:22" x14ac:dyDescent="0.35">
      <c r="A9247" s="1">
        <v>42233.661886574075</v>
      </c>
      <c r="B9247" s="2">
        <v>5.3240740740740744E-4</v>
      </c>
      <c r="C9247" t="s">
        <v>12889</v>
      </c>
      <c r="D9247" t="s">
        <v>211</v>
      </c>
      <c r="E9247" t="s">
        <v>212</v>
      </c>
      <c r="F9247" t="s">
        <v>4117</v>
      </c>
      <c r="G9247">
        <v>1724876</v>
      </c>
      <c r="H9247" t="s">
        <v>26</v>
      </c>
      <c r="I9247" t="s">
        <v>108</v>
      </c>
      <c r="J9247" t="str">
        <f>"9781118914113"</f>
        <v>9781118914113</v>
      </c>
      <c r="K9247" t="s">
        <v>12890</v>
      </c>
      <c r="L9247">
        <v>37</v>
      </c>
      <c r="O9247" t="s">
        <v>30</v>
      </c>
      <c r="P9247" t="s">
        <v>29</v>
      </c>
      <c r="Q9247" s="1">
        <v>42233.661192129628</v>
      </c>
      <c r="R9247">
        <v>7</v>
      </c>
      <c r="S9247" t="s">
        <v>214</v>
      </c>
      <c r="T9247" t="s">
        <v>4120</v>
      </c>
      <c r="U9247">
        <v>332</v>
      </c>
      <c r="V9247" s="3">
        <v>41816</v>
      </c>
    </row>
    <row r="9248" spans="1:22" x14ac:dyDescent="0.35">
      <c r="A9248" s="1">
        <v>42233.661192129628</v>
      </c>
      <c r="B9248" s="2">
        <v>4.8611111111111104E-4</v>
      </c>
      <c r="C9248" t="s">
        <v>12889</v>
      </c>
      <c r="D9248" t="s">
        <v>211</v>
      </c>
      <c r="E9248" t="s">
        <v>212</v>
      </c>
      <c r="F9248" t="s">
        <v>4117</v>
      </c>
      <c r="G9248">
        <v>1724876</v>
      </c>
      <c r="H9248" t="s">
        <v>26</v>
      </c>
      <c r="I9248" t="s">
        <v>108</v>
      </c>
      <c r="J9248" t="str">
        <f>"9781118914113"</f>
        <v>9781118914113</v>
      </c>
      <c r="K9248" t="s">
        <v>12891</v>
      </c>
      <c r="L9248">
        <v>3</v>
      </c>
      <c r="M9248" t="s">
        <v>105</v>
      </c>
      <c r="O9248" t="s">
        <v>30</v>
      </c>
      <c r="P9248" t="s">
        <v>29</v>
      </c>
      <c r="Q9248" s="1">
        <v>42233.661192129628</v>
      </c>
      <c r="R9248">
        <v>7</v>
      </c>
      <c r="S9248" t="s">
        <v>214</v>
      </c>
      <c r="T9248" t="s">
        <v>4120</v>
      </c>
      <c r="U9248">
        <v>332</v>
      </c>
      <c r="V9248" s="3">
        <v>41816</v>
      </c>
    </row>
    <row r="9249" spans="1:22" x14ac:dyDescent="0.35">
      <c r="A9249" s="1">
        <v>42233.660937499997</v>
      </c>
      <c r="B9249" s="2">
        <v>2.5462962962962961E-4</v>
      </c>
      <c r="C9249" t="s">
        <v>12889</v>
      </c>
      <c r="D9249" t="s">
        <v>211</v>
      </c>
      <c r="E9249" t="s">
        <v>212</v>
      </c>
      <c r="F9249" t="s">
        <v>4117</v>
      </c>
      <c r="G9249">
        <v>1724876</v>
      </c>
      <c r="H9249" t="s">
        <v>26</v>
      </c>
      <c r="I9249" t="s">
        <v>108</v>
      </c>
      <c r="J9249" t="str">
        <f>"9781118914113"</f>
        <v>9781118914113</v>
      </c>
      <c r="K9249" t="s">
        <v>202</v>
      </c>
      <c r="L9249">
        <v>3</v>
      </c>
      <c r="O9249" t="s">
        <v>30</v>
      </c>
      <c r="P9249" t="s">
        <v>42</v>
      </c>
      <c r="S9249" t="s">
        <v>214</v>
      </c>
      <c r="T9249" t="s">
        <v>4120</v>
      </c>
      <c r="U9249">
        <v>332</v>
      </c>
      <c r="V9249" s="3">
        <v>41816</v>
      </c>
    </row>
    <row r="9250" spans="1:22" x14ac:dyDescent="0.35">
      <c r="A9250" s="1">
        <v>42233.603460648148</v>
      </c>
      <c r="B9250" s="2">
        <v>1.2847222222222223E-3</v>
      </c>
      <c r="C9250" t="s">
        <v>4124</v>
      </c>
      <c r="D9250" t="s">
        <v>211</v>
      </c>
      <c r="E9250" t="s">
        <v>212</v>
      </c>
      <c r="F9250" t="s">
        <v>12892</v>
      </c>
      <c r="G9250">
        <v>1752697</v>
      </c>
      <c r="H9250" t="s">
        <v>26</v>
      </c>
      <c r="I9250" t="s">
        <v>38</v>
      </c>
      <c r="J9250" t="str">
        <f>"9781118448373"</f>
        <v>9781118448373</v>
      </c>
      <c r="K9250" t="s">
        <v>12893</v>
      </c>
      <c r="L9250">
        <v>21</v>
      </c>
      <c r="O9250" t="s">
        <v>30</v>
      </c>
      <c r="P9250" t="s">
        <v>42</v>
      </c>
      <c r="S9250" t="s">
        <v>214</v>
      </c>
      <c r="T9250" t="s">
        <v>12894</v>
      </c>
      <c r="U9250">
        <v>362.1</v>
      </c>
      <c r="V9250" s="3">
        <v>41842</v>
      </c>
    </row>
    <row r="9251" spans="1:22" x14ac:dyDescent="0.35">
      <c r="A9251" s="1">
        <v>42233.599097222221</v>
      </c>
      <c r="B9251" s="2">
        <v>3.9467592592592592E-3</v>
      </c>
      <c r="C9251" t="s">
        <v>4124</v>
      </c>
      <c r="D9251" t="s">
        <v>211</v>
      </c>
      <c r="E9251" t="s">
        <v>212</v>
      </c>
      <c r="F9251" t="s">
        <v>12892</v>
      </c>
      <c r="G9251">
        <v>1752697</v>
      </c>
      <c r="H9251" t="s">
        <v>26</v>
      </c>
      <c r="I9251" t="s">
        <v>38</v>
      </c>
      <c r="J9251" t="str">
        <f>"9781118448373"</f>
        <v>9781118448373</v>
      </c>
      <c r="K9251" t="s">
        <v>12895</v>
      </c>
      <c r="L9251">
        <v>44</v>
      </c>
      <c r="O9251" t="s">
        <v>30</v>
      </c>
      <c r="P9251" t="s">
        <v>42</v>
      </c>
      <c r="S9251" t="s">
        <v>214</v>
      </c>
      <c r="T9251" t="s">
        <v>12894</v>
      </c>
      <c r="U9251">
        <v>362.1</v>
      </c>
      <c r="V9251" s="3">
        <v>41842</v>
      </c>
    </row>
    <row r="9252" spans="1:22" x14ac:dyDescent="0.35">
      <c r="A9252" s="1">
        <v>42233.538506944446</v>
      </c>
      <c r="B9252" s="2">
        <v>1.0416666666666667E-4</v>
      </c>
      <c r="C9252" t="s">
        <v>12896</v>
      </c>
      <c r="D9252" t="s">
        <v>35</v>
      </c>
      <c r="E9252" t="s">
        <v>36</v>
      </c>
      <c r="F9252" t="s">
        <v>12897</v>
      </c>
      <c r="G9252">
        <v>1596094</v>
      </c>
      <c r="H9252" t="s">
        <v>91</v>
      </c>
      <c r="I9252" t="s">
        <v>247</v>
      </c>
      <c r="J9252" t="str">
        <f>"9781462513840"</f>
        <v>9781462513840</v>
      </c>
      <c r="K9252" t="s">
        <v>209</v>
      </c>
      <c r="L9252">
        <v>4</v>
      </c>
      <c r="O9252" t="s">
        <v>30</v>
      </c>
      <c r="P9252" t="s">
        <v>50</v>
      </c>
      <c r="S9252" t="s">
        <v>40</v>
      </c>
      <c r="T9252" t="s">
        <v>12898</v>
      </c>
      <c r="U9252">
        <v>616.89</v>
      </c>
      <c r="V9252" s="3">
        <v>41773</v>
      </c>
    </row>
    <row r="9253" spans="1:22" x14ac:dyDescent="0.35">
      <c r="A9253" s="1">
        <v>42233.196608796294</v>
      </c>
      <c r="B9253" s="2">
        <v>0</v>
      </c>
      <c r="C9253" t="s">
        <v>12899</v>
      </c>
      <c r="D9253" t="s">
        <v>23</v>
      </c>
      <c r="E9253" t="s">
        <v>24</v>
      </c>
      <c r="F9253" t="s">
        <v>9828</v>
      </c>
      <c r="G9253">
        <v>1655942</v>
      </c>
      <c r="H9253" t="s">
        <v>91</v>
      </c>
      <c r="I9253" t="s">
        <v>247</v>
      </c>
      <c r="J9253" t="str">
        <f>"9781462513888"</f>
        <v>9781462513888</v>
      </c>
      <c r="L9253">
        <v>0</v>
      </c>
      <c r="O9253" t="s">
        <v>28</v>
      </c>
      <c r="P9253" t="s">
        <v>29</v>
      </c>
      <c r="Q9253" s="1">
        <v>42233.194374999999</v>
      </c>
      <c r="R9253">
        <v>7</v>
      </c>
      <c r="S9253" t="s">
        <v>31</v>
      </c>
      <c r="T9253" t="s">
        <v>9830</v>
      </c>
      <c r="U9253">
        <v>616.85830599999997</v>
      </c>
      <c r="V9253" s="3">
        <v>41773</v>
      </c>
    </row>
    <row r="9254" spans="1:22" x14ac:dyDescent="0.35">
      <c r="A9254" s="1">
        <v>42233.194374999999</v>
      </c>
      <c r="B9254" s="2">
        <v>2.1064814814814813E-3</v>
      </c>
      <c r="C9254" t="s">
        <v>12899</v>
      </c>
      <c r="D9254" t="s">
        <v>23</v>
      </c>
      <c r="E9254" t="s">
        <v>24</v>
      </c>
      <c r="F9254" t="s">
        <v>9828</v>
      </c>
      <c r="G9254">
        <v>1655942</v>
      </c>
      <c r="H9254" t="s">
        <v>91</v>
      </c>
      <c r="I9254" t="s">
        <v>247</v>
      </c>
      <c r="J9254" t="str">
        <f>"9781462513888"</f>
        <v>9781462513888</v>
      </c>
      <c r="K9254" t="s">
        <v>12900</v>
      </c>
      <c r="L9254">
        <v>20</v>
      </c>
      <c r="O9254" t="s">
        <v>30</v>
      </c>
      <c r="P9254" t="s">
        <v>29</v>
      </c>
      <c r="Q9254" s="1">
        <v>42233.194374999999</v>
      </c>
      <c r="R9254">
        <v>7</v>
      </c>
      <c r="S9254" t="s">
        <v>31</v>
      </c>
      <c r="T9254" t="s">
        <v>9830</v>
      </c>
      <c r="U9254">
        <v>616.85830599999997</v>
      </c>
      <c r="V9254" s="3">
        <v>41773</v>
      </c>
    </row>
    <row r="9255" spans="1:22" x14ac:dyDescent="0.35">
      <c r="A9255" s="1">
        <v>42233.186898148146</v>
      </c>
      <c r="B9255" s="2">
        <v>7.4768518518518526E-3</v>
      </c>
      <c r="C9255" t="s">
        <v>12899</v>
      </c>
      <c r="D9255" t="s">
        <v>23</v>
      </c>
      <c r="E9255" t="s">
        <v>24</v>
      </c>
      <c r="F9255" t="s">
        <v>9828</v>
      </c>
      <c r="G9255">
        <v>1655942</v>
      </c>
      <c r="H9255" t="s">
        <v>91</v>
      </c>
      <c r="I9255" t="s">
        <v>247</v>
      </c>
      <c r="J9255" t="str">
        <f>"9781462513888"</f>
        <v>9781462513888</v>
      </c>
      <c r="K9255" t="s">
        <v>12901</v>
      </c>
      <c r="L9255">
        <v>13</v>
      </c>
      <c r="O9255" t="s">
        <v>30</v>
      </c>
      <c r="P9255" t="s">
        <v>50</v>
      </c>
      <c r="S9255" t="s">
        <v>31</v>
      </c>
      <c r="T9255" t="s">
        <v>9830</v>
      </c>
      <c r="U9255">
        <v>616.85830599999997</v>
      </c>
      <c r="V9255" s="3">
        <v>41773</v>
      </c>
    </row>
    <row r="9256" spans="1:22" x14ac:dyDescent="0.35">
      <c r="A9256" s="1">
        <v>42233.185682870368</v>
      </c>
      <c r="B9256" s="2">
        <v>6.7129629629629625E-4</v>
      </c>
      <c r="C9256" t="s">
        <v>12899</v>
      </c>
      <c r="D9256" t="s">
        <v>23</v>
      </c>
      <c r="E9256" t="s">
        <v>24</v>
      </c>
      <c r="F9256" t="s">
        <v>4624</v>
      </c>
      <c r="G9256">
        <v>1909817</v>
      </c>
      <c r="H9256" t="s">
        <v>91</v>
      </c>
      <c r="I9256" t="s">
        <v>247</v>
      </c>
      <c r="J9256" t="str">
        <f>"9781462520602"</f>
        <v>9781462520602</v>
      </c>
      <c r="K9256" t="s">
        <v>12902</v>
      </c>
      <c r="L9256">
        <v>19</v>
      </c>
      <c r="O9256" t="s">
        <v>30</v>
      </c>
      <c r="P9256" t="s">
        <v>50</v>
      </c>
      <c r="S9256" t="s">
        <v>31</v>
      </c>
      <c r="T9256" t="s">
        <v>4626</v>
      </c>
      <c r="U9256">
        <v>616</v>
      </c>
      <c r="V9256" s="3">
        <v>42165</v>
      </c>
    </row>
    <row r="9257" spans="1:22" x14ac:dyDescent="0.35">
      <c r="A9257" s="1">
        <v>42232.950613425928</v>
      </c>
      <c r="B9257" s="2">
        <v>0</v>
      </c>
      <c r="C9257" t="s">
        <v>6693</v>
      </c>
      <c r="D9257" t="s">
        <v>6396</v>
      </c>
      <c r="E9257" t="s">
        <v>6397</v>
      </c>
      <c r="F9257" t="s">
        <v>2827</v>
      </c>
      <c r="G9257">
        <v>707971</v>
      </c>
      <c r="H9257" t="s">
        <v>26</v>
      </c>
      <c r="I9257" t="s">
        <v>247</v>
      </c>
      <c r="J9257" t="str">
        <f>"9781118293973"</f>
        <v>9781118293973</v>
      </c>
      <c r="L9257">
        <v>0</v>
      </c>
      <c r="O9257" t="s">
        <v>28</v>
      </c>
      <c r="P9257" t="s">
        <v>29</v>
      </c>
      <c r="Q9257" s="1">
        <v>42232.950613425928</v>
      </c>
      <c r="R9257">
        <v>7</v>
      </c>
      <c r="S9257" t="s">
        <v>6400</v>
      </c>
      <c r="T9257" t="s">
        <v>2829</v>
      </c>
      <c r="U9257" t="s">
        <v>2830</v>
      </c>
      <c r="V9257" s="3">
        <v>40868</v>
      </c>
    </row>
    <row r="9258" spans="1:22" x14ac:dyDescent="0.35">
      <c r="A9258" s="1">
        <v>42232.950613425928</v>
      </c>
      <c r="B9258" s="2">
        <v>0</v>
      </c>
      <c r="C9258" t="s">
        <v>6693</v>
      </c>
      <c r="D9258" t="s">
        <v>6396</v>
      </c>
      <c r="E9258" t="s">
        <v>6397</v>
      </c>
      <c r="F9258" t="s">
        <v>2827</v>
      </c>
      <c r="G9258">
        <v>707971</v>
      </c>
      <c r="H9258" t="s">
        <v>26</v>
      </c>
      <c r="I9258" t="s">
        <v>247</v>
      </c>
      <c r="J9258" t="str">
        <f>"9781118293973"</f>
        <v>9781118293973</v>
      </c>
      <c r="L9258">
        <v>0</v>
      </c>
      <c r="O9258" t="s">
        <v>30</v>
      </c>
      <c r="P9258" t="s">
        <v>29</v>
      </c>
      <c r="Q9258" s="1">
        <v>42232.950613425928</v>
      </c>
      <c r="R9258">
        <v>7</v>
      </c>
      <c r="S9258" t="s">
        <v>6400</v>
      </c>
      <c r="T9258" t="s">
        <v>2829</v>
      </c>
      <c r="U9258" t="s">
        <v>2830</v>
      </c>
      <c r="V9258" s="3">
        <v>40868</v>
      </c>
    </row>
    <row r="9259" spans="1:22" x14ac:dyDescent="0.35">
      <c r="A9259" s="1">
        <v>42232.950173611112</v>
      </c>
      <c r="B9259" s="2">
        <v>4.3981481481481481E-4</v>
      </c>
      <c r="C9259" t="s">
        <v>6693</v>
      </c>
      <c r="D9259" t="s">
        <v>6396</v>
      </c>
      <c r="E9259" t="s">
        <v>6397</v>
      </c>
      <c r="F9259" t="s">
        <v>2827</v>
      </c>
      <c r="G9259">
        <v>707971</v>
      </c>
      <c r="H9259" t="s">
        <v>26</v>
      </c>
      <c r="I9259" t="s">
        <v>247</v>
      </c>
      <c r="J9259" t="str">
        <f>"9781118293973"</f>
        <v>9781118293973</v>
      </c>
      <c r="K9259" t="s">
        <v>1109</v>
      </c>
      <c r="L9259">
        <v>3</v>
      </c>
      <c r="O9259" t="s">
        <v>30</v>
      </c>
      <c r="P9259" t="s">
        <v>42</v>
      </c>
      <c r="S9259" t="s">
        <v>6400</v>
      </c>
      <c r="T9259" t="s">
        <v>2829</v>
      </c>
      <c r="U9259" t="s">
        <v>2830</v>
      </c>
      <c r="V9259" s="3">
        <v>40868</v>
      </c>
    </row>
    <row r="9260" spans="1:22" x14ac:dyDescent="0.35">
      <c r="A9260" s="1">
        <v>42232.948263888888</v>
      </c>
      <c r="B9260" s="2">
        <v>0</v>
      </c>
      <c r="C9260" t="s">
        <v>6693</v>
      </c>
      <c r="D9260" t="s">
        <v>6396</v>
      </c>
      <c r="E9260" t="s">
        <v>6397</v>
      </c>
      <c r="F9260" t="s">
        <v>10290</v>
      </c>
      <c r="G9260">
        <v>2039113</v>
      </c>
      <c r="H9260" t="s">
        <v>45</v>
      </c>
      <c r="I9260" t="s">
        <v>630</v>
      </c>
      <c r="J9260" t="str">
        <f>"9781472447975"</f>
        <v>9781472447975</v>
      </c>
      <c r="L9260">
        <v>0</v>
      </c>
      <c r="O9260" t="s">
        <v>28</v>
      </c>
      <c r="P9260" t="s">
        <v>47</v>
      </c>
      <c r="Q9260" s="1">
        <v>42232.948263888888</v>
      </c>
      <c r="R9260">
        <v>1</v>
      </c>
      <c r="S9260" t="s">
        <v>6400</v>
      </c>
      <c r="T9260">
        <v>2014042996</v>
      </c>
      <c r="U9260">
        <v>174.2</v>
      </c>
      <c r="V9260" s="3">
        <v>42156</v>
      </c>
    </row>
    <row r="9261" spans="1:22" x14ac:dyDescent="0.35">
      <c r="A9261" s="1">
        <v>42232.948263888888</v>
      </c>
      <c r="B9261" s="2">
        <v>0</v>
      </c>
      <c r="C9261" t="s">
        <v>6693</v>
      </c>
      <c r="D9261" t="s">
        <v>6396</v>
      </c>
      <c r="E9261" t="s">
        <v>6397</v>
      </c>
      <c r="F9261" t="s">
        <v>10290</v>
      </c>
      <c r="G9261">
        <v>2039113</v>
      </c>
      <c r="H9261" t="s">
        <v>45</v>
      </c>
      <c r="I9261" t="s">
        <v>630</v>
      </c>
      <c r="J9261" t="str">
        <f>"9781472447975"</f>
        <v>9781472447975</v>
      </c>
      <c r="L9261">
        <v>0</v>
      </c>
      <c r="O9261" t="s">
        <v>30</v>
      </c>
      <c r="P9261" t="s">
        <v>47</v>
      </c>
      <c r="Q9261" s="1">
        <v>42232.948263888888</v>
      </c>
      <c r="R9261">
        <v>1</v>
      </c>
      <c r="S9261" t="s">
        <v>6400</v>
      </c>
      <c r="T9261">
        <v>2014042996</v>
      </c>
      <c r="U9261">
        <v>174.2</v>
      </c>
      <c r="V9261" s="3">
        <v>42156</v>
      </c>
    </row>
    <row r="9262" spans="1:22" x14ac:dyDescent="0.35">
      <c r="A9262" s="1">
        <v>42232.947187500002</v>
      </c>
      <c r="B9262" s="2">
        <v>1.0763888888888889E-3</v>
      </c>
      <c r="C9262" t="s">
        <v>6693</v>
      </c>
      <c r="D9262" t="s">
        <v>6396</v>
      </c>
      <c r="E9262" t="s">
        <v>6397</v>
      </c>
      <c r="F9262" t="s">
        <v>10290</v>
      </c>
      <c r="G9262">
        <v>2039113</v>
      </c>
      <c r="H9262" t="s">
        <v>45</v>
      </c>
      <c r="I9262" t="s">
        <v>630</v>
      </c>
      <c r="J9262" t="str">
        <f>"9781472447975"</f>
        <v>9781472447975</v>
      </c>
      <c r="K9262" t="s">
        <v>1197</v>
      </c>
      <c r="L9262">
        <v>3</v>
      </c>
      <c r="O9262" t="s">
        <v>30</v>
      </c>
      <c r="P9262" t="s">
        <v>50</v>
      </c>
      <c r="S9262" t="s">
        <v>6400</v>
      </c>
      <c r="T9262">
        <v>2014042996</v>
      </c>
      <c r="U9262">
        <v>174.2</v>
      </c>
      <c r="V9262" s="3">
        <v>42156</v>
      </c>
    </row>
    <row r="9263" spans="1:22" x14ac:dyDescent="0.35">
      <c r="A9263" s="1">
        <v>42232.946875000001</v>
      </c>
      <c r="B9263" s="2">
        <v>5.7870370370370366E-5</v>
      </c>
      <c r="C9263" t="s">
        <v>6693</v>
      </c>
      <c r="D9263" t="s">
        <v>6396</v>
      </c>
      <c r="E9263" t="s">
        <v>6397</v>
      </c>
      <c r="F9263" t="s">
        <v>12903</v>
      </c>
      <c r="G9263">
        <v>1711042</v>
      </c>
      <c r="H9263" t="s">
        <v>84</v>
      </c>
      <c r="I9263" t="s">
        <v>247</v>
      </c>
      <c r="J9263" t="str">
        <f>"9780520959149"</f>
        <v>9780520959149</v>
      </c>
      <c r="K9263" t="s">
        <v>7982</v>
      </c>
      <c r="L9263">
        <v>3</v>
      </c>
      <c r="O9263" t="s">
        <v>30</v>
      </c>
      <c r="P9263" t="s">
        <v>50</v>
      </c>
      <c r="S9263" t="s">
        <v>6400</v>
      </c>
      <c r="T9263" t="s">
        <v>12904</v>
      </c>
      <c r="U9263">
        <v>618.91999999999996</v>
      </c>
      <c r="V9263" s="3">
        <v>41901</v>
      </c>
    </row>
    <row r="9264" spans="1:22" x14ac:dyDescent="0.35">
      <c r="A9264" s="1">
        <v>42232.944166666668</v>
      </c>
      <c r="B9264" s="2">
        <v>8.1018518518518516E-5</v>
      </c>
      <c r="C9264" t="s">
        <v>6693</v>
      </c>
      <c r="D9264" t="s">
        <v>6396</v>
      </c>
      <c r="E9264" t="s">
        <v>6397</v>
      </c>
      <c r="F9264" t="s">
        <v>5007</v>
      </c>
      <c r="G9264">
        <v>1715303</v>
      </c>
      <c r="H9264" t="s">
        <v>91</v>
      </c>
      <c r="I9264" t="s">
        <v>2091</v>
      </c>
      <c r="J9264" t="str">
        <f>"9781462516131"</f>
        <v>9781462516131</v>
      </c>
      <c r="K9264" t="s">
        <v>63</v>
      </c>
      <c r="L9264">
        <v>1</v>
      </c>
      <c r="O9264" t="s">
        <v>28</v>
      </c>
      <c r="P9264" t="s">
        <v>47</v>
      </c>
      <c r="Q9264" s="1">
        <v>42232.944166666668</v>
      </c>
      <c r="R9264">
        <v>1</v>
      </c>
      <c r="S9264" t="s">
        <v>6400</v>
      </c>
      <c r="T9264" t="s">
        <v>5010</v>
      </c>
      <c r="U9264">
        <v>616.89</v>
      </c>
      <c r="V9264" s="3">
        <v>41885</v>
      </c>
    </row>
    <row r="9265" spans="1:22" x14ac:dyDescent="0.35">
      <c r="A9265" s="1">
        <v>42232.944166666668</v>
      </c>
      <c r="B9265" s="2">
        <v>0</v>
      </c>
      <c r="C9265" t="s">
        <v>6693</v>
      </c>
      <c r="D9265" t="s">
        <v>6396</v>
      </c>
      <c r="E9265" t="s">
        <v>6397</v>
      </c>
      <c r="F9265" t="s">
        <v>5007</v>
      </c>
      <c r="G9265">
        <v>1715303</v>
      </c>
      <c r="H9265" t="s">
        <v>91</v>
      </c>
      <c r="I9265" t="s">
        <v>2091</v>
      </c>
      <c r="J9265" t="str">
        <f>"9781462516131"</f>
        <v>9781462516131</v>
      </c>
      <c r="L9265">
        <v>0</v>
      </c>
      <c r="O9265" t="s">
        <v>30</v>
      </c>
      <c r="P9265" t="s">
        <v>47</v>
      </c>
      <c r="Q9265" s="1">
        <v>42232.944166666668</v>
      </c>
      <c r="R9265">
        <v>1</v>
      </c>
      <c r="S9265" t="s">
        <v>6400</v>
      </c>
      <c r="T9265" t="s">
        <v>5010</v>
      </c>
      <c r="U9265">
        <v>616.89</v>
      </c>
      <c r="V9265" s="3">
        <v>41885</v>
      </c>
    </row>
    <row r="9266" spans="1:22" x14ac:dyDescent="0.35">
      <c r="A9266" s="1">
        <v>42232.943981481483</v>
      </c>
      <c r="B9266" s="2">
        <v>1.8518518518518518E-4</v>
      </c>
      <c r="C9266" t="s">
        <v>6693</v>
      </c>
      <c r="D9266" t="s">
        <v>6396</v>
      </c>
      <c r="E9266" t="s">
        <v>6397</v>
      </c>
      <c r="F9266" t="s">
        <v>5007</v>
      </c>
      <c r="G9266">
        <v>1715303</v>
      </c>
      <c r="H9266" t="s">
        <v>91</v>
      </c>
      <c r="I9266" t="s">
        <v>2091</v>
      </c>
      <c r="J9266" t="str">
        <f>"9781462516131"</f>
        <v>9781462516131</v>
      </c>
      <c r="K9266" t="s">
        <v>2787</v>
      </c>
      <c r="L9266">
        <v>3</v>
      </c>
      <c r="O9266" t="s">
        <v>30</v>
      </c>
      <c r="P9266" t="s">
        <v>50</v>
      </c>
      <c r="S9266" t="s">
        <v>6400</v>
      </c>
      <c r="T9266" t="s">
        <v>5010</v>
      </c>
      <c r="U9266">
        <v>616.89</v>
      </c>
      <c r="V9266" s="3">
        <v>41885</v>
      </c>
    </row>
    <row r="9267" spans="1:22" x14ac:dyDescent="0.35">
      <c r="A9267" s="1">
        <v>42232.940381944441</v>
      </c>
      <c r="B9267" s="2">
        <v>0</v>
      </c>
      <c r="C9267" t="s">
        <v>6693</v>
      </c>
      <c r="D9267" t="s">
        <v>6396</v>
      </c>
      <c r="E9267" t="s">
        <v>6397</v>
      </c>
      <c r="F9267" t="s">
        <v>12905</v>
      </c>
      <c r="G9267">
        <v>1678739</v>
      </c>
      <c r="H9267" t="s">
        <v>45</v>
      </c>
      <c r="I9267" t="s">
        <v>1724</v>
      </c>
      <c r="J9267" t="str">
        <f>"9781409438588"</f>
        <v>9781409438588</v>
      </c>
      <c r="L9267">
        <v>0</v>
      </c>
      <c r="O9267" t="s">
        <v>28</v>
      </c>
      <c r="P9267" t="s">
        <v>47</v>
      </c>
      <c r="Q9267" s="1">
        <v>42232.940381944441</v>
      </c>
      <c r="R9267">
        <v>1</v>
      </c>
      <c r="S9267" t="s">
        <v>6400</v>
      </c>
      <c r="T9267" t="s">
        <v>12906</v>
      </c>
      <c r="U9267" t="s">
        <v>12907</v>
      </c>
      <c r="V9267" s="3">
        <v>41818</v>
      </c>
    </row>
    <row r="9268" spans="1:22" x14ac:dyDescent="0.35">
      <c r="A9268" s="1">
        <v>42232.940381944441</v>
      </c>
      <c r="B9268" s="2">
        <v>0</v>
      </c>
      <c r="C9268" t="s">
        <v>6693</v>
      </c>
      <c r="D9268" t="s">
        <v>6396</v>
      </c>
      <c r="E9268" t="s">
        <v>6397</v>
      </c>
      <c r="F9268" t="s">
        <v>12905</v>
      </c>
      <c r="G9268">
        <v>1678739</v>
      </c>
      <c r="H9268" t="s">
        <v>45</v>
      </c>
      <c r="I9268" t="s">
        <v>1724</v>
      </c>
      <c r="J9268" t="str">
        <f>"9781409438588"</f>
        <v>9781409438588</v>
      </c>
      <c r="L9268">
        <v>0</v>
      </c>
      <c r="O9268" t="s">
        <v>30</v>
      </c>
      <c r="P9268" t="s">
        <v>47</v>
      </c>
      <c r="Q9268" s="1">
        <v>42232.940381944441</v>
      </c>
      <c r="R9268">
        <v>1</v>
      </c>
      <c r="S9268" t="s">
        <v>6400</v>
      </c>
      <c r="T9268" t="s">
        <v>12906</v>
      </c>
      <c r="U9268" t="s">
        <v>12907</v>
      </c>
      <c r="V9268" s="3">
        <v>41818</v>
      </c>
    </row>
    <row r="9269" spans="1:22" x14ac:dyDescent="0.35">
      <c r="A9269" s="1">
        <v>42232.939421296294</v>
      </c>
      <c r="B9269" s="2">
        <v>9.6064814814814808E-4</v>
      </c>
      <c r="C9269" t="s">
        <v>6693</v>
      </c>
      <c r="D9269" t="s">
        <v>6396</v>
      </c>
      <c r="E9269" t="s">
        <v>6397</v>
      </c>
      <c r="F9269" t="s">
        <v>12905</v>
      </c>
      <c r="G9269">
        <v>1678739</v>
      </c>
      <c r="H9269" t="s">
        <v>45</v>
      </c>
      <c r="I9269" t="s">
        <v>1724</v>
      </c>
      <c r="J9269" t="str">
        <f>"9781409438588"</f>
        <v>9781409438588</v>
      </c>
      <c r="K9269" t="s">
        <v>10398</v>
      </c>
      <c r="L9269">
        <v>3</v>
      </c>
      <c r="O9269" t="s">
        <v>30</v>
      </c>
      <c r="P9269" t="s">
        <v>50</v>
      </c>
      <c r="S9269" t="s">
        <v>6400</v>
      </c>
      <c r="T9269" t="s">
        <v>12906</v>
      </c>
      <c r="U9269" t="s">
        <v>12907</v>
      </c>
      <c r="V9269" s="3">
        <v>41818</v>
      </c>
    </row>
    <row r="9270" spans="1:22" x14ac:dyDescent="0.35">
      <c r="A9270" s="1">
        <v>42232.938888888886</v>
      </c>
      <c r="B9270" s="2">
        <v>0</v>
      </c>
      <c r="C9270" t="s">
        <v>6693</v>
      </c>
      <c r="D9270" t="s">
        <v>6396</v>
      </c>
      <c r="E9270" t="s">
        <v>6397</v>
      </c>
      <c r="F9270" t="s">
        <v>12811</v>
      </c>
      <c r="G9270">
        <v>832296</v>
      </c>
      <c r="H9270" t="s">
        <v>26</v>
      </c>
      <c r="I9270" t="s">
        <v>10087</v>
      </c>
      <c r="J9270" t="str">
        <f>"9781119979319"</f>
        <v>9781119979319</v>
      </c>
      <c r="L9270">
        <v>0</v>
      </c>
      <c r="O9270" t="s">
        <v>28</v>
      </c>
      <c r="P9270" t="s">
        <v>29</v>
      </c>
      <c r="Q9270" s="1">
        <v>42232.938888888886</v>
      </c>
      <c r="R9270">
        <v>7</v>
      </c>
      <c r="S9270" t="s">
        <v>6400</v>
      </c>
      <c r="T9270" t="s">
        <v>12813</v>
      </c>
      <c r="U9270">
        <v>610.73</v>
      </c>
      <c r="V9270" s="3">
        <v>41675</v>
      </c>
    </row>
    <row r="9271" spans="1:22" x14ac:dyDescent="0.35">
      <c r="A9271" s="1">
        <v>42232.938888888886</v>
      </c>
      <c r="B9271" s="2">
        <v>0</v>
      </c>
      <c r="C9271" t="s">
        <v>6693</v>
      </c>
      <c r="D9271" t="s">
        <v>6396</v>
      </c>
      <c r="E9271" t="s">
        <v>6397</v>
      </c>
      <c r="F9271" t="s">
        <v>12811</v>
      </c>
      <c r="G9271">
        <v>832296</v>
      </c>
      <c r="H9271" t="s">
        <v>26</v>
      </c>
      <c r="I9271" t="s">
        <v>10087</v>
      </c>
      <c r="J9271" t="str">
        <f>"9781119979319"</f>
        <v>9781119979319</v>
      </c>
      <c r="L9271">
        <v>0</v>
      </c>
      <c r="O9271" t="s">
        <v>30</v>
      </c>
      <c r="P9271" t="s">
        <v>29</v>
      </c>
      <c r="Q9271" s="1">
        <v>42232.938888888886</v>
      </c>
      <c r="R9271">
        <v>7</v>
      </c>
      <c r="S9271" t="s">
        <v>6400</v>
      </c>
      <c r="T9271" t="s">
        <v>12813</v>
      </c>
      <c r="U9271">
        <v>610.73</v>
      </c>
      <c r="V9271" s="3">
        <v>41675</v>
      </c>
    </row>
    <row r="9272" spans="1:22" x14ac:dyDescent="0.35">
      <c r="A9272" s="1">
        <v>42232.938310185185</v>
      </c>
      <c r="B9272" s="2">
        <v>5.7870370370370378E-4</v>
      </c>
      <c r="C9272" t="s">
        <v>6693</v>
      </c>
      <c r="D9272" t="s">
        <v>6396</v>
      </c>
      <c r="E9272" t="s">
        <v>6397</v>
      </c>
      <c r="F9272" t="s">
        <v>12811</v>
      </c>
      <c r="G9272">
        <v>832296</v>
      </c>
      <c r="H9272" t="s">
        <v>26</v>
      </c>
      <c r="I9272" t="s">
        <v>10087</v>
      </c>
      <c r="J9272" t="str">
        <f>"9781119979319"</f>
        <v>9781119979319</v>
      </c>
      <c r="K9272" t="s">
        <v>4916</v>
      </c>
      <c r="L9272">
        <v>3</v>
      </c>
      <c r="O9272" t="s">
        <v>30</v>
      </c>
      <c r="P9272" t="s">
        <v>42</v>
      </c>
      <c r="S9272" t="s">
        <v>6400</v>
      </c>
      <c r="T9272" t="s">
        <v>12813</v>
      </c>
      <c r="U9272">
        <v>610.73</v>
      </c>
      <c r="V9272" s="3">
        <v>41675</v>
      </c>
    </row>
    <row r="9273" spans="1:22" x14ac:dyDescent="0.35">
      <c r="A9273" s="1">
        <v>42232.832303240742</v>
      </c>
      <c r="B9273" s="2">
        <v>6.8287037037037025E-4</v>
      </c>
      <c r="C9273" t="s">
        <v>9028</v>
      </c>
      <c r="D9273" t="s">
        <v>23</v>
      </c>
      <c r="E9273" t="s">
        <v>24</v>
      </c>
      <c r="F9273" t="s">
        <v>12908</v>
      </c>
      <c r="G9273">
        <v>1175201</v>
      </c>
      <c r="H9273" t="s">
        <v>26</v>
      </c>
      <c r="I9273" t="s">
        <v>297</v>
      </c>
      <c r="J9273" t="str">
        <f>"9781118522202"</f>
        <v>9781118522202</v>
      </c>
      <c r="K9273" t="s">
        <v>12909</v>
      </c>
      <c r="L9273">
        <v>12</v>
      </c>
      <c r="O9273" t="s">
        <v>30</v>
      </c>
      <c r="P9273" t="s">
        <v>42</v>
      </c>
      <c r="S9273" t="s">
        <v>31</v>
      </c>
      <c r="T9273" t="s">
        <v>12910</v>
      </c>
      <c r="U9273">
        <v>519.5</v>
      </c>
      <c r="V9273" s="3">
        <v>41704</v>
      </c>
    </row>
    <row r="9274" spans="1:22" x14ac:dyDescent="0.35">
      <c r="A9274" s="1">
        <v>42232.831689814811</v>
      </c>
      <c r="B9274" s="2">
        <v>3.8194444444444446E-4</v>
      </c>
      <c r="C9274" t="s">
        <v>9028</v>
      </c>
      <c r="D9274" t="s">
        <v>23</v>
      </c>
      <c r="E9274" t="s">
        <v>24</v>
      </c>
      <c r="F9274" t="s">
        <v>12793</v>
      </c>
      <c r="G9274">
        <v>1784599</v>
      </c>
      <c r="H9274" t="s">
        <v>26</v>
      </c>
      <c r="I9274" t="s">
        <v>297</v>
      </c>
      <c r="J9274" t="str">
        <f>"9781118941119"</f>
        <v>9781118941119</v>
      </c>
      <c r="K9274" t="s">
        <v>12911</v>
      </c>
      <c r="L9274">
        <v>17</v>
      </c>
      <c r="O9274" t="s">
        <v>30</v>
      </c>
      <c r="P9274" t="s">
        <v>42</v>
      </c>
      <c r="S9274" t="s">
        <v>31</v>
      </c>
      <c r="T9274" t="s">
        <v>12795</v>
      </c>
      <c r="U9274" t="s">
        <v>12796</v>
      </c>
      <c r="V9274" s="3">
        <v>41893</v>
      </c>
    </row>
    <row r="9275" spans="1:22" x14ac:dyDescent="0.35">
      <c r="A9275" s="1">
        <v>42232.83079861111</v>
      </c>
      <c r="B9275" s="2">
        <v>5.3240740740740744E-4</v>
      </c>
      <c r="C9275" t="s">
        <v>9028</v>
      </c>
      <c r="D9275" t="s">
        <v>23</v>
      </c>
      <c r="E9275" t="s">
        <v>24</v>
      </c>
      <c r="F9275" t="s">
        <v>12420</v>
      </c>
      <c r="G9275">
        <v>848520</v>
      </c>
      <c r="H9275" t="s">
        <v>26</v>
      </c>
      <c r="I9275" t="s">
        <v>297</v>
      </c>
      <c r="J9275" t="str">
        <f>"9781118274422"</f>
        <v>9781118274422</v>
      </c>
      <c r="K9275" t="s">
        <v>12912</v>
      </c>
      <c r="L9275">
        <v>14</v>
      </c>
      <c r="O9275" t="s">
        <v>30</v>
      </c>
      <c r="P9275" t="s">
        <v>42</v>
      </c>
      <c r="S9275" t="s">
        <v>31</v>
      </c>
      <c r="T9275" t="s">
        <v>12421</v>
      </c>
      <c r="U9275" t="s">
        <v>12422</v>
      </c>
      <c r="V9275" s="3">
        <v>40928</v>
      </c>
    </row>
    <row r="9276" spans="1:22" x14ac:dyDescent="0.35">
      <c r="A9276" s="1">
        <v>42232.821342592593</v>
      </c>
      <c r="B9276" s="2">
        <v>3.8425925925925923E-3</v>
      </c>
      <c r="C9276" t="s">
        <v>9028</v>
      </c>
      <c r="D9276" t="s">
        <v>23</v>
      </c>
      <c r="E9276" t="s">
        <v>24</v>
      </c>
      <c r="F9276" t="s">
        <v>5036</v>
      </c>
      <c r="G9276">
        <v>1318206</v>
      </c>
      <c r="H9276" t="s">
        <v>26</v>
      </c>
      <c r="I9276" t="s">
        <v>5037</v>
      </c>
      <c r="J9276" t="str">
        <f>"9781118363560"</f>
        <v>9781118363560</v>
      </c>
      <c r="K9276" t="s">
        <v>12913</v>
      </c>
      <c r="L9276">
        <v>31</v>
      </c>
      <c r="N9276" t="s">
        <v>12914</v>
      </c>
      <c r="O9276" t="s">
        <v>28</v>
      </c>
      <c r="P9276" t="s">
        <v>29</v>
      </c>
      <c r="Q9276" s="1">
        <v>42232.821331018517</v>
      </c>
      <c r="R9276">
        <v>7</v>
      </c>
      <c r="S9276" t="s">
        <v>31</v>
      </c>
      <c r="T9276" t="s">
        <v>5038</v>
      </c>
      <c r="U9276" t="s">
        <v>5039</v>
      </c>
      <c r="V9276" s="3">
        <v>41470</v>
      </c>
    </row>
    <row r="9277" spans="1:22" x14ac:dyDescent="0.35">
      <c r="A9277" s="1">
        <v>42232.821331018517</v>
      </c>
      <c r="B9277" s="2">
        <v>0</v>
      </c>
      <c r="C9277" t="s">
        <v>9028</v>
      </c>
      <c r="D9277" t="s">
        <v>23</v>
      </c>
      <c r="E9277" t="s">
        <v>24</v>
      </c>
      <c r="F9277" t="s">
        <v>5036</v>
      </c>
      <c r="G9277">
        <v>1318206</v>
      </c>
      <c r="H9277" t="s">
        <v>26</v>
      </c>
      <c r="I9277" t="s">
        <v>5037</v>
      </c>
      <c r="J9277" t="str">
        <f>"9781118363560"</f>
        <v>9781118363560</v>
      </c>
      <c r="L9277">
        <v>0</v>
      </c>
      <c r="O9277" t="s">
        <v>30</v>
      </c>
      <c r="P9277" t="s">
        <v>29</v>
      </c>
      <c r="Q9277" s="1">
        <v>42232.821331018517</v>
      </c>
      <c r="R9277">
        <v>7</v>
      </c>
      <c r="S9277" t="s">
        <v>31</v>
      </c>
      <c r="T9277" t="s">
        <v>5038</v>
      </c>
      <c r="U9277" t="s">
        <v>5039</v>
      </c>
      <c r="V9277" s="3">
        <v>41470</v>
      </c>
    </row>
    <row r="9278" spans="1:22" x14ac:dyDescent="0.35">
      <c r="A9278" s="1">
        <v>42232.821180555555</v>
      </c>
      <c r="B9278" s="2">
        <v>1.5046296296296297E-4</v>
      </c>
      <c r="C9278" t="s">
        <v>9028</v>
      </c>
      <c r="D9278" t="s">
        <v>23</v>
      </c>
      <c r="E9278" t="s">
        <v>24</v>
      </c>
      <c r="F9278" t="s">
        <v>5036</v>
      </c>
      <c r="G9278">
        <v>1318206</v>
      </c>
      <c r="H9278" t="s">
        <v>26</v>
      </c>
      <c r="I9278" t="s">
        <v>5037</v>
      </c>
      <c r="J9278" t="str">
        <f>"9781118363560"</f>
        <v>9781118363560</v>
      </c>
      <c r="K9278" t="s">
        <v>12915</v>
      </c>
      <c r="L9278">
        <v>4</v>
      </c>
      <c r="O9278" t="s">
        <v>30</v>
      </c>
      <c r="P9278" t="s">
        <v>42</v>
      </c>
      <c r="S9278" t="s">
        <v>31</v>
      </c>
      <c r="T9278" t="s">
        <v>5038</v>
      </c>
      <c r="U9278" t="s">
        <v>5039</v>
      </c>
      <c r="V9278" s="3">
        <v>41470</v>
      </c>
    </row>
    <row r="9279" spans="1:22" x14ac:dyDescent="0.35">
      <c r="A9279" s="1">
        <v>42232.76761574074</v>
      </c>
      <c r="B9279" s="2">
        <v>3.8888888888888883E-3</v>
      </c>
      <c r="C9279" t="s">
        <v>12916</v>
      </c>
      <c r="D9279" t="s">
        <v>158</v>
      </c>
      <c r="E9279" t="s">
        <v>159</v>
      </c>
      <c r="F9279" t="s">
        <v>5228</v>
      </c>
      <c r="G9279">
        <v>1034770</v>
      </c>
      <c r="H9279" t="s">
        <v>91</v>
      </c>
      <c r="I9279" t="s">
        <v>247</v>
      </c>
      <c r="J9279" t="str">
        <f>"9781462507566"</f>
        <v>9781462507566</v>
      </c>
      <c r="K9279" t="s">
        <v>12917</v>
      </c>
      <c r="L9279">
        <v>11</v>
      </c>
      <c r="O9279" t="s">
        <v>30</v>
      </c>
      <c r="P9279" t="s">
        <v>29</v>
      </c>
      <c r="Q9279" s="1">
        <v>42232.76761574074</v>
      </c>
      <c r="R9279">
        <v>7</v>
      </c>
      <c r="S9279" t="s">
        <v>163</v>
      </c>
      <c r="T9279" t="s">
        <v>5230</v>
      </c>
      <c r="U9279">
        <v>616.85839999999996</v>
      </c>
      <c r="V9279" s="3">
        <v>41567</v>
      </c>
    </row>
    <row r="9280" spans="1:22" x14ac:dyDescent="0.35">
      <c r="A9280" s="1">
        <v>42232.76730324074</v>
      </c>
      <c r="B9280" s="2">
        <v>2.5462962962962961E-3</v>
      </c>
      <c r="C9280" t="s">
        <v>12918</v>
      </c>
      <c r="D9280" t="s">
        <v>623</v>
      </c>
      <c r="E9280" t="s">
        <v>624</v>
      </c>
      <c r="F9280" t="s">
        <v>4494</v>
      </c>
      <c r="G9280">
        <v>565082</v>
      </c>
      <c r="H9280" t="s">
        <v>26</v>
      </c>
      <c r="I9280" t="s">
        <v>69</v>
      </c>
      <c r="J9280" t="str">
        <f>"9781118041567"</f>
        <v>9781118041567</v>
      </c>
      <c r="K9280" t="s">
        <v>2745</v>
      </c>
      <c r="L9280">
        <v>36</v>
      </c>
      <c r="O9280" t="s">
        <v>30</v>
      </c>
      <c r="P9280" t="s">
        <v>42</v>
      </c>
      <c r="S9280" t="s">
        <v>627</v>
      </c>
      <c r="T9280" t="s">
        <v>4496</v>
      </c>
      <c r="U9280" t="s">
        <v>4497</v>
      </c>
      <c r="V9280" s="3">
        <v>40337</v>
      </c>
    </row>
    <row r="9281" spans="1:22" x14ac:dyDescent="0.35">
      <c r="A9281" s="1">
        <v>42232.75922453704</v>
      </c>
      <c r="B9281" s="2">
        <v>8.3912037037037045E-3</v>
      </c>
      <c r="C9281" t="s">
        <v>12916</v>
      </c>
      <c r="D9281" t="s">
        <v>158</v>
      </c>
      <c r="E9281" t="s">
        <v>159</v>
      </c>
      <c r="F9281" t="s">
        <v>5228</v>
      </c>
      <c r="G9281">
        <v>1034770</v>
      </c>
      <c r="H9281" t="s">
        <v>91</v>
      </c>
      <c r="I9281" t="s">
        <v>247</v>
      </c>
      <c r="J9281" t="str">
        <f>"9781462507566"</f>
        <v>9781462507566</v>
      </c>
      <c r="K9281" t="s">
        <v>12919</v>
      </c>
      <c r="L9281">
        <v>12</v>
      </c>
      <c r="O9281" t="s">
        <v>30</v>
      </c>
      <c r="P9281" t="s">
        <v>42</v>
      </c>
      <c r="S9281" t="s">
        <v>163</v>
      </c>
      <c r="T9281" t="s">
        <v>5230</v>
      </c>
      <c r="U9281">
        <v>616.85839999999996</v>
      </c>
      <c r="V9281" s="3">
        <v>41567</v>
      </c>
    </row>
    <row r="9282" spans="1:22" x14ac:dyDescent="0.35">
      <c r="A9282" s="1">
        <v>42232.524710648147</v>
      </c>
      <c r="B9282" s="2">
        <v>0</v>
      </c>
      <c r="C9282" t="s">
        <v>9028</v>
      </c>
      <c r="D9282" t="s">
        <v>23</v>
      </c>
      <c r="E9282" t="s">
        <v>24</v>
      </c>
      <c r="F9282" t="s">
        <v>3640</v>
      </c>
      <c r="G9282">
        <v>1662670</v>
      </c>
      <c r="H9282" t="s">
        <v>26</v>
      </c>
      <c r="I9282" t="s">
        <v>3641</v>
      </c>
      <c r="J9282" t="str">
        <f>"9781118821251"</f>
        <v>9781118821251</v>
      </c>
      <c r="L9282">
        <v>0</v>
      </c>
      <c r="O9282" t="s">
        <v>28</v>
      </c>
      <c r="P9282" t="s">
        <v>29</v>
      </c>
      <c r="Q9282" s="1">
        <v>42232.51829861111</v>
      </c>
      <c r="R9282">
        <v>7</v>
      </c>
      <c r="S9282" t="s">
        <v>31</v>
      </c>
      <c r="T9282" t="s">
        <v>3642</v>
      </c>
      <c r="U9282" t="s">
        <v>3643</v>
      </c>
      <c r="V9282" s="3">
        <v>41724</v>
      </c>
    </row>
    <row r="9283" spans="1:22" x14ac:dyDescent="0.35">
      <c r="A9283" s="1">
        <v>42232.51829861111</v>
      </c>
      <c r="B9283" s="2">
        <v>6.9444444444444444E-5</v>
      </c>
      <c r="C9283" t="s">
        <v>9028</v>
      </c>
      <c r="D9283" t="s">
        <v>23</v>
      </c>
      <c r="E9283" t="s">
        <v>24</v>
      </c>
      <c r="F9283" t="s">
        <v>3640</v>
      </c>
      <c r="G9283">
        <v>1662670</v>
      </c>
      <c r="H9283" t="s">
        <v>26</v>
      </c>
      <c r="I9283" t="s">
        <v>3641</v>
      </c>
      <c r="J9283" t="str">
        <f>"9781118821251"</f>
        <v>9781118821251</v>
      </c>
      <c r="K9283" t="s">
        <v>63</v>
      </c>
      <c r="L9283">
        <v>1</v>
      </c>
      <c r="O9283" t="s">
        <v>28</v>
      </c>
      <c r="P9283" t="s">
        <v>29</v>
      </c>
      <c r="Q9283" s="1">
        <v>42232.51829861111</v>
      </c>
      <c r="R9283">
        <v>7</v>
      </c>
      <c r="S9283" t="s">
        <v>31</v>
      </c>
      <c r="T9283" t="s">
        <v>3642</v>
      </c>
      <c r="U9283" t="s">
        <v>3643</v>
      </c>
      <c r="V9283" s="3">
        <v>41724</v>
      </c>
    </row>
    <row r="9284" spans="1:22" x14ac:dyDescent="0.35">
      <c r="A9284" s="1">
        <v>42232.51829861111</v>
      </c>
      <c r="B9284" s="2">
        <v>0</v>
      </c>
      <c r="C9284" t="s">
        <v>9028</v>
      </c>
      <c r="D9284" t="s">
        <v>23</v>
      </c>
      <c r="E9284" t="s">
        <v>24</v>
      </c>
      <c r="F9284" t="s">
        <v>3640</v>
      </c>
      <c r="G9284">
        <v>1662670</v>
      </c>
      <c r="H9284" t="s">
        <v>26</v>
      </c>
      <c r="I9284" t="s">
        <v>3641</v>
      </c>
      <c r="J9284" t="str">
        <f>"9781118821251"</f>
        <v>9781118821251</v>
      </c>
      <c r="L9284">
        <v>0</v>
      </c>
      <c r="O9284" t="s">
        <v>30</v>
      </c>
      <c r="P9284" t="s">
        <v>29</v>
      </c>
      <c r="Q9284" s="1">
        <v>42232.51829861111</v>
      </c>
      <c r="R9284">
        <v>7</v>
      </c>
      <c r="S9284" t="s">
        <v>31</v>
      </c>
      <c r="T9284" t="s">
        <v>3642</v>
      </c>
      <c r="U9284" t="s">
        <v>3643</v>
      </c>
      <c r="V9284" s="3">
        <v>41724</v>
      </c>
    </row>
    <row r="9285" spans="1:22" x14ac:dyDescent="0.35">
      <c r="A9285" s="1">
        <v>42232.518113425926</v>
      </c>
      <c r="B9285" s="2">
        <v>1.8518518518518518E-4</v>
      </c>
      <c r="C9285" t="s">
        <v>9028</v>
      </c>
      <c r="D9285" t="s">
        <v>23</v>
      </c>
      <c r="E9285" t="s">
        <v>24</v>
      </c>
      <c r="F9285" t="s">
        <v>3640</v>
      </c>
      <c r="G9285">
        <v>1662670</v>
      </c>
      <c r="H9285" t="s">
        <v>26</v>
      </c>
      <c r="I9285" t="s">
        <v>3641</v>
      </c>
      <c r="J9285" t="str">
        <f>"9781118821251"</f>
        <v>9781118821251</v>
      </c>
      <c r="K9285" t="s">
        <v>73</v>
      </c>
      <c r="L9285">
        <v>3</v>
      </c>
      <c r="O9285" t="s">
        <v>30</v>
      </c>
      <c r="P9285" t="s">
        <v>42</v>
      </c>
      <c r="S9285" t="s">
        <v>31</v>
      </c>
      <c r="T9285" t="s">
        <v>3642</v>
      </c>
      <c r="U9285" t="s">
        <v>3643</v>
      </c>
      <c r="V9285" s="3">
        <v>41724</v>
      </c>
    </row>
    <row r="9286" spans="1:22" x14ac:dyDescent="0.35">
      <c r="A9286" s="1">
        <v>42232.209293981483</v>
      </c>
      <c r="B9286" s="2">
        <v>2.2337962962962967E-3</v>
      </c>
      <c r="C9286" t="s">
        <v>12916</v>
      </c>
      <c r="D9286" t="s">
        <v>158</v>
      </c>
      <c r="E9286" t="s">
        <v>159</v>
      </c>
      <c r="F9286" t="s">
        <v>5228</v>
      </c>
      <c r="G9286">
        <v>1034770</v>
      </c>
      <c r="H9286" t="s">
        <v>91</v>
      </c>
      <c r="I9286" t="s">
        <v>247</v>
      </c>
      <c r="J9286" t="str">
        <f>"9781462507566"</f>
        <v>9781462507566</v>
      </c>
      <c r="K9286" t="s">
        <v>12920</v>
      </c>
      <c r="L9286">
        <v>21</v>
      </c>
      <c r="O9286" t="s">
        <v>30</v>
      </c>
      <c r="P9286" t="s">
        <v>42</v>
      </c>
      <c r="S9286" t="s">
        <v>163</v>
      </c>
      <c r="T9286" t="s">
        <v>5230</v>
      </c>
      <c r="U9286">
        <v>616.85839999999996</v>
      </c>
      <c r="V9286" s="3">
        <v>41567</v>
      </c>
    </row>
    <row r="9287" spans="1:22" x14ac:dyDescent="0.35">
      <c r="A9287" s="1">
        <v>42231.929432870369</v>
      </c>
      <c r="B9287" s="2">
        <v>2.0833333333333335E-4</v>
      </c>
      <c r="C9287" t="s">
        <v>12805</v>
      </c>
      <c r="D9287" t="s">
        <v>23</v>
      </c>
      <c r="E9287" t="s">
        <v>24</v>
      </c>
      <c r="F9287" t="s">
        <v>1051</v>
      </c>
      <c r="G9287">
        <v>821663</v>
      </c>
      <c r="H9287" t="s">
        <v>26</v>
      </c>
      <c r="I9287" t="s">
        <v>200</v>
      </c>
      <c r="J9287" t="str">
        <f>"9781118168479"</f>
        <v>9781118168479</v>
      </c>
      <c r="K9287" t="s">
        <v>12921</v>
      </c>
      <c r="L9287">
        <v>5</v>
      </c>
      <c r="O9287" t="s">
        <v>30</v>
      </c>
      <c r="P9287" t="s">
        <v>42</v>
      </c>
      <c r="S9287" t="s">
        <v>31</v>
      </c>
      <c r="T9287" t="s">
        <v>1053</v>
      </c>
      <c r="U9287">
        <v>729</v>
      </c>
      <c r="V9287" s="3">
        <v>40973</v>
      </c>
    </row>
    <row r="9288" spans="1:22" x14ac:dyDescent="0.35">
      <c r="A9288" s="1">
        <v>42231.044988425929</v>
      </c>
      <c r="B9288" s="2">
        <v>1.7939814814814815E-3</v>
      </c>
      <c r="C9288" t="s">
        <v>12922</v>
      </c>
      <c r="D9288" t="s">
        <v>23</v>
      </c>
      <c r="E9288" t="s">
        <v>24</v>
      </c>
      <c r="F9288" t="s">
        <v>12923</v>
      </c>
      <c r="G9288">
        <v>1695951</v>
      </c>
      <c r="H9288" t="s">
        <v>186</v>
      </c>
      <c r="I9288" t="s">
        <v>328</v>
      </c>
      <c r="J9288" t="str">
        <f>"9781780643809"</f>
        <v>9781780643809</v>
      </c>
      <c r="K9288" t="s">
        <v>12924</v>
      </c>
      <c r="L9288">
        <v>35</v>
      </c>
      <c r="O9288" t="s">
        <v>30</v>
      </c>
      <c r="P9288" t="s">
        <v>50</v>
      </c>
      <c r="S9288" t="s">
        <v>31</v>
      </c>
      <c r="T9288" t="s">
        <v>12925</v>
      </c>
      <c r="U9288">
        <v>362.19639000000001</v>
      </c>
      <c r="V9288" s="3">
        <v>41759</v>
      </c>
    </row>
    <row r="9289" spans="1:22" x14ac:dyDescent="0.35">
      <c r="A9289" s="1">
        <v>42230.987407407411</v>
      </c>
      <c r="B9289" s="2">
        <v>2.3865740740740743E-2</v>
      </c>
      <c r="C9289" t="s">
        <v>12063</v>
      </c>
      <c r="D9289" t="s">
        <v>23</v>
      </c>
      <c r="E9289" t="s">
        <v>24</v>
      </c>
      <c r="F9289" t="s">
        <v>8960</v>
      </c>
      <c r="G9289">
        <v>1220625</v>
      </c>
      <c r="H9289" t="s">
        <v>613</v>
      </c>
      <c r="I9289" t="s">
        <v>328</v>
      </c>
      <c r="J9289" t="str">
        <f>"9781469612751"</f>
        <v>9781469612751</v>
      </c>
      <c r="K9289" t="s">
        <v>12926</v>
      </c>
      <c r="L9289">
        <v>12</v>
      </c>
      <c r="O9289" t="s">
        <v>30</v>
      </c>
      <c r="P9289" t="s">
        <v>47</v>
      </c>
      <c r="Q9289" s="1">
        <v>42230.987407407411</v>
      </c>
      <c r="R9289">
        <v>1</v>
      </c>
      <c r="S9289" t="s">
        <v>31</v>
      </c>
      <c r="T9289" t="s">
        <v>8962</v>
      </c>
      <c r="U9289">
        <v>362.1</v>
      </c>
      <c r="V9289" s="3">
        <v>41487</v>
      </c>
    </row>
    <row r="9290" spans="1:22" x14ac:dyDescent="0.35">
      <c r="A9290" s="1">
        <v>42230.983159722222</v>
      </c>
      <c r="B9290" s="2">
        <v>4.2361111111111106E-3</v>
      </c>
      <c r="C9290" t="s">
        <v>12063</v>
      </c>
      <c r="D9290" t="s">
        <v>23</v>
      </c>
      <c r="E9290" t="s">
        <v>24</v>
      </c>
      <c r="F9290" t="s">
        <v>8960</v>
      </c>
      <c r="G9290">
        <v>1220625</v>
      </c>
      <c r="H9290" t="s">
        <v>613</v>
      </c>
      <c r="I9290" t="s">
        <v>328</v>
      </c>
      <c r="J9290" t="str">
        <f>"9781469612751"</f>
        <v>9781469612751</v>
      </c>
      <c r="K9290" t="s">
        <v>1964</v>
      </c>
      <c r="L9290">
        <v>22</v>
      </c>
      <c r="O9290" t="s">
        <v>30</v>
      </c>
      <c r="P9290" t="s">
        <v>50</v>
      </c>
      <c r="S9290" t="s">
        <v>31</v>
      </c>
      <c r="T9290" t="s">
        <v>8962</v>
      </c>
      <c r="U9290">
        <v>362.1</v>
      </c>
      <c r="V9290" s="3">
        <v>41487</v>
      </c>
    </row>
    <row r="9291" spans="1:22" x14ac:dyDescent="0.35">
      <c r="A9291" s="1">
        <v>42230.95689814815</v>
      </c>
      <c r="B9291" s="2">
        <v>1.5624999999999999E-3</v>
      </c>
      <c r="C9291" t="s">
        <v>12927</v>
      </c>
      <c r="D9291" t="s">
        <v>23</v>
      </c>
      <c r="E9291" t="s">
        <v>24</v>
      </c>
      <c r="F9291" t="s">
        <v>3275</v>
      </c>
      <c r="G9291">
        <v>822662</v>
      </c>
      <c r="H9291" t="s">
        <v>26</v>
      </c>
      <c r="I9291" t="s">
        <v>172</v>
      </c>
      <c r="J9291" t="str">
        <f>"9781444355130"</f>
        <v>9781444355130</v>
      </c>
      <c r="K9291" t="s">
        <v>12928</v>
      </c>
      <c r="L9291">
        <v>16</v>
      </c>
      <c r="O9291" t="s">
        <v>30</v>
      </c>
      <c r="P9291" t="s">
        <v>42</v>
      </c>
      <c r="S9291" t="s">
        <v>31</v>
      </c>
      <c r="T9291" t="s">
        <v>3277</v>
      </c>
      <c r="U9291">
        <v>960.3</v>
      </c>
      <c r="V9291" s="3">
        <v>40858</v>
      </c>
    </row>
    <row r="9292" spans="1:22" x14ac:dyDescent="0.35">
      <c r="A9292" s="1">
        <v>42230.663657407407</v>
      </c>
      <c r="B9292" s="2">
        <v>4.5370370370370365E-3</v>
      </c>
      <c r="C9292" t="s">
        <v>12929</v>
      </c>
      <c r="D9292" t="s">
        <v>23</v>
      </c>
      <c r="E9292" t="s">
        <v>24</v>
      </c>
      <c r="F9292" t="s">
        <v>12930</v>
      </c>
      <c r="G9292">
        <v>1610020</v>
      </c>
      <c r="H9292" t="s">
        <v>45</v>
      </c>
      <c r="I9292" t="s">
        <v>120</v>
      </c>
      <c r="J9292" t="str">
        <f>"9781472417961"</f>
        <v>9781472417961</v>
      </c>
      <c r="K9292" t="s">
        <v>12931</v>
      </c>
      <c r="L9292">
        <v>41</v>
      </c>
      <c r="O9292" t="s">
        <v>30</v>
      </c>
      <c r="P9292" t="s">
        <v>47</v>
      </c>
      <c r="Q9292" s="1">
        <v>42230.618148148147</v>
      </c>
      <c r="R9292">
        <v>1</v>
      </c>
      <c r="S9292" t="s">
        <v>31</v>
      </c>
      <c r="T9292" t="s">
        <v>12932</v>
      </c>
      <c r="U9292">
        <v>361.3</v>
      </c>
      <c r="V9292" s="3">
        <v>41726</v>
      </c>
    </row>
    <row r="9293" spans="1:22" x14ac:dyDescent="0.35">
      <c r="A9293" s="1">
        <v>42230.618148148147</v>
      </c>
      <c r="B9293" s="2">
        <v>1.6319444444444445E-3</v>
      </c>
      <c r="C9293" t="s">
        <v>12929</v>
      </c>
      <c r="D9293" t="s">
        <v>23</v>
      </c>
      <c r="E9293" t="s">
        <v>24</v>
      </c>
      <c r="F9293" t="s">
        <v>12930</v>
      </c>
      <c r="G9293">
        <v>1610020</v>
      </c>
      <c r="H9293" t="s">
        <v>45</v>
      </c>
      <c r="I9293" t="s">
        <v>120</v>
      </c>
      <c r="J9293" t="str">
        <f>"9781472417961"</f>
        <v>9781472417961</v>
      </c>
      <c r="K9293" t="s">
        <v>12933</v>
      </c>
      <c r="L9293">
        <v>33</v>
      </c>
      <c r="O9293" t="s">
        <v>30</v>
      </c>
      <c r="P9293" t="s">
        <v>47</v>
      </c>
      <c r="Q9293" s="1">
        <v>42230.618148148147</v>
      </c>
      <c r="R9293">
        <v>1</v>
      </c>
      <c r="S9293" t="s">
        <v>31</v>
      </c>
      <c r="T9293" t="s">
        <v>12932</v>
      </c>
      <c r="U9293">
        <v>361.3</v>
      </c>
      <c r="V9293" s="3">
        <v>41726</v>
      </c>
    </row>
    <row r="9294" spans="1:22" x14ac:dyDescent="0.35">
      <c r="A9294" s="1">
        <v>42230.614259259259</v>
      </c>
      <c r="B9294" s="2">
        <v>3.8888888888888883E-3</v>
      </c>
      <c r="C9294" t="s">
        <v>12929</v>
      </c>
      <c r="D9294" t="s">
        <v>23</v>
      </c>
      <c r="E9294" t="s">
        <v>24</v>
      </c>
      <c r="F9294" t="s">
        <v>12930</v>
      </c>
      <c r="G9294">
        <v>1610020</v>
      </c>
      <c r="H9294" t="s">
        <v>45</v>
      </c>
      <c r="I9294" t="s">
        <v>120</v>
      </c>
      <c r="J9294" t="str">
        <f>"9781472417961"</f>
        <v>9781472417961</v>
      </c>
      <c r="K9294" t="s">
        <v>355</v>
      </c>
      <c r="L9294">
        <v>8</v>
      </c>
      <c r="O9294" t="s">
        <v>30</v>
      </c>
      <c r="P9294" t="s">
        <v>50</v>
      </c>
      <c r="S9294" t="s">
        <v>31</v>
      </c>
      <c r="T9294" t="s">
        <v>12932</v>
      </c>
      <c r="U9294">
        <v>361.3</v>
      </c>
      <c r="V9294" s="3">
        <v>41726</v>
      </c>
    </row>
    <row r="9295" spans="1:22" x14ac:dyDescent="0.35">
      <c r="A9295" s="1">
        <v>42229.807962962965</v>
      </c>
      <c r="B9295" s="2">
        <v>4.6296296296296294E-5</v>
      </c>
      <c r="C9295" t="s">
        <v>6223</v>
      </c>
      <c r="D9295" t="s">
        <v>623</v>
      </c>
      <c r="E9295" t="s">
        <v>624</v>
      </c>
      <c r="F9295" t="s">
        <v>12934</v>
      </c>
      <c r="G9295">
        <v>2007651</v>
      </c>
      <c r="H9295" t="s">
        <v>526</v>
      </c>
      <c r="I9295" t="s">
        <v>69</v>
      </c>
      <c r="J9295" t="str">
        <f>"9780226259512"</f>
        <v>9780226259512</v>
      </c>
      <c r="K9295" t="s">
        <v>33</v>
      </c>
      <c r="L9295">
        <v>3</v>
      </c>
      <c r="O9295" t="s">
        <v>30</v>
      </c>
      <c r="P9295" t="s">
        <v>50</v>
      </c>
      <c r="S9295" t="s">
        <v>627</v>
      </c>
      <c r="T9295" t="s">
        <v>12935</v>
      </c>
      <c r="U9295">
        <v>378.00099999999998</v>
      </c>
      <c r="V9295" s="3">
        <v>42131</v>
      </c>
    </row>
    <row r="9296" spans="1:22" x14ac:dyDescent="0.35">
      <c r="A9296" s="1">
        <v>42229.805520833332</v>
      </c>
      <c r="B9296" s="2">
        <v>0</v>
      </c>
      <c r="C9296" t="s">
        <v>11157</v>
      </c>
      <c r="D9296" t="s">
        <v>360</v>
      </c>
      <c r="E9296" t="s">
        <v>361</v>
      </c>
      <c r="F9296" t="s">
        <v>12936</v>
      </c>
      <c r="G9296">
        <v>2077487</v>
      </c>
      <c r="H9296" t="s">
        <v>526</v>
      </c>
      <c r="I9296" t="s">
        <v>841</v>
      </c>
      <c r="J9296" t="str">
        <f>"9780226264530"</f>
        <v>9780226264530</v>
      </c>
      <c r="L9296">
        <v>0</v>
      </c>
      <c r="O9296" t="s">
        <v>28</v>
      </c>
      <c r="P9296" t="s">
        <v>47</v>
      </c>
      <c r="Q9296" s="1">
        <v>42229.805520833332</v>
      </c>
      <c r="R9296">
        <v>1</v>
      </c>
      <c r="S9296" t="s">
        <v>363</v>
      </c>
      <c r="T9296" t="s">
        <v>12937</v>
      </c>
      <c r="U9296" t="s">
        <v>12938</v>
      </c>
      <c r="V9296" s="3">
        <v>42219</v>
      </c>
    </row>
    <row r="9297" spans="1:22" x14ac:dyDescent="0.35">
      <c r="A9297" s="1">
        <v>42229.805520833332</v>
      </c>
      <c r="B9297" s="2">
        <v>0</v>
      </c>
      <c r="C9297" t="s">
        <v>11157</v>
      </c>
      <c r="D9297" t="s">
        <v>360</v>
      </c>
      <c r="E9297" t="s">
        <v>361</v>
      </c>
      <c r="F9297" t="s">
        <v>12936</v>
      </c>
      <c r="G9297">
        <v>2077487</v>
      </c>
      <c r="H9297" t="s">
        <v>526</v>
      </c>
      <c r="I9297" t="s">
        <v>841</v>
      </c>
      <c r="J9297" t="str">
        <f>"9780226264530"</f>
        <v>9780226264530</v>
      </c>
      <c r="L9297">
        <v>0</v>
      </c>
      <c r="O9297" t="s">
        <v>30</v>
      </c>
      <c r="P9297" t="s">
        <v>47</v>
      </c>
      <c r="Q9297" s="1">
        <v>42229.805520833332</v>
      </c>
      <c r="R9297">
        <v>1</v>
      </c>
      <c r="S9297" t="s">
        <v>363</v>
      </c>
      <c r="T9297" t="s">
        <v>12937</v>
      </c>
      <c r="U9297" t="s">
        <v>12938</v>
      </c>
      <c r="V9297" s="3">
        <v>42219</v>
      </c>
    </row>
    <row r="9298" spans="1:22" x14ac:dyDescent="0.35">
      <c r="A9298" s="1">
        <v>42229.803738425922</v>
      </c>
      <c r="B9298" s="2">
        <v>1.7708333333333332E-3</v>
      </c>
      <c r="C9298" t="s">
        <v>11157</v>
      </c>
      <c r="D9298" t="s">
        <v>360</v>
      </c>
      <c r="E9298" t="s">
        <v>361</v>
      </c>
      <c r="F9298" t="s">
        <v>12936</v>
      </c>
      <c r="G9298">
        <v>2077487</v>
      </c>
      <c r="H9298" t="s">
        <v>526</v>
      </c>
      <c r="I9298" t="s">
        <v>841</v>
      </c>
      <c r="J9298" t="str">
        <f>"9780226264530"</f>
        <v>9780226264530</v>
      </c>
      <c r="K9298" t="s">
        <v>611</v>
      </c>
      <c r="L9298">
        <v>3</v>
      </c>
      <c r="O9298" t="s">
        <v>30</v>
      </c>
      <c r="P9298" t="s">
        <v>50</v>
      </c>
      <c r="S9298" t="s">
        <v>363</v>
      </c>
      <c r="T9298" t="s">
        <v>12937</v>
      </c>
      <c r="U9298" t="s">
        <v>12938</v>
      </c>
      <c r="V9298" s="3">
        <v>42219</v>
      </c>
    </row>
    <row r="9299" spans="1:22" x14ac:dyDescent="0.35">
      <c r="A9299" s="1">
        <v>42229.750081018516</v>
      </c>
      <c r="B9299" s="2">
        <v>0</v>
      </c>
      <c r="C9299" t="s">
        <v>11157</v>
      </c>
      <c r="D9299" t="s">
        <v>360</v>
      </c>
      <c r="E9299" t="s">
        <v>361</v>
      </c>
      <c r="F9299" t="s">
        <v>1600</v>
      </c>
      <c r="G9299">
        <v>2058072</v>
      </c>
      <c r="H9299" t="s">
        <v>45</v>
      </c>
      <c r="I9299" t="s">
        <v>85</v>
      </c>
      <c r="J9299" t="str">
        <f>"9781472440501"</f>
        <v>9781472440501</v>
      </c>
      <c r="L9299">
        <v>0</v>
      </c>
      <c r="O9299" t="s">
        <v>28</v>
      </c>
      <c r="P9299" t="s">
        <v>47</v>
      </c>
      <c r="Q9299" s="1">
        <v>42229.750081018516</v>
      </c>
      <c r="R9299">
        <v>1</v>
      </c>
      <c r="S9299" t="s">
        <v>363</v>
      </c>
      <c r="T9299" t="s">
        <v>1603</v>
      </c>
      <c r="U9299">
        <v>304.80720000000002</v>
      </c>
      <c r="V9299" s="3">
        <v>42213</v>
      </c>
    </row>
    <row r="9300" spans="1:22" x14ac:dyDescent="0.35">
      <c r="A9300" s="1">
        <v>42229.750081018516</v>
      </c>
      <c r="B9300" s="2">
        <v>0</v>
      </c>
      <c r="C9300" t="s">
        <v>11157</v>
      </c>
      <c r="D9300" t="s">
        <v>360</v>
      </c>
      <c r="E9300" t="s">
        <v>361</v>
      </c>
      <c r="F9300" t="s">
        <v>1600</v>
      </c>
      <c r="G9300">
        <v>2058072</v>
      </c>
      <c r="H9300" t="s">
        <v>45</v>
      </c>
      <c r="I9300" t="s">
        <v>85</v>
      </c>
      <c r="J9300" t="str">
        <f>"9781472440501"</f>
        <v>9781472440501</v>
      </c>
      <c r="L9300">
        <v>0</v>
      </c>
      <c r="O9300" t="s">
        <v>30</v>
      </c>
      <c r="P9300" t="s">
        <v>47</v>
      </c>
      <c r="Q9300" s="1">
        <v>42229.750081018516</v>
      </c>
      <c r="R9300">
        <v>1</v>
      </c>
      <c r="S9300" t="s">
        <v>363</v>
      </c>
      <c r="T9300" t="s">
        <v>1603</v>
      </c>
      <c r="U9300">
        <v>304.80720000000002</v>
      </c>
      <c r="V9300" s="3">
        <v>42213</v>
      </c>
    </row>
    <row r="9301" spans="1:22" x14ac:dyDescent="0.35">
      <c r="A9301" s="1">
        <v>42229.749201388891</v>
      </c>
      <c r="B9301" s="2">
        <v>8.7962962962962962E-4</v>
      </c>
      <c r="C9301" t="s">
        <v>11157</v>
      </c>
      <c r="D9301" t="s">
        <v>360</v>
      </c>
      <c r="E9301" t="s">
        <v>361</v>
      </c>
      <c r="F9301" t="s">
        <v>1600</v>
      </c>
      <c r="G9301">
        <v>2058072</v>
      </c>
      <c r="H9301" t="s">
        <v>45</v>
      </c>
      <c r="I9301" t="s">
        <v>85</v>
      </c>
      <c r="J9301" t="str">
        <f>"9781472440501"</f>
        <v>9781472440501</v>
      </c>
      <c r="K9301" t="s">
        <v>33</v>
      </c>
      <c r="L9301">
        <v>3</v>
      </c>
      <c r="O9301" t="s">
        <v>30</v>
      </c>
      <c r="P9301" t="s">
        <v>50</v>
      </c>
      <c r="S9301" t="s">
        <v>363</v>
      </c>
      <c r="T9301" t="s">
        <v>1603</v>
      </c>
      <c r="U9301">
        <v>304.80720000000002</v>
      </c>
      <c r="V9301" s="3">
        <v>42213</v>
      </c>
    </row>
    <row r="9302" spans="1:22" x14ac:dyDescent="0.35">
      <c r="A9302" s="1">
        <v>42229.747916666667</v>
      </c>
      <c r="B9302" s="2">
        <v>0</v>
      </c>
      <c r="C9302" t="s">
        <v>11157</v>
      </c>
      <c r="D9302" t="s">
        <v>360</v>
      </c>
      <c r="E9302" t="s">
        <v>361</v>
      </c>
      <c r="F9302" t="s">
        <v>12939</v>
      </c>
      <c r="G9302">
        <v>2058086</v>
      </c>
      <c r="H9302" t="s">
        <v>45</v>
      </c>
      <c r="I9302" t="s">
        <v>267</v>
      </c>
      <c r="J9302" t="str">
        <f>"9781472452474"</f>
        <v>9781472452474</v>
      </c>
      <c r="L9302">
        <v>0</v>
      </c>
      <c r="O9302" t="s">
        <v>28</v>
      </c>
      <c r="P9302" t="s">
        <v>47</v>
      </c>
      <c r="Q9302" s="1">
        <v>42229.747916666667</v>
      </c>
      <c r="R9302">
        <v>1</v>
      </c>
      <c r="S9302" t="s">
        <v>363</v>
      </c>
      <c r="T9302" t="s">
        <v>12940</v>
      </c>
      <c r="U9302">
        <v>304.8</v>
      </c>
      <c r="V9302" s="3">
        <v>42213</v>
      </c>
    </row>
    <row r="9303" spans="1:22" x14ac:dyDescent="0.35">
      <c r="A9303" s="1">
        <v>42229.747916666667</v>
      </c>
      <c r="B9303" s="2">
        <v>0</v>
      </c>
      <c r="C9303" t="s">
        <v>11157</v>
      </c>
      <c r="D9303" t="s">
        <v>360</v>
      </c>
      <c r="E9303" t="s">
        <v>361</v>
      </c>
      <c r="F9303" t="s">
        <v>12939</v>
      </c>
      <c r="G9303">
        <v>2058086</v>
      </c>
      <c r="H9303" t="s">
        <v>45</v>
      </c>
      <c r="I9303" t="s">
        <v>267</v>
      </c>
      <c r="J9303" t="str">
        <f>"9781472452474"</f>
        <v>9781472452474</v>
      </c>
      <c r="L9303">
        <v>0</v>
      </c>
      <c r="O9303" t="s">
        <v>30</v>
      </c>
      <c r="P9303" t="s">
        <v>47</v>
      </c>
      <c r="Q9303" s="1">
        <v>42229.747916666667</v>
      </c>
      <c r="R9303">
        <v>1</v>
      </c>
      <c r="S9303" t="s">
        <v>363</v>
      </c>
      <c r="T9303" t="s">
        <v>12940</v>
      </c>
      <c r="U9303">
        <v>304.8</v>
      </c>
      <c r="V9303" s="3">
        <v>42213</v>
      </c>
    </row>
    <row r="9304" spans="1:22" x14ac:dyDescent="0.35">
      <c r="A9304" s="1">
        <v>42229.747523148151</v>
      </c>
      <c r="B9304" s="2">
        <v>3.9351851851851852E-4</v>
      </c>
      <c r="C9304" t="s">
        <v>11157</v>
      </c>
      <c r="D9304" t="s">
        <v>360</v>
      </c>
      <c r="E9304" t="s">
        <v>361</v>
      </c>
      <c r="F9304" t="s">
        <v>12939</v>
      </c>
      <c r="G9304">
        <v>2058086</v>
      </c>
      <c r="H9304" t="s">
        <v>45</v>
      </c>
      <c r="I9304" t="s">
        <v>267</v>
      </c>
      <c r="J9304" t="str">
        <f>"9781472452474"</f>
        <v>9781472452474</v>
      </c>
      <c r="K9304" t="s">
        <v>33</v>
      </c>
      <c r="L9304">
        <v>3</v>
      </c>
      <c r="O9304" t="s">
        <v>30</v>
      </c>
      <c r="P9304" t="s">
        <v>50</v>
      </c>
      <c r="S9304" t="s">
        <v>363</v>
      </c>
      <c r="T9304" t="s">
        <v>12940</v>
      </c>
      <c r="U9304">
        <v>304.8</v>
      </c>
      <c r="V9304" s="3">
        <v>42213</v>
      </c>
    </row>
    <row r="9305" spans="1:22" x14ac:dyDescent="0.35">
      <c r="A9305" s="1">
        <v>42229.742442129631</v>
      </c>
      <c r="B9305" s="2">
        <v>0</v>
      </c>
      <c r="C9305" t="s">
        <v>11157</v>
      </c>
      <c r="D9305" t="s">
        <v>360</v>
      </c>
      <c r="E9305" t="s">
        <v>361</v>
      </c>
      <c r="F9305" t="s">
        <v>12941</v>
      </c>
      <c r="G9305">
        <v>1742944</v>
      </c>
      <c r="H9305" t="s">
        <v>84</v>
      </c>
      <c r="I9305" t="s">
        <v>150</v>
      </c>
      <c r="J9305" t="str">
        <f>"9780520960947"</f>
        <v>9780520960947</v>
      </c>
      <c r="L9305">
        <v>0</v>
      </c>
      <c r="O9305" t="s">
        <v>28</v>
      </c>
      <c r="P9305" t="s">
        <v>47</v>
      </c>
      <c r="Q9305" s="1">
        <v>42229.738564814812</v>
      </c>
      <c r="R9305">
        <v>1</v>
      </c>
      <c r="S9305" t="s">
        <v>363</v>
      </c>
      <c r="T9305" t="s">
        <v>12942</v>
      </c>
      <c r="U9305">
        <v>791.43023309199998</v>
      </c>
      <c r="V9305" s="3">
        <v>42014</v>
      </c>
    </row>
    <row r="9306" spans="1:22" x14ac:dyDescent="0.35">
      <c r="A9306" s="1">
        <v>42229.741261574076</v>
      </c>
      <c r="B9306" s="2">
        <v>1.6203703703703703E-4</v>
      </c>
      <c r="C9306" t="s">
        <v>11157</v>
      </c>
      <c r="D9306" t="s">
        <v>360</v>
      </c>
      <c r="E9306" t="s">
        <v>361</v>
      </c>
      <c r="F9306" t="s">
        <v>12941</v>
      </c>
      <c r="G9306">
        <v>1742944</v>
      </c>
      <c r="H9306" t="s">
        <v>84</v>
      </c>
      <c r="I9306" t="s">
        <v>150</v>
      </c>
      <c r="J9306" t="str">
        <f>"9780520960947"</f>
        <v>9780520960947</v>
      </c>
      <c r="K9306" t="s">
        <v>33</v>
      </c>
      <c r="L9306">
        <v>3</v>
      </c>
      <c r="O9306" t="s">
        <v>30</v>
      </c>
      <c r="P9306" t="s">
        <v>47</v>
      </c>
      <c r="Q9306" s="1">
        <v>42229.738564814812</v>
      </c>
      <c r="R9306">
        <v>1</v>
      </c>
      <c r="S9306" t="s">
        <v>363</v>
      </c>
      <c r="T9306" t="s">
        <v>12942</v>
      </c>
      <c r="U9306">
        <v>791.43023309199998</v>
      </c>
      <c r="V9306" s="3">
        <v>42014</v>
      </c>
    </row>
    <row r="9307" spans="1:22" x14ac:dyDescent="0.35">
      <c r="A9307" s="1">
        <v>42229.740879629629</v>
      </c>
      <c r="B9307" s="2">
        <v>0</v>
      </c>
      <c r="C9307" t="s">
        <v>11157</v>
      </c>
      <c r="D9307" t="s">
        <v>360</v>
      </c>
      <c r="E9307" t="s">
        <v>361</v>
      </c>
      <c r="F9307" t="s">
        <v>12943</v>
      </c>
      <c r="G9307">
        <v>1826903</v>
      </c>
      <c r="H9307" t="s">
        <v>84</v>
      </c>
      <c r="I9307" t="s">
        <v>150</v>
      </c>
      <c r="J9307" t="str">
        <f>"9780520960398"</f>
        <v>9780520960398</v>
      </c>
      <c r="L9307">
        <v>0</v>
      </c>
      <c r="O9307" t="s">
        <v>28</v>
      </c>
      <c r="P9307" t="s">
        <v>47</v>
      </c>
      <c r="Q9307" s="1">
        <v>42229.740879629629</v>
      </c>
      <c r="R9307">
        <v>1</v>
      </c>
      <c r="S9307" t="s">
        <v>363</v>
      </c>
      <c r="T9307" t="s">
        <v>12944</v>
      </c>
      <c r="U9307">
        <v>791.43023309199998</v>
      </c>
      <c r="V9307" s="3">
        <v>41983</v>
      </c>
    </row>
    <row r="9308" spans="1:22" x14ac:dyDescent="0.35">
      <c r="A9308" s="1">
        <v>42229.740879629629</v>
      </c>
      <c r="B9308" s="2">
        <v>0</v>
      </c>
      <c r="C9308" t="s">
        <v>11157</v>
      </c>
      <c r="D9308" t="s">
        <v>360</v>
      </c>
      <c r="E9308" t="s">
        <v>361</v>
      </c>
      <c r="F9308" t="s">
        <v>12943</v>
      </c>
      <c r="G9308">
        <v>1826903</v>
      </c>
      <c r="H9308" t="s">
        <v>84</v>
      </c>
      <c r="I9308" t="s">
        <v>150</v>
      </c>
      <c r="J9308" t="str">
        <f>"9780520960398"</f>
        <v>9780520960398</v>
      </c>
      <c r="L9308">
        <v>0</v>
      </c>
      <c r="O9308" t="s">
        <v>30</v>
      </c>
      <c r="P9308" t="s">
        <v>47</v>
      </c>
      <c r="Q9308" s="1">
        <v>42229.740879629629</v>
      </c>
      <c r="R9308">
        <v>1</v>
      </c>
      <c r="S9308" t="s">
        <v>363</v>
      </c>
      <c r="T9308" t="s">
        <v>12944</v>
      </c>
      <c r="U9308">
        <v>791.43023309199998</v>
      </c>
      <c r="V9308" s="3">
        <v>41983</v>
      </c>
    </row>
    <row r="9309" spans="1:22" x14ac:dyDescent="0.35">
      <c r="A9309" s="1">
        <v>42229.740474537037</v>
      </c>
      <c r="B9309" s="2">
        <v>4.0509259259259258E-4</v>
      </c>
      <c r="C9309" t="s">
        <v>11157</v>
      </c>
      <c r="D9309" t="s">
        <v>360</v>
      </c>
      <c r="E9309" t="s">
        <v>361</v>
      </c>
      <c r="F9309" t="s">
        <v>12943</v>
      </c>
      <c r="G9309">
        <v>1826903</v>
      </c>
      <c r="H9309" t="s">
        <v>84</v>
      </c>
      <c r="I9309" t="s">
        <v>150</v>
      </c>
      <c r="J9309" t="str">
        <f>"9780520960398"</f>
        <v>9780520960398</v>
      </c>
      <c r="K9309" t="s">
        <v>33</v>
      </c>
      <c r="L9309">
        <v>3</v>
      </c>
      <c r="O9309" t="s">
        <v>30</v>
      </c>
      <c r="P9309" t="s">
        <v>50</v>
      </c>
      <c r="S9309" t="s">
        <v>363</v>
      </c>
      <c r="T9309" t="s">
        <v>12944</v>
      </c>
      <c r="U9309">
        <v>791.43023309199998</v>
      </c>
      <c r="V9309" s="3">
        <v>41983</v>
      </c>
    </row>
    <row r="9310" spans="1:22" x14ac:dyDescent="0.35">
      <c r="A9310" s="1">
        <v>42229.738564814812</v>
      </c>
      <c r="B9310" s="2">
        <v>0</v>
      </c>
      <c r="C9310" t="s">
        <v>11157</v>
      </c>
      <c r="D9310" t="s">
        <v>360</v>
      </c>
      <c r="E9310" t="s">
        <v>361</v>
      </c>
      <c r="F9310" t="s">
        <v>12941</v>
      </c>
      <c r="G9310">
        <v>1742944</v>
      </c>
      <c r="H9310" t="s">
        <v>84</v>
      </c>
      <c r="I9310" t="s">
        <v>150</v>
      </c>
      <c r="J9310" t="str">
        <f>"9780520960947"</f>
        <v>9780520960947</v>
      </c>
      <c r="L9310">
        <v>0</v>
      </c>
      <c r="O9310" t="s">
        <v>28</v>
      </c>
      <c r="P9310" t="s">
        <v>47</v>
      </c>
      <c r="Q9310" s="1">
        <v>42229.738564814812</v>
      </c>
      <c r="R9310">
        <v>1</v>
      </c>
      <c r="S9310" t="s">
        <v>363</v>
      </c>
      <c r="T9310" t="s">
        <v>12942</v>
      </c>
      <c r="U9310">
        <v>791.43023309199998</v>
      </c>
      <c r="V9310" s="3">
        <v>42014</v>
      </c>
    </row>
    <row r="9311" spans="1:22" x14ac:dyDescent="0.35">
      <c r="A9311" s="1">
        <v>42229.738564814812</v>
      </c>
      <c r="B9311" s="2">
        <v>0</v>
      </c>
      <c r="C9311" t="s">
        <v>11157</v>
      </c>
      <c r="D9311" t="s">
        <v>360</v>
      </c>
      <c r="E9311" t="s">
        <v>361</v>
      </c>
      <c r="F9311" t="s">
        <v>12941</v>
      </c>
      <c r="G9311">
        <v>1742944</v>
      </c>
      <c r="H9311" t="s">
        <v>84</v>
      </c>
      <c r="I9311" t="s">
        <v>150</v>
      </c>
      <c r="J9311" t="str">
        <f>"9780520960947"</f>
        <v>9780520960947</v>
      </c>
      <c r="L9311">
        <v>0</v>
      </c>
      <c r="O9311" t="s">
        <v>30</v>
      </c>
      <c r="P9311" t="s">
        <v>47</v>
      </c>
      <c r="Q9311" s="1">
        <v>42229.738564814812</v>
      </c>
      <c r="R9311">
        <v>1</v>
      </c>
      <c r="S9311" t="s">
        <v>363</v>
      </c>
      <c r="T9311" t="s">
        <v>12942</v>
      </c>
      <c r="U9311">
        <v>791.43023309199998</v>
      </c>
      <c r="V9311" s="3">
        <v>42014</v>
      </c>
    </row>
    <row r="9312" spans="1:22" x14ac:dyDescent="0.35">
      <c r="A9312" s="1">
        <v>42229.737997685188</v>
      </c>
      <c r="B9312" s="2">
        <v>5.6712962962962956E-4</v>
      </c>
      <c r="C9312" t="s">
        <v>11157</v>
      </c>
      <c r="D9312" t="s">
        <v>360</v>
      </c>
      <c r="E9312" t="s">
        <v>361</v>
      </c>
      <c r="F9312" t="s">
        <v>12941</v>
      </c>
      <c r="G9312">
        <v>1742944</v>
      </c>
      <c r="H9312" t="s">
        <v>84</v>
      </c>
      <c r="I9312" t="s">
        <v>150</v>
      </c>
      <c r="J9312" t="str">
        <f>"9780520960947"</f>
        <v>9780520960947</v>
      </c>
      <c r="K9312" t="s">
        <v>33</v>
      </c>
      <c r="L9312">
        <v>3</v>
      </c>
      <c r="O9312" t="s">
        <v>30</v>
      </c>
      <c r="P9312" t="s">
        <v>50</v>
      </c>
      <c r="S9312" t="s">
        <v>363</v>
      </c>
      <c r="T9312" t="s">
        <v>12942</v>
      </c>
      <c r="U9312">
        <v>791.43023309199998</v>
      </c>
      <c r="V9312" s="3">
        <v>42014</v>
      </c>
    </row>
    <row r="9313" spans="1:22" x14ac:dyDescent="0.35">
      <c r="A9313" s="1">
        <v>42229.726284722223</v>
      </c>
      <c r="B9313" s="2">
        <v>0</v>
      </c>
      <c r="C9313" t="s">
        <v>11157</v>
      </c>
      <c r="D9313" t="s">
        <v>360</v>
      </c>
      <c r="E9313" t="s">
        <v>361</v>
      </c>
      <c r="F9313" t="s">
        <v>12945</v>
      </c>
      <c r="G9313">
        <v>1887318</v>
      </c>
      <c r="H9313" t="s">
        <v>45</v>
      </c>
      <c r="I9313" t="s">
        <v>578</v>
      </c>
      <c r="J9313" t="str">
        <f>"9781409438649"</f>
        <v>9781409438649</v>
      </c>
      <c r="L9313">
        <v>0</v>
      </c>
      <c r="O9313" t="s">
        <v>28</v>
      </c>
      <c r="P9313" t="s">
        <v>47</v>
      </c>
      <c r="Q9313" s="1">
        <v>42229.726284722223</v>
      </c>
      <c r="R9313">
        <v>1</v>
      </c>
      <c r="S9313" t="s">
        <v>363</v>
      </c>
      <c r="T9313" t="s">
        <v>12946</v>
      </c>
      <c r="U9313">
        <v>301.01</v>
      </c>
      <c r="V9313" s="3">
        <v>42063</v>
      </c>
    </row>
    <row r="9314" spans="1:22" x14ac:dyDescent="0.35">
      <c r="A9314" s="1">
        <v>42229.726284722223</v>
      </c>
      <c r="B9314" s="2">
        <v>0</v>
      </c>
      <c r="C9314" t="s">
        <v>11157</v>
      </c>
      <c r="D9314" t="s">
        <v>360</v>
      </c>
      <c r="E9314" t="s">
        <v>361</v>
      </c>
      <c r="F9314" t="s">
        <v>12945</v>
      </c>
      <c r="G9314">
        <v>1887318</v>
      </c>
      <c r="H9314" t="s">
        <v>45</v>
      </c>
      <c r="I9314" t="s">
        <v>578</v>
      </c>
      <c r="J9314" t="str">
        <f>"9781409438649"</f>
        <v>9781409438649</v>
      </c>
      <c r="L9314">
        <v>0</v>
      </c>
      <c r="O9314" t="s">
        <v>30</v>
      </c>
      <c r="P9314" t="s">
        <v>47</v>
      </c>
      <c r="Q9314" s="1">
        <v>42229.726284722223</v>
      </c>
      <c r="R9314">
        <v>1</v>
      </c>
      <c r="S9314" t="s">
        <v>363</v>
      </c>
      <c r="T9314" t="s">
        <v>12946</v>
      </c>
      <c r="U9314">
        <v>301.01</v>
      </c>
      <c r="V9314" s="3">
        <v>42063</v>
      </c>
    </row>
    <row r="9315" spans="1:22" x14ac:dyDescent="0.35">
      <c r="A9315" s="1">
        <v>42229.725775462961</v>
      </c>
      <c r="B9315" s="2">
        <v>5.0925925925925921E-4</v>
      </c>
      <c r="C9315" t="s">
        <v>11157</v>
      </c>
      <c r="D9315" t="s">
        <v>360</v>
      </c>
      <c r="E9315" t="s">
        <v>361</v>
      </c>
      <c r="F9315" t="s">
        <v>12945</v>
      </c>
      <c r="G9315">
        <v>1887318</v>
      </c>
      <c r="H9315" t="s">
        <v>45</v>
      </c>
      <c r="I9315" t="s">
        <v>578</v>
      </c>
      <c r="J9315" t="str">
        <f>"9781409438649"</f>
        <v>9781409438649</v>
      </c>
      <c r="K9315" t="s">
        <v>33</v>
      </c>
      <c r="L9315">
        <v>3</v>
      </c>
      <c r="O9315" t="s">
        <v>30</v>
      </c>
      <c r="P9315" t="s">
        <v>50</v>
      </c>
      <c r="S9315" t="s">
        <v>363</v>
      </c>
      <c r="T9315" t="s">
        <v>12946</v>
      </c>
      <c r="U9315">
        <v>301.01</v>
      </c>
      <c r="V9315" s="3">
        <v>42063</v>
      </c>
    </row>
    <row r="9316" spans="1:22" x14ac:dyDescent="0.35">
      <c r="A9316" s="1">
        <v>42229.716180555559</v>
      </c>
      <c r="B9316" s="2">
        <v>3.3912037037037036E-3</v>
      </c>
      <c r="C9316" t="s">
        <v>12947</v>
      </c>
      <c r="D9316" t="s">
        <v>23</v>
      </c>
      <c r="E9316" t="s">
        <v>24</v>
      </c>
      <c r="F9316" t="s">
        <v>12045</v>
      </c>
      <c r="G9316">
        <v>1760718</v>
      </c>
      <c r="H9316" t="s">
        <v>91</v>
      </c>
      <c r="I9316" t="s">
        <v>247</v>
      </c>
      <c r="J9316" t="str">
        <f>"9781462517848"</f>
        <v>9781462517848</v>
      </c>
      <c r="K9316" t="s">
        <v>12948</v>
      </c>
      <c r="L9316">
        <v>29</v>
      </c>
      <c r="O9316" t="s">
        <v>30</v>
      </c>
      <c r="P9316" t="s">
        <v>42</v>
      </c>
      <c r="S9316" t="s">
        <v>31</v>
      </c>
      <c r="T9316" t="s">
        <v>12046</v>
      </c>
      <c r="U9316">
        <v>618.92849999999999</v>
      </c>
      <c r="V9316" s="3">
        <v>42019</v>
      </c>
    </row>
    <row r="9317" spans="1:22" x14ac:dyDescent="0.35">
      <c r="A9317" s="1">
        <v>42229.705266203702</v>
      </c>
      <c r="B9317" s="2">
        <v>0</v>
      </c>
      <c r="C9317" t="s">
        <v>11157</v>
      </c>
      <c r="D9317" t="s">
        <v>360</v>
      </c>
      <c r="E9317" t="s">
        <v>361</v>
      </c>
      <c r="F9317" t="s">
        <v>4594</v>
      </c>
      <c r="G9317">
        <v>1872281</v>
      </c>
      <c r="H9317" t="s">
        <v>91</v>
      </c>
      <c r="I9317" t="s">
        <v>2133</v>
      </c>
      <c r="J9317" t="str">
        <f>"9781462519606"</f>
        <v>9781462519606</v>
      </c>
      <c r="L9317">
        <v>0</v>
      </c>
      <c r="O9317" t="s">
        <v>28</v>
      </c>
      <c r="P9317" t="s">
        <v>47</v>
      </c>
      <c r="Q9317" s="1">
        <v>42229.705266203702</v>
      </c>
      <c r="R9317">
        <v>1</v>
      </c>
      <c r="S9317" t="s">
        <v>363</v>
      </c>
      <c r="T9317" t="s">
        <v>4596</v>
      </c>
      <c r="U9317">
        <v>378.101</v>
      </c>
      <c r="V9317" s="3">
        <v>42150</v>
      </c>
    </row>
    <row r="9318" spans="1:22" x14ac:dyDescent="0.35">
      <c r="A9318" s="1">
        <v>42229.705266203702</v>
      </c>
      <c r="B9318" s="2">
        <v>0</v>
      </c>
      <c r="C9318" t="s">
        <v>11157</v>
      </c>
      <c r="D9318" t="s">
        <v>360</v>
      </c>
      <c r="E9318" t="s">
        <v>361</v>
      </c>
      <c r="F9318" t="s">
        <v>4594</v>
      </c>
      <c r="G9318">
        <v>1872281</v>
      </c>
      <c r="H9318" t="s">
        <v>91</v>
      </c>
      <c r="I9318" t="s">
        <v>2133</v>
      </c>
      <c r="J9318" t="str">
        <f>"9781462519606"</f>
        <v>9781462519606</v>
      </c>
      <c r="L9318">
        <v>0</v>
      </c>
      <c r="O9318" t="s">
        <v>30</v>
      </c>
      <c r="P9318" t="s">
        <v>47</v>
      </c>
      <c r="Q9318" s="1">
        <v>42229.705266203702</v>
      </c>
      <c r="R9318">
        <v>1</v>
      </c>
      <c r="S9318" t="s">
        <v>363</v>
      </c>
      <c r="T9318" t="s">
        <v>4596</v>
      </c>
      <c r="U9318">
        <v>378.101</v>
      </c>
      <c r="V9318" s="3">
        <v>42150</v>
      </c>
    </row>
    <row r="9319" spans="1:22" x14ac:dyDescent="0.35">
      <c r="A9319" s="1">
        <v>42229.704513888886</v>
      </c>
      <c r="B9319" s="2">
        <v>7.5231481481481471E-4</v>
      </c>
      <c r="C9319" t="s">
        <v>11157</v>
      </c>
      <c r="D9319" t="s">
        <v>360</v>
      </c>
      <c r="E9319" t="s">
        <v>361</v>
      </c>
      <c r="F9319" t="s">
        <v>4594</v>
      </c>
      <c r="G9319">
        <v>1872281</v>
      </c>
      <c r="H9319" t="s">
        <v>91</v>
      </c>
      <c r="I9319" t="s">
        <v>2133</v>
      </c>
      <c r="J9319" t="str">
        <f>"9781462519606"</f>
        <v>9781462519606</v>
      </c>
      <c r="K9319" t="s">
        <v>33</v>
      </c>
      <c r="L9319">
        <v>3</v>
      </c>
      <c r="O9319" t="s">
        <v>30</v>
      </c>
      <c r="P9319" t="s">
        <v>50</v>
      </c>
      <c r="S9319" t="s">
        <v>363</v>
      </c>
      <c r="T9319" t="s">
        <v>4596</v>
      </c>
      <c r="U9319">
        <v>378.101</v>
      </c>
      <c r="V9319" s="3">
        <v>42150</v>
      </c>
    </row>
    <row r="9320" spans="1:22" x14ac:dyDescent="0.35">
      <c r="A9320" s="1">
        <v>42229.684733796297</v>
      </c>
      <c r="B9320" s="2">
        <v>3.4722222222222222E-5</v>
      </c>
      <c r="C9320" t="s">
        <v>2325</v>
      </c>
      <c r="D9320" t="s">
        <v>623</v>
      </c>
      <c r="E9320" t="s">
        <v>624</v>
      </c>
      <c r="F9320" t="s">
        <v>12949</v>
      </c>
      <c r="G9320">
        <v>2004810</v>
      </c>
      <c r="H9320" t="s">
        <v>45</v>
      </c>
      <c r="I9320" t="s">
        <v>120</v>
      </c>
      <c r="J9320" t="str">
        <f>"9781472445551"</f>
        <v>9781472445551</v>
      </c>
      <c r="K9320" t="s">
        <v>33</v>
      </c>
      <c r="L9320">
        <v>3</v>
      </c>
      <c r="O9320" t="s">
        <v>30</v>
      </c>
      <c r="P9320" t="s">
        <v>50</v>
      </c>
      <c r="S9320" t="s">
        <v>627</v>
      </c>
      <c r="T9320" t="s">
        <v>12950</v>
      </c>
      <c r="U9320" t="s">
        <v>12951</v>
      </c>
      <c r="V9320" s="3">
        <v>42122</v>
      </c>
    </row>
    <row r="9321" spans="1:22" x14ac:dyDescent="0.35">
      <c r="A9321" s="1">
        <v>42229.656539351854</v>
      </c>
      <c r="B9321" s="2">
        <v>1.0416666666666667E-3</v>
      </c>
      <c r="C9321" t="s">
        <v>12947</v>
      </c>
      <c r="D9321" t="s">
        <v>23</v>
      </c>
      <c r="E9321" t="s">
        <v>24</v>
      </c>
      <c r="F9321" t="s">
        <v>9791</v>
      </c>
      <c r="G9321">
        <v>1938147</v>
      </c>
      <c r="H9321" t="s">
        <v>91</v>
      </c>
      <c r="I9321" t="s">
        <v>247</v>
      </c>
      <c r="J9321" t="str">
        <f>"9781462520695"</f>
        <v>9781462520695</v>
      </c>
      <c r="K9321" t="s">
        <v>12952</v>
      </c>
      <c r="L9321">
        <v>11</v>
      </c>
      <c r="O9321" t="s">
        <v>30</v>
      </c>
      <c r="P9321" t="s">
        <v>50</v>
      </c>
      <c r="S9321" t="s">
        <v>31</v>
      </c>
      <c r="T9321" t="s">
        <v>9793</v>
      </c>
      <c r="U9321">
        <v>616.85260600000004</v>
      </c>
      <c r="V9321" s="3">
        <v>42005</v>
      </c>
    </row>
    <row r="9322" spans="1:22" x14ac:dyDescent="0.35">
      <c r="A9322" s="1">
        <v>42229.033506944441</v>
      </c>
      <c r="B9322" s="2">
        <v>4.8032407407407407E-3</v>
      </c>
      <c r="C9322" t="s">
        <v>12953</v>
      </c>
      <c r="D9322" t="s">
        <v>1222</v>
      </c>
      <c r="E9322" t="s">
        <v>1223</v>
      </c>
      <c r="F9322" t="s">
        <v>840</v>
      </c>
      <c r="G9322">
        <v>1166311</v>
      </c>
      <c r="H9322" t="s">
        <v>26</v>
      </c>
      <c r="I9322" t="s">
        <v>841</v>
      </c>
      <c r="J9322" t="str">
        <f>"9781118525616"</f>
        <v>9781118525616</v>
      </c>
      <c r="K9322" t="s">
        <v>12954</v>
      </c>
      <c r="L9322">
        <v>15</v>
      </c>
      <c r="O9322" t="s">
        <v>30</v>
      </c>
      <c r="P9322" t="s">
        <v>42</v>
      </c>
      <c r="S9322" t="s">
        <v>1226</v>
      </c>
      <c r="T9322" t="s">
        <v>842</v>
      </c>
      <c r="U9322">
        <v>355.00700000000001</v>
      </c>
      <c r="V9322" s="3">
        <v>41366</v>
      </c>
    </row>
    <row r="9323" spans="1:22" x14ac:dyDescent="0.35">
      <c r="A9323" s="1">
        <v>42228.913946759261</v>
      </c>
      <c r="B9323" s="2">
        <v>2.4305555555555552E-4</v>
      </c>
      <c r="C9323" t="s">
        <v>3059</v>
      </c>
      <c r="D9323" t="s">
        <v>23</v>
      </c>
      <c r="E9323" t="s">
        <v>24</v>
      </c>
      <c r="F9323" t="s">
        <v>3060</v>
      </c>
      <c r="G9323">
        <v>1120279</v>
      </c>
      <c r="H9323" t="s">
        <v>26</v>
      </c>
      <c r="I9323" t="s">
        <v>3061</v>
      </c>
      <c r="J9323" t="str">
        <f>"9781118537671"</f>
        <v>9781118537671</v>
      </c>
      <c r="K9323" t="s">
        <v>12955</v>
      </c>
      <c r="L9323">
        <v>4</v>
      </c>
      <c r="O9323" t="s">
        <v>30</v>
      </c>
      <c r="P9323" t="s">
        <v>29</v>
      </c>
      <c r="Q9323" s="1">
        <v>42228.913946759261</v>
      </c>
      <c r="R9323">
        <v>7</v>
      </c>
      <c r="S9323" t="s">
        <v>31</v>
      </c>
      <c r="T9323" t="s">
        <v>3063</v>
      </c>
      <c r="U9323">
        <v>599.93499999999995</v>
      </c>
      <c r="V9323" s="3">
        <v>41232</v>
      </c>
    </row>
    <row r="9324" spans="1:22" x14ac:dyDescent="0.35">
      <c r="A9324" s="1">
        <v>42228.904166666667</v>
      </c>
      <c r="B9324" s="2">
        <v>9.780092592592592E-3</v>
      </c>
      <c r="C9324" t="s">
        <v>3059</v>
      </c>
      <c r="D9324" t="s">
        <v>23</v>
      </c>
      <c r="E9324" t="s">
        <v>24</v>
      </c>
      <c r="F9324" t="s">
        <v>3060</v>
      </c>
      <c r="G9324">
        <v>1120279</v>
      </c>
      <c r="H9324" t="s">
        <v>26</v>
      </c>
      <c r="I9324" t="s">
        <v>3061</v>
      </c>
      <c r="J9324" t="str">
        <f>"9781118537671"</f>
        <v>9781118537671</v>
      </c>
      <c r="K9324" t="s">
        <v>2353</v>
      </c>
      <c r="L9324">
        <v>13</v>
      </c>
      <c r="O9324" t="s">
        <v>30</v>
      </c>
      <c r="P9324" t="s">
        <v>42</v>
      </c>
      <c r="S9324" t="s">
        <v>31</v>
      </c>
      <c r="T9324" t="s">
        <v>3063</v>
      </c>
      <c r="U9324">
        <v>599.93499999999995</v>
      </c>
      <c r="V9324" s="3">
        <v>41232</v>
      </c>
    </row>
    <row r="9325" spans="1:22" x14ac:dyDescent="0.35">
      <c r="A9325" s="1">
        <v>42228.816377314812</v>
      </c>
      <c r="B9325" s="2">
        <v>1.511574074074074E-2</v>
      </c>
      <c r="C9325" t="s">
        <v>12785</v>
      </c>
      <c r="D9325" t="s">
        <v>23</v>
      </c>
      <c r="E9325" t="s">
        <v>24</v>
      </c>
      <c r="F9325" t="s">
        <v>12786</v>
      </c>
      <c r="G9325">
        <v>1742842</v>
      </c>
      <c r="H9325" t="s">
        <v>91</v>
      </c>
      <c r="I9325" t="s">
        <v>69</v>
      </c>
      <c r="J9325" t="str">
        <f>"9781462516810"</f>
        <v>9781462516810</v>
      </c>
      <c r="K9325" t="s">
        <v>12956</v>
      </c>
      <c r="L9325">
        <v>26</v>
      </c>
      <c r="O9325" t="s">
        <v>30</v>
      </c>
      <c r="P9325" t="s">
        <v>47</v>
      </c>
      <c r="Q9325" s="1">
        <v>42228.816377314812</v>
      </c>
      <c r="R9325">
        <v>1</v>
      </c>
      <c r="S9325" t="s">
        <v>31</v>
      </c>
      <c r="T9325" t="s">
        <v>12788</v>
      </c>
      <c r="U9325">
        <v>371.93</v>
      </c>
      <c r="V9325" s="3">
        <v>41933</v>
      </c>
    </row>
    <row r="9326" spans="1:22" x14ac:dyDescent="0.35">
      <c r="A9326" s="1">
        <v>42228.809537037036</v>
      </c>
      <c r="B9326" s="2">
        <v>6.8402777777777776E-3</v>
      </c>
      <c r="C9326" t="s">
        <v>12785</v>
      </c>
      <c r="D9326" t="s">
        <v>23</v>
      </c>
      <c r="E9326" t="s">
        <v>24</v>
      </c>
      <c r="F9326" t="s">
        <v>12786</v>
      </c>
      <c r="G9326">
        <v>1742842</v>
      </c>
      <c r="H9326" t="s">
        <v>91</v>
      </c>
      <c r="I9326" t="s">
        <v>69</v>
      </c>
      <c r="J9326" t="str">
        <f>"9781462516810"</f>
        <v>9781462516810</v>
      </c>
      <c r="K9326" t="s">
        <v>12957</v>
      </c>
      <c r="L9326">
        <v>9</v>
      </c>
      <c r="O9326" t="s">
        <v>30</v>
      </c>
      <c r="P9326" t="s">
        <v>50</v>
      </c>
      <c r="S9326" t="s">
        <v>31</v>
      </c>
      <c r="T9326" t="s">
        <v>12788</v>
      </c>
      <c r="U9326">
        <v>371.93</v>
      </c>
      <c r="V9326" s="3">
        <v>41933</v>
      </c>
    </row>
    <row r="9327" spans="1:22" x14ac:dyDescent="0.35">
      <c r="A9327" s="1">
        <v>42228.770162037035</v>
      </c>
      <c r="B9327" s="2">
        <v>2.5000000000000001E-3</v>
      </c>
      <c r="C9327" t="s">
        <v>10119</v>
      </c>
      <c r="D9327" t="s">
        <v>360</v>
      </c>
      <c r="E9327" t="s">
        <v>361</v>
      </c>
      <c r="F9327" t="s">
        <v>5350</v>
      </c>
      <c r="G9327">
        <v>1823006</v>
      </c>
      <c r="H9327" t="s">
        <v>91</v>
      </c>
      <c r="I9327" t="s">
        <v>2875</v>
      </c>
      <c r="J9327" t="str">
        <f>"9781462519095"</f>
        <v>9781462519095</v>
      </c>
      <c r="K9327" t="s">
        <v>209</v>
      </c>
      <c r="L9327">
        <v>4</v>
      </c>
      <c r="O9327" t="s">
        <v>30</v>
      </c>
      <c r="P9327" t="s">
        <v>42</v>
      </c>
      <c r="S9327" t="s">
        <v>363</v>
      </c>
      <c r="T9327" t="s">
        <v>5352</v>
      </c>
      <c r="U9327">
        <v>1.4028499999999999</v>
      </c>
      <c r="V9327" s="3">
        <v>42011</v>
      </c>
    </row>
    <row r="9328" spans="1:22" x14ac:dyDescent="0.35">
      <c r="A9328" s="1">
        <v>42228.757488425923</v>
      </c>
      <c r="B9328" s="2">
        <v>2.8935185185185189E-4</v>
      </c>
      <c r="C9328" t="s">
        <v>12958</v>
      </c>
      <c r="D9328" t="s">
        <v>23</v>
      </c>
      <c r="E9328" t="s">
        <v>24</v>
      </c>
      <c r="F9328" t="s">
        <v>12959</v>
      </c>
      <c r="G9328">
        <v>1873962</v>
      </c>
      <c r="H9328" t="s">
        <v>1474</v>
      </c>
      <c r="I9328" t="s">
        <v>69</v>
      </c>
      <c r="J9328" t="str">
        <f>"9781137502445"</f>
        <v>9781137502445</v>
      </c>
      <c r="K9328" t="s">
        <v>12960</v>
      </c>
      <c r="L9328">
        <v>5</v>
      </c>
      <c r="O9328" t="s">
        <v>30</v>
      </c>
      <c r="P9328" t="s">
        <v>42</v>
      </c>
      <c r="S9328" t="s">
        <v>31</v>
      </c>
      <c r="T9328" t="s">
        <v>12961</v>
      </c>
      <c r="U9328">
        <v>371.90474</v>
      </c>
      <c r="V9328" s="3">
        <v>41971</v>
      </c>
    </row>
    <row r="9329" spans="1:22" x14ac:dyDescent="0.35">
      <c r="A9329" s="1">
        <v>42228.720416666663</v>
      </c>
      <c r="B9329" s="2">
        <v>3.4722222222222222E-5</v>
      </c>
      <c r="C9329" t="s">
        <v>12962</v>
      </c>
      <c r="D9329" t="s">
        <v>158</v>
      </c>
      <c r="E9329" t="s">
        <v>159</v>
      </c>
      <c r="F9329" t="s">
        <v>12963</v>
      </c>
      <c r="G9329">
        <v>1834784</v>
      </c>
      <c r="H9329" t="s">
        <v>26</v>
      </c>
      <c r="I9329" t="s">
        <v>108</v>
      </c>
      <c r="J9329" t="str">
        <f>"9781118892992"</f>
        <v>9781118892992</v>
      </c>
      <c r="K9329" t="s">
        <v>33</v>
      </c>
      <c r="L9329">
        <v>3</v>
      </c>
      <c r="O9329" t="s">
        <v>30</v>
      </c>
      <c r="P9329" t="s">
        <v>42</v>
      </c>
      <c r="S9329" t="s">
        <v>163</v>
      </c>
      <c r="T9329" t="s">
        <v>12964</v>
      </c>
      <c r="U9329">
        <v>332.6</v>
      </c>
      <c r="V9329" s="3">
        <v>41948</v>
      </c>
    </row>
    <row r="9330" spans="1:22" x14ac:dyDescent="0.35">
      <c r="A9330" s="1">
        <v>42227.970405092594</v>
      </c>
      <c r="B9330" s="2">
        <v>5.9143518518518521E-3</v>
      </c>
      <c r="C9330" t="s">
        <v>12965</v>
      </c>
      <c r="D9330" t="s">
        <v>23</v>
      </c>
      <c r="E9330" t="s">
        <v>24</v>
      </c>
      <c r="F9330" t="s">
        <v>3351</v>
      </c>
      <c r="G9330">
        <v>1760720</v>
      </c>
      <c r="H9330" t="s">
        <v>91</v>
      </c>
      <c r="I9330" t="s">
        <v>247</v>
      </c>
      <c r="J9330" t="str">
        <f>"9781462517459"</f>
        <v>9781462517459</v>
      </c>
      <c r="K9330" t="s">
        <v>12966</v>
      </c>
      <c r="L9330">
        <v>45</v>
      </c>
      <c r="O9330" t="s">
        <v>30</v>
      </c>
      <c r="P9330" t="s">
        <v>42</v>
      </c>
      <c r="S9330" t="s">
        <v>31</v>
      </c>
      <c r="T9330" t="s">
        <v>3353</v>
      </c>
      <c r="U9330">
        <v>616.89142000000004</v>
      </c>
      <c r="V9330" s="3">
        <v>41996</v>
      </c>
    </row>
    <row r="9331" spans="1:22" x14ac:dyDescent="0.35">
      <c r="A9331" s="1">
        <v>42227.868495370371</v>
      </c>
      <c r="B9331" s="2">
        <v>2.7199074074074074E-3</v>
      </c>
      <c r="C9331" t="s">
        <v>10119</v>
      </c>
      <c r="D9331" t="s">
        <v>360</v>
      </c>
      <c r="E9331" t="s">
        <v>361</v>
      </c>
      <c r="F9331" t="s">
        <v>2959</v>
      </c>
      <c r="G9331">
        <v>1092959</v>
      </c>
      <c r="H9331" t="s">
        <v>84</v>
      </c>
      <c r="I9331" t="s">
        <v>120</v>
      </c>
      <c r="J9331" t="str">
        <f>"9780520955097"</f>
        <v>9780520955097</v>
      </c>
      <c r="K9331" t="s">
        <v>12967</v>
      </c>
      <c r="L9331">
        <v>11</v>
      </c>
      <c r="O9331" t="s">
        <v>30</v>
      </c>
      <c r="P9331" t="s">
        <v>42</v>
      </c>
      <c r="S9331" t="s">
        <v>363</v>
      </c>
      <c r="T9331" t="s">
        <v>2962</v>
      </c>
      <c r="U9331">
        <v>306.85097300000001</v>
      </c>
      <c r="V9331" s="3">
        <v>41334</v>
      </c>
    </row>
    <row r="9332" spans="1:22" x14ac:dyDescent="0.35">
      <c r="A9332" s="1">
        <v>42227.778865740744</v>
      </c>
      <c r="B9332" s="2">
        <v>5.7870370370370366E-5</v>
      </c>
      <c r="C9332" t="s">
        <v>2271</v>
      </c>
      <c r="D9332" t="s">
        <v>35</v>
      </c>
      <c r="E9332" t="s">
        <v>36</v>
      </c>
      <c r="F9332" t="s">
        <v>12968</v>
      </c>
      <c r="G9332">
        <v>1323167</v>
      </c>
      <c r="H9332" t="s">
        <v>84</v>
      </c>
      <c r="I9332" t="s">
        <v>310</v>
      </c>
      <c r="J9332" t="str">
        <f>"9780520957022"</f>
        <v>9780520957022</v>
      </c>
      <c r="K9332" t="s">
        <v>33</v>
      </c>
      <c r="L9332">
        <v>3</v>
      </c>
      <c r="O9332" t="s">
        <v>30</v>
      </c>
      <c r="P9332" t="s">
        <v>50</v>
      </c>
      <c r="S9332" t="s">
        <v>40</v>
      </c>
      <c r="T9332" t="s">
        <v>12969</v>
      </c>
      <c r="U9332" t="s">
        <v>12970</v>
      </c>
      <c r="V9332" s="3">
        <v>41489</v>
      </c>
    </row>
    <row r="9333" spans="1:22" x14ac:dyDescent="0.35">
      <c r="A9333" s="1">
        <v>42227.741307870368</v>
      </c>
      <c r="B9333" s="2">
        <v>1.8518518518518518E-4</v>
      </c>
      <c r="C9333" t="s">
        <v>10119</v>
      </c>
      <c r="D9333" t="s">
        <v>360</v>
      </c>
      <c r="E9333" t="s">
        <v>361</v>
      </c>
      <c r="F9333" t="s">
        <v>12971</v>
      </c>
      <c r="G9333">
        <v>1832728</v>
      </c>
      <c r="H9333" t="s">
        <v>26</v>
      </c>
      <c r="I9333" t="s">
        <v>276</v>
      </c>
      <c r="J9333" t="str">
        <f>"9781118991367"</f>
        <v>9781118991367</v>
      </c>
      <c r="K9333" t="s">
        <v>105</v>
      </c>
      <c r="L9333">
        <v>1</v>
      </c>
      <c r="O9333" t="s">
        <v>30</v>
      </c>
      <c r="P9333" t="s">
        <v>42</v>
      </c>
      <c r="S9333" t="s">
        <v>363</v>
      </c>
      <c r="T9333" t="s">
        <v>12972</v>
      </c>
      <c r="U9333">
        <v>5.4459999999999997</v>
      </c>
      <c r="V9333" s="3">
        <v>41946</v>
      </c>
    </row>
    <row r="9334" spans="1:22" x14ac:dyDescent="0.35">
      <c r="A9334" s="1">
        <v>42227.729664351849</v>
      </c>
      <c r="B9334" s="2">
        <v>0</v>
      </c>
      <c r="C9334" t="s">
        <v>12973</v>
      </c>
      <c r="D9334" t="s">
        <v>23</v>
      </c>
      <c r="E9334" t="s">
        <v>24</v>
      </c>
      <c r="F9334" t="s">
        <v>12974</v>
      </c>
      <c r="G9334">
        <v>1710981</v>
      </c>
      <c r="H9334" t="s">
        <v>84</v>
      </c>
      <c r="I9334" t="s">
        <v>310</v>
      </c>
      <c r="J9334" t="str">
        <f>"9780520957428"</f>
        <v>9780520957428</v>
      </c>
      <c r="L9334">
        <v>0</v>
      </c>
      <c r="O9334" t="s">
        <v>28</v>
      </c>
      <c r="P9334" t="s">
        <v>47</v>
      </c>
      <c r="Q9334" s="1">
        <v>42227.722013888888</v>
      </c>
      <c r="R9334">
        <v>1</v>
      </c>
      <c r="S9334" t="s">
        <v>31</v>
      </c>
      <c r="T9334" t="s">
        <v>12975</v>
      </c>
      <c r="U9334" t="s">
        <v>12976</v>
      </c>
      <c r="V9334" s="3">
        <v>41908</v>
      </c>
    </row>
    <row r="9335" spans="1:22" x14ac:dyDescent="0.35">
      <c r="A9335" s="1">
        <v>42227.722013888888</v>
      </c>
      <c r="B9335" s="2">
        <v>7.4884259259259262E-3</v>
      </c>
      <c r="C9335" t="s">
        <v>12973</v>
      </c>
      <c r="D9335" t="s">
        <v>23</v>
      </c>
      <c r="E9335" t="s">
        <v>24</v>
      </c>
      <c r="F9335" t="s">
        <v>12974</v>
      </c>
      <c r="G9335">
        <v>1710981</v>
      </c>
      <c r="H9335" t="s">
        <v>84</v>
      </c>
      <c r="I9335" t="s">
        <v>310</v>
      </c>
      <c r="J9335" t="str">
        <f>"9780520957428"</f>
        <v>9780520957428</v>
      </c>
      <c r="K9335" t="s">
        <v>12977</v>
      </c>
      <c r="L9335">
        <v>15</v>
      </c>
      <c r="O9335" t="s">
        <v>30</v>
      </c>
      <c r="P9335" t="s">
        <v>47</v>
      </c>
      <c r="Q9335" s="1">
        <v>42227.722013888888</v>
      </c>
      <c r="R9335">
        <v>1</v>
      </c>
      <c r="S9335" t="s">
        <v>31</v>
      </c>
      <c r="T9335" t="s">
        <v>12975</v>
      </c>
      <c r="U9335" t="s">
        <v>12976</v>
      </c>
      <c r="V9335" s="3">
        <v>41908</v>
      </c>
    </row>
    <row r="9336" spans="1:22" x14ac:dyDescent="0.35">
      <c r="A9336" s="1">
        <v>42227.716319444444</v>
      </c>
      <c r="B9336" s="2">
        <v>1.8518518518518518E-4</v>
      </c>
      <c r="C9336" t="s">
        <v>12978</v>
      </c>
      <c r="D9336" t="s">
        <v>23</v>
      </c>
      <c r="E9336" t="s">
        <v>24</v>
      </c>
      <c r="F9336" t="s">
        <v>12979</v>
      </c>
      <c r="G9336">
        <v>2039115</v>
      </c>
      <c r="H9336" t="s">
        <v>45</v>
      </c>
      <c r="I9336" t="s">
        <v>776</v>
      </c>
      <c r="J9336" t="str">
        <f>"9781472448217"</f>
        <v>9781472448217</v>
      </c>
      <c r="K9336" t="s">
        <v>12980</v>
      </c>
      <c r="L9336">
        <v>10</v>
      </c>
      <c r="O9336" t="s">
        <v>30</v>
      </c>
      <c r="P9336" t="s">
        <v>50</v>
      </c>
      <c r="S9336" t="s">
        <v>31</v>
      </c>
      <c r="T9336" t="s">
        <v>12981</v>
      </c>
      <c r="U9336" t="s">
        <v>12982</v>
      </c>
      <c r="V9336" s="3">
        <v>42183</v>
      </c>
    </row>
    <row r="9337" spans="1:22" x14ac:dyDescent="0.35">
      <c r="A9337" s="1">
        <v>42227.715914351851</v>
      </c>
      <c r="B9337" s="2">
        <v>6.0995370370370361E-3</v>
      </c>
      <c r="C9337" t="s">
        <v>12973</v>
      </c>
      <c r="D9337" t="s">
        <v>23</v>
      </c>
      <c r="E9337" t="s">
        <v>24</v>
      </c>
      <c r="F9337" t="s">
        <v>12974</v>
      </c>
      <c r="G9337">
        <v>1710981</v>
      </c>
      <c r="H9337" t="s">
        <v>84</v>
      </c>
      <c r="I9337" t="s">
        <v>310</v>
      </c>
      <c r="J9337" t="str">
        <f>"9780520957428"</f>
        <v>9780520957428</v>
      </c>
      <c r="K9337" t="s">
        <v>12983</v>
      </c>
      <c r="L9337">
        <v>8</v>
      </c>
      <c r="O9337" t="s">
        <v>30</v>
      </c>
      <c r="P9337" t="s">
        <v>50</v>
      </c>
      <c r="S9337" t="s">
        <v>31</v>
      </c>
      <c r="T9337" t="s">
        <v>12975</v>
      </c>
      <c r="U9337" t="s">
        <v>12976</v>
      </c>
      <c r="V9337" s="3">
        <v>41908</v>
      </c>
    </row>
    <row r="9338" spans="1:22" x14ac:dyDescent="0.35">
      <c r="A9338" s="1">
        <v>42227.715787037036</v>
      </c>
      <c r="B9338" s="2">
        <v>2.3148148148148147E-5</v>
      </c>
      <c r="C9338" t="s">
        <v>12978</v>
      </c>
      <c r="D9338" t="s">
        <v>23</v>
      </c>
      <c r="E9338" t="s">
        <v>24</v>
      </c>
      <c r="F9338" t="s">
        <v>12979</v>
      </c>
      <c r="G9338">
        <v>2039115</v>
      </c>
      <c r="H9338" t="s">
        <v>45</v>
      </c>
      <c r="I9338" t="s">
        <v>776</v>
      </c>
      <c r="J9338" t="str">
        <f>"9781472448217"</f>
        <v>9781472448217</v>
      </c>
      <c r="K9338" t="s">
        <v>33</v>
      </c>
      <c r="L9338">
        <v>3</v>
      </c>
      <c r="O9338" t="s">
        <v>30</v>
      </c>
      <c r="P9338" t="s">
        <v>50</v>
      </c>
      <c r="S9338" t="s">
        <v>31</v>
      </c>
      <c r="T9338" t="s">
        <v>12981</v>
      </c>
      <c r="U9338" t="s">
        <v>12982</v>
      </c>
      <c r="V9338" s="3">
        <v>42183</v>
      </c>
    </row>
    <row r="9339" spans="1:22" x14ac:dyDescent="0.35">
      <c r="A9339" s="1">
        <v>42227.714930555558</v>
      </c>
      <c r="B9339" s="2">
        <v>3.4722222222222222E-5</v>
      </c>
      <c r="C9339" t="s">
        <v>12978</v>
      </c>
      <c r="D9339" t="s">
        <v>23</v>
      </c>
      <c r="E9339" t="s">
        <v>24</v>
      </c>
      <c r="F9339" t="s">
        <v>12979</v>
      </c>
      <c r="G9339">
        <v>2039115</v>
      </c>
      <c r="H9339" t="s">
        <v>45</v>
      </c>
      <c r="I9339" t="s">
        <v>776</v>
      </c>
      <c r="J9339" t="str">
        <f>"9781472448217"</f>
        <v>9781472448217</v>
      </c>
      <c r="K9339" t="s">
        <v>33</v>
      </c>
      <c r="L9339">
        <v>3</v>
      </c>
      <c r="O9339" t="s">
        <v>30</v>
      </c>
      <c r="P9339" t="s">
        <v>50</v>
      </c>
      <c r="S9339" t="s">
        <v>31</v>
      </c>
      <c r="T9339" t="s">
        <v>12981</v>
      </c>
      <c r="U9339" t="s">
        <v>12982</v>
      </c>
      <c r="V9339" s="3">
        <v>42183</v>
      </c>
    </row>
    <row r="9340" spans="1:22" x14ac:dyDescent="0.35">
      <c r="A9340" s="1">
        <v>42227.491307870368</v>
      </c>
      <c r="B9340" s="2">
        <v>0</v>
      </c>
      <c r="C9340" t="s">
        <v>6693</v>
      </c>
      <c r="D9340" t="s">
        <v>6396</v>
      </c>
      <c r="E9340" t="s">
        <v>6397</v>
      </c>
      <c r="F9340" t="s">
        <v>12984</v>
      </c>
      <c r="G9340">
        <v>818431</v>
      </c>
      <c r="H9340" t="s">
        <v>26</v>
      </c>
      <c r="I9340" t="s">
        <v>12985</v>
      </c>
      <c r="J9340" t="str">
        <f>"9781118089774"</f>
        <v>9781118089774</v>
      </c>
      <c r="L9340">
        <v>0</v>
      </c>
      <c r="O9340" t="s">
        <v>28</v>
      </c>
      <c r="P9340" t="s">
        <v>29</v>
      </c>
      <c r="Q9340" s="1">
        <v>42227.491307870368</v>
      </c>
      <c r="R9340">
        <v>7</v>
      </c>
      <c r="S9340" t="s">
        <v>6400</v>
      </c>
      <c r="T9340" t="s">
        <v>12986</v>
      </c>
      <c r="U9340">
        <v>612.399</v>
      </c>
      <c r="V9340" s="3">
        <v>40834</v>
      </c>
    </row>
    <row r="9341" spans="1:22" x14ac:dyDescent="0.35">
      <c r="A9341" s="1">
        <v>42227.491307870368</v>
      </c>
      <c r="B9341" s="2">
        <v>0</v>
      </c>
      <c r="C9341" t="s">
        <v>6693</v>
      </c>
      <c r="D9341" t="s">
        <v>6396</v>
      </c>
      <c r="E9341" t="s">
        <v>6397</v>
      </c>
      <c r="F9341" t="s">
        <v>12984</v>
      </c>
      <c r="G9341">
        <v>818431</v>
      </c>
      <c r="H9341" t="s">
        <v>26</v>
      </c>
      <c r="I9341" t="s">
        <v>12985</v>
      </c>
      <c r="J9341" t="str">
        <f>"9781118089774"</f>
        <v>9781118089774</v>
      </c>
      <c r="L9341">
        <v>0</v>
      </c>
      <c r="O9341" t="s">
        <v>30</v>
      </c>
      <c r="P9341" t="s">
        <v>29</v>
      </c>
      <c r="Q9341" s="1">
        <v>42227.491307870368</v>
      </c>
      <c r="R9341">
        <v>7</v>
      </c>
      <c r="S9341" t="s">
        <v>6400</v>
      </c>
      <c r="T9341" t="s">
        <v>12986</v>
      </c>
      <c r="U9341">
        <v>612.399</v>
      </c>
      <c r="V9341" s="3">
        <v>40834</v>
      </c>
    </row>
    <row r="9342" spans="1:22" x14ac:dyDescent="0.35">
      <c r="A9342" s="1">
        <v>42227.481620370374</v>
      </c>
      <c r="B9342" s="2">
        <v>9.6874999999999999E-3</v>
      </c>
      <c r="C9342" t="s">
        <v>6693</v>
      </c>
      <c r="D9342" t="s">
        <v>6396</v>
      </c>
      <c r="E9342" t="s">
        <v>6397</v>
      </c>
      <c r="F9342" t="s">
        <v>12984</v>
      </c>
      <c r="G9342">
        <v>818431</v>
      </c>
      <c r="H9342" t="s">
        <v>26</v>
      </c>
      <c r="I9342" t="s">
        <v>12985</v>
      </c>
      <c r="J9342" t="str">
        <f>"9781118089774"</f>
        <v>9781118089774</v>
      </c>
      <c r="K9342" t="s">
        <v>33</v>
      </c>
      <c r="L9342">
        <v>3</v>
      </c>
      <c r="O9342" t="s">
        <v>30</v>
      </c>
      <c r="P9342" t="s">
        <v>42</v>
      </c>
      <c r="S9342" t="s">
        <v>6400</v>
      </c>
      <c r="T9342" t="s">
        <v>12986</v>
      </c>
      <c r="U9342">
        <v>612.399</v>
      </c>
      <c r="V9342" s="3">
        <v>40834</v>
      </c>
    </row>
    <row r="9343" spans="1:22" x14ac:dyDescent="0.35">
      <c r="A9343" s="1">
        <v>42227.46707175926</v>
      </c>
      <c r="B9343" s="2">
        <v>0</v>
      </c>
      <c r="C9343" t="s">
        <v>6693</v>
      </c>
      <c r="D9343" t="s">
        <v>6396</v>
      </c>
      <c r="E9343" t="s">
        <v>6397</v>
      </c>
      <c r="F9343" t="s">
        <v>2603</v>
      </c>
      <c r="G9343">
        <v>822491</v>
      </c>
      <c r="H9343" t="s">
        <v>26</v>
      </c>
      <c r="I9343" t="s">
        <v>2604</v>
      </c>
      <c r="J9343" t="str">
        <f>"9781118276273"</f>
        <v>9781118276273</v>
      </c>
      <c r="L9343">
        <v>0</v>
      </c>
      <c r="O9343" t="s">
        <v>28</v>
      </c>
      <c r="P9343" t="s">
        <v>29</v>
      </c>
      <c r="Q9343" s="1">
        <v>42227.46707175926</v>
      </c>
      <c r="R9343">
        <v>7</v>
      </c>
      <c r="S9343" t="s">
        <v>6400</v>
      </c>
      <c r="T9343" t="s">
        <v>2607</v>
      </c>
      <c r="U9343">
        <v>612</v>
      </c>
      <c r="V9343" s="3">
        <v>40868</v>
      </c>
    </row>
    <row r="9344" spans="1:22" x14ac:dyDescent="0.35">
      <c r="A9344" s="1">
        <v>42227.46707175926</v>
      </c>
      <c r="B9344" s="2">
        <v>0</v>
      </c>
      <c r="C9344" t="s">
        <v>6693</v>
      </c>
      <c r="D9344" t="s">
        <v>6396</v>
      </c>
      <c r="E9344" t="s">
        <v>6397</v>
      </c>
      <c r="F9344" t="s">
        <v>2603</v>
      </c>
      <c r="G9344">
        <v>822491</v>
      </c>
      <c r="H9344" t="s">
        <v>26</v>
      </c>
      <c r="I9344" t="s">
        <v>2604</v>
      </c>
      <c r="J9344" t="str">
        <f>"9781118276273"</f>
        <v>9781118276273</v>
      </c>
      <c r="L9344">
        <v>0</v>
      </c>
      <c r="O9344" t="s">
        <v>30</v>
      </c>
      <c r="P9344" t="s">
        <v>29</v>
      </c>
      <c r="Q9344" s="1">
        <v>42227.46707175926</v>
      </c>
      <c r="R9344">
        <v>7</v>
      </c>
      <c r="S9344" t="s">
        <v>6400</v>
      </c>
      <c r="T9344" t="s">
        <v>2607</v>
      </c>
      <c r="U9344">
        <v>612</v>
      </c>
      <c r="V9344" s="3">
        <v>40868</v>
      </c>
    </row>
    <row r="9345" spans="1:22" x14ac:dyDescent="0.35">
      <c r="A9345" s="1">
        <v>42227.466539351852</v>
      </c>
      <c r="B9345" s="2">
        <v>5.3240740740740744E-4</v>
      </c>
      <c r="C9345" t="s">
        <v>6693</v>
      </c>
      <c r="D9345" t="s">
        <v>6396</v>
      </c>
      <c r="E9345" t="s">
        <v>6397</v>
      </c>
      <c r="F9345" t="s">
        <v>2603</v>
      </c>
      <c r="G9345">
        <v>822491</v>
      </c>
      <c r="H9345" t="s">
        <v>26</v>
      </c>
      <c r="I9345" t="s">
        <v>2604</v>
      </c>
      <c r="J9345" t="str">
        <f>"9781118276273"</f>
        <v>9781118276273</v>
      </c>
      <c r="K9345" t="s">
        <v>33</v>
      </c>
      <c r="L9345">
        <v>3</v>
      </c>
      <c r="O9345" t="s">
        <v>30</v>
      </c>
      <c r="P9345" t="s">
        <v>42</v>
      </c>
      <c r="S9345" t="s">
        <v>6400</v>
      </c>
      <c r="T9345" t="s">
        <v>2607</v>
      </c>
      <c r="U9345">
        <v>612</v>
      </c>
      <c r="V9345" s="3">
        <v>40868</v>
      </c>
    </row>
    <row r="9346" spans="1:22" x14ac:dyDescent="0.35">
      <c r="A9346" s="1">
        <v>42227.114398148151</v>
      </c>
      <c r="B9346" s="2">
        <v>1.4583333333333334E-3</v>
      </c>
      <c r="C9346" t="s">
        <v>12987</v>
      </c>
      <c r="D9346" t="s">
        <v>35</v>
      </c>
      <c r="E9346" t="s">
        <v>36</v>
      </c>
      <c r="F9346" t="s">
        <v>12988</v>
      </c>
      <c r="G9346">
        <v>1342614</v>
      </c>
      <c r="H9346" t="s">
        <v>84</v>
      </c>
      <c r="I9346" t="s">
        <v>630</v>
      </c>
      <c r="J9346" t="str">
        <f>"9780520957343"</f>
        <v>9780520957343</v>
      </c>
      <c r="K9346" t="s">
        <v>12989</v>
      </c>
      <c r="L9346">
        <v>14</v>
      </c>
      <c r="N9346" t="s">
        <v>12990</v>
      </c>
      <c r="O9346" t="s">
        <v>30</v>
      </c>
      <c r="P9346" t="s">
        <v>47</v>
      </c>
      <c r="Q9346" s="1">
        <v>42226.872152777774</v>
      </c>
      <c r="R9346">
        <v>1</v>
      </c>
      <c r="S9346" t="s">
        <v>40</v>
      </c>
      <c r="T9346" t="s">
        <v>12991</v>
      </c>
      <c r="U9346">
        <v>170</v>
      </c>
      <c r="V9346" s="3">
        <v>41531</v>
      </c>
    </row>
    <row r="9347" spans="1:22" x14ac:dyDescent="0.35">
      <c r="A9347" s="1">
        <v>42227.022280092591</v>
      </c>
      <c r="B9347" s="2">
        <v>2.1180555555555553E-3</v>
      </c>
      <c r="C9347" t="s">
        <v>12992</v>
      </c>
      <c r="D9347" t="s">
        <v>23</v>
      </c>
      <c r="E9347" t="s">
        <v>24</v>
      </c>
      <c r="F9347" t="s">
        <v>6418</v>
      </c>
      <c r="G9347">
        <v>1168529</v>
      </c>
      <c r="H9347" t="s">
        <v>26</v>
      </c>
      <c r="I9347" t="s">
        <v>297</v>
      </c>
      <c r="J9347" t="str">
        <f>"9781118710944"</f>
        <v>9781118710944</v>
      </c>
      <c r="K9347" t="s">
        <v>12993</v>
      </c>
      <c r="L9347">
        <v>22</v>
      </c>
      <c r="O9347" t="s">
        <v>30</v>
      </c>
      <c r="P9347" t="s">
        <v>42</v>
      </c>
      <c r="S9347" t="s">
        <v>31</v>
      </c>
      <c r="T9347" t="s">
        <v>6419</v>
      </c>
      <c r="U9347" t="s">
        <v>6420</v>
      </c>
      <c r="V9347" s="3">
        <v>41372</v>
      </c>
    </row>
    <row r="9348" spans="1:22" x14ac:dyDescent="0.35">
      <c r="A9348" s="1">
        <v>42226.872152777774</v>
      </c>
      <c r="B9348" s="2">
        <v>5.9027777777777776E-3</v>
      </c>
      <c r="C9348" t="s">
        <v>12987</v>
      </c>
      <c r="D9348" t="s">
        <v>35</v>
      </c>
      <c r="E9348" t="s">
        <v>36</v>
      </c>
      <c r="F9348" t="s">
        <v>12988</v>
      </c>
      <c r="G9348">
        <v>1342614</v>
      </c>
      <c r="H9348" t="s">
        <v>84</v>
      </c>
      <c r="I9348" t="s">
        <v>630</v>
      </c>
      <c r="J9348" t="str">
        <f>"9780520957343"</f>
        <v>9780520957343</v>
      </c>
      <c r="K9348" t="s">
        <v>12994</v>
      </c>
      <c r="L9348">
        <v>27</v>
      </c>
      <c r="O9348" t="s">
        <v>30</v>
      </c>
      <c r="P9348" t="s">
        <v>47</v>
      </c>
      <c r="Q9348" s="1">
        <v>42226.872152777774</v>
      </c>
      <c r="R9348">
        <v>1</v>
      </c>
      <c r="S9348" t="s">
        <v>40</v>
      </c>
      <c r="T9348" t="s">
        <v>12991</v>
      </c>
      <c r="U9348">
        <v>170</v>
      </c>
      <c r="V9348" s="3">
        <v>41531</v>
      </c>
    </row>
    <row r="9349" spans="1:22" x14ac:dyDescent="0.35">
      <c r="A9349" s="1">
        <v>42226.867905092593</v>
      </c>
      <c r="B9349" s="2">
        <v>4.2476851851851851E-3</v>
      </c>
      <c r="C9349" t="s">
        <v>12987</v>
      </c>
      <c r="D9349" t="s">
        <v>35</v>
      </c>
      <c r="E9349" t="s">
        <v>36</v>
      </c>
      <c r="F9349" t="s">
        <v>12988</v>
      </c>
      <c r="G9349">
        <v>1342614</v>
      </c>
      <c r="H9349" t="s">
        <v>84</v>
      </c>
      <c r="I9349" t="s">
        <v>630</v>
      </c>
      <c r="J9349" t="str">
        <f>"9780520957343"</f>
        <v>9780520957343</v>
      </c>
      <c r="K9349" t="s">
        <v>12995</v>
      </c>
      <c r="L9349">
        <v>18</v>
      </c>
      <c r="O9349" t="s">
        <v>30</v>
      </c>
      <c r="P9349" t="s">
        <v>50</v>
      </c>
      <c r="S9349" t="s">
        <v>40</v>
      </c>
      <c r="T9349" t="s">
        <v>12991</v>
      </c>
      <c r="U9349">
        <v>170</v>
      </c>
      <c r="V9349" s="3">
        <v>41531</v>
      </c>
    </row>
    <row r="9350" spans="1:22" x14ac:dyDescent="0.35">
      <c r="A9350" s="1">
        <v>42226.85019675926</v>
      </c>
      <c r="B9350" s="2">
        <v>3.0324074074074073E-3</v>
      </c>
      <c r="C9350" t="s">
        <v>12996</v>
      </c>
      <c r="D9350" t="s">
        <v>423</v>
      </c>
      <c r="E9350" t="s">
        <v>424</v>
      </c>
      <c r="F9350" t="s">
        <v>12997</v>
      </c>
      <c r="G9350">
        <v>2008479</v>
      </c>
      <c r="H9350" t="s">
        <v>91</v>
      </c>
      <c r="I9350" t="s">
        <v>92</v>
      </c>
      <c r="J9350" t="str">
        <f>"9781462521388"</f>
        <v>9781462521388</v>
      </c>
      <c r="K9350" t="s">
        <v>12998</v>
      </c>
      <c r="L9350">
        <v>31</v>
      </c>
      <c r="O9350" t="s">
        <v>30</v>
      </c>
      <c r="P9350" t="s">
        <v>50</v>
      </c>
      <c r="S9350" t="s">
        <v>12999</v>
      </c>
      <c r="T9350" t="s">
        <v>13000</v>
      </c>
      <c r="U9350">
        <v>1.4</v>
      </c>
      <c r="V9350" s="3">
        <v>42178</v>
      </c>
    </row>
    <row r="9351" spans="1:22" x14ac:dyDescent="0.35">
      <c r="A9351" s="1">
        <v>42226.072951388887</v>
      </c>
      <c r="B9351" s="2">
        <v>1.712962962962963E-3</v>
      </c>
      <c r="C9351" t="s">
        <v>13001</v>
      </c>
      <c r="D9351" t="s">
        <v>35</v>
      </c>
      <c r="E9351" t="s">
        <v>36</v>
      </c>
      <c r="F9351" t="s">
        <v>205</v>
      </c>
      <c r="G9351">
        <v>849909</v>
      </c>
      <c r="H9351" t="s">
        <v>26</v>
      </c>
      <c r="I9351" t="s">
        <v>206</v>
      </c>
      <c r="J9351" t="str">
        <f>"9781118319451"</f>
        <v>9781118319451</v>
      </c>
      <c r="K9351" t="s">
        <v>13002</v>
      </c>
      <c r="L9351">
        <v>16</v>
      </c>
      <c r="O9351" t="s">
        <v>30</v>
      </c>
      <c r="P9351" t="s">
        <v>42</v>
      </c>
      <c r="S9351" t="s">
        <v>40</v>
      </c>
      <c r="T9351" t="s">
        <v>207</v>
      </c>
      <c r="U9351" t="s">
        <v>208</v>
      </c>
      <c r="V9351" s="3">
        <v>40932</v>
      </c>
    </row>
    <row r="9352" spans="1:22" x14ac:dyDescent="0.35">
      <c r="A9352" s="1">
        <v>42225.95275462963</v>
      </c>
      <c r="B9352" s="2">
        <v>4.2824074074074075E-4</v>
      </c>
      <c r="C9352" t="s">
        <v>13001</v>
      </c>
      <c r="D9352" t="s">
        <v>35</v>
      </c>
      <c r="E9352" t="s">
        <v>36</v>
      </c>
      <c r="F9352" t="s">
        <v>205</v>
      </c>
      <c r="G9352">
        <v>849909</v>
      </c>
      <c r="H9352" t="s">
        <v>26</v>
      </c>
      <c r="I9352" t="s">
        <v>206</v>
      </c>
      <c r="J9352" t="str">
        <f>"9781118319451"</f>
        <v>9781118319451</v>
      </c>
      <c r="K9352" t="s">
        <v>13003</v>
      </c>
      <c r="L9352">
        <v>8</v>
      </c>
      <c r="O9352" t="s">
        <v>30</v>
      </c>
      <c r="P9352" t="s">
        <v>42</v>
      </c>
      <c r="S9352" t="s">
        <v>40</v>
      </c>
      <c r="T9352" t="s">
        <v>207</v>
      </c>
      <c r="U9352" t="s">
        <v>208</v>
      </c>
      <c r="V9352" s="3">
        <v>40932</v>
      </c>
    </row>
    <row r="9353" spans="1:22" x14ac:dyDescent="0.35">
      <c r="A9353" s="1">
        <v>42225.933009259257</v>
      </c>
      <c r="B9353" s="2">
        <v>1.8530092592592595E-2</v>
      </c>
      <c r="C9353" t="s">
        <v>13004</v>
      </c>
      <c r="D9353" t="s">
        <v>211</v>
      </c>
      <c r="E9353" t="s">
        <v>212</v>
      </c>
      <c r="F9353" t="s">
        <v>13005</v>
      </c>
      <c r="G9353">
        <v>1661286</v>
      </c>
      <c r="H9353" t="s">
        <v>2998</v>
      </c>
      <c r="I9353" t="s">
        <v>172</v>
      </c>
      <c r="J9353" t="str">
        <f>"9780748678297"</f>
        <v>9780748678297</v>
      </c>
      <c r="K9353" t="s">
        <v>13006</v>
      </c>
      <c r="L9353">
        <v>12</v>
      </c>
      <c r="O9353" t="s">
        <v>30</v>
      </c>
      <c r="P9353" t="s">
        <v>47</v>
      </c>
      <c r="Q9353" s="1">
        <v>42225.933009259257</v>
      </c>
      <c r="R9353">
        <v>1</v>
      </c>
      <c r="S9353" t="s">
        <v>214</v>
      </c>
      <c r="T9353" t="s">
        <v>13007</v>
      </c>
      <c r="U9353">
        <v>946.02088297</v>
      </c>
      <c r="V9353" s="3">
        <v>41698</v>
      </c>
    </row>
    <row r="9354" spans="1:22" x14ac:dyDescent="0.35">
      <c r="A9354" s="1">
        <v>42225.923125000001</v>
      </c>
      <c r="B9354" s="2">
        <v>9.8842592592592576E-3</v>
      </c>
      <c r="C9354" t="s">
        <v>13004</v>
      </c>
      <c r="D9354" t="s">
        <v>211</v>
      </c>
      <c r="E9354" t="s">
        <v>212</v>
      </c>
      <c r="F9354" t="s">
        <v>13005</v>
      </c>
      <c r="G9354">
        <v>1661286</v>
      </c>
      <c r="H9354" t="s">
        <v>2998</v>
      </c>
      <c r="I9354" t="s">
        <v>172</v>
      </c>
      <c r="J9354" t="str">
        <f>"9780748678297"</f>
        <v>9780748678297</v>
      </c>
      <c r="K9354" t="s">
        <v>13008</v>
      </c>
      <c r="L9354">
        <v>11</v>
      </c>
      <c r="O9354" t="s">
        <v>30</v>
      </c>
      <c r="P9354" t="s">
        <v>50</v>
      </c>
      <c r="S9354" t="s">
        <v>214</v>
      </c>
      <c r="T9354" t="s">
        <v>13007</v>
      </c>
      <c r="U9354">
        <v>946.02088297</v>
      </c>
      <c r="V9354" s="3">
        <v>41698</v>
      </c>
    </row>
    <row r="9355" spans="1:22" x14ac:dyDescent="0.35">
      <c r="A9355" s="1">
        <v>42225.875810185185</v>
      </c>
      <c r="B9355" s="2">
        <v>2.3148148148148147E-5</v>
      </c>
      <c r="C9355" t="s">
        <v>13009</v>
      </c>
      <c r="D9355" t="s">
        <v>1222</v>
      </c>
      <c r="E9355" t="s">
        <v>1223</v>
      </c>
      <c r="F9355" t="s">
        <v>13010</v>
      </c>
      <c r="G9355">
        <v>1566072</v>
      </c>
      <c r="H9355" t="s">
        <v>45</v>
      </c>
      <c r="I9355" t="s">
        <v>3962</v>
      </c>
      <c r="J9355" t="str">
        <f>"9781409470724"</f>
        <v>9781409470724</v>
      </c>
      <c r="K9355" t="s">
        <v>13011</v>
      </c>
      <c r="L9355">
        <v>1</v>
      </c>
      <c r="O9355" t="s">
        <v>30</v>
      </c>
      <c r="P9355" t="s">
        <v>47</v>
      </c>
      <c r="Q9355" s="1">
        <v>42225.875810185185</v>
      </c>
      <c r="R9355">
        <v>1</v>
      </c>
      <c r="S9355" t="s">
        <v>1226</v>
      </c>
      <c r="T9355" t="s">
        <v>13012</v>
      </c>
      <c r="U9355" t="s">
        <v>13013</v>
      </c>
      <c r="V9355" s="3">
        <v>41667</v>
      </c>
    </row>
    <row r="9356" spans="1:22" x14ac:dyDescent="0.35">
      <c r="A9356" s="1">
        <v>42225.86824074074</v>
      </c>
      <c r="B9356" s="2">
        <v>7.5694444444444446E-3</v>
      </c>
      <c r="C9356" t="s">
        <v>13009</v>
      </c>
      <c r="D9356" t="s">
        <v>1222</v>
      </c>
      <c r="E9356" t="s">
        <v>1223</v>
      </c>
      <c r="F9356" t="s">
        <v>13010</v>
      </c>
      <c r="G9356">
        <v>1566072</v>
      </c>
      <c r="H9356" t="s">
        <v>45</v>
      </c>
      <c r="I9356" t="s">
        <v>3962</v>
      </c>
      <c r="J9356" t="str">
        <f>"9781409470724"</f>
        <v>9781409470724</v>
      </c>
      <c r="K9356" t="s">
        <v>13014</v>
      </c>
      <c r="L9356">
        <v>16</v>
      </c>
      <c r="O9356" t="s">
        <v>30</v>
      </c>
      <c r="P9356" t="s">
        <v>50</v>
      </c>
      <c r="S9356" t="s">
        <v>1226</v>
      </c>
      <c r="T9356" t="s">
        <v>13012</v>
      </c>
      <c r="U9356" t="s">
        <v>13013</v>
      </c>
      <c r="V9356" s="3">
        <v>41667</v>
      </c>
    </row>
    <row r="9357" spans="1:22" x14ac:dyDescent="0.35">
      <c r="A9357" s="1">
        <v>42225.813171296293</v>
      </c>
      <c r="B9357" s="2">
        <v>1.6203703703703703E-4</v>
      </c>
      <c r="C9357" t="s">
        <v>744</v>
      </c>
      <c r="D9357" t="s">
        <v>23</v>
      </c>
      <c r="E9357" t="s">
        <v>24</v>
      </c>
      <c r="F9357" t="s">
        <v>3228</v>
      </c>
      <c r="G9357">
        <v>1115640</v>
      </c>
      <c r="H9357" t="s">
        <v>26</v>
      </c>
      <c r="I9357" t="s">
        <v>3229</v>
      </c>
      <c r="J9357" t="str">
        <f>"9781118419090"</f>
        <v>9781118419090</v>
      </c>
      <c r="K9357" t="s">
        <v>355</v>
      </c>
      <c r="L9357">
        <v>8</v>
      </c>
      <c r="O9357" t="s">
        <v>30</v>
      </c>
      <c r="P9357" t="s">
        <v>42</v>
      </c>
      <c r="S9357" t="s">
        <v>31</v>
      </c>
      <c r="T9357" t="s">
        <v>3231</v>
      </c>
      <c r="U9357">
        <v>624</v>
      </c>
      <c r="V9357" s="3">
        <v>41296</v>
      </c>
    </row>
    <row r="9358" spans="1:22" x14ac:dyDescent="0.35">
      <c r="A9358" s="1">
        <v>42225.695451388892</v>
      </c>
      <c r="B9358" s="2">
        <v>2.7777777777777778E-4</v>
      </c>
      <c r="C9358" t="s">
        <v>744</v>
      </c>
      <c r="D9358" t="s">
        <v>23</v>
      </c>
      <c r="E9358" t="s">
        <v>24</v>
      </c>
      <c r="F9358" t="s">
        <v>3228</v>
      </c>
      <c r="G9358">
        <v>1115640</v>
      </c>
      <c r="H9358" t="s">
        <v>26</v>
      </c>
      <c r="I9358" t="s">
        <v>3229</v>
      </c>
      <c r="J9358" t="str">
        <f>"9781118419090"</f>
        <v>9781118419090</v>
      </c>
      <c r="K9358" t="s">
        <v>240</v>
      </c>
      <c r="L9358">
        <v>14</v>
      </c>
      <c r="O9358" t="s">
        <v>30</v>
      </c>
      <c r="P9358" t="s">
        <v>42</v>
      </c>
      <c r="S9358" t="s">
        <v>31</v>
      </c>
      <c r="T9358" t="s">
        <v>3231</v>
      </c>
      <c r="U9358">
        <v>624</v>
      </c>
      <c r="V9358" s="3">
        <v>41296</v>
      </c>
    </row>
    <row r="9359" spans="1:22" x14ac:dyDescent="0.35">
      <c r="A9359" s="1">
        <v>42225.639363425929</v>
      </c>
      <c r="B9359" s="2">
        <v>2.5462962962962961E-4</v>
      </c>
      <c r="C9359" t="s">
        <v>13001</v>
      </c>
      <c r="D9359" t="s">
        <v>35</v>
      </c>
      <c r="E9359" t="s">
        <v>36</v>
      </c>
      <c r="F9359" t="s">
        <v>205</v>
      </c>
      <c r="G9359">
        <v>849909</v>
      </c>
      <c r="H9359" t="s">
        <v>26</v>
      </c>
      <c r="I9359" t="s">
        <v>206</v>
      </c>
      <c r="J9359" t="str">
        <f>"9781118319451"</f>
        <v>9781118319451</v>
      </c>
      <c r="K9359" t="s">
        <v>13015</v>
      </c>
      <c r="L9359">
        <v>8</v>
      </c>
      <c r="O9359" t="s">
        <v>30</v>
      </c>
      <c r="P9359" t="s">
        <v>42</v>
      </c>
      <c r="S9359" t="s">
        <v>40</v>
      </c>
      <c r="T9359" t="s">
        <v>207</v>
      </c>
      <c r="U9359" t="s">
        <v>208</v>
      </c>
      <c r="V9359" s="3">
        <v>40932</v>
      </c>
    </row>
    <row r="9360" spans="1:22" x14ac:dyDescent="0.35">
      <c r="A9360" s="1">
        <v>42225.488194444442</v>
      </c>
      <c r="B9360" s="2">
        <v>6.018518518518519E-4</v>
      </c>
      <c r="C9360" t="s">
        <v>13016</v>
      </c>
      <c r="D9360" t="s">
        <v>1222</v>
      </c>
      <c r="E9360" t="s">
        <v>1223</v>
      </c>
      <c r="F9360" t="s">
        <v>13017</v>
      </c>
      <c r="G9360">
        <v>2004781</v>
      </c>
      <c r="H9360" t="s">
        <v>45</v>
      </c>
      <c r="I9360" t="s">
        <v>219</v>
      </c>
      <c r="J9360" t="str">
        <f>"9781472417299"</f>
        <v>9781472417299</v>
      </c>
      <c r="K9360" t="s">
        <v>4818</v>
      </c>
      <c r="L9360">
        <v>22</v>
      </c>
      <c r="O9360" t="s">
        <v>30</v>
      </c>
      <c r="P9360" t="s">
        <v>50</v>
      </c>
      <c r="S9360" t="s">
        <v>1226</v>
      </c>
      <c r="T9360" t="s">
        <v>13018</v>
      </c>
      <c r="U9360">
        <v>153.30000000000001</v>
      </c>
      <c r="V9360" s="3">
        <v>42122</v>
      </c>
    </row>
    <row r="9361" spans="1:22" x14ac:dyDescent="0.35">
      <c r="A9361" s="1">
        <v>42223.641840277778</v>
      </c>
      <c r="B9361" s="2">
        <v>2.0254629629629629E-3</v>
      </c>
      <c r="C9361" t="s">
        <v>13019</v>
      </c>
      <c r="D9361" t="s">
        <v>23</v>
      </c>
      <c r="E9361" t="s">
        <v>24</v>
      </c>
      <c r="F9361" t="s">
        <v>5390</v>
      </c>
      <c r="G9361">
        <v>1732123</v>
      </c>
      <c r="H9361" t="s">
        <v>26</v>
      </c>
      <c r="I9361" t="s">
        <v>445</v>
      </c>
      <c r="J9361" t="str">
        <f>"9781118884942"</f>
        <v>9781118884942</v>
      </c>
      <c r="K9361" t="s">
        <v>13020</v>
      </c>
      <c r="L9361">
        <v>16</v>
      </c>
      <c r="O9361" t="s">
        <v>30</v>
      </c>
      <c r="P9361" t="s">
        <v>42</v>
      </c>
      <c r="S9361" t="s">
        <v>31</v>
      </c>
      <c r="T9361" t="s">
        <v>5392</v>
      </c>
      <c r="U9361">
        <v>332.024</v>
      </c>
      <c r="V9361" s="3">
        <v>41827</v>
      </c>
    </row>
    <row r="9362" spans="1:22" x14ac:dyDescent="0.35">
      <c r="A9362" s="1">
        <v>42223.60193287037</v>
      </c>
      <c r="B9362" s="2">
        <v>1.7361111111111112E-4</v>
      </c>
      <c r="C9362" t="s">
        <v>866</v>
      </c>
      <c r="D9362" t="s">
        <v>35</v>
      </c>
      <c r="E9362" t="s">
        <v>36</v>
      </c>
      <c r="F9362" t="s">
        <v>37</v>
      </c>
      <c r="G9362">
        <v>1684620</v>
      </c>
      <c r="H9362" t="s">
        <v>26</v>
      </c>
      <c r="I9362" t="s">
        <v>38</v>
      </c>
      <c r="J9362" t="str">
        <f>"9781118418925"</f>
        <v>9781118418925</v>
      </c>
      <c r="K9362" t="s">
        <v>13021</v>
      </c>
      <c r="L9362">
        <v>14</v>
      </c>
      <c r="O9362" t="s">
        <v>30</v>
      </c>
      <c r="P9362" t="s">
        <v>29</v>
      </c>
      <c r="Q9362" s="1">
        <v>42223.60193287037</v>
      </c>
      <c r="R9362">
        <v>7</v>
      </c>
      <c r="S9362" t="s">
        <v>40</v>
      </c>
      <c r="T9362" t="s">
        <v>41</v>
      </c>
      <c r="U9362">
        <v>362.10680000000002</v>
      </c>
      <c r="V9362" s="3">
        <v>41759</v>
      </c>
    </row>
    <row r="9363" spans="1:22" x14ac:dyDescent="0.35">
      <c r="A9363" s="1">
        <v>42223.592650462961</v>
      </c>
      <c r="B9363" s="2">
        <v>9.2824074074074076E-3</v>
      </c>
      <c r="C9363" t="s">
        <v>866</v>
      </c>
      <c r="D9363" t="s">
        <v>35</v>
      </c>
      <c r="E9363" t="s">
        <v>36</v>
      </c>
      <c r="F9363" t="s">
        <v>37</v>
      </c>
      <c r="G9363">
        <v>1684620</v>
      </c>
      <c r="H9363" t="s">
        <v>26</v>
      </c>
      <c r="I9363" t="s">
        <v>38</v>
      </c>
      <c r="J9363" t="str">
        <f>"9781118418925"</f>
        <v>9781118418925</v>
      </c>
      <c r="K9363" t="s">
        <v>2663</v>
      </c>
      <c r="L9363">
        <v>15</v>
      </c>
      <c r="O9363" t="s">
        <v>30</v>
      </c>
      <c r="P9363" t="s">
        <v>42</v>
      </c>
      <c r="S9363" t="s">
        <v>40</v>
      </c>
      <c r="T9363" t="s">
        <v>41</v>
      </c>
      <c r="U9363">
        <v>362.10680000000002</v>
      </c>
      <c r="V9363" s="3">
        <v>41759</v>
      </c>
    </row>
    <row r="9364" spans="1:22" x14ac:dyDescent="0.35">
      <c r="A9364" s="1">
        <v>42223.574131944442</v>
      </c>
      <c r="B9364" s="2">
        <v>5.6712962962962956E-4</v>
      </c>
      <c r="C9364" t="s">
        <v>13022</v>
      </c>
      <c r="D9364" t="s">
        <v>23</v>
      </c>
      <c r="E9364" t="s">
        <v>24</v>
      </c>
      <c r="F9364" t="s">
        <v>4932</v>
      </c>
      <c r="G9364">
        <v>1681156</v>
      </c>
      <c r="H9364" t="s">
        <v>186</v>
      </c>
      <c r="I9364" t="s">
        <v>328</v>
      </c>
      <c r="J9364" t="str">
        <f>"9781845939205"</f>
        <v>9781845939205</v>
      </c>
      <c r="K9364" t="s">
        <v>13023</v>
      </c>
      <c r="L9364">
        <v>7</v>
      </c>
      <c r="O9364" t="s">
        <v>30</v>
      </c>
      <c r="P9364" t="s">
        <v>50</v>
      </c>
      <c r="S9364" t="s">
        <v>31</v>
      </c>
      <c r="T9364" t="s">
        <v>4934</v>
      </c>
      <c r="U9364" t="s">
        <v>4935</v>
      </c>
      <c r="V9364" s="3">
        <v>41751</v>
      </c>
    </row>
    <row r="9365" spans="1:22" x14ac:dyDescent="0.35">
      <c r="A9365" s="1">
        <v>42223.57340277778</v>
      </c>
      <c r="B9365" s="2">
        <v>0</v>
      </c>
      <c r="C9365" t="s">
        <v>3618</v>
      </c>
      <c r="D9365" t="s">
        <v>360</v>
      </c>
      <c r="E9365" t="s">
        <v>361</v>
      </c>
      <c r="F9365" t="s">
        <v>12645</v>
      </c>
      <c r="G9365">
        <v>902988</v>
      </c>
      <c r="H9365" t="s">
        <v>149</v>
      </c>
      <c r="I9365" t="s">
        <v>630</v>
      </c>
      <c r="J9365" t="str">
        <f>"9781438138862"</f>
        <v>9781438138862</v>
      </c>
      <c r="L9365">
        <v>0</v>
      </c>
      <c r="O9365" t="s">
        <v>28</v>
      </c>
      <c r="P9365" t="s">
        <v>29</v>
      </c>
      <c r="Q9365" s="1">
        <v>42223.57340277778</v>
      </c>
      <c r="R9365">
        <v>7</v>
      </c>
      <c r="S9365" t="s">
        <v>363</v>
      </c>
      <c r="T9365" t="s">
        <v>12647</v>
      </c>
      <c r="U9365">
        <v>190</v>
      </c>
      <c r="V9365" s="3">
        <v>40969</v>
      </c>
    </row>
    <row r="9366" spans="1:22" x14ac:dyDescent="0.35">
      <c r="A9366" s="1">
        <v>42223.57340277778</v>
      </c>
      <c r="B9366" s="2">
        <v>0</v>
      </c>
      <c r="C9366" t="s">
        <v>3618</v>
      </c>
      <c r="D9366" t="s">
        <v>360</v>
      </c>
      <c r="E9366" t="s">
        <v>361</v>
      </c>
      <c r="F9366" t="s">
        <v>12645</v>
      </c>
      <c r="G9366">
        <v>902988</v>
      </c>
      <c r="H9366" t="s">
        <v>149</v>
      </c>
      <c r="I9366" t="s">
        <v>630</v>
      </c>
      <c r="J9366" t="str">
        <f>"9781438138862"</f>
        <v>9781438138862</v>
      </c>
      <c r="L9366">
        <v>0</v>
      </c>
      <c r="O9366" t="s">
        <v>30</v>
      </c>
      <c r="P9366" t="s">
        <v>29</v>
      </c>
      <c r="Q9366" s="1">
        <v>42223.57340277778</v>
      </c>
      <c r="R9366">
        <v>7</v>
      </c>
      <c r="S9366" t="s">
        <v>363</v>
      </c>
      <c r="T9366" t="s">
        <v>12647</v>
      </c>
      <c r="U9366">
        <v>190</v>
      </c>
      <c r="V9366" s="3">
        <v>40969</v>
      </c>
    </row>
    <row r="9367" spans="1:22" x14ac:dyDescent="0.35">
      <c r="A9367" s="1">
        <v>42223.57303240741</v>
      </c>
      <c r="B9367" s="2">
        <v>3.7037037037037035E-4</v>
      </c>
      <c r="C9367" t="s">
        <v>3618</v>
      </c>
      <c r="D9367" t="s">
        <v>360</v>
      </c>
      <c r="E9367" t="s">
        <v>361</v>
      </c>
      <c r="F9367" t="s">
        <v>12645</v>
      </c>
      <c r="G9367">
        <v>902988</v>
      </c>
      <c r="H9367" t="s">
        <v>149</v>
      </c>
      <c r="I9367" t="s">
        <v>630</v>
      </c>
      <c r="J9367" t="str">
        <f>"9781438138862"</f>
        <v>9781438138862</v>
      </c>
      <c r="K9367" t="s">
        <v>1197</v>
      </c>
      <c r="L9367">
        <v>3</v>
      </c>
      <c r="O9367" t="s">
        <v>30</v>
      </c>
      <c r="P9367" t="s">
        <v>42</v>
      </c>
      <c r="S9367" t="s">
        <v>363</v>
      </c>
      <c r="T9367" t="s">
        <v>12647</v>
      </c>
      <c r="U9367">
        <v>190</v>
      </c>
      <c r="V9367" s="3">
        <v>40969</v>
      </c>
    </row>
    <row r="9368" spans="1:22" x14ac:dyDescent="0.35">
      <c r="A9368" s="1">
        <v>42223.222094907411</v>
      </c>
      <c r="B9368" s="2">
        <v>0</v>
      </c>
      <c r="C9368" t="s">
        <v>6693</v>
      </c>
      <c r="D9368" t="s">
        <v>6396</v>
      </c>
      <c r="E9368" t="s">
        <v>6397</v>
      </c>
      <c r="F9368" t="s">
        <v>13024</v>
      </c>
      <c r="G9368">
        <v>1173657</v>
      </c>
      <c r="H9368" t="s">
        <v>186</v>
      </c>
      <c r="I9368" t="s">
        <v>13025</v>
      </c>
      <c r="J9368" t="str">
        <f>"9781845939755"</f>
        <v>9781845939755</v>
      </c>
      <c r="L9368">
        <v>0</v>
      </c>
      <c r="O9368" t="s">
        <v>28</v>
      </c>
      <c r="P9368" t="s">
        <v>47</v>
      </c>
      <c r="Q9368" s="1">
        <v>42223.222094907411</v>
      </c>
      <c r="R9368">
        <v>1</v>
      </c>
      <c r="S9368" t="s">
        <v>6400</v>
      </c>
      <c r="T9368" t="s">
        <v>13026</v>
      </c>
      <c r="U9368" t="s">
        <v>13027</v>
      </c>
      <c r="V9368" s="3">
        <v>41275</v>
      </c>
    </row>
    <row r="9369" spans="1:22" x14ac:dyDescent="0.35">
      <c r="A9369" s="1">
        <v>42223.222094907411</v>
      </c>
      <c r="B9369" s="2">
        <v>0</v>
      </c>
      <c r="C9369" t="s">
        <v>6693</v>
      </c>
      <c r="D9369" t="s">
        <v>6396</v>
      </c>
      <c r="E9369" t="s">
        <v>6397</v>
      </c>
      <c r="F9369" t="s">
        <v>13024</v>
      </c>
      <c r="G9369">
        <v>1173657</v>
      </c>
      <c r="H9369" t="s">
        <v>186</v>
      </c>
      <c r="I9369" t="s">
        <v>13025</v>
      </c>
      <c r="J9369" t="str">
        <f>"9781845939755"</f>
        <v>9781845939755</v>
      </c>
      <c r="L9369">
        <v>0</v>
      </c>
      <c r="O9369" t="s">
        <v>30</v>
      </c>
      <c r="P9369" t="s">
        <v>47</v>
      </c>
      <c r="Q9369" s="1">
        <v>42223.222094907411</v>
      </c>
      <c r="R9369">
        <v>1</v>
      </c>
      <c r="S9369" t="s">
        <v>6400</v>
      </c>
      <c r="T9369" t="s">
        <v>13026</v>
      </c>
      <c r="U9369" t="s">
        <v>13027</v>
      </c>
      <c r="V9369" s="3">
        <v>41275</v>
      </c>
    </row>
    <row r="9370" spans="1:22" x14ac:dyDescent="0.35">
      <c r="A9370" s="1">
        <v>42223.221990740742</v>
      </c>
      <c r="B9370" s="2">
        <v>1.0416666666666667E-4</v>
      </c>
      <c r="C9370" t="s">
        <v>6693</v>
      </c>
      <c r="D9370" t="s">
        <v>6396</v>
      </c>
      <c r="E9370" t="s">
        <v>6397</v>
      </c>
      <c r="F9370" t="s">
        <v>13024</v>
      </c>
      <c r="G9370">
        <v>1173657</v>
      </c>
      <c r="H9370" t="s">
        <v>186</v>
      </c>
      <c r="I9370" t="s">
        <v>13025</v>
      </c>
      <c r="J9370" t="str">
        <f>"9781845939755"</f>
        <v>9781845939755</v>
      </c>
      <c r="K9370" t="s">
        <v>33</v>
      </c>
      <c r="L9370">
        <v>3</v>
      </c>
      <c r="O9370" t="s">
        <v>30</v>
      </c>
      <c r="P9370" t="s">
        <v>50</v>
      </c>
      <c r="S9370" t="s">
        <v>6400</v>
      </c>
      <c r="T9370" t="s">
        <v>13026</v>
      </c>
      <c r="U9370" t="s">
        <v>13027</v>
      </c>
      <c r="V9370" s="3">
        <v>41275</v>
      </c>
    </row>
    <row r="9371" spans="1:22" x14ac:dyDescent="0.35">
      <c r="A9371" s="1">
        <v>42223.221747685187</v>
      </c>
      <c r="B9371" s="2">
        <v>0</v>
      </c>
      <c r="C9371" t="s">
        <v>6693</v>
      </c>
      <c r="D9371" t="s">
        <v>6396</v>
      </c>
      <c r="E9371" t="s">
        <v>6397</v>
      </c>
      <c r="F9371" t="s">
        <v>5595</v>
      </c>
      <c r="G9371">
        <v>2038001</v>
      </c>
      <c r="H9371" t="s">
        <v>84</v>
      </c>
      <c r="I9371" t="s">
        <v>5596</v>
      </c>
      <c r="J9371" t="str">
        <f>"9780520961296"</f>
        <v>9780520961296</v>
      </c>
      <c r="L9371">
        <v>0</v>
      </c>
      <c r="O9371" t="s">
        <v>28</v>
      </c>
      <c r="P9371" t="s">
        <v>47</v>
      </c>
      <c r="Q9371" s="1">
        <v>42223.221747685187</v>
      </c>
      <c r="R9371">
        <v>1</v>
      </c>
      <c r="S9371" t="s">
        <v>6400</v>
      </c>
      <c r="T9371" t="s">
        <v>5597</v>
      </c>
      <c r="U9371">
        <v>641.87199999999996</v>
      </c>
      <c r="V9371" s="3">
        <v>42255</v>
      </c>
    </row>
    <row r="9372" spans="1:22" x14ac:dyDescent="0.35">
      <c r="A9372" s="1">
        <v>42223.221747685187</v>
      </c>
      <c r="B9372" s="2">
        <v>0</v>
      </c>
      <c r="C9372" t="s">
        <v>6693</v>
      </c>
      <c r="D9372" t="s">
        <v>6396</v>
      </c>
      <c r="E9372" t="s">
        <v>6397</v>
      </c>
      <c r="F9372" t="s">
        <v>5595</v>
      </c>
      <c r="G9372">
        <v>2038001</v>
      </c>
      <c r="H9372" t="s">
        <v>84</v>
      </c>
      <c r="I9372" t="s">
        <v>5596</v>
      </c>
      <c r="J9372" t="str">
        <f>"9780520961296"</f>
        <v>9780520961296</v>
      </c>
      <c r="L9372">
        <v>0</v>
      </c>
      <c r="O9372" t="s">
        <v>30</v>
      </c>
      <c r="P9372" t="s">
        <v>47</v>
      </c>
      <c r="Q9372" s="1">
        <v>42223.221747685187</v>
      </c>
      <c r="R9372">
        <v>1</v>
      </c>
      <c r="S9372" t="s">
        <v>6400</v>
      </c>
      <c r="T9372" t="s">
        <v>5597</v>
      </c>
      <c r="U9372">
        <v>641.87199999999996</v>
      </c>
      <c r="V9372" s="3">
        <v>42255</v>
      </c>
    </row>
    <row r="9373" spans="1:22" x14ac:dyDescent="0.35">
      <c r="A9373" s="1">
        <v>42223.221643518518</v>
      </c>
      <c r="B9373" s="2">
        <v>1.0416666666666667E-4</v>
      </c>
      <c r="C9373" t="s">
        <v>6693</v>
      </c>
      <c r="D9373" t="s">
        <v>6396</v>
      </c>
      <c r="E9373" t="s">
        <v>6397</v>
      </c>
      <c r="F9373" t="s">
        <v>5595</v>
      </c>
      <c r="G9373">
        <v>2038001</v>
      </c>
      <c r="H9373" t="s">
        <v>84</v>
      </c>
      <c r="I9373" t="s">
        <v>5596</v>
      </c>
      <c r="J9373" t="str">
        <f>"9780520961296"</f>
        <v>9780520961296</v>
      </c>
      <c r="K9373" t="s">
        <v>611</v>
      </c>
      <c r="L9373">
        <v>3</v>
      </c>
      <c r="O9373" t="s">
        <v>30</v>
      </c>
      <c r="P9373" t="s">
        <v>50</v>
      </c>
      <c r="S9373" t="s">
        <v>6400</v>
      </c>
      <c r="T9373" t="s">
        <v>5597</v>
      </c>
      <c r="U9373">
        <v>641.87199999999996</v>
      </c>
      <c r="V9373" s="3">
        <v>42255</v>
      </c>
    </row>
    <row r="9374" spans="1:22" x14ac:dyDescent="0.35">
      <c r="A9374" s="1">
        <v>42223.212939814817</v>
      </c>
      <c r="B9374" s="2">
        <v>0</v>
      </c>
      <c r="C9374" t="s">
        <v>6693</v>
      </c>
      <c r="D9374" t="s">
        <v>6396</v>
      </c>
      <c r="E9374" t="s">
        <v>6397</v>
      </c>
      <c r="F9374" t="s">
        <v>11708</v>
      </c>
      <c r="G9374">
        <v>1637201</v>
      </c>
      <c r="H9374" t="s">
        <v>186</v>
      </c>
      <c r="I9374" t="s">
        <v>4662</v>
      </c>
      <c r="J9374" t="str">
        <f>"9781780641843"</f>
        <v>9781780641843</v>
      </c>
      <c r="L9374">
        <v>0</v>
      </c>
      <c r="O9374" t="s">
        <v>28</v>
      </c>
      <c r="P9374" t="s">
        <v>47</v>
      </c>
      <c r="Q9374" s="1">
        <v>42223.212939814817</v>
      </c>
      <c r="R9374">
        <v>1</v>
      </c>
      <c r="S9374" t="s">
        <v>6400</v>
      </c>
      <c r="T9374" t="s">
        <v>11709</v>
      </c>
      <c r="U9374" t="s">
        <v>11710</v>
      </c>
      <c r="V9374" s="3">
        <v>41275</v>
      </c>
    </row>
    <row r="9375" spans="1:22" x14ac:dyDescent="0.35">
      <c r="A9375" s="1">
        <v>42223.212939814817</v>
      </c>
      <c r="B9375" s="2">
        <v>0</v>
      </c>
      <c r="C9375" t="s">
        <v>6693</v>
      </c>
      <c r="D9375" t="s">
        <v>6396</v>
      </c>
      <c r="E9375" t="s">
        <v>6397</v>
      </c>
      <c r="F9375" t="s">
        <v>11708</v>
      </c>
      <c r="G9375">
        <v>1637201</v>
      </c>
      <c r="H9375" t="s">
        <v>186</v>
      </c>
      <c r="I9375" t="s">
        <v>4662</v>
      </c>
      <c r="J9375" t="str">
        <f>"9781780641843"</f>
        <v>9781780641843</v>
      </c>
      <c r="L9375">
        <v>0</v>
      </c>
      <c r="O9375" t="s">
        <v>30</v>
      </c>
      <c r="P9375" t="s">
        <v>47</v>
      </c>
      <c r="Q9375" s="1">
        <v>42223.212939814817</v>
      </c>
      <c r="R9375">
        <v>1</v>
      </c>
      <c r="S9375" t="s">
        <v>6400</v>
      </c>
      <c r="T9375" t="s">
        <v>11709</v>
      </c>
      <c r="U9375" t="s">
        <v>11710</v>
      </c>
      <c r="V9375" s="3">
        <v>41275</v>
      </c>
    </row>
    <row r="9376" spans="1:22" x14ac:dyDescent="0.35">
      <c r="A9376" s="1">
        <v>42223.212465277778</v>
      </c>
      <c r="B9376" s="2">
        <v>4.6296296296296293E-4</v>
      </c>
      <c r="C9376" t="s">
        <v>6693</v>
      </c>
      <c r="D9376" t="s">
        <v>6396</v>
      </c>
      <c r="E9376" t="s">
        <v>6397</v>
      </c>
      <c r="F9376" t="s">
        <v>11708</v>
      </c>
      <c r="G9376">
        <v>1637201</v>
      </c>
      <c r="H9376" t="s">
        <v>186</v>
      </c>
      <c r="I9376" t="s">
        <v>4662</v>
      </c>
      <c r="J9376" t="str">
        <f>"9781780641843"</f>
        <v>9781780641843</v>
      </c>
      <c r="K9376" t="s">
        <v>13028</v>
      </c>
      <c r="L9376">
        <v>13</v>
      </c>
      <c r="O9376" t="s">
        <v>30</v>
      </c>
      <c r="P9376" t="s">
        <v>50</v>
      </c>
      <c r="S9376" t="s">
        <v>6400</v>
      </c>
      <c r="T9376" t="s">
        <v>11709</v>
      </c>
      <c r="U9376" t="s">
        <v>11710</v>
      </c>
      <c r="V9376" s="3">
        <v>41275</v>
      </c>
    </row>
    <row r="9377" spans="1:22" x14ac:dyDescent="0.35">
      <c r="A9377" s="1">
        <v>42223.072557870371</v>
      </c>
      <c r="B9377" s="2">
        <v>4.5601851851851853E-3</v>
      </c>
      <c r="C9377" t="s">
        <v>13029</v>
      </c>
      <c r="D9377" t="s">
        <v>23</v>
      </c>
      <c r="E9377" t="s">
        <v>24</v>
      </c>
      <c r="F9377" t="s">
        <v>13030</v>
      </c>
      <c r="G9377">
        <v>1120309</v>
      </c>
      <c r="H9377" t="s">
        <v>26</v>
      </c>
      <c r="I9377" t="s">
        <v>276</v>
      </c>
      <c r="J9377" t="str">
        <f>"9781118425152"</f>
        <v>9781118425152</v>
      </c>
      <c r="K9377" t="s">
        <v>13031</v>
      </c>
      <c r="L9377">
        <v>65</v>
      </c>
      <c r="O9377" t="s">
        <v>30</v>
      </c>
      <c r="P9377" t="s">
        <v>42</v>
      </c>
      <c r="S9377" t="s">
        <v>31</v>
      </c>
      <c r="T9377" t="s">
        <v>13032</v>
      </c>
      <c r="U9377">
        <v>6.74</v>
      </c>
      <c r="V9377" s="3">
        <v>41234</v>
      </c>
    </row>
    <row r="9378" spans="1:22" x14ac:dyDescent="0.35">
      <c r="A9378" s="1">
        <v>42223.065833333334</v>
      </c>
      <c r="B9378" s="2">
        <v>5.4513888888888884E-3</v>
      </c>
      <c r="C9378" t="s">
        <v>13029</v>
      </c>
      <c r="D9378" t="s">
        <v>23</v>
      </c>
      <c r="E9378" t="s">
        <v>24</v>
      </c>
      <c r="F9378" t="s">
        <v>8650</v>
      </c>
      <c r="G9378">
        <v>1120310</v>
      </c>
      <c r="H9378" t="s">
        <v>26</v>
      </c>
      <c r="I9378" t="s">
        <v>276</v>
      </c>
      <c r="J9378" t="str">
        <f>"9781118432693"</f>
        <v>9781118432693</v>
      </c>
      <c r="K9378" t="s">
        <v>13033</v>
      </c>
      <c r="L9378">
        <v>191</v>
      </c>
      <c r="O9378" t="s">
        <v>30</v>
      </c>
      <c r="P9378" t="s">
        <v>42</v>
      </c>
      <c r="S9378" t="s">
        <v>31</v>
      </c>
      <c r="T9378" t="s">
        <v>8652</v>
      </c>
      <c r="U9378">
        <v>6.74</v>
      </c>
      <c r="V9378" s="3">
        <v>41232</v>
      </c>
    </row>
    <row r="9379" spans="1:22" x14ac:dyDescent="0.35">
      <c r="A9379" s="1">
        <v>42222.935486111113</v>
      </c>
      <c r="B9379" s="2">
        <v>4.6296296296296294E-5</v>
      </c>
      <c r="C9379" t="s">
        <v>10119</v>
      </c>
      <c r="D9379" t="s">
        <v>360</v>
      </c>
      <c r="E9379" t="s">
        <v>361</v>
      </c>
      <c r="F9379" t="s">
        <v>13034</v>
      </c>
      <c r="G9379">
        <v>1595186</v>
      </c>
      <c r="H9379" t="s">
        <v>26</v>
      </c>
      <c r="I9379" t="s">
        <v>69</v>
      </c>
      <c r="J9379" t="str">
        <f>"9781118720516"</f>
        <v>9781118720516</v>
      </c>
      <c r="K9379" t="s">
        <v>13035</v>
      </c>
      <c r="L9379">
        <v>6</v>
      </c>
      <c r="O9379" t="s">
        <v>30</v>
      </c>
      <c r="P9379" t="s">
        <v>42</v>
      </c>
      <c r="S9379" t="s">
        <v>363</v>
      </c>
      <c r="T9379" t="s">
        <v>13036</v>
      </c>
      <c r="U9379" t="s">
        <v>13037</v>
      </c>
      <c r="V9379" s="3">
        <v>41653</v>
      </c>
    </row>
    <row r="9380" spans="1:22" x14ac:dyDescent="0.35">
      <c r="A9380" s="1">
        <v>42222.931388888886</v>
      </c>
      <c r="B9380" s="2">
        <v>8.1018518518518516E-5</v>
      </c>
      <c r="C9380" t="s">
        <v>10119</v>
      </c>
      <c r="D9380" t="s">
        <v>360</v>
      </c>
      <c r="E9380" t="s">
        <v>361</v>
      </c>
      <c r="F9380" t="s">
        <v>5959</v>
      </c>
      <c r="G9380">
        <v>1572865</v>
      </c>
      <c r="H9380" t="s">
        <v>139</v>
      </c>
      <c r="I9380" t="s">
        <v>998</v>
      </c>
      <c r="J9380" t="str">
        <f>"9780814769331"</f>
        <v>9780814769331</v>
      </c>
      <c r="K9380" t="s">
        <v>13038</v>
      </c>
      <c r="L9380">
        <v>8</v>
      </c>
      <c r="O9380" t="s">
        <v>30</v>
      </c>
      <c r="P9380" t="s">
        <v>42</v>
      </c>
      <c r="S9380" t="s">
        <v>363</v>
      </c>
      <c r="T9380" t="s">
        <v>5960</v>
      </c>
      <c r="U9380">
        <v>305.800973</v>
      </c>
      <c r="V9380" s="3">
        <v>41659</v>
      </c>
    </row>
    <row r="9381" spans="1:22" x14ac:dyDescent="0.35">
      <c r="A9381" s="1">
        <v>42222.79928240741</v>
      </c>
      <c r="B9381" s="2">
        <v>1.25E-3</v>
      </c>
      <c r="C9381" t="s">
        <v>13039</v>
      </c>
      <c r="D9381" t="s">
        <v>23</v>
      </c>
      <c r="E9381" t="s">
        <v>24</v>
      </c>
      <c r="F9381" t="s">
        <v>3464</v>
      </c>
      <c r="G9381">
        <v>771134</v>
      </c>
      <c r="H9381" t="s">
        <v>3465</v>
      </c>
      <c r="I9381" t="s">
        <v>120</v>
      </c>
      <c r="J9381" t="str">
        <f>"9781608706426"</f>
        <v>9781608706426</v>
      </c>
      <c r="K9381" t="s">
        <v>13040</v>
      </c>
      <c r="L9381">
        <v>17</v>
      </c>
      <c r="O9381" t="s">
        <v>30</v>
      </c>
      <c r="P9381" t="s">
        <v>42</v>
      </c>
      <c r="S9381" t="s">
        <v>31</v>
      </c>
      <c r="T9381" t="s">
        <v>3467</v>
      </c>
      <c r="U9381">
        <v>306.84800000000001</v>
      </c>
      <c r="V9381" s="3">
        <v>40909</v>
      </c>
    </row>
    <row r="9382" spans="1:22" x14ac:dyDescent="0.35">
      <c r="A9382" s="1">
        <v>42222.665254629632</v>
      </c>
      <c r="B9382" s="2">
        <v>2.0949074074074073E-3</v>
      </c>
      <c r="C9382" t="s">
        <v>3262</v>
      </c>
      <c r="D9382" t="s">
        <v>1222</v>
      </c>
      <c r="E9382" t="s">
        <v>1223</v>
      </c>
      <c r="F9382" t="s">
        <v>13041</v>
      </c>
      <c r="G9382">
        <v>1825733</v>
      </c>
      <c r="H9382" t="s">
        <v>45</v>
      </c>
      <c r="I9382" t="s">
        <v>10141</v>
      </c>
      <c r="J9382" t="str">
        <f>"9781472427793"</f>
        <v>9781472427793</v>
      </c>
      <c r="K9382" t="s">
        <v>13042</v>
      </c>
      <c r="L9382">
        <v>4</v>
      </c>
      <c r="N9382" t="s">
        <v>105</v>
      </c>
      <c r="O9382" t="s">
        <v>30</v>
      </c>
      <c r="P9382" t="s">
        <v>47</v>
      </c>
      <c r="Q9382" s="1">
        <v>42222.665254629632</v>
      </c>
      <c r="R9382">
        <v>1</v>
      </c>
      <c r="S9382" t="s">
        <v>1226</v>
      </c>
      <c r="T9382" t="s">
        <v>13043</v>
      </c>
      <c r="U9382" t="s">
        <v>13044</v>
      </c>
      <c r="V9382" s="3">
        <v>42001</v>
      </c>
    </row>
    <row r="9383" spans="1:22" x14ac:dyDescent="0.35">
      <c r="A9383" s="1">
        <v>42222.665173611109</v>
      </c>
      <c r="B9383" s="2">
        <v>8.1018518518518516E-5</v>
      </c>
      <c r="C9383" t="s">
        <v>3262</v>
      </c>
      <c r="D9383" t="s">
        <v>1222</v>
      </c>
      <c r="E9383" t="s">
        <v>1223</v>
      </c>
      <c r="F9383" t="s">
        <v>13041</v>
      </c>
      <c r="G9383">
        <v>1825733</v>
      </c>
      <c r="H9383" t="s">
        <v>45</v>
      </c>
      <c r="I9383" t="s">
        <v>10141</v>
      </c>
      <c r="J9383" t="str">
        <f>"9781472427793"</f>
        <v>9781472427793</v>
      </c>
      <c r="K9383" t="s">
        <v>33</v>
      </c>
      <c r="L9383">
        <v>3</v>
      </c>
      <c r="O9383" t="s">
        <v>30</v>
      </c>
      <c r="P9383" t="s">
        <v>50</v>
      </c>
      <c r="S9383" t="s">
        <v>1226</v>
      </c>
      <c r="T9383" t="s">
        <v>13043</v>
      </c>
      <c r="U9383" t="s">
        <v>13044</v>
      </c>
      <c r="V9383" s="3">
        <v>42001</v>
      </c>
    </row>
    <row r="9384" spans="1:22" x14ac:dyDescent="0.35">
      <c r="A9384" s="1">
        <v>42221.984884259262</v>
      </c>
      <c r="B9384" s="2">
        <v>3.3460648148148149E-2</v>
      </c>
      <c r="C9384" t="s">
        <v>1496</v>
      </c>
      <c r="D9384" t="s">
        <v>23</v>
      </c>
      <c r="E9384" t="s">
        <v>24</v>
      </c>
      <c r="F9384" t="s">
        <v>226</v>
      </c>
      <c r="G9384">
        <v>817313</v>
      </c>
      <c r="H9384" t="s">
        <v>26</v>
      </c>
      <c r="I9384" t="s">
        <v>69</v>
      </c>
      <c r="J9384" t="str">
        <f>"9781118136829"</f>
        <v>9781118136829</v>
      </c>
      <c r="K9384" t="s">
        <v>13045</v>
      </c>
      <c r="L9384">
        <v>22</v>
      </c>
      <c r="O9384" t="s">
        <v>30</v>
      </c>
      <c r="P9384" t="s">
        <v>29</v>
      </c>
      <c r="Q9384" s="1">
        <v>42220.728912037041</v>
      </c>
      <c r="R9384">
        <v>7</v>
      </c>
      <c r="S9384" t="s">
        <v>31</v>
      </c>
      <c r="T9384" t="s">
        <v>2311</v>
      </c>
      <c r="U9384">
        <v>378.16640000000001</v>
      </c>
      <c r="V9384" s="3">
        <v>40918</v>
      </c>
    </row>
    <row r="9385" spans="1:22" x14ac:dyDescent="0.35">
      <c r="A9385" s="1">
        <v>42221.947187500002</v>
      </c>
      <c r="B9385" s="2">
        <v>0</v>
      </c>
      <c r="C9385" t="s">
        <v>380</v>
      </c>
      <c r="D9385" t="s">
        <v>23</v>
      </c>
      <c r="E9385" t="s">
        <v>24</v>
      </c>
      <c r="F9385" t="s">
        <v>13046</v>
      </c>
      <c r="G9385">
        <v>1589690</v>
      </c>
      <c r="H9385" t="s">
        <v>45</v>
      </c>
      <c r="I9385" t="s">
        <v>998</v>
      </c>
      <c r="J9385" t="str">
        <f>"9781409464464"</f>
        <v>9781409464464</v>
      </c>
      <c r="L9385">
        <v>0</v>
      </c>
      <c r="O9385" t="s">
        <v>28</v>
      </c>
      <c r="P9385" t="s">
        <v>47</v>
      </c>
      <c r="Q9385" s="1">
        <v>42221.947187500002</v>
      </c>
      <c r="R9385">
        <v>1</v>
      </c>
      <c r="S9385" t="s">
        <v>31</v>
      </c>
      <c r="T9385" t="s">
        <v>13047</v>
      </c>
      <c r="U9385">
        <v>303.39999999999998</v>
      </c>
      <c r="V9385" s="3">
        <v>41787</v>
      </c>
    </row>
    <row r="9386" spans="1:22" x14ac:dyDescent="0.35">
      <c r="A9386" s="1">
        <v>42221.947187500002</v>
      </c>
      <c r="B9386" s="2">
        <v>0</v>
      </c>
      <c r="C9386" t="s">
        <v>380</v>
      </c>
      <c r="D9386" t="s">
        <v>23</v>
      </c>
      <c r="E9386" t="s">
        <v>24</v>
      </c>
      <c r="F9386" t="s">
        <v>13046</v>
      </c>
      <c r="G9386">
        <v>1589690</v>
      </c>
      <c r="H9386" t="s">
        <v>45</v>
      </c>
      <c r="I9386" t="s">
        <v>998</v>
      </c>
      <c r="J9386" t="str">
        <f>"9781409464464"</f>
        <v>9781409464464</v>
      </c>
      <c r="L9386">
        <v>0</v>
      </c>
      <c r="O9386" t="s">
        <v>30</v>
      </c>
      <c r="P9386" t="s">
        <v>47</v>
      </c>
      <c r="Q9386" s="1">
        <v>42221.947187500002</v>
      </c>
      <c r="R9386">
        <v>1</v>
      </c>
      <c r="S9386" t="s">
        <v>31</v>
      </c>
      <c r="T9386" t="s">
        <v>13047</v>
      </c>
      <c r="U9386">
        <v>303.39999999999998</v>
      </c>
      <c r="V9386" s="3">
        <v>41787</v>
      </c>
    </row>
    <row r="9387" spans="1:22" x14ac:dyDescent="0.35">
      <c r="A9387" s="1">
        <v>42221.946226851855</v>
      </c>
      <c r="B9387" s="2">
        <v>9.6064814814814808E-4</v>
      </c>
      <c r="C9387" t="s">
        <v>380</v>
      </c>
      <c r="D9387" t="s">
        <v>23</v>
      </c>
      <c r="E9387" t="s">
        <v>24</v>
      </c>
      <c r="F9387" t="s">
        <v>13046</v>
      </c>
      <c r="G9387">
        <v>1589690</v>
      </c>
      <c r="H9387" t="s">
        <v>45</v>
      </c>
      <c r="I9387" t="s">
        <v>998</v>
      </c>
      <c r="J9387" t="str">
        <f>"9781409464464"</f>
        <v>9781409464464</v>
      </c>
      <c r="K9387" t="s">
        <v>13048</v>
      </c>
      <c r="L9387">
        <v>12</v>
      </c>
      <c r="O9387" t="s">
        <v>30</v>
      </c>
      <c r="P9387" t="s">
        <v>50</v>
      </c>
      <c r="S9387" t="s">
        <v>31</v>
      </c>
      <c r="T9387" t="s">
        <v>13047</v>
      </c>
      <c r="U9387">
        <v>303.39999999999998</v>
      </c>
      <c r="V9387" s="3">
        <v>41787</v>
      </c>
    </row>
    <row r="9388" spans="1:22" x14ac:dyDescent="0.35">
      <c r="A9388" s="1">
        <v>42221.83865740741</v>
      </c>
      <c r="B9388" s="2">
        <v>8.7962962962962962E-4</v>
      </c>
      <c r="C9388" t="s">
        <v>9989</v>
      </c>
      <c r="D9388" t="s">
        <v>23</v>
      </c>
      <c r="E9388" t="s">
        <v>24</v>
      </c>
      <c r="F9388" t="s">
        <v>3373</v>
      </c>
      <c r="G9388">
        <v>1710992</v>
      </c>
      <c r="H9388" t="s">
        <v>84</v>
      </c>
      <c r="I9388" t="s">
        <v>120</v>
      </c>
      <c r="J9388" t="str">
        <f>"9780520959125"</f>
        <v>9780520959125</v>
      </c>
      <c r="K9388" t="s">
        <v>13049</v>
      </c>
      <c r="L9388">
        <v>27</v>
      </c>
      <c r="O9388" t="s">
        <v>30</v>
      </c>
      <c r="P9388" t="s">
        <v>50</v>
      </c>
      <c r="S9388" t="s">
        <v>31</v>
      </c>
      <c r="T9388" t="s">
        <v>3376</v>
      </c>
      <c r="U9388">
        <v>398.209</v>
      </c>
      <c r="V9388" s="3">
        <v>42018</v>
      </c>
    </row>
    <row r="9389" spans="1:22" x14ac:dyDescent="0.35">
      <c r="A9389" s="1">
        <v>42221.734340277777</v>
      </c>
      <c r="B9389" s="2">
        <v>0.10052083333333334</v>
      </c>
      <c r="C9389" t="s">
        <v>1496</v>
      </c>
      <c r="D9389" t="s">
        <v>23</v>
      </c>
      <c r="E9389" t="s">
        <v>24</v>
      </c>
      <c r="F9389" t="s">
        <v>226</v>
      </c>
      <c r="G9389">
        <v>817313</v>
      </c>
      <c r="H9389" t="s">
        <v>26</v>
      </c>
      <c r="I9389" t="s">
        <v>69</v>
      </c>
      <c r="J9389" t="str">
        <f>"9781118136829"</f>
        <v>9781118136829</v>
      </c>
      <c r="K9389" t="s">
        <v>13050</v>
      </c>
      <c r="L9389">
        <v>28</v>
      </c>
      <c r="O9389" t="s">
        <v>30</v>
      </c>
      <c r="P9389" t="s">
        <v>29</v>
      </c>
      <c r="Q9389" s="1">
        <v>42220.728912037041</v>
      </c>
      <c r="R9389">
        <v>7</v>
      </c>
      <c r="S9389" t="s">
        <v>31</v>
      </c>
      <c r="T9389" t="s">
        <v>2311</v>
      </c>
      <c r="U9389">
        <v>378.16640000000001</v>
      </c>
      <c r="V9389" s="3">
        <v>40918</v>
      </c>
    </row>
    <row r="9390" spans="1:22" x14ac:dyDescent="0.35">
      <c r="A9390" s="1">
        <v>42221.708634259259</v>
      </c>
      <c r="B9390" s="2">
        <v>2.5462962962962961E-4</v>
      </c>
      <c r="C9390" t="s">
        <v>1496</v>
      </c>
      <c r="D9390" t="s">
        <v>23</v>
      </c>
      <c r="E9390" t="s">
        <v>24</v>
      </c>
      <c r="F9390" t="s">
        <v>226</v>
      </c>
      <c r="G9390">
        <v>817313</v>
      </c>
      <c r="H9390" t="s">
        <v>26</v>
      </c>
      <c r="I9390" t="s">
        <v>69</v>
      </c>
      <c r="J9390" t="str">
        <f>"9781118136829"</f>
        <v>9781118136829</v>
      </c>
      <c r="K9390" t="s">
        <v>13051</v>
      </c>
      <c r="L9390">
        <v>8</v>
      </c>
      <c r="O9390" t="s">
        <v>30</v>
      </c>
      <c r="P9390" t="s">
        <v>29</v>
      </c>
      <c r="Q9390" s="1">
        <v>42220.728912037041</v>
      </c>
      <c r="R9390">
        <v>7</v>
      </c>
      <c r="S9390" t="s">
        <v>31</v>
      </c>
      <c r="T9390" t="s">
        <v>2311</v>
      </c>
      <c r="U9390">
        <v>378.16640000000001</v>
      </c>
      <c r="V9390" s="3">
        <v>40918</v>
      </c>
    </row>
    <row r="9391" spans="1:22" x14ac:dyDescent="0.35">
      <c r="A9391" s="1">
        <v>42221.683171296296</v>
      </c>
      <c r="B9391" s="2">
        <v>2.7662037037037034E-3</v>
      </c>
      <c r="C9391" t="s">
        <v>1496</v>
      </c>
      <c r="D9391" t="s">
        <v>23</v>
      </c>
      <c r="E9391" t="s">
        <v>24</v>
      </c>
      <c r="F9391" t="s">
        <v>226</v>
      </c>
      <c r="G9391">
        <v>817313</v>
      </c>
      <c r="H9391" t="s">
        <v>26</v>
      </c>
      <c r="I9391" t="s">
        <v>69</v>
      </c>
      <c r="J9391" t="str">
        <f>"9781118136829"</f>
        <v>9781118136829</v>
      </c>
      <c r="K9391" t="s">
        <v>13052</v>
      </c>
      <c r="L9391">
        <v>9</v>
      </c>
      <c r="O9391" t="s">
        <v>30</v>
      </c>
      <c r="P9391" t="s">
        <v>29</v>
      </c>
      <c r="Q9391" s="1">
        <v>42220.728912037041</v>
      </c>
      <c r="R9391">
        <v>7</v>
      </c>
      <c r="S9391" t="s">
        <v>31</v>
      </c>
      <c r="T9391" t="s">
        <v>2311</v>
      </c>
      <c r="U9391">
        <v>378.16640000000001</v>
      </c>
      <c r="V9391" s="3">
        <v>40918</v>
      </c>
    </row>
    <row r="9392" spans="1:22" x14ac:dyDescent="0.35">
      <c r="A9392" s="1">
        <v>42220.891782407409</v>
      </c>
      <c r="B9392" s="2">
        <v>6.5972222222222222E-3</v>
      </c>
      <c r="C9392" t="s">
        <v>10119</v>
      </c>
      <c r="D9392" t="s">
        <v>360</v>
      </c>
      <c r="E9392" t="s">
        <v>361</v>
      </c>
      <c r="F9392" t="s">
        <v>3357</v>
      </c>
      <c r="G9392">
        <v>1753378</v>
      </c>
      <c r="H9392" t="s">
        <v>26</v>
      </c>
      <c r="I9392" t="s">
        <v>97</v>
      </c>
      <c r="J9392" t="str">
        <f>"9781118883570"</f>
        <v>9781118883570</v>
      </c>
      <c r="K9392" t="s">
        <v>13053</v>
      </c>
      <c r="L9392">
        <v>7</v>
      </c>
      <c r="O9392" t="s">
        <v>30</v>
      </c>
      <c r="P9392" t="s">
        <v>42</v>
      </c>
      <c r="S9392" t="s">
        <v>363</v>
      </c>
      <c r="T9392" t="s">
        <v>3358</v>
      </c>
      <c r="U9392" t="s">
        <v>3359</v>
      </c>
      <c r="V9392" s="3">
        <v>41843</v>
      </c>
    </row>
    <row r="9393" spans="1:22" x14ac:dyDescent="0.35">
      <c r="A9393" s="1">
        <v>42220.868425925924</v>
      </c>
      <c r="B9393" s="2">
        <v>1.9305555555555555E-2</v>
      </c>
      <c r="C9393" t="s">
        <v>1496</v>
      </c>
      <c r="D9393" t="s">
        <v>23</v>
      </c>
      <c r="E9393" t="s">
        <v>24</v>
      </c>
      <c r="F9393" t="s">
        <v>226</v>
      </c>
      <c r="G9393">
        <v>817313</v>
      </c>
      <c r="H9393" t="s">
        <v>26</v>
      </c>
      <c r="I9393" t="s">
        <v>69</v>
      </c>
      <c r="J9393" t="str">
        <f>"9781118136829"</f>
        <v>9781118136829</v>
      </c>
      <c r="K9393" t="s">
        <v>13054</v>
      </c>
      <c r="L9393">
        <v>35</v>
      </c>
      <c r="O9393" t="s">
        <v>30</v>
      </c>
      <c r="P9393" t="s">
        <v>29</v>
      </c>
      <c r="Q9393" s="1">
        <v>42220.728912037041</v>
      </c>
      <c r="R9393">
        <v>7</v>
      </c>
      <c r="S9393" t="s">
        <v>31</v>
      </c>
      <c r="T9393" t="s">
        <v>2311</v>
      </c>
      <c r="U9393">
        <v>378.16640000000001</v>
      </c>
      <c r="V9393" s="3">
        <v>40918</v>
      </c>
    </row>
    <row r="9394" spans="1:22" x14ac:dyDescent="0.35">
      <c r="A9394" s="1">
        <v>42220.812569444446</v>
      </c>
      <c r="B9394" s="2">
        <v>0</v>
      </c>
      <c r="C9394" t="s">
        <v>1328</v>
      </c>
      <c r="D9394" t="s">
        <v>23</v>
      </c>
      <c r="E9394" t="s">
        <v>24</v>
      </c>
      <c r="F9394" t="s">
        <v>13055</v>
      </c>
      <c r="G9394">
        <v>1635755</v>
      </c>
      <c r="H9394" t="s">
        <v>526</v>
      </c>
      <c r="I9394" t="s">
        <v>426</v>
      </c>
      <c r="J9394" t="str">
        <f>"9780226117577"</f>
        <v>9780226117577</v>
      </c>
      <c r="L9394">
        <v>0</v>
      </c>
      <c r="O9394" t="s">
        <v>30</v>
      </c>
      <c r="P9394" t="s">
        <v>47</v>
      </c>
      <c r="Q9394" s="1">
        <v>42220.812557870369</v>
      </c>
      <c r="R9394">
        <v>1</v>
      </c>
      <c r="S9394" t="s">
        <v>31</v>
      </c>
      <c r="T9394" t="s">
        <v>13056</v>
      </c>
      <c r="U9394" t="s">
        <v>13057</v>
      </c>
      <c r="V9394" s="3">
        <v>41717</v>
      </c>
    </row>
    <row r="9395" spans="1:22" x14ac:dyDescent="0.35">
      <c r="A9395" s="1">
        <v>42220.810613425929</v>
      </c>
      <c r="B9395" s="2">
        <v>1.9444444444444442E-3</v>
      </c>
      <c r="C9395" t="s">
        <v>1328</v>
      </c>
      <c r="D9395" t="s">
        <v>23</v>
      </c>
      <c r="E9395" t="s">
        <v>24</v>
      </c>
      <c r="F9395" t="s">
        <v>13055</v>
      </c>
      <c r="G9395">
        <v>1635755</v>
      </c>
      <c r="H9395" t="s">
        <v>526</v>
      </c>
      <c r="I9395" t="s">
        <v>426</v>
      </c>
      <c r="J9395" t="str">
        <f>"9780226117577"</f>
        <v>9780226117577</v>
      </c>
      <c r="K9395" t="s">
        <v>13058</v>
      </c>
      <c r="L9395">
        <v>12</v>
      </c>
      <c r="O9395" t="s">
        <v>30</v>
      </c>
      <c r="P9395" t="s">
        <v>50</v>
      </c>
      <c r="S9395" t="s">
        <v>31</v>
      </c>
      <c r="T9395" t="s">
        <v>13056</v>
      </c>
      <c r="U9395" t="s">
        <v>13057</v>
      </c>
      <c r="V9395" s="3">
        <v>41717</v>
      </c>
    </row>
    <row r="9396" spans="1:22" x14ac:dyDescent="0.35">
      <c r="A9396" s="1">
        <v>42220.728912037041</v>
      </c>
      <c r="B9396" s="2">
        <v>7.9756944444444436E-2</v>
      </c>
      <c r="C9396" t="s">
        <v>1496</v>
      </c>
      <c r="D9396" t="s">
        <v>23</v>
      </c>
      <c r="E9396" t="s">
        <v>24</v>
      </c>
      <c r="F9396" t="s">
        <v>226</v>
      </c>
      <c r="G9396">
        <v>817313</v>
      </c>
      <c r="H9396" t="s">
        <v>26</v>
      </c>
      <c r="I9396" t="s">
        <v>69</v>
      </c>
      <c r="J9396" t="str">
        <f>"9781118136829"</f>
        <v>9781118136829</v>
      </c>
      <c r="K9396" t="s">
        <v>13059</v>
      </c>
      <c r="L9396">
        <v>29</v>
      </c>
      <c r="O9396" t="s">
        <v>30</v>
      </c>
      <c r="P9396" t="s">
        <v>29</v>
      </c>
      <c r="Q9396" s="1">
        <v>42220.728912037041</v>
      </c>
      <c r="R9396">
        <v>7</v>
      </c>
      <c r="S9396" t="s">
        <v>31</v>
      </c>
      <c r="T9396" t="s">
        <v>2311</v>
      </c>
      <c r="U9396">
        <v>378.16640000000001</v>
      </c>
      <c r="V9396" s="3">
        <v>40918</v>
      </c>
    </row>
    <row r="9397" spans="1:22" x14ac:dyDescent="0.35">
      <c r="A9397" s="1">
        <v>42220.721400462964</v>
      </c>
      <c r="B9397" s="2">
        <v>7.5115740740740742E-3</v>
      </c>
      <c r="C9397" t="s">
        <v>1496</v>
      </c>
      <c r="D9397" t="s">
        <v>23</v>
      </c>
      <c r="E9397" t="s">
        <v>24</v>
      </c>
      <c r="F9397" t="s">
        <v>226</v>
      </c>
      <c r="G9397">
        <v>817313</v>
      </c>
      <c r="H9397" t="s">
        <v>26</v>
      </c>
      <c r="I9397" t="s">
        <v>69</v>
      </c>
      <c r="J9397" t="str">
        <f>"9781118136829"</f>
        <v>9781118136829</v>
      </c>
      <c r="K9397" t="s">
        <v>13060</v>
      </c>
      <c r="L9397">
        <v>11</v>
      </c>
      <c r="O9397" t="s">
        <v>30</v>
      </c>
      <c r="P9397" t="s">
        <v>42</v>
      </c>
      <c r="S9397" t="s">
        <v>31</v>
      </c>
      <c r="T9397" t="s">
        <v>2311</v>
      </c>
      <c r="U9397">
        <v>378.16640000000001</v>
      </c>
      <c r="V9397" s="3">
        <v>40918</v>
      </c>
    </row>
    <row r="9398" spans="1:22" x14ac:dyDescent="0.35">
      <c r="A9398" s="1">
        <v>42220.716782407406</v>
      </c>
      <c r="B9398" s="2">
        <v>3.2407407407407406E-4</v>
      </c>
      <c r="C9398" t="s">
        <v>3297</v>
      </c>
      <c r="D9398" t="s">
        <v>23</v>
      </c>
      <c r="E9398" t="s">
        <v>24</v>
      </c>
      <c r="F9398" t="s">
        <v>3298</v>
      </c>
      <c r="G9398">
        <v>1742625</v>
      </c>
      <c r="H9398" t="s">
        <v>526</v>
      </c>
      <c r="I9398" t="s">
        <v>267</v>
      </c>
      <c r="J9398" t="str">
        <f>"9780226135250"</f>
        <v>9780226135250</v>
      </c>
      <c r="K9398" t="s">
        <v>13061</v>
      </c>
      <c r="L9398">
        <v>7</v>
      </c>
      <c r="M9398" t="s">
        <v>13062</v>
      </c>
      <c r="O9398" t="s">
        <v>30</v>
      </c>
      <c r="P9398" t="s">
        <v>47</v>
      </c>
      <c r="Q9398" s="1">
        <v>42220.716770833336</v>
      </c>
      <c r="R9398">
        <v>1</v>
      </c>
      <c r="S9398" t="s">
        <v>31</v>
      </c>
      <c r="T9398" t="s">
        <v>3300</v>
      </c>
      <c r="U9398" t="s">
        <v>3301</v>
      </c>
      <c r="V9398" s="3">
        <v>41876</v>
      </c>
    </row>
    <row r="9399" spans="1:22" x14ac:dyDescent="0.35">
      <c r="A9399" s="1">
        <v>42220.716550925928</v>
      </c>
      <c r="B9399" s="2">
        <v>2.199074074074074E-4</v>
      </c>
      <c r="C9399" t="s">
        <v>3297</v>
      </c>
      <c r="D9399" t="s">
        <v>23</v>
      </c>
      <c r="E9399" t="s">
        <v>24</v>
      </c>
      <c r="F9399" t="s">
        <v>3298</v>
      </c>
      <c r="G9399">
        <v>1742625</v>
      </c>
      <c r="H9399" t="s">
        <v>526</v>
      </c>
      <c r="I9399" t="s">
        <v>267</v>
      </c>
      <c r="J9399" t="str">
        <f>"9780226135250"</f>
        <v>9780226135250</v>
      </c>
      <c r="K9399" t="s">
        <v>13063</v>
      </c>
      <c r="L9399">
        <v>6</v>
      </c>
      <c r="O9399" t="s">
        <v>30</v>
      </c>
      <c r="P9399" t="s">
        <v>50</v>
      </c>
      <c r="S9399" t="s">
        <v>31</v>
      </c>
      <c r="T9399" t="s">
        <v>3300</v>
      </c>
      <c r="U9399" t="s">
        <v>3301</v>
      </c>
      <c r="V9399" s="3">
        <v>41876</v>
      </c>
    </row>
    <row r="9400" spans="1:22" x14ac:dyDescent="0.35">
      <c r="A9400" s="1">
        <v>42220.714085648149</v>
      </c>
      <c r="B9400" s="2">
        <v>4.8611111111111104E-4</v>
      </c>
      <c r="C9400" t="s">
        <v>3297</v>
      </c>
      <c r="D9400" t="s">
        <v>23</v>
      </c>
      <c r="E9400" t="s">
        <v>24</v>
      </c>
      <c r="F9400" t="s">
        <v>3298</v>
      </c>
      <c r="G9400">
        <v>1742625</v>
      </c>
      <c r="H9400" t="s">
        <v>526</v>
      </c>
      <c r="I9400" t="s">
        <v>267</v>
      </c>
      <c r="J9400" t="str">
        <f>"9780226135250"</f>
        <v>9780226135250</v>
      </c>
      <c r="K9400" t="s">
        <v>13064</v>
      </c>
      <c r="L9400">
        <v>16</v>
      </c>
      <c r="O9400" t="s">
        <v>30</v>
      </c>
      <c r="P9400" t="s">
        <v>50</v>
      </c>
      <c r="S9400" t="s">
        <v>31</v>
      </c>
      <c r="T9400" t="s">
        <v>3300</v>
      </c>
      <c r="U9400" t="s">
        <v>3301</v>
      </c>
      <c r="V9400" s="3">
        <v>41876</v>
      </c>
    </row>
    <row r="9401" spans="1:22" x14ac:dyDescent="0.35">
      <c r="A9401" s="1">
        <v>42219.869097222225</v>
      </c>
      <c r="B9401" s="2">
        <v>2.3148148148148147E-5</v>
      </c>
      <c r="C9401" t="s">
        <v>13065</v>
      </c>
      <c r="D9401" t="s">
        <v>1222</v>
      </c>
      <c r="E9401" t="s">
        <v>1223</v>
      </c>
      <c r="F9401" t="s">
        <v>52</v>
      </c>
      <c r="G9401">
        <v>822040</v>
      </c>
      <c r="H9401" t="s">
        <v>26</v>
      </c>
      <c r="I9401" t="s">
        <v>53</v>
      </c>
      <c r="J9401" t="str">
        <f>"9781118289099"</f>
        <v>9781118289099</v>
      </c>
      <c r="K9401" t="s">
        <v>33</v>
      </c>
      <c r="L9401">
        <v>3</v>
      </c>
      <c r="O9401" t="s">
        <v>30</v>
      </c>
      <c r="P9401" t="s">
        <v>42</v>
      </c>
      <c r="S9401" t="s">
        <v>1226</v>
      </c>
      <c r="T9401" t="s">
        <v>55</v>
      </c>
      <c r="U9401" t="s">
        <v>56</v>
      </c>
      <c r="V9401" s="3">
        <v>40990</v>
      </c>
    </row>
    <row r="9402" spans="1:22" x14ac:dyDescent="0.35">
      <c r="A9402" s="1">
        <v>42219.829548611109</v>
      </c>
      <c r="B9402" s="2">
        <v>6.6423611111111114E-2</v>
      </c>
      <c r="C9402" t="s">
        <v>520</v>
      </c>
      <c r="D9402" t="s">
        <v>23</v>
      </c>
      <c r="E9402" t="s">
        <v>24</v>
      </c>
      <c r="F9402" t="s">
        <v>13066</v>
      </c>
      <c r="G9402">
        <v>817895</v>
      </c>
      <c r="H9402" t="s">
        <v>26</v>
      </c>
      <c r="I9402" t="s">
        <v>4938</v>
      </c>
      <c r="J9402" t="str">
        <f>"9781118217047"</f>
        <v>9781118217047</v>
      </c>
      <c r="K9402" t="s">
        <v>13067</v>
      </c>
      <c r="L9402">
        <v>40</v>
      </c>
      <c r="O9402" t="s">
        <v>30</v>
      </c>
      <c r="P9402" t="s">
        <v>29</v>
      </c>
      <c r="Q9402" s="1">
        <v>42219.829548611109</v>
      </c>
      <c r="R9402">
        <v>7</v>
      </c>
      <c r="S9402" t="s">
        <v>31</v>
      </c>
      <c r="T9402" t="s">
        <v>13068</v>
      </c>
      <c r="U9402" t="s">
        <v>13069</v>
      </c>
      <c r="V9402" s="3">
        <v>40963</v>
      </c>
    </row>
    <row r="9403" spans="1:22" x14ac:dyDescent="0.35">
      <c r="A9403" s="1">
        <v>42219.809849537036</v>
      </c>
      <c r="B9403" s="2">
        <v>1.9699074074074074E-2</v>
      </c>
      <c r="C9403" t="s">
        <v>520</v>
      </c>
      <c r="D9403" t="s">
        <v>23</v>
      </c>
      <c r="E9403" t="s">
        <v>24</v>
      </c>
      <c r="F9403" t="s">
        <v>13066</v>
      </c>
      <c r="G9403">
        <v>817895</v>
      </c>
      <c r="H9403" t="s">
        <v>26</v>
      </c>
      <c r="I9403" t="s">
        <v>4938</v>
      </c>
      <c r="J9403" t="str">
        <f>"9781118217047"</f>
        <v>9781118217047</v>
      </c>
      <c r="K9403" t="s">
        <v>13070</v>
      </c>
      <c r="L9403">
        <v>20</v>
      </c>
      <c r="O9403" t="s">
        <v>30</v>
      </c>
      <c r="P9403" t="s">
        <v>42</v>
      </c>
      <c r="S9403" t="s">
        <v>31</v>
      </c>
      <c r="T9403" t="s">
        <v>13068</v>
      </c>
      <c r="U9403" t="s">
        <v>13069</v>
      </c>
      <c r="V9403" s="3">
        <v>40963</v>
      </c>
    </row>
    <row r="9404" spans="1:22" x14ac:dyDescent="0.35">
      <c r="A9404" s="1">
        <v>42219.716493055559</v>
      </c>
      <c r="B9404" s="2">
        <v>2.3148148148148147E-5</v>
      </c>
      <c r="C9404" t="s">
        <v>2985</v>
      </c>
      <c r="D9404" t="s">
        <v>23</v>
      </c>
      <c r="E9404" t="s">
        <v>24</v>
      </c>
      <c r="F9404" t="s">
        <v>13071</v>
      </c>
      <c r="G9404">
        <v>1218806</v>
      </c>
      <c r="H9404" t="s">
        <v>526</v>
      </c>
      <c r="I9404" t="s">
        <v>13072</v>
      </c>
      <c r="J9404" t="str">
        <f>"9780226068510"</f>
        <v>9780226068510</v>
      </c>
      <c r="K9404" t="s">
        <v>33</v>
      </c>
      <c r="L9404">
        <v>3</v>
      </c>
      <c r="O9404" t="s">
        <v>30</v>
      </c>
      <c r="P9404" t="s">
        <v>50</v>
      </c>
      <c r="S9404" t="s">
        <v>31</v>
      </c>
      <c r="T9404" t="s">
        <v>6750</v>
      </c>
      <c r="U9404" t="s">
        <v>13073</v>
      </c>
      <c r="V9404" s="3">
        <v>41467</v>
      </c>
    </row>
    <row r="9405" spans="1:22" x14ac:dyDescent="0.35">
      <c r="A9405" s="1">
        <v>42219.716134259259</v>
      </c>
      <c r="B9405" s="2">
        <v>3.4722222222222222E-5</v>
      </c>
      <c r="C9405" t="s">
        <v>2985</v>
      </c>
      <c r="D9405" t="s">
        <v>23</v>
      </c>
      <c r="E9405" t="s">
        <v>24</v>
      </c>
      <c r="F9405" t="s">
        <v>9868</v>
      </c>
      <c r="G9405">
        <v>1969392</v>
      </c>
      <c r="H9405" t="s">
        <v>45</v>
      </c>
      <c r="I9405" t="s">
        <v>200</v>
      </c>
      <c r="J9405" t="str">
        <f>"9781409445388"</f>
        <v>9781409445388</v>
      </c>
      <c r="K9405" t="s">
        <v>33</v>
      </c>
      <c r="L9405">
        <v>3</v>
      </c>
      <c r="O9405" t="s">
        <v>30</v>
      </c>
      <c r="P9405" t="s">
        <v>50</v>
      </c>
      <c r="S9405" t="s">
        <v>31</v>
      </c>
      <c r="T9405" t="s">
        <v>9870</v>
      </c>
      <c r="U9405" t="s">
        <v>9871</v>
      </c>
      <c r="V9405" s="3">
        <v>42091</v>
      </c>
    </row>
    <row r="9406" spans="1:22" x14ac:dyDescent="0.35">
      <c r="A9406" s="1">
        <v>42219.699178240742</v>
      </c>
      <c r="B9406" s="2">
        <v>6.3657407407407402E-4</v>
      </c>
      <c r="C9406" t="s">
        <v>3731</v>
      </c>
      <c r="D9406" t="s">
        <v>360</v>
      </c>
      <c r="E9406" t="s">
        <v>361</v>
      </c>
      <c r="F9406" t="s">
        <v>13074</v>
      </c>
      <c r="G9406">
        <v>947857</v>
      </c>
      <c r="H9406" t="s">
        <v>26</v>
      </c>
      <c r="I9406" t="s">
        <v>247</v>
      </c>
      <c r="J9406" t="str">
        <f>"9781118286838"</f>
        <v>9781118286838</v>
      </c>
      <c r="K9406" t="s">
        <v>13075</v>
      </c>
      <c r="L9406">
        <v>22</v>
      </c>
      <c r="O9406" t="s">
        <v>30</v>
      </c>
      <c r="P9406" t="s">
        <v>42</v>
      </c>
      <c r="S9406" t="s">
        <v>363</v>
      </c>
      <c r="T9406" t="s">
        <v>13076</v>
      </c>
      <c r="U9406" t="s">
        <v>13077</v>
      </c>
      <c r="V9406" s="3">
        <v>41689</v>
      </c>
    </row>
    <row r="9407" spans="1:22" x14ac:dyDescent="0.35">
      <c r="A9407" s="1">
        <v>42219.695543981485</v>
      </c>
      <c r="B9407" s="2">
        <v>3.4722222222222222E-5</v>
      </c>
      <c r="C9407" t="s">
        <v>13078</v>
      </c>
      <c r="D9407" t="s">
        <v>35</v>
      </c>
      <c r="E9407" t="s">
        <v>36</v>
      </c>
      <c r="F9407" t="s">
        <v>13074</v>
      </c>
      <c r="G9407">
        <v>947857</v>
      </c>
      <c r="H9407" t="s">
        <v>26</v>
      </c>
      <c r="I9407" t="s">
        <v>247</v>
      </c>
      <c r="J9407" t="str">
        <f>"9781118286838"</f>
        <v>9781118286838</v>
      </c>
      <c r="K9407" t="s">
        <v>33</v>
      </c>
      <c r="L9407">
        <v>3</v>
      </c>
      <c r="O9407" t="s">
        <v>30</v>
      </c>
      <c r="P9407" t="s">
        <v>42</v>
      </c>
      <c r="S9407" t="s">
        <v>40</v>
      </c>
      <c r="T9407" t="s">
        <v>13076</v>
      </c>
      <c r="U9407" t="s">
        <v>13077</v>
      </c>
      <c r="V9407" s="3">
        <v>41689</v>
      </c>
    </row>
    <row r="9408" spans="1:22" x14ac:dyDescent="0.35">
      <c r="A9408" s="1">
        <v>42219.585057870368</v>
      </c>
      <c r="B9408" s="2">
        <v>3.2407407407407406E-4</v>
      </c>
      <c r="C9408" t="s">
        <v>320</v>
      </c>
      <c r="D9408" t="s">
        <v>23</v>
      </c>
      <c r="E9408" t="s">
        <v>24</v>
      </c>
      <c r="F9408" t="s">
        <v>1051</v>
      </c>
      <c r="G9408">
        <v>821663</v>
      </c>
      <c r="H9408" t="s">
        <v>26</v>
      </c>
      <c r="I9408" t="s">
        <v>200</v>
      </c>
      <c r="J9408" t="str">
        <f>"9781118168479"</f>
        <v>9781118168479</v>
      </c>
      <c r="K9408" t="s">
        <v>13079</v>
      </c>
      <c r="L9408">
        <v>23</v>
      </c>
      <c r="O9408" t="s">
        <v>30</v>
      </c>
      <c r="P9408" t="s">
        <v>29</v>
      </c>
      <c r="Q9408" s="1">
        <v>42219.585046296299</v>
      </c>
      <c r="R9408">
        <v>7</v>
      </c>
      <c r="S9408" t="s">
        <v>31</v>
      </c>
      <c r="T9408" t="s">
        <v>1053</v>
      </c>
      <c r="U9408">
        <v>729</v>
      </c>
      <c r="V9408" s="3">
        <v>40973</v>
      </c>
    </row>
    <row r="9409" spans="1:22" x14ac:dyDescent="0.35">
      <c r="A9409" s="1">
        <v>42219.575092592589</v>
      </c>
      <c r="B9409" s="2">
        <v>9.9537037037037042E-3</v>
      </c>
      <c r="C9409" t="s">
        <v>320</v>
      </c>
      <c r="D9409" t="s">
        <v>23</v>
      </c>
      <c r="E9409" t="s">
        <v>24</v>
      </c>
      <c r="F9409" t="s">
        <v>1051</v>
      </c>
      <c r="G9409">
        <v>821663</v>
      </c>
      <c r="H9409" t="s">
        <v>26</v>
      </c>
      <c r="I9409" t="s">
        <v>200</v>
      </c>
      <c r="J9409" t="str">
        <f>"9781118168479"</f>
        <v>9781118168479</v>
      </c>
      <c r="K9409" t="s">
        <v>13080</v>
      </c>
      <c r="L9409">
        <v>29</v>
      </c>
      <c r="O9409" t="s">
        <v>30</v>
      </c>
      <c r="P9409" t="s">
        <v>42</v>
      </c>
      <c r="S9409" t="s">
        <v>31</v>
      </c>
      <c r="T9409" t="s">
        <v>1053</v>
      </c>
      <c r="U9409">
        <v>729</v>
      </c>
      <c r="V9409" s="3">
        <v>40973</v>
      </c>
    </row>
    <row r="9410" spans="1:22" x14ac:dyDescent="0.35">
      <c r="A9410" s="1">
        <v>42218.648495370369</v>
      </c>
      <c r="B9410" s="2">
        <v>1.4351851851851854E-3</v>
      </c>
      <c r="C9410" t="s">
        <v>3297</v>
      </c>
      <c r="D9410" t="s">
        <v>23</v>
      </c>
      <c r="E9410" t="s">
        <v>24</v>
      </c>
      <c r="F9410" t="s">
        <v>13081</v>
      </c>
      <c r="G9410">
        <v>1663560</v>
      </c>
      <c r="H9410" t="s">
        <v>613</v>
      </c>
      <c r="I9410" t="s">
        <v>1434</v>
      </c>
      <c r="J9410" t="str">
        <f>"9781469615547"</f>
        <v>9781469615547</v>
      </c>
      <c r="K9410" t="s">
        <v>13082</v>
      </c>
      <c r="L9410">
        <v>15</v>
      </c>
      <c r="O9410" t="s">
        <v>30</v>
      </c>
      <c r="P9410" t="s">
        <v>50</v>
      </c>
      <c r="S9410" t="s">
        <v>31</v>
      </c>
      <c r="T9410" t="s">
        <v>13083</v>
      </c>
      <c r="U9410" t="s">
        <v>13084</v>
      </c>
      <c r="V9410" s="3">
        <v>41785</v>
      </c>
    </row>
    <row r="9411" spans="1:22" x14ac:dyDescent="0.35">
      <c r="A9411" s="1">
        <v>42218.56591435185</v>
      </c>
      <c r="B9411" s="2">
        <v>0</v>
      </c>
      <c r="C9411" t="s">
        <v>349</v>
      </c>
      <c r="D9411" t="s">
        <v>23</v>
      </c>
      <c r="E9411" t="s">
        <v>24</v>
      </c>
      <c r="F9411" t="s">
        <v>13085</v>
      </c>
      <c r="G9411">
        <v>1126595</v>
      </c>
      <c r="H9411" t="s">
        <v>2998</v>
      </c>
      <c r="I9411" t="s">
        <v>310</v>
      </c>
      <c r="J9411" t="str">
        <f>"9780748655700"</f>
        <v>9780748655700</v>
      </c>
      <c r="L9411">
        <v>0</v>
      </c>
      <c r="O9411" t="s">
        <v>28</v>
      </c>
      <c r="P9411" t="s">
        <v>47</v>
      </c>
      <c r="Q9411" s="1">
        <v>42218.56591435185</v>
      </c>
      <c r="R9411">
        <v>1</v>
      </c>
      <c r="S9411" t="s">
        <v>31</v>
      </c>
      <c r="T9411" t="s">
        <v>13086</v>
      </c>
      <c r="U9411">
        <v>892.73509000000001</v>
      </c>
      <c r="V9411" s="3">
        <v>41295</v>
      </c>
    </row>
    <row r="9412" spans="1:22" x14ac:dyDescent="0.35">
      <c r="A9412" s="1">
        <v>42218.56591435185</v>
      </c>
      <c r="B9412" s="2">
        <v>0</v>
      </c>
      <c r="C9412" t="s">
        <v>349</v>
      </c>
      <c r="D9412" t="s">
        <v>23</v>
      </c>
      <c r="E9412" t="s">
        <v>24</v>
      </c>
      <c r="F9412" t="s">
        <v>13085</v>
      </c>
      <c r="G9412">
        <v>1126595</v>
      </c>
      <c r="H9412" t="s">
        <v>2998</v>
      </c>
      <c r="I9412" t="s">
        <v>310</v>
      </c>
      <c r="J9412" t="str">
        <f>"9780748655700"</f>
        <v>9780748655700</v>
      </c>
      <c r="L9412">
        <v>0</v>
      </c>
      <c r="O9412" t="s">
        <v>30</v>
      </c>
      <c r="P9412" t="s">
        <v>47</v>
      </c>
      <c r="Q9412" s="1">
        <v>42218.56591435185</v>
      </c>
      <c r="R9412">
        <v>1</v>
      </c>
      <c r="S9412" t="s">
        <v>31</v>
      </c>
      <c r="T9412" t="s">
        <v>13086</v>
      </c>
      <c r="U9412">
        <v>892.73509000000001</v>
      </c>
      <c r="V9412" s="3">
        <v>41295</v>
      </c>
    </row>
    <row r="9413" spans="1:22" x14ac:dyDescent="0.35">
      <c r="A9413" s="1">
        <v>42218.565659722219</v>
      </c>
      <c r="B9413" s="2">
        <v>2.5462962962962961E-4</v>
      </c>
      <c r="C9413" t="s">
        <v>349</v>
      </c>
      <c r="D9413" t="s">
        <v>23</v>
      </c>
      <c r="E9413" t="s">
        <v>24</v>
      </c>
      <c r="F9413" t="s">
        <v>13085</v>
      </c>
      <c r="G9413">
        <v>1126595</v>
      </c>
      <c r="H9413" t="s">
        <v>2998</v>
      </c>
      <c r="I9413" t="s">
        <v>310</v>
      </c>
      <c r="J9413" t="str">
        <f>"9780748655700"</f>
        <v>9780748655700</v>
      </c>
      <c r="K9413" t="s">
        <v>33</v>
      </c>
      <c r="L9413">
        <v>3</v>
      </c>
      <c r="O9413" t="s">
        <v>30</v>
      </c>
      <c r="P9413" t="s">
        <v>50</v>
      </c>
      <c r="S9413" t="s">
        <v>31</v>
      </c>
      <c r="T9413" t="s">
        <v>13086</v>
      </c>
      <c r="U9413">
        <v>892.73509000000001</v>
      </c>
      <c r="V9413" s="3">
        <v>41295</v>
      </c>
    </row>
    <row r="9414" spans="1:22" x14ac:dyDescent="0.35">
      <c r="A9414" s="1">
        <v>42218.564803240741</v>
      </c>
      <c r="B9414" s="2">
        <v>0</v>
      </c>
      <c r="C9414" t="s">
        <v>349</v>
      </c>
      <c r="D9414" t="s">
        <v>23</v>
      </c>
      <c r="E9414" t="s">
        <v>24</v>
      </c>
      <c r="F9414" t="s">
        <v>13087</v>
      </c>
      <c r="G9414">
        <v>1126589</v>
      </c>
      <c r="H9414" t="s">
        <v>2998</v>
      </c>
      <c r="I9414" t="s">
        <v>310</v>
      </c>
      <c r="J9414" t="str">
        <f>"9780748677153"</f>
        <v>9780748677153</v>
      </c>
      <c r="L9414">
        <v>0</v>
      </c>
      <c r="O9414" t="s">
        <v>28</v>
      </c>
      <c r="P9414" t="s">
        <v>47</v>
      </c>
      <c r="Q9414" s="1">
        <v>42218.564803240741</v>
      </c>
      <c r="R9414">
        <v>1</v>
      </c>
      <c r="S9414" t="s">
        <v>31</v>
      </c>
      <c r="T9414" t="s">
        <v>13088</v>
      </c>
      <c r="U9414">
        <v>811.00935266399995</v>
      </c>
      <c r="V9414" s="3">
        <v>41291</v>
      </c>
    </row>
    <row r="9415" spans="1:22" x14ac:dyDescent="0.35">
      <c r="A9415" s="1">
        <v>42218.564803240741</v>
      </c>
      <c r="B9415" s="2">
        <v>0</v>
      </c>
      <c r="C9415" t="s">
        <v>349</v>
      </c>
      <c r="D9415" t="s">
        <v>23</v>
      </c>
      <c r="E9415" t="s">
        <v>24</v>
      </c>
      <c r="F9415" t="s">
        <v>13087</v>
      </c>
      <c r="G9415">
        <v>1126589</v>
      </c>
      <c r="H9415" t="s">
        <v>2998</v>
      </c>
      <c r="I9415" t="s">
        <v>310</v>
      </c>
      <c r="J9415" t="str">
        <f>"9780748677153"</f>
        <v>9780748677153</v>
      </c>
      <c r="L9415">
        <v>0</v>
      </c>
      <c r="O9415" t="s">
        <v>30</v>
      </c>
      <c r="P9415" t="s">
        <v>47</v>
      </c>
      <c r="Q9415" s="1">
        <v>42218.564803240741</v>
      </c>
      <c r="R9415">
        <v>1</v>
      </c>
      <c r="S9415" t="s">
        <v>31</v>
      </c>
      <c r="T9415" t="s">
        <v>13088</v>
      </c>
      <c r="U9415">
        <v>811.00935266399995</v>
      </c>
      <c r="V9415" s="3">
        <v>41291</v>
      </c>
    </row>
    <row r="9416" spans="1:22" x14ac:dyDescent="0.35">
      <c r="A9416" s="1">
        <v>42218.564618055556</v>
      </c>
      <c r="B9416" s="2">
        <v>1.8518518518518518E-4</v>
      </c>
      <c r="C9416" t="s">
        <v>349</v>
      </c>
      <c r="D9416" t="s">
        <v>23</v>
      </c>
      <c r="E9416" t="s">
        <v>24</v>
      </c>
      <c r="F9416" t="s">
        <v>13087</v>
      </c>
      <c r="G9416">
        <v>1126589</v>
      </c>
      <c r="H9416" t="s">
        <v>2998</v>
      </c>
      <c r="I9416" t="s">
        <v>310</v>
      </c>
      <c r="J9416" t="str">
        <f>"9780748677153"</f>
        <v>9780748677153</v>
      </c>
      <c r="K9416" t="s">
        <v>33</v>
      </c>
      <c r="L9416">
        <v>3</v>
      </c>
      <c r="O9416" t="s">
        <v>30</v>
      </c>
      <c r="P9416" t="s">
        <v>50</v>
      </c>
      <c r="S9416" t="s">
        <v>31</v>
      </c>
      <c r="T9416" t="s">
        <v>13088</v>
      </c>
      <c r="U9416">
        <v>811.00935266399995</v>
      </c>
      <c r="V9416" s="3">
        <v>41291</v>
      </c>
    </row>
    <row r="9417" spans="1:22" x14ac:dyDescent="0.35">
      <c r="A9417" s="1">
        <v>42218.562685185185</v>
      </c>
      <c r="B9417" s="2">
        <v>0</v>
      </c>
      <c r="C9417" t="s">
        <v>349</v>
      </c>
      <c r="D9417" t="s">
        <v>23</v>
      </c>
      <c r="E9417" t="s">
        <v>24</v>
      </c>
      <c r="F9417" t="s">
        <v>13089</v>
      </c>
      <c r="G9417">
        <v>1126587</v>
      </c>
      <c r="H9417" t="s">
        <v>2998</v>
      </c>
      <c r="I9417" t="s">
        <v>310</v>
      </c>
      <c r="J9417" t="str">
        <f>"9780748676309"</f>
        <v>9780748676309</v>
      </c>
      <c r="L9417">
        <v>0</v>
      </c>
      <c r="O9417" t="s">
        <v>28</v>
      </c>
      <c r="P9417" t="s">
        <v>47</v>
      </c>
      <c r="Q9417" s="1">
        <v>42218.562685185185</v>
      </c>
      <c r="R9417">
        <v>1</v>
      </c>
      <c r="S9417" t="s">
        <v>31</v>
      </c>
      <c r="T9417" t="s">
        <v>13090</v>
      </c>
      <c r="U9417">
        <v>801.3</v>
      </c>
      <c r="V9417" s="3">
        <v>41291</v>
      </c>
    </row>
    <row r="9418" spans="1:22" x14ac:dyDescent="0.35">
      <c r="A9418" s="1">
        <v>42218.562685185185</v>
      </c>
      <c r="B9418" s="2">
        <v>0</v>
      </c>
      <c r="C9418" t="s">
        <v>349</v>
      </c>
      <c r="D9418" t="s">
        <v>23</v>
      </c>
      <c r="E9418" t="s">
        <v>24</v>
      </c>
      <c r="F9418" t="s">
        <v>13089</v>
      </c>
      <c r="G9418">
        <v>1126587</v>
      </c>
      <c r="H9418" t="s">
        <v>2998</v>
      </c>
      <c r="I9418" t="s">
        <v>310</v>
      </c>
      <c r="J9418" t="str">
        <f>"9780748676309"</f>
        <v>9780748676309</v>
      </c>
      <c r="L9418">
        <v>0</v>
      </c>
      <c r="O9418" t="s">
        <v>30</v>
      </c>
      <c r="P9418" t="s">
        <v>47</v>
      </c>
      <c r="Q9418" s="1">
        <v>42218.562685185185</v>
      </c>
      <c r="R9418">
        <v>1</v>
      </c>
      <c r="S9418" t="s">
        <v>31</v>
      </c>
      <c r="T9418" t="s">
        <v>13090</v>
      </c>
      <c r="U9418">
        <v>801.3</v>
      </c>
      <c r="V9418" s="3">
        <v>41291</v>
      </c>
    </row>
    <row r="9419" spans="1:22" x14ac:dyDescent="0.35">
      <c r="A9419" s="1">
        <v>42218.562534722223</v>
      </c>
      <c r="B9419" s="2">
        <v>1.5046296296296297E-4</v>
      </c>
      <c r="C9419" t="s">
        <v>349</v>
      </c>
      <c r="D9419" t="s">
        <v>23</v>
      </c>
      <c r="E9419" t="s">
        <v>24</v>
      </c>
      <c r="F9419" t="s">
        <v>13089</v>
      </c>
      <c r="G9419">
        <v>1126587</v>
      </c>
      <c r="H9419" t="s">
        <v>2998</v>
      </c>
      <c r="I9419" t="s">
        <v>310</v>
      </c>
      <c r="J9419" t="str">
        <f>"9780748676309"</f>
        <v>9780748676309</v>
      </c>
      <c r="K9419" t="s">
        <v>33</v>
      </c>
      <c r="L9419">
        <v>3</v>
      </c>
      <c r="O9419" t="s">
        <v>30</v>
      </c>
      <c r="P9419" t="s">
        <v>50</v>
      </c>
      <c r="S9419" t="s">
        <v>31</v>
      </c>
      <c r="T9419" t="s">
        <v>13090</v>
      </c>
      <c r="U9419">
        <v>801.3</v>
      </c>
      <c r="V9419" s="3">
        <v>41291</v>
      </c>
    </row>
    <row r="9420" spans="1:22" x14ac:dyDescent="0.35">
      <c r="A9420" s="1">
        <v>42218.561701388891</v>
      </c>
      <c r="B9420" s="2">
        <v>0</v>
      </c>
      <c r="C9420" t="s">
        <v>349</v>
      </c>
      <c r="D9420" t="s">
        <v>23</v>
      </c>
      <c r="E9420" t="s">
        <v>24</v>
      </c>
      <c r="F9420" t="s">
        <v>13091</v>
      </c>
      <c r="G9420">
        <v>1126586</v>
      </c>
      <c r="H9420" t="s">
        <v>2998</v>
      </c>
      <c r="I9420" t="s">
        <v>310</v>
      </c>
      <c r="J9420" t="str">
        <f>"9780748670543"</f>
        <v>9780748670543</v>
      </c>
      <c r="L9420">
        <v>0</v>
      </c>
      <c r="O9420" t="s">
        <v>28</v>
      </c>
      <c r="P9420" t="s">
        <v>47</v>
      </c>
      <c r="Q9420" s="1">
        <v>42218.561701388891</v>
      </c>
      <c r="R9420">
        <v>1</v>
      </c>
      <c r="S9420" t="s">
        <v>31</v>
      </c>
      <c r="T9420" t="s">
        <v>13092</v>
      </c>
      <c r="U9420">
        <v>811.52</v>
      </c>
      <c r="V9420" s="3">
        <v>41278</v>
      </c>
    </row>
    <row r="9421" spans="1:22" x14ac:dyDescent="0.35">
      <c r="A9421" s="1">
        <v>42218.561701388891</v>
      </c>
      <c r="B9421" s="2">
        <v>0</v>
      </c>
      <c r="C9421" t="s">
        <v>349</v>
      </c>
      <c r="D9421" t="s">
        <v>23</v>
      </c>
      <c r="E9421" t="s">
        <v>24</v>
      </c>
      <c r="F9421" t="s">
        <v>13091</v>
      </c>
      <c r="G9421">
        <v>1126586</v>
      </c>
      <c r="H9421" t="s">
        <v>2998</v>
      </c>
      <c r="I9421" t="s">
        <v>310</v>
      </c>
      <c r="J9421" t="str">
        <f>"9780748670543"</f>
        <v>9780748670543</v>
      </c>
      <c r="L9421">
        <v>0</v>
      </c>
      <c r="O9421" t="s">
        <v>30</v>
      </c>
      <c r="P9421" t="s">
        <v>47</v>
      </c>
      <c r="Q9421" s="1">
        <v>42218.561701388891</v>
      </c>
      <c r="R9421">
        <v>1</v>
      </c>
      <c r="S9421" t="s">
        <v>31</v>
      </c>
      <c r="T9421" t="s">
        <v>13092</v>
      </c>
      <c r="U9421">
        <v>811.52</v>
      </c>
      <c r="V9421" s="3">
        <v>41278</v>
      </c>
    </row>
    <row r="9422" spans="1:22" x14ac:dyDescent="0.35">
      <c r="A9422" s="1">
        <v>42218.561423611114</v>
      </c>
      <c r="B9422" s="2">
        <v>2.7777777777777778E-4</v>
      </c>
      <c r="C9422" t="s">
        <v>349</v>
      </c>
      <c r="D9422" t="s">
        <v>23</v>
      </c>
      <c r="E9422" t="s">
        <v>24</v>
      </c>
      <c r="F9422" t="s">
        <v>13091</v>
      </c>
      <c r="G9422">
        <v>1126586</v>
      </c>
      <c r="H9422" t="s">
        <v>2998</v>
      </c>
      <c r="I9422" t="s">
        <v>310</v>
      </c>
      <c r="J9422" t="str">
        <f>"9780748670543"</f>
        <v>9780748670543</v>
      </c>
      <c r="K9422" t="s">
        <v>33</v>
      </c>
      <c r="L9422">
        <v>3</v>
      </c>
      <c r="O9422" t="s">
        <v>30</v>
      </c>
      <c r="P9422" t="s">
        <v>50</v>
      </c>
      <c r="S9422" t="s">
        <v>31</v>
      </c>
      <c r="T9422" t="s">
        <v>13092</v>
      </c>
      <c r="U9422">
        <v>811.52</v>
      </c>
      <c r="V9422" s="3">
        <v>41278</v>
      </c>
    </row>
    <row r="9423" spans="1:22" x14ac:dyDescent="0.35">
      <c r="A9423" s="1">
        <v>42218.560416666667</v>
      </c>
      <c r="B9423" s="2">
        <v>0</v>
      </c>
      <c r="C9423" t="s">
        <v>349</v>
      </c>
      <c r="D9423" t="s">
        <v>23</v>
      </c>
      <c r="E9423" t="s">
        <v>24</v>
      </c>
      <c r="F9423" t="s">
        <v>13093</v>
      </c>
      <c r="G9423">
        <v>1126582</v>
      </c>
      <c r="H9423" t="s">
        <v>2998</v>
      </c>
      <c r="I9423" t="s">
        <v>79</v>
      </c>
      <c r="J9423" t="str">
        <f>"9780748668182"</f>
        <v>9780748668182</v>
      </c>
      <c r="L9423">
        <v>0</v>
      </c>
      <c r="O9423" t="s">
        <v>28</v>
      </c>
      <c r="P9423" t="s">
        <v>47</v>
      </c>
      <c r="Q9423" s="1">
        <v>42218.560416666667</v>
      </c>
      <c r="R9423">
        <v>1</v>
      </c>
      <c r="S9423" t="s">
        <v>31</v>
      </c>
      <c r="T9423" t="s">
        <v>13094</v>
      </c>
      <c r="U9423">
        <v>340.54</v>
      </c>
      <c r="V9423" s="3">
        <v>41295</v>
      </c>
    </row>
    <row r="9424" spans="1:22" x14ac:dyDescent="0.35">
      <c r="A9424" s="1">
        <v>42218.560416666667</v>
      </c>
      <c r="B9424" s="2">
        <v>0</v>
      </c>
      <c r="C9424" t="s">
        <v>349</v>
      </c>
      <c r="D9424" t="s">
        <v>23</v>
      </c>
      <c r="E9424" t="s">
        <v>24</v>
      </c>
      <c r="F9424" t="s">
        <v>13093</v>
      </c>
      <c r="G9424">
        <v>1126582</v>
      </c>
      <c r="H9424" t="s">
        <v>2998</v>
      </c>
      <c r="I9424" t="s">
        <v>79</v>
      </c>
      <c r="J9424" t="str">
        <f>"9780748668182"</f>
        <v>9780748668182</v>
      </c>
      <c r="L9424">
        <v>0</v>
      </c>
      <c r="O9424" t="s">
        <v>30</v>
      </c>
      <c r="P9424" t="s">
        <v>47</v>
      </c>
      <c r="Q9424" s="1">
        <v>42218.560416666667</v>
      </c>
      <c r="R9424">
        <v>1</v>
      </c>
      <c r="S9424" t="s">
        <v>31</v>
      </c>
      <c r="T9424" t="s">
        <v>13094</v>
      </c>
      <c r="U9424">
        <v>340.54</v>
      </c>
      <c r="V9424" s="3">
        <v>41295</v>
      </c>
    </row>
    <row r="9425" spans="1:22" x14ac:dyDescent="0.35">
      <c r="A9425" s="1">
        <v>42218.56009259259</v>
      </c>
      <c r="B9425" s="2">
        <v>3.2407407407407406E-4</v>
      </c>
      <c r="C9425" t="s">
        <v>349</v>
      </c>
      <c r="D9425" t="s">
        <v>23</v>
      </c>
      <c r="E9425" t="s">
        <v>24</v>
      </c>
      <c r="F9425" t="s">
        <v>13093</v>
      </c>
      <c r="G9425">
        <v>1126582</v>
      </c>
      <c r="H9425" t="s">
        <v>2998</v>
      </c>
      <c r="I9425" t="s">
        <v>79</v>
      </c>
      <c r="J9425" t="str">
        <f>"9780748668182"</f>
        <v>9780748668182</v>
      </c>
      <c r="K9425" t="s">
        <v>33</v>
      </c>
      <c r="L9425">
        <v>3</v>
      </c>
      <c r="O9425" t="s">
        <v>30</v>
      </c>
      <c r="P9425" t="s">
        <v>50</v>
      </c>
      <c r="S9425" t="s">
        <v>31</v>
      </c>
      <c r="T9425" t="s">
        <v>13094</v>
      </c>
      <c r="U9425">
        <v>340.54</v>
      </c>
      <c r="V9425" s="3">
        <v>41295</v>
      </c>
    </row>
    <row r="9426" spans="1:22" x14ac:dyDescent="0.35">
      <c r="A9426" s="1">
        <v>42218.559062499997</v>
      </c>
      <c r="B9426" s="2">
        <v>0</v>
      </c>
      <c r="C9426" t="s">
        <v>349</v>
      </c>
      <c r="D9426" t="s">
        <v>23</v>
      </c>
      <c r="E9426" t="s">
        <v>24</v>
      </c>
      <c r="F9426" t="s">
        <v>13095</v>
      </c>
      <c r="G9426">
        <v>1120970</v>
      </c>
      <c r="H9426" t="s">
        <v>84</v>
      </c>
      <c r="I9426" t="s">
        <v>445</v>
      </c>
      <c r="J9426" t="str">
        <f>"9780520955301"</f>
        <v>9780520955301</v>
      </c>
      <c r="L9426">
        <v>0</v>
      </c>
      <c r="O9426" t="s">
        <v>28</v>
      </c>
      <c r="P9426" t="s">
        <v>47</v>
      </c>
      <c r="Q9426" s="1">
        <v>42218.559062499997</v>
      </c>
      <c r="R9426">
        <v>1</v>
      </c>
      <c r="S9426" t="s">
        <v>31</v>
      </c>
      <c r="T9426" t="s">
        <v>13096</v>
      </c>
      <c r="U9426">
        <v>331.76138773999998</v>
      </c>
      <c r="V9426" s="3">
        <v>41345</v>
      </c>
    </row>
    <row r="9427" spans="1:22" x14ac:dyDescent="0.35">
      <c r="A9427" s="1">
        <v>42218.559062499997</v>
      </c>
      <c r="B9427" s="2">
        <v>0</v>
      </c>
      <c r="C9427" t="s">
        <v>349</v>
      </c>
      <c r="D9427" t="s">
        <v>23</v>
      </c>
      <c r="E9427" t="s">
        <v>24</v>
      </c>
      <c r="F9427" t="s">
        <v>13095</v>
      </c>
      <c r="G9427">
        <v>1120970</v>
      </c>
      <c r="H9427" t="s">
        <v>84</v>
      </c>
      <c r="I9427" t="s">
        <v>445</v>
      </c>
      <c r="J9427" t="str">
        <f>"9780520955301"</f>
        <v>9780520955301</v>
      </c>
      <c r="L9427">
        <v>0</v>
      </c>
      <c r="O9427" t="s">
        <v>30</v>
      </c>
      <c r="P9427" t="s">
        <v>47</v>
      </c>
      <c r="Q9427" s="1">
        <v>42218.559062499997</v>
      </c>
      <c r="R9427">
        <v>1</v>
      </c>
      <c r="S9427" t="s">
        <v>31</v>
      </c>
      <c r="T9427" t="s">
        <v>13096</v>
      </c>
      <c r="U9427">
        <v>331.76138773999998</v>
      </c>
      <c r="V9427" s="3">
        <v>41345</v>
      </c>
    </row>
    <row r="9428" spans="1:22" x14ac:dyDescent="0.35">
      <c r="A9428" s="1">
        <v>42218.558888888889</v>
      </c>
      <c r="B9428" s="2">
        <v>1.6203703703703703E-4</v>
      </c>
      <c r="C9428" t="s">
        <v>349</v>
      </c>
      <c r="D9428" t="s">
        <v>23</v>
      </c>
      <c r="E9428" t="s">
        <v>24</v>
      </c>
      <c r="F9428" t="s">
        <v>13095</v>
      </c>
      <c r="G9428">
        <v>1120970</v>
      </c>
      <c r="H9428" t="s">
        <v>84</v>
      </c>
      <c r="I9428" t="s">
        <v>445</v>
      </c>
      <c r="J9428" t="str">
        <f>"9780520955301"</f>
        <v>9780520955301</v>
      </c>
      <c r="K9428" t="s">
        <v>33</v>
      </c>
      <c r="L9428">
        <v>3</v>
      </c>
      <c r="O9428" t="s">
        <v>30</v>
      </c>
      <c r="P9428" t="s">
        <v>50</v>
      </c>
      <c r="S9428" t="s">
        <v>31</v>
      </c>
      <c r="T9428" t="s">
        <v>13096</v>
      </c>
      <c r="U9428">
        <v>331.76138773999998</v>
      </c>
      <c r="V9428" s="3">
        <v>41345</v>
      </c>
    </row>
    <row r="9429" spans="1:22" x14ac:dyDescent="0.35">
      <c r="A9429" s="1">
        <v>42218.557847222219</v>
      </c>
      <c r="B9429" s="2">
        <v>0</v>
      </c>
      <c r="C9429" t="s">
        <v>349</v>
      </c>
      <c r="D9429" t="s">
        <v>23</v>
      </c>
      <c r="E9429" t="s">
        <v>24</v>
      </c>
      <c r="F9429" t="s">
        <v>13097</v>
      </c>
      <c r="G9429">
        <v>1120965</v>
      </c>
      <c r="H9429" t="s">
        <v>84</v>
      </c>
      <c r="I9429" t="s">
        <v>3665</v>
      </c>
      <c r="J9429" t="str">
        <f>"9780520954465"</f>
        <v>9780520954465</v>
      </c>
      <c r="L9429">
        <v>0</v>
      </c>
      <c r="O9429" t="s">
        <v>28</v>
      </c>
      <c r="P9429" t="s">
        <v>47</v>
      </c>
      <c r="Q9429" s="1">
        <v>42218.557847222219</v>
      </c>
      <c r="R9429">
        <v>1</v>
      </c>
      <c r="S9429" t="s">
        <v>31</v>
      </c>
      <c r="T9429" t="s">
        <v>13098</v>
      </c>
      <c r="U9429">
        <v>641.59495000000004</v>
      </c>
      <c r="V9429" s="3">
        <v>41359</v>
      </c>
    </row>
    <row r="9430" spans="1:22" x14ac:dyDescent="0.35">
      <c r="A9430" s="1">
        <v>42218.557847222219</v>
      </c>
      <c r="B9430" s="2">
        <v>0</v>
      </c>
      <c r="C9430" t="s">
        <v>349</v>
      </c>
      <c r="D9430" t="s">
        <v>23</v>
      </c>
      <c r="E9430" t="s">
        <v>24</v>
      </c>
      <c r="F9430" t="s">
        <v>13097</v>
      </c>
      <c r="G9430">
        <v>1120965</v>
      </c>
      <c r="H9430" t="s">
        <v>84</v>
      </c>
      <c r="I9430" t="s">
        <v>3665</v>
      </c>
      <c r="J9430" t="str">
        <f>"9780520954465"</f>
        <v>9780520954465</v>
      </c>
      <c r="L9430">
        <v>0</v>
      </c>
      <c r="O9430" t="s">
        <v>30</v>
      </c>
      <c r="P9430" t="s">
        <v>47</v>
      </c>
      <c r="Q9430" s="1">
        <v>42218.557847222219</v>
      </c>
      <c r="R9430">
        <v>1</v>
      </c>
      <c r="S9430" t="s">
        <v>31</v>
      </c>
      <c r="T9430" t="s">
        <v>13098</v>
      </c>
      <c r="U9430">
        <v>641.59495000000004</v>
      </c>
      <c r="V9430" s="3">
        <v>41359</v>
      </c>
    </row>
    <row r="9431" spans="1:22" x14ac:dyDescent="0.35">
      <c r="A9431" s="1">
        <v>42218.55773148148</v>
      </c>
      <c r="B9431" s="2">
        <v>1.1574074074074073E-4</v>
      </c>
      <c r="C9431" t="s">
        <v>349</v>
      </c>
      <c r="D9431" t="s">
        <v>23</v>
      </c>
      <c r="E9431" t="s">
        <v>24</v>
      </c>
      <c r="F9431" t="s">
        <v>13097</v>
      </c>
      <c r="G9431">
        <v>1120965</v>
      </c>
      <c r="H9431" t="s">
        <v>84</v>
      </c>
      <c r="I9431" t="s">
        <v>3665</v>
      </c>
      <c r="J9431" t="str">
        <f>"9780520954465"</f>
        <v>9780520954465</v>
      </c>
      <c r="K9431" t="s">
        <v>33</v>
      </c>
      <c r="L9431">
        <v>3</v>
      </c>
      <c r="O9431" t="s">
        <v>30</v>
      </c>
      <c r="P9431" t="s">
        <v>50</v>
      </c>
      <c r="S9431" t="s">
        <v>31</v>
      </c>
      <c r="T9431" t="s">
        <v>13098</v>
      </c>
      <c r="U9431">
        <v>641.59495000000004</v>
      </c>
      <c r="V9431" s="3">
        <v>41359</v>
      </c>
    </row>
    <row r="9432" spans="1:22" x14ac:dyDescent="0.35">
      <c r="A9432" s="1">
        <v>42218.555196759262</v>
      </c>
      <c r="B9432" s="2">
        <v>0</v>
      </c>
      <c r="C9432" t="s">
        <v>349</v>
      </c>
      <c r="D9432" t="s">
        <v>23</v>
      </c>
      <c r="E9432" t="s">
        <v>24</v>
      </c>
      <c r="F9432" t="s">
        <v>4572</v>
      </c>
      <c r="G9432">
        <v>1046302</v>
      </c>
      <c r="H9432" t="s">
        <v>84</v>
      </c>
      <c r="I9432" t="s">
        <v>1434</v>
      </c>
      <c r="J9432" t="str">
        <f>"9780520953543"</f>
        <v>9780520953543</v>
      </c>
      <c r="L9432">
        <v>0</v>
      </c>
      <c r="O9432" t="s">
        <v>28</v>
      </c>
      <c r="P9432" t="s">
        <v>29</v>
      </c>
      <c r="Q9432" s="1">
        <v>42218.555196759262</v>
      </c>
      <c r="R9432">
        <v>7</v>
      </c>
      <c r="S9432" t="s">
        <v>31</v>
      </c>
      <c r="T9432" t="s">
        <v>4574</v>
      </c>
      <c r="U9432">
        <v>322.420973</v>
      </c>
      <c r="V9432" s="3">
        <v>41288</v>
      </c>
    </row>
    <row r="9433" spans="1:22" x14ac:dyDescent="0.35">
      <c r="A9433" s="1">
        <v>42218.555196759262</v>
      </c>
      <c r="B9433" s="2">
        <v>0</v>
      </c>
      <c r="C9433" t="s">
        <v>349</v>
      </c>
      <c r="D9433" t="s">
        <v>23</v>
      </c>
      <c r="E9433" t="s">
        <v>24</v>
      </c>
      <c r="F9433" t="s">
        <v>4572</v>
      </c>
      <c r="G9433">
        <v>1046302</v>
      </c>
      <c r="H9433" t="s">
        <v>84</v>
      </c>
      <c r="I9433" t="s">
        <v>1434</v>
      </c>
      <c r="J9433" t="str">
        <f>"9780520953543"</f>
        <v>9780520953543</v>
      </c>
      <c r="L9433">
        <v>0</v>
      </c>
      <c r="O9433" t="s">
        <v>30</v>
      </c>
      <c r="P9433" t="s">
        <v>29</v>
      </c>
      <c r="Q9433" s="1">
        <v>42218.555196759262</v>
      </c>
      <c r="R9433">
        <v>7</v>
      </c>
      <c r="S9433" t="s">
        <v>31</v>
      </c>
      <c r="T9433" t="s">
        <v>4574</v>
      </c>
      <c r="U9433">
        <v>322.420973</v>
      </c>
      <c r="V9433" s="3">
        <v>41288</v>
      </c>
    </row>
    <row r="9434" spans="1:22" x14ac:dyDescent="0.35">
      <c r="A9434" s="1">
        <v>42218.555</v>
      </c>
      <c r="B9434" s="2">
        <v>1.9675925925925926E-4</v>
      </c>
      <c r="C9434" t="s">
        <v>349</v>
      </c>
      <c r="D9434" t="s">
        <v>23</v>
      </c>
      <c r="E9434" t="s">
        <v>24</v>
      </c>
      <c r="F9434" t="s">
        <v>4572</v>
      </c>
      <c r="G9434">
        <v>1046302</v>
      </c>
      <c r="H9434" t="s">
        <v>84</v>
      </c>
      <c r="I9434" t="s">
        <v>1434</v>
      </c>
      <c r="J9434" t="str">
        <f>"9780520953543"</f>
        <v>9780520953543</v>
      </c>
      <c r="K9434" t="s">
        <v>33</v>
      </c>
      <c r="L9434">
        <v>3</v>
      </c>
      <c r="O9434" t="s">
        <v>30</v>
      </c>
      <c r="P9434" t="s">
        <v>42</v>
      </c>
      <c r="S9434" t="s">
        <v>31</v>
      </c>
      <c r="T9434" t="s">
        <v>4574</v>
      </c>
      <c r="U9434">
        <v>322.420973</v>
      </c>
      <c r="V9434" s="3">
        <v>41288</v>
      </c>
    </row>
    <row r="9435" spans="1:22" x14ac:dyDescent="0.35">
      <c r="A9435" s="1">
        <v>42218.484942129631</v>
      </c>
      <c r="B9435" s="2">
        <v>0</v>
      </c>
      <c r="C9435" t="s">
        <v>9028</v>
      </c>
      <c r="D9435" t="s">
        <v>23</v>
      </c>
      <c r="E9435" t="s">
        <v>24</v>
      </c>
      <c r="F9435" t="s">
        <v>5036</v>
      </c>
      <c r="G9435">
        <v>1318206</v>
      </c>
      <c r="H9435" t="s">
        <v>26</v>
      </c>
      <c r="I9435" t="s">
        <v>5037</v>
      </c>
      <c r="J9435" t="str">
        <f>"9781118363560"</f>
        <v>9781118363560</v>
      </c>
      <c r="L9435">
        <v>0</v>
      </c>
      <c r="O9435" t="s">
        <v>28</v>
      </c>
      <c r="P9435" t="s">
        <v>29</v>
      </c>
      <c r="Q9435" s="1">
        <v>42218.484942129631</v>
      </c>
      <c r="R9435">
        <v>7</v>
      </c>
      <c r="S9435" t="s">
        <v>31</v>
      </c>
      <c r="T9435" t="s">
        <v>5038</v>
      </c>
      <c r="U9435" t="s">
        <v>5039</v>
      </c>
      <c r="V9435" s="3">
        <v>41470</v>
      </c>
    </row>
    <row r="9436" spans="1:22" x14ac:dyDescent="0.35">
      <c r="A9436" s="1">
        <v>42218.484942129631</v>
      </c>
      <c r="B9436" s="2">
        <v>0</v>
      </c>
      <c r="C9436" t="s">
        <v>9028</v>
      </c>
      <c r="D9436" t="s">
        <v>23</v>
      </c>
      <c r="E9436" t="s">
        <v>24</v>
      </c>
      <c r="F9436" t="s">
        <v>5036</v>
      </c>
      <c r="G9436">
        <v>1318206</v>
      </c>
      <c r="H9436" t="s">
        <v>26</v>
      </c>
      <c r="I9436" t="s">
        <v>5037</v>
      </c>
      <c r="J9436" t="str">
        <f>"9781118363560"</f>
        <v>9781118363560</v>
      </c>
      <c r="L9436">
        <v>0</v>
      </c>
      <c r="O9436" t="s">
        <v>30</v>
      </c>
      <c r="P9436" t="s">
        <v>29</v>
      </c>
      <c r="Q9436" s="1">
        <v>42218.484942129631</v>
      </c>
      <c r="R9436">
        <v>7</v>
      </c>
      <c r="S9436" t="s">
        <v>31</v>
      </c>
      <c r="T9436" t="s">
        <v>5038</v>
      </c>
      <c r="U9436" t="s">
        <v>5039</v>
      </c>
      <c r="V9436" s="3">
        <v>41470</v>
      </c>
    </row>
    <row r="9437" spans="1:22" x14ac:dyDescent="0.35">
      <c r="A9437" s="1">
        <v>42218.484803240739</v>
      </c>
      <c r="B9437" s="2">
        <v>1.3888888888888889E-4</v>
      </c>
      <c r="C9437" t="s">
        <v>9028</v>
      </c>
      <c r="D9437" t="s">
        <v>23</v>
      </c>
      <c r="E9437" t="s">
        <v>24</v>
      </c>
      <c r="F9437" t="s">
        <v>5036</v>
      </c>
      <c r="G9437">
        <v>1318206</v>
      </c>
      <c r="H9437" t="s">
        <v>26</v>
      </c>
      <c r="I9437" t="s">
        <v>5037</v>
      </c>
      <c r="J9437" t="str">
        <f>"9781118363560"</f>
        <v>9781118363560</v>
      </c>
      <c r="K9437" t="s">
        <v>33</v>
      </c>
      <c r="L9437">
        <v>3</v>
      </c>
      <c r="O9437" t="s">
        <v>30</v>
      </c>
      <c r="P9437" t="s">
        <v>42</v>
      </c>
      <c r="S9437" t="s">
        <v>31</v>
      </c>
      <c r="T9437" t="s">
        <v>5038</v>
      </c>
      <c r="U9437" t="s">
        <v>5039</v>
      </c>
      <c r="V9437" s="3">
        <v>41470</v>
      </c>
    </row>
    <row r="9438" spans="1:22" x14ac:dyDescent="0.35">
      <c r="A9438" s="1">
        <v>42218.483703703707</v>
      </c>
      <c r="B9438" s="2">
        <v>0</v>
      </c>
      <c r="C9438" t="s">
        <v>9028</v>
      </c>
      <c r="D9438" t="s">
        <v>23</v>
      </c>
      <c r="E9438" t="s">
        <v>24</v>
      </c>
      <c r="F9438" t="s">
        <v>3640</v>
      </c>
      <c r="G9438">
        <v>1662670</v>
      </c>
      <c r="H9438" t="s">
        <v>26</v>
      </c>
      <c r="I9438" t="s">
        <v>3641</v>
      </c>
      <c r="J9438" t="str">
        <f>"9781118821251"</f>
        <v>9781118821251</v>
      </c>
      <c r="L9438">
        <v>0</v>
      </c>
      <c r="O9438" t="s">
        <v>28</v>
      </c>
      <c r="P9438" t="s">
        <v>29</v>
      </c>
      <c r="Q9438" s="1">
        <v>42218.483703703707</v>
      </c>
      <c r="R9438">
        <v>7</v>
      </c>
      <c r="S9438" t="s">
        <v>31</v>
      </c>
      <c r="T9438" t="s">
        <v>3642</v>
      </c>
      <c r="U9438" t="s">
        <v>3643</v>
      </c>
      <c r="V9438" s="3">
        <v>41724</v>
      </c>
    </row>
    <row r="9439" spans="1:22" x14ac:dyDescent="0.35">
      <c r="A9439" s="1">
        <v>42218.483703703707</v>
      </c>
      <c r="B9439" s="2">
        <v>0</v>
      </c>
      <c r="C9439" t="s">
        <v>9028</v>
      </c>
      <c r="D9439" t="s">
        <v>23</v>
      </c>
      <c r="E9439" t="s">
        <v>24</v>
      </c>
      <c r="F9439" t="s">
        <v>3640</v>
      </c>
      <c r="G9439">
        <v>1662670</v>
      </c>
      <c r="H9439" t="s">
        <v>26</v>
      </c>
      <c r="I9439" t="s">
        <v>3641</v>
      </c>
      <c r="J9439" t="str">
        <f>"9781118821251"</f>
        <v>9781118821251</v>
      </c>
      <c r="L9439">
        <v>0</v>
      </c>
      <c r="O9439" t="s">
        <v>30</v>
      </c>
      <c r="P9439" t="s">
        <v>29</v>
      </c>
      <c r="Q9439" s="1">
        <v>42218.483703703707</v>
      </c>
      <c r="R9439">
        <v>7</v>
      </c>
      <c r="S9439" t="s">
        <v>31</v>
      </c>
      <c r="T9439" t="s">
        <v>3642</v>
      </c>
      <c r="U9439" t="s">
        <v>3643</v>
      </c>
      <c r="V9439" s="3">
        <v>41724</v>
      </c>
    </row>
    <row r="9440" spans="1:22" x14ac:dyDescent="0.35">
      <c r="A9440" s="1">
        <v>42218.483472222222</v>
      </c>
      <c r="B9440" s="2">
        <v>2.199074074074074E-4</v>
      </c>
      <c r="C9440" t="s">
        <v>9028</v>
      </c>
      <c r="D9440" t="s">
        <v>23</v>
      </c>
      <c r="E9440" t="s">
        <v>24</v>
      </c>
      <c r="F9440" t="s">
        <v>3640</v>
      </c>
      <c r="G9440">
        <v>1662670</v>
      </c>
      <c r="H9440" t="s">
        <v>26</v>
      </c>
      <c r="I9440" t="s">
        <v>3641</v>
      </c>
      <c r="J9440" t="str">
        <f>"9781118821251"</f>
        <v>9781118821251</v>
      </c>
      <c r="K9440" t="s">
        <v>33</v>
      </c>
      <c r="L9440">
        <v>3</v>
      </c>
      <c r="O9440" t="s">
        <v>30</v>
      </c>
      <c r="P9440" t="s">
        <v>42</v>
      </c>
      <c r="S9440" t="s">
        <v>31</v>
      </c>
      <c r="T9440" t="s">
        <v>3642</v>
      </c>
      <c r="U9440" t="s">
        <v>3643</v>
      </c>
      <c r="V9440" s="3">
        <v>41724</v>
      </c>
    </row>
    <row r="9441" spans="1:22" x14ac:dyDescent="0.35">
      <c r="A9441" s="1">
        <v>42217.981192129628</v>
      </c>
      <c r="B9441" s="2">
        <v>1.1574074074074073E-5</v>
      </c>
      <c r="C9441" t="s">
        <v>7816</v>
      </c>
      <c r="D9441" t="s">
        <v>23</v>
      </c>
      <c r="E9441" t="s">
        <v>24</v>
      </c>
      <c r="F9441" t="s">
        <v>6635</v>
      </c>
      <c r="G9441">
        <v>817871</v>
      </c>
      <c r="H9441" t="s">
        <v>26</v>
      </c>
      <c r="I9441" t="s">
        <v>276</v>
      </c>
      <c r="J9441" t="str">
        <f>"9781118206911"</f>
        <v>9781118206911</v>
      </c>
      <c r="K9441" t="s">
        <v>33</v>
      </c>
      <c r="L9441">
        <v>3</v>
      </c>
      <c r="O9441" t="s">
        <v>30</v>
      </c>
      <c r="P9441" t="s">
        <v>29</v>
      </c>
      <c r="Q9441" s="1">
        <v>42217.981192129628</v>
      </c>
      <c r="R9441">
        <v>7</v>
      </c>
      <c r="S9441" t="s">
        <v>31</v>
      </c>
      <c r="T9441" t="s">
        <v>6637</v>
      </c>
      <c r="U9441">
        <v>6.74</v>
      </c>
      <c r="V9441" s="3">
        <v>40897</v>
      </c>
    </row>
    <row r="9442" spans="1:22" x14ac:dyDescent="0.35">
      <c r="A9442" s="1">
        <v>42217.959050925929</v>
      </c>
      <c r="B9442" s="2">
        <v>2.2141203703703705E-2</v>
      </c>
      <c r="C9442" t="s">
        <v>7816</v>
      </c>
      <c r="D9442" t="s">
        <v>23</v>
      </c>
      <c r="E9442" t="s">
        <v>24</v>
      </c>
      <c r="F9442" t="s">
        <v>6635</v>
      </c>
      <c r="G9442">
        <v>817871</v>
      </c>
      <c r="H9442" t="s">
        <v>26</v>
      </c>
      <c r="I9442" t="s">
        <v>276</v>
      </c>
      <c r="J9442" t="str">
        <f>"9781118206911"</f>
        <v>9781118206911</v>
      </c>
      <c r="K9442" t="s">
        <v>13099</v>
      </c>
      <c r="L9442">
        <v>9</v>
      </c>
      <c r="O9442" t="s">
        <v>30</v>
      </c>
      <c r="P9442" t="s">
        <v>42</v>
      </c>
      <c r="S9442" t="s">
        <v>31</v>
      </c>
      <c r="T9442" t="s">
        <v>6637</v>
      </c>
      <c r="U9442">
        <v>6.74</v>
      </c>
      <c r="V9442" s="3">
        <v>40897</v>
      </c>
    </row>
    <row r="9443" spans="1:22" x14ac:dyDescent="0.35">
      <c r="A9443" s="1">
        <v>42217.952743055554</v>
      </c>
      <c r="B9443" s="2">
        <v>2.3344907407407408E-2</v>
      </c>
      <c r="C9443" t="s">
        <v>13100</v>
      </c>
      <c r="D9443" t="s">
        <v>35</v>
      </c>
      <c r="E9443" t="s">
        <v>36</v>
      </c>
      <c r="F9443" t="s">
        <v>13101</v>
      </c>
      <c r="G9443">
        <v>1675476</v>
      </c>
      <c r="H9443" t="s">
        <v>91</v>
      </c>
      <c r="I9443" t="s">
        <v>120</v>
      </c>
      <c r="J9443" t="str">
        <f>"9781462514434"</f>
        <v>9781462514434</v>
      </c>
      <c r="K9443" t="s">
        <v>13102</v>
      </c>
      <c r="L9443">
        <v>6</v>
      </c>
      <c r="O9443" t="s">
        <v>30</v>
      </c>
      <c r="P9443" t="s">
        <v>29</v>
      </c>
      <c r="Q9443" s="1">
        <v>42217.952743055554</v>
      </c>
      <c r="R9443">
        <v>7</v>
      </c>
      <c r="S9443" t="s">
        <v>40</v>
      </c>
      <c r="T9443" t="s">
        <v>13103</v>
      </c>
      <c r="U9443">
        <v>302</v>
      </c>
      <c r="V9443" s="3">
        <v>41830</v>
      </c>
    </row>
    <row r="9444" spans="1:22" x14ac:dyDescent="0.35">
      <c r="A9444" s="1">
        <v>42217.945162037038</v>
      </c>
      <c r="B9444" s="2">
        <v>7.5810185185185182E-3</v>
      </c>
      <c r="C9444" t="s">
        <v>13100</v>
      </c>
      <c r="D9444" t="s">
        <v>35</v>
      </c>
      <c r="E9444" t="s">
        <v>36</v>
      </c>
      <c r="F9444" t="s">
        <v>13101</v>
      </c>
      <c r="G9444">
        <v>1675476</v>
      </c>
      <c r="H9444" t="s">
        <v>91</v>
      </c>
      <c r="I9444" t="s">
        <v>120</v>
      </c>
      <c r="J9444" t="str">
        <f>"9781462514434"</f>
        <v>9781462514434</v>
      </c>
      <c r="K9444" t="s">
        <v>13104</v>
      </c>
      <c r="L9444">
        <v>33</v>
      </c>
      <c r="O9444" t="s">
        <v>30</v>
      </c>
      <c r="P9444" t="s">
        <v>42</v>
      </c>
      <c r="S9444" t="s">
        <v>40</v>
      </c>
      <c r="T9444" t="s">
        <v>13103</v>
      </c>
      <c r="U9444">
        <v>302</v>
      </c>
      <c r="V9444" s="3">
        <v>41830</v>
      </c>
    </row>
    <row r="9445" spans="1:22" x14ac:dyDescent="0.35">
      <c r="A9445" s="1">
        <v>42217.937048611115</v>
      </c>
      <c r="B9445" s="2">
        <v>6.2500000000000001E-4</v>
      </c>
      <c r="C9445" t="s">
        <v>1496</v>
      </c>
      <c r="D9445" t="s">
        <v>23</v>
      </c>
      <c r="E9445" t="s">
        <v>24</v>
      </c>
      <c r="F9445" t="s">
        <v>226</v>
      </c>
      <c r="G9445">
        <v>817313</v>
      </c>
      <c r="H9445" t="s">
        <v>26</v>
      </c>
      <c r="I9445" t="s">
        <v>69</v>
      </c>
      <c r="J9445" t="str">
        <f>"9781118136829"</f>
        <v>9781118136829</v>
      </c>
      <c r="K9445" t="s">
        <v>13105</v>
      </c>
      <c r="L9445">
        <v>13</v>
      </c>
      <c r="O9445" t="s">
        <v>30</v>
      </c>
      <c r="P9445" t="s">
        <v>29</v>
      </c>
      <c r="Q9445" s="1">
        <v>42212.542037037034</v>
      </c>
      <c r="R9445">
        <v>7</v>
      </c>
      <c r="S9445" t="s">
        <v>31</v>
      </c>
      <c r="T9445" t="s">
        <v>2311</v>
      </c>
      <c r="U9445">
        <v>378.16640000000001</v>
      </c>
      <c r="V9445" s="3">
        <v>40918</v>
      </c>
    </row>
    <row r="9446" spans="1:22" x14ac:dyDescent="0.35">
      <c r="A9446" s="1">
        <v>42217.882824074077</v>
      </c>
      <c r="B9446" s="2">
        <v>2.3148148148148146E-4</v>
      </c>
      <c r="C9446" t="s">
        <v>1496</v>
      </c>
      <c r="D9446" t="s">
        <v>23</v>
      </c>
      <c r="E9446" t="s">
        <v>24</v>
      </c>
      <c r="F9446" t="s">
        <v>226</v>
      </c>
      <c r="G9446">
        <v>817313</v>
      </c>
      <c r="H9446" t="s">
        <v>26</v>
      </c>
      <c r="I9446" t="s">
        <v>69</v>
      </c>
      <c r="J9446" t="str">
        <f>"9781118136829"</f>
        <v>9781118136829</v>
      </c>
      <c r="K9446" t="s">
        <v>13106</v>
      </c>
      <c r="L9446">
        <v>9</v>
      </c>
      <c r="O9446" t="s">
        <v>30</v>
      </c>
      <c r="P9446" t="s">
        <v>29</v>
      </c>
      <c r="Q9446" s="1">
        <v>42212.542037037034</v>
      </c>
      <c r="R9446">
        <v>7</v>
      </c>
      <c r="S9446" t="s">
        <v>31</v>
      </c>
      <c r="T9446" t="s">
        <v>2311</v>
      </c>
      <c r="U9446">
        <v>378.16640000000001</v>
      </c>
      <c r="V9446" s="3">
        <v>40918</v>
      </c>
    </row>
    <row r="9447" spans="1:22" x14ac:dyDescent="0.35">
      <c r="A9447" s="1">
        <v>42217.856631944444</v>
      </c>
      <c r="B9447" s="2">
        <v>1.423611111111111E-3</v>
      </c>
      <c r="C9447" t="s">
        <v>1496</v>
      </c>
      <c r="D9447" t="s">
        <v>23</v>
      </c>
      <c r="E9447" t="s">
        <v>24</v>
      </c>
      <c r="F9447" t="s">
        <v>226</v>
      </c>
      <c r="G9447">
        <v>817313</v>
      </c>
      <c r="H9447" t="s">
        <v>26</v>
      </c>
      <c r="I9447" t="s">
        <v>69</v>
      </c>
      <c r="J9447" t="str">
        <f>"9781118136829"</f>
        <v>9781118136829</v>
      </c>
      <c r="K9447" t="s">
        <v>13107</v>
      </c>
      <c r="L9447">
        <v>12</v>
      </c>
      <c r="O9447" t="s">
        <v>30</v>
      </c>
      <c r="P9447" t="s">
        <v>29</v>
      </c>
      <c r="Q9447" s="1">
        <v>42212.542037037034</v>
      </c>
      <c r="R9447">
        <v>7</v>
      </c>
      <c r="S9447" t="s">
        <v>31</v>
      </c>
      <c r="T9447" t="s">
        <v>2311</v>
      </c>
      <c r="U9447">
        <v>378.16640000000001</v>
      </c>
      <c r="V9447" s="3">
        <v>40918</v>
      </c>
    </row>
    <row r="9448" spans="1:22" x14ac:dyDescent="0.35">
      <c r="A9448" s="1">
        <v>42217.099479166667</v>
      </c>
      <c r="B9448" s="2">
        <v>8.1018518518518516E-5</v>
      </c>
      <c r="C9448" t="s">
        <v>13108</v>
      </c>
      <c r="D9448" t="s">
        <v>35</v>
      </c>
      <c r="E9448" t="s">
        <v>36</v>
      </c>
      <c r="F9448" t="s">
        <v>1698</v>
      </c>
      <c r="G9448">
        <v>1637652</v>
      </c>
      <c r="H9448" t="s">
        <v>84</v>
      </c>
      <c r="I9448" t="s">
        <v>69</v>
      </c>
      <c r="J9448" t="str">
        <f>"9780520958449"</f>
        <v>9780520958449</v>
      </c>
      <c r="K9448" t="s">
        <v>33</v>
      </c>
      <c r="L9448">
        <v>3</v>
      </c>
      <c r="O9448" t="s">
        <v>30</v>
      </c>
      <c r="P9448" t="s">
        <v>42</v>
      </c>
      <c r="S9448" t="s">
        <v>40</v>
      </c>
      <c r="T9448" t="s">
        <v>1700</v>
      </c>
      <c r="U9448" t="s">
        <v>1701</v>
      </c>
      <c r="V9448" s="3">
        <v>41761</v>
      </c>
    </row>
    <row r="9449" spans="1:22" x14ac:dyDescent="0.35">
      <c r="A9449" s="1">
        <v>42217.040706018517</v>
      </c>
      <c r="B9449" s="2">
        <v>7.0717592592592594E-3</v>
      </c>
      <c r="C9449" t="s">
        <v>1496</v>
      </c>
      <c r="D9449" t="s">
        <v>23</v>
      </c>
      <c r="E9449" t="s">
        <v>24</v>
      </c>
      <c r="F9449" t="s">
        <v>226</v>
      </c>
      <c r="G9449">
        <v>817313</v>
      </c>
      <c r="H9449" t="s">
        <v>26</v>
      </c>
      <c r="I9449" t="s">
        <v>69</v>
      </c>
      <c r="J9449" t="str">
        <f>"9781118136829"</f>
        <v>9781118136829</v>
      </c>
      <c r="K9449" t="s">
        <v>13109</v>
      </c>
      <c r="L9449">
        <v>18</v>
      </c>
      <c r="O9449" t="s">
        <v>30</v>
      </c>
      <c r="P9449" t="s">
        <v>29</v>
      </c>
      <c r="Q9449" s="1">
        <v>42212.542037037034</v>
      </c>
      <c r="R9449">
        <v>7</v>
      </c>
      <c r="S9449" t="s">
        <v>31</v>
      </c>
      <c r="T9449" t="s">
        <v>2311</v>
      </c>
      <c r="U9449">
        <v>378.16640000000001</v>
      </c>
      <c r="V9449" s="3">
        <v>40918</v>
      </c>
    </row>
    <row r="9450" spans="1:22" x14ac:dyDescent="0.35">
      <c r="A9450" s="1">
        <v>42217.029224537036</v>
      </c>
      <c r="B9450" s="2">
        <v>0</v>
      </c>
      <c r="C9450" t="s">
        <v>558</v>
      </c>
      <c r="D9450" t="s">
        <v>23</v>
      </c>
      <c r="E9450" t="s">
        <v>24</v>
      </c>
      <c r="F9450" t="s">
        <v>8233</v>
      </c>
      <c r="G9450">
        <v>1810518</v>
      </c>
      <c r="H9450" t="s">
        <v>26</v>
      </c>
      <c r="I9450" t="s">
        <v>108</v>
      </c>
      <c r="J9450" t="str">
        <f>"9781118996560"</f>
        <v>9781118996560</v>
      </c>
      <c r="L9450">
        <v>0</v>
      </c>
      <c r="O9450" t="s">
        <v>28</v>
      </c>
      <c r="P9450" t="s">
        <v>29</v>
      </c>
      <c r="Q9450" s="1">
        <v>42217.029224537036</v>
      </c>
      <c r="R9450">
        <v>7</v>
      </c>
      <c r="S9450" t="s">
        <v>31</v>
      </c>
      <c r="T9450" t="s">
        <v>8234</v>
      </c>
      <c r="U9450">
        <v>332.6</v>
      </c>
      <c r="V9450" s="3">
        <v>41912</v>
      </c>
    </row>
    <row r="9451" spans="1:22" x14ac:dyDescent="0.35">
      <c r="A9451" s="1">
        <v>42217.029224537036</v>
      </c>
      <c r="B9451" s="2">
        <v>0</v>
      </c>
      <c r="C9451" t="s">
        <v>558</v>
      </c>
      <c r="D9451" t="s">
        <v>23</v>
      </c>
      <c r="E9451" t="s">
        <v>24</v>
      </c>
      <c r="F9451" t="s">
        <v>8233</v>
      </c>
      <c r="G9451">
        <v>1810518</v>
      </c>
      <c r="H9451" t="s">
        <v>26</v>
      </c>
      <c r="I9451" t="s">
        <v>108</v>
      </c>
      <c r="J9451" t="str">
        <f>"9781118996560"</f>
        <v>9781118996560</v>
      </c>
      <c r="L9451">
        <v>0</v>
      </c>
      <c r="O9451" t="s">
        <v>30</v>
      </c>
      <c r="P9451" t="s">
        <v>29</v>
      </c>
      <c r="Q9451" s="1">
        <v>42217.029224537036</v>
      </c>
      <c r="R9451">
        <v>7</v>
      </c>
      <c r="S9451" t="s">
        <v>31</v>
      </c>
      <c r="T9451" t="s">
        <v>8234</v>
      </c>
      <c r="U9451">
        <v>332.6</v>
      </c>
      <c r="V9451" s="3">
        <v>41912</v>
      </c>
    </row>
    <row r="9452" spans="1:22" x14ac:dyDescent="0.35">
      <c r="A9452" s="1">
        <v>42217.029062499998</v>
      </c>
      <c r="B9452" s="2">
        <v>1.6203703703703703E-4</v>
      </c>
      <c r="C9452" t="s">
        <v>558</v>
      </c>
      <c r="D9452" t="s">
        <v>23</v>
      </c>
      <c r="E9452" t="s">
        <v>24</v>
      </c>
      <c r="F9452" t="s">
        <v>8233</v>
      </c>
      <c r="G9452">
        <v>1810518</v>
      </c>
      <c r="H9452" t="s">
        <v>26</v>
      </c>
      <c r="I9452" t="s">
        <v>108</v>
      </c>
      <c r="J9452" t="str">
        <f>"9781118996560"</f>
        <v>9781118996560</v>
      </c>
      <c r="K9452" t="s">
        <v>33</v>
      </c>
      <c r="L9452">
        <v>3</v>
      </c>
      <c r="O9452" t="s">
        <v>30</v>
      </c>
      <c r="P9452" t="s">
        <v>42</v>
      </c>
      <c r="S9452" t="s">
        <v>31</v>
      </c>
      <c r="T9452" t="s">
        <v>8234</v>
      </c>
      <c r="U9452">
        <v>332.6</v>
      </c>
      <c r="V9452" s="3">
        <v>41912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By Title</vt:lpstr>
      <vt:lpstr>By Library</vt:lpstr>
      <vt:lpstr>By Library and Title</vt:lpstr>
      <vt:lpstr>By Publisher</vt:lpstr>
      <vt:lpstr>By Date</vt:lpstr>
      <vt:lpstr>By UserID</vt:lpstr>
      <vt:lpstr>NY3R Usage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Kathleen</dc:creator>
  <cp:lastModifiedBy>Sheryl Knab</cp:lastModifiedBy>
  <dcterms:created xsi:type="dcterms:W3CDTF">2016-02-03T17:05:19Z</dcterms:created>
  <dcterms:modified xsi:type="dcterms:W3CDTF">2016-02-05T20:25:34Z</dcterms:modified>
</cp:coreProperties>
</file>